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3.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queryTables/queryTable8.xml" ContentType="application/vnd.openxmlformats-officedocument.spreadsheetml.queryTable+xml"/>
  <Override PartName="/xl/pivotTables/pivotTable1.xml" ContentType="application/vnd.openxmlformats-officedocument.spreadsheetml.pivot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tables/table18.xml" ContentType="application/vnd.openxmlformats-officedocument.spreadsheetml.table+xml"/>
  <Override PartName="/xl/queryTables/queryTable14.xml" ContentType="application/vnd.openxmlformats-officedocument.spreadsheetml.queryTable+xml"/>
  <Override PartName="/xl/tables/table19.xml" ContentType="application/vnd.openxmlformats-officedocument.spreadsheetml.table+xml"/>
  <Override PartName="/xl/queryTables/queryTable15.xml" ContentType="application/vnd.openxmlformats-officedocument.spreadsheetml.queryTable+xml"/>
  <Override PartName="/xl/tables/table20.xml" ContentType="application/vnd.openxmlformats-officedocument.spreadsheetml.table+xml"/>
  <Override PartName="/xl/queryTables/queryTable16.xml" ContentType="application/vnd.openxmlformats-officedocument.spreadsheetml.queryTable+xml"/>
  <Override PartName="/xl/tables/table21.xml" ContentType="application/vnd.openxmlformats-officedocument.spreadsheetml.table+xml"/>
  <Override PartName="/xl/queryTables/queryTable17.xml" ContentType="application/vnd.openxmlformats-officedocument.spreadsheetml.queryTable+xml"/>
  <Override PartName="/xl/tables/table22.xml" ContentType="application/vnd.openxmlformats-officedocument.spreadsheetml.table+xml"/>
  <Override PartName="/xl/queryTables/queryTable18.xml" ContentType="application/vnd.openxmlformats-officedocument.spreadsheetml.query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tables/table25.xml" ContentType="application/vnd.openxmlformats-officedocument.spreadsheetml.table+xml"/>
  <Override PartName="/xl/queryTables/queryTable21.xml" ContentType="application/vnd.openxmlformats-officedocument.spreadsheetml.queryTable+xml"/>
  <Override PartName="/xl/tables/table26.xml" ContentType="application/vnd.openxmlformats-officedocument.spreadsheetml.table+xml"/>
  <Override PartName="/xl/queryTables/queryTable22.xml" ContentType="application/vnd.openxmlformats-officedocument.spreadsheetml.query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queryTables/queryTable24.xml" ContentType="application/vnd.openxmlformats-officedocument.spreadsheetml.queryTable+xml"/>
  <Override PartName="/xl/tables/table31.xml" ContentType="application/vnd.openxmlformats-officedocument.spreadsheetml.table+xml"/>
  <Override PartName="/xl/queryTables/queryTable25.xml" ContentType="application/vnd.openxmlformats-officedocument.spreadsheetml.queryTable+xml"/>
  <Override PartName="/xl/tables/table32.xml" ContentType="application/vnd.openxmlformats-officedocument.spreadsheetml.table+xml"/>
  <Override PartName="/xl/queryTables/queryTable26.xml" ContentType="application/vnd.openxmlformats-officedocument.spreadsheetml.queryTable+xml"/>
  <Override PartName="/xl/tables/table33.xml" ContentType="application/vnd.openxmlformats-officedocument.spreadsheetml.table+xml"/>
  <Override PartName="/xl/queryTables/queryTable27.xml" ContentType="application/vnd.openxmlformats-officedocument.spreadsheetml.queryTable+xml"/>
  <Override PartName="/xl/tables/table34.xml" ContentType="application/vnd.openxmlformats-officedocument.spreadsheetml.table+xml"/>
  <Override PartName="/xl/tables/table35.xml" ContentType="application/vnd.openxmlformats-officedocument.spreadsheetml.table+xml"/>
  <Override PartName="/xl/comments7.xml" ContentType="application/vnd.openxmlformats-officedocument.spreadsheetml.comments+xml"/>
  <Override PartName="/xl/tables/table36.xml" ContentType="application/vnd.openxmlformats-officedocument.spreadsheetml.table+xml"/>
  <Override PartName="/xl/queryTables/queryTable28.xml" ContentType="application/vnd.openxmlformats-officedocument.spreadsheetml.queryTable+xml"/>
  <Override PartName="/xl/tables/table37.xml" ContentType="application/vnd.openxmlformats-officedocument.spreadsheetml.table+xml"/>
  <Override PartName="/xl/queryTables/queryTable29.xml" ContentType="application/vnd.openxmlformats-officedocument.spreadsheetml.queryTable+xml"/>
  <Override PartName="/xl/tables/table38.xml" ContentType="application/vnd.openxmlformats-officedocument.spreadsheetml.table+xml"/>
  <Override PartName="/xl/queryTables/queryTable30.xml" ContentType="application/vnd.openxmlformats-officedocument.spreadsheetml.queryTable+xml"/>
  <Override PartName="/xl/tables/table39.xml" ContentType="application/vnd.openxmlformats-officedocument.spreadsheetml.table+xml"/>
  <Override PartName="/xl/queryTables/queryTable31.xml" ContentType="application/vnd.openxmlformats-officedocument.spreadsheetml.queryTable+xml"/>
  <Override PartName="/xl/tables/table40.xml" ContentType="application/vnd.openxmlformats-officedocument.spreadsheetml.table+xml"/>
  <Override PartName="/xl/queryTables/queryTable32.xml" ContentType="application/vnd.openxmlformats-officedocument.spreadsheetml.queryTable+xml"/>
  <Override PartName="/xl/tables/table41.xml" ContentType="application/vnd.openxmlformats-officedocument.spreadsheetml.table+xml"/>
  <Override PartName="/xl/queryTables/queryTable33.xml" ContentType="application/vnd.openxmlformats-officedocument.spreadsheetml.queryTable+xml"/>
  <Override PartName="/xl/tables/table42.xml" ContentType="application/vnd.openxmlformats-officedocument.spreadsheetml.table+xml"/>
  <Override PartName="/xl/queryTables/queryTable34.xml" ContentType="application/vnd.openxmlformats-officedocument.spreadsheetml.queryTable+xml"/>
  <Override PartName="/xl/tables/table43.xml" ContentType="application/vnd.openxmlformats-officedocument.spreadsheetml.table+xml"/>
  <Override PartName="/xl/queryTables/queryTable35.xml" ContentType="application/vnd.openxmlformats-officedocument.spreadsheetml.queryTable+xml"/>
  <Override PartName="/xl/tables/table44.xml" ContentType="application/vnd.openxmlformats-officedocument.spreadsheetml.table+xml"/>
  <Override PartName="/xl/queryTables/queryTable36.xml" ContentType="application/vnd.openxmlformats-officedocument.spreadsheetml.queryTable+xml"/>
  <Override PartName="/xl/tables/table45.xml" ContentType="application/vnd.openxmlformats-officedocument.spreadsheetml.table+xml"/>
  <Override PartName="/xl/queryTables/queryTable37.xml" ContentType="application/vnd.openxmlformats-officedocument.spreadsheetml.queryTable+xml"/>
  <Override PartName="/xl/tables/table46.xml" ContentType="application/vnd.openxmlformats-officedocument.spreadsheetml.table+xml"/>
  <Override PartName="/xl/queryTables/queryTable38.xml" ContentType="application/vnd.openxmlformats-officedocument.spreadsheetml.queryTable+xml"/>
  <Override PartName="/xl/tables/table47.xml" ContentType="application/vnd.openxmlformats-officedocument.spreadsheetml.table+xml"/>
  <Override PartName="/xl/queryTables/queryTable39.xml" ContentType="application/vnd.openxmlformats-officedocument.spreadsheetml.queryTable+xml"/>
  <Override PartName="/xl/tables/table48.xml" ContentType="application/vnd.openxmlformats-officedocument.spreadsheetml.table+xml"/>
  <Override PartName="/xl/queryTables/queryTable40.xml" ContentType="application/vnd.openxmlformats-officedocument.spreadsheetml.queryTable+xml"/>
  <Override PartName="/xl/tables/table49.xml" ContentType="application/vnd.openxmlformats-officedocument.spreadsheetml.table+xml"/>
  <Override PartName="/xl/queryTables/queryTable41.xml" ContentType="application/vnd.openxmlformats-officedocument.spreadsheetml.queryTable+xml"/>
  <Override PartName="/xl/tables/table50.xml" ContentType="application/vnd.openxmlformats-officedocument.spreadsheetml.table+xml"/>
  <Override PartName="/xl/queryTables/queryTable42.xml" ContentType="application/vnd.openxmlformats-officedocument.spreadsheetml.queryTable+xml"/>
  <Override PartName="/xl/tables/table51.xml" ContentType="application/vnd.openxmlformats-officedocument.spreadsheetml.table+xml"/>
  <Override PartName="/xl/queryTables/queryTable43.xml" ContentType="application/vnd.openxmlformats-officedocument.spreadsheetml.queryTable+xml"/>
  <Override PartName="/xl/tables/table52.xml" ContentType="application/vnd.openxmlformats-officedocument.spreadsheetml.table+xml"/>
  <Override PartName="/xl/tables/table53.xml" ContentType="application/vnd.openxmlformats-officedocument.spreadsheetml.table+xml"/>
  <Override PartName="/xl/queryTables/queryTable44.xml" ContentType="application/vnd.openxmlformats-officedocument.spreadsheetml.queryTable+xml"/>
  <Override PartName="/xl/tables/table54.xml" ContentType="application/vnd.openxmlformats-officedocument.spreadsheetml.table+xml"/>
  <Override PartName="/xl/queryTables/queryTable45.xml" ContentType="application/vnd.openxmlformats-officedocument.spreadsheetml.queryTable+xml"/>
  <Override PartName="/xl/tables/table55.xml" ContentType="application/vnd.openxmlformats-officedocument.spreadsheetml.table+xml"/>
  <Override PartName="/xl/queryTables/queryTable46.xml" ContentType="application/vnd.openxmlformats-officedocument.spreadsheetml.queryTable+xml"/>
  <Override PartName="/xl/tables/table56.xml" ContentType="application/vnd.openxmlformats-officedocument.spreadsheetml.table+xml"/>
  <Override PartName="/xl/queryTables/queryTable47.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hidePivotFieldList="1"/>
  <mc:AlternateContent xmlns:mc="http://schemas.openxmlformats.org/markup-compatibility/2006">
    <mc:Choice Requires="x15">
      <x15ac:absPath xmlns:x15ac="http://schemas.microsoft.com/office/spreadsheetml/2010/11/ac" url="\\filesrv01.msb.com.vn\06.Khoi Quan Ly Rui Ro\02.Trung Tam QLRR Thi Truong\02.Phong GSRRTT\05.Report\01.Daily Report\2026.08.18\BOND\01.GovBond\"/>
    </mc:Choice>
  </mc:AlternateContent>
  <xr:revisionPtr revIDLastSave="0" documentId="13_ncr:1_{ED84CEDB-EBB5-4238-BE74-C4F574EFBBB9}" xr6:coauthVersionLast="47" xr6:coauthVersionMax="47" xr10:uidLastSave="{00000000-0000-0000-0000-000000000000}"/>
  <bookViews>
    <workbookView xWindow="-100" yWindow="-100" windowWidth="21467" windowHeight="11443" tabRatio="834" firstSheet="7" activeTab="18" xr2:uid="{00000000-000D-0000-FFFF-FFFF00000000}"/>
  </bookViews>
  <sheets>
    <sheet name="Log" sheetId="38" r:id="rId1"/>
    <sheet name="Data flows" sheetId="1" r:id="rId2"/>
    <sheet name="Cai tien" sheetId="6" state="hidden" r:id="rId3"/>
    <sheet name="Rule &amp; Gap" sheetId="5" state="hidden" r:id="rId4"/>
    <sheet name="Validate" sheetId="36" r:id="rId5"/>
    <sheet name="Ref" sheetId="10" r:id="rId6"/>
    <sheet name="Dictionary" sheetId="66" r:id="rId7"/>
    <sheet name="Runtool" sheetId="2" r:id="rId8"/>
    <sheet name="Double check" sheetId="3" r:id="rId9"/>
    <sheet name="Phan tich_TB" sheetId="11" r:id="rId10"/>
    <sheet name="Phan tich_BB" sheetId="35" r:id="rId11"/>
    <sheet name="Thay doi_BB" sheetId="62" state="hidden" r:id="rId12"/>
    <sheet name="Giam sat" sheetId="60" r:id="rId13"/>
    <sheet name="BS" sheetId="46" r:id="rId14"/>
    <sheet name="VaR senerio" sheetId="49" r:id="rId15"/>
    <sheet name="Yield 1Y" sheetId="47" r:id="rId16"/>
    <sheet name="Input&gt;&gt;" sheetId="64" r:id="rId17"/>
    <sheet name="Market" sheetId="55" r:id="rId18"/>
    <sheet name="Deal ps" sheetId="13" r:id="rId19"/>
    <sheet name="FNRP" sheetId="9" r:id="rId20"/>
    <sheet name="RP_SEC" sheetId="14" r:id="rId21"/>
    <sheet name="His53" sheetId="18" r:id="rId22"/>
    <sheet name="VaR" sheetId="19" r:id="rId23"/>
    <sheet name="Funding" sheetId="57" r:id="rId24"/>
    <sheet name="Output&gt;&gt;" sheetId="65" r:id="rId25"/>
    <sheet name="His.DataTT" sheetId="56" r:id="rId26"/>
    <sheet name="His.TB" sheetId="24" r:id="rId27"/>
    <sheet name="His.BB" sheetId="31" r:id="rId28"/>
    <sheet name="His.TB.SBV" sheetId="32" r:id="rId29"/>
    <sheet name="His.BB.SBV" sheetId="33" r:id="rId30"/>
    <sheet name="His.Other" sheetId="34" r:id="rId31"/>
    <sheet name="No PT" sheetId="58"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_xlnm._FilterDatabase" localSheetId="13" hidden="1">BS!$A$19:$S$25</definedName>
    <definedName name="_xlnm._FilterDatabase" localSheetId="2" hidden="1">'Cai tien'!$A$1:$D$34</definedName>
    <definedName name="_xlnm._FilterDatabase" localSheetId="8" hidden="1">'Double check'!$A$1:$J$51</definedName>
    <definedName name="_xlnm._FilterDatabase" localSheetId="19" hidden="1">FNRP!$A$1:$A$1</definedName>
    <definedName name="_xlnm._FilterDatabase" localSheetId="23" hidden="1">Funding!$S$1:$T$74</definedName>
    <definedName name="_xlnm._FilterDatabase" localSheetId="12" hidden="1">'Giam sat'!$A$2:$AD$4</definedName>
    <definedName name="_xlnm._FilterDatabase" localSheetId="27" hidden="1">His.BB!$A$1:$U$215</definedName>
    <definedName name="_xlnm._FilterDatabase" localSheetId="29" hidden="1">'His.BB.SBV'!$A$1:$U$55</definedName>
    <definedName name="_xlnm._FilterDatabase" localSheetId="30" hidden="1">His.Other!$A$1:$H$70</definedName>
    <definedName name="_xlnm._FilterDatabase" localSheetId="26" hidden="1">His.TB!$A$1:$U$343</definedName>
    <definedName name="_xlnm._FilterDatabase" localSheetId="28" hidden="1">'His.TB.SBV'!$A$1:$U$78</definedName>
    <definedName name="_xlnm._FilterDatabase" localSheetId="0" hidden="1">Log!$A$3:$J$236</definedName>
    <definedName name="_xlnm._FilterDatabase" localSheetId="31" hidden="1">'No PT'!$A$1:$G$1</definedName>
    <definedName name="_xlnm._FilterDatabase" localSheetId="5" hidden="1">Ref!$BA$1:$BC$275</definedName>
    <definedName name="_xlnm._FilterDatabase" localSheetId="20" hidden="1">RP_SEC!$CW$1:$DG$113</definedName>
    <definedName name="_xlnm._FilterDatabase" localSheetId="3" hidden="1">'Rule &amp; Gap'!$A$1:$J$30</definedName>
    <definedName name="_xlnm._FilterDatabase" localSheetId="11" hidden="1">'Thay doi_BB'!$K$1:$AG$114</definedName>
    <definedName name="_xlnm._FilterDatabase" localSheetId="14" hidden="1">'VaR senerio'!$AE$3:$AR$255</definedName>
    <definedName name="_xleta.T" hidden="1" xlm="1">#NAME?</definedName>
    <definedName name="ạ2">Data53_PnL[Actual]</definedName>
    <definedName name="ag">RP_SEC!$CO$2:$CQ$2</definedName>
    <definedName name="ALlDealps">Runtool!$N$36</definedName>
    <definedName name="Bond_tool">Runtool!$C$22</definedName>
    <definedName name="BQ">'His53'!#REF!</definedName>
    <definedName name="BV">'His53'!#REF!</definedName>
    <definedName name="BY">'Giam sat'!$AK$3</definedName>
    <definedName name="cp">FNRP!$CD$110</definedName>
    <definedName name="DL">FNRP!$IC$2:$IF$2</definedName>
    <definedName name="ExternalData_1" localSheetId="13" hidden="1">BS!$U$2:$AA$147</definedName>
    <definedName name="ExternalData_1" localSheetId="18" hidden="1">'Deal ps'!$A$1:$Y$15</definedName>
    <definedName name="ExternalData_1" localSheetId="23" hidden="1">Funding!$B$1:$O$79</definedName>
    <definedName name="ExternalData_1" localSheetId="12" hidden="1">'Giam sat'!$AO$1:$AW$247</definedName>
    <definedName name="ExternalData_1" localSheetId="17" hidden="1">Market!$B$1:$I$59</definedName>
    <definedName name="ExternalData_1" localSheetId="9" hidden="1">'Phan tich_TB'!$AE$1:$AF$12</definedName>
    <definedName name="ExternalData_1" localSheetId="20" hidden="1">RP_SEC!$B$1:$R$92</definedName>
    <definedName name="ExternalData_1" localSheetId="22" hidden="1">VaR!$N$1:$P$9</definedName>
    <definedName name="ExternalData_1" localSheetId="15" hidden="1">'Yield 1Y'!$A$1:$C$2751</definedName>
    <definedName name="ExternalData_10" localSheetId="19" hidden="1">FNRP!$FT$1:$GV$79</definedName>
    <definedName name="ExternalData_10" localSheetId="21" hidden="1">'His53'!$AQ$1:$AX$7</definedName>
    <definedName name="ExternalData_11" localSheetId="19" hidden="1">FNRP!$II$1:$JM$2</definedName>
    <definedName name="ExternalData_11" localSheetId="12" hidden="1">'Giam sat'!$BT$1:$BX$251</definedName>
    <definedName name="ExternalData_11" localSheetId="21" hidden="1">'His53'!$BA$1:$BH$7</definedName>
    <definedName name="ExternalData_12" localSheetId="19" hidden="1">FNRP!$KA$1:$LD$2</definedName>
    <definedName name="ExternalData_12" localSheetId="12" hidden="1">'Giam sat'!$CC$1:$CI$251</definedName>
    <definedName name="ExternalData_12" localSheetId="21" hidden="1">'His53'!$W$14:$AD$62</definedName>
    <definedName name="ExternalData_13" localSheetId="21" hidden="1">'His53'!$C$1:$J$5</definedName>
    <definedName name="ExternalData_14" localSheetId="21" hidden="1">'His53'!$C$9:$J$13</definedName>
    <definedName name="ExternalData_15" localSheetId="21" hidden="1">'His53'!$BK$1:$BL$32</definedName>
    <definedName name="ExternalData_17" localSheetId="21" hidden="1">'His53'!$BO$1:$BR$69</definedName>
    <definedName name="ExternalData_18" localSheetId="21" hidden="1">'His53'!$R$6:$T$40</definedName>
    <definedName name="ExternalData_2" localSheetId="13" hidden="1">BS!$AG$2:$AI$6</definedName>
    <definedName name="ExternalData_2" localSheetId="19" hidden="1">FNRP!$AT$1:$BX$215</definedName>
    <definedName name="ExternalData_2" localSheetId="23" hidden="1">Funding!$U$1:$AK$67</definedName>
    <definedName name="ExternalData_2" localSheetId="21" hidden="1">'His53'!$M$1:$O$14</definedName>
    <definedName name="ExternalData_2" localSheetId="17" hidden="1">Market!$M$1:$S$12</definedName>
    <definedName name="ExternalData_2" localSheetId="9" hidden="1">'Phan tich_TB'!$AL$1:$AO$8</definedName>
    <definedName name="ExternalData_2" localSheetId="20" hidden="1">RP_SEC!$AB$1:$AR$103</definedName>
    <definedName name="ExternalData_2" localSheetId="22" hidden="1">VaR!$F$1:$K$193</definedName>
    <definedName name="ExternalData_3" localSheetId="19" hidden="1">FNRP!$CL$1:$DO$547</definedName>
    <definedName name="ExternalData_3" localSheetId="23" hidden="1">Funding!$AQ$1:$BB$16</definedName>
    <definedName name="ExternalData_3" localSheetId="21" hidden="1">'His53'!$M$19:$O$32</definedName>
    <definedName name="ExternalData_3" localSheetId="17" hidden="1">Market!$V$1:$AP$2</definedName>
    <definedName name="ExternalData_3" localSheetId="20" hidden="1">RP_SEC!$BB$1:$BR$13</definedName>
    <definedName name="ExternalData_3" localSheetId="22" hidden="1">VaR!#REF!</definedName>
    <definedName name="ExternalData_4" localSheetId="13" hidden="1">BS!#REF!</definedName>
    <definedName name="ExternalData_4" localSheetId="18" hidden="1">'Deal ps'!$AR$1:$AW$2</definedName>
    <definedName name="ExternalData_4" localSheetId="19" hidden="1">FNRP!$EC$1:$FF$373</definedName>
    <definedName name="ExternalData_4" localSheetId="21" hidden="1">'His53'!$M$37:$O$50</definedName>
    <definedName name="ExternalData_4" localSheetId="20" hidden="1">RP_SEC!#REF!</definedName>
    <definedName name="ExternalData_4" localSheetId="22" hidden="1">VaR!#REF!</definedName>
    <definedName name="ExternalData_5" localSheetId="13" hidden="1">BS!$AZ$2:$BR$233</definedName>
    <definedName name="ExternalData_5" localSheetId="18" hidden="1">'Deal ps'!$BR$1:$CA$5</definedName>
    <definedName name="ExternalData_5" localSheetId="21" hidden="1">'His53'!$M$55:$O$68</definedName>
    <definedName name="ExternalData_5" localSheetId="20" hidden="1">RP_SEC!#REF!</definedName>
    <definedName name="ExternalData_6" localSheetId="18" hidden="1">'Deal ps'!$BB$1:$BM$2</definedName>
    <definedName name="ExternalData_6" localSheetId="21" hidden="1">'His53'!$R$1:$T$3</definedName>
    <definedName name="ExternalData_7" localSheetId="13" hidden="1">BS!$AZ$2:$BM$231</definedName>
    <definedName name="ExternalData_7" localSheetId="12" hidden="1">'Giam sat'!#REF!</definedName>
    <definedName name="ExternalData_8" localSheetId="13" hidden="1">BS!$AL$2:$AV$263</definedName>
    <definedName name="ExternalData_8" localSheetId="19" hidden="1">FNRP!$HB$1:$IB$7</definedName>
    <definedName name="ExternalData_8" localSheetId="12" hidden="1">'Giam sat'!#REF!</definedName>
    <definedName name="ExternalData_8" localSheetId="21" hidden="1">'His53'!$W$1:$AD$9</definedName>
    <definedName name="ExternalData_8" localSheetId="20" hidden="1">RP_SEC!$BX$1:$CN$182</definedName>
    <definedName name="ExternalData_9" localSheetId="13" hidden="1">BS!#REF!</definedName>
    <definedName name="ExternalData_9" localSheetId="19" hidden="1">FNRP!$B$1:$AF$594</definedName>
    <definedName name="ExternalData_9" localSheetId="12" hidden="1">'Giam sat'!$BF$1:$BM$124</definedName>
    <definedName name="ExternalData_9" localSheetId="21" hidden="1">'His53'!$AG$1:$AN$9</definedName>
    <definedName name="ExternalData_9" localSheetId="20" hidden="1">RP_SEC!$CT$1:$CU$164</definedName>
    <definedName name="Last10D" localSheetId="11">#REF!</definedName>
    <definedName name="Last30D" localSheetId="11">#REF!</definedName>
    <definedName name="Lastmonth">Runtool!$C$4</definedName>
    <definedName name="Lastweek" localSheetId="11">#REF!</definedName>
    <definedName name="Lastyear">Runtool!$C$5</definedName>
    <definedName name="Outstanding_position">Runtool!$N$27</definedName>
    <definedName name="Repo_TDSBV">Runtool!$N$37</definedName>
    <definedName name="RPT">Runtool!$C$2</definedName>
    <definedName name="rundata">Runtool!$M$15</definedName>
    <definedName name="Source_refresh">Runtool!$N$2:$N$47</definedName>
    <definedName name="Tool_name">Runtool!$C$22</definedName>
    <definedName name="Yesterday">Runtool!$C$3</definedName>
    <definedName name="z">FNRP!$IC$2:$IF$2</definedName>
    <definedName name="Z_26D134C6_87F7_464A_9CF5_E6B10F38AAF8_.wvu.FilterData" localSheetId="3" hidden="1">'Rule &amp; Gap'!$A$1:$J$29</definedName>
    <definedName name="Z_476B3487_4E70_4FE8_B6F9_BB9A471695CF_.wvu.FilterData" localSheetId="3" hidden="1">'Rule &amp; Gap'!$A$1:$J$29</definedName>
    <definedName name="Z_4C8D7250_DE12_4B5F_93D8_AA424CEFB178_.wvu.FilterData" localSheetId="3" hidden="1">'Rule &amp; Gap'!$A$1:$J$28</definedName>
    <definedName name="Z_524289B3_6BB1_455D_99E7_C4A0216A023F_.wvu.FilterData" localSheetId="3" hidden="1">'Rule &amp; Gap'!$A$1:$J$30</definedName>
    <definedName name="Z_8C455022_BAAE_48B7_8B5B_56448720B25D_.wvu.FilterData" localSheetId="3" hidden="1">'Rule &amp; Gap'!$A$1:$J$29</definedName>
  </definedNames>
  <calcPr calcId="191029"/>
  <pivotCaches>
    <pivotCache cacheId="14" r:id="rId60"/>
    <pivotCache cacheId="19"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Q3" i="46" l="1"/>
  <c r="BQ4" i="46"/>
  <c r="BQ5" i="46"/>
  <c r="BQ6" i="46"/>
  <c r="BQ7" i="46"/>
  <c r="BQ8" i="46"/>
  <c r="BQ9" i="46"/>
  <c r="BQ10" i="46"/>
  <c r="BQ11" i="46"/>
  <c r="BQ12" i="46"/>
  <c r="BQ13" i="46"/>
  <c r="BQ14" i="46"/>
  <c r="BQ15" i="46"/>
  <c r="BQ16" i="46"/>
  <c r="BQ17" i="46"/>
  <c r="BQ18" i="46"/>
  <c r="BQ19" i="46"/>
  <c r="BQ20" i="46"/>
  <c r="BQ21" i="46"/>
  <c r="BQ22" i="46"/>
  <c r="BQ23" i="46"/>
  <c r="BQ24" i="46"/>
  <c r="BQ25" i="46"/>
  <c r="BQ26" i="46"/>
  <c r="BQ27" i="46"/>
  <c r="BQ28" i="46"/>
  <c r="BQ29" i="46"/>
  <c r="BQ30" i="46"/>
  <c r="BQ31" i="46"/>
  <c r="BQ32" i="46"/>
  <c r="BQ33" i="46"/>
  <c r="BQ34" i="46"/>
  <c r="BQ35" i="46"/>
  <c r="BQ36" i="46"/>
  <c r="BQ37" i="46"/>
  <c r="BQ38" i="46"/>
  <c r="BQ39" i="46"/>
  <c r="BQ40" i="46"/>
  <c r="BQ41" i="46"/>
  <c r="BQ42" i="46"/>
  <c r="BQ43" i="46"/>
  <c r="BQ44" i="46"/>
  <c r="BQ45" i="46"/>
  <c r="BQ46" i="46"/>
  <c r="BQ47" i="46"/>
  <c r="BQ48" i="46"/>
  <c r="BQ49" i="46"/>
  <c r="BQ50" i="46"/>
  <c r="BQ51" i="46"/>
  <c r="BQ52" i="46"/>
  <c r="BQ53" i="46"/>
  <c r="BQ54" i="46"/>
  <c r="BQ55" i="46"/>
  <c r="BQ56" i="46"/>
  <c r="BQ57" i="46"/>
  <c r="BQ58" i="46"/>
  <c r="BQ59" i="46"/>
  <c r="BQ60" i="46"/>
  <c r="BQ61" i="46"/>
  <c r="BQ62" i="46"/>
  <c r="BQ63" i="46"/>
  <c r="BQ64" i="46"/>
  <c r="BQ65" i="46"/>
  <c r="BQ66" i="46"/>
  <c r="BQ67" i="46"/>
  <c r="BQ68" i="46"/>
  <c r="BQ69" i="46"/>
  <c r="BQ70" i="46"/>
  <c r="BQ71" i="46"/>
  <c r="BQ72" i="46"/>
  <c r="BQ73" i="46"/>
  <c r="BQ74" i="46"/>
  <c r="BQ75" i="46"/>
  <c r="BQ76" i="46"/>
  <c r="BQ77" i="46"/>
  <c r="BQ78" i="46"/>
  <c r="BQ79" i="46"/>
  <c r="BQ80" i="46"/>
  <c r="BQ81" i="46"/>
  <c r="BQ82" i="46"/>
  <c r="BQ83" i="46"/>
  <c r="BQ84" i="46"/>
  <c r="BQ85" i="46"/>
  <c r="BQ86" i="46"/>
  <c r="BQ87" i="46"/>
  <c r="BQ88" i="46"/>
  <c r="BQ89" i="46"/>
  <c r="BQ90" i="46"/>
  <c r="BQ91" i="46"/>
  <c r="BQ92" i="46"/>
  <c r="BQ93" i="46"/>
  <c r="BQ94" i="46"/>
  <c r="BQ95" i="46"/>
  <c r="BQ96" i="46"/>
  <c r="BQ97" i="46"/>
  <c r="BQ98" i="46"/>
  <c r="BQ99" i="46"/>
  <c r="BQ100" i="46"/>
  <c r="BQ101" i="46"/>
  <c r="BQ102" i="46"/>
  <c r="BQ103" i="46"/>
  <c r="BQ104" i="46"/>
  <c r="BQ105" i="46"/>
  <c r="BQ106" i="46"/>
  <c r="BQ107" i="46"/>
  <c r="BQ108" i="46"/>
  <c r="BQ109" i="46"/>
  <c r="BQ110" i="46"/>
  <c r="BQ111" i="46"/>
  <c r="BQ112" i="46"/>
  <c r="BQ113" i="46"/>
  <c r="BQ114" i="46"/>
  <c r="BQ115" i="46"/>
  <c r="BQ116" i="46"/>
  <c r="BQ117" i="46"/>
  <c r="BQ118" i="46"/>
  <c r="BQ119" i="46"/>
  <c r="BQ120" i="46"/>
  <c r="BQ121" i="46"/>
  <c r="BQ122" i="46"/>
  <c r="BQ123" i="46"/>
  <c r="BQ124" i="46"/>
  <c r="BQ125" i="46"/>
  <c r="BQ126" i="46"/>
  <c r="BQ127" i="46"/>
  <c r="BO65" i="60" s="1"/>
  <c r="BQ128" i="46"/>
  <c r="BQ129" i="46"/>
  <c r="BQ130" i="46"/>
  <c r="BQ131" i="46"/>
  <c r="BQ132" i="46"/>
  <c r="BQ133" i="46"/>
  <c r="BQ134" i="46"/>
  <c r="BQ135" i="46"/>
  <c r="BQ136" i="46"/>
  <c r="BQ137" i="46"/>
  <c r="BQ138" i="46"/>
  <c r="BQ139" i="46"/>
  <c r="BQ140" i="46"/>
  <c r="BQ141" i="46"/>
  <c r="BQ142" i="46"/>
  <c r="BQ143" i="46"/>
  <c r="BQ144" i="46"/>
  <c r="BQ145" i="46"/>
  <c r="BQ146" i="46"/>
  <c r="BQ147" i="46"/>
  <c r="BQ148" i="46"/>
  <c r="BQ149" i="46"/>
  <c r="BQ150" i="46"/>
  <c r="BQ151" i="46"/>
  <c r="BQ152" i="46"/>
  <c r="BQ153" i="46"/>
  <c r="BQ154" i="46"/>
  <c r="BQ155" i="46"/>
  <c r="BQ156" i="46"/>
  <c r="BQ157" i="46"/>
  <c r="BQ158" i="46"/>
  <c r="BQ159" i="46"/>
  <c r="BQ160" i="46"/>
  <c r="BQ161" i="46"/>
  <c r="BQ162" i="46"/>
  <c r="BQ163" i="46"/>
  <c r="BQ164" i="46"/>
  <c r="BQ165" i="46"/>
  <c r="BQ166" i="46"/>
  <c r="BQ167" i="46"/>
  <c r="BQ168" i="46"/>
  <c r="BQ169" i="46"/>
  <c r="BQ170" i="46"/>
  <c r="BQ171" i="46"/>
  <c r="BQ172" i="46"/>
  <c r="BQ173" i="46"/>
  <c r="BQ174" i="46"/>
  <c r="BQ175" i="46"/>
  <c r="BQ176" i="46"/>
  <c r="BQ177" i="46"/>
  <c r="BQ178" i="46"/>
  <c r="BQ179" i="46"/>
  <c r="BQ180" i="46"/>
  <c r="BQ181" i="46"/>
  <c r="BQ182" i="46"/>
  <c r="BQ183" i="46"/>
  <c r="BQ184" i="46"/>
  <c r="BQ185" i="46"/>
  <c r="BQ186" i="46"/>
  <c r="BQ187" i="46"/>
  <c r="BQ188" i="46"/>
  <c r="BQ189" i="46"/>
  <c r="BQ190" i="46"/>
  <c r="BQ191" i="46"/>
  <c r="BQ192" i="46"/>
  <c r="BQ193" i="46"/>
  <c r="BQ194" i="46"/>
  <c r="BQ195" i="46"/>
  <c r="BQ196" i="46"/>
  <c r="BQ197" i="46"/>
  <c r="BQ198" i="46"/>
  <c r="BQ199" i="46"/>
  <c r="BQ200" i="46"/>
  <c r="BQ201" i="46"/>
  <c r="BQ202" i="46"/>
  <c r="BQ203" i="46"/>
  <c r="BQ204" i="46"/>
  <c r="BQ205" i="46"/>
  <c r="BQ206" i="46"/>
  <c r="BQ207" i="46"/>
  <c r="BQ208" i="46"/>
  <c r="BQ209" i="46"/>
  <c r="BQ210" i="46"/>
  <c r="BQ211" i="46"/>
  <c r="BQ212" i="46"/>
  <c r="BQ213" i="46"/>
  <c r="BQ214" i="46"/>
  <c r="BQ215" i="46"/>
  <c r="BQ216" i="46"/>
  <c r="BQ217" i="46"/>
  <c r="BQ218" i="46"/>
  <c r="BQ219" i="46"/>
  <c r="BQ220" i="46"/>
  <c r="BQ221" i="46"/>
  <c r="BQ222" i="46"/>
  <c r="BQ223" i="46"/>
  <c r="BO67" i="60" s="1"/>
  <c r="BQ224" i="46"/>
  <c r="BQ225" i="46"/>
  <c r="BO69" i="60" s="1"/>
  <c r="BP69" i="60" s="1"/>
  <c r="BQ226" i="46"/>
  <c r="BQ227" i="46"/>
  <c r="BQ228" i="46"/>
  <c r="BQ229" i="46"/>
  <c r="BQ230" i="46"/>
  <c r="BQ231" i="46"/>
  <c r="BO70" i="60"/>
  <c r="BP70" i="60" s="1"/>
  <c r="BN65" i="60"/>
  <c r="BQ65" i="60"/>
  <c r="BN66" i="60"/>
  <c r="BO66" i="60"/>
  <c r="BQ66" i="60"/>
  <c r="BN67" i="60"/>
  <c r="BQ67" i="60"/>
  <c r="BN68" i="60"/>
  <c r="BO68" i="60"/>
  <c r="BQ68" i="60"/>
  <c r="BN69" i="60"/>
  <c r="BQ69" i="60"/>
  <c r="BN70" i="60"/>
  <c r="BQ70" i="60"/>
  <c r="BN71" i="60"/>
  <c r="BO71" i="60"/>
  <c r="BP71" i="60" s="1"/>
  <c r="BQ71" i="60"/>
  <c r="BN72" i="60"/>
  <c r="BP72" i="60" s="1"/>
  <c r="BO72" i="60"/>
  <c r="BQ72" i="60"/>
  <c r="BN73" i="60"/>
  <c r="BO73" i="60"/>
  <c r="BQ73" i="60"/>
  <c r="A5" i="60"/>
  <c r="A6" i="60"/>
  <c r="A7" i="60"/>
  <c r="BN3" i="60"/>
  <c r="BO3" i="60"/>
  <c r="BQ3" i="60"/>
  <c r="BN4" i="60"/>
  <c r="BO4" i="60"/>
  <c r="BQ4" i="60"/>
  <c r="BN5" i="60"/>
  <c r="BO5" i="60"/>
  <c r="BQ5" i="60"/>
  <c r="BN6" i="60"/>
  <c r="BO6" i="60"/>
  <c r="BQ6" i="60"/>
  <c r="BN7" i="60"/>
  <c r="BO7" i="60"/>
  <c r="BQ7" i="60"/>
  <c r="BN8" i="60"/>
  <c r="BO8" i="60"/>
  <c r="BQ8" i="60"/>
  <c r="BN9" i="60"/>
  <c r="BO9" i="60"/>
  <c r="BQ9" i="60"/>
  <c r="BN10" i="60"/>
  <c r="BO10" i="60"/>
  <c r="BQ10" i="60"/>
  <c r="BN11" i="60"/>
  <c r="BO11" i="60"/>
  <c r="BQ11" i="60"/>
  <c r="BN12" i="60"/>
  <c r="BO12" i="60"/>
  <c r="BP12" i="60" s="1"/>
  <c r="BQ12" i="60"/>
  <c r="BN13" i="60"/>
  <c r="BO13" i="60"/>
  <c r="BQ13" i="60"/>
  <c r="BN14" i="60"/>
  <c r="BO14" i="60"/>
  <c r="BQ14" i="60"/>
  <c r="BN15" i="60"/>
  <c r="BO15" i="60"/>
  <c r="BQ15" i="60"/>
  <c r="BN16" i="60"/>
  <c r="BO16" i="60"/>
  <c r="BP16" i="60" s="1"/>
  <c r="BQ16" i="60"/>
  <c r="BN17" i="60"/>
  <c r="BO17" i="60"/>
  <c r="BQ17" i="60"/>
  <c r="BN18" i="60"/>
  <c r="BO18" i="60"/>
  <c r="BQ18" i="60"/>
  <c r="BN19" i="60"/>
  <c r="BO19" i="60"/>
  <c r="BQ19" i="60"/>
  <c r="BN20" i="60"/>
  <c r="BO20" i="60"/>
  <c r="BQ20" i="60"/>
  <c r="BN21" i="60"/>
  <c r="BO21" i="60"/>
  <c r="BQ21" i="60"/>
  <c r="BN22" i="60"/>
  <c r="BO22" i="60"/>
  <c r="BQ22" i="60"/>
  <c r="BN23" i="60"/>
  <c r="BO23" i="60"/>
  <c r="BQ23" i="60"/>
  <c r="BN24" i="60"/>
  <c r="BO24" i="60"/>
  <c r="BQ24" i="60"/>
  <c r="BN25" i="60"/>
  <c r="BO25" i="60"/>
  <c r="BQ25" i="60"/>
  <c r="BN26" i="60"/>
  <c r="BO26" i="60"/>
  <c r="BP26" i="60" s="1"/>
  <c r="BQ26" i="60"/>
  <c r="BN27" i="60"/>
  <c r="BO27" i="60"/>
  <c r="BQ27" i="60"/>
  <c r="BN28" i="60"/>
  <c r="BO28" i="60"/>
  <c r="BQ28" i="60"/>
  <c r="BN29" i="60"/>
  <c r="BO29" i="60"/>
  <c r="BQ29" i="60"/>
  <c r="BN30" i="60"/>
  <c r="BO30" i="60"/>
  <c r="BQ30" i="60"/>
  <c r="BN31" i="60"/>
  <c r="BO31" i="60"/>
  <c r="BQ31" i="60"/>
  <c r="BN32" i="60"/>
  <c r="BO32" i="60"/>
  <c r="BQ32" i="60"/>
  <c r="BN33" i="60"/>
  <c r="BO33" i="60"/>
  <c r="BQ33" i="60"/>
  <c r="BN34" i="60"/>
  <c r="BO34" i="60"/>
  <c r="BQ34" i="60"/>
  <c r="BN35" i="60"/>
  <c r="BO35" i="60"/>
  <c r="BQ35" i="60"/>
  <c r="BN36" i="60"/>
  <c r="BO36" i="60"/>
  <c r="BQ36" i="60"/>
  <c r="BN37" i="60"/>
  <c r="BO37" i="60"/>
  <c r="BQ37" i="60"/>
  <c r="BN38" i="60"/>
  <c r="BO38" i="60"/>
  <c r="BQ38" i="60"/>
  <c r="BN39" i="60"/>
  <c r="BO39" i="60"/>
  <c r="BQ39" i="60"/>
  <c r="BN40" i="60"/>
  <c r="BO40" i="60"/>
  <c r="BQ40" i="60"/>
  <c r="BN41" i="60"/>
  <c r="BO41" i="60"/>
  <c r="BQ41" i="60"/>
  <c r="BN42" i="60"/>
  <c r="BO42" i="60"/>
  <c r="BQ42" i="60"/>
  <c r="BN43" i="60"/>
  <c r="BO43" i="60"/>
  <c r="BQ43" i="60"/>
  <c r="BN44" i="60"/>
  <c r="BO44" i="60"/>
  <c r="BQ44" i="60"/>
  <c r="BN45" i="60"/>
  <c r="BO45" i="60"/>
  <c r="BQ45" i="60"/>
  <c r="BN46" i="60"/>
  <c r="BO46" i="60"/>
  <c r="BQ46" i="60"/>
  <c r="BN47" i="60"/>
  <c r="BO47" i="60"/>
  <c r="BQ47" i="60"/>
  <c r="BN48" i="60"/>
  <c r="BO48" i="60"/>
  <c r="BQ48" i="60"/>
  <c r="BN49" i="60"/>
  <c r="BO49" i="60"/>
  <c r="BQ49" i="60"/>
  <c r="BN50" i="60"/>
  <c r="BO50" i="60"/>
  <c r="BQ50" i="60"/>
  <c r="BN51" i="60"/>
  <c r="BO51" i="60"/>
  <c r="BQ51" i="60"/>
  <c r="BN52" i="60"/>
  <c r="BO52" i="60"/>
  <c r="BQ52" i="60"/>
  <c r="BN53" i="60"/>
  <c r="BO53" i="60"/>
  <c r="BQ53" i="60"/>
  <c r="BN54" i="60"/>
  <c r="BO54" i="60"/>
  <c r="BP54" i="60" s="1"/>
  <c r="BQ54" i="60"/>
  <c r="BN55" i="60"/>
  <c r="BO55" i="60"/>
  <c r="BQ55" i="60"/>
  <c r="BN56" i="60"/>
  <c r="BO56" i="60"/>
  <c r="BQ56" i="60"/>
  <c r="BN57" i="60"/>
  <c r="BO57" i="60"/>
  <c r="BQ57" i="60"/>
  <c r="BN58" i="60"/>
  <c r="BO58" i="60"/>
  <c r="BQ58" i="60"/>
  <c r="BN59" i="60"/>
  <c r="BO59" i="60"/>
  <c r="BQ59" i="60"/>
  <c r="BN60" i="60"/>
  <c r="BO60" i="60"/>
  <c r="BQ60" i="60"/>
  <c r="BN61" i="60"/>
  <c r="BO61" i="60"/>
  <c r="BQ61" i="60"/>
  <c r="BN62" i="60"/>
  <c r="BO62" i="60"/>
  <c r="BQ62" i="60"/>
  <c r="BN63" i="60"/>
  <c r="BO63" i="60"/>
  <c r="BQ63" i="60"/>
  <c r="BN64" i="60"/>
  <c r="BO64" i="60"/>
  <c r="BQ64" i="60"/>
  <c r="BN74" i="60"/>
  <c r="BO74" i="60"/>
  <c r="BQ74" i="60"/>
  <c r="BN75" i="60"/>
  <c r="BO75" i="60"/>
  <c r="BQ75" i="60"/>
  <c r="BN76" i="60"/>
  <c r="BO76" i="60"/>
  <c r="BQ76" i="60"/>
  <c r="BN77" i="60"/>
  <c r="BO77" i="60"/>
  <c r="BQ77" i="60"/>
  <c r="BN78" i="60"/>
  <c r="BO78" i="60"/>
  <c r="BQ78" i="60"/>
  <c r="BN79" i="60"/>
  <c r="BO79" i="60"/>
  <c r="BQ79" i="60"/>
  <c r="BN80" i="60"/>
  <c r="BO80" i="60"/>
  <c r="BQ80" i="60"/>
  <c r="BN81" i="60"/>
  <c r="BO81" i="60"/>
  <c r="BQ81" i="60"/>
  <c r="BN82" i="60"/>
  <c r="BO82" i="60"/>
  <c r="BQ82" i="60"/>
  <c r="BN83" i="60"/>
  <c r="BO83" i="60"/>
  <c r="BQ83" i="60"/>
  <c r="BN84" i="60"/>
  <c r="BO84" i="60"/>
  <c r="BQ84" i="60"/>
  <c r="BN85" i="60"/>
  <c r="BO85" i="60"/>
  <c r="BQ85" i="60"/>
  <c r="BN86" i="60"/>
  <c r="BO86" i="60"/>
  <c r="BQ86" i="60"/>
  <c r="BN87" i="60"/>
  <c r="BO87" i="60"/>
  <c r="BQ87" i="60"/>
  <c r="BN88" i="60"/>
  <c r="BO88" i="60"/>
  <c r="BQ88" i="60"/>
  <c r="BN89" i="60"/>
  <c r="BO89" i="60"/>
  <c r="BQ89" i="60"/>
  <c r="BN90" i="60"/>
  <c r="BO90" i="60"/>
  <c r="BQ90" i="60"/>
  <c r="BN91" i="60"/>
  <c r="BO91" i="60"/>
  <c r="BQ91" i="60"/>
  <c r="BN92" i="60"/>
  <c r="BO92" i="60"/>
  <c r="BQ92" i="60"/>
  <c r="BN93" i="60"/>
  <c r="BO93" i="60"/>
  <c r="BQ93" i="60"/>
  <c r="BN94" i="60"/>
  <c r="BO94" i="60"/>
  <c r="BQ94" i="60"/>
  <c r="BN95" i="60"/>
  <c r="BO95" i="60"/>
  <c r="BQ95" i="60"/>
  <c r="BN96" i="60"/>
  <c r="BO96" i="60"/>
  <c r="BQ96" i="60"/>
  <c r="BN97" i="60"/>
  <c r="BO97" i="60"/>
  <c r="BQ97" i="60"/>
  <c r="BN98" i="60"/>
  <c r="BO98" i="60"/>
  <c r="BQ98" i="60"/>
  <c r="BN99" i="60"/>
  <c r="BO99" i="60"/>
  <c r="BQ99" i="60"/>
  <c r="BN100" i="60"/>
  <c r="BO100" i="60"/>
  <c r="BQ100" i="60"/>
  <c r="BN101" i="60"/>
  <c r="BO101" i="60"/>
  <c r="BQ101" i="60"/>
  <c r="BN102" i="60"/>
  <c r="BO102" i="60"/>
  <c r="BQ102" i="60"/>
  <c r="BN103" i="60"/>
  <c r="BO103" i="60"/>
  <c r="BQ103" i="60"/>
  <c r="BN104" i="60"/>
  <c r="BO104" i="60"/>
  <c r="BQ104" i="60"/>
  <c r="BN105" i="60"/>
  <c r="BO105" i="60"/>
  <c r="BQ105" i="60"/>
  <c r="BN106" i="60"/>
  <c r="BO106" i="60"/>
  <c r="BQ106" i="60"/>
  <c r="BN107" i="60"/>
  <c r="BO107" i="60"/>
  <c r="BQ107" i="60"/>
  <c r="BN108" i="60"/>
  <c r="BO108" i="60"/>
  <c r="BQ108" i="60"/>
  <c r="BN109" i="60"/>
  <c r="BO109" i="60"/>
  <c r="BQ109" i="60"/>
  <c r="BN110" i="60"/>
  <c r="BO110" i="60"/>
  <c r="BQ110" i="60"/>
  <c r="BN111" i="60"/>
  <c r="BO111" i="60"/>
  <c r="BQ111" i="60"/>
  <c r="BN112" i="60"/>
  <c r="BO112" i="60"/>
  <c r="BQ112" i="60"/>
  <c r="BN113" i="60"/>
  <c r="BO113" i="60"/>
  <c r="BQ113" i="60"/>
  <c r="BN114" i="60"/>
  <c r="BO114" i="60"/>
  <c r="BQ114" i="60"/>
  <c r="BN115" i="60"/>
  <c r="BO115" i="60"/>
  <c r="BQ115" i="60"/>
  <c r="BN116" i="60"/>
  <c r="BO116" i="60"/>
  <c r="BQ116" i="60"/>
  <c r="BN117" i="60"/>
  <c r="BO117" i="60"/>
  <c r="BQ117" i="60"/>
  <c r="BN118" i="60"/>
  <c r="BO118" i="60"/>
  <c r="BQ118" i="60"/>
  <c r="BN119" i="60"/>
  <c r="BO119" i="60"/>
  <c r="BQ119" i="60"/>
  <c r="BN120" i="60"/>
  <c r="BO120" i="60"/>
  <c r="BQ120" i="60"/>
  <c r="BN121" i="60"/>
  <c r="BO121" i="60"/>
  <c r="BQ121" i="60"/>
  <c r="BN122" i="60"/>
  <c r="BO122" i="60"/>
  <c r="BQ122" i="60"/>
  <c r="BN123" i="60"/>
  <c r="BO123" i="60"/>
  <c r="BQ123" i="60"/>
  <c r="BN124" i="60"/>
  <c r="BO124" i="60"/>
  <c r="BQ124" i="60"/>
  <c r="AX3" i="60"/>
  <c r="AY3" i="60"/>
  <c r="AZ3" i="60"/>
  <c r="BB3" i="60" s="1"/>
  <c r="BC3" i="60"/>
  <c r="AX4" i="60"/>
  <c r="AY4" i="60"/>
  <c r="AZ4" i="60"/>
  <c r="BB4" i="60" s="1"/>
  <c r="BC4" i="60"/>
  <c r="AX5" i="60"/>
  <c r="AY5" i="60"/>
  <c r="AZ5" i="60"/>
  <c r="BB5" i="60" s="1"/>
  <c r="BC5" i="60"/>
  <c r="AX6" i="60"/>
  <c r="AY6" i="60"/>
  <c r="AZ6" i="60"/>
  <c r="BB6" i="60" s="1"/>
  <c r="BC6" i="60"/>
  <c r="AX7" i="60"/>
  <c r="AY7" i="60"/>
  <c r="AZ7" i="60"/>
  <c r="BB7" i="60" s="1"/>
  <c r="BC7" i="60"/>
  <c r="AX8" i="60"/>
  <c r="AY8" i="60"/>
  <c r="AZ8" i="60"/>
  <c r="BB8" i="60" s="1"/>
  <c r="BC8" i="60"/>
  <c r="AX9" i="60"/>
  <c r="AY9" i="60"/>
  <c r="AZ9" i="60"/>
  <c r="BB9" i="60" s="1"/>
  <c r="BC9" i="60"/>
  <c r="AX10" i="60"/>
  <c r="AY10" i="60"/>
  <c r="BA10" i="60" s="1"/>
  <c r="AZ10" i="60"/>
  <c r="BB10" i="60" s="1"/>
  <c r="BC10" i="60"/>
  <c r="AX11" i="60"/>
  <c r="AY11" i="60"/>
  <c r="AZ11" i="60"/>
  <c r="BB11" i="60" s="1"/>
  <c r="BC11" i="60"/>
  <c r="AX12" i="60"/>
  <c r="AY12" i="60"/>
  <c r="AZ12" i="60"/>
  <c r="BB12" i="60" s="1"/>
  <c r="BC12" i="60"/>
  <c r="AX13" i="60"/>
  <c r="AY13" i="60"/>
  <c r="AZ13" i="60"/>
  <c r="BB13" i="60" s="1"/>
  <c r="BC13" i="60"/>
  <c r="AX14" i="60"/>
  <c r="AY14" i="60"/>
  <c r="AZ14" i="60"/>
  <c r="BB14" i="60" s="1"/>
  <c r="BC14" i="60"/>
  <c r="AX15" i="60"/>
  <c r="AY15" i="60"/>
  <c r="AZ15" i="60"/>
  <c r="BB15" i="60"/>
  <c r="BC15" i="60"/>
  <c r="AX16" i="60"/>
  <c r="AY16" i="60"/>
  <c r="AZ16" i="60"/>
  <c r="BB16" i="60" s="1"/>
  <c r="BC16" i="60"/>
  <c r="AX17" i="60"/>
  <c r="AY17" i="60"/>
  <c r="BA17" i="60" s="1"/>
  <c r="AZ17" i="60"/>
  <c r="BB17" i="60" s="1"/>
  <c r="BC17" i="60"/>
  <c r="AX18" i="60"/>
  <c r="AY18" i="60"/>
  <c r="AZ18" i="60"/>
  <c r="BB18" i="60" s="1"/>
  <c r="BC18" i="60"/>
  <c r="AX19" i="60"/>
  <c r="AY19" i="60"/>
  <c r="AZ19" i="60"/>
  <c r="BB19" i="60" s="1"/>
  <c r="BC19" i="60"/>
  <c r="AX20" i="60"/>
  <c r="AY20" i="60"/>
  <c r="AZ20" i="60"/>
  <c r="BB20" i="60" s="1"/>
  <c r="BC20" i="60"/>
  <c r="AX21" i="60"/>
  <c r="AY21" i="60"/>
  <c r="AZ21" i="60"/>
  <c r="BB21" i="60" s="1"/>
  <c r="BC21" i="60"/>
  <c r="AX22" i="60"/>
  <c r="AY22" i="60"/>
  <c r="AZ22" i="60"/>
  <c r="BB22" i="60" s="1"/>
  <c r="BC22" i="60"/>
  <c r="AX23" i="60"/>
  <c r="AY23" i="60"/>
  <c r="AZ23" i="60"/>
  <c r="BB23" i="60" s="1"/>
  <c r="BC23" i="60"/>
  <c r="AX24" i="60"/>
  <c r="AY24" i="60"/>
  <c r="BA24" i="60" s="1"/>
  <c r="AZ24" i="60"/>
  <c r="BB24" i="60" s="1"/>
  <c r="BC24" i="60"/>
  <c r="AX25" i="60"/>
  <c r="AY25" i="60"/>
  <c r="AZ25" i="60"/>
  <c r="BB25" i="60" s="1"/>
  <c r="BC25" i="60"/>
  <c r="AX26" i="60"/>
  <c r="AY26" i="60"/>
  <c r="AZ26" i="60"/>
  <c r="BB26" i="60" s="1"/>
  <c r="BC26" i="60"/>
  <c r="AX27" i="60"/>
  <c r="AY27" i="60"/>
  <c r="AZ27" i="60"/>
  <c r="BB27" i="60" s="1"/>
  <c r="BC27" i="60"/>
  <c r="AX28" i="60"/>
  <c r="AY28" i="60"/>
  <c r="AZ28" i="60"/>
  <c r="BB28" i="60" s="1"/>
  <c r="BC28" i="60"/>
  <c r="AX29" i="60"/>
  <c r="AY29" i="60"/>
  <c r="AZ29" i="60"/>
  <c r="BB29" i="60" s="1"/>
  <c r="BC29" i="60"/>
  <c r="AX30" i="60"/>
  <c r="AY30" i="60"/>
  <c r="AZ30" i="60"/>
  <c r="BC30" i="60"/>
  <c r="AX31" i="60"/>
  <c r="AY31" i="60"/>
  <c r="AZ31" i="60"/>
  <c r="BB31" i="60" s="1"/>
  <c r="BC31" i="60"/>
  <c r="AX32" i="60"/>
  <c r="AY32" i="60"/>
  <c r="AZ32" i="60"/>
  <c r="BB32" i="60"/>
  <c r="BC32" i="60"/>
  <c r="AX33" i="60"/>
  <c r="AY33" i="60"/>
  <c r="AZ33" i="60"/>
  <c r="BB33" i="60" s="1"/>
  <c r="BC33" i="60"/>
  <c r="AX34" i="60"/>
  <c r="AY34" i="60"/>
  <c r="AZ34" i="60"/>
  <c r="BB34" i="60" s="1"/>
  <c r="BC34" i="60"/>
  <c r="AX35" i="60"/>
  <c r="AY35" i="60"/>
  <c r="AZ35" i="60"/>
  <c r="BB35" i="60" s="1"/>
  <c r="BC35" i="60"/>
  <c r="AX36" i="60"/>
  <c r="AY36" i="60"/>
  <c r="AZ36" i="60"/>
  <c r="BB36" i="60" s="1"/>
  <c r="BC36" i="60"/>
  <c r="AX37" i="60"/>
  <c r="AY37" i="60"/>
  <c r="AZ37" i="60"/>
  <c r="BB37" i="60" s="1"/>
  <c r="BC37" i="60"/>
  <c r="AX38" i="60"/>
  <c r="AY38" i="60"/>
  <c r="AZ38" i="60"/>
  <c r="BB38" i="60" s="1"/>
  <c r="BC38" i="60"/>
  <c r="AX39" i="60"/>
  <c r="AY39" i="60"/>
  <c r="AZ39" i="60"/>
  <c r="BB39" i="60" s="1"/>
  <c r="BC39" i="60"/>
  <c r="AX40" i="60"/>
  <c r="AY40" i="60"/>
  <c r="AZ40" i="60"/>
  <c r="BB40" i="60" s="1"/>
  <c r="BC40" i="60"/>
  <c r="AX41" i="60"/>
  <c r="AY41" i="60"/>
  <c r="AZ41" i="60"/>
  <c r="BB41" i="60" s="1"/>
  <c r="BC41" i="60"/>
  <c r="AX42" i="60"/>
  <c r="AY42" i="60"/>
  <c r="AZ42" i="60"/>
  <c r="BB42" i="60" s="1"/>
  <c r="BC42" i="60"/>
  <c r="AX43" i="60"/>
  <c r="AY43" i="60"/>
  <c r="AZ43" i="60"/>
  <c r="BB43" i="60" s="1"/>
  <c r="BC43" i="60"/>
  <c r="AX44" i="60"/>
  <c r="AY44" i="60"/>
  <c r="AZ44" i="60"/>
  <c r="BB44" i="60" s="1"/>
  <c r="BC44" i="60"/>
  <c r="AX45" i="60"/>
  <c r="AY45" i="60"/>
  <c r="AZ45" i="60"/>
  <c r="BB45" i="60" s="1"/>
  <c r="BC45" i="60"/>
  <c r="AX46" i="60"/>
  <c r="AY46" i="60"/>
  <c r="AZ46" i="60"/>
  <c r="BB46" i="60" s="1"/>
  <c r="BC46" i="60"/>
  <c r="AX47" i="60"/>
  <c r="AY47" i="60"/>
  <c r="AZ47" i="60"/>
  <c r="BB47" i="60" s="1"/>
  <c r="BC47" i="60"/>
  <c r="AX48" i="60"/>
  <c r="AY48" i="60"/>
  <c r="BA48" i="60" s="1"/>
  <c r="AZ48" i="60"/>
  <c r="BB48" i="60" s="1"/>
  <c r="BC48" i="60"/>
  <c r="AX49" i="60"/>
  <c r="AY49" i="60"/>
  <c r="AZ49" i="60"/>
  <c r="BB49" i="60" s="1"/>
  <c r="BC49" i="60"/>
  <c r="AX50" i="60"/>
  <c r="AY50" i="60"/>
  <c r="AZ50" i="60"/>
  <c r="BB50" i="60" s="1"/>
  <c r="BC50" i="60"/>
  <c r="AX51" i="60"/>
  <c r="AY51" i="60"/>
  <c r="AZ51" i="60"/>
  <c r="BB51" i="60" s="1"/>
  <c r="BC51" i="60"/>
  <c r="AX52" i="60"/>
  <c r="AY52" i="60"/>
  <c r="AZ52" i="60"/>
  <c r="BB52" i="60" s="1"/>
  <c r="BC52" i="60"/>
  <c r="AX53" i="60"/>
  <c r="AY53" i="60"/>
  <c r="AZ53" i="60"/>
  <c r="BB53" i="60" s="1"/>
  <c r="BC53" i="60"/>
  <c r="AX54" i="60"/>
  <c r="AY54" i="60"/>
  <c r="AZ54" i="60"/>
  <c r="BB54" i="60" s="1"/>
  <c r="BC54" i="60"/>
  <c r="AX55" i="60"/>
  <c r="AY55" i="60"/>
  <c r="AZ55" i="60"/>
  <c r="BB55" i="60" s="1"/>
  <c r="BC55" i="60"/>
  <c r="AX56" i="60"/>
  <c r="AY56" i="60"/>
  <c r="AZ56" i="60"/>
  <c r="BB56" i="60" s="1"/>
  <c r="BC56" i="60"/>
  <c r="AX57" i="60"/>
  <c r="AY57" i="60"/>
  <c r="AZ57" i="60"/>
  <c r="BC57" i="60"/>
  <c r="AX58" i="60"/>
  <c r="AY58" i="60"/>
  <c r="AZ58" i="60"/>
  <c r="BB58" i="60" s="1"/>
  <c r="BC58" i="60"/>
  <c r="AX59" i="60"/>
  <c r="AY59" i="60"/>
  <c r="AZ59" i="60"/>
  <c r="BB59" i="60" s="1"/>
  <c r="BC59" i="60"/>
  <c r="AX60" i="60"/>
  <c r="AY60" i="60"/>
  <c r="AZ60" i="60"/>
  <c r="BB60" i="60" s="1"/>
  <c r="BC60" i="60"/>
  <c r="AX61" i="60"/>
  <c r="AY61" i="60"/>
  <c r="AZ61" i="60"/>
  <c r="BB61" i="60" s="1"/>
  <c r="BC61" i="60"/>
  <c r="AX62" i="60"/>
  <c r="AY62" i="60"/>
  <c r="AZ62" i="60"/>
  <c r="BB62" i="60" s="1"/>
  <c r="BC62" i="60"/>
  <c r="AX63" i="60"/>
  <c r="AY63" i="60"/>
  <c r="AZ63" i="60"/>
  <c r="BB63" i="60" s="1"/>
  <c r="BC63" i="60"/>
  <c r="AX64" i="60"/>
  <c r="AY64" i="60"/>
  <c r="AZ64" i="60"/>
  <c r="BB64" i="60" s="1"/>
  <c r="BC64" i="60"/>
  <c r="AX65" i="60"/>
  <c r="AY65" i="60"/>
  <c r="AZ65" i="60"/>
  <c r="BB65" i="60" s="1"/>
  <c r="BC65" i="60"/>
  <c r="AX66" i="60"/>
  <c r="AY66" i="60"/>
  <c r="AZ66" i="60"/>
  <c r="BB66" i="60" s="1"/>
  <c r="BC66" i="60"/>
  <c r="AX67" i="60"/>
  <c r="AY67" i="60"/>
  <c r="AZ67" i="60"/>
  <c r="BB67" i="60" s="1"/>
  <c r="BC67" i="60"/>
  <c r="AX68" i="60"/>
  <c r="AY68" i="60"/>
  <c r="AZ68" i="60"/>
  <c r="BB68" i="60" s="1"/>
  <c r="BC68" i="60"/>
  <c r="AX69" i="60"/>
  <c r="AY69" i="60"/>
  <c r="AZ69" i="60"/>
  <c r="BB69" i="60" s="1"/>
  <c r="BC69" i="60"/>
  <c r="AX70" i="60"/>
  <c r="AY70" i="60"/>
  <c r="AZ70" i="60"/>
  <c r="BB70" i="60" s="1"/>
  <c r="BC70" i="60"/>
  <c r="AX71" i="60"/>
  <c r="AY71" i="60"/>
  <c r="AZ71" i="60"/>
  <c r="BB71" i="60" s="1"/>
  <c r="BC71" i="60"/>
  <c r="AX72" i="60"/>
  <c r="AY72" i="60"/>
  <c r="AZ72" i="60"/>
  <c r="BB72" i="60" s="1"/>
  <c r="BC72" i="60"/>
  <c r="AX73" i="60"/>
  <c r="AY73" i="60"/>
  <c r="AZ73" i="60"/>
  <c r="BB73" i="60" s="1"/>
  <c r="BC73" i="60"/>
  <c r="AX74" i="60"/>
  <c r="AY74" i="60"/>
  <c r="AZ74" i="60"/>
  <c r="BB74" i="60" s="1"/>
  <c r="BC74" i="60"/>
  <c r="AX75" i="60"/>
  <c r="AY75" i="60"/>
  <c r="AZ75" i="60"/>
  <c r="BB75" i="60" s="1"/>
  <c r="BC75" i="60"/>
  <c r="AX76" i="60"/>
  <c r="AY76" i="60"/>
  <c r="AZ76" i="60"/>
  <c r="BB76" i="60" s="1"/>
  <c r="BC76" i="60"/>
  <c r="AX77" i="60"/>
  <c r="AY77" i="60"/>
  <c r="AZ77" i="60"/>
  <c r="BB77" i="60" s="1"/>
  <c r="BC77" i="60"/>
  <c r="AX78" i="60"/>
  <c r="AY78" i="60"/>
  <c r="AZ78" i="60"/>
  <c r="BB78" i="60" s="1"/>
  <c r="BC78" i="60"/>
  <c r="AX79" i="60"/>
  <c r="AY79" i="60"/>
  <c r="AZ79" i="60"/>
  <c r="BB79" i="60" s="1"/>
  <c r="BC79" i="60"/>
  <c r="AX80" i="60"/>
  <c r="AY80" i="60"/>
  <c r="AZ80" i="60"/>
  <c r="BB80" i="60" s="1"/>
  <c r="BC80" i="60"/>
  <c r="AX81" i="60"/>
  <c r="AY81" i="60"/>
  <c r="AZ81" i="60"/>
  <c r="BB81" i="60" s="1"/>
  <c r="BC81" i="60"/>
  <c r="AX82" i="60"/>
  <c r="AY82" i="60"/>
  <c r="AZ82" i="60"/>
  <c r="BB82" i="60" s="1"/>
  <c r="BC82" i="60"/>
  <c r="AX83" i="60"/>
  <c r="AY83" i="60"/>
  <c r="AZ83" i="60"/>
  <c r="BB83" i="60" s="1"/>
  <c r="BC83" i="60"/>
  <c r="AX84" i="60"/>
  <c r="AY84" i="60"/>
  <c r="AZ84" i="60"/>
  <c r="BB84" i="60" s="1"/>
  <c r="BC84" i="60"/>
  <c r="AX85" i="60"/>
  <c r="AY85" i="60"/>
  <c r="AZ85" i="60"/>
  <c r="BB85" i="60" s="1"/>
  <c r="BC85" i="60"/>
  <c r="AX86" i="60"/>
  <c r="AY86" i="60"/>
  <c r="AZ86" i="60"/>
  <c r="BB86" i="60" s="1"/>
  <c r="BC86" i="60"/>
  <c r="AX87" i="60"/>
  <c r="AY87" i="60"/>
  <c r="AZ87" i="60"/>
  <c r="BB87" i="60" s="1"/>
  <c r="BC87" i="60"/>
  <c r="AX88" i="60"/>
  <c r="AY88" i="60"/>
  <c r="AZ88" i="60"/>
  <c r="BB88" i="60" s="1"/>
  <c r="BC88" i="60"/>
  <c r="AX89" i="60"/>
  <c r="AY89" i="60"/>
  <c r="AZ89" i="60"/>
  <c r="BB89" i="60" s="1"/>
  <c r="BC89" i="60"/>
  <c r="AX90" i="60"/>
  <c r="AY90" i="60"/>
  <c r="AZ90" i="60"/>
  <c r="BB90" i="60" s="1"/>
  <c r="BC90" i="60"/>
  <c r="AX91" i="60"/>
  <c r="AY91" i="60"/>
  <c r="AZ91" i="60"/>
  <c r="BB91" i="60" s="1"/>
  <c r="BC91" i="60"/>
  <c r="AX92" i="60"/>
  <c r="AY92" i="60"/>
  <c r="AZ92" i="60"/>
  <c r="BB92" i="60" s="1"/>
  <c r="BC92" i="60"/>
  <c r="AX93" i="60"/>
  <c r="AY93" i="60"/>
  <c r="AZ93" i="60"/>
  <c r="BA93" i="60" s="1"/>
  <c r="BB93" i="60"/>
  <c r="BC93" i="60"/>
  <c r="AX94" i="60"/>
  <c r="AY94" i="60"/>
  <c r="AZ94" i="60"/>
  <c r="BB94" i="60" s="1"/>
  <c r="BC94" i="60"/>
  <c r="AX95" i="60"/>
  <c r="AY95" i="60"/>
  <c r="AZ95" i="60"/>
  <c r="BB95" i="60" s="1"/>
  <c r="BC95" i="60"/>
  <c r="AX96" i="60"/>
  <c r="AY96" i="60"/>
  <c r="AZ96" i="60"/>
  <c r="BB96" i="60" s="1"/>
  <c r="BC96" i="60"/>
  <c r="AX97" i="60"/>
  <c r="AY97" i="60"/>
  <c r="AZ97" i="60"/>
  <c r="BB97" i="60" s="1"/>
  <c r="BC97" i="60"/>
  <c r="AX98" i="60"/>
  <c r="AY98" i="60"/>
  <c r="AZ98" i="60"/>
  <c r="BB98" i="60" s="1"/>
  <c r="BC98" i="60"/>
  <c r="AX99" i="60"/>
  <c r="AY99" i="60"/>
  <c r="AZ99" i="60"/>
  <c r="BB99" i="60" s="1"/>
  <c r="BC99" i="60"/>
  <c r="AX100" i="60"/>
  <c r="AY100" i="60"/>
  <c r="AZ100" i="60"/>
  <c r="BB100" i="60" s="1"/>
  <c r="BC100" i="60"/>
  <c r="AX101" i="60"/>
  <c r="AY101" i="60"/>
  <c r="AZ101" i="60"/>
  <c r="BB101" i="60" s="1"/>
  <c r="BC101" i="60"/>
  <c r="AX102" i="60"/>
  <c r="AY102" i="60"/>
  <c r="AZ102" i="60"/>
  <c r="BB102" i="60" s="1"/>
  <c r="BC102" i="60"/>
  <c r="AX103" i="60"/>
  <c r="AY103" i="60"/>
  <c r="AZ103" i="60"/>
  <c r="BB103" i="60" s="1"/>
  <c r="BC103" i="60"/>
  <c r="AX104" i="60"/>
  <c r="AY104" i="60"/>
  <c r="AZ104" i="60"/>
  <c r="BB104" i="60" s="1"/>
  <c r="BC104" i="60"/>
  <c r="AX105" i="60"/>
  <c r="AY105" i="60"/>
  <c r="AZ105" i="60"/>
  <c r="BB105" i="60" s="1"/>
  <c r="BC105" i="60"/>
  <c r="AX106" i="60"/>
  <c r="AY106" i="60"/>
  <c r="AZ106" i="60"/>
  <c r="BB106" i="60" s="1"/>
  <c r="BC106" i="60"/>
  <c r="AX107" i="60"/>
  <c r="AY107" i="60"/>
  <c r="AZ107" i="60"/>
  <c r="BB107" i="60" s="1"/>
  <c r="BC107" i="60"/>
  <c r="AX108" i="60"/>
  <c r="AY108" i="60"/>
  <c r="AZ108" i="60"/>
  <c r="BB108" i="60" s="1"/>
  <c r="BC108" i="60"/>
  <c r="AX109" i="60"/>
  <c r="AY109" i="60"/>
  <c r="AZ109" i="60"/>
  <c r="BB109" i="60" s="1"/>
  <c r="BC109" i="60"/>
  <c r="AX110" i="60"/>
  <c r="AY110" i="60"/>
  <c r="AZ110" i="60"/>
  <c r="BB110" i="60" s="1"/>
  <c r="BC110" i="60"/>
  <c r="AX111" i="60"/>
  <c r="AY111" i="60"/>
  <c r="AZ111" i="60"/>
  <c r="BB111" i="60" s="1"/>
  <c r="BC111" i="60"/>
  <c r="AX112" i="60"/>
  <c r="AY112" i="60"/>
  <c r="AZ112" i="60"/>
  <c r="BB112" i="60" s="1"/>
  <c r="BC112" i="60"/>
  <c r="AX113" i="60"/>
  <c r="AY113" i="60"/>
  <c r="AZ113" i="60"/>
  <c r="BB113" i="60" s="1"/>
  <c r="BC113" i="60"/>
  <c r="AX114" i="60"/>
  <c r="AY114" i="60"/>
  <c r="AZ114" i="60"/>
  <c r="BB114" i="60" s="1"/>
  <c r="BC114" i="60"/>
  <c r="AX115" i="60"/>
  <c r="AY115" i="60"/>
  <c r="AZ115" i="60"/>
  <c r="BB115" i="60" s="1"/>
  <c r="BC115" i="60"/>
  <c r="AX116" i="60"/>
  <c r="AY116" i="60"/>
  <c r="AZ116" i="60"/>
  <c r="BB116" i="60" s="1"/>
  <c r="BC116" i="60"/>
  <c r="AX117" i="60"/>
  <c r="AY117" i="60"/>
  <c r="AZ117" i="60"/>
  <c r="BB117" i="60" s="1"/>
  <c r="BC117" i="60"/>
  <c r="AX118" i="60"/>
  <c r="AY118" i="60"/>
  <c r="AZ118" i="60"/>
  <c r="BB118" i="60" s="1"/>
  <c r="BC118" i="60"/>
  <c r="AX119" i="60"/>
  <c r="AY119" i="60"/>
  <c r="AZ119" i="60"/>
  <c r="BB119" i="60" s="1"/>
  <c r="BC119" i="60"/>
  <c r="AX120" i="60"/>
  <c r="AY120" i="60"/>
  <c r="BA120" i="60" s="1"/>
  <c r="AZ120" i="60"/>
  <c r="BB120" i="60" s="1"/>
  <c r="BC120" i="60"/>
  <c r="AX121" i="60"/>
  <c r="AY121" i="60"/>
  <c r="AZ121" i="60"/>
  <c r="BB121" i="60" s="1"/>
  <c r="BC121" i="60"/>
  <c r="AX122" i="60"/>
  <c r="AY122" i="60"/>
  <c r="AZ122" i="60"/>
  <c r="BB122" i="60" s="1"/>
  <c r="BC122" i="60"/>
  <c r="AX123" i="60"/>
  <c r="AY123" i="60"/>
  <c r="AZ123" i="60"/>
  <c r="BB123" i="60" s="1"/>
  <c r="BC123" i="60"/>
  <c r="AX124" i="60"/>
  <c r="AY124" i="60"/>
  <c r="AZ124" i="60"/>
  <c r="BB124" i="60" s="1"/>
  <c r="BC124" i="60"/>
  <c r="AX125" i="60"/>
  <c r="AY125" i="60"/>
  <c r="AZ125" i="60"/>
  <c r="BB125" i="60" s="1"/>
  <c r="BC125" i="60"/>
  <c r="AX126" i="60"/>
  <c r="AY126" i="60"/>
  <c r="AZ126" i="60"/>
  <c r="BB126" i="60" s="1"/>
  <c r="BC126" i="60"/>
  <c r="AX127" i="60"/>
  <c r="AY127" i="60"/>
  <c r="AZ127" i="60"/>
  <c r="BB127" i="60" s="1"/>
  <c r="BC127" i="60"/>
  <c r="AX128" i="60"/>
  <c r="AY128" i="60"/>
  <c r="AZ128" i="60"/>
  <c r="BB128" i="60" s="1"/>
  <c r="BC128" i="60"/>
  <c r="AX129" i="60"/>
  <c r="AY129" i="60"/>
  <c r="AZ129" i="60"/>
  <c r="BB129" i="60" s="1"/>
  <c r="BC129" i="60"/>
  <c r="AX130" i="60"/>
  <c r="AY130" i="60"/>
  <c r="AZ130" i="60"/>
  <c r="BB130" i="60" s="1"/>
  <c r="BC130" i="60"/>
  <c r="AX131" i="60"/>
  <c r="AY131" i="60"/>
  <c r="AZ131" i="60"/>
  <c r="BB131" i="60" s="1"/>
  <c r="BC131" i="60"/>
  <c r="AX132" i="60"/>
  <c r="AY132" i="60"/>
  <c r="AZ132" i="60"/>
  <c r="BB132" i="60" s="1"/>
  <c r="BC132" i="60"/>
  <c r="AX133" i="60"/>
  <c r="AY133" i="60"/>
  <c r="AZ133" i="60"/>
  <c r="BB133" i="60" s="1"/>
  <c r="BC133" i="60"/>
  <c r="AX134" i="60"/>
  <c r="AY134" i="60"/>
  <c r="AZ134" i="60"/>
  <c r="BB134" i="60" s="1"/>
  <c r="BC134" i="60"/>
  <c r="AX135" i="60"/>
  <c r="AY135" i="60"/>
  <c r="AZ135" i="60"/>
  <c r="BB135" i="60" s="1"/>
  <c r="BC135" i="60"/>
  <c r="AX136" i="60"/>
  <c r="AY136" i="60"/>
  <c r="AZ136" i="60"/>
  <c r="BB136" i="60" s="1"/>
  <c r="BC136" i="60"/>
  <c r="AX137" i="60"/>
  <c r="AY137" i="60"/>
  <c r="AZ137" i="60"/>
  <c r="BB137" i="60" s="1"/>
  <c r="BC137" i="60"/>
  <c r="AX138" i="60"/>
  <c r="AY138" i="60"/>
  <c r="AZ138" i="60"/>
  <c r="BB138" i="60"/>
  <c r="BC138" i="60"/>
  <c r="AX139" i="60"/>
  <c r="AY139" i="60"/>
  <c r="AZ139" i="60"/>
  <c r="BB139" i="60" s="1"/>
  <c r="BC139" i="60"/>
  <c r="AX140" i="60"/>
  <c r="AY140" i="60"/>
  <c r="AZ140" i="60"/>
  <c r="BB140" i="60" s="1"/>
  <c r="BC140" i="60"/>
  <c r="AX141" i="60"/>
  <c r="AY141" i="60"/>
  <c r="AZ141" i="60"/>
  <c r="BB141" i="60" s="1"/>
  <c r="BC141" i="60"/>
  <c r="AX142" i="60"/>
  <c r="AY142" i="60"/>
  <c r="AZ142" i="60"/>
  <c r="BB142" i="60" s="1"/>
  <c r="BC142" i="60"/>
  <c r="AX143" i="60"/>
  <c r="AY143" i="60"/>
  <c r="AZ143" i="60"/>
  <c r="BB143" i="60" s="1"/>
  <c r="BC143" i="60"/>
  <c r="AX144" i="60"/>
  <c r="AY144" i="60"/>
  <c r="AZ144" i="60"/>
  <c r="BB144" i="60" s="1"/>
  <c r="BC144" i="60"/>
  <c r="AX145" i="60"/>
  <c r="AY145" i="60"/>
  <c r="AZ145" i="60"/>
  <c r="BB145" i="60" s="1"/>
  <c r="BC145" i="60"/>
  <c r="AX146" i="60"/>
  <c r="AY146" i="60"/>
  <c r="AZ146" i="60"/>
  <c r="BB146" i="60" s="1"/>
  <c r="BC146" i="60"/>
  <c r="AX147" i="60"/>
  <c r="AY147" i="60"/>
  <c r="AZ147" i="60"/>
  <c r="BB147" i="60" s="1"/>
  <c r="BC147" i="60"/>
  <c r="AX148" i="60"/>
  <c r="AY148" i="60"/>
  <c r="AZ148" i="60"/>
  <c r="BB148" i="60" s="1"/>
  <c r="BC148" i="60"/>
  <c r="AX149" i="60"/>
  <c r="AY149" i="60"/>
  <c r="AZ149" i="60"/>
  <c r="BB149" i="60" s="1"/>
  <c r="BC149" i="60"/>
  <c r="AX150" i="60"/>
  <c r="AY150" i="60"/>
  <c r="AZ150" i="60"/>
  <c r="BB150" i="60" s="1"/>
  <c r="BC150" i="60"/>
  <c r="AX151" i="60"/>
  <c r="AY151" i="60"/>
  <c r="AZ151" i="60"/>
  <c r="BB151" i="60" s="1"/>
  <c r="BC151" i="60"/>
  <c r="AX152" i="60"/>
  <c r="AY152" i="60"/>
  <c r="AZ152" i="60"/>
  <c r="BC152" i="60"/>
  <c r="AX153" i="60"/>
  <c r="AY153" i="60"/>
  <c r="AZ153" i="60"/>
  <c r="BB153" i="60" s="1"/>
  <c r="BC153" i="60"/>
  <c r="AX154" i="60"/>
  <c r="AY154" i="60"/>
  <c r="AZ154" i="60"/>
  <c r="BB154" i="60" s="1"/>
  <c r="BC154" i="60"/>
  <c r="AX155" i="60"/>
  <c r="AY155" i="60"/>
  <c r="AZ155" i="60"/>
  <c r="BB155" i="60" s="1"/>
  <c r="BC155" i="60"/>
  <c r="AX156" i="60"/>
  <c r="AY156" i="60"/>
  <c r="AZ156" i="60"/>
  <c r="BB156" i="60" s="1"/>
  <c r="BC156" i="60"/>
  <c r="AX157" i="60"/>
  <c r="AY157" i="60"/>
  <c r="AZ157" i="60"/>
  <c r="BB157" i="60" s="1"/>
  <c r="BC157" i="60"/>
  <c r="AX158" i="60"/>
  <c r="AY158" i="60"/>
  <c r="AZ158" i="60"/>
  <c r="BA158" i="60" s="1"/>
  <c r="BC158" i="60"/>
  <c r="AX159" i="60"/>
  <c r="AY159" i="60"/>
  <c r="AZ159" i="60"/>
  <c r="BB159" i="60" s="1"/>
  <c r="BC159" i="60"/>
  <c r="AX160" i="60"/>
  <c r="AY160" i="60"/>
  <c r="AZ160" i="60"/>
  <c r="BB160" i="60" s="1"/>
  <c r="BC160" i="60"/>
  <c r="AX161" i="60"/>
  <c r="AY161" i="60"/>
  <c r="AZ161" i="60"/>
  <c r="BB161" i="60" s="1"/>
  <c r="BC161" i="60"/>
  <c r="AX162" i="60"/>
  <c r="AY162" i="60"/>
  <c r="AZ162" i="60"/>
  <c r="BB162" i="60" s="1"/>
  <c r="BC162" i="60"/>
  <c r="AX163" i="60"/>
  <c r="AY163" i="60"/>
  <c r="AZ163" i="60"/>
  <c r="BB163" i="60" s="1"/>
  <c r="BC163" i="60"/>
  <c r="AX164" i="60"/>
  <c r="AY164" i="60"/>
  <c r="AZ164" i="60"/>
  <c r="BB164" i="60" s="1"/>
  <c r="BC164" i="60"/>
  <c r="AX165" i="60"/>
  <c r="AY165" i="60"/>
  <c r="AZ165" i="60"/>
  <c r="BB165" i="60" s="1"/>
  <c r="BC165" i="60"/>
  <c r="AX166" i="60"/>
  <c r="AY166" i="60"/>
  <c r="AZ166" i="60"/>
  <c r="BB166" i="60" s="1"/>
  <c r="BC166" i="60"/>
  <c r="AX167" i="60"/>
  <c r="AY167" i="60"/>
  <c r="AZ167" i="60"/>
  <c r="BB167" i="60" s="1"/>
  <c r="BC167" i="60"/>
  <c r="AX168" i="60"/>
  <c r="AY168" i="60"/>
  <c r="AZ168" i="60"/>
  <c r="BB168" i="60" s="1"/>
  <c r="BC168" i="60"/>
  <c r="AX169" i="60"/>
  <c r="AY169" i="60"/>
  <c r="AZ169" i="60"/>
  <c r="BB169" i="60" s="1"/>
  <c r="BC169" i="60"/>
  <c r="AX170" i="60"/>
  <c r="AY170" i="60"/>
  <c r="AZ170" i="60"/>
  <c r="BC170" i="60"/>
  <c r="AX171" i="60"/>
  <c r="AY171" i="60"/>
  <c r="AZ171" i="60"/>
  <c r="BB171" i="60" s="1"/>
  <c r="BC171" i="60"/>
  <c r="AX172" i="60"/>
  <c r="AY172" i="60"/>
  <c r="AZ172" i="60"/>
  <c r="BB172" i="60" s="1"/>
  <c r="BC172" i="60"/>
  <c r="AX173" i="60"/>
  <c r="AY173" i="60"/>
  <c r="AZ173" i="60"/>
  <c r="BB173" i="60" s="1"/>
  <c r="BC173" i="60"/>
  <c r="AX174" i="60"/>
  <c r="AY174" i="60"/>
  <c r="AZ174" i="60"/>
  <c r="BB174" i="60" s="1"/>
  <c r="BC174" i="60"/>
  <c r="AX175" i="60"/>
  <c r="AY175" i="60"/>
  <c r="AZ175" i="60"/>
  <c r="BB175" i="60" s="1"/>
  <c r="BC175" i="60"/>
  <c r="AX176" i="60"/>
  <c r="AY176" i="60"/>
  <c r="AZ176" i="60"/>
  <c r="BA176" i="60" s="1"/>
  <c r="BB176" i="60"/>
  <c r="BC176" i="60"/>
  <c r="AX177" i="60"/>
  <c r="AY177" i="60"/>
  <c r="AZ177" i="60"/>
  <c r="BB177" i="60" s="1"/>
  <c r="BC177" i="60"/>
  <c r="AX178" i="60"/>
  <c r="AY178" i="60"/>
  <c r="AZ178" i="60"/>
  <c r="BB178" i="60" s="1"/>
  <c r="BC178" i="60"/>
  <c r="AX179" i="60"/>
  <c r="AY179" i="60"/>
  <c r="AZ179" i="60"/>
  <c r="BB179" i="60" s="1"/>
  <c r="BC179" i="60"/>
  <c r="AX180" i="60"/>
  <c r="AY180" i="60"/>
  <c r="AZ180" i="60"/>
  <c r="BB180" i="60" s="1"/>
  <c r="BC180" i="60"/>
  <c r="AX181" i="60"/>
  <c r="AY181" i="60"/>
  <c r="AZ181" i="60"/>
  <c r="BB181" i="60" s="1"/>
  <c r="BC181" i="60"/>
  <c r="AX182" i="60"/>
  <c r="AY182" i="60"/>
  <c r="AZ182" i="60"/>
  <c r="BB182" i="60" s="1"/>
  <c r="BC182" i="60"/>
  <c r="AX183" i="60"/>
  <c r="AY183" i="60"/>
  <c r="AZ183" i="60"/>
  <c r="BA183" i="60" s="1"/>
  <c r="BC183" i="60"/>
  <c r="AX184" i="60"/>
  <c r="AY184" i="60"/>
  <c r="AZ184" i="60"/>
  <c r="BB184" i="60" s="1"/>
  <c r="BC184" i="60"/>
  <c r="AX185" i="60"/>
  <c r="AY185" i="60"/>
  <c r="AZ185" i="60"/>
  <c r="BB185" i="60" s="1"/>
  <c r="BC185" i="60"/>
  <c r="AX186" i="60"/>
  <c r="AY186" i="60"/>
  <c r="AZ186" i="60"/>
  <c r="BB186" i="60" s="1"/>
  <c r="BC186" i="60"/>
  <c r="AX187" i="60"/>
  <c r="AY187" i="60"/>
  <c r="AZ187" i="60"/>
  <c r="BB187" i="60" s="1"/>
  <c r="BC187" i="60"/>
  <c r="AX188" i="60"/>
  <c r="AY188" i="60"/>
  <c r="AZ188" i="60"/>
  <c r="BB188" i="60" s="1"/>
  <c r="BC188" i="60"/>
  <c r="AX189" i="60"/>
  <c r="AY189" i="60"/>
  <c r="AZ189" i="60"/>
  <c r="BB189" i="60" s="1"/>
  <c r="BC189" i="60"/>
  <c r="AX190" i="60"/>
  <c r="AY190" i="60"/>
  <c r="AZ190" i="60"/>
  <c r="BB190" i="60" s="1"/>
  <c r="BC190" i="60"/>
  <c r="AX191" i="60"/>
  <c r="AY191" i="60"/>
  <c r="AZ191" i="60"/>
  <c r="BB191" i="60" s="1"/>
  <c r="BC191" i="60"/>
  <c r="AX192" i="60"/>
  <c r="AY192" i="60"/>
  <c r="AZ192" i="60"/>
  <c r="BB192" i="60" s="1"/>
  <c r="BC192" i="60"/>
  <c r="AX193" i="60"/>
  <c r="AY193" i="60"/>
  <c r="AZ193" i="60"/>
  <c r="BB193" i="60" s="1"/>
  <c r="BC193" i="60"/>
  <c r="AX194" i="60"/>
  <c r="AY194" i="60"/>
  <c r="AZ194" i="60"/>
  <c r="BB194" i="60" s="1"/>
  <c r="BC194" i="60"/>
  <c r="AX195" i="60"/>
  <c r="AY195" i="60"/>
  <c r="AZ195" i="60"/>
  <c r="BB195" i="60" s="1"/>
  <c r="BC195" i="60"/>
  <c r="AX196" i="60"/>
  <c r="AY196" i="60"/>
  <c r="AZ196" i="60"/>
  <c r="BB196" i="60" s="1"/>
  <c r="BC196" i="60"/>
  <c r="AX197" i="60"/>
  <c r="AY197" i="60"/>
  <c r="AZ197" i="60"/>
  <c r="BB197" i="60" s="1"/>
  <c r="BC197" i="60"/>
  <c r="AX198" i="60"/>
  <c r="AY198" i="60"/>
  <c r="AZ198" i="60"/>
  <c r="BB198" i="60" s="1"/>
  <c r="BC198" i="60"/>
  <c r="AX199" i="60"/>
  <c r="AY199" i="60"/>
  <c r="AZ199" i="60"/>
  <c r="BB199" i="60" s="1"/>
  <c r="BC199" i="60"/>
  <c r="AX200" i="60"/>
  <c r="AY200" i="60"/>
  <c r="AZ200" i="60"/>
  <c r="BB200" i="60" s="1"/>
  <c r="BC200" i="60"/>
  <c r="AX201" i="60"/>
  <c r="AY201" i="60"/>
  <c r="AZ201" i="60"/>
  <c r="BB201" i="60" s="1"/>
  <c r="BC201" i="60"/>
  <c r="AX202" i="60"/>
  <c r="AY202" i="60"/>
  <c r="AZ202" i="60"/>
  <c r="BB202" i="60" s="1"/>
  <c r="BC202" i="60"/>
  <c r="AX203" i="60"/>
  <c r="AY203" i="60"/>
  <c r="AZ203" i="60"/>
  <c r="BB203" i="60" s="1"/>
  <c r="BC203" i="60"/>
  <c r="AX204" i="60"/>
  <c r="AY204" i="60"/>
  <c r="AZ204" i="60"/>
  <c r="BB204" i="60" s="1"/>
  <c r="BC204" i="60"/>
  <c r="AX205" i="60"/>
  <c r="AY205" i="60"/>
  <c r="AZ205" i="60"/>
  <c r="BB205" i="60" s="1"/>
  <c r="BC205" i="60"/>
  <c r="AX206" i="60"/>
  <c r="AY206" i="60"/>
  <c r="AZ206" i="60"/>
  <c r="BB206" i="60" s="1"/>
  <c r="BC206" i="60"/>
  <c r="AX207" i="60"/>
  <c r="AY207" i="60"/>
  <c r="AZ207" i="60"/>
  <c r="BB207" i="60" s="1"/>
  <c r="BC207" i="60"/>
  <c r="AX208" i="60"/>
  <c r="AY208" i="60"/>
  <c r="AZ208" i="60"/>
  <c r="BB208" i="60" s="1"/>
  <c r="BC208" i="60"/>
  <c r="AX209" i="60"/>
  <c r="AY209" i="60"/>
  <c r="AZ209" i="60"/>
  <c r="BB209" i="60" s="1"/>
  <c r="BC209" i="60"/>
  <c r="AX210" i="60"/>
  <c r="AY210" i="60"/>
  <c r="AZ210" i="60"/>
  <c r="BB210" i="60" s="1"/>
  <c r="BC210" i="60"/>
  <c r="AX211" i="60"/>
  <c r="AY211" i="60"/>
  <c r="AZ211" i="60"/>
  <c r="BB211" i="60" s="1"/>
  <c r="BC211" i="60"/>
  <c r="AX212" i="60"/>
  <c r="AY212" i="60"/>
  <c r="AZ212" i="60"/>
  <c r="BB212" i="60" s="1"/>
  <c r="BC212" i="60"/>
  <c r="AX213" i="60"/>
  <c r="AY213" i="60"/>
  <c r="AZ213" i="60"/>
  <c r="BB213" i="60" s="1"/>
  <c r="BC213" i="60"/>
  <c r="AX214" i="60"/>
  <c r="AY214" i="60"/>
  <c r="AZ214" i="60"/>
  <c r="BB214" i="60" s="1"/>
  <c r="BC214" i="60"/>
  <c r="AX215" i="60"/>
  <c r="AY215" i="60"/>
  <c r="AZ215" i="60"/>
  <c r="BB215" i="60" s="1"/>
  <c r="BC215" i="60"/>
  <c r="AX216" i="60"/>
  <c r="AY216" i="60"/>
  <c r="AZ216" i="60"/>
  <c r="BB216" i="60" s="1"/>
  <c r="BC216" i="60"/>
  <c r="AX217" i="60"/>
  <c r="AY217" i="60"/>
  <c r="AZ217" i="60"/>
  <c r="BB217" i="60" s="1"/>
  <c r="BC217" i="60"/>
  <c r="AX218" i="60"/>
  <c r="AY218" i="60"/>
  <c r="AZ218" i="60"/>
  <c r="BB218" i="60" s="1"/>
  <c r="BC218" i="60"/>
  <c r="AX219" i="60"/>
  <c r="AY219" i="60"/>
  <c r="AZ219" i="60"/>
  <c r="BA219" i="60" s="1"/>
  <c r="BC219" i="60"/>
  <c r="AX220" i="60"/>
  <c r="AY220" i="60"/>
  <c r="AZ220" i="60"/>
  <c r="BB220" i="60" s="1"/>
  <c r="BC220" i="60"/>
  <c r="AX221" i="60"/>
  <c r="AY221" i="60"/>
  <c r="AZ221" i="60"/>
  <c r="BB221" i="60" s="1"/>
  <c r="BC221" i="60"/>
  <c r="AX222" i="60"/>
  <c r="AY222" i="60"/>
  <c r="AZ222" i="60"/>
  <c r="BB222" i="60" s="1"/>
  <c r="BC222" i="60"/>
  <c r="AX223" i="60"/>
  <c r="AY223" i="60"/>
  <c r="AZ223" i="60"/>
  <c r="BB223" i="60" s="1"/>
  <c r="BC223" i="60"/>
  <c r="AX224" i="60"/>
  <c r="AY224" i="60"/>
  <c r="AZ224" i="60"/>
  <c r="BB224" i="60" s="1"/>
  <c r="BC224" i="60"/>
  <c r="AX225" i="60"/>
  <c r="AY225" i="60"/>
  <c r="AZ225" i="60"/>
  <c r="BB225" i="60" s="1"/>
  <c r="BC225" i="60"/>
  <c r="AX226" i="60"/>
  <c r="AY226" i="60"/>
  <c r="AZ226" i="60"/>
  <c r="BB226" i="60" s="1"/>
  <c r="BC226" i="60"/>
  <c r="AX227" i="60"/>
  <c r="AY227" i="60"/>
  <c r="AZ227" i="60"/>
  <c r="BB227" i="60" s="1"/>
  <c r="BC227" i="60"/>
  <c r="AX228" i="60"/>
  <c r="AY228" i="60"/>
  <c r="AZ228" i="60"/>
  <c r="BB228" i="60" s="1"/>
  <c r="BC228" i="60"/>
  <c r="AX229" i="60"/>
  <c r="AY229" i="60"/>
  <c r="AZ229" i="60"/>
  <c r="BB229" i="60" s="1"/>
  <c r="BC229" i="60"/>
  <c r="AX230" i="60"/>
  <c r="AY230" i="60"/>
  <c r="AZ230" i="60"/>
  <c r="BB230" i="60" s="1"/>
  <c r="BC230" i="60"/>
  <c r="AX231" i="60"/>
  <c r="AY231" i="60"/>
  <c r="AZ231" i="60"/>
  <c r="BB231" i="60" s="1"/>
  <c r="BC231" i="60"/>
  <c r="AX232" i="60"/>
  <c r="AY232" i="60"/>
  <c r="AZ232" i="60"/>
  <c r="BB232" i="60" s="1"/>
  <c r="BC232" i="60"/>
  <c r="AX233" i="60"/>
  <c r="AY233" i="60"/>
  <c r="AZ233" i="60"/>
  <c r="BB233" i="60" s="1"/>
  <c r="BC233" i="60"/>
  <c r="AX234" i="60"/>
  <c r="AY234" i="60"/>
  <c r="AZ234" i="60"/>
  <c r="BB234" i="60" s="1"/>
  <c r="BC234" i="60"/>
  <c r="AX235" i="60"/>
  <c r="AY235" i="60"/>
  <c r="AZ235" i="60"/>
  <c r="BB235" i="60" s="1"/>
  <c r="BC235" i="60"/>
  <c r="AX236" i="60"/>
  <c r="AY236" i="60"/>
  <c r="AZ236" i="60"/>
  <c r="BB236" i="60" s="1"/>
  <c r="BC236" i="60"/>
  <c r="AX237" i="60"/>
  <c r="AY237" i="60"/>
  <c r="AZ237" i="60"/>
  <c r="BB237" i="60" s="1"/>
  <c r="BC237" i="60"/>
  <c r="AX238" i="60"/>
  <c r="AY238" i="60"/>
  <c r="AZ238" i="60"/>
  <c r="BB238" i="60" s="1"/>
  <c r="BC238" i="60"/>
  <c r="AX239" i="60"/>
  <c r="AY239" i="60"/>
  <c r="AZ239" i="60"/>
  <c r="BB239" i="60" s="1"/>
  <c r="BC239" i="60"/>
  <c r="AX240" i="60"/>
  <c r="AY240" i="60"/>
  <c r="AZ240" i="60"/>
  <c r="BB240" i="60" s="1"/>
  <c r="BC240" i="60"/>
  <c r="AX241" i="60"/>
  <c r="AY241" i="60"/>
  <c r="AZ241" i="60"/>
  <c r="BB241" i="60" s="1"/>
  <c r="BC241" i="60"/>
  <c r="AX242" i="60"/>
  <c r="AY242" i="60"/>
  <c r="AZ242" i="60"/>
  <c r="BB242" i="60" s="1"/>
  <c r="BC242" i="60"/>
  <c r="AX243" i="60"/>
  <c r="AY243" i="60"/>
  <c r="AZ243" i="60"/>
  <c r="BB243" i="60" s="1"/>
  <c r="BC243" i="60"/>
  <c r="AX244" i="60"/>
  <c r="AY244" i="60"/>
  <c r="AZ244" i="60"/>
  <c r="BB244" i="60" s="1"/>
  <c r="BC244" i="60"/>
  <c r="AX245" i="60"/>
  <c r="AY245" i="60"/>
  <c r="AZ245" i="60"/>
  <c r="BB245" i="60" s="1"/>
  <c r="BC245" i="60"/>
  <c r="AX246" i="60"/>
  <c r="AY246" i="60"/>
  <c r="AZ246" i="60"/>
  <c r="BB246" i="60" s="1"/>
  <c r="BC246" i="60"/>
  <c r="AX247" i="60"/>
  <c r="AY247" i="60"/>
  <c r="AZ247" i="60"/>
  <c r="BB247" i="60" s="1"/>
  <c r="BC247" i="60"/>
  <c r="AA3" i="13"/>
  <c r="AB3" i="13"/>
  <c r="AC3" i="13" s="1"/>
  <c r="AL3" i="13" s="1"/>
  <c r="AD3" i="13"/>
  <c r="AE3" i="13"/>
  <c r="AF3" i="13"/>
  <c r="AG3" i="13"/>
  <c r="AH3" i="13"/>
  <c r="AJ3" i="13" s="1"/>
  <c r="AK3" i="13" s="1"/>
  <c r="AI3" i="13"/>
  <c r="AM3" i="13"/>
  <c r="AA4" i="13"/>
  <c r="AB4" i="13"/>
  <c r="AC4" i="13" s="1"/>
  <c r="AL4" i="13" s="1"/>
  <c r="AD4" i="13"/>
  <c r="AE4" i="13"/>
  <c r="AF4" i="13"/>
  <c r="AG4" i="13"/>
  <c r="AH4" i="13"/>
  <c r="AJ4" i="13" s="1"/>
  <c r="AK4" i="13" s="1"/>
  <c r="AI4" i="13"/>
  <c r="AM4" i="13"/>
  <c r="AN4" i="13"/>
  <c r="AA5" i="13"/>
  <c r="AB5" i="13"/>
  <c r="AC5" i="13" s="1"/>
  <c r="AL5" i="13" s="1"/>
  <c r="AD5" i="13"/>
  <c r="AE5" i="13"/>
  <c r="AF5" i="13"/>
  <c r="AG5" i="13"/>
  <c r="AH5" i="13"/>
  <c r="AJ5" i="13" s="1"/>
  <c r="AK5" i="13" s="1"/>
  <c r="AI5" i="13"/>
  <c r="AM5" i="13"/>
  <c r="AA6" i="13"/>
  <c r="AB6" i="13"/>
  <c r="AC6" i="13" s="1"/>
  <c r="AL6" i="13" s="1"/>
  <c r="AD6" i="13"/>
  <c r="AE6" i="13"/>
  <c r="AF6" i="13"/>
  <c r="AG6" i="13"/>
  <c r="AH6" i="13"/>
  <c r="AJ6" i="13" s="1"/>
  <c r="AK6" i="13" s="1"/>
  <c r="AI6" i="13"/>
  <c r="AM6" i="13"/>
  <c r="AN6" i="13"/>
  <c r="AA7" i="13"/>
  <c r="AB7" i="13"/>
  <c r="AC7" i="13" s="1"/>
  <c r="AL7" i="13" s="1"/>
  <c r="AD7" i="13"/>
  <c r="AE7" i="13"/>
  <c r="AF7" i="13"/>
  <c r="AG7" i="13"/>
  <c r="AH7" i="13"/>
  <c r="AJ7" i="13" s="1"/>
  <c r="AK7" i="13" s="1"/>
  <c r="AI7" i="13"/>
  <c r="AM7" i="13"/>
  <c r="AA8" i="13"/>
  <c r="AB8" i="13"/>
  <c r="AC8" i="13" s="1"/>
  <c r="AL8" i="13" s="1"/>
  <c r="AD8" i="13"/>
  <c r="AE8" i="13"/>
  <c r="AF8" i="13"/>
  <c r="AG8" i="13"/>
  <c r="AH8" i="13"/>
  <c r="AJ8" i="13" s="1"/>
  <c r="AK8" i="13" s="1"/>
  <c r="AI8" i="13"/>
  <c r="AM8" i="13"/>
  <c r="AN8" i="13"/>
  <c r="AA9" i="13"/>
  <c r="AB9" i="13"/>
  <c r="AC9" i="13" s="1"/>
  <c r="AL9" i="13" s="1"/>
  <c r="AD9" i="13"/>
  <c r="AE9" i="13"/>
  <c r="AF9" i="13"/>
  <c r="AG9" i="13"/>
  <c r="AH9" i="13"/>
  <c r="AJ9" i="13" s="1"/>
  <c r="AK9" i="13" s="1"/>
  <c r="AI9" i="13"/>
  <c r="AM9" i="13"/>
  <c r="AA10" i="13"/>
  <c r="AB10" i="13"/>
  <c r="AC10" i="13" s="1"/>
  <c r="AL10" i="13" s="1"/>
  <c r="AD10" i="13"/>
  <c r="AE10" i="13"/>
  <c r="AF10" i="13"/>
  <c r="AG10" i="13"/>
  <c r="AH10" i="13"/>
  <c r="AJ10" i="13" s="1"/>
  <c r="AK10" i="13" s="1"/>
  <c r="AI10" i="13"/>
  <c r="AM10" i="13"/>
  <c r="AN10" i="13"/>
  <c r="AA11" i="13"/>
  <c r="AB11" i="13"/>
  <c r="AC11" i="13" s="1"/>
  <c r="AL11" i="13" s="1"/>
  <c r="AD11" i="13"/>
  <c r="AE11" i="13"/>
  <c r="AF11" i="13"/>
  <c r="AG11" i="13"/>
  <c r="AH11" i="13"/>
  <c r="AJ11" i="13" s="1"/>
  <c r="AK11" i="13" s="1"/>
  <c r="AI11" i="13"/>
  <c r="AM11" i="13"/>
  <c r="AA12" i="13"/>
  <c r="AB12" i="13"/>
  <c r="AC12" i="13" s="1"/>
  <c r="AL12" i="13" s="1"/>
  <c r="AD12" i="13"/>
  <c r="AE12" i="13"/>
  <c r="AF12" i="13"/>
  <c r="AG12" i="13"/>
  <c r="AH12" i="13"/>
  <c r="AJ12" i="13" s="1"/>
  <c r="AK12" i="13" s="1"/>
  <c r="AI12" i="13"/>
  <c r="AM12" i="13"/>
  <c r="AN12" i="13"/>
  <c r="AA13" i="13"/>
  <c r="AB13" i="13"/>
  <c r="AC13" i="13" s="1"/>
  <c r="AL13" i="13" s="1"/>
  <c r="AD13" i="13"/>
  <c r="AE13" i="13"/>
  <c r="AF13" i="13"/>
  <c r="AG13" i="13"/>
  <c r="AH13" i="13"/>
  <c r="AJ13" i="13" s="1"/>
  <c r="AK13" i="13" s="1"/>
  <c r="AI13" i="13"/>
  <c r="AM13" i="13"/>
  <c r="AA14" i="13"/>
  <c r="AB14" i="13" s="1"/>
  <c r="AC14" i="13" s="1"/>
  <c r="AL14" i="13" s="1"/>
  <c r="AD14" i="13"/>
  <c r="AE14" i="13"/>
  <c r="AF14" i="13"/>
  <c r="AG14" i="13"/>
  <c r="AH14" i="13"/>
  <c r="AI14" i="13"/>
  <c r="AM14" i="13"/>
  <c r="AA15" i="13"/>
  <c r="AB15" i="13" s="1"/>
  <c r="AC15" i="13" s="1"/>
  <c r="AL15" i="13" s="1"/>
  <c r="AD15" i="13"/>
  <c r="AE15" i="13"/>
  <c r="AF15" i="13"/>
  <c r="AG15" i="13"/>
  <c r="AH15" i="13"/>
  <c r="AI15" i="13"/>
  <c r="AM15" i="13"/>
  <c r="BN4" i="46"/>
  <c r="BO4" i="46" s="1"/>
  <c r="BP4" i="46" s="1"/>
  <c r="BN5" i="46"/>
  <c r="BO5" i="46"/>
  <c r="BN6" i="46"/>
  <c r="BO6" i="46" s="1"/>
  <c r="BP6" i="46" s="1"/>
  <c r="BR6" i="46" s="1"/>
  <c r="BN7" i="46"/>
  <c r="BO7" i="46"/>
  <c r="BN8" i="46"/>
  <c r="BO8" i="46"/>
  <c r="BN9" i="46"/>
  <c r="BO9" i="46" s="1"/>
  <c r="BP9" i="46" s="1"/>
  <c r="BR9" i="46" s="1"/>
  <c r="BN10" i="46"/>
  <c r="BO10" i="46"/>
  <c r="BN11" i="46"/>
  <c r="BO11" i="46" s="1"/>
  <c r="BP11" i="46" s="1"/>
  <c r="BR11" i="46" s="1"/>
  <c r="BN12" i="46"/>
  <c r="BO12" i="46"/>
  <c r="BN13" i="46"/>
  <c r="BO13" i="46" s="1"/>
  <c r="BP13" i="46" s="1"/>
  <c r="BR13" i="46" s="1"/>
  <c r="BN14" i="46"/>
  <c r="BO14" i="46"/>
  <c r="BN15" i="46"/>
  <c r="BO15" i="46"/>
  <c r="BN16" i="46"/>
  <c r="BO16" i="46" s="1"/>
  <c r="BP16" i="46" s="1"/>
  <c r="BR16" i="46" s="1"/>
  <c r="BN17" i="46"/>
  <c r="BO17" i="46"/>
  <c r="BN18" i="46"/>
  <c r="BO18" i="46" s="1"/>
  <c r="BN19" i="46"/>
  <c r="BO19" i="46"/>
  <c r="BN20" i="46"/>
  <c r="BO20" i="46" s="1"/>
  <c r="BP20" i="46" s="1"/>
  <c r="CO161" i="14" s="1"/>
  <c r="BN21" i="46"/>
  <c r="BO21" i="46"/>
  <c r="BN22" i="46"/>
  <c r="BO22" i="46"/>
  <c r="BN23" i="46"/>
  <c r="BO23" i="46" s="1"/>
  <c r="BN24" i="46"/>
  <c r="BO24" i="46"/>
  <c r="BN25" i="46"/>
  <c r="BO25" i="46" s="1"/>
  <c r="BN26" i="46"/>
  <c r="BO26" i="46"/>
  <c r="BN27" i="46"/>
  <c r="BO27" i="46" s="1"/>
  <c r="BN28" i="46"/>
  <c r="BO28" i="46"/>
  <c r="BN29" i="46"/>
  <c r="BO29" i="46"/>
  <c r="BN30" i="46"/>
  <c r="BO30" i="46" s="1"/>
  <c r="BN31" i="46"/>
  <c r="BO31" i="46"/>
  <c r="BN32" i="46"/>
  <c r="BO32" i="46" s="1"/>
  <c r="BP32" i="46" s="1"/>
  <c r="BN33" i="46"/>
  <c r="BO33" i="46"/>
  <c r="BN34" i="46"/>
  <c r="BO34" i="46" s="1"/>
  <c r="BP34" i="46" s="1"/>
  <c r="BR34" i="46" s="1"/>
  <c r="BN35" i="46"/>
  <c r="BO35" i="46"/>
  <c r="BN36" i="46"/>
  <c r="BO36" i="46"/>
  <c r="BN37" i="46"/>
  <c r="BO37" i="46" s="1"/>
  <c r="BP37" i="46" s="1"/>
  <c r="BN38" i="46"/>
  <c r="BO38" i="46"/>
  <c r="BN39" i="46"/>
  <c r="BO39" i="46" s="1"/>
  <c r="BP39" i="46" s="1"/>
  <c r="BR39" i="46" s="1"/>
  <c r="BN40" i="46"/>
  <c r="BO40" i="46"/>
  <c r="BN41" i="46"/>
  <c r="BO41" i="46" s="1"/>
  <c r="BP41" i="46" s="1"/>
  <c r="BR41" i="46" s="1"/>
  <c r="BN42" i="46"/>
  <c r="BO42" i="46"/>
  <c r="BN43" i="46"/>
  <c r="BO43" i="46"/>
  <c r="BN44" i="46"/>
  <c r="BO44" i="46" s="1"/>
  <c r="BP44" i="46" s="1"/>
  <c r="BN45" i="46"/>
  <c r="BO45" i="46"/>
  <c r="BN46" i="46"/>
  <c r="BO46" i="46" s="1"/>
  <c r="BP46" i="46" s="1"/>
  <c r="BN47" i="46"/>
  <c r="BO47" i="46"/>
  <c r="BN48" i="46"/>
  <c r="BO48" i="46" s="1"/>
  <c r="BP48" i="46" s="1"/>
  <c r="BR48" i="46" s="1"/>
  <c r="BN49" i="46"/>
  <c r="BO49" i="46"/>
  <c r="BN50" i="46"/>
  <c r="BO50" i="46"/>
  <c r="BN51" i="46"/>
  <c r="BO51" i="46" s="1"/>
  <c r="BP51" i="46" s="1"/>
  <c r="BR51" i="46" s="1"/>
  <c r="BN52" i="46"/>
  <c r="BO52" i="46"/>
  <c r="BN53" i="46"/>
  <c r="BO53" i="46" s="1"/>
  <c r="BP53" i="46" s="1"/>
  <c r="BR53" i="46" s="1"/>
  <c r="BN54" i="46"/>
  <c r="BO54" i="46"/>
  <c r="BN55" i="46"/>
  <c r="BO55" i="46" s="1"/>
  <c r="BP55" i="46" s="1"/>
  <c r="BR55" i="46" s="1"/>
  <c r="BN56" i="46"/>
  <c r="BO56" i="46"/>
  <c r="BN57" i="46"/>
  <c r="BO57" i="46"/>
  <c r="BN58" i="46"/>
  <c r="BO58" i="46" s="1"/>
  <c r="BN59" i="46"/>
  <c r="BO59" i="46"/>
  <c r="BN60" i="46"/>
  <c r="BO60" i="46" s="1"/>
  <c r="BN61" i="46"/>
  <c r="BO61" i="46"/>
  <c r="BN62" i="46"/>
  <c r="BO62" i="46" s="1"/>
  <c r="BP62" i="46" s="1"/>
  <c r="BR62" i="46" s="1"/>
  <c r="BN63" i="46"/>
  <c r="BO63" i="46"/>
  <c r="BN64" i="46"/>
  <c r="BO64" i="46"/>
  <c r="BN65" i="46"/>
  <c r="BO65" i="46" s="1"/>
  <c r="BN66" i="46"/>
  <c r="BO66" i="46"/>
  <c r="BN67" i="46"/>
  <c r="BO67" i="46" s="1"/>
  <c r="BN68" i="46"/>
  <c r="BO68" i="46"/>
  <c r="BN69" i="46"/>
  <c r="BO69" i="46" s="1"/>
  <c r="BN70" i="46"/>
  <c r="BO70" i="46"/>
  <c r="BN71" i="46"/>
  <c r="BO71" i="46"/>
  <c r="BN72" i="46"/>
  <c r="BO72" i="46" s="1"/>
  <c r="BP72" i="46" s="1"/>
  <c r="BR72" i="46" s="1"/>
  <c r="BN73" i="46"/>
  <c r="BO73" i="46"/>
  <c r="BN74" i="46"/>
  <c r="BO74" i="46" s="1"/>
  <c r="BP74" i="46" s="1"/>
  <c r="BR74" i="46" s="1"/>
  <c r="BN75" i="46"/>
  <c r="BO75" i="46"/>
  <c r="BN76" i="46"/>
  <c r="BO76" i="46" s="1"/>
  <c r="BP76" i="46" s="1"/>
  <c r="BR76" i="46" s="1"/>
  <c r="BN77" i="46"/>
  <c r="BO77" i="46"/>
  <c r="BN78" i="46"/>
  <c r="BO78" i="46"/>
  <c r="BN79" i="46"/>
  <c r="BO79" i="46" s="1"/>
  <c r="BP79" i="46" s="1"/>
  <c r="BR79" i="46" s="1"/>
  <c r="BN80" i="46"/>
  <c r="BO80" i="46"/>
  <c r="BN81" i="46"/>
  <c r="BO81" i="46" s="1"/>
  <c r="BP81" i="46" s="1"/>
  <c r="BR81" i="46" s="1"/>
  <c r="BN82" i="46"/>
  <c r="BO82" i="46"/>
  <c r="BN83" i="46"/>
  <c r="BO83" i="46" s="1"/>
  <c r="BP83" i="46" s="1"/>
  <c r="BR83" i="46" s="1"/>
  <c r="BN84" i="46"/>
  <c r="BO84" i="46"/>
  <c r="BN85" i="46"/>
  <c r="BO85" i="46"/>
  <c r="BN86" i="46"/>
  <c r="BO86" i="46" s="1"/>
  <c r="BP86" i="46" s="1"/>
  <c r="BN87" i="46"/>
  <c r="BO87" i="46"/>
  <c r="BN88" i="46"/>
  <c r="BO88" i="46" s="1"/>
  <c r="BP88" i="46" s="1"/>
  <c r="BN89" i="46"/>
  <c r="BO89" i="46"/>
  <c r="BN90" i="46"/>
  <c r="BO90" i="46" s="1"/>
  <c r="BN91" i="46"/>
  <c r="BO91" i="46"/>
  <c r="BN92" i="46"/>
  <c r="BO92" i="46"/>
  <c r="BN93" i="46"/>
  <c r="BO93" i="46" s="1"/>
  <c r="BP93" i="46" s="1"/>
  <c r="BR93" i="46" s="1"/>
  <c r="BN94" i="46"/>
  <c r="BO94" i="46"/>
  <c r="BN95" i="46"/>
  <c r="BO95" i="46" s="1"/>
  <c r="BP95" i="46" s="1"/>
  <c r="BR95" i="46" s="1"/>
  <c r="BN96" i="46"/>
  <c r="BO96" i="46"/>
  <c r="BN97" i="46"/>
  <c r="BO97" i="46" s="1"/>
  <c r="BP97" i="46" s="1"/>
  <c r="BR97" i="46" s="1"/>
  <c r="BN98" i="46"/>
  <c r="BO98" i="46"/>
  <c r="BN99" i="46"/>
  <c r="BO99" i="46"/>
  <c r="BN100" i="46"/>
  <c r="BO100" i="46" s="1"/>
  <c r="BN101" i="46"/>
  <c r="BO101" i="46"/>
  <c r="BN102" i="46"/>
  <c r="BO102" i="46" s="1"/>
  <c r="BN103" i="46"/>
  <c r="BO103" i="46"/>
  <c r="BN104" i="46"/>
  <c r="BO104" i="46" s="1"/>
  <c r="BP104" i="46" s="1"/>
  <c r="BR104" i="46" s="1"/>
  <c r="BN105" i="46"/>
  <c r="BO105" i="46"/>
  <c r="BN106" i="46"/>
  <c r="BO106" i="46"/>
  <c r="BN107" i="46"/>
  <c r="BO107" i="46" s="1"/>
  <c r="BN108" i="46"/>
  <c r="BO108" i="46"/>
  <c r="BN109" i="46"/>
  <c r="BO109" i="46" s="1"/>
  <c r="BN110" i="46"/>
  <c r="BO110" i="46"/>
  <c r="BN111" i="46"/>
  <c r="BO111" i="46" s="1"/>
  <c r="BN112" i="46"/>
  <c r="BO112" i="46"/>
  <c r="BN113" i="46"/>
  <c r="BO113" i="46"/>
  <c r="BN114" i="46"/>
  <c r="BO114" i="46" s="1"/>
  <c r="BP114" i="46" s="1"/>
  <c r="BR114" i="46" s="1"/>
  <c r="BN115" i="46"/>
  <c r="BO115" i="46"/>
  <c r="BN116" i="46"/>
  <c r="BO116" i="46" s="1"/>
  <c r="BP116" i="46" s="1"/>
  <c r="BN117" i="46"/>
  <c r="BO117" i="46"/>
  <c r="BN118" i="46"/>
  <c r="BO118" i="46" s="1"/>
  <c r="BP118" i="46" s="1"/>
  <c r="BR118" i="46" s="1"/>
  <c r="BN119" i="46"/>
  <c r="BO119" i="46"/>
  <c r="BN120" i="46"/>
  <c r="BO120" i="46"/>
  <c r="BN121" i="46"/>
  <c r="BO121" i="46" s="1"/>
  <c r="BP121" i="46" s="1"/>
  <c r="BN122" i="46"/>
  <c r="BO122" i="46"/>
  <c r="BN123" i="46"/>
  <c r="BO123" i="46" s="1"/>
  <c r="BP123" i="46" s="1"/>
  <c r="BR123" i="46" s="1"/>
  <c r="BN124" i="46"/>
  <c r="BO124" i="46"/>
  <c r="BN125" i="46"/>
  <c r="BO125" i="46" s="1"/>
  <c r="BP125" i="46" s="1"/>
  <c r="BR125" i="46" s="1"/>
  <c r="BN126" i="46"/>
  <c r="BO126" i="46"/>
  <c r="BN127" i="46"/>
  <c r="BO127" i="46"/>
  <c r="BN128" i="46"/>
  <c r="BO128" i="46" s="1"/>
  <c r="BP128" i="46" s="1"/>
  <c r="BR128" i="46" s="1"/>
  <c r="BN129" i="46"/>
  <c r="BO129" i="46"/>
  <c r="BN130" i="46"/>
  <c r="BO130" i="46" s="1"/>
  <c r="BP130" i="46" s="1"/>
  <c r="BR130" i="46" s="1"/>
  <c r="BN131" i="46"/>
  <c r="BO131" i="46"/>
  <c r="BN132" i="46"/>
  <c r="BO132" i="46" s="1"/>
  <c r="BN133" i="46"/>
  <c r="BO133" i="46"/>
  <c r="BN134" i="46"/>
  <c r="BO134" i="46"/>
  <c r="BN135" i="46"/>
  <c r="BO135" i="46" s="1"/>
  <c r="BN136" i="46"/>
  <c r="BO136" i="46"/>
  <c r="BN137" i="46"/>
  <c r="BO137" i="46" s="1"/>
  <c r="BP137" i="46" s="1"/>
  <c r="BR137" i="46" s="1"/>
  <c r="BN138" i="46"/>
  <c r="BO138" i="46"/>
  <c r="BN139" i="46"/>
  <c r="BO139" i="46" s="1"/>
  <c r="BN140" i="46"/>
  <c r="BO140" i="46"/>
  <c r="BN141" i="46"/>
  <c r="BO141" i="46"/>
  <c r="BN142" i="46"/>
  <c r="BO142" i="46" s="1"/>
  <c r="BN143" i="46"/>
  <c r="BO143" i="46"/>
  <c r="BN144" i="46"/>
  <c r="BO144" i="46" s="1"/>
  <c r="BN145" i="46"/>
  <c r="BO145" i="46"/>
  <c r="BN146" i="46"/>
  <c r="BO146" i="46" s="1"/>
  <c r="BP146" i="46" s="1"/>
  <c r="BR146" i="46" s="1"/>
  <c r="BN147" i="46"/>
  <c r="BO147" i="46"/>
  <c r="BN148" i="46"/>
  <c r="BO148" i="46"/>
  <c r="BN149" i="46"/>
  <c r="BO149" i="46" s="1"/>
  <c r="BN150" i="46"/>
  <c r="BO150" i="46"/>
  <c r="BN151" i="46"/>
  <c r="BO151" i="46" s="1"/>
  <c r="BN152" i="46"/>
  <c r="BO152" i="46"/>
  <c r="BN153" i="46"/>
  <c r="BO153" i="46" s="1"/>
  <c r="BP153" i="46" s="1"/>
  <c r="BR153" i="46" s="1"/>
  <c r="BN154" i="46"/>
  <c r="BO154" i="46"/>
  <c r="BN155" i="46"/>
  <c r="BO155" i="46"/>
  <c r="BN156" i="46"/>
  <c r="BO156" i="46" s="1"/>
  <c r="BP156" i="46" s="1"/>
  <c r="BR156" i="46" s="1"/>
  <c r="BN157" i="46"/>
  <c r="BO157" i="46" s="1"/>
  <c r="BP157" i="46" s="1"/>
  <c r="BR157" i="46" s="1"/>
  <c r="BN158" i="46"/>
  <c r="BO158" i="46" s="1"/>
  <c r="BP158" i="46" s="1"/>
  <c r="BR158" i="46" s="1"/>
  <c r="BN159" i="46"/>
  <c r="BO159" i="46"/>
  <c r="BN160" i="46"/>
  <c r="BO160" i="46" s="1"/>
  <c r="BP160" i="46" s="1"/>
  <c r="BR160" i="46" s="1"/>
  <c r="BN161" i="46"/>
  <c r="BO161" i="46"/>
  <c r="BN162" i="46"/>
  <c r="BO162" i="46"/>
  <c r="BN163" i="46"/>
  <c r="BO163" i="46" s="1"/>
  <c r="BP163" i="46" s="1"/>
  <c r="BN164" i="46"/>
  <c r="BO164" i="46" s="1"/>
  <c r="BP164" i="46" s="1"/>
  <c r="BR164" i="46" s="1"/>
  <c r="BN165" i="46"/>
  <c r="BO165" i="46" s="1"/>
  <c r="BP165" i="46" s="1"/>
  <c r="BR165" i="46" s="1"/>
  <c r="BN166" i="46"/>
  <c r="BO166" i="46"/>
  <c r="BN167" i="46"/>
  <c r="BO167" i="46" s="1"/>
  <c r="BP167" i="46" s="1"/>
  <c r="BR167" i="46" s="1"/>
  <c r="BN168" i="46"/>
  <c r="BO168" i="46"/>
  <c r="BN169" i="46"/>
  <c r="BO169" i="46"/>
  <c r="BN170" i="46"/>
  <c r="BO170" i="46" s="1"/>
  <c r="BP170" i="46" s="1"/>
  <c r="BR170" i="46" s="1"/>
  <c r="BN171" i="46"/>
  <c r="BO171" i="46" s="1"/>
  <c r="BP171" i="46" s="1"/>
  <c r="BR171" i="46" s="1"/>
  <c r="BN172" i="46"/>
  <c r="BO172" i="46" s="1"/>
  <c r="BP172" i="46" s="1"/>
  <c r="BR172" i="46" s="1"/>
  <c r="BN173" i="46"/>
  <c r="BO173" i="46"/>
  <c r="BN174" i="46"/>
  <c r="BO174" i="46" s="1"/>
  <c r="BN175" i="46"/>
  <c r="BO175" i="46"/>
  <c r="BN176" i="46"/>
  <c r="BO176" i="46"/>
  <c r="BN177" i="46"/>
  <c r="BO177" i="46" s="1"/>
  <c r="BP177" i="46" s="1"/>
  <c r="BR177" i="46" s="1"/>
  <c r="BN178" i="46"/>
  <c r="BO178" i="46" s="1"/>
  <c r="BP178" i="46" s="1"/>
  <c r="BR178" i="46" s="1"/>
  <c r="BN179" i="46"/>
  <c r="BO179" i="46" s="1"/>
  <c r="BP179" i="46" s="1"/>
  <c r="BR179" i="46" s="1"/>
  <c r="BN180" i="46"/>
  <c r="BO180" i="46"/>
  <c r="BN181" i="46"/>
  <c r="BO181" i="46" s="1"/>
  <c r="BN182" i="46"/>
  <c r="BO182" i="46"/>
  <c r="BN183" i="46"/>
  <c r="BO183" i="46"/>
  <c r="BN184" i="46"/>
  <c r="BO184" i="46" s="1"/>
  <c r="BP184" i="46" s="1"/>
  <c r="BR184" i="46" s="1"/>
  <c r="BN185" i="46"/>
  <c r="BO185" i="46" s="1"/>
  <c r="BN186" i="46"/>
  <c r="BO186" i="46" s="1"/>
  <c r="BN187" i="46"/>
  <c r="BO187" i="46"/>
  <c r="BN188" i="46"/>
  <c r="BO188" i="46" s="1"/>
  <c r="BP188" i="46" s="1"/>
  <c r="BR188" i="46" s="1"/>
  <c r="BN189" i="46"/>
  <c r="BO189" i="46"/>
  <c r="BN190" i="46"/>
  <c r="BO190" i="46"/>
  <c r="BN191" i="46"/>
  <c r="BO191" i="46" s="1"/>
  <c r="BN192" i="46"/>
  <c r="BO192" i="46" s="1"/>
  <c r="BN193" i="46"/>
  <c r="BO193" i="46" s="1"/>
  <c r="BN194" i="46"/>
  <c r="BO194" i="46"/>
  <c r="BN195" i="46"/>
  <c r="BO195" i="46" s="1"/>
  <c r="BP195" i="46" s="1"/>
  <c r="BR195" i="46" s="1"/>
  <c r="BN196" i="46"/>
  <c r="BO196" i="46"/>
  <c r="BN197" i="46"/>
  <c r="BO197" i="46"/>
  <c r="BN198" i="46"/>
  <c r="BO198" i="46" s="1"/>
  <c r="BN199" i="46"/>
  <c r="BO199" i="46" s="1"/>
  <c r="BP199" i="46" s="1"/>
  <c r="BR199" i="46" s="1"/>
  <c r="BN200" i="46"/>
  <c r="BO200" i="46" s="1"/>
  <c r="BP200" i="46" s="1"/>
  <c r="BR200" i="46" s="1"/>
  <c r="BN201" i="46"/>
  <c r="BO201" i="46"/>
  <c r="BN202" i="46"/>
  <c r="BO202" i="46" s="1"/>
  <c r="BP202" i="46" s="1"/>
  <c r="BR202" i="46" s="1"/>
  <c r="BN203" i="46"/>
  <c r="BO203" i="46"/>
  <c r="BN204" i="46"/>
  <c r="BO204" i="46"/>
  <c r="BN205" i="46"/>
  <c r="BO205" i="46" s="1"/>
  <c r="BN206" i="46"/>
  <c r="BO206" i="46" s="1"/>
  <c r="BP206" i="46" s="1"/>
  <c r="BR206" i="46" s="1"/>
  <c r="BN207" i="46"/>
  <c r="BO207" i="46" s="1"/>
  <c r="BP207" i="46" s="1"/>
  <c r="BR207" i="46" s="1"/>
  <c r="BN208" i="46"/>
  <c r="BO208" i="46"/>
  <c r="BN209" i="46"/>
  <c r="BO209" i="46" s="1"/>
  <c r="BP209" i="46" s="1"/>
  <c r="BR209" i="46" s="1"/>
  <c r="BN210" i="46"/>
  <c r="BO210" i="46"/>
  <c r="BN211" i="46"/>
  <c r="BO211" i="46"/>
  <c r="BN212" i="46"/>
  <c r="BO212" i="46" s="1"/>
  <c r="BP212" i="46" s="1"/>
  <c r="BR212" i="46" s="1"/>
  <c r="BN213" i="46"/>
  <c r="BO213" i="46" s="1"/>
  <c r="BP213" i="46" s="1"/>
  <c r="BN214" i="46"/>
  <c r="BO214" i="46" s="1"/>
  <c r="BN215" i="46"/>
  <c r="BO215" i="46"/>
  <c r="BN216" i="46"/>
  <c r="BO216" i="46" s="1"/>
  <c r="BN217" i="46"/>
  <c r="BO217" i="46"/>
  <c r="BN218" i="46"/>
  <c r="BO218" i="46"/>
  <c r="BN219" i="46"/>
  <c r="BO219" i="46" s="1"/>
  <c r="BP219" i="46" s="1"/>
  <c r="BN220" i="46"/>
  <c r="BO220" i="46" s="1"/>
  <c r="BP220" i="46" s="1"/>
  <c r="BN221" i="46"/>
  <c r="BO221" i="46" s="1"/>
  <c r="BN222" i="46"/>
  <c r="BO222" i="46"/>
  <c r="BN223" i="46"/>
  <c r="BO223" i="46" s="1"/>
  <c r="BN224" i="46"/>
  <c r="BO224" i="46"/>
  <c r="BN225" i="46"/>
  <c r="BO225" i="46"/>
  <c r="BN226" i="46"/>
  <c r="BO226" i="46" s="1"/>
  <c r="BP226" i="46" s="1"/>
  <c r="BN227" i="46"/>
  <c r="BO227" i="46" s="1"/>
  <c r="BN228" i="46"/>
  <c r="BO228" i="46" s="1"/>
  <c r="BP228" i="46" s="1"/>
  <c r="BN229" i="46"/>
  <c r="BO229" i="46"/>
  <c r="BN230" i="46"/>
  <c r="BO230" i="46" s="1"/>
  <c r="BP230" i="46" s="1"/>
  <c r="BN231" i="46"/>
  <c r="BO231" i="46"/>
  <c r="AB4" i="46"/>
  <c r="AC4" i="46" s="1"/>
  <c r="AB5" i="46"/>
  <c r="AC5" i="46" s="1"/>
  <c r="AB6" i="46"/>
  <c r="AC6" i="46" s="1"/>
  <c r="AB7" i="46"/>
  <c r="AC7" i="46"/>
  <c r="AB8" i="46"/>
  <c r="AC8" i="46"/>
  <c r="AB9" i="46"/>
  <c r="AC9" i="46"/>
  <c r="AB10" i="46"/>
  <c r="AC10" i="46"/>
  <c r="AB11" i="46"/>
  <c r="AC11" i="46" s="1"/>
  <c r="AB12" i="46"/>
  <c r="AC12" i="46" s="1"/>
  <c r="AB13" i="46"/>
  <c r="AC13" i="46" s="1"/>
  <c r="AB14" i="46"/>
  <c r="AC14" i="46"/>
  <c r="AB15" i="46"/>
  <c r="AC15" i="46"/>
  <c r="AB16" i="46"/>
  <c r="AC16" i="46"/>
  <c r="AB17" i="46"/>
  <c r="AC17" i="46"/>
  <c r="AB18" i="46"/>
  <c r="AC18" i="46" s="1"/>
  <c r="AB19" i="46"/>
  <c r="AC19" i="46" s="1"/>
  <c r="AB20" i="46"/>
  <c r="AC20" i="46" s="1"/>
  <c r="AB21" i="46"/>
  <c r="AC21" i="46"/>
  <c r="AB22" i="46"/>
  <c r="AC22" i="46"/>
  <c r="AB23" i="46"/>
  <c r="AC23" i="46"/>
  <c r="AB24" i="46"/>
  <c r="AC24" i="46"/>
  <c r="AB25" i="46"/>
  <c r="AC25" i="46" s="1"/>
  <c r="AB26" i="46"/>
  <c r="AC26" i="46" s="1"/>
  <c r="AB27" i="46"/>
  <c r="AC27" i="46" s="1"/>
  <c r="AB28" i="46"/>
  <c r="AC28" i="46"/>
  <c r="AB29" i="46"/>
  <c r="AC29" i="46"/>
  <c r="AB30" i="46"/>
  <c r="AC30" i="46"/>
  <c r="AB31" i="46"/>
  <c r="AC31" i="46"/>
  <c r="AB32" i="46"/>
  <c r="AC32" i="46" s="1"/>
  <c r="AB33" i="46"/>
  <c r="AC33" i="46" s="1"/>
  <c r="AB34" i="46"/>
  <c r="AC34" i="46" s="1"/>
  <c r="AB35" i="46"/>
  <c r="AC35" i="46"/>
  <c r="AB36" i="46"/>
  <c r="AC36" i="46" s="1"/>
  <c r="AB37" i="46"/>
  <c r="AC37" i="46"/>
  <c r="AB38" i="46"/>
  <c r="AC38" i="46"/>
  <c r="AB39" i="46"/>
  <c r="AC39" i="46" s="1"/>
  <c r="AB40" i="46"/>
  <c r="AC40" i="46" s="1"/>
  <c r="AB41" i="46"/>
  <c r="AC41" i="46" s="1"/>
  <c r="AB42" i="46"/>
  <c r="AC42" i="46"/>
  <c r="AB43" i="46"/>
  <c r="AC43" i="46" s="1"/>
  <c r="AB44" i="46"/>
  <c r="AC44" i="46"/>
  <c r="AB45" i="46"/>
  <c r="AC45" i="46"/>
  <c r="AB46" i="46"/>
  <c r="AC46" i="46" s="1"/>
  <c r="AB47" i="46"/>
  <c r="AC47" i="46" s="1"/>
  <c r="AB48" i="46"/>
  <c r="AC48" i="46" s="1"/>
  <c r="AB49" i="46"/>
  <c r="AC49" i="46"/>
  <c r="AB50" i="46"/>
  <c r="AC50" i="46" s="1"/>
  <c r="AB51" i="46"/>
  <c r="AC51" i="46" s="1"/>
  <c r="AB52" i="46"/>
  <c r="AC52" i="46"/>
  <c r="AB53" i="46"/>
  <c r="AC53" i="46" s="1"/>
  <c r="AB54" i="46"/>
  <c r="AC54" i="46" s="1"/>
  <c r="AB55" i="46"/>
  <c r="AC55" i="46" s="1"/>
  <c r="AB56" i="46"/>
  <c r="AC56" i="46"/>
  <c r="AB57" i="46"/>
  <c r="AC57" i="46" s="1"/>
  <c r="AB58" i="46"/>
  <c r="AC58" i="46" s="1"/>
  <c r="AB59" i="46"/>
  <c r="AC59" i="46"/>
  <c r="AB60" i="46"/>
  <c r="AC60" i="46" s="1"/>
  <c r="AB61" i="46"/>
  <c r="AC61" i="46" s="1"/>
  <c r="AB62" i="46"/>
  <c r="AC62" i="46" s="1"/>
  <c r="AB63" i="46"/>
  <c r="AC63" i="46"/>
  <c r="AB64" i="46"/>
  <c r="AC64" i="46" s="1"/>
  <c r="AB65" i="46"/>
  <c r="AC65" i="46" s="1"/>
  <c r="AB66" i="46"/>
  <c r="AC66" i="46"/>
  <c r="AB67" i="46"/>
  <c r="AC67" i="46" s="1"/>
  <c r="AB68" i="46"/>
  <c r="AC68" i="46" s="1"/>
  <c r="AB69" i="46"/>
  <c r="AC69" i="46" s="1"/>
  <c r="AB70" i="46"/>
  <c r="AC70" i="46" s="1"/>
  <c r="AB71" i="46"/>
  <c r="AC71" i="46" s="1"/>
  <c r="AB72" i="46"/>
  <c r="AC72" i="46" s="1"/>
  <c r="AB73" i="46"/>
  <c r="AC73" i="46"/>
  <c r="AB74" i="46"/>
  <c r="AC74" i="46" s="1"/>
  <c r="AB75" i="46"/>
  <c r="AC75" i="46" s="1"/>
  <c r="AB76" i="46"/>
  <c r="AC76" i="46" s="1"/>
  <c r="AB77" i="46"/>
  <c r="AC77" i="46" s="1"/>
  <c r="AB78" i="46"/>
  <c r="AC78" i="46" s="1"/>
  <c r="AB79" i="46"/>
  <c r="AC79" i="46" s="1"/>
  <c r="AB80" i="46"/>
  <c r="AC80" i="46"/>
  <c r="AB81" i="46"/>
  <c r="AC81" i="46" s="1"/>
  <c r="AB82" i="46"/>
  <c r="AC82" i="46" s="1"/>
  <c r="AB83" i="46"/>
  <c r="AC83" i="46" s="1"/>
  <c r="AB84" i="46"/>
  <c r="AC84" i="46" s="1"/>
  <c r="AB85" i="46"/>
  <c r="AC85" i="46" s="1"/>
  <c r="AB86" i="46"/>
  <c r="AC86" i="46" s="1"/>
  <c r="AB87" i="46"/>
  <c r="AC87" i="46"/>
  <c r="AB88" i="46"/>
  <c r="AC88" i="46" s="1"/>
  <c r="AB89" i="46"/>
  <c r="AC89" i="46" s="1"/>
  <c r="AB90" i="46"/>
  <c r="AC90" i="46" s="1"/>
  <c r="AB91" i="46"/>
  <c r="AC91" i="46" s="1"/>
  <c r="AB92" i="46"/>
  <c r="AC92" i="46" s="1"/>
  <c r="AB93" i="46"/>
  <c r="AC93" i="46" s="1"/>
  <c r="AB94" i="46"/>
  <c r="AC94" i="46"/>
  <c r="AB95" i="46"/>
  <c r="AC95" i="46" s="1"/>
  <c r="AB96" i="46"/>
  <c r="AC96" i="46" s="1"/>
  <c r="AB97" i="46"/>
  <c r="AC97" i="46" s="1"/>
  <c r="AB98" i="46"/>
  <c r="AC98" i="46" s="1"/>
  <c r="AB99" i="46"/>
  <c r="AC99" i="46" s="1"/>
  <c r="AB100" i="46"/>
  <c r="AC100" i="46" s="1"/>
  <c r="AB101" i="46"/>
  <c r="AC101" i="46"/>
  <c r="AB102" i="46"/>
  <c r="AC102" i="46" s="1"/>
  <c r="AB103" i="46"/>
  <c r="AC103" i="46" s="1"/>
  <c r="AB104" i="46"/>
  <c r="AC104" i="46" s="1"/>
  <c r="AB105" i="46"/>
  <c r="AC105" i="46" s="1"/>
  <c r="AB106" i="46"/>
  <c r="AC106" i="46" s="1"/>
  <c r="AB107" i="46"/>
  <c r="AC107" i="46" s="1"/>
  <c r="AB108" i="46"/>
  <c r="AC108" i="46"/>
  <c r="AB109" i="46"/>
  <c r="AC109" i="46" s="1"/>
  <c r="AB110" i="46"/>
  <c r="AC110" i="46" s="1"/>
  <c r="AB111" i="46"/>
  <c r="AC111" i="46" s="1"/>
  <c r="AB112" i="46"/>
  <c r="AC112" i="46" s="1"/>
  <c r="AB113" i="46"/>
  <c r="AC113" i="46" s="1"/>
  <c r="AB114" i="46"/>
  <c r="AC114" i="46" s="1"/>
  <c r="AB115" i="46"/>
  <c r="AC115" i="46"/>
  <c r="AB116" i="46"/>
  <c r="AC116" i="46" s="1"/>
  <c r="AB117" i="46"/>
  <c r="AC117" i="46" s="1"/>
  <c r="AB118" i="46"/>
  <c r="AC118" i="46" s="1"/>
  <c r="AB119" i="46"/>
  <c r="AC119" i="46" s="1"/>
  <c r="AB120" i="46"/>
  <c r="AC120" i="46" s="1"/>
  <c r="AB121" i="46"/>
  <c r="AC121" i="46" s="1"/>
  <c r="AB122" i="46"/>
  <c r="AC122" i="46"/>
  <c r="AB123" i="46"/>
  <c r="AC123" i="46" s="1"/>
  <c r="AB124" i="46"/>
  <c r="AC124" i="46" s="1"/>
  <c r="AB125" i="46"/>
  <c r="AC125" i="46" s="1"/>
  <c r="AB126" i="46"/>
  <c r="AC126" i="46" s="1"/>
  <c r="AB127" i="46"/>
  <c r="AC127" i="46" s="1"/>
  <c r="AB128" i="46"/>
  <c r="AC128" i="46" s="1"/>
  <c r="AB129" i="46"/>
  <c r="AC129" i="46"/>
  <c r="AB130" i="46"/>
  <c r="AC130" i="46" s="1"/>
  <c r="AB131" i="46"/>
  <c r="AC131" i="46" s="1"/>
  <c r="AB132" i="46"/>
  <c r="AC132" i="46" s="1"/>
  <c r="AB133" i="46"/>
  <c r="AC133" i="46" s="1"/>
  <c r="AB134" i="46"/>
  <c r="AC134" i="46" s="1"/>
  <c r="AB135" i="46"/>
  <c r="AC135" i="46" s="1"/>
  <c r="AB136" i="46"/>
  <c r="AC136" i="46"/>
  <c r="AB137" i="46"/>
  <c r="AC137" i="46" s="1"/>
  <c r="AB138" i="46"/>
  <c r="AC138" i="46" s="1"/>
  <c r="AB139" i="46"/>
  <c r="AC139" i="46" s="1"/>
  <c r="AB140" i="46"/>
  <c r="AC140" i="46" s="1"/>
  <c r="AB141" i="46"/>
  <c r="AC141" i="46" s="1"/>
  <c r="AB142" i="46"/>
  <c r="AC142" i="46" s="1"/>
  <c r="AB143" i="46"/>
  <c r="AC143" i="46"/>
  <c r="AB144" i="46"/>
  <c r="AC144" i="46" s="1"/>
  <c r="AB145" i="46"/>
  <c r="AC145" i="46" s="1"/>
  <c r="AB146" i="46"/>
  <c r="AC146" i="46" s="1"/>
  <c r="AB147" i="46"/>
  <c r="AC147" i="46" s="1"/>
  <c r="AL3" i="57"/>
  <c r="AM3" i="57"/>
  <c r="AN3" i="57"/>
  <c r="AL4" i="57"/>
  <c r="AM4" i="57"/>
  <c r="AN4" i="57"/>
  <c r="AL5" i="57"/>
  <c r="AM5" i="57"/>
  <c r="AN5" i="57"/>
  <c r="AL6" i="57"/>
  <c r="AM6" i="57"/>
  <c r="AN6" i="57"/>
  <c r="AL7" i="57"/>
  <c r="AM7" i="57"/>
  <c r="AN7" i="57"/>
  <c r="AL8" i="57"/>
  <c r="AM8" i="57"/>
  <c r="AN8" i="57"/>
  <c r="AL9" i="57"/>
  <c r="AM9" i="57"/>
  <c r="AN9" i="57"/>
  <c r="AL10" i="57"/>
  <c r="AM10" i="57"/>
  <c r="AN10" i="57"/>
  <c r="AL11" i="57"/>
  <c r="AM11" i="57"/>
  <c r="AN11" i="57"/>
  <c r="AL12" i="57"/>
  <c r="AM12" i="57"/>
  <c r="AN12" i="57"/>
  <c r="AL13" i="57"/>
  <c r="AM13" i="57"/>
  <c r="AN13" i="57"/>
  <c r="AL14" i="57"/>
  <c r="AM14" i="57"/>
  <c r="AN14" i="57"/>
  <c r="AL15" i="57"/>
  <c r="AM15" i="57"/>
  <c r="AN15" i="57"/>
  <c r="AL16" i="57"/>
  <c r="AM16" i="57"/>
  <c r="AN16" i="57"/>
  <c r="AL17" i="57"/>
  <c r="AM17" i="57"/>
  <c r="AN17" i="57"/>
  <c r="AL18" i="57"/>
  <c r="AM18" i="57"/>
  <c r="AN18" i="57"/>
  <c r="AL19" i="57"/>
  <c r="AM19" i="57"/>
  <c r="AN19" i="57"/>
  <c r="AL20" i="57"/>
  <c r="AM20" i="57"/>
  <c r="AN20" i="57"/>
  <c r="AL21" i="57"/>
  <c r="AM21" i="57"/>
  <c r="AN21" i="57"/>
  <c r="AL22" i="57"/>
  <c r="AM22" i="57"/>
  <c r="AN22" i="57"/>
  <c r="AL23" i="57"/>
  <c r="AM23" i="57"/>
  <c r="AN23" i="57"/>
  <c r="AL24" i="57"/>
  <c r="AM24" i="57"/>
  <c r="AN24" i="57"/>
  <c r="AL25" i="57"/>
  <c r="AM25" i="57"/>
  <c r="AN25" i="57"/>
  <c r="AL26" i="57"/>
  <c r="AM26" i="57"/>
  <c r="AN26" i="57"/>
  <c r="AL27" i="57"/>
  <c r="AM27" i="57"/>
  <c r="AN27" i="57"/>
  <c r="AL28" i="57"/>
  <c r="AM28" i="57"/>
  <c r="AN28" i="57"/>
  <c r="AL29" i="57"/>
  <c r="AM29" i="57"/>
  <c r="AN29" i="57"/>
  <c r="AL30" i="57"/>
  <c r="AM30" i="57"/>
  <c r="AN30" i="57"/>
  <c r="AL31" i="57"/>
  <c r="AM31" i="57"/>
  <c r="AN31" i="57"/>
  <c r="AL32" i="57"/>
  <c r="AM32" i="57"/>
  <c r="AN32" i="57"/>
  <c r="AL33" i="57"/>
  <c r="AM33" i="57"/>
  <c r="AN33" i="57"/>
  <c r="AL34" i="57"/>
  <c r="AM34" i="57"/>
  <c r="AN34" i="57"/>
  <c r="AL35" i="57"/>
  <c r="AM35" i="57"/>
  <c r="AN35" i="57"/>
  <c r="AL36" i="57"/>
  <c r="AM36" i="57"/>
  <c r="AN36" i="57"/>
  <c r="AL37" i="57"/>
  <c r="AM37" i="57"/>
  <c r="AN37" i="57"/>
  <c r="AL38" i="57"/>
  <c r="AM38" i="57"/>
  <c r="AN38" i="57"/>
  <c r="AL39" i="57"/>
  <c r="AM39" i="57"/>
  <c r="AN39" i="57"/>
  <c r="AL40" i="57"/>
  <c r="AM40" i="57"/>
  <c r="AN40" i="57"/>
  <c r="AL41" i="57"/>
  <c r="AM41" i="57"/>
  <c r="AN41" i="57"/>
  <c r="AL42" i="57"/>
  <c r="AM42" i="57"/>
  <c r="AN42" i="57"/>
  <c r="AL43" i="57"/>
  <c r="AM43" i="57"/>
  <c r="AN43" i="57"/>
  <c r="AL44" i="57"/>
  <c r="AM44" i="57"/>
  <c r="AN44" i="57"/>
  <c r="AL45" i="57"/>
  <c r="AM45" i="57"/>
  <c r="AN45" i="57"/>
  <c r="AL46" i="57"/>
  <c r="AM46" i="57"/>
  <c r="AN46" i="57"/>
  <c r="AL47" i="57"/>
  <c r="AM47" i="57"/>
  <c r="AN47" i="57"/>
  <c r="AL48" i="57"/>
  <c r="AM48" i="57"/>
  <c r="AN48" i="57"/>
  <c r="AL49" i="57"/>
  <c r="AM49" i="57"/>
  <c r="AN49" i="57"/>
  <c r="AL50" i="57"/>
  <c r="AM50" i="57"/>
  <c r="AN50" i="57"/>
  <c r="AL51" i="57"/>
  <c r="AM51" i="57"/>
  <c r="AN51" i="57"/>
  <c r="AL52" i="57"/>
  <c r="AM52" i="57"/>
  <c r="AN52" i="57"/>
  <c r="AL53" i="57"/>
  <c r="AM53" i="57"/>
  <c r="AN53" i="57"/>
  <c r="AL54" i="57"/>
  <c r="AM54" i="57"/>
  <c r="AN54" i="57"/>
  <c r="AL55" i="57"/>
  <c r="AM55" i="57"/>
  <c r="AN55" i="57"/>
  <c r="AL56" i="57"/>
  <c r="AM56" i="57"/>
  <c r="AN56" i="57"/>
  <c r="AL57" i="57"/>
  <c r="AM57" i="57"/>
  <c r="AN57" i="57"/>
  <c r="AL58" i="57"/>
  <c r="AM58" i="57"/>
  <c r="AN58" i="57"/>
  <c r="AL59" i="57"/>
  <c r="AM59" i="57"/>
  <c r="AN59" i="57"/>
  <c r="AL60" i="57"/>
  <c r="AM60" i="57"/>
  <c r="AN60" i="57"/>
  <c r="AL61" i="57"/>
  <c r="AM61" i="57"/>
  <c r="AN61" i="57"/>
  <c r="AL62" i="57"/>
  <c r="AM62" i="57"/>
  <c r="AN62" i="57"/>
  <c r="AL63" i="57"/>
  <c r="AM63" i="57"/>
  <c r="AN63" i="57"/>
  <c r="AL64" i="57"/>
  <c r="AM64" i="57"/>
  <c r="AN64" i="57"/>
  <c r="AL65" i="57"/>
  <c r="AM65" i="57"/>
  <c r="AN65" i="57"/>
  <c r="AL66" i="57"/>
  <c r="AM66" i="57"/>
  <c r="AN66" i="57"/>
  <c r="AL67" i="57"/>
  <c r="AM67" i="57"/>
  <c r="AN67" i="57"/>
  <c r="P3" i="57"/>
  <c r="Q3" i="57"/>
  <c r="R3" i="57"/>
  <c r="P4" i="57"/>
  <c r="Q4" i="57"/>
  <c r="R4" i="57"/>
  <c r="P5" i="57"/>
  <c r="Q5" i="57"/>
  <c r="R5" i="57"/>
  <c r="P6" i="57"/>
  <c r="Q6" i="57"/>
  <c r="R6" i="57"/>
  <c r="P7" i="57"/>
  <c r="Q7" i="57"/>
  <c r="R7" i="57"/>
  <c r="P8" i="57"/>
  <c r="Q8" i="57"/>
  <c r="R8" i="57"/>
  <c r="P9" i="57"/>
  <c r="Q9" i="57"/>
  <c r="R9" i="57"/>
  <c r="P10" i="57"/>
  <c r="Q10" i="57"/>
  <c r="R10" i="57"/>
  <c r="P11" i="57"/>
  <c r="Q11" i="57"/>
  <c r="R11" i="57"/>
  <c r="P12" i="57"/>
  <c r="Q12" i="57"/>
  <c r="R12" i="57"/>
  <c r="P13" i="57"/>
  <c r="Q13" i="57"/>
  <c r="R13" i="57"/>
  <c r="P14" i="57"/>
  <c r="Q14" i="57"/>
  <c r="R14" i="57"/>
  <c r="P15" i="57"/>
  <c r="Q15" i="57"/>
  <c r="R15" i="57"/>
  <c r="P16" i="57"/>
  <c r="Q16" i="57"/>
  <c r="R16" i="57"/>
  <c r="P17" i="57"/>
  <c r="Q17" i="57"/>
  <c r="R17" i="57"/>
  <c r="P18" i="57"/>
  <c r="Q18" i="57"/>
  <c r="R18" i="57"/>
  <c r="P19" i="57"/>
  <c r="Q19" i="57"/>
  <c r="R19" i="57"/>
  <c r="P20" i="57"/>
  <c r="Q20" i="57"/>
  <c r="R20" i="57"/>
  <c r="P21" i="57"/>
  <c r="Q21" i="57"/>
  <c r="R21" i="57"/>
  <c r="P22" i="57"/>
  <c r="Q22" i="57"/>
  <c r="R22" i="57"/>
  <c r="P23" i="57"/>
  <c r="Q23" i="57"/>
  <c r="R23" i="57"/>
  <c r="P24" i="57"/>
  <c r="Q24" i="57"/>
  <c r="R24" i="57"/>
  <c r="P25" i="57"/>
  <c r="Q25" i="57"/>
  <c r="R25" i="57"/>
  <c r="P26" i="57"/>
  <c r="Q26" i="57"/>
  <c r="R26" i="57"/>
  <c r="P27" i="57"/>
  <c r="Q27" i="57"/>
  <c r="R27" i="57"/>
  <c r="P28" i="57"/>
  <c r="Q28" i="57"/>
  <c r="R28" i="57"/>
  <c r="P29" i="57"/>
  <c r="Q29" i="57"/>
  <c r="R29" i="57"/>
  <c r="P30" i="57"/>
  <c r="Q30" i="57"/>
  <c r="R30" i="57"/>
  <c r="P31" i="57"/>
  <c r="Q31" i="57"/>
  <c r="R31" i="57"/>
  <c r="P32" i="57"/>
  <c r="Q32" i="57"/>
  <c r="R32" i="57"/>
  <c r="P33" i="57"/>
  <c r="Q33" i="57"/>
  <c r="R33" i="57"/>
  <c r="P34" i="57"/>
  <c r="Q34" i="57"/>
  <c r="R34" i="57"/>
  <c r="P35" i="57"/>
  <c r="Q35" i="57"/>
  <c r="R35" i="57"/>
  <c r="P36" i="57"/>
  <c r="Q36" i="57"/>
  <c r="R36" i="57"/>
  <c r="P37" i="57"/>
  <c r="Q37" i="57"/>
  <c r="R37" i="57"/>
  <c r="P38" i="57"/>
  <c r="Q38" i="57"/>
  <c r="R38" i="57"/>
  <c r="P39" i="57"/>
  <c r="Q39" i="57"/>
  <c r="R39" i="57"/>
  <c r="P40" i="57"/>
  <c r="Q40" i="57"/>
  <c r="R40" i="57"/>
  <c r="P41" i="57"/>
  <c r="Q41" i="57"/>
  <c r="R41" i="57"/>
  <c r="P42" i="57"/>
  <c r="Q42" i="57"/>
  <c r="R42" i="57"/>
  <c r="P43" i="57"/>
  <c r="Q43" i="57"/>
  <c r="R43" i="57"/>
  <c r="P44" i="57"/>
  <c r="Q44" i="57"/>
  <c r="R44" i="57"/>
  <c r="P45" i="57"/>
  <c r="Q45" i="57"/>
  <c r="R45" i="57"/>
  <c r="P46" i="57"/>
  <c r="Q46" i="57"/>
  <c r="R46" i="57"/>
  <c r="P47" i="57"/>
  <c r="Q47" i="57"/>
  <c r="R47" i="57"/>
  <c r="P48" i="57"/>
  <c r="Q48" i="57"/>
  <c r="R48" i="57"/>
  <c r="P49" i="57"/>
  <c r="Q49" i="57"/>
  <c r="R49" i="57"/>
  <c r="P50" i="57"/>
  <c r="Q50" i="57"/>
  <c r="R50" i="57"/>
  <c r="P51" i="57"/>
  <c r="Q51" i="57"/>
  <c r="R51" i="57"/>
  <c r="P52" i="57"/>
  <c r="Q52" i="57"/>
  <c r="R52" i="57"/>
  <c r="P53" i="57"/>
  <c r="Q53" i="57"/>
  <c r="R53" i="57"/>
  <c r="P54" i="57"/>
  <c r="Q54" i="57"/>
  <c r="R54" i="57"/>
  <c r="P55" i="57"/>
  <c r="Q55" i="57"/>
  <c r="R55" i="57"/>
  <c r="P56" i="57"/>
  <c r="Q56" i="57"/>
  <c r="R56" i="57"/>
  <c r="P57" i="57"/>
  <c r="Q57" i="57"/>
  <c r="R57" i="57"/>
  <c r="P58" i="57"/>
  <c r="Q58" i="57"/>
  <c r="R58" i="57"/>
  <c r="P59" i="57"/>
  <c r="Q59" i="57"/>
  <c r="R59" i="57"/>
  <c r="P60" i="57"/>
  <c r="Q60" i="57"/>
  <c r="R60" i="57"/>
  <c r="P61" i="57"/>
  <c r="Q61" i="57"/>
  <c r="R61" i="57"/>
  <c r="P62" i="57"/>
  <c r="Q62" i="57"/>
  <c r="R62" i="57"/>
  <c r="P63" i="57"/>
  <c r="Q63" i="57"/>
  <c r="R63" i="57"/>
  <c r="P64" i="57"/>
  <c r="Q64" i="57"/>
  <c r="R64" i="57"/>
  <c r="P65" i="57"/>
  <c r="Q65" i="57"/>
  <c r="R65" i="57"/>
  <c r="P66" i="57"/>
  <c r="Q66" i="57"/>
  <c r="R66" i="57"/>
  <c r="P67" i="57"/>
  <c r="Q67" i="57"/>
  <c r="R67" i="57"/>
  <c r="P68" i="57"/>
  <c r="Q68" i="57"/>
  <c r="R68" i="57"/>
  <c r="P69" i="57"/>
  <c r="Q69" i="57"/>
  <c r="R69" i="57"/>
  <c r="P70" i="57"/>
  <c r="Q70" i="57"/>
  <c r="R70" i="57"/>
  <c r="P71" i="57"/>
  <c r="Q71" i="57"/>
  <c r="R71" i="57"/>
  <c r="P72" i="57"/>
  <c r="Q72" i="57"/>
  <c r="R72" i="57"/>
  <c r="P73" i="57"/>
  <c r="Q73" i="57"/>
  <c r="R73" i="57"/>
  <c r="P74" i="57"/>
  <c r="Q74" i="57"/>
  <c r="R74" i="57"/>
  <c r="P75" i="57"/>
  <c r="Q75" i="57"/>
  <c r="R75" i="57"/>
  <c r="P76" i="57"/>
  <c r="Q76" i="57"/>
  <c r="R76" i="57"/>
  <c r="P77" i="57"/>
  <c r="Q77" i="57"/>
  <c r="R77" i="57"/>
  <c r="P78" i="57"/>
  <c r="Q78" i="57"/>
  <c r="R78" i="57"/>
  <c r="P79" i="57"/>
  <c r="Q79" i="57"/>
  <c r="R79" i="57"/>
  <c r="CO3" i="14"/>
  <c r="CP3" i="14"/>
  <c r="CQ3" i="14"/>
  <c r="CO4" i="14"/>
  <c r="CP4" i="14"/>
  <c r="CQ4" i="14"/>
  <c r="CO5" i="14"/>
  <c r="CP5" i="14"/>
  <c r="CQ5" i="14"/>
  <c r="CO6" i="14"/>
  <c r="CP6" i="14"/>
  <c r="CQ6" i="14"/>
  <c r="CO7" i="14"/>
  <c r="CP7" i="14"/>
  <c r="CQ7" i="14"/>
  <c r="CO8" i="14"/>
  <c r="CP8" i="14"/>
  <c r="CQ8" i="14"/>
  <c r="CO9" i="14"/>
  <c r="CP9" i="14"/>
  <c r="CQ9" i="14"/>
  <c r="CO10" i="14"/>
  <c r="CP10" i="14"/>
  <c r="CQ10" i="14"/>
  <c r="CO11" i="14"/>
  <c r="CP11" i="14"/>
  <c r="CQ11" i="14"/>
  <c r="CO12" i="14"/>
  <c r="CP12" i="14"/>
  <c r="CQ12" i="14"/>
  <c r="CO13" i="14"/>
  <c r="CP13" i="14"/>
  <c r="CQ13" i="14"/>
  <c r="CO14" i="14"/>
  <c r="CP14" i="14"/>
  <c r="CQ14" i="14"/>
  <c r="CO15" i="14"/>
  <c r="CP15" i="14"/>
  <c r="CQ15" i="14"/>
  <c r="CO16" i="14"/>
  <c r="CP16" i="14"/>
  <c r="CQ16" i="14"/>
  <c r="CO17" i="14"/>
  <c r="CP17" i="14"/>
  <c r="CQ17" i="14"/>
  <c r="CO18" i="14"/>
  <c r="CP18" i="14"/>
  <c r="CQ18" i="14"/>
  <c r="CO19" i="14"/>
  <c r="CP19" i="14"/>
  <c r="CQ19" i="14"/>
  <c r="CO20" i="14"/>
  <c r="CP20" i="14"/>
  <c r="CQ20" i="14"/>
  <c r="CO21" i="14"/>
  <c r="CP21" i="14"/>
  <c r="CQ21" i="14"/>
  <c r="CO22" i="14"/>
  <c r="CP22" i="14"/>
  <c r="CQ22" i="14"/>
  <c r="CO23" i="14"/>
  <c r="CP23" i="14"/>
  <c r="CQ23" i="14"/>
  <c r="CO24" i="14"/>
  <c r="CP24" i="14"/>
  <c r="CQ24" i="14"/>
  <c r="CO25" i="14"/>
  <c r="CP25" i="14"/>
  <c r="CQ25" i="14"/>
  <c r="CO26" i="14"/>
  <c r="CP26" i="14"/>
  <c r="CQ26" i="14"/>
  <c r="CO27" i="14"/>
  <c r="CP27" i="14"/>
  <c r="CQ27" i="14"/>
  <c r="CO28" i="14"/>
  <c r="CP28" i="14"/>
  <c r="CQ28" i="14"/>
  <c r="CO29" i="14"/>
  <c r="CP29" i="14"/>
  <c r="CQ29" i="14"/>
  <c r="CO30" i="14"/>
  <c r="CP30" i="14"/>
  <c r="CQ30" i="14"/>
  <c r="CO31" i="14"/>
  <c r="CP31" i="14"/>
  <c r="CQ31" i="14"/>
  <c r="CO32" i="14"/>
  <c r="CP32" i="14"/>
  <c r="CQ32" i="14"/>
  <c r="CO33" i="14"/>
  <c r="CP33" i="14"/>
  <c r="CQ33" i="14"/>
  <c r="CO34" i="14"/>
  <c r="CP34" i="14"/>
  <c r="CQ34" i="14"/>
  <c r="CO35" i="14"/>
  <c r="CP35" i="14"/>
  <c r="CQ35" i="14"/>
  <c r="CO36" i="14"/>
  <c r="CP36" i="14"/>
  <c r="CQ36" i="14"/>
  <c r="CO37" i="14"/>
  <c r="CP37" i="14"/>
  <c r="CQ37" i="14"/>
  <c r="CO38" i="14"/>
  <c r="CP38" i="14"/>
  <c r="CQ38" i="14"/>
  <c r="CO39" i="14"/>
  <c r="CP39" i="14"/>
  <c r="CQ39" i="14"/>
  <c r="CO40" i="14"/>
  <c r="CP40" i="14"/>
  <c r="CQ40" i="14"/>
  <c r="CO41" i="14"/>
  <c r="CP41" i="14"/>
  <c r="CQ41" i="14"/>
  <c r="CO42" i="14"/>
  <c r="CP42" i="14"/>
  <c r="CQ42" i="14"/>
  <c r="CO43" i="14"/>
  <c r="CP43" i="14"/>
  <c r="CQ43" i="14"/>
  <c r="CO44" i="14"/>
  <c r="CP44" i="14"/>
  <c r="CQ44" i="14"/>
  <c r="CO45" i="14"/>
  <c r="CP45" i="14"/>
  <c r="CQ45" i="14"/>
  <c r="CO46" i="14"/>
  <c r="CP46" i="14"/>
  <c r="CQ46" i="14"/>
  <c r="CO47" i="14"/>
  <c r="CP47" i="14"/>
  <c r="CQ47" i="14"/>
  <c r="CO48" i="14"/>
  <c r="CP48" i="14"/>
  <c r="CQ48" i="14"/>
  <c r="CO49" i="14"/>
  <c r="CP49" i="14"/>
  <c r="CQ49" i="14"/>
  <c r="CO50" i="14"/>
  <c r="CP50" i="14"/>
  <c r="CQ50" i="14"/>
  <c r="CO51" i="14"/>
  <c r="CP51" i="14"/>
  <c r="CQ51" i="14"/>
  <c r="CO52" i="14"/>
  <c r="CP52" i="14"/>
  <c r="CQ52" i="14"/>
  <c r="CO53" i="14"/>
  <c r="CP53" i="14"/>
  <c r="CQ53" i="14"/>
  <c r="CO54" i="14"/>
  <c r="CP54" i="14"/>
  <c r="CQ54" i="14"/>
  <c r="CO55" i="14"/>
  <c r="CP55" i="14"/>
  <c r="CQ55" i="14"/>
  <c r="CO56" i="14"/>
  <c r="CP56" i="14"/>
  <c r="CQ56" i="14"/>
  <c r="CO57" i="14"/>
  <c r="CP57" i="14"/>
  <c r="CQ57" i="14"/>
  <c r="CO58" i="14"/>
  <c r="CP58" i="14"/>
  <c r="CQ58" i="14"/>
  <c r="CO59" i="14"/>
  <c r="CP59" i="14"/>
  <c r="CQ59" i="14"/>
  <c r="CO60" i="14"/>
  <c r="CP60" i="14"/>
  <c r="CQ60" i="14"/>
  <c r="CO61" i="14"/>
  <c r="CP61" i="14"/>
  <c r="CQ61" i="14"/>
  <c r="CO62" i="14"/>
  <c r="CP62" i="14"/>
  <c r="CQ62" i="14"/>
  <c r="CO63" i="14"/>
  <c r="CP63" i="14"/>
  <c r="CQ63" i="14"/>
  <c r="CO64" i="14"/>
  <c r="CP64" i="14"/>
  <c r="CQ64" i="14"/>
  <c r="CO65" i="14"/>
  <c r="CP65" i="14"/>
  <c r="CQ65" i="14"/>
  <c r="CO66" i="14"/>
  <c r="CP66" i="14"/>
  <c r="CQ66" i="14"/>
  <c r="CO67" i="14"/>
  <c r="CP67" i="14"/>
  <c r="CQ67" i="14"/>
  <c r="CO68" i="14"/>
  <c r="CP68" i="14"/>
  <c r="CQ68" i="14"/>
  <c r="CO69" i="14"/>
  <c r="CP69" i="14"/>
  <c r="CQ69" i="14"/>
  <c r="CO70" i="14"/>
  <c r="CP70" i="14"/>
  <c r="CQ70" i="14"/>
  <c r="CO71" i="14"/>
  <c r="CP71" i="14"/>
  <c r="CQ71" i="14"/>
  <c r="CO72" i="14"/>
  <c r="CP72" i="14"/>
  <c r="CQ72" i="14"/>
  <c r="CO73" i="14"/>
  <c r="CP73" i="14"/>
  <c r="CQ73" i="14"/>
  <c r="CO74" i="14"/>
  <c r="CP74" i="14"/>
  <c r="CQ74" i="14"/>
  <c r="CO75" i="14"/>
  <c r="CP75" i="14"/>
  <c r="CQ75" i="14"/>
  <c r="CO76" i="14"/>
  <c r="CP76" i="14"/>
  <c r="CQ76" i="14"/>
  <c r="CO77" i="14"/>
  <c r="CP77" i="14"/>
  <c r="CQ77" i="14"/>
  <c r="CO78" i="14"/>
  <c r="CP78" i="14"/>
  <c r="CQ78" i="14"/>
  <c r="CO79" i="14"/>
  <c r="CP79" i="14"/>
  <c r="CQ79" i="14"/>
  <c r="CO80" i="14"/>
  <c r="CP80" i="14"/>
  <c r="CQ80" i="14"/>
  <c r="CO81" i="14"/>
  <c r="CP81" i="14"/>
  <c r="CQ81" i="14"/>
  <c r="CO82" i="14"/>
  <c r="CP82" i="14"/>
  <c r="CQ82" i="14"/>
  <c r="CO83" i="14"/>
  <c r="CP83" i="14"/>
  <c r="CQ83" i="14"/>
  <c r="CO84" i="14"/>
  <c r="CP84" i="14"/>
  <c r="CQ84" i="14"/>
  <c r="CO85" i="14"/>
  <c r="CP85" i="14"/>
  <c r="CQ85" i="14"/>
  <c r="CO86" i="14"/>
  <c r="CP86" i="14"/>
  <c r="CQ86" i="14"/>
  <c r="CO87" i="14"/>
  <c r="CP87" i="14"/>
  <c r="CQ87" i="14"/>
  <c r="CO88" i="14"/>
  <c r="CP88" i="14"/>
  <c r="CQ88" i="14"/>
  <c r="CO89" i="14"/>
  <c r="CP89" i="14"/>
  <c r="CQ89" i="14"/>
  <c r="CO90" i="14"/>
  <c r="CP90" i="14"/>
  <c r="CQ90" i="14"/>
  <c r="CO91" i="14"/>
  <c r="CP91" i="14"/>
  <c r="CQ91" i="14"/>
  <c r="CO92" i="14"/>
  <c r="CP92" i="14"/>
  <c r="CQ92" i="14"/>
  <c r="CO93" i="14"/>
  <c r="CP93" i="14"/>
  <c r="CQ93" i="14"/>
  <c r="CO94" i="14"/>
  <c r="CP94" i="14"/>
  <c r="CQ94" i="14"/>
  <c r="CO95" i="14"/>
  <c r="CP95" i="14"/>
  <c r="CQ95" i="14"/>
  <c r="CO96" i="14"/>
  <c r="CP96" i="14"/>
  <c r="CQ96" i="14"/>
  <c r="CO97" i="14"/>
  <c r="CP97" i="14"/>
  <c r="CQ97" i="14"/>
  <c r="CO98" i="14"/>
  <c r="CP98" i="14"/>
  <c r="CQ98" i="14"/>
  <c r="CO99" i="14"/>
  <c r="CP99" i="14"/>
  <c r="CQ99" i="14"/>
  <c r="CO100" i="14"/>
  <c r="CP100" i="14"/>
  <c r="CQ100" i="14"/>
  <c r="CO101" i="14"/>
  <c r="CP101" i="14"/>
  <c r="CQ101" i="14"/>
  <c r="CO102" i="14"/>
  <c r="CP102" i="14"/>
  <c r="CQ102" i="14"/>
  <c r="CO103" i="14"/>
  <c r="CP103" i="14"/>
  <c r="CQ103" i="14"/>
  <c r="CO104" i="14"/>
  <c r="CP104" i="14"/>
  <c r="CQ104" i="14"/>
  <c r="CO105" i="14"/>
  <c r="CP105" i="14"/>
  <c r="CQ105" i="14"/>
  <c r="CO106" i="14"/>
  <c r="CP106" i="14"/>
  <c r="CQ106" i="14"/>
  <c r="CO107" i="14"/>
  <c r="CP107" i="14"/>
  <c r="CQ107" i="14"/>
  <c r="CO108" i="14"/>
  <c r="CP108" i="14"/>
  <c r="CQ108" i="14"/>
  <c r="CO109" i="14"/>
  <c r="CP109" i="14"/>
  <c r="CQ109" i="14"/>
  <c r="CO110" i="14"/>
  <c r="CP110" i="14"/>
  <c r="CQ110" i="14"/>
  <c r="CO111" i="14"/>
  <c r="CP111" i="14"/>
  <c r="CQ111" i="14"/>
  <c r="CO112" i="14"/>
  <c r="CP112" i="14"/>
  <c r="CQ112" i="14"/>
  <c r="CO113" i="14"/>
  <c r="CP113" i="14"/>
  <c r="CQ113" i="14"/>
  <c r="CO114" i="14"/>
  <c r="CP114" i="14"/>
  <c r="CQ114" i="14"/>
  <c r="CO115" i="14"/>
  <c r="CP115" i="14"/>
  <c r="CQ115" i="14"/>
  <c r="CO116" i="14"/>
  <c r="CP116" i="14"/>
  <c r="CQ116" i="14"/>
  <c r="CO117" i="14"/>
  <c r="CP117" i="14"/>
  <c r="CQ117" i="14"/>
  <c r="CO118" i="14"/>
  <c r="CP118" i="14"/>
  <c r="CQ118" i="14"/>
  <c r="CO119" i="14"/>
  <c r="CP119" i="14"/>
  <c r="CQ119" i="14"/>
  <c r="CO120" i="14"/>
  <c r="CP120" i="14"/>
  <c r="CQ120" i="14"/>
  <c r="CO121" i="14"/>
  <c r="CP121" i="14"/>
  <c r="CQ121" i="14"/>
  <c r="CO122" i="14"/>
  <c r="CP122" i="14"/>
  <c r="CQ122" i="14"/>
  <c r="CO123" i="14"/>
  <c r="CP123" i="14"/>
  <c r="CQ123" i="14"/>
  <c r="CO124" i="14"/>
  <c r="CP124" i="14"/>
  <c r="CQ124" i="14"/>
  <c r="CO125" i="14"/>
  <c r="CP125" i="14"/>
  <c r="CQ125" i="14"/>
  <c r="CO126" i="14"/>
  <c r="CP126" i="14"/>
  <c r="CQ126" i="14"/>
  <c r="CO127" i="14"/>
  <c r="CP127" i="14"/>
  <c r="CQ127" i="14"/>
  <c r="CO128" i="14"/>
  <c r="CP128" i="14"/>
  <c r="CQ128" i="14"/>
  <c r="CO129" i="14"/>
  <c r="CP129" i="14"/>
  <c r="CQ129" i="14"/>
  <c r="CO130" i="14"/>
  <c r="CP130" i="14"/>
  <c r="CQ130" i="14"/>
  <c r="CO131" i="14"/>
  <c r="CP131" i="14"/>
  <c r="CQ131" i="14"/>
  <c r="CO132" i="14"/>
  <c r="CP132" i="14"/>
  <c r="CQ132" i="14"/>
  <c r="CO133" i="14"/>
  <c r="CP133" i="14"/>
  <c r="CQ133" i="14"/>
  <c r="CO134" i="14"/>
  <c r="CP134" i="14"/>
  <c r="CQ134" i="14"/>
  <c r="CO135" i="14"/>
  <c r="CP135" i="14"/>
  <c r="CQ135" i="14"/>
  <c r="CO136" i="14"/>
  <c r="CP136" i="14"/>
  <c r="CQ136" i="14"/>
  <c r="CO137" i="14"/>
  <c r="CP137" i="14"/>
  <c r="CQ137" i="14"/>
  <c r="CO138" i="14"/>
  <c r="CP138" i="14"/>
  <c r="CQ138" i="14"/>
  <c r="CO139" i="14"/>
  <c r="CP139" i="14"/>
  <c r="CQ139" i="14"/>
  <c r="CO140" i="14"/>
  <c r="CP140" i="14"/>
  <c r="CQ140" i="14"/>
  <c r="CO141" i="14"/>
  <c r="CP141" i="14"/>
  <c r="CQ141" i="14"/>
  <c r="CO142" i="14"/>
  <c r="CP142" i="14"/>
  <c r="CQ142" i="14"/>
  <c r="CO143" i="14"/>
  <c r="CP143" i="14"/>
  <c r="CQ143" i="14"/>
  <c r="CO144" i="14"/>
  <c r="CP144" i="14"/>
  <c r="CQ144" i="14"/>
  <c r="CO145" i="14"/>
  <c r="CP145" i="14"/>
  <c r="CQ145" i="14"/>
  <c r="CO146" i="14"/>
  <c r="CP146" i="14"/>
  <c r="CQ146" i="14"/>
  <c r="CO147" i="14"/>
  <c r="CP147" i="14"/>
  <c r="CQ147" i="14"/>
  <c r="CO148" i="14"/>
  <c r="CP148" i="14"/>
  <c r="CQ148" i="14"/>
  <c r="CO149" i="14"/>
  <c r="CP149" i="14"/>
  <c r="CQ149" i="14"/>
  <c r="CO150" i="14"/>
  <c r="CP150" i="14"/>
  <c r="CQ150" i="14"/>
  <c r="CO151" i="14"/>
  <c r="CP151" i="14"/>
  <c r="CQ151" i="14"/>
  <c r="CO152" i="14"/>
  <c r="CP152" i="14"/>
  <c r="CQ152" i="14"/>
  <c r="CO153" i="14"/>
  <c r="CP153" i="14"/>
  <c r="CQ153" i="14"/>
  <c r="CO154" i="14"/>
  <c r="CP154" i="14"/>
  <c r="CQ154" i="14"/>
  <c r="CO155" i="14"/>
  <c r="CP155" i="14"/>
  <c r="CQ155" i="14"/>
  <c r="CO156" i="14"/>
  <c r="CP156" i="14"/>
  <c r="CQ156" i="14"/>
  <c r="CO157" i="14"/>
  <c r="CP157" i="14"/>
  <c r="CQ157" i="14"/>
  <c r="CO158" i="14"/>
  <c r="CP158" i="14"/>
  <c r="CQ158" i="14"/>
  <c r="CO159" i="14"/>
  <c r="CP159" i="14"/>
  <c r="CQ159" i="14"/>
  <c r="CO160" i="14"/>
  <c r="CP160" i="14"/>
  <c r="CQ160" i="14"/>
  <c r="CP161" i="14"/>
  <c r="CQ161" i="14"/>
  <c r="CP162" i="14"/>
  <c r="CQ162" i="14"/>
  <c r="CP163" i="14"/>
  <c r="CQ163" i="14"/>
  <c r="CP164" i="14"/>
  <c r="CQ164" i="14"/>
  <c r="CP165" i="14"/>
  <c r="CQ165" i="14"/>
  <c r="CP166" i="14"/>
  <c r="CQ166" i="14"/>
  <c r="CP167" i="14"/>
  <c r="CQ167" i="14"/>
  <c r="CO168" i="14"/>
  <c r="CP168" i="14"/>
  <c r="CQ168" i="14"/>
  <c r="CP169" i="14"/>
  <c r="CQ169" i="14"/>
  <c r="CP170" i="14"/>
  <c r="CQ170" i="14"/>
  <c r="CP171" i="14"/>
  <c r="CQ171" i="14"/>
  <c r="CP172" i="14"/>
  <c r="CQ172" i="14"/>
  <c r="CO173" i="14"/>
  <c r="CP173" i="14"/>
  <c r="CQ173" i="14"/>
  <c r="CP174" i="14"/>
  <c r="CQ174" i="14"/>
  <c r="CP175" i="14"/>
  <c r="CQ175" i="14"/>
  <c r="CP176" i="14"/>
  <c r="CQ176" i="14"/>
  <c r="CO177" i="14"/>
  <c r="CP177" i="14"/>
  <c r="CQ177" i="14"/>
  <c r="CP178" i="14"/>
  <c r="CQ178" i="14"/>
  <c r="CP179" i="14"/>
  <c r="CQ179" i="14"/>
  <c r="CO180" i="14"/>
  <c r="CP180" i="14"/>
  <c r="CQ180" i="14"/>
  <c r="CO181" i="14"/>
  <c r="CP181" i="14"/>
  <c r="CQ181" i="14"/>
  <c r="CO182" i="14"/>
  <c r="CP182" i="14"/>
  <c r="CQ182" i="14"/>
  <c r="BS3" i="14"/>
  <c r="BT3" i="14"/>
  <c r="BU3" i="14"/>
  <c r="BS4" i="14"/>
  <c r="BT4" i="14"/>
  <c r="BU4" i="14"/>
  <c r="BS5" i="14"/>
  <c r="BT5" i="14"/>
  <c r="BU5" i="14"/>
  <c r="BS6" i="14"/>
  <c r="BT6" i="14"/>
  <c r="BU6" i="14"/>
  <c r="BS7" i="14"/>
  <c r="BT7" i="14"/>
  <c r="BU7" i="14"/>
  <c r="BS8" i="14"/>
  <c r="BT8" i="14"/>
  <c r="BU8" i="14"/>
  <c r="BS9" i="14"/>
  <c r="BT9" i="14"/>
  <c r="BU9" i="14"/>
  <c r="BS10" i="14"/>
  <c r="BT10" i="14"/>
  <c r="BU10" i="14"/>
  <c r="BS11" i="14"/>
  <c r="BT11" i="14"/>
  <c r="BU11" i="14"/>
  <c r="BS12" i="14"/>
  <c r="BT12" i="14"/>
  <c r="BU12" i="14"/>
  <c r="BS13" i="14"/>
  <c r="BT13" i="14"/>
  <c r="BU13" i="14"/>
  <c r="AS3" i="14"/>
  <c r="AT3" i="14"/>
  <c r="AU3" i="14"/>
  <c r="AV3" i="14"/>
  <c r="AW3" i="14"/>
  <c r="AY3" i="14" s="1"/>
  <c r="AX3" i="14"/>
  <c r="AS4" i="14"/>
  <c r="AT4" i="14"/>
  <c r="AU4" i="14"/>
  <c r="AV4" i="14"/>
  <c r="AW4" i="14"/>
  <c r="AX4" i="14"/>
  <c r="AY4" i="14"/>
  <c r="AS5" i="14"/>
  <c r="AT5" i="14"/>
  <c r="AU5" i="14"/>
  <c r="AV5" i="14"/>
  <c r="AW5" i="14"/>
  <c r="AY5" i="14" s="1"/>
  <c r="AX5" i="14"/>
  <c r="AS6" i="14"/>
  <c r="AT6" i="14"/>
  <c r="AU6" i="14"/>
  <c r="AV6" i="14"/>
  <c r="AW6" i="14"/>
  <c r="AX6" i="14"/>
  <c r="AY6" i="14"/>
  <c r="AS7" i="14"/>
  <c r="AT7" i="14"/>
  <c r="AU7" i="14"/>
  <c r="AV7" i="14"/>
  <c r="AW7" i="14"/>
  <c r="AY7" i="14" s="1"/>
  <c r="AX7" i="14"/>
  <c r="AS8" i="14"/>
  <c r="AT8" i="14"/>
  <c r="AU8" i="14"/>
  <c r="AV8" i="14"/>
  <c r="AW8" i="14"/>
  <c r="AX8" i="14"/>
  <c r="AY8" i="14"/>
  <c r="AS9" i="14"/>
  <c r="AT9" i="14"/>
  <c r="AU9" i="14"/>
  <c r="AV9" i="14"/>
  <c r="AW9" i="14"/>
  <c r="AY9" i="14" s="1"/>
  <c r="AX9" i="14"/>
  <c r="AS10" i="14"/>
  <c r="AT10" i="14"/>
  <c r="AU10" i="14"/>
  <c r="AV10" i="14"/>
  <c r="AW10" i="14"/>
  <c r="AX10" i="14"/>
  <c r="AY10" i="14"/>
  <c r="AS11" i="14"/>
  <c r="AT11" i="14"/>
  <c r="AU11" i="14"/>
  <c r="AV11" i="14"/>
  <c r="AW11" i="14"/>
  <c r="AY11" i="14" s="1"/>
  <c r="AX11" i="14"/>
  <c r="AS12" i="14"/>
  <c r="AT12" i="14"/>
  <c r="AU12" i="14"/>
  <c r="AV12" i="14"/>
  <c r="AW12" i="14"/>
  <c r="AX12" i="14"/>
  <c r="AY12" i="14"/>
  <c r="AS13" i="14"/>
  <c r="AT13" i="14"/>
  <c r="AU13" i="14"/>
  <c r="AV13" i="14"/>
  <c r="AW13" i="14"/>
  <c r="AY13" i="14" s="1"/>
  <c r="AX13" i="14"/>
  <c r="AS14" i="14"/>
  <c r="AT14" i="14"/>
  <c r="AU14" i="14"/>
  <c r="AV14" i="14"/>
  <c r="AW14" i="14"/>
  <c r="AX14" i="14"/>
  <c r="AY14" i="14"/>
  <c r="AS15" i="14"/>
  <c r="AT15" i="14"/>
  <c r="AU15" i="14"/>
  <c r="AV15" i="14"/>
  <c r="AW15" i="14"/>
  <c r="AY15" i="14" s="1"/>
  <c r="AX15" i="14"/>
  <c r="AS16" i="14"/>
  <c r="AT16" i="14"/>
  <c r="AU16" i="14"/>
  <c r="AV16" i="14"/>
  <c r="AW16" i="14"/>
  <c r="AX16" i="14"/>
  <c r="AY16" i="14"/>
  <c r="AS17" i="14"/>
  <c r="AT17" i="14"/>
  <c r="AU17" i="14"/>
  <c r="AV17" i="14"/>
  <c r="AW17" i="14"/>
  <c r="AY17" i="14" s="1"/>
  <c r="AX17" i="14"/>
  <c r="AS18" i="14"/>
  <c r="AT18" i="14"/>
  <c r="AU18" i="14"/>
  <c r="AV18" i="14"/>
  <c r="AW18" i="14"/>
  <c r="AX18" i="14"/>
  <c r="AY18" i="14"/>
  <c r="AS19" i="14"/>
  <c r="AT19" i="14"/>
  <c r="AU19" i="14"/>
  <c r="AV19" i="14"/>
  <c r="AW19" i="14"/>
  <c r="AY19" i="14" s="1"/>
  <c r="AX19" i="14"/>
  <c r="AS20" i="14"/>
  <c r="AT20" i="14"/>
  <c r="AU20" i="14"/>
  <c r="AV20" i="14"/>
  <c r="AW20" i="14"/>
  <c r="AX20" i="14"/>
  <c r="AY20" i="14"/>
  <c r="AS21" i="14"/>
  <c r="AT21" i="14"/>
  <c r="AU21" i="14"/>
  <c r="AV21" i="14"/>
  <c r="AW21" i="14"/>
  <c r="AY21" i="14" s="1"/>
  <c r="AX21" i="14"/>
  <c r="AS22" i="14"/>
  <c r="AT22" i="14"/>
  <c r="AU22" i="14"/>
  <c r="AV22" i="14"/>
  <c r="AW22" i="14"/>
  <c r="AX22" i="14"/>
  <c r="AY22" i="14"/>
  <c r="AS23" i="14"/>
  <c r="AT23" i="14"/>
  <c r="AU23" i="14"/>
  <c r="AV23" i="14"/>
  <c r="AW23" i="14"/>
  <c r="AY23" i="14" s="1"/>
  <c r="AX23" i="14"/>
  <c r="AS24" i="14"/>
  <c r="AT24" i="14"/>
  <c r="AU24" i="14"/>
  <c r="AV24" i="14"/>
  <c r="AW24" i="14"/>
  <c r="AX24" i="14"/>
  <c r="AY24" i="14"/>
  <c r="AS25" i="14"/>
  <c r="AT25" i="14"/>
  <c r="AU25" i="14"/>
  <c r="AV25" i="14"/>
  <c r="AW25" i="14"/>
  <c r="AY25" i="14" s="1"/>
  <c r="AX25" i="14"/>
  <c r="AS26" i="14"/>
  <c r="AT26" i="14"/>
  <c r="AU26" i="14"/>
  <c r="AV26" i="14"/>
  <c r="AW26" i="14"/>
  <c r="AX26" i="14"/>
  <c r="AY26" i="14"/>
  <c r="AS27" i="14"/>
  <c r="AT27" i="14"/>
  <c r="AU27" i="14"/>
  <c r="AV27" i="14"/>
  <c r="AW27" i="14"/>
  <c r="AY27" i="14" s="1"/>
  <c r="AX27" i="14"/>
  <c r="AS28" i="14"/>
  <c r="AT28" i="14"/>
  <c r="AU28" i="14"/>
  <c r="AV28" i="14"/>
  <c r="AW28" i="14"/>
  <c r="AX28" i="14"/>
  <c r="AY28" i="14"/>
  <c r="AS29" i="14"/>
  <c r="AT29" i="14"/>
  <c r="AU29" i="14"/>
  <c r="AV29" i="14"/>
  <c r="AW29" i="14"/>
  <c r="AY29" i="14" s="1"/>
  <c r="AX29" i="14"/>
  <c r="AS30" i="14"/>
  <c r="AT30" i="14"/>
  <c r="AU30" i="14"/>
  <c r="AV30" i="14"/>
  <c r="AW30" i="14"/>
  <c r="AX30" i="14"/>
  <c r="AY30" i="14"/>
  <c r="AS31" i="14"/>
  <c r="AT31" i="14"/>
  <c r="AU31" i="14"/>
  <c r="AV31" i="14"/>
  <c r="AW31" i="14"/>
  <c r="AY31" i="14" s="1"/>
  <c r="AX31" i="14"/>
  <c r="AS32" i="14"/>
  <c r="AT32" i="14"/>
  <c r="AU32" i="14"/>
  <c r="AV32" i="14"/>
  <c r="AW32" i="14"/>
  <c r="AX32" i="14"/>
  <c r="AY32" i="14"/>
  <c r="AS33" i="14"/>
  <c r="AT33" i="14"/>
  <c r="AU33" i="14"/>
  <c r="AV33" i="14"/>
  <c r="AW33" i="14"/>
  <c r="AY33" i="14" s="1"/>
  <c r="AX33" i="14"/>
  <c r="AS34" i="14"/>
  <c r="AT34" i="14"/>
  <c r="AU34" i="14"/>
  <c r="AV34" i="14"/>
  <c r="AW34" i="14"/>
  <c r="AX34" i="14"/>
  <c r="AY34" i="14"/>
  <c r="AS35" i="14"/>
  <c r="AT35" i="14"/>
  <c r="AU35" i="14"/>
  <c r="AV35" i="14"/>
  <c r="AW35" i="14"/>
  <c r="AY35" i="14" s="1"/>
  <c r="AX35" i="14"/>
  <c r="AS36" i="14"/>
  <c r="AT36" i="14"/>
  <c r="AU36" i="14"/>
  <c r="AV36" i="14"/>
  <c r="AW36" i="14"/>
  <c r="AX36" i="14"/>
  <c r="AY36" i="14"/>
  <c r="AS37" i="14"/>
  <c r="AT37" i="14"/>
  <c r="AU37" i="14"/>
  <c r="AV37" i="14"/>
  <c r="AW37" i="14"/>
  <c r="AY37" i="14" s="1"/>
  <c r="AX37" i="14"/>
  <c r="AS38" i="14"/>
  <c r="AT38" i="14"/>
  <c r="AU38" i="14"/>
  <c r="AV38" i="14"/>
  <c r="AW38" i="14"/>
  <c r="AX38" i="14"/>
  <c r="AY38" i="14"/>
  <c r="AS39" i="14"/>
  <c r="AT39" i="14"/>
  <c r="AU39" i="14"/>
  <c r="AV39" i="14"/>
  <c r="AW39" i="14"/>
  <c r="AY39" i="14" s="1"/>
  <c r="AX39" i="14"/>
  <c r="AS40" i="14"/>
  <c r="AT40" i="14"/>
  <c r="AU40" i="14"/>
  <c r="AV40" i="14"/>
  <c r="AW40" i="14"/>
  <c r="AX40" i="14"/>
  <c r="AY40" i="14"/>
  <c r="AS41" i="14"/>
  <c r="AT41" i="14"/>
  <c r="AU41" i="14"/>
  <c r="AV41" i="14"/>
  <c r="AW41" i="14"/>
  <c r="AY41" i="14" s="1"/>
  <c r="AX41" i="14"/>
  <c r="AS42" i="14"/>
  <c r="AT42" i="14"/>
  <c r="AU42" i="14"/>
  <c r="AV42" i="14"/>
  <c r="AW42" i="14"/>
  <c r="AX42" i="14"/>
  <c r="AY42" i="14"/>
  <c r="AS43" i="14"/>
  <c r="AT43" i="14"/>
  <c r="AU43" i="14"/>
  <c r="AV43" i="14"/>
  <c r="AW43" i="14"/>
  <c r="AY43" i="14" s="1"/>
  <c r="AX43" i="14"/>
  <c r="AS44" i="14"/>
  <c r="AT44" i="14"/>
  <c r="AU44" i="14"/>
  <c r="AV44" i="14"/>
  <c r="AW44" i="14"/>
  <c r="AX44" i="14"/>
  <c r="AY44" i="14"/>
  <c r="AS45" i="14"/>
  <c r="AT45" i="14"/>
  <c r="AU45" i="14"/>
  <c r="AV45" i="14"/>
  <c r="AW45" i="14"/>
  <c r="AY45" i="14" s="1"/>
  <c r="AX45" i="14"/>
  <c r="AS46" i="14"/>
  <c r="AT46" i="14"/>
  <c r="AU46" i="14"/>
  <c r="AV46" i="14"/>
  <c r="AW46" i="14"/>
  <c r="AX46" i="14"/>
  <c r="AY46" i="14"/>
  <c r="AS47" i="14"/>
  <c r="AT47" i="14"/>
  <c r="AU47" i="14"/>
  <c r="AV47" i="14"/>
  <c r="AW47" i="14"/>
  <c r="AY47" i="14" s="1"/>
  <c r="AX47" i="14"/>
  <c r="AS48" i="14"/>
  <c r="AT48" i="14"/>
  <c r="AU48" i="14"/>
  <c r="AV48" i="14"/>
  <c r="AW48" i="14"/>
  <c r="AX48" i="14"/>
  <c r="AY48" i="14"/>
  <c r="AS49" i="14"/>
  <c r="AT49" i="14"/>
  <c r="AU49" i="14"/>
  <c r="AV49" i="14"/>
  <c r="AW49" i="14"/>
  <c r="AY49" i="14" s="1"/>
  <c r="AX49" i="14"/>
  <c r="AS50" i="14"/>
  <c r="AT50" i="14"/>
  <c r="AU50" i="14"/>
  <c r="AV50" i="14"/>
  <c r="AW50" i="14"/>
  <c r="AX50" i="14"/>
  <c r="AY50" i="14"/>
  <c r="AS51" i="14"/>
  <c r="AT51" i="14"/>
  <c r="AU51" i="14"/>
  <c r="AV51" i="14"/>
  <c r="AW51" i="14"/>
  <c r="AY51" i="14" s="1"/>
  <c r="AX51" i="14"/>
  <c r="AS52" i="14"/>
  <c r="AT52" i="14"/>
  <c r="AU52" i="14"/>
  <c r="AV52" i="14"/>
  <c r="AW52" i="14"/>
  <c r="AX52" i="14"/>
  <c r="AY52" i="14"/>
  <c r="AS53" i="14"/>
  <c r="AT53" i="14"/>
  <c r="AU53" i="14"/>
  <c r="AV53" i="14"/>
  <c r="AW53" i="14"/>
  <c r="AY53" i="14" s="1"/>
  <c r="AX53" i="14"/>
  <c r="AS54" i="14"/>
  <c r="AT54" i="14"/>
  <c r="AU54" i="14"/>
  <c r="AV54" i="14"/>
  <c r="AW54" i="14"/>
  <c r="AX54" i="14"/>
  <c r="AY54" i="14"/>
  <c r="AS55" i="14"/>
  <c r="AT55" i="14"/>
  <c r="AU55" i="14"/>
  <c r="AV55" i="14"/>
  <c r="AW55" i="14"/>
  <c r="AY55" i="14" s="1"/>
  <c r="AX55" i="14"/>
  <c r="AS56" i="14"/>
  <c r="AT56" i="14"/>
  <c r="AU56" i="14"/>
  <c r="AV56" i="14"/>
  <c r="AW56" i="14"/>
  <c r="AX56" i="14"/>
  <c r="AY56" i="14"/>
  <c r="AS57" i="14"/>
  <c r="AT57" i="14"/>
  <c r="AU57" i="14"/>
  <c r="AV57" i="14"/>
  <c r="AW57" i="14"/>
  <c r="AY57" i="14" s="1"/>
  <c r="AX57" i="14"/>
  <c r="AS58" i="14"/>
  <c r="AT58" i="14"/>
  <c r="AU58" i="14"/>
  <c r="AV58" i="14"/>
  <c r="AW58" i="14"/>
  <c r="AX58" i="14"/>
  <c r="AY58" i="14"/>
  <c r="AS59" i="14"/>
  <c r="AT59" i="14"/>
  <c r="AU59" i="14"/>
  <c r="AV59" i="14"/>
  <c r="AW59" i="14"/>
  <c r="AY59" i="14" s="1"/>
  <c r="AX59" i="14"/>
  <c r="AS60" i="14"/>
  <c r="AT60" i="14"/>
  <c r="AU60" i="14"/>
  <c r="AV60" i="14"/>
  <c r="AW60" i="14"/>
  <c r="AX60" i="14"/>
  <c r="AY60" i="14"/>
  <c r="AS61" i="14"/>
  <c r="AT61" i="14"/>
  <c r="AU61" i="14"/>
  <c r="AV61" i="14"/>
  <c r="AW61" i="14"/>
  <c r="AY61" i="14" s="1"/>
  <c r="AX61" i="14"/>
  <c r="AS62" i="14"/>
  <c r="AT62" i="14"/>
  <c r="AU62" i="14"/>
  <c r="AV62" i="14"/>
  <c r="AW62" i="14"/>
  <c r="AX62" i="14"/>
  <c r="AY62" i="14"/>
  <c r="AS63" i="14"/>
  <c r="AT63" i="14"/>
  <c r="AU63" i="14"/>
  <c r="AV63" i="14" s="1"/>
  <c r="AW63" i="14"/>
  <c r="AY63" i="14" s="1"/>
  <c r="AX63" i="14"/>
  <c r="AS64" i="14"/>
  <c r="AT64" i="14"/>
  <c r="AU64" i="14"/>
  <c r="AV64" i="14"/>
  <c r="AW64" i="14"/>
  <c r="AX64" i="14"/>
  <c r="AY64" i="14"/>
  <c r="AS65" i="14"/>
  <c r="AT65" i="14"/>
  <c r="AU65" i="14"/>
  <c r="AV65" i="14" s="1"/>
  <c r="AW65" i="14"/>
  <c r="AY65" i="14" s="1"/>
  <c r="AX65" i="14"/>
  <c r="AS66" i="14"/>
  <c r="AT66" i="14"/>
  <c r="AU66" i="14"/>
  <c r="AV66" i="14"/>
  <c r="AW66" i="14"/>
  <c r="AX66" i="14"/>
  <c r="AY66" i="14"/>
  <c r="AS67" i="14"/>
  <c r="AT67" i="14"/>
  <c r="AU67" i="14"/>
  <c r="AV67" i="14" s="1"/>
  <c r="AW67" i="14"/>
  <c r="AY67" i="14" s="1"/>
  <c r="AX67" i="14"/>
  <c r="AS68" i="14"/>
  <c r="AT68" i="14"/>
  <c r="AU68" i="14"/>
  <c r="AV68" i="14"/>
  <c r="AW68" i="14"/>
  <c r="AX68" i="14"/>
  <c r="AY68" i="14"/>
  <c r="AS69" i="14"/>
  <c r="AT69" i="14"/>
  <c r="AU69" i="14"/>
  <c r="AV69" i="14" s="1"/>
  <c r="AW69" i="14"/>
  <c r="AY69" i="14" s="1"/>
  <c r="AX69" i="14"/>
  <c r="AS70" i="14"/>
  <c r="AT70" i="14"/>
  <c r="AU70" i="14"/>
  <c r="AV70" i="14"/>
  <c r="AW70" i="14"/>
  <c r="AX70" i="14"/>
  <c r="AY70" i="14"/>
  <c r="AS71" i="14"/>
  <c r="AT71" i="14"/>
  <c r="AU71" i="14"/>
  <c r="AV71" i="14" s="1"/>
  <c r="AW71" i="14"/>
  <c r="AY71" i="14" s="1"/>
  <c r="AX71" i="14"/>
  <c r="AS72" i="14"/>
  <c r="AT72" i="14"/>
  <c r="AU72" i="14"/>
  <c r="AV72" i="14"/>
  <c r="AW72" i="14"/>
  <c r="AX72" i="14"/>
  <c r="AY72" i="14"/>
  <c r="AS73" i="14"/>
  <c r="AT73" i="14"/>
  <c r="AU73" i="14"/>
  <c r="AV73" i="14" s="1"/>
  <c r="AW73" i="14"/>
  <c r="AY73" i="14" s="1"/>
  <c r="AX73" i="14"/>
  <c r="AS74" i="14"/>
  <c r="AT74" i="14"/>
  <c r="AU74" i="14"/>
  <c r="AV74" i="14"/>
  <c r="AW74" i="14"/>
  <c r="AX74" i="14"/>
  <c r="AY74" i="14"/>
  <c r="AS75" i="14"/>
  <c r="AT75" i="14"/>
  <c r="AU75" i="14"/>
  <c r="AV75" i="14" s="1"/>
  <c r="AW75" i="14"/>
  <c r="AY75" i="14" s="1"/>
  <c r="AX75" i="14"/>
  <c r="AS76" i="14"/>
  <c r="AT76" i="14"/>
  <c r="AU76" i="14"/>
  <c r="AV76" i="14"/>
  <c r="AW76" i="14"/>
  <c r="AX76" i="14"/>
  <c r="AY76" i="14"/>
  <c r="AS77" i="14"/>
  <c r="AT77" i="14"/>
  <c r="AU77" i="14"/>
  <c r="AV77" i="14" s="1"/>
  <c r="AW77" i="14"/>
  <c r="AY77" i="14" s="1"/>
  <c r="AX77" i="14"/>
  <c r="AS78" i="14"/>
  <c r="AT78" i="14"/>
  <c r="AU78" i="14"/>
  <c r="AV78" i="14"/>
  <c r="AW78" i="14"/>
  <c r="AX78" i="14"/>
  <c r="AY78" i="14"/>
  <c r="AS79" i="14"/>
  <c r="AT79" i="14"/>
  <c r="AU79" i="14"/>
  <c r="AV79" i="14" s="1"/>
  <c r="AW79" i="14"/>
  <c r="AY79" i="14" s="1"/>
  <c r="AX79" i="14"/>
  <c r="AS80" i="14"/>
  <c r="AT80" i="14"/>
  <c r="AU80" i="14"/>
  <c r="AV80" i="14"/>
  <c r="AW80" i="14"/>
  <c r="AX80" i="14"/>
  <c r="AY80" i="14"/>
  <c r="AS81" i="14"/>
  <c r="AT81" i="14"/>
  <c r="AU81" i="14"/>
  <c r="AV81" i="14" s="1"/>
  <c r="AW81" i="14"/>
  <c r="AY81" i="14" s="1"/>
  <c r="AX81" i="14"/>
  <c r="AS82" i="14"/>
  <c r="AT82" i="14"/>
  <c r="AU82" i="14"/>
  <c r="AV82" i="14"/>
  <c r="AW82" i="14"/>
  <c r="AX82" i="14"/>
  <c r="AY82" i="14"/>
  <c r="AS83" i="14"/>
  <c r="AT83" i="14"/>
  <c r="AU83" i="14"/>
  <c r="AV83" i="14" s="1"/>
  <c r="AW83" i="14"/>
  <c r="AY83" i="14" s="1"/>
  <c r="AX83" i="14"/>
  <c r="AS84" i="14"/>
  <c r="AT84" i="14"/>
  <c r="AU84" i="14"/>
  <c r="AV84" i="14"/>
  <c r="AW84" i="14"/>
  <c r="AX84" i="14"/>
  <c r="AY84" i="14"/>
  <c r="AS85" i="14"/>
  <c r="AT85" i="14"/>
  <c r="AU85" i="14"/>
  <c r="AV85" i="14" s="1"/>
  <c r="AW85" i="14"/>
  <c r="AY85" i="14" s="1"/>
  <c r="AX85" i="14"/>
  <c r="AS86" i="14"/>
  <c r="AT86" i="14"/>
  <c r="AU86" i="14"/>
  <c r="AV86" i="14"/>
  <c r="AW86" i="14"/>
  <c r="AX86" i="14"/>
  <c r="AY86" i="14"/>
  <c r="AS87" i="14"/>
  <c r="AT87" i="14"/>
  <c r="AU87" i="14"/>
  <c r="AV87" i="14" s="1"/>
  <c r="AW87" i="14"/>
  <c r="AY87" i="14" s="1"/>
  <c r="AX87" i="14"/>
  <c r="AS88" i="14"/>
  <c r="AT88" i="14"/>
  <c r="AU88" i="14"/>
  <c r="AV88" i="14"/>
  <c r="AW88" i="14"/>
  <c r="AX88" i="14"/>
  <c r="AY88" i="14"/>
  <c r="AS89" i="14"/>
  <c r="AT89" i="14"/>
  <c r="AU89" i="14"/>
  <c r="AV89" i="14" s="1"/>
  <c r="AW89" i="14"/>
  <c r="AY89" i="14" s="1"/>
  <c r="AX89" i="14"/>
  <c r="AS90" i="14"/>
  <c r="AT90" i="14"/>
  <c r="AU90" i="14"/>
  <c r="AV90" i="14"/>
  <c r="AW90" i="14"/>
  <c r="AX90" i="14"/>
  <c r="AY90" i="14"/>
  <c r="AS91" i="14"/>
  <c r="AT91" i="14"/>
  <c r="AU91" i="14"/>
  <c r="AV91" i="14" s="1"/>
  <c r="AW91" i="14"/>
  <c r="AY91" i="14" s="1"/>
  <c r="AX91" i="14"/>
  <c r="AS92" i="14"/>
  <c r="AT92" i="14"/>
  <c r="AU92" i="14"/>
  <c r="AV92" i="14"/>
  <c r="AW92" i="14"/>
  <c r="AX92" i="14"/>
  <c r="AY92" i="14"/>
  <c r="AS93" i="14"/>
  <c r="AT93" i="14"/>
  <c r="AU93" i="14"/>
  <c r="AV93" i="14" s="1"/>
  <c r="AW93" i="14"/>
  <c r="AY93" i="14" s="1"/>
  <c r="AX93" i="14"/>
  <c r="AS94" i="14"/>
  <c r="AT94" i="14"/>
  <c r="AU94" i="14"/>
  <c r="AV94" i="14"/>
  <c r="AW94" i="14"/>
  <c r="AX94" i="14"/>
  <c r="AY94" i="14"/>
  <c r="AS95" i="14"/>
  <c r="AT95" i="14"/>
  <c r="AU95" i="14"/>
  <c r="AV95" i="14" s="1"/>
  <c r="AW95" i="14"/>
  <c r="AY95" i="14" s="1"/>
  <c r="AX95" i="14"/>
  <c r="AS96" i="14"/>
  <c r="AT96" i="14"/>
  <c r="AU96" i="14"/>
  <c r="AV96" i="14"/>
  <c r="AW96" i="14"/>
  <c r="AX96" i="14"/>
  <c r="AY96" i="14"/>
  <c r="AS97" i="14"/>
  <c r="AT97" i="14"/>
  <c r="AU97" i="14"/>
  <c r="AV97" i="14" s="1"/>
  <c r="AW97" i="14"/>
  <c r="AY97" i="14" s="1"/>
  <c r="AX97" i="14"/>
  <c r="AS98" i="14"/>
  <c r="AT98" i="14"/>
  <c r="AU98" i="14"/>
  <c r="AV98" i="14"/>
  <c r="AW98" i="14"/>
  <c r="AX98" i="14"/>
  <c r="AY98" i="14"/>
  <c r="AS99" i="14"/>
  <c r="AT99" i="14"/>
  <c r="AU99" i="14"/>
  <c r="AV99" i="14" s="1"/>
  <c r="AW99" i="14"/>
  <c r="AY99" i="14" s="1"/>
  <c r="AX99" i="14"/>
  <c r="AS100" i="14"/>
  <c r="AT100" i="14"/>
  <c r="AU100" i="14"/>
  <c r="AV100" i="14"/>
  <c r="AW100" i="14"/>
  <c r="AX100" i="14"/>
  <c r="AY100" i="14"/>
  <c r="AS101" i="14"/>
  <c r="AT101" i="14"/>
  <c r="AU101" i="14"/>
  <c r="AV101" i="14" s="1"/>
  <c r="AW101" i="14"/>
  <c r="AY101" i="14" s="1"/>
  <c r="AX101" i="14"/>
  <c r="AS102" i="14"/>
  <c r="AT102" i="14"/>
  <c r="AU102" i="14"/>
  <c r="AV102" i="14"/>
  <c r="AW102" i="14"/>
  <c r="AX102" i="14"/>
  <c r="AY102" i="14"/>
  <c r="AS103" i="14"/>
  <c r="AT103" i="14"/>
  <c r="AU103" i="14"/>
  <c r="AV103" i="14" s="1"/>
  <c r="AW103" i="14"/>
  <c r="AY103" i="14" s="1"/>
  <c r="AX103" i="14"/>
  <c r="S3" i="14"/>
  <c r="T3" i="14"/>
  <c r="U3" i="14" s="1"/>
  <c r="V3" i="14"/>
  <c r="W3" i="14"/>
  <c r="X3" i="14"/>
  <c r="Y3" i="14"/>
  <c r="S4" i="14"/>
  <c r="T4" i="14"/>
  <c r="U4" i="14" s="1"/>
  <c r="V4" i="14"/>
  <c r="W4" i="14"/>
  <c r="X4" i="14"/>
  <c r="Y4" i="14"/>
  <c r="S5" i="14"/>
  <c r="T5" i="14"/>
  <c r="U5" i="14" s="1"/>
  <c r="V5" i="14"/>
  <c r="W5" i="14"/>
  <c r="X5" i="14"/>
  <c r="Y5" i="14"/>
  <c r="S6" i="14"/>
  <c r="T6" i="14"/>
  <c r="U6" i="14" s="1"/>
  <c r="V6" i="14"/>
  <c r="W6" i="14"/>
  <c r="X6" i="14"/>
  <c r="Y6" i="14"/>
  <c r="S7" i="14"/>
  <c r="T7" i="14"/>
  <c r="U7" i="14" s="1"/>
  <c r="V7" i="14"/>
  <c r="W7" i="14"/>
  <c r="X7" i="14"/>
  <c r="Y7" i="14"/>
  <c r="S8" i="14"/>
  <c r="T8" i="14"/>
  <c r="U8" i="14" s="1"/>
  <c r="V8" i="14"/>
  <c r="W8" i="14"/>
  <c r="X8" i="14"/>
  <c r="Y8" i="14"/>
  <c r="S9" i="14"/>
  <c r="T9" i="14"/>
  <c r="U9" i="14" s="1"/>
  <c r="V9" i="14"/>
  <c r="W9" i="14"/>
  <c r="X9" i="14"/>
  <c r="Y9" i="14"/>
  <c r="S10" i="14"/>
  <c r="T10" i="14"/>
  <c r="U10" i="14" s="1"/>
  <c r="V10" i="14"/>
  <c r="W10" i="14"/>
  <c r="X10" i="14"/>
  <c r="Y10" i="14"/>
  <c r="S11" i="14"/>
  <c r="T11" i="14"/>
  <c r="U11" i="14" s="1"/>
  <c r="V11" i="14"/>
  <c r="W11" i="14"/>
  <c r="X11" i="14"/>
  <c r="Y11" i="14"/>
  <c r="S12" i="14"/>
  <c r="T12" i="14"/>
  <c r="U12" i="14" s="1"/>
  <c r="V12" i="14"/>
  <c r="W12" i="14"/>
  <c r="X12" i="14"/>
  <c r="Y12" i="14"/>
  <c r="S13" i="14"/>
  <c r="T13" i="14"/>
  <c r="U13" i="14" s="1"/>
  <c r="V13" i="14"/>
  <c r="W13" i="14"/>
  <c r="X13" i="14"/>
  <c r="Y13" i="14"/>
  <c r="S14" i="14"/>
  <c r="T14" i="14"/>
  <c r="U14" i="14" s="1"/>
  <c r="V14" i="14"/>
  <c r="W14" i="14"/>
  <c r="X14" i="14"/>
  <c r="Y14" i="14"/>
  <c r="S15" i="14"/>
  <c r="T15" i="14"/>
  <c r="U15" i="14" s="1"/>
  <c r="V15" i="14"/>
  <c r="W15" i="14"/>
  <c r="X15" i="14"/>
  <c r="Y15" i="14"/>
  <c r="S16" i="14"/>
  <c r="T16" i="14"/>
  <c r="U16" i="14" s="1"/>
  <c r="V16" i="14"/>
  <c r="W16" i="14"/>
  <c r="X16" i="14"/>
  <c r="Y16" i="14"/>
  <c r="S17" i="14"/>
  <c r="T17" i="14"/>
  <c r="U17" i="14" s="1"/>
  <c r="V17" i="14"/>
  <c r="W17" i="14"/>
  <c r="X17" i="14"/>
  <c r="Y17" i="14"/>
  <c r="S18" i="14"/>
  <c r="T18" i="14"/>
  <c r="U18" i="14" s="1"/>
  <c r="V18" i="14"/>
  <c r="W18" i="14"/>
  <c r="X18" i="14"/>
  <c r="Y18" i="14"/>
  <c r="S19" i="14"/>
  <c r="T19" i="14"/>
  <c r="U19" i="14" s="1"/>
  <c r="V19" i="14"/>
  <c r="W19" i="14"/>
  <c r="X19" i="14"/>
  <c r="Y19" i="14"/>
  <c r="S20" i="14"/>
  <c r="T20" i="14"/>
  <c r="U20" i="14" s="1"/>
  <c r="V20" i="14"/>
  <c r="W20" i="14"/>
  <c r="X20" i="14"/>
  <c r="Y20" i="14"/>
  <c r="S21" i="14"/>
  <c r="T21" i="14"/>
  <c r="U21" i="14" s="1"/>
  <c r="V21" i="14"/>
  <c r="W21" i="14"/>
  <c r="X21" i="14"/>
  <c r="Y21" i="14"/>
  <c r="S22" i="14"/>
  <c r="T22" i="14"/>
  <c r="U22" i="14" s="1"/>
  <c r="V22" i="14"/>
  <c r="W22" i="14"/>
  <c r="X22" i="14"/>
  <c r="Y22" i="14"/>
  <c r="S23" i="14"/>
  <c r="T23" i="14"/>
  <c r="U23" i="14" s="1"/>
  <c r="V23" i="14"/>
  <c r="W23" i="14"/>
  <c r="X23" i="14"/>
  <c r="Y23" i="14"/>
  <c r="S24" i="14"/>
  <c r="T24" i="14"/>
  <c r="U24" i="14" s="1"/>
  <c r="V24" i="14"/>
  <c r="W24" i="14"/>
  <c r="X24" i="14"/>
  <c r="Y24" i="14"/>
  <c r="S25" i="14"/>
  <c r="T25" i="14"/>
  <c r="U25" i="14" s="1"/>
  <c r="V25" i="14"/>
  <c r="W25" i="14"/>
  <c r="X25" i="14"/>
  <c r="Y25" i="14"/>
  <c r="S26" i="14"/>
  <c r="T26" i="14"/>
  <c r="U26" i="14" s="1"/>
  <c r="V26" i="14"/>
  <c r="W26" i="14"/>
  <c r="X26" i="14"/>
  <c r="Y26" i="14"/>
  <c r="S27" i="14"/>
  <c r="T27" i="14"/>
  <c r="U27" i="14" s="1"/>
  <c r="V27" i="14"/>
  <c r="W27" i="14"/>
  <c r="X27" i="14"/>
  <c r="Y27" i="14"/>
  <c r="S28" i="14"/>
  <c r="T28" i="14"/>
  <c r="U28" i="14" s="1"/>
  <c r="V28" i="14"/>
  <c r="W28" i="14"/>
  <c r="X28" i="14"/>
  <c r="Y28" i="14"/>
  <c r="S29" i="14"/>
  <c r="T29" i="14"/>
  <c r="U29" i="14" s="1"/>
  <c r="V29" i="14"/>
  <c r="W29" i="14"/>
  <c r="X29" i="14"/>
  <c r="Y29" i="14"/>
  <c r="S30" i="14"/>
  <c r="T30" i="14"/>
  <c r="U30" i="14" s="1"/>
  <c r="V30" i="14"/>
  <c r="W30" i="14"/>
  <c r="X30" i="14"/>
  <c r="Y30" i="14"/>
  <c r="S31" i="14"/>
  <c r="T31" i="14"/>
  <c r="U31" i="14" s="1"/>
  <c r="V31" i="14"/>
  <c r="W31" i="14"/>
  <c r="X31" i="14"/>
  <c r="Y31" i="14"/>
  <c r="S32" i="14"/>
  <c r="T32" i="14"/>
  <c r="U32" i="14" s="1"/>
  <c r="V32" i="14"/>
  <c r="W32" i="14"/>
  <c r="X32" i="14"/>
  <c r="Y32" i="14"/>
  <c r="S33" i="14"/>
  <c r="T33" i="14"/>
  <c r="U33" i="14" s="1"/>
  <c r="V33" i="14"/>
  <c r="W33" i="14"/>
  <c r="X33" i="14"/>
  <c r="Y33" i="14"/>
  <c r="S34" i="14"/>
  <c r="T34" i="14"/>
  <c r="U34" i="14" s="1"/>
  <c r="V34" i="14"/>
  <c r="W34" i="14"/>
  <c r="X34" i="14"/>
  <c r="Y34" i="14"/>
  <c r="S35" i="14"/>
  <c r="T35" i="14"/>
  <c r="U35" i="14" s="1"/>
  <c r="V35" i="14"/>
  <c r="W35" i="14"/>
  <c r="X35" i="14"/>
  <c r="Y35" i="14"/>
  <c r="S36" i="14"/>
  <c r="T36" i="14"/>
  <c r="U36" i="14" s="1"/>
  <c r="V36" i="14"/>
  <c r="W36" i="14"/>
  <c r="X36" i="14"/>
  <c r="Y36" i="14"/>
  <c r="S37" i="14"/>
  <c r="T37" i="14"/>
  <c r="U37" i="14" s="1"/>
  <c r="V37" i="14"/>
  <c r="W37" i="14"/>
  <c r="X37" i="14"/>
  <c r="Y37" i="14"/>
  <c r="S38" i="14"/>
  <c r="T38" i="14"/>
  <c r="U38" i="14" s="1"/>
  <c r="V38" i="14"/>
  <c r="W38" i="14"/>
  <c r="X38" i="14"/>
  <c r="Y38" i="14"/>
  <c r="S39" i="14"/>
  <c r="T39" i="14"/>
  <c r="U39" i="14" s="1"/>
  <c r="V39" i="14"/>
  <c r="W39" i="14"/>
  <c r="X39" i="14"/>
  <c r="Y39" i="14"/>
  <c r="S40" i="14"/>
  <c r="T40" i="14"/>
  <c r="U40" i="14" s="1"/>
  <c r="V40" i="14"/>
  <c r="W40" i="14"/>
  <c r="X40" i="14"/>
  <c r="Y40" i="14"/>
  <c r="S41" i="14"/>
  <c r="T41" i="14"/>
  <c r="U41" i="14" s="1"/>
  <c r="V41" i="14"/>
  <c r="W41" i="14"/>
  <c r="X41" i="14"/>
  <c r="Y41" i="14"/>
  <c r="S42" i="14"/>
  <c r="T42" i="14"/>
  <c r="U42" i="14" s="1"/>
  <c r="V42" i="14"/>
  <c r="W42" i="14"/>
  <c r="X42" i="14"/>
  <c r="Y42" i="14"/>
  <c r="S43" i="14"/>
  <c r="T43" i="14"/>
  <c r="U43" i="14" s="1"/>
  <c r="V43" i="14"/>
  <c r="W43" i="14"/>
  <c r="X43" i="14"/>
  <c r="Y43" i="14"/>
  <c r="S44" i="14"/>
  <c r="T44" i="14"/>
  <c r="U44" i="14" s="1"/>
  <c r="V44" i="14"/>
  <c r="W44" i="14"/>
  <c r="X44" i="14"/>
  <c r="Y44" i="14"/>
  <c r="S45" i="14"/>
  <c r="T45" i="14"/>
  <c r="U45" i="14" s="1"/>
  <c r="V45" i="14"/>
  <c r="W45" i="14"/>
  <c r="X45" i="14"/>
  <c r="Y45" i="14"/>
  <c r="S46" i="14"/>
  <c r="T46" i="14"/>
  <c r="U46" i="14" s="1"/>
  <c r="V46" i="14"/>
  <c r="W46" i="14"/>
  <c r="X46" i="14"/>
  <c r="Y46" i="14"/>
  <c r="S47" i="14"/>
  <c r="T47" i="14"/>
  <c r="U47" i="14" s="1"/>
  <c r="V47" i="14"/>
  <c r="W47" i="14"/>
  <c r="X47" i="14"/>
  <c r="Y47" i="14"/>
  <c r="S48" i="14"/>
  <c r="T48" i="14"/>
  <c r="U48" i="14" s="1"/>
  <c r="V48" i="14"/>
  <c r="W48" i="14"/>
  <c r="X48" i="14"/>
  <c r="Y48" i="14"/>
  <c r="S49" i="14"/>
  <c r="T49" i="14"/>
  <c r="U49" i="14" s="1"/>
  <c r="V49" i="14"/>
  <c r="W49" i="14"/>
  <c r="X49" i="14"/>
  <c r="Y49" i="14"/>
  <c r="S50" i="14"/>
  <c r="T50" i="14"/>
  <c r="U50" i="14" s="1"/>
  <c r="V50" i="14"/>
  <c r="W50" i="14"/>
  <c r="X50" i="14"/>
  <c r="Y50" i="14"/>
  <c r="S51" i="14"/>
  <c r="T51" i="14"/>
  <c r="U51" i="14" s="1"/>
  <c r="V51" i="14"/>
  <c r="W51" i="14"/>
  <c r="X51" i="14"/>
  <c r="Y51" i="14"/>
  <c r="S52" i="14"/>
  <c r="T52" i="14"/>
  <c r="U52" i="14" s="1"/>
  <c r="V52" i="14"/>
  <c r="W52" i="14"/>
  <c r="X52" i="14"/>
  <c r="Y52" i="14"/>
  <c r="S53" i="14"/>
  <c r="T53" i="14"/>
  <c r="U53" i="14" s="1"/>
  <c r="V53" i="14"/>
  <c r="W53" i="14"/>
  <c r="X53" i="14"/>
  <c r="Y53" i="14"/>
  <c r="S54" i="14"/>
  <c r="T54" i="14"/>
  <c r="U54" i="14" s="1"/>
  <c r="V54" i="14"/>
  <c r="W54" i="14"/>
  <c r="X54" i="14"/>
  <c r="Y54" i="14"/>
  <c r="S55" i="14"/>
  <c r="T55" i="14"/>
  <c r="U55" i="14" s="1"/>
  <c r="V55" i="14"/>
  <c r="W55" i="14"/>
  <c r="X55" i="14"/>
  <c r="Y55" i="14"/>
  <c r="S56" i="14"/>
  <c r="T56" i="14"/>
  <c r="U56" i="14" s="1"/>
  <c r="V56" i="14"/>
  <c r="W56" i="14"/>
  <c r="X56" i="14"/>
  <c r="Y56" i="14"/>
  <c r="S57" i="14"/>
  <c r="T57" i="14"/>
  <c r="U57" i="14" s="1"/>
  <c r="V57" i="14"/>
  <c r="W57" i="14"/>
  <c r="X57" i="14"/>
  <c r="Y57" i="14"/>
  <c r="S58" i="14"/>
  <c r="T58" i="14"/>
  <c r="U58" i="14" s="1"/>
  <c r="V58" i="14"/>
  <c r="W58" i="14"/>
  <c r="X58" i="14"/>
  <c r="Y58" i="14"/>
  <c r="S59" i="14"/>
  <c r="T59" i="14"/>
  <c r="U59" i="14" s="1"/>
  <c r="V59" i="14"/>
  <c r="W59" i="14"/>
  <c r="X59" i="14"/>
  <c r="Y59" i="14"/>
  <c r="S60" i="14"/>
  <c r="T60" i="14"/>
  <c r="U60" i="14" s="1"/>
  <c r="V60" i="14"/>
  <c r="W60" i="14"/>
  <c r="X60" i="14"/>
  <c r="Y60" i="14"/>
  <c r="S61" i="14"/>
  <c r="T61" i="14"/>
  <c r="U61" i="14" s="1"/>
  <c r="V61" i="14"/>
  <c r="W61" i="14"/>
  <c r="X61" i="14"/>
  <c r="Y61" i="14"/>
  <c r="S62" i="14"/>
  <c r="T62" i="14"/>
  <c r="U62" i="14" s="1"/>
  <c r="V62" i="14"/>
  <c r="W62" i="14"/>
  <c r="X62" i="14"/>
  <c r="Y62" i="14"/>
  <c r="S63" i="14"/>
  <c r="T63" i="14"/>
  <c r="U63" i="14" s="1"/>
  <c r="V63" i="14"/>
  <c r="W63" i="14"/>
  <c r="X63" i="14"/>
  <c r="Y63" i="14"/>
  <c r="S64" i="14"/>
  <c r="T64" i="14"/>
  <c r="U64" i="14" s="1"/>
  <c r="V64" i="14"/>
  <c r="W64" i="14"/>
  <c r="X64" i="14"/>
  <c r="Y64" i="14"/>
  <c r="S65" i="14"/>
  <c r="T65" i="14"/>
  <c r="U65" i="14" s="1"/>
  <c r="V65" i="14"/>
  <c r="W65" i="14"/>
  <c r="X65" i="14"/>
  <c r="Y65" i="14"/>
  <c r="S66" i="14"/>
  <c r="T66" i="14"/>
  <c r="U66" i="14" s="1"/>
  <c r="V66" i="14"/>
  <c r="W66" i="14"/>
  <c r="X66" i="14"/>
  <c r="Y66" i="14"/>
  <c r="S67" i="14"/>
  <c r="T67" i="14"/>
  <c r="U67" i="14" s="1"/>
  <c r="V67" i="14"/>
  <c r="W67" i="14"/>
  <c r="X67" i="14"/>
  <c r="Y67" i="14"/>
  <c r="S68" i="14"/>
  <c r="T68" i="14"/>
  <c r="U68" i="14" s="1"/>
  <c r="V68" i="14"/>
  <c r="W68" i="14"/>
  <c r="X68" i="14"/>
  <c r="Y68" i="14"/>
  <c r="S69" i="14"/>
  <c r="T69" i="14"/>
  <c r="U69" i="14" s="1"/>
  <c r="V69" i="14"/>
  <c r="W69" i="14"/>
  <c r="X69" i="14"/>
  <c r="Y69" i="14"/>
  <c r="S70" i="14"/>
  <c r="T70" i="14"/>
  <c r="U70" i="14" s="1"/>
  <c r="V70" i="14"/>
  <c r="W70" i="14"/>
  <c r="X70" i="14"/>
  <c r="Y70" i="14"/>
  <c r="S71" i="14"/>
  <c r="T71" i="14"/>
  <c r="U71" i="14" s="1"/>
  <c r="V71" i="14"/>
  <c r="W71" i="14"/>
  <c r="X71" i="14"/>
  <c r="Y71" i="14"/>
  <c r="T72" i="14"/>
  <c r="U72" i="14" s="1"/>
  <c r="V72" i="14"/>
  <c r="W72" i="14"/>
  <c r="X72" i="14"/>
  <c r="Y72" i="14"/>
  <c r="S73" i="14"/>
  <c r="T73" i="14"/>
  <c r="U73" i="14" s="1"/>
  <c r="V73" i="14"/>
  <c r="W73" i="14"/>
  <c r="X73" i="14"/>
  <c r="Y73" i="14"/>
  <c r="T74" i="14"/>
  <c r="U74" i="14" s="1"/>
  <c r="V74" i="14"/>
  <c r="W74" i="14"/>
  <c r="X74" i="14"/>
  <c r="Y74" i="14"/>
  <c r="S75" i="14"/>
  <c r="T75" i="14"/>
  <c r="U75" i="14" s="1"/>
  <c r="V75" i="14"/>
  <c r="W75" i="14"/>
  <c r="X75" i="14"/>
  <c r="Y75" i="14"/>
  <c r="T76" i="14"/>
  <c r="U76" i="14" s="1"/>
  <c r="V76" i="14"/>
  <c r="W76" i="14"/>
  <c r="X76" i="14"/>
  <c r="Y76" i="14"/>
  <c r="T77" i="14"/>
  <c r="U77" i="14" s="1"/>
  <c r="V77" i="14"/>
  <c r="W77" i="14"/>
  <c r="X77" i="14"/>
  <c r="Y77" i="14"/>
  <c r="S78" i="14"/>
  <c r="T78" i="14"/>
  <c r="U78" i="14" s="1"/>
  <c r="V78" i="14"/>
  <c r="W78" i="14"/>
  <c r="X78" i="14"/>
  <c r="Y78" i="14"/>
  <c r="T79" i="14"/>
  <c r="U79" i="14" s="1"/>
  <c r="V79" i="14"/>
  <c r="W79" i="14"/>
  <c r="X79" i="14"/>
  <c r="Y79" i="14"/>
  <c r="T80" i="14"/>
  <c r="U80" i="14" s="1"/>
  <c r="V80" i="14"/>
  <c r="W80" i="14"/>
  <c r="X80" i="14"/>
  <c r="Y80" i="14"/>
  <c r="T81" i="14"/>
  <c r="U81" i="14" s="1"/>
  <c r="V81" i="14"/>
  <c r="W81" i="14"/>
  <c r="X81" i="14"/>
  <c r="Y81" i="14"/>
  <c r="T82" i="14"/>
  <c r="U82" i="14" s="1"/>
  <c r="V82" i="14"/>
  <c r="W82" i="14"/>
  <c r="X82" i="14"/>
  <c r="Y82" i="14"/>
  <c r="T83" i="14"/>
  <c r="U83" i="14" s="1"/>
  <c r="V83" i="14"/>
  <c r="W83" i="14"/>
  <c r="X83" i="14"/>
  <c r="Y83" i="14"/>
  <c r="T84" i="14"/>
  <c r="U84" i="14" s="1"/>
  <c r="V84" i="14"/>
  <c r="W84" i="14"/>
  <c r="X84" i="14"/>
  <c r="Y84" i="14"/>
  <c r="S85" i="14"/>
  <c r="T85" i="14"/>
  <c r="U85" i="14" s="1"/>
  <c r="V85" i="14"/>
  <c r="W85" i="14"/>
  <c r="X85" i="14"/>
  <c r="Y85" i="14"/>
  <c r="T86" i="14"/>
  <c r="U86" i="14" s="1"/>
  <c r="V86" i="14"/>
  <c r="W86" i="14"/>
  <c r="X86" i="14"/>
  <c r="Y86" i="14"/>
  <c r="S87" i="14"/>
  <c r="T87" i="14"/>
  <c r="U87" i="14" s="1"/>
  <c r="V87" i="14"/>
  <c r="W87" i="14"/>
  <c r="X87" i="14"/>
  <c r="Y87" i="14"/>
  <c r="T88" i="14"/>
  <c r="U88" i="14" s="1"/>
  <c r="V88" i="14"/>
  <c r="W88" i="14"/>
  <c r="X88" i="14"/>
  <c r="Y88" i="14"/>
  <c r="T89" i="14"/>
  <c r="U89" i="14" s="1"/>
  <c r="V89" i="14"/>
  <c r="W89" i="14"/>
  <c r="X89" i="14"/>
  <c r="Y89" i="14"/>
  <c r="T90" i="14"/>
  <c r="U90" i="14" s="1"/>
  <c r="V90" i="14"/>
  <c r="W90" i="14"/>
  <c r="X90" i="14"/>
  <c r="Y90" i="14"/>
  <c r="S91" i="14"/>
  <c r="T91" i="14"/>
  <c r="U91" i="14" s="1"/>
  <c r="V91" i="14"/>
  <c r="W91" i="14"/>
  <c r="X91" i="14"/>
  <c r="Y91" i="14"/>
  <c r="S92" i="14"/>
  <c r="T92" i="14"/>
  <c r="U92" i="14" s="1"/>
  <c r="V92" i="14"/>
  <c r="W92" i="14"/>
  <c r="X92" i="14"/>
  <c r="Y92" i="14"/>
  <c r="IC3" i="9"/>
  <c r="ID3" i="9"/>
  <c r="IC4" i="9"/>
  <c r="ID4" i="9" s="1"/>
  <c r="IC5" i="9"/>
  <c r="ID5" i="9"/>
  <c r="IC6" i="9"/>
  <c r="ID6" i="9" s="1"/>
  <c r="IC7" i="9"/>
  <c r="ID7" i="9"/>
  <c r="GW3" i="9"/>
  <c r="GX3" i="9" s="1"/>
  <c r="GY3" i="9"/>
  <c r="GW4" i="9"/>
  <c r="GX4" i="9"/>
  <c r="GY4" i="9"/>
  <c r="GW5" i="9"/>
  <c r="GX5" i="9" s="1"/>
  <c r="GY5" i="9"/>
  <c r="GW6" i="9"/>
  <c r="GX6" i="9"/>
  <c r="GY6" i="9"/>
  <c r="GW7" i="9"/>
  <c r="GX7" i="9"/>
  <c r="GY7" i="9"/>
  <c r="GW8" i="9"/>
  <c r="GX8" i="9" s="1"/>
  <c r="GY8" i="9"/>
  <c r="GW9" i="9"/>
  <c r="GX9" i="9"/>
  <c r="GY9" i="9"/>
  <c r="GW10" i="9"/>
  <c r="GX10" i="9"/>
  <c r="GY10" i="9"/>
  <c r="GW11" i="9"/>
  <c r="GX11" i="9"/>
  <c r="GY11" i="9"/>
  <c r="GW12" i="9"/>
  <c r="GX12" i="9" s="1"/>
  <c r="GY12" i="9"/>
  <c r="GW13" i="9"/>
  <c r="GX13" i="9"/>
  <c r="GY13" i="9"/>
  <c r="GW14" i="9"/>
  <c r="GX14" i="9"/>
  <c r="GY14" i="9"/>
  <c r="GW15" i="9"/>
  <c r="GX15" i="9"/>
  <c r="GY15" i="9"/>
  <c r="GW16" i="9"/>
  <c r="GX16" i="9"/>
  <c r="GY16" i="9"/>
  <c r="GW17" i="9"/>
  <c r="GX17" i="9" s="1"/>
  <c r="GY17" i="9"/>
  <c r="GW18" i="9"/>
  <c r="GX18" i="9" s="1"/>
  <c r="GY18" i="9"/>
  <c r="GW19" i="9"/>
  <c r="GX19" i="9" s="1"/>
  <c r="GY19" i="9"/>
  <c r="GW20" i="9"/>
  <c r="GX20" i="9" s="1"/>
  <c r="GY20" i="9"/>
  <c r="GW21" i="9"/>
  <c r="GX21" i="9"/>
  <c r="GY21" i="9"/>
  <c r="GW22" i="9"/>
  <c r="GX22" i="9" s="1"/>
  <c r="GY22" i="9"/>
  <c r="GW23" i="9"/>
  <c r="GX23" i="9"/>
  <c r="GY23" i="9"/>
  <c r="GW24" i="9"/>
  <c r="GX24" i="9"/>
  <c r="GY24" i="9"/>
  <c r="GW25" i="9"/>
  <c r="GX25" i="9"/>
  <c r="GY25" i="9"/>
  <c r="GW26" i="9"/>
  <c r="GX26" i="9" s="1"/>
  <c r="GY26" i="9"/>
  <c r="GW27" i="9"/>
  <c r="GX27" i="9"/>
  <c r="GY27" i="9"/>
  <c r="GW28" i="9"/>
  <c r="GX28" i="9"/>
  <c r="GY28" i="9"/>
  <c r="GW29" i="9"/>
  <c r="GX29" i="9"/>
  <c r="GY29" i="9"/>
  <c r="GW30" i="9"/>
  <c r="GX30" i="9"/>
  <c r="GY30" i="9"/>
  <c r="GW31" i="9"/>
  <c r="GX31" i="9" s="1"/>
  <c r="GY31" i="9"/>
  <c r="GW32" i="9"/>
  <c r="GX32" i="9"/>
  <c r="GY32" i="9"/>
  <c r="GW33" i="9"/>
  <c r="GX33" i="9" s="1"/>
  <c r="GY33" i="9"/>
  <c r="GW34" i="9"/>
  <c r="GX34" i="9"/>
  <c r="GY34" i="9"/>
  <c r="GW35" i="9"/>
  <c r="GX35" i="9"/>
  <c r="GY35" i="9"/>
  <c r="GW36" i="9"/>
  <c r="GX36" i="9" s="1"/>
  <c r="GY36" i="9"/>
  <c r="GW37" i="9"/>
  <c r="GX37" i="9"/>
  <c r="GY37" i="9"/>
  <c r="GW38" i="9"/>
  <c r="GX38" i="9"/>
  <c r="GY38" i="9"/>
  <c r="GW39" i="9"/>
  <c r="GX39" i="9"/>
  <c r="GY39" i="9"/>
  <c r="GW40" i="9"/>
  <c r="GX40" i="9" s="1"/>
  <c r="GY40" i="9"/>
  <c r="GW41" i="9"/>
  <c r="GX41" i="9"/>
  <c r="GY41" i="9"/>
  <c r="GW42" i="9"/>
  <c r="GX42" i="9"/>
  <c r="GY42" i="9"/>
  <c r="GW43" i="9"/>
  <c r="GX43" i="9"/>
  <c r="GY43" i="9"/>
  <c r="GW44" i="9"/>
  <c r="GX44" i="9"/>
  <c r="GY44" i="9"/>
  <c r="GW45" i="9"/>
  <c r="GX45" i="9" s="1"/>
  <c r="GY45" i="9"/>
  <c r="GW46" i="9"/>
  <c r="GX46" i="9"/>
  <c r="GY46" i="9"/>
  <c r="GW47" i="9"/>
  <c r="GX47" i="9" s="1"/>
  <c r="GY47" i="9"/>
  <c r="GW48" i="9"/>
  <c r="GX48" i="9"/>
  <c r="GY48" i="9"/>
  <c r="GW49" i="9"/>
  <c r="GX49" i="9"/>
  <c r="GY49" i="9"/>
  <c r="GW50" i="9"/>
  <c r="GX50" i="9" s="1"/>
  <c r="GY50" i="9"/>
  <c r="GW51" i="9"/>
  <c r="GX51" i="9"/>
  <c r="GY51" i="9"/>
  <c r="GW52" i="9"/>
  <c r="GX52" i="9"/>
  <c r="GY52" i="9"/>
  <c r="GW53" i="9"/>
  <c r="GX53" i="9"/>
  <c r="GY53" i="9"/>
  <c r="GW54" i="9"/>
  <c r="GX54" i="9" s="1"/>
  <c r="GY54" i="9"/>
  <c r="GW55" i="9"/>
  <c r="GX55" i="9"/>
  <c r="GY55" i="9"/>
  <c r="GW56" i="9"/>
  <c r="GX56" i="9"/>
  <c r="GY56" i="9"/>
  <c r="GW57" i="9"/>
  <c r="GX57" i="9"/>
  <c r="GY57" i="9"/>
  <c r="GW58" i="9"/>
  <c r="GX58" i="9"/>
  <c r="GY58" i="9"/>
  <c r="GW59" i="9"/>
  <c r="GX59" i="9" s="1"/>
  <c r="GY59" i="9"/>
  <c r="GW60" i="9"/>
  <c r="GX60" i="9"/>
  <c r="GY60" i="9"/>
  <c r="GW61" i="9"/>
  <c r="GX61" i="9" s="1"/>
  <c r="GY61" i="9"/>
  <c r="GW62" i="9"/>
  <c r="GX62" i="9"/>
  <c r="GY62" i="9"/>
  <c r="GW63" i="9"/>
  <c r="GX63" i="9"/>
  <c r="GY63" i="9"/>
  <c r="GW64" i="9"/>
  <c r="GX64" i="9" s="1"/>
  <c r="GY64" i="9"/>
  <c r="GW65" i="9"/>
  <c r="GX65" i="9"/>
  <c r="GY65" i="9"/>
  <c r="GW66" i="9"/>
  <c r="GX66" i="9"/>
  <c r="GY66" i="9"/>
  <c r="GW67" i="9"/>
  <c r="GX67" i="9"/>
  <c r="GY67" i="9"/>
  <c r="GW68" i="9"/>
  <c r="GX68" i="9" s="1"/>
  <c r="GY68" i="9"/>
  <c r="GW69" i="9"/>
  <c r="GX69" i="9"/>
  <c r="GY69" i="9"/>
  <c r="GW70" i="9"/>
  <c r="GX70" i="9"/>
  <c r="GY70" i="9"/>
  <c r="GW71" i="9"/>
  <c r="GX71" i="9"/>
  <c r="GY71" i="9"/>
  <c r="GW72" i="9"/>
  <c r="GX72" i="9"/>
  <c r="GY72" i="9"/>
  <c r="GW73" i="9"/>
  <c r="GX73" i="9" s="1"/>
  <c r="GY73" i="9"/>
  <c r="GW74" i="9"/>
  <c r="GX74" i="9"/>
  <c r="GY74" i="9"/>
  <c r="GW75" i="9"/>
  <c r="GX75" i="9" s="1"/>
  <c r="GY75" i="9"/>
  <c r="GW76" i="9"/>
  <c r="GX76" i="9"/>
  <c r="GY76" i="9"/>
  <c r="GW77" i="9"/>
  <c r="GX77" i="9"/>
  <c r="GY77" i="9"/>
  <c r="GW78" i="9"/>
  <c r="GX78" i="9" s="1"/>
  <c r="GY78" i="9"/>
  <c r="GW79" i="9"/>
  <c r="GX79" i="9"/>
  <c r="GY79" i="9"/>
  <c r="FG3" i="9"/>
  <c r="FH3" i="9" s="1"/>
  <c r="FI3" i="9" s="1"/>
  <c r="FJ3" i="9"/>
  <c r="FK3" i="9"/>
  <c r="FL3" i="9"/>
  <c r="FM3" i="9" s="1"/>
  <c r="FG4" i="9"/>
  <c r="FH4" i="9"/>
  <c r="FI4" i="9"/>
  <c r="FJ4" i="9"/>
  <c r="FK4" i="9"/>
  <c r="FL4" i="9"/>
  <c r="FO4" i="9" s="1"/>
  <c r="FM4" i="9"/>
  <c r="FN4" i="9"/>
  <c r="FG5" i="9"/>
  <c r="FH5" i="9" s="1"/>
  <c r="FI5" i="9" s="1"/>
  <c r="FJ5" i="9"/>
  <c r="FK5" i="9"/>
  <c r="FL5" i="9"/>
  <c r="FG6" i="9"/>
  <c r="FH6" i="9" s="1"/>
  <c r="FI6" i="9" s="1"/>
  <c r="FJ6" i="9"/>
  <c r="FK6" i="9"/>
  <c r="FL6" i="9"/>
  <c r="FM6" i="9"/>
  <c r="FN6" i="9"/>
  <c r="FP6" i="9" s="1"/>
  <c r="FO6" i="9"/>
  <c r="FG7" i="9"/>
  <c r="FH7" i="9"/>
  <c r="FI7" i="9"/>
  <c r="FJ7" i="9"/>
  <c r="FK7" i="9"/>
  <c r="FL7" i="9"/>
  <c r="FO7" i="9" s="1"/>
  <c r="FM7" i="9"/>
  <c r="FN7" i="9"/>
  <c r="FG8" i="9"/>
  <c r="FH8" i="9" s="1"/>
  <c r="FI8" i="9" s="1"/>
  <c r="FJ8" i="9"/>
  <c r="FK8" i="9"/>
  <c r="FL8" i="9"/>
  <c r="FN8" i="9" s="1"/>
  <c r="FM8" i="9"/>
  <c r="FG9" i="9"/>
  <c r="FH9" i="9"/>
  <c r="FI9" i="9"/>
  <c r="FJ9" i="9"/>
  <c r="FK9" i="9"/>
  <c r="FL9" i="9"/>
  <c r="FO9" i="9" s="1"/>
  <c r="FM9" i="9"/>
  <c r="FN9" i="9"/>
  <c r="FG10" i="9"/>
  <c r="FH10" i="9"/>
  <c r="FI10" i="9" s="1"/>
  <c r="FJ10" i="9"/>
  <c r="FK10" i="9"/>
  <c r="FL10" i="9"/>
  <c r="FO10" i="9" s="1"/>
  <c r="FM10" i="9"/>
  <c r="FN10" i="9"/>
  <c r="FG11" i="9"/>
  <c r="FH11" i="9" s="1"/>
  <c r="FI11" i="9" s="1"/>
  <c r="FJ11" i="9"/>
  <c r="FK11" i="9"/>
  <c r="FL11" i="9"/>
  <c r="FM11" i="9" s="1"/>
  <c r="FN11" i="9"/>
  <c r="FO11" i="9"/>
  <c r="FP11" i="9"/>
  <c r="FQ11" i="9"/>
  <c r="FG12" i="9"/>
  <c r="FH12" i="9"/>
  <c r="FI12" i="9"/>
  <c r="FJ12" i="9"/>
  <c r="FK12" i="9"/>
  <c r="FL12" i="9"/>
  <c r="FM12" i="9" s="1"/>
  <c r="FN12" i="9"/>
  <c r="FG13" i="9"/>
  <c r="FH13" i="9"/>
  <c r="FI13" i="9" s="1"/>
  <c r="FJ13" i="9"/>
  <c r="FK13" i="9"/>
  <c r="FL13" i="9"/>
  <c r="FM13" i="9" s="1"/>
  <c r="FG14" i="9"/>
  <c r="FH14" i="9" s="1"/>
  <c r="FI14" i="9" s="1"/>
  <c r="FJ14" i="9"/>
  <c r="FK14" i="9"/>
  <c r="FL14" i="9"/>
  <c r="FM14" i="9" s="1"/>
  <c r="FG15" i="9"/>
  <c r="FH15" i="9" s="1"/>
  <c r="FI15" i="9" s="1"/>
  <c r="FJ15" i="9"/>
  <c r="FK15" i="9"/>
  <c r="FL15" i="9"/>
  <c r="FM15" i="9"/>
  <c r="FN15" i="9"/>
  <c r="FO15" i="9"/>
  <c r="FG16" i="9"/>
  <c r="FH16" i="9" s="1"/>
  <c r="FI16" i="9" s="1"/>
  <c r="FJ16" i="9"/>
  <c r="FK16" i="9"/>
  <c r="FL16" i="9"/>
  <c r="FM16" i="9"/>
  <c r="FN16" i="9"/>
  <c r="FO16" i="9"/>
  <c r="FP16" i="9"/>
  <c r="FQ16" i="9"/>
  <c r="FG17" i="9"/>
  <c r="FH17" i="9" s="1"/>
  <c r="FI17" i="9" s="1"/>
  <c r="FJ17" i="9"/>
  <c r="FK17" i="9"/>
  <c r="FL17" i="9"/>
  <c r="FM17" i="9" s="1"/>
  <c r="FN17" i="9"/>
  <c r="FG18" i="9"/>
  <c r="FH18" i="9"/>
  <c r="FI18" i="9"/>
  <c r="FJ18" i="9"/>
  <c r="FK18" i="9"/>
  <c r="FL18" i="9"/>
  <c r="FN18" i="9" s="1"/>
  <c r="FM18" i="9"/>
  <c r="FG19" i="9"/>
  <c r="FH19" i="9"/>
  <c r="FI19" i="9" s="1"/>
  <c r="FJ19" i="9"/>
  <c r="FK19" i="9"/>
  <c r="FL19" i="9"/>
  <c r="FG20" i="9"/>
  <c r="FH20" i="9" s="1"/>
  <c r="FI20" i="9" s="1"/>
  <c r="FJ20" i="9"/>
  <c r="FK20" i="9"/>
  <c r="FL20" i="9"/>
  <c r="FM20" i="9"/>
  <c r="FN20" i="9"/>
  <c r="FP20" i="9" s="1"/>
  <c r="FO20" i="9"/>
  <c r="FG21" i="9"/>
  <c r="FH21" i="9"/>
  <c r="FI21" i="9" s="1"/>
  <c r="FJ21" i="9"/>
  <c r="FK21" i="9"/>
  <c r="FL21" i="9"/>
  <c r="FG22" i="9"/>
  <c r="FH22" i="9" s="1"/>
  <c r="FI22" i="9" s="1"/>
  <c r="FJ22" i="9"/>
  <c r="FK22" i="9"/>
  <c r="FL22" i="9"/>
  <c r="FM22" i="9"/>
  <c r="FN22" i="9"/>
  <c r="FP22" i="9" s="1"/>
  <c r="FO22" i="9"/>
  <c r="FQ22" i="9" s="1"/>
  <c r="FG23" i="9"/>
  <c r="FH23" i="9"/>
  <c r="FI23" i="9"/>
  <c r="FJ23" i="9"/>
  <c r="FK23" i="9"/>
  <c r="FL23" i="9"/>
  <c r="FO23" i="9" s="1"/>
  <c r="FM23" i="9"/>
  <c r="FN23" i="9"/>
  <c r="FP23" i="9" s="1"/>
  <c r="FG24" i="9"/>
  <c r="FH24" i="9" s="1"/>
  <c r="FI24" i="9" s="1"/>
  <c r="FJ24" i="9"/>
  <c r="FK24" i="9"/>
  <c r="FL24" i="9"/>
  <c r="FO24" i="9" s="1"/>
  <c r="FM24" i="9"/>
  <c r="FN24" i="9"/>
  <c r="FQ24" i="9" s="1"/>
  <c r="FG25" i="9"/>
  <c r="FH25" i="9"/>
  <c r="FI25" i="9" s="1"/>
  <c r="FJ25" i="9"/>
  <c r="FK25" i="9"/>
  <c r="FL25" i="9"/>
  <c r="FM25" i="9" s="1"/>
  <c r="FO25" i="9"/>
  <c r="FG26" i="9"/>
  <c r="FH26" i="9"/>
  <c r="FI26" i="9"/>
  <c r="FJ26" i="9"/>
  <c r="FK26" i="9"/>
  <c r="FL26" i="9"/>
  <c r="FN26" i="9" s="1"/>
  <c r="FQ26" i="9" s="1"/>
  <c r="FM26" i="9"/>
  <c r="FO26" i="9"/>
  <c r="FG27" i="9"/>
  <c r="FH27" i="9"/>
  <c r="FI27" i="9" s="1"/>
  <c r="FJ27" i="9"/>
  <c r="FK27" i="9"/>
  <c r="FL27" i="9"/>
  <c r="FM27" i="9" s="1"/>
  <c r="FG28" i="9"/>
  <c r="FH28" i="9" s="1"/>
  <c r="FI28" i="9" s="1"/>
  <c r="FJ28" i="9"/>
  <c r="FK28" i="9"/>
  <c r="FL28" i="9"/>
  <c r="FM28" i="9" s="1"/>
  <c r="FG29" i="9"/>
  <c r="FH29" i="9"/>
  <c r="FI29" i="9" s="1"/>
  <c r="FJ29" i="9"/>
  <c r="FK29" i="9"/>
  <c r="FL29" i="9"/>
  <c r="FM29" i="9"/>
  <c r="FN29" i="9"/>
  <c r="FQ29" i="9" s="1"/>
  <c r="FO29" i="9"/>
  <c r="FG30" i="9"/>
  <c r="FH30" i="9" s="1"/>
  <c r="FI30" i="9" s="1"/>
  <c r="FJ30" i="9"/>
  <c r="FK30" i="9"/>
  <c r="FL30" i="9"/>
  <c r="FM30" i="9"/>
  <c r="FN30" i="9"/>
  <c r="FO30" i="9"/>
  <c r="FP30" i="9"/>
  <c r="FQ30" i="9"/>
  <c r="FG31" i="9"/>
  <c r="FH31" i="9" s="1"/>
  <c r="FI31" i="9" s="1"/>
  <c r="FJ31" i="9"/>
  <c r="FK31" i="9"/>
  <c r="FL31" i="9"/>
  <c r="FO31" i="9" s="1"/>
  <c r="FM31" i="9"/>
  <c r="FN31" i="9"/>
  <c r="FG32" i="9"/>
  <c r="FH32" i="9"/>
  <c r="FI32" i="9"/>
  <c r="FJ32" i="9"/>
  <c r="FK32" i="9"/>
  <c r="FL32" i="9"/>
  <c r="FO32" i="9" s="1"/>
  <c r="FP32" i="9" s="1"/>
  <c r="FM32" i="9"/>
  <c r="FN32" i="9"/>
  <c r="FQ32" i="9"/>
  <c r="FG33" i="9"/>
  <c r="FH33" i="9"/>
  <c r="FI33" i="9" s="1"/>
  <c r="FJ33" i="9"/>
  <c r="FK33" i="9"/>
  <c r="FL33" i="9"/>
  <c r="FG34" i="9"/>
  <c r="FH34" i="9"/>
  <c r="FI34" i="9"/>
  <c r="FJ34" i="9"/>
  <c r="FK34" i="9"/>
  <c r="FL34" i="9"/>
  <c r="FM34" i="9"/>
  <c r="FN34" i="9"/>
  <c r="FO34" i="9"/>
  <c r="FP34" i="9" s="1"/>
  <c r="FG35" i="9"/>
  <c r="FH35" i="9"/>
  <c r="FI35" i="9" s="1"/>
  <c r="FJ35" i="9"/>
  <c r="FK35" i="9"/>
  <c r="FL35" i="9"/>
  <c r="FG36" i="9"/>
  <c r="FH36" i="9" s="1"/>
  <c r="FI36" i="9" s="1"/>
  <c r="FJ36" i="9"/>
  <c r="FK36" i="9"/>
  <c r="FL36" i="9"/>
  <c r="FM36" i="9"/>
  <c r="FN36" i="9"/>
  <c r="FO36" i="9"/>
  <c r="FQ36" i="9" s="1"/>
  <c r="FG37" i="9"/>
  <c r="FH37" i="9"/>
  <c r="FI37" i="9"/>
  <c r="FJ37" i="9"/>
  <c r="FK37" i="9"/>
  <c r="FL37" i="9"/>
  <c r="FM37" i="9"/>
  <c r="FN37" i="9"/>
  <c r="FP37" i="9" s="1"/>
  <c r="FO37" i="9"/>
  <c r="FG38" i="9"/>
  <c r="FH38" i="9" s="1"/>
  <c r="FI38" i="9" s="1"/>
  <c r="FJ38" i="9"/>
  <c r="FK38" i="9"/>
  <c r="FL38" i="9"/>
  <c r="FO38" i="9" s="1"/>
  <c r="FQ38" i="9" s="1"/>
  <c r="FM38" i="9"/>
  <c r="FN38" i="9"/>
  <c r="FG39" i="9"/>
  <c r="FH39" i="9"/>
  <c r="FI39" i="9"/>
  <c r="FJ39" i="9"/>
  <c r="FK39" i="9"/>
  <c r="FL39" i="9"/>
  <c r="FM39" i="9" s="1"/>
  <c r="FO39" i="9"/>
  <c r="FG40" i="9"/>
  <c r="FH40" i="9"/>
  <c r="FI40" i="9"/>
  <c r="FJ40" i="9"/>
  <c r="FK40" i="9"/>
  <c r="FL40" i="9"/>
  <c r="FN40" i="9" s="1"/>
  <c r="FQ40" i="9" s="1"/>
  <c r="FM40" i="9"/>
  <c r="FO40" i="9"/>
  <c r="FG41" i="9"/>
  <c r="FH41" i="9"/>
  <c r="FI41" i="9" s="1"/>
  <c r="FJ41" i="9"/>
  <c r="FK41" i="9"/>
  <c r="FL41" i="9"/>
  <c r="FM41" i="9" s="1"/>
  <c r="FG42" i="9"/>
  <c r="FH42" i="9" s="1"/>
  <c r="FI42" i="9" s="1"/>
  <c r="FJ42" i="9"/>
  <c r="FK42" i="9"/>
  <c r="FL42" i="9"/>
  <c r="FM42" i="9" s="1"/>
  <c r="FO42" i="9"/>
  <c r="FG43" i="9"/>
  <c r="FH43" i="9"/>
  <c r="FI43" i="9" s="1"/>
  <c r="FJ43" i="9"/>
  <c r="FK43" i="9"/>
  <c r="FL43" i="9"/>
  <c r="FP43" i="9" s="1"/>
  <c r="FM43" i="9"/>
  <c r="FN43" i="9"/>
  <c r="FQ43" i="9" s="1"/>
  <c r="FO43" i="9"/>
  <c r="FG44" i="9"/>
  <c r="FH44" i="9" s="1"/>
  <c r="FI44" i="9" s="1"/>
  <c r="FJ44" i="9"/>
  <c r="FK44" i="9"/>
  <c r="FL44" i="9"/>
  <c r="FM44" i="9"/>
  <c r="FN44" i="9"/>
  <c r="FO44" i="9"/>
  <c r="FP44" i="9"/>
  <c r="FQ44" i="9"/>
  <c r="FG45" i="9"/>
  <c r="FH45" i="9" s="1"/>
  <c r="FI45" i="9" s="1"/>
  <c r="FJ45" i="9"/>
  <c r="FK45" i="9"/>
  <c r="FL45" i="9"/>
  <c r="FO45" i="9" s="1"/>
  <c r="FM45" i="9"/>
  <c r="FN45" i="9"/>
  <c r="FG46" i="9"/>
  <c r="FH46" i="9"/>
  <c r="FI46" i="9"/>
  <c r="FJ46" i="9"/>
  <c r="FK46" i="9"/>
  <c r="FL46" i="9"/>
  <c r="FO46" i="9" s="1"/>
  <c r="FM46" i="9"/>
  <c r="FN46" i="9"/>
  <c r="FP46" i="9" s="1"/>
  <c r="FQ46" i="9"/>
  <c r="FG47" i="9"/>
  <c r="FH47" i="9"/>
  <c r="FI47" i="9" s="1"/>
  <c r="FJ47" i="9"/>
  <c r="FK47" i="9"/>
  <c r="FL47" i="9"/>
  <c r="FG48" i="9"/>
  <c r="FH48" i="9"/>
  <c r="FI48" i="9"/>
  <c r="FJ48" i="9"/>
  <c r="FK48" i="9"/>
  <c r="FL48" i="9"/>
  <c r="FM48" i="9"/>
  <c r="FN48" i="9"/>
  <c r="FO48" i="9"/>
  <c r="FP48" i="9" s="1"/>
  <c r="FG49" i="9"/>
  <c r="FH49" i="9"/>
  <c r="FI49" i="9" s="1"/>
  <c r="FJ49" i="9"/>
  <c r="FK49" i="9"/>
  <c r="FL49" i="9"/>
  <c r="FG50" i="9"/>
  <c r="FH50" i="9" s="1"/>
  <c r="FI50" i="9" s="1"/>
  <c r="FJ50" i="9"/>
  <c r="FK50" i="9"/>
  <c r="FL50" i="9"/>
  <c r="FM50" i="9"/>
  <c r="FN50" i="9"/>
  <c r="FO50" i="9"/>
  <c r="FG51" i="9"/>
  <c r="FH51" i="9"/>
  <c r="FI51" i="9"/>
  <c r="FJ51" i="9"/>
  <c r="FK51" i="9"/>
  <c r="FL51" i="9"/>
  <c r="FM51" i="9"/>
  <c r="FN51" i="9"/>
  <c r="FP51" i="9" s="1"/>
  <c r="FO51" i="9"/>
  <c r="FG52" i="9"/>
  <c r="FH52" i="9" s="1"/>
  <c r="FI52" i="9" s="1"/>
  <c r="FJ52" i="9"/>
  <c r="FK52" i="9"/>
  <c r="FL52" i="9"/>
  <c r="FO52" i="9" s="1"/>
  <c r="FQ52" i="9" s="1"/>
  <c r="FM52" i="9"/>
  <c r="FN52" i="9"/>
  <c r="FG53" i="9"/>
  <c r="FH53" i="9"/>
  <c r="FI53" i="9"/>
  <c r="FJ53" i="9"/>
  <c r="FK53" i="9"/>
  <c r="FL53" i="9"/>
  <c r="FM53" i="9" s="1"/>
  <c r="FO53" i="9"/>
  <c r="FG54" i="9"/>
  <c r="FH54" i="9"/>
  <c r="FI54" i="9"/>
  <c r="FJ54" i="9"/>
  <c r="FK54" i="9"/>
  <c r="FL54" i="9"/>
  <c r="FN54" i="9" s="1"/>
  <c r="FM54" i="9"/>
  <c r="FG55" i="9"/>
  <c r="FH55" i="9"/>
  <c r="FI55" i="9" s="1"/>
  <c r="FJ55" i="9"/>
  <c r="FK55" i="9"/>
  <c r="FL55" i="9"/>
  <c r="FM55" i="9" s="1"/>
  <c r="FG56" i="9"/>
  <c r="FH56" i="9" s="1"/>
  <c r="FI56" i="9" s="1"/>
  <c r="FJ56" i="9"/>
  <c r="FK56" i="9"/>
  <c r="FL56" i="9"/>
  <c r="FM56" i="9" s="1"/>
  <c r="FO56" i="9"/>
  <c r="FG57" i="9"/>
  <c r="FH57" i="9"/>
  <c r="FI57" i="9" s="1"/>
  <c r="FJ57" i="9"/>
  <c r="FK57" i="9"/>
  <c r="FL57" i="9"/>
  <c r="FP57" i="9" s="1"/>
  <c r="FM57" i="9"/>
  <c r="FN57" i="9"/>
  <c r="FQ57" i="9" s="1"/>
  <c r="FO57" i="9"/>
  <c r="FG58" i="9"/>
  <c r="FH58" i="9" s="1"/>
  <c r="FI58" i="9" s="1"/>
  <c r="FJ58" i="9"/>
  <c r="FK58" i="9"/>
  <c r="FL58" i="9"/>
  <c r="FO58" i="9" s="1"/>
  <c r="FP58" i="9" s="1"/>
  <c r="FM58" i="9"/>
  <c r="FN58" i="9"/>
  <c r="FQ58" i="9"/>
  <c r="FG59" i="9"/>
  <c r="FH59" i="9" s="1"/>
  <c r="FI59" i="9" s="1"/>
  <c r="FJ59" i="9"/>
  <c r="FK59" i="9"/>
  <c r="FL59" i="9"/>
  <c r="FO59" i="9" s="1"/>
  <c r="FM59" i="9"/>
  <c r="FN59" i="9"/>
  <c r="FG60" i="9"/>
  <c r="FH60" i="9"/>
  <c r="FI60" i="9"/>
  <c r="FJ60" i="9"/>
  <c r="FK60" i="9"/>
  <c r="FL60" i="9"/>
  <c r="FM60" i="9"/>
  <c r="FN60" i="9"/>
  <c r="FO60" i="9"/>
  <c r="FP60" i="9"/>
  <c r="FQ60" i="9"/>
  <c r="FG61" i="9"/>
  <c r="FH61" i="9"/>
  <c r="FI61" i="9" s="1"/>
  <c r="FJ61" i="9"/>
  <c r="FK61" i="9"/>
  <c r="FL61" i="9"/>
  <c r="FG62" i="9"/>
  <c r="FH62" i="9"/>
  <c r="FI62" i="9"/>
  <c r="FJ62" i="9"/>
  <c r="FK62" i="9"/>
  <c r="FL62" i="9"/>
  <c r="FQ62" i="9" s="1"/>
  <c r="FM62" i="9"/>
  <c r="FN62" i="9"/>
  <c r="FP62" i="9" s="1"/>
  <c r="FO62" i="9"/>
  <c r="FG63" i="9"/>
  <c r="FH63" i="9"/>
  <c r="FI63" i="9" s="1"/>
  <c r="FJ63" i="9"/>
  <c r="FK63" i="9"/>
  <c r="FL63" i="9"/>
  <c r="FG64" i="9"/>
  <c r="FH64" i="9" s="1"/>
  <c r="FI64" i="9" s="1"/>
  <c r="FJ64" i="9"/>
  <c r="FK64" i="9"/>
  <c r="FL64" i="9"/>
  <c r="FM64" i="9"/>
  <c r="FN64" i="9"/>
  <c r="FQ64" i="9" s="1"/>
  <c r="FO64" i="9"/>
  <c r="FG65" i="9"/>
  <c r="FH65" i="9"/>
  <c r="FI65" i="9"/>
  <c r="FJ65" i="9"/>
  <c r="FK65" i="9"/>
  <c r="FL65" i="9"/>
  <c r="FM65" i="9"/>
  <c r="FN65" i="9"/>
  <c r="FP65" i="9" s="1"/>
  <c r="FO65" i="9"/>
  <c r="FG66" i="9"/>
  <c r="FH66" i="9" s="1"/>
  <c r="FI66" i="9" s="1"/>
  <c r="FJ66" i="9"/>
  <c r="FK66" i="9"/>
  <c r="FL66" i="9"/>
  <c r="FN66" i="9" s="1"/>
  <c r="FM66" i="9"/>
  <c r="FG67" i="9"/>
  <c r="FH67" i="9"/>
  <c r="FI67" i="9"/>
  <c r="FJ67" i="9"/>
  <c r="FK67" i="9"/>
  <c r="FL67" i="9"/>
  <c r="FM67" i="9" s="1"/>
  <c r="FO67" i="9"/>
  <c r="FG68" i="9"/>
  <c r="FH68" i="9"/>
  <c r="FI68" i="9"/>
  <c r="FJ68" i="9"/>
  <c r="FK68" i="9"/>
  <c r="FL68" i="9"/>
  <c r="FN68" i="9" s="1"/>
  <c r="FM68" i="9"/>
  <c r="FG69" i="9"/>
  <c r="FH69" i="9"/>
  <c r="FI69" i="9" s="1"/>
  <c r="FJ69" i="9"/>
  <c r="FK69" i="9"/>
  <c r="FL69" i="9"/>
  <c r="FM69" i="9" s="1"/>
  <c r="FG70" i="9"/>
  <c r="FH70" i="9" s="1"/>
  <c r="FI70" i="9" s="1"/>
  <c r="FJ70" i="9"/>
  <c r="FK70" i="9"/>
  <c r="FL70" i="9"/>
  <c r="FM70" i="9" s="1"/>
  <c r="FO70" i="9"/>
  <c r="FG71" i="9"/>
  <c r="FH71" i="9"/>
  <c r="FI71" i="9" s="1"/>
  <c r="FJ71" i="9"/>
  <c r="FK71" i="9"/>
  <c r="FL71" i="9"/>
  <c r="FP71" i="9" s="1"/>
  <c r="FM71" i="9"/>
  <c r="FN71" i="9"/>
  <c r="FQ71" i="9" s="1"/>
  <c r="FO71" i="9"/>
  <c r="FG72" i="9"/>
  <c r="FH72" i="9" s="1"/>
  <c r="FI72" i="9" s="1"/>
  <c r="FJ72" i="9"/>
  <c r="FK72" i="9"/>
  <c r="FL72" i="9"/>
  <c r="FO72" i="9" s="1"/>
  <c r="FP72" i="9" s="1"/>
  <c r="FM72" i="9"/>
  <c r="FN72" i="9"/>
  <c r="FQ72" i="9"/>
  <c r="FG73" i="9"/>
  <c r="FH73" i="9" s="1"/>
  <c r="FI73" i="9" s="1"/>
  <c r="FJ73" i="9"/>
  <c r="FK73" i="9"/>
  <c r="FL73" i="9"/>
  <c r="FO73" i="9" s="1"/>
  <c r="FM73" i="9"/>
  <c r="FN73" i="9"/>
  <c r="FG74" i="9"/>
  <c r="FH74" i="9"/>
  <c r="FI74" i="9"/>
  <c r="FJ74" i="9"/>
  <c r="FK74" i="9"/>
  <c r="FL74" i="9"/>
  <c r="FM74" i="9"/>
  <c r="FN74" i="9"/>
  <c r="FO74" i="9"/>
  <c r="FP74" i="9"/>
  <c r="FQ74" i="9"/>
  <c r="FG75" i="9"/>
  <c r="FH75" i="9"/>
  <c r="FI75" i="9" s="1"/>
  <c r="FJ75" i="9"/>
  <c r="FK75" i="9"/>
  <c r="FL75" i="9"/>
  <c r="FG76" i="9"/>
  <c r="FH76" i="9"/>
  <c r="FI76" i="9"/>
  <c r="FJ76" i="9"/>
  <c r="FK76" i="9"/>
  <c r="FL76" i="9"/>
  <c r="FQ76" i="9" s="1"/>
  <c r="FM76" i="9"/>
  <c r="FN76" i="9"/>
  <c r="FP76" i="9" s="1"/>
  <c r="FO76" i="9"/>
  <c r="FG77" i="9"/>
  <c r="FH77" i="9"/>
  <c r="FI77" i="9" s="1"/>
  <c r="FJ77" i="9"/>
  <c r="FK77" i="9"/>
  <c r="FL77" i="9"/>
  <c r="FG78" i="9"/>
  <c r="FH78" i="9" s="1"/>
  <c r="FI78" i="9" s="1"/>
  <c r="FJ78" i="9"/>
  <c r="FK78" i="9"/>
  <c r="FL78" i="9"/>
  <c r="FM78" i="9"/>
  <c r="FN78" i="9"/>
  <c r="FQ78" i="9" s="1"/>
  <c r="FO78" i="9"/>
  <c r="FG79" i="9"/>
  <c r="FH79" i="9"/>
  <c r="FI79" i="9"/>
  <c r="FJ79" i="9"/>
  <c r="FK79" i="9"/>
  <c r="FL79" i="9"/>
  <c r="FM79" i="9"/>
  <c r="FN79" i="9"/>
  <c r="FP79" i="9" s="1"/>
  <c r="FO79" i="9"/>
  <c r="FG80" i="9"/>
  <c r="FH80" i="9" s="1"/>
  <c r="FI80" i="9" s="1"/>
  <c r="FJ80" i="9"/>
  <c r="FK80" i="9"/>
  <c r="FL80" i="9"/>
  <c r="FN80" i="9" s="1"/>
  <c r="FM80" i="9"/>
  <c r="FG81" i="9"/>
  <c r="FH81" i="9"/>
  <c r="FI81" i="9"/>
  <c r="FJ81" i="9"/>
  <c r="FK81" i="9"/>
  <c r="FL81" i="9"/>
  <c r="FM81" i="9" s="1"/>
  <c r="FO81" i="9"/>
  <c r="FG82" i="9"/>
  <c r="FH82" i="9"/>
  <c r="FI82" i="9"/>
  <c r="FJ82" i="9"/>
  <c r="FK82" i="9"/>
  <c r="FL82" i="9"/>
  <c r="FN82" i="9" s="1"/>
  <c r="FM82" i="9"/>
  <c r="FG83" i="9"/>
  <c r="FH83" i="9"/>
  <c r="FI83" i="9" s="1"/>
  <c r="FJ83" i="9"/>
  <c r="FK83" i="9"/>
  <c r="FL83" i="9"/>
  <c r="FM83" i="9" s="1"/>
  <c r="FG84" i="9"/>
  <c r="FH84" i="9" s="1"/>
  <c r="FI84" i="9" s="1"/>
  <c r="FJ84" i="9"/>
  <c r="FK84" i="9"/>
  <c r="FL84" i="9"/>
  <c r="FM84" i="9" s="1"/>
  <c r="FO84" i="9"/>
  <c r="FG85" i="9"/>
  <c r="FH85" i="9"/>
  <c r="FI85" i="9" s="1"/>
  <c r="FJ85" i="9"/>
  <c r="FK85" i="9"/>
  <c r="FL85" i="9"/>
  <c r="FP85" i="9" s="1"/>
  <c r="FM85" i="9"/>
  <c r="FN85" i="9"/>
  <c r="FQ85" i="9" s="1"/>
  <c r="FO85" i="9"/>
  <c r="FG86" i="9"/>
  <c r="FH86" i="9" s="1"/>
  <c r="FI86" i="9" s="1"/>
  <c r="FJ86" i="9"/>
  <c r="FK86" i="9"/>
  <c r="FL86" i="9"/>
  <c r="FN86" i="9" s="1"/>
  <c r="FM86" i="9"/>
  <c r="FG87" i="9"/>
  <c r="FH87" i="9" s="1"/>
  <c r="FI87" i="9" s="1"/>
  <c r="FJ87" i="9"/>
  <c r="FK87" i="9"/>
  <c r="FL87" i="9"/>
  <c r="FO87" i="9" s="1"/>
  <c r="FM87" i="9"/>
  <c r="FN87" i="9"/>
  <c r="FG88" i="9"/>
  <c r="FH88" i="9"/>
  <c r="FI88" i="9"/>
  <c r="FJ88" i="9"/>
  <c r="FK88" i="9"/>
  <c r="FL88" i="9"/>
  <c r="FM88" i="9"/>
  <c r="FN88" i="9"/>
  <c r="FO88" i="9"/>
  <c r="FP88" i="9"/>
  <c r="FQ88" i="9"/>
  <c r="FG89" i="9"/>
  <c r="FH89" i="9"/>
  <c r="FI89" i="9" s="1"/>
  <c r="FJ89" i="9"/>
  <c r="FK89" i="9"/>
  <c r="FL89" i="9"/>
  <c r="FG90" i="9"/>
  <c r="FH90" i="9"/>
  <c r="FI90" i="9"/>
  <c r="FJ90" i="9"/>
  <c r="FK90" i="9"/>
  <c r="FL90" i="9"/>
  <c r="FM90" i="9"/>
  <c r="FN90" i="9"/>
  <c r="FO90" i="9"/>
  <c r="FG91" i="9"/>
  <c r="FH91" i="9"/>
  <c r="FI91" i="9" s="1"/>
  <c r="FJ91" i="9"/>
  <c r="FK91" i="9"/>
  <c r="FL91" i="9"/>
  <c r="FG92" i="9"/>
  <c r="FH92" i="9" s="1"/>
  <c r="FI92" i="9" s="1"/>
  <c r="FJ92" i="9"/>
  <c r="FK92" i="9"/>
  <c r="FL92" i="9"/>
  <c r="FM92" i="9"/>
  <c r="FN92" i="9"/>
  <c r="FO92" i="9"/>
  <c r="FG93" i="9"/>
  <c r="FH93" i="9"/>
  <c r="FI93" i="9"/>
  <c r="FJ93" i="9"/>
  <c r="FK93" i="9"/>
  <c r="FL93" i="9"/>
  <c r="FM93" i="9"/>
  <c r="FN93" i="9"/>
  <c r="FP93" i="9" s="1"/>
  <c r="FO93" i="9"/>
  <c r="FG94" i="9"/>
  <c r="FH94" i="9" s="1"/>
  <c r="FI94" i="9" s="1"/>
  <c r="FJ94" i="9"/>
  <c r="FK94" i="9"/>
  <c r="FL94" i="9"/>
  <c r="FN94" i="9" s="1"/>
  <c r="FM94" i="9"/>
  <c r="FG95" i="9"/>
  <c r="FH95" i="9"/>
  <c r="FI95" i="9"/>
  <c r="FJ95" i="9"/>
  <c r="FK95" i="9"/>
  <c r="FL95" i="9"/>
  <c r="FM95" i="9" s="1"/>
  <c r="FN95" i="9"/>
  <c r="FO95" i="9"/>
  <c r="FQ95" i="9" s="1"/>
  <c r="FP95" i="9"/>
  <c r="FG96" i="9"/>
  <c r="FH96" i="9"/>
  <c r="FI96" i="9"/>
  <c r="FJ96" i="9"/>
  <c r="FK96" i="9"/>
  <c r="FL96" i="9"/>
  <c r="FN96" i="9" s="1"/>
  <c r="FM96" i="9"/>
  <c r="FG97" i="9"/>
  <c r="FH97" i="9"/>
  <c r="FI97" i="9" s="1"/>
  <c r="FJ97" i="9"/>
  <c r="FK97" i="9"/>
  <c r="FL97" i="9"/>
  <c r="FM97" i="9" s="1"/>
  <c r="FG98" i="9"/>
  <c r="FH98" i="9" s="1"/>
  <c r="FI98" i="9" s="1"/>
  <c r="FJ98" i="9"/>
  <c r="FK98" i="9"/>
  <c r="FL98" i="9"/>
  <c r="FM98" i="9" s="1"/>
  <c r="FO98" i="9"/>
  <c r="FG99" i="9"/>
  <c r="FH99" i="9"/>
  <c r="FI99" i="9" s="1"/>
  <c r="FJ99" i="9"/>
  <c r="FK99" i="9"/>
  <c r="FL99" i="9"/>
  <c r="FP99" i="9" s="1"/>
  <c r="FM99" i="9"/>
  <c r="FN99" i="9"/>
  <c r="FQ99" i="9" s="1"/>
  <c r="FO99" i="9"/>
  <c r="FG100" i="9"/>
  <c r="FH100" i="9" s="1"/>
  <c r="FI100" i="9" s="1"/>
  <c r="FJ100" i="9"/>
  <c r="FK100" i="9"/>
  <c r="FL100" i="9"/>
  <c r="FN100" i="9" s="1"/>
  <c r="FM100" i="9"/>
  <c r="FG101" i="9"/>
  <c r="FH101" i="9" s="1"/>
  <c r="FI101" i="9" s="1"/>
  <c r="FJ101" i="9"/>
  <c r="FK101" i="9"/>
  <c r="FL101" i="9"/>
  <c r="FO101" i="9" s="1"/>
  <c r="FM101" i="9"/>
  <c r="FN101" i="9"/>
  <c r="FG102" i="9"/>
  <c r="FH102" i="9"/>
  <c r="FI102" i="9"/>
  <c r="FJ102" i="9"/>
  <c r="FK102" i="9"/>
  <c r="FL102" i="9"/>
  <c r="FM102" i="9"/>
  <c r="FN102" i="9"/>
  <c r="FO102" i="9"/>
  <c r="FP102" i="9"/>
  <c r="FQ102" i="9"/>
  <c r="FG103" i="9"/>
  <c r="FH103" i="9"/>
  <c r="FI103" i="9" s="1"/>
  <c r="FJ103" i="9"/>
  <c r="FK103" i="9"/>
  <c r="FL103" i="9"/>
  <c r="FG104" i="9"/>
  <c r="FH104" i="9"/>
  <c r="FI104" i="9"/>
  <c r="FJ104" i="9"/>
  <c r="FK104" i="9"/>
  <c r="FL104" i="9"/>
  <c r="FM104" i="9"/>
  <c r="FN104" i="9"/>
  <c r="FO104" i="9"/>
  <c r="FG105" i="9"/>
  <c r="FH105" i="9"/>
  <c r="FI105" i="9" s="1"/>
  <c r="FJ105" i="9"/>
  <c r="FK105" i="9"/>
  <c r="FL105" i="9"/>
  <c r="FG106" i="9"/>
  <c r="FH106" i="9" s="1"/>
  <c r="FI106" i="9" s="1"/>
  <c r="FJ106" i="9"/>
  <c r="FK106" i="9"/>
  <c r="FL106" i="9"/>
  <c r="FM106" i="9"/>
  <c r="FN106" i="9"/>
  <c r="FO106" i="9"/>
  <c r="FG107" i="9"/>
  <c r="FH107" i="9"/>
  <c r="FI107" i="9"/>
  <c r="FJ107" i="9"/>
  <c r="FK107" i="9"/>
  <c r="FL107" i="9"/>
  <c r="FM107" i="9"/>
  <c r="FN107" i="9"/>
  <c r="FO107" i="9"/>
  <c r="FG108" i="9"/>
  <c r="FH108" i="9" s="1"/>
  <c r="FI108" i="9" s="1"/>
  <c r="FJ108" i="9"/>
  <c r="FK108" i="9"/>
  <c r="FL108" i="9"/>
  <c r="FO108" i="9" s="1"/>
  <c r="FM108" i="9"/>
  <c r="FN108" i="9"/>
  <c r="FQ108" i="9"/>
  <c r="FG109" i="9"/>
  <c r="FH109" i="9"/>
  <c r="FI109" i="9"/>
  <c r="FJ109" i="9"/>
  <c r="FK109" i="9"/>
  <c r="FL109" i="9"/>
  <c r="FM109" i="9"/>
  <c r="FN109" i="9"/>
  <c r="FO109" i="9"/>
  <c r="FP109" i="9"/>
  <c r="FQ109" i="9"/>
  <c r="FG110" i="9"/>
  <c r="FH110" i="9"/>
  <c r="FI110" i="9"/>
  <c r="FJ110" i="9"/>
  <c r="FK110" i="9"/>
  <c r="FL110" i="9"/>
  <c r="FO110" i="9" s="1"/>
  <c r="FM110" i="9"/>
  <c r="FN110" i="9"/>
  <c r="FG111" i="9"/>
  <c r="FH111" i="9"/>
  <c r="FI111" i="9"/>
  <c r="FJ111" i="9"/>
  <c r="FK111" i="9"/>
  <c r="FL111" i="9"/>
  <c r="FM111" i="9"/>
  <c r="FG112" i="9"/>
  <c r="FH112" i="9"/>
  <c r="FI112" i="9"/>
  <c r="FJ112" i="9"/>
  <c r="FK112" i="9"/>
  <c r="FL112" i="9"/>
  <c r="FO112" i="9" s="1"/>
  <c r="FG113" i="9"/>
  <c r="FH113" i="9"/>
  <c r="FI113" i="9" s="1"/>
  <c r="FJ113" i="9"/>
  <c r="FK113" i="9"/>
  <c r="FL113" i="9"/>
  <c r="FM113" i="9"/>
  <c r="FN113" i="9"/>
  <c r="FO113" i="9"/>
  <c r="FG114" i="9"/>
  <c r="FH114" i="9" s="1"/>
  <c r="FI114" i="9" s="1"/>
  <c r="FJ114" i="9"/>
  <c r="FK114" i="9"/>
  <c r="FL114" i="9"/>
  <c r="FM114" i="9" s="1"/>
  <c r="FN114" i="9"/>
  <c r="FG115" i="9"/>
  <c r="FH115" i="9" s="1"/>
  <c r="FI115" i="9" s="1"/>
  <c r="FJ115" i="9"/>
  <c r="FK115" i="9"/>
  <c r="FL115" i="9"/>
  <c r="FO115" i="9" s="1"/>
  <c r="FM115" i="9"/>
  <c r="FN115" i="9"/>
  <c r="FG116" i="9"/>
  <c r="FH116" i="9"/>
  <c r="FI116" i="9" s="1"/>
  <c r="FJ116" i="9"/>
  <c r="FK116" i="9"/>
  <c r="FL116" i="9"/>
  <c r="FO116" i="9" s="1"/>
  <c r="FQ116" i="9" s="1"/>
  <c r="FM116" i="9"/>
  <c r="FN116" i="9"/>
  <c r="FG117" i="9"/>
  <c r="FH117" i="9" s="1"/>
  <c r="FI117" i="9" s="1"/>
  <c r="FJ117" i="9"/>
  <c r="FK117" i="9"/>
  <c r="FL117" i="9"/>
  <c r="FO117" i="9" s="1"/>
  <c r="FN117" i="9"/>
  <c r="FP117" i="9" s="1"/>
  <c r="FG118" i="9"/>
  <c r="FH118" i="9"/>
  <c r="FI118" i="9"/>
  <c r="FJ118" i="9"/>
  <c r="FK118" i="9"/>
  <c r="FL118" i="9"/>
  <c r="FM118" i="9" s="1"/>
  <c r="FN118" i="9"/>
  <c r="FO118" i="9"/>
  <c r="FP118" i="9" s="1"/>
  <c r="FQ118" i="9"/>
  <c r="FG119" i="9"/>
  <c r="FH119" i="9"/>
  <c r="FI119" i="9"/>
  <c r="FJ119" i="9"/>
  <c r="FK119" i="9"/>
  <c r="FL119" i="9"/>
  <c r="FG120" i="9"/>
  <c r="FH120" i="9" s="1"/>
  <c r="FI120" i="9" s="1"/>
  <c r="FJ120" i="9"/>
  <c r="FK120" i="9"/>
  <c r="FL120" i="9"/>
  <c r="FO120" i="9"/>
  <c r="FG121" i="9"/>
  <c r="FH121" i="9" s="1"/>
  <c r="FI121" i="9"/>
  <c r="FJ121" i="9"/>
  <c r="FK121" i="9"/>
  <c r="FL121" i="9"/>
  <c r="FO121" i="9" s="1"/>
  <c r="FG122" i="9"/>
  <c r="FH122" i="9" s="1"/>
  <c r="FI122" i="9" s="1"/>
  <c r="FJ122" i="9"/>
  <c r="FK122" i="9"/>
  <c r="FL122" i="9"/>
  <c r="FM122" i="9"/>
  <c r="FN122" i="9"/>
  <c r="FQ122" i="9" s="1"/>
  <c r="FO122" i="9"/>
  <c r="FG123" i="9"/>
  <c r="FH123" i="9" s="1"/>
  <c r="FI123" i="9" s="1"/>
  <c r="FJ123" i="9"/>
  <c r="FK123" i="9"/>
  <c r="FL123" i="9"/>
  <c r="FN123" i="9" s="1"/>
  <c r="FM123" i="9"/>
  <c r="FO123" i="9"/>
  <c r="FP123" i="9" s="1"/>
  <c r="FG124" i="9"/>
  <c r="FH124" i="9" s="1"/>
  <c r="FI124" i="9" s="1"/>
  <c r="FJ124" i="9"/>
  <c r="FK124" i="9"/>
  <c r="FL124" i="9"/>
  <c r="FN124" i="9" s="1"/>
  <c r="FM124" i="9"/>
  <c r="FG125" i="9"/>
  <c r="FH125" i="9"/>
  <c r="FI125" i="9" s="1"/>
  <c r="FJ125" i="9"/>
  <c r="FK125" i="9"/>
  <c r="FL125" i="9"/>
  <c r="FG126" i="9"/>
  <c r="FH126" i="9"/>
  <c r="FI126" i="9" s="1"/>
  <c r="FJ126" i="9"/>
  <c r="FK126" i="9"/>
  <c r="FL126" i="9"/>
  <c r="FM126" i="9" s="1"/>
  <c r="FO126" i="9"/>
  <c r="FG127" i="9"/>
  <c r="FH127" i="9"/>
  <c r="FI127" i="9" s="1"/>
  <c r="FJ127" i="9"/>
  <c r="FK127" i="9"/>
  <c r="FL127" i="9"/>
  <c r="FM127" i="9"/>
  <c r="FN127" i="9"/>
  <c r="FQ127" i="9" s="1"/>
  <c r="FO127" i="9"/>
  <c r="FP127" i="9"/>
  <c r="FG128" i="9"/>
  <c r="FH128" i="9"/>
  <c r="FI128" i="9" s="1"/>
  <c r="FJ128" i="9"/>
  <c r="FK128" i="9"/>
  <c r="FL128" i="9"/>
  <c r="FM128" i="9" s="1"/>
  <c r="FN128" i="9"/>
  <c r="FG129" i="9"/>
  <c r="FH129" i="9" s="1"/>
  <c r="FI129" i="9" s="1"/>
  <c r="FJ129" i="9"/>
  <c r="FK129" i="9"/>
  <c r="FL129" i="9"/>
  <c r="FO129" i="9" s="1"/>
  <c r="FM129" i="9"/>
  <c r="FN129" i="9"/>
  <c r="FG130" i="9"/>
  <c r="FH130" i="9"/>
  <c r="FI130" i="9"/>
  <c r="FJ130" i="9"/>
  <c r="FK130" i="9"/>
  <c r="FL130" i="9"/>
  <c r="FO130" i="9" s="1"/>
  <c r="FM130" i="9"/>
  <c r="FN130" i="9"/>
  <c r="FQ130" i="9" s="1"/>
  <c r="FG131" i="9"/>
  <c r="FH131" i="9" s="1"/>
  <c r="FI131" i="9" s="1"/>
  <c r="FJ131" i="9"/>
  <c r="FK131" i="9"/>
  <c r="FL131" i="9"/>
  <c r="FO131" i="9" s="1"/>
  <c r="FG132" i="9"/>
  <c r="FH132" i="9"/>
  <c r="FI132" i="9"/>
  <c r="FJ132" i="9"/>
  <c r="FK132" i="9"/>
  <c r="FL132" i="9"/>
  <c r="FM132" i="9" s="1"/>
  <c r="FN132" i="9"/>
  <c r="FP132" i="9" s="1"/>
  <c r="FO132" i="9"/>
  <c r="FQ132" i="9"/>
  <c r="FG133" i="9"/>
  <c r="FH133" i="9"/>
  <c r="FI133" i="9" s="1"/>
  <c r="FJ133" i="9"/>
  <c r="FK133" i="9"/>
  <c r="FL133" i="9"/>
  <c r="FG134" i="9"/>
  <c r="FH134" i="9"/>
  <c r="FI134" i="9" s="1"/>
  <c r="FJ134" i="9"/>
  <c r="FK134" i="9"/>
  <c r="FL134" i="9"/>
  <c r="FO134" i="9"/>
  <c r="FG135" i="9"/>
  <c r="FH135" i="9" s="1"/>
  <c r="FI135" i="9"/>
  <c r="FJ135" i="9"/>
  <c r="FK135" i="9"/>
  <c r="FL135" i="9"/>
  <c r="FN135" i="9"/>
  <c r="FG136" i="9"/>
  <c r="FH136" i="9" s="1"/>
  <c r="FI136" i="9" s="1"/>
  <c r="FJ136" i="9"/>
  <c r="FK136" i="9"/>
  <c r="FL136" i="9"/>
  <c r="FM136" i="9" s="1"/>
  <c r="FN136" i="9"/>
  <c r="FP136" i="9" s="1"/>
  <c r="FO136" i="9"/>
  <c r="FG137" i="9"/>
  <c r="FH137" i="9" s="1"/>
  <c r="FI137" i="9" s="1"/>
  <c r="FJ137" i="9"/>
  <c r="FK137" i="9"/>
  <c r="FL137" i="9"/>
  <c r="FN137" i="9" s="1"/>
  <c r="FQ137" i="9" s="1"/>
  <c r="FM137" i="9"/>
  <c r="FO137" i="9"/>
  <c r="FG138" i="9"/>
  <c r="FH138" i="9" s="1"/>
  <c r="FI138" i="9" s="1"/>
  <c r="FJ138" i="9"/>
  <c r="FK138" i="9"/>
  <c r="FL138" i="9"/>
  <c r="FN138" i="9" s="1"/>
  <c r="FM138" i="9"/>
  <c r="FG139" i="9"/>
  <c r="FH139" i="9" s="1"/>
  <c r="FI139" i="9" s="1"/>
  <c r="FJ139" i="9"/>
  <c r="FK139" i="9"/>
  <c r="FL139" i="9"/>
  <c r="FG140" i="9"/>
  <c r="FH140" i="9"/>
  <c r="FI140" i="9" s="1"/>
  <c r="FJ140" i="9"/>
  <c r="FK140" i="9"/>
  <c r="FL140" i="9"/>
  <c r="FO140" i="9" s="1"/>
  <c r="FP140" i="9" s="1"/>
  <c r="FM140" i="9"/>
  <c r="FN140" i="9"/>
  <c r="FG141" i="9"/>
  <c r="FH141" i="9"/>
  <c r="FI141" i="9" s="1"/>
  <c r="FJ141" i="9"/>
  <c r="FK141" i="9"/>
  <c r="FL141" i="9"/>
  <c r="FM141" i="9"/>
  <c r="FN141" i="9"/>
  <c r="FP141" i="9" s="1"/>
  <c r="FO141" i="9"/>
  <c r="FG142" i="9"/>
  <c r="FH142" i="9" s="1"/>
  <c r="FI142" i="9" s="1"/>
  <c r="FJ142" i="9"/>
  <c r="FK142" i="9"/>
  <c r="FL142" i="9"/>
  <c r="FM142" i="9" s="1"/>
  <c r="FN142" i="9"/>
  <c r="FG143" i="9"/>
  <c r="FH143" i="9" s="1"/>
  <c r="FI143" i="9" s="1"/>
  <c r="FJ143" i="9"/>
  <c r="FK143" i="9"/>
  <c r="FL143" i="9"/>
  <c r="FO143" i="9" s="1"/>
  <c r="FM143" i="9"/>
  <c r="FN143" i="9"/>
  <c r="FG144" i="9"/>
  <c r="FH144" i="9"/>
  <c r="FI144" i="9" s="1"/>
  <c r="FJ144" i="9"/>
  <c r="FK144" i="9"/>
  <c r="FL144" i="9"/>
  <c r="FO144" i="9" s="1"/>
  <c r="FM144" i="9"/>
  <c r="FG145" i="9"/>
  <c r="FH145" i="9" s="1"/>
  <c r="FI145" i="9" s="1"/>
  <c r="FJ145" i="9"/>
  <c r="FK145" i="9"/>
  <c r="FL145" i="9"/>
  <c r="FN145" i="9"/>
  <c r="FG146" i="9"/>
  <c r="FH146" i="9"/>
  <c r="FI146" i="9" s="1"/>
  <c r="FJ146" i="9"/>
  <c r="FK146" i="9"/>
  <c r="FL146" i="9"/>
  <c r="FM146" i="9" s="1"/>
  <c r="FN146" i="9"/>
  <c r="FQ146" i="9" s="1"/>
  <c r="FO146" i="9"/>
  <c r="FP146" i="9"/>
  <c r="FG147" i="9"/>
  <c r="FH147" i="9" s="1"/>
  <c r="FI147" i="9"/>
  <c r="FJ147" i="9"/>
  <c r="FK147" i="9"/>
  <c r="FL147" i="9"/>
  <c r="FG148" i="9"/>
  <c r="FH148" i="9"/>
  <c r="FI148" i="9"/>
  <c r="FJ148" i="9"/>
  <c r="FK148" i="9"/>
  <c r="FL148" i="9"/>
  <c r="FO148" i="9"/>
  <c r="FG149" i="9"/>
  <c r="FH149" i="9" s="1"/>
  <c r="FI149" i="9"/>
  <c r="FJ149" i="9"/>
  <c r="FK149" i="9"/>
  <c r="FL149" i="9"/>
  <c r="FM149" i="9" s="1"/>
  <c r="FN149" i="9"/>
  <c r="FO149" i="9"/>
  <c r="FQ149" i="9"/>
  <c r="FG150" i="9"/>
  <c r="FH150" i="9" s="1"/>
  <c r="FI150" i="9" s="1"/>
  <c r="FJ150" i="9"/>
  <c r="FK150" i="9"/>
  <c r="FL150" i="9"/>
  <c r="FM150" i="9"/>
  <c r="FN150" i="9"/>
  <c r="FO150" i="9"/>
  <c r="FP150" i="9"/>
  <c r="FG151" i="9"/>
  <c r="FH151" i="9" s="1"/>
  <c r="FI151" i="9" s="1"/>
  <c r="FJ151" i="9"/>
  <c r="FK151" i="9"/>
  <c r="FL151" i="9"/>
  <c r="FM151" i="9"/>
  <c r="FN151" i="9"/>
  <c r="FO151" i="9"/>
  <c r="FP151" i="9" s="1"/>
  <c r="FQ151" i="9"/>
  <c r="FG152" i="9"/>
  <c r="FH152" i="9"/>
  <c r="FI152" i="9"/>
  <c r="FJ152" i="9"/>
  <c r="FK152" i="9"/>
  <c r="FL152" i="9"/>
  <c r="FM152" i="9"/>
  <c r="FN152" i="9"/>
  <c r="FG153" i="9"/>
  <c r="FH153" i="9" s="1"/>
  <c r="FI153" i="9"/>
  <c r="FJ153" i="9"/>
  <c r="FK153" i="9"/>
  <c r="FL153" i="9"/>
  <c r="FN153" i="9"/>
  <c r="FG154" i="9"/>
  <c r="FH154" i="9"/>
  <c r="FI154" i="9" s="1"/>
  <c r="FJ154" i="9"/>
  <c r="FK154" i="9"/>
  <c r="FL154" i="9"/>
  <c r="FO154" i="9" s="1"/>
  <c r="FM154" i="9"/>
  <c r="FN154" i="9"/>
  <c r="FP154" i="9" s="1"/>
  <c r="FG155" i="9"/>
  <c r="FH155" i="9"/>
  <c r="FI155" i="9" s="1"/>
  <c r="FJ155" i="9"/>
  <c r="FK155" i="9"/>
  <c r="FL155" i="9"/>
  <c r="FM155" i="9"/>
  <c r="FN155" i="9"/>
  <c r="FO155" i="9"/>
  <c r="FP155" i="9"/>
  <c r="FQ155" i="9"/>
  <c r="FG156" i="9"/>
  <c r="FH156" i="9"/>
  <c r="FI156" i="9" s="1"/>
  <c r="FJ156" i="9"/>
  <c r="FK156" i="9"/>
  <c r="FL156" i="9"/>
  <c r="FG157" i="9"/>
  <c r="FH157" i="9"/>
  <c r="FI157" i="9"/>
  <c r="FJ157" i="9"/>
  <c r="FK157" i="9"/>
  <c r="FL157" i="9"/>
  <c r="FN157" i="9"/>
  <c r="FG158" i="9"/>
  <c r="FH158" i="9"/>
  <c r="FI158" i="9" s="1"/>
  <c r="FJ158" i="9"/>
  <c r="FK158" i="9"/>
  <c r="FL158" i="9"/>
  <c r="FM158" i="9"/>
  <c r="FN158" i="9"/>
  <c r="FO158" i="9"/>
  <c r="FP158" i="9"/>
  <c r="FQ158" i="9"/>
  <c r="FG159" i="9"/>
  <c r="FH159" i="9" s="1"/>
  <c r="FI159" i="9" s="1"/>
  <c r="FJ159" i="9"/>
  <c r="FK159" i="9"/>
  <c r="FL159" i="9"/>
  <c r="FM159" i="9"/>
  <c r="FG160" i="9"/>
  <c r="FH160" i="9"/>
  <c r="FI160" i="9" s="1"/>
  <c r="FJ160" i="9"/>
  <c r="FK160" i="9"/>
  <c r="FL160" i="9"/>
  <c r="FM160" i="9" s="1"/>
  <c r="FN160" i="9"/>
  <c r="FO160" i="9"/>
  <c r="FP160" i="9"/>
  <c r="FQ160" i="9"/>
  <c r="FG161" i="9"/>
  <c r="FH161" i="9"/>
  <c r="FI161" i="9"/>
  <c r="FJ161" i="9"/>
  <c r="FK161" i="9"/>
  <c r="FL161" i="9"/>
  <c r="FM161" i="9" s="1"/>
  <c r="FG162" i="9"/>
  <c r="FH162" i="9" s="1"/>
  <c r="FI162" i="9"/>
  <c r="FJ162" i="9"/>
  <c r="FK162" i="9"/>
  <c r="FL162" i="9"/>
  <c r="FG163" i="9"/>
  <c r="FH163" i="9" s="1"/>
  <c r="FI163" i="9" s="1"/>
  <c r="FJ163" i="9"/>
  <c r="FK163" i="9"/>
  <c r="FL163" i="9"/>
  <c r="FN163" i="9"/>
  <c r="FG164" i="9"/>
  <c r="FH164" i="9"/>
  <c r="FI164" i="9" s="1"/>
  <c r="FJ164" i="9"/>
  <c r="FK164" i="9"/>
  <c r="FL164" i="9"/>
  <c r="FM164" i="9" s="1"/>
  <c r="FO164" i="9"/>
  <c r="FG165" i="9"/>
  <c r="FH165" i="9" s="1"/>
  <c r="FI165" i="9" s="1"/>
  <c r="FJ165" i="9"/>
  <c r="FK165" i="9"/>
  <c r="FL165" i="9"/>
  <c r="FN165" i="9" s="1"/>
  <c r="FM165" i="9"/>
  <c r="FO165" i="9"/>
  <c r="FP165" i="9"/>
  <c r="FQ165" i="9"/>
  <c r="FG166" i="9"/>
  <c r="FH166" i="9"/>
  <c r="FI166" i="9" s="1"/>
  <c r="FJ166" i="9"/>
  <c r="FK166" i="9"/>
  <c r="FL166" i="9"/>
  <c r="FM166" i="9"/>
  <c r="FN166" i="9"/>
  <c r="FG167" i="9"/>
  <c r="FH167" i="9"/>
  <c r="FI167" i="9" s="1"/>
  <c r="FJ167" i="9"/>
  <c r="FK167" i="9"/>
  <c r="FL167" i="9"/>
  <c r="FO167" i="9" s="1"/>
  <c r="FM167" i="9"/>
  <c r="FN167" i="9"/>
  <c r="FP167" i="9"/>
  <c r="FG168" i="9"/>
  <c r="FH168" i="9"/>
  <c r="FI168" i="9" s="1"/>
  <c r="FJ168" i="9"/>
  <c r="FK168" i="9"/>
  <c r="FL168" i="9"/>
  <c r="FM168" i="9" s="1"/>
  <c r="FG169" i="9"/>
  <c r="FH169" i="9" s="1"/>
  <c r="FI169" i="9"/>
  <c r="FJ169" i="9"/>
  <c r="FK169" i="9"/>
  <c r="FL169" i="9"/>
  <c r="FM169" i="9"/>
  <c r="FN169" i="9"/>
  <c r="FO169" i="9"/>
  <c r="FP169" i="9" s="1"/>
  <c r="FG170" i="9"/>
  <c r="FH170" i="9" s="1"/>
  <c r="FI170" i="9" s="1"/>
  <c r="FJ170" i="9"/>
  <c r="FK170" i="9"/>
  <c r="FL170" i="9"/>
  <c r="FG171" i="9"/>
  <c r="FH171" i="9"/>
  <c r="FI171" i="9"/>
  <c r="FJ171" i="9"/>
  <c r="FK171" i="9"/>
  <c r="FL171" i="9"/>
  <c r="FM171" i="9" s="1"/>
  <c r="FN171" i="9"/>
  <c r="FO171" i="9"/>
  <c r="FG172" i="9"/>
  <c r="FH172" i="9"/>
  <c r="FI172" i="9"/>
  <c r="FJ172" i="9"/>
  <c r="FK172" i="9"/>
  <c r="FL172" i="9"/>
  <c r="FM172" i="9"/>
  <c r="FN172" i="9"/>
  <c r="FQ172" i="9" s="1"/>
  <c r="FO172" i="9"/>
  <c r="FP172" i="9" s="1"/>
  <c r="FG173" i="9"/>
  <c r="FH173" i="9" s="1"/>
  <c r="FI173" i="9"/>
  <c r="FJ173" i="9"/>
  <c r="FK173" i="9"/>
  <c r="FL173" i="9"/>
  <c r="FO173" i="9" s="1"/>
  <c r="FM173" i="9"/>
  <c r="FN173" i="9"/>
  <c r="FQ173" i="9" s="1"/>
  <c r="FG174" i="9"/>
  <c r="FH174" i="9"/>
  <c r="FI174" i="9" s="1"/>
  <c r="FJ174" i="9"/>
  <c r="FK174" i="9"/>
  <c r="FL174" i="9"/>
  <c r="FO174" i="9"/>
  <c r="FG175" i="9"/>
  <c r="FH175" i="9" s="1"/>
  <c r="FI175" i="9" s="1"/>
  <c r="FJ175" i="9"/>
  <c r="FK175" i="9"/>
  <c r="FL175" i="9"/>
  <c r="FM175" i="9" s="1"/>
  <c r="FG176" i="9"/>
  <c r="FH176" i="9" s="1"/>
  <c r="FI176" i="9"/>
  <c r="FJ176" i="9"/>
  <c r="FK176" i="9"/>
  <c r="FL176" i="9"/>
  <c r="FG177" i="9"/>
  <c r="FH177" i="9" s="1"/>
  <c r="FI177" i="9" s="1"/>
  <c r="FJ177" i="9"/>
  <c r="FK177" i="9"/>
  <c r="FL177" i="9"/>
  <c r="FN177" i="9" s="1"/>
  <c r="FG178" i="9"/>
  <c r="FH178" i="9"/>
  <c r="FI178" i="9" s="1"/>
  <c r="FJ178" i="9"/>
  <c r="FK178" i="9"/>
  <c r="FL178" i="9"/>
  <c r="FM178" i="9" s="1"/>
  <c r="FO178" i="9"/>
  <c r="FG179" i="9"/>
  <c r="FH179" i="9" s="1"/>
  <c r="FI179" i="9" s="1"/>
  <c r="FJ179" i="9"/>
  <c r="FK179" i="9"/>
  <c r="FL179" i="9"/>
  <c r="FM179" i="9"/>
  <c r="FN179" i="9"/>
  <c r="FQ179" i="9" s="1"/>
  <c r="FO179" i="9"/>
  <c r="FP179" i="9" s="1"/>
  <c r="FG180" i="9"/>
  <c r="FH180" i="9" s="1"/>
  <c r="FI180" i="9" s="1"/>
  <c r="FJ180" i="9"/>
  <c r="FK180" i="9"/>
  <c r="FL180" i="9"/>
  <c r="FM180" i="9"/>
  <c r="FG181" i="9"/>
  <c r="FH181" i="9"/>
  <c r="FI181" i="9" s="1"/>
  <c r="FJ181" i="9"/>
  <c r="FK181" i="9"/>
  <c r="FL181" i="9"/>
  <c r="FN181" i="9" s="1"/>
  <c r="FG182" i="9"/>
  <c r="FH182" i="9"/>
  <c r="FI182" i="9"/>
  <c r="FJ182" i="9"/>
  <c r="FK182" i="9"/>
  <c r="FL182" i="9"/>
  <c r="FM182" i="9"/>
  <c r="FN182" i="9"/>
  <c r="FO182" i="9"/>
  <c r="FQ182" i="9"/>
  <c r="FG183" i="9"/>
  <c r="FH183" i="9"/>
  <c r="FI183" i="9"/>
  <c r="FJ183" i="9"/>
  <c r="FK183" i="9"/>
  <c r="FL183" i="9"/>
  <c r="FG184" i="9"/>
  <c r="FH184" i="9" s="1"/>
  <c r="FI184" i="9" s="1"/>
  <c r="FJ184" i="9"/>
  <c r="FK184" i="9"/>
  <c r="FL184" i="9"/>
  <c r="FG185" i="9"/>
  <c r="FH185" i="9" s="1"/>
  <c r="FI185" i="9" s="1"/>
  <c r="FJ185" i="9"/>
  <c r="FK185" i="9"/>
  <c r="FL185" i="9"/>
  <c r="FM185" i="9"/>
  <c r="FN185" i="9"/>
  <c r="FO185" i="9"/>
  <c r="FQ185" i="9"/>
  <c r="FG186" i="9"/>
  <c r="FH186" i="9"/>
  <c r="FI186" i="9"/>
  <c r="FJ186" i="9"/>
  <c r="FK186" i="9"/>
  <c r="FL186" i="9"/>
  <c r="FM186" i="9"/>
  <c r="FN186" i="9"/>
  <c r="FQ186" i="9" s="1"/>
  <c r="FO186" i="9"/>
  <c r="FG187" i="9"/>
  <c r="FH187" i="9" s="1"/>
  <c r="FI187" i="9"/>
  <c r="FJ187" i="9"/>
  <c r="FK187" i="9"/>
  <c r="FL187" i="9"/>
  <c r="FM187" i="9"/>
  <c r="FN187" i="9"/>
  <c r="FP187" i="9" s="1"/>
  <c r="FO187" i="9"/>
  <c r="FQ187" i="9"/>
  <c r="FG188" i="9"/>
  <c r="FH188" i="9" s="1"/>
  <c r="FI188" i="9" s="1"/>
  <c r="FJ188" i="9"/>
  <c r="FK188" i="9"/>
  <c r="FL188" i="9"/>
  <c r="FM188" i="9"/>
  <c r="FG189" i="9"/>
  <c r="FH189" i="9" s="1"/>
  <c r="FI189" i="9"/>
  <c r="FJ189" i="9"/>
  <c r="FK189" i="9"/>
  <c r="FL189" i="9"/>
  <c r="FN189" i="9" s="1"/>
  <c r="FM189" i="9"/>
  <c r="FO189" i="9"/>
  <c r="FP189" i="9"/>
  <c r="FQ189" i="9"/>
  <c r="FG190" i="9"/>
  <c r="FH190" i="9" s="1"/>
  <c r="FI190" i="9" s="1"/>
  <c r="FJ190" i="9"/>
  <c r="FK190" i="9"/>
  <c r="FL190" i="9"/>
  <c r="FM190" i="9"/>
  <c r="FN190" i="9"/>
  <c r="FO190" i="9"/>
  <c r="FG191" i="9"/>
  <c r="FH191" i="9" s="1"/>
  <c r="FI191" i="9"/>
  <c r="FJ191" i="9"/>
  <c r="FK191" i="9"/>
  <c r="FL191" i="9"/>
  <c r="FM191" i="9"/>
  <c r="FN191" i="9"/>
  <c r="FP191" i="9" s="1"/>
  <c r="FO191" i="9"/>
  <c r="FQ191" i="9"/>
  <c r="FG192" i="9"/>
  <c r="FH192" i="9" s="1"/>
  <c r="FI192" i="9" s="1"/>
  <c r="FJ192" i="9"/>
  <c r="FK192" i="9"/>
  <c r="FL192" i="9"/>
  <c r="FM192" i="9"/>
  <c r="FN192" i="9"/>
  <c r="FO192" i="9"/>
  <c r="FQ192" i="9"/>
  <c r="FG193" i="9"/>
  <c r="FH193" i="9"/>
  <c r="FI193" i="9" s="1"/>
  <c r="FJ193" i="9"/>
  <c r="FK193" i="9"/>
  <c r="FL193" i="9"/>
  <c r="FM193" i="9"/>
  <c r="FN193" i="9"/>
  <c r="FQ193" i="9" s="1"/>
  <c r="FO193" i="9"/>
  <c r="FP193" i="9"/>
  <c r="FG194" i="9"/>
  <c r="FH194" i="9" s="1"/>
  <c r="FI194" i="9"/>
  <c r="FJ194" i="9"/>
  <c r="FK194" i="9"/>
  <c r="FL194" i="9"/>
  <c r="FO194" i="9" s="1"/>
  <c r="FM194" i="9"/>
  <c r="FN194" i="9"/>
  <c r="FP194" i="9" s="1"/>
  <c r="FG195" i="9"/>
  <c r="FH195" i="9" s="1"/>
  <c r="FI195" i="9"/>
  <c r="FJ195" i="9"/>
  <c r="FK195" i="9"/>
  <c r="FL195" i="9"/>
  <c r="FM195" i="9"/>
  <c r="FN195" i="9"/>
  <c r="FP195" i="9" s="1"/>
  <c r="FO195" i="9"/>
  <c r="FQ195" i="9"/>
  <c r="FG196" i="9"/>
  <c r="FH196" i="9"/>
  <c r="FI196" i="9" s="1"/>
  <c r="FJ196" i="9"/>
  <c r="FK196" i="9"/>
  <c r="FL196" i="9"/>
  <c r="FM196" i="9" s="1"/>
  <c r="FG197" i="9"/>
  <c r="FH197" i="9" s="1"/>
  <c r="FI197" i="9"/>
  <c r="FJ197" i="9"/>
  <c r="FK197" i="9"/>
  <c r="FL197" i="9"/>
  <c r="FM197" i="9"/>
  <c r="FN197" i="9"/>
  <c r="FO197" i="9"/>
  <c r="FQ197" i="9" s="1"/>
  <c r="FG198" i="9"/>
  <c r="FH198" i="9"/>
  <c r="FI198" i="9" s="1"/>
  <c r="FJ198" i="9"/>
  <c r="FK198" i="9"/>
  <c r="FL198" i="9"/>
  <c r="FN198" i="9" s="1"/>
  <c r="FG199" i="9"/>
  <c r="FH199" i="9"/>
  <c r="FI199" i="9"/>
  <c r="FJ199" i="9"/>
  <c r="FK199" i="9"/>
  <c r="FL199" i="9"/>
  <c r="FG200" i="9"/>
  <c r="FH200" i="9" s="1"/>
  <c r="FI200" i="9" s="1"/>
  <c r="FJ200" i="9"/>
  <c r="FK200" i="9"/>
  <c r="FL200" i="9"/>
  <c r="FM200" i="9"/>
  <c r="FG201" i="9"/>
  <c r="FH201" i="9" s="1"/>
  <c r="FI201" i="9" s="1"/>
  <c r="FJ201" i="9"/>
  <c r="FK201" i="9"/>
  <c r="FL201" i="9"/>
  <c r="FN201" i="9"/>
  <c r="FG202" i="9"/>
  <c r="FH202" i="9" s="1"/>
  <c r="FI202" i="9" s="1"/>
  <c r="FJ202" i="9"/>
  <c r="FK202" i="9"/>
  <c r="FL202" i="9"/>
  <c r="FM202" i="9"/>
  <c r="FN202" i="9"/>
  <c r="FQ202" i="9" s="1"/>
  <c r="FO202" i="9"/>
  <c r="FG203" i="9"/>
  <c r="FH203" i="9"/>
  <c r="FI203" i="9"/>
  <c r="FJ203" i="9"/>
  <c r="FK203" i="9"/>
  <c r="FL203" i="9"/>
  <c r="FG204" i="9"/>
  <c r="FH204" i="9"/>
  <c r="FI204" i="9" s="1"/>
  <c r="FJ204" i="9"/>
  <c r="FK204" i="9"/>
  <c r="FL204" i="9"/>
  <c r="FG205" i="9"/>
  <c r="FH205" i="9"/>
  <c r="FI205" i="9" s="1"/>
  <c r="FJ205" i="9"/>
  <c r="FK205" i="9"/>
  <c r="FL205" i="9"/>
  <c r="FN205" i="9"/>
  <c r="FG206" i="9"/>
  <c r="FH206" i="9" s="1"/>
  <c r="FI206" i="9" s="1"/>
  <c r="FJ206" i="9"/>
  <c r="FK206" i="9"/>
  <c r="FL206" i="9"/>
  <c r="FM206" i="9"/>
  <c r="FN206" i="9"/>
  <c r="FO206" i="9"/>
  <c r="FQ206" i="9"/>
  <c r="FG207" i="9"/>
  <c r="FH207" i="9"/>
  <c r="FI207" i="9"/>
  <c r="FJ207" i="9"/>
  <c r="FK207" i="9"/>
  <c r="FL207" i="9"/>
  <c r="FG208" i="9"/>
  <c r="FH208" i="9" s="1"/>
  <c r="FI208" i="9" s="1"/>
  <c r="FJ208" i="9"/>
  <c r="FK208" i="9"/>
  <c r="FL208" i="9"/>
  <c r="FO208" i="9"/>
  <c r="FG209" i="9"/>
  <c r="FH209" i="9"/>
  <c r="FI209" i="9"/>
  <c r="FJ209" i="9"/>
  <c r="FK209" i="9"/>
  <c r="FL209" i="9"/>
  <c r="FN209" i="9" s="1"/>
  <c r="FG210" i="9"/>
  <c r="FH210" i="9" s="1"/>
  <c r="FI210" i="9" s="1"/>
  <c r="FJ210" i="9"/>
  <c r="FK210" i="9"/>
  <c r="FL210" i="9"/>
  <c r="FM210" i="9"/>
  <c r="FO210" i="9"/>
  <c r="FG211" i="9"/>
  <c r="FH211" i="9" s="1"/>
  <c r="FI211" i="9" s="1"/>
  <c r="FJ211" i="9"/>
  <c r="FK211" i="9"/>
  <c r="FL211" i="9"/>
  <c r="FM211" i="9" s="1"/>
  <c r="FN211" i="9"/>
  <c r="FP211" i="9" s="1"/>
  <c r="FO211" i="9"/>
  <c r="FG212" i="9"/>
  <c r="FH212" i="9" s="1"/>
  <c r="FI212" i="9" s="1"/>
  <c r="FJ212" i="9"/>
  <c r="FK212" i="9"/>
  <c r="FL212" i="9"/>
  <c r="FM212" i="9"/>
  <c r="FN212" i="9"/>
  <c r="FP212" i="9" s="1"/>
  <c r="FO212" i="9"/>
  <c r="FQ212" i="9"/>
  <c r="FG213" i="9"/>
  <c r="FH213" i="9" s="1"/>
  <c r="FI213" i="9" s="1"/>
  <c r="FJ213" i="9"/>
  <c r="FK213" i="9"/>
  <c r="FL213" i="9"/>
  <c r="FM213" i="9"/>
  <c r="FG214" i="9"/>
  <c r="FH214" i="9" s="1"/>
  <c r="FI214" i="9"/>
  <c r="FJ214" i="9"/>
  <c r="FK214" i="9"/>
  <c r="FL214" i="9"/>
  <c r="FM214" i="9"/>
  <c r="FN214" i="9"/>
  <c r="FO214" i="9"/>
  <c r="FQ214" i="9" s="1"/>
  <c r="FG215" i="9"/>
  <c r="FH215" i="9"/>
  <c r="FI215" i="9" s="1"/>
  <c r="FJ215" i="9"/>
  <c r="FK215" i="9"/>
  <c r="FL215" i="9"/>
  <c r="FM215" i="9"/>
  <c r="FN215" i="9"/>
  <c r="FG216" i="9"/>
  <c r="FH216" i="9" s="1"/>
  <c r="FI216" i="9" s="1"/>
  <c r="FJ216" i="9"/>
  <c r="FK216" i="9"/>
  <c r="FL216" i="9"/>
  <c r="FN216" i="9" s="1"/>
  <c r="FP216" i="9" s="1"/>
  <c r="FM216" i="9"/>
  <c r="FO216" i="9"/>
  <c r="FQ216" i="9" s="1"/>
  <c r="FG217" i="9"/>
  <c r="FH217" i="9"/>
  <c r="FI217" i="9" s="1"/>
  <c r="FJ217" i="9"/>
  <c r="FK217" i="9"/>
  <c r="FL217" i="9"/>
  <c r="FM217" i="9" s="1"/>
  <c r="FN217" i="9"/>
  <c r="FG218" i="9"/>
  <c r="FH218" i="9" s="1"/>
  <c r="FI218" i="9" s="1"/>
  <c r="FJ218" i="9"/>
  <c r="FK218" i="9"/>
  <c r="FL218" i="9"/>
  <c r="FP218" i="9" s="1"/>
  <c r="FM218" i="9"/>
  <c r="FN218" i="9"/>
  <c r="FQ218" i="9" s="1"/>
  <c r="FO218" i="9"/>
  <c r="FG219" i="9"/>
  <c r="FH219" i="9"/>
  <c r="FI219" i="9" s="1"/>
  <c r="FJ219" i="9"/>
  <c r="FK219" i="9"/>
  <c r="FL219" i="9"/>
  <c r="FN219" i="9" s="1"/>
  <c r="FG220" i="9"/>
  <c r="FH220" i="9" s="1"/>
  <c r="FI220" i="9"/>
  <c r="FJ220" i="9"/>
  <c r="FK220" i="9"/>
  <c r="FL220" i="9"/>
  <c r="FP220" i="9" s="1"/>
  <c r="FM220" i="9"/>
  <c r="FN220" i="9"/>
  <c r="FO220" i="9"/>
  <c r="FQ220" i="9"/>
  <c r="FG221" i="9"/>
  <c r="FH221" i="9"/>
  <c r="FI221" i="9" s="1"/>
  <c r="FJ221" i="9"/>
  <c r="FK221" i="9"/>
  <c r="FL221" i="9"/>
  <c r="FN221" i="9"/>
  <c r="FG222" i="9"/>
  <c r="FH222" i="9" s="1"/>
  <c r="FI222" i="9" s="1"/>
  <c r="FJ222" i="9"/>
  <c r="FK222" i="9"/>
  <c r="FL222" i="9"/>
  <c r="FO222" i="9" s="1"/>
  <c r="FG223" i="9"/>
  <c r="FH223" i="9"/>
  <c r="FI223" i="9" s="1"/>
  <c r="FJ223" i="9"/>
  <c r="FK223" i="9"/>
  <c r="FL223" i="9"/>
  <c r="FN223" i="9"/>
  <c r="FO223" i="9"/>
  <c r="FG224" i="9"/>
  <c r="FH224" i="9" s="1"/>
  <c r="FI224" i="9" s="1"/>
  <c r="FJ224" i="9"/>
  <c r="FK224" i="9"/>
  <c r="FL224" i="9"/>
  <c r="FM224" i="9" s="1"/>
  <c r="FG225" i="9"/>
  <c r="FH225" i="9" s="1"/>
  <c r="FI225" i="9" s="1"/>
  <c r="FJ225" i="9"/>
  <c r="FK225" i="9"/>
  <c r="FL225" i="9"/>
  <c r="FN225" i="9"/>
  <c r="FG226" i="9"/>
  <c r="FH226" i="9" s="1"/>
  <c r="FI226" i="9"/>
  <c r="FJ226" i="9"/>
  <c r="FK226" i="9"/>
  <c r="FL226" i="9"/>
  <c r="FM226" i="9"/>
  <c r="FN226" i="9"/>
  <c r="FP226" i="9" s="1"/>
  <c r="FO226" i="9"/>
  <c r="FQ226" i="9"/>
  <c r="FG227" i="9"/>
  <c r="FH227" i="9"/>
  <c r="FI227" i="9" s="1"/>
  <c r="FJ227" i="9"/>
  <c r="FK227" i="9"/>
  <c r="FL227" i="9"/>
  <c r="FM227" i="9"/>
  <c r="FN227" i="9"/>
  <c r="FG228" i="9"/>
  <c r="FH228" i="9" s="1"/>
  <c r="FI228" i="9" s="1"/>
  <c r="FJ228" i="9"/>
  <c r="FK228" i="9"/>
  <c r="FL228" i="9"/>
  <c r="FM228" i="9"/>
  <c r="FN228" i="9"/>
  <c r="FO228" i="9"/>
  <c r="FQ228" i="9" s="1"/>
  <c r="FP228" i="9"/>
  <c r="FG229" i="9"/>
  <c r="FH229" i="9"/>
  <c r="FI229" i="9" s="1"/>
  <c r="FJ229" i="9"/>
  <c r="FK229" i="9"/>
  <c r="FL229" i="9"/>
  <c r="FM229" i="9" s="1"/>
  <c r="FN229" i="9"/>
  <c r="FG230" i="9"/>
  <c r="FH230" i="9"/>
  <c r="FI230" i="9" s="1"/>
  <c r="FJ230" i="9"/>
  <c r="FK230" i="9"/>
  <c r="FL230" i="9"/>
  <c r="FN230" i="9" s="1"/>
  <c r="FM230" i="9"/>
  <c r="FO230" i="9"/>
  <c r="FP230" i="9"/>
  <c r="FQ230" i="9"/>
  <c r="FG231" i="9"/>
  <c r="FH231" i="9"/>
  <c r="FI231" i="9" s="1"/>
  <c r="FJ231" i="9"/>
  <c r="FK231" i="9"/>
  <c r="FL231" i="9"/>
  <c r="FN231" i="9"/>
  <c r="FG232" i="9"/>
  <c r="FH232" i="9"/>
  <c r="FI232" i="9" s="1"/>
  <c r="FJ232" i="9"/>
  <c r="FK232" i="9"/>
  <c r="FL232" i="9"/>
  <c r="FP232" i="9" s="1"/>
  <c r="FM232" i="9"/>
  <c r="FN232" i="9"/>
  <c r="FO232" i="9"/>
  <c r="FQ232" i="9"/>
  <c r="FG233" i="9"/>
  <c r="FH233" i="9"/>
  <c r="FI233" i="9" s="1"/>
  <c r="FJ233" i="9"/>
  <c r="FK233" i="9"/>
  <c r="FL233" i="9"/>
  <c r="FN233" i="9"/>
  <c r="FG234" i="9"/>
  <c r="FH234" i="9" s="1"/>
  <c r="FI234" i="9"/>
  <c r="FJ234" i="9"/>
  <c r="FK234" i="9"/>
  <c r="FL234" i="9"/>
  <c r="FM234" i="9"/>
  <c r="FN234" i="9"/>
  <c r="FO234" i="9"/>
  <c r="FQ234" i="9"/>
  <c r="FG235" i="9"/>
  <c r="FH235" i="9"/>
  <c r="FI235" i="9"/>
  <c r="FJ235" i="9"/>
  <c r="FK235" i="9"/>
  <c r="FL235" i="9"/>
  <c r="FO235" i="9" s="1"/>
  <c r="FM235" i="9"/>
  <c r="FN235" i="9"/>
  <c r="FG236" i="9"/>
  <c r="FH236" i="9" s="1"/>
  <c r="FI236" i="9" s="1"/>
  <c r="FJ236" i="9"/>
  <c r="FK236" i="9"/>
  <c r="FL236" i="9"/>
  <c r="FN236" i="9" s="1"/>
  <c r="FM236" i="9"/>
  <c r="FO236" i="9"/>
  <c r="FG237" i="9"/>
  <c r="FH237" i="9"/>
  <c r="FI237" i="9" s="1"/>
  <c r="FJ237" i="9"/>
  <c r="FK237" i="9"/>
  <c r="FL237" i="9"/>
  <c r="FN237" i="9" s="1"/>
  <c r="FG238" i="9"/>
  <c r="FH238" i="9"/>
  <c r="FI238" i="9"/>
  <c r="FJ238" i="9"/>
  <c r="FK238" i="9"/>
  <c r="FL238" i="9"/>
  <c r="FM238" i="9"/>
  <c r="FO238" i="9"/>
  <c r="FG239" i="9"/>
  <c r="FH239" i="9"/>
  <c r="FI239" i="9" s="1"/>
  <c r="FJ239" i="9"/>
  <c r="FK239" i="9"/>
  <c r="FL239" i="9"/>
  <c r="FN239" i="9" s="1"/>
  <c r="FG240" i="9"/>
  <c r="FH240" i="9" s="1"/>
  <c r="FI240" i="9" s="1"/>
  <c r="FJ240" i="9"/>
  <c r="FK240" i="9"/>
  <c r="FL240" i="9"/>
  <c r="FM240" i="9"/>
  <c r="FN240" i="9"/>
  <c r="FO240" i="9"/>
  <c r="FQ240" i="9" s="1"/>
  <c r="FG241" i="9"/>
  <c r="FH241" i="9"/>
  <c r="FI241" i="9" s="1"/>
  <c r="FJ241" i="9"/>
  <c r="FK241" i="9"/>
  <c r="FL241" i="9"/>
  <c r="FG242" i="9"/>
  <c r="FH242" i="9" s="1"/>
  <c r="FI242" i="9" s="1"/>
  <c r="FJ242" i="9"/>
  <c r="FK242" i="9"/>
  <c r="FL242" i="9"/>
  <c r="FM242" i="9"/>
  <c r="FN242" i="9"/>
  <c r="FO242" i="9"/>
  <c r="FP242" i="9"/>
  <c r="FQ242" i="9"/>
  <c r="FG243" i="9"/>
  <c r="FH243" i="9"/>
  <c r="FI243" i="9"/>
  <c r="FJ243" i="9"/>
  <c r="FK243" i="9"/>
  <c r="FL243" i="9"/>
  <c r="FM243" i="9" s="1"/>
  <c r="FN243" i="9"/>
  <c r="FG244" i="9"/>
  <c r="FH244" i="9"/>
  <c r="FI244" i="9" s="1"/>
  <c r="FJ244" i="9"/>
  <c r="FK244" i="9"/>
  <c r="FL244" i="9"/>
  <c r="FN244" i="9" s="1"/>
  <c r="FO244" i="9"/>
  <c r="FP244" i="9"/>
  <c r="FQ244" i="9"/>
  <c r="FG245" i="9"/>
  <c r="FH245" i="9"/>
  <c r="FI245" i="9" s="1"/>
  <c r="FJ245" i="9"/>
  <c r="FK245" i="9"/>
  <c r="FL245" i="9"/>
  <c r="FN245" i="9"/>
  <c r="FP245" i="9" s="1"/>
  <c r="FO245" i="9"/>
  <c r="FG246" i="9"/>
  <c r="FH246" i="9" s="1"/>
  <c r="FI246" i="9" s="1"/>
  <c r="FJ246" i="9"/>
  <c r="FK246" i="9"/>
  <c r="FL246" i="9"/>
  <c r="FM246" i="9"/>
  <c r="FN246" i="9"/>
  <c r="FO246" i="9"/>
  <c r="FQ246" i="9" s="1"/>
  <c r="FG247" i="9"/>
  <c r="FH247" i="9"/>
  <c r="FI247" i="9" s="1"/>
  <c r="FJ247" i="9"/>
  <c r="FK247" i="9"/>
  <c r="FL247" i="9"/>
  <c r="FG248" i="9"/>
  <c r="FH248" i="9" s="1"/>
  <c r="FI248" i="9" s="1"/>
  <c r="FJ248" i="9"/>
  <c r="FK248" i="9"/>
  <c r="FL248" i="9"/>
  <c r="FP248" i="9" s="1"/>
  <c r="FM248" i="9"/>
  <c r="FN248" i="9"/>
  <c r="FO248" i="9"/>
  <c r="FQ248" i="9" s="1"/>
  <c r="FG249" i="9"/>
  <c r="FH249" i="9"/>
  <c r="FI249" i="9" s="1"/>
  <c r="FJ249" i="9"/>
  <c r="FK249" i="9"/>
  <c r="FL249" i="9"/>
  <c r="FM249" i="9" s="1"/>
  <c r="FG250" i="9"/>
  <c r="FH250" i="9" s="1"/>
  <c r="FI250" i="9"/>
  <c r="FJ250" i="9"/>
  <c r="FK250" i="9"/>
  <c r="FL250" i="9"/>
  <c r="FG251" i="9"/>
  <c r="FH251" i="9" s="1"/>
  <c r="FI251" i="9" s="1"/>
  <c r="FJ251" i="9"/>
  <c r="FK251" i="9"/>
  <c r="FL251" i="9"/>
  <c r="FN251" i="9"/>
  <c r="FP251" i="9" s="1"/>
  <c r="FO251" i="9"/>
  <c r="FG252" i="9"/>
  <c r="FH252" i="9" s="1"/>
  <c r="FI252" i="9" s="1"/>
  <c r="FJ252" i="9"/>
  <c r="FK252" i="9"/>
  <c r="FL252" i="9"/>
  <c r="FM252" i="9" s="1"/>
  <c r="FG253" i="9"/>
  <c r="FH253" i="9" s="1"/>
  <c r="FI253" i="9" s="1"/>
  <c r="FJ253" i="9"/>
  <c r="FK253" i="9"/>
  <c r="FL253" i="9"/>
  <c r="FM253" i="9"/>
  <c r="FG254" i="9"/>
  <c r="FH254" i="9" s="1"/>
  <c r="FI254" i="9" s="1"/>
  <c r="FJ254" i="9"/>
  <c r="FK254" i="9"/>
  <c r="FL254" i="9"/>
  <c r="FM254" i="9"/>
  <c r="FN254" i="9"/>
  <c r="FO254" i="9"/>
  <c r="FP254" i="9" s="1"/>
  <c r="FG255" i="9"/>
  <c r="FH255" i="9" s="1"/>
  <c r="FI255" i="9" s="1"/>
  <c r="FJ255" i="9"/>
  <c r="FK255" i="9"/>
  <c r="FL255" i="9"/>
  <c r="FO255" i="9" s="1"/>
  <c r="FG256" i="9"/>
  <c r="FH256" i="9" s="1"/>
  <c r="FI256" i="9" s="1"/>
  <c r="FJ256" i="9"/>
  <c r="FK256" i="9"/>
  <c r="FL256" i="9"/>
  <c r="FM256" i="9"/>
  <c r="FN256" i="9"/>
  <c r="FO256" i="9"/>
  <c r="FP256" i="9"/>
  <c r="FQ256" i="9"/>
  <c r="FG257" i="9"/>
  <c r="FH257" i="9"/>
  <c r="FI257" i="9"/>
  <c r="FJ257" i="9"/>
  <c r="FK257" i="9"/>
  <c r="FL257" i="9"/>
  <c r="FM257" i="9" s="1"/>
  <c r="FG258" i="9"/>
  <c r="FH258" i="9" s="1"/>
  <c r="FI258" i="9" s="1"/>
  <c r="FJ258" i="9"/>
  <c r="FK258" i="9"/>
  <c r="FL258" i="9"/>
  <c r="FM258" i="9" s="1"/>
  <c r="FN258" i="9"/>
  <c r="FG259" i="9"/>
  <c r="FH259" i="9"/>
  <c r="FI259" i="9" s="1"/>
  <c r="FJ259" i="9"/>
  <c r="FK259" i="9"/>
  <c r="FL259" i="9"/>
  <c r="FM259" i="9" s="1"/>
  <c r="FN259" i="9"/>
  <c r="FO259" i="9"/>
  <c r="FP259" i="9" s="1"/>
  <c r="FG260" i="9"/>
  <c r="FH260" i="9"/>
  <c r="FI260" i="9" s="1"/>
  <c r="FJ260" i="9"/>
  <c r="FK260" i="9"/>
  <c r="FL260" i="9"/>
  <c r="FM260" i="9"/>
  <c r="FN260" i="9"/>
  <c r="FQ260" i="9" s="1"/>
  <c r="FO260" i="9"/>
  <c r="FG261" i="9"/>
  <c r="FH261" i="9"/>
  <c r="FI261" i="9" s="1"/>
  <c r="FJ261" i="9"/>
  <c r="FK261" i="9"/>
  <c r="FL261" i="9"/>
  <c r="FN261" i="9" s="1"/>
  <c r="FG262" i="9"/>
  <c r="FH262" i="9" s="1"/>
  <c r="FI262" i="9"/>
  <c r="FJ262" i="9"/>
  <c r="FK262" i="9"/>
  <c r="FL262" i="9"/>
  <c r="FM262" i="9"/>
  <c r="FN262" i="9"/>
  <c r="FQ262" i="9" s="1"/>
  <c r="FO262" i="9"/>
  <c r="FG263" i="9"/>
  <c r="FH263" i="9"/>
  <c r="FI263" i="9" s="1"/>
  <c r="FJ263" i="9"/>
  <c r="FK263" i="9"/>
  <c r="FL263" i="9"/>
  <c r="FO263" i="9" s="1"/>
  <c r="FM263" i="9"/>
  <c r="FN263" i="9"/>
  <c r="FG264" i="9"/>
  <c r="FH264" i="9" s="1"/>
  <c r="FI264" i="9" s="1"/>
  <c r="FJ264" i="9"/>
  <c r="FK264" i="9"/>
  <c r="FL264" i="9"/>
  <c r="FN264" i="9" s="1"/>
  <c r="FG265" i="9"/>
  <c r="FH265" i="9"/>
  <c r="FI265" i="9" s="1"/>
  <c r="FJ265" i="9"/>
  <c r="FK265" i="9"/>
  <c r="FL265" i="9"/>
  <c r="FN265" i="9" s="1"/>
  <c r="FG266" i="9"/>
  <c r="FH266" i="9" s="1"/>
  <c r="FI266" i="9" s="1"/>
  <c r="FJ266" i="9"/>
  <c r="FK266" i="9"/>
  <c r="FL266" i="9"/>
  <c r="FM266" i="9"/>
  <c r="FG267" i="9"/>
  <c r="FH267" i="9"/>
  <c r="FI267" i="9" s="1"/>
  <c r="FJ267" i="9"/>
  <c r="FK267" i="9"/>
  <c r="FL267" i="9"/>
  <c r="FO267" i="9" s="1"/>
  <c r="FP267" i="9" s="1"/>
  <c r="FM267" i="9"/>
  <c r="FN267" i="9"/>
  <c r="FG268" i="9"/>
  <c r="FH268" i="9" s="1"/>
  <c r="FI268" i="9"/>
  <c r="FJ268" i="9"/>
  <c r="FK268" i="9"/>
  <c r="FL268" i="9"/>
  <c r="FM268" i="9"/>
  <c r="FN268" i="9"/>
  <c r="FP268" i="9" s="1"/>
  <c r="FO268" i="9"/>
  <c r="FG269" i="9"/>
  <c r="FH269" i="9" s="1"/>
  <c r="FI269" i="9" s="1"/>
  <c r="FJ269" i="9"/>
  <c r="FK269" i="9"/>
  <c r="FL269" i="9"/>
  <c r="FO269" i="9" s="1"/>
  <c r="FM269" i="9"/>
  <c r="FN269" i="9"/>
  <c r="FG270" i="9"/>
  <c r="FH270" i="9"/>
  <c r="FI270" i="9" s="1"/>
  <c r="FJ270" i="9"/>
  <c r="FK270" i="9"/>
  <c r="FL270" i="9"/>
  <c r="FM270" i="9"/>
  <c r="FN270" i="9"/>
  <c r="FO270" i="9"/>
  <c r="FP270" i="9" s="1"/>
  <c r="FG271" i="9"/>
  <c r="FH271" i="9"/>
  <c r="FI271" i="9" s="1"/>
  <c r="FJ271" i="9"/>
  <c r="FK271" i="9"/>
  <c r="FL271" i="9"/>
  <c r="FM271" i="9" s="1"/>
  <c r="FG272" i="9"/>
  <c r="FH272" i="9" s="1"/>
  <c r="FI272" i="9" s="1"/>
  <c r="FJ272" i="9"/>
  <c r="FK272" i="9"/>
  <c r="FL272" i="9"/>
  <c r="FG273" i="9"/>
  <c r="FH273" i="9"/>
  <c r="FI273" i="9" s="1"/>
  <c r="FJ273" i="9"/>
  <c r="FK273" i="9"/>
  <c r="FL273" i="9"/>
  <c r="FM273" i="9" s="1"/>
  <c r="FN273" i="9"/>
  <c r="FP273" i="9" s="1"/>
  <c r="FO273" i="9"/>
  <c r="FQ273" i="9"/>
  <c r="FG274" i="9"/>
  <c r="FH274" i="9" s="1"/>
  <c r="FI274" i="9" s="1"/>
  <c r="FJ274" i="9"/>
  <c r="FK274" i="9"/>
  <c r="FL274" i="9"/>
  <c r="FM274" i="9"/>
  <c r="FN274" i="9"/>
  <c r="FQ274" i="9" s="1"/>
  <c r="FO274" i="9"/>
  <c r="FG275" i="9"/>
  <c r="FH275" i="9" s="1"/>
  <c r="FI275" i="9" s="1"/>
  <c r="FJ275" i="9"/>
  <c r="FK275" i="9"/>
  <c r="FL275" i="9"/>
  <c r="FN275" i="9"/>
  <c r="FG276" i="9"/>
  <c r="FH276" i="9" s="1"/>
  <c r="FI276" i="9" s="1"/>
  <c r="FJ276" i="9"/>
  <c r="FK276" i="9"/>
  <c r="FL276" i="9"/>
  <c r="FM276" i="9"/>
  <c r="FN276" i="9"/>
  <c r="FO276" i="9"/>
  <c r="FQ276" i="9"/>
  <c r="FG277" i="9"/>
  <c r="FH277" i="9"/>
  <c r="FI277" i="9"/>
  <c r="FJ277" i="9"/>
  <c r="FK277" i="9"/>
  <c r="FL277" i="9"/>
  <c r="FM277" i="9" s="1"/>
  <c r="FN277" i="9"/>
  <c r="FG278" i="9"/>
  <c r="FH278" i="9" s="1"/>
  <c r="FI278" i="9"/>
  <c r="FJ278" i="9"/>
  <c r="FK278" i="9"/>
  <c r="FL278" i="9"/>
  <c r="FN278" i="9" s="1"/>
  <c r="FM278" i="9"/>
  <c r="FO278" i="9"/>
  <c r="FP278" i="9" s="1"/>
  <c r="FG279" i="9"/>
  <c r="FH279" i="9"/>
  <c r="FI279" i="9" s="1"/>
  <c r="FJ279" i="9"/>
  <c r="FK279" i="9"/>
  <c r="FL279" i="9"/>
  <c r="FN279" i="9"/>
  <c r="FO279" i="9"/>
  <c r="FG280" i="9"/>
  <c r="FH280" i="9"/>
  <c r="FI280" i="9"/>
  <c r="FJ280" i="9"/>
  <c r="FK280" i="9"/>
  <c r="FL280" i="9"/>
  <c r="FM280" i="9"/>
  <c r="FO280" i="9"/>
  <c r="FG281" i="9"/>
  <c r="FH281" i="9" s="1"/>
  <c r="FI281" i="9" s="1"/>
  <c r="FJ281" i="9"/>
  <c r="FK281" i="9"/>
  <c r="FL281" i="9"/>
  <c r="FM281" i="9" s="1"/>
  <c r="FN281" i="9"/>
  <c r="FO281" i="9"/>
  <c r="FP281" i="9" s="1"/>
  <c r="FG282" i="9"/>
  <c r="FH282" i="9" s="1"/>
  <c r="FI282" i="9" s="1"/>
  <c r="FJ282" i="9"/>
  <c r="FK282" i="9"/>
  <c r="FL282" i="9"/>
  <c r="FM282" i="9"/>
  <c r="FN282" i="9"/>
  <c r="FQ282" i="9" s="1"/>
  <c r="FO282" i="9"/>
  <c r="FP282" i="9"/>
  <c r="FG283" i="9"/>
  <c r="FH283" i="9"/>
  <c r="FI283" i="9" s="1"/>
  <c r="FJ283" i="9"/>
  <c r="FK283" i="9"/>
  <c r="FL283" i="9"/>
  <c r="FO283" i="9" s="1"/>
  <c r="FN283" i="9"/>
  <c r="FG284" i="9"/>
  <c r="FH284" i="9" s="1"/>
  <c r="FI284" i="9" s="1"/>
  <c r="FJ284" i="9"/>
  <c r="FK284" i="9"/>
  <c r="FL284" i="9"/>
  <c r="FM284" i="9"/>
  <c r="FN284" i="9"/>
  <c r="FO284" i="9"/>
  <c r="FP284" i="9" s="1"/>
  <c r="FG285" i="9"/>
  <c r="FH285" i="9"/>
  <c r="FI285" i="9" s="1"/>
  <c r="FJ285" i="9"/>
  <c r="FK285" i="9"/>
  <c r="FL285" i="9"/>
  <c r="FM285" i="9"/>
  <c r="FG286" i="9"/>
  <c r="FH286" i="9"/>
  <c r="FI286" i="9" s="1"/>
  <c r="FJ286" i="9"/>
  <c r="FK286" i="9"/>
  <c r="FL286" i="9"/>
  <c r="FG287" i="9"/>
  <c r="FH287" i="9"/>
  <c r="FI287" i="9" s="1"/>
  <c r="FJ287" i="9"/>
  <c r="FK287" i="9"/>
  <c r="FL287" i="9"/>
  <c r="FM287" i="9" s="1"/>
  <c r="FG288" i="9"/>
  <c r="FH288" i="9" s="1"/>
  <c r="FI288" i="9" s="1"/>
  <c r="FJ288" i="9"/>
  <c r="FK288" i="9"/>
  <c r="FL288" i="9"/>
  <c r="FP288" i="9" s="1"/>
  <c r="FM288" i="9"/>
  <c r="FN288" i="9"/>
  <c r="FO288" i="9"/>
  <c r="FQ288" i="9"/>
  <c r="FG289" i="9"/>
  <c r="FH289" i="9" s="1"/>
  <c r="FI289" i="9" s="1"/>
  <c r="FJ289" i="9"/>
  <c r="FK289" i="9"/>
  <c r="FL289" i="9"/>
  <c r="FN289" i="9"/>
  <c r="FG290" i="9"/>
  <c r="FH290" i="9" s="1"/>
  <c r="FI290" i="9" s="1"/>
  <c r="FJ290" i="9"/>
  <c r="FK290" i="9"/>
  <c r="FL290" i="9"/>
  <c r="FM290" i="9" s="1"/>
  <c r="FG291" i="9"/>
  <c r="FH291" i="9"/>
  <c r="FI291" i="9"/>
  <c r="FJ291" i="9"/>
  <c r="FK291" i="9"/>
  <c r="FL291" i="9"/>
  <c r="FG292" i="9"/>
  <c r="FH292" i="9" s="1"/>
  <c r="FI292" i="9" s="1"/>
  <c r="FJ292" i="9"/>
  <c r="FK292" i="9"/>
  <c r="FL292" i="9"/>
  <c r="FN292" i="9" s="1"/>
  <c r="FM292" i="9"/>
  <c r="FO292" i="9"/>
  <c r="FP292" i="9"/>
  <c r="FQ292" i="9"/>
  <c r="FG293" i="9"/>
  <c r="FH293" i="9" s="1"/>
  <c r="FI293" i="9" s="1"/>
  <c r="FJ293" i="9"/>
  <c r="FK293" i="9"/>
  <c r="FL293" i="9"/>
  <c r="FN293" i="9" s="1"/>
  <c r="FO293" i="9"/>
  <c r="FG294" i="9"/>
  <c r="FH294" i="9"/>
  <c r="FI294" i="9" s="1"/>
  <c r="FJ294" i="9"/>
  <c r="FK294" i="9"/>
  <c r="FL294" i="9"/>
  <c r="FM294" i="9" s="1"/>
  <c r="FO294" i="9"/>
  <c r="FG295" i="9"/>
  <c r="FH295" i="9" s="1"/>
  <c r="FI295" i="9" s="1"/>
  <c r="FJ295" i="9"/>
  <c r="FK295" i="9"/>
  <c r="FL295" i="9"/>
  <c r="FM295" i="9" s="1"/>
  <c r="FN295" i="9"/>
  <c r="FG296" i="9"/>
  <c r="FH296" i="9" s="1"/>
  <c r="FI296" i="9" s="1"/>
  <c r="FJ296" i="9"/>
  <c r="FK296" i="9"/>
  <c r="FL296" i="9"/>
  <c r="FM296" i="9"/>
  <c r="FN296" i="9"/>
  <c r="FQ296" i="9" s="1"/>
  <c r="FO296" i="9"/>
  <c r="FP296" i="9"/>
  <c r="FG297" i="9"/>
  <c r="FH297" i="9"/>
  <c r="FI297" i="9" s="1"/>
  <c r="FJ297" i="9"/>
  <c r="FK297" i="9"/>
  <c r="FL297" i="9"/>
  <c r="FG298" i="9"/>
  <c r="FH298" i="9" s="1"/>
  <c r="FI298" i="9" s="1"/>
  <c r="FJ298" i="9"/>
  <c r="FK298" i="9"/>
  <c r="FL298" i="9"/>
  <c r="FM298" i="9"/>
  <c r="FN298" i="9"/>
  <c r="FO298" i="9"/>
  <c r="FQ298" i="9" s="1"/>
  <c r="FP298" i="9"/>
  <c r="FG299" i="9"/>
  <c r="FH299" i="9"/>
  <c r="FI299" i="9"/>
  <c r="FJ299" i="9"/>
  <c r="FK299" i="9"/>
  <c r="FL299" i="9"/>
  <c r="FM299" i="9"/>
  <c r="FN299" i="9"/>
  <c r="FG300" i="9"/>
  <c r="FH300" i="9" s="1"/>
  <c r="FI300" i="9" s="1"/>
  <c r="FJ300" i="9"/>
  <c r="FK300" i="9"/>
  <c r="FL300" i="9"/>
  <c r="FM300" i="9"/>
  <c r="FN300" i="9"/>
  <c r="FP300" i="9" s="1"/>
  <c r="FO300" i="9"/>
  <c r="FG301" i="9"/>
  <c r="FH301" i="9"/>
  <c r="FI301" i="9" s="1"/>
  <c r="FJ301" i="9"/>
  <c r="FK301" i="9"/>
  <c r="FL301" i="9"/>
  <c r="FM301" i="9" s="1"/>
  <c r="FN301" i="9"/>
  <c r="FO301" i="9"/>
  <c r="FG302" i="9"/>
  <c r="FH302" i="9"/>
  <c r="FI302" i="9" s="1"/>
  <c r="FJ302" i="9"/>
  <c r="FK302" i="9"/>
  <c r="FL302" i="9"/>
  <c r="FP302" i="9" s="1"/>
  <c r="FM302" i="9"/>
  <c r="FN302" i="9"/>
  <c r="FO302" i="9"/>
  <c r="FQ302" i="9" s="1"/>
  <c r="FG303" i="9"/>
  <c r="FH303" i="9"/>
  <c r="FI303" i="9" s="1"/>
  <c r="FJ303" i="9"/>
  <c r="FK303" i="9"/>
  <c r="FL303" i="9"/>
  <c r="FN303" i="9" s="1"/>
  <c r="FG304" i="9"/>
  <c r="FH304" i="9" s="1"/>
  <c r="FI304" i="9" s="1"/>
  <c r="FJ304" i="9"/>
  <c r="FK304" i="9"/>
  <c r="FL304" i="9"/>
  <c r="FM304" i="9"/>
  <c r="FN304" i="9"/>
  <c r="FG305" i="9"/>
  <c r="FH305" i="9"/>
  <c r="FI305" i="9" s="1"/>
  <c r="FJ305" i="9"/>
  <c r="FK305" i="9"/>
  <c r="FL305" i="9"/>
  <c r="FG306" i="9"/>
  <c r="FH306" i="9" s="1"/>
  <c r="FI306" i="9" s="1"/>
  <c r="FJ306" i="9"/>
  <c r="FK306" i="9"/>
  <c r="FL306" i="9"/>
  <c r="FN306" i="9" s="1"/>
  <c r="FG307" i="9"/>
  <c r="FH307" i="9" s="1"/>
  <c r="FI307" i="9" s="1"/>
  <c r="FJ307" i="9"/>
  <c r="FK307" i="9"/>
  <c r="FL307" i="9"/>
  <c r="FG308" i="9"/>
  <c r="FH308" i="9" s="1"/>
  <c r="FI308" i="9" s="1"/>
  <c r="FJ308" i="9"/>
  <c r="FK308" i="9"/>
  <c r="FL308" i="9"/>
  <c r="FN308" i="9" s="1"/>
  <c r="FM308" i="9"/>
  <c r="FO308" i="9"/>
  <c r="FP308" i="9"/>
  <c r="FQ308" i="9"/>
  <c r="FG309" i="9"/>
  <c r="FH309" i="9" s="1"/>
  <c r="FI309" i="9" s="1"/>
  <c r="FJ309" i="9"/>
  <c r="FK309" i="9"/>
  <c r="FL309" i="9"/>
  <c r="FM309" i="9" s="1"/>
  <c r="FO309" i="9"/>
  <c r="FG310" i="9"/>
  <c r="FH310" i="9"/>
  <c r="FI310" i="9" s="1"/>
  <c r="FJ310" i="9"/>
  <c r="FK310" i="9"/>
  <c r="FL310" i="9"/>
  <c r="FM310" i="9"/>
  <c r="FN310" i="9"/>
  <c r="FO310" i="9"/>
  <c r="FP310" i="9" s="1"/>
  <c r="FG311" i="9"/>
  <c r="FH311" i="9"/>
  <c r="FI311" i="9" s="1"/>
  <c r="FJ311" i="9"/>
  <c r="FK311" i="9"/>
  <c r="FL311" i="9"/>
  <c r="FO311" i="9" s="1"/>
  <c r="FG312" i="9"/>
  <c r="FH312" i="9"/>
  <c r="FI312" i="9"/>
  <c r="FJ312" i="9"/>
  <c r="FK312" i="9"/>
  <c r="FL312" i="9"/>
  <c r="FM312" i="9"/>
  <c r="FN312" i="9"/>
  <c r="FQ312" i="9" s="1"/>
  <c r="FO312" i="9"/>
  <c r="FP312" i="9"/>
  <c r="FG313" i="9"/>
  <c r="FH313" i="9"/>
  <c r="FI313" i="9" s="1"/>
  <c r="FJ313" i="9"/>
  <c r="FK313" i="9"/>
  <c r="FL313" i="9"/>
  <c r="FO313" i="9" s="1"/>
  <c r="FG314" i="9"/>
  <c r="FH314" i="9" s="1"/>
  <c r="FI314" i="9" s="1"/>
  <c r="FJ314" i="9"/>
  <c r="FK314" i="9"/>
  <c r="FL314" i="9"/>
  <c r="FG315" i="9"/>
  <c r="FH315" i="9"/>
  <c r="FI315" i="9"/>
  <c r="FJ315" i="9"/>
  <c r="FK315" i="9"/>
  <c r="FL315" i="9"/>
  <c r="FM315" i="9" s="1"/>
  <c r="FG316" i="9"/>
  <c r="FH316" i="9"/>
  <c r="FI316" i="9"/>
  <c r="FJ316" i="9"/>
  <c r="FK316" i="9"/>
  <c r="FL316" i="9"/>
  <c r="FO316" i="9" s="1"/>
  <c r="FQ316" i="9" s="1"/>
  <c r="FM316" i="9"/>
  <c r="FN316" i="9"/>
  <c r="FG317" i="9"/>
  <c r="FH317" i="9"/>
  <c r="FI317" i="9"/>
  <c r="FJ317" i="9"/>
  <c r="FK317" i="9"/>
  <c r="FL317" i="9"/>
  <c r="FM317" i="9" s="1"/>
  <c r="FN317" i="9"/>
  <c r="FP317" i="9" s="1"/>
  <c r="FO317" i="9"/>
  <c r="FG318" i="9"/>
  <c r="FH318" i="9" s="1"/>
  <c r="FI318" i="9" s="1"/>
  <c r="FJ318" i="9"/>
  <c r="FK318" i="9"/>
  <c r="FL318" i="9"/>
  <c r="FM318" i="9"/>
  <c r="FN318" i="9"/>
  <c r="FG319" i="9"/>
  <c r="FH319" i="9"/>
  <c r="FI319" i="9" s="1"/>
  <c r="FJ319" i="9"/>
  <c r="FK319" i="9"/>
  <c r="FL319" i="9"/>
  <c r="FG320" i="9"/>
  <c r="FH320" i="9" s="1"/>
  <c r="FI320" i="9" s="1"/>
  <c r="FJ320" i="9"/>
  <c r="FK320" i="9"/>
  <c r="FL320" i="9"/>
  <c r="FN320" i="9" s="1"/>
  <c r="FG321" i="9"/>
  <c r="FH321" i="9" s="1"/>
  <c r="FI321" i="9" s="1"/>
  <c r="FJ321" i="9"/>
  <c r="FK321" i="9"/>
  <c r="FL321" i="9"/>
  <c r="FG322" i="9"/>
  <c r="FH322" i="9" s="1"/>
  <c r="FI322" i="9" s="1"/>
  <c r="FJ322" i="9"/>
  <c r="FK322" i="9"/>
  <c r="FL322" i="9"/>
  <c r="FN322" i="9" s="1"/>
  <c r="FM322" i="9"/>
  <c r="FO322" i="9"/>
  <c r="FP322" i="9"/>
  <c r="FQ322" i="9"/>
  <c r="FG323" i="9"/>
  <c r="FH323" i="9" s="1"/>
  <c r="FI323" i="9" s="1"/>
  <c r="FJ323" i="9"/>
  <c r="FK323" i="9"/>
  <c r="FL323" i="9"/>
  <c r="FM323" i="9" s="1"/>
  <c r="FO323" i="9"/>
  <c r="FG324" i="9"/>
  <c r="FH324" i="9"/>
  <c r="FI324" i="9" s="1"/>
  <c r="FJ324" i="9"/>
  <c r="FK324" i="9"/>
  <c r="FL324" i="9"/>
  <c r="FM324" i="9"/>
  <c r="FN324" i="9"/>
  <c r="FO324" i="9"/>
  <c r="FP324" i="9" s="1"/>
  <c r="FG325" i="9"/>
  <c r="FH325" i="9"/>
  <c r="FI325" i="9" s="1"/>
  <c r="FJ325" i="9"/>
  <c r="FK325" i="9"/>
  <c r="FL325" i="9"/>
  <c r="FO325" i="9" s="1"/>
  <c r="FG326" i="9"/>
  <c r="FH326" i="9"/>
  <c r="FI326" i="9"/>
  <c r="FJ326" i="9"/>
  <c r="FK326" i="9"/>
  <c r="FL326" i="9"/>
  <c r="FM326" i="9"/>
  <c r="FN326" i="9"/>
  <c r="FQ326" i="9" s="1"/>
  <c r="FO326" i="9"/>
  <c r="FP326" i="9"/>
  <c r="FG327" i="9"/>
  <c r="FH327" i="9"/>
  <c r="FI327" i="9" s="1"/>
  <c r="FJ327" i="9"/>
  <c r="FK327" i="9"/>
  <c r="FL327" i="9"/>
  <c r="FO327" i="9" s="1"/>
  <c r="FG328" i="9"/>
  <c r="FH328" i="9" s="1"/>
  <c r="FI328" i="9" s="1"/>
  <c r="FJ328" i="9"/>
  <c r="FK328" i="9"/>
  <c r="FL328" i="9"/>
  <c r="FG329" i="9"/>
  <c r="FH329" i="9"/>
  <c r="FI329" i="9"/>
  <c r="FJ329" i="9"/>
  <c r="FK329" i="9"/>
  <c r="FL329" i="9"/>
  <c r="FO329" i="9"/>
  <c r="FG330" i="9"/>
  <c r="FH330" i="9"/>
  <c r="FI330" i="9" s="1"/>
  <c r="FJ330" i="9"/>
  <c r="FK330" i="9"/>
  <c r="FL330" i="9"/>
  <c r="FG331" i="9"/>
  <c r="FH331" i="9" s="1"/>
  <c r="FI331" i="9" s="1"/>
  <c r="FJ331" i="9"/>
  <c r="FK331" i="9"/>
  <c r="FL331" i="9"/>
  <c r="FM331" i="9" s="1"/>
  <c r="FG332" i="9"/>
  <c r="FH332" i="9"/>
  <c r="FI332" i="9" s="1"/>
  <c r="FJ332" i="9"/>
  <c r="FK332" i="9"/>
  <c r="FL332" i="9"/>
  <c r="FM332" i="9" s="1"/>
  <c r="FN332" i="9"/>
  <c r="FO332" i="9"/>
  <c r="FQ332" i="9" s="1"/>
  <c r="FG333" i="9"/>
  <c r="FH333" i="9" s="1"/>
  <c r="FI333" i="9" s="1"/>
  <c r="FJ333" i="9"/>
  <c r="FK333" i="9"/>
  <c r="FL333" i="9"/>
  <c r="FO333" i="9"/>
  <c r="FG334" i="9"/>
  <c r="FH334" i="9" s="1"/>
  <c r="FI334" i="9"/>
  <c r="FJ334" i="9"/>
  <c r="FK334" i="9"/>
  <c r="FL334" i="9"/>
  <c r="FO334" i="9" s="1"/>
  <c r="FP334" i="9" s="1"/>
  <c r="FM334" i="9"/>
  <c r="FN334" i="9"/>
  <c r="FG335" i="9"/>
  <c r="FH335" i="9"/>
  <c r="FI335" i="9" s="1"/>
  <c r="FJ335" i="9"/>
  <c r="FK335" i="9"/>
  <c r="FL335" i="9"/>
  <c r="FM335" i="9" s="1"/>
  <c r="FG336" i="9"/>
  <c r="FH336" i="9"/>
  <c r="FI336" i="9" s="1"/>
  <c r="FJ336" i="9"/>
  <c r="FK336" i="9"/>
  <c r="FL336" i="9"/>
  <c r="FN336" i="9" s="1"/>
  <c r="FO336" i="9"/>
  <c r="FP336" i="9"/>
  <c r="FQ336" i="9"/>
  <c r="FG337" i="9"/>
  <c r="FH337" i="9" s="1"/>
  <c r="FI337" i="9"/>
  <c r="FJ337" i="9"/>
  <c r="FK337" i="9"/>
  <c r="FL337" i="9"/>
  <c r="FM337" i="9" s="1"/>
  <c r="FO337" i="9"/>
  <c r="FG338" i="9"/>
  <c r="FH338" i="9"/>
  <c r="FI338" i="9"/>
  <c r="FJ338" i="9"/>
  <c r="FK338" i="9"/>
  <c r="FL338" i="9"/>
  <c r="FO338" i="9" s="1"/>
  <c r="FP338" i="9" s="1"/>
  <c r="FM338" i="9"/>
  <c r="FN338" i="9"/>
  <c r="FG339" i="9"/>
  <c r="FH339" i="9"/>
  <c r="FI339" i="9" s="1"/>
  <c r="FJ339" i="9"/>
  <c r="FK339" i="9"/>
  <c r="FL339" i="9"/>
  <c r="FP339" i="9" s="1"/>
  <c r="FM339" i="9"/>
  <c r="FN339" i="9"/>
  <c r="FO339" i="9"/>
  <c r="FQ339" i="9"/>
  <c r="FG340" i="9"/>
  <c r="FH340" i="9" s="1"/>
  <c r="FI340" i="9" s="1"/>
  <c r="FJ340" i="9"/>
  <c r="FK340" i="9"/>
  <c r="FL340" i="9"/>
  <c r="FM340" i="9"/>
  <c r="FN340" i="9"/>
  <c r="FO340" i="9"/>
  <c r="FP340" i="9"/>
  <c r="FQ340" i="9"/>
  <c r="FG341" i="9"/>
  <c r="FH341" i="9" s="1"/>
  <c r="FI341" i="9" s="1"/>
  <c r="FJ341" i="9"/>
  <c r="FK341" i="9"/>
  <c r="FL341" i="9"/>
  <c r="FO341" i="9" s="1"/>
  <c r="FG342" i="9"/>
  <c r="FH342" i="9"/>
  <c r="FI342" i="9"/>
  <c r="FJ342" i="9"/>
  <c r="FK342" i="9"/>
  <c r="FL342" i="9"/>
  <c r="FO342" i="9" s="1"/>
  <c r="FP342" i="9" s="1"/>
  <c r="FM342" i="9"/>
  <c r="FN342" i="9"/>
  <c r="FG343" i="9"/>
  <c r="FH343" i="9"/>
  <c r="FI343" i="9" s="1"/>
  <c r="FJ343" i="9"/>
  <c r="FK343" i="9"/>
  <c r="FL343" i="9"/>
  <c r="FG344" i="9"/>
  <c r="FH344" i="9"/>
  <c r="FI344" i="9" s="1"/>
  <c r="FJ344" i="9"/>
  <c r="FK344" i="9"/>
  <c r="FL344" i="9"/>
  <c r="FM344" i="9" s="1"/>
  <c r="FN344" i="9"/>
  <c r="FO344" i="9"/>
  <c r="FP344" i="9" s="1"/>
  <c r="FG345" i="9"/>
  <c r="FH345" i="9"/>
  <c r="FI345" i="9" s="1"/>
  <c r="FJ345" i="9"/>
  <c r="FK345" i="9"/>
  <c r="FL345" i="9"/>
  <c r="FM345" i="9" s="1"/>
  <c r="FN345" i="9"/>
  <c r="FO345" i="9"/>
  <c r="FG346" i="9"/>
  <c r="FH346" i="9"/>
  <c r="FI346" i="9" s="1"/>
  <c r="FJ346" i="9"/>
  <c r="FK346" i="9"/>
  <c r="FL346" i="9"/>
  <c r="FG347" i="9"/>
  <c r="FH347" i="9"/>
  <c r="FI347" i="9" s="1"/>
  <c r="FJ347" i="9"/>
  <c r="FK347" i="9"/>
  <c r="FL347" i="9"/>
  <c r="FM347" i="9" s="1"/>
  <c r="FG348" i="9"/>
  <c r="FH348" i="9"/>
  <c r="FI348" i="9" s="1"/>
  <c r="FJ348" i="9"/>
  <c r="FK348" i="9"/>
  <c r="FL348" i="9"/>
  <c r="FM348" i="9" s="1"/>
  <c r="FN348" i="9"/>
  <c r="FO348" i="9"/>
  <c r="FP348" i="9" s="1"/>
  <c r="FG349" i="9"/>
  <c r="FH349" i="9"/>
  <c r="FI349" i="9" s="1"/>
  <c r="FJ349" i="9"/>
  <c r="FK349" i="9"/>
  <c r="FL349" i="9"/>
  <c r="FO349" i="9" s="1"/>
  <c r="FM349" i="9"/>
  <c r="FN349" i="9"/>
  <c r="FG350" i="9"/>
  <c r="FH350" i="9" s="1"/>
  <c r="FI350" i="9" s="1"/>
  <c r="FJ350" i="9"/>
  <c r="FK350" i="9"/>
  <c r="FL350" i="9"/>
  <c r="FM350" i="9" s="1"/>
  <c r="FN350" i="9"/>
  <c r="FG351" i="9"/>
  <c r="FH351" i="9" s="1"/>
  <c r="FI351" i="9" s="1"/>
  <c r="FJ351" i="9"/>
  <c r="FK351" i="9"/>
  <c r="FL351" i="9"/>
  <c r="FM351" i="9" s="1"/>
  <c r="FN351" i="9"/>
  <c r="FG352" i="9"/>
  <c r="FH352" i="9"/>
  <c r="FI352" i="9"/>
  <c r="FJ352" i="9"/>
  <c r="FK352" i="9"/>
  <c r="FL352" i="9"/>
  <c r="FP352" i="9" s="1"/>
  <c r="FM352" i="9"/>
  <c r="FN352" i="9"/>
  <c r="FO352" i="9"/>
  <c r="FQ352" i="9"/>
  <c r="FG353" i="9"/>
  <c r="FH353" i="9" s="1"/>
  <c r="FI353" i="9" s="1"/>
  <c r="FJ353" i="9"/>
  <c r="FK353" i="9"/>
  <c r="FL353" i="9"/>
  <c r="FG354" i="9"/>
  <c r="FH354" i="9" s="1"/>
  <c r="FI354" i="9" s="1"/>
  <c r="FJ354" i="9"/>
  <c r="FK354" i="9"/>
  <c r="FL354" i="9"/>
  <c r="FO354" i="9"/>
  <c r="FG355" i="9"/>
  <c r="FH355" i="9"/>
  <c r="FI355" i="9" s="1"/>
  <c r="FJ355" i="9"/>
  <c r="FK355" i="9"/>
  <c r="FL355" i="9"/>
  <c r="FG356" i="9"/>
  <c r="FH356" i="9" s="1"/>
  <c r="FI356" i="9" s="1"/>
  <c r="FJ356" i="9"/>
  <c r="FK356" i="9"/>
  <c r="FL356" i="9"/>
  <c r="FM356" i="9" s="1"/>
  <c r="FO356" i="9"/>
  <c r="FG357" i="9"/>
  <c r="FH357" i="9" s="1"/>
  <c r="FI357" i="9" s="1"/>
  <c r="FJ357" i="9"/>
  <c r="FK357" i="9"/>
  <c r="FL357" i="9"/>
  <c r="FM357" i="9"/>
  <c r="FN357" i="9"/>
  <c r="FP357" i="9" s="1"/>
  <c r="FO357" i="9"/>
  <c r="FG358" i="9"/>
  <c r="FH358" i="9" s="1"/>
  <c r="FI358" i="9" s="1"/>
  <c r="FJ358" i="9"/>
  <c r="FK358" i="9"/>
  <c r="FL358" i="9"/>
  <c r="FN358" i="9" s="1"/>
  <c r="FM358" i="9"/>
  <c r="FG359" i="9"/>
  <c r="FH359" i="9" s="1"/>
  <c r="FI359" i="9" s="1"/>
  <c r="FJ359" i="9"/>
  <c r="FK359" i="9"/>
  <c r="FL359" i="9"/>
  <c r="FQ359" i="9" s="1"/>
  <c r="FM359" i="9"/>
  <c r="FN359" i="9"/>
  <c r="FO359" i="9"/>
  <c r="FP359" i="9"/>
  <c r="FG360" i="9"/>
  <c r="FH360" i="9"/>
  <c r="FI360" i="9"/>
  <c r="FJ360" i="9"/>
  <c r="FK360" i="9"/>
  <c r="FL360" i="9"/>
  <c r="FO360" i="9" s="1"/>
  <c r="FP360" i="9" s="1"/>
  <c r="FM360" i="9"/>
  <c r="FN360" i="9"/>
  <c r="FG361" i="9"/>
  <c r="FH361" i="9"/>
  <c r="FI361" i="9" s="1"/>
  <c r="FJ361" i="9"/>
  <c r="FK361" i="9"/>
  <c r="FL361" i="9"/>
  <c r="FM361" i="9" s="1"/>
  <c r="FG362" i="9"/>
  <c r="FH362" i="9"/>
  <c r="FI362" i="9" s="1"/>
  <c r="FJ362" i="9"/>
  <c r="FK362" i="9"/>
  <c r="FL362" i="9"/>
  <c r="FM362" i="9" s="1"/>
  <c r="FN362" i="9"/>
  <c r="FO362" i="9"/>
  <c r="FP362" i="9" s="1"/>
  <c r="FG363" i="9"/>
  <c r="FH363" i="9"/>
  <c r="FI363" i="9" s="1"/>
  <c r="FJ363" i="9"/>
  <c r="FK363" i="9"/>
  <c r="FL363" i="9"/>
  <c r="FO363" i="9" s="1"/>
  <c r="FM363" i="9"/>
  <c r="FN363" i="9"/>
  <c r="FG364" i="9"/>
  <c r="FH364" i="9" s="1"/>
  <c r="FI364" i="9" s="1"/>
  <c r="FJ364" i="9"/>
  <c r="FK364" i="9"/>
  <c r="FL364" i="9"/>
  <c r="FM364" i="9" s="1"/>
  <c r="FN364" i="9"/>
  <c r="FG365" i="9"/>
  <c r="FH365" i="9" s="1"/>
  <c r="FI365" i="9" s="1"/>
  <c r="FJ365" i="9"/>
  <c r="FK365" i="9"/>
  <c r="FL365" i="9"/>
  <c r="FM365" i="9" s="1"/>
  <c r="FN365" i="9"/>
  <c r="FG366" i="9"/>
  <c r="FH366" i="9"/>
  <c r="FI366" i="9"/>
  <c r="FJ366" i="9"/>
  <c r="FK366" i="9"/>
  <c r="FL366" i="9"/>
  <c r="FP366" i="9" s="1"/>
  <c r="FM366" i="9"/>
  <c r="FN366" i="9"/>
  <c r="FO366" i="9"/>
  <c r="FQ366" i="9"/>
  <c r="FG367" i="9"/>
  <c r="FH367" i="9" s="1"/>
  <c r="FI367" i="9" s="1"/>
  <c r="FJ367" i="9"/>
  <c r="FK367" i="9"/>
  <c r="FL367" i="9"/>
  <c r="FG368" i="9"/>
  <c r="FH368" i="9" s="1"/>
  <c r="FI368" i="9" s="1"/>
  <c r="FJ368" i="9"/>
  <c r="FK368" i="9"/>
  <c r="FL368" i="9"/>
  <c r="FO368" i="9"/>
  <c r="FG369" i="9"/>
  <c r="FH369" i="9"/>
  <c r="FI369" i="9" s="1"/>
  <c r="FJ369" i="9"/>
  <c r="FK369" i="9"/>
  <c r="FL369" i="9"/>
  <c r="FG370" i="9"/>
  <c r="FH370" i="9" s="1"/>
  <c r="FI370" i="9" s="1"/>
  <c r="FJ370" i="9"/>
  <c r="FK370" i="9"/>
  <c r="FL370" i="9"/>
  <c r="FM370" i="9" s="1"/>
  <c r="FO370" i="9"/>
  <c r="FG371" i="9"/>
  <c r="FH371" i="9" s="1"/>
  <c r="FI371" i="9" s="1"/>
  <c r="FJ371" i="9"/>
  <c r="FK371" i="9"/>
  <c r="FL371" i="9"/>
  <c r="FM371" i="9"/>
  <c r="FN371" i="9"/>
  <c r="FP371" i="9" s="1"/>
  <c r="FO371" i="9"/>
  <c r="FG372" i="9"/>
  <c r="FH372" i="9" s="1"/>
  <c r="FI372" i="9" s="1"/>
  <c r="FJ372" i="9"/>
  <c r="FK372" i="9"/>
  <c r="FL372" i="9"/>
  <c r="FN372" i="9" s="1"/>
  <c r="FM372" i="9"/>
  <c r="FG373" i="9"/>
  <c r="FH373" i="9" s="1"/>
  <c r="FI373" i="9" s="1"/>
  <c r="FJ373" i="9"/>
  <c r="FK373" i="9"/>
  <c r="FL373" i="9"/>
  <c r="FQ373" i="9" s="1"/>
  <c r="FM373" i="9"/>
  <c r="FN373" i="9"/>
  <c r="FO373" i="9"/>
  <c r="FP373" i="9"/>
  <c r="DP3" i="9"/>
  <c r="DQ3" i="9"/>
  <c r="DR3" i="9" s="1"/>
  <c r="DS3" i="9"/>
  <c r="DT3" i="9"/>
  <c r="DU3" i="9"/>
  <c r="DV3" i="9" s="1"/>
  <c r="DP4" i="9"/>
  <c r="DQ4" i="9"/>
  <c r="DR4" i="9" s="1"/>
  <c r="DS4" i="9"/>
  <c r="DT4" i="9"/>
  <c r="DU4" i="9"/>
  <c r="DY4" i="9" s="1"/>
  <c r="DV4" i="9"/>
  <c r="DW4" i="9"/>
  <c r="DX4" i="9"/>
  <c r="DP5" i="9"/>
  <c r="DQ5" i="9" s="1"/>
  <c r="DR5" i="9" s="1"/>
  <c r="DS5" i="9"/>
  <c r="DT5" i="9"/>
  <c r="DU5" i="9"/>
  <c r="DP6" i="9"/>
  <c r="DQ6" i="9" s="1"/>
  <c r="DR6" i="9" s="1"/>
  <c r="DS6" i="9"/>
  <c r="DT6" i="9"/>
  <c r="DU6" i="9"/>
  <c r="DV6" i="9"/>
  <c r="DW6" i="9"/>
  <c r="DX6" i="9"/>
  <c r="DP7" i="9"/>
  <c r="DQ7" i="9"/>
  <c r="DR7" i="9" s="1"/>
  <c r="DS7" i="9"/>
  <c r="DT7" i="9"/>
  <c r="DU7" i="9"/>
  <c r="DW7" i="9" s="1"/>
  <c r="DV7" i="9"/>
  <c r="DP8" i="9"/>
  <c r="DQ8" i="9" s="1"/>
  <c r="DR8" i="9" s="1"/>
  <c r="DS8" i="9"/>
  <c r="DT8" i="9"/>
  <c r="DU8" i="9"/>
  <c r="DX8" i="9" s="1"/>
  <c r="DY8" i="9" s="1"/>
  <c r="DV8" i="9"/>
  <c r="DW8" i="9"/>
  <c r="DP9" i="9"/>
  <c r="DQ9" i="9"/>
  <c r="DR9" i="9"/>
  <c r="DS9" i="9"/>
  <c r="DT9" i="9"/>
  <c r="DU9" i="9"/>
  <c r="DV9" i="9"/>
  <c r="DW9" i="9"/>
  <c r="DY9" i="9" s="1"/>
  <c r="DX9" i="9"/>
  <c r="DP10" i="9"/>
  <c r="DQ10" i="9"/>
  <c r="DR10" i="9" s="1"/>
  <c r="DS10" i="9"/>
  <c r="DT10" i="9"/>
  <c r="DU10" i="9"/>
  <c r="DV10" i="9"/>
  <c r="DP11" i="9"/>
  <c r="DQ11" i="9"/>
  <c r="DR11" i="9" s="1"/>
  <c r="DS11" i="9"/>
  <c r="DT11" i="9"/>
  <c r="DU11" i="9"/>
  <c r="DZ11" i="9" s="1"/>
  <c r="DW11" i="9"/>
  <c r="DX11" i="9"/>
  <c r="DY11" i="9"/>
  <c r="DP12" i="9"/>
  <c r="DQ12" i="9"/>
  <c r="DR12" i="9"/>
  <c r="DS12" i="9"/>
  <c r="DT12" i="9"/>
  <c r="DU12" i="9"/>
  <c r="DX12" i="9" s="1"/>
  <c r="DZ12" i="9" s="1"/>
  <c r="DV12" i="9"/>
  <c r="DW12" i="9"/>
  <c r="DP13" i="9"/>
  <c r="DQ13" i="9"/>
  <c r="DR13" i="9" s="1"/>
  <c r="DS13" i="9"/>
  <c r="DT13" i="9"/>
  <c r="DU13" i="9"/>
  <c r="DV13" i="9" s="1"/>
  <c r="DW13" i="9"/>
  <c r="DP14" i="9"/>
  <c r="DQ14" i="9" s="1"/>
  <c r="DR14" i="9"/>
  <c r="DS14" i="9"/>
  <c r="DT14" i="9"/>
  <c r="DU14" i="9"/>
  <c r="DV14" i="9"/>
  <c r="DW14" i="9"/>
  <c r="DY14" i="9" s="1"/>
  <c r="DX14" i="9"/>
  <c r="DZ14" i="9"/>
  <c r="DP15" i="9"/>
  <c r="DQ15" i="9"/>
  <c r="DR15" i="9"/>
  <c r="DS15" i="9"/>
  <c r="DT15" i="9"/>
  <c r="DU15" i="9"/>
  <c r="DW15" i="9" s="1"/>
  <c r="DV15" i="9"/>
  <c r="DP16" i="9"/>
  <c r="DQ16" i="9" s="1"/>
  <c r="DR16" i="9" s="1"/>
  <c r="DS16" i="9"/>
  <c r="DT16" i="9"/>
  <c r="DU16" i="9"/>
  <c r="DV16" i="9" s="1"/>
  <c r="DX16" i="9"/>
  <c r="DP17" i="9"/>
  <c r="DQ17" i="9"/>
  <c r="DR17" i="9"/>
  <c r="DS17" i="9"/>
  <c r="DT17" i="9"/>
  <c r="DU17" i="9"/>
  <c r="DV17" i="9" s="1"/>
  <c r="DX17" i="9"/>
  <c r="DP18" i="9"/>
  <c r="DQ18" i="9"/>
  <c r="DR18" i="9"/>
  <c r="DS18" i="9"/>
  <c r="DT18" i="9"/>
  <c r="DU18" i="9"/>
  <c r="DY18" i="9" s="1"/>
  <c r="DV18" i="9"/>
  <c r="DW18" i="9"/>
  <c r="DZ18" i="9" s="1"/>
  <c r="DX18" i="9"/>
  <c r="DP19" i="9"/>
  <c r="DQ19" i="9" s="1"/>
  <c r="DR19" i="9" s="1"/>
  <c r="DS19" i="9"/>
  <c r="DT19" i="9"/>
  <c r="DU19" i="9"/>
  <c r="DP20" i="9"/>
  <c r="DQ20" i="9" s="1"/>
  <c r="DR20" i="9" s="1"/>
  <c r="DS20" i="9"/>
  <c r="DT20" i="9"/>
  <c r="DU20" i="9"/>
  <c r="DY20" i="9" s="1"/>
  <c r="DV20" i="9"/>
  <c r="DW20" i="9"/>
  <c r="DX20" i="9"/>
  <c r="DP21" i="9"/>
  <c r="DQ21" i="9"/>
  <c r="DR21" i="9" s="1"/>
  <c r="DS21" i="9"/>
  <c r="DT21" i="9"/>
  <c r="DU21" i="9"/>
  <c r="DW21" i="9" s="1"/>
  <c r="DV21" i="9"/>
  <c r="DP22" i="9"/>
  <c r="DQ22" i="9" s="1"/>
  <c r="DR22" i="9" s="1"/>
  <c r="DS22" i="9"/>
  <c r="DT22" i="9"/>
  <c r="DU22" i="9"/>
  <c r="DX22" i="9" s="1"/>
  <c r="DY22" i="9" s="1"/>
  <c r="DV22" i="9"/>
  <c r="DW22" i="9"/>
  <c r="DP23" i="9"/>
  <c r="DQ23" i="9"/>
  <c r="DR23" i="9"/>
  <c r="DS23" i="9"/>
  <c r="DT23" i="9"/>
  <c r="DU23" i="9"/>
  <c r="DV23" i="9" s="1"/>
  <c r="DW23" i="9"/>
  <c r="DP24" i="9"/>
  <c r="DQ24" i="9"/>
  <c r="DR24" i="9" s="1"/>
  <c r="DS24" i="9"/>
  <c r="DT24" i="9"/>
  <c r="DU24" i="9"/>
  <c r="DP25" i="9"/>
  <c r="DQ25" i="9"/>
  <c r="DR25" i="9" s="1"/>
  <c r="DS25" i="9"/>
  <c r="DT25" i="9"/>
  <c r="DU25" i="9"/>
  <c r="DV25" i="9"/>
  <c r="DW25" i="9"/>
  <c r="DY25" i="9" s="1"/>
  <c r="DX25" i="9"/>
  <c r="DP26" i="9"/>
  <c r="DQ26" i="9" s="1"/>
  <c r="DR26" i="9" s="1"/>
  <c r="DS26" i="9"/>
  <c r="DT26" i="9"/>
  <c r="DU26" i="9"/>
  <c r="DX26" i="9" s="1"/>
  <c r="DV26" i="9"/>
  <c r="DW26" i="9"/>
  <c r="DZ26" i="9"/>
  <c r="DP27" i="9"/>
  <c r="DQ27" i="9"/>
  <c r="DR27" i="9" s="1"/>
  <c r="DS27" i="9"/>
  <c r="DT27" i="9"/>
  <c r="DU27" i="9"/>
  <c r="DV27" i="9" s="1"/>
  <c r="DW27" i="9"/>
  <c r="DP28" i="9"/>
  <c r="DQ28" i="9"/>
  <c r="DR28" i="9"/>
  <c r="DS28" i="9"/>
  <c r="DT28" i="9"/>
  <c r="DU28" i="9"/>
  <c r="DV28" i="9"/>
  <c r="DW28" i="9"/>
  <c r="DX28" i="9"/>
  <c r="DY28" i="9" s="1"/>
  <c r="DZ28" i="9"/>
  <c r="DP29" i="9"/>
  <c r="DQ29" i="9"/>
  <c r="DR29" i="9"/>
  <c r="DS29" i="9"/>
  <c r="DT29" i="9"/>
  <c r="DU29" i="9"/>
  <c r="DV29" i="9"/>
  <c r="DW29" i="9"/>
  <c r="DP30" i="9"/>
  <c r="DQ30" i="9" s="1"/>
  <c r="DR30" i="9" s="1"/>
  <c r="DS30" i="9"/>
  <c r="DT30" i="9"/>
  <c r="DU30" i="9"/>
  <c r="DV30" i="9" s="1"/>
  <c r="DX30" i="9"/>
  <c r="DP31" i="9"/>
  <c r="DQ31" i="9"/>
  <c r="DR31" i="9" s="1"/>
  <c r="DS31" i="9"/>
  <c r="DT31" i="9"/>
  <c r="DU31" i="9"/>
  <c r="DV31" i="9" s="1"/>
  <c r="DP32" i="9"/>
  <c r="DQ32" i="9"/>
  <c r="DR32" i="9" s="1"/>
  <c r="DS32" i="9"/>
  <c r="DT32" i="9"/>
  <c r="DU32" i="9"/>
  <c r="DY32" i="9" s="1"/>
  <c r="DV32" i="9"/>
  <c r="DW32" i="9"/>
  <c r="DZ32" i="9" s="1"/>
  <c r="DX32" i="9"/>
  <c r="DP33" i="9"/>
  <c r="DQ33" i="9" s="1"/>
  <c r="DR33" i="9" s="1"/>
  <c r="DS33" i="9"/>
  <c r="DT33" i="9"/>
  <c r="DU33" i="9"/>
  <c r="DP34" i="9"/>
  <c r="DQ34" i="9" s="1"/>
  <c r="DR34" i="9" s="1"/>
  <c r="DS34" i="9"/>
  <c r="DT34" i="9"/>
  <c r="DU34" i="9"/>
  <c r="DV34" i="9"/>
  <c r="DW34" i="9"/>
  <c r="DX34" i="9"/>
  <c r="DP35" i="9"/>
  <c r="DQ35" i="9"/>
  <c r="DR35" i="9" s="1"/>
  <c r="DS35" i="9"/>
  <c r="DT35" i="9"/>
  <c r="DU35" i="9"/>
  <c r="DW35" i="9" s="1"/>
  <c r="DV35" i="9"/>
  <c r="DP36" i="9"/>
  <c r="DQ36" i="9" s="1"/>
  <c r="DR36" i="9" s="1"/>
  <c r="DS36" i="9"/>
  <c r="DT36" i="9"/>
  <c r="DU36" i="9"/>
  <c r="DW36" i="9" s="1"/>
  <c r="DV36" i="9"/>
  <c r="DP37" i="9"/>
  <c r="DQ37" i="9"/>
  <c r="DR37" i="9"/>
  <c r="DS37" i="9"/>
  <c r="DT37" i="9"/>
  <c r="DU37" i="9"/>
  <c r="DV37" i="9" s="1"/>
  <c r="DW37" i="9"/>
  <c r="DP38" i="9"/>
  <c r="DQ38" i="9"/>
  <c r="DR38" i="9" s="1"/>
  <c r="DS38" i="9"/>
  <c r="DT38" i="9"/>
  <c r="DU38" i="9"/>
  <c r="DP39" i="9"/>
  <c r="DQ39" i="9"/>
  <c r="DR39" i="9" s="1"/>
  <c r="DS39" i="9"/>
  <c r="DT39" i="9"/>
  <c r="DU39" i="9"/>
  <c r="DW39" i="9"/>
  <c r="DY39" i="9" s="1"/>
  <c r="DX39" i="9"/>
  <c r="DP40" i="9"/>
  <c r="DQ40" i="9" s="1"/>
  <c r="DR40" i="9"/>
  <c r="DS40" i="9"/>
  <c r="DT40" i="9"/>
  <c r="DU40" i="9"/>
  <c r="DX40" i="9" s="1"/>
  <c r="DV40" i="9"/>
  <c r="DW40" i="9"/>
  <c r="DZ40" i="9" s="1"/>
  <c r="DP41" i="9"/>
  <c r="DQ41" i="9"/>
  <c r="DR41" i="9" s="1"/>
  <c r="DS41" i="9"/>
  <c r="DT41" i="9"/>
  <c r="DU41" i="9"/>
  <c r="DP42" i="9"/>
  <c r="DQ42" i="9" s="1"/>
  <c r="DR42" i="9"/>
  <c r="DS42" i="9"/>
  <c r="DT42" i="9"/>
  <c r="DU42" i="9"/>
  <c r="DV42" i="9"/>
  <c r="DW42" i="9"/>
  <c r="DX42" i="9"/>
  <c r="DY42" i="9" s="1"/>
  <c r="DZ42" i="9"/>
  <c r="DP43" i="9"/>
  <c r="DQ43" i="9"/>
  <c r="DR43" i="9"/>
  <c r="DS43" i="9"/>
  <c r="DT43" i="9"/>
  <c r="DU43" i="9"/>
  <c r="DV43" i="9"/>
  <c r="DW43" i="9"/>
  <c r="DP44" i="9"/>
  <c r="DQ44" i="9" s="1"/>
  <c r="DR44" i="9"/>
  <c r="DS44" i="9"/>
  <c r="DT44" i="9"/>
  <c r="DU44" i="9"/>
  <c r="DP45" i="9"/>
  <c r="DQ45" i="9"/>
  <c r="DR45" i="9" s="1"/>
  <c r="DS45" i="9"/>
  <c r="DT45" i="9"/>
  <c r="DU45" i="9"/>
  <c r="DP46" i="9"/>
  <c r="DQ46" i="9"/>
  <c r="DR46" i="9" s="1"/>
  <c r="DS46" i="9"/>
  <c r="DT46" i="9"/>
  <c r="DU46" i="9"/>
  <c r="DY46" i="9" s="1"/>
  <c r="DV46" i="9"/>
  <c r="DW46" i="9"/>
  <c r="DZ46" i="9" s="1"/>
  <c r="DX46" i="9"/>
  <c r="DP47" i="9"/>
  <c r="DQ47" i="9" s="1"/>
  <c r="DR47" i="9" s="1"/>
  <c r="DS47" i="9"/>
  <c r="DT47" i="9"/>
  <c r="DU47" i="9"/>
  <c r="DP48" i="9"/>
  <c r="DQ48" i="9" s="1"/>
  <c r="DR48" i="9" s="1"/>
  <c r="DS48" i="9"/>
  <c r="DT48" i="9"/>
  <c r="DU48" i="9"/>
  <c r="DV48" i="9"/>
  <c r="DW48" i="9"/>
  <c r="DX48" i="9"/>
  <c r="DP49" i="9"/>
  <c r="DQ49" i="9"/>
  <c r="DR49" i="9" s="1"/>
  <c r="DS49" i="9"/>
  <c r="DT49" i="9"/>
  <c r="DU49" i="9"/>
  <c r="DW49" i="9" s="1"/>
  <c r="DV49" i="9"/>
  <c r="DP50" i="9"/>
  <c r="DQ50" i="9" s="1"/>
  <c r="DR50" i="9"/>
  <c r="DS50" i="9"/>
  <c r="DT50" i="9"/>
  <c r="DU50" i="9"/>
  <c r="DW50" i="9" s="1"/>
  <c r="DV50" i="9"/>
  <c r="DP51" i="9"/>
  <c r="DQ51" i="9"/>
  <c r="DR51" i="9" s="1"/>
  <c r="DS51" i="9"/>
  <c r="DT51" i="9"/>
  <c r="DU51" i="9"/>
  <c r="DP52" i="9"/>
  <c r="DQ52" i="9"/>
  <c r="DR52" i="9" s="1"/>
  <c r="DS52" i="9"/>
  <c r="DT52" i="9"/>
  <c r="DU52" i="9"/>
  <c r="DW52" i="9" s="1"/>
  <c r="DV52" i="9"/>
  <c r="DX52" i="9"/>
  <c r="DY52" i="9"/>
  <c r="DP53" i="9"/>
  <c r="DQ53" i="9"/>
  <c r="DR53" i="9" s="1"/>
  <c r="DS53" i="9"/>
  <c r="DT53" i="9"/>
  <c r="DU53" i="9"/>
  <c r="DV53" i="9"/>
  <c r="DW53" i="9"/>
  <c r="DX53" i="9"/>
  <c r="DP54" i="9"/>
  <c r="DQ54" i="9"/>
  <c r="DR54" i="9" s="1"/>
  <c r="DS54" i="9"/>
  <c r="DT54" i="9"/>
  <c r="DU54" i="9"/>
  <c r="DX54" i="9" s="1"/>
  <c r="DV54" i="9"/>
  <c r="DW54" i="9"/>
  <c r="DZ54" i="9"/>
  <c r="DP55" i="9"/>
  <c r="DQ55" i="9"/>
  <c r="DR55" i="9" s="1"/>
  <c r="DS55" i="9"/>
  <c r="DT55" i="9"/>
  <c r="DU55" i="9"/>
  <c r="DV55" i="9"/>
  <c r="DW55" i="9"/>
  <c r="DP56" i="9"/>
  <c r="DQ56" i="9"/>
  <c r="DR56" i="9"/>
  <c r="DS56" i="9"/>
  <c r="DT56" i="9"/>
  <c r="DU56" i="9"/>
  <c r="DV56" i="9"/>
  <c r="DW56" i="9"/>
  <c r="DX56" i="9"/>
  <c r="DY56" i="9" s="1"/>
  <c r="DP57" i="9"/>
  <c r="DQ57" i="9"/>
  <c r="DR57" i="9"/>
  <c r="DS57" i="9"/>
  <c r="DT57" i="9"/>
  <c r="DU57" i="9"/>
  <c r="DX57" i="9" s="1"/>
  <c r="DV57" i="9"/>
  <c r="DW57" i="9"/>
  <c r="DY57" i="9"/>
  <c r="DZ57" i="9"/>
  <c r="DP58" i="9"/>
  <c r="DQ58" i="9"/>
  <c r="DR58" i="9"/>
  <c r="DS58" i="9"/>
  <c r="DT58" i="9"/>
  <c r="DU58" i="9"/>
  <c r="DX58" i="9"/>
  <c r="DP59" i="9"/>
  <c r="DQ59" i="9"/>
  <c r="DR59" i="9" s="1"/>
  <c r="DS59" i="9"/>
  <c r="DT59" i="9"/>
  <c r="DU59" i="9"/>
  <c r="DV59" i="9"/>
  <c r="DW59" i="9"/>
  <c r="DP60" i="9"/>
  <c r="DQ60" i="9"/>
  <c r="DR60" i="9" s="1"/>
  <c r="DS60" i="9"/>
  <c r="DT60" i="9"/>
  <c r="DU60" i="9"/>
  <c r="DV60" i="9"/>
  <c r="DW60" i="9"/>
  <c r="DX60" i="9"/>
  <c r="DY60" i="9"/>
  <c r="DZ60" i="9"/>
  <c r="DP61" i="9"/>
  <c r="DQ61" i="9" s="1"/>
  <c r="DR61" i="9" s="1"/>
  <c r="DS61" i="9"/>
  <c r="DT61" i="9"/>
  <c r="DU61" i="9"/>
  <c r="DV61" i="9" s="1"/>
  <c r="DW61" i="9"/>
  <c r="DY61" i="9" s="1"/>
  <c r="DX61" i="9"/>
  <c r="DP62" i="9"/>
  <c r="DQ62" i="9"/>
  <c r="DR62" i="9" s="1"/>
  <c r="DS62" i="9"/>
  <c r="DT62" i="9"/>
  <c r="DU62" i="9"/>
  <c r="DV62" i="9"/>
  <c r="DW62" i="9"/>
  <c r="DZ62" i="9" s="1"/>
  <c r="DX62" i="9"/>
  <c r="DP63" i="9"/>
  <c r="DQ63" i="9" s="1"/>
  <c r="DR63" i="9" s="1"/>
  <c r="DS63" i="9"/>
  <c r="DT63" i="9"/>
  <c r="DU63" i="9"/>
  <c r="DP64" i="9"/>
  <c r="DQ64" i="9" s="1"/>
  <c r="DR64" i="9"/>
  <c r="DS64" i="9"/>
  <c r="DT64" i="9"/>
  <c r="DU64" i="9"/>
  <c r="DV64" i="9"/>
  <c r="DW64" i="9"/>
  <c r="DX64" i="9"/>
  <c r="DP65" i="9"/>
  <c r="DQ65" i="9"/>
  <c r="DR65" i="9" s="1"/>
  <c r="DS65" i="9"/>
  <c r="DT65" i="9"/>
  <c r="DU65" i="9"/>
  <c r="DW65" i="9" s="1"/>
  <c r="DV65" i="9"/>
  <c r="DP66" i="9"/>
  <c r="DQ66" i="9"/>
  <c r="DR66" i="9" s="1"/>
  <c r="DS66" i="9"/>
  <c r="DT66" i="9"/>
  <c r="DU66" i="9"/>
  <c r="DX66" i="9" s="1"/>
  <c r="DP67" i="9"/>
  <c r="DQ67" i="9" s="1"/>
  <c r="DR67" i="9" s="1"/>
  <c r="DS67" i="9"/>
  <c r="DT67" i="9"/>
  <c r="DU67" i="9"/>
  <c r="DV67" i="9"/>
  <c r="DW67" i="9"/>
  <c r="DX67" i="9"/>
  <c r="DY67" i="9" s="1"/>
  <c r="DP68" i="9"/>
  <c r="DQ68" i="9"/>
  <c r="DR68" i="9" s="1"/>
  <c r="DS68" i="9"/>
  <c r="DT68" i="9"/>
  <c r="DU68" i="9"/>
  <c r="DP69" i="9"/>
  <c r="DQ69" i="9"/>
  <c r="DR69" i="9" s="1"/>
  <c r="DS69" i="9"/>
  <c r="DT69" i="9"/>
  <c r="DU69" i="9"/>
  <c r="DV69" i="9" s="1"/>
  <c r="DW69" i="9"/>
  <c r="DX69" i="9"/>
  <c r="DP70" i="9"/>
  <c r="DQ70" i="9"/>
  <c r="DR70" i="9"/>
  <c r="DS70" i="9"/>
  <c r="DT70" i="9"/>
  <c r="DU70" i="9"/>
  <c r="DV70" i="9"/>
  <c r="DW70" i="9"/>
  <c r="DX70" i="9"/>
  <c r="DZ70" i="9"/>
  <c r="DP71" i="9"/>
  <c r="DQ71" i="9"/>
  <c r="DR71" i="9" s="1"/>
  <c r="DS71" i="9"/>
  <c r="DT71" i="9"/>
  <c r="DU71" i="9"/>
  <c r="DX71" i="9" s="1"/>
  <c r="DV71" i="9"/>
  <c r="DW71" i="9"/>
  <c r="DY71" i="9"/>
  <c r="DP72" i="9"/>
  <c r="DQ72" i="9"/>
  <c r="DR72" i="9" s="1"/>
  <c r="DS72" i="9"/>
  <c r="DT72" i="9"/>
  <c r="DU72" i="9"/>
  <c r="DX72" i="9"/>
  <c r="DP73" i="9"/>
  <c r="DQ73" i="9"/>
  <c r="DR73" i="9" s="1"/>
  <c r="DS73" i="9"/>
  <c r="DT73" i="9"/>
  <c r="DU73" i="9"/>
  <c r="DV73" i="9" s="1"/>
  <c r="DP74" i="9"/>
  <c r="DQ74" i="9" s="1"/>
  <c r="DR74" i="9" s="1"/>
  <c r="DS74" i="9"/>
  <c r="DT74" i="9"/>
  <c r="DU74" i="9"/>
  <c r="DY74" i="9" s="1"/>
  <c r="DV74" i="9"/>
  <c r="DW74" i="9"/>
  <c r="DX74" i="9"/>
  <c r="DZ74" i="9"/>
  <c r="DP75" i="9"/>
  <c r="DQ75" i="9" s="1"/>
  <c r="DR75" i="9" s="1"/>
  <c r="DS75" i="9"/>
  <c r="DT75" i="9"/>
  <c r="DU75" i="9"/>
  <c r="DX75" i="9" s="1"/>
  <c r="DW75" i="9"/>
  <c r="DP76" i="9"/>
  <c r="DQ76" i="9"/>
  <c r="DR76" i="9" s="1"/>
  <c r="DS76" i="9"/>
  <c r="DT76" i="9"/>
  <c r="DU76" i="9"/>
  <c r="DV76" i="9"/>
  <c r="DW76" i="9"/>
  <c r="DX76" i="9"/>
  <c r="DZ76" i="9"/>
  <c r="DP77" i="9"/>
  <c r="DQ77" i="9"/>
  <c r="DR77" i="9" s="1"/>
  <c r="DS77" i="9"/>
  <c r="DT77" i="9"/>
  <c r="DU77" i="9"/>
  <c r="DV77" i="9"/>
  <c r="DP78" i="9"/>
  <c r="DQ78" i="9" s="1"/>
  <c r="DR78" i="9" s="1"/>
  <c r="DS78" i="9"/>
  <c r="DT78" i="9"/>
  <c r="DU78" i="9"/>
  <c r="DV78" i="9"/>
  <c r="DP79" i="9"/>
  <c r="DQ79" i="9"/>
  <c r="DR79" i="9"/>
  <c r="DS79" i="9"/>
  <c r="DT79" i="9"/>
  <c r="DU79" i="9"/>
  <c r="DW79" i="9" s="1"/>
  <c r="DV79" i="9"/>
  <c r="DX79" i="9"/>
  <c r="DY79" i="9"/>
  <c r="DZ79" i="9"/>
  <c r="DP80" i="9"/>
  <c r="DQ80" i="9"/>
  <c r="DR80" i="9" s="1"/>
  <c r="DS80" i="9"/>
  <c r="DT80" i="9"/>
  <c r="DU80" i="9"/>
  <c r="DV80" i="9"/>
  <c r="DX80" i="9"/>
  <c r="DP81" i="9"/>
  <c r="DQ81" i="9" s="1"/>
  <c r="DR81" i="9" s="1"/>
  <c r="DS81" i="9"/>
  <c r="DT81" i="9"/>
  <c r="DU81" i="9"/>
  <c r="DZ81" i="9" s="1"/>
  <c r="DV81" i="9"/>
  <c r="DW81" i="9"/>
  <c r="DX81" i="9"/>
  <c r="DY81" i="9"/>
  <c r="DP82" i="9"/>
  <c r="DQ82" i="9" s="1"/>
  <c r="DR82" i="9" s="1"/>
  <c r="DS82" i="9"/>
  <c r="DT82" i="9"/>
  <c r="DU82" i="9"/>
  <c r="DV82" i="9"/>
  <c r="DW82" i="9"/>
  <c r="DP83" i="9"/>
  <c r="DQ83" i="9"/>
  <c r="DR83" i="9" s="1"/>
  <c r="DS83" i="9"/>
  <c r="DT83" i="9"/>
  <c r="DU83" i="9"/>
  <c r="DP84" i="9"/>
  <c r="DQ84" i="9"/>
  <c r="DR84" i="9"/>
  <c r="DS84" i="9"/>
  <c r="DT84" i="9"/>
  <c r="DU84" i="9"/>
  <c r="DV84" i="9"/>
  <c r="DW84" i="9"/>
  <c r="DX84" i="9"/>
  <c r="DZ84" i="9" s="1"/>
  <c r="DP85" i="9"/>
  <c r="DQ85" i="9"/>
  <c r="DR85" i="9"/>
  <c r="DS85" i="9"/>
  <c r="DT85" i="9"/>
  <c r="DU85" i="9"/>
  <c r="DP86" i="9"/>
  <c r="DQ86" i="9"/>
  <c r="DR86" i="9"/>
  <c r="DS86" i="9"/>
  <c r="DT86" i="9"/>
  <c r="DU86" i="9"/>
  <c r="DX86" i="9" s="1"/>
  <c r="DP87" i="9"/>
  <c r="DQ87" i="9"/>
  <c r="DR87" i="9"/>
  <c r="DS87" i="9"/>
  <c r="DT87" i="9"/>
  <c r="DU87" i="9"/>
  <c r="DV87" i="9"/>
  <c r="DW87" i="9"/>
  <c r="DX87" i="9"/>
  <c r="DP88" i="9"/>
  <c r="DQ88" i="9"/>
  <c r="DR88" i="9"/>
  <c r="DS88" i="9"/>
  <c r="DT88" i="9"/>
  <c r="DU88" i="9"/>
  <c r="DV88" i="9"/>
  <c r="DW88" i="9"/>
  <c r="DP89" i="9"/>
  <c r="DQ89" i="9" s="1"/>
  <c r="DR89" i="9" s="1"/>
  <c r="DS89" i="9"/>
  <c r="DT89" i="9"/>
  <c r="DU89" i="9"/>
  <c r="DV89" i="9" s="1"/>
  <c r="DW89" i="9"/>
  <c r="DX89" i="9"/>
  <c r="DP90" i="9"/>
  <c r="DQ90" i="9" s="1"/>
  <c r="DR90" i="9" s="1"/>
  <c r="DS90" i="9"/>
  <c r="DT90" i="9"/>
  <c r="DU90" i="9"/>
  <c r="DV90" i="9"/>
  <c r="DW90" i="9"/>
  <c r="DZ90" i="9" s="1"/>
  <c r="DX90" i="9"/>
  <c r="DP91" i="9"/>
  <c r="DQ91" i="9" s="1"/>
  <c r="DR91" i="9" s="1"/>
  <c r="DS91" i="9"/>
  <c r="DT91" i="9"/>
  <c r="DU91" i="9"/>
  <c r="DV91" i="9"/>
  <c r="DP92" i="9"/>
  <c r="DQ92" i="9" s="1"/>
  <c r="DR92" i="9"/>
  <c r="DS92" i="9"/>
  <c r="DT92" i="9"/>
  <c r="DU92" i="9"/>
  <c r="DV92" i="9"/>
  <c r="DW92" i="9"/>
  <c r="DX92" i="9"/>
  <c r="DY92" i="9"/>
  <c r="DP93" i="9"/>
  <c r="DQ93" i="9"/>
  <c r="DR93" i="9" s="1"/>
  <c r="DS93" i="9"/>
  <c r="DT93" i="9"/>
  <c r="DU93" i="9"/>
  <c r="DV93" i="9"/>
  <c r="DW93" i="9"/>
  <c r="DX93" i="9"/>
  <c r="DP94" i="9"/>
  <c r="DQ94" i="9" s="1"/>
  <c r="DR94" i="9" s="1"/>
  <c r="DS94" i="9"/>
  <c r="DT94" i="9"/>
  <c r="DU94" i="9"/>
  <c r="DP95" i="9"/>
  <c r="DQ95" i="9"/>
  <c r="DR95" i="9" s="1"/>
  <c r="DS95" i="9"/>
  <c r="DT95" i="9"/>
  <c r="DU95" i="9"/>
  <c r="DZ95" i="9" s="1"/>
  <c r="DW95" i="9"/>
  <c r="DX95" i="9"/>
  <c r="DY95" i="9"/>
  <c r="DP96" i="9"/>
  <c r="DQ96" i="9"/>
  <c r="DR96" i="9"/>
  <c r="DS96" i="9"/>
  <c r="DT96" i="9"/>
  <c r="DU96" i="9"/>
  <c r="DW96" i="9" s="1"/>
  <c r="DV96" i="9"/>
  <c r="DP97" i="9"/>
  <c r="DQ97" i="9"/>
  <c r="DR97" i="9" s="1"/>
  <c r="DS97" i="9"/>
  <c r="DT97" i="9"/>
  <c r="DU97" i="9"/>
  <c r="DV97" i="9"/>
  <c r="DW97" i="9"/>
  <c r="DX97" i="9"/>
  <c r="DP98" i="9"/>
  <c r="DQ98" i="9" s="1"/>
  <c r="DR98" i="9"/>
  <c r="DS98" i="9"/>
  <c r="DT98" i="9"/>
  <c r="DU98" i="9"/>
  <c r="DV98" i="9"/>
  <c r="DW98" i="9"/>
  <c r="DX98" i="9"/>
  <c r="DY98" i="9" s="1"/>
  <c r="DP99" i="9"/>
  <c r="DQ99" i="9"/>
  <c r="DR99" i="9" s="1"/>
  <c r="DS99" i="9"/>
  <c r="DT99" i="9"/>
  <c r="DU99" i="9"/>
  <c r="DV99" i="9"/>
  <c r="DP100" i="9"/>
  <c r="DQ100" i="9"/>
  <c r="DR100" i="9"/>
  <c r="DS100" i="9"/>
  <c r="DT100" i="9"/>
  <c r="DU100" i="9"/>
  <c r="DP101" i="9"/>
  <c r="DQ101" i="9"/>
  <c r="DR101" i="9" s="1"/>
  <c r="DS101" i="9"/>
  <c r="DT101" i="9"/>
  <c r="DU101" i="9"/>
  <c r="DV101" i="9"/>
  <c r="DW101" i="9"/>
  <c r="DX101" i="9"/>
  <c r="DP102" i="9"/>
  <c r="DQ102" i="9"/>
  <c r="DR102" i="9" s="1"/>
  <c r="DS102" i="9"/>
  <c r="DT102" i="9"/>
  <c r="DU102" i="9"/>
  <c r="DP103" i="9"/>
  <c r="DQ103" i="9" s="1"/>
  <c r="DR103" i="9" s="1"/>
  <c r="DS103" i="9"/>
  <c r="DT103" i="9"/>
  <c r="DU103" i="9"/>
  <c r="DP104" i="9"/>
  <c r="DQ104" i="9"/>
  <c r="DR104" i="9" s="1"/>
  <c r="DS104" i="9"/>
  <c r="DT104" i="9"/>
  <c r="DU104" i="9"/>
  <c r="DV104" i="9"/>
  <c r="DW104" i="9"/>
  <c r="DX104" i="9"/>
  <c r="DZ104" i="9"/>
  <c r="DP105" i="9"/>
  <c r="DQ105" i="9" s="1"/>
  <c r="DR105" i="9" s="1"/>
  <c r="DS105" i="9"/>
  <c r="DT105" i="9"/>
  <c r="DU105" i="9"/>
  <c r="DP106" i="9"/>
  <c r="DQ106" i="9" s="1"/>
  <c r="DR106" i="9"/>
  <c r="DS106" i="9"/>
  <c r="DT106" i="9"/>
  <c r="DU106" i="9"/>
  <c r="DV106" i="9"/>
  <c r="DP107" i="9"/>
  <c r="DQ107" i="9"/>
  <c r="DR107" i="9" s="1"/>
  <c r="DS107" i="9"/>
  <c r="DT107" i="9"/>
  <c r="DU107" i="9"/>
  <c r="DV107" i="9"/>
  <c r="DW107" i="9"/>
  <c r="DX107" i="9"/>
  <c r="DY107" i="9"/>
  <c r="DZ107" i="9"/>
  <c r="DP108" i="9"/>
  <c r="DQ108" i="9"/>
  <c r="DR108" i="9" s="1"/>
  <c r="DS108" i="9"/>
  <c r="DT108" i="9"/>
  <c r="DU108" i="9"/>
  <c r="DX108" i="9"/>
  <c r="DP109" i="9"/>
  <c r="DQ109" i="9" s="1"/>
  <c r="DR109" i="9"/>
  <c r="DS109" i="9"/>
  <c r="DT109" i="9"/>
  <c r="DU109" i="9"/>
  <c r="DV109" i="9"/>
  <c r="DW109" i="9"/>
  <c r="DX109" i="9"/>
  <c r="DP110" i="9"/>
  <c r="DQ110" i="9"/>
  <c r="DR110" i="9"/>
  <c r="DS110" i="9"/>
  <c r="DT110" i="9"/>
  <c r="DU110" i="9"/>
  <c r="DW110" i="9" s="1"/>
  <c r="DV110" i="9"/>
  <c r="DP111" i="9"/>
  <c r="DQ111" i="9"/>
  <c r="DR111" i="9" s="1"/>
  <c r="DS111" i="9"/>
  <c r="DT111" i="9"/>
  <c r="DU111" i="9"/>
  <c r="DW111" i="9" s="1"/>
  <c r="DZ111" i="9" s="1"/>
  <c r="DX111" i="9"/>
  <c r="DP112" i="9"/>
  <c r="DQ112" i="9"/>
  <c r="DR112" i="9"/>
  <c r="DS112" i="9"/>
  <c r="DT112" i="9"/>
  <c r="DU112" i="9"/>
  <c r="DV112" i="9"/>
  <c r="DW112" i="9"/>
  <c r="DX112" i="9"/>
  <c r="DP113" i="9"/>
  <c r="DQ113" i="9" s="1"/>
  <c r="DR113" i="9" s="1"/>
  <c r="DS113" i="9"/>
  <c r="DT113" i="9"/>
  <c r="DU113" i="9"/>
  <c r="DV113" i="9"/>
  <c r="DP114" i="9"/>
  <c r="DQ114" i="9" s="1"/>
  <c r="DR114" i="9" s="1"/>
  <c r="DS114" i="9"/>
  <c r="DT114" i="9"/>
  <c r="DU114" i="9"/>
  <c r="DV114" i="9"/>
  <c r="DW114" i="9"/>
  <c r="DX114" i="9"/>
  <c r="DY114" i="9" s="1"/>
  <c r="DZ114" i="9"/>
  <c r="DP115" i="9"/>
  <c r="DQ115" i="9"/>
  <c r="DR115" i="9"/>
  <c r="DS115" i="9"/>
  <c r="DT115" i="9"/>
  <c r="DU115" i="9"/>
  <c r="DV115" i="9"/>
  <c r="DW115" i="9"/>
  <c r="DZ115" i="9" s="1"/>
  <c r="DX115" i="9"/>
  <c r="DY115" i="9"/>
  <c r="DP116" i="9"/>
  <c r="DQ116" i="9" s="1"/>
  <c r="DR116" i="9"/>
  <c r="DS116" i="9"/>
  <c r="DT116" i="9"/>
  <c r="DU116" i="9"/>
  <c r="DW116" i="9" s="1"/>
  <c r="DP117" i="9"/>
  <c r="DQ117" i="9"/>
  <c r="DR117" i="9" s="1"/>
  <c r="DS117" i="9"/>
  <c r="DT117" i="9"/>
  <c r="DU117" i="9"/>
  <c r="DP118" i="9"/>
  <c r="DQ118" i="9" s="1"/>
  <c r="DR118" i="9"/>
  <c r="DS118" i="9"/>
  <c r="DT118" i="9"/>
  <c r="DU118" i="9"/>
  <c r="DV118" i="9"/>
  <c r="DW118" i="9"/>
  <c r="DX118" i="9"/>
  <c r="DZ118" i="9" s="1"/>
  <c r="DP119" i="9"/>
  <c r="DQ119" i="9"/>
  <c r="DR119" i="9"/>
  <c r="DS119" i="9"/>
  <c r="DT119" i="9"/>
  <c r="DU119" i="9"/>
  <c r="DV119" i="9"/>
  <c r="DW119" i="9"/>
  <c r="DY119" i="9" s="1"/>
  <c r="DX119" i="9"/>
  <c r="DP120" i="9"/>
  <c r="DQ120" i="9" s="1"/>
  <c r="DR120" i="9" s="1"/>
  <c r="DS120" i="9"/>
  <c r="DT120" i="9"/>
  <c r="DU120" i="9"/>
  <c r="DV120" i="9"/>
  <c r="DW120" i="9"/>
  <c r="DZ120" i="9" s="1"/>
  <c r="DX120" i="9"/>
  <c r="DP121" i="9"/>
  <c r="DQ121" i="9" s="1"/>
  <c r="DR121" i="9" s="1"/>
  <c r="DS121" i="9"/>
  <c r="DT121" i="9"/>
  <c r="DU121" i="9"/>
  <c r="DV121" i="9"/>
  <c r="DP122" i="9"/>
  <c r="DQ122" i="9" s="1"/>
  <c r="DR122" i="9"/>
  <c r="DS122" i="9"/>
  <c r="DT122" i="9"/>
  <c r="DU122" i="9"/>
  <c r="DP123" i="9"/>
  <c r="DQ123" i="9"/>
  <c r="DR123" i="9"/>
  <c r="DS123" i="9"/>
  <c r="DT123" i="9"/>
  <c r="DU123" i="9"/>
  <c r="DV123" i="9"/>
  <c r="DW123" i="9"/>
  <c r="DX123" i="9"/>
  <c r="DY123" i="9"/>
  <c r="DP124" i="9"/>
  <c r="DQ124" i="9" s="1"/>
  <c r="DR124" i="9" s="1"/>
  <c r="DS124" i="9"/>
  <c r="DT124" i="9"/>
  <c r="DU124" i="9"/>
  <c r="DV124" i="9"/>
  <c r="DW124" i="9"/>
  <c r="DX124" i="9"/>
  <c r="DP125" i="9"/>
  <c r="DQ125" i="9" s="1"/>
  <c r="DR125" i="9" s="1"/>
  <c r="DS125" i="9"/>
  <c r="DT125" i="9"/>
  <c r="DU125" i="9"/>
  <c r="DV125" i="9" s="1"/>
  <c r="DP126" i="9"/>
  <c r="DQ126" i="9"/>
  <c r="DR126" i="9" s="1"/>
  <c r="DS126" i="9"/>
  <c r="DT126" i="9"/>
  <c r="DU126" i="9"/>
  <c r="DV126" i="9"/>
  <c r="DW126" i="9"/>
  <c r="DX126" i="9"/>
  <c r="DY126" i="9"/>
  <c r="DZ126" i="9"/>
  <c r="DP127" i="9"/>
  <c r="DQ127" i="9"/>
  <c r="DR127" i="9"/>
  <c r="DS127" i="9"/>
  <c r="DT127" i="9"/>
  <c r="DU127" i="9"/>
  <c r="DX127" i="9" s="1"/>
  <c r="DV127" i="9"/>
  <c r="DW127" i="9"/>
  <c r="DZ127" i="9" s="1"/>
  <c r="DY127" i="9"/>
  <c r="DP128" i="9"/>
  <c r="DQ128" i="9" s="1"/>
  <c r="DR128" i="9" s="1"/>
  <c r="DS128" i="9"/>
  <c r="DT128" i="9"/>
  <c r="DU128" i="9"/>
  <c r="DV128" i="9"/>
  <c r="DW128" i="9"/>
  <c r="DZ128" i="9" s="1"/>
  <c r="DX128" i="9"/>
  <c r="DP129" i="9"/>
  <c r="DQ129" i="9"/>
  <c r="DR129" i="9" s="1"/>
  <c r="DS129" i="9"/>
  <c r="DT129" i="9"/>
  <c r="DU129" i="9"/>
  <c r="DV129" i="9"/>
  <c r="DP130" i="9"/>
  <c r="DQ130" i="9" s="1"/>
  <c r="DR130" i="9" s="1"/>
  <c r="DS130" i="9"/>
  <c r="DT130" i="9"/>
  <c r="DU130" i="9"/>
  <c r="DV130" i="9"/>
  <c r="DW130" i="9"/>
  <c r="DX130" i="9"/>
  <c r="DP131" i="9"/>
  <c r="DQ131" i="9"/>
  <c r="DR131" i="9"/>
  <c r="DS131" i="9"/>
  <c r="DT131" i="9"/>
  <c r="DU131" i="9"/>
  <c r="DX131" i="9"/>
  <c r="DP132" i="9"/>
  <c r="DQ132" i="9" s="1"/>
  <c r="DR132" i="9" s="1"/>
  <c r="DS132" i="9"/>
  <c r="DT132" i="9"/>
  <c r="DU132" i="9"/>
  <c r="DV132" i="9"/>
  <c r="DW132" i="9"/>
  <c r="DP133" i="9"/>
  <c r="DQ133" i="9" s="1"/>
  <c r="DR133" i="9"/>
  <c r="DS133" i="9"/>
  <c r="DT133" i="9"/>
  <c r="DU133" i="9"/>
  <c r="DV133" i="9"/>
  <c r="DP134" i="9"/>
  <c r="DQ134" i="9" s="1"/>
  <c r="DR134" i="9" s="1"/>
  <c r="DS134" i="9"/>
  <c r="DT134" i="9"/>
  <c r="DU134" i="9"/>
  <c r="DV134" i="9"/>
  <c r="DP135" i="9"/>
  <c r="DQ135" i="9"/>
  <c r="DR135" i="9"/>
  <c r="DS135" i="9"/>
  <c r="DT135" i="9"/>
  <c r="DU135" i="9"/>
  <c r="DV135" i="9"/>
  <c r="DW135" i="9"/>
  <c r="DX135" i="9"/>
  <c r="DY135" i="9" s="1"/>
  <c r="DP136" i="9"/>
  <c r="DQ136" i="9"/>
  <c r="DR136" i="9" s="1"/>
  <c r="DS136" i="9"/>
  <c r="DT136" i="9"/>
  <c r="DU136" i="9"/>
  <c r="DV136" i="9"/>
  <c r="DP137" i="9"/>
  <c r="DQ137" i="9"/>
  <c r="DR137" i="9"/>
  <c r="DS137" i="9"/>
  <c r="DT137" i="9"/>
  <c r="DU137" i="9"/>
  <c r="DV137" i="9"/>
  <c r="DP138" i="9"/>
  <c r="DQ138" i="9"/>
  <c r="DR138" i="9" s="1"/>
  <c r="DS138" i="9"/>
  <c r="DT138" i="9"/>
  <c r="DU138" i="9"/>
  <c r="DV138" i="9"/>
  <c r="DW138" i="9"/>
  <c r="DX138" i="9"/>
  <c r="DY138" i="9"/>
  <c r="DZ138" i="9"/>
  <c r="DP139" i="9"/>
  <c r="DQ139" i="9"/>
  <c r="DR139" i="9" s="1"/>
  <c r="DS139" i="9"/>
  <c r="DT139" i="9"/>
  <c r="DU139" i="9"/>
  <c r="DV139" i="9" s="1"/>
  <c r="DW139" i="9"/>
  <c r="DY139" i="9" s="1"/>
  <c r="DX139" i="9"/>
  <c r="DP140" i="9"/>
  <c r="DQ140" i="9" s="1"/>
  <c r="DR140" i="9"/>
  <c r="DS140" i="9"/>
  <c r="DT140" i="9"/>
  <c r="DU140" i="9"/>
  <c r="DV140" i="9"/>
  <c r="DW140" i="9"/>
  <c r="DX140" i="9"/>
  <c r="DP141" i="9"/>
  <c r="DQ141" i="9" s="1"/>
  <c r="DR141" i="9" s="1"/>
  <c r="DS141" i="9"/>
  <c r="DT141" i="9"/>
  <c r="DU141" i="9"/>
  <c r="DV141" i="9"/>
  <c r="DP142" i="9"/>
  <c r="DQ142" i="9" s="1"/>
  <c r="DR142" i="9" s="1"/>
  <c r="DS142" i="9"/>
  <c r="DT142" i="9"/>
  <c r="DU142" i="9"/>
  <c r="DZ142" i="9" s="1"/>
  <c r="DV142" i="9"/>
  <c r="DW142" i="9"/>
  <c r="DY142" i="9" s="1"/>
  <c r="DX142" i="9"/>
  <c r="DP143" i="9"/>
  <c r="DQ143" i="9"/>
  <c r="DR143" i="9"/>
  <c r="DS143" i="9"/>
  <c r="DT143" i="9"/>
  <c r="DU143" i="9"/>
  <c r="DV143" i="9"/>
  <c r="DW143" i="9"/>
  <c r="DY143" i="9" s="1"/>
  <c r="DX143" i="9"/>
  <c r="DZ143" i="9"/>
  <c r="DP144" i="9"/>
  <c r="DQ144" i="9"/>
  <c r="DR144" i="9" s="1"/>
  <c r="DS144" i="9"/>
  <c r="DT144" i="9"/>
  <c r="DU144" i="9"/>
  <c r="DP145" i="9"/>
  <c r="DQ145" i="9" s="1"/>
  <c r="DR145" i="9" s="1"/>
  <c r="DS145" i="9"/>
  <c r="DT145" i="9"/>
  <c r="DU145" i="9"/>
  <c r="DP146" i="9"/>
  <c r="DQ146" i="9" s="1"/>
  <c r="DR146" i="9"/>
  <c r="DS146" i="9"/>
  <c r="DT146" i="9"/>
  <c r="DU146" i="9"/>
  <c r="DW146" i="9"/>
  <c r="DP147" i="9"/>
  <c r="DQ147" i="9"/>
  <c r="DR147" i="9"/>
  <c r="DS147" i="9"/>
  <c r="DT147" i="9"/>
  <c r="DU147" i="9"/>
  <c r="DV147" i="9"/>
  <c r="DW147" i="9"/>
  <c r="DY147" i="9" s="1"/>
  <c r="DX147" i="9"/>
  <c r="DP148" i="9"/>
  <c r="DQ148" i="9" s="1"/>
  <c r="DR148" i="9" s="1"/>
  <c r="DS148" i="9"/>
  <c r="DT148" i="9"/>
  <c r="DU148" i="9"/>
  <c r="DY148" i="9" s="1"/>
  <c r="DV148" i="9"/>
  <c r="DW148" i="9"/>
  <c r="DX148" i="9"/>
  <c r="DZ148" i="9" s="1"/>
  <c r="DP149" i="9"/>
  <c r="DQ149" i="9"/>
  <c r="DR149" i="9" s="1"/>
  <c r="DS149" i="9"/>
  <c r="DT149" i="9"/>
  <c r="DU149" i="9"/>
  <c r="DP150" i="9"/>
  <c r="DQ150" i="9" s="1"/>
  <c r="DR150" i="9" s="1"/>
  <c r="DS150" i="9"/>
  <c r="DT150" i="9"/>
  <c r="DU150" i="9"/>
  <c r="DW150" i="9" s="1"/>
  <c r="DV150" i="9"/>
  <c r="DX150" i="9"/>
  <c r="DY150" i="9"/>
  <c r="DZ150" i="9"/>
  <c r="DP151" i="9"/>
  <c r="DQ151" i="9"/>
  <c r="DR151" i="9"/>
  <c r="DS151" i="9"/>
  <c r="DT151" i="9"/>
  <c r="DU151" i="9"/>
  <c r="DV151" i="9"/>
  <c r="DW151" i="9"/>
  <c r="DX151" i="9"/>
  <c r="DY151" i="9" s="1"/>
  <c r="DP152" i="9"/>
  <c r="DQ152" i="9"/>
  <c r="DR152" i="9" s="1"/>
  <c r="DS152" i="9"/>
  <c r="DT152" i="9"/>
  <c r="DU152" i="9"/>
  <c r="DV152" i="9"/>
  <c r="DW152" i="9"/>
  <c r="DX152" i="9"/>
  <c r="DZ152" i="9" s="1"/>
  <c r="DP153" i="9"/>
  <c r="DQ153" i="9" s="1"/>
  <c r="DR153" i="9" s="1"/>
  <c r="DS153" i="9"/>
  <c r="DT153" i="9"/>
  <c r="DU153" i="9"/>
  <c r="DP154" i="9"/>
  <c r="DQ154" i="9"/>
  <c r="DR154" i="9" s="1"/>
  <c r="DS154" i="9"/>
  <c r="DT154" i="9"/>
  <c r="DU154" i="9"/>
  <c r="DV154" i="9"/>
  <c r="DW154" i="9"/>
  <c r="DZ154" i="9" s="1"/>
  <c r="DX154" i="9"/>
  <c r="DY154" i="9"/>
  <c r="DP155" i="9"/>
  <c r="DQ155" i="9"/>
  <c r="DR155" i="9"/>
  <c r="DS155" i="9"/>
  <c r="DT155" i="9"/>
  <c r="DU155" i="9"/>
  <c r="DX155" i="9" s="1"/>
  <c r="DV155" i="9"/>
  <c r="DW155" i="9"/>
  <c r="DY155" i="9"/>
  <c r="DZ155" i="9"/>
  <c r="DP156" i="9"/>
  <c r="DQ156" i="9" s="1"/>
  <c r="DR156" i="9" s="1"/>
  <c r="DS156" i="9"/>
  <c r="DT156" i="9"/>
  <c r="DU156" i="9"/>
  <c r="DY156" i="9" s="1"/>
  <c r="DV156" i="9"/>
  <c r="DW156" i="9"/>
  <c r="DX156" i="9"/>
  <c r="DZ156" i="9" s="1"/>
  <c r="DP157" i="9"/>
  <c r="DQ157" i="9"/>
  <c r="DR157" i="9"/>
  <c r="DS157" i="9"/>
  <c r="DT157" i="9"/>
  <c r="DU157" i="9"/>
  <c r="DV157" i="9"/>
  <c r="DP158" i="9"/>
  <c r="DQ158" i="9" s="1"/>
  <c r="DR158" i="9"/>
  <c r="DS158" i="9"/>
  <c r="DT158" i="9"/>
  <c r="DU158" i="9"/>
  <c r="DX158" i="9"/>
  <c r="DP159" i="9"/>
  <c r="DQ159" i="9"/>
  <c r="DR159" i="9"/>
  <c r="DS159" i="9"/>
  <c r="DT159" i="9"/>
  <c r="DU159" i="9"/>
  <c r="DV159" i="9" s="1"/>
  <c r="DP160" i="9"/>
  <c r="DQ160" i="9"/>
  <c r="DR160" i="9"/>
  <c r="DS160" i="9"/>
  <c r="DT160" i="9"/>
  <c r="DU160" i="9"/>
  <c r="DV160" i="9"/>
  <c r="DW160" i="9"/>
  <c r="DP161" i="9"/>
  <c r="DQ161" i="9" s="1"/>
  <c r="DR161" i="9" s="1"/>
  <c r="DS161" i="9"/>
  <c r="DT161" i="9"/>
  <c r="DU161" i="9"/>
  <c r="DV161" i="9"/>
  <c r="DP162" i="9"/>
  <c r="DQ162" i="9" s="1"/>
  <c r="DR162" i="9" s="1"/>
  <c r="DS162" i="9"/>
  <c r="DT162" i="9"/>
  <c r="DU162" i="9"/>
  <c r="DP163" i="9"/>
  <c r="DQ163" i="9"/>
  <c r="DR163" i="9"/>
  <c r="DS163" i="9"/>
  <c r="DT163" i="9"/>
  <c r="DU163" i="9"/>
  <c r="DV163" i="9"/>
  <c r="DW163" i="9"/>
  <c r="DY163" i="9" s="1"/>
  <c r="DX163" i="9"/>
  <c r="DP164" i="9"/>
  <c r="DQ164" i="9" s="1"/>
  <c r="DR164" i="9" s="1"/>
  <c r="DS164" i="9"/>
  <c r="DT164" i="9"/>
  <c r="DU164" i="9"/>
  <c r="DV164" i="9"/>
  <c r="DX164" i="9"/>
  <c r="DP165" i="9"/>
  <c r="DQ165" i="9"/>
  <c r="DR165" i="9"/>
  <c r="DS165" i="9"/>
  <c r="DT165" i="9"/>
  <c r="DU165" i="9"/>
  <c r="DV165" i="9" s="1"/>
  <c r="DP166" i="9"/>
  <c r="DQ166" i="9" s="1"/>
  <c r="DR166" i="9" s="1"/>
  <c r="DS166" i="9"/>
  <c r="DT166" i="9"/>
  <c r="DU166" i="9"/>
  <c r="DW166" i="9" s="1"/>
  <c r="DV166" i="9"/>
  <c r="DP167" i="9"/>
  <c r="DQ167" i="9"/>
  <c r="DR167" i="9" s="1"/>
  <c r="DS167" i="9"/>
  <c r="DT167" i="9"/>
  <c r="DU167" i="9"/>
  <c r="DP168" i="9"/>
  <c r="DQ168" i="9" s="1"/>
  <c r="DR168" i="9" s="1"/>
  <c r="DS168" i="9"/>
  <c r="DT168" i="9"/>
  <c r="DU168" i="9"/>
  <c r="DV168" i="9"/>
  <c r="DW168" i="9"/>
  <c r="DX168" i="9"/>
  <c r="DP169" i="9"/>
  <c r="DQ169" i="9"/>
  <c r="DR169" i="9"/>
  <c r="DS169" i="9"/>
  <c r="DT169" i="9"/>
  <c r="DU169" i="9"/>
  <c r="DV169" i="9"/>
  <c r="DP170" i="9"/>
  <c r="DQ170" i="9" s="1"/>
  <c r="DR170" i="9" s="1"/>
  <c r="DS170" i="9"/>
  <c r="DT170" i="9"/>
  <c r="DU170" i="9"/>
  <c r="DP171" i="9"/>
  <c r="DQ171" i="9"/>
  <c r="DR171" i="9"/>
  <c r="DS171" i="9"/>
  <c r="DT171" i="9"/>
  <c r="DU171" i="9"/>
  <c r="DV171" i="9"/>
  <c r="DW171" i="9"/>
  <c r="DX171" i="9"/>
  <c r="DY171" i="9"/>
  <c r="DP172" i="9"/>
  <c r="DQ172" i="9"/>
  <c r="DR172" i="9"/>
  <c r="DS172" i="9"/>
  <c r="DT172" i="9"/>
  <c r="DU172" i="9"/>
  <c r="DX172" i="9" s="1"/>
  <c r="DP173" i="9"/>
  <c r="DQ173" i="9" s="1"/>
  <c r="DR173" i="9" s="1"/>
  <c r="DS173" i="9"/>
  <c r="DT173" i="9"/>
  <c r="DU173" i="9"/>
  <c r="DP174" i="9"/>
  <c r="DQ174" i="9" s="1"/>
  <c r="DR174" i="9"/>
  <c r="DS174" i="9"/>
  <c r="DT174" i="9"/>
  <c r="DU174" i="9"/>
  <c r="DV174" i="9"/>
  <c r="DW174" i="9"/>
  <c r="DY174" i="9" s="1"/>
  <c r="DX174" i="9"/>
  <c r="DP175" i="9"/>
  <c r="DQ175" i="9"/>
  <c r="DR175" i="9"/>
  <c r="DS175" i="9"/>
  <c r="DT175" i="9"/>
  <c r="DU175" i="9"/>
  <c r="DV175" i="9"/>
  <c r="DW175" i="9"/>
  <c r="DX175" i="9"/>
  <c r="DY175" i="9" s="1"/>
  <c r="DZ175" i="9"/>
  <c r="DP176" i="9"/>
  <c r="DQ176" i="9" s="1"/>
  <c r="DR176" i="9" s="1"/>
  <c r="DS176" i="9"/>
  <c r="DT176" i="9"/>
  <c r="DU176" i="9"/>
  <c r="DW176" i="9" s="1"/>
  <c r="DV176" i="9"/>
  <c r="DX176" i="9"/>
  <c r="DY176" i="9" s="1"/>
  <c r="DP177" i="9"/>
  <c r="DQ177" i="9"/>
  <c r="DR177" i="9" s="1"/>
  <c r="DS177" i="9"/>
  <c r="DT177" i="9"/>
  <c r="DU177" i="9"/>
  <c r="DZ177" i="9" s="1"/>
  <c r="DV177" i="9"/>
  <c r="DW177" i="9"/>
  <c r="DY177" i="9" s="1"/>
  <c r="DX177" i="9"/>
  <c r="DP178" i="9"/>
  <c r="DQ178" i="9"/>
  <c r="DR178" i="9" s="1"/>
  <c r="DS178" i="9"/>
  <c r="DT178" i="9"/>
  <c r="DU178" i="9"/>
  <c r="DV178" i="9"/>
  <c r="DP179" i="9"/>
  <c r="DQ179" i="9"/>
  <c r="DR179" i="9" s="1"/>
  <c r="DS179" i="9"/>
  <c r="DT179" i="9"/>
  <c r="DU179" i="9"/>
  <c r="DV179" i="9"/>
  <c r="DW179" i="9"/>
  <c r="DZ179" i="9" s="1"/>
  <c r="DX179" i="9"/>
  <c r="DP180" i="9"/>
  <c r="DQ180" i="9"/>
  <c r="DR180" i="9"/>
  <c r="DS180" i="9"/>
  <c r="DT180" i="9"/>
  <c r="DU180" i="9"/>
  <c r="DV180" i="9"/>
  <c r="DW180" i="9"/>
  <c r="DX180" i="9"/>
  <c r="DY180" i="9"/>
  <c r="DZ180" i="9"/>
  <c r="DP181" i="9"/>
  <c r="DQ181" i="9" s="1"/>
  <c r="DR181" i="9" s="1"/>
  <c r="DS181" i="9"/>
  <c r="DT181" i="9"/>
  <c r="DU181" i="9"/>
  <c r="DX181" i="9" s="1"/>
  <c r="DV181" i="9"/>
  <c r="DP182" i="9"/>
  <c r="DQ182" i="9"/>
  <c r="DR182" i="9"/>
  <c r="DS182" i="9"/>
  <c r="DT182" i="9"/>
  <c r="DU182" i="9"/>
  <c r="DX182" i="9"/>
  <c r="DP183" i="9"/>
  <c r="DQ183" i="9"/>
  <c r="DR183" i="9" s="1"/>
  <c r="DS183" i="9"/>
  <c r="DT183" i="9"/>
  <c r="DU183" i="9"/>
  <c r="DV183" i="9"/>
  <c r="DW183" i="9"/>
  <c r="DX183" i="9"/>
  <c r="DP184" i="9"/>
  <c r="DQ184" i="9" s="1"/>
  <c r="DR184" i="9"/>
  <c r="DS184" i="9"/>
  <c r="DT184" i="9"/>
  <c r="DU184" i="9"/>
  <c r="DV184" i="9" s="1"/>
  <c r="DW184" i="9"/>
  <c r="DP185" i="9"/>
  <c r="DQ185" i="9" s="1"/>
  <c r="DR185" i="9" s="1"/>
  <c r="DS185" i="9"/>
  <c r="DT185" i="9"/>
  <c r="DU185" i="9"/>
  <c r="DX185" i="9"/>
  <c r="DP186" i="9"/>
  <c r="DQ186" i="9"/>
  <c r="DR186" i="9" s="1"/>
  <c r="DS186" i="9"/>
  <c r="DT186" i="9"/>
  <c r="DU186" i="9"/>
  <c r="DV186" i="9"/>
  <c r="DW186" i="9"/>
  <c r="DX186" i="9"/>
  <c r="DZ186" i="9"/>
  <c r="DP187" i="9"/>
  <c r="DQ187" i="9"/>
  <c r="DR187" i="9"/>
  <c r="DS187" i="9"/>
  <c r="DT187" i="9"/>
  <c r="DU187" i="9"/>
  <c r="DV187" i="9" s="1"/>
  <c r="DP188" i="9"/>
  <c r="DQ188" i="9" s="1"/>
  <c r="DR188" i="9"/>
  <c r="DS188" i="9"/>
  <c r="DT188" i="9"/>
  <c r="DU188" i="9"/>
  <c r="DW188" i="9" s="1"/>
  <c r="DP189" i="9"/>
  <c r="DQ189" i="9"/>
  <c r="DR189" i="9"/>
  <c r="DS189" i="9"/>
  <c r="DT189" i="9"/>
  <c r="DU189" i="9"/>
  <c r="DZ189" i="9" s="1"/>
  <c r="DV189" i="9"/>
  <c r="DW189" i="9"/>
  <c r="DX189" i="9"/>
  <c r="DY189" i="9"/>
  <c r="DP190" i="9"/>
  <c r="DQ190" i="9" s="1"/>
  <c r="DR190" i="9" s="1"/>
  <c r="DS190" i="9"/>
  <c r="DT190" i="9"/>
  <c r="DU190" i="9"/>
  <c r="DP191" i="9"/>
  <c r="DQ191" i="9"/>
  <c r="DR191" i="9" s="1"/>
  <c r="DS191" i="9"/>
  <c r="DT191" i="9"/>
  <c r="DU191" i="9"/>
  <c r="DV191" i="9"/>
  <c r="DW191" i="9"/>
  <c r="DX191" i="9"/>
  <c r="DY191" i="9"/>
  <c r="DP192" i="9"/>
  <c r="DQ192" i="9" s="1"/>
  <c r="DR192" i="9" s="1"/>
  <c r="DS192" i="9"/>
  <c r="DT192" i="9"/>
  <c r="DU192" i="9"/>
  <c r="DP193" i="9"/>
  <c r="DQ193" i="9"/>
  <c r="DR193" i="9" s="1"/>
  <c r="DS193" i="9"/>
  <c r="DT193" i="9"/>
  <c r="DU193" i="9"/>
  <c r="DX193" i="9" s="1"/>
  <c r="DV193" i="9"/>
  <c r="DW193" i="9"/>
  <c r="DP194" i="9"/>
  <c r="DQ194" i="9"/>
  <c r="DR194" i="9"/>
  <c r="DS194" i="9"/>
  <c r="DT194" i="9"/>
  <c r="DU194" i="9"/>
  <c r="DV194" i="9"/>
  <c r="DW194" i="9"/>
  <c r="DY194" i="9" s="1"/>
  <c r="DX194" i="9"/>
  <c r="DZ194" i="9" s="1"/>
  <c r="DP195" i="9"/>
  <c r="DQ195" i="9" s="1"/>
  <c r="DR195" i="9" s="1"/>
  <c r="DS195" i="9"/>
  <c r="DT195" i="9"/>
  <c r="DU195" i="9"/>
  <c r="DW195" i="9" s="1"/>
  <c r="DP196" i="9"/>
  <c r="DQ196" i="9"/>
  <c r="DR196" i="9" s="1"/>
  <c r="DS196" i="9"/>
  <c r="DT196" i="9"/>
  <c r="DU196" i="9"/>
  <c r="DX196" i="9"/>
  <c r="DP197" i="9"/>
  <c r="DQ197" i="9"/>
  <c r="DR197" i="9"/>
  <c r="DS197" i="9"/>
  <c r="DT197" i="9"/>
  <c r="DU197" i="9"/>
  <c r="DV197" i="9"/>
  <c r="DW197" i="9"/>
  <c r="DX197" i="9"/>
  <c r="DP198" i="9"/>
  <c r="DQ198" i="9" s="1"/>
  <c r="DR198" i="9" s="1"/>
  <c r="DS198" i="9"/>
  <c r="DT198" i="9"/>
  <c r="DU198" i="9"/>
  <c r="DV198" i="9" s="1"/>
  <c r="DW198" i="9"/>
  <c r="DP199" i="9"/>
  <c r="DQ199" i="9" s="1"/>
  <c r="DR199" i="9" s="1"/>
  <c r="DS199" i="9"/>
  <c r="DT199" i="9"/>
  <c r="DU199" i="9"/>
  <c r="DP200" i="9"/>
  <c r="DQ200" i="9" s="1"/>
  <c r="DR200" i="9" s="1"/>
  <c r="DS200" i="9"/>
  <c r="DT200" i="9"/>
  <c r="DU200" i="9"/>
  <c r="DY200" i="9" s="1"/>
  <c r="DV200" i="9"/>
  <c r="DW200" i="9"/>
  <c r="DZ200" i="9" s="1"/>
  <c r="DX200" i="9"/>
  <c r="DP201" i="9"/>
  <c r="DQ201" i="9"/>
  <c r="DR201" i="9"/>
  <c r="DS201" i="9"/>
  <c r="DT201" i="9"/>
  <c r="DU201" i="9"/>
  <c r="DV201" i="9"/>
  <c r="DP202" i="9"/>
  <c r="DQ202" i="9" s="1"/>
  <c r="DR202" i="9" s="1"/>
  <c r="DS202" i="9"/>
  <c r="DT202" i="9"/>
  <c r="DU202" i="9"/>
  <c r="DX202" i="9"/>
  <c r="DP203" i="9"/>
  <c r="DQ203" i="9"/>
  <c r="DR203" i="9"/>
  <c r="DS203" i="9"/>
  <c r="DT203" i="9"/>
  <c r="DU203" i="9"/>
  <c r="DX203" i="9" s="1"/>
  <c r="DV203" i="9"/>
  <c r="DW203" i="9"/>
  <c r="DP204" i="9"/>
  <c r="DQ204" i="9"/>
  <c r="DR204" i="9" s="1"/>
  <c r="DS204" i="9"/>
  <c r="DT204" i="9"/>
  <c r="DU204" i="9"/>
  <c r="DW204" i="9" s="1"/>
  <c r="DV204" i="9"/>
  <c r="DX204" i="9"/>
  <c r="DZ204" i="9" s="1"/>
  <c r="DY204" i="9"/>
  <c r="DP205" i="9"/>
  <c r="DQ205" i="9"/>
  <c r="DR205" i="9"/>
  <c r="DS205" i="9"/>
  <c r="DT205" i="9"/>
  <c r="DU205" i="9"/>
  <c r="DV205" i="9"/>
  <c r="DW205" i="9"/>
  <c r="DY205" i="9" s="1"/>
  <c r="DX205" i="9"/>
  <c r="DP206" i="9"/>
  <c r="DQ206" i="9" s="1"/>
  <c r="DR206" i="9" s="1"/>
  <c r="DS206" i="9"/>
  <c r="DT206" i="9"/>
  <c r="DU206" i="9"/>
  <c r="DV206" i="9"/>
  <c r="DW206" i="9"/>
  <c r="DP207" i="9"/>
  <c r="DQ207" i="9"/>
  <c r="DR207" i="9" s="1"/>
  <c r="DS207" i="9"/>
  <c r="DT207" i="9"/>
  <c r="DU207" i="9"/>
  <c r="DV207" i="9"/>
  <c r="DW207" i="9"/>
  <c r="DX207" i="9"/>
  <c r="DY207" i="9"/>
  <c r="DZ207" i="9"/>
  <c r="DP208" i="9"/>
  <c r="DQ208" i="9"/>
  <c r="DR208" i="9"/>
  <c r="DS208" i="9"/>
  <c r="DT208" i="9"/>
  <c r="DU208" i="9"/>
  <c r="DV208" i="9"/>
  <c r="DW208" i="9"/>
  <c r="DY208" i="9" s="1"/>
  <c r="DX208" i="9"/>
  <c r="DP209" i="9"/>
  <c r="DQ209" i="9"/>
  <c r="DR209" i="9"/>
  <c r="DS209" i="9"/>
  <c r="DT209" i="9"/>
  <c r="DU209" i="9"/>
  <c r="DP210" i="9"/>
  <c r="DQ210" i="9" s="1"/>
  <c r="DR210" i="9" s="1"/>
  <c r="DS210" i="9"/>
  <c r="DT210" i="9"/>
  <c r="DU210" i="9"/>
  <c r="DX210" i="9"/>
  <c r="DP211" i="9"/>
  <c r="DQ211" i="9"/>
  <c r="DR211" i="9"/>
  <c r="DS211" i="9"/>
  <c r="DT211" i="9"/>
  <c r="DU211" i="9"/>
  <c r="DW211" i="9"/>
  <c r="DX211" i="9"/>
  <c r="DP212" i="9"/>
  <c r="DQ212" i="9"/>
  <c r="DR212" i="9" s="1"/>
  <c r="DS212" i="9"/>
  <c r="DT212" i="9"/>
  <c r="DU212" i="9"/>
  <c r="DX212" i="9"/>
  <c r="DP213" i="9"/>
  <c r="DQ213" i="9" s="1"/>
  <c r="DR213" i="9" s="1"/>
  <c r="DS213" i="9"/>
  <c r="DT213" i="9"/>
  <c r="DU213" i="9"/>
  <c r="DV213" i="9" s="1"/>
  <c r="DP214" i="9"/>
  <c r="DQ214" i="9" s="1"/>
  <c r="DR214" i="9" s="1"/>
  <c r="DS214" i="9"/>
  <c r="DT214" i="9"/>
  <c r="DU214" i="9"/>
  <c r="DY214" i="9" s="1"/>
  <c r="DV214" i="9"/>
  <c r="DW214" i="9"/>
  <c r="DX214" i="9"/>
  <c r="DZ214" i="9"/>
  <c r="DP215" i="9"/>
  <c r="DQ215" i="9"/>
  <c r="DR215" i="9" s="1"/>
  <c r="DS215" i="9"/>
  <c r="DT215" i="9"/>
  <c r="DU215" i="9"/>
  <c r="DV215" i="9"/>
  <c r="DP216" i="9"/>
  <c r="DQ216" i="9" s="1"/>
  <c r="DR216" i="9" s="1"/>
  <c r="DS216" i="9"/>
  <c r="DT216" i="9"/>
  <c r="DU216" i="9"/>
  <c r="DW216" i="9" s="1"/>
  <c r="DV216" i="9"/>
  <c r="DP217" i="9"/>
  <c r="DQ217" i="9"/>
  <c r="DR217" i="9"/>
  <c r="DS217" i="9"/>
  <c r="DT217" i="9"/>
  <c r="DU217" i="9"/>
  <c r="DV217" i="9" s="1"/>
  <c r="DW217" i="9"/>
  <c r="DX217" i="9"/>
  <c r="DP218" i="9"/>
  <c r="DQ218" i="9" s="1"/>
  <c r="DR218" i="9" s="1"/>
  <c r="DS218" i="9"/>
  <c r="DT218" i="9"/>
  <c r="DU218" i="9"/>
  <c r="DW218" i="9" s="1"/>
  <c r="DV218" i="9"/>
  <c r="DX218" i="9"/>
  <c r="DY218" i="9"/>
  <c r="DZ218" i="9"/>
  <c r="DP219" i="9"/>
  <c r="DQ219" i="9"/>
  <c r="DR219" i="9" s="1"/>
  <c r="DS219" i="9"/>
  <c r="DT219" i="9"/>
  <c r="DU219" i="9"/>
  <c r="DZ219" i="9" s="1"/>
  <c r="DV219" i="9"/>
  <c r="DW219" i="9"/>
  <c r="DY219" i="9" s="1"/>
  <c r="DX219" i="9"/>
  <c r="DP220" i="9"/>
  <c r="DQ220" i="9"/>
  <c r="DR220" i="9" s="1"/>
  <c r="DS220" i="9"/>
  <c r="DT220" i="9"/>
  <c r="DU220" i="9"/>
  <c r="DV220" i="9"/>
  <c r="DW220" i="9"/>
  <c r="DP221" i="9"/>
  <c r="DQ221" i="9"/>
  <c r="DR221" i="9" s="1"/>
  <c r="DS221" i="9"/>
  <c r="DT221" i="9"/>
  <c r="DU221" i="9"/>
  <c r="DZ221" i="9" s="1"/>
  <c r="DV221" i="9"/>
  <c r="DW221" i="9"/>
  <c r="DY221" i="9" s="1"/>
  <c r="DX221" i="9"/>
  <c r="DP222" i="9"/>
  <c r="DQ222" i="9"/>
  <c r="DR222" i="9"/>
  <c r="DS222" i="9"/>
  <c r="DT222" i="9"/>
  <c r="DU222" i="9"/>
  <c r="DV222" i="9"/>
  <c r="DW222" i="9"/>
  <c r="DY222" i="9" s="1"/>
  <c r="DX222" i="9"/>
  <c r="DZ222" i="9"/>
  <c r="DP223" i="9"/>
  <c r="DQ223" i="9"/>
  <c r="DR223" i="9" s="1"/>
  <c r="DS223" i="9"/>
  <c r="DT223" i="9"/>
  <c r="DU223" i="9"/>
  <c r="DX223" i="9" s="1"/>
  <c r="DV223" i="9"/>
  <c r="DW223" i="9"/>
  <c r="DZ223" i="9" s="1"/>
  <c r="DY223" i="9"/>
  <c r="DP224" i="9"/>
  <c r="DQ224" i="9" s="1"/>
  <c r="DR224" i="9" s="1"/>
  <c r="DS224" i="9"/>
  <c r="DT224" i="9"/>
  <c r="DU224" i="9"/>
  <c r="DP225" i="9"/>
  <c r="DQ225" i="9"/>
  <c r="DR225" i="9"/>
  <c r="DS225" i="9"/>
  <c r="DT225" i="9"/>
  <c r="DU225" i="9"/>
  <c r="DX225" i="9"/>
  <c r="DP226" i="9"/>
  <c r="DQ226" i="9" s="1"/>
  <c r="DR226" i="9"/>
  <c r="DS226" i="9"/>
  <c r="DT226" i="9"/>
  <c r="DU226" i="9"/>
  <c r="DV226" i="9" s="1"/>
  <c r="DP227" i="9"/>
  <c r="DQ227" i="9" s="1"/>
  <c r="DR227" i="9"/>
  <c r="DS227" i="9"/>
  <c r="DT227" i="9"/>
  <c r="DU227" i="9"/>
  <c r="DV227" i="9" s="1"/>
  <c r="DW227" i="9"/>
  <c r="DX227" i="9"/>
  <c r="DP228" i="9"/>
  <c r="DQ228" i="9" s="1"/>
  <c r="DR228" i="9" s="1"/>
  <c r="DS228" i="9"/>
  <c r="DT228" i="9"/>
  <c r="DU228" i="9"/>
  <c r="DV228" i="9"/>
  <c r="DW228" i="9"/>
  <c r="DX228" i="9"/>
  <c r="DP229" i="9"/>
  <c r="DQ229" i="9"/>
  <c r="DR229" i="9"/>
  <c r="DS229" i="9"/>
  <c r="DT229" i="9"/>
  <c r="DU229" i="9"/>
  <c r="DV229" i="9" s="1"/>
  <c r="DP230" i="9"/>
  <c r="DQ230" i="9" s="1"/>
  <c r="DR230" i="9"/>
  <c r="DS230" i="9"/>
  <c r="DT230" i="9"/>
  <c r="DU230" i="9"/>
  <c r="DV230" i="9"/>
  <c r="DP231" i="9"/>
  <c r="DQ231" i="9"/>
  <c r="DR231" i="9" s="1"/>
  <c r="DS231" i="9"/>
  <c r="DT231" i="9"/>
  <c r="DU231" i="9"/>
  <c r="DX231" i="9" s="1"/>
  <c r="DV231" i="9"/>
  <c r="DW231" i="9"/>
  <c r="DY231" i="9"/>
  <c r="DZ231" i="9"/>
  <c r="DP232" i="9"/>
  <c r="DQ232" i="9" s="1"/>
  <c r="DR232" i="9" s="1"/>
  <c r="DS232" i="9"/>
  <c r="DT232" i="9"/>
  <c r="DU232" i="9"/>
  <c r="DV232" i="9"/>
  <c r="DP233" i="9"/>
  <c r="DQ233" i="9"/>
  <c r="DR233" i="9" s="1"/>
  <c r="DS233" i="9"/>
  <c r="DT233" i="9"/>
  <c r="DU233" i="9"/>
  <c r="DV233" i="9"/>
  <c r="DW233" i="9"/>
  <c r="DX233" i="9"/>
  <c r="DP234" i="9"/>
  <c r="DQ234" i="9" s="1"/>
  <c r="DR234" i="9" s="1"/>
  <c r="DS234" i="9"/>
  <c r="DT234" i="9"/>
  <c r="DU234" i="9"/>
  <c r="DW234" i="9" s="1"/>
  <c r="DP235" i="9"/>
  <c r="DQ235" i="9"/>
  <c r="DR235" i="9" s="1"/>
  <c r="DS235" i="9"/>
  <c r="DT235" i="9"/>
  <c r="DU235" i="9"/>
  <c r="DX235" i="9"/>
  <c r="DP236" i="9"/>
  <c r="DQ236" i="9"/>
  <c r="DR236" i="9"/>
  <c r="DS236" i="9"/>
  <c r="DT236" i="9"/>
  <c r="DU236" i="9"/>
  <c r="DV236" i="9"/>
  <c r="DW236" i="9"/>
  <c r="DX236" i="9"/>
  <c r="DP237" i="9"/>
  <c r="DQ237" i="9"/>
  <c r="DR237" i="9"/>
  <c r="DS237" i="9"/>
  <c r="DT237" i="9"/>
  <c r="DU237" i="9"/>
  <c r="DP238" i="9"/>
  <c r="DQ238" i="9" s="1"/>
  <c r="DR238" i="9" s="1"/>
  <c r="DS238" i="9"/>
  <c r="DT238" i="9"/>
  <c r="DU238" i="9"/>
  <c r="DW238" i="9"/>
  <c r="DP239" i="9"/>
  <c r="DQ239" i="9"/>
  <c r="DR239" i="9" s="1"/>
  <c r="DS239" i="9"/>
  <c r="DT239" i="9"/>
  <c r="DU239" i="9"/>
  <c r="DX239" i="9"/>
  <c r="DP240" i="9"/>
  <c r="DQ240" i="9" s="1"/>
  <c r="DR240" i="9" s="1"/>
  <c r="DS240" i="9"/>
  <c r="DT240" i="9"/>
  <c r="DU240" i="9"/>
  <c r="DX240" i="9"/>
  <c r="DP241" i="9"/>
  <c r="DQ241" i="9" s="1"/>
  <c r="DR241" i="9"/>
  <c r="DS241" i="9"/>
  <c r="DT241" i="9"/>
  <c r="DU241" i="9"/>
  <c r="DV241" i="9" s="1"/>
  <c r="DW241" i="9"/>
  <c r="DX241" i="9"/>
  <c r="DY241" i="9"/>
  <c r="DZ241" i="9"/>
  <c r="DP242" i="9"/>
  <c r="DQ242" i="9" s="1"/>
  <c r="DR242" i="9" s="1"/>
  <c r="DS242" i="9"/>
  <c r="DT242" i="9"/>
  <c r="DU242" i="9"/>
  <c r="DV242" i="9"/>
  <c r="DW242" i="9"/>
  <c r="DX242" i="9"/>
  <c r="DP243" i="9"/>
  <c r="DQ243" i="9"/>
  <c r="DR243" i="9" s="1"/>
  <c r="DS243" i="9"/>
  <c r="DT243" i="9"/>
  <c r="DU243" i="9"/>
  <c r="DP244" i="9"/>
  <c r="DQ244" i="9" s="1"/>
  <c r="DR244" i="9" s="1"/>
  <c r="DS244" i="9"/>
  <c r="DT244" i="9"/>
  <c r="DU244" i="9"/>
  <c r="DV244" i="9"/>
  <c r="DP245" i="9"/>
  <c r="DQ245" i="9"/>
  <c r="DR245" i="9" s="1"/>
  <c r="DS245" i="9"/>
  <c r="DT245" i="9"/>
  <c r="DU245" i="9"/>
  <c r="DP246" i="9"/>
  <c r="DQ246" i="9" s="1"/>
  <c r="DR246" i="9" s="1"/>
  <c r="DS246" i="9"/>
  <c r="DT246" i="9"/>
  <c r="DU246" i="9"/>
  <c r="DV246" i="9"/>
  <c r="DP247" i="9"/>
  <c r="DQ247" i="9"/>
  <c r="DR247" i="9" s="1"/>
  <c r="DS247" i="9"/>
  <c r="DT247" i="9"/>
  <c r="DU247" i="9"/>
  <c r="DZ247" i="9" s="1"/>
  <c r="DV247" i="9"/>
  <c r="DW247" i="9"/>
  <c r="DY247" i="9" s="1"/>
  <c r="DX247" i="9"/>
  <c r="DP248" i="9"/>
  <c r="DQ248" i="9" s="1"/>
  <c r="DR248" i="9" s="1"/>
  <c r="DS248" i="9"/>
  <c r="DT248" i="9"/>
  <c r="DU248" i="9"/>
  <c r="DW248" i="9" s="1"/>
  <c r="DP249" i="9"/>
  <c r="DQ249" i="9" s="1"/>
  <c r="DR249" i="9" s="1"/>
  <c r="DS249" i="9"/>
  <c r="DT249" i="9"/>
  <c r="DU249" i="9"/>
  <c r="DX249" i="9"/>
  <c r="DP250" i="9"/>
  <c r="DQ250" i="9"/>
  <c r="DR250" i="9"/>
  <c r="DS250" i="9"/>
  <c r="DT250" i="9"/>
  <c r="DU250" i="9"/>
  <c r="DV250" i="9"/>
  <c r="DW250" i="9"/>
  <c r="DX250" i="9"/>
  <c r="DP251" i="9"/>
  <c r="DQ251" i="9" s="1"/>
  <c r="DR251" i="9" s="1"/>
  <c r="DS251" i="9"/>
  <c r="DT251" i="9"/>
  <c r="DU251" i="9"/>
  <c r="DX251" i="9" s="1"/>
  <c r="DV251" i="9"/>
  <c r="DW251" i="9"/>
  <c r="DZ251" i="9" s="1"/>
  <c r="DY251" i="9"/>
  <c r="DP252" i="9"/>
  <c r="DQ252" i="9"/>
  <c r="DR252" i="9" s="1"/>
  <c r="DS252" i="9"/>
  <c r="DT252" i="9"/>
  <c r="DU252" i="9"/>
  <c r="DW252" i="9" s="1"/>
  <c r="DP253" i="9"/>
  <c r="DQ253" i="9"/>
  <c r="DR253" i="9"/>
  <c r="DS253" i="9"/>
  <c r="DT253" i="9"/>
  <c r="DU253" i="9"/>
  <c r="DX253" i="9"/>
  <c r="DP254" i="9"/>
  <c r="DQ254" i="9"/>
  <c r="DR254" i="9" s="1"/>
  <c r="DS254" i="9"/>
  <c r="DT254" i="9"/>
  <c r="DU254" i="9"/>
  <c r="DV254" i="9" s="1"/>
  <c r="DW254" i="9"/>
  <c r="DX254" i="9"/>
  <c r="DP255" i="9"/>
  <c r="DQ255" i="9" s="1"/>
  <c r="DR255" i="9" s="1"/>
  <c r="DS255" i="9"/>
  <c r="DT255" i="9"/>
  <c r="DU255" i="9"/>
  <c r="DV255" i="9" s="1"/>
  <c r="DP256" i="9"/>
  <c r="DQ256" i="9" s="1"/>
  <c r="DR256" i="9" s="1"/>
  <c r="DS256" i="9"/>
  <c r="DT256" i="9"/>
  <c r="DU256" i="9"/>
  <c r="DP257" i="9"/>
  <c r="DQ257" i="9"/>
  <c r="DR257" i="9" s="1"/>
  <c r="DS257" i="9"/>
  <c r="DT257" i="9"/>
  <c r="DU257" i="9"/>
  <c r="DX257" i="9"/>
  <c r="DP258" i="9"/>
  <c r="DQ258" i="9" s="1"/>
  <c r="DR258" i="9"/>
  <c r="DS258" i="9"/>
  <c r="DT258" i="9"/>
  <c r="DU258" i="9"/>
  <c r="DP259" i="9"/>
  <c r="DQ259" i="9"/>
  <c r="DR259" i="9"/>
  <c r="DS259" i="9"/>
  <c r="DT259" i="9"/>
  <c r="DU259" i="9"/>
  <c r="DV259" i="9" s="1"/>
  <c r="DP260" i="9"/>
  <c r="DQ260" i="9" s="1"/>
  <c r="DR260" i="9" s="1"/>
  <c r="DS260" i="9"/>
  <c r="DT260" i="9"/>
  <c r="DU260" i="9"/>
  <c r="DV260" i="9"/>
  <c r="DP261" i="9"/>
  <c r="DQ261" i="9" s="1"/>
  <c r="DR261" i="9" s="1"/>
  <c r="DS261" i="9"/>
  <c r="DT261" i="9"/>
  <c r="DU261" i="9"/>
  <c r="DX261" i="9"/>
  <c r="DP262" i="9"/>
  <c r="DQ262" i="9" s="1"/>
  <c r="DR262" i="9"/>
  <c r="DS262" i="9"/>
  <c r="DT262" i="9"/>
  <c r="DU262" i="9"/>
  <c r="DV262" i="9"/>
  <c r="DW262" i="9"/>
  <c r="DY262" i="9" s="1"/>
  <c r="DX262" i="9"/>
  <c r="DP263" i="9"/>
  <c r="DQ263" i="9"/>
  <c r="DR263" i="9" s="1"/>
  <c r="DS263" i="9"/>
  <c r="DT263" i="9"/>
  <c r="DU263" i="9"/>
  <c r="DV263" i="9"/>
  <c r="DW263" i="9"/>
  <c r="DY263" i="9" s="1"/>
  <c r="DX263" i="9"/>
  <c r="DP264" i="9"/>
  <c r="DQ264" i="9"/>
  <c r="DR264" i="9"/>
  <c r="DS264" i="9"/>
  <c r="DT264" i="9"/>
  <c r="DU264" i="9"/>
  <c r="DV264" i="9"/>
  <c r="DW264" i="9"/>
  <c r="DY264" i="9" s="1"/>
  <c r="DX264" i="9"/>
  <c r="DP265" i="9"/>
  <c r="DQ265" i="9"/>
  <c r="DR265" i="9" s="1"/>
  <c r="DS265" i="9"/>
  <c r="DT265" i="9"/>
  <c r="DU265" i="9"/>
  <c r="DP266" i="9"/>
  <c r="DQ266" i="9" s="1"/>
  <c r="DR266" i="9" s="1"/>
  <c r="DS266" i="9"/>
  <c r="DT266" i="9"/>
  <c r="DU266" i="9"/>
  <c r="DV266" i="9"/>
  <c r="DP267" i="9"/>
  <c r="DQ267" i="9"/>
  <c r="DR267" i="9" s="1"/>
  <c r="DS267" i="9"/>
  <c r="DT267" i="9"/>
  <c r="DU267" i="9"/>
  <c r="DP268" i="9"/>
  <c r="DQ268" i="9"/>
  <c r="DR268" i="9" s="1"/>
  <c r="DS268" i="9"/>
  <c r="DT268" i="9"/>
  <c r="DU268" i="9"/>
  <c r="DV268" i="9"/>
  <c r="DP269" i="9"/>
  <c r="DQ269" i="9"/>
  <c r="DR269" i="9" s="1"/>
  <c r="DS269" i="9"/>
  <c r="DT269" i="9"/>
  <c r="DU269" i="9"/>
  <c r="DV269" i="9" s="1"/>
  <c r="DW269" i="9"/>
  <c r="DX269" i="9"/>
  <c r="DY269" i="9"/>
  <c r="DZ269" i="9"/>
  <c r="DP270" i="9"/>
  <c r="DQ270" i="9"/>
  <c r="DR270" i="9"/>
  <c r="DS270" i="9"/>
  <c r="DT270" i="9"/>
  <c r="DU270" i="9"/>
  <c r="DV270" i="9" s="1"/>
  <c r="DP271" i="9"/>
  <c r="DQ271" i="9"/>
  <c r="DR271" i="9" s="1"/>
  <c r="DS271" i="9"/>
  <c r="DT271" i="9"/>
  <c r="DU271" i="9"/>
  <c r="DX271" i="9" s="1"/>
  <c r="DP272" i="9"/>
  <c r="DQ272" i="9" s="1"/>
  <c r="DR272" i="9" s="1"/>
  <c r="DS272" i="9"/>
  <c r="DT272" i="9"/>
  <c r="DU272" i="9"/>
  <c r="DX272" i="9" s="1"/>
  <c r="DW272" i="9"/>
  <c r="DY272" i="9"/>
  <c r="DZ272" i="9"/>
  <c r="DP273" i="9"/>
  <c r="DQ273" i="9"/>
  <c r="DR273" i="9"/>
  <c r="DS273" i="9"/>
  <c r="DT273" i="9"/>
  <c r="DU273" i="9"/>
  <c r="DX273" i="9" s="1"/>
  <c r="DP274" i="9"/>
  <c r="DQ274" i="9"/>
  <c r="DR274" i="9"/>
  <c r="DS274" i="9"/>
  <c r="DT274" i="9"/>
  <c r="DU274" i="9"/>
  <c r="DV274" i="9"/>
  <c r="DX274" i="9"/>
  <c r="DP275" i="9"/>
  <c r="DQ275" i="9"/>
  <c r="DR275" i="9" s="1"/>
  <c r="DS275" i="9"/>
  <c r="DT275" i="9"/>
  <c r="DU275" i="9"/>
  <c r="DV275" i="9" s="1"/>
  <c r="DW275" i="9"/>
  <c r="DX275" i="9"/>
  <c r="DY275" i="9"/>
  <c r="DP276" i="9"/>
  <c r="DQ276" i="9"/>
  <c r="DR276" i="9"/>
  <c r="DS276" i="9"/>
  <c r="DT276" i="9"/>
  <c r="DU276" i="9"/>
  <c r="DX276" i="9" s="1"/>
  <c r="DP277" i="9"/>
  <c r="DQ277" i="9"/>
  <c r="DR277" i="9" s="1"/>
  <c r="DS277" i="9"/>
  <c r="DT277" i="9"/>
  <c r="DU277" i="9"/>
  <c r="DV277" i="9"/>
  <c r="DP278" i="9"/>
  <c r="DQ278" i="9" s="1"/>
  <c r="DR278" i="9" s="1"/>
  <c r="DS278" i="9"/>
  <c r="DT278" i="9"/>
  <c r="DU278" i="9"/>
  <c r="DV278" i="9"/>
  <c r="DW278" i="9"/>
  <c r="DX278" i="9"/>
  <c r="DY278" i="9"/>
  <c r="DP279" i="9"/>
  <c r="DQ279" i="9"/>
  <c r="DR279" i="9"/>
  <c r="DS279" i="9"/>
  <c r="DT279" i="9"/>
  <c r="DU279" i="9"/>
  <c r="DX279" i="9" s="1"/>
  <c r="DP280" i="9"/>
  <c r="DQ280" i="9" s="1"/>
  <c r="DR280" i="9" s="1"/>
  <c r="DS280" i="9"/>
  <c r="DT280" i="9"/>
  <c r="DU280" i="9"/>
  <c r="DX280" i="9" s="1"/>
  <c r="DV280" i="9"/>
  <c r="DW280" i="9"/>
  <c r="DP281" i="9"/>
  <c r="DQ281" i="9"/>
  <c r="DR281" i="9"/>
  <c r="DS281" i="9"/>
  <c r="DT281" i="9"/>
  <c r="DU281" i="9"/>
  <c r="DX281" i="9"/>
  <c r="DP282" i="9"/>
  <c r="DQ282" i="9"/>
  <c r="DR282" i="9" s="1"/>
  <c r="DS282" i="9"/>
  <c r="DT282" i="9"/>
  <c r="DU282" i="9"/>
  <c r="DV282" i="9" s="1"/>
  <c r="DW282" i="9"/>
  <c r="DP283" i="9"/>
  <c r="DQ283" i="9" s="1"/>
  <c r="DR283" i="9" s="1"/>
  <c r="DS283" i="9"/>
  <c r="DT283" i="9"/>
  <c r="DU283" i="9"/>
  <c r="DV283" i="9" s="1"/>
  <c r="DW283" i="9"/>
  <c r="DX283" i="9"/>
  <c r="DP284" i="9"/>
  <c r="DQ284" i="9" s="1"/>
  <c r="DR284" i="9" s="1"/>
  <c r="DS284" i="9"/>
  <c r="DT284" i="9"/>
  <c r="DU284" i="9"/>
  <c r="DV284" i="9" s="1"/>
  <c r="DX284" i="9"/>
  <c r="DP285" i="9"/>
  <c r="DQ285" i="9" s="1"/>
  <c r="DR285" i="9" s="1"/>
  <c r="DS285" i="9"/>
  <c r="DT285" i="9"/>
  <c r="DU285" i="9"/>
  <c r="DX285" i="9" s="1"/>
  <c r="DP286" i="9"/>
  <c r="DQ286" i="9" s="1"/>
  <c r="DR286" i="9"/>
  <c r="DS286" i="9"/>
  <c r="DT286" i="9"/>
  <c r="DU286" i="9"/>
  <c r="DV286" i="9" s="1"/>
  <c r="DX286" i="9"/>
  <c r="DP287" i="9"/>
  <c r="DQ287" i="9"/>
  <c r="DR287" i="9" s="1"/>
  <c r="DS287" i="9"/>
  <c r="DT287" i="9"/>
  <c r="DU287" i="9"/>
  <c r="DV287" i="9"/>
  <c r="DW287" i="9"/>
  <c r="DX287" i="9"/>
  <c r="DY287" i="9"/>
  <c r="DZ287" i="9"/>
  <c r="DP288" i="9"/>
  <c r="DQ288" i="9"/>
  <c r="DR288" i="9" s="1"/>
  <c r="DS288" i="9"/>
  <c r="DT288" i="9"/>
  <c r="DU288" i="9"/>
  <c r="DV288" i="9" s="1"/>
  <c r="DP289" i="9"/>
  <c r="DQ289" i="9"/>
  <c r="DR289" i="9" s="1"/>
  <c r="DS289" i="9"/>
  <c r="DT289" i="9"/>
  <c r="DU289" i="9"/>
  <c r="DP290" i="9"/>
  <c r="DQ290" i="9" s="1"/>
  <c r="DR290" i="9" s="1"/>
  <c r="DS290" i="9"/>
  <c r="DT290" i="9"/>
  <c r="DU290" i="9"/>
  <c r="DV290" i="9"/>
  <c r="DP291" i="9"/>
  <c r="DQ291" i="9"/>
  <c r="DR291" i="9" s="1"/>
  <c r="DS291" i="9"/>
  <c r="DT291" i="9"/>
  <c r="DU291" i="9"/>
  <c r="DV291" i="9"/>
  <c r="DW291" i="9"/>
  <c r="DX291" i="9"/>
  <c r="DY291" i="9" s="1"/>
  <c r="DP292" i="9"/>
  <c r="DQ292" i="9" s="1"/>
  <c r="DR292" i="9" s="1"/>
  <c r="DS292" i="9"/>
  <c r="DT292" i="9"/>
  <c r="DU292" i="9"/>
  <c r="DV292" i="9"/>
  <c r="DW292" i="9"/>
  <c r="DZ292" i="9" s="1"/>
  <c r="DX292" i="9"/>
  <c r="DP293" i="9"/>
  <c r="DQ293" i="9" s="1"/>
  <c r="DR293" i="9" s="1"/>
  <c r="DS293" i="9"/>
  <c r="DT293" i="9"/>
  <c r="DU293" i="9"/>
  <c r="DP294" i="9"/>
  <c r="DQ294" i="9" s="1"/>
  <c r="DR294" i="9" s="1"/>
  <c r="DS294" i="9"/>
  <c r="DT294" i="9"/>
  <c r="DU294" i="9"/>
  <c r="DP295" i="9"/>
  <c r="DQ295" i="9"/>
  <c r="DR295" i="9"/>
  <c r="DS295" i="9"/>
  <c r="DT295" i="9"/>
  <c r="DU295" i="9"/>
  <c r="DV295" i="9"/>
  <c r="DW295" i="9"/>
  <c r="DX295" i="9"/>
  <c r="DY295" i="9"/>
  <c r="DP296" i="9"/>
  <c r="DQ296" i="9" s="1"/>
  <c r="DR296" i="9" s="1"/>
  <c r="DS296" i="9"/>
  <c r="DT296" i="9"/>
  <c r="DU296" i="9"/>
  <c r="DW296" i="9" s="1"/>
  <c r="DV296" i="9"/>
  <c r="DX296" i="9"/>
  <c r="DY296" i="9"/>
  <c r="DZ296" i="9"/>
  <c r="DP297" i="9"/>
  <c r="DQ297" i="9" s="1"/>
  <c r="DR297" i="9" s="1"/>
  <c r="DS297" i="9"/>
  <c r="DT297" i="9"/>
  <c r="DU297" i="9"/>
  <c r="DV297" i="9" s="1"/>
  <c r="DW297" i="9"/>
  <c r="DX297" i="9"/>
  <c r="DZ297" i="9" s="1"/>
  <c r="DY297" i="9"/>
  <c r="DP298" i="9"/>
  <c r="DQ298" i="9"/>
  <c r="DR298" i="9"/>
  <c r="DS298" i="9"/>
  <c r="DT298" i="9"/>
  <c r="DU298" i="9"/>
  <c r="DV298" i="9" s="1"/>
  <c r="DW298" i="9"/>
  <c r="DP299" i="9"/>
  <c r="DQ299" i="9"/>
  <c r="DR299" i="9" s="1"/>
  <c r="DS299" i="9"/>
  <c r="DT299" i="9"/>
  <c r="DU299" i="9"/>
  <c r="DV299" i="9" s="1"/>
  <c r="DW299" i="9"/>
  <c r="DX299" i="9"/>
  <c r="DY299" i="9"/>
  <c r="DZ299" i="9"/>
  <c r="DP300" i="9"/>
  <c r="DQ300" i="9" s="1"/>
  <c r="DR300" i="9"/>
  <c r="DS300" i="9"/>
  <c r="DT300" i="9"/>
  <c r="DU300" i="9"/>
  <c r="DX300" i="9" s="1"/>
  <c r="DW300" i="9"/>
  <c r="DP301" i="9"/>
  <c r="DQ301" i="9"/>
  <c r="DR301" i="9"/>
  <c r="DS301" i="9"/>
  <c r="DT301" i="9"/>
  <c r="DU301" i="9"/>
  <c r="DX301" i="9"/>
  <c r="DP302" i="9"/>
  <c r="DQ302" i="9"/>
  <c r="DR302" i="9"/>
  <c r="DS302" i="9"/>
  <c r="DT302" i="9"/>
  <c r="DU302" i="9"/>
  <c r="DV302" i="9"/>
  <c r="DW302" i="9"/>
  <c r="DX302" i="9"/>
  <c r="DP303" i="9"/>
  <c r="DQ303" i="9"/>
  <c r="DR303" i="9"/>
  <c r="DS303" i="9"/>
  <c r="DT303" i="9"/>
  <c r="DU303" i="9"/>
  <c r="DX303" i="9" s="1"/>
  <c r="DW303" i="9"/>
  <c r="DP304" i="9"/>
  <c r="DQ304" i="9" s="1"/>
  <c r="DR304" i="9" s="1"/>
  <c r="DS304" i="9"/>
  <c r="DT304" i="9"/>
  <c r="DU304" i="9"/>
  <c r="DW304" i="9" s="1"/>
  <c r="DX304" i="9"/>
  <c r="DP305" i="9"/>
  <c r="DQ305" i="9" s="1"/>
  <c r="DR305" i="9" s="1"/>
  <c r="DS305" i="9"/>
  <c r="DT305" i="9"/>
  <c r="DU305" i="9"/>
  <c r="DV305" i="9"/>
  <c r="DW305" i="9"/>
  <c r="DX305" i="9"/>
  <c r="DZ305" i="9"/>
  <c r="DP306" i="9"/>
  <c r="DQ306" i="9" s="1"/>
  <c r="DR306" i="9" s="1"/>
  <c r="DS306" i="9"/>
  <c r="DT306" i="9"/>
  <c r="DU306" i="9"/>
  <c r="DV306" i="9"/>
  <c r="DP307" i="9"/>
  <c r="DQ307" i="9" s="1"/>
  <c r="DR307" i="9"/>
  <c r="DS307" i="9"/>
  <c r="DT307" i="9"/>
  <c r="DU307" i="9"/>
  <c r="DV307" i="9" s="1"/>
  <c r="DW307" i="9"/>
  <c r="DP308" i="9"/>
  <c r="DQ308" i="9"/>
  <c r="DR308" i="9"/>
  <c r="DS308" i="9"/>
  <c r="DT308" i="9"/>
  <c r="DU308" i="9"/>
  <c r="DV308" i="9"/>
  <c r="DW308" i="9"/>
  <c r="DZ308" i="9" s="1"/>
  <c r="DX308" i="9"/>
  <c r="DY308" i="9"/>
  <c r="DP309" i="9"/>
  <c r="DQ309" i="9" s="1"/>
  <c r="DR309" i="9" s="1"/>
  <c r="DS309" i="9"/>
  <c r="DT309" i="9"/>
  <c r="DU309" i="9"/>
  <c r="DW309" i="9" s="1"/>
  <c r="DV309" i="9"/>
  <c r="DP310" i="9"/>
  <c r="DQ310" i="9"/>
  <c r="DR310" i="9" s="1"/>
  <c r="DS310" i="9"/>
  <c r="DT310" i="9"/>
  <c r="DU310" i="9"/>
  <c r="DZ310" i="9" s="1"/>
  <c r="DW310" i="9"/>
  <c r="DX310" i="9"/>
  <c r="DY310" i="9"/>
  <c r="DP311" i="9"/>
  <c r="DQ311" i="9"/>
  <c r="DR311" i="9" s="1"/>
  <c r="DS311" i="9"/>
  <c r="DT311" i="9"/>
  <c r="DU311" i="9"/>
  <c r="DV311" i="9"/>
  <c r="DW311" i="9"/>
  <c r="DP312" i="9"/>
  <c r="DQ312" i="9" s="1"/>
  <c r="DR312" i="9" s="1"/>
  <c r="DS312" i="9"/>
  <c r="DT312" i="9"/>
  <c r="DU312" i="9"/>
  <c r="DW312" i="9" s="1"/>
  <c r="DP313" i="9"/>
  <c r="DQ313" i="9" s="1"/>
  <c r="DR313" i="9"/>
  <c r="DS313" i="9"/>
  <c r="DT313" i="9"/>
  <c r="DU313" i="9"/>
  <c r="DV313" i="9"/>
  <c r="DW313" i="9"/>
  <c r="DX313" i="9"/>
  <c r="DZ313" i="9" s="1"/>
  <c r="DY313" i="9"/>
  <c r="DP314" i="9"/>
  <c r="DQ314" i="9" s="1"/>
  <c r="DR314" i="9" s="1"/>
  <c r="DS314" i="9"/>
  <c r="DT314" i="9"/>
  <c r="DU314" i="9"/>
  <c r="DX314" i="9" s="1"/>
  <c r="DP315" i="9"/>
  <c r="DQ315" i="9"/>
  <c r="DR315" i="9"/>
  <c r="DS315" i="9"/>
  <c r="DT315" i="9"/>
  <c r="DU315" i="9"/>
  <c r="DW315" i="9" s="1"/>
  <c r="DV315" i="9"/>
  <c r="DX315" i="9"/>
  <c r="DY315" i="9"/>
  <c r="DZ315" i="9"/>
  <c r="DP316" i="9"/>
  <c r="DQ316" i="9"/>
  <c r="DR316" i="9" s="1"/>
  <c r="DS316" i="9"/>
  <c r="DT316" i="9"/>
  <c r="DU316" i="9"/>
  <c r="DV316" i="9"/>
  <c r="DW316" i="9"/>
  <c r="DX316" i="9"/>
  <c r="DP317" i="9"/>
  <c r="DQ317" i="9" s="1"/>
  <c r="DR317" i="9" s="1"/>
  <c r="DS317" i="9"/>
  <c r="DT317" i="9"/>
  <c r="DU317" i="9"/>
  <c r="DW317" i="9" s="1"/>
  <c r="DV317" i="9"/>
  <c r="DP318" i="9"/>
  <c r="DQ318" i="9"/>
  <c r="DR318" i="9" s="1"/>
  <c r="DS318" i="9"/>
  <c r="DT318" i="9"/>
  <c r="DU318" i="9"/>
  <c r="DV318" i="9" s="1"/>
  <c r="DW318" i="9"/>
  <c r="DX318" i="9"/>
  <c r="DY318" i="9"/>
  <c r="DZ318" i="9"/>
  <c r="DP319" i="9"/>
  <c r="DQ319" i="9"/>
  <c r="DR319" i="9" s="1"/>
  <c r="DS319" i="9"/>
  <c r="DT319" i="9"/>
  <c r="DU319" i="9"/>
  <c r="DY319" i="9" s="1"/>
  <c r="DV319" i="9"/>
  <c r="DW319" i="9"/>
  <c r="DX319" i="9"/>
  <c r="DZ319" i="9" s="1"/>
  <c r="DP320" i="9"/>
  <c r="DQ320" i="9"/>
  <c r="DR320" i="9"/>
  <c r="DS320" i="9"/>
  <c r="DT320" i="9"/>
  <c r="DU320" i="9"/>
  <c r="DP321" i="9"/>
  <c r="DQ321" i="9" s="1"/>
  <c r="DR321" i="9" s="1"/>
  <c r="DS321" i="9"/>
  <c r="DT321" i="9"/>
  <c r="DU321" i="9"/>
  <c r="DV321" i="9"/>
  <c r="DW321" i="9"/>
  <c r="DY321" i="9" s="1"/>
  <c r="DX321" i="9"/>
  <c r="DP322" i="9"/>
  <c r="DQ322" i="9"/>
  <c r="DR322" i="9"/>
  <c r="DS322" i="9"/>
  <c r="DT322" i="9"/>
  <c r="DU322" i="9"/>
  <c r="DV322" i="9"/>
  <c r="DW322" i="9"/>
  <c r="DX322" i="9"/>
  <c r="DY322" i="9"/>
  <c r="DZ322" i="9"/>
  <c r="DP323" i="9"/>
  <c r="DQ323" i="9" s="1"/>
  <c r="DR323" i="9" s="1"/>
  <c r="DS323" i="9"/>
  <c r="DT323" i="9"/>
  <c r="DU323" i="9"/>
  <c r="DV323" i="9"/>
  <c r="DX323" i="9"/>
  <c r="DP324" i="9"/>
  <c r="DQ324" i="9" s="1"/>
  <c r="DR324" i="9" s="1"/>
  <c r="DS324" i="9"/>
  <c r="DT324" i="9"/>
  <c r="DU324" i="9"/>
  <c r="DW324" i="9"/>
  <c r="DP325" i="9"/>
  <c r="DQ325" i="9" s="1"/>
  <c r="DR325" i="9" s="1"/>
  <c r="DS325" i="9"/>
  <c r="DT325" i="9"/>
  <c r="DU325" i="9"/>
  <c r="DV325" i="9" s="1"/>
  <c r="DW325" i="9"/>
  <c r="DX325" i="9"/>
  <c r="DZ325" i="9"/>
  <c r="DP326" i="9"/>
  <c r="DQ326" i="9"/>
  <c r="DR326" i="9" s="1"/>
  <c r="DS326" i="9"/>
  <c r="DT326" i="9"/>
  <c r="DU326" i="9"/>
  <c r="DP327" i="9"/>
  <c r="DQ327" i="9" s="1"/>
  <c r="DR327" i="9"/>
  <c r="DS327" i="9"/>
  <c r="DT327" i="9"/>
  <c r="DU327" i="9"/>
  <c r="DV327" i="9"/>
  <c r="DW327" i="9"/>
  <c r="DX327" i="9"/>
  <c r="DY327" i="9"/>
  <c r="DZ327" i="9"/>
  <c r="DP328" i="9"/>
  <c r="DQ328" i="9" s="1"/>
  <c r="DR328" i="9" s="1"/>
  <c r="DS328" i="9"/>
  <c r="DT328" i="9"/>
  <c r="DU328" i="9"/>
  <c r="DX328" i="9" s="1"/>
  <c r="DV328" i="9"/>
  <c r="DW328" i="9"/>
  <c r="DY328" i="9"/>
  <c r="DZ328" i="9"/>
  <c r="DP329" i="9"/>
  <c r="DQ329" i="9"/>
  <c r="DR329" i="9"/>
  <c r="DS329" i="9"/>
  <c r="DT329" i="9"/>
  <c r="DU329" i="9"/>
  <c r="DW329" i="9" s="1"/>
  <c r="DV329" i="9"/>
  <c r="DX329" i="9"/>
  <c r="DY329" i="9" s="1"/>
  <c r="DZ329" i="9"/>
  <c r="DP330" i="9"/>
  <c r="DQ330" i="9"/>
  <c r="DR330" i="9" s="1"/>
  <c r="DS330" i="9"/>
  <c r="DT330" i="9"/>
  <c r="DU330" i="9"/>
  <c r="DV330" i="9"/>
  <c r="DW330" i="9"/>
  <c r="DX330" i="9"/>
  <c r="DP331" i="9"/>
  <c r="DQ331" i="9" s="1"/>
  <c r="DR331" i="9" s="1"/>
  <c r="DS331" i="9"/>
  <c r="DT331" i="9"/>
  <c r="DU331" i="9"/>
  <c r="DP332" i="9"/>
  <c r="DQ332" i="9"/>
  <c r="DR332" i="9" s="1"/>
  <c r="DS332" i="9"/>
  <c r="DT332" i="9"/>
  <c r="DU332" i="9"/>
  <c r="DV332" i="9" s="1"/>
  <c r="DX332" i="9"/>
  <c r="DP333" i="9"/>
  <c r="DQ333" i="9"/>
  <c r="DR333" i="9" s="1"/>
  <c r="DS333" i="9"/>
  <c r="DT333" i="9"/>
  <c r="DU333" i="9"/>
  <c r="DY333" i="9" s="1"/>
  <c r="DV333" i="9"/>
  <c r="DW333" i="9"/>
  <c r="DX333" i="9"/>
  <c r="DZ333" i="9" s="1"/>
  <c r="DP334" i="9"/>
  <c r="DQ334" i="9"/>
  <c r="DR334" i="9"/>
  <c r="DS334" i="9"/>
  <c r="DT334" i="9"/>
  <c r="DU334" i="9"/>
  <c r="DP335" i="9"/>
  <c r="DQ335" i="9" s="1"/>
  <c r="DR335" i="9" s="1"/>
  <c r="DS335" i="9"/>
  <c r="DT335" i="9"/>
  <c r="DU335" i="9"/>
  <c r="DV335" i="9"/>
  <c r="DW335" i="9"/>
  <c r="DY335" i="9" s="1"/>
  <c r="DX335" i="9"/>
  <c r="DZ335" i="9"/>
  <c r="DP336" i="9"/>
  <c r="DQ336" i="9"/>
  <c r="DR336" i="9"/>
  <c r="DS336" i="9"/>
  <c r="DT336" i="9"/>
  <c r="DU336" i="9"/>
  <c r="DV336" i="9"/>
  <c r="DW336" i="9"/>
  <c r="DX336" i="9"/>
  <c r="DY336" i="9"/>
  <c r="DZ336" i="9"/>
  <c r="DP337" i="9"/>
  <c r="DQ337" i="9"/>
  <c r="DR337" i="9"/>
  <c r="DS337" i="9"/>
  <c r="DT337" i="9"/>
  <c r="DU337" i="9"/>
  <c r="DV337" i="9" s="1"/>
  <c r="DX337" i="9"/>
  <c r="DP338" i="9"/>
  <c r="DQ338" i="9" s="1"/>
  <c r="DR338" i="9" s="1"/>
  <c r="DS338" i="9"/>
  <c r="DT338" i="9"/>
  <c r="DU338" i="9"/>
  <c r="DV338" i="9"/>
  <c r="DP339" i="9"/>
  <c r="DQ339" i="9"/>
  <c r="DR339" i="9" s="1"/>
  <c r="DS339" i="9"/>
  <c r="DT339" i="9"/>
  <c r="DU339" i="9"/>
  <c r="DV339" i="9"/>
  <c r="DW339" i="9"/>
  <c r="DY339" i="9" s="1"/>
  <c r="DX339" i="9"/>
  <c r="DP340" i="9"/>
  <c r="DQ340" i="9"/>
  <c r="DR340" i="9" s="1"/>
  <c r="DS340" i="9"/>
  <c r="DT340" i="9"/>
  <c r="DU340" i="9"/>
  <c r="DP341" i="9"/>
  <c r="DQ341" i="9" s="1"/>
  <c r="DR341" i="9" s="1"/>
  <c r="DS341" i="9"/>
  <c r="DT341" i="9"/>
  <c r="DU341" i="9"/>
  <c r="DV341" i="9"/>
  <c r="DW341" i="9"/>
  <c r="DX341" i="9"/>
  <c r="DP342" i="9"/>
  <c r="DQ342" i="9" s="1"/>
  <c r="DR342" i="9"/>
  <c r="DS342" i="9"/>
  <c r="DT342" i="9"/>
  <c r="DU342" i="9"/>
  <c r="DV342" i="9"/>
  <c r="DP343" i="9"/>
  <c r="DQ343" i="9"/>
  <c r="DR343" i="9" s="1"/>
  <c r="DS343" i="9"/>
  <c r="DT343" i="9"/>
  <c r="DU343" i="9"/>
  <c r="DV343" i="9"/>
  <c r="DW343" i="9"/>
  <c r="DX343" i="9"/>
  <c r="DY343" i="9"/>
  <c r="DZ343" i="9"/>
  <c r="DP344" i="9"/>
  <c r="DQ344" i="9"/>
  <c r="DR344" i="9"/>
  <c r="DS344" i="9"/>
  <c r="DT344" i="9"/>
  <c r="DU344" i="9"/>
  <c r="DV344" i="9"/>
  <c r="DW344" i="9"/>
  <c r="DX344" i="9"/>
  <c r="DY344" i="9"/>
  <c r="DZ344" i="9"/>
  <c r="DP345" i="9"/>
  <c r="DQ345" i="9"/>
  <c r="DR345" i="9"/>
  <c r="DS345" i="9"/>
  <c r="DT345" i="9"/>
  <c r="DU345" i="9"/>
  <c r="DV345" i="9" s="1"/>
  <c r="DP346" i="9"/>
  <c r="DQ346" i="9"/>
  <c r="DR346" i="9"/>
  <c r="DS346" i="9"/>
  <c r="DT346" i="9"/>
  <c r="DU346" i="9"/>
  <c r="DP347" i="9"/>
  <c r="DQ347" i="9" s="1"/>
  <c r="DR347" i="9" s="1"/>
  <c r="DS347" i="9"/>
  <c r="DT347" i="9"/>
  <c r="DU347" i="9"/>
  <c r="DV347" i="9" s="1"/>
  <c r="DP348" i="9"/>
  <c r="DQ348" i="9"/>
  <c r="DR348" i="9"/>
  <c r="DS348" i="9"/>
  <c r="DT348" i="9"/>
  <c r="DU348" i="9"/>
  <c r="DV348" i="9"/>
  <c r="DW348" i="9"/>
  <c r="DX348" i="9"/>
  <c r="DY348" i="9"/>
  <c r="DZ348" i="9"/>
  <c r="DP349" i="9"/>
  <c r="DQ349" i="9" s="1"/>
  <c r="DR349" i="9" s="1"/>
  <c r="DS349" i="9"/>
  <c r="DT349" i="9"/>
  <c r="DU349" i="9"/>
  <c r="DV349" i="9"/>
  <c r="DW349" i="9"/>
  <c r="DX349" i="9"/>
  <c r="DP350" i="9"/>
  <c r="DQ350" i="9" s="1"/>
  <c r="DR350" i="9"/>
  <c r="DS350" i="9"/>
  <c r="DT350" i="9"/>
  <c r="DU350" i="9"/>
  <c r="DV350" i="9" s="1"/>
  <c r="DP351" i="9"/>
  <c r="DQ351" i="9" s="1"/>
  <c r="DR351" i="9" s="1"/>
  <c r="DS351" i="9"/>
  <c r="DT351" i="9"/>
  <c r="DU351" i="9"/>
  <c r="DW351" i="9" s="1"/>
  <c r="DV351" i="9"/>
  <c r="DX351" i="9"/>
  <c r="DY351" i="9"/>
  <c r="DZ351" i="9"/>
  <c r="DP352" i="9"/>
  <c r="DQ352" i="9"/>
  <c r="DR352" i="9"/>
  <c r="DS352" i="9"/>
  <c r="DT352" i="9"/>
  <c r="DU352" i="9"/>
  <c r="DV352" i="9"/>
  <c r="DW352" i="9"/>
  <c r="DX352" i="9"/>
  <c r="DY352" i="9"/>
  <c r="DP353" i="9"/>
  <c r="DQ353" i="9" s="1"/>
  <c r="DR353" i="9" s="1"/>
  <c r="DS353" i="9"/>
  <c r="DT353" i="9"/>
  <c r="DU353" i="9"/>
  <c r="DW353" i="9" s="1"/>
  <c r="DV353" i="9"/>
  <c r="DP354" i="9"/>
  <c r="DQ354" i="9" s="1"/>
  <c r="DR354" i="9" s="1"/>
  <c r="DS354" i="9"/>
  <c r="DT354" i="9"/>
  <c r="DU354" i="9"/>
  <c r="DX354" i="9" s="1"/>
  <c r="DW354" i="9"/>
  <c r="DY354" i="9" s="1"/>
  <c r="DZ354" i="9"/>
  <c r="DP355" i="9"/>
  <c r="DQ355" i="9" s="1"/>
  <c r="DR355" i="9" s="1"/>
  <c r="DS355" i="9"/>
  <c r="DT355" i="9"/>
  <c r="DU355" i="9"/>
  <c r="DV355" i="9"/>
  <c r="DW355" i="9"/>
  <c r="DX355" i="9"/>
  <c r="DZ355" i="9" s="1"/>
  <c r="DY355" i="9"/>
  <c r="DP356" i="9"/>
  <c r="DQ356" i="9"/>
  <c r="DR356" i="9" s="1"/>
  <c r="DS356" i="9"/>
  <c r="DT356" i="9"/>
  <c r="DU356" i="9"/>
  <c r="DX356" i="9" s="1"/>
  <c r="DV356" i="9"/>
  <c r="DW356" i="9"/>
  <c r="DY356" i="9" s="1"/>
  <c r="DZ356" i="9"/>
  <c r="DP357" i="9"/>
  <c r="DQ357" i="9" s="1"/>
  <c r="DR357" i="9" s="1"/>
  <c r="DS357" i="9"/>
  <c r="DT357" i="9"/>
  <c r="DU357" i="9"/>
  <c r="DV357" i="9"/>
  <c r="DW357" i="9"/>
  <c r="DX357" i="9"/>
  <c r="DP358" i="9"/>
  <c r="DQ358" i="9"/>
  <c r="DR358" i="9"/>
  <c r="DS358" i="9"/>
  <c r="DT358" i="9"/>
  <c r="DU358" i="9"/>
  <c r="DW358" i="9" s="1"/>
  <c r="DX358" i="9"/>
  <c r="DY358" i="9"/>
  <c r="DP359" i="9"/>
  <c r="DQ359" i="9" s="1"/>
  <c r="DR359" i="9" s="1"/>
  <c r="DS359" i="9"/>
  <c r="DT359" i="9"/>
  <c r="DU359" i="9"/>
  <c r="DW359" i="9" s="1"/>
  <c r="DY359" i="9" s="1"/>
  <c r="DV359" i="9"/>
  <c r="DX359" i="9"/>
  <c r="DP360" i="9"/>
  <c r="DQ360" i="9"/>
  <c r="DR360" i="9" s="1"/>
  <c r="DS360" i="9"/>
  <c r="DT360" i="9"/>
  <c r="DU360" i="9"/>
  <c r="DV360" i="9" s="1"/>
  <c r="DW360" i="9"/>
  <c r="DX360" i="9"/>
  <c r="DY360" i="9"/>
  <c r="DZ360" i="9"/>
  <c r="DP361" i="9"/>
  <c r="DQ361" i="9" s="1"/>
  <c r="DR361" i="9" s="1"/>
  <c r="DS361" i="9"/>
  <c r="DT361" i="9"/>
  <c r="DU361" i="9"/>
  <c r="DV361" i="9" s="1"/>
  <c r="DW361" i="9"/>
  <c r="DP362" i="9"/>
  <c r="DQ362" i="9"/>
  <c r="DR362" i="9"/>
  <c r="DS362" i="9"/>
  <c r="DT362" i="9"/>
  <c r="DU362" i="9"/>
  <c r="DW362" i="9" s="1"/>
  <c r="DV362" i="9"/>
  <c r="DP363" i="9"/>
  <c r="DQ363" i="9" s="1"/>
  <c r="DR363" i="9" s="1"/>
  <c r="DS363" i="9"/>
  <c r="DT363" i="9"/>
  <c r="DU363" i="9"/>
  <c r="DV363" i="9"/>
  <c r="DW363" i="9"/>
  <c r="DX363" i="9"/>
  <c r="DY363" i="9"/>
  <c r="DZ363" i="9"/>
  <c r="DP364" i="9"/>
  <c r="DQ364" i="9"/>
  <c r="DR364" i="9" s="1"/>
  <c r="DS364" i="9"/>
  <c r="DT364" i="9"/>
  <c r="DU364" i="9"/>
  <c r="DV364" i="9"/>
  <c r="DW364" i="9"/>
  <c r="DX364" i="9"/>
  <c r="DY364" i="9"/>
  <c r="DZ364" i="9"/>
  <c r="DP365" i="9"/>
  <c r="DQ365" i="9"/>
  <c r="DR365" i="9" s="1"/>
  <c r="DS365" i="9"/>
  <c r="DT365" i="9"/>
  <c r="DU365" i="9"/>
  <c r="DV365" i="9"/>
  <c r="DX365" i="9"/>
  <c r="DP366" i="9"/>
  <c r="DQ366" i="9"/>
  <c r="DR366" i="9"/>
  <c r="DS366" i="9"/>
  <c r="DT366" i="9"/>
  <c r="DU366" i="9"/>
  <c r="DV366" i="9"/>
  <c r="DX366" i="9"/>
  <c r="DP367" i="9"/>
  <c r="DQ367" i="9"/>
  <c r="DR367" i="9" s="1"/>
  <c r="DS367" i="9"/>
  <c r="DT367" i="9"/>
  <c r="DU367" i="9"/>
  <c r="DV367" i="9"/>
  <c r="DW367" i="9"/>
  <c r="DX367" i="9"/>
  <c r="DY367" i="9"/>
  <c r="DZ367" i="9"/>
  <c r="DP368" i="9"/>
  <c r="DQ368" i="9"/>
  <c r="DR368" i="9" s="1"/>
  <c r="DS368" i="9"/>
  <c r="DT368" i="9"/>
  <c r="DU368" i="9"/>
  <c r="DP369" i="9"/>
  <c r="DQ369" i="9"/>
  <c r="DR369" i="9"/>
  <c r="DS369" i="9"/>
  <c r="DT369" i="9"/>
  <c r="DU369" i="9"/>
  <c r="DV369" i="9"/>
  <c r="DW369" i="9"/>
  <c r="DX369" i="9"/>
  <c r="DP370" i="9"/>
  <c r="DQ370" i="9"/>
  <c r="DR370" i="9"/>
  <c r="DS370" i="9"/>
  <c r="DT370" i="9"/>
  <c r="DU370" i="9"/>
  <c r="DV370" i="9"/>
  <c r="DP371" i="9"/>
  <c r="DQ371" i="9" s="1"/>
  <c r="DR371" i="9" s="1"/>
  <c r="DS371" i="9"/>
  <c r="DT371" i="9"/>
  <c r="DU371" i="9"/>
  <c r="DV371" i="9"/>
  <c r="DW371" i="9"/>
  <c r="DX371" i="9"/>
  <c r="DY371" i="9"/>
  <c r="DZ371" i="9"/>
  <c r="DP372" i="9"/>
  <c r="DQ372" i="9"/>
  <c r="DR372" i="9"/>
  <c r="DS372" i="9"/>
  <c r="DT372" i="9"/>
  <c r="DU372" i="9"/>
  <c r="DV372" i="9"/>
  <c r="DW372" i="9"/>
  <c r="DX372" i="9"/>
  <c r="DY372" i="9"/>
  <c r="DZ372" i="9"/>
  <c r="DP373" i="9"/>
  <c r="DQ373" i="9"/>
  <c r="DR373" i="9"/>
  <c r="DS373" i="9"/>
  <c r="DT373" i="9"/>
  <c r="DU373" i="9"/>
  <c r="DV373" i="9" s="1"/>
  <c r="DP374" i="9"/>
  <c r="DQ374" i="9"/>
  <c r="DR374" i="9"/>
  <c r="DS374" i="9"/>
  <c r="DT374" i="9"/>
  <c r="DU374" i="9"/>
  <c r="DX374" i="9" s="1"/>
  <c r="DP375" i="9"/>
  <c r="DQ375" i="9" s="1"/>
  <c r="DR375" i="9" s="1"/>
  <c r="DS375" i="9"/>
  <c r="DT375" i="9"/>
  <c r="DU375" i="9"/>
  <c r="DV375" i="9"/>
  <c r="DW375" i="9"/>
  <c r="DX375" i="9"/>
  <c r="DZ375" i="9"/>
  <c r="DP376" i="9"/>
  <c r="DQ376" i="9"/>
  <c r="DR376" i="9"/>
  <c r="DS376" i="9"/>
  <c r="DT376" i="9"/>
  <c r="DU376" i="9"/>
  <c r="DV376" i="9"/>
  <c r="DW376" i="9"/>
  <c r="DX376" i="9"/>
  <c r="DY376" i="9"/>
  <c r="DZ376" i="9"/>
  <c r="DP377" i="9"/>
  <c r="DQ377" i="9" s="1"/>
  <c r="DR377" i="9"/>
  <c r="DS377" i="9"/>
  <c r="DT377" i="9"/>
  <c r="DU377" i="9"/>
  <c r="DV377" i="9"/>
  <c r="DW377" i="9"/>
  <c r="DX377" i="9"/>
  <c r="DP378" i="9"/>
  <c r="DQ378" i="9"/>
  <c r="DR378" i="9"/>
  <c r="DS378" i="9"/>
  <c r="DT378" i="9"/>
  <c r="DU378" i="9"/>
  <c r="DW378" i="9" s="1"/>
  <c r="DX378" i="9"/>
  <c r="DY378" i="9"/>
  <c r="DP379" i="9"/>
  <c r="DQ379" i="9" s="1"/>
  <c r="DR379" i="9" s="1"/>
  <c r="DS379" i="9"/>
  <c r="DT379" i="9"/>
  <c r="DU379" i="9"/>
  <c r="DW379" i="9" s="1"/>
  <c r="DV379" i="9"/>
  <c r="DP380" i="9"/>
  <c r="DQ380" i="9"/>
  <c r="DR380" i="9" s="1"/>
  <c r="DS380" i="9"/>
  <c r="DT380" i="9"/>
  <c r="DU380" i="9"/>
  <c r="DV380" i="9"/>
  <c r="DW380" i="9"/>
  <c r="DX380" i="9"/>
  <c r="DY380" i="9"/>
  <c r="DP381" i="9"/>
  <c r="DQ381" i="9" s="1"/>
  <c r="DR381" i="9" s="1"/>
  <c r="DS381" i="9"/>
  <c r="DT381" i="9"/>
  <c r="DU381" i="9"/>
  <c r="DV381" i="9" s="1"/>
  <c r="DW381" i="9"/>
  <c r="DX381" i="9"/>
  <c r="DP382" i="9"/>
  <c r="DQ382" i="9"/>
  <c r="DR382" i="9" s="1"/>
  <c r="DS382" i="9"/>
  <c r="DT382" i="9"/>
  <c r="DU382" i="9"/>
  <c r="DX382" i="9" s="1"/>
  <c r="DV382" i="9"/>
  <c r="DP383" i="9"/>
  <c r="DQ383" i="9"/>
  <c r="DR383" i="9" s="1"/>
  <c r="DS383" i="9"/>
  <c r="DT383" i="9"/>
  <c r="DU383" i="9"/>
  <c r="DV383" i="9"/>
  <c r="DW383" i="9"/>
  <c r="DX383" i="9"/>
  <c r="DY383" i="9" s="1"/>
  <c r="DZ383" i="9"/>
  <c r="DP384" i="9"/>
  <c r="DQ384" i="9"/>
  <c r="DR384" i="9"/>
  <c r="DS384" i="9"/>
  <c r="DT384" i="9"/>
  <c r="DU384" i="9"/>
  <c r="DX384" i="9" s="1"/>
  <c r="DV384" i="9"/>
  <c r="DW384" i="9"/>
  <c r="DY384" i="9"/>
  <c r="DZ384" i="9"/>
  <c r="DP385" i="9"/>
  <c r="DQ385" i="9"/>
  <c r="DR385" i="9" s="1"/>
  <c r="DS385" i="9"/>
  <c r="DT385" i="9"/>
  <c r="DU385" i="9"/>
  <c r="DX385" i="9" s="1"/>
  <c r="DV385" i="9"/>
  <c r="DW385" i="9"/>
  <c r="DP386" i="9"/>
  <c r="DQ386" i="9"/>
  <c r="DR386" i="9"/>
  <c r="DS386" i="9"/>
  <c r="DT386" i="9"/>
  <c r="DU386" i="9"/>
  <c r="DW386" i="9" s="1"/>
  <c r="DV386" i="9"/>
  <c r="DX386" i="9"/>
  <c r="DY386" i="9"/>
  <c r="DZ386" i="9"/>
  <c r="DP387" i="9"/>
  <c r="DQ387" i="9" s="1"/>
  <c r="DR387" i="9" s="1"/>
  <c r="DS387" i="9"/>
  <c r="DT387" i="9"/>
  <c r="DU387" i="9"/>
  <c r="DV387" i="9"/>
  <c r="DW387" i="9"/>
  <c r="DX387" i="9"/>
  <c r="DY387" i="9"/>
  <c r="DP388" i="9"/>
  <c r="DQ388" i="9" s="1"/>
  <c r="DR388" i="9" s="1"/>
  <c r="DS388" i="9"/>
  <c r="DT388" i="9"/>
  <c r="DU388" i="9"/>
  <c r="DV388" i="9" s="1"/>
  <c r="DW388" i="9"/>
  <c r="DX388" i="9"/>
  <c r="DZ388" i="9" s="1"/>
  <c r="DY388" i="9"/>
  <c r="DP389" i="9"/>
  <c r="DQ389" i="9" s="1"/>
  <c r="DR389" i="9" s="1"/>
  <c r="DS389" i="9"/>
  <c r="DT389" i="9"/>
  <c r="DU389" i="9"/>
  <c r="DV389" i="9"/>
  <c r="DW389" i="9"/>
  <c r="DP390" i="9"/>
  <c r="DQ390" i="9"/>
  <c r="DR390" i="9" s="1"/>
  <c r="DS390" i="9"/>
  <c r="DT390" i="9"/>
  <c r="DU390" i="9"/>
  <c r="DW390" i="9" s="1"/>
  <c r="DV390" i="9"/>
  <c r="DX390" i="9"/>
  <c r="DY390" i="9"/>
  <c r="DZ390" i="9"/>
  <c r="DP391" i="9"/>
  <c r="DQ391" i="9" s="1"/>
  <c r="DR391" i="9" s="1"/>
  <c r="DS391" i="9"/>
  <c r="DT391" i="9"/>
  <c r="DU391" i="9"/>
  <c r="DV391" i="9"/>
  <c r="DW391" i="9"/>
  <c r="DX391" i="9"/>
  <c r="DY391" i="9"/>
  <c r="DZ391" i="9"/>
  <c r="DP392" i="9"/>
  <c r="DQ392" i="9"/>
  <c r="DR392" i="9" s="1"/>
  <c r="DS392" i="9"/>
  <c r="DT392" i="9"/>
  <c r="DU392" i="9"/>
  <c r="DV392" i="9"/>
  <c r="DW392" i="9"/>
  <c r="DX392" i="9"/>
  <c r="DY392" i="9"/>
  <c r="DZ392" i="9"/>
  <c r="DP393" i="9"/>
  <c r="DQ393" i="9"/>
  <c r="DR393" i="9"/>
  <c r="DS393" i="9"/>
  <c r="DT393" i="9"/>
  <c r="DU393" i="9"/>
  <c r="DV393" i="9"/>
  <c r="DX393" i="9"/>
  <c r="DP394" i="9"/>
  <c r="DQ394" i="9"/>
  <c r="DR394" i="9"/>
  <c r="DS394" i="9"/>
  <c r="DT394" i="9"/>
  <c r="DU394" i="9"/>
  <c r="DV394" i="9" s="1"/>
  <c r="DX394" i="9"/>
  <c r="DP395" i="9"/>
  <c r="DQ395" i="9"/>
  <c r="DR395" i="9" s="1"/>
  <c r="DS395" i="9"/>
  <c r="DT395" i="9"/>
  <c r="DU395" i="9"/>
  <c r="DV395" i="9" s="1"/>
  <c r="DP396" i="9"/>
  <c r="DQ396" i="9"/>
  <c r="DR396" i="9" s="1"/>
  <c r="DS396" i="9"/>
  <c r="DT396" i="9"/>
  <c r="DU396" i="9"/>
  <c r="DP397" i="9"/>
  <c r="DQ397" i="9"/>
  <c r="DR397" i="9" s="1"/>
  <c r="DS397" i="9"/>
  <c r="DT397" i="9"/>
  <c r="DU397" i="9"/>
  <c r="DV397" i="9"/>
  <c r="DW397" i="9"/>
  <c r="DX397" i="9"/>
  <c r="DP398" i="9"/>
  <c r="DQ398" i="9"/>
  <c r="DR398" i="9" s="1"/>
  <c r="DS398" i="9"/>
  <c r="DT398" i="9"/>
  <c r="DU398" i="9"/>
  <c r="DV398" i="9"/>
  <c r="DP399" i="9"/>
  <c r="DQ399" i="9"/>
  <c r="DR399" i="9" s="1"/>
  <c r="DS399" i="9"/>
  <c r="DT399" i="9"/>
  <c r="DU399" i="9"/>
  <c r="DX399" i="9" s="1"/>
  <c r="DV399" i="9"/>
  <c r="DW399" i="9"/>
  <c r="DZ399" i="9" s="1"/>
  <c r="DP400" i="9"/>
  <c r="DQ400" i="9"/>
  <c r="DR400" i="9" s="1"/>
  <c r="DS400" i="9"/>
  <c r="DT400" i="9"/>
  <c r="DU400" i="9"/>
  <c r="DV400" i="9"/>
  <c r="DW400" i="9"/>
  <c r="DX400" i="9"/>
  <c r="DY400" i="9"/>
  <c r="DZ400" i="9"/>
  <c r="DP401" i="9"/>
  <c r="DQ401" i="9"/>
  <c r="DR401" i="9"/>
  <c r="DS401" i="9"/>
  <c r="DT401" i="9"/>
  <c r="DU401" i="9"/>
  <c r="DV401" i="9" s="1"/>
  <c r="DW401" i="9"/>
  <c r="DP402" i="9"/>
  <c r="DQ402" i="9"/>
  <c r="DR402" i="9"/>
  <c r="DS402" i="9"/>
  <c r="DT402" i="9"/>
  <c r="DU402" i="9"/>
  <c r="DX402" i="9" s="1"/>
  <c r="DP403" i="9"/>
  <c r="DQ403" i="9" s="1"/>
  <c r="DR403" i="9" s="1"/>
  <c r="DS403" i="9"/>
  <c r="DT403" i="9"/>
  <c r="DU403" i="9"/>
  <c r="DV403" i="9"/>
  <c r="DW403" i="9"/>
  <c r="DX403" i="9"/>
  <c r="DZ403" i="9"/>
  <c r="DP404" i="9"/>
  <c r="DQ404" i="9"/>
  <c r="DR404" i="9"/>
  <c r="DS404" i="9"/>
  <c r="DT404" i="9"/>
  <c r="DU404" i="9"/>
  <c r="DV404" i="9"/>
  <c r="DW404" i="9"/>
  <c r="DX404" i="9"/>
  <c r="DY404" i="9" s="1"/>
  <c r="DZ404" i="9"/>
  <c r="DP405" i="9"/>
  <c r="DQ405" i="9" s="1"/>
  <c r="DR405" i="9"/>
  <c r="DS405" i="9"/>
  <c r="DT405" i="9"/>
  <c r="DU405" i="9"/>
  <c r="DW405" i="9" s="1"/>
  <c r="DV405" i="9"/>
  <c r="DP406" i="9"/>
  <c r="DQ406" i="9"/>
  <c r="DR406" i="9"/>
  <c r="DS406" i="9"/>
  <c r="DT406" i="9"/>
  <c r="DU406" i="9"/>
  <c r="DW406" i="9" s="1"/>
  <c r="DV406" i="9"/>
  <c r="DX406" i="9"/>
  <c r="DY406" i="9"/>
  <c r="DZ406" i="9"/>
  <c r="DP407" i="9"/>
  <c r="DQ407" i="9" s="1"/>
  <c r="DR407" i="9" s="1"/>
  <c r="DS407" i="9"/>
  <c r="DT407" i="9"/>
  <c r="DU407" i="9"/>
  <c r="DW407" i="9" s="1"/>
  <c r="DV407" i="9"/>
  <c r="DX407" i="9"/>
  <c r="DY407" i="9"/>
  <c r="DP408" i="9"/>
  <c r="DQ408" i="9"/>
  <c r="DR408" i="9"/>
  <c r="DS408" i="9"/>
  <c r="DT408" i="9"/>
  <c r="DU408" i="9"/>
  <c r="DV408" i="9"/>
  <c r="DW408" i="9"/>
  <c r="DX408" i="9"/>
  <c r="DY408" i="9"/>
  <c r="DP409" i="9"/>
  <c r="DQ409" i="9"/>
  <c r="DR409" i="9"/>
  <c r="DS409" i="9"/>
  <c r="DT409" i="9"/>
  <c r="DU409" i="9"/>
  <c r="DV409" i="9"/>
  <c r="DW409" i="9"/>
  <c r="DX409" i="9"/>
  <c r="DP410" i="9"/>
  <c r="DQ410" i="9"/>
  <c r="DR410" i="9" s="1"/>
  <c r="DS410" i="9"/>
  <c r="DT410" i="9"/>
  <c r="DU410" i="9"/>
  <c r="DX410" i="9" s="1"/>
  <c r="DV410" i="9"/>
  <c r="DW410" i="9"/>
  <c r="DZ410" i="9" s="1"/>
  <c r="DY410" i="9"/>
  <c r="DP411" i="9"/>
  <c r="DQ411" i="9"/>
  <c r="DR411" i="9" s="1"/>
  <c r="DS411" i="9"/>
  <c r="DT411" i="9"/>
  <c r="DU411" i="9"/>
  <c r="DV411" i="9"/>
  <c r="DW411" i="9"/>
  <c r="DY411" i="9" s="1"/>
  <c r="DX411" i="9"/>
  <c r="DP412" i="9"/>
  <c r="DQ412" i="9"/>
  <c r="DR412" i="9"/>
  <c r="DS412" i="9"/>
  <c r="DT412" i="9"/>
  <c r="DU412" i="9"/>
  <c r="DX412" i="9" s="1"/>
  <c r="DV412" i="9"/>
  <c r="DW412" i="9"/>
  <c r="DY412" i="9"/>
  <c r="DZ412" i="9"/>
  <c r="DP413" i="9"/>
  <c r="DQ413" i="9"/>
  <c r="DR413" i="9" s="1"/>
  <c r="DS413" i="9"/>
  <c r="DT413" i="9"/>
  <c r="DU413" i="9"/>
  <c r="DV413" i="9"/>
  <c r="DP414" i="9"/>
  <c r="DQ414" i="9"/>
  <c r="DR414" i="9"/>
  <c r="DS414" i="9"/>
  <c r="DT414" i="9"/>
  <c r="DU414" i="9"/>
  <c r="DW414" i="9" s="1"/>
  <c r="DV414" i="9"/>
  <c r="DP415" i="9"/>
  <c r="DQ415" i="9" s="1"/>
  <c r="DR415" i="9" s="1"/>
  <c r="DS415" i="9"/>
  <c r="DT415" i="9"/>
  <c r="DU415" i="9"/>
  <c r="DV415" i="9"/>
  <c r="DW415" i="9"/>
  <c r="DX415" i="9"/>
  <c r="DY415" i="9"/>
  <c r="DP416" i="9"/>
  <c r="DQ416" i="9"/>
  <c r="DR416" i="9"/>
  <c r="DS416" i="9"/>
  <c r="DT416" i="9"/>
  <c r="DU416" i="9"/>
  <c r="DV416" i="9" s="1"/>
  <c r="DW416" i="9"/>
  <c r="DX416" i="9"/>
  <c r="DY416" i="9" s="1"/>
  <c r="DP417" i="9"/>
  <c r="DQ417" i="9"/>
  <c r="DR417" i="9"/>
  <c r="DS417" i="9"/>
  <c r="DT417" i="9"/>
  <c r="DU417" i="9"/>
  <c r="DW417" i="9" s="1"/>
  <c r="DV417" i="9"/>
  <c r="DP418" i="9"/>
  <c r="DQ418" i="9"/>
  <c r="DR418" i="9"/>
  <c r="DS418" i="9"/>
  <c r="DT418" i="9"/>
  <c r="DU418" i="9"/>
  <c r="DW418" i="9" s="1"/>
  <c r="DV418" i="9"/>
  <c r="DX418" i="9"/>
  <c r="DY418" i="9"/>
  <c r="DZ418" i="9"/>
  <c r="DP419" i="9"/>
  <c r="DQ419" i="9" s="1"/>
  <c r="DR419" i="9" s="1"/>
  <c r="DS419" i="9"/>
  <c r="DT419" i="9"/>
  <c r="DU419" i="9"/>
  <c r="DV419" i="9"/>
  <c r="DW419" i="9"/>
  <c r="DX419" i="9"/>
  <c r="DZ419" i="9" s="1"/>
  <c r="DY419" i="9"/>
  <c r="DP420" i="9"/>
  <c r="DQ420" i="9"/>
  <c r="DR420" i="9"/>
  <c r="DS420" i="9"/>
  <c r="DT420" i="9"/>
  <c r="DU420" i="9"/>
  <c r="DV420" i="9"/>
  <c r="DW420" i="9"/>
  <c r="DX420" i="9"/>
  <c r="DY420" i="9"/>
  <c r="DZ420" i="9"/>
  <c r="DP421" i="9"/>
  <c r="DQ421" i="9"/>
  <c r="DR421" i="9" s="1"/>
  <c r="DS421" i="9"/>
  <c r="DT421" i="9"/>
  <c r="DU421" i="9"/>
  <c r="DV421" i="9"/>
  <c r="DX421" i="9"/>
  <c r="DP422" i="9"/>
  <c r="DQ422" i="9"/>
  <c r="DR422" i="9"/>
  <c r="DS422" i="9"/>
  <c r="DT422" i="9"/>
  <c r="DU422" i="9"/>
  <c r="DV422" i="9"/>
  <c r="DX422" i="9"/>
  <c r="DP423" i="9"/>
  <c r="DQ423" i="9"/>
  <c r="DR423" i="9" s="1"/>
  <c r="DS423" i="9"/>
  <c r="DT423" i="9"/>
  <c r="DU423" i="9"/>
  <c r="DY423" i="9" s="1"/>
  <c r="DV423" i="9"/>
  <c r="DW423" i="9"/>
  <c r="DX423" i="9"/>
  <c r="DP424" i="9"/>
  <c r="DQ424" i="9"/>
  <c r="DR424" i="9" s="1"/>
  <c r="DS424" i="9"/>
  <c r="DT424" i="9"/>
  <c r="DU424" i="9"/>
  <c r="DP425" i="9"/>
  <c r="DQ425" i="9"/>
  <c r="DR425" i="9"/>
  <c r="DS425" i="9"/>
  <c r="DT425" i="9"/>
  <c r="DU425" i="9"/>
  <c r="DV425" i="9"/>
  <c r="DW425" i="9"/>
  <c r="DX425" i="9"/>
  <c r="DP426" i="9"/>
  <c r="DQ426" i="9"/>
  <c r="DR426" i="9" s="1"/>
  <c r="DS426" i="9"/>
  <c r="DT426" i="9"/>
  <c r="DU426" i="9"/>
  <c r="DV426" i="9"/>
  <c r="DP427" i="9"/>
  <c r="DQ427" i="9" s="1"/>
  <c r="DR427" i="9" s="1"/>
  <c r="DS427" i="9"/>
  <c r="DT427" i="9"/>
  <c r="DU427" i="9"/>
  <c r="DW427" i="9" s="1"/>
  <c r="DV427" i="9"/>
  <c r="DP428" i="9"/>
  <c r="DQ428" i="9"/>
  <c r="DR428" i="9"/>
  <c r="DS428" i="9"/>
  <c r="DT428" i="9"/>
  <c r="DU428" i="9"/>
  <c r="DV428" i="9"/>
  <c r="DW428" i="9"/>
  <c r="DX428" i="9"/>
  <c r="DZ428" i="9" s="1"/>
  <c r="DY428" i="9"/>
  <c r="DP429" i="9"/>
  <c r="DQ429" i="9"/>
  <c r="DR429" i="9" s="1"/>
  <c r="DS429" i="9"/>
  <c r="DT429" i="9"/>
  <c r="DU429" i="9"/>
  <c r="DV429" i="9"/>
  <c r="DW429" i="9"/>
  <c r="DP430" i="9"/>
  <c r="DQ430" i="9"/>
  <c r="DR430" i="9"/>
  <c r="DS430" i="9"/>
  <c r="DT430" i="9"/>
  <c r="DU430" i="9"/>
  <c r="DX430" i="9" s="1"/>
  <c r="DP431" i="9"/>
  <c r="DQ431" i="9" s="1"/>
  <c r="DR431" i="9" s="1"/>
  <c r="DS431" i="9"/>
  <c r="DT431" i="9"/>
  <c r="DU431" i="9"/>
  <c r="DW431" i="9" s="1"/>
  <c r="DV431" i="9"/>
  <c r="DP432" i="9"/>
  <c r="DQ432" i="9"/>
  <c r="DR432" i="9" s="1"/>
  <c r="DS432" i="9"/>
  <c r="DT432" i="9"/>
  <c r="DU432" i="9"/>
  <c r="DV432" i="9"/>
  <c r="DW432" i="9"/>
  <c r="DX432" i="9"/>
  <c r="DY432" i="9"/>
  <c r="DZ432" i="9"/>
  <c r="DP433" i="9"/>
  <c r="DQ433" i="9" s="1"/>
  <c r="DR433" i="9"/>
  <c r="DS433" i="9"/>
  <c r="DT433" i="9"/>
  <c r="DU433" i="9"/>
  <c r="DP434" i="9"/>
  <c r="DQ434" i="9"/>
  <c r="DR434" i="9"/>
  <c r="DS434" i="9"/>
  <c r="DT434" i="9"/>
  <c r="DU434" i="9"/>
  <c r="DW434" i="9" s="1"/>
  <c r="DP435" i="9"/>
  <c r="DQ435" i="9" s="1"/>
  <c r="DR435" i="9" s="1"/>
  <c r="DS435" i="9"/>
  <c r="DT435" i="9"/>
  <c r="DU435" i="9"/>
  <c r="DW435" i="9" s="1"/>
  <c r="DX435" i="9"/>
  <c r="DY435" i="9"/>
  <c r="DZ435" i="9"/>
  <c r="DP436" i="9"/>
  <c r="DQ436" i="9"/>
  <c r="DR436" i="9" s="1"/>
  <c r="DS436" i="9"/>
  <c r="DT436" i="9"/>
  <c r="DU436" i="9"/>
  <c r="DV436" i="9"/>
  <c r="DW436" i="9"/>
  <c r="DX436" i="9"/>
  <c r="DY436" i="9"/>
  <c r="DP437" i="9"/>
  <c r="DQ437" i="9"/>
  <c r="DR437" i="9"/>
  <c r="DS437" i="9"/>
  <c r="DT437" i="9"/>
  <c r="DU437" i="9"/>
  <c r="DV437" i="9" s="1"/>
  <c r="DP438" i="9"/>
  <c r="DQ438" i="9"/>
  <c r="DR438" i="9" s="1"/>
  <c r="DS438" i="9"/>
  <c r="DT438" i="9"/>
  <c r="DU438" i="9"/>
  <c r="DX438" i="9" s="1"/>
  <c r="DW438" i="9"/>
  <c r="DY438" i="9"/>
  <c r="DZ438" i="9"/>
  <c r="DP439" i="9"/>
  <c r="DQ439" i="9"/>
  <c r="DR439" i="9" s="1"/>
  <c r="DS439" i="9"/>
  <c r="DT439" i="9"/>
  <c r="DU439" i="9"/>
  <c r="DV439" i="9"/>
  <c r="DW439" i="9"/>
  <c r="DY439" i="9" s="1"/>
  <c r="DX439" i="9"/>
  <c r="DP440" i="9"/>
  <c r="DQ440" i="9"/>
  <c r="DR440" i="9"/>
  <c r="DS440" i="9"/>
  <c r="DT440" i="9"/>
  <c r="DU440" i="9"/>
  <c r="DX440" i="9" s="1"/>
  <c r="DV440" i="9"/>
  <c r="DW440" i="9"/>
  <c r="DY440" i="9"/>
  <c r="DZ440" i="9"/>
  <c r="DP441" i="9"/>
  <c r="DQ441" i="9" s="1"/>
  <c r="DR441" i="9" s="1"/>
  <c r="DS441" i="9"/>
  <c r="DT441" i="9"/>
  <c r="DU441" i="9"/>
  <c r="DV441" i="9"/>
  <c r="DW441" i="9"/>
  <c r="DX441" i="9"/>
  <c r="DP442" i="9"/>
  <c r="DQ442" i="9"/>
  <c r="DR442" i="9"/>
  <c r="DS442" i="9"/>
  <c r="DT442" i="9"/>
  <c r="DU442" i="9"/>
  <c r="DW442" i="9" s="1"/>
  <c r="DP443" i="9"/>
  <c r="DQ443" i="9" s="1"/>
  <c r="DR443" i="9" s="1"/>
  <c r="DS443" i="9"/>
  <c r="DT443" i="9"/>
  <c r="DU443" i="9"/>
  <c r="DW443" i="9" s="1"/>
  <c r="DV443" i="9"/>
  <c r="DP444" i="9"/>
  <c r="DQ444" i="9"/>
  <c r="DR444" i="9" s="1"/>
  <c r="DS444" i="9"/>
  <c r="DT444" i="9"/>
  <c r="DU444" i="9"/>
  <c r="DV444" i="9" s="1"/>
  <c r="DW444" i="9"/>
  <c r="DX444" i="9"/>
  <c r="DY444" i="9"/>
  <c r="DZ444" i="9"/>
  <c r="DP445" i="9"/>
  <c r="DQ445" i="9" s="1"/>
  <c r="DR445" i="9" s="1"/>
  <c r="DS445" i="9"/>
  <c r="DT445" i="9"/>
  <c r="DU445" i="9"/>
  <c r="DP446" i="9"/>
  <c r="DQ446" i="9"/>
  <c r="DR446" i="9"/>
  <c r="DS446" i="9"/>
  <c r="DT446" i="9"/>
  <c r="DU446" i="9"/>
  <c r="DW446" i="9" s="1"/>
  <c r="DV446" i="9"/>
  <c r="DP447" i="9"/>
  <c r="DQ447" i="9" s="1"/>
  <c r="DR447" i="9" s="1"/>
  <c r="DS447" i="9"/>
  <c r="DT447" i="9"/>
  <c r="DU447" i="9"/>
  <c r="DV447" i="9"/>
  <c r="DW447" i="9"/>
  <c r="DX447" i="9"/>
  <c r="DY447" i="9"/>
  <c r="DZ447" i="9"/>
  <c r="DP448" i="9"/>
  <c r="DQ448" i="9"/>
  <c r="DR448" i="9" s="1"/>
  <c r="DS448" i="9"/>
  <c r="DT448" i="9"/>
  <c r="DU448" i="9"/>
  <c r="DV448" i="9"/>
  <c r="DW448" i="9"/>
  <c r="DX448" i="9"/>
  <c r="DY448" i="9"/>
  <c r="DZ448" i="9"/>
  <c r="DP449" i="9"/>
  <c r="DQ449" i="9"/>
  <c r="DR449" i="9"/>
  <c r="DS449" i="9"/>
  <c r="DT449" i="9"/>
  <c r="DU449" i="9"/>
  <c r="DV449" i="9"/>
  <c r="DX449" i="9"/>
  <c r="DP450" i="9"/>
  <c r="DQ450" i="9"/>
  <c r="DR450" i="9" s="1"/>
  <c r="DS450" i="9"/>
  <c r="DT450" i="9"/>
  <c r="DU450" i="9"/>
  <c r="DV450" i="9"/>
  <c r="DX450" i="9"/>
  <c r="DP451" i="9"/>
  <c r="DQ451" i="9"/>
  <c r="DR451" i="9" s="1"/>
  <c r="DS451" i="9"/>
  <c r="DT451" i="9"/>
  <c r="DU451" i="9"/>
  <c r="DY451" i="9" s="1"/>
  <c r="DV451" i="9"/>
  <c r="DW451" i="9"/>
  <c r="DX451" i="9"/>
  <c r="DP452" i="9"/>
  <c r="DQ452" i="9"/>
  <c r="DR452" i="9" s="1"/>
  <c r="DS452" i="9"/>
  <c r="DT452" i="9"/>
  <c r="DU452" i="9"/>
  <c r="DP453" i="9"/>
  <c r="DQ453" i="9"/>
  <c r="DR453" i="9"/>
  <c r="DS453" i="9"/>
  <c r="DT453" i="9"/>
  <c r="DU453" i="9"/>
  <c r="DV453" i="9"/>
  <c r="DW453" i="9"/>
  <c r="DX453" i="9"/>
  <c r="DP454" i="9"/>
  <c r="DQ454" i="9"/>
  <c r="DR454" i="9"/>
  <c r="DS454" i="9"/>
  <c r="DT454" i="9"/>
  <c r="DU454" i="9"/>
  <c r="DV454" i="9"/>
  <c r="DP455" i="9"/>
  <c r="DQ455" i="9" s="1"/>
  <c r="DR455" i="9" s="1"/>
  <c r="DS455" i="9"/>
  <c r="DT455" i="9"/>
  <c r="DU455" i="9"/>
  <c r="DZ455" i="9" s="1"/>
  <c r="DV455" i="9"/>
  <c r="DW455" i="9"/>
  <c r="DX455" i="9"/>
  <c r="DY455" i="9"/>
  <c r="DP456" i="9"/>
  <c r="DQ456" i="9"/>
  <c r="DR456" i="9"/>
  <c r="DS456" i="9"/>
  <c r="DT456" i="9"/>
  <c r="DU456" i="9"/>
  <c r="DV456" i="9"/>
  <c r="DW456" i="9"/>
  <c r="DX456" i="9"/>
  <c r="DY456" i="9"/>
  <c r="DZ456" i="9"/>
  <c r="DP457" i="9"/>
  <c r="DQ457" i="9"/>
  <c r="DR457" i="9" s="1"/>
  <c r="DS457" i="9"/>
  <c r="DT457" i="9"/>
  <c r="DU457" i="9"/>
  <c r="DV457" i="9"/>
  <c r="DP458" i="9"/>
  <c r="DQ458" i="9"/>
  <c r="DR458" i="9" s="1"/>
  <c r="DS458" i="9"/>
  <c r="DT458" i="9"/>
  <c r="DU458" i="9"/>
  <c r="DX458" i="9"/>
  <c r="DP459" i="9"/>
  <c r="DQ459" i="9" s="1"/>
  <c r="DR459" i="9" s="1"/>
  <c r="DS459" i="9"/>
  <c r="DT459" i="9"/>
  <c r="DU459" i="9"/>
  <c r="DP460" i="9"/>
  <c r="DQ460" i="9"/>
  <c r="DR460" i="9"/>
  <c r="DS460" i="9"/>
  <c r="DT460" i="9"/>
  <c r="DU460" i="9"/>
  <c r="DV460" i="9"/>
  <c r="DW460" i="9"/>
  <c r="DX460" i="9"/>
  <c r="DZ460" i="9" s="1"/>
  <c r="DY460" i="9"/>
  <c r="DP461" i="9"/>
  <c r="DQ461" i="9" s="1"/>
  <c r="DR461" i="9"/>
  <c r="DS461" i="9"/>
  <c r="DT461" i="9"/>
  <c r="DU461" i="9"/>
  <c r="DV461" i="9"/>
  <c r="DW461" i="9"/>
  <c r="DX461" i="9"/>
  <c r="DP462" i="9"/>
  <c r="DQ462" i="9"/>
  <c r="DR462" i="9"/>
  <c r="DS462" i="9"/>
  <c r="DT462" i="9"/>
  <c r="DU462" i="9"/>
  <c r="DW462" i="9" s="1"/>
  <c r="DP463" i="9"/>
  <c r="DQ463" i="9" s="1"/>
  <c r="DR463" i="9" s="1"/>
  <c r="DS463" i="9"/>
  <c r="DT463" i="9"/>
  <c r="DU463" i="9"/>
  <c r="DW463" i="9" s="1"/>
  <c r="DP464" i="9"/>
  <c r="DQ464" i="9"/>
  <c r="DR464" i="9" s="1"/>
  <c r="DS464" i="9"/>
  <c r="DT464" i="9"/>
  <c r="DU464" i="9"/>
  <c r="DV464" i="9"/>
  <c r="DW464" i="9"/>
  <c r="DX464" i="9"/>
  <c r="DY464" i="9"/>
  <c r="DP465" i="9"/>
  <c r="DQ465" i="9"/>
  <c r="DR465" i="9"/>
  <c r="DS465" i="9"/>
  <c r="DT465" i="9"/>
  <c r="DU465" i="9"/>
  <c r="DV465" i="9" s="1"/>
  <c r="DP466" i="9"/>
  <c r="DQ466" i="9"/>
  <c r="DR466" i="9" s="1"/>
  <c r="DS466" i="9"/>
  <c r="DT466" i="9"/>
  <c r="DU466" i="9"/>
  <c r="DX466" i="9" s="1"/>
  <c r="DP467" i="9"/>
  <c r="DQ467" i="9" s="1"/>
  <c r="DR467" i="9" s="1"/>
  <c r="DS467" i="9"/>
  <c r="DT467" i="9"/>
  <c r="DU467" i="9"/>
  <c r="DV467" i="9"/>
  <c r="DW467" i="9"/>
  <c r="DX467" i="9"/>
  <c r="DY467" i="9"/>
  <c r="DZ467" i="9"/>
  <c r="DP468" i="9"/>
  <c r="DQ468" i="9"/>
  <c r="DR468" i="9"/>
  <c r="DS468" i="9"/>
  <c r="DT468" i="9"/>
  <c r="DU468" i="9"/>
  <c r="DX468" i="9" s="1"/>
  <c r="DV468" i="9"/>
  <c r="DW468" i="9"/>
  <c r="DY468" i="9"/>
  <c r="DZ468" i="9"/>
  <c r="DP469" i="9"/>
  <c r="DQ469" i="9"/>
  <c r="DR469" i="9"/>
  <c r="DS469" i="9"/>
  <c r="DT469" i="9"/>
  <c r="DU469" i="9"/>
  <c r="DV469" i="9"/>
  <c r="DW469" i="9"/>
  <c r="DX469" i="9"/>
  <c r="DP470" i="9"/>
  <c r="DQ470" i="9"/>
  <c r="DR470" i="9"/>
  <c r="DS470" i="9"/>
  <c r="DT470" i="9"/>
  <c r="DU470" i="9"/>
  <c r="DW470" i="9" s="1"/>
  <c r="DV470" i="9"/>
  <c r="DX470" i="9"/>
  <c r="DY470" i="9"/>
  <c r="DP471" i="9"/>
  <c r="DQ471" i="9" s="1"/>
  <c r="DR471" i="9" s="1"/>
  <c r="DS471" i="9"/>
  <c r="DT471" i="9"/>
  <c r="DU471" i="9"/>
  <c r="DP472" i="9"/>
  <c r="DQ472" i="9"/>
  <c r="DR472" i="9"/>
  <c r="DS472" i="9"/>
  <c r="DT472" i="9"/>
  <c r="DU472" i="9"/>
  <c r="DV472" i="9" s="1"/>
  <c r="DW472" i="9"/>
  <c r="DX472" i="9"/>
  <c r="DY472" i="9"/>
  <c r="DZ472" i="9"/>
  <c r="DP473" i="9"/>
  <c r="DQ473" i="9" s="1"/>
  <c r="DR473" i="9" s="1"/>
  <c r="DS473" i="9"/>
  <c r="DT473" i="9"/>
  <c r="DU473" i="9"/>
  <c r="DV473" i="9"/>
  <c r="DW473" i="9"/>
  <c r="DP474" i="9"/>
  <c r="DQ474" i="9"/>
  <c r="DR474" i="9"/>
  <c r="DS474" i="9"/>
  <c r="DT474" i="9"/>
  <c r="DU474" i="9"/>
  <c r="DW474" i="9" s="1"/>
  <c r="DP475" i="9"/>
  <c r="DQ475" i="9" s="1"/>
  <c r="DR475" i="9" s="1"/>
  <c r="DS475" i="9"/>
  <c r="DT475" i="9"/>
  <c r="DU475" i="9"/>
  <c r="DW475" i="9" s="1"/>
  <c r="DV475" i="9"/>
  <c r="DP476" i="9"/>
  <c r="DQ476" i="9"/>
  <c r="DR476" i="9" s="1"/>
  <c r="DS476" i="9"/>
  <c r="DT476" i="9"/>
  <c r="DU476" i="9"/>
  <c r="DV476" i="9"/>
  <c r="DW476" i="9"/>
  <c r="DX476" i="9"/>
  <c r="DZ476" i="9" s="1"/>
  <c r="DY476" i="9"/>
  <c r="DP477" i="9"/>
  <c r="DQ477" i="9"/>
  <c r="DR477" i="9"/>
  <c r="DS477" i="9"/>
  <c r="DT477" i="9"/>
  <c r="DU477" i="9"/>
  <c r="DV477" i="9"/>
  <c r="DX477" i="9"/>
  <c r="DP478" i="9"/>
  <c r="DQ478" i="9"/>
  <c r="DR478" i="9"/>
  <c r="DS478" i="9"/>
  <c r="DT478" i="9"/>
  <c r="DU478" i="9"/>
  <c r="DV478" i="9"/>
  <c r="DX478" i="9"/>
  <c r="DP479" i="9"/>
  <c r="DQ479" i="9" s="1"/>
  <c r="DR479" i="9" s="1"/>
  <c r="DS479" i="9"/>
  <c r="DT479" i="9"/>
  <c r="DU479" i="9"/>
  <c r="DV479" i="9"/>
  <c r="DW479" i="9"/>
  <c r="DX479" i="9"/>
  <c r="DY479" i="9"/>
  <c r="DZ479" i="9"/>
  <c r="DP480" i="9"/>
  <c r="DQ480" i="9"/>
  <c r="DR480" i="9" s="1"/>
  <c r="DS480" i="9"/>
  <c r="DT480" i="9"/>
  <c r="DU480" i="9"/>
  <c r="DP481" i="9"/>
  <c r="DQ481" i="9" s="1"/>
  <c r="DR481" i="9" s="1"/>
  <c r="DS481" i="9"/>
  <c r="DT481" i="9"/>
  <c r="DU481" i="9"/>
  <c r="DV481" i="9"/>
  <c r="DW481" i="9"/>
  <c r="DX481" i="9"/>
  <c r="DP482" i="9"/>
  <c r="DQ482" i="9"/>
  <c r="DR482" i="9"/>
  <c r="DS482" i="9"/>
  <c r="DT482" i="9"/>
  <c r="DU482" i="9"/>
  <c r="DV482" i="9" s="1"/>
  <c r="DP483" i="9"/>
  <c r="DQ483" i="9"/>
  <c r="DR483" i="9" s="1"/>
  <c r="DS483" i="9"/>
  <c r="DT483" i="9"/>
  <c r="DU483" i="9"/>
  <c r="DZ483" i="9" s="1"/>
  <c r="DV483" i="9"/>
  <c r="DW483" i="9"/>
  <c r="DY483" i="9" s="1"/>
  <c r="DX483" i="9"/>
  <c r="DP484" i="9"/>
  <c r="DQ484" i="9"/>
  <c r="DR484" i="9"/>
  <c r="DS484" i="9"/>
  <c r="DT484" i="9"/>
  <c r="DU484" i="9"/>
  <c r="DV484" i="9"/>
  <c r="DW484" i="9"/>
  <c r="DX484" i="9"/>
  <c r="DY484" i="9"/>
  <c r="DZ484" i="9"/>
  <c r="DP485" i="9"/>
  <c r="DQ485" i="9" s="1"/>
  <c r="DR485" i="9" s="1"/>
  <c r="DS485" i="9"/>
  <c r="DT485" i="9"/>
  <c r="DU485" i="9"/>
  <c r="DV485" i="9"/>
  <c r="DW485" i="9"/>
  <c r="DP486" i="9"/>
  <c r="DQ486" i="9"/>
  <c r="DR486" i="9" s="1"/>
  <c r="DS486" i="9"/>
  <c r="DT486" i="9"/>
  <c r="DU486" i="9"/>
  <c r="DX486" i="9"/>
  <c r="DP487" i="9"/>
  <c r="DQ487" i="9" s="1"/>
  <c r="DR487" i="9" s="1"/>
  <c r="DS487" i="9"/>
  <c r="DT487" i="9"/>
  <c r="DU487" i="9"/>
  <c r="DZ487" i="9" s="1"/>
  <c r="DV487" i="9"/>
  <c r="DW487" i="9"/>
  <c r="DX487" i="9"/>
  <c r="DP488" i="9"/>
  <c r="DQ488" i="9"/>
  <c r="DR488" i="9"/>
  <c r="DS488" i="9"/>
  <c r="DT488" i="9"/>
  <c r="DU488" i="9"/>
  <c r="DV488" i="9"/>
  <c r="DW488" i="9"/>
  <c r="DX488" i="9"/>
  <c r="DY488" i="9"/>
  <c r="DZ488" i="9"/>
  <c r="DP489" i="9"/>
  <c r="DQ489" i="9" s="1"/>
  <c r="DR489" i="9"/>
  <c r="DS489" i="9"/>
  <c r="DT489" i="9"/>
  <c r="DU489" i="9"/>
  <c r="DV489" i="9"/>
  <c r="DW489" i="9"/>
  <c r="DX489" i="9"/>
  <c r="DP490" i="9"/>
  <c r="DQ490" i="9"/>
  <c r="DR490" i="9" s="1"/>
  <c r="DS490" i="9"/>
  <c r="DT490" i="9"/>
  <c r="DU490" i="9"/>
  <c r="DW490" i="9" s="1"/>
  <c r="DV490" i="9"/>
  <c r="DX490" i="9"/>
  <c r="DP491" i="9"/>
  <c r="DQ491" i="9" s="1"/>
  <c r="DR491" i="9" s="1"/>
  <c r="DS491" i="9"/>
  <c r="DT491" i="9"/>
  <c r="DU491" i="9"/>
  <c r="DW491" i="9" s="1"/>
  <c r="DP492" i="9"/>
  <c r="DQ492" i="9"/>
  <c r="DR492" i="9"/>
  <c r="DS492" i="9"/>
  <c r="DT492" i="9"/>
  <c r="DU492" i="9"/>
  <c r="DV492" i="9"/>
  <c r="DW492" i="9"/>
  <c r="DY492" i="9" s="1"/>
  <c r="DX492" i="9"/>
  <c r="DP493" i="9"/>
  <c r="DQ493" i="9" s="1"/>
  <c r="DR493" i="9" s="1"/>
  <c r="DS493" i="9"/>
  <c r="DT493" i="9"/>
  <c r="DU493" i="9"/>
  <c r="DW493" i="9" s="1"/>
  <c r="DV493" i="9"/>
  <c r="DP494" i="9"/>
  <c r="DQ494" i="9"/>
  <c r="DR494" i="9"/>
  <c r="DS494" i="9"/>
  <c r="DT494" i="9"/>
  <c r="DU494" i="9"/>
  <c r="DV494" i="9" s="1"/>
  <c r="DX494" i="9"/>
  <c r="DP495" i="9"/>
  <c r="DQ495" i="9"/>
  <c r="DR495" i="9"/>
  <c r="DS495" i="9"/>
  <c r="DT495" i="9"/>
  <c r="DU495" i="9"/>
  <c r="DV495" i="9"/>
  <c r="DP496" i="9"/>
  <c r="DQ496" i="9"/>
  <c r="DR496" i="9"/>
  <c r="DS496" i="9"/>
  <c r="DT496" i="9"/>
  <c r="DU496" i="9"/>
  <c r="DV496" i="9" s="1"/>
  <c r="DP497" i="9"/>
  <c r="DQ497" i="9" s="1"/>
  <c r="DR497" i="9" s="1"/>
  <c r="DS497" i="9"/>
  <c r="DT497" i="9"/>
  <c r="DU497" i="9"/>
  <c r="DX497" i="9"/>
  <c r="DP498" i="9"/>
  <c r="DQ498" i="9" s="1"/>
  <c r="DR498" i="9" s="1"/>
  <c r="DS498" i="9"/>
  <c r="DT498" i="9"/>
  <c r="DU498" i="9"/>
  <c r="DP499" i="9"/>
  <c r="DQ499" i="9"/>
  <c r="DR499" i="9"/>
  <c r="DS499" i="9"/>
  <c r="DT499" i="9"/>
  <c r="DU499" i="9"/>
  <c r="DW499" i="9" s="1"/>
  <c r="DP500" i="9"/>
  <c r="DQ500" i="9" s="1"/>
  <c r="DR500" i="9" s="1"/>
  <c r="DS500" i="9"/>
  <c r="DT500" i="9"/>
  <c r="DU500" i="9"/>
  <c r="DV500" i="9" s="1"/>
  <c r="DW500" i="9"/>
  <c r="DX500" i="9"/>
  <c r="DY500" i="9"/>
  <c r="DP501" i="9"/>
  <c r="DQ501" i="9"/>
  <c r="DR501" i="9" s="1"/>
  <c r="DS501" i="9"/>
  <c r="DT501" i="9"/>
  <c r="DU501" i="9"/>
  <c r="DV501" i="9"/>
  <c r="DW501" i="9"/>
  <c r="DY501" i="9" s="1"/>
  <c r="DX501" i="9"/>
  <c r="DP502" i="9"/>
  <c r="DQ502" i="9"/>
  <c r="DR502" i="9" s="1"/>
  <c r="DS502" i="9"/>
  <c r="DT502" i="9"/>
  <c r="DU502" i="9"/>
  <c r="DV502" i="9" s="1"/>
  <c r="DP503" i="9"/>
  <c r="DQ503" i="9"/>
  <c r="DR503" i="9" s="1"/>
  <c r="DS503" i="9"/>
  <c r="DT503" i="9"/>
  <c r="DU503" i="9"/>
  <c r="DV503" i="9"/>
  <c r="DW503" i="9"/>
  <c r="DX503" i="9"/>
  <c r="DY503" i="9"/>
  <c r="DP504" i="9"/>
  <c r="DQ504" i="9"/>
  <c r="DR504" i="9"/>
  <c r="DS504" i="9"/>
  <c r="DT504" i="9"/>
  <c r="DU504" i="9"/>
  <c r="DX504" i="9" s="1"/>
  <c r="DP505" i="9"/>
  <c r="DQ505" i="9"/>
  <c r="DR505" i="9" s="1"/>
  <c r="DS505" i="9"/>
  <c r="DT505" i="9"/>
  <c r="DU505" i="9"/>
  <c r="DV505" i="9" s="1"/>
  <c r="DP506" i="9"/>
  <c r="DQ506" i="9"/>
  <c r="DR506" i="9"/>
  <c r="DS506" i="9"/>
  <c r="DT506" i="9"/>
  <c r="DU506" i="9"/>
  <c r="DV506" i="9"/>
  <c r="DW506" i="9"/>
  <c r="DY506" i="9" s="1"/>
  <c r="DX506" i="9"/>
  <c r="DP507" i="9"/>
  <c r="DQ507" i="9"/>
  <c r="DR507" i="9"/>
  <c r="DS507" i="9"/>
  <c r="DT507" i="9"/>
  <c r="DU507" i="9"/>
  <c r="DV507" i="9" s="1"/>
  <c r="DW507" i="9"/>
  <c r="DP508" i="9"/>
  <c r="DQ508" i="9"/>
  <c r="DR508" i="9"/>
  <c r="DS508" i="9"/>
  <c r="DT508" i="9"/>
  <c r="DU508" i="9"/>
  <c r="DV508" i="9" s="1"/>
  <c r="DW508" i="9"/>
  <c r="DY508" i="9" s="1"/>
  <c r="DX508" i="9"/>
  <c r="DP509" i="9"/>
  <c r="DQ509" i="9"/>
  <c r="DR509" i="9"/>
  <c r="DS509" i="9"/>
  <c r="DT509" i="9"/>
  <c r="DU509" i="9"/>
  <c r="DW509" i="9" s="1"/>
  <c r="DV509" i="9"/>
  <c r="DP510" i="9"/>
  <c r="DQ510" i="9"/>
  <c r="DR510" i="9" s="1"/>
  <c r="DS510" i="9"/>
  <c r="DT510" i="9"/>
  <c r="DU510" i="9"/>
  <c r="DV510" i="9"/>
  <c r="DW510" i="9"/>
  <c r="DX510" i="9"/>
  <c r="DY510" i="9"/>
  <c r="DZ510" i="9"/>
  <c r="DP511" i="9"/>
  <c r="DQ511" i="9" s="1"/>
  <c r="DR511" i="9"/>
  <c r="DS511" i="9"/>
  <c r="DT511" i="9"/>
  <c r="DU511" i="9"/>
  <c r="DP512" i="9"/>
  <c r="DQ512" i="9"/>
  <c r="DR512" i="9"/>
  <c r="DS512" i="9"/>
  <c r="DT512" i="9"/>
  <c r="DU512" i="9"/>
  <c r="DV512" i="9" s="1"/>
  <c r="DP513" i="9"/>
  <c r="DQ513" i="9"/>
  <c r="DR513" i="9" s="1"/>
  <c r="DS513" i="9"/>
  <c r="DT513" i="9"/>
  <c r="DU513" i="9"/>
  <c r="DW513" i="9" s="1"/>
  <c r="DV513" i="9"/>
  <c r="DX513" i="9"/>
  <c r="DY513" i="9"/>
  <c r="DZ513" i="9"/>
  <c r="DP514" i="9"/>
  <c r="DQ514" i="9" s="1"/>
  <c r="DR514" i="9" s="1"/>
  <c r="DS514" i="9"/>
  <c r="DT514" i="9"/>
  <c r="DU514" i="9"/>
  <c r="DV514" i="9"/>
  <c r="DW514" i="9"/>
  <c r="DX514" i="9"/>
  <c r="DP515" i="9"/>
  <c r="DQ515" i="9" s="1"/>
  <c r="DR515" i="9" s="1"/>
  <c r="DS515" i="9"/>
  <c r="DT515" i="9"/>
  <c r="DU515" i="9"/>
  <c r="DV515" i="9"/>
  <c r="DW515" i="9"/>
  <c r="DX515" i="9"/>
  <c r="DY515" i="9"/>
  <c r="DZ515" i="9"/>
  <c r="DP516" i="9"/>
  <c r="DQ516" i="9" s="1"/>
  <c r="DR516" i="9" s="1"/>
  <c r="DS516" i="9"/>
  <c r="DT516" i="9"/>
  <c r="DU516" i="9"/>
  <c r="DV516" i="9"/>
  <c r="DP517" i="9"/>
  <c r="DQ517" i="9"/>
  <c r="DR517" i="9" s="1"/>
  <c r="DS517" i="9"/>
  <c r="DT517" i="9"/>
  <c r="DU517" i="9"/>
  <c r="DZ517" i="9" s="1"/>
  <c r="DV517" i="9"/>
  <c r="DW517" i="9"/>
  <c r="DY517" i="9" s="1"/>
  <c r="DX517" i="9"/>
  <c r="DP518" i="9"/>
  <c r="DQ518" i="9"/>
  <c r="DR518" i="9"/>
  <c r="DS518" i="9"/>
  <c r="DT518" i="9"/>
  <c r="DU518" i="9"/>
  <c r="DX518" i="9" s="1"/>
  <c r="DP519" i="9"/>
  <c r="DQ519" i="9" s="1"/>
  <c r="DR519" i="9" s="1"/>
  <c r="DS519" i="9"/>
  <c r="DT519" i="9"/>
  <c r="DU519" i="9"/>
  <c r="DV519" i="9"/>
  <c r="DW519" i="9"/>
  <c r="DX519" i="9"/>
  <c r="DY519" i="9"/>
  <c r="DZ519" i="9"/>
  <c r="DP520" i="9"/>
  <c r="DQ520" i="9"/>
  <c r="DR520" i="9"/>
  <c r="DS520" i="9"/>
  <c r="DT520" i="9"/>
  <c r="DU520" i="9"/>
  <c r="DV520" i="9"/>
  <c r="DW520" i="9"/>
  <c r="DX520" i="9"/>
  <c r="DY520" i="9"/>
  <c r="DZ520" i="9"/>
  <c r="DP521" i="9"/>
  <c r="DQ521" i="9"/>
  <c r="DR521" i="9"/>
  <c r="DS521" i="9"/>
  <c r="DT521" i="9"/>
  <c r="DU521" i="9"/>
  <c r="DV521" i="9"/>
  <c r="DW521" i="9"/>
  <c r="DP522" i="9"/>
  <c r="DQ522" i="9"/>
  <c r="DR522" i="9" s="1"/>
  <c r="DS522" i="9"/>
  <c r="DT522" i="9"/>
  <c r="DU522" i="9"/>
  <c r="DV522" i="9" s="1"/>
  <c r="DW522" i="9"/>
  <c r="DX522" i="9"/>
  <c r="DP523" i="9"/>
  <c r="DQ523" i="9"/>
  <c r="DR523" i="9"/>
  <c r="DS523" i="9"/>
  <c r="DT523" i="9"/>
  <c r="DU523" i="9"/>
  <c r="DV523" i="9" s="1"/>
  <c r="DW523" i="9"/>
  <c r="DX523" i="9"/>
  <c r="DZ523" i="9"/>
  <c r="DP524" i="9"/>
  <c r="DQ524" i="9"/>
  <c r="DR524" i="9" s="1"/>
  <c r="DS524" i="9"/>
  <c r="DT524" i="9"/>
  <c r="DU524" i="9"/>
  <c r="DW524" i="9" s="1"/>
  <c r="DV524" i="9"/>
  <c r="DP525" i="9"/>
  <c r="DQ525" i="9" s="1"/>
  <c r="DR525" i="9"/>
  <c r="DS525" i="9"/>
  <c r="DT525" i="9"/>
  <c r="DU525" i="9"/>
  <c r="DX525" i="9" s="1"/>
  <c r="DP526" i="9"/>
  <c r="DQ526" i="9"/>
  <c r="DR526" i="9" s="1"/>
  <c r="DS526" i="9"/>
  <c r="DT526" i="9"/>
  <c r="DU526" i="9"/>
  <c r="DV526" i="9"/>
  <c r="DW526" i="9"/>
  <c r="DX526" i="9"/>
  <c r="DP527" i="9"/>
  <c r="DQ527" i="9"/>
  <c r="DR527" i="9" s="1"/>
  <c r="DS527" i="9"/>
  <c r="DT527" i="9"/>
  <c r="DU527" i="9"/>
  <c r="DW527" i="9" s="1"/>
  <c r="DV527" i="9"/>
  <c r="DP528" i="9"/>
  <c r="DQ528" i="9" s="1"/>
  <c r="DR528" i="9" s="1"/>
  <c r="DS528" i="9"/>
  <c r="DT528" i="9"/>
  <c r="DU528" i="9"/>
  <c r="DX528" i="9" s="1"/>
  <c r="DV528" i="9"/>
  <c r="DW528" i="9"/>
  <c r="DP529" i="9"/>
  <c r="DQ529" i="9"/>
  <c r="DR529" i="9"/>
  <c r="DS529" i="9"/>
  <c r="DT529" i="9"/>
  <c r="DU529" i="9"/>
  <c r="DV529" i="9"/>
  <c r="DW529" i="9"/>
  <c r="DX529" i="9"/>
  <c r="DY529" i="9"/>
  <c r="DZ529" i="9"/>
  <c r="DP530" i="9"/>
  <c r="DQ530" i="9" s="1"/>
  <c r="DR530" i="9" s="1"/>
  <c r="DS530" i="9"/>
  <c r="DT530" i="9"/>
  <c r="DU530" i="9"/>
  <c r="DV530" i="9"/>
  <c r="DP531" i="9"/>
  <c r="DQ531" i="9" s="1"/>
  <c r="DR531" i="9" s="1"/>
  <c r="DS531" i="9"/>
  <c r="DT531" i="9"/>
  <c r="DU531" i="9"/>
  <c r="DZ531" i="9" s="1"/>
  <c r="DV531" i="9"/>
  <c r="DW531" i="9"/>
  <c r="DX531" i="9"/>
  <c r="DY531" i="9"/>
  <c r="DP532" i="9"/>
  <c r="DQ532" i="9"/>
  <c r="DR532" i="9" s="1"/>
  <c r="DS532" i="9"/>
  <c r="DT532" i="9"/>
  <c r="DU532" i="9"/>
  <c r="DX532" i="9" s="1"/>
  <c r="DV532" i="9"/>
  <c r="DW532" i="9"/>
  <c r="DY532" i="9"/>
  <c r="DZ532" i="9"/>
  <c r="DP533" i="9"/>
  <c r="DQ533" i="9" s="1"/>
  <c r="DR533" i="9" s="1"/>
  <c r="DS533" i="9"/>
  <c r="DT533" i="9"/>
  <c r="DU533" i="9"/>
  <c r="DW533" i="9" s="1"/>
  <c r="DV533" i="9"/>
  <c r="DP534" i="9"/>
  <c r="DQ534" i="9"/>
  <c r="DR534" i="9"/>
  <c r="DS534" i="9"/>
  <c r="DT534" i="9"/>
  <c r="DU534" i="9"/>
  <c r="DV534" i="9"/>
  <c r="DW534" i="9"/>
  <c r="DX534" i="9"/>
  <c r="DZ534" i="9" s="1"/>
  <c r="DY534" i="9"/>
  <c r="DP535" i="9"/>
  <c r="DQ535" i="9"/>
  <c r="DR535" i="9" s="1"/>
  <c r="DS535" i="9"/>
  <c r="DT535" i="9"/>
  <c r="DU535" i="9"/>
  <c r="DV535" i="9"/>
  <c r="DW535" i="9"/>
  <c r="DP536" i="9"/>
  <c r="DQ536" i="9"/>
  <c r="DR536" i="9"/>
  <c r="DS536" i="9"/>
  <c r="DT536" i="9"/>
  <c r="DU536" i="9"/>
  <c r="DV536" i="9" s="1"/>
  <c r="DW536" i="9"/>
  <c r="DP537" i="9"/>
  <c r="DQ537" i="9"/>
  <c r="DR537" i="9"/>
  <c r="DS537" i="9"/>
  <c r="DT537" i="9"/>
  <c r="DU537" i="9"/>
  <c r="DV537" i="9"/>
  <c r="DW537" i="9"/>
  <c r="DX537" i="9"/>
  <c r="DP538" i="9"/>
  <c r="DQ538" i="9" s="1"/>
  <c r="DR538" i="9" s="1"/>
  <c r="DS538" i="9"/>
  <c r="DT538" i="9"/>
  <c r="DU538" i="9"/>
  <c r="DW538" i="9" s="1"/>
  <c r="DV538" i="9"/>
  <c r="DP539" i="9"/>
  <c r="DQ539" i="9" s="1"/>
  <c r="DR539" i="9" s="1"/>
  <c r="DS539" i="9"/>
  <c r="DT539" i="9"/>
  <c r="DU539" i="9"/>
  <c r="DX539" i="9"/>
  <c r="DP540" i="9"/>
  <c r="DQ540" i="9"/>
  <c r="DR540" i="9" s="1"/>
  <c r="DS540" i="9"/>
  <c r="DT540" i="9"/>
  <c r="DU540" i="9"/>
  <c r="DV540" i="9"/>
  <c r="DP541" i="9"/>
  <c r="DQ541" i="9" s="1"/>
  <c r="DR541" i="9" s="1"/>
  <c r="DS541" i="9"/>
  <c r="DT541" i="9"/>
  <c r="DU541" i="9"/>
  <c r="DW541" i="9" s="1"/>
  <c r="DV541" i="9"/>
  <c r="DP542" i="9"/>
  <c r="DQ542" i="9" s="1"/>
  <c r="DR542" i="9" s="1"/>
  <c r="DS542" i="9"/>
  <c r="DT542" i="9"/>
  <c r="DU542" i="9"/>
  <c r="DW542" i="9" s="1"/>
  <c r="DY542" i="9" s="1"/>
  <c r="DV542" i="9"/>
  <c r="DX542" i="9"/>
  <c r="DP543" i="9"/>
  <c r="DQ543" i="9"/>
  <c r="DR543" i="9"/>
  <c r="DS543" i="9"/>
  <c r="DT543" i="9"/>
  <c r="DU543" i="9"/>
  <c r="DV543" i="9"/>
  <c r="DW543" i="9"/>
  <c r="DY543" i="9" s="1"/>
  <c r="DX543" i="9"/>
  <c r="DP544" i="9"/>
  <c r="DQ544" i="9"/>
  <c r="DR544" i="9" s="1"/>
  <c r="DS544" i="9"/>
  <c r="DT544" i="9"/>
  <c r="DU544" i="9"/>
  <c r="DV544" i="9"/>
  <c r="DP545" i="9"/>
  <c r="DQ545" i="9"/>
  <c r="DR545" i="9"/>
  <c r="DS545" i="9"/>
  <c r="DT545" i="9"/>
  <c r="DU545" i="9"/>
  <c r="DV545" i="9"/>
  <c r="DW545" i="9"/>
  <c r="DX545" i="9"/>
  <c r="DY545" i="9"/>
  <c r="DP546" i="9"/>
  <c r="DQ546" i="9"/>
  <c r="DR546" i="9" s="1"/>
  <c r="DS546" i="9"/>
  <c r="DT546" i="9"/>
  <c r="DU546" i="9"/>
  <c r="DX546" i="9" s="1"/>
  <c r="DV546" i="9"/>
  <c r="DP547" i="9"/>
  <c r="DQ547" i="9"/>
  <c r="DR547" i="9" s="1"/>
  <c r="DS547" i="9"/>
  <c r="DT547" i="9"/>
  <c r="DU547" i="9"/>
  <c r="DW547" i="9" s="1"/>
  <c r="DV547" i="9"/>
  <c r="BY3" i="9"/>
  <c r="BZ3" i="9"/>
  <c r="CA3" i="9"/>
  <c r="CB3" i="9"/>
  <c r="CC3" i="9"/>
  <c r="CD3" i="9"/>
  <c r="CE3" i="9" s="1"/>
  <c r="CF3" i="9"/>
  <c r="BY4" i="9"/>
  <c r="BZ4" i="9"/>
  <c r="CA4" i="9"/>
  <c r="CB4" i="9"/>
  <c r="CC4" i="9"/>
  <c r="CD4" i="9"/>
  <c r="CF4" i="9" s="1"/>
  <c r="CE4" i="9"/>
  <c r="CG4" i="9"/>
  <c r="CH4" i="9"/>
  <c r="CI4" i="9"/>
  <c r="BY5" i="9"/>
  <c r="BZ5" i="9" s="1"/>
  <c r="CA5" i="9" s="1"/>
  <c r="CB5" i="9"/>
  <c r="CC5" i="9"/>
  <c r="CD5" i="9"/>
  <c r="BY6" i="9"/>
  <c r="BZ6" i="9" s="1"/>
  <c r="CA6" i="9" s="1"/>
  <c r="CB6" i="9"/>
  <c r="CC6" i="9"/>
  <c r="CD6" i="9"/>
  <c r="CE6" i="9"/>
  <c r="CF6" i="9"/>
  <c r="CG6" i="9"/>
  <c r="BY7" i="9"/>
  <c r="BZ7" i="9"/>
  <c r="CA7" i="9" s="1"/>
  <c r="CB7" i="9"/>
  <c r="CC7" i="9"/>
  <c r="CD7" i="9"/>
  <c r="CF7" i="9" s="1"/>
  <c r="CE7" i="9"/>
  <c r="BY8" i="9"/>
  <c r="BZ8" i="9" s="1"/>
  <c r="CA8" i="9" s="1"/>
  <c r="CB8" i="9"/>
  <c r="CC8" i="9"/>
  <c r="CD8" i="9"/>
  <c r="CE8" i="9"/>
  <c r="CF8" i="9"/>
  <c r="CG8" i="9"/>
  <c r="BY9" i="9"/>
  <c r="BZ9" i="9" s="1"/>
  <c r="CA9" i="9" s="1"/>
  <c r="CB9" i="9"/>
  <c r="CC9" i="9"/>
  <c r="CD9" i="9"/>
  <c r="CG9" i="9" s="1"/>
  <c r="CE9" i="9"/>
  <c r="CF9" i="9"/>
  <c r="CH9" i="9"/>
  <c r="CI9" i="9"/>
  <c r="BY10" i="9"/>
  <c r="BZ10" i="9" s="1"/>
  <c r="CA10" i="9" s="1"/>
  <c r="CB10" i="9"/>
  <c r="CC10" i="9"/>
  <c r="CD10" i="9"/>
  <c r="CE10" i="9"/>
  <c r="BY11" i="9"/>
  <c r="BZ11" i="9"/>
  <c r="CA11" i="9" s="1"/>
  <c r="CB11" i="9"/>
  <c r="CC11" i="9"/>
  <c r="CD11" i="9"/>
  <c r="CG11" i="9" s="1"/>
  <c r="CF11" i="9"/>
  <c r="BY12" i="9"/>
  <c r="BZ12" i="9"/>
  <c r="CA12" i="9" s="1"/>
  <c r="CB12" i="9"/>
  <c r="CC12" i="9"/>
  <c r="CD12" i="9"/>
  <c r="CE12" i="9" s="1"/>
  <c r="BY13" i="9"/>
  <c r="BZ13" i="9"/>
  <c r="CA13" i="9" s="1"/>
  <c r="CB13" i="9"/>
  <c r="CC13" i="9"/>
  <c r="CD13" i="9"/>
  <c r="CE13" i="9" s="1"/>
  <c r="CF13" i="9"/>
  <c r="CG13" i="9"/>
  <c r="BY14" i="9"/>
  <c r="BZ14" i="9" s="1"/>
  <c r="CA14" i="9" s="1"/>
  <c r="CB14" i="9"/>
  <c r="CC14" i="9"/>
  <c r="CD14" i="9"/>
  <c r="CH14" i="9" s="1"/>
  <c r="CE14" i="9"/>
  <c r="CF14" i="9"/>
  <c r="CG14" i="9"/>
  <c r="CI14" i="9"/>
  <c r="BY15" i="9"/>
  <c r="BZ15" i="9" s="1"/>
  <c r="CA15" i="9" s="1"/>
  <c r="CB15" i="9"/>
  <c r="CC15" i="9"/>
  <c r="CD15" i="9"/>
  <c r="CE15" i="9"/>
  <c r="CF15" i="9"/>
  <c r="BY16" i="9"/>
  <c r="BZ16" i="9" s="1"/>
  <c r="CA16" i="9" s="1"/>
  <c r="CB16" i="9"/>
  <c r="CC16" i="9"/>
  <c r="CD16" i="9"/>
  <c r="CG16" i="9" s="1"/>
  <c r="CF16" i="9"/>
  <c r="CI16" i="9"/>
  <c r="BY17" i="9"/>
  <c r="BZ17" i="9"/>
  <c r="CA17" i="9"/>
  <c r="CB17" i="9"/>
  <c r="CC17" i="9"/>
  <c r="CD17" i="9"/>
  <c r="CE17" i="9"/>
  <c r="CF17" i="9"/>
  <c r="CH17" i="9" s="1"/>
  <c r="CG17" i="9"/>
  <c r="CI17" i="9"/>
  <c r="BY18" i="9"/>
  <c r="BZ18" i="9"/>
  <c r="CA18" i="9"/>
  <c r="CB18" i="9"/>
  <c r="CC18" i="9"/>
  <c r="CD18" i="9"/>
  <c r="CE18" i="9" s="1"/>
  <c r="CG18" i="9"/>
  <c r="BY19" i="9"/>
  <c r="BZ19" i="9"/>
  <c r="CA19" i="9" s="1"/>
  <c r="CB19" i="9"/>
  <c r="CC19" i="9"/>
  <c r="CD19" i="9"/>
  <c r="BY20" i="9"/>
  <c r="BZ20" i="9"/>
  <c r="CA20" i="9" s="1"/>
  <c r="CB20" i="9"/>
  <c r="CC20" i="9"/>
  <c r="CD20" i="9"/>
  <c r="CF20" i="9" s="1"/>
  <c r="CE20" i="9"/>
  <c r="CG20" i="9"/>
  <c r="BY21" i="9"/>
  <c r="BZ21" i="9" s="1"/>
  <c r="CA21" i="9" s="1"/>
  <c r="CB21" i="9"/>
  <c r="CC21" i="9"/>
  <c r="CD21" i="9"/>
  <c r="CG21" i="9" s="1"/>
  <c r="BY22" i="9"/>
  <c r="BZ22" i="9" s="1"/>
  <c r="CA22" i="9" s="1"/>
  <c r="CB22" i="9"/>
  <c r="CC22" i="9"/>
  <c r="CD22" i="9"/>
  <c r="CE22" i="9"/>
  <c r="CF22" i="9"/>
  <c r="CH22" i="9" s="1"/>
  <c r="CG22" i="9"/>
  <c r="BY23" i="9"/>
  <c r="BZ23" i="9"/>
  <c r="CA23" i="9"/>
  <c r="CB23" i="9"/>
  <c r="CC23" i="9"/>
  <c r="CD23" i="9"/>
  <c r="CG23" i="9" s="1"/>
  <c r="CH23" i="9" s="1"/>
  <c r="CE23" i="9"/>
  <c r="CF23" i="9"/>
  <c r="CI23" i="9"/>
  <c r="BY24" i="9"/>
  <c r="BZ24" i="9" s="1"/>
  <c r="CA24" i="9" s="1"/>
  <c r="CB24" i="9"/>
  <c r="CC24" i="9"/>
  <c r="CD24" i="9"/>
  <c r="CE24" i="9"/>
  <c r="BY25" i="9"/>
  <c r="BZ25" i="9"/>
  <c r="CA25" i="9"/>
  <c r="CB25" i="9"/>
  <c r="CC25" i="9"/>
  <c r="CD25" i="9"/>
  <c r="CE25" i="9"/>
  <c r="CF25" i="9"/>
  <c r="CH25" i="9" s="1"/>
  <c r="CG25" i="9"/>
  <c r="BY26" i="9"/>
  <c r="BZ26" i="9"/>
  <c r="CA26" i="9" s="1"/>
  <c r="CB26" i="9"/>
  <c r="CC26" i="9"/>
  <c r="CD26" i="9"/>
  <c r="CE26" i="9" s="1"/>
  <c r="CF26" i="9"/>
  <c r="CI26" i="9" s="1"/>
  <c r="CG26" i="9"/>
  <c r="CH26" i="9"/>
  <c r="BY27" i="9"/>
  <c r="BZ27" i="9"/>
  <c r="CA27" i="9" s="1"/>
  <c r="CB27" i="9"/>
  <c r="CC27" i="9"/>
  <c r="CD27" i="9"/>
  <c r="CE27" i="9" s="1"/>
  <c r="CF27" i="9"/>
  <c r="CG27" i="9"/>
  <c r="CI27" i="9" s="1"/>
  <c r="CH27" i="9"/>
  <c r="BY28" i="9"/>
  <c r="BZ28" i="9"/>
  <c r="CA28" i="9" s="1"/>
  <c r="CB28" i="9"/>
  <c r="CC28" i="9"/>
  <c r="CD28" i="9"/>
  <c r="CH28" i="9" s="1"/>
  <c r="CE28" i="9"/>
  <c r="CF28" i="9"/>
  <c r="CG28" i="9"/>
  <c r="CI28" i="9"/>
  <c r="BY29" i="9"/>
  <c r="BZ29" i="9"/>
  <c r="CA29" i="9"/>
  <c r="CB29" i="9"/>
  <c r="CC29" i="9"/>
  <c r="CD29" i="9"/>
  <c r="CE29" i="9" s="1"/>
  <c r="CF29" i="9"/>
  <c r="BY30" i="9"/>
  <c r="BZ30" i="9" s="1"/>
  <c r="CA30" i="9"/>
  <c r="CB30" i="9"/>
  <c r="CC30" i="9"/>
  <c r="CD30" i="9"/>
  <c r="CF30" i="9" s="1"/>
  <c r="CE30" i="9"/>
  <c r="BY31" i="9"/>
  <c r="BZ31" i="9"/>
  <c r="CA31" i="9"/>
  <c r="CB31" i="9"/>
  <c r="CC31" i="9"/>
  <c r="CD31" i="9"/>
  <c r="CE31" i="9"/>
  <c r="BY32" i="9"/>
  <c r="BZ32" i="9"/>
  <c r="CA32" i="9" s="1"/>
  <c r="CB32" i="9"/>
  <c r="CC32" i="9"/>
  <c r="CD32" i="9"/>
  <c r="CE32" i="9" s="1"/>
  <c r="CG32" i="9"/>
  <c r="BY33" i="9"/>
  <c r="BZ33" i="9" s="1"/>
  <c r="CA33" i="9" s="1"/>
  <c r="CB33" i="9"/>
  <c r="CC33" i="9"/>
  <c r="CD33" i="9"/>
  <c r="BY34" i="9"/>
  <c r="BZ34" i="9" s="1"/>
  <c r="CA34" i="9" s="1"/>
  <c r="CB34" i="9"/>
  <c r="CC34" i="9"/>
  <c r="CD34" i="9"/>
  <c r="CG34" i="9" s="1"/>
  <c r="CF34" i="9"/>
  <c r="BY35" i="9"/>
  <c r="BZ35" i="9" s="1"/>
  <c r="CA35" i="9" s="1"/>
  <c r="CB35" i="9"/>
  <c r="CC35" i="9"/>
  <c r="CD35" i="9"/>
  <c r="CE35" i="9"/>
  <c r="CF35" i="9"/>
  <c r="CG35" i="9"/>
  <c r="BY36" i="9"/>
  <c r="BZ36" i="9" s="1"/>
  <c r="CA36" i="9" s="1"/>
  <c r="CB36" i="9"/>
  <c r="CC36" i="9"/>
  <c r="CD36" i="9"/>
  <c r="CE36" i="9"/>
  <c r="CF36" i="9"/>
  <c r="CI36" i="9" s="1"/>
  <c r="CG36" i="9"/>
  <c r="CH36" i="9"/>
  <c r="BY37" i="9"/>
  <c r="BZ37" i="9"/>
  <c r="CA37" i="9" s="1"/>
  <c r="CB37" i="9"/>
  <c r="CC37" i="9"/>
  <c r="CD37" i="9"/>
  <c r="CG37" i="9" s="1"/>
  <c r="CE37" i="9"/>
  <c r="CF37" i="9"/>
  <c r="CH37" i="9"/>
  <c r="CI37" i="9"/>
  <c r="BY38" i="9"/>
  <c r="BZ38" i="9" s="1"/>
  <c r="CA38" i="9"/>
  <c r="CB38" i="9"/>
  <c r="CC38" i="9"/>
  <c r="CD38" i="9"/>
  <c r="BY39" i="9"/>
  <c r="BZ39" i="9"/>
  <c r="CA39" i="9" s="1"/>
  <c r="CB39" i="9"/>
  <c r="CC39" i="9"/>
  <c r="CD39" i="9"/>
  <c r="CE39" i="9"/>
  <c r="BY40" i="9"/>
  <c r="BZ40" i="9"/>
  <c r="CA40" i="9" s="1"/>
  <c r="CB40" i="9"/>
  <c r="CC40" i="9"/>
  <c r="CD40" i="9"/>
  <c r="CE40" i="9"/>
  <c r="CF40" i="9"/>
  <c r="CG40" i="9"/>
  <c r="CI40" i="9"/>
  <c r="BY41" i="9"/>
  <c r="BZ41" i="9" s="1"/>
  <c r="CA41" i="9" s="1"/>
  <c r="CB41" i="9"/>
  <c r="CC41" i="9"/>
  <c r="CD41" i="9"/>
  <c r="CE41" i="9" s="1"/>
  <c r="CF41" i="9"/>
  <c r="CH41" i="9" s="1"/>
  <c r="CG41" i="9"/>
  <c r="BY42" i="9"/>
  <c r="BZ42" i="9" s="1"/>
  <c r="CA42" i="9" s="1"/>
  <c r="CB42" i="9"/>
  <c r="CC42" i="9"/>
  <c r="CD42" i="9"/>
  <c r="CH42" i="9" s="1"/>
  <c r="CE42" i="9"/>
  <c r="CF42" i="9"/>
  <c r="CG42" i="9"/>
  <c r="CI42" i="9"/>
  <c r="BY43" i="9"/>
  <c r="BZ43" i="9"/>
  <c r="CA43" i="9" s="1"/>
  <c r="CB43" i="9"/>
  <c r="CC43" i="9"/>
  <c r="CD43" i="9"/>
  <c r="CE43" i="9"/>
  <c r="CF43" i="9"/>
  <c r="BY44" i="9"/>
  <c r="BZ44" i="9" s="1"/>
  <c r="CA44" i="9"/>
  <c r="CB44" i="9"/>
  <c r="CC44" i="9"/>
  <c r="CD44" i="9"/>
  <c r="CG44" i="9"/>
  <c r="BY45" i="9"/>
  <c r="BZ45" i="9"/>
  <c r="CA45" i="9"/>
  <c r="CB45" i="9"/>
  <c r="CC45" i="9"/>
  <c r="CD45" i="9"/>
  <c r="CE45" i="9"/>
  <c r="BY46" i="9"/>
  <c r="BZ46" i="9" s="1"/>
  <c r="CA46" i="9" s="1"/>
  <c r="CB46" i="9"/>
  <c r="CC46" i="9"/>
  <c r="CD46" i="9"/>
  <c r="CE46" i="9" s="1"/>
  <c r="CG46" i="9"/>
  <c r="BY47" i="9"/>
  <c r="BZ47" i="9"/>
  <c r="CA47" i="9" s="1"/>
  <c r="CB47" i="9"/>
  <c r="CC47" i="9"/>
  <c r="CD47" i="9"/>
  <c r="BY48" i="9"/>
  <c r="BZ48" i="9" s="1"/>
  <c r="CA48" i="9" s="1"/>
  <c r="CB48" i="9"/>
  <c r="CC48" i="9"/>
  <c r="CD48" i="9"/>
  <c r="CE48" i="9"/>
  <c r="CF48" i="9"/>
  <c r="CG48" i="9"/>
  <c r="BY49" i="9"/>
  <c r="BZ49" i="9" s="1"/>
  <c r="CA49" i="9" s="1"/>
  <c r="CB49" i="9"/>
  <c r="CC49" i="9"/>
  <c r="CD49" i="9"/>
  <c r="CF49" i="9" s="1"/>
  <c r="CE49" i="9"/>
  <c r="BY50" i="9"/>
  <c r="BZ50" i="9" s="1"/>
  <c r="CA50" i="9" s="1"/>
  <c r="CB50" i="9"/>
  <c r="CC50" i="9"/>
  <c r="CD50" i="9"/>
  <c r="CE50" i="9"/>
  <c r="CF50" i="9"/>
  <c r="CG50" i="9"/>
  <c r="BY51" i="9"/>
  <c r="BZ51" i="9" s="1"/>
  <c r="CA51" i="9" s="1"/>
  <c r="CB51" i="9"/>
  <c r="CC51" i="9"/>
  <c r="CD51" i="9"/>
  <c r="CG51" i="9" s="1"/>
  <c r="CH51" i="9" s="1"/>
  <c r="CE51" i="9"/>
  <c r="CF51" i="9"/>
  <c r="CI51" i="9"/>
  <c r="BY52" i="9"/>
  <c r="BZ52" i="9"/>
  <c r="CA52" i="9" s="1"/>
  <c r="CB52" i="9"/>
  <c r="CC52" i="9"/>
  <c r="CD52" i="9"/>
  <c r="CE52" i="9" s="1"/>
  <c r="BY53" i="9"/>
  <c r="BZ53" i="9"/>
  <c r="CA53" i="9"/>
  <c r="CB53" i="9"/>
  <c r="CC53" i="9"/>
  <c r="CD53" i="9"/>
  <c r="CE53" i="9" s="1"/>
  <c r="CG53" i="9"/>
  <c r="BY54" i="9"/>
  <c r="BZ54" i="9"/>
  <c r="CA54" i="9" s="1"/>
  <c r="CB54" i="9"/>
  <c r="CC54" i="9"/>
  <c r="CD54" i="9"/>
  <c r="CE54" i="9" s="1"/>
  <c r="CF54" i="9"/>
  <c r="BY55" i="9"/>
  <c r="BZ55" i="9"/>
  <c r="CA55" i="9" s="1"/>
  <c r="CB55" i="9"/>
  <c r="CC55" i="9"/>
  <c r="CD55" i="9"/>
  <c r="CE55" i="9" s="1"/>
  <c r="CF55" i="9"/>
  <c r="CG55" i="9"/>
  <c r="BY56" i="9"/>
  <c r="BZ56" i="9"/>
  <c r="CA56" i="9" s="1"/>
  <c r="CB56" i="9"/>
  <c r="CC56" i="9"/>
  <c r="CD56" i="9"/>
  <c r="CH56" i="9" s="1"/>
  <c r="CE56" i="9"/>
  <c r="CF56" i="9"/>
  <c r="CG56" i="9"/>
  <c r="CI56" i="9"/>
  <c r="BY57" i="9"/>
  <c r="BZ57" i="9" s="1"/>
  <c r="CA57" i="9" s="1"/>
  <c r="CB57" i="9"/>
  <c r="CC57" i="9"/>
  <c r="CD57" i="9"/>
  <c r="BY58" i="9"/>
  <c r="BZ58" i="9" s="1"/>
  <c r="CA58" i="9"/>
  <c r="CB58" i="9"/>
  <c r="CC58" i="9"/>
  <c r="CD58" i="9"/>
  <c r="CE58" i="9"/>
  <c r="CF58" i="9"/>
  <c r="CG58" i="9"/>
  <c r="BY59" i="9"/>
  <c r="BZ59" i="9"/>
  <c r="CA59" i="9"/>
  <c r="CB59" i="9"/>
  <c r="CC59" i="9"/>
  <c r="CD59" i="9"/>
  <c r="CE59" i="9"/>
  <c r="CF59" i="9"/>
  <c r="BY60" i="9"/>
  <c r="BZ60" i="9" s="1"/>
  <c r="CA60" i="9" s="1"/>
  <c r="CB60" i="9"/>
  <c r="CC60" i="9"/>
  <c r="CD60" i="9"/>
  <c r="CE60" i="9" s="1"/>
  <c r="CG60" i="9"/>
  <c r="BY61" i="9"/>
  <c r="BZ61" i="9" s="1"/>
  <c r="CA61" i="9" s="1"/>
  <c r="CB61" i="9"/>
  <c r="CC61" i="9"/>
  <c r="CD61" i="9"/>
  <c r="BY62" i="9"/>
  <c r="BZ62" i="9"/>
  <c r="CA62" i="9"/>
  <c r="CB62" i="9"/>
  <c r="CC62" i="9"/>
  <c r="CD62" i="9"/>
  <c r="CE62" i="9" s="1"/>
  <c r="CF62" i="9"/>
  <c r="CG62" i="9"/>
  <c r="BY63" i="9"/>
  <c r="BZ63" i="9" s="1"/>
  <c r="CA63" i="9" s="1"/>
  <c r="CB63" i="9"/>
  <c r="CC63" i="9"/>
  <c r="CD63" i="9"/>
  <c r="BY64" i="9"/>
  <c r="BZ64" i="9" s="1"/>
  <c r="CA64" i="9" s="1"/>
  <c r="CB64" i="9"/>
  <c r="CC64" i="9"/>
  <c r="CD64" i="9"/>
  <c r="CE64" i="9"/>
  <c r="CF64" i="9"/>
  <c r="CH64" i="9" s="1"/>
  <c r="CG64" i="9"/>
  <c r="CI64" i="9"/>
  <c r="BY65" i="9"/>
  <c r="BZ65" i="9" s="1"/>
  <c r="CA65" i="9" s="1"/>
  <c r="CB65" i="9"/>
  <c r="CC65" i="9"/>
  <c r="CD65" i="9"/>
  <c r="CG65" i="9" s="1"/>
  <c r="CE65" i="9"/>
  <c r="CF65" i="9"/>
  <c r="CH65" i="9"/>
  <c r="CI65" i="9"/>
  <c r="BY66" i="9"/>
  <c r="BZ66" i="9" s="1"/>
  <c r="CA66" i="9" s="1"/>
  <c r="CB66" i="9"/>
  <c r="CC66" i="9"/>
  <c r="CD66" i="9"/>
  <c r="CE66" i="9"/>
  <c r="BY67" i="9"/>
  <c r="BZ67" i="9"/>
  <c r="CA67" i="9"/>
  <c r="CB67" i="9"/>
  <c r="CC67" i="9"/>
  <c r="CD67" i="9"/>
  <c r="CE67" i="9"/>
  <c r="CF67" i="9"/>
  <c r="BY68" i="9"/>
  <c r="BZ68" i="9"/>
  <c r="CA68" i="9" s="1"/>
  <c r="CB68" i="9"/>
  <c r="CC68" i="9"/>
  <c r="CD68" i="9"/>
  <c r="CE68" i="9"/>
  <c r="CF68" i="9"/>
  <c r="CH68" i="9" s="1"/>
  <c r="CG68" i="9"/>
  <c r="CI68" i="9"/>
  <c r="BY69" i="9"/>
  <c r="BZ69" i="9"/>
  <c r="CA69" i="9" s="1"/>
  <c r="CB69" i="9"/>
  <c r="CC69" i="9"/>
  <c r="CD69" i="9"/>
  <c r="CE69" i="9" s="1"/>
  <c r="CF69" i="9"/>
  <c r="CG69" i="9"/>
  <c r="CH69" i="9"/>
  <c r="CI69" i="9"/>
  <c r="BY70" i="9"/>
  <c r="BZ70" i="9"/>
  <c r="CA70" i="9" s="1"/>
  <c r="CB70" i="9"/>
  <c r="CC70" i="9"/>
  <c r="CD70" i="9"/>
  <c r="CH70" i="9" s="1"/>
  <c r="CE70" i="9"/>
  <c r="CF70" i="9"/>
  <c r="CG70" i="9"/>
  <c r="CI70" i="9"/>
  <c r="BY71" i="9"/>
  <c r="BZ71" i="9" s="1"/>
  <c r="CA71" i="9" s="1"/>
  <c r="CB71" i="9"/>
  <c r="CC71" i="9"/>
  <c r="CD71" i="9"/>
  <c r="CE71" i="9"/>
  <c r="CF71" i="9"/>
  <c r="BY72" i="9"/>
  <c r="BZ72" i="9" s="1"/>
  <c r="CA72" i="9"/>
  <c r="CB72" i="9"/>
  <c r="CC72" i="9"/>
  <c r="CD72" i="9"/>
  <c r="CF72" i="9" s="1"/>
  <c r="CE72" i="9"/>
  <c r="BY73" i="9"/>
  <c r="BZ73" i="9"/>
  <c r="CA73" i="9"/>
  <c r="CB73" i="9"/>
  <c r="CC73" i="9"/>
  <c r="CD73" i="9"/>
  <c r="CE73" i="9"/>
  <c r="BY74" i="9"/>
  <c r="BZ74" i="9"/>
  <c r="CA74" i="9"/>
  <c r="CB74" i="9"/>
  <c r="CC74" i="9"/>
  <c r="CD74" i="9"/>
  <c r="CE74" i="9" s="1"/>
  <c r="CG74" i="9"/>
  <c r="BY75" i="9"/>
  <c r="BZ75" i="9" s="1"/>
  <c r="CA75" i="9" s="1"/>
  <c r="CB75" i="9"/>
  <c r="CC75" i="9"/>
  <c r="CD75" i="9"/>
  <c r="BY76" i="9"/>
  <c r="BZ76" i="9"/>
  <c r="CA76" i="9"/>
  <c r="CB76" i="9"/>
  <c r="CC76" i="9"/>
  <c r="CD76" i="9"/>
  <c r="CF76" i="9" s="1"/>
  <c r="CE76" i="9"/>
  <c r="CG76" i="9"/>
  <c r="BY77" i="9"/>
  <c r="BZ77" i="9" s="1"/>
  <c r="CA77" i="9" s="1"/>
  <c r="CB77" i="9"/>
  <c r="CC77" i="9"/>
  <c r="CD77" i="9"/>
  <c r="CE77" i="9" s="1"/>
  <c r="CF77" i="9"/>
  <c r="CG77" i="9"/>
  <c r="CH77" i="9"/>
  <c r="CI77" i="9"/>
  <c r="BY78" i="9"/>
  <c r="BZ78" i="9" s="1"/>
  <c r="CA78" i="9" s="1"/>
  <c r="CB78" i="9"/>
  <c r="CC78" i="9"/>
  <c r="CD78" i="9"/>
  <c r="CE78" i="9"/>
  <c r="CF78" i="9"/>
  <c r="CG78" i="9"/>
  <c r="CI78" i="9" s="1"/>
  <c r="CH78" i="9"/>
  <c r="BY79" i="9"/>
  <c r="BZ79" i="9"/>
  <c r="CA79" i="9"/>
  <c r="CB79" i="9"/>
  <c r="CC79" i="9"/>
  <c r="CD79" i="9"/>
  <c r="CG79" i="9" s="1"/>
  <c r="CH79" i="9" s="1"/>
  <c r="CE79" i="9"/>
  <c r="CF79" i="9"/>
  <c r="BY80" i="9"/>
  <c r="BZ80" i="9"/>
  <c r="CA80" i="9"/>
  <c r="CB80" i="9"/>
  <c r="CC80" i="9"/>
  <c r="CD80" i="9"/>
  <c r="CE80" i="9"/>
  <c r="BY81" i="9"/>
  <c r="BZ81" i="9"/>
  <c r="CA81" i="9"/>
  <c r="CB81" i="9"/>
  <c r="CC81" i="9"/>
  <c r="CD81" i="9"/>
  <c r="CE81" i="9"/>
  <c r="BY82" i="9"/>
  <c r="BZ82" i="9"/>
  <c r="CA82" i="9" s="1"/>
  <c r="CB82" i="9"/>
  <c r="CC82" i="9"/>
  <c r="CD82" i="9"/>
  <c r="CE82" i="9"/>
  <c r="BY83" i="9"/>
  <c r="BZ83" i="9" s="1"/>
  <c r="CA83" i="9" s="1"/>
  <c r="CB83" i="9"/>
  <c r="CC83" i="9"/>
  <c r="CD83" i="9"/>
  <c r="CE83" i="9" s="1"/>
  <c r="CF83" i="9"/>
  <c r="CG83" i="9"/>
  <c r="CH83" i="9"/>
  <c r="CI83" i="9"/>
  <c r="BY84" i="9"/>
  <c r="BZ84" i="9"/>
  <c r="CA84" i="9" s="1"/>
  <c r="CB84" i="9"/>
  <c r="CC84" i="9"/>
  <c r="CD84" i="9"/>
  <c r="CH84" i="9" s="1"/>
  <c r="CE84" i="9"/>
  <c r="CF84" i="9"/>
  <c r="CG84" i="9"/>
  <c r="CI84" i="9"/>
  <c r="BY85" i="9"/>
  <c r="BZ85" i="9"/>
  <c r="CA85" i="9"/>
  <c r="CB85" i="9"/>
  <c r="CC85" i="9"/>
  <c r="CD85" i="9"/>
  <c r="CE85" i="9" s="1"/>
  <c r="BY86" i="9"/>
  <c r="BZ86" i="9" s="1"/>
  <c r="CA86" i="9" s="1"/>
  <c r="CB86" i="9"/>
  <c r="CC86" i="9"/>
  <c r="CD86" i="9"/>
  <c r="BY87" i="9"/>
  <c r="BZ87" i="9"/>
  <c r="CA87" i="9"/>
  <c r="CB87" i="9"/>
  <c r="CC87" i="9"/>
  <c r="CD87" i="9"/>
  <c r="CG87" i="9"/>
  <c r="BY88" i="9"/>
  <c r="BZ88" i="9"/>
  <c r="CA88" i="9"/>
  <c r="CB88" i="9"/>
  <c r="CC88" i="9"/>
  <c r="CD88" i="9"/>
  <c r="CE88" i="9" s="1"/>
  <c r="CG88" i="9"/>
  <c r="BY89" i="9"/>
  <c r="BZ89" i="9"/>
  <c r="CA89" i="9"/>
  <c r="CB89" i="9"/>
  <c r="CC89" i="9"/>
  <c r="CD89" i="9"/>
  <c r="BY90" i="9"/>
  <c r="BZ90" i="9"/>
  <c r="CA90" i="9"/>
  <c r="CB90" i="9"/>
  <c r="CC90" i="9"/>
  <c r="CD90" i="9"/>
  <c r="CE90" i="9"/>
  <c r="CF90" i="9"/>
  <c r="BY91" i="9"/>
  <c r="BZ91" i="9" s="1"/>
  <c r="CA91" i="9" s="1"/>
  <c r="CB91" i="9"/>
  <c r="CC91" i="9"/>
  <c r="CD91" i="9"/>
  <c r="CE91" i="9"/>
  <c r="CF91" i="9"/>
  <c r="CH91" i="9" s="1"/>
  <c r="CG91" i="9"/>
  <c r="BY92" i="9"/>
  <c r="BZ92" i="9" s="1"/>
  <c r="CA92" i="9" s="1"/>
  <c r="CB92" i="9"/>
  <c r="CC92" i="9"/>
  <c r="CD92" i="9"/>
  <c r="CE92" i="9"/>
  <c r="CF92" i="9"/>
  <c r="CG92" i="9"/>
  <c r="BY93" i="9"/>
  <c r="BZ93" i="9"/>
  <c r="CA93" i="9"/>
  <c r="CB93" i="9"/>
  <c r="CC93" i="9"/>
  <c r="CD93" i="9"/>
  <c r="CG93" i="9" s="1"/>
  <c r="CI93" i="9" s="1"/>
  <c r="CE93" i="9"/>
  <c r="CF93" i="9"/>
  <c r="BY94" i="9"/>
  <c r="BZ94" i="9"/>
  <c r="CA94" i="9" s="1"/>
  <c r="CB94" i="9"/>
  <c r="CC94" i="9"/>
  <c r="CD94" i="9"/>
  <c r="CE94" i="9"/>
  <c r="BY95" i="9"/>
  <c r="BZ95" i="9"/>
  <c r="CA95" i="9" s="1"/>
  <c r="CB95" i="9"/>
  <c r="CC95" i="9"/>
  <c r="CD95" i="9"/>
  <c r="CG95" i="9" s="1"/>
  <c r="CE95" i="9"/>
  <c r="CF95" i="9"/>
  <c r="BY96" i="9"/>
  <c r="BZ96" i="9"/>
  <c r="CA96" i="9" s="1"/>
  <c r="CB96" i="9"/>
  <c r="CC96" i="9"/>
  <c r="CD96" i="9"/>
  <c r="CE96" i="9" s="1"/>
  <c r="CG96" i="9"/>
  <c r="BY97" i="9"/>
  <c r="BZ97" i="9"/>
  <c r="CA97" i="9" s="1"/>
  <c r="CB97" i="9"/>
  <c r="CC97" i="9"/>
  <c r="CD97" i="9"/>
  <c r="CE97" i="9" s="1"/>
  <c r="CF97" i="9"/>
  <c r="CG97" i="9"/>
  <c r="CH97" i="9"/>
  <c r="CI97" i="9"/>
  <c r="BY98" i="9"/>
  <c r="BZ98" i="9" s="1"/>
  <c r="CA98" i="9" s="1"/>
  <c r="CB98" i="9"/>
  <c r="CC98" i="9"/>
  <c r="CD98" i="9"/>
  <c r="CE98" i="9"/>
  <c r="CF98" i="9"/>
  <c r="CH98" i="9" s="1"/>
  <c r="CG98" i="9"/>
  <c r="CI98" i="9"/>
  <c r="BY99" i="9"/>
  <c r="BZ99" i="9"/>
  <c r="CA99" i="9"/>
  <c r="CB99" i="9"/>
  <c r="CC99" i="9"/>
  <c r="CD99" i="9"/>
  <c r="CE99" i="9"/>
  <c r="CF99" i="9"/>
  <c r="BY100" i="9"/>
  <c r="BZ100" i="9" s="1"/>
  <c r="CA100" i="9"/>
  <c r="CB100" i="9"/>
  <c r="CC100" i="9"/>
  <c r="CD100" i="9"/>
  <c r="CE100" i="9"/>
  <c r="CF100" i="9"/>
  <c r="CG100" i="9"/>
  <c r="CH100" i="9"/>
  <c r="CI100" i="9"/>
  <c r="BY101" i="9"/>
  <c r="BZ101" i="9"/>
  <c r="CA101" i="9"/>
  <c r="CB101" i="9"/>
  <c r="CC101" i="9"/>
  <c r="CD101" i="9"/>
  <c r="BY102" i="9"/>
  <c r="BZ102" i="9"/>
  <c r="CA102" i="9"/>
  <c r="CB102" i="9"/>
  <c r="CC102" i="9"/>
  <c r="CD102" i="9"/>
  <c r="BY103" i="9"/>
  <c r="BZ103" i="9" s="1"/>
  <c r="CA103" i="9" s="1"/>
  <c r="CB103" i="9"/>
  <c r="CC103" i="9"/>
  <c r="CD103" i="9"/>
  <c r="CG103" i="9"/>
  <c r="BY104" i="9"/>
  <c r="BZ104" i="9"/>
  <c r="CA104" i="9" s="1"/>
  <c r="CB104" i="9"/>
  <c r="CC104" i="9"/>
  <c r="CD104" i="9"/>
  <c r="CF104" i="9" s="1"/>
  <c r="CE104" i="9"/>
  <c r="BY105" i="9"/>
  <c r="BZ105" i="9" s="1"/>
  <c r="CA105" i="9" s="1"/>
  <c r="CB105" i="9"/>
  <c r="CC105" i="9"/>
  <c r="CD105" i="9"/>
  <c r="CF105" i="9" s="1"/>
  <c r="CE105" i="9"/>
  <c r="BY106" i="9"/>
  <c r="BZ106" i="9" s="1"/>
  <c r="CA106" i="9" s="1"/>
  <c r="CB106" i="9"/>
  <c r="CC106" i="9"/>
  <c r="CD106" i="9"/>
  <c r="CE106" i="9"/>
  <c r="CF106" i="9"/>
  <c r="CG106" i="9"/>
  <c r="CH106" i="9" s="1"/>
  <c r="BY107" i="9"/>
  <c r="BZ107" i="9" s="1"/>
  <c r="CA107" i="9" s="1"/>
  <c r="CB107" i="9"/>
  <c r="CC107" i="9"/>
  <c r="CD107" i="9"/>
  <c r="CG107" i="9" s="1"/>
  <c r="CE107" i="9"/>
  <c r="CF107" i="9"/>
  <c r="BY108" i="9"/>
  <c r="BZ108" i="9"/>
  <c r="CA108" i="9"/>
  <c r="CB108" i="9"/>
  <c r="CC108" i="9"/>
  <c r="CD108" i="9"/>
  <c r="CE108" i="9"/>
  <c r="BY109" i="9"/>
  <c r="BZ109" i="9"/>
  <c r="CA109" i="9"/>
  <c r="CB109" i="9"/>
  <c r="CC109" i="9"/>
  <c r="CD109" i="9"/>
  <c r="CE109" i="9"/>
  <c r="CF109" i="9"/>
  <c r="CH109" i="9" s="1"/>
  <c r="CG109" i="9"/>
  <c r="BY110" i="9"/>
  <c r="BZ110" i="9"/>
  <c r="CA110" i="9" s="1"/>
  <c r="CB110" i="9"/>
  <c r="CC110" i="9"/>
  <c r="CD110" i="9"/>
  <c r="CF110" i="9" s="1"/>
  <c r="CE110" i="9"/>
  <c r="BY111" i="9"/>
  <c r="BZ111" i="9"/>
  <c r="CA111" i="9" s="1"/>
  <c r="CB111" i="9"/>
  <c r="CC111" i="9"/>
  <c r="CD111" i="9"/>
  <c r="CF111" i="9" s="1"/>
  <c r="BY112" i="9"/>
  <c r="BZ112" i="9" s="1"/>
  <c r="CA112" i="9" s="1"/>
  <c r="CB112" i="9"/>
  <c r="CC112" i="9"/>
  <c r="CD112" i="9"/>
  <c r="CE112" i="9"/>
  <c r="CF112" i="9"/>
  <c r="CG112" i="9"/>
  <c r="CI112" i="9"/>
  <c r="BY113" i="9"/>
  <c r="BZ113" i="9"/>
  <c r="CA113" i="9" s="1"/>
  <c r="CB113" i="9"/>
  <c r="CC113" i="9"/>
  <c r="CD113" i="9"/>
  <c r="CG113" i="9" s="1"/>
  <c r="CF113" i="9"/>
  <c r="CH113" i="9"/>
  <c r="CI113" i="9"/>
  <c r="BY114" i="9"/>
  <c r="BZ114" i="9" s="1"/>
  <c r="CA114" i="9"/>
  <c r="CB114" i="9"/>
  <c r="CC114" i="9"/>
  <c r="CD114" i="9"/>
  <c r="CE114" i="9"/>
  <c r="BY115" i="9"/>
  <c r="BZ115" i="9"/>
  <c r="CA115" i="9"/>
  <c r="CB115" i="9"/>
  <c r="CC115" i="9"/>
  <c r="CD115" i="9"/>
  <c r="BY116" i="9"/>
  <c r="BZ116" i="9"/>
  <c r="CA116" i="9" s="1"/>
  <c r="CB116" i="9"/>
  <c r="CC116" i="9"/>
  <c r="CD116" i="9"/>
  <c r="CF116" i="9" s="1"/>
  <c r="CE116" i="9"/>
  <c r="CG116" i="9"/>
  <c r="CH116" i="9" s="1"/>
  <c r="BY117" i="9"/>
  <c r="BZ117" i="9" s="1"/>
  <c r="CA117" i="9" s="1"/>
  <c r="CB117" i="9"/>
  <c r="CC117" i="9"/>
  <c r="CD117" i="9"/>
  <c r="BY118" i="9"/>
  <c r="BZ118" i="9"/>
  <c r="CA118" i="9"/>
  <c r="CB118" i="9"/>
  <c r="CC118" i="9"/>
  <c r="CD118" i="9"/>
  <c r="CE118" i="9" s="1"/>
  <c r="BY119" i="9"/>
  <c r="BZ119" i="9" s="1"/>
  <c r="CA119" i="9" s="1"/>
  <c r="CB119" i="9"/>
  <c r="CC119" i="9"/>
  <c r="CD119" i="9"/>
  <c r="CE119" i="9" s="1"/>
  <c r="CG119" i="9"/>
  <c r="BY120" i="9"/>
  <c r="BZ120" i="9" s="1"/>
  <c r="CA120" i="9"/>
  <c r="CB120" i="9"/>
  <c r="CC120" i="9"/>
  <c r="CD120" i="9"/>
  <c r="CE120" i="9"/>
  <c r="CF120" i="9"/>
  <c r="CG120" i="9"/>
  <c r="CH120" i="9"/>
  <c r="CI120" i="9"/>
  <c r="BY121" i="9"/>
  <c r="BZ121" i="9"/>
  <c r="CA121" i="9"/>
  <c r="CB121" i="9"/>
  <c r="CC121" i="9"/>
  <c r="CD121" i="9"/>
  <c r="BY122" i="9"/>
  <c r="BZ122" i="9"/>
  <c r="CA122" i="9"/>
  <c r="CB122" i="9"/>
  <c r="CC122" i="9"/>
  <c r="CD122" i="9"/>
  <c r="CF122" i="9" s="1"/>
  <c r="BY123" i="9"/>
  <c r="BZ123" i="9"/>
  <c r="CA123" i="9"/>
  <c r="CB123" i="9"/>
  <c r="CC123" i="9"/>
  <c r="CD123" i="9"/>
  <c r="CE123" i="9"/>
  <c r="BY124" i="9"/>
  <c r="BZ124" i="9" s="1"/>
  <c r="CA124" i="9" s="1"/>
  <c r="CB124" i="9"/>
  <c r="CC124" i="9"/>
  <c r="CD124" i="9"/>
  <c r="CF124" i="9" s="1"/>
  <c r="CE124" i="9"/>
  <c r="BY125" i="9"/>
  <c r="BZ125" i="9"/>
  <c r="CA125" i="9" s="1"/>
  <c r="CB125" i="9"/>
  <c r="CC125" i="9"/>
  <c r="CD125" i="9"/>
  <c r="CF125" i="9" s="1"/>
  <c r="BY126" i="9"/>
  <c r="BZ126" i="9" s="1"/>
  <c r="CA126" i="9" s="1"/>
  <c r="CB126" i="9"/>
  <c r="CC126" i="9"/>
  <c r="CD126" i="9"/>
  <c r="CE126" i="9"/>
  <c r="CF126" i="9"/>
  <c r="CI126" i="9" s="1"/>
  <c r="CG126" i="9"/>
  <c r="BY127" i="9"/>
  <c r="BZ127" i="9" s="1"/>
  <c r="CA127" i="9" s="1"/>
  <c r="CB127" i="9"/>
  <c r="CC127" i="9"/>
  <c r="CD127" i="9"/>
  <c r="CG127" i="9" s="1"/>
  <c r="CF127" i="9"/>
  <c r="CH127" i="9"/>
  <c r="CI127" i="9"/>
  <c r="BY128" i="9"/>
  <c r="BZ128" i="9" s="1"/>
  <c r="CA128" i="9"/>
  <c r="CB128" i="9"/>
  <c r="CC128" i="9"/>
  <c r="CD128" i="9"/>
  <c r="CE128" i="9" s="1"/>
  <c r="BY129" i="9"/>
  <c r="BZ129" i="9"/>
  <c r="CA129" i="9"/>
  <c r="CB129" i="9"/>
  <c r="CC129" i="9"/>
  <c r="CD129" i="9"/>
  <c r="CE129" i="9"/>
  <c r="CF129" i="9"/>
  <c r="CG129" i="9"/>
  <c r="CH129" i="9"/>
  <c r="BY130" i="9"/>
  <c r="BZ130" i="9"/>
  <c r="CA130" i="9" s="1"/>
  <c r="CB130" i="9"/>
  <c r="CC130" i="9"/>
  <c r="CD130" i="9"/>
  <c r="CF130" i="9" s="1"/>
  <c r="CE130" i="9"/>
  <c r="CG130" i="9"/>
  <c r="CH130" i="9" s="1"/>
  <c r="BY131" i="9"/>
  <c r="BZ131" i="9"/>
  <c r="CA131" i="9"/>
  <c r="CB131" i="9"/>
  <c r="CC131" i="9"/>
  <c r="CD131" i="9"/>
  <c r="BY132" i="9"/>
  <c r="BZ132" i="9"/>
  <c r="CA132" i="9" s="1"/>
  <c r="CB132" i="9"/>
  <c r="CC132" i="9"/>
  <c r="CD132" i="9"/>
  <c r="CE132" i="9" s="1"/>
  <c r="CF132" i="9"/>
  <c r="BY133" i="9"/>
  <c r="BZ133" i="9" s="1"/>
  <c r="CA133" i="9" s="1"/>
  <c r="CB133" i="9"/>
  <c r="CC133" i="9"/>
  <c r="CD133" i="9"/>
  <c r="CE133" i="9"/>
  <c r="CF133" i="9"/>
  <c r="BY134" i="9"/>
  <c r="BZ134" i="9" s="1"/>
  <c r="CA134" i="9"/>
  <c r="CB134" i="9"/>
  <c r="CC134" i="9"/>
  <c r="CD134" i="9"/>
  <c r="CE134" i="9"/>
  <c r="CF134" i="9"/>
  <c r="CG134" i="9"/>
  <c r="CH134" i="9"/>
  <c r="CI134" i="9"/>
  <c r="BY135" i="9"/>
  <c r="BZ135" i="9" s="1"/>
  <c r="CA135" i="9" s="1"/>
  <c r="CB135" i="9"/>
  <c r="CC135" i="9"/>
  <c r="CD135" i="9"/>
  <c r="BY136" i="9"/>
  <c r="BZ136" i="9"/>
  <c r="CA136" i="9"/>
  <c r="CB136" i="9"/>
  <c r="CC136" i="9"/>
  <c r="CD136" i="9"/>
  <c r="CF136" i="9" s="1"/>
  <c r="CE136" i="9"/>
  <c r="CG136" i="9"/>
  <c r="CI136" i="9"/>
  <c r="BY137" i="9"/>
  <c r="BZ137" i="9"/>
  <c r="CA137" i="9"/>
  <c r="CB137" i="9"/>
  <c r="CC137" i="9"/>
  <c r="CD137" i="9"/>
  <c r="CE137" i="9"/>
  <c r="CF137" i="9"/>
  <c r="CG137" i="9"/>
  <c r="CH137" i="9"/>
  <c r="BY138" i="9"/>
  <c r="BZ138" i="9"/>
  <c r="CA138" i="9" s="1"/>
  <c r="CB138" i="9"/>
  <c r="CC138" i="9"/>
  <c r="CD138" i="9"/>
  <c r="CF138" i="9" s="1"/>
  <c r="CE138" i="9"/>
  <c r="BY139" i="9"/>
  <c r="BZ139" i="9"/>
  <c r="CA139" i="9" s="1"/>
  <c r="CB139" i="9"/>
  <c r="CC139" i="9"/>
  <c r="CD139" i="9"/>
  <c r="CE139" i="9"/>
  <c r="CF139" i="9"/>
  <c r="BY140" i="9"/>
  <c r="BZ140" i="9" s="1"/>
  <c r="CA140" i="9" s="1"/>
  <c r="CB140" i="9"/>
  <c r="CC140" i="9"/>
  <c r="CD140" i="9"/>
  <c r="CE140" i="9"/>
  <c r="CF140" i="9"/>
  <c r="CG140" i="9"/>
  <c r="CH140" i="9"/>
  <c r="CI140" i="9"/>
  <c r="BY141" i="9"/>
  <c r="BZ141" i="9"/>
  <c r="CA141" i="9"/>
  <c r="CB141" i="9"/>
  <c r="CC141" i="9"/>
  <c r="CD141" i="9"/>
  <c r="CG141" i="9" s="1"/>
  <c r="CE141" i="9"/>
  <c r="CF141" i="9"/>
  <c r="CH141" i="9" s="1"/>
  <c r="BY142" i="9"/>
  <c r="BZ142" i="9"/>
  <c r="CA142" i="9"/>
  <c r="CB142" i="9"/>
  <c r="CC142" i="9"/>
  <c r="CD142" i="9"/>
  <c r="CF142" i="9" s="1"/>
  <c r="CE142" i="9"/>
  <c r="BY143" i="9"/>
  <c r="BZ143" i="9"/>
  <c r="CA143" i="9"/>
  <c r="CB143" i="9"/>
  <c r="CC143" i="9"/>
  <c r="CD143" i="9"/>
  <c r="CE143" i="9"/>
  <c r="BY144" i="9"/>
  <c r="BZ144" i="9"/>
  <c r="CA144" i="9"/>
  <c r="CB144" i="9"/>
  <c r="CC144" i="9"/>
  <c r="CD144" i="9"/>
  <c r="BY145" i="9"/>
  <c r="BZ145" i="9"/>
  <c r="CA145" i="9" s="1"/>
  <c r="CB145" i="9"/>
  <c r="CC145" i="9"/>
  <c r="CD145" i="9"/>
  <c r="CE145" i="9" s="1"/>
  <c r="CF145" i="9"/>
  <c r="CG145" i="9"/>
  <c r="CI145" i="9" s="1"/>
  <c r="CH145" i="9"/>
  <c r="BY146" i="9"/>
  <c r="BZ146" i="9" s="1"/>
  <c r="CA146" i="9" s="1"/>
  <c r="CB146" i="9"/>
  <c r="CC146" i="9"/>
  <c r="CD146" i="9"/>
  <c r="CG146" i="9"/>
  <c r="BY147" i="9"/>
  <c r="BZ147" i="9"/>
  <c r="CA147" i="9"/>
  <c r="CB147" i="9"/>
  <c r="CC147" i="9"/>
  <c r="CD147" i="9"/>
  <c r="CE147" i="9"/>
  <c r="BY148" i="9"/>
  <c r="BZ148" i="9" s="1"/>
  <c r="CA148" i="9"/>
  <c r="CB148" i="9"/>
  <c r="CC148" i="9"/>
  <c r="CD148" i="9"/>
  <c r="CE148" i="9"/>
  <c r="CF148" i="9"/>
  <c r="CG148" i="9"/>
  <c r="CH148" i="9"/>
  <c r="CI148" i="9"/>
  <c r="BY149" i="9"/>
  <c r="BZ149" i="9"/>
  <c r="CA149" i="9"/>
  <c r="CB149" i="9"/>
  <c r="CC149" i="9"/>
  <c r="CD149" i="9"/>
  <c r="CE149" i="9" s="1"/>
  <c r="BY150" i="9"/>
  <c r="BZ150" i="9"/>
  <c r="CA150" i="9"/>
  <c r="CB150" i="9"/>
  <c r="CC150" i="9"/>
  <c r="CD150" i="9"/>
  <c r="BY151" i="9"/>
  <c r="BZ151" i="9" s="1"/>
  <c r="CA151" i="9" s="1"/>
  <c r="CB151" i="9"/>
  <c r="CC151" i="9"/>
  <c r="CD151" i="9"/>
  <c r="CE151" i="9"/>
  <c r="BY152" i="9"/>
  <c r="BZ152" i="9" s="1"/>
  <c r="CA152" i="9"/>
  <c r="CB152" i="9"/>
  <c r="CC152" i="9"/>
  <c r="CD152" i="9"/>
  <c r="CE152" i="9"/>
  <c r="CF152" i="9"/>
  <c r="CH152" i="9" s="1"/>
  <c r="CG152" i="9"/>
  <c r="BY153" i="9"/>
  <c r="BZ153" i="9"/>
  <c r="CA153" i="9" s="1"/>
  <c r="CB153" i="9"/>
  <c r="CC153" i="9"/>
  <c r="CD153" i="9"/>
  <c r="CE153" i="9"/>
  <c r="CF153" i="9"/>
  <c r="CH153" i="9" s="1"/>
  <c r="CG153" i="9"/>
  <c r="BY154" i="9"/>
  <c r="BZ154" i="9" s="1"/>
  <c r="CA154" i="9" s="1"/>
  <c r="CB154" i="9"/>
  <c r="CC154" i="9"/>
  <c r="CD154" i="9"/>
  <c r="CE154" i="9"/>
  <c r="CF154" i="9"/>
  <c r="CG154" i="9"/>
  <c r="CH154" i="9"/>
  <c r="CI154" i="9"/>
  <c r="BY155" i="9"/>
  <c r="BZ155" i="9" s="1"/>
  <c r="CA155" i="9" s="1"/>
  <c r="CB155" i="9"/>
  <c r="CC155" i="9"/>
  <c r="CD155" i="9"/>
  <c r="CE155" i="9"/>
  <c r="BY156" i="9"/>
  <c r="BZ156" i="9" s="1"/>
  <c r="CA156" i="9"/>
  <c r="CB156" i="9"/>
  <c r="CC156" i="9"/>
  <c r="CD156" i="9"/>
  <c r="CG156" i="9" s="1"/>
  <c r="CE156" i="9"/>
  <c r="CF156" i="9"/>
  <c r="BY157" i="9"/>
  <c r="BZ157" i="9"/>
  <c r="CA157" i="9"/>
  <c r="CB157" i="9"/>
  <c r="CC157" i="9"/>
  <c r="CD157" i="9"/>
  <c r="CE157" i="9"/>
  <c r="CF157" i="9"/>
  <c r="CG157" i="9"/>
  <c r="CH157" i="9"/>
  <c r="CI157" i="9"/>
  <c r="BY158" i="9"/>
  <c r="BZ158" i="9"/>
  <c r="CA158" i="9"/>
  <c r="CB158" i="9"/>
  <c r="CC158" i="9"/>
  <c r="CD158" i="9"/>
  <c r="CF158" i="9" s="1"/>
  <c r="CE158" i="9"/>
  <c r="CG158" i="9"/>
  <c r="CH158" i="9"/>
  <c r="CI158" i="9"/>
  <c r="BY159" i="9"/>
  <c r="BZ159" i="9"/>
  <c r="CA159" i="9"/>
  <c r="CB159" i="9"/>
  <c r="CC159" i="9"/>
  <c r="CD159" i="9"/>
  <c r="CG159" i="9"/>
  <c r="BY160" i="9"/>
  <c r="BZ160" i="9"/>
  <c r="CA160" i="9"/>
  <c r="CB160" i="9"/>
  <c r="CC160" i="9"/>
  <c r="CD160" i="9"/>
  <c r="CE160" i="9"/>
  <c r="CF160" i="9"/>
  <c r="CG160" i="9"/>
  <c r="BY161" i="9"/>
  <c r="BZ161" i="9"/>
  <c r="CA161" i="9" s="1"/>
  <c r="CB161" i="9"/>
  <c r="CC161" i="9"/>
  <c r="CD161" i="9"/>
  <c r="CE161" i="9"/>
  <c r="CF161" i="9"/>
  <c r="CG161" i="9"/>
  <c r="CH161" i="9"/>
  <c r="CI161" i="9"/>
  <c r="BY162" i="9"/>
  <c r="BZ162" i="9" s="1"/>
  <c r="CA162" i="9"/>
  <c r="CB162" i="9"/>
  <c r="CC162" i="9"/>
  <c r="CD162" i="9"/>
  <c r="CG162" i="9" s="1"/>
  <c r="BY163" i="9"/>
  <c r="BZ163" i="9"/>
  <c r="CA163" i="9"/>
  <c r="CB163" i="9"/>
  <c r="CC163" i="9"/>
  <c r="CD163" i="9"/>
  <c r="CF163" i="9" s="1"/>
  <c r="CE163" i="9"/>
  <c r="BY164" i="9"/>
  <c r="BZ164" i="9"/>
  <c r="CA164" i="9"/>
  <c r="CB164" i="9"/>
  <c r="CC164" i="9"/>
  <c r="CD164" i="9"/>
  <c r="CF164" i="9" s="1"/>
  <c r="CE164" i="9"/>
  <c r="CG164" i="9"/>
  <c r="CH164" i="9"/>
  <c r="CI164" i="9"/>
  <c r="BY165" i="9"/>
  <c r="BZ165" i="9"/>
  <c r="CA165" i="9"/>
  <c r="CB165" i="9"/>
  <c r="CC165" i="9"/>
  <c r="CD165" i="9"/>
  <c r="CE165" i="9"/>
  <c r="CF165" i="9"/>
  <c r="CG165" i="9"/>
  <c r="CH165" i="9"/>
  <c r="BY166" i="9"/>
  <c r="BZ166" i="9"/>
  <c r="CA166" i="9"/>
  <c r="CB166" i="9"/>
  <c r="CC166" i="9"/>
  <c r="CD166" i="9"/>
  <c r="CG166" i="9" s="1"/>
  <c r="CE166" i="9"/>
  <c r="CF166" i="9"/>
  <c r="CH166" i="9" s="1"/>
  <c r="BY167" i="9"/>
  <c r="BZ167" i="9"/>
  <c r="CA167" i="9" s="1"/>
  <c r="CB167" i="9"/>
  <c r="CC167" i="9"/>
  <c r="CD167" i="9"/>
  <c r="CG167" i="9" s="1"/>
  <c r="CE167" i="9"/>
  <c r="CF167" i="9"/>
  <c r="CH167" i="9"/>
  <c r="CI167" i="9"/>
  <c r="BY168" i="9"/>
  <c r="BZ168" i="9" s="1"/>
  <c r="CA168" i="9"/>
  <c r="CB168" i="9"/>
  <c r="CC168" i="9"/>
  <c r="CD168" i="9"/>
  <c r="CE168" i="9"/>
  <c r="CF168" i="9"/>
  <c r="CG168" i="9"/>
  <c r="CH168" i="9"/>
  <c r="CI168" i="9"/>
  <c r="BY169" i="9"/>
  <c r="BZ169" i="9"/>
  <c r="CA169" i="9"/>
  <c r="CB169" i="9"/>
  <c r="CC169" i="9"/>
  <c r="CD169" i="9"/>
  <c r="CG169" i="9" s="1"/>
  <c r="CE169" i="9"/>
  <c r="CF169" i="9"/>
  <c r="CI169" i="9"/>
  <c r="BY170" i="9"/>
  <c r="BZ170" i="9"/>
  <c r="CA170" i="9"/>
  <c r="CB170" i="9"/>
  <c r="CC170" i="9"/>
  <c r="CD170" i="9"/>
  <c r="CG170" i="9" s="1"/>
  <c r="CE170" i="9"/>
  <c r="CF170" i="9"/>
  <c r="BY171" i="9"/>
  <c r="BZ171" i="9"/>
  <c r="CA171" i="9" s="1"/>
  <c r="CB171" i="9"/>
  <c r="CC171" i="9"/>
  <c r="CD171" i="9"/>
  <c r="CF171" i="9" s="1"/>
  <c r="CE171" i="9"/>
  <c r="CG171" i="9"/>
  <c r="CH171" i="9"/>
  <c r="CI171" i="9"/>
  <c r="BY172" i="9"/>
  <c r="BZ172" i="9"/>
  <c r="CA172" i="9" s="1"/>
  <c r="CB172" i="9"/>
  <c r="CC172" i="9"/>
  <c r="CD172" i="9"/>
  <c r="CE172" i="9" s="1"/>
  <c r="CF172" i="9"/>
  <c r="CG172" i="9"/>
  <c r="CH172" i="9"/>
  <c r="BY173" i="9"/>
  <c r="BZ173" i="9"/>
  <c r="CA173" i="9"/>
  <c r="CB173" i="9"/>
  <c r="CC173" i="9"/>
  <c r="CD173" i="9"/>
  <c r="CE173" i="9" s="1"/>
  <c r="BY174" i="9"/>
  <c r="BZ174" i="9"/>
  <c r="CA174" i="9"/>
  <c r="CB174" i="9"/>
  <c r="CC174" i="9"/>
  <c r="CD174" i="9"/>
  <c r="CF174" i="9" s="1"/>
  <c r="CE174" i="9"/>
  <c r="CG174" i="9"/>
  <c r="CH174" i="9"/>
  <c r="CI174" i="9"/>
  <c r="BY175" i="9"/>
  <c r="BZ175" i="9"/>
  <c r="CA175" i="9"/>
  <c r="CB175" i="9"/>
  <c r="CC175" i="9"/>
  <c r="CD175" i="9"/>
  <c r="CF175" i="9"/>
  <c r="CG175" i="9"/>
  <c r="CH175" i="9"/>
  <c r="BY176" i="9"/>
  <c r="BZ176" i="9"/>
  <c r="CA176" i="9"/>
  <c r="CB176" i="9"/>
  <c r="CC176" i="9"/>
  <c r="CD176" i="9"/>
  <c r="CE176" i="9"/>
  <c r="CF176" i="9"/>
  <c r="CI176" i="9" s="1"/>
  <c r="CG176" i="9"/>
  <c r="BY177" i="9"/>
  <c r="BZ177" i="9"/>
  <c r="CA177" i="9" s="1"/>
  <c r="CB177" i="9"/>
  <c r="CC177" i="9"/>
  <c r="CD177" i="9"/>
  <c r="CI177" i="9" s="1"/>
  <c r="CE177" i="9"/>
  <c r="CF177" i="9"/>
  <c r="CG177" i="9"/>
  <c r="CH177" i="9"/>
  <c r="BY178" i="9"/>
  <c r="BZ178" i="9" s="1"/>
  <c r="CA178" i="9"/>
  <c r="CB178" i="9"/>
  <c r="CC178" i="9"/>
  <c r="CD178" i="9"/>
  <c r="CE178" i="9"/>
  <c r="CF178" i="9"/>
  <c r="CG178" i="9"/>
  <c r="CH178" i="9"/>
  <c r="CI178" i="9"/>
  <c r="BY179" i="9"/>
  <c r="BZ179" i="9"/>
  <c r="CA179" i="9"/>
  <c r="CB179" i="9"/>
  <c r="CC179" i="9"/>
  <c r="CD179" i="9"/>
  <c r="CG179" i="9" s="1"/>
  <c r="BY180" i="9"/>
  <c r="BZ180" i="9"/>
  <c r="CA180" i="9"/>
  <c r="CB180" i="9"/>
  <c r="CC180" i="9"/>
  <c r="CD180" i="9"/>
  <c r="CF180" i="9" s="1"/>
  <c r="CE180" i="9"/>
  <c r="BY181" i="9"/>
  <c r="BZ181" i="9"/>
  <c r="CA181" i="9"/>
  <c r="CB181" i="9"/>
  <c r="CC181" i="9"/>
  <c r="CD181" i="9"/>
  <c r="CE181" i="9"/>
  <c r="CF181" i="9"/>
  <c r="CG181" i="9"/>
  <c r="CH181" i="9"/>
  <c r="BY182" i="9"/>
  <c r="BZ182" i="9" s="1"/>
  <c r="CA182" i="9" s="1"/>
  <c r="CB182" i="9"/>
  <c r="CC182" i="9"/>
  <c r="CD182" i="9"/>
  <c r="CE182" i="9"/>
  <c r="CF182" i="9"/>
  <c r="CG182" i="9"/>
  <c r="CH182" i="9"/>
  <c r="CI182" i="9"/>
  <c r="BY183" i="9"/>
  <c r="BZ183" i="9"/>
  <c r="CA183" i="9" s="1"/>
  <c r="CB183" i="9"/>
  <c r="CC183" i="9"/>
  <c r="CD183" i="9"/>
  <c r="CE183" i="9" s="1"/>
  <c r="CF183" i="9"/>
  <c r="CI183" i="9" s="1"/>
  <c r="CG183" i="9"/>
  <c r="CH183" i="9" s="1"/>
  <c r="BY184" i="9"/>
  <c r="BZ184" i="9"/>
  <c r="CA184" i="9"/>
  <c r="CB184" i="9"/>
  <c r="CC184" i="9"/>
  <c r="CD184" i="9"/>
  <c r="CE184" i="9"/>
  <c r="CF184" i="9"/>
  <c r="CI184" i="9" s="1"/>
  <c r="CG184" i="9"/>
  <c r="BY185" i="9"/>
  <c r="BZ185" i="9"/>
  <c r="CA185" i="9" s="1"/>
  <c r="CB185" i="9"/>
  <c r="CC185" i="9"/>
  <c r="CD185" i="9"/>
  <c r="CG185" i="9" s="1"/>
  <c r="CE185" i="9"/>
  <c r="CF185" i="9"/>
  <c r="CH185" i="9"/>
  <c r="CI185" i="9"/>
  <c r="BY186" i="9"/>
  <c r="BZ186" i="9" s="1"/>
  <c r="CA186" i="9"/>
  <c r="CB186" i="9"/>
  <c r="CC186" i="9"/>
  <c r="CD186" i="9"/>
  <c r="CG186" i="9" s="1"/>
  <c r="CI186" i="9" s="1"/>
  <c r="CE186" i="9"/>
  <c r="CF186" i="9"/>
  <c r="CH186" i="9" s="1"/>
  <c r="BY187" i="9"/>
  <c r="BZ187" i="9"/>
  <c r="CA187" i="9"/>
  <c r="CB187" i="9"/>
  <c r="CC187" i="9"/>
  <c r="CD187" i="9"/>
  <c r="CF187" i="9" s="1"/>
  <c r="CE187" i="9"/>
  <c r="BY188" i="9"/>
  <c r="BZ188" i="9"/>
  <c r="CA188" i="9"/>
  <c r="CB188" i="9"/>
  <c r="CC188" i="9"/>
  <c r="CD188" i="9"/>
  <c r="CF188" i="9" s="1"/>
  <c r="CE188" i="9"/>
  <c r="CG188" i="9"/>
  <c r="CH188" i="9"/>
  <c r="CI188" i="9"/>
  <c r="BY189" i="9"/>
  <c r="BZ189" i="9"/>
  <c r="CA189" i="9"/>
  <c r="CB189" i="9"/>
  <c r="CC189" i="9"/>
  <c r="CD189" i="9"/>
  <c r="CF189" i="9"/>
  <c r="CG189" i="9"/>
  <c r="CH189" i="9"/>
  <c r="BY190" i="9"/>
  <c r="BZ190" i="9"/>
  <c r="CA190" i="9"/>
  <c r="CB190" i="9"/>
  <c r="CC190" i="9"/>
  <c r="CD190" i="9"/>
  <c r="CE190" i="9"/>
  <c r="CF190" i="9"/>
  <c r="CI190" i="9" s="1"/>
  <c r="CG190" i="9"/>
  <c r="BY191" i="9"/>
  <c r="BZ191" i="9"/>
  <c r="CA191" i="9" s="1"/>
  <c r="CB191" i="9"/>
  <c r="CC191" i="9"/>
  <c r="CD191" i="9"/>
  <c r="CI191" i="9" s="1"/>
  <c r="CE191" i="9"/>
  <c r="CF191" i="9"/>
  <c r="CG191" i="9"/>
  <c r="CH191" i="9"/>
  <c r="BY192" i="9"/>
  <c r="BZ192" i="9" s="1"/>
  <c r="CA192" i="9"/>
  <c r="CB192" i="9"/>
  <c r="CC192" i="9"/>
  <c r="CD192" i="9"/>
  <c r="CE192" i="9"/>
  <c r="CF192" i="9"/>
  <c r="CG192" i="9"/>
  <c r="CH192" i="9"/>
  <c r="CI192" i="9"/>
  <c r="BY193" i="9"/>
  <c r="BZ193" i="9"/>
  <c r="CA193" i="9"/>
  <c r="CB193" i="9"/>
  <c r="CC193" i="9"/>
  <c r="CD193" i="9"/>
  <c r="CG193" i="9" s="1"/>
  <c r="BY194" i="9"/>
  <c r="BZ194" i="9"/>
  <c r="CA194" i="9"/>
  <c r="CB194" i="9"/>
  <c r="CC194" i="9"/>
  <c r="CD194" i="9"/>
  <c r="CF194" i="9" s="1"/>
  <c r="CE194" i="9"/>
  <c r="BY195" i="9"/>
  <c r="BZ195" i="9"/>
  <c r="CA195" i="9"/>
  <c r="CB195" i="9"/>
  <c r="CC195" i="9"/>
  <c r="CD195" i="9"/>
  <c r="CE195" i="9"/>
  <c r="CF195" i="9"/>
  <c r="CG195" i="9"/>
  <c r="CH195" i="9"/>
  <c r="BY196" i="9"/>
  <c r="BZ196" i="9" s="1"/>
  <c r="CA196" i="9" s="1"/>
  <c r="CB196" i="9"/>
  <c r="CC196" i="9"/>
  <c r="CD196" i="9"/>
  <c r="CE196" i="9"/>
  <c r="CF196" i="9"/>
  <c r="CG196" i="9"/>
  <c r="CH196" i="9"/>
  <c r="CI196" i="9"/>
  <c r="BY197" i="9"/>
  <c r="BZ197" i="9"/>
  <c r="CA197" i="9" s="1"/>
  <c r="CB197" i="9"/>
  <c r="CC197" i="9"/>
  <c r="CD197" i="9"/>
  <c r="CE197" i="9" s="1"/>
  <c r="CF197" i="9"/>
  <c r="CI197" i="9" s="1"/>
  <c r="CG197" i="9"/>
  <c r="CH197" i="9" s="1"/>
  <c r="BY198" i="9"/>
  <c r="BZ198" i="9"/>
  <c r="CA198" i="9"/>
  <c r="CB198" i="9"/>
  <c r="CC198" i="9"/>
  <c r="CD198" i="9"/>
  <c r="CE198" i="9"/>
  <c r="CF198" i="9"/>
  <c r="CI198" i="9" s="1"/>
  <c r="CG198" i="9"/>
  <c r="BY199" i="9"/>
  <c r="BZ199" i="9"/>
  <c r="CA199" i="9" s="1"/>
  <c r="CB199" i="9"/>
  <c r="CC199" i="9"/>
  <c r="CD199" i="9"/>
  <c r="CG199" i="9" s="1"/>
  <c r="CE199" i="9"/>
  <c r="CF199" i="9"/>
  <c r="CH199" i="9"/>
  <c r="CI199" i="9"/>
  <c r="BY200" i="9"/>
  <c r="BZ200" i="9" s="1"/>
  <c r="CA200" i="9"/>
  <c r="CB200" i="9"/>
  <c r="CC200" i="9"/>
  <c r="CD200" i="9"/>
  <c r="CG200" i="9" s="1"/>
  <c r="CI200" i="9" s="1"/>
  <c r="CE200" i="9"/>
  <c r="CF200" i="9"/>
  <c r="BY201" i="9"/>
  <c r="BZ201" i="9"/>
  <c r="CA201" i="9"/>
  <c r="CB201" i="9"/>
  <c r="CC201" i="9"/>
  <c r="CD201" i="9"/>
  <c r="CF201" i="9" s="1"/>
  <c r="CE201" i="9"/>
  <c r="BY202" i="9"/>
  <c r="BZ202" i="9"/>
  <c r="CA202" i="9"/>
  <c r="CB202" i="9"/>
  <c r="CC202" i="9"/>
  <c r="CD202" i="9"/>
  <c r="CF202" i="9" s="1"/>
  <c r="CE202" i="9"/>
  <c r="CG202" i="9"/>
  <c r="CH202" i="9"/>
  <c r="CI202" i="9"/>
  <c r="BY203" i="9"/>
  <c r="BZ203" i="9"/>
  <c r="CA203" i="9"/>
  <c r="CB203" i="9"/>
  <c r="CC203" i="9"/>
  <c r="CD203" i="9"/>
  <c r="CF203" i="9"/>
  <c r="CG203" i="9"/>
  <c r="CH203" i="9"/>
  <c r="BY204" i="9"/>
  <c r="BZ204" i="9"/>
  <c r="CA204" i="9"/>
  <c r="CB204" i="9"/>
  <c r="CC204" i="9"/>
  <c r="CD204" i="9"/>
  <c r="CE204" i="9"/>
  <c r="CF204" i="9"/>
  <c r="CI204" i="9" s="1"/>
  <c r="CG204" i="9"/>
  <c r="BY205" i="9"/>
  <c r="BZ205" i="9"/>
  <c r="CA205" i="9" s="1"/>
  <c r="CB205" i="9"/>
  <c r="CC205" i="9"/>
  <c r="CD205" i="9"/>
  <c r="CI205" i="9" s="1"/>
  <c r="CE205" i="9"/>
  <c r="CF205" i="9"/>
  <c r="CG205" i="9"/>
  <c r="CH205" i="9"/>
  <c r="BY206" i="9"/>
  <c r="BZ206" i="9" s="1"/>
  <c r="CA206" i="9"/>
  <c r="CB206" i="9"/>
  <c r="CC206" i="9"/>
  <c r="CD206" i="9"/>
  <c r="CE206" i="9"/>
  <c r="CF206" i="9"/>
  <c r="CG206" i="9"/>
  <c r="CH206" i="9"/>
  <c r="CI206" i="9"/>
  <c r="BY207" i="9"/>
  <c r="BZ207" i="9"/>
  <c r="CA207" i="9"/>
  <c r="CB207" i="9"/>
  <c r="CC207" i="9"/>
  <c r="CD207" i="9"/>
  <c r="CG207" i="9" s="1"/>
  <c r="BY208" i="9"/>
  <c r="BZ208" i="9"/>
  <c r="CA208" i="9"/>
  <c r="CB208" i="9"/>
  <c r="CC208" i="9"/>
  <c r="CD208" i="9"/>
  <c r="CF208" i="9" s="1"/>
  <c r="CE208" i="9"/>
  <c r="BY209" i="9"/>
  <c r="BZ209" i="9"/>
  <c r="CA209" i="9"/>
  <c r="CB209" i="9"/>
  <c r="CC209" i="9"/>
  <c r="CD209" i="9"/>
  <c r="CE209" i="9"/>
  <c r="CF209" i="9"/>
  <c r="CG209" i="9"/>
  <c r="CH209" i="9"/>
  <c r="BY210" i="9"/>
  <c r="BZ210" i="9" s="1"/>
  <c r="CA210" i="9" s="1"/>
  <c r="CB210" i="9"/>
  <c r="CC210" i="9"/>
  <c r="CD210" i="9"/>
  <c r="CE210" i="9"/>
  <c r="CF210" i="9"/>
  <c r="CG210" i="9"/>
  <c r="CH210" i="9"/>
  <c r="CI210" i="9"/>
  <c r="BY211" i="9"/>
  <c r="BZ211" i="9"/>
  <c r="CA211" i="9" s="1"/>
  <c r="CB211" i="9"/>
  <c r="CC211" i="9"/>
  <c r="CD211" i="9"/>
  <c r="CE211" i="9" s="1"/>
  <c r="CF211" i="9"/>
  <c r="CI211" i="9" s="1"/>
  <c r="CG211" i="9"/>
  <c r="CH211" i="9" s="1"/>
  <c r="BY212" i="9"/>
  <c r="BZ212" i="9"/>
  <c r="CA212" i="9"/>
  <c r="CB212" i="9"/>
  <c r="CC212" i="9"/>
  <c r="CD212" i="9"/>
  <c r="CE212" i="9"/>
  <c r="CF212" i="9"/>
  <c r="CI212" i="9" s="1"/>
  <c r="CG212" i="9"/>
  <c r="BY213" i="9"/>
  <c r="BZ213" i="9"/>
  <c r="CA213" i="9" s="1"/>
  <c r="CB213" i="9"/>
  <c r="CC213" i="9"/>
  <c r="CD213" i="9"/>
  <c r="CG213" i="9" s="1"/>
  <c r="CE213" i="9"/>
  <c r="CF213" i="9"/>
  <c r="CH213" i="9"/>
  <c r="CI213" i="9"/>
  <c r="BY214" i="9"/>
  <c r="BZ214" i="9" s="1"/>
  <c r="CA214" i="9"/>
  <c r="CB214" i="9"/>
  <c r="CC214" i="9"/>
  <c r="CD214" i="9"/>
  <c r="CG214" i="9" s="1"/>
  <c r="CI214" i="9" s="1"/>
  <c r="CE214" i="9"/>
  <c r="CF214" i="9"/>
  <c r="CH214" i="9" s="1"/>
  <c r="BY215" i="9"/>
  <c r="BZ215" i="9"/>
  <c r="CA215" i="9"/>
  <c r="CB215" i="9"/>
  <c r="CC215" i="9"/>
  <c r="CD215" i="9"/>
  <c r="CF215" i="9" s="1"/>
  <c r="CE215" i="9"/>
  <c r="AG3" i="9"/>
  <c r="AH3" i="9" s="1"/>
  <c r="AI3" i="9" s="1"/>
  <c r="AJ3" i="9"/>
  <c r="AK3" i="9"/>
  <c r="AL3" i="9"/>
  <c r="AM3" i="9" s="1"/>
  <c r="AN3" i="9"/>
  <c r="AO3" i="9"/>
  <c r="AG4" i="9"/>
  <c r="AH4" i="9"/>
  <c r="AI4" i="9" s="1"/>
  <c r="AJ4" i="9"/>
  <c r="AK4" i="9"/>
  <c r="AL4" i="9"/>
  <c r="AM4" i="9"/>
  <c r="AN4" i="9"/>
  <c r="AO4" i="9"/>
  <c r="AQ4" i="9" s="1"/>
  <c r="AG5" i="9"/>
  <c r="AH5" i="9" s="1"/>
  <c r="AI5" i="9" s="1"/>
  <c r="AJ5" i="9"/>
  <c r="AK5" i="9"/>
  <c r="AL5" i="9"/>
  <c r="AG6" i="9"/>
  <c r="AH6" i="9" s="1"/>
  <c r="AI6" i="9"/>
  <c r="AJ6" i="9"/>
  <c r="AK6" i="9"/>
  <c r="AL6" i="9"/>
  <c r="AN6" i="9"/>
  <c r="AO6" i="9"/>
  <c r="AG7" i="9"/>
  <c r="AH7" i="9"/>
  <c r="AI7" i="9"/>
  <c r="AJ7" i="9"/>
  <c r="AK7" i="9"/>
  <c r="AL7" i="9"/>
  <c r="AM7" i="9" s="1"/>
  <c r="AG8" i="9"/>
  <c r="AH8" i="9" s="1"/>
  <c r="AI8" i="9" s="1"/>
  <c r="AJ8" i="9"/>
  <c r="AK8" i="9"/>
  <c r="AL8" i="9"/>
  <c r="AN8" i="9" s="1"/>
  <c r="AM8" i="9"/>
  <c r="AO8" i="9"/>
  <c r="AP8" i="9"/>
  <c r="AQ8" i="9"/>
  <c r="AG9" i="9"/>
  <c r="AH9" i="9" s="1"/>
  <c r="AI9" i="9"/>
  <c r="AJ9" i="9"/>
  <c r="AK9" i="9"/>
  <c r="AL9" i="9"/>
  <c r="AM9" i="9" s="1"/>
  <c r="AN9" i="9"/>
  <c r="AQ9" i="9" s="1"/>
  <c r="AO9" i="9"/>
  <c r="AP9" i="9" s="1"/>
  <c r="AG10" i="9"/>
  <c r="AH10" i="9" s="1"/>
  <c r="AI10" i="9" s="1"/>
  <c r="AJ10" i="9"/>
  <c r="AK10" i="9"/>
  <c r="AL10" i="9"/>
  <c r="AM10" i="9" s="1"/>
  <c r="AG11" i="9"/>
  <c r="AH11" i="9"/>
  <c r="AI11" i="9" s="1"/>
  <c r="AJ11" i="9"/>
  <c r="AK11" i="9"/>
  <c r="AL11" i="9"/>
  <c r="AM11" i="9"/>
  <c r="AG12" i="9"/>
  <c r="AH12" i="9" s="1"/>
  <c r="AI12" i="9" s="1"/>
  <c r="AJ12" i="9"/>
  <c r="AK12" i="9"/>
  <c r="AL12" i="9"/>
  <c r="AM12" i="9"/>
  <c r="AN12" i="9"/>
  <c r="AO12" i="9"/>
  <c r="AP12" i="9" s="1"/>
  <c r="AG13" i="9"/>
  <c r="AH13" i="9"/>
  <c r="AI13" i="9" s="1"/>
  <c r="AJ13" i="9"/>
  <c r="AK13" i="9"/>
  <c r="AL13" i="9"/>
  <c r="AO13" i="9" s="1"/>
  <c r="AM13" i="9"/>
  <c r="AN13" i="9"/>
  <c r="AP13" i="9"/>
  <c r="AQ13" i="9"/>
  <c r="AG14" i="9"/>
  <c r="AH14" i="9"/>
  <c r="AI14" i="9" s="1"/>
  <c r="AJ14" i="9"/>
  <c r="AK14" i="9"/>
  <c r="AL14" i="9"/>
  <c r="AM14" i="9" s="1"/>
  <c r="AO14" i="9"/>
  <c r="AG15" i="9"/>
  <c r="AH15" i="9"/>
  <c r="AI15" i="9"/>
  <c r="AJ15" i="9"/>
  <c r="AK15" i="9"/>
  <c r="AL15" i="9"/>
  <c r="AO15" i="9" s="1"/>
  <c r="AM15" i="9"/>
  <c r="AN15" i="9"/>
  <c r="AG16" i="9"/>
  <c r="AH16" i="9"/>
  <c r="AI16" i="9" s="1"/>
  <c r="AJ16" i="9"/>
  <c r="AK16" i="9"/>
  <c r="AL16" i="9"/>
  <c r="AM16" i="9"/>
  <c r="AG17" i="9"/>
  <c r="AH17" i="9" s="1"/>
  <c r="AI17" i="9" s="1"/>
  <c r="AJ17" i="9"/>
  <c r="AK17" i="9"/>
  <c r="AL17" i="9"/>
  <c r="AM17" i="9" s="1"/>
  <c r="AN17" i="9"/>
  <c r="AQ17" i="9" s="1"/>
  <c r="AO17" i="9"/>
  <c r="AP17" i="9"/>
  <c r="AG18" i="9"/>
  <c r="AH18" i="9"/>
  <c r="AI18" i="9"/>
  <c r="AJ18" i="9"/>
  <c r="AK18" i="9"/>
  <c r="AL18" i="9"/>
  <c r="AM18" i="9"/>
  <c r="AN18" i="9"/>
  <c r="AO18" i="9"/>
  <c r="AG19" i="9"/>
  <c r="AH19" i="9"/>
  <c r="AI19" i="9" s="1"/>
  <c r="AJ19" i="9"/>
  <c r="AK19" i="9"/>
  <c r="AL19" i="9"/>
  <c r="AG20" i="9"/>
  <c r="AH20" i="9" s="1"/>
  <c r="AI20" i="9"/>
  <c r="AJ20" i="9"/>
  <c r="AK20" i="9"/>
  <c r="AL20" i="9"/>
  <c r="AG21" i="9"/>
  <c r="AH21" i="9"/>
  <c r="AI21" i="9"/>
  <c r="AJ21" i="9"/>
  <c r="AK21" i="9"/>
  <c r="AL21" i="9"/>
  <c r="AM21" i="9"/>
  <c r="AG22" i="9"/>
  <c r="AH22" i="9" s="1"/>
  <c r="AI22" i="9" s="1"/>
  <c r="AJ22" i="9"/>
  <c r="AK22" i="9"/>
  <c r="AL22" i="9"/>
  <c r="AN22" i="9" s="1"/>
  <c r="AM22" i="9"/>
  <c r="AO22" i="9"/>
  <c r="AP22" i="9"/>
  <c r="AQ22" i="9"/>
  <c r="AG23" i="9"/>
  <c r="AH23" i="9" s="1"/>
  <c r="AI23" i="9" s="1"/>
  <c r="AJ23" i="9"/>
  <c r="AK23" i="9"/>
  <c r="AL23" i="9"/>
  <c r="AM23" i="9" s="1"/>
  <c r="AN23" i="9"/>
  <c r="AO23" i="9"/>
  <c r="AP23" i="9"/>
  <c r="AG24" i="9"/>
  <c r="AH24" i="9"/>
  <c r="AI24" i="9"/>
  <c r="AJ24" i="9"/>
  <c r="AK24" i="9"/>
  <c r="AL24" i="9"/>
  <c r="AM24" i="9"/>
  <c r="AG25" i="9"/>
  <c r="AH25" i="9"/>
  <c r="AI25" i="9" s="1"/>
  <c r="AJ25" i="9"/>
  <c r="AK25" i="9"/>
  <c r="AL25" i="9"/>
  <c r="AM25" i="9"/>
  <c r="AO25" i="9"/>
  <c r="AG26" i="9"/>
  <c r="AH26" i="9" s="1"/>
  <c r="AI26" i="9" s="1"/>
  <c r="AJ26" i="9"/>
  <c r="AK26" i="9"/>
  <c r="AL26" i="9"/>
  <c r="AM26" i="9"/>
  <c r="AN26" i="9"/>
  <c r="AO26" i="9"/>
  <c r="AG27" i="9"/>
  <c r="AH27" i="9"/>
  <c r="AI27" i="9" s="1"/>
  <c r="AJ27" i="9"/>
  <c r="AK27" i="9"/>
  <c r="AL27" i="9"/>
  <c r="AO27" i="9" s="1"/>
  <c r="AM27" i="9"/>
  <c r="AN27" i="9"/>
  <c r="AP27" i="9"/>
  <c r="AQ27" i="9"/>
  <c r="AG28" i="9"/>
  <c r="AH28" i="9"/>
  <c r="AI28" i="9" s="1"/>
  <c r="AJ28" i="9"/>
  <c r="AK28" i="9"/>
  <c r="AL28" i="9"/>
  <c r="AM28" i="9" s="1"/>
  <c r="AO28" i="9"/>
  <c r="AG29" i="9"/>
  <c r="AH29" i="9"/>
  <c r="AI29" i="9" s="1"/>
  <c r="AJ29" i="9"/>
  <c r="AK29" i="9"/>
  <c r="AL29" i="9"/>
  <c r="AO29" i="9" s="1"/>
  <c r="AM29" i="9"/>
  <c r="AN29" i="9"/>
  <c r="AG30" i="9"/>
  <c r="AH30" i="9"/>
  <c r="AI30" i="9"/>
  <c r="AJ30" i="9"/>
  <c r="AK30" i="9"/>
  <c r="AL30" i="9"/>
  <c r="AO30" i="9" s="1"/>
  <c r="AM30" i="9"/>
  <c r="AN30" i="9"/>
  <c r="AG31" i="9"/>
  <c r="AH31" i="9" s="1"/>
  <c r="AI31" i="9" s="1"/>
  <c r="AJ31" i="9"/>
  <c r="AK31" i="9"/>
  <c r="AL31" i="9"/>
  <c r="AN31" i="9" s="1"/>
  <c r="AG32" i="9"/>
  <c r="AH32" i="9"/>
  <c r="AI32" i="9"/>
  <c r="AJ32" i="9"/>
  <c r="AK32" i="9"/>
  <c r="AL32" i="9"/>
  <c r="AM32" i="9"/>
  <c r="AN32" i="9"/>
  <c r="AO32" i="9"/>
  <c r="AQ32" i="9" s="1"/>
  <c r="AG33" i="9"/>
  <c r="AH33" i="9" s="1"/>
  <c r="AI33" i="9" s="1"/>
  <c r="AJ33" i="9"/>
  <c r="AK33" i="9"/>
  <c r="AL33" i="9"/>
  <c r="AG34" i="9"/>
  <c r="AH34" i="9" s="1"/>
  <c r="AI34" i="9" s="1"/>
  <c r="AJ34" i="9"/>
  <c r="AK34" i="9"/>
  <c r="AL34" i="9"/>
  <c r="AN34" i="9"/>
  <c r="AO34" i="9"/>
  <c r="AG35" i="9"/>
  <c r="AH35" i="9"/>
  <c r="AI35" i="9"/>
  <c r="AJ35" i="9"/>
  <c r="AK35" i="9"/>
  <c r="AL35" i="9"/>
  <c r="AM35" i="9"/>
  <c r="AN35" i="9"/>
  <c r="AQ35" i="9" s="1"/>
  <c r="AO35" i="9"/>
  <c r="AG36" i="9"/>
  <c r="AH36" i="9" s="1"/>
  <c r="AI36" i="9" s="1"/>
  <c r="AJ36" i="9"/>
  <c r="AK36" i="9"/>
  <c r="AL36" i="9"/>
  <c r="AM36" i="9"/>
  <c r="AO36" i="9"/>
  <c r="AG37" i="9"/>
  <c r="AH37" i="9" s="1"/>
  <c r="AI37" i="9" s="1"/>
  <c r="AJ37" i="9"/>
  <c r="AK37" i="9"/>
  <c r="AL37" i="9"/>
  <c r="AM37" i="9" s="1"/>
  <c r="AN37" i="9"/>
  <c r="AO37" i="9"/>
  <c r="AP37" i="9" s="1"/>
  <c r="AG38" i="9"/>
  <c r="AH38" i="9"/>
  <c r="AI38" i="9"/>
  <c r="AJ38" i="9"/>
  <c r="AK38" i="9"/>
  <c r="AL38" i="9"/>
  <c r="AM38" i="9"/>
  <c r="AG39" i="9"/>
  <c r="AH39" i="9"/>
  <c r="AI39" i="9" s="1"/>
  <c r="AJ39" i="9"/>
  <c r="AK39" i="9"/>
  <c r="AL39" i="9"/>
  <c r="AM39" i="9"/>
  <c r="AG40" i="9"/>
  <c r="AH40" i="9" s="1"/>
  <c r="AI40" i="9" s="1"/>
  <c r="AJ40" i="9"/>
  <c r="AK40" i="9"/>
  <c r="AL40" i="9"/>
  <c r="AM40" i="9"/>
  <c r="AN40" i="9"/>
  <c r="AQ40" i="9" s="1"/>
  <c r="AO40" i="9"/>
  <c r="AP40" i="9"/>
  <c r="AG41" i="9"/>
  <c r="AH41" i="9" s="1"/>
  <c r="AI41" i="9" s="1"/>
  <c r="AJ41" i="9"/>
  <c r="AK41" i="9"/>
  <c r="AL41" i="9"/>
  <c r="AO41" i="9" s="1"/>
  <c r="AM41" i="9"/>
  <c r="AN41" i="9"/>
  <c r="AG42" i="9"/>
  <c r="AH42" i="9"/>
  <c r="AI42" i="9" s="1"/>
  <c r="AJ42" i="9"/>
  <c r="AK42" i="9"/>
  <c r="AL42" i="9"/>
  <c r="AM42" i="9" s="1"/>
  <c r="AG43" i="9"/>
  <c r="AH43" i="9"/>
  <c r="AI43" i="9" s="1"/>
  <c r="AJ43" i="9"/>
  <c r="AK43" i="9"/>
  <c r="AL43" i="9"/>
  <c r="AM43" i="9"/>
  <c r="AN43" i="9"/>
  <c r="AO43" i="9"/>
  <c r="AG44" i="9"/>
  <c r="AH44" i="9"/>
  <c r="AI44" i="9"/>
  <c r="AJ44" i="9"/>
  <c r="AK44" i="9"/>
  <c r="AL44" i="9"/>
  <c r="AN44" i="9" s="1"/>
  <c r="AM44" i="9"/>
  <c r="AG45" i="9"/>
  <c r="AH45" i="9" s="1"/>
  <c r="AI45" i="9" s="1"/>
  <c r="AJ45" i="9"/>
  <c r="AK45" i="9"/>
  <c r="AL45" i="9"/>
  <c r="AN45" i="9" s="1"/>
  <c r="AG46" i="9"/>
  <c r="AH46" i="9"/>
  <c r="AI46" i="9" s="1"/>
  <c r="AJ46" i="9"/>
  <c r="AK46" i="9"/>
  <c r="AL46" i="9"/>
  <c r="AM46" i="9"/>
  <c r="AN46" i="9"/>
  <c r="AO46" i="9"/>
  <c r="AQ46" i="9"/>
  <c r="AG47" i="9"/>
  <c r="AH47" i="9" s="1"/>
  <c r="AI47" i="9"/>
  <c r="AJ47" i="9"/>
  <c r="AK47" i="9"/>
  <c r="AL47" i="9"/>
  <c r="AG48" i="9"/>
  <c r="AH48" i="9" s="1"/>
  <c r="AI48" i="9"/>
  <c r="AJ48" i="9"/>
  <c r="AK48" i="9"/>
  <c r="AL48" i="9"/>
  <c r="AN48" i="9"/>
  <c r="AO48" i="9"/>
  <c r="AG49" i="9"/>
  <c r="AH49" i="9"/>
  <c r="AI49" i="9"/>
  <c r="AJ49" i="9"/>
  <c r="AK49" i="9"/>
  <c r="AL49" i="9"/>
  <c r="AM49" i="9"/>
  <c r="AN49" i="9"/>
  <c r="AO49" i="9"/>
  <c r="AQ49" i="9" s="1"/>
  <c r="AG50" i="9"/>
  <c r="AH50" i="9" s="1"/>
  <c r="AI50" i="9" s="1"/>
  <c r="AJ50" i="9"/>
  <c r="AK50" i="9"/>
  <c r="AL50" i="9"/>
  <c r="AM50" i="9"/>
  <c r="AG51" i="9"/>
  <c r="AH51" i="9" s="1"/>
  <c r="AI51" i="9"/>
  <c r="AJ51" i="9"/>
  <c r="AK51" i="9"/>
  <c r="AL51" i="9"/>
  <c r="AM51" i="9" s="1"/>
  <c r="AN51" i="9"/>
  <c r="AO51" i="9"/>
  <c r="AP51" i="9"/>
  <c r="AG52" i="9"/>
  <c r="AH52" i="9"/>
  <c r="AI52" i="9"/>
  <c r="AJ52" i="9"/>
  <c r="AK52" i="9"/>
  <c r="AL52" i="9"/>
  <c r="AG53" i="9"/>
  <c r="AH53" i="9"/>
  <c r="AI53" i="9" s="1"/>
  <c r="AJ53" i="9"/>
  <c r="AK53" i="9"/>
  <c r="AL53" i="9"/>
  <c r="AM53" i="9"/>
  <c r="AO53" i="9"/>
  <c r="AG54" i="9"/>
  <c r="AH54" i="9" s="1"/>
  <c r="AI54" i="9" s="1"/>
  <c r="AJ54" i="9"/>
  <c r="AK54" i="9"/>
  <c r="AL54" i="9"/>
  <c r="AM54" i="9"/>
  <c r="AN54" i="9"/>
  <c r="AO54" i="9"/>
  <c r="AP54" i="9"/>
  <c r="AG55" i="9"/>
  <c r="AH55" i="9"/>
  <c r="AI55" i="9" s="1"/>
  <c r="AJ55" i="9"/>
  <c r="AK55" i="9"/>
  <c r="AL55" i="9"/>
  <c r="AO55" i="9" s="1"/>
  <c r="AP55" i="9" s="1"/>
  <c r="AM55" i="9"/>
  <c r="AN55" i="9"/>
  <c r="AG56" i="9"/>
  <c r="AH56" i="9"/>
  <c r="AI56" i="9" s="1"/>
  <c r="AJ56" i="9"/>
  <c r="AK56" i="9"/>
  <c r="AL56" i="9"/>
  <c r="AM56" i="9" s="1"/>
  <c r="AG57" i="9"/>
  <c r="AH57" i="9"/>
  <c r="AI57" i="9" s="1"/>
  <c r="AJ57" i="9"/>
  <c r="AK57" i="9"/>
  <c r="AL57" i="9"/>
  <c r="AM57" i="9"/>
  <c r="AN57" i="9"/>
  <c r="AO57" i="9"/>
  <c r="AG58" i="9"/>
  <c r="AH58" i="9"/>
  <c r="AI58" i="9"/>
  <c r="AJ58" i="9"/>
  <c r="AK58" i="9"/>
  <c r="AL58" i="9"/>
  <c r="AO58" i="9" s="1"/>
  <c r="AM58" i="9"/>
  <c r="AG59" i="9"/>
  <c r="AH59" i="9" s="1"/>
  <c r="AI59" i="9" s="1"/>
  <c r="AJ59" i="9"/>
  <c r="AK59" i="9"/>
  <c r="AL59" i="9"/>
  <c r="AG60" i="9"/>
  <c r="AH60" i="9"/>
  <c r="AI60" i="9"/>
  <c r="AJ60" i="9"/>
  <c r="AK60" i="9"/>
  <c r="AL60" i="9"/>
  <c r="AM60" i="9"/>
  <c r="AN60" i="9"/>
  <c r="AO60" i="9"/>
  <c r="AQ60" i="9"/>
  <c r="AG61" i="9"/>
  <c r="AH61" i="9"/>
  <c r="AI61" i="9"/>
  <c r="AJ61" i="9"/>
  <c r="AK61" i="9"/>
  <c r="AL61" i="9"/>
  <c r="AG62" i="9"/>
  <c r="AH62" i="9" s="1"/>
  <c r="AI62" i="9" s="1"/>
  <c r="AJ62" i="9"/>
  <c r="AK62" i="9"/>
  <c r="AL62" i="9"/>
  <c r="AN62" i="9"/>
  <c r="AO62" i="9"/>
  <c r="AG63" i="9"/>
  <c r="AH63" i="9"/>
  <c r="AI63" i="9"/>
  <c r="AJ63" i="9"/>
  <c r="AK63" i="9"/>
  <c r="AL63" i="9"/>
  <c r="AM63" i="9"/>
  <c r="AN63" i="9"/>
  <c r="AO63" i="9"/>
  <c r="AQ63" i="9"/>
  <c r="AG64" i="9"/>
  <c r="AH64" i="9" s="1"/>
  <c r="AI64" i="9" s="1"/>
  <c r="AJ64" i="9"/>
  <c r="AK64" i="9"/>
  <c r="AL64" i="9"/>
  <c r="AO64" i="9"/>
  <c r="AG65" i="9"/>
  <c r="AH65" i="9" s="1"/>
  <c r="AI65" i="9" s="1"/>
  <c r="AJ65" i="9"/>
  <c r="AK65" i="9"/>
  <c r="AL65" i="9"/>
  <c r="AM65" i="9" s="1"/>
  <c r="AN65" i="9"/>
  <c r="AO65" i="9"/>
  <c r="AP65" i="9" s="1"/>
  <c r="AG66" i="9"/>
  <c r="AH66" i="9" s="1"/>
  <c r="AI66" i="9" s="1"/>
  <c r="AJ66" i="9"/>
  <c r="AK66" i="9"/>
  <c r="AL66" i="9"/>
  <c r="AM66" i="9"/>
  <c r="AG67" i="9"/>
  <c r="AH67" i="9"/>
  <c r="AI67" i="9" s="1"/>
  <c r="AJ67" i="9"/>
  <c r="AK67" i="9"/>
  <c r="AL67" i="9"/>
  <c r="AM67" i="9"/>
  <c r="AG68" i="9"/>
  <c r="AH68" i="9" s="1"/>
  <c r="AI68" i="9" s="1"/>
  <c r="AJ68" i="9"/>
  <c r="AK68" i="9"/>
  <c r="AL68" i="9"/>
  <c r="AM68" i="9"/>
  <c r="AN68" i="9"/>
  <c r="AP68" i="9" s="1"/>
  <c r="AO68" i="9"/>
  <c r="AG69" i="9"/>
  <c r="AH69" i="9"/>
  <c r="AI69" i="9" s="1"/>
  <c r="AJ69" i="9"/>
  <c r="AK69" i="9"/>
  <c r="AL69" i="9"/>
  <c r="AO69" i="9" s="1"/>
  <c r="AM69" i="9"/>
  <c r="AN69" i="9"/>
  <c r="AP69" i="9" s="1"/>
  <c r="AQ69" i="9"/>
  <c r="AG70" i="9"/>
  <c r="AH70" i="9" s="1"/>
  <c r="AI70" i="9" s="1"/>
  <c r="AJ70" i="9"/>
  <c r="AK70" i="9"/>
  <c r="AL70" i="9"/>
  <c r="AM70" i="9" s="1"/>
  <c r="AG71" i="9"/>
  <c r="AH71" i="9"/>
  <c r="AI71" i="9" s="1"/>
  <c r="AJ71" i="9"/>
  <c r="AK71" i="9"/>
  <c r="AL71" i="9"/>
  <c r="AM71" i="9"/>
  <c r="AN71" i="9"/>
  <c r="AO71" i="9"/>
  <c r="AG72" i="9"/>
  <c r="AH72" i="9"/>
  <c r="AI72" i="9"/>
  <c r="AJ72" i="9"/>
  <c r="AK72" i="9"/>
  <c r="AL72" i="9"/>
  <c r="AM72" i="9"/>
  <c r="AG73" i="9"/>
  <c r="AH73" i="9" s="1"/>
  <c r="AI73" i="9" s="1"/>
  <c r="AJ73" i="9"/>
  <c r="AK73" i="9"/>
  <c r="AL73" i="9"/>
  <c r="AG74" i="9"/>
  <c r="AH74" i="9"/>
  <c r="AI74" i="9" s="1"/>
  <c r="AJ74" i="9"/>
  <c r="AK74" i="9"/>
  <c r="AL74" i="9"/>
  <c r="AM74" i="9"/>
  <c r="AN74" i="9"/>
  <c r="AP74" i="9" s="1"/>
  <c r="AO74" i="9"/>
  <c r="AG75" i="9"/>
  <c r="AH75" i="9" s="1"/>
  <c r="AI75" i="9" s="1"/>
  <c r="AJ75" i="9"/>
  <c r="AK75" i="9"/>
  <c r="AL75" i="9"/>
  <c r="AG76" i="9"/>
  <c r="AH76" i="9" s="1"/>
  <c r="AI76" i="9"/>
  <c r="AJ76" i="9"/>
  <c r="AK76" i="9"/>
  <c r="AL76" i="9"/>
  <c r="AN76" i="9"/>
  <c r="AO76" i="9"/>
  <c r="AG77" i="9"/>
  <c r="AH77" i="9"/>
  <c r="AI77" i="9"/>
  <c r="AJ77" i="9"/>
  <c r="AK77" i="9"/>
  <c r="AL77" i="9"/>
  <c r="AG78" i="9"/>
  <c r="AH78" i="9" s="1"/>
  <c r="AI78" i="9" s="1"/>
  <c r="AJ78" i="9"/>
  <c r="AK78" i="9"/>
  <c r="AL78" i="9"/>
  <c r="AM78" i="9"/>
  <c r="AG79" i="9"/>
  <c r="AH79" i="9" s="1"/>
  <c r="AI79" i="9"/>
  <c r="AJ79" i="9"/>
  <c r="AK79" i="9"/>
  <c r="AL79" i="9"/>
  <c r="AM79" i="9" s="1"/>
  <c r="AN79" i="9"/>
  <c r="AO79" i="9"/>
  <c r="AP79" i="9"/>
  <c r="AG80" i="9"/>
  <c r="AH80" i="9"/>
  <c r="AI80" i="9"/>
  <c r="AJ80" i="9"/>
  <c r="AK80" i="9"/>
  <c r="AL80" i="9"/>
  <c r="AM80" i="9"/>
  <c r="AG81" i="9"/>
  <c r="AH81" i="9"/>
  <c r="AI81" i="9" s="1"/>
  <c r="AJ81" i="9"/>
  <c r="AK81" i="9"/>
  <c r="AL81" i="9"/>
  <c r="AG82" i="9"/>
  <c r="AH82" i="9" s="1"/>
  <c r="AI82" i="9" s="1"/>
  <c r="AJ82" i="9"/>
  <c r="AK82" i="9"/>
  <c r="AL82" i="9"/>
  <c r="AM82" i="9"/>
  <c r="AN82" i="9"/>
  <c r="AO82" i="9"/>
  <c r="AP82" i="9"/>
  <c r="AG83" i="9"/>
  <c r="AH83" i="9"/>
  <c r="AI83" i="9" s="1"/>
  <c r="AJ83" i="9"/>
  <c r="AK83" i="9"/>
  <c r="AL83" i="9"/>
  <c r="AO83" i="9" s="1"/>
  <c r="AP83" i="9" s="1"/>
  <c r="AM83" i="9"/>
  <c r="AN83" i="9"/>
  <c r="AQ83" i="9"/>
  <c r="AG84" i="9"/>
  <c r="AH84" i="9" s="1"/>
  <c r="AI84" i="9" s="1"/>
  <c r="AJ84" i="9"/>
  <c r="AK84" i="9"/>
  <c r="AL84" i="9"/>
  <c r="AM84" i="9" s="1"/>
  <c r="AG85" i="9"/>
  <c r="AH85" i="9"/>
  <c r="AI85" i="9"/>
  <c r="AJ85" i="9"/>
  <c r="AK85" i="9"/>
  <c r="AL85" i="9"/>
  <c r="AP85" i="9" s="1"/>
  <c r="AM85" i="9"/>
  <c r="AN85" i="9"/>
  <c r="AO85" i="9"/>
  <c r="AG86" i="9"/>
  <c r="AH86" i="9"/>
  <c r="AI86" i="9"/>
  <c r="AJ86" i="9"/>
  <c r="AK86" i="9"/>
  <c r="AL86" i="9"/>
  <c r="AN86" i="9"/>
  <c r="AG87" i="9"/>
  <c r="AH87" i="9" s="1"/>
  <c r="AI87" i="9" s="1"/>
  <c r="AJ87" i="9"/>
  <c r="AK87" i="9"/>
  <c r="AL87" i="9"/>
  <c r="AG88" i="9"/>
  <c r="AH88" i="9"/>
  <c r="AI88" i="9" s="1"/>
  <c r="AJ88" i="9"/>
  <c r="AK88" i="9"/>
  <c r="AL88" i="9"/>
  <c r="AM88" i="9"/>
  <c r="AN88" i="9"/>
  <c r="AO88" i="9"/>
  <c r="AQ88" i="9" s="1"/>
  <c r="AG89" i="9"/>
  <c r="AH89" i="9" s="1"/>
  <c r="AI89" i="9" s="1"/>
  <c r="AJ89" i="9"/>
  <c r="AK89" i="9"/>
  <c r="AL89" i="9"/>
  <c r="AG90" i="9"/>
  <c r="AH90" i="9" s="1"/>
  <c r="AI90" i="9" s="1"/>
  <c r="AJ90" i="9"/>
  <c r="AK90" i="9"/>
  <c r="AL90" i="9"/>
  <c r="AN90" i="9"/>
  <c r="AO90" i="9"/>
  <c r="AG91" i="9"/>
  <c r="AH91" i="9"/>
  <c r="AI91" i="9"/>
  <c r="AJ91" i="9"/>
  <c r="AK91" i="9"/>
  <c r="AL91" i="9"/>
  <c r="AN91" i="9"/>
  <c r="AQ91" i="9" s="1"/>
  <c r="AO91" i="9"/>
  <c r="AG92" i="9"/>
  <c r="AH92" i="9" s="1"/>
  <c r="AI92" i="9" s="1"/>
  <c r="AJ92" i="9"/>
  <c r="AK92" i="9"/>
  <c r="AL92" i="9"/>
  <c r="AM92" i="9"/>
  <c r="AO92" i="9"/>
  <c r="AG93" i="9"/>
  <c r="AH93" i="9" s="1"/>
  <c r="AI93" i="9" s="1"/>
  <c r="AJ93" i="9"/>
  <c r="AK93" i="9"/>
  <c r="AL93" i="9"/>
  <c r="AM93" i="9" s="1"/>
  <c r="AO93" i="9"/>
  <c r="AG94" i="9"/>
  <c r="AH94" i="9"/>
  <c r="AI94" i="9"/>
  <c r="AJ94" i="9"/>
  <c r="AK94" i="9"/>
  <c r="AL94" i="9"/>
  <c r="AG95" i="9"/>
  <c r="AH95" i="9" s="1"/>
  <c r="AI95" i="9" s="1"/>
  <c r="AJ95" i="9"/>
  <c r="AK95" i="9"/>
  <c r="AL95" i="9"/>
  <c r="AM95" i="9"/>
  <c r="AO95" i="9"/>
  <c r="AG96" i="9"/>
  <c r="AH96" i="9" s="1"/>
  <c r="AI96" i="9" s="1"/>
  <c r="AJ96" i="9"/>
  <c r="AK96" i="9"/>
  <c r="AL96" i="9"/>
  <c r="AM96" i="9"/>
  <c r="AN96" i="9"/>
  <c r="AO96" i="9"/>
  <c r="AP96" i="9" s="1"/>
  <c r="AG97" i="9"/>
  <c r="AH97" i="9"/>
  <c r="AI97" i="9" s="1"/>
  <c r="AJ97" i="9"/>
  <c r="AK97" i="9"/>
  <c r="AL97" i="9"/>
  <c r="AO97" i="9" s="1"/>
  <c r="AP97" i="9" s="1"/>
  <c r="AM97" i="9"/>
  <c r="AN97" i="9"/>
  <c r="AQ97" i="9"/>
  <c r="AG98" i="9"/>
  <c r="AH98" i="9"/>
  <c r="AI98" i="9" s="1"/>
  <c r="AJ98" i="9"/>
  <c r="AK98" i="9"/>
  <c r="AL98" i="9"/>
  <c r="AN98" i="9" s="1"/>
  <c r="AM98" i="9"/>
  <c r="AG99" i="9"/>
  <c r="AH99" i="9"/>
  <c r="AI99" i="9" s="1"/>
  <c r="AJ99" i="9"/>
  <c r="AK99" i="9"/>
  <c r="AL99" i="9"/>
  <c r="AO99" i="9" s="1"/>
  <c r="AM99" i="9"/>
  <c r="AN99" i="9"/>
  <c r="AP99" i="9" s="1"/>
  <c r="AG100" i="9"/>
  <c r="AH100" i="9"/>
  <c r="AI100" i="9"/>
  <c r="AJ100" i="9"/>
  <c r="AK100" i="9"/>
  <c r="AL100" i="9"/>
  <c r="AO100" i="9" s="1"/>
  <c r="AM100" i="9"/>
  <c r="AN100" i="9"/>
  <c r="AP100" i="9" s="1"/>
  <c r="AG101" i="9"/>
  <c r="AH101" i="9"/>
  <c r="AI101" i="9" s="1"/>
  <c r="AJ101" i="9"/>
  <c r="AK101" i="9"/>
  <c r="AL101" i="9"/>
  <c r="AM101" i="9" s="1"/>
  <c r="AN101" i="9"/>
  <c r="AO101" i="9"/>
  <c r="AG102" i="9"/>
  <c r="AH102" i="9"/>
  <c r="AI102" i="9"/>
  <c r="AJ102" i="9"/>
  <c r="AK102" i="9"/>
  <c r="AL102" i="9"/>
  <c r="AM102" i="9"/>
  <c r="AN102" i="9"/>
  <c r="AO102" i="9"/>
  <c r="AG103" i="9"/>
  <c r="AH103" i="9"/>
  <c r="AI103" i="9" s="1"/>
  <c r="AJ103" i="9"/>
  <c r="AK103" i="9"/>
  <c r="AL103" i="9"/>
  <c r="AM103" i="9" s="1"/>
  <c r="AG104" i="9"/>
  <c r="AH104" i="9" s="1"/>
  <c r="AI104" i="9"/>
  <c r="AJ104" i="9"/>
  <c r="AK104" i="9"/>
  <c r="AL104" i="9"/>
  <c r="AM104" i="9"/>
  <c r="AN104" i="9"/>
  <c r="AO104" i="9"/>
  <c r="AG105" i="9"/>
  <c r="AH105" i="9"/>
  <c r="AI105" i="9"/>
  <c r="AJ105" i="9"/>
  <c r="AK105" i="9"/>
  <c r="AL105" i="9"/>
  <c r="AG106" i="9"/>
  <c r="AH106" i="9"/>
  <c r="AI106" i="9"/>
  <c r="AJ106" i="9"/>
  <c r="AK106" i="9"/>
  <c r="AL106" i="9"/>
  <c r="AN106" i="9" s="1"/>
  <c r="AM106" i="9"/>
  <c r="AO106" i="9"/>
  <c r="AP106" i="9" s="1"/>
  <c r="AQ106" i="9"/>
  <c r="AG107" i="9"/>
  <c r="AH107" i="9" s="1"/>
  <c r="AI107" i="9"/>
  <c r="AJ107" i="9"/>
  <c r="AK107" i="9"/>
  <c r="AL107" i="9"/>
  <c r="AG108" i="9"/>
  <c r="AH108" i="9" s="1"/>
  <c r="AI108" i="9" s="1"/>
  <c r="AJ108" i="9"/>
  <c r="AK108" i="9"/>
  <c r="AL108" i="9"/>
  <c r="AN108" i="9" s="1"/>
  <c r="AO108" i="9"/>
  <c r="AG109" i="9"/>
  <c r="AH109" i="9"/>
  <c r="AI109" i="9" s="1"/>
  <c r="AJ109" i="9"/>
  <c r="AK109" i="9"/>
  <c r="AL109" i="9"/>
  <c r="AG110" i="9"/>
  <c r="AH110" i="9" s="1"/>
  <c r="AI110" i="9"/>
  <c r="AJ110" i="9"/>
  <c r="AK110" i="9"/>
  <c r="AL110" i="9"/>
  <c r="AM110" i="9"/>
  <c r="AN110" i="9"/>
  <c r="AO110" i="9"/>
  <c r="AG111" i="9"/>
  <c r="AH111" i="9" s="1"/>
  <c r="AI111" i="9" s="1"/>
  <c r="AJ111" i="9"/>
  <c r="AK111" i="9"/>
  <c r="AL111" i="9"/>
  <c r="AM111" i="9"/>
  <c r="AG112" i="9"/>
  <c r="AH112" i="9"/>
  <c r="AI112" i="9" s="1"/>
  <c r="AJ112" i="9"/>
  <c r="AK112" i="9"/>
  <c r="AL112" i="9"/>
  <c r="AM112" i="9" s="1"/>
  <c r="AG113" i="9"/>
  <c r="AH113" i="9"/>
  <c r="AI113" i="9"/>
  <c r="AJ113" i="9"/>
  <c r="AK113" i="9"/>
  <c r="AL113" i="9"/>
  <c r="AM113" i="9"/>
  <c r="AN113" i="9"/>
  <c r="AO113" i="9"/>
  <c r="AP113" i="9" s="1"/>
  <c r="AG114" i="9"/>
  <c r="AH114" i="9" s="1"/>
  <c r="AI114" i="9" s="1"/>
  <c r="AJ114" i="9"/>
  <c r="AK114" i="9"/>
  <c r="AL114" i="9"/>
  <c r="AM114" i="9"/>
  <c r="AN114" i="9"/>
  <c r="AO114" i="9"/>
  <c r="AG115" i="9"/>
  <c r="AH115" i="9"/>
  <c r="AI115" i="9" s="1"/>
  <c r="AJ115" i="9"/>
  <c r="AK115" i="9"/>
  <c r="AL115" i="9"/>
  <c r="AN115" i="9" s="1"/>
  <c r="AG116" i="9"/>
  <c r="AH116" i="9"/>
  <c r="AI116" i="9" s="1"/>
  <c r="AJ116" i="9"/>
  <c r="AK116" i="9"/>
  <c r="AL116" i="9"/>
  <c r="AM116" i="9"/>
  <c r="AN116" i="9"/>
  <c r="AP116" i="9" s="1"/>
  <c r="AO116" i="9"/>
  <c r="AG117" i="9"/>
  <c r="AH117" i="9" s="1"/>
  <c r="AI117" i="9" s="1"/>
  <c r="AJ117" i="9"/>
  <c r="AK117" i="9"/>
  <c r="AL117" i="9"/>
  <c r="AG118" i="9"/>
  <c r="AH118" i="9" s="1"/>
  <c r="AI118" i="9" s="1"/>
  <c r="AJ118" i="9"/>
  <c r="AK118" i="9"/>
  <c r="AL118" i="9"/>
  <c r="AM118" i="9"/>
  <c r="AN118" i="9"/>
  <c r="AO118" i="9"/>
  <c r="AP118" i="9"/>
  <c r="AQ118" i="9"/>
  <c r="AG119" i="9"/>
  <c r="AH119" i="9"/>
  <c r="AI119" i="9" s="1"/>
  <c r="AJ119" i="9"/>
  <c r="AK119" i="9"/>
  <c r="AL119" i="9"/>
  <c r="AM119" i="9"/>
  <c r="AN119" i="9"/>
  <c r="AO119" i="9"/>
  <c r="AG120" i="9"/>
  <c r="AH120" i="9"/>
  <c r="AI120" i="9"/>
  <c r="AJ120" i="9"/>
  <c r="AK120" i="9"/>
  <c r="AL120" i="9"/>
  <c r="AO120" i="9" s="1"/>
  <c r="AM120" i="9"/>
  <c r="AG121" i="9"/>
  <c r="AH121" i="9"/>
  <c r="AI121" i="9" s="1"/>
  <c r="AJ121" i="9"/>
  <c r="AK121" i="9"/>
  <c r="AL121" i="9"/>
  <c r="AM121" i="9" s="1"/>
  <c r="AN121" i="9"/>
  <c r="AO121" i="9"/>
  <c r="AP121" i="9" s="1"/>
  <c r="AQ121" i="9"/>
  <c r="AG122" i="9"/>
  <c r="AH122" i="9" s="1"/>
  <c r="AI122" i="9"/>
  <c r="AJ122" i="9"/>
  <c r="AK122" i="9"/>
  <c r="AL122" i="9"/>
  <c r="AG123" i="9"/>
  <c r="AH123" i="9"/>
  <c r="AI123" i="9" s="1"/>
  <c r="AJ123" i="9"/>
  <c r="AK123" i="9"/>
  <c r="AL123" i="9"/>
  <c r="AM123" i="9"/>
  <c r="AN123" i="9"/>
  <c r="AO123" i="9"/>
  <c r="AG124" i="9"/>
  <c r="AH124" i="9" s="1"/>
  <c r="AI124" i="9" s="1"/>
  <c r="AJ124" i="9"/>
  <c r="AK124" i="9"/>
  <c r="AL124" i="9"/>
  <c r="AM124" i="9"/>
  <c r="AG125" i="9"/>
  <c r="AH125" i="9" s="1"/>
  <c r="AI125" i="9" s="1"/>
  <c r="AJ125" i="9"/>
  <c r="AK125" i="9"/>
  <c r="AL125" i="9"/>
  <c r="AG126" i="9"/>
  <c r="AH126" i="9" s="1"/>
  <c r="AI126" i="9" s="1"/>
  <c r="AJ126" i="9"/>
  <c r="AK126" i="9"/>
  <c r="AL126" i="9"/>
  <c r="AN126" i="9" s="1"/>
  <c r="AM126" i="9"/>
  <c r="AO126" i="9"/>
  <c r="AP126" i="9"/>
  <c r="AQ126" i="9"/>
  <c r="AG127" i="9"/>
  <c r="AH127" i="9" s="1"/>
  <c r="AI127" i="9" s="1"/>
  <c r="AJ127" i="9"/>
  <c r="AK127" i="9"/>
  <c r="AL127" i="9"/>
  <c r="AM127" i="9"/>
  <c r="AN127" i="9"/>
  <c r="AP127" i="9" s="1"/>
  <c r="AO127" i="9"/>
  <c r="AG128" i="9"/>
  <c r="AH128" i="9" s="1"/>
  <c r="AI128" i="9" s="1"/>
  <c r="AJ128" i="9"/>
  <c r="AK128" i="9"/>
  <c r="AL128" i="9"/>
  <c r="AM128" i="9"/>
  <c r="AN128" i="9"/>
  <c r="AQ128" i="9" s="1"/>
  <c r="AO128" i="9"/>
  <c r="AG129" i="9"/>
  <c r="AH129" i="9" s="1"/>
  <c r="AI129" i="9" s="1"/>
  <c r="AJ129" i="9"/>
  <c r="AK129" i="9"/>
  <c r="AL129" i="9"/>
  <c r="AM129" i="9"/>
  <c r="AG130" i="9"/>
  <c r="AH130" i="9"/>
  <c r="AI130" i="9" s="1"/>
  <c r="AJ130" i="9"/>
  <c r="AK130" i="9"/>
  <c r="AL130" i="9"/>
  <c r="AM130" i="9"/>
  <c r="AN130" i="9"/>
  <c r="AO130" i="9"/>
  <c r="AG131" i="9"/>
  <c r="AH131" i="9" s="1"/>
  <c r="AI131" i="9" s="1"/>
  <c r="AJ131" i="9"/>
  <c r="AK131" i="9"/>
  <c r="AL131" i="9"/>
  <c r="AO131" i="9" s="1"/>
  <c r="AM131" i="9"/>
  <c r="AN131" i="9"/>
  <c r="AP131" i="9" s="1"/>
  <c r="AG132" i="9"/>
  <c r="AH132" i="9"/>
  <c r="AI132" i="9"/>
  <c r="AJ132" i="9"/>
  <c r="AK132" i="9"/>
  <c r="AL132" i="9"/>
  <c r="AM132" i="9" s="1"/>
  <c r="AG133" i="9"/>
  <c r="AH133" i="9"/>
  <c r="AI133" i="9"/>
  <c r="AJ133" i="9"/>
  <c r="AK133" i="9"/>
  <c r="AL133" i="9"/>
  <c r="AO133" i="9" s="1"/>
  <c r="AM133" i="9"/>
  <c r="AN133" i="9"/>
  <c r="AQ133" i="9" s="1"/>
  <c r="AG134" i="9"/>
  <c r="AH134" i="9" s="1"/>
  <c r="AI134" i="9"/>
  <c r="AJ134" i="9"/>
  <c r="AK134" i="9"/>
  <c r="AL134" i="9"/>
  <c r="AM134" i="9"/>
  <c r="AN134" i="9"/>
  <c r="AP134" i="9" s="1"/>
  <c r="AO134" i="9"/>
  <c r="AG135" i="9"/>
  <c r="AH135" i="9" s="1"/>
  <c r="AI135" i="9" s="1"/>
  <c r="AJ135" i="9"/>
  <c r="AK135" i="9"/>
  <c r="AL135" i="9"/>
  <c r="AG136" i="9"/>
  <c r="AH136" i="9" s="1"/>
  <c r="AI136" i="9" s="1"/>
  <c r="AJ136" i="9"/>
  <c r="AK136" i="9"/>
  <c r="AL136" i="9"/>
  <c r="AM136" i="9"/>
  <c r="AN136" i="9"/>
  <c r="AG137" i="9"/>
  <c r="AH137" i="9" s="1"/>
  <c r="AI137" i="9"/>
  <c r="AJ137" i="9"/>
  <c r="AK137" i="9"/>
  <c r="AL137" i="9"/>
  <c r="AM137" i="9"/>
  <c r="AN137" i="9"/>
  <c r="AO137" i="9"/>
  <c r="AG138" i="9"/>
  <c r="AH138" i="9" s="1"/>
  <c r="AI138" i="9" s="1"/>
  <c r="AJ138" i="9"/>
  <c r="AK138" i="9"/>
  <c r="AL138" i="9"/>
  <c r="AM138" i="9"/>
  <c r="AN138" i="9"/>
  <c r="AP138" i="9" s="1"/>
  <c r="AO138" i="9"/>
  <c r="AG139" i="9"/>
  <c r="AH139" i="9"/>
  <c r="AI139" i="9" s="1"/>
  <c r="AJ139" i="9"/>
  <c r="AK139" i="9"/>
  <c r="AL139" i="9"/>
  <c r="AM139" i="9"/>
  <c r="AN139" i="9"/>
  <c r="AP139" i="9" s="1"/>
  <c r="AO139" i="9"/>
  <c r="AG140" i="9"/>
  <c r="AH140" i="9"/>
  <c r="AI140" i="9"/>
  <c r="AJ140" i="9"/>
  <c r="AK140" i="9"/>
  <c r="AL140" i="9"/>
  <c r="AM140" i="9"/>
  <c r="AO140" i="9"/>
  <c r="AG141" i="9"/>
  <c r="AH141" i="9" s="1"/>
  <c r="AI141" i="9"/>
  <c r="AJ141" i="9"/>
  <c r="AK141" i="9"/>
  <c r="AL141" i="9"/>
  <c r="AO141" i="9"/>
  <c r="AG142" i="9"/>
  <c r="AH142" i="9"/>
  <c r="AI142" i="9" s="1"/>
  <c r="AJ142" i="9"/>
  <c r="AK142" i="9"/>
  <c r="AL142" i="9"/>
  <c r="AM142" i="9"/>
  <c r="AN142" i="9"/>
  <c r="AP142" i="9" s="1"/>
  <c r="AO142" i="9"/>
  <c r="AQ142" i="9"/>
  <c r="AG143" i="9"/>
  <c r="AH143" i="9"/>
  <c r="AI143" i="9" s="1"/>
  <c r="AJ143" i="9"/>
  <c r="AK143" i="9"/>
  <c r="AL143" i="9"/>
  <c r="AN143" i="9"/>
  <c r="AO143" i="9"/>
  <c r="AQ143" i="9" s="1"/>
  <c r="AG144" i="9"/>
  <c r="AH144" i="9" s="1"/>
  <c r="AI144" i="9" s="1"/>
  <c r="AJ144" i="9"/>
  <c r="AK144" i="9"/>
  <c r="AL144" i="9"/>
  <c r="AM144" i="9"/>
  <c r="AN144" i="9"/>
  <c r="AO144" i="9"/>
  <c r="AQ144" i="9" s="1"/>
  <c r="AG145" i="9"/>
  <c r="AH145" i="9" s="1"/>
  <c r="AI145" i="9"/>
  <c r="AJ145" i="9"/>
  <c r="AK145" i="9"/>
  <c r="AL145" i="9"/>
  <c r="AG146" i="9"/>
  <c r="AH146" i="9" s="1"/>
  <c r="AI146" i="9" s="1"/>
  <c r="AJ146" i="9"/>
  <c r="AK146" i="9"/>
  <c r="AL146" i="9"/>
  <c r="AM146" i="9"/>
  <c r="AN146" i="9"/>
  <c r="AO146" i="9"/>
  <c r="AP146" i="9"/>
  <c r="AQ146" i="9"/>
  <c r="AG147" i="9"/>
  <c r="AH147" i="9"/>
  <c r="AI147" i="9" s="1"/>
  <c r="AJ147" i="9"/>
  <c r="AK147" i="9"/>
  <c r="AL147" i="9"/>
  <c r="AM147" i="9"/>
  <c r="AN147" i="9"/>
  <c r="AP147" i="9" s="1"/>
  <c r="AO147" i="9"/>
  <c r="AG148" i="9"/>
  <c r="AH148" i="9"/>
  <c r="AI148" i="9" s="1"/>
  <c r="AJ148" i="9"/>
  <c r="AK148" i="9"/>
  <c r="AL148" i="9"/>
  <c r="AM148" i="9" s="1"/>
  <c r="AG149" i="9"/>
  <c r="AH149" i="9"/>
  <c r="AI149" i="9"/>
  <c r="AJ149" i="9"/>
  <c r="AK149" i="9"/>
  <c r="AL149" i="9"/>
  <c r="AM149" i="9" s="1"/>
  <c r="AN149" i="9"/>
  <c r="AO149" i="9"/>
  <c r="AP149" i="9" s="1"/>
  <c r="AQ149" i="9"/>
  <c r="AG150" i="9"/>
  <c r="AH150" i="9" s="1"/>
  <c r="AI150" i="9" s="1"/>
  <c r="AJ150" i="9"/>
  <c r="AK150" i="9"/>
  <c r="AL150" i="9"/>
  <c r="AG151" i="9"/>
  <c r="AH151" i="9"/>
  <c r="AI151" i="9"/>
  <c r="AJ151" i="9"/>
  <c r="AK151" i="9"/>
  <c r="AL151" i="9"/>
  <c r="AM151" i="9"/>
  <c r="AN151" i="9"/>
  <c r="AO151" i="9"/>
  <c r="AP151" i="9"/>
  <c r="AQ151" i="9"/>
  <c r="AG152" i="9"/>
  <c r="AH152" i="9" s="1"/>
  <c r="AI152" i="9"/>
  <c r="AJ152" i="9"/>
  <c r="AK152" i="9"/>
  <c r="AL152" i="9"/>
  <c r="AM152" i="9"/>
  <c r="AN152" i="9"/>
  <c r="AO152" i="9"/>
  <c r="AQ152" i="9"/>
  <c r="AG153" i="9"/>
  <c r="AH153" i="9" s="1"/>
  <c r="AI153" i="9" s="1"/>
  <c r="AJ153" i="9"/>
  <c r="AK153" i="9"/>
  <c r="AL153" i="9"/>
  <c r="AG154" i="9"/>
  <c r="AH154" i="9" s="1"/>
  <c r="AI154" i="9"/>
  <c r="AJ154" i="9"/>
  <c r="AK154" i="9"/>
  <c r="AL154" i="9"/>
  <c r="AG155" i="9"/>
  <c r="AH155" i="9"/>
  <c r="AI155" i="9" s="1"/>
  <c r="AJ155" i="9"/>
  <c r="AK155" i="9"/>
  <c r="AL155" i="9"/>
  <c r="AM155" i="9"/>
  <c r="AN155" i="9"/>
  <c r="AO155" i="9"/>
  <c r="AP155" i="9"/>
  <c r="AG156" i="9"/>
  <c r="AH156" i="9"/>
  <c r="AI156" i="9"/>
  <c r="AJ156" i="9"/>
  <c r="AK156" i="9"/>
  <c r="AL156" i="9"/>
  <c r="AG157" i="9"/>
  <c r="AH157" i="9" s="1"/>
  <c r="AI157" i="9" s="1"/>
  <c r="AJ157" i="9"/>
  <c r="AK157" i="9"/>
  <c r="AL157" i="9"/>
  <c r="AO157" i="9"/>
  <c r="AG158" i="9"/>
  <c r="AH158" i="9"/>
  <c r="AI158" i="9" s="1"/>
  <c r="AJ158" i="9"/>
  <c r="AK158" i="9"/>
  <c r="AL158" i="9"/>
  <c r="AM158" i="9"/>
  <c r="AN158" i="9"/>
  <c r="AO158" i="9"/>
  <c r="AP158" i="9"/>
  <c r="AG159" i="9"/>
  <c r="AH159" i="9"/>
  <c r="AI159" i="9"/>
  <c r="AJ159" i="9"/>
  <c r="AK159" i="9"/>
  <c r="AL159" i="9"/>
  <c r="AO159" i="9" s="1"/>
  <c r="AM159" i="9"/>
  <c r="AN159" i="9"/>
  <c r="AG160" i="9"/>
  <c r="AH160" i="9"/>
  <c r="AI160" i="9" s="1"/>
  <c r="AJ160" i="9"/>
  <c r="AK160" i="9"/>
  <c r="AL160" i="9"/>
  <c r="AM160" i="9"/>
  <c r="AN160" i="9"/>
  <c r="AQ160" i="9" s="1"/>
  <c r="AO160" i="9"/>
  <c r="AG161" i="9"/>
  <c r="AH161" i="9"/>
  <c r="AI161" i="9"/>
  <c r="AJ161" i="9"/>
  <c r="AK161" i="9"/>
  <c r="AL161" i="9"/>
  <c r="AM161" i="9" s="1"/>
  <c r="AG162" i="9"/>
  <c r="AH162" i="9" s="1"/>
  <c r="AI162" i="9"/>
  <c r="AJ162" i="9"/>
  <c r="AK162" i="9"/>
  <c r="AL162" i="9"/>
  <c r="AM162" i="9" s="1"/>
  <c r="AN162" i="9"/>
  <c r="AO162" i="9"/>
  <c r="AG163" i="9"/>
  <c r="AH163" i="9" s="1"/>
  <c r="AI163" i="9" s="1"/>
  <c r="AJ163" i="9"/>
  <c r="AK163" i="9"/>
  <c r="AL163" i="9"/>
  <c r="AN163" i="9"/>
  <c r="AG164" i="9"/>
  <c r="AH164" i="9" s="1"/>
  <c r="AI164" i="9" s="1"/>
  <c r="AJ164" i="9"/>
  <c r="AK164" i="9"/>
  <c r="AL164" i="9"/>
  <c r="AG165" i="9"/>
  <c r="AH165" i="9" s="1"/>
  <c r="AI165" i="9" s="1"/>
  <c r="AJ165" i="9"/>
  <c r="AK165" i="9"/>
  <c r="AL165" i="9"/>
  <c r="AM165" i="9"/>
  <c r="AN165" i="9"/>
  <c r="AO165" i="9"/>
  <c r="AG166" i="9"/>
  <c r="AH166" i="9" s="1"/>
  <c r="AI166" i="9" s="1"/>
  <c r="AJ166" i="9"/>
  <c r="AK166" i="9"/>
  <c r="AL166" i="9"/>
  <c r="AM166" i="9"/>
  <c r="AN166" i="9"/>
  <c r="AO166" i="9"/>
  <c r="AP166" i="9"/>
  <c r="AQ166" i="9"/>
  <c r="AG167" i="9"/>
  <c r="AH167" i="9"/>
  <c r="AI167" i="9" s="1"/>
  <c r="AJ167" i="9"/>
  <c r="AK167" i="9"/>
  <c r="AL167" i="9"/>
  <c r="AM167" i="9"/>
  <c r="AN167" i="9"/>
  <c r="AO167" i="9"/>
  <c r="AQ167" i="9" s="1"/>
  <c r="AP167" i="9"/>
  <c r="AG168" i="9"/>
  <c r="AH168" i="9"/>
  <c r="AI168" i="9"/>
  <c r="AJ168" i="9"/>
  <c r="AK168" i="9"/>
  <c r="AL168" i="9"/>
  <c r="AG169" i="9"/>
  <c r="AH169" i="9"/>
  <c r="AI169" i="9"/>
  <c r="AJ169" i="9"/>
  <c r="AK169" i="9"/>
  <c r="AL169" i="9"/>
  <c r="AM169" i="9"/>
  <c r="AN169" i="9"/>
  <c r="AO169" i="9"/>
  <c r="AP169" i="9"/>
  <c r="AG170" i="9"/>
  <c r="AH170" i="9" s="1"/>
  <c r="AI170" i="9" s="1"/>
  <c r="AJ170" i="9"/>
  <c r="AK170" i="9"/>
  <c r="AL170" i="9"/>
  <c r="AM170" i="9"/>
  <c r="AN170" i="9"/>
  <c r="AP170" i="9" s="1"/>
  <c r="AO170" i="9"/>
  <c r="AG171" i="9"/>
  <c r="AH171" i="9"/>
  <c r="AI171" i="9" s="1"/>
  <c r="AJ171" i="9"/>
  <c r="AK171" i="9"/>
  <c r="AL171" i="9"/>
  <c r="AG172" i="9"/>
  <c r="AH172" i="9"/>
  <c r="AI172" i="9"/>
  <c r="AJ172" i="9"/>
  <c r="AK172" i="9"/>
  <c r="AL172" i="9"/>
  <c r="AM172" i="9"/>
  <c r="AN172" i="9"/>
  <c r="AO172" i="9"/>
  <c r="AQ172" i="9"/>
  <c r="AG173" i="9"/>
  <c r="AH173" i="9" s="1"/>
  <c r="AI173" i="9" s="1"/>
  <c r="AJ173" i="9"/>
  <c r="AK173" i="9"/>
  <c r="AL173" i="9"/>
  <c r="AO173" i="9" s="1"/>
  <c r="AM173" i="9"/>
  <c r="AN173" i="9"/>
  <c r="AG174" i="9"/>
  <c r="AH174" i="9" s="1"/>
  <c r="AI174" i="9"/>
  <c r="AJ174" i="9"/>
  <c r="AK174" i="9"/>
  <c r="AL174" i="9"/>
  <c r="AM174" i="9" s="1"/>
  <c r="AG175" i="9"/>
  <c r="AH175" i="9"/>
  <c r="AI175" i="9"/>
  <c r="AJ175" i="9"/>
  <c r="AK175" i="9"/>
  <c r="AL175" i="9"/>
  <c r="AM175" i="9"/>
  <c r="AN175" i="9"/>
  <c r="AO175" i="9"/>
  <c r="AP175" i="9"/>
  <c r="AG176" i="9"/>
  <c r="AH176" i="9"/>
  <c r="AI176" i="9"/>
  <c r="AJ176" i="9"/>
  <c r="AK176" i="9"/>
  <c r="AL176" i="9"/>
  <c r="AN176" i="9" s="1"/>
  <c r="AM176" i="9"/>
  <c r="AG177" i="9"/>
  <c r="AH177" i="9"/>
  <c r="AI177" i="9"/>
  <c r="AJ177" i="9"/>
  <c r="AK177" i="9"/>
  <c r="AL177" i="9"/>
  <c r="AO177" i="9" s="1"/>
  <c r="AM177" i="9"/>
  <c r="AN177" i="9"/>
  <c r="AG178" i="9"/>
  <c r="AH178" i="9" s="1"/>
  <c r="AI178" i="9" s="1"/>
  <c r="AJ178" i="9"/>
  <c r="AK178" i="9"/>
  <c r="AL178" i="9"/>
  <c r="AM178" i="9"/>
  <c r="AG179" i="9"/>
  <c r="AH179" i="9"/>
  <c r="AI179" i="9" s="1"/>
  <c r="AJ179" i="9"/>
  <c r="AK179" i="9"/>
  <c r="AL179" i="9"/>
  <c r="AN179" i="9" s="1"/>
  <c r="AM179" i="9"/>
  <c r="AG180" i="9"/>
  <c r="AH180" i="9"/>
  <c r="AI180" i="9"/>
  <c r="AJ180" i="9"/>
  <c r="AK180" i="9"/>
  <c r="AL180" i="9"/>
  <c r="AM180" i="9"/>
  <c r="AN180" i="9"/>
  <c r="AQ180" i="9" s="1"/>
  <c r="AO180" i="9"/>
  <c r="AP180" i="9"/>
  <c r="AG181" i="9"/>
  <c r="AH181" i="9"/>
  <c r="AI181" i="9"/>
  <c r="AJ181" i="9"/>
  <c r="AK181" i="9"/>
  <c r="AL181" i="9"/>
  <c r="AG182" i="9"/>
  <c r="AH182" i="9"/>
  <c r="AI182" i="9"/>
  <c r="AJ182" i="9"/>
  <c r="AK182" i="9"/>
  <c r="AL182" i="9"/>
  <c r="AM182" i="9"/>
  <c r="AG183" i="9"/>
  <c r="AH183" i="9"/>
  <c r="AI183" i="9" s="1"/>
  <c r="AJ183" i="9"/>
  <c r="AK183" i="9"/>
  <c r="AL183" i="9"/>
  <c r="AM183" i="9"/>
  <c r="AN183" i="9"/>
  <c r="AG184" i="9"/>
  <c r="AH184" i="9"/>
  <c r="AI184" i="9"/>
  <c r="AJ184" i="9"/>
  <c r="AK184" i="9"/>
  <c r="AL184" i="9"/>
  <c r="AM184" i="9" s="1"/>
  <c r="AN184" i="9"/>
  <c r="AO184" i="9"/>
  <c r="AG185" i="9"/>
  <c r="AH185" i="9" s="1"/>
  <c r="AI185" i="9" s="1"/>
  <c r="AJ185" i="9"/>
  <c r="AK185" i="9"/>
  <c r="AL185" i="9"/>
  <c r="AM185" i="9" s="1"/>
  <c r="AN185" i="9"/>
  <c r="AO185" i="9"/>
  <c r="AQ185" i="9" s="1"/>
  <c r="AG186" i="9"/>
  <c r="AH186" i="9"/>
  <c r="AI186" i="9" s="1"/>
  <c r="AJ186" i="9"/>
  <c r="AK186" i="9"/>
  <c r="AL186" i="9"/>
  <c r="AO186" i="9" s="1"/>
  <c r="AG187" i="9"/>
  <c r="AH187" i="9"/>
  <c r="AI187" i="9"/>
  <c r="AJ187" i="9"/>
  <c r="AK187" i="9"/>
  <c r="AL187" i="9"/>
  <c r="AM187" i="9" s="1"/>
  <c r="AN187" i="9"/>
  <c r="AO187" i="9"/>
  <c r="AG188" i="9"/>
  <c r="AH188" i="9" s="1"/>
  <c r="AI188" i="9"/>
  <c r="AJ188" i="9"/>
  <c r="AK188" i="9"/>
  <c r="AL188" i="9"/>
  <c r="AM188" i="9"/>
  <c r="AN188" i="9"/>
  <c r="AO188" i="9"/>
  <c r="AQ188" i="9" s="1"/>
  <c r="AP188" i="9"/>
  <c r="AG189" i="9"/>
  <c r="AH189" i="9"/>
  <c r="AI189" i="9" s="1"/>
  <c r="AJ189" i="9"/>
  <c r="AK189" i="9"/>
  <c r="AL189" i="9"/>
  <c r="AM189" i="9" s="1"/>
  <c r="AG190" i="9"/>
  <c r="AH190" i="9"/>
  <c r="AI190" i="9" s="1"/>
  <c r="AJ190" i="9"/>
  <c r="AK190" i="9"/>
  <c r="AL190" i="9"/>
  <c r="AG191" i="9"/>
  <c r="AH191" i="9" s="1"/>
  <c r="AI191" i="9" s="1"/>
  <c r="AJ191" i="9"/>
  <c r="AK191" i="9"/>
  <c r="AL191" i="9"/>
  <c r="AM191" i="9"/>
  <c r="AN191" i="9"/>
  <c r="AP191" i="9" s="1"/>
  <c r="AO191" i="9"/>
  <c r="AG192" i="9"/>
  <c r="AH192" i="9"/>
  <c r="AI192" i="9"/>
  <c r="AJ192" i="9"/>
  <c r="AK192" i="9"/>
  <c r="AL192" i="9"/>
  <c r="AM192" i="9"/>
  <c r="AN192" i="9"/>
  <c r="AO192" i="9"/>
  <c r="AP192" i="9" s="1"/>
  <c r="AQ192" i="9"/>
  <c r="AG193" i="9"/>
  <c r="AH193" i="9" s="1"/>
  <c r="AI193" i="9" s="1"/>
  <c r="AJ193" i="9"/>
  <c r="AK193" i="9"/>
  <c r="AL193" i="9"/>
  <c r="AM193" i="9"/>
  <c r="AN193" i="9"/>
  <c r="AP193" i="9" s="1"/>
  <c r="AO193" i="9"/>
  <c r="AG194" i="9"/>
  <c r="AH194" i="9"/>
  <c r="AI194" i="9" s="1"/>
  <c r="AJ194" i="9"/>
  <c r="AK194" i="9"/>
  <c r="AL194" i="9"/>
  <c r="AM194" i="9"/>
  <c r="AN194" i="9"/>
  <c r="AO194" i="9"/>
  <c r="AP194" i="9"/>
  <c r="AQ194" i="9"/>
  <c r="AG195" i="9"/>
  <c r="AH195" i="9" s="1"/>
  <c r="AI195" i="9" s="1"/>
  <c r="AJ195" i="9"/>
  <c r="AK195" i="9"/>
  <c r="AL195" i="9"/>
  <c r="AO195" i="9" s="1"/>
  <c r="AM195" i="9"/>
  <c r="AN195" i="9"/>
  <c r="AG196" i="9"/>
  <c r="AH196" i="9"/>
  <c r="AI196" i="9"/>
  <c r="AJ196" i="9"/>
  <c r="AK196" i="9"/>
  <c r="AL196" i="9"/>
  <c r="AM196" i="9"/>
  <c r="AN196" i="9"/>
  <c r="AO196" i="9"/>
  <c r="AP196" i="9" s="1"/>
  <c r="AQ196" i="9"/>
  <c r="AG197" i="9"/>
  <c r="AH197" i="9"/>
  <c r="AI197" i="9"/>
  <c r="AJ197" i="9"/>
  <c r="AK197" i="9"/>
  <c r="AL197" i="9"/>
  <c r="AO197" i="9" s="1"/>
  <c r="AM197" i="9"/>
  <c r="AN197" i="9"/>
  <c r="AG198" i="9"/>
  <c r="AH198" i="9" s="1"/>
  <c r="AI198" i="9" s="1"/>
  <c r="AJ198" i="9"/>
  <c r="AK198" i="9"/>
  <c r="AL198" i="9"/>
  <c r="AO198" i="9"/>
  <c r="AG199" i="9"/>
  <c r="AH199" i="9" s="1"/>
  <c r="AI199" i="9" s="1"/>
  <c r="AJ199" i="9"/>
  <c r="AK199" i="9"/>
  <c r="AL199" i="9"/>
  <c r="AN199" i="9" s="1"/>
  <c r="AO199" i="9"/>
  <c r="AP199" i="9"/>
  <c r="AG200" i="9"/>
  <c r="AH200" i="9"/>
  <c r="AI200" i="9"/>
  <c r="AJ200" i="9"/>
  <c r="AK200" i="9"/>
  <c r="AL200" i="9"/>
  <c r="AG201" i="9"/>
  <c r="AH201" i="9" s="1"/>
  <c r="AI201" i="9" s="1"/>
  <c r="AJ201" i="9"/>
  <c r="AK201" i="9"/>
  <c r="AL201" i="9"/>
  <c r="AM201" i="9"/>
  <c r="AN201" i="9"/>
  <c r="AG202" i="9"/>
  <c r="AH202" i="9" s="1"/>
  <c r="AI202" i="9"/>
  <c r="AJ202" i="9"/>
  <c r="AK202" i="9"/>
  <c r="AL202" i="9"/>
  <c r="AM202" i="9"/>
  <c r="AG203" i="9"/>
  <c r="AH203" i="9"/>
  <c r="AI203" i="9"/>
  <c r="AJ203" i="9"/>
  <c r="AK203" i="9"/>
  <c r="AL203" i="9"/>
  <c r="AM203" i="9" s="1"/>
  <c r="AG204" i="9"/>
  <c r="AH204" i="9"/>
  <c r="AI204" i="9"/>
  <c r="AJ204" i="9"/>
  <c r="AK204" i="9"/>
  <c r="AL204" i="9"/>
  <c r="AM204" i="9"/>
  <c r="AG205" i="9"/>
  <c r="AH205" i="9"/>
  <c r="AI205" i="9"/>
  <c r="AJ205" i="9"/>
  <c r="AK205" i="9"/>
  <c r="AL205" i="9"/>
  <c r="AM205" i="9"/>
  <c r="AN205" i="9"/>
  <c r="AO205" i="9"/>
  <c r="AP205" i="9"/>
  <c r="AG206" i="9"/>
  <c r="AH206" i="9" s="1"/>
  <c r="AI206" i="9" s="1"/>
  <c r="AJ206" i="9"/>
  <c r="AK206" i="9"/>
  <c r="AL206" i="9"/>
  <c r="AM206" i="9"/>
  <c r="AG207" i="9"/>
  <c r="AH207" i="9"/>
  <c r="AI207" i="9" s="1"/>
  <c r="AJ207" i="9"/>
  <c r="AK207" i="9"/>
  <c r="AL207" i="9"/>
  <c r="AM207" i="9"/>
  <c r="AG208" i="9"/>
  <c r="AH208" i="9"/>
  <c r="AI208" i="9"/>
  <c r="AJ208" i="9"/>
  <c r="AK208" i="9"/>
  <c r="AL208" i="9"/>
  <c r="AM208" i="9"/>
  <c r="AN208" i="9"/>
  <c r="AO208" i="9"/>
  <c r="AP208" i="9"/>
  <c r="AG209" i="9"/>
  <c r="AH209" i="9" s="1"/>
  <c r="AI209" i="9" s="1"/>
  <c r="AJ209" i="9"/>
  <c r="AK209" i="9"/>
  <c r="AL209" i="9"/>
  <c r="AN209" i="9" s="1"/>
  <c r="AG210" i="9"/>
  <c r="AH210" i="9" s="1"/>
  <c r="AI210" i="9" s="1"/>
  <c r="AJ210" i="9"/>
  <c r="AK210" i="9"/>
  <c r="AL210" i="9"/>
  <c r="AM210" i="9" s="1"/>
  <c r="AG211" i="9"/>
  <c r="AH211" i="9"/>
  <c r="AI211" i="9"/>
  <c r="AJ211" i="9"/>
  <c r="AK211" i="9"/>
  <c r="AL211" i="9"/>
  <c r="AM211" i="9"/>
  <c r="AN211" i="9"/>
  <c r="AG212" i="9"/>
  <c r="AH212" i="9"/>
  <c r="AI212" i="9"/>
  <c r="AJ212" i="9"/>
  <c r="AK212" i="9"/>
  <c r="AL212" i="9"/>
  <c r="AM212" i="9"/>
  <c r="AN212" i="9"/>
  <c r="AO212" i="9"/>
  <c r="AQ212" i="9" s="1"/>
  <c r="AP212" i="9"/>
  <c r="AG213" i="9"/>
  <c r="AH213" i="9" s="1"/>
  <c r="AI213" i="9" s="1"/>
  <c r="AJ213" i="9"/>
  <c r="AK213" i="9"/>
  <c r="AL213" i="9"/>
  <c r="AM213" i="9" s="1"/>
  <c r="AN213" i="9"/>
  <c r="AO213" i="9"/>
  <c r="AP213" i="9"/>
  <c r="AQ213" i="9"/>
  <c r="AG214" i="9"/>
  <c r="AH214" i="9" s="1"/>
  <c r="AI214" i="9" s="1"/>
  <c r="AJ214" i="9"/>
  <c r="AK214" i="9"/>
  <c r="AL214" i="9"/>
  <c r="AG215" i="9"/>
  <c r="AH215" i="9" s="1"/>
  <c r="AI215" i="9" s="1"/>
  <c r="AJ215" i="9"/>
  <c r="AK215" i="9"/>
  <c r="AL215" i="9"/>
  <c r="AM215" i="9"/>
  <c r="AN215" i="9"/>
  <c r="AO215" i="9"/>
  <c r="AP215" i="9" s="1"/>
  <c r="AG216" i="9"/>
  <c r="AH216" i="9"/>
  <c r="AI216" i="9" s="1"/>
  <c r="AJ216" i="9"/>
  <c r="AK216" i="9"/>
  <c r="AL216" i="9"/>
  <c r="AM216" i="9"/>
  <c r="AN216" i="9"/>
  <c r="AO216" i="9"/>
  <c r="AG217" i="9"/>
  <c r="AH217" i="9"/>
  <c r="AI217" i="9" s="1"/>
  <c r="AJ217" i="9"/>
  <c r="AK217" i="9"/>
  <c r="AL217" i="9"/>
  <c r="AG218" i="9"/>
  <c r="AH218" i="9"/>
  <c r="AI218" i="9" s="1"/>
  <c r="AJ218" i="9"/>
  <c r="AK218" i="9"/>
  <c r="AL218" i="9"/>
  <c r="AM218" i="9"/>
  <c r="AN218" i="9"/>
  <c r="AP218" i="9" s="1"/>
  <c r="AO218" i="9"/>
  <c r="AG219" i="9"/>
  <c r="AH219" i="9" s="1"/>
  <c r="AI219" i="9" s="1"/>
  <c r="AJ219" i="9"/>
  <c r="AK219" i="9"/>
  <c r="AL219" i="9"/>
  <c r="AM219" i="9"/>
  <c r="AN219" i="9"/>
  <c r="AG220" i="9"/>
  <c r="AH220" i="9" s="1"/>
  <c r="AI220" i="9" s="1"/>
  <c r="AJ220" i="9"/>
  <c r="AK220" i="9"/>
  <c r="AL220" i="9"/>
  <c r="AM220" i="9" s="1"/>
  <c r="AG221" i="9"/>
  <c r="AH221" i="9"/>
  <c r="AI221" i="9"/>
  <c r="AJ221" i="9"/>
  <c r="AK221" i="9"/>
  <c r="AL221" i="9"/>
  <c r="AN221" i="9"/>
  <c r="AG222" i="9"/>
  <c r="AH222" i="9"/>
  <c r="AI222" i="9" s="1"/>
  <c r="AJ222" i="9"/>
  <c r="AK222" i="9"/>
  <c r="AL222" i="9"/>
  <c r="AN222" i="9" s="1"/>
  <c r="AG223" i="9"/>
  <c r="AH223" i="9" s="1"/>
  <c r="AI223" i="9" s="1"/>
  <c r="AJ223" i="9"/>
  <c r="AK223" i="9"/>
  <c r="AL223" i="9"/>
  <c r="AO223" i="9"/>
  <c r="AG224" i="9"/>
  <c r="AH224" i="9" s="1"/>
  <c r="AI224" i="9"/>
  <c r="AJ224" i="9"/>
  <c r="AK224" i="9"/>
  <c r="AL224" i="9"/>
  <c r="AM224" i="9" s="1"/>
  <c r="AG225" i="9"/>
  <c r="AH225" i="9" s="1"/>
  <c r="AI225" i="9"/>
  <c r="AJ225" i="9"/>
  <c r="AK225" i="9"/>
  <c r="AL225" i="9"/>
  <c r="AM225" i="9"/>
  <c r="AN225" i="9"/>
  <c r="AG226" i="9"/>
  <c r="AH226" i="9" s="1"/>
  <c r="AI226" i="9" s="1"/>
  <c r="AJ226" i="9"/>
  <c r="AK226" i="9"/>
  <c r="AL226" i="9"/>
  <c r="AM226" i="9" s="1"/>
  <c r="AN226" i="9"/>
  <c r="AP226" i="9" s="1"/>
  <c r="AO226" i="9"/>
  <c r="AG227" i="9"/>
  <c r="AH227" i="9" s="1"/>
  <c r="AI227" i="9" s="1"/>
  <c r="AJ227" i="9"/>
  <c r="AK227" i="9"/>
  <c r="AL227" i="9"/>
  <c r="AM227" i="9"/>
  <c r="AN227" i="9"/>
  <c r="AO227" i="9"/>
  <c r="AP227" i="9" s="1"/>
  <c r="AQ227" i="9"/>
  <c r="AG228" i="9"/>
  <c r="AH228" i="9"/>
  <c r="AI228" i="9"/>
  <c r="AJ228" i="9"/>
  <c r="AK228" i="9"/>
  <c r="AL228" i="9"/>
  <c r="AM228" i="9"/>
  <c r="AG229" i="9"/>
  <c r="AH229" i="9"/>
  <c r="AI229" i="9"/>
  <c r="AJ229" i="9"/>
  <c r="AK229" i="9"/>
  <c r="AL229" i="9"/>
  <c r="AN229" i="9" s="1"/>
  <c r="AM229" i="9"/>
  <c r="AO229" i="9"/>
  <c r="AP229" i="9" s="1"/>
  <c r="AG230" i="9"/>
  <c r="AH230" i="9"/>
  <c r="AI230" i="9" s="1"/>
  <c r="AJ230" i="9"/>
  <c r="AK230" i="9"/>
  <c r="AL230" i="9"/>
  <c r="AM230" i="9"/>
  <c r="AN230" i="9"/>
  <c r="AO230" i="9"/>
  <c r="AP230" i="9"/>
  <c r="AQ230" i="9"/>
  <c r="AG231" i="9"/>
  <c r="AH231" i="9" s="1"/>
  <c r="AI231" i="9" s="1"/>
  <c r="AJ231" i="9"/>
  <c r="AK231" i="9"/>
  <c r="AL231" i="9"/>
  <c r="AG232" i="9"/>
  <c r="AH232" i="9"/>
  <c r="AI232" i="9" s="1"/>
  <c r="AJ232" i="9"/>
  <c r="AK232" i="9"/>
  <c r="AL232" i="9"/>
  <c r="AM232" i="9"/>
  <c r="AN232" i="9"/>
  <c r="AO232" i="9"/>
  <c r="AG233" i="9"/>
  <c r="AH233" i="9"/>
  <c r="AI233" i="9"/>
  <c r="AJ233" i="9"/>
  <c r="AK233" i="9"/>
  <c r="AL233" i="9"/>
  <c r="AG234" i="9"/>
  <c r="AH234" i="9" s="1"/>
  <c r="AI234" i="9" s="1"/>
  <c r="AJ234" i="9"/>
  <c r="AK234" i="9"/>
  <c r="AL234" i="9"/>
  <c r="AM234" i="9"/>
  <c r="AN234" i="9"/>
  <c r="AP234" i="9" s="1"/>
  <c r="AO234" i="9"/>
  <c r="AQ234" i="9"/>
  <c r="AG235" i="9"/>
  <c r="AH235" i="9"/>
  <c r="AI235" i="9"/>
  <c r="AJ235" i="9"/>
  <c r="AK235" i="9"/>
  <c r="AL235" i="9"/>
  <c r="AG236" i="9"/>
  <c r="AH236" i="9"/>
  <c r="AI236" i="9" s="1"/>
  <c r="AJ236" i="9"/>
  <c r="AK236" i="9"/>
  <c r="AL236" i="9"/>
  <c r="AM236" i="9"/>
  <c r="AN236" i="9"/>
  <c r="AG237" i="9"/>
  <c r="AH237" i="9"/>
  <c r="AI237" i="9"/>
  <c r="AJ237" i="9"/>
  <c r="AK237" i="9"/>
  <c r="AL237" i="9"/>
  <c r="AO237" i="9"/>
  <c r="AG238" i="9"/>
  <c r="AH238" i="9" s="1"/>
  <c r="AI238" i="9" s="1"/>
  <c r="AJ238" i="9"/>
  <c r="AK238" i="9"/>
  <c r="AL238" i="9"/>
  <c r="AM238" i="9"/>
  <c r="AN238" i="9"/>
  <c r="AO238" i="9"/>
  <c r="AG239" i="9"/>
  <c r="AH239" i="9" s="1"/>
  <c r="AI239" i="9"/>
  <c r="AJ239" i="9"/>
  <c r="AK239" i="9"/>
  <c r="AL239" i="9"/>
  <c r="AN239" i="9"/>
  <c r="AG240" i="9"/>
  <c r="AH240" i="9" s="1"/>
  <c r="AI240" i="9" s="1"/>
  <c r="AJ240" i="9"/>
  <c r="AK240" i="9"/>
  <c r="AL240" i="9"/>
  <c r="AN240" i="9" s="1"/>
  <c r="AP240" i="9" s="1"/>
  <c r="AM240" i="9"/>
  <c r="AO240" i="9"/>
  <c r="AQ240" i="9"/>
  <c r="AG241" i="9"/>
  <c r="AH241" i="9"/>
  <c r="AI241" i="9" s="1"/>
  <c r="AJ241" i="9"/>
  <c r="AK241" i="9"/>
  <c r="AL241" i="9"/>
  <c r="AM241" i="9"/>
  <c r="AN241" i="9"/>
  <c r="AP241" i="9" s="1"/>
  <c r="AO241" i="9"/>
  <c r="AQ241" i="9"/>
  <c r="AG242" i="9"/>
  <c r="AH242" i="9"/>
  <c r="AI242" i="9" s="1"/>
  <c r="AJ242" i="9"/>
  <c r="AK242" i="9"/>
  <c r="AL242" i="9"/>
  <c r="AM242" i="9" s="1"/>
  <c r="AG243" i="9"/>
  <c r="AH243" i="9" s="1"/>
  <c r="AI243" i="9"/>
  <c r="AJ243" i="9"/>
  <c r="AK243" i="9"/>
  <c r="AL243" i="9"/>
  <c r="AM243" i="9"/>
  <c r="AN243" i="9"/>
  <c r="AO243" i="9"/>
  <c r="AP243" i="9"/>
  <c r="AG244" i="9"/>
  <c r="AH244" i="9"/>
  <c r="AI244" i="9"/>
  <c r="AJ244" i="9"/>
  <c r="AK244" i="9"/>
  <c r="AL244" i="9"/>
  <c r="AO244" i="9" s="1"/>
  <c r="AM244" i="9"/>
  <c r="AN244" i="9"/>
  <c r="AG245" i="9"/>
  <c r="AH245" i="9" s="1"/>
  <c r="AI245" i="9" s="1"/>
  <c r="AJ245" i="9"/>
  <c r="AK245" i="9"/>
  <c r="AL245" i="9"/>
  <c r="AM245" i="9"/>
  <c r="AN245" i="9"/>
  <c r="AO245" i="9"/>
  <c r="AP245" i="9" s="1"/>
  <c r="AG246" i="9"/>
  <c r="AH246" i="9" s="1"/>
  <c r="AI246" i="9" s="1"/>
  <c r="AJ246" i="9"/>
  <c r="AK246" i="9"/>
  <c r="AL246" i="9"/>
  <c r="AM246" i="9"/>
  <c r="AN246" i="9"/>
  <c r="AP246" i="9" s="1"/>
  <c r="AO246" i="9"/>
  <c r="AG247" i="9"/>
  <c r="AH247" i="9"/>
  <c r="AI247" i="9"/>
  <c r="AJ247" i="9"/>
  <c r="AK247" i="9"/>
  <c r="AL247" i="9"/>
  <c r="AG248" i="9"/>
  <c r="AH248" i="9" s="1"/>
  <c r="AI248" i="9" s="1"/>
  <c r="AJ248" i="9"/>
  <c r="AK248" i="9"/>
  <c r="AL248" i="9"/>
  <c r="AM248" i="9"/>
  <c r="AN248" i="9"/>
  <c r="AO248" i="9"/>
  <c r="AQ248" i="9" s="1"/>
  <c r="AP248" i="9"/>
  <c r="AG249" i="9"/>
  <c r="AH249" i="9"/>
  <c r="AI249" i="9"/>
  <c r="AJ249" i="9"/>
  <c r="AK249" i="9"/>
  <c r="AL249" i="9"/>
  <c r="AM249" i="9"/>
  <c r="AN249" i="9"/>
  <c r="AO249" i="9"/>
  <c r="AP249" i="9"/>
  <c r="AQ249" i="9"/>
  <c r="AG250" i="9"/>
  <c r="AH250" i="9"/>
  <c r="AI250" i="9" s="1"/>
  <c r="AJ250" i="9"/>
  <c r="AK250" i="9"/>
  <c r="AL250" i="9"/>
  <c r="AM250" i="9" s="1"/>
  <c r="AG251" i="9"/>
  <c r="AH251" i="9"/>
  <c r="AI251" i="9" s="1"/>
  <c r="AJ251" i="9"/>
  <c r="AK251" i="9"/>
  <c r="AL251" i="9"/>
  <c r="AG252" i="9"/>
  <c r="AH252" i="9" s="1"/>
  <c r="AI252" i="9" s="1"/>
  <c r="AJ252" i="9"/>
  <c r="AK252" i="9"/>
  <c r="AL252" i="9"/>
  <c r="AM252" i="9" s="1"/>
  <c r="AO252" i="9"/>
  <c r="AG253" i="9"/>
  <c r="AH253" i="9"/>
  <c r="AI253" i="9" s="1"/>
  <c r="AJ253" i="9"/>
  <c r="AK253" i="9"/>
  <c r="AL253" i="9"/>
  <c r="AG254" i="9"/>
  <c r="AH254" i="9" s="1"/>
  <c r="AI254" i="9" s="1"/>
  <c r="AJ254" i="9"/>
  <c r="AK254" i="9"/>
  <c r="AL254" i="9"/>
  <c r="AM254" i="9" s="1"/>
  <c r="AO254" i="9"/>
  <c r="AG255" i="9"/>
  <c r="AH255" i="9" s="1"/>
  <c r="AI255" i="9" s="1"/>
  <c r="AJ255" i="9"/>
  <c r="AK255" i="9"/>
  <c r="AL255" i="9"/>
  <c r="AM255" i="9"/>
  <c r="AN255" i="9"/>
  <c r="AQ255" i="9" s="1"/>
  <c r="AO255" i="9"/>
  <c r="AP255" i="9" s="1"/>
  <c r="AG256" i="9"/>
  <c r="AH256" i="9"/>
  <c r="AI256" i="9"/>
  <c r="AJ256" i="9"/>
  <c r="AK256" i="9"/>
  <c r="AL256" i="9"/>
  <c r="AM256" i="9"/>
  <c r="AG257" i="9"/>
  <c r="AH257" i="9" s="1"/>
  <c r="AI257" i="9" s="1"/>
  <c r="AJ257" i="9"/>
  <c r="AK257" i="9"/>
  <c r="AL257" i="9"/>
  <c r="AM257" i="9"/>
  <c r="AN257" i="9"/>
  <c r="AG258" i="9"/>
  <c r="AH258" i="9"/>
  <c r="AI258" i="9"/>
  <c r="AJ258" i="9"/>
  <c r="AK258" i="9"/>
  <c r="AL258" i="9"/>
  <c r="AM258" i="9"/>
  <c r="AO258" i="9"/>
  <c r="AG259" i="9"/>
  <c r="AH259" i="9" s="1"/>
  <c r="AI259" i="9" s="1"/>
  <c r="AJ259" i="9"/>
  <c r="AK259" i="9"/>
  <c r="AL259" i="9"/>
  <c r="AM259" i="9"/>
  <c r="AN259" i="9"/>
  <c r="AO259" i="9"/>
  <c r="AP259" i="9" s="1"/>
  <c r="AQ259" i="9"/>
  <c r="AG260" i="9"/>
  <c r="AH260" i="9" s="1"/>
  <c r="AI260" i="9" s="1"/>
  <c r="AJ260" i="9"/>
  <c r="AK260" i="9"/>
  <c r="AL260" i="9"/>
  <c r="AM260" i="9"/>
  <c r="AN260" i="9"/>
  <c r="AO260" i="9"/>
  <c r="AP260" i="9"/>
  <c r="AQ260" i="9"/>
  <c r="AG261" i="9"/>
  <c r="AH261" i="9" s="1"/>
  <c r="AI261" i="9" s="1"/>
  <c r="AJ261" i="9"/>
  <c r="AK261" i="9"/>
  <c r="AL261" i="9"/>
  <c r="AM261" i="9" s="1"/>
  <c r="AG262" i="9"/>
  <c r="AH262" i="9"/>
  <c r="AI262" i="9"/>
  <c r="AJ262" i="9"/>
  <c r="AK262" i="9"/>
  <c r="AL262" i="9"/>
  <c r="AM262" i="9"/>
  <c r="AN262" i="9"/>
  <c r="AO262" i="9"/>
  <c r="AG263" i="9"/>
  <c r="AH263" i="9"/>
  <c r="AI263" i="9"/>
  <c r="AJ263" i="9"/>
  <c r="AK263" i="9"/>
  <c r="AL263" i="9"/>
  <c r="AM263" i="9"/>
  <c r="AN263" i="9"/>
  <c r="AQ263" i="9" s="1"/>
  <c r="AO263" i="9"/>
  <c r="AP263" i="9"/>
  <c r="AG264" i="9"/>
  <c r="AH264" i="9" s="1"/>
  <c r="AI264" i="9" s="1"/>
  <c r="AJ264" i="9"/>
  <c r="AK264" i="9"/>
  <c r="AL264" i="9"/>
  <c r="AM264" i="9" s="1"/>
  <c r="AG265" i="9"/>
  <c r="AH265" i="9" s="1"/>
  <c r="AI265" i="9" s="1"/>
  <c r="AJ265" i="9"/>
  <c r="AK265" i="9"/>
  <c r="AL265" i="9"/>
  <c r="AO265" i="9"/>
  <c r="AG266" i="9"/>
  <c r="AH266" i="9"/>
  <c r="AI266" i="9"/>
  <c r="AJ266" i="9"/>
  <c r="AK266" i="9"/>
  <c r="AL266" i="9"/>
  <c r="AN266" i="9" s="1"/>
  <c r="AM266" i="9"/>
  <c r="AO266" i="9"/>
  <c r="AG267" i="9"/>
  <c r="AH267" i="9"/>
  <c r="AI267" i="9" s="1"/>
  <c r="AJ267" i="9"/>
  <c r="AK267" i="9"/>
  <c r="AL267" i="9"/>
  <c r="AM267" i="9"/>
  <c r="AN267" i="9"/>
  <c r="AO267" i="9"/>
  <c r="AP267" i="9" s="1"/>
  <c r="AG268" i="9"/>
  <c r="AH268" i="9" s="1"/>
  <c r="AI268" i="9" s="1"/>
  <c r="AJ268" i="9"/>
  <c r="AK268" i="9"/>
  <c r="AL268" i="9"/>
  <c r="AM268" i="9"/>
  <c r="AN268" i="9"/>
  <c r="AO268" i="9"/>
  <c r="AG269" i="9"/>
  <c r="AH269" i="9"/>
  <c r="AI269" i="9"/>
  <c r="AJ269" i="9"/>
  <c r="AK269" i="9"/>
  <c r="AL269" i="9"/>
  <c r="AM269" i="9"/>
  <c r="AN269" i="9"/>
  <c r="AO269" i="9"/>
  <c r="AP269" i="9"/>
  <c r="AQ269" i="9"/>
  <c r="AG270" i="9"/>
  <c r="AH270" i="9" s="1"/>
  <c r="AI270" i="9" s="1"/>
  <c r="AJ270" i="9"/>
  <c r="AK270" i="9"/>
  <c r="AL270" i="9"/>
  <c r="AG271" i="9"/>
  <c r="AH271" i="9" s="1"/>
  <c r="AI271" i="9" s="1"/>
  <c r="AJ271" i="9"/>
  <c r="AK271" i="9"/>
  <c r="AL271" i="9"/>
  <c r="AG272" i="9"/>
  <c r="AH272" i="9"/>
  <c r="AI272" i="9"/>
  <c r="AJ272" i="9"/>
  <c r="AK272" i="9"/>
  <c r="AL272" i="9"/>
  <c r="AM272" i="9"/>
  <c r="AG273" i="9"/>
  <c r="AH273" i="9"/>
  <c r="AI273" i="9"/>
  <c r="AJ273" i="9"/>
  <c r="AK273" i="9"/>
  <c r="AL273" i="9"/>
  <c r="AN273" i="9" s="1"/>
  <c r="AO273" i="9"/>
  <c r="AG274" i="9"/>
  <c r="AH274" i="9" s="1"/>
  <c r="AI274" i="9" s="1"/>
  <c r="AJ274" i="9"/>
  <c r="AK274" i="9"/>
  <c r="AL274" i="9"/>
  <c r="AN274" i="9" s="1"/>
  <c r="AP274" i="9" s="1"/>
  <c r="AM274" i="9"/>
  <c r="AO274" i="9"/>
  <c r="AQ274" i="9"/>
  <c r="AG275" i="9"/>
  <c r="AH275" i="9"/>
  <c r="AI275" i="9"/>
  <c r="AJ275" i="9"/>
  <c r="AK275" i="9"/>
  <c r="AL275" i="9"/>
  <c r="AM275" i="9"/>
  <c r="AN275" i="9"/>
  <c r="AO275" i="9"/>
  <c r="AQ275" i="9" s="1"/>
  <c r="AP275" i="9"/>
  <c r="AG276" i="9"/>
  <c r="AH276" i="9" s="1"/>
  <c r="AI276" i="9"/>
  <c r="AJ276" i="9"/>
  <c r="AK276" i="9"/>
  <c r="AL276" i="9"/>
  <c r="AG277" i="9"/>
  <c r="AH277" i="9"/>
  <c r="AI277" i="9" s="1"/>
  <c r="AJ277" i="9"/>
  <c r="AK277" i="9"/>
  <c r="AL277" i="9"/>
  <c r="AM277" i="9" s="1"/>
  <c r="AN277" i="9"/>
  <c r="AO277" i="9"/>
  <c r="AP277" i="9"/>
  <c r="AG278" i="9"/>
  <c r="AH278" i="9"/>
  <c r="AI278" i="9"/>
  <c r="AJ278" i="9"/>
  <c r="AK278" i="9"/>
  <c r="AL278" i="9"/>
  <c r="AG279" i="9"/>
  <c r="AH279" i="9" s="1"/>
  <c r="AI279" i="9" s="1"/>
  <c r="AJ279" i="9"/>
  <c r="AK279" i="9"/>
  <c r="AL279" i="9"/>
  <c r="AM279" i="9"/>
  <c r="AN279" i="9"/>
  <c r="AQ279" i="9" s="1"/>
  <c r="AO279" i="9"/>
  <c r="AP279" i="9"/>
  <c r="AG280" i="9"/>
  <c r="AH280" i="9"/>
  <c r="AI280" i="9"/>
  <c r="AJ280" i="9"/>
  <c r="AK280" i="9"/>
  <c r="AL280" i="9"/>
  <c r="AM280" i="9" s="1"/>
  <c r="AG281" i="9"/>
  <c r="AH281" i="9" s="1"/>
  <c r="AI281" i="9" s="1"/>
  <c r="AJ281" i="9"/>
  <c r="AK281" i="9"/>
  <c r="AL281" i="9"/>
  <c r="AM281" i="9" s="1"/>
  <c r="AG282" i="9"/>
  <c r="AH282" i="9"/>
  <c r="AI282" i="9"/>
  <c r="AJ282" i="9"/>
  <c r="AK282" i="9"/>
  <c r="AL282" i="9"/>
  <c r="AM282" i="9"/>
  <c r="AN282" i="9"/>
  <c r="AO282" i="9"/>
  <c r="AP282" i="9"/>
  <c r="AQ282" i="9"/>
  <c r="AG283" i="9"/>
  <c r="AH283" i="9" s="1"/>
  <c r="AI283" i="9" s="1"/>
  <c r="AJ283" i="9"/>
  <c r="AK283" i="9"/>
  <c r="AL283" i="9"/>
  <c r="AM283" i="9"/>
  <c r="AN283" i="9"/>
  <c r="AQ283" i="9" s="1"/>
  <c r="AO283" i="9"/>
  <c r="AP283" i="9"/>
  <c r="AG284" i="9"/>
  <c r="AH284" i="9" s="1"/>
  <c r="AI284" i="9" s="1"/>
  <c r="AJ284" i="9"/>
  <c r="AK284" i="9"/>
  <c r="AL284" i="9"/>
  <c r="AM284" i="9"/>
  <c r="AN284" i="9"/>
  <c r="AO284" i="9"/>
  <c r="AP284" i="9"/>
  <c r="AQ284" i="9"/>
  <c r="AG285" i="9"/>
  <c r="AH285" i="9"/>
  <c r="AI285" i="9" s="1"/>
  <c r="AJ285" i="9"/>
  <c r="AK285" i="9"/>
  <c r="AL285" i="9"/>
  <c r="AG286" i="9"/>
  <c r="AH286" i="9" s="1"/>
  <c r="AI286" i="9" s="1"/>
  <c r="AJ286" i="9"/>
  <c r="AK286" i="9"/>
  <c r="AL286" i="9"/>
  <c r="AN286" i="9" s="1"/>
  <c r="AM286" i="9"/>
  <c r="AO286" i="9"/>
  <c r="AG287" i="9"/>
  <c r="AH287" i="9"/>
  <c r="AI287" i="9"/>
  <c r="AJ287" i="9"/>
  <c r="AK287" i="9"/>
  <c r="AL287" i="9"/>
  <c r="AG288" i="9"/>
  <c r="AH288" i="9" s="1"/>
  <c r="AI288" i="9" s="1"/>
  <c r="AJ288" i="9"/>
  <c r="AK288" i="9"/>
  <c r="AL288" i="9"/>
  <c r="AM288" i="9"/>
  <c r="AN288" i="9"/>
  <c r="AQ288" i="9" s="1"/>
  <c r="AO288" i="9"/>
  <c r="AP288" i="9"/>
  <c r="AG289" i="9"/>
  <c r="AH289" i="9" s="1"/>
  <c r="AI289" i="9" s="1"/>
  <c r="AJ289" i="9"/>
  <c r="AK289" i="9"/>
  <c r="AL289" i="9"/>
  <c r="AM289" i="9"/>
  <c r="AN289" i="9"/>
  <c r="AO289" i="9"/>
  <c r="AP289" i="9"/>
  <c r="AQ289" i="9"/>
  <c r="AG290" i="9"/>
  <c r="AH290" i="9"/>
  <c r="AI290" i="9"/>
  <c r="AJ290" i="9"/>
  <c r="AK290" i="9"/>
  <c r="AL290" i="9"/>
  <c r="AM290" i="9"/>
  <c r="AG291" i="9"/>
  <c r="AH291" i="9"/>
  <c r="AI291" i="9" s="1"/>
  <c r="AJ291" i="9"/>
  <c r="AK291" i="9"/>
  <c r="AL291" i="9"/>
  <c r="AM291" i="9"/>
  <c r="AO291" i="9"/>
  <c r="AG292" i="9"/>
  <c r="AH292" i="9"/>
  <c r="AI292" i="9"/>
  <c r="AJ292" i="9"/>
  <c r="AK292" i="9"/>
  <c r="AL292" i="9"/>
  <c r="AM292" i="9" s="1"/>
  <c r="AN292" i="9"/>
  <c r="AG293" i="9"/>
  <c r="AH293" i="9"/>
  <c r="AI293" i="9" s="1"/>
  <c r="AJ293" i="9"/>
  <c r="AK293" i="9"/>
  <c r="AL293" i="9"/>
  <c r="AM293" i="9"/>
  <c r="AN293" i="9"/>
  <c r="AO293" i="9"/>
  <c r="AQ293" i="9" s="1"/>
  <c r="AP293" i="9"/>
  <c r="AG294" i="9"/>
  <c r="AH294" i="9" s="1"/>
  <c r="AI294" i="9"/>
  <c r="AJ294" i="9"/>
  <c r="AK294" i="9"/>
  <c r="AL294" i="9"/>
  <c r="AM294" i="9" s="1"/>
  <c r="AG295" i="9"/>
  <c r="AH295" i="9"/>
  <c r="AI295" i="9"/>
  <c r="AJ295" i="9"/>
  <c r="AK295" i="9"/>
  <c r="AL295" i="9"/>
  <c r="AM295" i="9"/>
  <c r="AN295" i="9"/>
  <c r="AG296" i="9"/>
  <c r="AH296" i="9"/>
  <c r="AI296" i="9" s="1"/>
  <c r="AJ296" i="9"/>
  <c r="AK296" i="9"/>
  <c r="AL296" i="9"/>
  <c r="AM296" i="9" s="1"/>
  <c r="AO296" i="9"/>
  <c r="AG297" i="9"/>
  <c r="AH297" i="9" s="1"/>
  <c r="AI297" i="9" s="1"/>
  <c r="AJ297" i="9"/>
  <c r="AK297" i="9"/>
  <c r="AL297" i="9"/>
  <c r="AM297" i="9" s="1"/>
  <c r="AG298" i="9"/>
  <c r="AH298" i="9"/>
  <c r="AI298" i="9"/>
  <c r="AJ298" i="9"/>
  <c r="AK298" i="9"/>
  <c r="AL298" i="9"/>
  <c r="AM298" i="9"/>
  <c r="AN298" i="9"/>
  <c r="AO298" i="9"/>
  <c r="AQ298" i="9" s="1"/>
  <c r="AP298" i="9"/>
  <c r="AG299" i="9"/>
  <c r="AH299" i="9" s="1"/>
  <c r="AI299" i="9" s="1"/>
  <c r="AJ299" i="9"/>
  <c r="AK299" i="9"/>
  <c r="AL299" i="9"/>
  <c r="AG300" i="9"/>
  <c r="AH300" i="9" s="1"/>
  <c r="AI300" i="9"/>
  <c r="AJ300" i="9"/>
  <c r="AK300" i="9"/>
  <c r="AL300" i="9"/>
  <c r="AN300" i="9"/>
  <c r="AO300" i="9"/>
  <c r="AG301" i="9"/>
  <c r="AH301" i="9"/>
  <c r="AI301" i="9"/>
  <c r="AJ301" i="9"/>
  <c r="AK301" i="9"/>
  <c r="AL301" i="9"/>
  <c r="AM301" i="9" s="1"/>
  <c r="AN301" i="9"/>
  <c r="AG302" i="9"/>
  <c r="AH302" i="9" s="1"/>
  <c r="AI302" i="9" s="1"/>
  <c r="AJ302" i="9"/>
  <c r="AK302" i="9"/>
  <c r="AL302" i="9"/>
  <c r="AM302" i="9" s="1"/>
  <c r="AO302" i="9"/>
  <c r="AG303" i="9"/>
  <c r="AH303" i="9"/>
  <c r="AI303" i="9" s="1"/>
  <c r="AJ303" i="9"/>
  <c r="AK303" i="9"/>
  <c r="AL303" i="9"/>
  <c r="AM303" i="9"/>
  <c r="AN303" i="9"/>
  <c r="AO303" i="9"/>
  <c r="AP303" i="9" s="1"/>
  <c r="AG304" i="9"/>
  <c r="AH304" i="9"/>
  <c r="AI304" i="9"/>
  <c r="AJ304" i="9"/>
  <c r="AK304" i="9"/>
  <c r="AL304" i="9"/>
  <c r="AM304" i="9"/>
  <c r="AN304" i="9"/>
  <c r="AG305" i="9"/>
  <c r="AH305" i="9"/>
  <c r="AI305" i="9"/>
  <c r="AJ305" i="9"/>
  <c r="AK305" i="9"/>
  <c r="AL305" i="9"/>
  <c r="AM305" i="9"/>
  <c r="AN305" i="9"/>
  <c r="AO305" i="9"/>
  <c r="AP305" i="9" s="1"/>
  <c r="AQ305" i="9"/>
  <c r="AG306" i="9"/>
  <c r="AH306" i="9"/>
  <c r="AI306" i="9"/>
  <c r="AJ306" i="9"/>
  <c r="AK306" i="9"/>
  <c r="AL306" i="9"/>
  <c r="AG307" i="9"/>
  <c r="AH307" i="9" s="1"/>
  <c r="AI307" i="9"/>
  <c r="AJ307" i="9"/>
  <c r="AK307" i="9"/>
  <c r="AL307" i="9"/>
  <c r="AM307" i="9"/>
  <c r="AN307" i="9"/>
  <c r="AO307" i="9"/>
  <c r="AG308" i="9"/>
  <c r="AH308" i="9"/>
  <c r="AI308" i="9"/>
  <c r="AJ308" i="9"/>
  <c r="AK308" i="9"/>
  <c r="AL308" i="9"/>
  <c r="AG309" i="9"/>
  <c r="AH309" i="9" s="1"/>
  <c r="AI309" i="9" s="1"/>
  <c r="AJ309" i="9"/>
  <c r="AK309" i="9"/>
  <c r="AL309" i="9"/>
  <c r="AM309" i="9"/>
  <c r="AN309" i="9"/>
  <c r="AO309" i="9"/>
  <c r="AG310" i="9"/>
  <c r="AH310" i="9"/>
  <c r="AI310" i="9"/>
  <c r="AJ310" i="9"/>
  <c r="AK310" i="9"/>
  <c r="AL310" i="9"/>
  <c r="AO310" i="9" s="1"/>
  <c r="AN310" i="9"/>
  <c r="AG311" i="9"/>
  <c r="AH311" i="9" s="1"/>
  <c r="AI311" i="9" s="1"/>
  <c r="AJ311" i="9"/>
  <c r="AK311" i="9"/>
  <c r="AL311" i="9"/>
  <c r="AM311" i="9" s="1"/>
  <c r="AN311" i="9"/>
  <c r="AO311" i="9"/>
  <c r="AP311" i="9"/>
  <c r="AQ311" i="9"/>
  <c r="AG312" i="9"/>
  <c r="AH312" i="9"/>
  <c r="AI312" i="9" s="1"/>
  <c r="AJ312" i="9"/>
  <c r="AK312" i="9"/>
  <c r="AL312" i="9"/>
  <c r="AM312" i="9"/>
  <c r="AN312" i="9"/>
  <c r="AO312" i="9"/>
  <c r="AP312" i="9" s="1"/>
  <c r="AQ312" i="9"/>
  <c r="AG313" i="9"/>
  <c r="AH313" i="9"/>
  <c r="AI313" i="9" s="1"/>
  <c r="AJ313" i="9"/>
  <c r="AK313" i="9"/>
  <c r="AL313" i="9"/>
  <c r="AG314" i="9"/>
  <c r="AH314" i="9"/>
  <c r="AI314" i="9"/>
  <c r="AJ314" i="9"/>
  <c r="AK314" i="9"/>
  <c r="AL314" i="9"/>
  <c r="AG315" i="9"/>
  <c r="AH315" i="9"/>
  <c r="AI315" i="9"/>
  <c r="AJ315" i="9"/>
  <c r="AK315" i="9"/>
  <c r="AL315" i="9"/>
  <c r="AM315" i="9"/>
  <c r="AN315" i="9"/>
  <c r="AO315" i="9"/>
  <c r="AP315" i="9"/>
  <c r="AQ315" i="9"/>
  <c r="AG316" i="9"/>
  <c r="AH316" i="9" s="1"/>
  <c r="AI316" i="9" s="1"/>
  <c r="AJ316" i="9"/>
  <c r="AK316" i="9"/>
  <c r="AL316" i="9"/>
  <c r="AG317" i="9"/>
  <c r="AH317" i="9" s="1"/>
  <c r="AI317" i="9"/>
  <c r="AJ317" i="9"/>
  <c r="AK317" i="9"/>
  <c r="AL317" i="9"/>
  <c r="AM317" i="9"/>
  <c r="AN317" i="9"/>
  <c r="AO317" i="9"/>
  <c r="AG318" i="9"/>
  <c r="AH318" i="9"/>
  <c r="AI318" i="9"/>
  <c r="AJ318" i="9"/>
  <c r="AK318" i="9"/>
  <c r="AL318" i="9"/>
  <c r="AM318" i="9"/>
  <c r="AN318" i="9"/>
  <c r="AG319" i="9"/>
  <c r="AH319" i="9" s="1"/>
  <c r="AI319" i="9" s="1"/>
  <c r="AJ319" i="9"/>
  <c r="AK319" i="9"/>
  <c r="AL319" i="9"/>
  <c r="AM319" i="9"/>
  <c r="AN319" i="9"/>
  <c r="AO319" i="9"/>
  <c r="AP319" i="9"/>
  <c r="AQ319" i="9"/>
  <c r="AG320" i="9"/>
  <c r="AH320" i="9"/>
  <c r="AI320" i="9"/>
  <c r="AJ320" i="9"/>
  <c r="AK320" i="9"/>
  <c r="AL320" i="9"/>
  <c r="AM320" i="9"/>
  <c r="AG321" i="9"/>
  <c r="AH321" i="9"/>
  <c r="AI321" i="9" s="1"/>
  <c r="AJ321" i="9"/>
  <c r="AK321" i="9"/>
  <c r="AL321" i="9"/>
  <c r="AM321" i="9"/>
  <c r="AN321" i="9"/>
  <c r="AO321" i="9"/>
  <c r="AP321" i="9" s="1"/>
  <c r="AG322" i="9"/>
  <c r="AH322" i="9"/>
  <c r="AI322" i="9"/>
  <c r="AJ322" i="9"/>
  <c r="AK322" i="9"/>
  <c r="AL322" i="9"/>
  <c r="AG323" i="9"/>
  <c r="AH323" i="9" s="1"/>
  <c r="AI323" i="9" s="1"/>
  <c r="AJ323" i="9"/>
  <c r="AK323" i="9"/>
  <c r="AL323" i="9"/>
  <c r="AM323" i="9" s="1"/>
  <c r="AG324" i="9"/>
  <c r="AH324" i="9"/>
  <c r="AI324" i="9" s="1"/>
  <c r="AJ324" i="9"/>
  <c r="AK324" i="9"/>
  <c r="AL324" i="9"/>
  <c r="AM324" i="9"/>
  <c r="AO324" i="9"/>
  <c r="AG325" i="9"/>
  <c r="AH325" i="9" s="1"/>
  <c r="AI325" i="9" s="1"/>
  <c r="AJ325" i="9"/>
  <c r="AK325" i="9"/>
  <c r="AL325" i="9"/>
  <c r="AM325" i="9"/>
  <c r="AN325" i="9"/>
  <c r="AO325" i="9"/>
  <c r="AP325" i="9"/>
  <c r="AQ325" i="9"/>
  <c r="AG326" i="9"/>
  <c r="AH326" i="9" s="1"/>
  <c r="AI326" i="9" s="1"/>
  <c r="AJ326" i="9"/>
  <c r="AK326" i="9"/>
  <c r="AL326" i="9"/>
  <c r="AM326" i="9"/>
  <c r="AN326" i="9"/>
  <c r="AO326" i="9"/>
  <c r="AP326" i="9"/>
  <c r="AQ326" i="9"/>
  <c r="AG327" i="9"/>
  <c r="AH327" i="9" s="1"/>
  <c r="AI327" i="9" s="1"/>
  <c r="AJ327" i="9"/>
  <c r="AK327" i="9"/>
  <c r="AL327" i="9"/>
  <c r="AM327" i="9"/>
  <c r="AG328" i="9"/>
  <c r="AH328" i="9"/>
  <c r="AI328" i="9"/>
  <c r="AJ328" i="9"/>
  <c r="AK328" i="9"/>
  <c r="AL328" i="9"/>
  <c r="AM328" i="9"/>
  <c r="AN328" i="9"/>
  <c r="AP328" i="9" s="1"/>
  <c r="AO328" i="9"/>
  <c r="AG329" i="9"/>
  <c r="AH329" i="9"/>
  <c r="AI329" i="9"/>
  <c r="AJ329" i="9"/>
  <c r="AK329" i="9"/>
  <c r="AL329" i="9"/>
  <c r="AM329" i="9"/>
  <c r="AN329" i="9"/>
  <c r="AO329" i="9"/>
  <c r="AP329" i="9" s="1"/>
  <c r="AQ329" i="9"/>
  <c r="AG330" i="9"/>
  <c r="AH330" i="9"/>
  <c r="AI330" i="9" s="1"/>
  <c r="AJ330" i="9"/>
  <c r="AK330" i="9"/>
  <c r="AL330" i="9"/>
  <c r="AM330" i="9"/>
  <c r="AG331" i="9"/>
  <c r="AH331" i="9"/>
  <c r="AI331" i="9" s="1"/>
  <c r="AJ331" i="9"/>
  <c r="AK331" i="9"/>
  <c r="AL331" i="9"/>
  <c r="AM331" i="9"/>
  <c r="AN331" i="9"/>
  <c r="AO331" i="9"/>
  <c r="AQ331" i="9" s="1"/>
  <c r="AP331" i="9"/>
  <c r="AG332" i="9"/>
  <c r="AH332" i="9"/>
  <c r="AI332" i="9"/>
  <c r="AJ332" i="9"/>
  <c r="AK332" i="9"/>
  <c r="AL332" i="9"/>
  <c r="AM332" i="9"/>
  <c r="AN332" i="9"/>
  <c r="AG333" i="9"/>
  <c r="AH333" i="9"/>
  <c r="AI333" i="9" s="1"/>
  <c r="AJ333" i="9"/>
  <c r="AK333" i="9"/>
  <c r="AL333" i="9"/>
  <c r="AM333" i="9" s="1"/>
  <c r="AG334" i="9"/>
  <c r="AH334" i="9"/>
  <c r="AI334" i="9"/>
  <c r="AJ334" i="9"/>
  <c r="AK334" i="9"/>
  <c r="AL334" i="9"/>
  <c r="AO334" i="9" s="1"/>
  <c r="AM334" i="9"/>
  <c r="AN334" i="9"/>
  <c r="AG335" i="9"/>
  <c r="AH335" i="9"/>
  <c r="AI335" i="9"/>
  <c r="AJ335" i="9"/>
  <c r="AK335" i="9"/>
  <c r="AL335" i="9"/>
  <c r="AM335" i="9"/>
  <c r="AN335" i="9"/>
  <c r="AQ335" i="9" s="1"/>
  <c r="AO335" i="9"/>
  <c r="AP335" i="9"/>
  <c r="AG336" i="9"/>
  <c r="AH336" i="9" s="1"/>
  <c r="AI336" i="9" s="1"/>
  <c r="AJ336" i="9"/>
  <c r="AK336" i="9"/>
  <c r="AL336" i="9"/>
  <c r="AG337" i="9"/>
  <c r="AH337" i="9"/>
  <c r="AI337" i="9" s="1"/>
  <c r="AJ337" i="9"/>
  <c r="AK337" i="9"/>
  <c r="AL337" i="9"/>
  <c r="AG338" i="9"/>
  <c r="AH338" i="9"/>
  <c r="AI338" i="9"/>
  <c r="AJ338" i="9"/>
  <c r="AK338" i="9"/>
  <c r="AL338" i="9"/>
  <c r="AO338" i="9" s="1"/>
  <c r="AM338" i="9"/>
  <c r="AG339" i="9"/>
  <c r="AH339" i="9" s="1"/>
  <c r="AI339" i="9" s="1"/>
  <c r="AJ339" i="9"/>
  <c r="AK339" i="9"/>
  <c r="AL339" i="9"/>
  <c r="AM339" i="9"/>
  <c r="AN339" i="9"/>
  <c r="AO339" i="9"/>
  <c r="AP339" i="9"/>
  <c r="AQ339" i="9"/>
  <c r="AG340" i="9"/>
  <c r="AH340" i="9"/>
  <c r="AI340" i="9" s="1"/>
  <c r="AJ340" i="9"/>
  <c r="AK340" i="9"/>
  <c r="AL340" i="9"/>
  <c r="AM340" i="9"/>
  <c r="AN340" i="9"/>
  <c r="AO340" i="9"/>
  <c r="AP340" i="9"/>
  <c r="AQ340" i="9"/>
  <c r="AG341" i="9"/>
  <c r="AH341" i="9"/>
  <c r="AI341" i="9" s="1"/>
  <c r="AJ341" i="9"/>
  <c r="AK341" i="9"/>
  <c r="AL341" i="9"/>
  <c r="AM341" i="9"/>
  <c r="AG342" i="9"/>
  <c r="AH342" i="9" s="1"/>
  <c r="AI342" i="9" s="1"/>
  <c r="AJ342" i="9"/>
  <c r="AK342" i="9"/>
  <c r="AL342" i="9"/>
  <c r="AM342" i="9"/>
  <c r="AN342" i="9"/>
  <c r="AO342" i="9"/>
  <c r="AP342" i="9"/>
  <c r="AG343" i="9"/>
  <c r="AH343" i="9"/>
  <c r="AI343" i="9"/>
  <c r="AJ343" i="9"/>
  <c r="AK343" i="9"/>
  <c r="AL343" i="9"/>
  <c r="AM343" i="9"/>
  <c r="AN343" i="9"/>
  <c r="AO343" i="9"/>
  <c r="AP343" i="9"/>
  <c r="AQ343" i="9"/>
  <c r="AG344" i="9"/>
  <c r="AH344" i="9" s="1"/>
  <c r="AI344" i="9" s="1"/>
  <c r="AJ344" i="9"/>
  <c r="AK344" i="9"/>
  <c r="AL344" i="9"/>
  <c r="AN344" i="9" s="1"/>
  <c r="AM344" i="9"/>
  <c r="AG345" i="9"/>
  <c r="AH345" i="9"/>
  <c r="AI345" i="9"/>
  <c r="AJ345" i="9"/>
  <c r="AK345" i="9"/>
  <c r="AL345" i="9"/>
  <c r="AM345" i="9"/>
  <c r="AN345" i="9"/>
  <c r="AO345" i="9"/>
  <c r="AP345" i="9"/>
  <c r="AQ345" i="9"/>
  <c r="AG346" i="9"/>
  <c r="AH346" i="9" s="1"/>
  <c r="AI346" i="9" s="1"/>
  <c r="AJ346" i="9"/>
  <c r="AK346" i="9"/>
  <c r="AL346" i="9"/>
  <c r="AM346" i="9"/>
  <c r="AN346" i="9"/>
  <c r="AG347" i="9"/>
  <c r="AH347" i="9"/>
  <c r="AI347" i="9"/>
  <c r="AJ347" i="9"/>
  <c r="AK347" i="9"/>
  <c r="AL347" i="9"/>
  <c r="AG348" i="9"/>
  <c r="AH348" i="9"/>
  <c r="AI348" i="9"/>
  <c r="AJ348" i="9"/>
  <c r="AK348" i="9"/>
  <c r="AL348" i="9"/>
  <c r="AM348" i="9"/>
  <c r="AG349" i="9"/>
  <c r="AH349" i="9"/>
  <c r="AI349" i="9"/>
  <c r="AJ349" i="9"/>
  <c r="AK349" i="9"/>
  <c r="AL349" i="9"/>
  <c r="AM349" i="9"/>
  <c r="AN349" i="9"/>
  <c r="AP349" i="9" s="1"/>
  <c r="AO349" i="9"/>
  <c r="AQ349" i="9"/>
  <c r="AG350" i="9"/>
  <c r="AH350" i="9" s="1"/>
  <c r="AI350" i="9" s="1"/>
  <c r="AJ350" i="9"/>
  <c r="AK350" i="9"/>
  <c r="AL350" i="9"/>
  <c r="AN350" i="9"/>
  <c r="AG351" i="9"/>
  <c r="AH351" i="9" s="1"/>
  <c r="AI351" i="9" s="1"/>
  <c r="AJ351" i="9"/>
  <c r="AK351" i="9"/>
  <c r="AL351" i="9"/>
  <c r="AG352" i="9"/>
  <c r="AH352" i="9"/>
  <c r="AI352" i="9"/>
  <c r="AJ352" i="9"/>
  <c r="AK352" i="9"/>
  <c r="AL352" i="9"/>
  <c r="AN352" i="9" s="1"/>
  <c r="AP352" i="9" s="1"/>
  <c r="AM352" i="9"/>
  <c r="AO352" i="9"/>
  <c r="AG353" i="9"/>
  <c r="AH353" i="9" s="1"/>
  <c r="AI353" i="9"/>
  <c r="AJ353" i="9"/>
  <c r="AK353" i="9"/>
  <c r="AL353" i="9"/>
  <c r="AM353" i="9"/>
  <c r="AN353" i="9"/>
  <c r="AO353" i="9"/>
  <c r="AG354" i="9"/>
  <c r="AH354" i="9" s="1"/>
  <c r="AI354" i="9" s="1"/>
  <c r="AJ354" i="9"/>
  <c r="AK354" i="9"/>
  <c r="AL354" i="9"/>
  <c r="AM354" i="9" s="1"/>
  <c r="AN354" i="9"/>
  <c r="AO354" i="9"/>
  <c r="AP354" i="9"/>
  <c r="AQ354" i="9"/>
  <c r="AG355" i="9"/>
  <c r="AH355" i="9" s="1"/>
  <c r="AI355" i="9" s="1"/>
  <c r="AJ355" i="9"/>
  <c r="AK355" i="9"/>
  <c r="AL355" i="9"/>
  <c r="AM355" i="9"/>
  <c r="AG356" i="9"/>
  <c r="AH356" i="9"/>
  <c r="AI356" i="9"/>
  <c r="AJ356" i="9"/>
  <c r="AK356" i="9"/>
  <c r="AL356" i="9"/>
  <c r="AM356" i="9"/>
  <c r="AN356" i="9"/>
  <c r="AG357" i="9"/>
  <c r="AH357" i="9" s="1"/>
  <c r="AI357" i="9"/>
  <c r="AJ357" i="9"/>
  <c r="AK357" i="9"/>
  <c r="AL357" i="9"/>
  <c r="AM357" i="9"/>
  <c r="AN357" i="9"/>
  <c r="AO357" i="9"/>
  <c r="AP357" i="9"/>
  <c r="AQ357" i="9"/>
  <c r="AG358" i="9"/>
  <c r="AH358" i="9"/>
  <c r="AI358" i="9" s="1"/>
  <c r="AJ358" i="9"/>
  <c r="AK358" i="9"/>
  <c r="AL358" i="9"/>
  <c r="AM358" i="9"/>
  <c r="AG359" i="9"/>
  <c r="AH359" i="9"/>
  <c r="AI359" i="9"/>
  <c r="AJ359" i="9"/>
  <c r="AK359" i="9"/>
  <c r="AL359" i="9"/>
  <c r="AM359" i="9"/>
  <c r="AN359" i="9"/>
  <c r="AO359" i="9"/>
  <c r="AQ359" i="9" s="1"/>
  <c r="AP359" i="9"/>
  <c r="AG360" i="9"/>
  <c r="AH360" i="9"/>
  <c r="AI360" i="9"/>
  <c r="AJ360" i="9"/>
  <c r="AK360" i="9"/>
  <c r="AL360" i="9"/>
  <c r="AM360" i="9"/>
  <c r="AN360" i="9"/>
  <c r="AG361" i="9"/>
  <c r="AH361" i="9"/>
  <c r="AI361" i="9" s="1"/>
  <c r="AJ361" i="9"/>
  <c r="AK361" i="9"/>
  <c r="AL361" i="9"/>
  <c r="AM361" i="9"/>
  <c r="AN361" i="9"/>
  <c r="AO361" i="9"/>
  <c r="AP361" i="9"/>
  <c r="AQ361" i="9"/>
  <c r="AG362" i="9"/>
  <c r="AH362" i="9"/>
  <c r="AI362" i="9" s="1"/>
  <c r="AJ362" i="9"/>
  <c r="AK362" i="9"/>
  <c r="AL362" i="9"/>
  <c r="AM362" i="9" s="1"/>
  <c r="AN362" i="9"/>
  <c r="AG363" i="9"/>
  <c r="AH363" i="9"/>
  <c r="AI363" i="9"/>
  <c r="AJ363" i="9"/>
  <c r="AK363" i="9"/>
  <c r="AL363" i="9"/>
  <c r="AM363" i="9"/>
  <c r="AN363" i="9"/>
  <c r="AO363" i="9"/>
  <c r="AP363" i="9" s="1"/>
  <c r="AQ363" i="9"/>
  <c r="AG364" i="9"/>
  <c r="AH364" i="9" s="1"/>
  <c r="AI364" i="9" s="1"/>
  <c r="AJ364" i="9"/>
  <c r="AK364" i="9"/>
  <c r="AL364" i="9"/>
  <c r="AN364" i="9"/>
  <c r="AG365" i="9"/>
  <c r="AH365" i="9" s="1"/>
  <c r="AI365" i="9" s="1"/>
  <c r="AJ365" i="9"/>
  <c r="AK365" i="9"/>
  <c r="AL365" i="9"/>
  <c r="AM365" i="9" s="1"/>
  <c r="AG366" i="9"/>
  <c r="AH366" i="9"/>
  <c r="AI366" i="9"/>
  <c r="AJ366" i="9"/>
  <c r="AK366" i="9"/>
  <c r="AL366" i="9"/>
  <c r="AM366" i="9" s="1"/>
  <c r="AO366" i="9"/>
  <c r="AG367" i="9"/>
  <c r="AH367" i="9" s="1"/>
  <c r="AI367" i="9"/>
  <c r="AJ367" i="9"/>
  <c r="AK367" i="9"/>
  <c r="AL367" i="9"/>
  <c r="AM367" i="9"/>
  <c r="AN367" i="9"/>
  <c r="AO367" i="9"/>
  <c r="AP367" i="9"/>
  <c r="AQ367" i="9"/>
  <c r="AG368" i="9"/>
  <c r="AH368" i="9" s="1"/>
  <c r="AI368" i="9" s="1"/>
  <c r="AJ368" i="9"/>
  <c r="AK368" i="9"/>
  <c r="AL368" i="9"/>
  <c r="AM368" i="9" s="1"/>
  <c r="AN368" i="9"/>
  <c r="AO368" i="9"/>
  <c r="AP368" i="9"/>
  <c r="AQ368" i="9"/>
  <c r="AG369" i="9"/>
  <c r="AH369" i="9"/>
  <c r="AI369" i="9" s="1"/>
  <c r="AJ369" i="9"/>
  <c r="AK369" i="9"/>
  <c r="AL369" i="9"/>
  <c r="AG370" i="9"/>
  <c r="AH370" i="9"/>
  <c r="AI370" i="9"/>
  <c r="AJ370" i="9"/>
  <c r="AK370" i="9"/>
  <c r="AL370" i="9"/>
  <c r="AM370" i="9"/>
  <c r="AN370" i="9"/>
  <c r="AO370" i="9"/>
  <c r="AP370" i="9"/>
  <c r="AG371" i="9"/>
  <c r="AH371" i="9" s="1"/>
  <c r="AI371" i="9" s="1"/>
  <c r="AJ371" i="9"/>
  <c r="AK371" i="9"/>
  <c r="AL371" i="9"/>
  <c r="AM371" i="9"/>
  <c r="AN371" i="9"/>
  <c r="AO371" i="9"/>
  <c r="AP371" i="9"/>
  <c r="AQ371" i="9"/>
  <c r="AG372" i="9"/>
  <c r="AH372" i="9"/>
  <c r="AI372" i="9" s="1"/>
  <c r="AJ372" i="9"/>
  <c r="AK372" i="9"/>
  <c r="AL372" i="9"/>
  <c r="AG373" i="9"/>
  <c r="AH373" i="9"/>
  <c r="AI373" i="9"/>
  <c r="AJ373" i="9"/>
  <c r="AK373" i="9"/>
  <c r="AL373" i="9"/>
  <c r="AM373" i="9"/>
  <c r="AN373" i="9"/>
  <c r="AO373" i="9"/>
  <c r="AG374" i="9"/>
  <c r="AH374" i="9"/>
  <c r="AI374" i="9"/>
  <c r="AJ374" i="9"/>
  <c r="AK374" i="9"/>
  <c r="AL374" i="9"/>
  <c r="AM374" i="9"/>
  <c r="AN374" i="9"/>
  <c r="AG375" i="9"/>
  <c r="AH375" i="9"/>
  <c r="AI375" i="9"/>
  <c r="AJ375" i="9"/>
  <c r="AK375" i="9"/>
  <c r="AL375" i="9"/>
  <c r="AM375" i="9"/>
  <c r="AN375" i="9"/>
  <c r="AO375" i="9"/>
  <c r="AP375" i="9"/>
  <c r="AQ375" i="9"/>
  <c r="AG376" i="9"/>
  <c r="AH376" i="9"/>
  <c r="AI376" i="9" s="1"/>
  <c r="AJ376" i="9"/>
  <c r="AK376" i="9"/>
  <c r="AL376" i="9"/>
  <c r="AM376" i="9"/>
  <c r="AG377" i="9"/>
  <c r="AH377" i="9"/>
  <c r="AI377" i="9"/>
  <c r="AJ377" i="9"/>
  <c r="AK377" i="9"/>
  <c r="AL377" i="9"/>
  <c r="AM377" i="9"/>
  <c r="AN377" i="9"/>
  <c r="AO377" i="9"/>
  <c r="AP377" i="9"/>
  <c r="AG378" i="9"/>
  <c r="AH378" i="9"/>
  <c r="AI378" i="9"/>
  <c r="AJ378" i="9"/>
  <c r="AK378" i="9"/>
  <c r="AL378" i="9"/>
  <c r="AN378" i="9"/>
  <c r="AG379" i="9"/>
  <c r="AH379" i="9"/>
  <c r="AI379" i="9" s="1"/>
  <c r="AJ379" i="9"/>
  <c r="AK379" i="9"/>
  <c r="AL379" i="9"/>
  <c r="AM379" i="9"/>
  <c r="AN379" i="9"/>
  <c r="AO379" i="9"/>
  <c r="AQ379" i="9"/>
  <c r="AG380" i="9"/>
  <c r="AH380" i="9"/>
  <c r="AI380" i="9"/>
  <c r="AJ380" i="9"/>
  <c r="AK380" i="9"/>
  <c r="AL380" i="9"/>
  <c r="AM380" i="9" s="1"/>
  <c r="AN380" i="9"/>
  <c r="AG381" i="9"/>
  <c r="AH381" i="9" s="1"/>
  <c r="AI381" i="9"/>
  <c r="AJ381" i="9"/>
  <c r="AK381" i="9"/>
  <c r="AL381" i="9"/>
  <c r="AM381" i="9" s="1"/>
  <c r="AN381" i="9"/>
  <c r="AG382" i="9"/>
  <c r="AH382" i="9" s="1"/>
  <c r="AI382" i="9" s="1"/>
  <c r="AJ382" i="9"/>
  <c r="AK382" i="9"/>
  <c r="AL382" i="9"/>
  <c r="AM382" i="9" s="1"/>
  <c r="AN382" i="9"/>
  <c r="AO382" i="9"/>
  <c r="AP382" i="9"/>
  <c r="AQ382" i="9"/>
  <c r="AG383" i="9"/>
  <c r="AH383" i="9" s="1"/>
  <c r="AI383" i="9" s="1"/>
  <c r="AJ383" i="9"/>
  <c r="AK383" i="9"/>
  <c r="AL383" i="9"/>
  <c r="AM383" i="9" s="1"/>
  <c r="AG384" i="9"/>
  <c r="AH384" i="9"/>
  <c r="AI384" i="9"/>
  <c r="AJ384" i="9"/>
  <c r="AK384" i="9"/>
  <c r="AL384" i="9"/>
  <c r="AM384" i="9" s="1"/>
  <c r="AO384" i="9"/>
  <c r="AG385" i="9"/>
  <c r="AH385" i="9" s="1"/>
  <c r="AI385" i="9" s="1"/>
  <c r="AJ385" i="9"/>
  <c r="AK385" i="9"/>
  <c r="AL385" i="9"/>
  <c r="AM385" i="9"/>
  <c r="AN385" i="9"/>
  <c r="AO385" i="9"/>
  <c r="AP385" i="9"/>
  <c r="AQ385" i="9"/>
  <c r="AG386" i="9"/>
  <c r="AH386" i="9" s="1"/>
  <c r="AI386" i="9" s="1"/>
  <c r="AJ386" i="9"/>
  <c r="AK386" i="9"/>
  <c r="AL386" i="9"/>
  <c r="AM386" i="9" s="1"/>
  <c r="AG387" i="9"/>
  <c r="AH387" i="9"/>
  <c r="AI387" i="9"/>
  <c r="AJ387" i="9"/>
  <c r="AK387" i="9"/>
  <c r="AL387" i="9"/>
  <c r="AM387" i="9"/>
  <c r="AN387" i="9"/>
  <c r="AO387" i="9"/>
  <c r="AP387" i="9" s="1"/>
  <c r="AG388" i="9"/>
  <c r="AH388" i="9"/>
  <c r="AI388" i="9"/>
  <c r="AJ388" i="9"/>
  <c r="AK388" i="9"/>
  <c r="AL388" i="9"/>
  <c r="AM388" i="9" s="1"/>
  <c r="AN388" i="9"/>
  <c r="AG389" i="9"/>
  <c r="AH389" i="9"/>
  <c r="AI389" i="9" s="1"/>
  <c r="AJ389" i="9"/>
  <c r="AK389" i="9"/>
  <c r="AL389" i="9"/>
  <c r="AM389" i="9"/>
  <c r="AN389" i="9"/>
  <c r="AO389" i="9"/>
  <c r="AP389" i="9"/>
  <c r="AQ389" i="9"/>
  <c r="AG390" i="9"/>
  <c r="AH390" i="9"/>
  <c r="AI390" i="9" s="1"/>
  <c r="AJ390" i="9"/>
  <c r="AK390" i="9"/>
  <c r="AL390" i="9"/>
  <c r="AG391" i="9"/>
  <c r="AH391" i="9"/>
  <c r="AI391" i="9"/>
  <c r="AJ391" i="9"/>
  <c r="AK391" i="9"/>
  <c r="AL391" i="9"/>
  <c r="AM391" i="9"/>
  <c r="AN391" i="9"/>
  <c r="AO391" i="9"/>
  <c r="AG392" i="9"/>
  <c r="AH392" i="9"/>
  <c r="AI392" i="9"/>
  <c r="AJ392" i="9"/>
  <c r="AK392" i="9"/>
  <c r="AL392" i="9"/>
  <c r="AN392" i="9" s="1"/>
  <c r="AG393" i="9"/>
  <c r="AH393" i="9" s="1"/>
  <c r="AI393" i="9" s="1"/>
  <c r="AJ393" i="9"/>
  <c r="AK393" i="9"/>
  <c r="AL393" i="9"/>
  <c r="AM393" i="9"/>
  <c r="AN393" i="9"/>
  <c r="AO393" i="9"/>
  <c r="AQ393" i="9"/>
  <c r="AG394" i="9"/>
  <c r="AH394" i="9"/>
  <c r="AI394" i="9"/>
  <c r="AJ394" i="9"/>
  <c r="AK394" i="9"/>
  <c r="AL394" i="9"/>
  <c r="AM394" i="9"/>
  <c r="AG395" i="9"/>
  <c r="AH395" i="9" s="1"/>
  <c r="AI395" i="9"/>
  <c r="AJ395" i="9"/>
  <c r="AK395" i="9"/>
  <c r="AL395" i="9"/>
  <c r="AP395" i="9" s="1"/>
  <c r="AM395" i="9"/>
  <c r="AN395" i="9"/>
  <c r="AO395" i="9"/>
  <c r="AQ395" i="9"/>
  <c r="AG396" i="9"/>
  <c r="AH396" i="9" s="1"/>
  <c r="AI396" i="9" s="1"/>
  <c r="AJ396" i="9"/>
  <c r="AK396" i="9"/>
  <c r="AL396" i="9"/>
  <c r="AM396" i="9"/>
  <c r="AN396" i="9"/>
  <c r="AO396" i="9"/>
  <c r="AP396" i="9"/>
  <c r="AQ396" i="9"/>
  <c r="AG397" i="9"/>
  <c r="AH397" i="9"/>
  <c r="AI397" i="9"/>
  <c r="AJ397" i="9"/>
  <c r="AK397" i="9"/>
  <c r="AL397" i="9"/>
  <c r="AN397" i="9" s="1"/>
  <c r="AM397" i="9"/>
  <c r="AO397" i="9"/>
  <c r="AP397" i="9"/>
  <c r="AQ397" i="9"/>
  <c r="AG398" i="9"/>
  <c r="AH398" i="9"/>
  <c r="AI398" i="9"/>
  <c r="AJ398" i="9"/>
  <c r="AK398" i="9"/>
  <c r="AL398" i="9"/>
  <c r="AM398" i="9"/>
  <c r="AG399" i="9"/>
  <c r="AH399" i="9"/>
  <c r="AI399" i="9"/>
  <c r="AJ399" i="9"/>
  <c r="AK399" i="9"/>
  <c r="AL399" i="9"/>
  <c r="AN399" i="9" s="1"/>
  <c r="AM399" i="9"/>
  <c r="AO399" i="9"/>
  <c r="AG400" i="9"/>
  <c r="AH400" i="9" s="1"/>
  <c r="AI400" i="9" s="1"/>
  <c r="AJ400" i="9"/>
  <c r="AK400" i="9"/>
  <c r="AL400" i="9"/>
  <c r="AM400" i="9"/>
  <c r="AN400" i="9"/>
  <c r="AO400" i="9"/>
  <c r="AP400" i="9" s="1"/>
  <c r="AG401" i="9"/>
  <c r="AH401" i="9" s="1"/>
  <c r="AI401" i="9" s="1"/>
  <c r="AJ401" i="9"/>
  <c r="AK401" i="9"/>
  <c r="AL401" i="9"/>
  <c r="AM401" i="9"/>
  <c r="AN401" i="9"/>
  <c r="AO401" i="9"/>
  <c r="AP401" i="9"/>
  <c r="AQ401" i="9"/>
  <c r="AG402" i="9"/>
  <c r="AH402" i="9" s="1"/>
  <c r="AI402" i="9" s="1"/>
  <c r="AJ402" i="9"/>
  <c r="AK402" i="9"/>
  <c r="AL402" i="9"/>
  <c r="AM402" i="9"/>
  <c r="AG403" i="9"/>
  <c r="AH403" i="9"/>
  <c r="AI403" i="9"/>
  <c r="AJ403" i="9"/>
  <c r="AK403" i="9"/>
  <c r="AL403" i="9"/>
  <c r="AN403" i="9" s="1"/>
  <c r="AM403" i="9"/>
  <c r="AG404" i="9"/>
  <c r="AH404" i="9"/>
  <c r="AI404" i="9"/>
  <c r="AJ404" i="9"/>
  <c r="AK404" i="9"/>
  <c r="AL404" i="9"/>
  <c r="AM404" i="9"/>
  <c r="AN404" i="9"/>
  <c r="AQ404" i="9" s="1"/>
  <c r="AO404" i="9"/>
  <c r="AP404" i="9"/>
  <c r="AG405" i="9"/>
  <c r="AH405" i="9"/>
  <c r="AI405" i="9"/>
  <c r="AJ405" i="9"/>
  <c r="AK405" i="9"/>
  <c r="AL405" i="9"/>
  <c r="AM405" i="9" s="1"/>
  <c r="AN405" i="9"/>
  <c r="AO405" i="9"/>
  <c r="AP405" i="9"/>
  <c r="AQ405" i="9"/>
  <c r="AG406" i="9"/>
  <c r="AH406" i="9"/>
  <c r="AI406" i="9"/>
  <c r="AJ406" i="9"/>
  <c r="AK406" i="9"/>
  <c r="AL406" i="9"/>
  <c r="AG407" i="9"/>
  <c r="AH407" i="9"/>
  <c r="AI407" i="9"/>
  <c r="AJ407" i="9"/>
  <c r="AK407" i="9"/>
  <c r="AL407" i="9"/>
  <c r="AO407" i="9" s="1"/>
  <c r="AQ407" i="9" s="1"/>
  <c r="AM407" i="9"/>
  <c r="AN407" i="9"/>
  <c r="AG408" i="9"/>
  <c r="AH408" i="9" s="1"/>
  <c r="AI408" i="9" s="1"/>
  <c r="AJ408" i="9"/>
  <c r="AK408" i="9"/>
  <c r="AL408" i="9"/>
  <c r="AM408" i="9"/>
  <c r="AN408" i="9"/>
  <c r="AO408" i="9"/>
  <c r="AP408" i="9"/>
  <c r="AQ408" i="9"/>
  <c r="AG409" i="9"/>
  <c r="AH409" i="9" s="1"/>
  <c r="AI409" i="9"/>
  <c r="AJ409" i="9"/>
  <c r="AK409" i="9"/>
  <c r="AL409" i="9"/>
  <c r="AM409" i="9"/>
  <c r="AN409" i="9"/>
  <c r="AO409" i="9"/>
  <c r="AP409" i="9"/>
  <c r="AQ409" i="9"/>
  <c r="AG410" i="9"/>
  <c r="AH410" i="9"/>
  <c r="AI410" i="9"/>
  <c r="AJ410" i="9"/>
  <c r="AK410" i="9"/>
  <c r="AL410" i="9"/>
  <c r="AM410" i="9"/>
  <c r="AG411" i="9"/>
  <c r="AH411" i="9"/>
  <c r="AI411" i="9"/>
  <c r="AJ411" i="9"/>
  <c r="AK411" i="9"/>
  <c r="AL411" i="9"/>
  <c r="AN411" i="9" s="1"/>
  <c r="AM411" i="9"/>
  <c r="AG412" i="9"/>
  <c r="AH412" i="9" s="1"/>
  <c r="AI412" i="9" s="1"/>
  <c r="AJ412" i="9"/>
  <c r="AK412" i="9"/>
  <c r="AL412" i="9"/>
  <c r="AM412" i="9"/>
  <c r="AN412" i="9"/>
  <c r="AP412" i="9" s="1"/>
  <c r="AO412" i="9"/>
  <c r="AG413" i="9"/>
  <c r="AH413" i="9"/>
  <c r="AI413" i="9"/>
  <c r="AJ413" i="9"/>
  <c r="AK413" i="9"/>
  <c r="AL413" i="9"/>
  <c r="AM413" i="9"/>
  <c r="AN413" i="9"/>
  <c r="AO413" i="9"/>
  <c r="AP413" i="9"/>
  <c r="AQ413" i="9"/>
  <c r="AG414" i="9"/>
  <c r="AH414" i="9"/>
  <c r="AI414" i="9" s="1"/>
  <c r="AJ414" i="9"/>
  <c r="AK414" i="9"/>
  <c r="AL414" i="9"/>
  <c r="AN414" i="9" s="1"/>
  <c r="AM414" i="9"/>
  <c r="AG415" i="9"/>
  <c r="AH415" i="9"/>
  <c r="AI415" i="9"/>
  <c r="AJ415" i="9"/>
  <c r="AK415" i="9"/>
  <c r="AL415" i="9"/>
  <c r="AM415" i="9"/>
  <c r="AN415" i="9"/>
  <c r="AP415" i="9" s="1"/>
  <c r="AO415" i="9"/>
  <c r="AG416" i="9"/>
  <c r="AH416" i="9" s="1"/>
  <c r="AI416" i="9" s="1"/>
  <c r="AJ416" i="9"/>
  <c r="AK416" i="9"/>
  <c r="AL416" i="9"/>
  <c r="AO416" i="9" s="1"/>
  <c r="AM416" i="9"/>
  <c r="AN416" i="9"/>
  <c r="AP416" i="9"/>
  <c r="AQ416" i="9"/>
  <c r="AG417" i="9"/>
  <c r="AH417" i="9" s="1"/>
  <c r="AI417" i="9" s="1"/>
  <c r="AJ417" i="9"/>
  <c r="AK417" i="9"/>
  <c r="AL417" i="9"/>
  <c r="AM417" i="9"/>
  <c r="AN417" i="9"/>
  <c r="AO417" i="9"/>
  <c r="AP417" i="9"/>
  <c r="AQ417" i="9"/>
  <c r="AG418" i="9"/>
  <c r="AH418" i="9"/>
  <c r="AI418" i="9"/>
  <c r="AJ418" i="9"/>
  <c r="AK418" i="9"/>
  <c r="AL418" i="9"/>
  <c r="AM418" i="9"/>
  <c r="AG419" i="9"/>
  <c r="AH419" i="9"/>
  <c r="AI419" i="9"/>
  <c r="AJ419" i="9"/>
  <c r="AK419" i="9"/>
  <c r="AL419" i="9"/>
  <c r="AM419" i="9"/>
  <c r="AN419" i="9"/>
  <c r="AO419" i="9"/>
  <c r="AP419" i="9"/>
  <c r="AG420" i="9"/>
  <c r="AH420" i="9"/>
  <c r="AI420" i="9"/>
  <c r="AJ420" i="9"/>
  <c r="AK420" i="9"/>
  <c r="AL420" i="9"/>
  <c r="AM420" i="9" s="1"/>
  <c r="AN420" i="9"/>
  <c r="AP420" i="9" s="1"/>
  <c r="AO420" i="9"/>
  <c r="AQ420" i="9"/>
  <c r="AG421" i="9"/>
  <c r="AH421" i="9"/>
  <c r="AI421" i="9"/>
  <c r="AJ421" i="9"/>
  <c r="AK421" i="9"/>
  <c r="AL421" i="9"/>
  <c r="AM421" i="9"/>
  <c r="AN421" i="9"/>
  <c r="AO421" i="9"/>
  <c r="AQ421" i="9"/>
  <c r="AG422" i="9"/>
  <c r="AH422" i="9"/>
  <c r="AI422" i="9" s="1"/>
  <c r="AJ422" i="9"/>
  <c r="AK422" i="9"/>
  <c r="AL422" i="9"/>
  <c r="AM422" i="9"/>
  <c r="AG423" i="9"/>
  <c r="AH423" i="9" s="1"/>
  <c r="AI423" i="9"/>
  <c r="AJ423" i="9"/>
  <c r="AK423" i="9"/>
  <c r="AL423" i="9"/>
  <c r="AG424" i="9"/>
  <c r="AH424" i="9" s="1"/>
  <c r="AI424" i="9" s="1"/>
  <c r="AJ424" i="9"/>
  <c r="AK424" i="9"/>
  <c r="AL424" i="9"/>
  <c r="AM424" i="9"/>
  <c r="AN424" i="9"/>
  <c r="AO424" i="9"/>
  <c r="AP424" i="9"/>
  <c r="AQ424" i="9"/>
  <c r="AG425" i="9"/>
  <c r="AH425" i="9" s="1"/>
  <c r="AI425" i="9" s="1"/>
  <c r="AJ425" i="9"/>
  <c r="AK425" i="9"/>
  <c r="AL425" i="9"/>
  <c r="AN425" i="9" s="1"/>
  <c r="AM425" i="9"/>
  <c r="AO425" i="9"/>
  <c r="AP425" i="9"/>
  <c r="AQ425" i="9"/>
  <c r="AG426" i="9"/>
  <c r="AH426" i="9" s="1"/>
  <c r="AI426" i="9" s="1"/>
  <c r="AJ426" i="9"/>
  <c r="AK426" i="9"/>
  <c r="AL426" i="9"/>
  <c r="AM426" i="9"/>
  <c r="AG427" i="9"/>
  <c r="AH427" i="9"/>
  <c r="AI427" i="9"/>
  <c r="AJ427" i="9"/>
  <c r="AK427" i="9"/>
  <c r="AL427" i="9"/>
  <c r="AO427" i="9" s="1"/>
  <c r="AP427" i="9" s="1"/>
  <c r="AM427" i="9"/>
  <c r="AN427" i="9"/>
  <c r="AQ427" i="9"/>
  <c r="AG428" i="9"/>
  <c r="AH428" i="9" s="1"/>
  <c r="AI428" i="9" s="1"/>
  <c r="AJ428" i="9"/>
  <c r="AK428" i="9"/>
  <c r="AL428" i="9"/>
  <c r="AM428" i="9"/>
  <c r="AN428" i="9"/>
  <c r="AO428" i="9"/>
  <c r="AP428" i="9"/>
  <c r="AQ428" i="9"/>
  <c r="AG429" i="9"/>
  <c r="AH429" i="9"/>
  <c r="AI429" i="9" s="1"/>
  <c r="AJ429" i="9"/>
  <c r="AK429" i="9"/>
  <c r="AL429" i="9"/>
  <c r="AM429" i="9"/>
  <c r="AN429" i="9"/>
  <c r="AO429" i="9"/>
  <c r="AP429" i="9"/>
  <c r="AQ429" i="9"/>
  <c r="AG430" i="9"/>
  <c r="AH430" i="9"/>
  <c r="AI430" i="9"/>
  <c r="AJ430" i="9"/>
  <c r="AK430" i="9"/>
  <c r="AL430" i="9"/>
  <c r="AM430" i="9"/>
  <c r="AG431" i="9"/>
  <c r="AH431" i="9"/>
  <c r="AI431" i="9"/>
  <c r="AJ431" i="9"/>
  <c r="AK431" i="9"/>
  <c r="AL431" i="9"/>
  <c r="AM431" i="9"/>
  <c r="AN431" i="9"/>
  <c r="AO431" i="9"/>
  <c r="AP431" i="9"/>
  <c r="AQ431" i="9"/>
  <c r="AG432" i="9"/>
  <c r="AH432" i="9"/>
  <c r="AI432" i="9"/>
  <c r="AJ432" i="9"/>
  <c r="AK432" i="9"/>
  <c r="AL432" i="9"/>
  <c r="AM432" i="9"/>
  <c r="AN432" i="9"/>
  <c r="AO432" i="9"/>
  <c r="AP432" i="9"/>
  <c r="AQ432" i="9"/>
  <c r="AG433" i="9"/>
  <c r="AH433" i="9"/>
  <c r="AI433" i="9"/>
  <c r="AJ433" i="9"/>
  <c r="AK433" i="9"/>
  <c r="AL433" i="9"/>
  <c r="AM433" i="9"/>
  <c r="AN433" i="9"/>
  <c r="AO433" i="9"/>
  <c r="AP433" i="9"/>
  <c r="AQ433" i="9"/>
  <c r="AG434" i="9"/>
  <c r="AH434" i="9"/>
  <c r="AI434" i="9"/>
  <c r="AJ434" i="9"/>
  <c r="AK434" i="9"/>
  <c r="AL434" i="9"/>
  <c r="AG435" i="9"/>
  <c r="AH435" i="9"/>
  <c r="AI435" i="9"/>
  <c r="AJ435" i="9"/>
  <c r="AK435" i="9"/>
  <c r="AL435" i="9"/>
  <c r="AM435" i="9"/>
  <c r="AN435" i="9"/>
  <c r="AO435" i="9"/>
  <c r="AQ435" i="9"/>
  <c r="AG436" i="9"/>
  <c r="AH436" i="9" s="1"/>
  <c r="AI436" i="9" s="1"/>
  <c r="AJ436" i="9"/>
  <c r="AK436" i="9"/>
  <c r="AL436" i="9"/>
  <c r="AM436" i="9"/>
  <c r="AN436" i="9"/>
  <c r="AQ436" i="9" s="1"/>
  <c r="AO436" i="9"/>
  <c r="AP436" i="9"/>
  <c r="AG437" i="9"/>
  <c r="AH437" i="9" s="1"/>
  <c r="AI437" i="9"/>
  <c r="AJ437" i="9"/>
  <c r="AK437" i="9"/>
  <c r="AL437" i="9"/>
  <c r="AM437" i="9"/>
  <c r="AN437" i="9"/>
  <c r="AO437" i="9"/>
  <c r="AP437" i="9"/>
  <c r="AQ437" i="9"/>
  <c r="AG438" i="9"/>
  <c r="AH438" i="9"/>
  <c r="AI438" i="9"/>
  <c r="AJ438" i="9"/>
  <c r="AK438" i="9"/>
  <c r="AL438" i="9"/>
  <c r="AM438" i="9"/>
  <c r="AG439" i="9"/>
  <c r="AH439" i="9"/>
  <c r="AI439" i="9"/>
  <c r="AJ439" i="9"/>
  <c r="AK439" i="9"/>
  <c r="AL439" i="9"/>
  <c r="AN439" i="9" s="1"/>
  <c r="AM439" i="9"/>
  <c r="AG440" i="9"/>
  <c r="AH440" i="9" s="1"/>
  <c r="AI440" i="9" s="1"/>
  <c r="AJ440" i="9"/>
  <c r="AK440" i="9"/>
  <c r="AL440" i="9"/>
  <c r="AM440" i="9"/>
  <c r="AN440" i="9"/>
  <c r="AO440" i="9"/>
  <c r="AP440" i="9"/>
  <c r="AG441" i="9"/>
  <c r="AH441" i="9"/>
  <c r="AI441" i="9"/>
  <c r="AJ441" i="9"/>
  <c r="AK441" i="9"/>
  <c r="AL441" i="9"/>
  <c r="AM441" i="9"/>
  <c r="AN441" i="9"/>
  <c r="AO441" i="9"/>
  <c r="AP441" i="9"/>
  <c r="AQ441" i="9"/>
  <c r="AG442" i="9"/>
  <c r="AH442" i="9"/>
  <c r="AI442" i="9" s="1"/>
  <c r="AJ442" i="9"/>
  <c r="AK442" i="9"/>
  <c r="AL442" i="9"/>
  <c r="AN442" i="9" s="1"/>
  <c r="AM442" i="9"/>
  <c r="AG443" i="9"/>
  <c r="AH443" i="9"/>
  <c r="AI443" i="9"/>
  <c r="AJ443" i="9"/>
  <c r="AK443" i="9"/>
  <c r="AL443" i="9"/>
  <c r="AM443" i="9"/>
  <c r="AN443" i="9"/>
  <c r="AO443" i="9"/>
  <c r="AP443" i="9"/>
  <c r="AQ443" i="9"/>
  <c r="AG444" i="9"/>
  <c r="AH444" i="9" s="1"/>
  <c r="AI444" i="9" s="1"/>
  <c r="AJ444" i="9"/>
  <c r="AK444" i="9"/>
  <c r="AL444" i="9"/>
  <c r="AO444" i="9" s="1"/>
  <c r="AM444" i="9"/>
  <c r="AN444" i="9"/>
  <c r="AP444" i="9" s="1"/>
  <c r="AG445" i="9"/>
  <c r="AH445" i="9" s="1"/>
  <c r="AI445" i="9" s="1"/>
  <c r="AJ445" i="9"/>
  <c r="AK445" i="9"/>
  <c r="AL445" i="9"/>
  <c r="AM445" i="9"/>
  <c r="AN445" i="9"/>
  <c r="AO445" i="9"/>
  <c r="AP445" i="9"/>
  <c r="AQ445" i="9"/>
  <c r="AG446" i="9"/>
  <c r="AH446" i="9"/>
  <c r="AI446" i="9"/>
  <c r="AJ446" i="9"/>
  <c r="AK446" i="9"/>
  <c r="AL446" i="9"/>
  <c r="AM446" i="9"/>
  <c r="AG447" i="9"/>
  <c r="AH447" i="9"/>
  <c r="AI447" i="9"/>
  <c r="AJ447" i="9"/>
  <c r="AK447" i="9"/>
  <c r="AL447" i="9"/>
  <c r="AM447" i="9"/>
  <c r="AG448" i="9"/>
  <c r="AH448" i="9"/>
  <c r="AI448" i="9"/>
  <c r="AJ448" i="9"/>
  <c r="AK448" i="9"/>
  <c r="AL448" i="9"/>
  <c r="AM448" i="9" s="1"/>
  <c r="AN448" i="9"/>
  <c r="AP448" i="9" s="1"/>
  <c r="AO448" i="9"/>
  <c r="AQ448" i="9"/>
  <c r="AG449" i="9"/>
  <c r="AH449" i="9" s="1"/>
  <c r="AI449" i="9" s="1"/>
  <c r="AJ449" i="9"/>
  <c r="AK449" i="9"/>
  <c r="AL449" i="9"/>
  <c r="AM449" i="9"/>
  <c r="AN449" i="9"/>
  <c r="AO449" i="9"/>
  <c r="AQ449" i="9"/>
  <c r="AG450" i="9"/>
  <c r="AH450" i="9"/>
  <c r="AI450" i="9" s="1"/>
  <c r="AJ450" i="9"/>
  <c r="AK450" i="9"/>
  <c r="AL450" i="9"/>
  <c r="AM450" i="9" s="1"/>
  <c r="AG451" i="9"/>
  <c r="AH451" i="9" s="1"/>
  <c r="AI451" i="9"/>
  <c r="AJ451" i="9"/>
  <c r="AK451" i="9"/>
  <c r="AL451" i="9"/>
  <c r="AQ451" i="9" s="1"/>
  <c r="AM451" i="9"/>
  <c r="AN451" i="9"/>
  <c r="AO451" i="9"/>
  <c r="AP451" i="9"/>
  <c r="AG452" i="9"/>
  <c r="AH452" i="9" s="1"/>
  <c r="AI452" i="9" s="1"/>
  <c r="AJ452" i="9"/>
  <c r="AK452" i="9"/>
  <c r="AL452" i="9"/>
  <c r="AM452" i="9"/>
  <c r="AN452" i="9"/>
  <c r="AO452" i="9"/>
  <c r="AP452" i="9"/>
  <c r="AQ452" i="9"/>
  <c r="AG453" i="9"/>
  <c r="AH453" i="9"/>
  <c r="AI453" i="9"/>
  <c r="AJ453" i="9"/>
  <c r="AK453" i="9"/>
  <c r="AL453" i="9"/>
  <c r="AN453" i="9" s="1"/>
  <c r="AM453" i="9"/>
  <c r="AO453" i="9"/>
  <c r="AP453" i="9"/>
  <c r="AQ453" i="9"/>
  <c r="AG454" i="9"/>
  <c r="AH454" i="9" s="1"/>
  <c r="AI454" i="9" s="1"/>
  <c r="AJ454" i="9"/>
  <c r="AK454" i="9"/>
  <c r="AL454" i="9"/>
  <c r="AM454" i="9"/>
  <c r="AG455" i="9"/>
  <c r="AH455" i="9"/>
  <c r="AI455" i="9"/>
  <c r="AJ455" i="9"/>
  <c r="AK455" i="9"/>
  <c r="AL455" i="9"/>
  <c r="AM455" i="9"/>
  <c r="AN455" i="9"/>
  <c r="AO455" i="9"/>
  <c r="AP455" i="9"/>
  <c r="AQ455" i="9"/>
  <c r="AG456" i="9"/>
  <c r="AH456" i="9" s="1"/>
  <c r="AI456" i="9" s="1"/>
  <c r="AJ456" i="9"/>
  <c r="AK456" i="9"/>
  <c r="AL456" i="9"/>
  <c r="AM456" i="9"/>
  <c r="AN456" i="9"/>
  <c r="AO456" i="9"/>
  <c r="AG457" i="9"/>
  <c r="AH457" i="9"/>
  <c r="AI457" i="9" s="1"/>
  <c r="AJ457" i="9"/>
  <c r="AK457" i="9"/>
  <c r="AL457" i="9"/>
  <c r="AM457" i="9"/>
  <c r="AN457" i="9"/>
  <c r="AO457" i="9"/>
  <c r="AP457" i="9"/>
  <c r="AQ457" i="9"/>
  <c r="AG458" i="9"/>
  <c r="AH458" i="9" s="1"/>
  <c r="AI458" i="9" s="1"/>
  <c r="AJ458" i="9"/>
  <c r="AK458" i="9"/>
  <c r="AL458" i="9"/>
  <c r="AM458" i="9"/>
  <c r="AG459" i="9"/>
  <c r="AH459" i="9"/>
  <c r="AI459" i="9"/>
  <c r="AJ459" i="9"/>
  <c r="AK459" i="9"/>
  <c r="AL459" i="9"/>
  <c r="AO459" i="9" s="1"/>
  <c r="AM459" i="9"/>
  <c r="AN459" i="9"/>
  <c r="AG460" i="9"/>
  <c r="AH460" i="9"/>
  <c r="AI460" i="9"/>
  <c r="AJ460" i="9"/>
  <c r="AK460" i="9"/>
  <c r="AL460" i="9"/>
  <c r="AM460" i="9"/>
  <c r="AN460" i="9"/>
  <c r="AO460" i="9"/>
  <c r="AP460" i="9"/>
  <c r="AQ460" i="9"/>
  <c r="AG461" i="9"/>
  <c r="AH461" i="9" s="1"/>
  <c r="AI461" i="9" s="1"/>
  <c r="AJ461" i="9"/>
  <c r="AK461" i="9"/>
  <c r="AL461" i="9"/>
  <c r="AM461" i="9"/>
  <c r="AN461" i="9"/>
  <c r="AO461" i="9"/>
  <c r="AP461" i="9"/>
  <c r="AQ461" i="9"/>
  <c r="AG462" i="9"/>
  <c r="AH462" i="9"/>
  <c r="AI462" i="9"/>
  <c r="AJ462" i="9"/>
  <c r="AK462" i="9"/>
  <c r="AL462" i="9"/>
  <c r="AG463" i="9"/>
  <c r="AH463" i="9"/>
  <c r="AI463" i="9"/>
  <c r="AJ463" i="9"/>
  <c r="AK463" i="9"/>
  <c r="AL463" i="9"/>
  <c r="AO463" i="9" s="1"/>
  <c r="AQ463" i="9" s="1"/>
  <c r="AM463" i="9"/>
  <c r="AN463" i="9"/>
  <c r="AG464" i="9"/>
  <c r="AH464" i="9" s="1"/>
  <c r="AI464" i="9" s="1"/>
  <c r="AJ464" i="9"/>
  <c r="AK464" i="9"/>
  <c r="AL464" i="9"/>
  <c r="AM464" i="9"/>
  <c r="AN464" i="9"/>
  <c r="AO464" i="9"/>
  <c r="AP464" i="9"/>
  <c r="AQ464" i="9"/>
  <c r="AG465" i="9"/>
  <c r="AH465" i="9" s="1"/>
  <c r="AI465" i="9"/>
  <c r="AJ465" i="9"/>
  <c r="AK465" i="9"/>
  <c r="AL465" i="9"/>
  <c r="AM465" i="9"/>
  <c r="AN465" i="9"/>
  <c r="AO465" i="9"/>
  <c r="AP465" i="9"/>
  <c r="AQ465" i="9"/>
  <c r="AG466" i="9"/>
  <c r="AH466" i="9"/>
  <c r="AI466" i="9"/>
  <c r="AJ466" i="9"/>
  <c r="AK466" i="9"/>
  <c r="AL466" i="9"/>
  <c r="AM466" i="9"/>
  <c r="AG467" i="9"/>
  <c r="AH467" i="9"/>
  <c r="AI467" i="9"/>
  <c r="AJ467" i="9"/>
  <c r="AK467" i="9"/>
  <c r="AL467" i="9"/>
  <c r="AN467" i="9" s="1"/>
  <c r="AM467" i="9"/>
  <c r="AG468" i="9"/>
  <c r="AH468" i="9" s="1"/>
  <c r="AI468" i="9" s="1"/>
  <c r="AJ468" i="9"/>
  <c r="AK468" i="9"/>
  <c r="AL468" i="9"/>
  <c r="AM468" i="9"/>
  <c r="AN468" i="9"/>
  <c r="AO468" i="9"/>
  <c r="AG469" i="9"/>
  <c r="AH469" i="9"/>
  <c r="AI469" i="9"/>
  <c r="AJ469" i="9"/>
  <c r="AK469" i="9"/>
  <c r="AL469" i="9"/>
  <c r="AM469" i="9"/>
  <c r="AN469" i="9"/>
  <c r="AO469" i="9"/>
  <c r="AP469" i="9"/>
  <c r="AQ469" i="9"/>
  <c r="AG470" i="9"/>
  <c r="AH470" i="9"/>
  <c r="AI470" i="9" s="1"/>
  <c r="AJ470" i="9"/>
  <c r="AK470" i="9"/>
  <c r="AL470" i="9"/>
  <c r="AN470" i="9" s="1"/>
  <c r="AM470" i="9"/>
  <c r="AG471" i="9"/>
  <c r="AH471" i="9"/>
  <c r="AI471" i="9"/>
  <c r="AJ471" i="9"/>
  <c r="AK471" i="9"/>
  <c r="AL471" i="9"/>
  <c r="AN471" i="9"/>
  <c r="AO471" i="9"/>
  <c r="AG472" i="9"/>
  <c r="AH472" i="9" s="1"/>
  <c r="AI472" i="9" s="1"/>
  <c r="AJ472" i="9"/>
  <c r="AK472" i="9"/>
  <c r="AL472" i="9"/>
  <c r="AM472" i="9"/>
  <c r="AN472" i="9"/>
  <c r="AO472" i="9"/>
  <c r="AP472" i="9"/>
  <c r="AQ472" i="9"/>
  <c r="AG473" i="9"/>
  <c r="AH473" i="9"/>
  <c r="AI473" i="9"/>
  <c r="AJ473" i="9"/>
  <c r="AK473" i="9"/>
  <c r="AL473" i="9"/>
  <c r="AM473" i="9"/>
  <c r="AN473" i="9"/>
  <c r="AO473" i="9"/>
  <c r="AP473" i="9"/>
  <c r="AQ473" i="9"/>
  <c r="AG474" i="9"/>
  <c r="AH474" i="9"/>
  <c r="AI474" i="9"/>
  <c r="AJ474" i="9"/>
  <c r="AK474" i="9"/>
  <c r="AL474" i="9"/>
  <c r="AG475" i="9"/>
  <c r="AH475" i="9"/>
  <c r="AI475" i="9"/>
  <c r="AJ475" i="9"/>
  <c r="AK475" i="9"/>
  <c r="AL475" i="9"/>
  <c r="AM475" i="9"/>
  <c r="AN475" i="9"/>
  <c r="AO475" i="9"/>
  <c r="AP475" i="9"/>
  <c r="AG476" i="9"/>
  <c r="AH476" i="9"/>
  <c r="AI476" i="9"/>
  <c r="AJ476" i="9"/>
  <c r="AK476" i="9"/>
  <c r="AL476" i="9"/>
  <c r="AM476" i="9"/>
  <c r="AN476" i="9"/>
  <c r="AO476" i="9"/>
  <c r="AP476" i="9"/>
  <c r="AQ476" i="9"/>
  <c r="AG477" i="9"/>
  <c r="AH477" i="9"/>
  <c r="AI477" i="9" s="1"/>
  <c r="AJ477" i="9"/>
  <c r="AK477" i="9"/>
  <c r="AL477" i="9"/>
  <c r="AM477" i="9"/>
  <c r="AN477" i="9"/>
  <c r="AO477" i="9"/>
  <c r="AP477" i="9" s="1"/>
  <c r="AG478" i="9"/>
  <c r="AH478" i="9" s="1"/>
  <c r="AI478" i="9" s="1"/>
  <c r="AJ478" i="9"/>
  <c r="AK478" i="9"/>
  <c r="AL478" i="9"/>
  <c r="AM478" i="9"/>
  <c r="AN478" i="9"/>
  <c r="AO478" i="9"/>
  <c r="AP478" i="9"/>
  <c r="AQ478" i="9"/>
  <c r="AG479" i="9"/>
  <c r="AH479" i="9" s="1"/>
  <c r="AI479" i="9" s="1"/>
  <c r="AJ479" i="9"/>
  <c r="AK479" i="9"/>
  <c r="AL479" i="9"/>
  <c r="AM479" i="9"/>
  <c r="AN479" i="9"/>
  <c r="AG480" i="9"/>
  <c r="AH480" i="9"/>
  <c r="AI480" i="9"/>
  <c r="AJ480" i="9"/>
  <c r="AK480" i="9"/>
  <c r="AL480" i="9"/>
  <c r="AG481" i="9"/>
  <c r="AH481" i="9"/>
  <c r="AI481" i="9"/>
  <c r="AJ481" i="9"/>
  <c r="AK481" i="9"/>
  <c r="AL481" i="9"/>
  <c r="AM481" i="9"/>
  <c r="AN481" i="9"/>
  <c r="AP481" i="9" s="1"/>
  <c r="AO481" i="9"/>
  <c r="AG482" i="9"/>
  <c r="AH482" i="9"/>
  <c r="AI482" i="9" s="1"/>
  <c r="AJ482" i="9"/>
  <c r="AK482" i="9"/>
  <c r="AL482" i="9"/>
  <c r="AM482" i="9"/>
  <c r="AN482" i="9"/>
  <c r="AO482" i="9"/>
  <c r="AP482" i="9"/>
  <c r="AQ482" i="9"/>
  <c r="AG483" i="9"/>
  <c r="AH483" i="9" s="1"/>
  <c r="AI483" i="9" s="1"/>
  <c r="AJ483" i="9"/>
  <c r="AK483" i="9"/>
  <c r="AL483" i="9"/>
  <c r="AG484" i="9"/>
  <c r="AH484" i="9"/>
  <c r="AI484" i="9"/>
  <c r="AJ484" i="9"/>
  <c r="AK484" i="9"/>
  <c r="AL484" i="9"/>
  <c r="AM484" i="9"/>
  <c r="AN484" i="9"/>
  <c r="AO484" i="9"/>
  <c r="AG485" i="9"/>
  <c r="AH485" i="9"/>
  <c r="AI485" i="9"/>
  <c r="AJ485" i="9"/>
  <c r="AK485" i="9"/>
  <c r="AL485" i="9"/>
  <c r="AM485" i="9"/>
  <c r="AN485" i="9"/>
  <c r="AO485" i="9"/>
  <c r="AP485" i="9"/>
  <c r="AQ485" i="9"/>
  <c r="AG486" i="9"/>
  <c r="AH486" i="9" s="1"/>
  <c r="AI486" i="9" s="1"/>
  <c r="AJ486" i="9"/>
  <c r="AK486" i="9"/>
  <c r="AL486" i="9"/>
  <c r="AM486" i="9"/>
  <c r="AN486" i="9"/>
  <c r="AP486" i="9" s="1"/>
  <c r="AO486" i="9"/>
  <c r="AQ486" i="9"/>
  <c r="AG487" i="9"/>
  <c r="AH487" i="9"/>
  <c r="AI487" i="9"/>
  <c r="AJ487" i="9"/>
  <c r="AK487" i="9"/>
  <c r="AL487" i="9"/>
  <c r="AM487" i="9"/>
  <c r="AN487" i="9"/>
  <c r="AO487" i="9"/>
  <c r="AP487" i="9"/>
  <c r="AQ487" i="9"/>
  <c r="AG488" i="9"/>
  <c r="AH488" i="9" s="1"/>
  <c r="AI488" i="9" s="1"/>
  <c r="AJ488" i="9"/>
  <c r="AK488" i="9"/>
  <c r="AL488" i="9"/>
  <c r="AM488" i="9"/>
  <c r="AG489" i="9"/>
  <c r="AH489" i="9"/>
  <c r="AI489" i="9"/>
  <c r="AJ489" i="9"/>
  <c r="AK489" i="9"/>
  <c r="AL489" i="9"/>
  <c r="AM489" i="9"/>
  <c r="AN489" i="9"/>
  <c r="AO489" i="9"/>
  <c r="AP489" i="9"/>
  <c r="AG490" i="9"/>
  <c r="AH490" i="9"/>
  <c r="AI490" i="9"/>
  <c r="AJ490" i="9"/>
  <c r="AK490" i="9"/>
  <c r="AL490" i="9"/>
  <c r="AO490" i="9" s="1"/>
  <c r="AM490" i="9"/>
  <c r="AN490" i="9"/>
  <c r="AG491" i="9"/>
  <c r="AH491" i="9" s="1"/>
  <c r="AI491" i="9" s="1"/>
  <c r="AJ491" i="9"/>
  <c r="AK491" i="9"/>
  <c r="AL491" i="9"/>
  <c r="AM491" i="9"/>
  <c r="AN491" i="9"/>
  <c r="AO491" i="9"/>
  <c r="AP491" i="9"/>
  <c r="AQ491" i="9"/>
  <c r="AG492" i="9"/>
  <c r="AH492" i="9" s="1"/>
  <c r="AI492" i="9" s="1"/>
  <c r="AJ492" i="9"/>
  <c r="AK492" i="9"/>
  <c r="AL492" i="9"/>
  <c r="AM492" i="9"/>
  <c r="AN492" i="9"/>
  <c r="AO492" i="9"/>
  <c r="AP492" i="9"/>
  <c r="AQ492" i="9"/>
  <c r="AG493" i="9"/>
  <c r="AH493" i="9"/>
  <c r="AI493" i="9"/>
  <c r="AJ493" i="9"/>
  <c r="AK493" i="9"/>
  <c r="AL493" i="9"/>
  <c r="AM493" i="9"/>
  <c r="AN493" i="9"/>
  <c r="AG494" i="9"/>
  <c r="AH494" i="9"/>
  <c r="AI494" i="9"/>
  <c r="AJ494" i="9"/>
  <c r="AK494" i="9"/>
  <c r="AL494" i="9"/>
  <c r="AQ494" i="9" s="1"/>
  <c r="AM494" i="9"/>
  <c r="AN494" i="9"/>
  <c r="AO494" i="9"/>
  <c r="AP494" i="9"/>
  <c r="AG495" i="9"/>
  <c r="AH495" i="9"/>
  <c r="AI495" i="9"/>
  <c r="AJ495" i="9"/>
  <c r="AK495" i="9"/>
  <c r="AL495" i="9"/>
  <c r="AM495" i="9"/>
  <c r="AN495" i="9"/>
  <c r="AO495" i="9"/>
  <c r="AP495" i="9"/>
  <c r="AQ495" i="9"/>
  <c r="AG496" i="9"/>
  <c r="AH496" i="9"/>
  <c r="AI496" i="9" s="1"/>
  <c r="AJ496" i="9"/>
  <c r="AK496" i="9"/>
  <c r="AL496" i="9"/>
  <c r="AM496" i="9"/>
  <c r="AN496" i="9"/>
  <c r="AO496" i="9"/>
  <c r="AP496" i="9"/>
  <c r="AQ496" i="9"/>
  <c r="AG497" i="9"/>
  <c r="AH497" i="9"/>
  <c r="AI497" i="9"/>
  <c r="AJ497" i="9"/>
  <c r="AK497" i="9"/>
  <c r="AL497" i="9"/>
  <c r="AG498" i="9"/>
  <c r="AH498" i="9"/>
  <c r="AI498" i="9"/>
  <c r="AJ498" i="9"/>
  <c r="AK498" i="9"/>
  <c r="AL498" i="9"/>
  <c r="AM498" i="9"/>
  <c r="AN498" i="9"/>
  <c r="AO498" i="9"/>
  <c r="AG499" i="9"/>
  <c r="AH499" i="9"/>
  <c r="AI499" i="9"/>
  <c r="AJ499" i="9"/>
  <c r="AK499" i="9"/>
  <c r="AL499" i="9"/>
  <c r="AM499" i="9"/>
  <c r="AN499" i="9"/>
  <c r="AO499" i="9"/>
  <c r="AP499" i="9"/>
  <c r="AQ499" i="9"/>
  <c r="AG500" i="9"/>
  <c r="AH500" i="9" s="1"/>
  <c r="AI500" i="9" s="1"/>
  <c r="AJ500" i="9"/>
  <c r="AK500" i="9"/>
  <c r="AL500" i="9"/>
  <c r="AM500" i="9"/>
  <c r="AN500" i="9"/>
  <c r="AP500" i="9" s="1"/>
  <c r="AO500" i="9"/>
  <c r="AG501" i="9"/>
  <c r="AH501" i="9"/>
  <c r="AI501" i="9" s="1"/>
  <c r="AJ501" i="9"/>
  <c r="AK501" i="9"/>
  <c r="AL501" i="9"/>
  <c r="AM501" i="9"/>
  <c r="AN501" i="9"/>
  <c r="AO501" i="9"/>
  <c r="AP501" i="9"/>
  <c r="AQ501" i="9"/>
  <c r="AG502" i="9"/>
  <c r="AH502" i="9" s="1"/>
  <c r="AI502" i="9" s="1"/>
  <c r="AJ502" i="9"/>
  <c r="AK502" i="9"/>
  <c r="AL502" i="9"/>
  <c r="AM502" i="9"/>
  <c r="AG503" i="9"/>
  <c r="AH503" i="9"/>
  <c r="AI503" i="9"/>
  <c r="AJ503" i="9"/>
  <c r="AK503" i="9"/>
  <c r="AL503" i="9"/>
  <c r="AM503" i="9"/>
  <c r="AN503" i="9"/>
  <c r="AG504" i="9"/>
  <c r="AH504" i="9"/>
  <c r="AI504" i="9"/>
  <c r="AJ504" i="9"/>
  <c r="AK504" i="9"/>
  <c r="AL504" i="9"/>
  <c r="AM504" i="9"/>
  <c r="AN504" i="9"/>
  <c r="AO504" i="9"/>
  <c r="AP504" i="9"/>
  <c r="AQ504" i="9"/>
  <c r="AG505" i="9"/>
  <c r="AH505" i="9" s="1"/>
  <c r="AI505" i="9" s="1"/>
  <c r="AJ505" i="9"/>
  <c r="AK505" i="9"/>
  <c r="AL505" i="9"/>
  <c r="AM505" i="9"/>
  <c r="AN505" i="9"/>
  <c r="AO505" i="9"/>
  <c r="AP505" i="9"/>
  <c r="AQ505" i="9"/>
  <c r="AG506" i="9"/>
  <c r="AH506" i="9"/>
  <c r="AI506" i="9"/>
  <c r="AJ506" i="9"/>
  <c r="AK506" i="9"/>
  <c r="AL506" i="9"/>
  <c r="AM506" i="9"/>
  <c r="AN506" i="9"/>
  <c r="AO506" i="9"/>
  <c r="AP506" i="9"/>
  <c r="AQ506" i="9"/>
  <c r="AG507" i="9"/>
  <c r="AH507" i="9"/>
  <c r="AI507" i="9"/>
  <c r="AJ507" i="9"/>
  <c r="AK507" i="9"/>
  <c r="AL507" i="9"/>
  <c r="AM507" i="9"/>
  <c r="AN507" i="9"/>
  <c r="AG508" i="9"/>
  <c r="AH508" i="9"/>
  <c r="AI508" i="9"/>
  <c r="AJ508" i="9"/>
  <c r="AK508" i="9"/>
  <c r="AL508" i="9"/>
  <c r="AM508" i="9"/>
  <c r="AN508" i="9"/>
  <c r="AO508" i="9"/>
  <c r="AP508" i="9"/>
  <c r="AQ508" i="9"/>
  <c r="AG509" i="9"/>
  <c r="AH509" i="9"/>
  <c r="AI509" i="9"/>
  <c r="AJ509" i="9"/>
  <c r="AK509" i="9"/>
  <c r="AL509" i="9"/>
  <c r="AM509" i="9"/>
  <c r="AN509" i="9"/>
  <c r="AO509" i="9"/>
  <c r="AP509" i="9"/>
  <c r="AQ509" i="9"/>
  <c r="AG510" i="9"/>
  <c r="AH510" i="9"/>
  <c r="AI510" i="9"/>
  <c r="AJ510" i="9"/>
  <c r="AK510" i="9"/>
  <c r="AL510" i="9"/>
  <c r="AM510" i="9"/>
  <c r="AN510" i="9"/>
  <c r="AO510" i="9"/>
  <c r="AP510" i="9"/>
  <c r="AQ510" i="9"/>
  <c r="AG511" i="9"/>
  <c r="AH511" i="9"/>
  <c r="AI511" i="9"/>
  <c r="AJ511" i="9"/>
  <c r="AK511" i="9"/>
  <c r="AL511" i="9"/>
  <c r="AG512" i="9"/>
  <c r="AH512" i="9"/>
  <c r="AI512" i="9"/>
  <c r="AJ512" i="9"/>
  <c r="AK512" i="9"/>
  <c r="AL512" i="9"/>
  <c r="AN512" i="9" s="1"/>
  <c r="AM512" i="9"/>
  <c r="AO512" i="9"/>
  <c r="AG513" i="9"/>
  <c r="AH513" i="9"/>
  <c r="AI513" i="9"/>
  <c r="AJ513" i="9"/>
  <c r="AK513" i="9"/>
  <c r="AL513" i="9"/>
  <c r="AO513" i="9" s="1"/>
  <c r="AM513" i="9"/>
  <c r="AN513" i="9"/>
  <c r="AG514" i="9"/>
  <c r="AH514" i="9" s="1"/>
  <c r="AI514" i="9" s="1"/>
  <c r="AJ514" i="9"/>
  <c r="AK514" i="9"/>
  <c r="AL514" i="9"/>
  <c r="AM514" i="9"/>
  <c r="AN514" i="9"/>
  <c r="AO514" i="9"/>
  <c r="AP514" i="9"/>
  <c r="AQ514" i="9"/>
  <c r="AG515" i="9"/>
  <c r="AH515" i="9"/>
  <c r="AI515" i="9" s="1"/>
  <c r="AJ515" i="9"/>
  <c r="AK515" i="9"/>
  <c r="AL515" i="9"/>
  <c r="AM515" i="9"/>
  <c r="AN515" i="9"/>
  <c r="AO515" i="9"/>
  <c r="AP515" i="9"/>
  <c r="AQ515" i="9"/>
  <c r="AG516" i="9"/>
  <c r="AH516" i="9"/>
  <c r="AI516" i="9"/>
  <c r="AJ516" i="9"/>
  <c r="AK516" i="9"/>
  <c r="AL516" i="9"/>
  <c r="AM516" i="9" s="1"/>
  <c r="AG517" i="9"/>
  <c r="AH517" i="9"/>
  <c r="AI517" i="9"/>
  <c r="AJ517" i="9"/>
  <c r="AK517" i="9"/>
  <c r="AL517" i="9"/>
  <c r="AM517" i="9"/>
  <c r="AN517" i="9"/>
  <c r="AO517" i="9"/>
  <c r="AP517" i="9"/>
  <c r="AG518" i="9"/>
  <c r="AH518" i="9"/>
  <c r="AI518" i="9"/>
  <c r="AJ518" i="9"/>
  <c r="AK518" i="9"/>
  <c r="AL518" i="9"/>
  <c r="AM518" i="9" s="1"/>
  <c r="AN518" i="9"/>
  <c r="AO518" i="9"/>
  <c r="AP518" i="9"/>
  <c r="AQ518" i="9"/>
  <c r="AG519" i="9"/>
  <c r="AH519" i="9"/>
  <c r="AI519" i="9" s="1"/>
  <c r="AJ519" i="9"/>
  <c r="AK519" i="9"/>
  <c r="AL519" i="9"/>
  <c r="AM519" i="9"/>
  <c r="AN519" i="9"/>
  <c r="AO519" i="9"/>
  <c r="AP519" i="9"/>
  <c r="AQ519" i="9"/>
  <c r="AG520" i="9"/>
  <c r="AH520" i="9"/>
  <c r="AI520" i="9"/>
  <c r="AJ520" i="9"/>
  <c r="AK520" i="9"/>
  <c r="AL520" i="9"/>
  <c r="AM520" i="9"/>
  <c r="AN520" i="9"/>
  <c r="AO520" i="9"/>
  <c r="AP520" i="9"/>
  <c r="AQ520" i="9"/>
  <c r="AG521" i="9"/>
  <c r="AH521" i="9"/>
  <c r="AI521" i="9" s="1"/>
  <c r="AJ521" i="9"/>
  <c r="AK521" i="9"/>
  <c r="AL521" i="9"/>
  <c r="AM521" i="9"/>
  <c r="AN521" i="9"/>
  <c r="AG522" i="9"/>
  <c r="AH522" i="9"/>
  <c r="AI522" i="9"/>
  <c r="AJ522" i="9"/>
  <c r="AK522" i="9"/>
  <c r="AL522" i="9"/>
  <c r="AM522" i="9"/>
  <c r="AN522" i="9"/>
  <c r="AO522" i="9"/>
  <c r="AP522" i="9"/>
  <c r="AQ522" i="9"/>
  <c r="AG523" i="9"/>
  <c r="AH523" i="9"/>
  <c r="AI523" i="9"/>
  <c r="AJ523" i="9"/>
  <c r="AK523" i="9"/>
  <c r="AL523" i="9"/>
  <c r="AM523" i="9"/>
  <c r="AN523" i="9"/>
  <c r="AP523" i="9" s="1"/>
  <c r="AO523" i="9"/>
  <c r="AG524" i="9"/>
  <c r="AH524" i="9"/>
  <c r="AI524" i="9"/>
  <c r="AJ524" i="9"/>
  <c r="AK524" i="9"/>
  <c r="AL524" i="9"/>
  <c r="AM524" i="9"/>
  <c r="AN524" i="9"/>
  <c r="AO524" i="9"/>
  <c r="AP524" i="9"/>
  <c r="AQ524" i="9"/>
  <c r="AG525" i="9"/>
  <c r="AH525" i="9"/>
  <c r="AI525" i="9"/>
  <c r="AJ525" i="9"/>
  <c r="AK525" i="9"/>
  <c r="AL525" i="9"/>
  <c r="AG526" i="9"/>
  <c r="AH526" i="9"/>
  <c r="AI526" i="9"/>
  <c r="AJ526" i="9"/>
  <c r="AK526" i="9"/>
  <c r="AL526" i="9"/>
  <c r="AM526" i="9"/>
  <c r="AG527" i="9"/>
  <c r="AH527" i="9"/>
  <c r="AI527" i="9"/>
  <c r="AJ527" i="9"/>
  <c r="AK527" i="9"/>
  <c r="AL527" i="9"/>
  <c r="AM527" i="9"/>
  <c r="AN527" i="9"/>
  <c r="AO527" i="9"/>
  <c r="AP527" i="9"/>
  <c r="AQ527" i="9"/>
  <c r="AG528" i="9"/>
  <c r="AH528" i="9" s="1"/>
  <c r="AI528" i="9" s="1"/>
  <c r="AJ528" i="9"/>
  <c r="AK528" i="9"/>
  <c r="AL528" i="9"/>
  <c r="AM528" i="9"/>
  <c r="AN528" i="9"/>
  <c r="AO528" i="9"/>
  <c r="AP528" i="9"/>
  <c r="AQ528" i="9"/>
  <c r="AG529" i="9"/>
  <c r="AH529" i="9"/>
  <c r="AI529" i="9"/>
  <c r="AJ529" i="9"/>
  <c r="AK529" i="9"/>
  <c r="AL529" i="9"/>
  <c r="AM529" i="9"/>
  <c r="AN529" i="9"/>
  <c r="AO529" i="9"/>
  <c r="AP529" i="9"/>
  <c r="AQ529" i="9"/>
  <c r="AG530" i="9"/>
  <c r="AH530" i="9"/>
  <c r="AI530" i="9"/>
  <c r="AJ530" i="9"/>
  <c r="AK530" i="9"/>
  <c r="AL530" i="9"/>
  <c r="AM530" i="9"/>
  <c r="AG531" i="9"/>
  <c r="AH531" i="9"/>
  <c r="AI531" i="9"/>
  <c r="AJ531" i="9"/>
  <c r="AK531" i="9"/>
  <c r="AL531" i="9"/>
  <c r="AM531" i="9" s="1"/>
  <c r="AN531" i="9"/>
  <c r="AO531" i="9"/>
  <c r="AP531" i="9"/>
  <c r="AG532" i="9"/>
  <c r="AH532" i="9"/>
  <c r="AI532" i="9"/>
  <c r="AJ532" i="9"/>
  <c r="AK532" i="9"/>
  <c r="AL532" i="9"/>
  <c r="AG533" i="9"/>
  <c r="AH533" i="9"/>
  <c r="AI533" i="9" s="1"/>
  <c r="AJ533" i="9"/>
  <c r="AK533" i="9"/>
  <c r="AL533" i="9"/>
  <c r="AM533" i="9"/>
  <c r="AN533" i="9"/>
  <c r="AO533" i="9"/>
  <c r="AQ533" i="9" s="1"/>
  <c r="AP533" i="9"/>
  <c r="AG534" i="9"/>
  <c r="AH534" i="9"/>
  <c r="AI534" i="9"/>
  <c r="AJ534" i="9"/>
  <c r="AK534" i="9"/>
  <c r="AL534" i="9"/>
  <c r="AM534" i="9"/>
  <c r="AN534" i="9"/>
  <c r="AO534" i="9"/>
  <c r="AP534" i="9"/>
  <c r="AQ534" i="9"/>
  <c r="AG535" i="9"/>
  <c r="AH535" i="9"/>
  <c r="AI535" i="9" s="1"/>
  <c r="AJ535" i="9"/>
  <c r="AK535" i="9"/>
  <c r="AL535" i="9"/>
  <c r="AM535" i="9" s="1"/>
  <c r="AN535" i="9"/>
  <c r="AG536" i="9"/>
  <c r="AH536" i="9"/>
  <c r="AI536" i="9"/>
  <c r="AJ536" i="9"/>
  <c r="AK536" i="9"/>
  <c r="AL536" i="9"/>
  <c r="AO536" i="9" s="1"/>
  <c r="AM536" i="9"/>
  <c r="AN536" i="9"/>
  <c r="AG537" i="9"/>
  <c r="AH537" i="9"/>
  <c r="AI537" i="9"/>
  <c r="AJ537" i="9"/>
  <c r="AK537" i="9"/>
  <c r="AL537" i="9"/>
  <c r="AM537" i="9"/>
  <c r="AN537" i="9"/>
  <c r="AO537" i="9"/>
  <c r="AP537" i="9"/>
  <c r="AQ537" i="9"/>
  <c r="AG538" i="9"/>
  <c r="AH538" i="9" s="1"/>
  <c r="AI538" i="9" s="1"/>
  <c r="AJ538" i="9"/>
  <c r="AK538" i="9"/>
  <c r="AL538" i="9"/>
  <c r="AM538" i="9"/>
  <c r="AN538" i="9"/>
  <c r="AO538" i="9"/>
  <c r="AP538" i="9"/>
  <c r="AQ538" i="9"/>
  <c r="AG539" i="9"/>
  <c r="AH539" i="9"/>
  <c r="AI539" i="9"/>
  <c r="AJ539" i="9"/>
  <c r="AK539" i="9"/>
  <c r="AL539" i="9"/>
  <c r="AG540" i="9"/>
  <c r="AH540" i="9"/>
  <c r="AI540" i="9"/>
  <c r="AJ540" i="9"/>
  <c r="AK540" i="9"/>
  <c r="AL540" i="9"/>
  <c r="AM540" i="9"/>
  <c r="AN540" i="9"/>
  <c r="AO540" i="9"/>
  <c r="AG541" i="9"/>
  <c r="AH541" i="9"/>
  <c r="AI541" i="9"/>
  <c r="AJ541" i="9"/>
  <c r="AK541" i="9"/>
  <c r="AL541" i="9"/>
  <c r="AM541" i="9" s="1"/>
  <c r="AN541" i="9"/>
  <c r="AO541" i="9"/>
  <c r="AP541" i="9"/>
  <c r="AQ541" i="9"/>
  <c r="AG542" i="9"/>
  <c r="AH542" i="9" s="1"/>
  <c r="AI542" i="9" s="1"/>
  <c r="AJ542" i="9"/>
  <c r="AK542" i="9"/>
  <c r="AL542" i="9"/>
  <c r="AM542" i="9"/>
  <c r="AN542" i="9"/>
  <c r="AP542" i="9" s="1"/>
  <c r="AO542" i="9"/>
  <c r="AG543" i="9"/>
  <c r="AH543" i="9"/>
  <c r="AI543" i="9"/>
  <c r="AJ543" i="9"/>
  <c r="AK543" i="9"/>
  <c r="AL543" i="9"/>
  <c r="AM543" i="9"/>
  <c r="AN543" i="9"/>
  <c r="AO543" i="9"/>
  <c r="AP543" i="9"/>
  <c r="AQ543" i="9"/>
  <c r="AG544" i="9"/>
  <c r="AH544" i="9"/>
  <c r="AI544" i="9"/>
  <c r="AJ544" i="9"/>
  <c r="AK544" i="9"/>
  <c r="AL544" i="9"/>
  <c r="AM544" i="9"/>
  <c r="AG545" i="9"/>
  <c r="AH545" i="9"/>
  <c r="AI545" i="9"/>
  <c r="AJ545" i="9"/>
  <c r="AK545" i="9"/>
  <c r="AL545" i="9"/>
  <c r="AG546" i="9"/>
  <c r="AH546" i="9"/>
  <c r="AI546" i="9"/>
  <c r="AJ546" i="9"/>
  <c r="AK546" i="9"/>
  <c r="AL546" i="9"/>
  <c r="AQ546" i="9" s="1"/>
  <c r="AM546" i="9"/>
  <c r="AN546" i="9"/>
  <c r="AO546" i="9"/>
  <c r="AP546" i="9"/>
  <c r="AG547" i="9"/>
  <c r="AH547" i="9"/>
  <c r="AI547" i="9" s="1"/>
  <c r="AJ547" i="9"/>
  <c r="AK547" i="9"/>
  <c r="AL547" i="9"/>
  <c r="AM547" i="9"/>
  <c r="AN547" i="9"/>
  <c r="AO547" i="9"/>
  <c r="AP547" i="9"/>
  <c r="AQ547" i="9"/>
  <c r="AG548" i="9"/>
  <c r="AH548" i="9"/>
  <c r="AI548" i="9"/>
  <c r="AJ548" i="9"/>
  <c r="AK548" i="9"/>
  <c r="AL548" i="9"/>
  <c r="AM548" i="9"/>
  <c r="AN548" i="9"/>
  <c r="AO548" i="9"/>
  <c r="AP548" i="9"/>
  <c r="AQ548" i="9"/>
  <c r="AG549" i="9"/>
  <c r="AH549" i="9"/>
  <c r="AI549" i="9"/>
  <c r="AJ549" i="9"/>
  <c r="AK549" i="9"/>
  <c r="AL549" i="9"/>
  <c r="AG550" i="9"/>
  <c r="AH550" i="9"/>
  <c r="AI550" i="9"/>
  <c r="AJ550" i="9"/>
  <c r="AK550" i="9"/>
  <c r="AL550" i="9"/>
  <c r="AM550" i="9"/>
  <c r="AN550" i="9"/>
  <c r="AO550" i="9"/>
  <c r="AP550" i="9"/>
  <c r="AQ550" i="9"/>
  <c r="AG551" i="9"/>
  <c r="AH551" i="9"/>
  <c r="AI551" i="9"/>
  <c r="AJ551" i="9"/>
  <c r="AK551" i="9"/>
  <c r="AL551" i="9"/>
  <c r="AM551" i="9"/>
  <c r="AN551" i="9"/>
  <c r="AO551" i="9"/>
  <c r="AP551" i="9"/>
  <c r="AQ551" i="9"/>
  <c r="AG552" i="9"/>
  <c r="AH552" i="9"/>
  <c r="AI552" i="9"/>
  <c r="AJ552" i="9"/>
  <c r="AK552" i="9"/>
  <c r="AL552" i="9"/>
  <c r="AM552" i="9"/>
  <c r="AN552" i="9"/>
  <c r="AO552" i="9"/>
  <c r="AP552" i="9"/>
  <c r="AQ552" i="9"/>
  <c r="AG553" i="9"/>
  <c r="AH553" i="9"/>
  <c r="AI553" i="9"/>
  <c r="AJ553" i="9"/>
  <c r="AK553" i="9"/>
  <c r="AL553" i="9"/>
  <c r="AG554" i="9"/>
  <c r="AH554" i="9"/>
  <c r="AI554" i="9" s="1"/>
  <c r="AJ554" i="9"/>
  <c r="AK554" i="9"/>
  <c r="AL554" i="9"/>
  <c r="AM554" i="9"/>
  <c r="AN554" i="9"/>
  <c r="AO554" i="9"/>
  <c r="AG555" i="9"/>
  <c r="AH555" i="9"/>
  <c r="AI555" i="9"/>
  <c r="AJ555" i="9"/>
  <c r="AK555" i="9"/>
  <c r="AL555" i="9"/>
  <c r="AG556" i="9"/>
  <c r="AH556" i="9" s="1"/>
  <c r="AI556" i="9" s="1"/>
  <c r="AJ556" i="9"/>
  <c r="AK556" i="9"/>
  <c r="AL556" i="9"/>
  <c r="AM556" i="9"/>
  <c r="AN556" i="9"/>
  <c r="AO556" i="9"/>
  <c r="AP556" i="9"/>
  <c r="AQ556" i="9"/>
  <c r="AG557" i="9"/>
  <c r="AH557" i="9" s="1"/>
  <c r="AI557" i="9" s="1"/>
  <c r="AJ557" i="9"/>
  <c r="AK557" i="9"/>
  <c r="AL557" i="9"/>
  <c r="AM557" i="9"/>
  <c r="AN557" i="9"/>
  <c r="AO557" i="9"/>
  <c r="AP557" i="9"/>
  <c r="AQ557" i="9"/>
  <c r="AG558" i="9"/>
  <c r="AH558" i="9"/>
  <c r="AI558" i="9"/>
  <c r="AJ558" i="9"/>
  <c r="AK558" i="9"/>
  <c r="AL558" i="9"/>
  <c r="AM558" i="9"/>
  <c r="AG559" i="9"/>
  <c r="AH559" i="9"/>
  <c r="AI559" i="9"/>
  <c r="AJ559" i="9"/>
  <c r="AK559" i="9"/>
  <c r="AL559" i="9"/>
  <c r="AM559" i="9"/>
  <c r="AN559" i="9"/>
  <c r="AO559" i="9"/>
  <c r="AP559" i="9"/>
  <c r="AG560" i="9"/>
  <c r="AH560" i="9"/>
  <c r="AI560" i="9"/>
  <c r="AJ560" i="9"/>
  <c r="AK560" i="9"/>
  <c r="AL560" i="9"/>
  <c r="AM560" i="9"/>
  <c r="AN560" i="9"/>
  <c r="AO560" i="9"/>
  <c r="AP560" i="9"/>
  <c r="AQ560" i="9"/>
  <c r="AG561" i="9"/>
  <c r="AH561" i="9"/>
  <c r="AI561" i="9" s="1"/>
  <c r="AJ561" i="9"/>
  <c r="AK561" i="9"/>
  <c r="AL561" i="9"/>
  <c r="AM561" i="9"/>
  <c r="AN561" i="9"/>
  <c r="AO561" i="9"/>
  <c r="AP561" i="9"/>
  <c r="AQ561" i="9"/>
  <c r="AG562" i="9"/>
  <c r="AH562" i="9"/>
  <c r="AI562" i="9"/>
  <c r="AJ562" i="9"/>
  <c r="AK562" i="9"/>
  <c r="AL562" i="9"/>
  <c r="AM562" i="9"/>
  <c r="AN562" i="9"/>
  <c r="AO562" i="9"/>
  <c r="AP562" i="9"/>
  <c r="AQ562" i="9"/>
  <c r="AG563" i="9"/>
  <c r="AH563" i="9"/>
  <c r="AI563" i="9"/>
  <c r="AJ563" i="9"/>
  <c r="AK563" i="9"/>
  <c r="AL563" i="9"/>
  <c r="AM563" i="9"/>
  <c r="AN563" i="9"/>
  <c r="AG564" i="9"/>
  <c r="AH564" i="9"/>
  <c r="AI564" i="9"/>
  <c r="AJ564" i="9"/>
  <c r="AK564" i="9"/>
  <c r="AL564" i="9"/>
  <c r="AM564" i="9" s="1"/>
  <c r="AN564" i="9"/>
  <c r="AO564" i="9"/>
  <c r="AP564" i="9"/>
  <c r="AQ564" i="9"/>
  <c r="AG565" i="9"/>
  <c r="AH565" i="9"/>
  <c r="AI565" i="9"/>
  <c r="AJ565" i="9"/>
  <c r="AK565" i="9"/>
  <c r="AL565" i="9"/>
  <c r="AM565" i="9"/>
  <c r="AN565" i="9"/>
  <c r="AO565" i="9"/>
  <c r="AP565" i="9" s="1"/>
  <c r="AQ565" i="9"/>
  <c r="AG566" i="9"/>
  <c r="AH566" i="9"/>
  <c r="AI566" i="9"/>
  <c r="AJ566" i="9"/>
  <c r="AK566" i="9"/>
  <c r="AL566" i="9"/>
  <c r="AM566" i="9"/>
  <c r="AN566" i="9"/>
  <c r="AO566" i="9"/>
  <c r="AP566" i="9"/>
  <c r="AQ566" i="9"/>
  <c r="AG567" i="9"/>
  <c r="AH567" i="9" s="1"/>
  <c r="AI567" i="9" s="1"/>
  <c r="AJ567" i="9"/>
  <c r="AK567" i="9"/>
  <c r="AL567" i="9"/>
  <c r="AG568" i="9"/>
  <c r="AH568" i="9"/>
  <c r="AI568" i="9"/>
  <c r="AJ568" i="9"/>
  <c r="AK568" i="9"/>
  <c r="AL568" i="9"/>
  <c r="AM568" i="9" s="1"/>
  <c r="AG569" i="9"/>
  <c r="AH569" i="9"/>
  <c r="AI569" i="9"/>
  <c r="AJ569" i="9"/>
  <c r="AK569" i="9"/>
  <c r="AL569" i="9"/>
  <c r="AQ569" i="9" s="1"/>
  <c r="AM569" i="9"/>
  <c r="AN569" i="9"/>
  <c r="AO569" i="9"/>
  <c r="AP569" i="9"/>
  <c r="AG570" i="9"/>
  <c r="AH570" i="9" s="1"/>
  <c r="AI570" i="9" s="1"/>
  <c r="AJ570" i="9"/>
  <c r="AK570" i="9"/>
  <c r="AL570" i="9"/>
  <c r="AM570" i="9"/>
  <c r="AN570" i="9"/>
  <c r="AO570" i="9"/>
  <c r="AP570" i="9"/>
  <c r="AQ570" i="9"/>
  <c r="AG571" i="9"/>
  <c r="AH571" i="9"/>
  <c r="AI571" i="9"/>
  <c r="AJ571" i="9"/>
  <c r="AK571" i="9"/>
  <c r="AL571" i="9"/>
  <c r="AM571" i="9"/>
  <c r="AN571" i="9"/>
  <c r="AO571" i="9"/>
  <c r="AP571" i="9"/>
  <c r="AQ571" i="9"/>
  <c r="AG572" i="9"/>
  <c r="AH572" i="9"/>
  <c r="AI572" i="9"/>
  <c r="AJ572" i="9"/>
  <c r="AK572" i="9"/>
  <c r="AL572" i="9"/>
  <c r="AM572" i="9"/>
  <c r="AG573" i="9"/>
  <c r="AH573" i="9"/>
  <c r="AI573" i="9"/>
  <c r="AJ573" i="9"/>
  <c r="AK573" i="9"/>
  <c r="AL573" i="9"/>
  <c r="AM573" i="9"/>
  <c r="AN573" i="9"/>
  <c r="AO573" i="9"/>
  <c r="AP573" i="9"/>
  <c r="AG574" i="9"/>
  <c r="AH574" i="9"/>
  <c r="AI574" i="9"/>
  <c r="AJ574" i="9"/>
  <c r="AK574" i="9"/>
  <c r="AL574" i="9"/>
  <c r="AM574" i="9"/>
  <c r="AN574" i="9"/>
  <c r="AO574" i="9"/>
  <c r="AP574" i="9"/>
  <c r="AQ574" i="9"/>
  <c r="AG575" i="9"/>
  <c r="AH575" i="9"/>
  <c r="AI575" i="9" s="1"/>
  <c r="AJ575" i="9"/>
  <c r="AK575" i="9"/>
  <c r="AL575" i="9"/>
  <c r="AM575" i="9"/>
  <c r="AN575" i="9"/>
  <c r="AO575" i="9"/>
  <c r="AP575" i="9" s="1"/>
  <c r="AG576" i="9"/>
  <c r="AH576" i="9" s="1"/>
  <c r="AI576" i="9" s="1"/>
  <c r="AJ576" i="9"/>
  <c r="AK576" i="9"/>
  <c r="AL576" i="9"/>
  <c r="AM576" i="9"/>
  <c r="AN576" i="9"/>
  <c r="AO576" i="9"/>
  <c r="AP576" i="9"/>
  <c r="AQ576" i="9"/>
  <c r="AG577" i="9"/>
  <c r="AH577" i="9" s="1"/>
  <c r="AI577" i="9" s="1"/>
  <c r="AJ577" i="9"/>
  <c r="AK577" i="9"/>
  <c r="AL577" i="9"/>
  <c r="AM577" i="9"/>
  <c r="AN577" i="9"/>
  <c r="AG578" i="9"/>
  <c r="AH578" i="9"/>
  <c r="AI578" i="9"/>
  <c r="AJ578" i="9"/>
  <c r="AK578" i="9"/>
  <c r="AL578" i="9"/>
  <c r="AG579" i="9"/>
  <c r="AH579" i="9"/>
  <c r="AI579" i="9"/>
  <c r="AJ579" i="9"/>
  <c r="AK579" i="9"/>
  <c r="AL579" i="9"/>
  <c r="AM579" i="9"/>
  <c r="AN579" i="9"/>
  <c r="AO579" i="9"/>
  <c r="AG580" i="9"/>
  <c r="AH580" i="9"/>
  <c r="AI580" i="9" s="1"/>
  <c r="AJ580" i="9"/>
  <c r="AK580" i="9"/>
  <c r="AL580" i="9"/>
  <c r="AM580" i="9"/>
  <c r="AN580" i="9"/>
  <c r="AO580" i="9"/>
  <c r="AP580" i="9"/>
  <c r="AQ580" i="9"/>
  <c r="AG581" i="9"/>
  <c r="AH581" i="9" s="1"/>
  <c r="AI581" i="9" s="1"/>
  <c r="AJ581" i="9"/>
  <c r="AK581" i="9"/>
  <c r="AL581" i="9"/>
  <c r="AG582" i="9"/>
  <c r="AH582" i="9"/>
  <c r="AI582" i="9"/>
  <c r="AJ582" i="9"/>
  <c r="AK582" i="9"/>
  <c r="AL582" i="9"/>
  <c r="AM582" i="9"/>
  <c r="AN582" i="9"/>
  <c r="AO582" i="9"/>
  <c r="AG583" i="9"/>
  <c r="AH583" i="9"/>
  <c r="AI583" i="9"/>
  <c r="AJ583" i="9"/>
  <c r="AK583" i="9"/>
  <c r="AL583" i="9"/>
  <c r="AM583" i="9"/>
  <c r="AN583" i="9"/>
  <c r="AO583" i="9"/>
  <c r="AP583" i="9"/>
  <c r="AQ583" i="9"/>
  <c r="AG584" i="9"/>
  <c r="AH584" i="9" s="1"/>
  <c r="AI584" i="9" s="1"/>
  <c r="AJ584" i="9"/>
  <c r="AK584" i="9"/>
  <c r="AL584" i="9"/>
  <c r="AM584" i="9"/>
  <c r="AN584" i="9"/>
  <c r="AO584" i="9"/>
  <c r="AP584" i="9" s="1"/>
  <c r="AQ584" i="9"/>
  <c r="AG585" i="9"/>
  <c r="AH585" i="9"/>
  <c r="AI585" i="9"/>
  <c r="AJ585" i="9"/>
  <c r="AK585" i="9"/>
  <c r="AL585" i="9"/>
  <c r="AM585" i="9"/>
  <c r="AN585" i="9"/>
  <c r="AO585" i="9"/>
  <c r="AP585" i="9"/>
  <c r="AQ585" i="9"/>
  <c r="AG586" i="9"/>
  <c r="AH586" i="9" s="1"/>
  <c r="AI586" i="9" s="1"/>
  <c r="AJ586" i="9"/>
  <c r="AK586" i="9"/>
  <c r="AL586" i="9"/>
  <c r="AM586" i="9"/>
  <c r="AG587" i="9"/>
  <c r="AH587" i="9"/>
  <c r="AI587" i="9"/>
  <c r="AJ587" i="9"/>
  <c r="AK587" i="9"/>
  <c r="AL587" i="9"/>
  <c r="AM587" i="9"/>
  <c r="AN587" i="9"/>
  <c r="AO587" i="9"/>
  <c r="AP587" i="9"/>
  <c r="AG588" i="9"/>
  <c r="AH588" i="9"/>
  <c r="AI588" i="9"/>
  <c r="AJ588" i="9"/>
  <c r="AK588" i="9"/>
  <c r="AL588" i="9"/>
  <c r="AO588" i="9" s="1"/>
  <c r="AM588" i="9"/>
  <c r="AN588" i="9"/>
  <c r="AG589" i="9"/>
  <c r="AH589" i="9" s="1"/>
  <c r="AI589" i="9" s="1"/>
  <c r="AJ589" i="9"/>
  <c r="AK589" i="9"/>
  <c r="AL589" i="9"/>
  <c r="AM589" i="9"/>
  <c r="AN589" i="9"/>
  <c r="AO589" i="9"/>
  <c r="AP589" i="9"/>
  <c r="AQ589" i="9"/>
  <c r="AG590" i="9"/>
  <c r="AH590" i="9" s="1"/>
  <c r="AI590" i="9" s="1"/>
  <c r="AJ590" i="9"/>
  <c r="AK590" i="9"/>
  <c r="AL590" i="9"/>
  <c r="AM590" i="9"/>
  <c r="AN590" i="9"/>
  <c r="AO590" i="9"/>
  <c r="AP590" i="9"/>
  <c r="AQ590" i="9"/>
  <c r="AG591" i="9"/>
  <c r="AH591" i="9"/>
  <c r="AI591" i="9"/>
  <c r="AJ591" i="9"/>
  <c r="AK591" i="9"/>
  <c r="AL591" i="9"/>
  <c r="AM591" i="9"/>
  <c r="AN591" i="9"/>
  <c r="AG592" i="9"/>
  <c r="AH592" i="9"/>
  <c r="AI592" i="9"/>
  <c r="AJ592" i="9"/>
  <c r="AK592" i="9"/>
  <c r="AL592" i="9"/>
  <c r="AQ592" i="9" s="1"/>
  <c r="AM592" i="9"/>
  <c r="AN592" i="9"/>
  <c r="AO592" i="9"/>
  <c r="AP592" i="9"/>
  <c r="AG593" i="9"/>
  <c r="AH593" i="9"/>
  <c r="AI593" i="9"/>
  <c r="AJ593" i="9"/>
  <c r="AK593" i="9"/>
  <c r="AL593" i="9"/>
  <c r="AM593" i="9"/>
  <c r="AN593" i="9"/>
  <c r="AO593" i="9"/>
  <c r="AP593" i="9"/>
  <c r="AQ593" i="9"/>
  <c r="AG594" i="9"/>
  <c r="AH594" i="9"/>
  <c r="AI594" i="9" s="1"/>
  <c r="AJ594" i="9"/>
  <c r="AK594" i="9"/>
  <c r="AL594" i="9"/>
  <c r="AM594" i="9"/>
  <c r="AN594" i="9"/>
  <c r="AO594" i="9"/>
  <c r="AP594" i="9"/>
  <c r="AQ594" i="9"/>
  <c r="J3" i="55"/>
  <c r="J4" i="55"/>
  <c r="J5" i="55"/>
  <c r="J6" i="55"/>
  <c r="J7" i="55"/>
  <c r="J8" i="55"/>
  <c r="J9" i="55"/>
  <c r="J10" i="55"/>
  <c r="J11" i="55"/>
  <c r="J12" i="55"/>
  <c r="J13" i="55"/>
  <c r="J14" i="55"/>
  <c r="J15" i="55"/>
  <c r="J16" i="55"/>
  <c r="J17" i="55"/>
  <c r="J18" i="55"/>
  <c r="J19" i="55"/>
  <c r="J20" i="55"/>
  <c r="J21" i="55"/>
  <c r="J22" i="55"/>
  <c r="J23" i="55"/>
  <c r="J24" i="55"/>
  <c r="J25" i="55"/>
  <c r="J26" i="55"/>
  <c r="J27" i="55"/>
  <c r="J28" i="55"/>
  <c r="J29" i="55"/>
  <c r="J30" i="55"/>
  <c r="J31" i="55"/>
  <c r="J32" i="55"/>
  <c r="J33" i="55"/>
  <c r="J34" i="55"/>
  <c r="J35" i="55"/>
  <c r="J36" i="55"/>
  <c r="J37" i="55"/>
  <c r="J38" i="55"/>
  <c r="J39" i="55"/>
  <c r="J40" i="55"/>
  <c r="J41" i="55"/>
  <c r="J42" i="55"/>
  <c r="J43" i="55"/>
  <c r="J44" i="55"/>
  <c r="J45" i="55"/>
  <c r="J46" i="55"/>
  <c r="J47" i="55"/>
  <c r="J48" i="55"/>
  <c r="J49" i="55"/>
  <c r="J50" i="55"/>
  <c r="J51" i="55"/>
  <c r="J52" i="55"/>
  <c r="J53" i="55"/>
  <c r="J54" i="55"/>
  <c r="J55" i="55"/>
  <c r="J56" i="55"/>
  <c r="J57" i="55"/>
  <c r="J58" i="55"/>
  <c r="J59" i="55"/>
  <c r="BY2" i="60"/>
  <c r="BZ2" i="60" s="1"/>
  <c r="BY3" i="60"/>
  <c r="BZ3" i="60" s="1"/>
  <c r="BY4" i="60"/>
  <c r="BZ4" i="60" s="1"/>
  <c r="BY5" i="60"/>
  <c r="BZ5" i="60" s="1"/>
  <c r="BY6" i="60"/>
  <c r="BZ6" i="60" s="1"/>
  <c r="BY7" i="60"/>
  <c r="BZ7" i="60" s="1"/>
  <c r="BY8" i="60"/>
  <c r="BZ8" i="60" s="1"/>
  <c r="BY9" i="60"/>
  <c r="BZ9" i="60" s="1"/>
  <c r="BY10" i="60"/>
  <c r="BZ10" i="60" s="1"/>
  <c r="BY11" i="60"/>
  <c r="BZ11" i="60" s="1"/>
  <c r="BY12" i="60"/>
  <c r="BZ12" i="60" s="1"/>
  <c r="BY13" i="60"/>
  <c r="BZ13" i="60" s="1"/>
  <c r="BY14" i="60"/>
  <c r="BZ14" i="60" s="1"/>
  <c r="BY15" i="60"/>
  <c r="BZ15" i="60" s="1"/>
  <c r="BY16" i="60"/>
  <c r="BZ16" i="60" s="1"/>
  <c r="BY17" i="60"/>
  <c r="BZ17" i="60" s="1"/>
  <c r="BY18" i="60"/>
  <c r="BZ18" i="60" s="1"/>
  <c r="BY19" i="60"/>
  <c r="BZ19" i="60" s="1"/>
  <c r="BY20" i="60"/>
  <c r="BZ20" i="60" s="1"/>
  <c r="BY21" i="60"/>
  <c r="BZ21" i="60" s="1"/>
  <c r="BY22" i="60"/>
  <c r="BZ22" i="60" s="1"/>
  <c r="BY23" i="60"/>
  <c r="BZ23" i="60" s="1"/>
  <c r="BY24" i="60"/>
  <c r="BZ24" i="60" s="1"/>
  <c r="BY25" i="60"/>
  <c r="BZ25" i="60" s="1"/>
  <c r="BY26" i="60"/>
  <c r="BZ26" i="60" s="1"/>
  <c r="BY27" i="60"/>
  <c r="BZ27" i="60" s="1"/>
  <c r="BY28" i="60"/>
  <c r="BZ28" i="60" s="1"/>
  <c r="BY29" i="60"/>
  <c r="BY30" i="60"/>
  <c r="BZ30" i="60" s="1"/>
  <c r="BY31" i="60"/>
  <c r="BZ31" i="60" s="1"/>
  <c r="BY32" i="60"/>
  <c r="BY33" i="60"/>
  <c r="BY34" i="60"/>
  <c r="BZ34" i="60" s="1"/>
  <c r="BY35" i="60"/>
  <c r="BZ35" i="60" s="1"/>
  <c r="BY36" i="60"/>
  <c r="BZ36" i="60" s="1"/>
  <c r="BY37" i="60"/>
  <c r="BZ37" i="60" s="1"/>
  <c r="BY38" i="60"/>
  <c r="BZ38" i="60" s="1"/>
  <c r="BY39" i="60"/>
  <c r="BZ39" i="60" s="1"/>
  <c r="BY40" i="60"/>
  <c r="BZ40" i="60" s="1"/>
  <c r="BY41" i="60"/>
  <c r="BZ41" i="60" s="1"/>
  <c r="BY42" i="60"/>
  <c r="BZ42" i="60" s="1"/>
  <c r="BY43" i="60"/>
  <c r="BZ43" i="60" s="1"/>
  <c r="BY44" i="60"/>
  <c r="BZ44" i="60" s="1"/>
  <c r="BY45" i="60"/>
  <c r="BZ45" i="60" s="1"/>
  <c r="BY46" i="60"/>
  <c r="BY47" i="60"/>
  <c r="BZ47" i="60" s="1"/>
  <c r="BY48" i="60"/>
  <c r="BZ48" i="60" s="1"/>
  <c r="BY49" i="60"/>
  <c r="BY50" i="60"/>
  <c r="BY51" i="60"/>
  <c r="BZ51" i="60" s="1"/>
  <c r="BY52" i="60"/>
  <c r="BZ52" i="60" s="1"/>
  <c r="BY53" i="60"/>
  <c r="BZ53" i="60" s="1"/>
  <c r="BY54" i="60"/>
  <c r="BZ54" i="60" s="1"/>
  <c r="BY55" i="60"/>
  <c r="BY56" i="60"/>
  <c r="BZ56" i="60" s="1"/>
  <c r="BY57" i="60"/>
  <c r="BY58" i="60"/>
  <c r="BZ58" i="60" s="1"/>
  <c r="BY59" i="60"/>
  <c r="BZ59" i="60" s="1"/>
  <c r="BY60" i="60"/>
  <c r="BZ60" i="60" s="1"/>
  <c r="BY61" i="60"/>
  <c r="BZ61" i="60" s="1"/>
  <c r="BY62" i="60"/>
  <c r="BZ62" i="60" s="1"/>
  <c r="BY63" i="60"/>
  <c r="BZ63" i="60" s="1"/>
  <c r="BY64" i="60"/>
  <c r="BZ64" i="60" s="1"/>
  <c r="BY65" i="60"/>
  <c r="BZ65" i="60" s="1"/>
  <c r="BY66" i="60"/>
  <c r="BZ66" i="60" s="1"/>
  <c r="BY67" i="60"/>
  <c r="BZ67" i="60" s="1"/>
  <c r="BY68" i="60"/>
  <c r="BZ68" i="60" s="1"/>
  <c r="BY69" i="60"/>
  <c r="BZ69" i="60" s="1"/>
  <c r="BY70" i="60"/>
  <c r="BZ70" i="60" s="1"/>
  <c r="BY71" i="60"/>
  <c r="BZ71" i="60" s="1"/>
  <c r="BY72" i="60"/>
  <c r="BZ72" i="60" s="1"/>
  <c r="BY73" i="60"/>
  <c r="BZ73" i="60" s="1"/>
  <c r="BY74" i="60"/>
  <c r="BZ74" i="60" s="1"/>
  <c r="BY75" i="60"/>
  <c r="BZ75" i="60" s="1"/>
  <c r="BY76" i="60"/>
  <c r="BZ76" i="60" s="1"/>
  <c r="BY77" i="60"/>
  <c r="BZ77" i="60" s="1"/>
  <c r="BY78" i="60"/>
  <c r="BZ78" i="60" s="1"/>
  <c r="BY79" i="60"/>
  <c r="BZ79" i="60" s="1"/>
  <c r="BY80" i="60"/>
  <c r="BZ80" i="60" s="1"/>
  <c r="BY81" i="60"/>
  <c r="BZ81" i="60" s="1"/>
  <c r="BY82" i="60"/>
  <c r="BZ82" i="60" s="1"/>
  <c r="BY83" i="60"/>
  <c r="BY84" i="60"/>
  <c r="BZ84" i="60" s="1"/>
  <c r="BY85" i="60"/>
  <c r="BZ85" i="60" s="1"/>
  <c r="BY86" i="60"/>
  <c r="BZ86" i="60" s="1"/>
  <c r="BY87" i="60"/>
  <c r="BZ87" i="60" s="1"/>
  <c r="BY88" i="60"/>
  <c r="BZ88" i="60" s="1"/>
  <c r="BY89" i="60"/>
  <c r="BZ89" i="60" s="1"/>
  <c r="BY90" i="60"/>
  <c r="BZ90" i="60" s="1"/>
  <c r="BY91" i="60"/>
  <c r="BZ91" i="60" s="1"/>
  <c r="BY92" i="60"/>
  <c r="BZ92" i="60" s="1"/>
  <c r="BY93" i="60"/>
  <c r="BZ93" i="60" s="1"/>
  <c r="BY94" i="60"/>
  <c r="BZ94" i="60" s="1"/>
  <c r="BY95" i="60"/>
  <c r="BZ95" i="60" s="1"/>
  <c r="BY96" i="60"/>
  <c r="BZ96" i="60" s="1"/>
  <c r="BY97" i="60"/>
  <c r="BZ97" i="60" s="1"/>
  <c r="BY98" i="60"/>
  <c r="BZ98" i="60" s="1"/>
  <c r="BY99" i="60"/>
  <c r="BZ99" i="60" s="1"/>
  <c r="BY100" i="60"/>
  <c r="BZ100" i="60" s="1"/>
  <c r="BY101" i="60"/>
  <c r="BZ101" i="60" s="1"/>
  <c r="BY102" i="60"/>
  <c r="BZ102" i="60" s="1"/>
  <c r="BY103" i="60"/>
  <c r="BZ103" i="60" s="1"/>
  <c r="BY104" i="60"/>
  <c r="BZ104" i="60" s="1"/>
  <c r="BY105" i="60"/>
  <c r="BZ105" i="60" s="1"/>
  <c r="BY106" i="60"/>
  <c r="BZ106" i="60" s="1"/>
  <c r="BY107" i="60"/>
  <c r="BZ107" i="60" s="1"/>
  <c r="BY108" i="60"/>
  <c r="BZ108" i="60" s="1"/>
  <c r="BY109" i="60"/>
  <c r="BZ109" i="60" s="1"/>
  <c r="BY110" i="60"/>
  <c r="BZ110" i="60" s="1"/>
  <c r="BY111" i="60"/>
  <c r="BZ111" i="60" s="1"/>
  <c r="BY112" i="60"/>
  <c r="BZ112" i="60" s="1"/>
  <c r="BY113" i="60"/>
  <c r="BZ113" i="60" s="1"/>
  <c r="BY114" i="60"/>
  <c r="BZ114" i="60" s="1"/>
  <c r="BY115" i="60"/>
  <c r="BZ115" i="60" s="1"/>
  <c r="BY116" i="60"/>
  <c r="BY117" i="60"/>
  <c r="BZ117" i="60" s="1"/>
  <c r="BY118" i="60"/>
  <c r="BZ118" i="60" s="1"/>
  <c r="BY119" i="60"/>
  <c r="BZ119" i="60" s="1"/>
  <c r="BY120" i="60"/>
  <c r="BZ120" i="60" s="1"/>
  <c r="BY121" i="60"/>
  <c r="BZ121" i="60" s="1"/>
  <c r="BY122" i="60"/>
  <c r="BZ122" i="60" s="1"/>
  <c r="BY123" i="60"/>
  <c r="BZ123" i="60" s="1"/>
  <c r="BY124" i="60"/>
  <c r="BZ124" i="60" s="1"/>
  <c r="BY125" i="60"/>
  <c r="BZ125" i="60" s="1"/>
  <c r="BY126" i="60"/>
  <c r="BZ126" i="60" s="1"/>
  <c r="BY127" i="60"/>
  <c r="BZ127" i="60" s="1"/>
  <c r="BY128" i="60"/>
  <c r="BZ128" i="60" s="1"/>
  <c r="BY129" i="60"/>
  <c r="BZ129" i="60" s="1"/>
  <c r="BY130" i="60"/>
  <c r="BY131" i="60"/>
  <c r="BZ131" i="60" s="1"/>
  <c r="BY132" i="60"/>
  <c r="BZ132" i="60" s="1"/>
  <c r="BY133" i="60"/>
  <c r="BZ133" i="60" s="1"/>
  <c r="BY134" i="60"/>
  <c r="BZ134" i="60" s="1"/>
  <c r="BY135" i="60"/>
  <c r="BZ135" i="60" s="1"/>
  <c r="BY136" i="60"/>
  <c r="BZ136" i="60" s="1"/>
  <c r="BY137" i="60"/>
  <c r="BZ137" i="60" s="1"/>
  <c r="BY138" i="60"/>
  <c r="BZ138" i="60" s="1"/>
  <c r="BY139" i="60"/>
  <c r="BY140" i="60"/>
  <c r="BZ140" i="60" s="1"/>
  <c r="BY141" i="60"/>
  <c r="BZ141" i="60" s="1"/>
  <c r="BY142" i="60"/>
  <c r="BZ142" i="60" s="1"/>
  <c r="BY143" i="60"/>
  <c r="BZ143" i="60" s="1"/>
  <c r="BY144" i="60"/>
  <c r="BZ144" i="60" s="1"/>
  <c r="BY145" i="60"/>
  <c r="BZ145" i="60" s="1"/>
  <c r="BY146" i="60"/>
  <c r="BZ146" i="60" s="1"/>
  <c r="BY147" i="60"/>
  <c r="BY148" i="60"/>
  <c r="BZ148" i="60" s="1"/>
  <c r="BY149" i="60"/>
  <c r="BZ149" i="60" s="1"/>
  <c r="BY150" i="60"/>
  <c r="BZ150" i="60" s="1"/>
  <c r="BY151" i="60"/>
  <c r="BZ151" i="60" s="1"/>
  <c r="BY152" i="60"/>
  <c r="BZ152" i="60" s="1"/>
  <c r="BY153" i="60"/>
  <c r="BZ153" i="60" s="1"/>
  <c r="BY154" i="60"/>
  <c r="BZ154" i="60" s="1"/>
  <c r="BY155" i="60"/>
  <c r="BZ155" i="60" s="1"/>
  <c r="BY156" i="60"/>
  <c r="BZ156" i="60" s="1"/>
  <c r="BY157" i="60"/>
  <c r="BZ157" i="60" s="1"/>
  <c r="BY158" i="60"/>
  <c r="BY159" i="60"/>
  <c r="BZ159" i="60" s="1"/>
  <c r="BY160" i="60"/>
  <c r="BY161" i="60"/>
  <c r="BZ161" i="60" s="1"/>
  <c r="BY162" i="60"/>
  <c r="BZ162" i="60" s="1"/>
  <c r="BY163" i="60"/>
  <c r="BZ163" i="60" s="1"/>
  <c r="BY164" i="60"/>
  <c r="BZ164" i="60" s="1"/>
  <c r="BY165" i="60"/>
  <c r="BZ165" i="60" s="1"/>
  <c r="BY166" i="60"/>
  <c r="BZ166" i="60" s="1"/>
  <c r="BY167" i="60"/>
  <c r="BZ167" i="60" s="1"/>
  <c r="BY168" i="60"/>
  <c r="BZ168" i="60" s="1"/>
  <c r="BY169" i="60"/>
  <c r="BZ169" i="60" s="1"/>
  <c r="BY170" i="60"/>
  <c r="BZ170" i="60" s="1"/>
  <c r="BY171" i="60"/>
  <c r="BZ171" i="60" s="1"/>
  <c r="BY172" i="60"/>
  <c r="BZ172" i="60" s="1"/>
  <c r="BY173" i="60"/>
  <c r="BZ173" i="60" s="1"/>
  <c r="BY174" i="60"/>
  <c r="BZ174" i="60" s="1"/>
  <c r="BY175" i="60"/>
  <c r="BZ175" i="60" s="1"/>
  <c r="BY176" i="60"/>
  <c r="BZ176" i="60" s="1"/>
  <c r="BY177" i="60"/>
  <c r="BZ177" i="60" s="1"/>
  <c r="BY178" i="60"/>
  <c r="BZ178" i="60" s="1"/>
  <c r="BY179" i="60"/>
  <c r="BZ179" i="60" s="1"/>
  <c r="BY180" i="60"/>
  <c r="BZ180" i="60" s="1"/>
  <c r="BY181" i="60"/>
  <c r="BZ181" i="60" s="1"/>
  <c r="BY182" i="60"/>
  <c r="BZ182" i="60" s="1"/>
  <c r="BY183" i="60"/>
  <c r="BZ183" i="60" s="1"/>
  <c r="BY184" i="60"/>
  <c r="BZ184" i="60" s="1"/>
  <c r="BY185" i="60"/>
  <c r="BZ185" i="60" s="1"/>
  <c r="BY186" i="60"/>
  <c r="BZ186" i="60" s="1"/>
  <c r="BY187" i="60"/>
  <c r="BZ187" i="60" s="1"/>
  <c r="BY188" i="60"/>
  <c r="BZ188" i="60" s="1"/>
  <c r="BY189" i="60"/>
  <c r="BZ189" i="60" s="1"/>
  <c r="BY190" i="60"/>
  <c r="BZ190" i="60" s="1"/>
  <c r="BY191" i="60"/>
  <c r="BZ191" i="60" s="1"/>
  <c r="BY192" i="60"/>
  <c r="BZ192" i="60" s="1"/>
  <c r="BY193" i="60"/>
  <c r="BZ193" i="60" s="1"/>
  <c r="BY194" i="60"/>
  <c r="BZ194" i="60" s="1"/>
  <c r="BY195" i="60"/>
  <c r="BZ195" i="60" s="1"/>
  <c r="BY196" i="60"/>
  <c r="BZ196" i="60" s="1"/>
  <c r="BY197" i="60"/>
  <c r="BZ197" i="60" s="1"/>
  <c r="BY198" i="60"/>
  <c r="BZ198" i="60" s="1"/>
  <c r="BY199" i="60"/>
  <c r="BZ199" i="60" s="1"/>
  <c r="BY200" i="60"/>
  <c r="BZ200" i="60" s="1"/>
  <c r="BY201" i="60"/>
  <c r="BZ201" i="60" s="1"/>
  <c r="BY202" i="60"/>
  <c r="BZ202" i="60" s="1"/>
  <c r="BY203" i="60"/>
  <c r="BZ203" i="60" s="1"/>
  <c r="BY204" i="60"/>
  <c r="BZ204" i="60" s="1"/>
  <c r="BY205" i="60"/>
  <c r="BZ205" i="60" s="1"/>
  <c r="BY206" i="60"/>
  <c r="BZ206" i="60" s="1"/>
  <c r="BY207" i="60"/>
  <c r="BZ207" i="60" s="1"/>
  <c r="BY208" i="60"/>
  <c r="BZ208" i="60" s="1"/>
  <c r="BY209" i="60"/>
  <c r="BZ209" i="60" s="1"/>
  <c r="BY210" i="60"/>
  <c r="BZ210" i="60" s="1"/>
  <c r="BY211" i="60"/>
  <c r="BZ211" i="60" s="1"/>
  <c r="BY212" i="60"/>
  <c r="BZ212" i="60" s="1"/>
  <c r="BY213" i="60"/>
  <c r="BZ213" i="60" s="1"/>
  <c r="BY214" i="60"/>
  <c r="BZ214" i="60" s="1"/>
  <c r="BY215" i="60"/>
  <c r="BZ215" i="60" s="1"/>
  <c r="BY216" i="60"/>
  <c r="BZ216" i="60" s="1"/>
  <c r="BY217" i="60"/>
  <c r="BZ217" i="60" s="1"/>
  <c r="BY218" i="60"/>
  <c r="BZ218" i="60" s="1"/>
  <c r="BY219" i="60"/>
  <c r="BZ219" i="60" s="1"/>
  <c r="BY220" i="60"/>
  <c r="BZ220" i="60" s="1"/>
  <c r="BY221" i="60"/>
  <c r="BZ221" i="60" s="1"/>
  <c r="BY222" i="60"/>
  <c r="BZ222" i="60" s="1"/>
  <c r="BY223" i="60"/>
  <c r="BZ223" i="60" s="1"/>
  <c r="BY224" i="60"/>
  <c r="BZ224" i="60" s="1"/>
  <c r="BY225" i="60"/>
  <c r="BZ225" i="60" s="1"/>
  <c r="BY226" i="60"/>
  <c r="BZ226" i="60" s="1"/>
  <c r="BY227" i="60"/>
  <c r="BZ227" i="60" s="1"/>
  <c r="BY228" i="60"/>
  <c r="BZ228" i="60" s="1"/>
  <c r="BY229" i="60"/>
  <c r="BZ229" i="60" s="1"/>
  <c r="BY230" i="60"/>
  <c r="BZ230" i="60" s="1"/>
  <c r="BY231" i="60"/>
  <c r="BZ231" i="60" s="1"/>
  <c r="BY232" i="60"/>
  <c r="BZ232" i="60" s="1"/>
  <c r="BY233" i="60"/>
  <c r="BZ233" i="60" s="1"/>
  <c r="BY234" i="60"/>
  <c r="BZ234" i="60" s="1"/>
  <c r="BY235" i="60"/>
  <c r="BZ235" i="60" s="1"/>
  <c r="BY236" i="60"/>
  <c r="BZ236" i="60" s="1"/>
  <c r="BY237" i="60"/>
  <c r="BZ237" i="60" s="1"/>
  <c r="BY238" i="60"/>
  <c r="BZ238" i="60" s="1"/>
  <c r="BY239" i="60"/>
  <c r="BZ239" i="60" s="1"/>
  <c r="BY240" i="60"/>
  <c r="BZ240" i="60" s="1"/>
  <c r="BY241" i="60"/>
  <c r="BZ241" i="60" s="1"/>
  <c r="BY242" i="60"/>
  <c r="BZ242" i="60" s="1"/>
  <c r="BY243" i="60"/>
  <c r="BZ243" i="60" s="1"/>
  <c r="BY244" i="60"/>
  <c r="BZ244" i="60" s="1"/>
  <c r="BY245" i="60"/>
  <c r="BZ245" i="60" s="1"/>
  <c r="BY246" i="60"/>
  <c r="BZ246" i="60" s="1"/>
  <c r="BY247" i="60"/>
  <c r="BZ247" i="60" s="1"/>
  <c r="BY248" i="60"/>
  <c r="BZ248" i="60" s="1"/>
  <c r="BY249" i="60"/>
  <c r="BZ249" i="60" s="1"/>
  <c r="BY250" i="60"/>
  <c r="BZ250" i="60" s="1"/>
  <c r="BY251" i="60"/>
  <c r="BZ251" i="60" s="1"/>
  <c r="BZ29" i="60"/>
  <c r="BZ32" i="60"/>
  <c r="BZ33" i="60"/>
  <c r="BZ46" i="60"/>
  <c r="BZ49" i="60"/>
  <c r="BZ50" i="60"/>
  <c r="BZ55" i="60"/>
  <c r="BZ57" i="60"/>
  <c r="BZ83" i="60"/>
  <c r="BZ116" i="60"/>
  <c r="BZ130" i="60"/>
  <c r="BZ139" i="60"/>
  <c r="BZ147" i="60"/>
  <c r="BZ158" i="60"/>
  <c r="BZ160" i="60"/>
  <c r="BN2" i="13"/>
  <c r="BO2" i="13"/>
  <c r="AL2" i="57"/>
  <c r="AM2" i="57"/>
  <c r="AN2" i="57"/>
  <c r="P2" i="57"/>
  <c r="Q2" i="57"/>
  <c r="R2" i="57"/>
  <c r="CO2" i="14"/>
  <c r="CP2" i="14"/>
  <c r="CQ2" i="14"/>
  <c r="BN3" i="46"/>
  <c r="BP8" i="46"/>
  <c r="BR8" i="46" s="1"/>
  <c r="BP10" i="46"/>
  <c r="BR10" i="46" s="1"/>
  <c r="BP12" i="46"/>
  <c r="BR12" i="46" s="1"/>
  <c r="BP22" i="46"/>
  <c r="BR22" i="46" s="1"/>
  <c r="BP24" i="46"/>
  <c r="BP25" i="46"/>
  <c r="BR25" i="46" s="1"/>
  <c r="BP26" i="46"/>
  <c r="BR26" i="46" s="1"/>
  <c r="BP27" i="46"/>
  <c r="BR27" i="46" s="1"/>
  <c r="BP36" i="46"/>
  <c r="BR36" i="46" s="1"/>
  <c r="BP38" i="46"/>
  <c r="BR38" i="46" s="1"/>
  <c r="BP40" i="46"/>
  <c r="BR40" i="46" s="1"/>
  <c r="BP50" i="46"/>
  <c r="BR50" i="46" s="1"/>
  <c r="BP52" i="46"/>
  <c r="BR52" i="46" s="1"/>
  <c r="BP54" i="46"/>
  <c r="BR54" i="46" s="1"/>
  <c r="BP64" i="46"/>
  <c r="BR64" i="46" s="1"/>
  <c r="BP66" i="46"/>
  <c r="BR66" i="46" s="1"/>
  <c r="BP67" i="46"/>
  <c r="BR67" i="46" s="1"/>
  <c r="BP68" i="46"/>
  <c r="BR68" i="46" s="1"/>
  <c r="BP69" i="46"/>
  <c r="BR69" i="46" s="1"/>
  <c r="BP78" i="46"/>
  <c r="BR78" i="46" s="1"/>
  <c r="BP80" i="46"/>
  <c r="BR80" i="46" s="1"/>
  <c r="BP82" i="46"/>
  <c r="BR82" i="46" s="1"/>
  <c r="BP92" i="46"/>
  <c r="BR92" i="46" s="1"/>
  <c r="BP94" i="46"/>
  <c r="BR94" i="46" s="1"/>
  <c r="BP96" i="46"/>
  <c r="BR96" i="46" s="1"/>
  <c r="BP106" i="46"/>
  <c r="BR106" i="46" s="1"/>
  <c r="BP108" i="46"/>
  <c r="BR108" i="46" s="1"/>
  <c r="BP109" i="46"/>
  <c r="BR109" i="46" s="1"/>
  <c r="BP110" i="46"/>
  <c r="BR110" i="46" s="1"/>
  <c r="BP111" i="46"/>
  <c r="BR111" i="46" s="1"/>
  <c r="BP120" i="46"/>
  <c r="BR120" i="46" s="1"/>
  <c r="BP122" i="46"/>
  <c r="BR122" i="46" s="1"/>
  <c r="BP124" i="46"/>
  <c r="BR124" i="46" s="1"/>
  <c r="BP134" i="46"/>
  <c r="BR134" i="46" s="1"/>
  <c r="BP136" i="46"/>
  <c r="BR136" i="46" s="1"/>
  <c r="BP138" i="46"/>
  <c r="BR138" i="46" s="1"/>
  <c r="BP139" i="46"/>
  <c r="BR139" i="46" s="1"/>
  <c r="BP148" i="46"/>
  <c r="BR148" i="46" s="1"/>
  <c r="BP150" i="46"/>
  <c r="BR150" i="46" s="1"/>
  <c r="BP151" i="46"/>
  <c r="BR151" i="46" s="1"/>
  <c r="BP152" i="46"/>
  <c r="BR152" i="46" s="1"/>
  <c r="BP162" i="46"/>
  <c r="BR162" i="46" s="1"/>
  <c r="BP166" i="46"/>
  <c r="BR166" i="46" s="1"/>
  <c r="BP176" i="46"/>
  <c r="BR176" i="46" s="1"/>
  <c r="BP180" i="46"/>
  <c r="BR180" i="46" s="1"/>
  <c r="BP181" i="46"/>
  <c r="BR181" i="46" s="1"/>
  <c r="BP190" i="46"/>
  <c r="BP192" i="46"/>
  <c r="CO172" i="14" s="1"/>
  <c r="BP193" i="46"/>
  <c r="BP194" i="46"/>
  <c r="BR194" i="46" s="1"/>
  <c r="BP204" i="46"/>
  <c r="BR204" i="46" s="1"/>
  <c r="BP208" i="46"/>
  <c r="BR208" i="46" s="1"/>
  <c r="BP218" i="46"/>
  <c r="BR218" i="46" s="1"/>
  <c r="BP221" i="46"/>
  <c r="BR221" i="46" s="1"/>
  <c r="BP222" i="46"/>
  <c r="BP223" i="46"/>
  <c r="CO165" i="14" s="1"/>
  <c r="BO3" i="46"/>
  <c r="BP3" i="46" s="1"/>
  <c r="BR3" i="46" s="1"/>
  <c r="BP5" i="46"/>
  <c r="BR5" i="46" s="1"/>
  <c r="BP7" i="46"/>
  <c r="BR7" i="46" s="1"/>
  <c r="BP17" i="46"/>
  <c r="BR17" i="46" s="1"/>
  <c r="BP19" i="46"/>
  <c r="BR19" i="46" s="1"/>
  <c r="BP21" i="46"/>
  <c r="CO176" i="14" s="1"/>
  <c r="BP31" i="46"/>
  <c r="BR31" i="46" s="1"/>
  <c r="BP33" i="46"/>
  <c r="BR33" i="46" s="1"/>
  <c r="BP35" i="46"/>
  <c r="BR35" i="46" s="1"/>
  <c r="BP45" i="46"/>
  <c r="BR45" i="46" s="1"/>
  <c r="BP47" i="46"/>
  <c r="BR47" i="46" s="1"/>
  <c r="BP49" i="46"/>
  <c r="BP59" i="46"/>
  <c r="BR59" i="46" s="1"/>
  <c r="BP61" i="46"/>
  <c r="BR61" i="46" s="1"/>
  <c r="BP63" i="46"/>
  <c r="BR63" i="46" s="1"/>
  <c r="BP73" i="46"/>
  <c r="BR73" i="46" s="1"/>
  <c r="BP75" i="46"/>
  <c r="BR75" i="46" s="1"/>
  <c r="BP77" i="46"/>
  <c r="BR77" i="46" s="1"/>
  <c r="BP87" i="46"/>
  <c r="BP89" i="46"/>
  <c r="BP90" i="46"/>
  <c r="BR90" i="46" s="1"/>
  <c r="BP91" i="46"/>
  <c r="BR91" i="46" s="1"/>
  <c r="BP101" i="46"/>
  <c r="BR101" i="46" s="1"/>
  <c r="BP103" i="46"/>
  <c r="BR103" i="46" s="1"/>
  <c r="BP105" i="46"/>
  <c r="BR105" i="46" s="1"/>
  <c r="BP115" i="46"/>
  <c r="BR115" i="46" s="1"/>
  <c r="BP117" i="46"/>
  <c r="BR117" i="46" s="1"/>
  <c r="BP119" i="46"/>
  <c r="BR119" i="46" s="1"/>
  <c r="BP129" i="46"/>
  <c r="BR129" i="46" s="1"/>
  <c r="BP131" i="46"/>
  <c r="BR131" i="46" s="1"/>
  <c r="BP132" i="46"/>
  <c r="BR132" i="46" s="1"/>
  <c r="BP133" i="46"/>
  <c r="BR133" i="46" s="1"/>
  <c r="BP143" i="46"/>
  <c r="BR143" i="46" s="1"/>
  <c r="BP144" i="46"/>
  <c r="BR144" i="46" s="1"/>
  <c r="BP145" i="46"/>
  <c r="BR145" i="46" s="1"/>
  <c r="BP147" i="46"/>
  <c r="BR147" i="46" s="1"/>
  <c r="BP159" i="46"/>
  <c r="BR159" i="46" s="1"/>
  <c r="BP161" i="46"/>
  <c r="BR161" i="46" s="1"/>
  <c r="BP173" i="46"/>
  <c r="S83" i="14" s="1"/>
  <c r="BP174" i="46"/>
  <c r="BR174" i="46" s="1"/>
  <c r="BP175" i="46"/>
  <c r="BP185" i="46"/>
  <c r="BR185" i="46" s="1"/>
  <c r="BP186" i="46"/>
  <c r="BR186" i="46" s="1"/>
  <c r="BP187" i="46"/>
  <c r="BR187" i="46" s="1"/>
  <c r="BP189" i="46"/>
  <c r="BR189" i="46" s="1"/>
  <c r="BP201" i="46"/>
  <c r="BR201" i="46" s="1"/>
  <c r="BP203" i="46"/>
  <c r="BR203" i="46" s="1"/>
  <c r="BP214" i="46"/>
  <c r="BP215" i="46"/>
  <c r="BR215" i="46" s="1"/>
  <c r="BP216" i="46"/>
  <c r="BR216" i="46" s="1"/>
  <c r="BP217" i="46"/>
  <c r="BR217" i="46" s="1"/>
  <c r="BP227" i="46"/>
  <c r="BP229" i="46"/>
  <c r="S90" i="14" s="1"/>
  <c r="BP231" i="46"/>
  <c r="BP14" i="46"/>
  <c r="BR14" i="46" s="1"/>
  <c r="BP15" i="46"/>
  <c r="BR15" i="46" s="1"/>
  <c r="BP18" i="46"/>
  <c r="BP23" i="46"/>
  <c r="BP28" i="46"/>
  <c r="BR28" i="46" s="1"/>
  <c r="BP29" i="46"/>
  <c r="BR29" i="46" s="1"/>
  <c r="BP30" i="46"/>
  <c r="BR30" i="46" s="1"/>
  <c r="BP42" i="46"/>
  <c r="BR42" i="46" s="1"/>
  <c r="BP43" i="46"/>
  <c r="BR43" i="46" s="1"/>
  <c r="BP56" i="46"/>
  <c r="BR56" i="46" s="1"/>
  <c r="BP57" i="46"/>
  <c r="BR57" i="46" s="1"/>
  <c r="BP58" i="46"/>
  <c r="BR58" i="46" s="1"/>
  <c r="BP60" i="46"/>
  <c r="BR60" i="46" s="1"/>
  <c r="BP65" i="46"/>
  <c r="BR65" i="46" s="1"/>
  <c r="BP70" i="46"/>
  <c r="BR70" i="46" s="1"/>
  <c r="BP71" i="46"/>
  <c r="BR71" i="46" s="1"/>
  <c r="BP84" i="46"/>
  <c r="BR84" i="46" s="1"/>
  <c r="BP85" i="46"/>
  <c r="BR85" i="46" s="1"/>
  <c r="BP98" i="46"/>
  <c r="BR98" i="46" s="1"/>
  <c r="BP99" i="46"/>
  <c r="BR99" i="46" s="1"/>
  <c r="BP100" i="46"/>
  <c r="BR100" i="46" s="1"/>
  <c r="BP102" i="46"/>
  <c r="BR102" i="46" s="1"/>
  <c r="BP107" i="46"/>
  <c r="BR107" i="46" s="1"/>
  <c r="BP112" i="46"/>
  <c r="BR112" i="46" s="1"/>
  <c r="BP113" i="46"/>
  <c r="BR113" i="46" s="1"/>
  <c r="BP126" i="46"/>
  <c r="BR126" i="46" s="1"/>
  <c r="BP127" i="46"/>
  <c r="BR127" i="46" s="1"/>
  <c r="BP135" i="46"/>
  <c r="BP140" i="46"/>
  <c r="BR140" i="46" s="1"/>
  <c r="BP141" i="46"/>
  <c r="BR141" i="46" s="1"/>
  <c r="BP142" i="46"/>
  <c r="BR142" i="46" s="1"/>
  <c r="BP149" i="46"/>
  <c r="BP154" i="46"/>
  <c r="BR154" i="46" s="1"/>
  <c r="BP155" i="46"/>
  <c r="BR155" i="46" s="1"/>
  <c r="BP168" i="46"/>
  <c r="BR168" i="46" s="1"/>
  <c r="BP169" i="46"/>
  <c r="BR169" i="46" s="1"/>
  <c r="BP182" i="46"/>
  <c r="BR182" i="46" s="1"/>
  <c r="BP183" i="46"/>
  <c r="BR183" i="46" s="1"/>
  <c r="BP191" i="46"/>
  <c r="BP196" i="46"/>
  <c r="BR196" i="46" s="1"/>
  <c r="BP197" i="46"/>
  <c r="CO179" i="14" s="1"/>
  <c r="BP198" i="46"/>
  <c r="BR198" i="46" s="1"/>
  <c r="BP205" i="46"/>
  <c r="BR205" i="46" s="1"/>
  <c r="BP210" i="46"/>
  <c r="BR210" i="46" s="1"/>
  <c r="BP211" i="46"/>
  <c r="BR211" i="46" s="1"/>
  <c r="BP224" i="46"/>
  <c r="CO163" i="14" s="1"/>
  <c r="BP225" i="46"/>
  <c r="CO162" i="14" s="1"/>
  <c r="BR4" i="46"/>
  <c r="BR18" i="46"/>
  <c r="BR32" i="46"/>
  <c r="BR37" i="46"/>
  <c r="BR121" i="46"/>
  <c r="BR135" i="46"/>
  <c r="BR149" i="46"/>
  <c r="BR163" i="46"/>
  <c r="BR46" i="46"/>
  <c r="BR88" i="46"/>
  <c r="BR116" i="46"/>
  <c r="AW3" i="46"/>
  <c r="AW4" i="46"/>
  <c r="AW5" i="46"/>
  <c r="AW6" i="46"/>
  <c r="AW7" i="46"/>
  <c r="AW8" i="46"/>
  <c r="AW9" i="46"/>
  <c r="AW10" i="46"/>
  <c r="AW11" i="46"/>
  <c r="AW12" i="46"/>
  <c r="AW13" i="46"/>
  <c r="AW14" i="46"/>
  <c r="AW15" i="46"/>
  <c r="AW16" i="46"/>
  <c r="AW17" i="46"/>
  <c r="AW18" i="46"/>
  <c r="AW19" i="46"/>
  <c r="AW20" i="46"/>
  <c r="AW21" i="46"/>
  <c r="AW22" i="46"/>
  <c r="AW23" i="46"/>
  <c r="AW24" i="46"/>
  <c r="AW25" i="46"/>
  <c r="AW26" i="46"/>
  <c r="AW27" i="46"/>
  <c r="AW28" i="46"/>
  <c r="AW29" i="46"/>
  <c r="AW30" i="46"/>
  <c r="AW31" i="46"/>
  <c r="AW32" i="46"/>
  <c r="AW33" i="46"/>
  <c r="AW34" i="46"/>
  <c r="AW35" i="46"/>
  <c r="AW36" i="46"/>
  <c r="AW37" i="46"/>
  <c r="AW38" i="46"/>
  <c r="AW39" i="46"/>
  <c r="AW40" i="46"/>
  <c r="AW41" i="46"/>
  <c r="AW42" i="46"/>
  <c r="AW43" i="46"/>
  <c r="AW44" i="46"/>
  <c r="AW45" i="46"/>
  <c r="AW46" i="46"/>
  <c r="AW47" i="46"/>
  <c r="AW48" i="46"/>
  <c r="AW49" i="46"/>
  <c r="AW50" i="46"/>
  <c r="AW51" i="46"/>
  <c r="AW52" i="46"/>
  <c r="AW53" i="46"/>
  <c r="AW54" i="46"/>
  <c r="AW55" i="46"/>
  <c r="AW56" i="46"/>
  <c r="AW57" i="46"/>
  <c r="AW58" i="46"/>
  <c r="AW59" i="46"/>
  <c r="AW60" i="46"/>
  <c r="AW61" i="46"/>
  <c r="AW62" i="46"/>
  <c r="AW63" i="46"/>
  <c r="AW64" i="46"/>
  <c r="AW65" i="46"/>
  <c r="AW66" i="46"/>
  <c r="AW67" i="46"/>
  <c r="AW68" i="46"/>
  <c r="AW69" i="46"/>
  <c r="AW70" i="46"/>
  <c r="AW71" i="46"/>
  <c r="AW72" i="46"/>
  <c r="AW73" i="46"/>
  <c r="AW74" i="46"/>
  <c r="AW75" i="46"/>
  <c r="AW76" i="46"/>
  <c r="AW77" i="46"/>
  <c r="AW78" i="46"/>
  <c r="AW79" i="46"/>
  <c r="AW80" i="46"/>
  <c r="AW81" i="46"/>
  <c r="AW82" i="46"/>
  <c r="AW83" i="46"/>
  <c r="AW84" i="46"/>
  <c r="AW85" i="46"/>
  <c r="AW86" i="46"/>
  <c r="AW87" i="46"/>
  <c r="AW88" i="46"/>
  <c r="AW89" i="46"/>
  <c r="AW90" i="46"/>
  <c r="AW91" i="46"/>
  <c r="AW92" i="46"/>
  <c r="AW93" i="46"/>
  <c r="AW94" i="46"/>
  <c r="AW95" i="46"/>
  <c r="AW96" i="46"/>
  <c r="AW97" i="46"/>
  <c r="AW98" i="46"/>
  <c r="AW99" i="46"/>
  <c r="AW100" i="46"/>
  <c r="AW101" i="46"/>
  <c r="AW102" i="46"/>
  <c r="AW103" i="46"/>
  <c r="AW104" i="46"/>
  <c r="AW105" i="46"/>
  <c r="AW106" i="46"/>
  <c r="AW107" i="46"/>
  <c r="AW108" i="46"/>
  <c r="AW109" i="46"/>
  <c r="AW110" i="46"/>
  <c r="AW111" i="46"/>
  <c r="AW112" i="46"/>
  <c r="AW113" i="46"/>
  <c r="AW114" i="46"/>
  <c r="AW115" i="46"/>
  <c r="AW116" i="46"/>
  <c r="AW117" i="46"/>
  <c r="AW118" i="46"/>
  <c r="AW119" i="46"/>
  <c r="AW120" i="46"/>
  <c r="AW121" i="46"/>
  <c r="AW122" i="46"/>
  <c r="AW123" i="46"/>
  <c r="AW124" i="46"/>
  <c r="AW125" i="46"/>
  <c r="AW126" i="46"/>
  <c r="AW127" i="46"/>
  <c r="AW128" i="46"/>
  <c r="AW129" i="46"/>
  <c r="AW130" i="46"/>
  <c r="AW131" i="46"/>
  <c r="AW132" i="46"/>
  <c r="AW133" i="46"/>
  <c r="AW134" i="46"/>
  <c r="AW135" i="46"/>
  <c r="AW136" i="46"/>
  <c r="AW137" i="46"/>
  <c r="AW138" i="46"/>
  <c r="AW139" i="46"/>
  <c r="AW140" i="46"/>
  <c r="AW141" i="46"/>
  <c r="AW142" i="46"/>
  <c r="AW143" i="46"/>
  <c r="AW144" i="46"/>
  <c r="AW145" i="46"/>
  <c r="AW146" i="46"/>
  <c r="AW147" i="46"/>
  <c r="AW148" i="46"/>
  <c r="AW149" i="46"/>
  <c r="AW150" i="46"/>
  <c r="AW151" i="46"/>
  <c r="AW152" i="46"/>
  <c r="AW153" i="46"/>
  <c r="AW154" i="46"/>
  <c r="AW155" i="46"/>
  <c r="AW156" i="46"/>
  <c r="AW157" i="46"/>
  <c r="AW158" i="46"/>
  <c r="AW159" i="46"/>
  <c r="AW160" i="46"/>
  <c r="AW161" i="46"/>
  <c r="AW162" i="46"/>
  <c r="AW163" i="46"/>
  <c r="AW164" i="46"/>
  <c r="AW165" i="46"/>
  <c r="AW166" i="46"/>
  <c r="AW167" i="46"/>
  <c r="AW168" i="46"/>
  <c r="AW169" i="46"/>
  <c r="AW170" i="46"/>
  <c r="AW171" i="46"/>
  <c r="AW172" i="46"/>
  <c r="AW173" i="46"/>
  <c r="AW174" i="46"/>
  <c r="AW175" i="46"/>
  <c r="AW176" i="46"/>
  <c r="AW177" i="46"/>
  <c r="AW178" i="46"/>
  <c r="AW179" i="46"/>
  <c r="AW180" i="46"/>
  <c r="AW181" i="46"/>
  <c r="AW182" i="46"/>
  <c r="AW183" i="46"/>
  <c r="AW184" i="46"/>
  <c r="AW185" i="46"/>
  <c r="AW186" i="46"/>
  <c r="AW187" i="46"/>
  <c r="AW188" i="46"/>
  <c r="AW189" i="46"/>
  <c r="AW190" i="46"/>
  <c r="AW191" i="46"/>
  <c r="AW192" i="46"/>
  <c r="AW193" i="46"/>
  <c r="AW194" i="46"/>
  <c r="AW195" i="46"/>
  <c r="AW196" i="46"/>
  <c r="AW197" i="46"/>
  <c r="AW198" i="46"/>
  <c r="AW199" i="46"/>
  <c r="AW200" i="46"/>
  <c r="AW201" i="46"/>
  <c r="AW202" i="46"/>
  <c r="AW203" i="46"/>
  <c r="AW204" i="46"/>
  <c r="AW205" i="46"/>
  <c r="AW206" i="46"/>
  <c r="AW207" i="46"/>
  <c r="AW208" i="46"/>
  <c r="AW209" i="46"/>
  <c r="AW210" i="46"/>
  <c r="AW211" i="46"/>
  <c r="AW212" i="46"/>
  <c r="AW213" i="46"/>
  <c r="AW214" i="46"/>
  <c r="AW215" i="46"/>
  <c r="AW216" i="46"/>
  <c r="AW217" i="46"/>
  <c r="AW218" i="46"/>
  <c r="AW219" i="46"/>
  <c r="AW220" i="46"/>
  <c r="AW221" i="46"/>
  <c r="AW222" i="46"/>
  <c r="AW223" i="46"/>
  <c r="AW224" i="46"/>
  <c r="AW225" i="46"/>
  <c r="AW226" i="46"/>
  <c r="AW227" i="46"/>
  <c r="AW228" i="46"/>
  <c r="AW229" i="46"/>
  <c r="AW230" i="46"/>
  <c r="AW231" i="46"/>
  <c r="AW232" i="46"/>
  <c r="AW233" i="46"/>
  <c r="AW234" i="46"/>
  <c r="AW235" i="46"/>
  <c r="AW236" i="46"/>
  <c r="AW237" i="46"/>
  <c r="AW238" i="46"/>
  <c r="AW239" i="46"/>
  <c r="AW240" i="46"/>
  <c r="AW241" i="46"/>
  <c r="AW242" i="46"/>
  <c r="AW243" i="46"/>
  <c r="AW244" i="46"/>
  <c r="AW245" i="46"/>
  <c r="AW246" i="46"/>
  <c r="AW247" i="46"/>
  <c r="AW248" i="46"/>
  <c r="AW249" i="46"/>
  <c r="AW250" i="46"/>
  <c r="AW251" i="46"/>
  <c r="AW252" i="46"/>
  <c r="AW253" i="46"/>
  <c r="AW254" i="46"/>
  <c r="AW255" i="46"/>
  <c r="AW256" i="46"/>
  <c r="AW257" i="46"/>
  <c r="AW258" i="46"/>
  <c r="AW259" i="46"/>
  <c r="AW260" i="46"/>
  <c r="AW261" i="46"/>
  <c r="AW262" i="46"/>
  <c r="AW263" i="46"/>
  <c r="J2" i="55"/>
  <c r="AG2" i="9"/>
  <c r="AH2" i="9"/>
  <c r="AI2" i="9" s="1"/>
  <c r="AJ2" i="9"/>
  <c r="AK2" i="9"/>
  <c r="AL2" i="9"/>
  <c r="AM2" i="9"/>
  <c r="AN2" i="9"/>
  <c r="AO2" i="9"/>
  <c r="AP2" i="9" s="1"/>
  <c r="GW2" i="9"/>
  <c r="GX2" i="9" s="1"/>
  <c r="GY2" i="9"/>
  <c r="C34" i="2"/>
  <c r="AM2" i="13"/>
  <c r="AG2" i="13"/>
  <c r="AE2" i="13"/>
  <c r="AD2" i="13"/>
  <c r="AI2" i="13"/>
  <c r="AH2" i="13"/>
  <c r="AJ2" i="13" s="1"/>
  <c r="AK2" i="13" s="1"/>
  <c r="AF2" i="13"/>
  <c r="AA2" i="13"/>
  <c r="AB2" i="13" s="1"/>
  <c r="BA165" i="60" l="1"/>
  <c r="BA237" i="60"/>
  <c r="BA208" i="60"/>
  <c r="BA163" i="60"/>
  <c r="BP67" i="60"/>
  <c r="BA245" i="60"/>
  <c r="BA214" i="60"/>
  <c r="BA156" i="60"/>
  <c r="BA88" i="60"/>
  <c r="BA9" i="60"/>
  <c r="BP66" i="60"/>
  <c r="BA231" i="60"/>
  <c r="BA224" i="60"/>
  <c r="BA207" i="60"/>
  <c r="BA197" i="60"/>
  <c r="BA166" i="60"/>
  <c r="BA145" i="60"/>
  <c r="BA29" i="60"/>
  <c r="BA210" i="60"/>
  <c r="BA128" i="60"/>
  <c r="BP65" i="60"/>
  <c r="BA15" i="60"/>
  <c r="BP118" i="60"/>
  <c r="BP104" i="60"/>
  <c r="BP90" i="60"/>
  <c r="BP76" i="60"/>
  <c r="BA161" i="60"/>
  <c r="BP73" i="60"/>
  <c r="BA212" i="60"/>
  <c r="BP68" i="60"/>
  <c r="BA226" i="60"/>
  <c r="BA152" i="60"/>
  <c r="BA139" i="60"/>
  <c r="BP82" i="60"/>
  <c r="BA125" i="60"/>
  <c r="BA67" i="60"/>
  <c r="BA63" i="60"/>
  <c r="BP123" i="60"/>
  <c r="BP95" i="60"/>
  <c r="BP81" i="60"/>
  <c r="BP63" i="60"/>
  <c r="BP58" i="60"/>
  <c r="BP30" i="60"/>
  <c r="BA39" i="60"/>
  <c r="BA117" i="60"/>
  <c r="BB183" i="60"/>
  <c r="BP62" i="60"/>
  <c r="BP57" i="60"/>
  <c r="BP29" i="60"/>
  <c r="BA244" i="60"/>
  <c r="BA38" i="60"/>
  <c r="BA215" i="60"/>
  <c r="BA202" i="60"/>
  <c r="BA184" i="60"/>
  <c r="BA175" i="60"/>
  <c r="BA168" i="60"/>
  <c r="BA148" i="60"/>
  <c r="BA228" i="60"/>
  <c r="BA221" i="60"/>
  <c r="BA194" i="60"/>
  <c r="BA246" i="60"/>
  <c r="BA182" i="60"/>
  <c r="BA179" i="60"/>
  <c r="BA146" i="60"/>
  <c r="BA75" i="60"/>
  <c r="BA68" i="60"/>
  <c r="BP113" i="60"/>
  <c r="BP99" i="60"/>
  <c r="BP85" i="60"/>
  <c r="BB152" i="60"/>
  <c r="BA133" i="60"/>
  <c r="BA113" i="60"/>
  <c r="BA70" i="60"/>
  <c r="BA60" i="60"/>
  <c r="BA50" i="60"/>
  <c r="BA33" i="60"/>
  <c r="BA242" i="60"/>
  <c r="BB158" i="60"/>
  <c r="BA136" i="60"/>
  <c r="BA103" i="60"/>
  <c r="BA83" i="60"/>
  <c r="BA56" i="60"/>
  <c r="BA49" i="60"/>
  <c r="BA13" i="60"/>
  <c r="BA3" i="60"/>
  <c r="BA239" i="60"/>
  <c r="BA236" i="60"/>
  <c r="BA232" i="60"/>
  <c r="BA217" i="60"/>
  <c r="BA196" i="60"/>
  <c r="BA193" i="60"/>
  <c r="BA177" i="60"/>
  <c r="BA106" i="60"/>
  <c r="BA99" i="60"/>
  <c r="BA180" i="60"/>
  <c r="BA170" i="60"/>
  <c r="BA167" i="60"/>
  <c r="BA135" i="60"/>
  <c r="BA119" i="60"/>
  <c r="BA79" i="60"/>
  <c r="BA32" i="60"/>
  <c r="BA16" i="60"/>
  <c r="BB219" i="60"/>
  <c r="BA89" i="60"/>
  <c r="BA35" i="60"/>
  <c r="BA141" i="60"/>
  <c r="BP124" i="60"/>
  <c r="BP110" i="60"/>
  <c r="BP96" i="60"/>
  <c r="AN14" i="13"/>
  <c r="BA240" i="60"/>
  <c r="BA201" i="60"/>
  <c r="BA131" i="60"/>
  <c r="BA78" i="60"/>
  <c r="BA51" i="60"/>
  <c r="BA28" i="60"/>
  <c r="BA22" i="60"/>
  <c r="BA12" i="60"/>
  <c r="BP119" i="60"/>
  <c r="BP114" i="60"/>
  <c r="BP105" i="60"/>
  <c r="BP100" i="60"/>
  <c r="BP91" i="60"/>
  <c r="BP86" i="60"/>
  <c r="BP77" i="60"/>
  <c r="BP49" i="60"/>
  <c r="BP35" i="60"/>
  <c r="BA94" i="60"/>
  <c r="BA91" i="60"/>
  <c r="BA64" i="60"/>
  <c r="BP53" i="60"/>
  <c r="BP39" i="60"/>
  <c r="BP25" i="60"/>
  <c r="BA172" i="60"/>
  <c r="BA198" i="60"/>
  <c r="BA112" i="60"/>
  <c r="BA233" i="60"/>
  <c r="BA230" i="60"/>
  <c r="BA134" i="60"/>
  <c r="BA247" i="60"/>
  <c r="BA195" i="60"/>
  <c r="BA20" i="60"/>
  <c r="BP48" i="60"/>
  <c r="BP34" i="60"/>
  <c r="BP20" i="60"/>
  <c r="BP6" i="60"/>
  <c r="BA243" i="60"/>
  <c r="BA234" i="60"/>
  <c r="BA147" i="60"/>
  <c r="BA123" i="60"/>
  <c r="BA97" i="60"/>
  <c r="BA173" i="60"/>
  <c r="BA126" i="60"/>
  <c r="BA116" i="60"/>
  <c r="BA110" i="60"/>
  <c r="BA100" i="60"/>
  <c r="BA58" i="60"/>
  <c r="BA42" i="60"/>
  <c r="BA36" i="60"/>
  <c r="BA211" i="60"/>
  <c r="BA216" i="60"/>
  <c r="BA225" i="60"/>
  <c r="BA149" i="60"/>
  <c r="BA122" i="60"/>
  <c r="BA80" i="60"/>
  <c r="BA77" i="60"/>
  <c r="BA74" i="60"/>
  <c r="BA23" i="60"/>
  <c r="BP5" i="60"/>
  <c r="BA44" i="60"/>
  <c r="BA235" i="60"/>
  <c r="BA227" i="60"/>
  <c r="BA86" i="60"/>
  <c r="BA53" i="60"/>
  <c r="BA25" i="60"/>
  <c r="BP9" i="60"/>
  <c r="BP4" i="60"/>
  <c r="BA188" i="60"/>
  <c r="BA185" i="60"/>
  <c r="BA171" i="60"/>
  <c r="BA159" i="60"/>
  <c r="BA153" i="60"/>
  <c r="BA130" i="60"/>
  <c r="BA92" i="60"/>
  <c r="BA69" i="60"/>
  <c r="BA37" i="60"/>
  <c r="BA6" i="60"/>
  <c r="BP8" i="60"/>
  <c r="BA229" i="60"/>
  <c r="BA220" i="60"/>
  <c r="BA162" i="60"/>
  <c r="BA72" i="60"/>
  <c r="BA30" i="60"/>
  <c r="BP40" i="60"/>
  <c r="BA14" i="60"/>
  <c r="BP21" i="60"/>
  <c r="BP11" i="60"/>
  <c r="BA187" i="60"/>
  <c r="BA181" i="60"/>
  <c r="BA144" i="60"/>
  <c r="BA129" i="60"/>
  <c r="BA84" i="60"/>
  <c r="BA61" i="60"/>
  <c r="BA45" i="60"/>
  <c r="J4" i="46"/>
  <c r="AJ15" i="13"/>
  <c r="AK15" i="13" s="1"/>
  <c r="BA71" i="60"/>
  <c r="BB57" i="60"/>
  <c r="BA57" i="60"/>
  <c r="BA138" i="60"/>
  <c r="BA107" i="60"/>
  <c r="BA204" i="60"/>
  <c r="BA218" i="60"/>
  <c r="BA178" i="60"/>
  <c r="BA155" i="60"/>
  <c r="BA186" i="60"/>
  <c r="BA209" i="60"/>
  <c r="BA203" i="60"/>
  <c r="BA169" i="60"/>
  <c r="BA137" i="60"/>
  <c r="BA223" i="60"/>
  <c r="BA200" i="60"/>
  <c r="BA160" i="60"/>
  <c r="BA154" i="60"/>
  <c r="BA102" i="60"/>
  <c r="BA191" i="60"/>
  <c r="BA174" i="60"/>
  <c r="BA151" i="60"/>
  <c r="BA114" i="60"/>
  <c r="BA105" i="60"/>
  <c r="BA222" i="60"/>
  <c r="BA205" i="60"/>
  <c r="BB170" i="60"/>
  <c r="BA142" i="60"/>
  <c r="BA190" i="60"/>
  <c r="BA127" i="60"/>
  <c r="BA85" i="60"/>
  <c r="BA65" i="60"/>
  <c r="BA62" i="60"/>
  <c r="BA43" i="60"/>
  <c r="BA59" i="60"/>
  <c r="BA34" i="60"/>
  <c r="BA31" i="60"/>
  <c r="BP7" i="60"/>
  <c r="BA213" i="60"/>
  <c r="BA164" i="60"/>
  <c r="BA96" i="60"/>
  <c r="BA82" i="60"/>
  <c r="BA11" i="60"/>
  <c r="BA8" i="60"/>
  <c r="BA5" i="60"/>
  <c r="BP109" i="60"/>
  <c r="BP43" i="60"/>
  <c r="BP15" i="60"/>
  <c r="BA90" i="60"/>
  <c r="BA87" i="60"/>
  <c r="BA76" i="60"/>
  <c r="BA73" i="60"/>
  <c r="BB30" i="60"/>
  <c r="BA238" i="60"/>
  <c r="BA189" i="60"/>
  <c r="BA140" i="60"/>
  <c r="BA132" i="60"/>
  <c r="BA124" i="60"/>
  <c r="BA121" i="60"/>
  <c r="BA118" i="60"/>
  <c r="BA115" i="60"/>
  <c r="BA104" i="60"/>
  <c r="BA101" i="60"/>
  <c r="BA47" i="60"/>
  <c r="BA19" i="60"/>
  <c r="BA7" i="60"/>
  <c r="BP122" i="60"/>
  <c r="BP117" i="60"/>
  <c r="BP108" i="60"/>
  <c r="BP103" i="60"/>
  <c r="BP94" i="60"/>
  <c r="BP89" i="60"/>
  <c r="BP80" i="60"/>
  <c r="BP75" i="60"/>
  <c r="BP61" i="60"/>
  <c r="BP52" i="60"/>
  <c r="BP47" i="60"/>
  <c r="BP38" i="60"/>
  <c r="BP33" i="60"/>
  <c r="BP24" i="60"/>
  <c r="BP19" i="60"/>
  <c r="BP10" i="60"/>
  <c r="BA241" i="60"/>
  <c r="BA192" i="60"/>
  <c r="BA143" i="60"/>
  <c r="AJ14" i="13"/>
  <c r="AK14" i="13" s="1"/>
  <c r="BA98" i="60"/>
  <c r="BA95" i="60"/>
  <c r="BA81" i="60"/>
  <c r="BA55" i="60"/>
  <c r="BA52" i="60"/>
  <c r="BA41" i="60"/>
  <c r="BA27" i="60"/>
  <c r="BA4" i="60"/>
  <c r="BP121" i="60"/>
  <c r="BP112" i="60"/>
  <c r="BP107" i="60"/>
  <c r="BP98" i="60"/>
  <c r="BP93" i="60"/>
  <c r="BP84" i="60"/>
  <c r="BP79" i="60"/>
  <c r="BP56" i="60"/>
  <c r="BP51" i="60"/>
  <c r="BP42" i="60"/>
  <c r="BP37" i="60"/>
  <c r="BP28" i="60"/>
  <c r="BP23" i="60"/>
  <c r="BP14" i="60"/>
  <c r="BA199" i="60"/>
  <c r="BA150" i="60"/>
  <c r="BA109" i="60"/>
  <c r="BP116" i="60"/>
  <c r="BP102" i="60"/>
  <c r="BP88" i="60"/>
  <c r="BP74" i="60"/>
  <c r="BP60" i="60"/>
  <c r="BP46" i="60"/>
  <c r="BP32" i="60"/>
  <c r="BP18" i="60"/>
  <c r="BA66" i="60"/>
  <c r="BA46" i="60"/>
  <c r="BA21" i="60"/>
  <c r="BA18" i="60"/>
  <c r="BP120" i="60"/>
  <c r="BP111" i="60"/>
  <c r="BP106" i="60"/>
  <c r="BP97" i="60"/>
  <c r="BP92" i="60"/>
  <c r="BP83" i="60"/>
  <c r="BP78" i="60"/>
  <c r="BP64" i="60"/>
  <c r="BP55" i="60"/>
  <c r="BP50" i="60"/>
  <c r="BP41" i="60"/>
  <c r="BP36" i="60"/>
  <c r="BP27" i="60"/>
  <c r="BP22" i="60"/>
  <c r="BP13" i="60"/>
  <c r="BA157" i="60"/>
  <c r="BA111" i="60"/>
  <c r="BA40" i="60"/>
  <c r="BP87" i="60"/>
  <c r="BP59" i="60"/>
  <c r="BP45" i="60"/>
  <c r="BP31" i="60"/>
  <c r="BP17" i="60"/>
  <c r="BA206" i="60"/>
  <c r="BA108" i="60"/>
  <c r="BA54" i="60"/>
  <c r="BA26" i="60"/>
  <c r="BP115" i="60"/>
  <c r="BP101" i="60"/>
  <c r="BP3" i="60"/>
  <c r="BP44" i="60"/>
  <c r="S84" i="14"/>
  <c r="CO174" i="14"/>
  <c r="CO164" i="14"/>
  <c r="S74" i="14"/>
  <c r="S82" i="14"/>
  <c r="CO167" i="14"/>
  <c r="S77" i="14"/>
  <c r="BR191" i="46"/>
  <c r="CO170" i="14"/>
  <c r="BR23" i="46"/>
  <c r="CO175" i="14"/>
  <c r="CO169" i="14"/>
  <c r="S79" i="14"/>
  <c r="S81" i="14"/>
  <c r="CO171" i="14"/>
  <c r="S89" i="14"/>
  <c r="S76" i="14"/>
  <c r="CO166" i="14"/>
  <c r="S80" i="14"/>
  <c r="S86" i="14"/>
  <c r="S72" i="14"/>
  <c r="S88" i="14"/>
  <c r="CO178" i="14"/>
  <c r="FM321" i="9"/>
  <c r="FN321" i="9"/>
  <c r="FQ321" i="9" s="1"/>
  <c r="FO321" i="9"/>
  <c r="FQ199" i="9"/>
  <c r="FM314" i="9"/>
  <c r="FN314" i="9"/>
  <c r="FO314" i="9"/>
  <c r="FP314" i="9"/>
  <c r="FQ314" i="9"/>
  <c r="FM305" i="9"/>
  <c r="FN305" i="9"/>
  <c r="FP305" i="9" s="1"/>
  <c r="FO305" i="9"/>
  <c r="FQ305" i="9" s="1"/>
  <c r="FN250" i="9"/>
  <c r="FQ250" i="9" s="1"/>
  <c r="FM250" i="9"/>
  <c r="FO250" i="9"/>
  <c r="FP250" i="9"/>
  <c r="FM355" i="9"/>
  <c r="FN355" i="9"/>
  <c r="FO355" i="9"/>
  <c r="FP355" i="9"/>
  <c r="FQ355" i="9"/>
  <c r="FP346" i="9"/>
  <c r="FM346" i="9"/>
  <c r="FN346" i="9"/>
  <c r="FO346" i="9"/>
  <c r="FQ346" i="9"/>
  <c r="FO297" i="9"/>
  <c r="FM297" i="9"/>
  <c r="FN297" i="9"/>
  <c r="FP297" i="9"/>
  <c r="FQ297" i="9"/>
  <c r="FQ363" i="9"/>
  <c r="FP201" i="9"/>
  <c r="FQ263" i="9"/>
  <c r="FM247" i="9"/>
  <c r="FO247" i="9"/>
  <c r="FN247" i="9"/>
  <c r="FP247" i="9" s="1"/>
  <c r="FP231" i="9"/>
  <c r="FQ210" i="9"/>
  <c r="FP183" i="9"/>
  <c r="FM367" i="9"/>
  <c r="FN367" i="9"/>
  <c r="FP367" i="9" s="1"/>
  <c r="FO367" i="9"/>
  <c r="FO241" i="9"/>
  <c r="FP241" i="9" s="1"/>
  <c r="FM241" i="9"/>
  <c r="FN241" i="9"/>
  <c r="FQ241" i="9" s="1"/>
  <c r="FP227" i="9"/>
  <c r="FP207" i="9"/>
  <c r="FP205" i="9"/>
  <c r="FQ307" i="9"/>
  <c r="FM307" i="9"/>
  <c r="FN307" i="9"/>
  <c r="FO307" i="9"/>
  <c r="FP307" i="9"/>
  <c r="FQ205" i="9"/>
  <c r="FQ176" i="9"/>
  <c r="FM176" i="9"/>
  <c r="FN176" i="9"/>
  <c r="FP176" i="9" s="1"/>
  <c r="FO176" i="9"/>
  <c r="FQ349" i="9"/>
  <c r="FM272" i="9"/>
  <c r="FN272" i="9"/>
  <c r="FO272" i="9"/>
  <c r="FP272" i="9"/>
  <c r="FQ272" i="9"/>
  <c r="FN125" i="9"/>
  <c r="FQ125" i="9" s="1"/>
  <c r="FO125" i="9"/>
  <c r="FM125" i="9"/>
  <c r="FM369" i="9"/>
  <c r="FN369" i="9"/>
  <c r="FQ369" i="9" s="1"/>
  <c r="FO369" i="9"/>
  <c r="FP333" i="9"/>
  <c r="FM291" i="9"/>
  <c r="FN291" i="9"/>
  <c r="FQ291" i="9" s="1"/>
  <c r="FO291" i="9"/>
  <c r="FP291" i="9" s="1"/>
  <c r="FQ280" i="9"/>
  <c r="FM328" i="9"/>
  <c r="FN328" i="9"/>
  <c r="FP328" i="9" s="1"/>
  <c r="FO328" i="9"/>
  <c r="FM319" i="9"/>
  <c r="FN319" i="9"/>
  <c r="FO319" i="9"/>
  <c r="FP319" i="9"/>
  <c r="FQ319" i="9"/>
  <c r="FM353" i="9"/>
  <c r="FN353" i="9"/>
  <c r="FP353" i="9" s="1"/>
  <c r="FO353" i="9"/>
  <c r="FQ351" i="9"/>
  <c r="FM286" i="9"/>
  <c r="FN286" i="9"/>
  <c r="FQ286" i="9" s="1"/>
  <c r="FO286" i="9"/>
  <c r="FQ258" i="9"/>
  <c r="FM330" i="9"/>
  <c r="FN330" i="9"/>
  <c r="FP330" i="9" s="1"/>
  <c r="FO330" i="9"/>
  <c r="FQ330" i="9"/>
  <c r="FN204" i="9"/>
  <c r="FQ204" i="9" s="1"/>
  <c r="FO204" i="9"/>
  <c r="FM204" i="9"/>
  <c r="FP204" i="9"/>
  <c r="FN368" i="9"/>
  <c r="FP368" i="9" s="1"/>
  <c r="FN354" i="9"/>
  <c r="FP354" i="9" s="1"/>
  <c r="FN341" i="9"/>
  <c r="FP341" i="9" s="1"/>
  <c r="FN337" i="9"/>
  <c r="FQ337" i="9" s="1"/>
  <c r="FN333" i="9"/>
  <c r="FQ333" i="9" s="1"/>
  <c r="FN329" i="9"/>
  <c r="FP329" i="9" s="1"/>
  <c r="FN325" i="9"/>
  <c r="FP325" i="9" s="1"/>
  <c r="FO315" i="9"/>
  <c r="FQ315" i="9" s="1"/>
  <c r="FN311" i="9"/>
  <c r="FP311" i="9" s="1"/>
  <c r="FO285" i="9"/>
  <c r="FQ270" i="9"/>
  <c r="FN266" i="9"/>
  <c r="FQ266" i="9" s="1"/>
  <c r="FN257" i="9"/>
  <c r="FP257" i="9" s="1"/>
  <c r="FQ254" i="9"/>
  <c r="FO239" i="9"/>
  <c r="FP239" i="9" s="1"/>
  <c r="FM233" i="9"/>
  <c r="FO233" i="9"/>
  <c r="FQ233" i="9" s="1"/>
  <c r="FM225" i="9"/>
  <c r="FN213" i="9"/>
  <c r="FO213" i="9"/>
  <c r="FQ213" i="9"/>
  <c r="FO209" i="9"/>
  <c r="FQ207" i="9"/>
  <c r="FO198" i="9"/>
  <c r="FQ198" i="9" s="1"/>
  <c r="FQ183" i="9"/>
  <c r="FO180" i="9"/>
  <c r="FP180" i="9" s="1"/>
  <c r="FN180" i="9"/>
  <c r="FM170" i="9"/>
  <c r="FO170" i="9"/>
  <c r="FQ170" i="9" s="1"/>
  <c r="FN170" i="9"/>
  <c r="FM153" i="9"/>
  <c r="FM368" i="9"/>
  <c r="FO364" i="9"/>
  <c r="FQ364" i="9" s="1"/>
  <c r="FQ360" i="9"/>
  <c r="FM354" i="9"/>
  <c r="FO350" i="9"/>
  <c r="FQ350" i="9" s="1"/>
  <c r="FQ342" i="9"/>
  <c r="FM341" i="9"/>
  <c r="FQ338" i="9"/>
  <c r="FQ334" i="9"/>
  <c r="FM333" i="9"/>
  <c r="FM329" i="9"/>
  <c r="FM325" i="9"/>
  <c r="FN315" i="9"/>
  <c r="FM311" i="9"/>
  <c r="FO295" i="9"/>
  <c r="FP295" i="9" s="1"/>
  <c r="FQ279" i="9"/>
  <c r="FM279" i="9"/>
  <c r="FP260" i="9"/>
  <c r="FP223" i="9"/>
  <c r="FQ223" i="9"/>
  <c r="FM223" i="9"/>
  <c r="FP202" i="9"/>
  <c r="FN200" i="9"/>
  <c r="FO200" i="9"/>
  <c r="FQ200" i="9"/>
  <c r="FP190" i="9"/>
  <c r="FN139" i="9"/>
  <c r="FQ139" i="9" s="1"/>
  <c r="FO139" i="9"/>
  <c r="FM139" i="9"/>
  <c r="FP264" i="9"/>
  <c r="FQ261" i="9"/>
  <c r="FO257" i="9"/>
  <c r="FM239" i="9"/>
  <c r="FP237" i="9"/>
  <c r="FP209" i="9"/>
  <c r="FQ209" i="9"/>
  <c r="FM209" i="9"/>
  <c r="FM207" i="9"/>
  <c r="FN207" i="9"/>
  <c r="FO207" i="9"/>
  <c r="FM198" i="9"/>
  <c r="FP198" i="9"/>
  <c r="FM183" i="9"/>
  <c r="FN183" i="9"/>
  <c r="FO183" i="9"/>
  <c r="FM162" i="9"/>
  <c r="FN162" i="9"/>
  <c r="FQ162" i="9" s="1"/>
  <c r="FO162" i="9"/>
  <c r="FP162" i="9"/>
  <c r="FQ147" i="9"/>
  <c r="FQ370" i="9"/>
  <c r="FM289" i="9"/>
  <c r="FO289" i="9"/>
  <c r="FQ289" i="9" s="1"/>
  <c r="FQ283" i="9"/>
  <c r="FP276" i="9"/>
  <c r="FO264" i="9"/>
  <c r="FQ264" i="9" s="1"/>
  <c r="FP261" i="9"/>
  <c r="FP258" i="9"/>
  <c r="FQ251" i="9"/>
  <c r="FM251" i="9"/>
  <c r="FM245" i="9"/>
  <c r="FQ245" i="9"/>
  <c r="FO237" i="9"/>
  <c r="FM231" i="9"/>
  <c r="FO231" i="9"/>
  <c r="FQ231" i="9"/>
  <c r="FM221" i="9"/>
  <c r="FO221" i="9"/>
  <c r="FQ221" i="9" s="1"/>
  <c r="FP214" i="9"/>
  <c r="FN188" i="9"/>
  <c r="FP188" i="9" s="1"/>
  <c r="FO188" i="9"/>
  <c r="FQ156" i="9"/>
  <c r="FP370" i="9"/>
  <c r="FO365" i="9"/>
  <c r="FP365" i="9" s="1"/>
  <c r="FO351" i="9"/>
  <c r="FP351" i="9" s="1"/>
  <c r="FQ331" i="9"/>
  <c r="FP323" i="9"/>
  <c r="FP293" i="9"/>
  <c r="FP283" i="9"/>
  <c r="FO277" i="9"/>
  <c r="FP277" i="9" s="1"/>
  <c r="FM264" i="9"/>
  <c r="FO258" i="9"/>
  <c r="FN196" i="9"/>
  <c r="FO196" i="9"/>
  <c r="FQ196" i="9"/>
  <c r="FM145" i="9"/>
  <c r="FO145" i="9"/>
  <c r="FN203" i="9"/>
  <c r="FQ203" i="9" s="1"/>
  <c r="FM203" i="9"/>
  <c r="FO203" i="9"/>
  <c r="FP203" i="9"/>
  <c r="FM261" i="9"/>
  <c r="FO261" i="9"/>
  <c r="FQ237" i="9"/>
  <c r="FM237" i="9"/>
  <c r="FQ371" i="9"/>
  <c r="FN370" i="9"/>
  <c r="FO361" i="9"/>
  <c r="FQ357" i="9"/>
  <c r="FN356" i="9"/>
  <c r="FQ356" i="9" s="1"/>
  <c r="FO347" i="9"/>
  <c r="FO343" i="9"/>
  <c r="FQ343" i="9" s="1"/>
  <c r="FO335" i="9"/>
  <c r="FQ335" i="9" s="1"/>
  <c r="FO331" i="9"/>
  <c r="FN323" i="9"/>
  <c r="FQ317" i="9"/>
  <c r="FP316" i="9"/>
  <c r="FN309" i="9"/>
  <c r="FQ309" i="9" s="1"/>
  <c r="FQ303" i="9"/>
  <c r="FQ300" i="9"/>
  <c r="FO299" i="9"/>
  <c r="FP299" i="9" s="1"/>
  <c r="FQ299" i="9"/>
  <c r="FO290" i="9"/>
  <c r="FQ284" i="9"/>
  <c r="FM283" i="9"/>
  <c r="FN280" i="9"/>
  <c r="FP280" i="9"/>
  <c r="FN271" i="9"/>
  <c r="FP271" i="9" s="1"/>
  <c r="FQ268" i="9"/>
  <c r="FQ267" i="9"/>
  <c r="FP265" i="9"/>
  <c r="FP255" i="9"/>
  <c r="FO252" i="9"/>
  <c r="FO249" i="9"/>
  <c r="FP240" i="9"/>
  <c r="FQ235" i="9"/>
  <c r="FP234" i="9"/>
  <c r="FO224" i="9"/>
  <c r="FM205" i="9"/>
  <c r="FO205" i="9"/>
  <c r="FQ201" i="9"/>
  <c r="FQ362" i="9"/>
  <c r="FN361" i="9"/>
  <c r="FQ348" i="9"/>
  <c r="FN347" i="9"/>
  <c r="FP347" i="9" s="1"/>
  <c r="FQ344" i="9"/>
  <c r="FN343" i="9"/>
  <c r="FN335" i="9"/>
  <c r="FN331" i="9"/>
  <c r="FN327" i="9"/>
  <c r="FQ327" i="9" s="1"/>
  <c r="FQ324" i="9"/>
  <c r="FO320" i="9"/>
  <c r="FQ320" i="9" s="1"/>
  <c r="FN313" i="9"/>
  <c r="FQ313" i="9" s="1"/>
  <c r="FQ310" i="9"/>
  <c r="FO306" i="9"/>
  <c r="FQ306" i="9" s="1"/>
  <c r="FP303" i="9"/>
  <c r="FQ293" i="9"/>
  <c r="FM293" i="9"/>
  <c r="FN290" i="9"/>
  <c r="FO287" i="9"/>
  <c r="FQ278" i="9"/>
  <c r="FP274" i="9"/>
  <c r="FO265" i="9"/>
  <c r="FQ259" i="9"/>
  <c r="FN255" i="9"/>
  <c r="FQ255" i="9" s="1"/>
  <c r="FN249" i="9"/>
  <c r="FP249" i="9" s="1"/>
  <c r="FO243" i="9"/>
  <c r="FP243" i="9" s="1"/>
  <c r="FQ243" i="9"/>
  <c r="FP235" i="9"/>
  <c r="FO229" i="9"/>
  <c r="FP229" i="9" s="1"/>
  <c r="FQ229" i="9"/>
  <c r="FM219" i="9"/>
  <c r="FO219" i="9"/>
  <c r="FP219" i="9" s="1"/>
  <c r="FP199" i="9"/>
  <c r="FM199" i="9"/>
  <c r="FN199" i="9"/>
  <c r="FO199" i="9"/>
  <c r="FP197" i="9"/>
  <c r="FP186" i="9"/>
  <c r="FM181" i="9"/>
  <c r="FO181" i="9"/>
  <c r="FP181" i="9" s="1"/>
  <c r="FM343" i="9"/>
  <c r="FM327" i="9"/>
  <c r="FQ323" i="9"/>
  <c r="FM320" i="9"/>
  <c r="FM313" i="9"/>
  <c r="FM306" i="9"/>
  <c r="FN287" i="9"/>
  <c r="FO271" i="9"/>
  <c r="FQ271" i="9"/>
  <c r="FM255" i="9"/>
  <c r="FN252" i="9"/>
  <c r="FP252" i="9"/>
  <c r="FP246" i="9"/>
  <c r="FN224" i="9"/>
  <c r="FQ224" i="9" s="1"/>
  <c r="FP224" i="9"/>
  <c r="FM303" i="9"/>
  <c r="FO303" i="9"/>
  <c r="FQ265" i="9"/>
  <c r="FM265" i="9"/>
  <c r="FM222" i="9"/>
  <c r="FN222" i="9"/>
  <c r="FP222" i="9" s="1"/>
  <c r="FM208" i="9"/>
  <c r="FN208" i="9"/>
  <c r="FP208" i="9"/>
  <c r="FQ208" i="9"/>
  <c r="FM201" i="9"/>
  <c r="FO201" i="9"/>
  <c r="FM184" i="9"/>
  <c r="FN184" i="9"/>
  <c r="FO184" i="9"/>
  <c r="FQ184" i="9"/>
  <c r="FM177" i="9"/>
  <c r="FO177" i="9"/>
  <c r="FQ177" i="9" s="1"/>
  <c r="FQ100" i="9"/>
  <c r="FP358" i="9"/>
  <c r="FP253" i="9"/>
  <c r="FN238" i="9"/>
  <c r="FQ238" i="9" s="1"/>
  <c r="FN210" i="9"/>
  <c r="FP210" i="9"/>
  <c r="FN159" i="9"/>
  <c r="FO159" i="9"/>
  <c r="FP159" i="9"/>
  <c r="FQ159" i="9"/>
  <c r="FM148" i="9"/>
  <c r="FQ148" i="9"/>
  <c r="FN148" i="9"/>
  <c r="FP148" i="9" s="1"/>
  <c r="FM121" i="9"/>
  <c r="FP121" i="9"/>
  <c r="FQ121" i="9"/>
  <c r="FN121" i="9"/>
  <c r="FO372" i="9"/>
  <c r="FQ372" i="9" s="1"/>
  <c r="FQ368" i="9"/>
  <c r="FP363" i="9"/>
  <c r="FO358" i="9"/>
  <c r="FQ358" i="9" s="1"/>
  <c r="FP349" i="9"/>
  <c r="FQ345" i="9"/>
  <c r="FM336" i="9"/>
  <c r="FQ301" i="9"/>
  <c r="FP285" i="9"/>
  <c r="FM275" i="9"/>
  <c r="FO275" i="9"/>
  <c r="FQ269" i="9"/>
  <c r="FP263" i="9"/>
  <c r="FP262" i="9"/>
  <c r="FO253" i="9"/>
  <c r="FM244" i="9"/>
  <c r="FQ236" i="9"/>
  <c r="FO227" i="9"/>
  <c r="FQ227" i="9"/>
  <c r="FM174" i="9"/>
  <c r="FN174" i="9"/>
  <c r="FQ174" i="9" s="1"/>
  <c r="FP174" i="9"/>
  <c r="FP157" i="9"/>
  <c r="FM157" i="9"/>
  <c r="FO157" i="9"/>
  <c r="FQ157" i="9" s="1"/>
  <c r="FQ150" i="9"/>
  <c r="FP137" i="9"/>
  <c r="FP135" i="9"/>
  <c r="FM135" i="9"/>
  <c r="FO135" i="9"/>
  <c r="FQ135" i="9" s="1"/>
  <c r="FP345" i="9"/>
  <c r="FQ341" i="9"/>
  <c r="FP337" i="9"/>
  <c r="FP332" i="9"/>
  <c r="FO318" i="9"/>
  <c r="FP318" i="9" s="1"/>
  <c r="FQ311" i="9"/>
  <c r="FO304" i="9"/>
  <c r="FQ304" i="9" s="1"/>
  <c r="FP301" i="9"/>
  <c r="FN294" i="9"/>
  <c r="FQ294" i="9" s="1"/>
  <c r="FP294" i="9"/>
  <c r="FN285" i="9"/>
  <c r="FQ285" i="9" s="1"/>
  <c r="FQ281" i="9"/>
  <c r="FP279" i="9"/>
  <c r="FP269" i="9"/>
  <c r="FO266" i="9"/>
  <c r="FP266" i="9" s="1"/>
  <c r="FN253" i="9"/>
  <c r="FQ253" i="9" s="1"/>
  <c r="FP236" i="9"/>
  <c r="FO225" i="9"/>
  <c r="FQ225" i="9" s="1"/>
  <c r="FO215" i="9"/>
  <c r="FP215" i="9" s="1"/>
  <c r="FQ215" i="9"/>
  <c r="FP213" i="9"/>
  <c r="FP206" i="9"/>
  <c r="FP192" i="9"/>
  <c r="FP182" i="9"/>
  <c r="FQ180" i="9"/>
  <c r="FM163" i="9"/>
  <c r="FO163" i="9"/>
  <c r="FO153" i="9"/>
  <c r="FP153" i="9" s="1"/>
  <c r="FQ123" i="9"/>
  <c r="FQ167" i="9"/>
  <c r="FO166" i="9"/>
  <c r="FQ166" i="9"/>
  <c r="FQ154" i="9"/>
  <c r="FM119" i="9"/>
  <c r="FN119" i="9"/>
  <c r="FO119" i="9"/>
  <c r="FP119" i="9"/>
  <c r="FP107" i="9"/>
  <c r="FQ107" i="9"/>
  <c r="FM77" i="9"/>
  <c r="FN77" i="9"/>
  <c r="FP77" i="9" s="1"/>
  <c r="FO77" i="9"/>
  <c r="FM75" i="9"/>
  <c r="FN75" i="9"/>
  <c r="FP75" i="9" s="1"/>
  <c r="FO75" i="9"/>
  <c r="FM63" i="9"/>
  <c r="FN63" i="9"/>
  <c r="FO63" i="9"/>
  <c r="FP63" i="9"/>
  <c r="FQ63" i="9"/>
  <c r="FM61" i="9"/>
  <c r="FN61" i="9"/>
  <c r="FP61" i="9" s="1"/>
  <c r="FO61" i="9"/>
  <c r="FQ17" i="9"/>
  <c r="FM112" i="9"/>
  <c r="FN112" i="9"/>
  <c r="FP112" i="9" s="1"/>
  <c r="FQ112" i="9"/>
  <c r="FQ110" i="9"/>
  <c r="FM105" i="9"/>
  <c r="FN105" i="9"/>
  <c r="FQ105" i="9" s="1"/>
  <c r="FO105" i="9"/>
  <c r="FP105" i="9"/>
  <c r="FM103" i="9"/>
  <c r="FN103" i="9"/>
  <c r="FO103" i="9"/>
  <c r="FP103" i="9"/>
  <c r="FQ103" i="9"/>
  <c r="FM91" i="9"/>
  <c r="FN91" i="9"/>
  <c r="FO91" i="9"/>
  <c r="FP91" i="9"/>
  <c r="FQ91" i="9"/>
  <c r="FM89" i="9"/>
  <c r="FN89" i="9"/>
  <c r="FQ89" i="9" s="1"/>
  <c r="FO89" i="9"/>
  <c r="FP89" i="9" s="1"/>
  <c r="FM49" i="9"/>
  <c r="FN49" i="9"/>
  <c r="FQ49" i="9" s="1"/>
  <c r="FO49" i="9"/>
  <c r="FP49" i="9"/>
  <c r="FM47" i="9"/>
  <c r="FN47" i="9"/>
  <c r="FO47" i="9"/>
  <c r="FP47" i="9"/>
  <c r="FQ47" i="9"/>
  <c r="FP45" i="9"/>
  <c r="FQ45" i="9"/>
  <c r="FM19" i="9"/>
  <c r="FN19" i="9"/>
  <c r="FO19" i="9"/>
  <c r="FP19" i="9" s="1"/>
  <c r="FQ19" i="9"/>
  <c r="FQ211" i="9"/>
  <c r="FQ194" i="9"/>
  <c r="FP185" i="9"/>
  <c r="FQ178" i="9"/>
  <c r="FQ171" i="9"/>
  <c r="FM133" i="9"/>
  <c r="FN133" i="9"/>
  <c r="FO133" i="9"/>
  <c r="FP133" i="9" s="1"/>
  <c r="FQ117" i="9"/>
  <c r="FP59" i="9"/>
  <c r="FM21" i="9"/>
  <c r="FN21" i="9"/>
  <c r="FP21" i="9" s="1"/>
  <c r="FO21" i="9"/>
  <c r="FM35" i="9"/>
  <c r="FN35" i="9"/>
  <c r="FO35" i="9"/>
  <c r="FP35" i="9"/>
  <c r="FQ35" i="9"/>
  <c r="FM33" i="9"/>
  <c r="FN33" i="9"/>
  <c r="FP33" i="9" s="1"/>
  <c r="FO33" i="9"/>
  <c r="FP31" i="9"/>
  <c r="FQ31" i="9"/>
  <c r="FP15" i="9"/>
  <c r="FN178" i="9"/>
  <c r="FP178" i="9" s="1"/>
  <c r="FO175" i="9"/>
  <c r="FN164" i="9"/>
  <c r="FP164" i="9" s="1"/>
  <c r="FQ141" i="9"/>
  <c r="FQ140" i="9"/>
  <c r="FQ136" i="9"/>
  <c r="FP131" i="9"/>
  <c r="FM117" i="9"/>
  <c r="FQ190" i="9"/>
  <c r="FP171" i="9"/>
  <c r="FO168" i="9"/>
  <c r="FN161" i="9"/>
  <c r="FQ161" i="9" s="1"/>
  <c r="FO161" i="9"/>
  <c r="FN131" i="9"/>
  <c r="FQ131" i="9" s="1"/>
  <c r="FN126" i="9"/>
  <c r="FP126" i="9" s="1"/>
  <c r="FQ126" i="9"/>
  <c r="FP113" i="9"/>
  <c r="FQ113" i="9"/>
  <c r="FN175" i="9"/>
  <c r="FQ175" i="9" s="1"/>
  <c r="FP175" i="9"/>
  <c r="FQ169" i="9"/>
  <c r="FN168" i="9"/>
  <c r="FM131" i="9"/>
  <c r="FM120" i="9"/>
  <c r="FN120" i="9"/>
  <c r="FP120" i="9"/>
  <c r="FQ120" i="9"/>
  <c r="FP104" i="9"/>
  <c r="FP90" i="9"/>
  <c r="FP29" i="9"/>
  <c r="FO217" i="9"/>
  <c r="FP217" i="9" s="1"/>
  <c r="FO152" i="9"/>
  <c r="FP152" i="9" s="1"/>
  <c r="FQ152" i="9"/>
  <c r="FN144" i="9"/>
  <c r="FM134" i="9"/>
  <c r="FN134" i="9"/>
  <c r="FP134" i="9"/>
  <c r="FQ134" i="9"/>
  <c r="FP122" i="9"/>
  <c r="FN111" i="9"/>
  <c r="FP111" i="9" s="1"/>
  <c r="FO111" i="9"/>
  <c r="FQ111" i="9"/>
  <c r="FQ104" i="9"/>
  <c r="FP92" i="9"/>
  <c r="FQ90" i="9"/>
  <c r="FQ50" i="9"/>
  <c r="FQ48" i="9"/>
  <c r="FP173" i="9"/>
  <c r="FP149" i="9"/>
  <c r="FM147" i="9"/>
  <c r="FN147" i="9"/>
  <c r="FO147" i="9"/>
  <c r="FP147" i="9"/>
  <c r="FP78" i="9"/>
  <c r="FP64" i="9"/>
  <c r="FM5" i="9"/>
  <c r="FN5" i="9"/>
  <c r="FO5" i="9"/>
  <c r="FP5" i="9" s="1"/>
  <c r="FQ5" i="9"/>
  <c r="FP166" i="9"/>
  <c r="FM156" i="9"/>
  <c r="FN156" i="9"/>
  <c r="FO156" i="9"/>
  <c r="FP106" i="9"/>
  <c r="FP100" i="9"/>
  <c r="FP86" i="9"/>
  <c r="FP50" i="9"/>
  <c r="FP36" i="9"/>
  <c r="FQ34" i="9"/>
  <c r="FP7" i="9"/>
  <c r="FQ7" i="9"/>
  <c r="FO142" i="9"/>
  <c r="FQ138" i="9"/>
  <c r="FO128" i="9"/>
  <c r="FO114" i="9"/>
  <c r="FO100" i="9"/>
  <c r="FO86" i="9"/>
  <c r="FQ86" i="9" s="1"/>
  <c r="FN81" i="9"/>
  <c r="FQ68" i="9"/>
  <c r="FN67" i="9"/>
  <c r="FQ54" i="9"/>
  <c r="FN53" i="9"/>
  <c r="FN39" i="9"/>
  <c r="FN25" i="9"/>
  <c r="FQ143" i="9"/>
  <c r="FQ129" i="9"/>
  <c r="FQ115" i="9"/>
  <c r="FP110" i="9"/>
  <c r="FQ101" i="9"/>
  <c r="FP96" i="9"/>
  <c r="FQ87" i="9"/>
  <c r="FQ73" i="9"/>
  <c r="FP68" i="9"/>
  <c r="FQ59" i="9"/>
  <c r="FP54" i="9"/>
  <c r="FP40" i="9"/>
  <c r="FP26" i="9"/>
  <c r="FP143" i="9"/>
  <c r="FO138" i="9"/>
  <c r="FP138" i="9" s="1"/>
  <c r="FP129" i="9"/>
  <c r="FO124" i="9"/>
  <c r="FQ124" i="9" s="1"/>
  <c r="FP115" i="9"/>
  <c r="FQ106" i="9"/>
  <c r="FP101" i="9"/>
  <c r="FO96" i="9"/>
  <c r="FQ96" i="9" s="1"/>
  <c r="FQ92" i="9"/>
  <c r="FP87" i="9"/>
  <c r="FO82" i="9"/>
  <c r="FQ82" i="9" s="1"/>
  <c r="FP73" i="9"/>
  <c r="FO68" i="9"/>
  <c r="FO54" i="9"/>
  <c r="FO12" i="9"/>
  <c r="FQ12" i="9" s="1"/>
  <c r="FQ8" i="9"/>
  <c r="FQ83" i="9"/>
  <c r="FQ55" i="9"/>
  <c r="FQ41" i="9"/>
  <c r="FQ27" i="9"/>
  <c r="FO17" i="9"/>
  <c r="FP17" i="9" s="1"/>
  <c r="FQ13" i="9"/>
  <c r="FP8" i="9"/>
  <c r="FO3" i="9"/>
  <c r="FO8" i="9"/>
  <c r="FQ4" i="9"/>
  <c r="FN3" i="9"/>
  <c r="FP3" i="9" s="1"/>
  <c r="FP130" i="9"/>
  <c r="FP116" i="9"/>
  <c r="FO97" i="9"/>
  <c r="FQ97" i="9" s="1"/>
  <c r="FQ93" i="9"/>
  <c r="FO83" i="9"/>
  <c r="FQ79" i="9"/>
  <c r="FO69" i="9"/>
  <c r="FQ65" i="9"/>
  <c r="FO55" i="9"/>
  <c r="FQ51" i="9"/>
  <c r="FO41" i="9"/>
  <c r="FQ37" i="9"/>
  <c r="FO27" i="9"/>
  <c r="FQ23" i="9"/>
  <c r="FO13" i="9"/>
  <c r="FQ9" i="9"/>
  <c r="FP4" i="9"/>
  <c r="FN97" i="9"/>
  <c r="FN83" i="9"/>
  <c r="FN69" i="9"/>
  <c r="FP69" i="9" s="1"/>
  <c r="FQ56" i="9"/>
  <c r="FN55" i="9"/>
  <c r="FP55" i="9" s="1"/>
  <c r="FN41" i="9"/>
  <c r="FP41" i="9" s="1"/>
  <c r="FQ28" i="9"/>
  <c r="FN27" i="9"/>
  <c r="FO18" i="9"/>
  <c r="FP18" i="9" s="1"/>
  <c r="FN13" i="9"/>
  <c r="FP13" i="9" s="1"/>
  <c r="FP9" i="9"/>
  <c r="FP42" i="9"/>
  <c r="FP28" i="9"/>
  <c r="FO28" i="9"/>
  <c r="FO14" i="9"/>
  <c r="FQ10" i="9"/>
  <c r="FP108" i="9"/>
  <c r="FN98" i="9"/>
  <c r="FQ98" i="9" s="1"/>
  <c r="FP94" i="9"/>
  <c r="FN84" i="9"/>
  <c r="FQ84" i="9" s="1"/>
  <c r="FN70" i="9"/>
  <c r="FQ70" i="9" s="1"/>
  <c r="FP66" i="9"/>
  <c r="FN56" i="9"/>
  <c r="FP56" i="9" s="1"/>
  <c r="FP52" i="9"/>
  <c r="FN42" i="9"/>
  <c r="FQ42" i="9" s="1"/>
  <c r="FP38" i="9"/>
  <c r="FN28" i="9"/>
  <c r="FP24" i="9"/>
  <c r="FQ15" i="9"/>
  <c r="FN14" i="9"/>
  <c r="FP14" i="9" s="1"/>
  <c r="FP10" i="9"/>
  <c r="FO94" i="9"/>
  <c r="FQ94" i="9" s="1"/>
  <c r="FO80" i="9"/>
  <c r="FQ80" i="9" s="1"/>
  <c r="FO66" i="9"/>
  <c r="FQ66" i="9" s="1"/>
  <c r="FQ20" i="9"/>
  <c r="FQ6" i="9"/>
  <c r="DZ521" i="9"/>
  <c r="DY346" i="9"/>
  <c r="DZ458" i="9"/>
  <c r="DZ342" i="9"/>
  <c r="DY334" i="9"/>
  <c r="DW393" i="9"/>
  <c r="DZ393" i="9" s="1"/>
  <c r="DY393" i="9"/>
  <c r="DV378" i="9"/>
  <c r="DV358" i="9"/>
  <c r="DX347" i="9"/>
  <c r="DW268" i="9"/>
  <c r="DX268" i="9"/>
  <c r="DY268" i="9"/>
  <c r="DV235" i="9"/>
  <c r="DW235" i="9"/>
  <c r="DY235" i="9"/>
  <c r="DZ235" i="9"/>
  <c r="DZ168" i="9"/>
  <c r="DV511" i="9"/>
  <c r="DW511" i="9"/>
  <c r="DZ511" i="9" s="1"/>
  <c r="DX326" i="9"/>
  <c r="DZ547" i="9"/>
  <c r="DY505" i="9"/>
  <c r="DZ499" i="9"/>
  <c r="DY496" i="9"/>
  <c r="DV486" i="9"/>
  <c r="DW486" i="9"/>
  <c r="DX398" i="9"/>
  <c r="DW398" i="9"/>
  <c r="DV324" i="9"/>
  <c r="DX324" i="9"/>
  <c r="DZ324" i="9" s="1"/>
  <c r="DW337" i="9"/>
  <c r="DZ337" i="9" s="1"/>
  <c r="DY337" i="9"/>
  <c r="DX334" i="9"/>
  <c r="DV334" i="9"/>
  <c r="DW334" i="9"/>
  <c r="DW314" i="9"/>
  <c r="DY314" i="9" s="1"/>
  <c r="DZ307" i="9"/>
  <c r="DX307" i="9"/>
  <c r="DY307" i="9"/>
  <c r="DW286" i="9"/>
  <c r="DY286" i="9" s="1"/>
  <c r="DX248" i="9"/>
  <c r="DZ248" i="9" s="1"/>
  <c r="DV248" i="9"/>
  <c r="DY248" i="9"/>
  <c r="DZ505" i="9"/>
  <c r="DV480" i="9"/>
  <c r="DW480" i="9"/>
  <c r="DY480" i="9" s="1"/>
  <c r="DX480" i="9"/>
  <c r="DZ480" i="9" s="1"/>
  <c r="DX445" i="9"/>
  <c r="DY445" i="9" s="1"/>
  <c r="DY369" i="9"/>
  <c r="DZ369" i="9"/>
  <c r="DX331" i="9"/>
  <c r="DY331" i="9"/>
  <c r="DX237" i="9"/>
  <c r="DV237" i="9"/>
  <c r="DW237" i="9"/>
  <c r="DY237" i="9"/>
  <c r="DZ237" i="9"/>
  <c r="DY217" i="9"/>
  <c r="DZ217" i="9"/>
  <c r="DZ540" i="9"/>
  <c r="DW530" i="9"/>
  <c r="DX530" i="9"/>
  <c r="DX457" i="9"/>
  <c r="DZ434" i="9"/>
  <c r="DZ347" i="9"/>
  <c r="DZ314" i="9"/>
  <c r="DW190" i="9"/>
  <c r="DY190" i="9" s="1"/>
  <c r="DZ190" i="9"/>
  <c r="DV190" i="9"/>
  <c r="DX190" i="9"/>
  <c r="DY547" i="9"/>
  <c r="DY537" i="9"/>
  <c r="DX521" i="9"/>
  <c r="DY521" i="9"/>
  <c r="DZ514" i="9"/>
  <c r="DX512" i="9"/>
  <c r="DY512" i="9" s="1"/>
  <c r="DZ509" i="9"/>
  <c r="DX505" i="9"/>
  <c r="DY499" i="9"/>
  <c r="DX496" i="9"/>
  <c r="DY489" i="9"/>
  <c r="DZ489" i="9"/>
  <c r="DY443" i="9"/>
  <c r="DX437" i="9"/>
  <c r="DY434" i="9"/>
  <c r="DZ431" i="9"/>
  <c r="DY425" i="9"/>
  <c r="DZ425" i="9"/>
  <c r="DZ422" i="9"/>
  <c r="DW422" i="9"/>
  <c r="DY422" i="9" s="1"/>
  <c r="DX547" i="9"/>
  <c r="DX538" i="9"/>
  <c r="DY538" i="9" s="1"/>
  <c r="DY528" i="9"/>
  <c r="DY525" i="9"/>
  <c r="DZ522" i="9"/>
  <c r="DW518" i="9"/>
  <c r="DY518" i="9" s="1"/>
  <c r="DW512" i="9"/>
  <c r="DZ512" i="9" s="1"/>
  <c r="DX509" i="9"/>
  <c r="DY509" i="9" s="1"/>
  <c r="DZ506" i="9"/>
  <c r="DW505" i="9"/>
  <c r="DX499" i="9"/>
  <c r="DW496" i="9"/>
  <c r="DZ496" i="9" s="1"/>
  <c r="DZ490" i="9"/>
  <c r="DX475" i="9"/>
  <c r="DZ475" i="9" s="1"/>
  <c r="DY469" i="9"/>
  <c r="DZ469" i="9"/>
  <c r="DW466" i="9"/>
  <c r="DZ466" i="9" s="1"/>
  <c r="DX463" i="9"/>
  <c r="DZ463" i="9" s="1"/>
  <c r="DX454" i="9"/>
  <c r="DW454" i="9"/>
  <c r="DX443" i="9"/>
  <c r="DW437" i="9"/>
  <c r="DY437" i="9" s="1"/>
  <c r="DX434" i="9"/>
  <c r="DX431" i="9"/>
  <c r="DZ423" i="9"/>
  <c r="DZ411" i="9"/>
  <c r="DX405" i="9"/>
  <c r="DY405" i="9" s="1"/>
  <c r="DY399" i="9"/>
  <c r="DY381" i="9"/>
  <c r="DZ381" i="9"/>
  <c r="DW373" i="9"/>
  <c r="DY361" i="9"/>
  <c r="DX361" i="9"/>
  <c r="DZ361" i="9"/>
  <c r="DX353" i="9"/>
  <c r="DW347" i="9"/>
  <c r="DW345" i="9"/>
  <c r="DX541" i="9"/>
  <c r="DZ541" i="9" s="1"/>
  <c r="DY522" i="9"/>
  <c r="DV518" i="9"/>
  <c r="DV499" i="9"/>
  <c r="DY490" i="9"/>
  <c r="DY481" i="9"/>
  <c r="DZ481" i="9"/>
  <c r="DZ478" i="9"/>
  <c r="DW478" i="9"/>
  <c r="DY478" i="9" s="1"/>
  <c r="DZ470" i="9"/>
  <c r="DV466" i="9"/>
  <c r="DV463" i="9"/>
  <c r="DW449" i="9"/>
  <c r="DY449" i="9"/>
  <c r="DZ449" i="9"/>
  <c r="DX446" i="9"/>
  <c r="DY446" i="9" s="1"/>
  <c r="DV434" i="9"/>
  <c r="DX414" i="9"/>
  <c r="DZ414" i="9" s="1"/>
  <c r="DV396" i="9"/>
  <c r="DW396" i="9"/>
  <c r="DX396" i="9"/>
  <c r="DZ387" i="9"/>
  <c r="DY375" i="9"/>
  <c r="DV314" i="9"/>
  <c r="DV301" i="9"/>
  <c r="DW301" i="9"/>
  <c r="DY301" i="9" s="1"/>
  <c r="DV294" i="9"/>
  <c r="DW294" i="9"/>
  <c r="DX294" i="9"/>
  <c r="DZ294" i="9" s="1"/>
  <c r="DY294" i="9"/>
  <c r="DX265" i="9"/>
  <c r="DV265" i="9"/>
  <c r="DW265" i="9"/>
  <c r="DY265" i="9" s="1"/>
  <c r="DZ265" i="9"/>
  <c r="DW243" i="9"/>
  <c r="DV243" i="9"/>
  <c r="DX243" i="9"/>
  <c r="DY243" i="9" s="1"/>
  <c r="DW170" i="9"/>
  <c r="DZ170" i="9" s="1"/>
  <c r="DX170" i="9"/>
  <c r="DV170" i="9"/>
  <c r="DY170" i="9"/>
  <c r="DW149" i="9"/>
  <c r="DZ149" i="9" s="1"/>
  <c r="DX149" i="9"/>
  <c r="DV149" i="9"/>
  <c r="DY149" i="9"/>
  <c r="DW259" i="9"/>
  <c r="DY259" i="9" s="1"/>
  <c r="DX259" i="9"/>
  <c r="DY347" i="9"/>
  <c r="DZ160" i="9"/>
  <c r="DV402" i="9"/>
  <c r="DW402" i="9"/>
  <c r="DZ402" i="9" s="1"/>
  <c r="DX312" i="9"/>
  <c r="DY312" i="9" s="1"/>
  <c r="DV312" i="9"/>
  <c r="DY385" i="9"/>
  <c r="DZ385" i="9"/>
  <c r="DW382" i="9"/>
  <c r="DX379" i="9"/>
  <c r="DX370" i="9"/>
  <c r="DW370" i="9"/>
  <c r="DY370" i="9" s="1"/>
  <c r="DW365" i="9"/>
  <c r="DZ365" i="9" s="1"/>
  <c r="DY365" i="9"/>
  <c r="DX362" i="9"/>
  <c r="DV340" i="9"/>
  <c r="DW340" i="9"/>
  <c r="DX340" i="9"/>
  <c r="DY340" i="9" s="1"/>
  <c r="DZ289" i="9"/>
  <c r="DV289" i="9"/>
  <c r="DW289" i="9"/>
  <c r="DX289" i="9"/>
  <c r="DV267" i="9"/>
  <c r="DW267" i="9"/>
  <c r="DX267" i="9"/>
  <c r="DZ267" i="9" s="1"/>
  <c r="DY267" i="9"/>
  <c r="DX245" i="9"/>
  <c r="DY245" i="9" s="1"/>
  <c r="DV245" i="9"/>
  <c r="DW245" i="9"/>
  <c r="DW230" i="9"/>
  <c r="DZ230" i="9" s="1"/>
  <c r="DX230" i="9"/>
  <c r="DY140" i="9"/>
  <c r="DZ140" i="9"/>
  <c r="DY397" i="9"/>
  <c r="DZ397" i="9"/>
  <c r="DZ394" i="9"/>
  <c r="DW394" i="9"/>
  <c r="DY394" i="9" s="1"/>
  <c r="DW323" i="9"/>
  <c r="DZ323" i="9" s="1"/>
  <c r="DY323" i="9"/>
  <c r="DX320" i="9"/>
  <c r="DV320" i="9"/>
  <c r="DW320" i="9"/>
  <c r="DV271" i="9"/>
  <c r="DW271" i="9"/>
  <c r="DY271" i="9"/>
  <c r="DZ271" i="9"/>
  <c r="DY293" i="9"/>
  <c r="DW256" i="9"/>
  <c r="DZ256" i="9" s="1"/>
  <c r="DV256" i="9"/>
  <c r="DX256" i="9"/>
  <c r="DZ238" i="9"/>
  <c r="DV525" i="9"/>
  <c r="DW525" i="9"/>
  <c r="DZ525" i="9" s="1"/>
  <c r="DX317" i="9"/>
  <c r="DZ317" i="9" s="1"/>
  <c r="DY317" i="9"/>
  <c r="DX535" i="9"/>
  <c r="DZ535" i="9" s="1"/>
  <c r="DY535" i="9"/>
  <c r="DV458" i="9"/>
  <c r="DW458" i="9"/>
  <c r="DY458" i="9" s="1"/>
  <c r="DX429" i="9"/>
  <c r="DZ429" i="9" s="1"/>
  <c r="DY461" i="9"/>
  <c r="DZ461" i="9"/>
  <c r="DZ462" i="9"/>
  <c r="DY441" i="9"/>
  <c r="DZ441" i="9"/>
  <c r="DX426" i="9"/>
  <c r="DW426" i="9"/>
  <c r="DV368" i="9"/>
  <c r="DW368" i="9"/>
  <c r="DZ368" i="9" s="1"/>
  <c r="DX368" i="9"/>
  <c r="DV539" i="9"/>
  <c r="DW539" i="9"/>
  <c r="DX536" i="9"/>
  <c r="DY526" i="9"/>
  <c r="DZ526" i="9"/>
  <c r="DW516" i="9"/>
  <c r="DX516" i="9"/>
  <c r="DZ503" i="9"/>
  <c r="DZ501" i="9"/>
  <c r="DW494" i="9"/>
  <c r="DZ474" i="9"/>
  <c r="DX465" i="9"/>
  <c r="DY453" i="9"/>
  <c r="DZ453" i="9"/>
  <c r="DW450" i="9"/>
  <c r="DY450" i="9" s="1"/>
  <c r="DZ442" i="9"/>
  <c r="DV438" i="9"/>
  <c r="DV435" i="9"/>
  <c r="DZ427" i="9"/>
  <c r="DW421" i="9"/>
  <c r="DY421" i="9" s="1"/>
  <c r="DZ421" i="9"/>
  <c r="DZ338" i="9"/>
  <c r="DW338" i="9"/>
  <c r="DX338" i="9"/>
  <c r="DY225" i="9"/>
  <c r="DV225" i="9"/>
  <c r="DW225" i="9"/>
  <c r="DZ225" i="9"/>
  <c r="DW502" i="9"/>
  <c r="DZ502" i="9" s="1"/>
  <c r="DX502" i="9"/>
  <c r="DY417" i="9"/>
  <c r="DX417" i="9"/>
  <c r="DZ417" i="9" s="1"/>
  <c r="DY353" i="9"/>
  <c r="DZ353" i="9"/>
  <c r="DZ528" i="9"/>
  <c r="DY487" i="9"/>
  <c r="DY473" i="9"/>
  <c r="DX473" i="9"/>
  <c r="DZ473" i="9"/>
  <c r="DZ546" i="9"/>
  <c r="DZ545" i="9"/>
  <c r="DZ543" i="9"/>
  <c r="DY524" i="9"/>
  <c r="DY523" i="9"/>
  <c r="DX507" i="9"/>
  <c r="DZ507" i="9" s="1"/>
  <c r="DY507" i="9"/>
  <c r="DY504" i="9"/>
  <c r="DZ500" i="9"/>
  <c r="DX498" i="9"/>
  <c r="DZ498" i="9" s="1"/>
  <c r="DZ495" i="9"/>
  <c r="DX491" i="9"/>
  <c r="DY491" i="9" s="1"/>
  <c r="DX482" i="9"/>
  <c r="DW482" i="9"/>
  <c r="DY474" i="9"/>
  <c r="DX471" i="9"/>
  <c r="DW465" i="9"/>
  <c r="DY465" i="9" s="1"/>
  <c r="DX462" i="9"/>
  <c r="DY462" i="9" s="1"/>
  <c r="DX459" i="9"/>
  <c r="DZ451" i="9"/>
  <c r="DY442" i="9"/>
  <c r="DZ439" i="9"/>
  <c r="DX433" i="9"/>
  <c r="DY427" i="9"/>
  <c r="DY409" i="9"/>
  <c r="DZ409" i="9"/>
  <c r="DX395" i="9"/>
  <c r="DV374" i="9"/>
  <c r="DW374" i="9"/>
  <c r="DV346" i="9"/>
  <c r="DW346" i="9"/>
  <c r="DX346" i="9"/>
  <c r="DZ321" i="9"/>
  <c r="DV304" i="9"/>
  <c r="DY304" i="9"/>
  <c r="DZ304" i="9"/>
  <c r="DZ258" i="9"/>
  <c r="DV258" i="9"/>
  <c r="DW258" i="9"/>
  <c r="DX258" i="9"/>
  <c r="DY258" i="9" s="1"/>
  <c r="DV162" i="9"/>
  <c r="DW162" i="9"/>
  <c r="DY162" i="9" s="1"/>
  <c r="DX162" i="9"/>
  <c r="DX493" i="9"/>
  <c r="DZ493" i="9" s="1"/>
  <c r="DY493" i="9"/>
  <c r="DV452" i="9"/>
  <c r="DW452" i="9"/>
  <c r="DX452" i="9"/>
  <c r="DZ452" i="9" s="1"/>
  <c r="DZ443" i="9"/>
  <c r="DV497" i="9"/>
  <c r="DW497" i="9"/>
  <c r="DX485" i="9"/>
  <c r="DZ485" i="9" s="1"/>
  <c r="DY485" i="9"/>
  <c r="DZ359" i="9"/>
  <c r="DZ542" i="9"/>
  <c r="DX540" i="9"/>
  <c r="DY540" i="9" s="1"/>
  <c r="DZ537" i="9"/>
  <c r="DX533" i="9"/>
  <c r="DY533" i="9" s="1"/>
  <c r="DZ530" i="9"/>
  <c r="DX524" i="9"/>
  <c r="DZ524" i="9" s="1"/>
  <c r="DY514" i="9"/>
  <c r="DY511" i="9"/>
  <c r="DZ508" i="9"/>
  <c r="DW504" i="9"/>
  <c r="DZ504" i="9" s="1"/>
  <c r="DW498" i="9"/>
  <c r="DY498" i="9" s="1"/>
  <c r="DX495" i="9"/>
  <c r="DZ492" i="9"/>
  <c r="DV491" i="9"/>
  <c r="DZ486" i="9"/>
  <c r="DW477" i="9"/>
  <c r="DY477" i="9"/>
  <c r="DZ477" i="9"/>
  <c r="DX474" i="9"/>
  <c r="DW471" i="9"/>
  <c r="DY471" i="9" s="1"/>
  <c r="DV462" i="9"/>
  <c r="DW459" i="9"/>
  <c r="DY459" i="9" s="1"/>
  <c r="DW445" i="9"/>
  <c r="DZ445" i="9" s="1"/>
  <c r="DX442" i="9"/>
  <c r="DW433" i="9"/>
  <c r="DY433" i="9" s="1"/>
  <c r="DX427" i="9"/>
  <c r="DV424" i="9"/>
  <c r="DW424" i="9"/>
  <c r="DX424" i="9"/>
  <c r="DZ416" i="9"/>
  <c r="DZ415" i="9"/>
  <c r="DX413" i="9"/>
  <c r="DY403" i="9"/>
  <c r="DZ398" i="9"/>
  <c r="DW395" i="9"/>
  <c r="DY395" i="9" s="1"/>
  <c r="DX389" i="9"/>
  <c r="DY389" i="9" s="1"/>
  <c r="DY377" i="9"/>
  <c r="DZ377" i="9"/>
  <c r="DY357" i="9"/>
  <c r="DZ357" i="9"/>
  <c r="DV354" i="9"/>
  <c r="DY341" i="9"/>
  <c r="DZ341" i="9"/>
  <c r="DZ339" i="9"/>
  <c r="DW331" i="9"/>
  <c r="DZ331" i="9" s="1"/>
  <c r="DW326" i="9"/>
  <c r="DY326" i="9" s="1"/>
  <c r="DZ295" i="9"/>
  <c r="DZ253" i="9"/>
  <c r="DZ240" i="9"/>
  <c r="DV240" i="9"/>
  <c r="DW240" i="9"/>
  <c r="DY240" i="9" s="1"/>
  <c r="DY233" i="9"/>
  <c r="DY227" i="9"/>
  <c r="DX373" i="9"/>
  <c r="DY373" i="9" s="1"/>
  <c r="DW350" i="9"/>
  <c r="DZ350" i="9" s="1"/>
  <c r="DX350" i="9"/>
  <c r="DX345" i="9"/>
  <c r="DZ345" i="9" s="1"/>
  <c r="DY345" i="9"/>
  <c r="DW544" i="9"/>
  <c r="DZ544" i="9" s="1"/>
  <c r="DX544" i="9"/>
  <c r="DY431" i="9"/>
  <c r="DX342" i="9"/>
  <c r="DW342" i="9"/>
  <c r="DY342" i="9"/>
  <c r="DW546" i="9"/>
  <c r="DY546" i="9" s="1"/>
  <c r="DW540" i="9"/>
  <c r="DY530" i="9"/>
  <c r="DX527" i="9"/>
  <c r="DZ527" i="9" s="1"/>
  <c r="DX511" i="9"/>
  <c r="DV504" i="9"/>
  <c r="DV498" i="9"/>
  <c r="DW495" i="9"/>
  <c r="DY495" i="9" s="1"/>
  <c r="DY486" i="9"/>
  <c r="DV474" i="9"/>
  <c r="DV471" i="9"/>
  <c r="DZ465" i="9"/>
  <c r="DV459" i="9"/>
  <c r="DW457" i="9"/>
  <c r="DY457" i="9" s="1"/>
  <c r="DV445" i="9"/>
  <c r="DV442" i="9"/>
  <c r="DV433" i="9"/>
  <c r="DV430" i="9"/>
  <c r="DW430" i="9"/>
  <c r="DZ430" i="9" s="1"/>
  <c r="DW413" i="9"/>
  <c r="DY413" i="9" s="1"/>
  <c r="DZ407" i="9"/>
  <c r="DX401" i="9"/>
  <c r="DY401" i="9"/>
  <c r="DZ401" i="9"/>
  <c r="DY398" i="9"/>
  <c r="DZ378" i="9"/>
  <c r="DZ366" i="9"/>
  <c r="DW366" i="9"/>
  <c r="DY366" i="9" s="1"/>
  <c r="DZ358" i="9"/>
  <c r="DY349" i="9"/>
  <c r="DV331" i="9"/>
  <c r="DV326" i="9"/>
  <c r="DX298" i="9"/>
  <c r="DY298" i="9" s="1"/>
  <c r="DY292" i="9"/>
  <c r="DW276" i="9"/>
  <c r="DX270" i="9"/>
  <c r="DZ270" i="9" s="1"/>
  <c r="DZ264" i="9"/>
  <c r="DY252" i="9"/>
  <c r="DZ234" i="9"/>
  <c r="DX229" i="9"/>
  <c r="DW226" i="9"/>
  <c r="DX192" i="9"/>
  <c r="DZ192" i="9" s="1"/>
  <c r="DX153" i="9"/>
  <c r="DY153" i="9"/>
  <c r="DX144" i="9"/>
  <c r="DW122" i="9"/>
  <c r="DY122" i="9" s="1"/>
  <c r="DW94" i="9"/>
  <c r="DZ94" i="9" s="1"/>
  <c r="DW306" i="9"/>
  <c r="DX306" i="9"/>
  <c r="DV303" i="9"/>
  <c r="DV300" i="9"/>
  <c r="DZ291" i="9"/>
  <c r="DZ290" i="9"/>
  <c r="DY288" i="9"/>
  <c r="DW279" i="9"/>
  <c r="DY279" i="9" s="1"/>
  <c r="DV276" i="9"/>
  <c r="DW270" i="9"/>
  <c r="DX255" i="9"/>
  <c r="DV249" i="9"/>
  <c r="DW249" i="9"/>
  <c r="DY239" i="9"/>
  <c r="DV239" i="9"/>
  <c r="DW239" i="9"/>
  <c r="DY234" i="9"/>
  <c r="DZ224" i="9"/>
  <c r="DX213" i="9"/>
  <c r="DY213" i="9" s="1"/>
  <c r="DZ202" i="9"/>
  <c r="DV202" i="9"/>
  <c r="DW202" i="9"/>
  <c r="DY202" i="9" s="1"/>
  <c r="DX178" i="9"/>
  <c r="DV167" i="9"/>
  <c r="DW167" i="9"/>
  <c r="DY167" i="9" s="1"/>
  <c r="DX167" i="9"/>
  <c r="DX159" i="9"/>
  <c r="DY146" i="9"/>
  <c r="DV146" i="9"/>
  <c r="DX146" i="9"/>
  <c r="DZ146" i="9"/>
  <c r="DZ135" i="9"/>
  <c r="DX134" i="9"/>
  <c r="DZ134" i="9"/>
  <c r="DZ55" i="9"/>
  <c r="DV279" i="9"/>
  <c r="DV273" i="9"/>
  <c r="DW273" i="9"/>
  <c r="DY273" i="9" s="1"/>
  <c r="DW255" i="9"/>
  <c r="DY255" i="9" s="1"/>
  <c r="DV252" i="9"/>
  <c r="DX252" i="9"/>
  <c r="DW229" i="9"/>
  <c r="DZ229" i="9" s="1"/>
  <c r="DY229" i="9"/>
  <c r="DY216" i="9"/>
  <c r="DW213" i="9"/>
  <c r="DZ165" i="9"/>
  <c r="DW165" i="9"/>
  <c r="DX165" i="9"/>
  <c r="DW159" i="9"/>
  <c r="DZ159" i="9" s="1"/>
  <c r="DX113" i="9"/>
  <c r="DY113" i="9" s="1"/>
  <c r="DW113" i="9"/>
  <c r="DZ113" i="9"/>
  <c r="DZ109" i="9"/>
  <c r="DY109" i="9"/>
  <c r="DX99" i="9"/>
  <c r="DZ99" i="9" s="1"/>
  <c r="DW99" i="9"/>
  <c r="DZ330" i="9"/>
  <c r="DZ316" i="9"/>
  <c r="DW288" i="9"/>
  <c r="DX288" i="9"/>
  <c r="DV285" i="9"/>
  <c r="DW285" i="9"/>
  <c r="DZ285" i="9" s="1"/>
  <c r="DZ283" i="9"/>
  <c r="DZ280" i="9"/>
  <c r="DY270" i="9"/>
  <c r="DX234" i="9"/>
  <c r="DV234" i="9"/>
  <c r="DZ227" i="9"/>
  <c r="DV224" i="9"/>
  <c r="DW224" i="9"/>
  <c r="DX224" i="9"/>
  <c r="DY224" i="9" s="1"/>
  <c r="DX216" i="9"/>
  <c r="DY203" i="9"/>
  <c r="DX195" i="9"/>
  <c r="DY195" i="9" s="1"/>
  <c r="DV195" i="9"/>
  <c r="DW187" i="9"/>
  <c r="DY187" i="9" s="1"/>
  <c r="DX187" i="9"/>
  <c r="DZ163" i="9"/>
  <c r="DX125" i="9"/>
  <c r="DW125" i="9"/>
  <c r="DZ125" i="9" s="1"/>
  <c r="DV44" i="9"/>
  <c r="DW44" i="9"/>
  <c r="DY44" i="9" s="1"/>
  <c r="DX44" i="9"/>
  <c r="DZ44" i="9"/>
  <c r="DY283" i="9"/>
  <c r="DY280" i="9"/>
  <c r="DZ261" i="9"/>
  <c r="DV261" i="9"/>
  <c r="DW261" i="9"/>
  <c r="DY261" i="9" s="1"/>
  <c r="DY250" i="9"/>
  <c r="DZ250" i="9"/>
  <c r="DW232" i="9"/>
  <c r="DY232" i="9" s="1"/>
  <c r="DX232" i="9"/>
  <c r="DY211" i="9"/>
  <c r="DZ211" i="9"/>
  <c r="DV211" i="9"/>
  <c r="DX198" i="9"/>
  <c r="DZ198" i="9" s="1"/>
  <c r="DV173" i="9"/>
  <c r="DW173" i="9"/>
  <c r="DX173" i="9"/>
  <c r="DY58" i="9"/>
  <c r="DY128" i="9"/>
  <c r="DV103" i="9"/>
  <c r="DX103" i="9"/>
  <c r="DZ103" i="9" s="1"/>
  <c r="DY103" i="9"/>
  <c r="DW103" i="9"/>
  <c r="DZ93" i="9"/>
  <c r="DW78" i="9"/>
  <c r="DZ78" i="9" s="1"/>
  <c r="DX78" i="9"/>
  <c r="DZ216" i="9"/>
  <c r="DX209" i="9"/>
  <c r="DV209" i="9"/>
  <c r="DW209" i="9"/>
  <c r="DZ209" i="9" s="1"/>
  <c r="DY188" i="9"/>
  <c r="DY168" i="9"/>
  <c r="DZ147" i="9"/>
  <c r="DX116" i="9"/>
  <c r="DY116" i="9" s="1"/>
  <c r="DV116" i="9"/>
  <c r="DW277" i="9"/>
  <c r="DX277" i="9"/>
  <c r="DZ277" i="9" s="1"/>
  <c r="DW274" i="9"/>
  <c r="DY274" i="9" s="1"/>
  <c r="DZ274" i="9"/>
  <c r="DV253" i="9"/>
  <c r="DW253" i="9"/>
  <c r="DY253" i="9" s="1"/>
  <c r="DX206" i="9"/>
  <c r="DZ206" i="9" s="1"/>
  <c r="DY206" i="9"/>
  <c r="DZ203" i="9"/>
  <c r="DY193" i="9"/>
  <c r="DZ193" i="9"/>
  <c r="DX188" i="9"/>
  <c r="DY179" i="9"/>
  <c r="DV145" i="9"/>
  <c r="DW145" i="9"/>
  <c r="DZ145" i="9" s="1"/>
  <c r="DX145" i="9"/>
  <c r="DW133" i="9"/>
  <c r="DZ133" i="9" s="1"/>
  <c r="DX133" i="9"/>
  <c r="DY112" i="9"/>
  <c r="DZ112" i="9"/>
  <c r="DZ98" i="9"/>
  <c r="DY89" i="9"/>
  <c r="DZ89" i="9"/>
  <c r="DX85" i="9"/>
  <c r="DV85" i="9"/>
  <c r="DW85" i="9"/>
  <c r="DZ85" i="9" s="1"/>
  <c r="DV185" i="9"/>
  <c r="DW185" i="9"/>
  <c r="DZ171" i="9"/>
  <c r="DX166" i="9"/>
  <c r="DY152" i="9"/>
  <c r="DV131" i="9"/>
  <c r="DW131" i="9"/>
  <c r="DY131" i="9" s="1"/>
  <c r="DZ124" i="9"/>
  <c r="DV100" i="9"/>
  <c r="DW100" i="9"/>
  <c r="DY100" i="9" s="1"/>
  <c r="DX100" i="9"/>
  <c r="DZ100" i="9" s="1"/>
  <c r="DY91" i="9"/>
  <c r="DZ188" i="9"/>
  <c r="DV188" i="9"/>
  <c r="DW102" i="9"/>
  <c r="DZ102" i="9" s="1"/>
  <c r="DV102" i="9"/>
  <c r="DX102" i="9"/>
  <c r="DX83" i="9"/>
  <c r="DV83" i="9"/>
  <c r="DW83" i="9"/>
  <c r="DZ83" i="9" s="1"/>
  <c r="DY83" i="9"/>
  <c r="DW332" i="9"/>
  <c r="DX311" i="9"/>
  <c r="DY311" i="9" s="1"/>
  <c r="DW246" i="9"/>
  <c r="DY246" i="9" s="1"/>
  <c r="DX246" i="9"/>
  <c r="DV238" i="9"/>
  <c r="DX238" i="9"/>
  <c r="DY238" i="9" s="1"/>
  <c r="DX220" i="9"/>
  <c r="DZ220" i="9" s="1"/>
  <c r="DV212" i="9"/>
  <c r="DW212" i="9"/>
  <c r="DZ212" i="9" s="1"/>
  <c r="DZ191" i="9"/>
  <c r="DW136" i="9"/>
  <c r="DZ136" i="9" s="1"/>
  <c r="DY136" i="9"/>
  <c r="DX136" i="9"/>
  <c r="DW77" i="9"/>
  <c r="DZ77" i="9" s="1"/>
  <c r="DX77" i="9"/>
  <c r="DY325" i="9"/>
  <c r="DY305" i="9"/>
  <c r="DZ303" i="9"/>
  <c r="DY302" i="9"/>
  <c r="DZ302" i="9"/>
  <c r="DY290" i="9"/>
  <c r="DV281" i="9"/>
  <c r="DW281" i="9"/>
  <c r="DZ278" i="9"/>
  <c r="DV272" i="9"/>
  <c r="DZ263" i="9"/>
  <c r="DZ262" i="9"/>
  <c r="DZ233" i="9"/>
  <c r="DZ174" i="9"/>
  <c r="DZ158" i="9"/>
  <c r="DV158" i="9"/>
  <c r="DW158" i="9"/>
  <c r="DY158" i="9" s="1"/>
  <c r="DW108" i="9"/>
  <c r="DY108" i="9" s="1"/>
  <c r="DV108" i="9"/>
  <c r="DW73" i="9"/>
  <c r="DY73" i="9" s="1"/>
  <c r="DX73" i="9"/>
  <c r="DZ306" i="9"/>
  <c r="DY303" i="9"/>
  <c r="DZ300" i="9"/>
  <c r="DX293" i="9"/>
  <c r="DV293" i="9"/>
  <c r="DW293" i="9"/>
  <c r="DX290" i="9"/>
  <c r="DW284" i="9"/>
  <c r="DZ284" i="9" s="1"/>
  <c r="DZ276" i="9"/>
  <c r="DZ275" i="9"/>
  <c r="DX266" i="9"/>
  <c r="DZ266" i="9" s="1"/>
  <c r="DY254" i="9"/>
  <c r="DZ254" i="9"/>
  <c r="DZ249" i="9"/>
  <c r="DX244" i="9"/>
  <c r="DY236" i="9"/>
  <c r="DZ236" i="9"/>
  <c r="DZ208" i="9"/>
  <c r="DV199" i="9"/>
  <c r="DW199" i="9"/>
  <c r="DX199" i="9"/>
  <c r="DY199" i="9" s="1"/>
  <c r="DW192" i="9"/>
  <c r="DY192" i="9" s="1"/>
  <c r="DZ178" i="9"/>
  <c r="DW172" i="9"/>
  <c r="DZ172" i="9" s="1"/>
  <c r="DW153" i="9"/>
  <c r="DZ153" i="9" s="1"/>
  <c r="DW144" i="9"/>
  <c r="DY144" i="9" s="1"/>
  <c r="DX122" i="9"/>
  <c r="DX94" i="9"/>
  <c r="DY94" i="9" s="1"/>
  <c r="DZ349" i="9"/>
  <c r="DZ464" i="9"/>
  <c r="DZ436" i="9"/>
  <c r="DZ408" i="9"/>
  <c r="DZ380" i="9"/>
  <c r="DZ352" i="9"/>
  <c r="DY330" i="9"/>
  <c r="DY316" i="9"/>
  <c r="DX309" i="9"/>
  <c r="DZ309" i="9" s="1"/>
  <c r="DY306" i="9"/>
  <c r="DY300" i="9"/>
  <c r="DW290" i="9"/>
  <c r="DX282" i="9"/>
  <c r="DY282" i="9" s="1"/>
  <c r="DY276" i="9"/>
  <c r="DZ273" i="9"/>
  <c r="DW266" i="9"/>
  <c r="DW260" i="9"/>
  <c r="DX260" i="9"/>
  <c r="DV257" i="9"/>
  <c r="DW257" i="9"/>
  <c r="DZ255" i="9"/>
  <c r="DZ252" i="9"/>
  <c r="DY249" i="9"/>
  <c r="DW244" i="9"/>
  <c r="DZ244" i="9" s="1"/>
  <c r="DZ239" i="9"/>
  <c r="DX226" i="9"/>
  <c r="DZ226" i="9" s="1"/>
  <c r="DZ213" i="9"/>
  <c r="DV210" i="9"/>
  <c r="DW210" i="9"/>
  <c r="DY197" i="9"/>
  <c r="DZ197" i="9"/>
  <c r="DV192" i="9"/>
  <c r="DX184" i="9"/>
  <c r="DZ184" i="9" s="1"/>
  <c r="DW181" i="9"/>
  <c r="DZ181" i="9" s="1"/>
  <c r="DW178" i="9"/>
  <c r="DY178" i="9" s="1"/>
  <c r="DV172" i="9"/>
  <c r="DZ167" i="9"/>
  <c r="DV153" i="9"/>
  <c r="DV144" i="9"/>
  <c r="DW134" i="9"/>
  <c r="DY134" i="9" s="1"/>
  <c r="DV122" i="9"/>
  <c r="DV94" i="9"/>
  <c r="DY84" i="9"/>
  <c r="DV72" i="9"/>
  <c r="DW72" i="9"/>
  <c r="DY72" i="9" s="1"/>
  <c r="DY62" i="9"/>
  <c r="DZ48" i="9"/>
  <c r="DV310" i="9"/>
  <c r="DY242" i="9"/>
  <c r="DY228" i="9"/>
  <c r="DZ205" i="9"/>
  <c r="DW164" i="9"/>
  <c r="DZ164" i="9" s="1"/>
  <c r="DZ130" i="9"/>
  <c r="DY124" i="9"/>
  <c r="DW121" i="9"/>
  <c r="DX121" i="9"/>
  <c r="DZ119" i="9"/>
  <c r="DZ110" i="9"/>
  <c r="DY93" i="9"/>
  <c r="DZ86" i="9"/>
  <c r="DY75" i="9"/>
  <c r="DZ65" i="9"/>
  <c r="DY35" i="9"/>
  <c r="DZ35" i="9"/>
  <c r="DZ25" i="9"/>
  <c r="DW215" i="9"/>
  <c r="DX215" i="9"/>
  <c r="DV196" i="9"/>
  <c r="DW196" i="9"/>
  <c r="DY186" i="9"/>
  <c r="DY183" i="9"/>
  <c r="DZ183" i="9"/>
  <c r="DW161" i="9"/>
  <c r="DX161" i="9"/>
  <c r="DY118" i="9"/>
  <c r="DW80" i="9"/>
  <c r="DZ80" i="9" s="1"/>
  <c r="DY70" i="9"/>
  <c r="DZ67" i="9"/>
  <c r="DY48" i="9"/>
  <c r="DV86" i="9"/>
  <c r="DW86" i="9"/>
  <c r="DY86" i="9"/>
  <c r="DW137" i="9"/>
  <c r="DY137" i="9" s="1"/>
  <c r="DX137" i="9"/>
  <c r="DX110" i="9"/>
  <c r="DY110" i="9"/>
  <c r="DW105" i="9"/>
  <c r="DX105" i="9"/>
  <c r="DZ105" i="9" s="1"/>
  <c r="DV105" i="9"/>
  <c r="DX96" i="9"/>
  <c r="DY96" i="9" s="1"/>
  <c r="DW91" i="9"/>
  <c r="DZ91" i="9" s="1"/>
  <c r="DX91" i="9"/>
  <c r="DV75" i="9"/>
  <c r="DZ75" i="9"/>
  <c r="DX65" i="9"/>
  <c r="DY65" i="9"/>
  <c r="DV58" i="9"/>
  <c r="DW58" i="9"/>
  <c r="DZ58" i="9"/>
  <c r="DV45" i="9"/>
  <c r="DW45" i="9"/>
  <c r="DY45" i="9" s="1"/>
  <c r="DX45" i="9"/>
  <c r="DW63" i="9"/>
  <c r="DY63" i="9" s="1"/>
  <c r="DX63" i="9"/>
  <c r="DV63" i="9"/>
  <c r="DX68" i="9"/>
  <c r="DV68" i="9"/>
  <c r="DW68" i="9"/>
  <c r="DY68" i="9" s="1"/>
  <c r="DY53" i="9"/>
  <c r="DV47" i="9"/>
  <c r="DX47" i="9"/>
  <c r="DZ47" i="9"/>
  <c r="DW47" i="9"/>
  <c r="DY47" i="9"/>
  <c r="DV41" i="9"/>
  <c r="DX41" i="9"/>
  <c r="DW41" i="9"/>
  <c r="DY41" i="9" s="1"/>
  <c r="DZ41" i="9"/>
  <c r="DZ39" i="9"/>
  <c r="DW24" i="9"/>
  <c r="DY24" i="9" s="1"/>
  <c r="DX24" i="9"/>
  <c r="DZ24" i="9" s="1"/>
  <c r="DV24" i="9"/>
  <c r="DZ56" i="9"/>
  <c r="DZ53" i="9"/>
  <c r="DX51" i="9"/>
  <c r="DZ51" i="9"/>
  <c r="DV51" i="9"/>
  <c r="DW51" i="9"/>
  <c r="DY51" i="9" s="1"/>
  <c r="DX141" i="9"/>
  <c r="DY141" i="9" s="1"/>
  <c r="DW141" i="9"/>
  <c r="DY132" i="9"/>
  <c r="DX132" i="9"/>
  <c r="DZ132" i="9" s="1"/>
  <c r="DW129" i="9"/>
  <c r="DX129" i="9"/>
  <c r="DV117" i="9"/>
  <c r="DW117" i="9"/>
  <c r="DX117" i="9"/>
  <c r="DY76" i="9"/>
  <c r="DY34" i="9"/>
  <c r="DY120" i="9"/>
  <c r="DV111" i="9"/>
  <c r="DY111" i="9"/>
  <c r="DZ69" i="9"/>
  <c r="DW66" i="9"/>
  <c r="DZ66" i="9" s="1"/>
  <c r="DV66" i="9"/>
  <c r="DZ242" i="9"/>
  <c r="DZ228" i="9"/>
  <c r="DW201" i="9"/>
  <c r="DX201" i="9"/>
  <c r="DV182" i="9"/>
  <c r="DW182" i="9"/>
  <c r="DZ176" i="9"/>
  <c r="DX169" i="9"/>
  <c r="DY169" i="9" s="1"/>
  <c r="DW169" i="9"/>
  <c r="DY160" i="9"/>
  <c r="DX160" i="9"/>
  <c r="DW157" i="9"/>
  <c r="DX157" i="9"/>
  <c r="DZ139" i="9"/>
  <c r="DY130" i="9"/>
  <c r="DW106" i="9"/>
  <c r="DY106" i="9" s="1"/>
  <c r="DX106" i="9"/>
  <c r="DY97" i="9"/>
  <c r="DZ97" i="9"/>
  <c r="DX88" i="9"/>
  <c r="DY88" i="9" s="1"/>
  <c r="DY69" i="9"/>
  <c r="DY59" i="9"/>
  <c r="DZ59" i="9"/>
  <c r="DX59" i="9"/>
  <c r="DW38" i="9"/>
  <c r="DY38" i="9" s="1"/>
  <c r="DX38" i="9"/>
  <c r="DV38" i="9"/>
  <c r="DX43" i="9"/>
  <c r="DZ43" i="9"/>
  <c r="DY90" i="9"/>
  <c r="DY87" i="9"/>
  <c r="DZ87" i="9"/>
  <c r="DZ64" i="9"/>
  <c r="DX29" i="9"/>
  <c r="DY29" i="9"/>
  <c r="DZ29" i="9"/>
  <c r="DW10" i="9"/>
  <c r="DY10" i="9" s="1"/>
  <c r="DX10" i="9"/>
  <c r="DX55" i="9"/>
  <c r="DY55" i="9"/>
  <c r="DV33" i="9"/>
  <c r="DW33" i="9"/>
  <c r="DY33" i="9" s="1"/>
  <c r="DX33" i="9"/>
  <c r="DZ33" i="9"/>
  <c r="DY6" i="9"/>
  <c r="DZ6" i="9"/>
  <c r="DV19" i="9"/>
  <c r="DW19" i="9"/>
  <c r="DY19" i="9" s="1"/>
  <c r="DX19" i="9"/>
  <c r="DX15" i="9"/>
  <c r="DY15" i="9"/>
  <c r="DZ15" i="9"/>
  <c r="DY104" i="9"/>
  <c r="DY101" i="9"/>
  <c r="DZ101" i="9"/>
  <c r="DX82" i="9"/>
  <c r="DZ82" i="9" s="1"/>
  <c r="DV5" i="9"/>
  <c r="DW5" i="9"/>
  <c r="DY5" i="9" s="1"/>
  <c r="DX5" i="9"/>
  <c r="DZ34" i="9"/>
  <c r="DZ151" i="9"/>
  <c r="DZ123" i="9"/>
  <c r="DZ92" i="9"/>
  <c r="DZ71" i="9"/>
  <c r="DY64" i="9"/>
  <c r="DZ61" i="9"/>
  <c r="DZ52" i="9"/>
  <c r="DY43" i="9"/>
  <c r="DZ20" i="9"/>
  <c r="DV95" i="9"/>
  <c r="DY54" i="9"/>
  <c r="DX49" i="9"/>
  <c r="DY40" i="9"/>
  <c r="DV39" i="9"/>
  <c r="DX35" i="9"/>
  <c r="DW30" i="9"/>
  <c r="DY26" i="9"/>
  <c r="DX21" i="9"/>
  <c r="DY21" i="9" s="1"/>
  <c r="DZ17" i="9"/>
  <c r="DW16" i="9"/>
  <c r="DY12" i="9"/>
  <c r="DV11" i="9"/>
  <c r="DX7" i="9"/>
  <c r="DZ3" i="9"/>
  <c r="DZ22" i="9"/>
  <c r="DY17" i="9"/>
  <c r="DZ8" i="9"/>
  <c r="DY3" i="9"/>
  <c r="DX31" i="9"/>
  <c r="DZ31" i="9" s="1"/>
  <c r="DZ27" i="9"/>
  <c r="DX3" i="9"/>
  <c r="DX50" i="9"/>
  <c r="DY50" i="9" s="1"/>
  <c r="DX36" i="9"/>
  <c r="DY36" i="9" s="1"/>
  <c r="DW31" i="9"/>
  <c r="DY31" i="9" s="1"/>
  <c r="DW17" i="9"/>
  <c r="DZ4" i="9"/>
  <c r="DW3" i="9"/>
  <c r="DZ37" i="9"/>
  <c r="DX27" i="9"/>
  <c r="DY27" i="9" s="1"/>
  <c r="DZ23" i="9"/>
  <c r="DX13" i="9"/>
  <c r="DZ13" i="9" s="1"/>
  <c r="DZ9" i="9"/>
  <c r="DX37" i="9"/>
  <c r="DY37" i="9" s="1"/>
  <c r="DX23" i="9"/>
  <c r="DY23" i="9" s="1"/>
  <c r="CH200" i="9"/>
  <c r="CI138" i="9"/>
  <c r="CI139" i="9"/>
  <c r="CH39" i="9"/>
  <c r="CF147" i="9"/>
  <c r="CI147" i="9" s="1"/>
  <c r="CG147" i="9"/>
  <c r="CH136" i="9"/>
  <c r="CG133" i="9"/>
  <c r="CH133" i="9" s="1"/>
  <c r="CF118" i="9"/>
  <c r="CI118" i="9" s="1"/>
  <c r="CI116" i="9"/>
  <c r="CG111" i="9"/>
  <c r="CH111" i="9" s="1"/>
  <c r="CF108" i="9"/>
  <c r="CH108" i="9" s="1"/>
  <c r="CG108" i="9"/>
  <c r="CI106" i="9"/>
  <c r="CF96" i="9"/>
  <c r="CF85" i="9"/>
  <c r="CG82" i="9"/>
  <c r="CF53" i="9"/>
  <c r="CI53" i="9" s="1"/>
  <c r="CI31" i="9"/>
  <c r="CF31" i="9"/>
  <c r="CG31" i="9"/>
  <c r="CF128" i="9"/>
  <c r="CI128" i="9" s="1"/>
  <c r="CG128" i="9"/>
  <c r="CG99" i="9"/>
  <c r="CI99" i="9" s="1"/>
  <c r="CE87" i="9"/>
  <c r="CF87" i="9"/>
  <c r="CI87" i="9" s="1"/>
  <c r="CH87" i="9"/>
  <c r="CF82" i="9"/>
  <c r="CH82" i="9" s="1"/>
  <c r="CH49" i="9"/>
  <c r="CI49" i="9"/>
  <c r="CI181" i="9"/>
  <c r="CG71" i="9"/>
  <c r="CI71" i="9" s="1"/>
  <c r="CH71" i="9"/>
  <c r="CH62" i="9"/>
  <c r="CI62" i="9"/>
  <c r="CH58" i="9"/>
  <c r="CI58" i="9"/>
  <c r="CH13" i="9"/>
  <c r="CI13" i="9"/>
  <c r="CI11" i="9"/>
  <c r="CE11" i="9"/>
  <c r="CH11" i="9"/>
  <c r="CF150" i="9"/>
  <c r="CE150" i="9"/>
  <c r="CG150" i="9"/>
  <c r="CI150" i="9" s="1"/>
  <c r="CH160" i="9"/>
  <c r="CG139" i="9"/>
  <c r="CH139" i="9"/>
  <c r="CG121" i="9"/>
  <c r="CE121" i="9"/>
  <c r="CF121" i="9"/>
  <c r="CH121" i="9" s="1"/>
  <c r="CF94" i="9"/>
  <c r="CH94" i="9" s="1"/>
  <c r="CG94" i="9"/>
  <c r="CI94" i="9"/>
  <c r="CF73" i="9"/>
  <c r="CH73" i="9" s="1"/>
  <c r="CG73" i="9"/>
  <c r="CI195" i="9"/>
  <c r="CF151" i="9"/>
  <c r="CG151" i="9"/>
  <c r="CH107" i="9"/>
  <c r="CI107" i="9"/>
  <c r="CE203" i="9"/>
  <c r="CI203" i="9"/>
  <c r="CE189" i="9"/>
  <c r="CI189" i="9"/>
  <c r="CE175" i="9"/>
  <c r="CI175" i="9"/>
  <c r="CI152" i="9"/>
  <c r="CG149" i="9"/>
  <c r="CF143" i="9"/>
  <c r="CG143" i="9"/>
  <c r="CI143" i="9" s="1"/>
  <c r="CI137" i="9"/>
  <c r="CI129" i="9"/>
  <c r="CF114" i="9"/>
  <c r="CI114" i="9" s="1"/>
  <c r="CG114" i="9"/>
  <c r="CH90" i="9"/>
  <c r="CI90" i="9"/>
  <c r="CG90" i="9"/>
  <c r="CE44" i="9"/>
  <c r="CF44" i="9"/>
  <c r="CI44" i="9" s="1"/>
  <c r="CH44" i="9"/>
  <c r="CE21" i="9"/>
  <c r="CF21" i="9"/>
  <c r="CH21" i="9" s="1"/>
  <c r="CF207" i="9"/>
  <c r="CI207" i="9" s="1"/>
  <c r="CF193" i="9"/>
  <c r="CI193" i="9" s="1"/>
  <c r="CF179" i="9"/>
  <c r="CI179" i="9" s="1"/>
  <c r="CH169" i="9"/>
  <c r="CI166" i="9"/>
  <c r="CI165" i="9"/>
  <c r="CF162" i="9"/>
  <c r="CI162" i="9" s="1"/>
  <c r="CG155" i="9"/>
  <c r="CF155" i="9"/>
  <c r="CI155" i="9" s="1"/>
  <c r="CF149" i="9"/>
  <c r="CH146" i="9"/>
  <c r="CE146" i="9"/>
  <c r="CF146" i="9"/>
  <c r="CI146" i="9" s="1"/>
  <c r="CI141" i="9"/>
  <c r="CI130" i="9"/>
  <c r="CG125" i="9"/>
  <c r="CH125" i="9" s="1"/>
  <c r="CG122" i="9"/>
  <c r="CF119" i="9"/>
  <c r="CE117" i="9"/>
  <c r="CF117" i="9"/>
  <c r="CI117" i="9" s="1"/>
  <c r="CG117" i="9"/>
  <c r="CH93" i="9"/>
  <c r="CH50" i="9"/>
  <c r="CI50" i="9"/>
  <c r="CH40" i="9"/>
  <c r="CF38" i="9"/>
  <c r="CH38" i="9" s="1"/>
  <c r="CG38" i="9"/>
  <c r="CE38" i="9"/>
  <c r="CH212" i="9"/>
  <c r="CH184" i="9"/>
  <c r="CE207" i="9"/>
  <c r="CI201" i="9"/>
  <c r="CE193" i="9"/>
  <c r="CI187" i="9"/>
  <c r="CE179" i="9"/>
  <c r="CI172" i="9"/>
  <c r="CE162" i="9"/>
  <c r="CH132" i="9"/>
  <c r="CG132" i="9"/>
  <c r="CI132" i="9" s="1"/>
  <c r="CE122" i="9"/>
  <c r="CH110" i="9"/>
  <c r="CE86" i="9"/>
  <c r="CF86" i="9"/>
  <c r="CI86" i="9" s="1"/>
  <c r="CG86" i="9"/>
  <c r="CI79" i="9"/>
  <c r="CI156" i="9"/>
  <c r="CG144" i="9"/>
  <c r="CG135" i="9"/>
  <c r="CH135" i="9" s="1"/>
  <c r="CE135" i="9"/>
  <c r="CF135" i="9"/>
  <c r="CI135" i="9" s="1"/>
  <c r="CE125" i="9"/>
  <c r="CG115" i="9"/>
  <c r="CH112" i="9"/>
  <c r="CI91" i="9"/>
  <c r="CI81" i="9"/>
  <c r="CF81" i="9"/>
  <c r="CH81" i="9" s="1"/>
  <c r="CG81" i="9"/>
  <c r="CH76" i="9"/>
  <c r="CI76" i="9"/>
  <c r="CE159" i="9"/>
  <c r="CF159" i="9"/>
  <c r="CH159" i="9" s="1"/>
  <c r="CG105" i="9"/>
  <c r="CI105" i="9" s="1"/>
  <c r="CH72" i="9"/>
  <c r="CI67" i="9"/>
  <c r="CG67" i="9"/>
  <c r="CH67" i="9"/>
  <c r="CG45" i="9"/>
  <c r="CH34" i="9"/>
  <c r="CI34" i="9"/>
  <c r="CE34" i="9"/>
  <c r="CG57" i="9"/>
  <c r="CE57" i="9"/>
  <c r="CH55" i="9"/>
  <c r="CI55" i="9"/>
  <c r="CH198" i="9"/>
  <c r="CE131" i="9"/>
  <c r="CF131" i="9"/>
  <c r="CI131" i="9" s="1"/>
  <c r="CG131" i="9"/>
  <c r="CH131" i="9" s="1"/>
  <c r="CH118" i="9"/>
  <c r="CG118" i="9"/>
  <c r="CE111" i="9"/>
  <c r="CI96" i="9"/>
  <c r="CG85" i="9"/>
  <c r="CH85" i="9"/>
  <c r="CI85" i="9"/>
  <c r="CE102" i="9"/>
  <c r="CF102" i="9"/>
  <c r="CG102" i="9"/>
  <c r="CH102" i="9"/>
  <c r="CI39" i="9"/>
  <c r="CF39" i="9"/>
  <c r="CG39" i="9"/>
  <c r="CH35" i="9"/>
  <c r="CI35" i="9"/>
  <c r="CI209" i="9"/>
  <c r="CH126" i="9"/>
  <c r="CH92" i="9"/>
  <c r="CH215" i="9"/>
  <c r="CI208" i="9"/>
  <c r="CH201" i="9"/>
  <c r="CI194" i="9"/>
  <c r="CH187" i="9"/>
  <c r="CI180" i="9"/>
  <c r="CH173" i="9"/>
  <c r="CG215" i="9"/>
  <c r="CI215" i="9" s="1"/>
  <c r="CH208" i="9"/>
  <c r="CG201" i="9"/>
  <c r="CG187" i="9"/>
  <c r="CG173" i="9"/>
  <c r="CI170" i="9"/>
  <c r="CH156" i="9"/>
  <c r="CI153" i="9"/>
  <c r="CF144" i="9"/>
  <c r="CI144" i="9" s="1"/>
  <c r="CG123" i="9"/>
  <c r="CH123" i="9" s="1"/>
  <c r="CF115" i="9"/>
  <c r="CH115" i="9" s="1"/>
  <c r="CI108" i="9"/>
  <c r="CE101" i="9"/>
  <c r="CF101" i="9"/>
  <c r="CG101" i="9"/>
  <c r="CG208" i="9"/>
  <c r="CH204" i="9"/>
  <c r="CG194" i="9"/>
  <c r="CH194" i="9" s="1"/>
  <c r="CH190" i="9"/>
  <c r="CG180" i="9"/>
  <c r="CH180" i="9" s="1"/>
  <c r="CH176" i="9"/>
  <c r="CF173" i="9"/>
  <c r="CI173" i="9" s="1"/>
  <c r="CH170" i="9"/>
  <c r="CG163" i="9"/>
  <c r="CH163" i="9" s="1"/>
  <c r="CI160" i="9"/>
  <c r="CH147" i="9"/>
  <c r="CE144" i="9"/>
  <c r="CF123" i="9"/>
  <c r="CE115" i="9"/>
  <c r="CE103" i="9"/>
  <c r="CF103" i="9"/>
  <c r="CH103" i="9"/>
  <c r="CI103" i="9"/>
  <c r="CH96" i="9"/>
  <c r="CE63" i="9"/>
  <c r="CF63" i="9"/>
  <c r="CG63" i="9"/>
  <c r="CG59" i="9"/>
  <c r="CI59" i="9" s="1"/>
  <c r="CF57" i="9"/>
  <c r="CI57" i="9" s="1"/>
  <c r="CE47" i="9"/>
  <c r="CF47" i="9"/>
  <c r="CG47" i="9"/>
  <c r="CH47" i="9"/>
  <c r="CI47" i="9"/>
  <c r="CF45" i="9"/>
  <c r="CH45" i="9" s="1"/>
  <c r="CH31" i="9"/>
  <c r="CI22" i="9"/>
  <c r="CH8" i="9"/>
  <c r="CI8" i="9"/>
  <c r="CE16" i="9"/>
  <c r="CE5" i="9"/>
  <c r="CF5" i="9"/>
  <c r="CH5" i="9" s="1"/>
  <c r="CG5" i="9"/>
  <c r="CG54" i="9"/>
  <c r="CH48" i="9"/>
  <c r="CI48" i="9"/>
  <c r="CI25" i="9"/>
  <c r="CG3" i="9"/>
  <c r="CH3" i="9" s="1"/>
  <c r="CG43" i="9"/>
  <c r="CH43" i="9" s="1"/>
  <c r="CI43" i="9"/>
  <c r="CH20" i="9"/>
  <c r="CI20" i="9"/>
  <c r="CI109" i="9"/>
  <c r="CF80" i="9"/>
  <c r="CG80" i="9"/>
  <c r="CH80" i="9"/>
  <c r="CI80" i="9"/>
  <c r="CG29" i="9"/>
  <c r="CH29" i="9"/>
  <c r="CI29" i="9"/>
  <c r="CG12" i="9"/>
  <c r="CE89" i="9"/>
  <c r="CF89" i="9"/>
  <c r="CH89" i="9" s="1"/>
  <c r="CG89" i="9"/>
  <c r="CG142" i="9"/>
  <c r="CI142" i="9" s="1"/>
  <c r="CG138" i="9"/>
  <c r="CH138" i="9" s="1"/>
  <c r="CE127" i="9"/>
  <c r="CG124" i="9"/>
  <c r="CE113" i="9"/>
  <c r="CG110" i="9"/>
  <c r="CI110" i="9" s="1"/>
  <c r="CG104" i="9"/>
  <c r="CH104" i="9" s="1"/>
  <c r="CH95" i="9"/>
  <c r="CI92" i="9"/>
  <c r="CE75" i="9"/>
  <c r="CF75" i="9"/>
  <c r="CH75" i="9" s="1"/>
  <c r="CG75" i="9"/>
  <c r="CG72" i="9"/>
  <c r="CI72" i="9" s="1"/>
  <c r="CF66" i="9"/>
  <c r="CG66" i="9"/>
  <c r="CH66" i="9"/>
  <c r="CI66" i="9"/>
  <c r="CG49" i="9"/>
  <c r="CI41" i="9"/>
  <c r="CG15" i="9"/>
  <c r="CH15" i="9" s="1"/>
  <c r="CF12" i="9"/>
  <c r="CI12" i="9" s="1"/>
  <c r="CH6" i="9"/>
  <c r="CI6" i="9"/>
  <c r="CE61" i="9"/>
  <c r="CF61" i="9"/>
  <c r="CI61" i="9" s="1"/>
  <c r="CG61" i="9"/>
  <c r="CF52" i="9"/>
  <c r="CG52" i="9"/>
  <c r="CH52" i="9"/>
  <c r="CI52" i="9"/>
  <c r="CI30" i="9"/>
  <c r="CE33" i="9"/>
  <c r="CF33" i="9"/>
  <c r="CH33" i="9" s="1"/>
  <c r="CG33" i="9"/>
  <c r="CG30" i="9"/>
  <c r="CH30" i="9" s="1"/>
  <c r="CF24" i="9"/>
  <c r="CG24" i="9"/>
  <c r="CH24" i="9"/>
  <c r="CI24" i="9"/>
  <c r="CH16" i="9"/>
  <c r="CG7" i="9"/>
  <c r="CH7" i="9" s="1"/>
  <c r="CI95" i="9"/>
  <c r="CE19" i="9"/>
  <c r="CF19" i="9"/>
  <c r="CI19" i="9" s="1"/>
  <c r="CG19" i="9"/>
  <c r="CF10" i="9"/>
  <c r="CG10" i="9"/>
  <c r="CH10" i="9"/>
  <c r="CI10" i="9"/>
  <c r="CF88" i="9"/>
  <c r="CF74" i="9"/>
  <c r="CF60" i="9"/>
  <c r="CF46" i="9"/>
  <c r="CF32" i="9"/>
  <c r="CF18" i="9"/>
  <c r="AQ399" i="9"/>
  <c r="AP399" i="9"/>
  <c r="AM314" i="9"/>
  <c r="AN314" i="9"/>
  <c r="AP314" i="9" s="1"/>
  <c r="AO314" i="9"/>
  <c r="AQ314" i="9" s="1"/>
  <c r="AP392" i="9"/>
  <c r="AQ262" i="9"/>
  <c r="AP262" i="9"/>
  <c r="AM423" i="9"/>
  <c r="AN423" i="9"/>
  <c r="AP423" i="9" s="1"/>
  <c r="AO423" i="9"/>
  <c r="AM532" i="9"/>
  <c r="AN532" i="9"/>
  <c r="AO532" i="9"/>
  <c r="AP532" i="9" s="1"/>
  <c r="AQ532" i="9"/>
  <c r="AM480" i="9"/>
  <c r="AN480" i="9"/>
  <c r="AP480" i="9" s="1"/>
  <c r="AO480" i="9"/>
  <c r="AP388" i="9"/>
  <c r="AP353" i="9"/>
  <c r="AQ353" i="9"/>
  <c r="AO247" i="9"/>
  <c r="AM247" i="9"/>
  <c r="AN247" i="9"/>
  <c r="AP247" i="9" s="1"/>
  <c r="AM555" i="9"/>
  <c r="AN555" i="9"/>
  <c r="AP555" i="9" s="1"/>
  <c r="AO555" i="9"/>
  <c r="AM545" i="9"/>
  <c r="AN545" i="9"/>
  <c r="AQ545" i="9" s="1"/>
  <c r="AO545" i="9"/>
  <c r="AP545" i="9" s="1"/>
  <c r="AP456" i="9"/>
  <c r="AQ456" i="9"/>
  <c r="AM578" i="9"/>
  <c r="AN578" i="9"/>
  <c r="AQ578" i="9" s="1"/>
  <c r="AO578" i="9"/>
  <c r="AP578" i="9" s="1"/>
  <c r="AP468" i="9"/>
  <c r="AP301" i="9"/>
  <c r="AO549" i="9"/>
  <c r="AM549" i="9"/>
  <c r="AN549" i="9"/>
  <c r="AP549" i="9" s="1"/>
  <c r="AM474" i="9"/>
  <c r="AN474" i="9"/>
  <c r="AO474" i="9"/>
  <c r="AQ474" i="9"/>
  <c r="AP474" i="9"/>
  <c r="AP471" i="9"/>
  <c r="AP579" i="9"/>
  <c r="AQ447" i="9"/>
  <c r="AM253" i="9"/>
  <c r="AN253" i="9"/>
  <c r="AO253" i="9"/>
  <c r="AP253" i="9"/>
  <c r="AQ226" i="9"/>
  <c r="AO507" i="9"/>
  <c r="AP507" i="9" s="1"/>
  <c r="AM471" i="9"/>
  <c r="AO439" i="9"/>
  <c r="AO430" i="9"/>
  <c r="AN430" i="9"/>
  <c r="AQ430" i="9" s="1"/>
  <c r="AP430" i="9"/>
  <c r="AQ377" i="9"/>
  <c r="AO374" i="9"/>
  <c r="AQ374" i="9"/>
  <c r="AQ356" i="9"/>
  <c r="AN341" i="9"/>
  <c r="AQ341" i="9" s="1"/>
  <c r="AO341" i="9"/>
  <c r="AN338" i="9"/>
  <c r="AQ273" i="9"/>
  <c r="AP310" i="9"/>
  <c r="AQ310" i="9"/>
  <c r="AM310" i="9"/>
  <c r="AO297" i="9"/>
  <c r="AO239" i="9"/>
  <c r="AP239" i="9"/>
  <c r="AQ239" i="9"/>
  <c r="AM239" i="9"/>
  <c r="AO233" i="9"/>
  <c r="AP233" i="9" s="1"/>
  <c r="AM233" i="9"/>
  <c r="AN233" i="9"/>
  <c r="AQ233" i="9"/>
  <c r="AP209" i="9"/>
  <c r="AN572" i="9"/>
  <c r="AP572" i="9" s="1"/>
  <c r="AO572" i="9"/>
  <c r="AN327" i="9"/>
  <c r="AO327" i="9"/>
  <c r="AP327" i="9" s="1"/>
  <c r="AQ327" i="9"/>
  <c r="AN324" i="9"/>
  <c r="AP324" i="9" s="1"/>
  <c r="AN320" i="9"/>
  <c r="AO320" i="9"/>
  <c r="AQ320" i="9" s="1"/>
  <c r="AP320" i="9"/>
  <c r="AM308" i="9"/>
  <c r="AN308" i="9"/>
  <c r="AQ308" i="9" s="1"/>
  <c r="AO308" i="9"/>
  <c r="AM306" i="9"/>
  <c r="AN306" i="9"/>
  <c r="AQ306" i="9" s="1"/>
  <c r="AO306" i="9"/>
  <c r="AP306" i="9"/>
  <c r="AM273" i="9"/>
  <c r="AP273" i="9"/>
  <c r="AP237" i="9"/>
  <c r="AP185" i="9"/>
  <c r="AN418" i="9"/>
  <c r="AQ418" i="9" s="1"/>
  <c r="AO418" i="9"/>
  <c r="AP418" i="9"/>
  <c r="AP317" i="9"/>
  <c r="AQ317" i="9"/>
  <c r="AO381" i="9"/>
  <c r="AQ370" i="9"/>
  <c r="AM347" i="9"/>
  <c r="AN347" i="9"/>
  <c r="AQ347" i="9"/>
  <c r="AO347" i="9"/>
  <c r="AP347" i="9"/>
  <c r="AN330" i="9"/>
  <c r="AP330" i="9" s="1"/>
  <c r="AO330" i="9"/>
  <c r="AN81" i="9"/>
  <c r="AQ81" i="9" s="1"/>
  <c r="AM81" i="9"/>
  <c r="AO81" i="9"/>
  <c r="AP81" i="9" s="1"/>
  <c r="AM278" i="9"/>
  <c r="AN278" i="9"/>
  <c r="AP278" i="9" s="1"/>
  <c r="AO278" i="9"/>
  <c r="AQ278" i="9"/>
  <c r="AN276" i="9"/>
  <c r="AP276" i="9" s="1"/>
  <c r="AO276" i="9"/>
  <c r="AM276" i="9"/>
  <c r="AN258" i="9"/>
  <c r="AP258" i="9" s="1"/>
  <c r="AP225" i="9"/>
  <c r="AQ218" i="9"/>
  <c r="AP216" i="9"/>
  <c r="AQ216" i="9"/>
  <c r="AP123" i="9"/>
  <c r="AQ123" i="9"/>
  <c r="AP582" i="9"/>
  <c r="AQ582" i="9"/>
  <c r="AP484" i="9"/>
  <c r="AQ484" i="9"/>
  <c r="AQ559" i="9"/>
  <c r="AO442" i="9"/>
  <c r="AP442" i="9"/>
  <c r="AQ442" i="9"/>
  <c r="AM434" i="9"/>
  <c r="AN434" i="9"/>
  <c r="AP434" i="9" s="1"/>
  <c r="AO434" i="9"/>
  <c r="AQ434" i="9"/>
  <c r="AN410" i="9"/>
  <c r="AP410" i="9" s="1"/>
  <c r="AO410" i="9"/>
  <c r="AM390" i="9"/>
  <c r="AN390" i="9"/>
  <c r="AO390" i="9"/>
  <c r="AQ390" i="9" s="1"/>
  <c r="AM567" i="9"/>
  <c r="AN567" i="9"/>
  <c r="AP567" i="9" s="1"/>
  <c r="AO567" i="9"/>
  <c r="AQ567" i="9"/>
  <c r="AP463" i="9"/>
  <c r="AN454" i="9"/>
  <c r="AP454" i="9" s="1"/>
  <c r="AO454" i="9"/>
  <c r="AN544" i="9"/>
  <c r="AO544" i="9"/>
  <c r="AP544" i="9"/>
  <c r="AQ544" i="9"/>
  <c r="AQ573" i="9"/>
  <c r="AO479" i="9"/>
  <c r="AQ479" i="9" s="1"/>
  <c r="AP479" i="9"/>
  <c r="AQ475" i="9"/>
  <c r="AN446" i="9"/>
  <c r="AP446" i="9" s="1"/>
  <c r="AO446" i="9"/>
  <c r="AQ419" i="9"/>
  <c r="AO402" i="9"/>
  <c r="AN402" i="9"/>
  <c r="AP402" i="9"/>
  <c r="AQ402" i="9"/>
  <c r="AO388" i="9"/>
  <c r="AQ388" i="9" s="1"/>
  <c r="AP373" i="9"/>
  <c r="AQ373" i="9"/>
  <c r="AM581" i="9"/>
  <c r="AN581" i="9"/>
  <c r="AP581" i="9" s="1"/>
  <c r="AO581" i="9"/>
  <c r="AP554" i="9"/>
  <c r="AQ554" i="9"/>
  <c r="AN502" i="9"/>
  <c r="AO502" i="9"/>
  <c r="AP502" i="9" s="1"/>
  <c r="AQ502" i="9"/>
  <c r="AM483" i="9"/>
  <c r="AN483" i="9"/>
  <c r="AO483" i="9"/>
  <c r="AQ483" i="9"/>
  <c r="AP483" i="9"/>
  <c r="AO467" i="9"/>
  <c r="AO458" i="9"/>
  <c r="AN458" i="9"/>
  <c r="AP458" i="9" s="1"/>
  <c r="AO411" i="9"/>
  <c r="AP384" i="9"/>
  <c r="AN355" i="9"/>
  <c r="AP355" i="9"/>
  <c r="AO355" i="9"/>
  <c r="AQ355" i="9"/>
  <c r="AO318" i="9"/>
  <c r="AP318" i="9"/>
  <c r="AQ318" i="9"/>
  <c r="AM316" i="9"/>
  <c r="AN316" i="9"/>
  <c r="AP316" i="9" s="1"/>
  <c r="AO316" i="9"/>
  <c r="AN291" i="9"/>
  <c r="AP291" i="9" s="1"/>
  <c r="AO521" i="9"/>
  <c r="AP521" i="9"/>
  <c r="AQ521" i="9"/>
  <c r="AO535" i="9"/>
  <c r="AP535" i="9" s="1"/>
  <c r="AQ535" i="9"/>
  <c r="AP337" i="9"/>
  <c r="AM337" i="9"/>
  <c r="AN337" i="9"/>
  <c r="AQ337" i="9" s="1"/>
  <c r="AO337" i="9"/>
  <c r="AN270" i="9"/>
  <c r="AQ270" i="9" s="1"/>
  <c r="AO270" i="9"/>
  <c r="AP270" i="9" s="1"/>
  <c r="AM270" i="9"/>
  <c r="AO261" i="9"/>
  <c r="AN261" i="9"/>
  <c r="AP261" i="9" s="1"/>
  <c r="AO117" i="9"/>
  <c r="AM117" i="9"/>
  <c r="AN117" i="9"/>
  <c r="AP117" i="9" s="1"/>
  <c r="AM553" i="9"/>
  <c r="AN553" i="9"/>
  <c r="AP553" i="9" s="1"/>
  <c r="AO553" i="9"/>
  <c r="AQ553" i="9" s="1"/>
  <c r="AM392" i="9"/>
  <c r="AO392" i="9"/>
  <c r="AQ392" i="9" s="1"/>
  <c r="AO380" i="9"/>
  <c r="AP380" i="9"/>
  <c r="AQ380" i="9"/>
  <c r="AM372" i="9"/>
  <c r="AN372" i="9"/>
  <c r="AP372" i="9" s="1"/>
  <c r="AQ372" i="9"/>
  <c r="AO372" i="9"/>
  <c r="AO362" i="9"/>
  <c r="AP362" i="9"/>
  <c r="AQ362" i="9"/>
  <c r="AM351" i="9"/>
  <c r="AN351" i="9"/>
  <c r="AP351" i="9" s="1"/>
  <c r="AO351" i="9"/>
  <c r="AQ351" i="9"/>
  <c r="AM75" i="9"/>
  <c r="AN75" i="9"/>
  <c r="AQ75" i="9" s="1"/>
  <c r="AO75" i="9"/>
  <c r="AP75" i="9"/>
  <c r="AN586" i="9"/>
  <c r="AO586" i="9"/>
  <c r="AP586" i="9"/>
  <c r="AQ586" i="9"/>
  <c r="AP540" i="9"/>
  <c r="AQ540" i="9"/>
  <c r="AN422" i="9"/>
  <c r="AO422" i="9"/>
  <c r="AP422" i="9"/>
  <c r="AQ422" i="9"/>
  <c r="AP498" i="9"/>
  <c r="AQ498" i="9"/>
  <c r="AO577" i="9"/>
  <c r="AP577" i="9" s="1"/>
  <c r="AQ523" i="9"/>
  <c r="AP391" i="9"/>
  <c r="AQ391" i="9"/>
  <c r="AQ588" i="9"/>
  <c r="AN568" i="9"/>
  <c r="AP568" i="9" s="1"/>
  <c r="AN558" i="9"/>
  <c r="AO558" i="9"/>
  <c r="AQ558" i="9"/>
  <c r="AP558" i="9"/>
  <c r="AQ536" i="9"/>
  <c r="AQ513" i="9"/>
  <c r="AP512" i="9"/>
  <c r="AQ512" i="9"/>
  <c r="AQ490" i="9"/>
  <c r="AQ477" i="9"/>
  <c r="AO470" i="9"/>
  <c r="AP470" i="9" s="1"/>
  <c r="AQ470" i="9"/>
  <c r="AM462" i="9"/>
  <c r="AN462" i="9"/>
  <c r="AO462" i="9"/>
  <c r="AP462" i="9"/>
  <c r="AQ462" i="9"/>
  <c r="AQ459" i="9"/>
  <c r="AP447" i="9"/>
  <c r="AQ444" i="9"/>
  <c r="AN438" i="9"/>
  <c r="AO438" i="9"/>
  <c r="AP438" i="9"/>
  <c r="AQ438" i="9"/>
  <c r="AO414" i="9"/>
  <c r="AP414" i="9"/>
  <c r="AQ414" i="9"/>
  <c r="AM406" i="9"/>
  <c r="AN406" i="9"/>
  <c r="AO406" i="9"/>
  <c r="AQ406" i="9" s="1"/>
  <c r="AP406" i="9"/>
  <c r="AQ400" i="9"/>
  <c r="AN384" i="9"/>
  <c r="AN376" i="9"/>
  <c r="AO376" i="9"/>
  <c r="AP376" i="9"/>
  <c r="AQ376" i="9"/>
  <c r="AN366" i="9"/>
  <c r="AN358" i="9"/>
  <c r="AP358" i="9" s="1"/>
  <c r="AO358" i="9"/>
  <c r="AQ358" i="9"/>
  <c r="AQ352" i="9"/>
  <c r="AQ321" i="9"/>
  <c r="AP300" i="9"/>
  <c r="AQ300" i="9"/>
  <c r="AM300" i="9"/>
  <c r="AM287" i="9"/>
  <c r="AN287" i="9"/>
  <c r="AP287" i="9" s="1"/>
  <c r="AO287" i="9"/>
  <c r="AO222" i="9"/>
  <c r="AM171" i="9"/>
  <c r="AQ171" i="9"/>
  <c r="AN171" i="9"/>
  <c r="AO171" i="9"/>
  <c r="AP171" i="9"/>
  <c r="AO217" i="9"/>
  <c r="AQ217" i="9"/>
  <c r="AM217" i="9"/>
  <c r="AN217" i="9"/>
  <c r="AP217" i="9" s="1"/>
  <c r="AO563" i="9"/>
  <c r="AP563" i="9"/>
  <c r="AQ563" i="9"/>
  <c r="AN488" i="9"/>
  <c r="AQ488" i="9" s="1"/>
  <c r="AO488" i="9"/>
  <c r="AP488" i="9"/>
  <c r="AP407" i="9"/>
  <c r="AQ517" i="9"/>
  <c r="AN313" i="9"/>
  <c r="AQ313" i="9" s="1"/>
  <c r="AO313" i="9"/>
  <c r="AP313" i="9"/>
  <c r="AM313" i="9"/>
  <c r="AN297" i="9"/>
  <c r="AP297" i="9" s="1"/>
  <c r="AM525" i="9"/>
  <c r="AN525" i="9"/>
  <c r="AQ525" i="9" s="1"/>
  <c r="AO525" i="9"/>
  <c r="AP525" i="9" s="1"/>
  <c r="AO568" i="9"/>
  <c r="AQ542" i="9"/>
  <c r="AQ531" i="9"/>
  <c r="AQ575" i="9"/>
  <c r="AM539" i="9"/>
  <c r="AN539" i="9"/>
  <c r="AQ539" i="9" s="1"/>
  <c r="AO539" i="9"/>
  <c r="AP539" i="9"/>
  <c r="AO591" i="9"/>
  <c r="AP591" i="9"/>
  <c r="AQ591" i="9"/>
  <c r="AP588" i="9"/>
  <c r="AQ587" i="9"/>
  <c r="AQ579" i="9"/>
  <c r="AP536" i="9"/>
  <c r="AO526" i="9"/>
  <c r="AP513" i="9"/>
  <c r="AP503" i="9"/>
  <c r="AQ500" i="9"/>
  <c r="AO493" i="9"/>
  <c r="AP493" i="9"/>
  <c r="AQ493" i="9"/>
  <c r="AP490" i="9"/>
  <c r="AQ489" i="9"/>
  <c r="AQ481" i="9"/>
  <c r="AQ471" i="9"/>
  <c r="AP459" i="9"/>
  <c r="AO447" i="9"/>
  <c r="AP435" i="9"/>
  <c r="AN426" i="9"/>
  <c r="AQ426" i="9" s="1"/>
  <c r="AO426" i="9"/>
  <c r="AQ415" i="9"/>
  <c r="AO403" i="9"/>
  <c r="AQ403" i="9" s="1"/>
  <c r="AN394" i="9"/>
  <c r="AP394" i="9" s="1"/>
  <c r="AO394" i="9"/>
  <c r="AO348" i="9"/>
  <c r="AP307" i="9"/>
  <c r="AQ307" i="9"/>
  <c r="AQ272" i="9"/>
  <c r="AN272" i="9"/>
  <c r="AP272" i="9" s="1"/>
  <c r="AO272" i="9"/>
  <c r="AN530" i="9"/>
  <c r="AQ530" i="9" s="1"/>
  <c r="AO530" i="9"/>
  <c r="AM511" i="9"/>
  <c r="AN511" i="9"/>
  <c r="AQ511" i="9" s="1"/>
  <c r="AO511" i="9"/>
  <c r="AP511" i="9"/>
  <c r="AN466" i="9"/>
  <c r="AO466" i="9"/>
  <c r="AP466" i="9" s="1"/>
  <c r="AN398" i="9"/>
  <c r="AQ398" i="9" s="1"/>
  <c r="AO398" i="9"/>
  <c r="AO344" i="9"/>
  <c r="AQ344" i="9" s="1"/>
  <c r="AP344" i="9"/>
  <c r="AN526" i="9"/>
  <c r="AP526" i="9" s="1"/>
  <c r="AN516" i="9"/>
  <c r="AO516" i="9"/>
  <c r="AP516" i="9" s="1"/>
  <c r="AO503" i="9"/>
  <c r="AQ503" i="9" s="1"/>
  <c r="AM497" i="9"/>
  <c r="AN497" i="9"/>
  <c r="AQ497" i="9" s="1"/>
  <c r="AO497" i="9"/>
  <c r="AN450" i="9"/>
  <c r="AO450" i="9"/>
  <c r="AP450" i="9"/>
  <c r="AQ450" i="9"/>
  <c r="AN447" i="9"/>
  <c r="AQ384" i="9"/>
  <c r="AP374" i="9"/>
  <c r="AN369" i="9"/>
  <c r="AP369" i="9" s="1"/>
  <c r="AM369" i="9"/>
  <c r="AO369" i="9"/>
  <c r="AP366" i="9"/>
  <c r="AQ366" i="9"/>
  <c r="AO356" i="9"/>
  <c r="AP356" i="9" s="1"/>
  <c r="AN348" i="9"/>
  <c r="AP348" i="9" s="1"/>
  <c r="AM251" i="9"/>
  <c r="AN251" i="9"/>
  <c r="AP251" i="9" s="1"/>
  <c r="AO251" i="9"/>
  <c r="AQ245" i="9"/>
  <c r="AP222" i="9"/>
  <c r="AM222" i="9"/>
  <c r="AQ222" i="9"/>
  <c r="AP159" i="9"/>
  <c r="AQ159" i="9"/>
  <c r="AP102" i="9"/>
  <c r="AQ102" i="9"/>
  <c r="AP77" i="9"/>
  <c r="AN77" i="9"/>
  <c r="AM77" i="9"/>
  <c r="AO77" i="9"/>
  <c r="AQ77" i="9"/>
  <c r="AM285" i="9"/>
  <c r="AN285" i="9"/>
  <c r="AQ285" i="9" s="1"/>
  <c r="AO285" i="9"/>
  <c r="AQ236" i="9"/>
  <c r="AM231" i="9"/>
  <c r="AN231" i="9"/>
  <c r="AO231" i="9"/>
  <c r="AP231" i="9"/>
  <c r="AQ208" i="9"/>
  <c r="AO153" i="9"/>
  <c r="AQ153" i="9"/>
  <c r="AM153" i="9"/>
  <c r="AN153" i="9"/>
  <c r="AP153" i="9" s="1"/>
  <c r="AQ136" i="9"/>
  <c r="AQ104" i="9"/>
  <c r="AP104" i="9"/>
  <c r="AO304" i="9"/>
  <c r="AQ304" i="9" s="1"/>
  <c r="AP304" i="9"/>
  <c r="AO301" i="9"/>
  <c r="AQ301" i="9" s="1"/>
  <c r="AO292" i="9"/>
  <c r="AQ292" i="9" s="1"/>
  <c r="AM265" i="9"/>
  <c r="AN265" i="9"/>
  <c r="AP265" i="9" s="1"/>
  <c r="AQ265" i="9"/>
  <c r="AN204" i="9"/>
  <c r="AQ204" i="9" s="1"/>
  <c r="AO204" i="9"/>
  <c r="AO145" i="9"/>
  <c r="AM145" i="9"/>
  <c r="AN145" i="9"/>
  <c r="AQ145" i="9" s="1"/>
  <c r="AP145" i="9"/>
  <c r="AP41" i="9"/>
  <c r="AQ41" i="9"/>
  <c r="AP165" i="9"/>
  <c r="AQ165" i="9"/>
  <c r="AP137" i="9"/>
  <c r="AQ137" i="9"/>
  <c r="AP110" i="9"/>
  <c r="AQ110" i="9"/>
  <c r="AO332" i="9"/>
  <c r="AQ332" i="9" s="1"/>
  <c r="AP332" i="9"/>
  <c r="AQ328" i="9"/>
  <c r="AM322" i="9"/>
  <c r="AN322" i="9"/>
  <c r="AO322" i="9"/>
  <c r="AO295" i="9"/>
  <c r="AP295" i="9" s="1"/>
  <c r="AP268" i="9"/>
  <c r="AQ268" i="9"/>
  <c r="AM237" i="9"/>
  <c r="AN237" i="9"/>
  <c r="AQ237" i="9" s="1"/>
  <c r="AP232" i="9"/>
  <c r="AQ229" i="9"/>
  <c r="AO181" i="9"/>
  <c r="AM181" i="9"/>
  <c r="AN181" i="9"/>
  <c r="AN122" i="9"/>
  <c r="AQ122" i="9" s="1"/>
  <c r="AO122" i="9"/>
  <c r="AM122" i="9"/>
  <c r="AM378" i="9"/>
  <c r="AO378" i="9"/>
  <c r="AM350" i="9"/>
  <c r="AO350" i="9"/>
  <c r="AP286" i="9"/>
  <c r="AQ286" i="9"/>
  <c r="AM235" i="9"/>
  <c r="AN235" i="9"/>
  <c r="AQ235" i="9" s="1"/>
  <c r="AO235" i="9"/>
  <c r="AP214" i="9"/>
  <c r="AM214" i="9"/>
  <c r="AN214" i="9"/>
  <c r="AO214" i="9"/>
  <c r="AQ211" i="9"/>
  <c r="AO211" i="9"/>
  <c r="AP211" i="9" s="1"/>
  <c r="AM107" i="9"/>
  <c r="AN107" i="9"/>
  <c r="AO107" i="9"/>
  <c r="AQ107" i="9" s="1"/>
  <c r="AO105" i="9"/>
  <c r="AP105" i="9" s="1"/>
  <c r="AM105" i="9"/>
  <c r="AN105" i="9"/>
  <c r="AQ105" i="9" s="1"/>
  <c r="AQ440" i="9"/>
  <c r="AQ412" i="9"/>
  <c r="AO386" i="9"/>
  <c r="AO365" i="9"/>
  <c r="AO333" i="9"/>
  <c r="AO323" i="9"/>
  <c r="AM299" i="9"/>
  <c r="AN299" i="9"/>
  <c r="AP299" i="9" s="1"/>
  <c r="AO299" i="9"/>
  <c r="AQ277" i="9"/>
  <c r="AO209" i="9"/>
  <c r="AQ209" i="9" s="1"/>
  <c r="AM209" i="9"/>
  <c r="AO156" i="9"/>
  <c r="AQ156" i="9"/>
  <c r="AM156" i="9"/>
  <c r="AN156" i="9"/>
  <c r="AP156" i="9" s="1"/>
  <c r="AP86" i="9"/>
  <c r="AQ468" i="9"/>
  <c r="AQ342" i="9"/>
  <c r="AM336" i="9"/>
  <c r="AN336" i="9"/>
  <c r="AO336" i="9"/>
  <c r="AP393" i="9"/>
  <c r="AQ387" i="9"/>
  <c r="AN386" i="9"/>
  <c r="AO383" i="9"/>
  <c r="AN365" i="9"/>
  <c r="AQ365" i="9" s="1"/>
  <c r="AQ334" i="9"/>
  <c r="AN333" i="9"/>
  <c r="AN323" i="9"/>
  <c r="AP323" i="9" s="1"/>
  <c r="AQ303" i="9"/>
  <c r="AN302" i="9"/>
  <c r="AN296" i="9"/>
  <c r="AN290" i="9"/>
  <c r="AP290" i="9" s="1"/>
  <c r="AO290" i="9"/>
  <c r="AN281" i="9"/>
  <c r="AQ267" i="9"/>
  <c r="AP266" i="9"/>
  <c r="AQ266" i="9"/>
  <c r="AN254" i="9"/>
  <c r="AQ254" i="9" s="1"/>
  <c r="AN252" i="9"/>
  <c r="AQ252" i="9" s="1"/>
  <c r="AQ244" i="9"/>
  <c r="AN207" i="9"/>
  <c r="AP207" i="9" s="1"/>
  <c r="AO207" i="9"/>
  <c r="AN190" i="9"/>
  <c r="AP190" i="9" s="1"/>
  <c r="AM190" i="9"/>
  <c r="AO190" i="9"/>
  <c r="AN154" i="9"/>
  <c r="AM154" i="9"/>
  <c r="AO154" i="9"/>
  <c r="AP154" i="9"/>
  <c r="AQ154" i="9"/>
  <c r="AP44" i="9"/>
  <c r="AO360" i="9"/>
  <c r="AP360" i="9" s="1"/>
  <c r="AQ360" i="9"/>
  <c r="AM364" i="9"/>
  <c r="AO364" i="9"/>
  <c r="AO346" i="9"/>
  <c r="AQ346" i="9" s="1"/>
  <c r="AP346" i="9"/>
  <c r="AM271" i="9"/>
  <c r="AN271" i="9"/>
  <c r="AQ271" i="9" s="1"/>
  <c r="AO271" i="9"/>
  <c r="AP271" i="9" s="1"/>
  <c r="AN168" i="9"/>
  <c r="AP168" i="9" s="1"/>
  <c r="AM168" i="9"/>
  <c r="AO168" i="9"/>
  <c r="AQ168" i="9"/>
  <c r="AQ114" i="9"/>
  <c r="AP114" i="9"/>
  <c r="AM59" i="9"/>
  <c r="AN59" i="9"/>
  <c r="AQ59" i="9" s="1"/>
  <c r="AO59" i="9"/>
  <c r="AP449" i="9"/>
  <c r="AP421" i="9"/>
  <c r="AP379" i="9"/>
  <c r="AP334" i="9"/>
  <c r="AP309" i="9"/>
  <c r="AQ309" i="9"/>
  <c r="AO257" i="9"/>
  <c r="AQ257" i="9" s="1"/>
  <c r="AP244" i="9"/>
  <c r="AQ243" i="9"/>
  <c r="AQ225" i="9"/>
  <c r="AO225" i="9"/>
  <c r="AO221" i="9"/>
  <c r="AP221" i="9"/>
  <c r="AQ221" i="9"/>
  <c r="AM221" i="9"/>
  <c r="AQ205" i="9"/>
  <c r="AP150" i="9"/>
  <c r="AO150" i="9"/>
  <c r="AQ150" i="9"/>
  <c r="AM150" i="9"/>
  <c r="AN150" i="9"/>
  <c r="AP130" i="9"/>
  <c r="AN383" i="9"/>
  <c r="AP383" i="9" s="1"/>
  <c r="AQ323" i="9"/>
  <c r="AO281" i="9"/>
  <c r="AP281" i="9"/>
  <c r="AQ281" i="9"/>
  <c r="AP252" i="9"/>
  <c r="AN250" i="9"/>
  <c r="AP250" i="9" s="1"/>
  <c r="AO250" i="9"/>
  <c r="AO236" i="9"/>
  <c r="AP236" i="9" s="1"/>
  <c r="AP195" i="9"/>
  <c r="AQ195" i="9"/>
  <c r="AN109" i="9"/>
  <c r="AO109" i="9"/>
  <c r="AP109" i="9"/>
  <c r="AM109" i="9"/>
  <c r="AQ109" i="9"/>
  <c r="AP200" i="9"/>
  <c r="AQ184" i="9"/>
  <c r="AP177" i="9"/>
  <c r="AQ162" i="9"/>
  <c r="AQ141" i="9"/>
  <c r="AM141" i="9"/>
  <c r="AN141" i="9"/>
  <c r="AQ139" i="9"/>
  <c r="AP133" i="9"/>
  <c r="AQ130" i="9"/>
  <c r="AP124" i="9"/>
  <c r="AO111" i="9"/>
  <c r="AN111" i="9"/>
  <c r="AN78" i="9"/>
  <c r="AP78" i="9" s="1"/>
  <c r="AO78" i="9"/>
  <c r="AQ37" i="9"/>
  <c r="AQ26" i="9"/>
  <c r="AN24" i="9"/>
  <c r="AO24" i="9"/>
  <c r="AP24" i="9"/>
  <c r="AQ24" i="9"/>
  <c r="AN228" i="9"/>
  <c r="AQ228" i="9" s="1"/>
  <c r="AO228" i="9"/>
  <c r="AO201" i="9"/>
  <c r="AQ201" i="9" s="1"/>
  <c r="AP187" i="9"/>
  <c r="AP184" i="9"/>
  <c r="AQ183" i="9"/>
  <c r="AO164" i="9"/>
  <c r="AP164" i="9" s="1"/>
  <c r="AM164" i="9"/>
  <c r="AN164" i="9"/>
  <c r="AP162" i="9"/>
  <c r="AP76" i="9"/>
  <c r="AQ76" i="9"/>
  <c r="AM76" i="9"/>
  <c r="AO72" i="9"/>
  <c r="AN72" i="9"/>
  <c r="AN39" i="9"/>
  <c r="AO39" i="9"/>
  <c r="AQ39" i="9" s="1"/>
  <c r="AP39" i="9"/>
  <c r="AN148" i="9"/>
  <c r="AQ134" i="9"/>
  <c r="AQ125" i="9"/>
  <c r="AQ100" i="9"/>
  <c r="AM89" i="9"/>
  <c r="AN89" i="9"/>
  <c r="AQ89" i="9" s="1"/>
  <c r="AO89" i="9"/>
  <c r="AP89" i="9"/>
  <c r="AM87" i="9"/>
  <c r="AN87" i="9"/>
  <c r="AQ87" i="9" s="1"/>
  <c r="AO87" i="9"/>
  <c r="AQ68" i="9"/>
  <c r="AN66" i="9"/>
  <c r="AP66" i="9" s="1"/>
  <c r="AO66" i="9"/>
  <c r="AO16" i="9"/>
  <c r="AN16" i="9"/>
  <c r="AP16" i="9" s="1"/>
  <c r="AM198" i="9"/>
  <c r="AN198" i="9"/>
  <c r="AP198" i="9" s="1"/>
  <c r="AQ177" i="9"/>
  <c r="AP136" i="9"/>
  <c r="AO136" i="9"/>
  <c r="AN120" i="9"/>
  <c r="AQ120" i="9" s="1"/>
  <c r="AQ187" i="9"/>
  <c r="AN174" i="9"/>
  <c r="AO174" i="9"/>
  <c r="AO148" i="9"/>
  <c r="AP148" i="9"/>
  <c r="AQ148" i="9"/>
  <c r="AQ131" i="9"/>
  <c r="AM125" i="9"/>
  <c r="AN125" i="9"/>
  <c r="AP125" i="9" s="1"/>
  <c r="AO125" i="9"/>
  <c r="AM31" i="9"/>
  <c r="AO31" i="9"/>
  <c r="AQ31" i="9" s="1"/>
  <c r="AO44" i="9"/>
  <c r="AQ44" i="9"/>
  <c r="AM223" i="9"/>
  <c r="AN223" i="9"/>
  <c r="AO219" i="9"/>
  <c r="AQ219" i="9" s="1"/>
  <c r="AP219" i="9"/>
  <c r="AQ215" i="9"/>
  <c r="AN202" i="9"/>
  <c r="AO202" i="9"/>
  <c r="AQ191" i="9"/>
  <c r="AN178" i="9"/>
  <c r="AO178" i="9"/>
  <c r="AM157" i="9"/>
  <c r="AN157" i="9"/>
  <c r="AN140" i="9"/>
  <c r="AQ140" i="9" s="1"/>
  <c r="AQ98" i="9"/>
  <c r="AM73" i="9"/>
  <c r="AN73" i="9"/>
  <c r="AO73" i="9"/>
  <c r="AP73" i="9" s="1"/>
  <c r="AN58" i="9"/>
  <c r="AN53" i="9"/>
  <c r="AP53" i="9" s="1"/>
  <c r="AN36" i="9"/>
  <c r="AQ36" i="9" s="1"/>
  <c r="AM199" i="9"/>
  <c r="AQ199" i="9"/>
  <c r="AP108" i="9"/>
  <c r="AM108" i="9"/>
  <c r="AQ108" i="9"/>
  <c r="AP30" i="9"/>
  <c r="AQ30" i="9"/>
  <c r="AN21" i="9"/>
  <c r="AO21" i="9"/>
  <c r="AQ21" i="9" s="1"/>
  <c r="AP3" i="9"/>
  <c r="AQ3" i="9"/>
  <c r="AO294" i="9"/>
  <c r="AO280" i="9"/>
  <c r="AO264" i="9"/>
  <c r="AQ246" i="9"/>
  <c r="AO224" i="9"/>
  <c r="AO220" i="9"/>
  <c r="AO203" i="9"/>
  <c r="AQ200" i="9"/>
  <c r="AQ197" i="9"/>
  <c r="AO189" i="9"/>
  <c r="AN182" i="9"/>
  <c r="AO182" i="9"/>
  <c r="AP179" i="9"/>
  <c r="AQ175" i="9"/>
  <c r="AQ173" i="9"/>
  <c r="AM163" i="9"/>
  <c r="AO163" i="9"/>
  <c r="AQ161" i="9"/>
  <c r="AP152" i="9"/>
  <c r="AO132" i="9"/>
  <c r="AQ124" i="9"/>
  <c r="AN94" i="9"/>
  <c r="AP94" i="9" s="1"/>
  <c r="AO94" i="9"/>
  <c r="AM94" i="9"/>
  <c r="AP88" i="9"/>
  <c r="AO86" i="9"/>
  <c r="AQ86" i="9" s="1"/>
  <c r="AM86" i="9"/>
  <c r="AP49" i="9"/>
  <c r="AM47" i="9"/>
  <c r="AN47" i="9"/>
  <c r="AQ47" i="9" s="1"/>
  <c r="AO47" i="9"/>
  <c r="AN7" i="9"/>
  <c r="AQ7" i="9" s="1"/>
  <c r="AO7" i="9"/>
  <c r="AM5" i="9"/>
  <c r="AN5" i="9"/>
  <c r="AP5" i="9" s="1"/>
  <c r="AO5" i="9"/>
  <c r="AN294" i="9"/>
  <c r="AN280" i="9"/>
  <c r="AN264" i="9"/>
  <c r="AN256" i="9"/>
  <c r="AO256" i="9"/>
  <c r="AP238" i="9"/>
  <c r="AQ238" i="9"/>
  <c r="AN224" i="9"/>
  <c r="AP224" i="9" s="1"/>
  <c r="AN220" i="9"/>
  <c r="AN206" i="9"/>
  <c r="AO206" i="9"/>
  <c r="AN203" i="9"/>
  <c r="AO200" i="9"/>
  <c r="AP197" i="9"/>
  <c r="AQ193" i="9"/>
  <c r="AN189" i="9"/>
  <c r="AP189" i="9" s="1"/>
  <c r="AO179" i="9"/>
  <c r="AQ179" i="9" s="1"/>
  <c r="AP176" i="9"/>
  <c r="AP173" i="9"/>
  <c r="AP172" i="9"/>
  <c r="AQ170" i="9"/>
  <c r="AQ169" i="9"/>
  <c r="AN161" i="9"/>
  <c r="AQ147" i="9"/>
  <c r="AM143" i="9"/>
  <c r="AP143" i="9"/>
  <c r="AQ138" i="9"/>
  <c r="AM135" i="9"/>
  <c r="AO135" i="9"/>
  <c r="AN135" i="9"/>
  <c r="AP135" i="9" s="1"/>
  <c r="AN132" i="9"/>
  <c r="AP132" i="9" s="1"/>
  <c r="AO129" i="9"/>
  <c r="AO124" i="9"/>
  <c r="AQ116" i="9"/>
  <c r="AQ111" i="9"/>
  <c r="AP101" i="9"/>
  <c r="AQ101" i="9"/>
  <c r="AN92" i="9"/>
  <c r="AP92" i="9" s="1"/>
  <c r="AQ92" i="9"/>
  <c r="AQ74" i="9"/>
  <c r="AQ67" i="9"/>
  <c r="AN67" i="9"/>
  <c r="AP67" i="9" s="1"/>
  <c r="AO67" i="9"/>
  <c r="AP63" i="9"/>
  <c r="AM61" i="9"/>
  <c r="AN61" i="9"/>
  <c r="AQ61" i="9" s="1"/>
  <c r="AO61" i="9"/>
  <c r="AQ45" i="9"/>
  <c r="AQ232" i="9"/>
  <c r="AN200" i="9"/>
  <c r="AO183" i="9"/>
  <c r="AP183" i="9" s="1"/>
  <c r="AO176" i="9"/>
  <c r="AQ176" i="9" s="1"/>
  <c r="AQ158" i="9"/>
  <c r="AP141" i="9"/>
  <c r="AN129" i="9"/>
  <c r="AQ129" i="9" s="1"/>
  <c r="AN124" i="9"/>
  <c r="AQ113" i="9"/>
  <c r="AP111" i="9"/>
  <c r="AP90" i="9"/>
  <c r="AQ90" i="9"/>
  <c r="AM90" i="9"/>
  <c r="AP26" i="9"/>
  <c r="AN11" i="9"/>
  <c r="AQ11" i="9" s="1"/>
  <c r="AO11" i="9"/>
  <c r="AP11" i="9"/>
  <c r="AN242" i="9"/>
  <c r="AQ242" i="9" s="1"/>
  <c r="AO242" i="9"/>
  <c r="AQ224" i="9"/>
  <c r="AN210" i="9"/>
  <c r="AO210" i="9"/>
  <c r="AQ210" i="9" s="1"/>
  <c r="AQ203" i="9"/>
  <c r="AM200" i="9"/>
  <c r="AM186" i="9"/>
  <c r="AN186" i="9"/>
  <c r="AP186" i="9" s="1"/>
  <c r="AO161" i="9"/>
  <c r="AP161" i="9"/>
  <c r="AP119" i="9"/>
  <c r="AQ119" i="9"/>
  <c r="AN52" i="9"/>
  <c r="AP52" i="9" s="1"/>
  <c r="AO52" i="9"/>
  <c r="AM52" i="9"/>
  <c r="AM45" i="9"/>
  <c r="AO45" i="9"/>
  <c r="AP45" i="9"/>
  <c r="AP18" i="9"/>
  <c r="AQ18" i="9"/>
  <c r="AN38" i="9"/>
  <c r="AP38" i="9" s="1"/>
  <c r="AO38" i="9"/>
  <c r="AQ38" i="9"/>
  <c r="AP20" i="9"/>
  <c r="AM20" i="9"/>
  <c r="AN20" i="9"/>
  <c r="AQ20" i="9" s="1"/>
  <c r="AO20" i="9"/>
  <c r="AP160" i="9"/>
  <c r="AP144" i="9"/>
  <c r="AO115" i="9"/>
  <c r="AQ115" i="9" s="1"/>
  <c r="AO112" i="9"/>
  <c r="AN103" i="9"/>
  <c r="AQ103" i="9" s="1"/>
  <c r="AQ95" i="9"/>
  <c r="AN95" i="9"/>
  <c r="AP95" i="9" s="1"/>
  <c r="AP91" i="9"/>
  <c r="AM91" i="9"/>
  <c r="AQ82" i="9"/>
  <c r="AN80" i="9"/>
  <c r="AQ80" i="9" s="1"/>
  <c r="AO80" i="9"/>
  <c r="AP80" i="9"/>
  <c r="AN64" i="9"/>
  <c r="AM64" i="9"/>
  <c r="AN50" i="9"/>
  <c r="AO50" i="9"/>
  <c r="AP32" i="9"/>
  <c r="AP128" i="9"/>
  <c r="AP46" i="9"/>
  <c r="AP43" i="9"/>
  <c r="AP34" i="9"/>
  <c r="AQ34" i="9"/>
  <c r="AM34" i="9"/>
  <c r="AM115" i="9"/>
  <c r="AP115" i="9"/>
  <c r="AN112" i="9"/>
  <c r="AP112" i="9" s="1"/>
  <c r="AO103" i="9"/>
  <c r="AP103" i="9"/>
  <c r="AP57" i="9"/>
  <c r="AQ55" i="9"/>
  <c r="AP48" i="9"/>
  <c r="AQ48" i="9"/>
  <c r="AM48" i="9"/>
  <c r="AM19" i="9"/>
  <c r="AN19" i="9"/>
  <c r="AQ19" i="9" s="1"/>
  <c r="AO19" i="9"/>
  <c r="AQ12" i="9"/>
  <c r="AN10" i="9"/>
  <c r="AO10" i="9"/>
  <c r="AP10" i="9"/>
  <c r="AQ10" i="9"/>
  <c r="AP71" i="9"/>
  <c r="AQ54" i="9"/>
  <c r="AQ155" i="9"/>
  <c r="AQ127" i="9"/>
  <c r="AQ96" i="9"/>
  <c r="AP62" i="9"/>
  <c r="AQ62" i="9"/>
  <c r="AM62" i="9"/>
  <c r="AP60" i="9"/>
  <c r="AP35" i="9"/>
  <c r="AM33" i="9"/>
  <c r="AN33" i="9"/>
  <c r="AO33" i="9"/>
  <c r="AP33" i="9"/>
  <c r="AN25" i="9"/>
  <c r="AP25" i="9" s="1"/>
  <c r="AQ23" i="9"/>
  <c r="AP6" i="9"/>
  <c r="AQ6" i="9"/>
  <c r="AM6" i="9"/>
  <c r="AP4" i="9"/>
  <c r="AQ93" i="9"/>
  <c r="AQ79" i="9"/>
  <c r="AQ65" i="9"/>
  <c r="AQ51" i="9"/>
  <c r="AO98" i="9"/>
  <c r="AP98" i="9" s="1"/>
  <c r="AN93" i="9"/>
  <c r="AP93" i="9" s="1"/>
  <c r="AO84" i="9"/>
  <c r="AO70" i="9"/>
  <c r="AO56" i="9"/>
  <c r="AO42" i="9"/>
  <c r="AQ99" i="9"/>
  <c r="AQ85" i="9"/>
  <c r="AN84" i="9"/>
  <c r="AQ71" i="9"/>
  <c r="AN70" i="9"/>
  <c r="AQ57" i="9"/>
  <c r="AN56" i="9"/>
  <c r="AQ43" i="9"/>
  <c r="AN42" i="9"/>
  <c r="AQ29" i="9"/>
  <c r="AN28" i="9"/>
  <c r="AQ15" i="9"/>
  <c r="AN14" i="9"/>
  <c r="AP29" i="9"/>
  <c r="AP15" i="9"/>
  <c r="BR229" i="46"/>
  <c r="BR228" i="46"/>
  <c r="BR223" i="46"/>
  <c r="BR230" i="46"/>
  <c r="BR227" i="46"/>
  <c r="BR222" i="46"/>
  <c r="BR49" i="46"/>
  <c r="BR193" i="46"/>
  <c r="BR197" i="46"/>
  <c r="BR220" i="46"/>
  <c r="BR192" i="46"/>
  <c r="BR24" i="46"/>
  <c r="BR175" i="46"/>
  <c r="BR89" i="46"/>
  <c r="BR190" i="46"/>
  <c r="BR21" i="46"/>
  <c r="BR173" i="46"/>
  <c r="BR87" i="46"/>
  <c r="BR20" i="46"/>
  <c r="BR231" i="46"/>
  <c r="BR226" i="46"/>
  <c r="BR225" i="46"/>
  <c r="BR86" i="46"/>
  <c r="BR214" i="46"/>
  <c r="BR224" i="46"/>
  <c r="BR44" i="46"/>
  <c r="BR213" i="46"/>
  <c r="BR219" i="46"/>
  <c r="AQ2" i="9"/>
  <c r="AN2" i="13"/>
  <c r="AC2" i="13"/>
  <c r="AL2" i="13" s="1"/>
  <c r="C5" i="46"/>
  <c r="C4" i="46"/>
  <c r="AX2" i="60"/>
  <c r="FQ25" i="9" l="1"/>
  <c r="FP25" i="9"/>
  <c r="FQ219" i="9"/>
  <c r="FP70" i="9"/>
  <c r="FP83" i="9"/>
  <c r="FQ39" i="9"/>
  <c r="FP39" i="9"/>
  <c r="FQ142" i="9"/>
  <c r="FP142" i="9"/>
  <c r="FQ33" i="9"/>
  <c r="FQ61" i="9"/>
  <c r="FP372" i="9"/>
  <c r="FQ222" i="9"/>
  <c r="FQ353" i="9"/>
  <c r="FP125" i="9"/>
  <c r="FP84" i="9"/>
  <c r="FP97" i="9"/>
  <c r="FQ53" i="9"/>
  <c r="FP53" i="9"/>
  <c r="FQ217" i="9"/>
  <c r="FQ77" i="9"/>
  <c r="FP233" i="9"/>
  <c r="FQ354" i="9"/>
  <c r="FP361" i="9"/>
  <c r="FQ295" i="9"/>
  <c r="FQ188" i="9"/>
  <c r="FP139" i="9"/>
  <c r="FP350" i="9"/>
  <c r="FQ277" i="9"/>
  <c r="FQ128" i="9"/>
  <c r="FP128" i="9"/>
  <c r="FP144" i="9"/>
  <c r="FQ144" i="9"/>
  <c r="FQ168" i="9"/>
  <c r="FQ290" i="9"/>
  <c r="FP80" i="9"/>
  <c r="FP98" i="9"/>
  <c r="FQ325" i="9"/>
  <c r="FQ18" i="9"/>
  <c r="FQ252" i="9"/>
  <c r="FP309" i="9"/>
  <c r="FQ69" i="9"/>
  <c r="FP82" i="9"/>
  <c r="FQ67" i="9"/>
  <c r="FP67" i="9"/>
  <c r="FP177" i="9"/>
  <c r="FP306" i="9"/>
  <c r="FP145" i="9"/>
  <c r="FQ145" i="9"/>
  <c r="FP321" i="9"/>
  <c r="FP163" i="9"/>
  <c r="FQ163" i="9"/>
  <c r="FP275" i="9"/>
  <c r="FQ275" i="9"/>
  <c r="FQ247" i="9"/>
  <c r="FP221" i="9"/>
  <c r="FQ14" i="9"/>
  <c r="FQ81" i="9"/>
  <c r="FP81" i="9"/>
  <c r="FQ133" i="9"/>
  <c r="FP313" i="9"/>
  <c r="FQ181" i="9"/>
  <c r="FP304" i="9"/>
  <c r="FQ287" i="9"/>
  <c r="FP364" i="9"/>
  <c r="FQ347" i="9"/>
  <c r="FP315" i="9"/>
  <c r="FP225" i="9"/>
  <c r="FP184" i="9"/>
  <c r="FP320" i="9"/>
  <c r="FQ3" i="9"/>
  <c r="FP124" i="9"/>
  <c r="FP161" i="9"/>
  <c r="FQ318" i="9"/>
  <c r="FP331" i="9"/>
  <c r="FQ249" i="9"/>
  <c r="FP356" i="9"/>
  <c r="FP200" i="9"/>
  <c r="FQ153" i="9"/>
  <c r="FP286" i="9"/>
  <c r="FP369" i="9"/>
  <c r="FQ365" i="9"/>
  <c r="FP290" i="9"/>
  <c r="FP289" i="9"/>
  <c r="FP168" i="9"/>
  <c r="FP196" i="9"/>
  <c r="FQ239" i="9"/>
  <c r="FP12" i="9"/>
  <c r="FQ114" i="9"/>
  <c r="FP114" i="9"/>
  <c r="FP156" i="9"/>
  <c r="FQ21" i="9"/>
  <c r="FQ75" i="9"/>
  <c r="FQ119" i="9"/>
  <c r="FQ329" i="9"/>
  <c r="FP238" i="9"/>
  <c r="FP335" i="9"/>
  <c r="FP327" i="9"/>
  <c r="FQ361" i="9"/>
  <c r="FQ257" i="9"/>
  <c r="FQ328" i="9"/>
  <c r="FQ367" i="9"/>
  <c r="FP27" i="9"/>
  <c r="FQ164" i="9"/>
  <c r="FP343" i="9"/>
  <c r="FP287" i="9"/>
  <c r="FP170" i="9"/>
  <c r="DY185" i="9"/>
  <c r="DZ185" i="9"/>
  <c r="DY527" i="9"/>
  <c r="DZ137" i="9"/>
  <c r="DY332" i="9"/>
  <c r="DZ332" i="9"/>
  <c r="DY145" i="9"/>
  <c r="DZ373" i="9"/>
  <c r="DY362" i="9"/>
  <c r="DZ362" i="9"/>
  <c r="DZ518" i="9"/>
  <c r="DY161" i="9"/>
  <c r="DZ161" i="9"/>
  <c r="DZ144" i="9"/>
  <c r="DZ169" i="9"/>
  <c r="DZ63" i="9"/>
  <c r="DZ72" i="9"/>
  <c r="DY309" i="9"/>
  <c r="DY172" i="9"/>
  <c r="DY85" i="9"/>
  <c r="DY173" i="9"/>
  <c r="DZ173" i="9"/>
  <c r="DY285" i="9"/>
  <c r="DY452" i="9"/>
  <c r="DY430" i="9"/>
  <c r="DZ395" i="9"/>
  <c r="DY256" i="9"/>
  <c r="DY402" i="9"/>
  <c r="DZ471" i="9"/>
  <c r="DY324" i="9"/>
  <c r="DZ538" i="9"/>
  <c r="DY196" i="9"/>
  <c r="DZ196" i="9"/>
  <c r="DY181" i="9"/>
  <c r="DY424" i="9"/>
  <c r="DZ424" i="9"/>
  <c r="DZ450" i="9"/>
  <c r="DY516" i="9"/>
  <c r="DZ516" i="9"/>
  <c r="DZ446" i="9"/>
  <c r="DZ286" i="9"/>
  <c r="DZ326" i="9"/>
  <c r="DY182" i="9"/>
  <c r="DZ182" i="9"/>
  <c r="DZ45" i="9"/>
  <c r="DZ96" i="9"/>
  <c r="DY121" i="9"/>
  <c r="DZ121" i="9"/>
  <c r="DZ88" i="9"/>
  <c r="DY184" i="9"/>
  <c r="DZ73" i="9"/>
  <c r="DZ68" i="9"/>
  <c r="DY78" i="9"/>
  <c r="DY159" i="9"/>
  <c r="DZ259" i="9"/>
  <c r="DZ301" i="9"/>
  <c r="DY414" i="9"/>
  <c r="DY541" i="9"/>
  <c r="DY463" i="9"/>
  <c r="DZ457" i="9"/>
  <c r="DY544" i="9"/>
  <c r="DY30" i="9"/>
  <c r="DZ30" i="9"/>
  <c r="DZ21" i="9"/>
  <c r="DY117" i="9"/>
  <c r="DZ117" i="9"/>
  <c r="DY244" i="9"/>
  <c r="DY220" i="9"/>
  <c r="DZ116" i="9"/>
  <c r="DZ288" i="9"/>
  <c r="DY165" i="9"/>
  <c r="DZ187" i="9"/>
  <c r="DZ162" i="9"/>
  <c r="DY338" i="9"/>
  <c r="DZ437" i="9"/>
  <c r="DZ243" i="9"/>
  <c r="DY466" i="9"/>
  <c r="DZ268" i="9"/>
  <c r="DZ370" i="9"/>
  <c r="DY13" i="9"/>
  <c r="DZ36" i="9"/>
  <c r="DZ19" i="9"/>
  <c r="DZ10" i="9"/>
  <c r="DY66" i="9"/>
  <c r="DY215" i="9"/>
  <c r="DZ215" i="9"/>
  <c r="DY260" i="9"/>
  <c r="DZ260" i="9"/>
  <c r="DZ108" i="9"/>
  <c r="DY102" i="9"/>
  <c r="DZ131" i="9"/>
  <c r="DZ459" i="9"/>
  <c r="DZ379" i="9"/>
  <c r="DY379" i="9"/>
  <c r="DY350" i="9"/>
  <c r="DY475" i="9"/>
  <c r="DZ433" i="9"/>
  <c r="DY230" i="9"/>
  <c r="DY426" i="9"/>
  <c r="DZ426" i="9"/>
  <c r="DY257" i="9"/>
  <c r="DZ257" i="9"/>
  <c r="DY277" i="9"/>
  <c r="DY198" i="9"/>
  <c r="DZ50" i="9"/>
  <c r="DZ49" i="9"/>
  <c r="DY49" i="9"/>
  <c r="DZ5" i="9"/>
  <c r="DZ38" i="9"/>
  <c r="DZ106" i="9"/>
  <c r="DY201" i="9"/>
  <c r="DZ201" i="9"/>
  <c r="DY164" i="9"/>
  <c r="DZ199" i="9"/>
  <c r="DY284" i="9"/>
  <c r="DY77" i="9"/>
  <c r="DZ282" i="9"/>
  <c r="DZ389" i="9"/>
  <c r="DZ346" i="9"/>
  <c r="DZ405" i="9"/>
  <c r="DZ533" i="9"/>
  <c r="DY289" i="9"/>
  <c r="DY382" i="9"/>
  <c r="DZ382" i="9"/>
  <c r="DZ413" i="9"/>
  <c r="DZ311" i="9"/>
  <c r="DY129" i="9"/>
  <c r="DZ129" i="9"/>
  <c r="DY210" i="9"/>
  <c r="DZ210" i="9"/>
  <c r="DY266" i="9"/>
  <c r="DZ536" i="9"/>
  <c r="DY536" i="9"/>
  <c r="DY502" i="9"/>
  <c r="DY7" i="9"/>
  <c r="DZ7" i="9"/>
  <c r="DY105" i="9"/>
  <c r="DY80" i="9"/>
  <c r="DZ293" i="9"/>
  <c r="DZ122" i="9"/>
  <c r="DZ232" i="9"/>
  <c r="DY125" i="9"/>
  <c r="DY99" i="9"/>
  <c r="DZ195" i="9"/>
  <c r="DZ298" i="9"/>
  <c r="DY374" i="9"/>
  <c r="DZ374" i="9"/>
  <c r="DZ539" i="9"/>
  <c r="DY539" i="9"/>
  <c r="DY429" i="9"/>
  <c r="DZ320" i="9"/>
  <c r="DZ334" i="9"/>
  <c r="DZ279" i="9"/>
  <c r="DY226" i="9"/>
  <c r="DZ491" i="9"/>
  <c r="DZ245" i="9"/>
  <c r="DY133" i="9"/>
  <c r="DY157" i="9"/>
  <c r="DZ157" i="9"/>
  <c r="DY281" i="9"/>
  <c r="DZ281" i="9"/>
  <c r="DZ246" i="9"/>
  <c r="DY166" i="9"/>
  <c r="DZ166" i="9"/>
  <c r="DY497" i="9"/>
  <c r="DZ497" i="9"/>
  <c r="DY482" i="9"/>
  <c r="DZ482" i="9"/>
  <c r="DY368" i="9"/>
  <c r="DZ312" i="9"/>
  <c r="DY454" i="9"/>
  <c r="DZ454" i="9"/>
  <c r="DY212" i="9"/>
  <c r="DY16" i="9"/>
  <c r="DZ16" i="9"/>
  <c r="DY82" i="9"/>
  <c r="DZ141" i="9"/>
  <c r="DY209" i="9"/>
  <c r="DY494" i="9"/>
  <c r="DZ494" i="9"/>
  <c r="DZ340" i="9"/>
  <c r="DY396" i="9"/>
  <c r="DZ396" i="9"/>
  <c r="DY320" i="9"/>
  <c r="CH19" i="9"/>
  <c r="CI33" i="9"/>
  <c r="CH101" i="9"/>
  <c r="CI101" i="9"/>
  <c r="CI119" i="9"/>
  <c r="CH119" i="9"/>
  <c r="CI73" i="9"/>
  <c r="CH99" i="9"/>
  <c r="CI75" i="9"/>
  <c r="CI89" i="9"/>
  <c r="CH12" i="9"/>
  <c r="CH59" i="9"/>
  <c r="CI38" i="9"/>
  <c r="CH122" i="9"/>
  <c r="CI122" i="9"/>
  <c r="CH179" i="9"/>
  <c r="CI115" i="9"/>
  <c r="CH150" i="9"/>
  <c r="CH144" i="9"/>
  <c r="CI3" i="9"/>
  <c r="CH46" i="9"/>
  <c r="CI46" i="9"/>
  <c r="CI104" i="9"/>
  <c r="CI7" i="9"/>
  <c r="CI15" i="9"/>
  <c r="CI102" i="9"/>
  <c r="CH105" i="9"/>
  <c r="CI21" i="9"/>
  <c r="CH128" i="9"/>
  <c r="CH60" i="9"/>
  <c r="CI60" i="9"/>
  <c r="CI121" i="9"/>
  <c r="CI123" i="9"/>
  <c r="CH74" i="9"/>
  <c r="CI74" i="9"/>
  <c r="CH207" i="9"/>
  <c r="CI18" i="9"/>
  <c r="CH18" i="9"/>
  <c r="CH32" i="9"/>
  <c r="CI32" i="9"/>
  <c r="CH63" i="9"/>
  <c r="CI63" i="9"/>
  <c r="CI163" i="9"/>
  <c r="CI88" i="9"/>
  <c r="CH88" i="9"/>
  <c r="CI149" i="9"/>
  <c r="CH149" i="9"/>
  <c r="CI45" i="9"/>
  <c r="CI82" i="9"/>
  <c r="CI125" i="9"/>
  <c r="CH117" i="9"/>
  <c r="CH155" i="9"/>
  <c r="CH143" i="9"/>
  <c r="CH86" i="9"/>
  <c r="CH193" i="9"/>
  <c r="CI111" i="9"/>
  <c r="CH151" i="9"/>
  <c r="CH61" i="9"/>
  <c r="CI5" i="9"/>
  <c r="CH57" i="9"/>
  <c r="CH162" i="9"/>
  <c r="CI151" i="9"/>
  <c r="CH53" i="9"/>
  <c r="CH142" i="9"/>
  <c r="CI133" i="9"/>
  <c r="CH114" i="9"/>
  <c r="CH124" i="9"/>
  <c r="CI124" i="9"/>
  <c r="CH54" i="9"/>
  <c r="CI54" i="9"/>
  <c r="CI159" i="9"/>
  <c r="AP56" i="9"/>
  <c r="AQ56" i="9"/>
  <c r="AQ52" i="9"/>
  <c r="AQ206" i="9"/>
  <c r="AP206" i="9"/>
  <c r="AQ94" i="9"/>
  <c r="AQ290" i="9"/>
  <c r="AP497" i="9"/>
  <c r="AQ394" i="9"/>
  <c r="AQ581" i="9"/>
  <c r="AQ446" i="9"/>
  <c r="AQ410" i="9"/>
  <c r="AQ276" i="9"/>
  <c r="AQ330" i="9"/>
  <c r="AQ555" i="9"/>
  <c r="AP19" i="9"/>
  <c r="AP61" i="9"/>
  <c r="AP210" i="9"/>
  <c r="AQ157" i="9"/>
  <c r="AP157" i="9"/>
  <c r="AQ78" i="9"/>
  <c r="AQ250" i="9"/>
  <c r="AP235" i="9"/>
  <c r="AP530" i="9"/>
  <c r="AP403" i="9"/>
  <c r="AQ117" i="9"/>
  <c r="AQ480" i="9"/>
  <c r="AQ70" i="9"/>
  <c r="AP70" i="9"/>
  <c r="AP220" i="9"/>
  <c r="AP182" i="9"/>
  <c r="AQ182" i="9"/>
  <c r="AP36" i="9"/>
  <c r="AP87" i="9"/>
  <c r="AP257" i="9"/>
  <c r="AP364" i="9"/>
  <c r="AQ364" i="9"/>
  <c r="AQ336" i="9"/>
  <c r="AP122" i="9"/>
  <c r="AQ322" i="9"/>
  <c r="AP322" i="9"/>
  <c r="AQ231" i="9"/>
  <c r="AQ369" i="9"/>
  <c r="AP398" i="9"/>
  <c r="AP467" i="9"/>
  <c r="AQ467" i="9"/>
  <c r="AQ454" i="9"/>
  <c r="AP228" i="9"/>
  <c r="AP47" i="9"/>
  <c r="AP129" i="9"/>
  <c r="AQ53" i="9"/>
  <c r="AQ189" i="9"/>
  <c r="AP201" i="9"/>
  <c r="AQ207" i="9"/>
  <c r="AQ302" i="9"/>
  <c r="AP302" i="9"/>
  <c r="AP254" i="9"/>
  <c r="AQ297" i="9"/>
  <c r="AQ198" i="9"/>
  <c r="AP338" i="9"/>
  <c r="AQ338" i="9"/>
  <c r="AQ247" i="9"/>
  <c r="AQ132" i="9"/>
  <c r="AQ135" i="9"/>
  <c r="AP242" i="9"/>
  <c r="AP21" i="9"/>
  <c r="AQ58" i="9"/>
  <c r="AP58" i="9"/>
  <c r="AQ5" i="9"/>
  <c r="AP107" i="9"/>
  <c r="AP285" i="9"/>
  <c r="AQ516" i="9"/>
  <c r="AQ466" i="9"/>
  <c r="AP426" i="9"/>
  <c r="AQ251" i="9"/>
  <c r="AP341" i="9"/>
  <c r="AQ507" i="9"/>
  <c r="AQ186" i="9"/>
  <c r="AQ16" i="9"/>
  <c r="AP72" i="9"/>
  <c r="AP204" i="9"/>
  <c r="AQ287" i="9"/>
  <c r="AQ261" i="9"/>
  <c r="AQ324" i="9"/>
  <c r="AP439" i="9"/>
  <c r="AQ439" i="9"/>
  <c r="AP14" i="9"/>
  <c r="AQ14" i="9"/>
  <c r="AP256" i="9"/>
  <c r="AQ256" i="9"/>
  <c r="AQ202" i="9"/>
  <c r="AP202" i="9"/>
  <c r="AP333" i="9"/>
  <c r="AQ333" i="9"/>
  <c r="AP350" i="9"/>
  <c r="AQ350" i="9"/>
  <c r="AQ526" i="9"/>
  <c r="AP292" i="9"/>
  <c r="AP84" i="9"/>
  <c r="AQ84" i="9"/>
  <c r="AQ25" i="9"/>
  <c r="AP264" i="9"/>
  <c r="AQ264" i="9"/>
  <c r="AP163" i="9"/>
  <c r="AQ163" i="9"/>
  <c r="AQ73" i="9"/>
  <c r="AQ383" i="9"/>
  <c r="AP390" i="9"/>
  <c r="AQ28" i="9"/>
  <c r="AP28" i="9"/>
  <c r="AQ50" i="9"/>
  <c r="AP50" i="9"/>
  <c r="AQ280" i="9"/>
  <c r="AP280" i="9"/>
  <c r="AP31" i="9"/>
  <c r="AP378" i="9"/>
  <c r="AQ378" i="9"/>
  <c r="AP381" i="9"/>
  <c r="AQ381" i="9"/>
  <c r="AQ299" i="9"/>
  <c r="AQ294" i="9"/>
  <c r="AP294" i="9"/>
  <c r="AQ66" i="9"/>
  <c r="AP59" i="9"/>
  <c r="AQ568" i="9"/>
  <c r="AP336" i="9"/>
  <c r="AQ291" i="9"/>
  <c r="AQ411" i="9"/>
  <c r="AP411" i="9"/>
  <c r="AQ258" i="9"/>
  <c r="AQ549" i="9"/>
  <c r="AQ423" i="9"/>
  <c r="AP181" i="9"/>
  <c r="AQ181" i="9"/>
  <c r="AP7" i="9"/>
  <c r="AQ178" i="9"/>
  <c r="AP178" i="9"/>
  <c r="AQ296" i="9"/>
  <c r="AP296" i="9"/>
  <c r="AQ42" i="9"/>
  <c r="AP42" i="9"/>
  <c r="AQ33" i="9"/>
  <c r="AP64" i="9"/>
  <c r="AQ64" i="9"/>
  <c r="AP203" i="9"/>
  <c r="AQ220" i="9"/>
  <c r="AP365" i="9"/>
  <c r="AQ190" i="9"/>
  <c r="AP386" i="9"/>
  <c r="AQ386" i="9"/>
  <c r="AQ214" i="9"/>
  <c r="AQ295" i="9"/>
  <c r="AQ348" i="9"/>
  <c r="AQ577" i="9"/>
  <c r="AQ316" i="9"/>
  <c r="AQ458" i="9"/>
  <c r="AP308" i="9"/>
  <c r="AQ572" i="9"/>
  <c r="AQ253" i="9"/>
  <c r="AQ112" i="9"/>
  <c r="AQ72" i="9"/>
  <c r="AP140" i="9"/>
  <c r="AP223" i="9"/>
  <c r="AQ223" i="9"/>
  <c r="AP174" i="9"/>
  <c r="AQ174" i="9"/>
  <c r="AP120" i="9"/>
  <c r="AQ164" i="9"/>
  <c r="AZ2" i="60"/>
  <c r="G42" i="3"/>
  <c r="E42" i="3" s="1"/>
  <c r="X25" i="24" l="1"/>
  <c r="X24" i="24"/>
  <c r="X23" i="24"/>
  <c r="X22" i="24"/>
  <c r="X21" i="24"/>
  <c r="X20" i="24"/>
  <c r="M4" i="46" l="1"/>
  <c r="S2" i="14" l="1"/>
  <c r="AQ3" i="13"/>
  <c r="BA3" i="13"/>
  <c r="H37" i="3" l="1"/>
  <c r="L210" i="31"/>
  <c r="DE27" i="14"/>
  <c r="DF27" i="14"/>
  <c r="DG27" i="14"/>
  <c r="DH27" i="14"/>
  <c r="DK27" i="14"/>
  <c r="DP27" i="14" a="1"/>
  <c r="DP27" i="14" s="1"/>
  <c r="DE26" i="14"/>
  <c r="DF26" i="14"/>
  <c r="DG26" i="14"/>
  <c r="DH26" i="14"/>
  <c r="DI26" i="14" s="1"/>
  <c r="DK26" i="14"/>
  <c r="DP26" i="14" a="1"/>
  <c r="DP26" i="14" s="1"/>
  <c r="DE25" i="14"/>
  <c r="DF25" i="14"/>
  <c r="DG25" i="14"/>
  <c r="DH25" i="14"/>
  <c r="DI25" i="14" s="1"/>
  <c r="DK25" i="14"/>
  <c r="DP25" i="14" a="1"/>
  <c r="DP25" i="14" s="1"/>
  <c r="DE24" i="14"/>
  <c r="DF24" i="14"/>
  <c r="DG24" i="14"/>
  <c r="DH24" i="14"/>
  <c r="DI24" i="14" s="1"/>
  <c r="DK24" i="14"/>
  <c r="DP24" i="14" a="1"/>
  <c r="DP24" i="14" s="1"/>
  <c r="DE23" i="14"/>
  <c r="DF23" i="14"/>
  <c r="DG23" i="14"/>
  <c r="DH23" i="14"/>
  <c r="DK23" i="14"/>
  <c r="DP23" i="14" a="1"/>
  <c r="DP23" i="14" s="1"/>
  <c r="L211" i="31"/>
  <c r="B212" i="31"/>
  <c r="B211" i="31"/>
  <c r="B210" i="31"/>
  <c r="DI27" i="14" l="1"/>
  <c r="DI23" i="14"/>
  <c r="L342" i="24"/>
  <c r="L341" i="24"/>
  <c r="B343" i="24"/>
  <c r="B342" i="24"/>
  <c r="B341" i="24"/>
  <c r="DO27" i="14"/>
  <c r="DD23" i="14"/>
  <c r="DU23" i="14"/>
  <c r="DD24" i="14"/>
  <c r="DD25" i="14"/>
  <c r="DU25" i="14"/>
  <c r="DD26" i="14"/>
  <c r="DU26" i="14"/>
  <c r="DD27" i="14"/>
  <c r="DN24" i="14"/>
  <c r="DL24" i="14"/>
  <c r="DM24" i="14"/>
  <c r="DQ24" i="14"/>
  <c r="DS24" i="14" s="1"/>
  <c r="DN23" i="14"/>
  <c r="DL23" i="14"/>
  <c r="DM23" i="14"/>
  <c r="DN27" i="14"/>
  <c r="DL27" i="14"/>
  <c r="DM27" i="14"/>
  <c r="DN26" i="14"/>
  <c r="DL26" i="14"/>
  <c r="DM26" i="14"/>
  <c r="DN25" i="14"/>
  <c r="DL25" i="14"/>
  <c r="DM25" i="14"/>
  <c r="BZ2" i="11" l="1"/>
  <c r="DJ26" i="14"/>
  <c r="DV26" i="14"/>
  <c r="DV25" i="14"/>
  <c r="DV23" i="14"/>
  <c r="DO26" i="14"/>
  <c r="DO25" i="14"/>
  <c r="DO23" i="14"/>
  <c r="DQ27" i="14"/>
  <c r="DS27" i="14" s="1"/>
  <c r="DR26" i="14"/>
  <c r="DT26" i="14" s="1"/>
  <c r="DQ26" i="14"/>
  <c r="DS26" i="14" s="1"/>
  <c r="DQ23" i="14"/>
  <c r="DS23" i="14" s="1"/>
  <c r="DU27" i="14"/>
  <c r="DV27" i="14"/>
  <c r="DU24" i="14"/>
  <c r="DV24" i="14"/>
  <c r="DR23" i="14"/>
  <c r="DT23" i="14" s="1"/>
  <c r="DQ25" i="14"/>
  <c r="DS25" i="14" s="1"/>
  <c r="I4" i="34"/>
  <c r="DR25" i="14" l="1"/>
  <c r="DT25" i="14" s="1"/>
  <c r="DR27" i="14"/>
  <c r="DT27" i="14" s="1"/>
  <c r="DJ27" i="14"/>
  <c r="DJ25" i="14"/>
  <c r="DJ24" i="14"/>
  <c r="DR24" i="14"/>
  <c r="DT24" i="14" s="1"/>
  <c r="DJ23" i="14"/>
  <c r="K32" i="58"/>
  <c r="E32" i="58" s="1"/>
  <c r="K31" i="58"/>
  <c r="K30" i="58"/>
  <c r="K29" i="58"/>
  <c r="K28" i="58"/>
  <c r="K27" i="58"/>
  <c r="K25" i="58"/>
  <c r="K24" i="58"/>
  <c r="K23" i="58"/>
  <c r="K22" i="58"/>
  <c r="K21" i="58"/>
  <c r="K20" i="58"/>
  <c r="K18" i="58"/>
  <c r="K17" i="58"/>
  <c r="K16" i="58"/>
  <c r="K15" i="58"/>
  <c r="K14" i="58"/>
  <c r="K13" i="58"/>
  <c r="K11" i="58"/>
  <c r="K10" i="58"/>
  <c r="K9" i="58"/>
  <c r="K8" i="58"/>
  <c r="K7" i="58"/>
  <c r="K6" i="58"/>
  <c r="K4" i="58"/>
  <c r="K3" i="58"/>
  <c r="K2" i="58"/>
  <c r="A32" i="58"/>
  <c r="J32" i="58"/>
  <c r="C3" i="2" a="1"/>
  <c r="H35" i="3"/>
  <c r="H34" i="3"/>
  <c r="T2" i="35"/>
  <c r="BA2" i="11"/>
  <c r="DV9" i="14" l="1"/>
  <c r="DU9" i="14"/>
  <c r="DV21" i="14"/>
  <c r="DU21" i="14"/>
  <c r="DV12" i="14"/>
  <c r="DU12" i="14"/>
  <c r="DV8" i="14"/>
  <c r="DU8" i="14"/>
  <c r="DV17" i="14"/>
  <c r="DU17" i="14"/>
  <c r="DV22" i="14"/>
  <c r="DU22" i="14"/>
  <c r="DV18" i="14"/>
  <c r="DU18" i="14"/>
  <c r="DV15" i="14"/>
  <c r="DU15" i="14"/>
  <c r="DV5" i="14"/>
  <c r="DU5" i="14"/>
  <c r="DV6" i="14"/>
  <c r="DU6" i="14"/>
  <c r="DV11" i="14"/>
  <c r="DU11" i="14"/>
  <c r="DV20" i="14"/>
  <c r="DU20" i="14"/>
  <c r="DV14" i="14"/>
  <c r="DU14" i="14"/>
  <c r="DV13" i="14"/>
  <c r="DU13" i="14"/>
  <c r="DV10" i="14"/>
  <c r="DU10" i="14"/>
  <c r="DV7" i="14"/>
  <c r="DU7" i="14"/>
  <c r="DV19" i="14"/>
  <c r="DU19" i="14"/>
  <c r="DV16" i="14"/>
  <c r="DU16" i="14"/>
  <c r="DV2" i="14"/>
  <c r="DU2" i="14"/>
  <c r="DV3" i="14"/>
  <c r="DU3" i="14"/>
  <c r="DV4" i="14"/>
  <c r="DU4" i="14"/>
  <c r="E2" i="34" l="1" a="1"/>
  <c r="DQ8" i="14" l="1"/>
  <c r="DQ6" i="14"/>
  <c r="DQ13" i="14"/>
  <c r="DQ5" i="14"/>
  <c r="DR5" i="14"/>
  <c r="F13" i="46"/>
  <c r="DP2" i="14" a="1"/>
  <c r="DP3" i="14" a="1"/>
  <c r="DP4" i="14" a="1"/>
  <c r="DP5" i="14" a="1"/>
  <c r="DP6" i="14" a="1"/>
  <c r="DP7" i="14" a="1"/>
  <c r="DP8" i="14" a="1"/>
  <c r="DP9" i="14" a="1"/>
  <c r="DP10" i="14" a="1"/>
  <c r="DP11" i="14" a="1"/>
  <c r="DP12" i="14" a="1"/>
  <c r="DP13" i="14" a="1"/>
  <c r="DP14" i="14" a="1"/>
  <c r="DP15" i="14" a="1"/>
  <c r="DP16" i="14" a="1"/>
  <c r="DP17" i="14" a="1"/>
  <c r="DP18" i="14" a="1"/>
  <c r="DP19" i="14" a="1"/>
  <c r="DP20" i="14" a="1"/>
  <c r="DP21" i="14" a="1"/>
  <c r="DP22" i="14" a="1"/>
  <c r="H23" i="3"/>
  <c r="H19" i="3"/>
  <c r="DR16" i="14" l="1"/>
  <c r="DR18" i="14"/>
  <c r="DQ3" i="14"/>
  <c r="DQ9" i="14"/>
  <c r="DQ17" i="14"/>
  <c r="DQ16" i="14"/>
  <c r="DQ12" i="14"/>
  <c r="DQ22" i="14"/>
  <c r="DR13" i="14"/>
  <c r="DQ20" i="14"/>
  <c r="DR6" i="14"/>
  <c r="DQ18" i="14"/>
  <c r="D13" i="46"/>
  <c r="DQ14" i="14" l="1"/>
  <c r="DR11" i="14"/>
  <c r="DR19" i="14"/>
  <c r="DR4" i="14"/>
  <c r="DR14" i="14"/>
  <c r="DR12" i="14"/>
  <c r="DR2" i="14"/>
  <c r="DQ21" i="14"/>
  <c r="DQ15" i="14"/>
  <c r="DR21" i="14"/>
  <c r="DR15" i="14"/>
  <c r="DR22" i="14"/>
  <c r="DR8" i="14"/>
  <c r="DR20" i="14"/>
  <c r="DQ11" i="14"/>
  <c r="DQ19" i="14"/>
  <c r="DQ4" i="14"/>
  <c r="DQ2" i="14"/>
  <c r="DR3" i="14"/>
  <c r="DR9" i="14"/>
  <c r="DR7" i="14"/>
  <c r="DR10" i="14"/>
  <c r="DQ10" i="14"/>
  <c r="DQ7" i="14"/>
  <c r="DR17" i="14"/>
  <c r="DN20" i="14"/>
  <c r="DL20" i="14"/>
  <c r="DM20" i="14"/>
  <c r="DN17" i="14"/>
  <c r="DL17" i="14"/>
  <c r="DM17" i="14"/>
  <c r="DL4" i="14"/>
  <c r="DM4" i="14"/>
  <c r="DN18" i="14"/>
  <c r="DL18" i="14"/>
  <c r="DM18" i="14"/>
  <c r="DN8" i="14"/>
  <c r="DL8" i="14"/>
  <c r="DM8" i="14"/>
  <c r="DN22" i="14"/>
  <c r="DL22" i="14"/>
  <c r="DM22" i="14"/>
  <c r="DN12" i="14"/>
  <c r="DL12" i="14"/>
  <c r="DM12" i="14"/>
  <c r="DN16" i="14"/>
  <c r="DL16" i="14"/>
  <c r="DM16" i="14"/>
  <c r="DL7" i="14"/>
  <c r="DM7" i="14"/>
  <c r="DL3" i="14"/>
  <c r="DM3" i="14"/>
  <c r="DN6" i="14"/>
  <c r="DL6" i="14"/>
  <c r="DM6" i="14"/>
  <c r="DL15" i="14"/>
  <c r="DM15" i="14"/>
  <c r="DL14" i="14"/>
  <c r="DM14" i="14"/>
  <c r="DN13" i="14"/>
  <c r="DL13" i="14"/>
  <c r="DM13" i="14"/>
  <c r="DN5" i="14"/>
  <c r="DL5" i="14"/>
  <c r="DM5" i="14"/>
  <c r="DL2" i="14" l="1"/>
  <c r="DM2" i="14"/>
  <c r="DL11" i="14"/>
  <c r="DM11" i="14"/>
  <c r="DL21" i="14"/>
  <c r="DM21" i="14"/>
  <c r="DL10" i="14"/>
  <c r="DM10" i="14"/>
  <c r="DL19" i="14"/>
  <c r="DL9" i="14"/>
  <c r="DM19" i="14"/>
  <c r="DM9" i="14"/>
  <c r="DN2" i="14"/>
  <c r="DN9" i="14"/>
  <c r="DN3" i="14"/>
  <c r="DN7" i="14"/>
  <c r="DN10" i="14"/>
  <c r="DN14" i="14"/>
  <c r="BJ2" i="11"/>
  <c r="DN15" i="14"/>
  <c r="DN21" i="14"/>
  <c r="DN4" i="14"/>
  <c r="DN19" i="14"/>
  <c r="DN11" i="14"/>
  <c r="BJ50" i="11" l="1"/>
  <c r="BJ51" i="11"/>
  <c r="BJ53" i="11"/>
  <c r="BJ47" i="11" a="1"/>
  <c r="BJ47" i="11" s="1"/>
  <c r="BJ54" i="11"/>
  <c r="BJ55" i="11"/>
  <c r="BJ56" i="11"/>
  <c r="BJ27" i="11" a="1"/>
  <c r="BJ27" i="11" s="1"/>
  <c r="BJ37" i="11" a="1"/>
  <c r="BJ37" i="11" s="1"/>
  <c r="BJ49" i="11"/>
  <c r="BJ52" i="11"/>
  <c r="BR6" i="11"/>
  <c r="CH19" i="11"/>
  <c r="BR15" i="11"/>
  <c r="BR26" i="11"/>
  <c r="BR9" i="11"/>
  <c r="BR8" i="11"/>
  <c r="BR18" i="11"/>
  <c r="BR25" i="11"/>
  <c r="BR17" i="11" a="1"/>
  <c r="BR19" i="11"/>
  <c r="BR20" i="11"/>
  <c r="BR16" i="11"/>
  <c r="CH22" i="11"/>
  <c r="CH7" i="11"/>
  <c r="CH28" i="11"/>
  <c r="CH6" i="11"/>
  <c r="CH29" i="11"/>
  <c r="CH23" i="11"/>
  <c r="CH21" i="11"/>
  <c r="CH13" i="11"/>
  <c r="CH5" i="11"/>
  <c r="CH14" i="11"/>
  <c r="CH20" i="11"/>
  <c r="BJ20" i="11"/>
  <c r="BJ43" i="11"/>
  <c r="BJ33" i="11"/>
  <c r="BJ42" i="11"/>
  <c r="BJ48" i="11"/>
  <c r="BJ32" i="11"/>
  <c r="BJ22" i="11"/>
  <c r="BJ46" i="11"/>
  <c r="BJ21" i="11"/>
  <c r="BJ31" i="11"/>
  <c r="BJ39" i="11"/>
  <c r="BJ18" i="11"/>
  <c r="BJ24" i="11"/>
  <c r="BJ41" i="11"/>
  <c r="BJ45" i="11"/>
  <c r="BJ36" i="11"/>
  <c r="BJ30" i="11"/>
  <c r="BJ26" i="11"/>
  <c r="BJ17" i="11" a="1"/>
  <c r="BJ35" i="11"/>
  <c r="BJ44" i="11"/>
  <c r="BJ29" i="11"/>
  <c r="BJ19" i="11"/>
  <c r="BJ25" i="11"/>
  <c r="BJ40" i="11"/>
  <c r="BJ34" i="11"/>
  <c r="BJ38" i="11"/>
  <c r="BJ23" i="11"/>
  <c r="BJ28" i="11"/>
  <c r="BJ5" i="11"/>
  <c r="BJ6" i="11"/>
  <c r="BJ4" i="11"/>
  <c r="BJ3" i="11"/>
  <c r="BJ9" i="11"/>
  <c r="BJ10" i="11"/>
  <c r="BJ11" i="11"/>
  <c r="BJ8" i="11"/>
  <c r="BJ12" i="11"/>
  <c r="BJ13" i="11"/>
  <c r="BJ14" i="11"/>
  <c r="BJ15" i="11"/>
  <c r="BJ16" i="11"/>
  <c r="BJ7" i="11" a="1"/>
  <c r="D2" i="11" l="1" a="1"/>
  <c r="DK2" i="14"/>
  <c r="DK3" i="14"/>
  <c r="DK4" i="14"/>
  <c r="DK5" i="14"/>
  <c r="DK6" i="14"/>
  <c r="DK7" i="14"/>
  <c r="DK8" i="14"/>
  <c r="DK9" i="14"/>
  <c r="DK10" i="14"/>
  <c r="DK11" i="14"/>
  <c r="DK12" i="14"/>
  <c r="DK13" i="14"/>
  <c r="DK14" i="14"/>
  <c r="DK15" i="14"/>
  <c r="DK16" i="14"/>
  <c r="DK17" i="14"/>
  <c r="DK18" i="14"/>
  <c r="DK19" i="14"/>
  <c r="DK20" i="14"/>
  <c r="DK21" i="14"/>
  <c r="DK22" i="14"/>
  <c r="JN2" i="9" l="1"/>
  <c r="JO2" i="9" s="1"/>
  <c r="AS2" i="14"/>
  <c r="LJ2" i="9"/>
  <c r="LI2" i="9"/>
  <c r="LH2" i="9"/>
  <c r="LE2" i="9"/>
  <c r="LF2" i="9" s="1"/>
  <c r="JS2" i="9"/>
  <c r="JU2" i="9" s="1"/>
  <c r="JR2" i="9"/>
  <c r="JQ2" i="9"/>
  <c r="DF2" i="14"/>
  <c r="DF3" i="14"/>
  <c r="DF4" i="14"/>
  <c r="DF5" i="14"/>
  <c r="DF6" i="14"/>
  <c r="DF7" i="14"/>
  <c r="DF8" i="14"/>
  <c r="DF9" i="14"/>
  <c r="DF10" i="14"/>
  <c r="DF11" i="14"/>
  <c r="DF12" i="14"/>
  <c r="DF13" i="14"/>
  <c r="DF14" i="14"/>
  <c r="DF15" i="14"/>
  <c r="DF16" i="14"/>
  <c r="DF17" i="14"/>
  <c r="DF18" i="14"/>
  <c r="DF19" i="14"/>
  <c r="DF20" i="14"/>
  <c r="DF21" i="14"/>
  <c r="DF22" i="14"/>
  <c r="EG2" i="14"/>
  <c r="EG3" i="14"/>
  <c r="EG4" i="14"/>
  <c r="EG5" i="14"/>
  <c r="EG6" i="14"/>
  <c r="EG7" i="14"/>
  <c r="EG8" i="14"/>
  <c r="EG9" i="14"/>
  <c r="EG10" i="14"/>
  <c r="EG11" i="14"/>
  <c r="EG12" i="14"/>
  <c r="EG13" i="14"/>
  <c r="EG14" i="14"/>
  <c r="EG15" i="14"/>
  <c r="EG16" i="14"/>
  <c r="EG17" i="14"/>
  <c r="EG18" i="14"/>
  <c r="EG19" i="14"/>
  <c r="EG20" i="14"/>
  <c r="EG21" i="14"/>
  <c r="EG22" i="14"/>
  <c r="EG23" i="14"/>
  <c r="EG24" i="14"/>
  <c r="EG25" i="14"/>
  <c r="EG26" i="14"/>
  <c r="EG27" i="14"/>
  <c r="EG28" i="14"/>
  <c r="EG29" i="14"/>
  <c r="EG30" i="14"/>
  <c r="EG31" i="14"/>
  <c r="EG32" i="14"/>
  <c r="EG33" i="14"/>
  <c r="EG34" i="14"/>
  <c r="EG35" i="14"/>
  <c r="EG36" i="14"/>
  <c r="EG37" i="14"/>
  <c r="EG38" i="14"/>
  <c r="EG39" i="14"/>
  <c r="EG40" i="14"/>
  <c r="EG41" i="14"/>
  <c r="EG42" i="14"/>
  <c r="EG43" i="14"/>
  <c r="EG44" i="14"/>
  <c r="EG45" i="14"/>
  <c r="EG46" i="14"/>
  <c r="EG47" i="14"/>
  <c r="EG48" i="14"/>
  <c r="EG49" i="14"/>
  <c r="EG50" i="14"/>
  <c r="EG51" i="14"/>
  <c r="EG52" i="14"/>
  <c r="EG53" i="14"/>
  <c r="EG54" i="14"/>
  <c r="EG55" i="14"/>
  <c r="EG56" i="14"/>
  <c r="EG57" i="14"/>
  <c r="EG58" i="14"/>
  <c r="EG59" i="14"/>
  <c r="EG60" i="14"/>
  <c r="EG61" i="14"/>
  <c r="EG62" i="14"/>
  <c r="EG63" i="14"/>
  <c r="EG64" i="14"/>
  <c r="EG65" i="14"/>
  <c r="EG66" i="14"/>
  <c r="EG67" i="14"/>
  <c r="EG68" i="14"/>
  <c r="EG69" i="14"/>
  <c r="EG70" i="14"/>
  <c r="EG71" i="14"/>
  <c r="EG72" i="14"/>
  <c r="EG73" i="14"/>
  <c r="EG74" i="14"/>
  <c r="EG75" i="14"/>
  <c r="EG76" i="14"/>
  <c r="EG77" i="14"/>
  <c r="EI2" i="14"/>
  <c r="EJ2" i="14" s="1"/>
  <c r="EI3" i="14"/>
  <c r="EJ3" i="14" s="1"/>
  <c r="EI4" i="14"/>
  <c r="EJ4" i="14" s="1"/>
  <c r="EI5" i="14"/>
  <c r="EJ5" i="14" s="1"/>
  <c r="EI6" i="14"/>
  <c r="EJ6" i="14" s="1"/>
  <c r="EI7" i="14"/>
  <c r="EJ7" i="14" s="1"/>
  <c r="EI8" i="14"/>
  <c r="EJ8" i="14" s="1"/>
  <c r="EI9" i="14"/>
  <c r="EJ9" i="14" s="1"/>
  <c r="EI10" i="14"/>
  <c r="EJ10" i="14" s="1"/>
  <c r="EI11" i="14"/>
  <c r="EJ11" i="14" s="1"/>
  <c r="EI12" i="14"/>
  <c r="EJ12" i="14" s="1"/>
  <c r="EI13" i="14"/>
  <c r="EJ13" i="14" s="1"/>
  <c r="EI14" i="14"/>
  <c r="EJ14" i="14" s="1"/>
  <c r="EI15" i="14"/>
  <c r="EJ15" i="14" s="1"/>
  <c r="EI16" i="14"/>
  <c r="EJ16" i="14" s="1"/>
  <c r="EI17" i="14"/>
  <c r="EJ17" i="14" s="1"/>
  <c r="EI18" i="14"/>
  <c r="EJ18" i="14" s="1"/>
  <c r="EI19" i="14"/>
  <c r="EJ19" i="14" s="1"/>
  <c r="EI20" i="14"/>
  <c r="EJ20" i="14" s="1"/>
  <c r="EI21" i="14"/>
  <c r="EJ21" i="14" s="1"/>
  <c r="EI22" i="14"/>
  <c r="EJ22" i="14" s="1"/>
  <c r="EI23" i="14"/>
  <c r="EJ23" i="14" s="1"/>
  <c r="EI24" i="14"/>
  <c r="EJ24" i="14" s="1"/>
  <c r="EI25" i="14"/>
  <c r="EI26" i="14"/>
  <c r="EJ26" i="14" s="1"/>
  <c r="EI27" i="14"/>
  <c r="EJ27" i="14" s="1"/>
  <c r="EI28" i="14"/>
  <c r="EJ28" i="14" s="1"/>
  <c r="EI29" i="14"/>
  <c r="EJ29" i="14" s="1"/>
  <c r="EI30" i="14"/>
  <c r="EJ30" i="14" s="1"/>
  <c r="EI31" i="14"/>
  <c r="EJ31" i="14" s="1"/>
  <c r="EI32" i="14"/>
  <c r="EJ32" i="14" s="1"/>
  <c r="EI33" i="14"/>
  <c r="EJ33" i="14" s="1"/>
  <c r="EI34" i="14"/>
  <c r="EJ34" i="14" s="1"/>
  <c r="EI35" i="14"/>
  <c r="EJ35" i="14" s="1"/>
  <c r="EI36" i="14"/>
  <c r="EJ36" i="14" s="1"/>
  <c r="EI37" i="14"/>
  <c r="EJ37" i="14" s="1"/>
  <c r="EI38" i="14"/>
  <c r="EJ38" i="14" s="1"/>
  <c r="EI39" i="14"/>
  <c r="EJ39" i="14" s="1"/>
  <c r="EI40" i="14"/>
  <c r="EJ40" i="14" s="1"/>
  <c r="EI41" i="14"/>
  <c r="EJ41" i="14" s="1"/>
  <c r="EI42" i="14"/>
  <c r="EJ42" i="14" s="1"/>
  <c r="EI43" i="14"/>
  <c r="EJ43" i="14" s="1"/>
  <c r="EI44" i="14"/>
  <c r="EJ44" i="14" s="1"/>
  <c r="EI45" i="14"/>
  <c r="EJ45" i="14" s="1"/>
  <c r="EI46" i="14"/>
  <c r="EJ46" i="14" s="1"/>
  <c r="EI47" i="14"/>
  <c r="EJ47" i="14" s="1"/>
  <c r="EI48" i="14"/>
  <c r="EJ48" i="14" s="1"/>
  <c r="EI49" i="14"/>
  <c r="EJ49" i="14" s="1"/>
  <c r="EI50" i="14"/>
  <c r="EJ50" i="14" s="1"/>
  <c r="EI51" i="14"/>
  <c r="EJ51" i="14" s="1"/>
  <c r="EI52" i="14"/>
  <c r="EJ52" i="14" s="1"/>
  <c r="EI53" i="14"/>
  <c r="EJ53" i="14" s="1"/>
  <c r="EI54" i="14"/>
  <c r="EJ54" i="14" s="1"/>
  <c r="EI55" i="14"/>
  <c r="EJ55" i="14" s="1"/>
  <c r="EI56" i="14"/>
  <c r="EJ56" i="14" s="1"/>
  <c r="EI57" i="14"/>
  <c r="EJ57" i="14" s="1"/>
  <c r="EI58" i="14"/>
  <c r="EI59" i="14"/>
  <c r="EJ59" i="14" s="1"/>
  <c r="EI60" i="14"/>
  <c r="EJ60" i="14" s="1"/>
  <c r="EI61" i="14"/>
  <c r="EJ61" i="14" s="1"/>
  <c r="EI62" i="14"/>
  <c r="EJ62" i="14" s="1"/>
  <c r="EI63" i="14"/>
  <c r="EJ63" i="14" s="1"/>
  <c r="EI64" i="14"/>
  <c r="EJ64" i="14" s="1"/>
  <c r="EI65" i="14"/>
  <c r="EJ65" i="14" s="1"/>
  <c r="EI66" i="14"/>
  <c r="EJ66" i="14" s="1"/>
  <c r="EI67" i="14"/>
  <c r="EJ67" i="14" s="1"/>
  <c r="EI68" i="14"/>
  <c r="EJ68" i="14" s="1"/>
  <c r="EI69" i="14"/>
  <c r="EJ69" i="14" s="1"/>
  <c r="EI70" i="14"/>
  <c r="EJ70" i="14" s="1"/>
  <c r="EI71" i="14"/>
  <c r="EJ71" i="14" s="1"/>
  <c r="EI72" i="14"/>
  <c r="EJ72" i="14" s="1"/>
  <c r="EI73" i="14"/>
  <c r="EJ73" i="14" s="1"/>
  <c r="EI74" i="14"/>
  <c r="EJ74" i="14" s="1"/>
  <c r="EI75" i="14"/>
  <c r="EJ75" i="14" s="1"/>
  <c r="EI76" i="14"/>
  <c r="EJ76" i="14" s="1"/>
  <c r="EI77" i="14"/>
  <c r="EJ77" i="14" s="1"/>
  <c r="DH2" i="14"/>
  <c r="DH3" i="14"/>
  <c r="DH4" i="14"/>
  <c r="DO4" i="14" s="1"/>
  <c r="DH5" i="14"/>
  <c r="DO5" i="14" s="1"/>
  <c r="DH6" i="14"/>
  <c r="DO6" i="14" s="1"/>
  <c r="DH7" i="14"/>
  <c r="DO7" i="14" s="1"/>
  <c r="DH8" i="14"/>
  <c r="DO8" i="14" s="1"/>
  <c r="DH9" i="14"/>
  <c r="DH10" i="14"/>
  <c r="DO10" i="14" s="1"/>
  <c r="DH11" i="14"/>
  <c r="DO11" i="14" s="1"/>
  <c r="DH12" i="14"/>
  <c r="DO12" i="14" s="1"/>
  <c r="DH13" i="14"/>
  <c r="DO13" i="14" s="1"/>
  <c r="DH14" i="14"/>
  <c r="DH15" i="14"/>
  <c r="DO15" i="14" s="1"/>
  <c r="DH16" i="14"/>
  <c r="DO16" i="14" s="1"/>
  <c r="DH17" i="14"/>
  <c r="DO17" i="14" s="1"/>
  <c r="DH18" i="14"/>
  <c r="DH19" i="14"/>
  <c r="DO19" i="14" s="1"/>
  <c r="DH20" i="14"/>
  <c r="DO20" i="14" s="1"/>
  <c r="DH21" i="14"/>
  <c r="DO21" i="14" s="1"/>
  <c r="DH22" i="14"/>
  <c r="DO22" i="14" s="1"/>
  <c r="DI9" i="14" l="1"/>
  <c r="DS9" i="14" s="1"/>
  <c r="DO9" i="14"/>
  <c r="DI3" i="14"/>
  <c r="DS3" i="14" s="1"/>
  <c r="DO3" i="14"/>
  <c r="DI14" i="14"/>
  <c r="DI5" i="14"/>
  <c r="DI4" i="14"/>
  <c r="DI11" i="14"/>
  <c r="DI21" i="14"/>
  <c r="DI20" i="14"/>
  <c r="BR10" i="11" s="1"/>
  <c r="DI10" i="14"/>
  <c r="DI22" i="14"/>
  <c r="DI2" i="14"/>
  <c r="DI19" i="14"/>
  <c r="DI18" i="14"/>
  <c r="DI15" i="14"/>
  <c r="DI13" i="14"/>
  <c r="DI12" i="14"/>
  <c r="DI17" i="14"/>
  <c r="DI8" i="14"/>
  <c r="DI16" i="14"/>
  <c r="DI7" i="14"/>
  <c r="DI6" i="14"/>
  <c r="D3" i="11" a="1"/>
  <c r="JV2" i="9"/>
  <c r="JW2" i="9" s="1"/>
  <c r="LK2" i="9"/>
  <c r="LL2" i="9"/>
  <c r="LM2" i="9"/>
  <c r="JT2" i="9"/>
  <c r="C3" i="11"/>
  <c r="C4" i="35"/>
  <c r="D4" i="35" s="1"/>
  <c r="EJ25" i="14"/>
  <c r="EJ58" i="14"/>
  <c r="BR22" i="11" l="1"/>
  <c r="BR7" i="11" a="1"/>
  <c r="BR11" i="11"/>
  <c r="BR21" i="11"/>
  <c r="BR4" i="11"/>
  <c r="Y1" i="35"/>
  <c r="BR24" i="11"/>
  <c r="BR14" i="11"/>
  <c r="BR3" i="11"/>
  <c r="DT9" i="14"/>
  <c r="BR12" i="11"/>
  <c r="DT3" i="14"/>
  <c r="BR5" i="11"/>
  <c r="BR13" i="11"/>
  <c r="BR23" i="11"/>
  <c r="DT11" i="14"/>
  <c r="DS11" i="14"/>
  <c r="DS13" i="14"/>
  <c r="DT13" i="14"/>
  <c r="DS4" i="14"/>
  <c r="DT4" i="14"/>
  <c r="DS5" i="14"/>
  <c r="DT5" i="14"/>
  <c r="DT10" i="14"/>
  <c r="DS10" i="14"/>
  <c r="DS22" i="14"/>
  <c r="DT22" i="14"/>
  <c r="DS12" i="14"/>
  <c r="DT12" i="14"/>
  <c r="DT16" i="14"/>
  <c r="DS16" i="14"/>
  <c r="DS18" i="14"/>
  <c r="DT18" i="14"/>
  <c r="DS20" i="14"/>
  <c r="DT20" i="14"/>
  <c r="DS7" i="14"/>
  <c r="DT7" i="14"/>
  <c r="DT14" i="14"/>
  <c r="DS14" i="14"/>
  <c r="DS15" i="14"/>
  <c r="DT15" i="14"/>
  <c r="DT19" i="14"/>
  <c r="DS19" i="14"/>
  <c r="DS17" i="14"/>
  <c r="DT17" i="14"/>
  <c r="DT21" i="14"/>
  <c r="DS21" i="14"/>
  <c r="DS6" i="14"/>
  <c r="DT6" i="14"/>
  <c r="DS8" i="14"/>
  <c r="DT8" i="14"/>
  <c r="DT2" i="14"/>
  <c r="DS2" i="14"/>
  <c r="BR2" i="11"/>
  <c r="LN2" i="9"/>
  <c r="LO2" i="9"/>
  <c r="JX2" i="9"/>
  <c r="EK32" i="14" l="1"/>
  <c r="EK55" i="14"/>
  <c r="EK43" i="14"/>
  <c r="DJ3" i="14"/>
  <c r="EK58" i="14"/>
  <c r="EK16" i="14"/>
  <c r="EK46" i="14"/>
  <c r="EK24" i="14"/>
  <c r="EK21" i="14"/>
  <c r="EK23" i="14"/>
  <c r="EK4" i="14"/>
  <c r="EK63" i="14"/>
  <c r="DJ2" i="14"/>
  <c r="CH3" i="11" s="1"/>
  <c r="DJ18" i="14"/>
  <c r="DJ12" i="14"/>
  <c r="EK76" i="14"/>
  <c r="EK34" i="14"/>
  <c r="EK70" i="14"/>
  <c r="EK37" i="14"/>
  <c r="EK61" i="14"/>
  <c r="EK6" i="14"/>
  <c r="EK45" i="14"/>
  <c r="EK39" i="14"/>
  <c r="EK13" i="14"/>
  <c r="EK49" i="14"/>
  <c r="EK48" i="14"/>
  <c r="EK54" i="14"/>
  <c r="EK60" i="14"/>
  <c r="EK71" i="14"/>
  <c r="EK44" i="14"/>
  <c r="EK73" i="14"/>
  <c r="EK41" i="14"/>
  <c r="EK66" i="14"/>
  <c r="EK9" i="14"/>
  <c r="EK67" i="14"/>
  <c r="EK75" i="14"/>
  <c r="DJ9" i="14" l="1"/>
  <c r="EK35" i="14"/>
  <c r="EK36" i="14"/>
  <c r="EK19" i="14"/>
  <c r="EK2" i="14"/>
  <c r="EK28" i="14"/>
  <c r="EK72" i="14"/>
  <c r="EK47" i="14"/>
  <c r="EK53" i="14"/>
  <c r="EK52" i="14"/>
  <c r="EK33" i="14"/>
  <c r="EK77" i="14"/>
  <c r="EK14" i="14"/>
  <c r="EK40" i="14"/>
  <c r="EK15" i="14"/>
  <c r="EK20" i="14"/>
  <c r="EK68" i="14"/>
  <c r="EK56" i="14"/>
  <c r="EK57" i="14"/>
  <c r="EK65" i="14"/>
  <c r="EK42" i="14"/>
  <c r="EK59" i="14"/>
  <c r="DJ5" i="14"/>
  <c r="EK62" i="14"/>
  <c r="EK51" i="14"/>
  <c r="EK27" i="14"/>
  <c r="EK3" i="14"/>
  <c r="EK17" i="14"/>
  <c r="EK18" i="14"/>
  <c r="EK22" i="14"/>
  <c r="EK10" i="14"/>
  <c r="EK7" i="14"/>
  <c r="CH25" i="11"/>
  <c r="EK8" i="14"/>
  <c r="EK5" i="14"/>
  <c r="EK29" i="14"/>
  <c r="EK25" i="14"/>
  <c r="EK64" i="14"/>
  <c r="EK11" i="14"/>
  <c r="EK38" i="14"/>
  <c r="EK69" i="14"/>
  <c r="EK26" i="14"/>
  <c r="EK50" i="14"/>
  <c r="EK74" i="14"/>
  <c r="EK31" i="14"/>
  <c r="EK30" i="14"/>
  <c r="EK12" i="14"/>
  <c r="DJ20" i="14"/>
  <c r="CH8" i="11" s="1"/>
  <c r="DJ7" i="14"/>
  <c r="DJ10" i="14"/>
  <c r="DJ21" i="14"/>
  <c r="DJ15" i="14"/>
  <c r="DJ8" i="14"/>
  <c r="DJ16" i="14"/>
  <c r="DJ22" i="14"/>
  <c r="DJ13" i="14"/>
  <c r="DJ6" i="14"/>
  <c r="DJ14" i="14"/>
  <c r="DJ17" i="14"/>
  <c r="DJ11" i="14"/>
  <c r="DJ4" i="14"/>
  <c r="DJ19" i="14"/>
  <c r="CH4" i="11" l="1"/>
  <c r="CH24" i="11"/>
  <c r="CH9" i="11"/>
  <c r="CH17" i="11"/>
  <c r="CH18" i="11"/>
  <c r="CH15" i="11"/>
  <c r="CH10" i="11"/>
  <c r="CH26" i="11"/>
  <c r="CH11" i="11"/>
  <c r="CH12" i="11"/>
  <c r="CH27" i="11"/>
  <c r="CH16" i="11"/>
  <c r="CH2" i="11"/>
  <c r="L3" i="24"/>
  <c r="B3" i="24"/>
  <c r="DG3" i="14" l="1"/>
  <c r="DG4" i="14"/>
  <c r="DG5" i="14"/>
  <c r="DG6" i="14"/>
  <c r="DG7" i="14"/>
  <c r="DG8" i="14"/>
  <c r="DG9" i="14"/>
  <c r="DG10" i="14"/>
  <c r="DG11" i="14"/>
  <c r="DG12" i="14"/>
  <c r="DG13" i="14"/>
  <c r="DG14" i="14"/>
  <c r="DG15" i="14"/>
  <c r="DG16" i="14"/>
  <c r="DG17" i="14"/>
  <c r="DG18" i="14"/>
  <c r="DG19" i="14"/>
  <c r="DG20" i="14"/>
  <c r="DG21" i="14"/>
  <c r="DG22" i="14"/>
  <c r="EH2" i="14"/>
  <c r="EH3" i="14"/>
  <c r="EH4" i="14"/>
  <c r="EH5" i="14"/>
  <c r="EH6" i="14"/>
  <c r="EH7" i="14"/>
  <c r="EH8" i="14"/>
  <c r="EH9" i="14"/>
  <c r="EH10" i="14"/>
  <c r="EH11" i="14"/>
  <c r="EH12" i="14"/>
  <c r="EH13" i="14"/>
  <c r="EH14" i="14"/>
  <c r="EH15" i="14"/>
  <c r="EH16" i="14"/>
  <c r="EH17" i="14"/>
  <c r="EH18" i="14"/>
  <c r="EH19" i="14"/>
  <c r="EH20" i="14"/>
  <c r="EH21" i="14"/>
  <c r="EH22" i="14"/>
  <c r="EH23" i="14"/>
  <c r="EH24" i="14"/>
  <c r="EH25" i="14"/>
  <c r="EH26" i="14"/>
  <c r="EH27" i="14"/>
  <c r="EH28" i="14"/>
  <c r="EH29" i="14"/>
  <c r="EH30" i="14"/>
  <c r="EH31" i="14"/>
  <c r="EH32" i="14"/>
  <c r="EH33" i="14"/>
  <c r="EH34" i="14"/>
  <c r="EH35" i="14"/>
  <c r="EH36" i="14"/>
  <c r="EH37" i="14"/>
  <c r="EH38" i="14"/>
  <c r="EH39" i="14"/>
  <c r="EH40" i="14"/>
  <c r="EH41" i="14"/>
  <c r="EH42" i="14"/>
  <c r="EH43" i="14"/>
  <c r="EH44" i="14"/>
  <c r="EH45" i="14"/>
  <c r="EH46" i="14"/>
  <c r="EH47" i="14"/>
  <c r="EH48" i="14"/>
  <c r="EH49" i="14"/>
  <c r="EH50" i="14"/>
  <c r="EH51" i="14"/>
  <c r="EH52" i="14"/>
  <c r="EH53" i="14"/>
  <c r="EH54" i="14"/>
  <c r="EH55" i="14"/>
  <c r="EH56" i="14"/>
  <c r="EH57" i="14"/>
  <c r="EH58" i="14"/>
  <c r="EH59" i="14"/>
  <c r="EH60" i="14"/>
  <c r="EH61" i="14"/>
  <c r="EH62" i="14"/>
  <c r="EH63" i="14"/>
  <c r="EH64" i="14"/>
  <c r="EH65" i="14"/>
  <c r="EH66" i="14"/>
  <c r="EH67" i="14"/>
  <c r="EH68" i="14"/>
  <c r="EH69" i="14"/>
  <c r="EH70" i="14"/>
  <c r="EH71" i="14"/>
  <c r="EH72" i="14"/>
  <c r="EH73" i="14"/>
  <c r="EH74" i="14"/>
  <c r="EH75" i="14"/>
  <c r="EH76" i="14"/>
  <c r="EH77" i="14"/>
  <c r="DG2" i="14"/>
  <c r="BO2" i="60" l="1"/>
  <c r="BN2" i="60" l="1"/>
  <c r="BQ2" i="60"/>
  <c r="AY2" i="60"/>
  <c r="BC2" i="60"/>
  <c r="BB2" i="60" l="1"/>
  <c r="L119" i="24" s="1"/>
  <c r="BP2" i="60"/>
  <c r="BA2" i="60" l="1"/>
  <c r="P9" i="46" s="1"/>
  <c r="B209" i="31"/>
  <c r="DE3" i="14" l="1"/>
  <c r="DE4" i="14"/>
  <c r="DE5" i="14"/>
  <c r="DE6" i="14"/>
  <c r="DE7" i="14"/>
  <c r="DE8" i="14"/>
  <c r="DE9" i="14"/>
  <c r="DE10" i="14"/>
  <c r="DE11" i="14"/>
  <c r="DE12" i="14"/>
  <c r="DE13" i="14"/>
  <c r="DE14" i="14"/>
  <c r="DE15" i="14"/>
  <c r="DE16" i="14"/>
  <c r="DE17" i="14"/>
  <c r="DE18" i="14"/>
  <c r="DE19" i="14"/>
  <c r="DE20" i="14"/>
  <c r="DE21" i="14"/>
  <c r="DE22" i="14"/>
  <c r="EF2" i="14"/>
  <c r="EF3" i="14"/>
  <c r="EF4" i="14"/>
  <c r="EF5" i="14"/>
  <c r="EF6" i="14"/>
  <c r="EF7" i="14"/>
  <c r="EF8" i="14"/>
  <c r="EF9" i="14"/>
  <c r="EF10" i="14"/>
  <c r="EF11" i="14"/>
  <c r="EF12" i="14"/>
  <c r="EF13" i="14"/>
  <c r="EF14" i="14"/>
  <c r="EF15" i="14"/>
  <c r="EF16" i="14"/>
  <c r="EF17" i="14"/>
  <c r="EF18" i="14"/>
  <c r="EF19" i="14"/>
  <c r="EF20" i="14"/>
  <c r="EF21" i="14"/>
  <c r="EF22" i="14"/>
  <c r="EF23" i="14"/>
  <c r="EF24" i="14"/>
  <c r="EF25" i="14"/>
  <c r="EF26" i="14"/>
  <c r="EF27" i="14"/>
  <c r="EF28" i="14"/>
  <c r="EF29" i="14"/>
  <c r="EF30" i="14"/>
  <c r="EF31" i="14"/>
  <c r="EF32" i="14"/>
  <c r="EF33" i="14"/>
  <c r="EF34" i="14"/>
  <c r="EF35" i="14"/>
  <c r="EF36" i="14"/>
  <c r="EF37" i="14"/>
  <c r="EF38" i="14"/>
  <c r="EF39" i="14"/>
  <c r="EF40" i="14"/>
  <c r="EF41" i="14"/>
  <c r="EF42" i="14"/>
  <c r="EF43" i="14"/>
  <c r="EF44" i="14"/>
  <c r="EF45" i="14"/>
  <c r="EF46" i="14"/>
  <c r="EF47" i="14"/>
  <c r="EF48" i="14"/>
  <c r="EF49" i="14"/>
  <c r="EF50" i="14"/>
  <c r="EF51" i="14"/>
  <c r="EF52" i="14"/>
  <c r="EF53" i="14"/>
  <c r="EF54" i="14"/>
  <c r="EF55" i="14"/>
  <c r="EF56" i="14"/>
  <c r="EF57" i="14"/>
  <c r="EF58" i="14"/>
  <c r="EF59" i="14"/>
  <c r="EF60" i="14"/>
  <c r="EF61" i="14"/>
  <c r="EF62" i="14"/>
  <c r="EF63" i="14"/>
  <c r="EF64" i="14"/>
  <c r="EF65" i="14"/>
  <c r="EF66" i="14"/>
  <c r="EF67" i="14"/>
  <c r="EF68" i="14"/>
  <c r="EF69" i="14"/>
  <c r="EF70" i="14"/>
  <c r="EF71" i="14"/>
  <c r="EF72" i="14"/>
  <c r="EF73" i="14"/>
  <c r="EF74" i="14"/>
  <c r="EF75" i="14"/>
  <c r="EF76" i="14"/>
  <c r="EF77" i="14"/>
  <c r="DE2" i="14"/>
  <c r="C2" i="11" l="1"/>
  <c r="C3" i="35"/>
  <c r="D3" i="35" s="1"/>
  <c r="DD20" i="14"/>
  <c r="DD16" i="14"/>
  <c r="EE42" i="14"/>
  <c r="DD5" i="14"/>
  <c r="EE46" i="14"/>
  <c r="EE22" i="14"/>
  <c r="EE56" i="14"/>
  <c r="EE57" i="14"/>
  <c r="EE48" i="14"/>
  <c r="EE18" i="14"/>
  <c r="EE54" i="14"/>
  <c r="EE35" i="14"/>
  <c r="EE26" i="14"/>
  <c r="EE50" i="14"/>
  <c r="EE2" i="14"/>
  <c r="DD4" i="14"/>
  <c r="EE7" i="14"/>
  <c r="EE10" i="14"/>
  <c r="DD14" i="14"/>
  <c r="EE77" i="14"/>
  <c r="EE33" i="14"/>
  <c r="DD11" i="14"/>
  <c r="DD19" i="14"/>
  <c r="EE61" i="14"/>
  <c r="EE68" i="14"/>
  <c r="EE25" i="14"/>
  <c r="EE20" i="14"/>
  <c r="EE51" i="14"/>
  <c r="EE16" i="14"/>
  <c r="EE34" i="14"/>
  <c r="EE23" i="14"/>
  <c r="EE38" i="14"/>
  <c r="EE52" i="14"/>
  <c r="EE53" i="14"/>
  <c r="EE15" i="14"/>
  <c r="EE43" i="14"/>
  <c r="EE44" i="14"/>
  <c r="EE6" i="14"/>
  <c r="EE13" i="14"/>
  <c r="EE19" i="14"/>
  <c r="EE37" i="14"/>
  <c r="EE41" i="14"/>
  <c r="EE32" i="14"/>
  <c r="EE73" i="14"/>
  <c r="EE45" i="14"/>
  <c r="EE55" i="14"/>
  <c r="EE3" i="14"/>
  <c r="EE47" i="14"/>
  <c r="EE71" i="14"/>
  <c r="EE76" i="14"/>
  <c r="EE69" i="14"/>
  <c r="EE14" i="14"/>
  <c r="EE29" i="14"/>
  <c r="EE72" i="14"/>
  <c r="EE66" i="14"/>
  <c r="EE24" i="14"/>
  <c r="EE4" i="14"/>
  <c r="EE40" i="14"/>
  <c r="EE59" i="14"/>
  <c r="EE36" i="14"/>
  <c r="EE5" i="14"/>
  <c r="EE58" i="14"/>
  <c r="EE49" i="14"/>
  <c r="DD7" i="14"/>
  <c r="DD15" i="14"/>
  <c r="EE11" i="14"/>
  <c r="EE12" i="14"/>
  <c r="EE30" i="14"/>
  <c r="DD10" i="14"/>
  <c r="EE8" i="14"/>
  <c r="EE64" i="14"/>
  <c r="EE31" i="14"/>
  <c r="DD6" i="14"/>
  <c r="EE17" i="14"/>
  <c r="EE28" i="14"/>
  <c r="EE75" i="14"/>
  <c r="EE62" i="14"/>
  <c r="EE9" i="14"/>
  <c r="DD8" i="14"/>
  <c r="EE39" i="14"/>
  <c r="EE27" i="14"/>
  <c r="DD17" i="14"/>
  <c r="DD3" i="14"/>
  <c r="EE21" i="14"/>
  <c r="DD12" i="14"/>
  <c r="DD18" i="14"/>
  <c r="DD2" i="14"/>
  <c r="DD13" i="14"/>
  <c r="EE63" i="14"/>
  <c r="EE65" i="14"/>
  <c r="DD21" i="14"/>
  <c r="DD22" i="14"/>
  <c r="EE60" i="14"/>
  <c r="DD9" i="14"/>
  <c r="L343" i="24" l="1"/>
  <c r="L305" i="24" a="1"/>
  <c r="L306" i="24" a="1"/>
  <c r="L308" i="24" a="1"/>
  <c r="B307" i="24"/>
  <c r="L307" i="24" a="1"/>
  <c r="T21" i="2"/>
  <c r="U21" i="2" s="1"/>
  <c r="B106" i="24"/>
  <c r="B107" i="24"/>
  <c r="B108" i="24"/>
  <c r="B109" i="24"/>
  <c r="B110" i="24"/>
  <c r="B111" i="24"/>
  <c r="B112" i="24"/>
  <c r="B113" i="24"/>
  <c r="B114" i="24"/>
  <c r="B115" i="24"/>
  <c r="B2" i="24"/>
  <c r="B312" i="24"/>
  <c r="B117" i="24"/>
  <c r="B118" i="24"/>
  <c r="B274" i="24"/>
  <c r="B270" i="24"/>
  <c r="B269" i="24"/>
  <c r="B268" i="24"/>
  <c r="B267" i="24"/>
  <c r="B266" i="24"/>
  <c r="B265" i="24"/>
  <c r="B264" i="24"/>
  <c r="B263" i="24"/>
  <c r="B273" i="24"/>
  <c r="B272" i="24"/>
  <c r="B271" i="24"/>
  <c r="B286" i="24"/>
  <c r="B282" i="24"/>
  <c r="B281" i="24"/>
  <c r="B280" i="24"/>
  <c r="B279" i="24"/>
  <c r="B278" i="24"/>
  <c r="B277" i="24"/>
  <c r="B276" i="24"/>
  <c r="B275" i="24"/>
  <c r="B285" i="24"/>
  <c r="B284" i="24"/>
  <c r="B283" i="24"/>
  <c r="AG13" i="60"/>
  <c r="AG14" i="60"/>
  <c r="AG15" i="60"/>
  <c r="AG16" i="60"/>
  <c r="AG17" i="60"/>
  <c r="AG18" i="60"/>
  <c r="AG19" i="60"/>
  <c r="AG20" i="60"/>
  <c r="AG21" i="60"/>
  <c r="AG22" i="60"/>
  <c r="AG23" i="60"/>
  <c r="AG24" i="60"/>
  <c r="AG12" i="60"/>
  <c r="AH12" i="60" s="1"/>
  <c r="AI12" i="60" s="1"/>
  <c r="G36" i="3"/>
  <c r="AJ12" i="60" l="1"/>
  <c r="AL13" i="60"/>
  <c r="AL14" i="60"/>
  <c r="AL15" i="60"/>
  <c r="AL16" i="60"/>
  <c r="AL17" i="60"/>
  <c r="AL18" i="60"/>
  <c r="AL19" i="60"/>
  <c r="AL20" i="60"/>
  <c r="AL21" i="60"/>
  <c r="AL22" i="60"/>
  <c r="AL23" i="60"/>
  <c r="AL24" i="60"/>
  <c r="AL12" i="60"/>
  <c r="AK12" i="60"/>
  <c r="AK13" i="60"/>
  <c r="AK20" i="60"/>
  <c r="AH14" i="60"/>
  <c r="AH19" i="60"/>
  <c r="AH23" i="60"/>
  <c r="AK15" i="60"/>
  <c r="AK21" i="60"/>
  <c r="AK17" i="60"/>
  <c r="AK23" i="60"/>
  <c r="AH15" i="60"/>
  <c r="AH20" i="60"/>
  <c r="AK18" i="60"/>
  <c r="AK24" i="60"/>
  <c r="AH16" i="60"/>
  <c r="AH21" i="60"/>
  <c r="AK16" i="60"/>
  <c r="AK22" i="60"/>
  <c r="AH17" i="60"/>
  <c r="AH13" i="60"/>
  <c r="AI13" i="60" s="1"/>
  <c r="AK14" i="60"/>
  <c r="AK19" i="60"/>
  <c r="AH18" i="60"/>
  <c r="AH22" i="60"/>
  <c r="AH24" i="60"/>
  <c r="AI14" i="60" l="1"/>
  <c r="AJ14" i="60" s="1"/>
  <c r="AJ13" i="60"/>
  <c r="L286" i="24"/>
  <c r="L279" i="24"/>
  <c r="L280" i="24"/>
  <c r="L281" i="24"/>
  <c r="L282" i="24"/>
  <c r="L269" i="24"/>
  <c r="L274" i="24"/>
  <c r="L268" i="24"/>
  <c r="L270" i="24"/>
  <c r="L267" i="24"/>
  <c r="AI15" i="60" l="1"/>
  <c r="AI16" i="60" s="1"/>
  <c r="AK5" i="60"/>
  <c r="AK6" i="60" s="1"/>
  <c r="AJ15" i="60" l="1"/>
  <c r="AI17" i="60"/>
  <c r="AJ16" i="60"/>
  <c r="B208" i="31"/>
  <c r="M4" i="60" a="1"/>
  <c r="N5" i="60" l="1"/>
  <c r="O5" i="60"/>
  <c r="N6" i="60"/>
  <c r="O6" i="60"/>
  <c r="N7" i="60"/>
  <c r="O7" i="60"/>
  <c r="AI18" i="60"/>
  <c r="AJ17" i="60"/>
  <c r="H13" i="56"/>
  <c r="B13" i="56"/>
  <c r="AI19" i="60" l="1"/>
  <c r="AJ18" i="60"/>
  <c r="G33" i="3"/>
  <c r="AI20" i="60" l="1"/>
  <c r="AJ19" i="60"/>
  <c r="H12" i="56"/>
  <c r="AI21" i="60" l="1"/>
  <c r="AJ20" i="60"/>
  <c r="B12" i="56"/>
  <c r="AI22" i="60" l="1"/>
  <c r="AJ21" i="60"/>
  <c r="AT7" i="11" a="1"/>
  <c r="AI23" i="60" l="1"/>
  <c r="AJ22" i="60"/>
  <c r="AV19" i="11" a="1"/>
  <c r="AV35" i="11" a="1"/>
  <c r="AU35" i="11" a="1"/>
  <c r="AU34" i="11" a="1"/>
  <c r="AV34" i="11" a="1"/>
  <c r="AU33" i="11" a="1"/>
  <c r="AV33" i="11" a="1"/>
  <c r="AV32" i="11" a="1"/>
  <c r="AU32" i="11" a="1"/>
  <c r="AU31" i="11" a="1"/>
  <c r="AV31" i="11" a="1"/>
  <c r="AU30" i="11" a="1"/>
  <c r="AV30" i="11" a="1"/>
  <c r="AU29" i="11" a="1"/>
  <c r="AV29" i="11" a="1"/>
  <c r="AU28" i="11" a="1"/>
  <c r="AV28" i="11" a="1"/>
  <c r="AU27" i="11" a="1"/>
  <c r="AV27" i="11" a="1"/>
  <c r="AU26" i="11" a="1"/>
  <c r="AV26" i="11" a="1"/>
  <c r="AU25" i="11" a="1"/>
  <c r="AV25" i="11" a="1"/>
  <c r="AU24" i="11" a="1"/>
  <c r="AV24" i="11" a="1"/>
  <c r="AU23" i="11" a="1"/>
  <c r="AV23" i="11" a="1"/>
  <c r="AV22" i="11" a="1"/>
  <c r="AU22" i="11" a="1"/>
  <c r="AU21" i="11" a="1"/>
  <c r="AV21" i="11" a="1"/>
  <c r="AU20" i="11" a="1"/>
  <c r="AV20" i="11" a="1"/>
  <c r="AU19" i="11" a="1"/>
  <c r="AU10" i="11" a="1"/>
  <c r="AU18" i="11" a="1"/>
  <c r="AV16" i="11" a="1"/>
  <c r="AV17" i="11" a="1"/>
  <c r="AV15" i="11" a="1"/>
  <c r="AU17" i="11" a="1"/>
  <c r="AV14" i="11" a="1"/>
  <c r="AU16" i="11" a="1"/>
  <c r="AV13" i="11" a="1"/>
  <c r="AV12" i="11" a="1"/>
  <c r="AU15" i="11" a="1"/>
  <c r="AV11" i="11" a="1"/>
  <c r="AU14" i="11" a="1"/>
  <c r="AV10" i="11" a="1"/>
  <c r="AU13" i="11" a="1"/>
  <c r="AV9" i="11" a="1"/>
  <c r="AU12" i="11" a="1"/>
  <c r="AU9" i="11" a="1"/>
  <c r="AU11" i="11" a="1"/>
  <c r="AV18" i="11" a="1"/>
  <c r="AI24" i="60" l="1"/>
  <c r="AJ24" i="60" s="1"/>
  <c r="AJ23" i="60"/>
  <c r="L32" i="3"/>
  <c r="BS2" i="14" l="1"/>
  <c r="AT2" i="14"/>
  <c r="IC2" i="9"/>
  <c r="L313" i="24"/>
  <c r="AP1" i="46"/>
  <c r="P7" i="35" l="1"/>
  <c r="EE67" i="14"/>
  <c r="O26" i="35"/>
  <c r="J48" i="11"/>
  <c r="E13" i="46"/>
  <c r="G5" i="46" a="1"/>
  <c r="G4" i="46"/>
  <c r="EE74" i="14"/>
  <c r="EE70" i="14"/>
  <c r="AK3" i="60"/>
  <c r="AK4" i="60" s="1"/>
  <c r="AJ3" i="60"/>
  <c r="AJ4" i="60" s="1"/>
  <c r="L212" i="31" l="1"/>
  <c r="AQ1" i="46"/>
  <c r="F16" i="46"/>
  <c r="Q5" i="46" a="1"/>
  <c r="L5" i="46" a="1"/>
  <c r="M9" i="46"/>
  <c r="H9" i="46"/>
  <c r="B207" i="31"/>
  <c r="B206" i="31"/>
  <c r="B205" i="31"/>
  <c r="B204" i="31"/>
  <c r="B203" i="31"/>
  <c r="B202" i="31"/>
  <c r="B201" i="31"/>
  <c r="B200" i="31"/>
  <c r="B199" i="31"/>
  <c r="B198" i="31"/>
  <c r="B197" i="31"/>
  <c r="B196" i="31"/>
  <c r="B195" i="31"/>
  <c r="DS11" i="11" l="1"/>
  <c r="BC85" i="10" l="1"/>
  <c r="C40" i="2"/>
  <c r="C39" i="2"/>
  <c r="C35" i="2"/>
  <c r="C33" i="2"/>
  <c r="C30" i="2"/>
  <c r="C29" i="2"/>
  <c r="C28" i="2"/>
  <c r="C27" i="2"/>
  <c r="C21" i="2"/>
  <c r="C16" i="2"/>
  <c r="C15" i="2"/>
  <c r="C14" i="2"/>
  <c r="C13" i="2"/>
  <c r="C11" i="2"/>
  <c r="C10" i="2"/>
  <c r="C9" i="2"/>
  <c r="C8" i="2"/>
  <c r="C7" i="2"/>
  <c r="E31" i="58"/>
  <c r="E30" i="58"/>
  <c r="A30" i="58"/>
  <c r="A31" i="58"/>
  <c r="L109" i="31" l="1"/>
  <c r="AJ7" i="60" l="1"/>
  <c r="L118" i="24" s="1"/>
  <c r="AJ8" i="60" l="1"/>
  <c r="L117" i="24" s="1"/>
  <c r="O4" i="46"/>
  <c r="H52" i="3"/>
  <c r="G52" i="3"/>
  <c r="E52" i="3" l="1"/>
  <c r="I52" i="3"/>
  <c r="G12" i="3" l="1"/>
  <c r="E12" i="3" s="1"/>
  <c r="C6" i="2"/>
  <c r="J5" i="11" s="1"/>
  <c r="B211" i="24" l="1"/>
  <c r="B210" i="24"/>
  <c r="B209" i="24"/>
  <c r="B208" i="24"/>
  <c r="B199" i="24"/>
  <c r="B198" i="24"/>
  <c r="B197" i="24"/>
  <c r="B196" i="24"/>
  <c r="L208" i="24"/>
  <c r="O9" i="46"/>
  <c r="J9" i="46"/>
  <c r="L198" i="24" s="1"/>
  <c r="L210" i="24" l="1"/>
  <c r="L196" i="24"/>
  <c r="T17" i="2"/>
  <c r="T18" i="2"/>
  <c r="U18" i="2" s="1"/>
  <c r="T19" i="2"/>
  <c r="U19" i="2" s="1"/>
  <c r="T20" i="2"/>
  <c r="U20" i="2" s="1"/>
  <c r="T22" i="2"/>
  <c r="U22" i="2" s="1"/>
  <c r="T23" i="2"/>
  <c r="U23" i="2" s="1"/>
  <c r="T24" i="2"/>
  <c r="U24" i="2" s="1"/>
  <c r="T16" i="2"/>
  <c r="U16" i="2" s="1"/>
  <c r="H4" i="46" l="1"/>
  <c r="M32" i="3" s="1"/>
  <c r="J10" i="46" l="1"/>
  <c r="O10" i="46" l="1"/>
  <c r="AI5" i="60" l="1"/>
  <c r="AI6" i="60" s="1"/>
  <c r="AG3" i="60"/>
  <c r="AG4" i="60" s="1"/>
  <c r="AL3" i="60" l="1"/>
  <c r="AL4" i="60" s="1"/>
  <c r="AI3" i="60"/>
  <c r="AI4" i="60" s="1"/>
  <c r="BT2" i="14" l="1"/>
  <c r="G43" i="3" s="1" a="1"/>
  <c r="BA4" i="11" l="1" a="1"/>
  <c r="B137" i="31" l="1"/>
  <c r="B132" i="31"/>
  <c r="B127" i="31"/>
  <c r="B207" i="24"/>
  <c r="B195" i="24"/>
  <c r="B190" i="24"/>
  <c r="AJ5" i="60" l="1"/>
  <c r="AJ6" i="60" s="1"/>
  <c r="K9" i="46"/>
  <c r="L199" i="24" s="1"/>
  <c r="L211" i="24" l="1"/>
  <c r="L190" i="24"/>
  <c r="I9" i="46" l="1"/>
  <c r="L4" i="46"/>
  <c r="N9" i="46"/>
  <c r="Q4" i="46"/>
  <c r="L207" i="24" s="1"/>
  <c r="E33" i="3"/>
  <c r="G31" i="3"/>
  <c r="G32" i="3" s="1"/>
  <c r="K10" i="46" l="1"/>
  <c r="P10" i="46"/>
  <c r="L209" i="24"/>
  <c r="L197" i="24"/>
  <c r="L195" i="24"/>
  <c r="Q10" i="46" l="1"/>
  <c r="P2" i="2"/>
  <c r="U17" i="2"/>
  <c r="T201" i="24"/>
  <c r="W2" i="14"/>
  <c r="G44" i="3" s="1" a="1"/>
  <c r="O5" i="46"/>
  <c r="J5" i="46"/>
  <c r="H18" i="3" l="1"/>
  <c r="E22" i="3" l="1"/>
  <c r="FG2" i="9" l="1"/>
  <c r="FH2" i="9" s="1"/>
  <c r="FI2" i="9" s="1"/>
  <c r="FJ2" i="9"/>
  <c r="FK2" i="9"/>
  <c r="FL2" i="9"/>
  <c r="G15" i="3" s="1"/>
  <c r="E15" i="3" s="1"/>
  <c r="BC2" i="10"/>
  <c r="BC3" i="10"/>
  <c r="BC4" i="10"/>
  <c r="BC5" i="10"/>
  <c r="BC6" i="10"/>
  <c r="BC8" i="10"/>
  <c r="BC9" i="10"/>
  <c r="BC10" i="10"/>
  <c r="BC11" i="10"/>
  <c r="BC12" i="10"/>
  <c r="BC13" i="10"/>
  <c r="BC14" i="10"/>
  <c r="BC15" i="10"/>
  <c r="BC16" i="10"/>
  <c r="BC17" i="10"/>
  <c r="BC18" i="10"/>
  <c r="BC19" i="10"/>
  <c r="BC20" i="10"/>
  <c r="BC25" i="10"/>
  <c r="BC26" i="10"/>
  <c r="BC27" i="10"/>
  <c r="BC28" i="10"/>
  <c r="BC29" i="10"/>
  <c r="BC30" i="10"/>
  <c r="BC31" i="10"/>
  <c r="BC32" i="10"/>
  <c r="BC33" i="10"/>
  <c r="BC34" i="10"/>
  <c r="BC35" i="10"/>
  <c r="BC36" i="10"/>
  <c r="BC37" i="10"/>
  <c r="BC38" i="10"/>
  <c r="BC39" i="10"/>
  <c r="BC40" i="10"/>
  <c r="BC41" i="10"/>
  <c r="BC42" i="10"/>
  <c r="BC43" i="10"/>
  <c r="BC44" i="10"/>
  <c r="BC45" i="10"/>
  <c r="BC46" i="10"/>
  <c r="BC47" i="10"/>
  <c r="BC48" i="10"/>
  <c r="BC49" i="10"/>
  <c r="BC50" i="10"/>
  <c r="BC51" i="10"/>
  <c r="BC52" i="10"/>
  <c r="BC53" i="10"/>
  <c r="BC54" i="10"/>
  <c r="BC56" i="10"/>
  <c r="BC57" i="10"/>
  <c r="BC58" i="10"/>
  <c r="BC59" i="10"/>
  <c r="BC60" i="10"/>
  <c r="BC61" i="10"/>
  <c r="BC62" i="10"/>
  <c r="BC63" i="10"/>
  <c r="BC64" i="10"/>
  <c r="BC66" i="10"/>
  <c r="BC67" i="10"/>
  <c r="BC68" i="10"/>
  <c r="BC69" i="10"/>
  <c r="BC70" i="10"/>
  <c r="BC71" i="10"/>
  <c r="BC72" i="10"/>
  <c r="BC73" i="10"/>
  <c r="BC74" i="10"/>
  <c r="BC75" i="10"/>
  <c r="BC76" i="10"/>
  <c r="BC77" i="10"/>
  <c r="BC78" i="10"/>
  <c r="BC79" i="10"/>
  <c r="BC80" i="10"/>
  <c r="BC81" i="10"/>
  <c r="BC82" i="10"/>
  <c r="BC83" i="10"/>
  <c r="BC84" i="10"/>
  <c r="BC86" i="10"/>
  <c r="BC87" i="10"/>
  <c r="BC88" i="10"/>
  <c r="BC89" i="10"/>
  <c r="BC90" i="10"/>
  <c r="BC91" i="10"/>
  <c r="BC92" i="10"/>
  <c r="BC93" i="10"/>
  <c r="BC94" i="10"/>
  <c r="BC95" i="10"/>
  <c r="BC96" i="10"/>
  <c r="BC97" i="10"/>
  <c r="BC98" i="10"/>
  <c r="BC99" i="10"/>
  <c r="BC100" i="10"/>
  <c r="BC101" i="10"/>
  <c r="BC102" i="10"/>
  <c r="BC103" i="10"/>
  <c r="BC104" i="10"/>
  <c r="BC105" i="10"/>
  <c r="BC106" i="10"/>
  <c r="BC107" i="10"/>
  <c r="BC108" i="10"/>
  <c r="BC109" i="10"/>
  <c r="BC110" i="10"/>
  <c r="BC111" i="10"/>
  <c r="BC112" i="10"/>
  <c r="BC113" i="10"/>
  <c r="BC114" i="10"/>
  <c r="BC115" i="10"/>
  <c r="BC116" i="10"/>
  <c r="BC117" i="10"/>
  <c r="BC118" i="10"/>
  <c r="BC119" i="10"/>
  <c r="BC120" i="10"/>
  <c r="BC121" i="10"/>
  <c r="BC122" i="10"/>
  <c r="BC123" i="10"/>
  <c r="BC124" i="10"/>
  <c r="BC125" i="10"/>
  <c r="BC126" i="10"/>
  <c r="BC127" i="10"/>
  <c r="BC128" i="10"/>
  <c r="BC129" i="10"/>
  <c r="BC130" i="10"/>
  <c r="BC131" i="10"/>
  <c r="BC132" i="10"/>
  <c r="BC133" i="10"/>
  <c r="BC134" i="10"/>
  <c r="BC135" i="10"/>
  <c r="BC136" i="10"/>
  <c r="BC137" i="10"/>
  <c r="BC138" i="10"/>
  <c r="BC139" i="10"/>
  <c r="BC140" i="10"/>
  <c r="BC141" i="10"/>
  <c r="BC142" i="10"/>
  <c r="BC143" i="10"/>
  <c r="BC144" i="10"/>
  <c r="BC145" i="10"/>
  <c r="BC146" i="10"/>
  <c r="BC147" i="10"/>
  <c r="BC148" i="10"/>
  <c r="BC149" i="10"/>
  <c r="BC150" i="10"/>
  <c r="BC151" i="10"/>
  <c r="BC152" i="10"/>
  <c r="BC153" i="10"/>
  <c r="BC154" i="10"/>
  <c r="BC155" i="10"/>
  <c r="BC156" i="10"/>
  <c r="BC157" i="10"/>
  <c r="BC158" i="10"/>
  <c r="BC159" i="10"/>
  <c r="BC160" i="10"/>
  <c r="BC161" i="10"/>
  <c r="BC162" i="10"/>
  <c r="BC163" i="10"/>
  <c r="BC164" i="10"/>
  <c r="BC165" i="10"/>
  <c r="BC166" i="10"/>
  <c r="BC169" i="10"/>
  <c r="BC170" i="10"/>
  <c r="BC171" i="10"/>
  <c r="BC172" i="10"/>
  <c r="BC173" i="10"/>
  <c r="BC174" i="10"/>
  <c r="BC175" i="10"/>
  <c r="BC176" i="10"/>
  <c r="BC177" i="10"/>
  <c r="BC178" i="10"/>
  <c r="BC179" i="10"/>
  <c r="BC180" i="10"/>
  <c r="BC181" i="10"/>
  <c r="BC182" i="10"/>
  <c r="BC183" i="10"/>
  <c r="BC184" i="10"/>
  <c r="BC185" i="10"/>
  <c r="BC186" i="10"/>
  <c r="BC187" i="10"/>
  <c r="BC188" i="10"/>
  <c r="BC189" i="10"/>
  <c r="BC190" i="10"/>
  <c r="BC191" i="10"/>
  <c r="BC192" i="10"/>
  <c r="BC193" i="10"/>
  <c r="BC194" i="10"/>
  <c r="BC195" i="10"/>
  <c r="BC196" i="10"/>
  <c r="BC197" i="10"/>
  <c r="BC198" i="10"/>
  <c r="BC199" i="10"/>
  <c r="BC200" i="10"/>
  <c r="BC201" i="10"/>
  <c r="BC202" i="10"/>
  <c r="BC203" i="10"/>
  <c r="BC204" i="10"/>
  <c r="BC205" i="10"/>
  <c r="BC206" i="10"/>
  <c r="BC207" i="10"/>
  <c r="BC208" i="10"/>
  <c r="BC209" i="10"/>
  <c r="BC210" i="10"/>
  <c r="BC211" i="10"/>
  <c r="BC212" i="10"/>
  <c r="BC213" i="10"/>
  <c r="BC214" i="10"/>
  <c r="BC215" i="10"/>
  <c r="BC216" i="10"/>
  <c r="BC217" i="10"/>
  <c r="BC218" i="10"/>
  <c r="BC219" i="10"/>
  <c r="BC220" i="10"/>
  <c r="BC221" i="10"/>
  <c r="BC222" i="10"/>
  <c r="BC223" i="10"/>
  <c r="BC224" i="10"/>
  <c r="BC225" i="10"/>
  <c r="BC226" i="10"/>
  <c r="BC227" i="10"/>
  <c r="BC228" i="10"/>
  <c r="BC229" i="10"/>
  <c r="BC230" i="10"/>
  <c r="BC231" i="10"/>
  <c r="BC232" i="10"/>
  <c r="BC233" i="10"/>
  <c r="BC234" i="10"/>
  <c r="BC235" i="10"/>
  <c r="BC236" i="10"/>
  <c r="BC237" i="10"/>
  <c r="BC238" i="10"/>
  <c r="BC239" i="10"/>
  <c r="BC240" i="10"/>
  <c r="BC241" i="10"/>
  <c r="BC242" i="10"/>
  <c r="BC243" i="10"/>
  <c r="BC244" i="10"/>
  <c r="BC245" i="10"/>
  <c r="BC246" i="10"/>
  <c r="BC247" i="10"/>
  <c r="BC248" i="10"/>
  <c r="BC249" i="10"/>
  <c r="BC250" i="10"/>
  <c r="BC251" i="10"/>
  <c r="BC252" i="10"/>
  <c r="BC253" i="10"/>
  <c r="BC254" i="10"/>
  <c r="BC255" i="10"/>
  <c r="BC256" i="10"/>
  <c r="BC257" i="10"/>
  <c r="BC258" i="10"/>
  <c r="BC259" i="10"/>
  <c r="BC260" i="10"/>
  <c r="BC261" i="10"/>
  <c r="BC262" i="10"/>
  <c r="BC263" i="10"/>
  <c r="BC264" i="10"/>
  <c r="BC265" i="10"/>
  <c r="BC266" i="10"/>
  <c r="BC267" i="10"/>
  <c r="BC268" i="10"/>
  <c r="BC269" i="10"/>
  <c r="BC270" i="10"/>
  <c r="BC271" i="10"/>
  <c r="BC272" i="10"/>
  <c r="BC273" i="10"/>
  <c r="BC274" i="10"/>
  <c r="FM2" i="9" l="1"/>
  <c r="FN2" i="9"/>
  <c r="FO2" i="9"/>
  <c r="DU2" i="9"/>
  <c r="G14" i="3" s="1"/>
  <c r="E14" i="3" s="1"/>
  <c r="FP2" i="9" l="1"/>
  <c r="FQ2" i="9"/>
  <c r="AM51" i="60" l="1"/>
  <c r="F11" i="62" l="1"/>
  <c r="BA3" i="62"/>
  <c r="BA4" i="62"/>
  <c r="BA5" i="62"/>
  <c r="BA6" i="62"/>
  <c r="BA7" i="62"/>
  <c r="BA8" i="62"/>
  <c r="BA9" i="62"/>
  <c r="BA10" i="62"/>
  <c r="BA11" i="62"/>
  <c r="BA12" i="62"/>
  <c r="BA13" i="62"/>
  <c r="BA14" i="62"/>
  <c r="BA15" i="62"/>
  <c r="BA2" i="62"/>
  <c r="AA114" i="62"/>
  <c r="AB114" i="62" s="1"/>
  <c r="AA113" i="62"/>
  <c r="AB113" i="62" s="1"/>
  <c r="AA112" i="62"/>
  <c r="AB112" i="62" s="1"/>
  <c r="AA111" i="62"/>
  <c r="AB111" i="62" s="1"/>
  <c r="AA110" i="62"/>
  <c r="AB110" i="62" s="1"/>
  <c r="AA109" i="62"/>
  <c r="AB109" i="62" s="1"/>
  <c r="AA108" i="62"/>
  <c r="AB108" i="62" s="1"/>
  <c r="AA107" i="62"/>
  <c r="AB107" i="62" s="1"/>
  <c r="AA106" i="62"/>
  <c r="AB106" i="62" s="1"/>
  <c r="AA105" i="62"/>
  <c r="AB105" i="62" s="1"/>
  <c r="AA104" i="62"/>
  <c r="AB104" i="62" s="1"/>
  <c r="AA103" i="62"/>
  <c r="AB103" i="62" s="1"/>
  <c r="AA102" i="62"/>
  <c r="AB102" i="62" s="1"/>
  <c r="AA101" i="62"/>
  <c r="AB101" i="62" s="1"/>
  <c r="AA100" i="62"/>
  <c r="AB100" i="62" s="1"/>
  <c r="AA99" i="62"/>
  <c r="AB99" i="62" s="1"/>
  <c r="AA98" i="62"/>
  <c r="AB98" i="62" s="1"/>
  <c r="AA97" i="62"/>
  <c r="AB97" i="62" s="1"/>
  <c r="AA96" i="62"/>
  <c r="AB96" i="62" s="1"/>
  <c r="AA95" i="62"/>
  <c r="AB95" i="62" s="1"/>
  <c r="AA94" i="62"/>
  <c r="AB94" i="62" s="1"/>
  <c r="AA93" i="62"/>
  <c r="AB93" i="62" s="1"/>
  <c r="AA92" i="62"/>
  <c r="AB92" i="62" s="1"/>
  <c r="AA91" i="62"/>
  <c r="AB91" i="62" s="1"/>
  <c r="AA90" i="62"/>
  <c r="AB90" i="62" s="1"/>
  <c r="AA89" i="62"/>
  <c r="AB89" i="62" s="1"/>
  <c r="AA88" i="62"/>
  <c r="AB88" i="62" s="1"/>
  <c r="AA87" i="62"/>
  <c r="AB87" i="62" s="1"/>
  <c r="AA86" i="62"/>
  <c r="AB86" i="62" s="1"/>
  <c r="AA85" i="62"/>
  <c r="AB85" i="62" s="1"/>
  <c r="AA84" i="62"/>
  <c r="AB84" i="62" s="1"/>
  <c r="AA83" i="62"/>
  <c r="AB83" i="62" s="1"/>
  <c r="AA82" i="62"/>
  <c r="AB82" i="62" s="1"/>
  <c r="AA81" i="62"/>
  <c r="AB81" i="62" s="1"/>
  <c r="AA80" i="62"/>
  <c r="AB80" i="62" s="1"/>
  <c r="AA79" i="62"/>
  <c r="AB79" i="62" s="1"/>
  <c r="AA78" i="62"/>
  <c r="AB78" i="62" s="1"/>
  <c r="AA77" i="62"/>
  <c r="AB77" i="62" s="1"/>
  <c r="AA76" i="62"/>
  <c r="AB76" i="62" s="1"/>
  <c r="AA75" i="62"/>
  <c r="AB75" i="62" s="1"/>
  <c r="AA74" i="62"/>
  <c r="AB74" i="62" s="1"/>
  <c r="AA73" i="62"/>
  <c r="AB73" i="62" s="1"/>
  <c r="AA72" i="62"/>
  <c r="AB72" i="62" s="1"/>
  <c r="AA71" i="62"/>
  <c r="AB71" i="62" s="1"/>
  <c r="AA70" i="62"/>
  <c r="AB70" i="62" s="1"/>
  <c r="AA69" i="62"/>
  <c r="AB69" i="62" s="1"/>
  <c r="AA68" i="62"/>
  <c r="AB68" i="62" s="1"/>
  <c r="AA67" i="62"/>
  <c r="AB67" i="62" s="1"/>
  <c r="AA66" i="62"/>
  <c r="AB66" i="62" s="1"/>
  <c r="AA65" i="62"/>
  <c r="AB65" i="62" s="1"/>
  <c r="AA64" i="62"/>
  <c r="AB64" i="62" s="1"/>
  <c r="AA63" i="62"/>
  <c r="AB63" i="62" s="1"/>
  <c r="AA62" i="62"/>
  <c r="AB62" i="62" s="1"/>
  <c r="AA61" i="62"/>
  <c r="AB61" i="62" s="1"/>
  <c r="AA60" i="62"/>
  <c r="AB60" i="62" s="1"/>
  <c r="AA59" i="62"/>
  <c r="AB59" i="62" s="1"/>
  <c r="AA58" i="62"/>
  <c r="AB58" i="62" s="1"/>
  <c r="AA57" i="62"/>
  <c r="AB57" i="62" s="1"/>
  <c r="AA56" i="62"/>
  <c r="AB56" i="62" s="1"/>
  <c r="AA55" i="62"/>
  <c r="AB55" i="62" s="1"/>
  <c r="AA54" i="62"/>
  <c r="AB54" i="62" s="1"/>
  <c r="AA53" i="62"/>
  <c r="AB53" i="62" s="1"/>
  <c r="AA52" i="62"/>
  <c r="AB52" i="62" s="1"/>
  <c r="AA51" i="62"/>
  <c r="AB51" i="62" s="1"/>
  <c r="AA50" i="62"/>
  <c r="AB50" i="62" s="1"/>
  <c r="AA49" i="62"/>
  <c r="AB49" i="62" s="1"/>
  <c r="AA48" i="62"/>
  <c r="AB48" i="62" s="1"/>
  <c r="AA47" i="62"/>
  <c r="AB47" i="62" s="1"/>
  <c r="AA46" i="62"/>
  <c r="AB46" i="62" s="1"/>
  <c r="AA45" i="62"/>
  <c r="AB45" i="62" s="1"/>
  <c r="AA44" i="62"/>
  <c r="AB44" i="62" s="1"/>
  <c r="AA43" i="62"/>
  <c r="AB43" i="62" s="1"/>
  <c r="AA42" i="62"/>
  <c r="AB42" i="62" s="1"/>
  <c r="AA41" i="62"/>
  <c r="AB41" i="62" s="1"/>
  <c r="AA40" i="62"/>
  <c r="AB40" i="62" s="1"/>
  <c r="AA39" i="62"/>
  <c r="AB39" i="62" s="1"/>
  <c r="AA38" i="62"/>
  <c r="AB38" i="62" s="1"/>
  <c r="AA37" i="62"/>
  <c r="AB37" i="62" s="1"/>
  <c r="AA36" i="62"/>
  <c r="AB36" i="62" s="1"/>
  <c r="AA35" i="62"/>
  <c r="AB35" i="62" s="1"/>
  <c r="AA34" i="62"/>
  <c r="AB34" i="62" s="1"/>
  <c r="AA33" i="62"/>
  <c r="AB33" i="62" s="1"/>
  <c r="AA32" i="62"/>
  <c r="AB32" i="62" s="1"/>
  <c r="AA31" i="62"/>
  <c r="AB31" i="62" s="1"/>
  <c r="AA30" i="62"/>
  <c r="AB30" i="62" s="1"/>
  <c r="AA29" i="62"/>
  <c r="AB29" i="62" s="1"/>
  <c r="AA28" i="62"/>
  <c r="AB28" i="62" s="1"/>
  <c r="AA27" i="62"/>
  <c r="AB27" i="62" s="1"/>
  <c r="AA26" i="62"/>
  <c r="AB26" i="62" s="1"/>
  <c r="AA25" i="62"/>
  <c r="AB25" i="62" s="1"/>
  <c r="AA24" i="62"/>
  <c r="AB24" i="62" s="1"/>
  <c r="AA23" i="62"/>
  <c r="AB23" i="62" s="1"/>
  <c r="AA22" i="62"/>
  <c r="AB22" i="62" s="1"/>
  <c r="AA21" i="62"/>
  <c r="AB21" i="62" s="1"/>
  <c r="AA20" i="62"/>
  <c r="AB20" i="62" s="1"/>
  <c r="AA19" i="62"/>
  <c r="AB19" i="62" s="1"/>
  <c r="AA18" i="62"/>
  <c r="AB18" i="62" s="1"/>
  <c r="AA17" i="62"/>
  <c r="AB17" i="62" s="1"/>
  <c r="AA16" i="62"/>
  <c r="AB16" i="62" s="1"/>
  <c r="AA15" i="62"/>
  <c r="AB15" i="62" s="1"/>
  <c r="AA14" i="62"/>
  <c r="AB14" i="62" s="1"/>
  <c r="AA13" i="62"/>
  <c r="AB13" i="62" s="1"/>
  <c r="AA12" i="62"/>
  <c r="AB12" i="62" s="1"/>
  <c r="AA11" i="62"/>
  <c r="AB11" i="62" s="1"/>
  <c r="AA10" i="62"/>
  <c r="AB10" i="62" s="1"/>
  <c r="AA9" i="62"/>
  <c r="AB9" i="62" s="1"/>
  <c r="AA8" i="62"/>
  <c r="AB8" i="62" s="1"/>
  <c r="AA7" i="62"/>
  <c r="AB7" i="62" s="1"/>
  <c r="AA6" i="62"/>
  <c r="AB6" i="62" s="1"/>
  <c r="AA5" i="62"/>
  <c r="AB5" i="62" s="1"/>
  <c r="AF3" i="62"/>
  <c r="AG3" i="62"/>
  <c r="AF4" i="62"/>
  <c r="AG4" i="62"/>
  <c r="AF5" i="62"/>
  <c r="AG5" i="62"/>
  <c r="AF6" i="62"/>
  <c r="AG6" i="62"/>
  <c r="AF7" i="62"/>
  <c r="AG7" i="62"/>
  <c r="AF8" i="62"/>
  <c r="AG8" i="62"/>
  <c r="AF9" i="62"/>
  <c r="AG9" i="62"/>
  <c r="AF10" i="62"/>
  <c r="AG10" i="62"/>
  <c r="AF11" i="62"/>
  <c r="AG11" i="62"/>
  <c r="AF12" i="62"/>
  <c r="AG12" i="62"/>
  <c r="AF13" i="62"/>
  <c r="AG13" i="62"/>
  <c r="AF14" i="62"/>
  <c r="AG14" i="62"/>
  <c r="AF15" i="62"/>
  <c r="AG15" i="62"/>
  <c r="AF16" i="62"/>
  <c r="AG16" i="62"/>
  <c r="AF17" i="62"/>
  <c r="AG17" i="62"/>
  <c r="AF18" i="62"/>
  <c r="AG18" i="62"/>
  <c r="AF19" i="62"/>
  <c r="AG19" i="62"/>
  <c r="AF20" i="62"/>
  <c r="AG20" i="62"/>
  <c r="AF21" i="62"/>
  <c r="AG21" i="62"/>
  <c r="AF22" i="62"/>
  <c r="AG22" i="62"/>
  <c r="AF23" i="62"/>
  <c r="AG23" i="62"/>
  <c r="AF24" i="62"/>
  <c r="AG24" i="62"/>
  <c r="AF25" i="62"/>
  <c r="AG25" i="62"/>
  <c r="AF26" i="62"/>
  <c r="AG26" i="62"/>
  <c r="AF27" i="62"/>
  <c r="AG27" i="62"/>
  <c r="AF28" i="62"/>
  <c r="AG28" i="62"/>
  <c r="AF29" i="62"/>
  <c r="AG29" i="62"/>
  <c r="AF30" i="62"/>
  <c r="AG30" i="62"/>
  <c r="AF31" i="62"/>
  <c r="AG31" i="62"/>
  <c r="AF32" i="62"/>
  <c r="AG32" i="62"/>
  <c r="AF33" i="62"/>
  <c r="AG33" i="62"/>
  <c r="AF34" i="62"/>
  <c r="AG34" i="62"/>
  <c r="AF35" i="62"/>
  <c r="AG35" i="62"/>
  <c r="AF36" i="62"/>
  <c r="AG36" i="62"/>
  <c r="AF37" i="62"/>
  <c r="AG37" i="62"/>
  <c r="AF38" i="62"/>
  <c r="AG38" i="62"/>
  <c r="AF39" i="62"/>
  <c r="AG39" i="62"/>
  <c r="AF40" i="62"/>
  <c r="AG40" i="62"/>
  <c r="AF41" i="62"/>
  <c r="AG41" i="62"/>
  <c r="AF42" i="62"/>
  <c r="AG42" i="62"/>
  <c r="AF43" i="62"/>
  <c r="AG43" i="62"/>
  <c r="AF44" i="62"/>
  <c r="AG44" i="62"/>
  <c r="AF45" i="62"/>
  <c r="AG45" i="62"/>
  <c r="AF46" i="62"/>
  <c r="AG46" i="62"/>
  <c r="AF47" i="62"/>
  <c r="AG47" i="62"/>
  <c r="AF48" i="62"/>
  <c r="AG48" i="62"/>
  <c r="AF49" i="62"/>
  <c r="AG49" i="62"/>
  <c r="AF50" i="62"/>
  <c r="AG50" i="62"/>
  <c r="AF51" i="62"/>
  <c r="AG51" i="62"/>
  <c r="AF52" i="62"/>
  <c r="AG52" i="62"/>
  <c r="AF53" i="62"/>
  <c r="AG53" i="62"/>
  <c r="AF54" i="62"/>
  <c r="AG54" i="62"/>
  <c r="AF55" i="62"/>
  <c r="AG55" i="62"/>
  <c r="AF56" i="62"/>
  <c r="AG56" i="62"/>
  <c r="AF57" i="62"/>
  <c r="AG57" i="62"/>
  <c r="AF58" i="62"/>
  <c r="AG58" i="62"/>
  <c r="AF59" i="62"/>
  <c r="AG59" i="62"/>
  <c r="AF60" i="62"/>
  <c r="AG60" i="62"/>
  <c r="AF61" i="62"/>
  <c r="AG61" i="62"/>
  <c r="AF62" i="62"/>
  <c r="AG62" i="62"/>
  <c r="AF63" i="62"/>
  <c r="AG63" i="62"/>
  <c r="AF64" i="62"/>
  <c r="AG64" i="62"/>
  <c r="AF65" i="62"/>
  <c r="AG65" i="62"/>
  <c r="AF66" i="62"/>
  <c r="AG66" i="62"/>
  <c r="AF67" i="62"/>
  <c r="AG67" i="62"/>
  <c r="AF68" i="62"/>
  <c r="AG68" i="62"/>
  <c r="AF69" i="62"/>
  <c r="AG69" i="62"/>
  <c r="AF70" i="62"/>
  <c r="AG70" i="62"/>
  <c r="AF71" i="62"/>
  <c r="AG71" i="62"/>
  <c r="AF72" i="62"/>
  <c r="AG72" i="62"/>
  <c r="AF73" i="62"/>
  <c r="AG73" i="62"/>
  <c r="AF74" i="62"/>
  <c r="AG74" i="62"/>
  <c r="AF75" i="62"/>
  <c r="AG75" i="62"/>
  <c r="AF76" i="62"/>
  <c r="AG76" i="62"/>
  <c r="AF77" i="62"/>
  <c r="AG77" i="62"/>
  <c r="AF78" i="62"/>
  <c r="AG78" i="62"/>
  <c r="AF79" i="62"/>
  <c r="AG79" i="62"/>
  <c r="AF80" i="62"/>
  <c r="AG80" i="62"/>
  <c r="AF81" i="62"/>
  <c r="AG81" i="62"/>
  <c r="AF82" i="62"/>
  <c r="AG82" i="62"/>
  <c r="AF83" i="62"/>
  <c r="AG83" i="62"/>
  <c r="AF84" i="62"/>
  <c r="AG84" i="62"/>
  <c r="AF85" i="62"/>
  <c r="AG85" i="62"/>
  <c r="AF86" i="62"/>
  <c r="AG86" i="62"/>
  <c r="AF87" i="62"/>
  <c r="AG87" i="62"/>
  <c r="AF88" i="62"/>
  <c r="AG88" i="62"/>
  <c r="AF89" i="62"/>
  <c r="AG89" i="62"/>
  <c r="AF90" i="62"/>
  <c r="AG90" i="62"/>
  <c r="AF91" i="62"/>
  <c r="AG91" i="62"/>
  <c r="AF92" i="62"/>
  <c r="AG92" i="62"/>
  <c r="AF93" i="62"/>
  <c r="AG93" i="62"/>
  <c r="AF94" i="62"/>
  <c r="AG94" i="62"/>
  <c r="AF95" i="62"/>
  <c r="AG95" i="62"/>
  <c r="AG96" i="62"/>
  <c r="AF97" i="62"/>
  <c r="AG97" i="62"/>
  <c r="AF98" i="62"/>
  <c r="AG98" i="62"/>
  <c r="AF99" i="62"/>
  <c r="AG99" i="62"/>
  <c r="AF100" i="62"/>
  <c r="AG100" i="62"/>
  <c r="AF101" i="62"/>
  <c r="AG101" i="62"/>
  <c r="AF102" i="62"/>
  <c r="AG102" i="62"/>
  <c r="AF103" i="62"/>
  <c r="AG103" i="62"/>
  <c r="AF104" i="62"/>
  <c r="AG104" i="62"/>
  <c r="AF105" i="62"/>
  <c r="AG105" i="62"/>
  <c r="AF106" i="62"/>
  <c r="AG106" i="62"/>
  <c r="AF107" i="62"/>
  <c r="AG107" i="62"/>
  <c r="AF108" i="62"/>
  <c r="AG108" i="62"/>
  <c r="AF109" i="62"/>
  <c r="AG109" i="62"/>
  <c r="AG110" i="62"/>
  <c r="AF111" i="62"/>
  <c r="AG111" i="62"/>
  <c r="AF112" i="62"/>
  <c r="AG112" i="62"/>
  <c r="AF113" i="62"/>
  <c r="AG113" i="62"/>
  <c r="AF114" i="62"/>
  <c r="AG114" i="62"/>
  <c r="AG2" i="62"/>
  <c r="AF2" i="62"/>
  <c r="AE3" i="62"/>
  <c r="AE4" i="62"/>
  <c r="AE5" i="62"/>
  <c r="AE6" i="62"/>
  <c r="AE7" i="62"/>
  <c r="AE8" i="62"/>
  <c r="AE9" i="62"/>
  <c r="AE10" i="62"/>
  <c r="AE11" i="62"/>
  <c r="AE12" i="62"/>
  <c r="AE13" i="62"/>
  <c r="AE14" i="62"/>
  <c r="AE15" i="62"/>
  <c r="AE16" i="62"/>
  <c r="AE17" i="62"/>
  <c r="AE18" i="62"/>
  <c r="AE19" i="62"/>
  <c r="AE20" i="62"/>
  <c r="AE21" i="62"/>
  <c r="AE22" i="62"/>
  <c r="AE23" i="62"/>
  <c r="AE24" i="62"/>
  <c r="AE25" i="62"/>
  <c r="AE26" i="62"/>
  <c r="AE27" i="62"/>
  <c r="AE28" i="62"/>
  <c r="AE29" i="62"/>
  <c r="AE30" i="62"/>
  <c r="AE31" i="62"/>
  <c r="AE32" i="62"/>
  <c r="AE33" i="62"/>
  <c r="AE34" i="62"/>
  <c r="AE35" i="62"/>
  <c r="AE36" i="62"/>
  <c r="AE37" i="62"/>
  <c r="AE38" i="62"/>
  <c r="AE39" i="62"/>
  <c r="AE40" i="62"/>
  <c r="AE41" i="62"/>
  <c r="AE42" i="62"/>
  <c r="AE43" i="62"/>
  <c r="AE44" i="62"/>
  <c r="AE45" i="62"/>
  <c r="AE46" i="62"/>
  <c r="AE47" i="62"/>
  <c r="AE48" i="62"/>
  <c r="AE49" i="62"/>
  <c r="AE50" i="62"/>
  <c r="AE51" i="62"/>
  <c r="AE52" i="62"/>
  <c r="AE53" i="62"/>
  <c r="AE54" i="62"/>
  <c r="AE55" i="62"/>
  <c r="AE56" i="62"/>
  <c r="AE57" i="62"/>
  <c r="AE58" i="62"/>
  <c r="AE59" i="62"/>
  <c r="AE60" i="62"/>
  <c r="AE61" i="62"/>
  <c r="AE62" i="62"/>
  <c r="AE63" i="62"/>
  <c r="AE64" i="62"/>
  <c r="AE65" i="62"/>
  <c r="AE66" i="62"/>
  <c r="AE67" i="62"/>
  <c r="AE68" i="62"/>
  <c r="AE69" i="62"/>
  <c r="AE70" i="62"/>
  <c r="AE71" i="62"/>
  <c r="AE72" i="62"/>
  <c r="AE73" i="62"/>
  <c r="AE74" i="62"/>
  <c r="AE75" i="62"/>
  <c r="AE76" i="62"/>
  <c r="AE77" i="62"/>
  <c r="AE78" i="62"/>
  <c r="AE79" i="62"/>
  <c r="AE80" i="62"/>
  <c r="AE81" i="62"/>
  <c r="AE82" i="62"/>
  <c r="AE83" i="62"/>
  <c r="AE84" i="62"/>
  <c r="AE85" i="62"/>
  <c r="AE86" i="62"/>
  <c r="AE87" i="62"/>
  <c r="AE88" i="62"/>
  <c r="AE89" i="62"/>
  <c r="AE90" i="62"/>
  <c r="AE91" i="62"/>
  <c r="AE92" i="62"/>
  <c r="AE93" i="62"/>
  <c r="AE94" i="62"/>
  <c r="AE95" i="62"/>
  <c r="AE96" i="62"/>
  <c r="AE97" i="62"/>
  <c r="AE98" i="62"/>
  <c r="AE99" i="62"/>
  <c r="AE100" i="62"/>
  <c r="AE101" i="62"/>
  <c r="AE102" i="62"/>
  <c r="AE103" i="62"/>
  <c r="AE104" i="62"/>
  <c r="AE105" i="62"/>
  <c r="AE106" i="62"/>
  <c r="AE107" i="62"/>
  <c r="AE108" i="62"/>
  <c r="AE109" i="62"/>
  <c r="AE110" i="62"/>
  <c r="AE111" i="62"/>
  <c r="AE112" i="62"/>
  <c r="AE113" i="62"/>
  <c r="AE114" i="62"/>
  <c r="AE2" i="62"/>
  <c r="C12" i="62" l="1"/>
  <c r="C13" i="62"/>
  <c r="E27" i="62"/>
  <c r="C10" i="62"/>
  <c r="C27" i="62"/>
  <c r="C19" i="62"/>
  <c r="BT3" i="62" l="1"/>
  <c r="BT4" i="62"/>
  <c r="BT5" i="62"/>
  <c r="BT6" i="62"/>
  <c r="BT7" i="62"/>
  <c r="BT8" i="62"/>
  <c r="BT9" i="62"/>
  <c r="BT10" i="62"/>
  <c r="BT11" i="62"/>
  <c r="BT2" i="62"/>
  <c r="BV11" i="62" l="1"/>
  <c r="BV10" i="62"/>
  <c r="BV9" i="62"/>
  <c r="BV8" i="62"/>
  <c r="BV7" i="62"/>
  <c r="BV6" i="62"/>
  <c r="BV5" i="62"/>
  <c r="BV4" i="62"/>
  <c r="BV3" i="62"/>
  <c r="E7" i="62" s="1"/>
  <c r="BV2" i="62"/>
  <c r="BU11" i="62"/>
  <c r="BU10" i="62"/>
  <c r="BU9" i="62"/>
  <c r="BU8" i="62"/>
  <c r="BU7" i="62"/>
  <c r="BU6" i="62"/>
  <c r="BU5" i="62"/>
  <c r="BU4" i="62"/>
  <c r="BU3" i="62"/>
  <c r="BU2" i="62"/>
  <c r="E10" i="62" l="1"/>
  <c r="AW2" i="14" l="1"/>
  <c r="T1" i="35" s="1"/>
  <c r="G18" i="3"/>
  <c r="I18" i="3" s="1"/>
  <c r="AY2" i="14" l="1"/>
  <c r="L135" i="31"/>
  <c r="L233" i="24"/>
  <c r="E29" i="58"/>
  <c r="A29" i="58"/>
  <c r="E28" i="58"/>
  <c r="A28" i="58"/>
  <c r="E27" i="58"/>
  <c r="A27" i="58"/>
  <c r="E26" i="58"/>
  <c r="A26" i="58"/>
  <c r="E25" i="58"/>
  <c r="A25" i="58"/>
  <c r="E24" i="58"/>
  <c r="A24" i="58"/>
  <c r="E23" i="58"/>
  <c r="A23" i="58"/>
  <c r="E22" i="58"/>
  <c r="A22" i="58"/>
  <c r="E21" i="58"/>
  <c r="A21" i="58"/>
  <c r="E20" i="58"/>
  <c r="A20" i="58"/>
  <c r="E19" i="58"/>
  <c r="A19" i="58"/>
  <c r="E18" i="58"/>
  <c r="A18" i="58"/>
  <c r="E17" i="58"/>
  <c r="A17" i="58"/>
  <c r="E16" i="58"/>
  <c r="A16" i="58"/>
  <c r="E15" i="58"/>
  <c r="A15" i="58"/>
  <c r="E14" i="58"/>
  <c r="A14" i="58"/>
  <c r="E13" i="58"/>
  <c r="A13" i="58"/>
  <c r="E12" i="58"/>
  <c r="A12" i="58"/>
  <c r="E11" i="58"/>
  <c r="A11" i="58"/>
  <c r="E10" i="58"/>
  <c r="A10" i="58"/>
  <c r="E9" i="58"/>
  <c r="A9" i="58"/>
  <c r="E8" i="58"/>
  <c r="A8" i="58"/>
  <c r="E7" i="58"/>
  <c r="A7" i="58"/>
  <c r="E6" i="58"/>
  <c r="A6" i="58"/>
  <c r="E5" i="58"/>
  <c r="A5" i="58"/>
  <c r="E4" i="58"/>
  <c r="A4" i="58"/>
  <c r="E3" i="58"/>
  <c r="A3" i="58"/>
  <c r="E2" i="58"/>
  <c r="A2" i="58"/>
  <c r="E70" i="34" a="1"/>
  <c r="A70" i="34"/>
  <c r="A69" i="34"/>
  <c r="A68" i="34"/>
  <c r="A67" i="34"/>
  <c r="A66" i="34"/>
  <c r="A65" i="34"/>
  <c r="A64" i="34"/>
  <c r="A63" i="34"/>
  <c r="A62" i="34"/>
  <c r="A61" i="34"/>
  <c r="E60" i="34"/>
  <c r="A60" i="34"/>
  <c r="A59" i="34"/>
  <c r="A58" i="34"/>
  <c r="A57" i="34"/>
  <c r="A56" i="34"/>
  <c r="A55" i="34"/>
  <c r="A54" i="34"/>
  <c r="A53" i="34"/>
  <c r="A52" i="34"/>
  <c r="A51" i="34"/>
  <c r="E50" i="34"/>
  <c r="A50" i="34"/>
  <c r="E49" i="34"/>
  <c r="A49" i="34"/>
  <c r="E48" i="34" a="1"/>
  <c r="A48" i="34"/>
  <c r="E47" i="34" a="1"/>
  <c r="A47" i="34"/>
  <c r="E46" i="34"/>
  <c r="A46" i="34"/>
  <c r="E45" i="34"/>
  <c r="A45" i="34"/>
  <c r="E44" i="34"/>
  <c r="A44" i="34"/>
  <c r="E43" i="34"/>
  <c r="A43" i="34"/>
  <c r="E42" i="34"/>
  <c r="A42" i="34"/>
  <c r="E41" i="34"/>
  <c r="A41" i="34"/>
  <c r="E40" i="34"/>
  <c r="A40" i="34"/>
  <c r="E39" i="34"/>
  <c r="A39" i="34"/>
  <c r="E38" i="34"/>
  <c r="A38" i="34"/>
  <c r="E37" i="34"/>
  <c r="A37" i="34"/>
  <c r="E36" i="34"/>
  <c r="A36" i="34"/>
  <c r="E35" i="34"/>
  <c r="A35" i="34"/>
  <c r="E34" i="34"/>
  <c r="A34" i="34"/>
  <c r="E33" i="34"/>
  <c r="A33" i="34"/>
  <c r="A32" i="34"/>
  <c r="A31" i="34"/>
  <c r="A30" i="34"/>
  <c r="A29" i="34"/>
  <c r="A28" i="34"/>
  <c r="A27" i="34"/>
  <c r="A26" i="34"/>
  <c r="A25" i="34"/>
  <c r="A24" i="34"/>
  <c r="E23" i="34"/>
  <c r="A23" i="34"/>
  <c r="E22" i="34"/>
  <c r="A22" i="34"/>
  <c r="E21" i="34"/>
  <c r="A21" i="34"/>
  <c r="E20" i="34"/>
  <c r="A20" i="34"/>
  <c r="E19" i="34"/>
  <c r="A19" i="34"/>
  <c r="E18" i="34"/>
  <c r="A18" i="34"/>
  <c r="E17" i="34"/>
  <c r="A17" i="34"/>
  <c r="E16" i="34"/>
  <c r="A16" i="34"/>
  <c r="E15" i="34"/>
  <c r="A15" i="34"/>
  <c r="E14" i="34"/>
  <c r="A14" i="34"/>
  <c r="E13" i="34"/>
  <c r="A13" i="34"/>
  <c r="A12" i="34"/>
  <c r="A11" i="34"/>
  <c r="A10" i="34"/>
  <c r="A9" i="34"/>
  <c r="A8" i="34"/>
  <c r="A7" i="34"/>
  <c r="A6" i="34"/>
  <c r="A5" i="34"/>
  <c r="A4" i="34"/>
  <c r="E3" i="34"/>
  <c r="A3" i="34"/>
  <c r="A2" i="34"/>
  <c r="L67" i="33" a="1"/>
  <c r="B67" i="33"/>
  <c r="L66" i="33" a="1"/>
  <c r="B66" i="33"/>
  <c r="L65" i="33" a="1"/>
  <c r="B65" i="33"/>
  <c r="L64" i="33" a="1"/>
  <c r="B64" i="33"/>
  <c r="B63" i="33"/>
  <c r="B62" i="33"/>
  <c r="L61" i="33"/>
  <c r="B61" i="33"/>
  <c r="L60" i="33"/>
  <c r="B60" i="33"/>
  <c r="L59" i="33"/>
  <c r="B59" i="33"/>
  <c r="L58" i="33"/>
  <c r="B58" i="33"/>
  <c r="L57" i="33"/>
  <c r="B57" i="33"/>
  <c r="L56" i="33"/>
  <c r="B56" i="33"/>
  <c r="B55" i="33"/>
  <c r="B54" i="33"/>
  <c r="B53" i="33"/>
  <c r="B52" i="33"/>
  <c r="B51" i="33"/>
  <c r="B50" i="33"/>
  <c r="B49" i="33"/>
  <c r="B48" i="33"/>
  <c r="B47" i="33"/>
  <c r="B46" i="33"/>
  <c r="B45" i="33"/>
  <c r="B44" i="33"/>
  <c r="B43" i="33"/>
  <c r="B42" i="33"/>
  <c r="B41" i="33"/>
  <c r="B40" i="33"/>
  <c r="B39" i="33"/>
  <c r="B38" i="33"/>
  <c r="B37" i="33"/>
  <c r="B36" i="33"/>
  <c r="B35" i="33"/>
  <c r="B34" i="33"/>
  <c r="B33" i="33"/>
  <c r="B32" i="33"/>
  <c r="B31" i="33"/>
  <c r="B30" i="33"/>
  <c r="B29" i="33"/>
  <c r="B28" i="33"/>
  <c r="B27" i="33"/>
  <c r="B26" i="33"/>
  <c r="B25" i="33"/>
  <c r="B24" i="33"/>
  <c r="B23" i="33"/>
  <c r="B22" i="33"/>
  <c r="B21" i="33"/>
  <c r="B20" i="33"/>
  <c r="B19" i="33"/>
  <c r="B18" i="33"/>
  <c r="B17" i="33"/>
  <c r="B16" i="33"/>
  <c r="B15" i="33"/>
  <c r="B14" i="33"/>
  <c r="B13" i="33"/>
  <c r="B12" i="33"/>
  <c r="B11" i="33"/>
  <c r="B10" i="33"/>
  <c r="B9" i="33"/>
  <c r="B8" i="33"/>
  <c r="B7" i="33"/>
  <c r="B6" i="33"/>
  <c r="B5" i="33"/>
  <c r="B4" i="33"/>
  <c r="X3" i="33"/>
  <c r="B3" i="33"/>
  <c r="B2" i="33"/>
  <c r="L78" i="32" a="1"/>
  <c r="B78" i="32"/>
  <c r="L77" i="32" a="1"/>
  <c r="B77" i="32"/>
  <c r="L76" i="32" a="1"/>
  <c r="B76" i="32"/>
  <c r="L75" i="32" a="1"/>
  <c r="B75" i="32"/>
  <c r="L74" i="32" a="1"/>
  <c r="B74" i="32"/>
  <c r="L73" i="32" a="1"/>
  <c r="B73" i="32"/>
  <c r="L72" i="32"/>
  <c r="B72" i="32"/>
  <c r="L71" i="32"/>
  <c r="B71" i="32"/>
  <c r="L70" i="32"/>
  <c r="B70" i="32"/>
  <c r="L69" i="32"/>
  <c r="B69" i="32"/>
  <c r="L68" i="32"/>
  <c r="B68" i="32"/>
  <c r="L67"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8" i="32"/>
  <c r="B7" i="32"/>
  <c r="B6" i="32"/>
  <c r="B5" i="32"/>
  <c r="B4" i="32"/>
  <c r="X3" i="32"/>
  <c r="A2" i="32" s="1"/>
  <c r="B3" i="32"/>
  <c r="B2" i="32"/>
  <c r="B194" i="31"/>
  <c r="B193" i="31"/>
  <c r="B192" i="31"/>
  <c r="B191" i="31"/>
  <c r="B190" i="31"/>
  <c r="B189" i="31"/>
  <c r="B188" i="31"/>
  <c r="B187" i="31"/>
  <c r="B186" i="31"/>
  <c r="B185" i="31"/>
  <c r="B184" i="31"/>
  <c r="B183" i="31"/>
  <c r="B182" i="31"/>
  <c r="B181" i="31"/>
  <c r="B180" i="31"/>
  <c r="B179" i="31"/>
  <c r="B178" i="31"/>
  <c r="B177" i="31"/>
  <c r="B176" i="31"/>
  <c r="B175" i="31"/>
  <c r="B174" i="31"/>
  <c r="B173" i="31"/>
  <c r="L172" i="31" a="1"/>
  <c r="B172" i="31"/>
  <c r="L171" i="31" a="1"/>
  <c r="B171" i="31"/>
  <c r="L170" i="31" a="1"/>
  <c r="B170" i="31"/>
  <c r="L169" i="31" a="1"/>
  <c r="B169" i="31"/>
  <c r="L168" i="31" a="1"/>
  <c r="B168" i="31"/>
  <c r="L167" i="31" a="1"/>
  <c r="B167" i="31"/>
  <c r="L166" i="31"/>
  <c r="B166" i="31"/>
  <c r="L165" i="31"/>
  <c r="B165" i="31"/>
  <c r="L164" i="31"/>
  <c r="B164" i="31"/>
  <c r="L163" i="31"/>
  <c r="B163" i="31"/>
  <c r="L162" i="31"/>
  <c r="B162" i="31"/>
  <c r="L161" i="31"/>
  <c r="B161" i="31"/>
  <c r="B160" i="31"/>
  <c r="B159" i="31"/>
  <c r="B158" i="31"/>
  <c r="B157" i="31"/>
  <c r="B156" i="31"/>
  <c r="B155" i="31"/>
  <c r="B154" i="31"/>
  <c r="B153" i="31"/>
  <c r="B152" i="31"/>
  <c r="B151" i="31"/>
  <c r="B150" i="31"/>
  <c r="B149" i="31"/>
  <c r="B148" i="31"/>
  <c r="B147" i="31"/>
  <c r="B146" i="31"/>
  <c r="B145" i="31"/>
  <c r="B144" i="31"/>
  <c r="B143" i="31"/>
  <c r="B142" i="31"/>
  <c r="B141" i="31"/>
  <c r="B140" i="31"/>
  <c r="B139" i="31"/>
  <c r="B138" i="31"/>
  <c r="B136" i="31"/>
  <c r="B135" i="31"/>
  <c r="B134" i="31"/>
  <c r="B133" i="31"/>
  <c r="B131" i="31"/>
  <c r="B130" i="31"/>
  <c r="B129" i="31"/>
  <c r="B128" i="31"/>
  <c r="B126" i="31"/>
  <c r="B125" i="31"/>
  <c r="B124" i="31"/>
  <c r="B123" i="31"/>
  <c r="B122" i="31"/>
  <c r="B121" i="31"/>
  <c r="B120" i="31"/>
  <c r="B119" i="31"/>
  <c r="B118" i="31"/>
  <c r="B117" i="31"/>
  <c r="B116" i="31"/>
  <c r="B115" i="31"/>
  <c r="B114" i="31"/>
  <c r="B113" i="31"/>
  <c r="B112" i="31"/>
  <c r="B111" i="31"/>
  <c r="B110" i="31"/>
  <c r="B109" i="31"/>
  <c r="B108" i="31"/>
  <c r="B107" i="31"/>
  <c r="B106" i="31"/>
  <c r="B105" i="31"/>
  <c r="B104" i="31"/>
  <c r="B103" i="31"/>
  <c r="B102" i="31"/>
  <c r="B101" i="31"/>
  <c r="B100" i="31"/>
  <c r="B99" i="31"/>
  <c r="B98" i="31"/>
  <c r="B97" i="31"/>
  <c r="B96" i="31"/>
  <c r="B95" i="31"/>
  <c r="B94" i="31"/>
  <c r="B93" i="31"/>
  <c r="B92" i="31"/>
  <c r="B91" i="31"/>
  <c r="B90" i="31"/>
  <c r="B89" i="31"/>
  <c r="B88" i="31"/>
  <c r="B87" i="31"/>
  <c r="B86" i="31"/>
  <c r="B85" i="31"/>
  <c r="B84" i="31"/>
  <c r="B83" i="31"/>
  <c r="B82" i="31"/>
  <c r="B81" i="31"/>
  <c r="B80" i="31"/>
  <c r="B79" i="31"/>
  <c r="B78" i="31"/>
  <c r="B77" i="31"/>
  <c r="B76" i="31"/>
  <c r="B75" i="31"/>
  <c r="B74" i="31"/>
  <c r="B73" i="31"/>
  <c r="B72" i="31"/>
  <c r="B71" i="31"/>
  <c r="B70" i="31"/>
  <c r="B69" i="31"/>
  <c r="B68" i="31"/>
  <c r="B67" i="31"/>
  <c r="B66" i="31"/>
  <c r="B65" i="31"/>
  <c r="B64" i="31"/>
  <c r="B63" i="31"/>
  <c r="B62" i="31"/>
  <c r="B61" i="31"/>
  <c r="B60" i="31"/>
  <c r="B59" i="31"/>
  <c r="B58" i="31"/>
  <c r="B57" i="31"/>
  <c r="B56" i="31"/>
  <c r="B55" i="31"/>
  <c r="B54" i="31"/>
  <c r="B53" i="31"/>
  <c r="B52" i="31"/>
  <c r="B51" i="31"/>
  <c r="B50" i="31"/>
  <c r="B49" i="31"/>
  <c r="B48" i="31"/>
  <c r="B47" i="31"/>
  <c r="B46" i="31"/>
  <c r="B45" i="31"/>
  <c r="B44" i="31"/>
  <c r="B43" i="31"/>
  <c r="B42" i="31"/>
  <c r="B41" i="31"/>
  <c r="B40" i="31"/>
  <c r="B39" i="31"/>
  <c r="B38" i="31"/>
  <c r="B37" i="31"/>
  <c r="B36" i="31"/>
  <c r="B35" i="31"/>
  <c r="B34" i="31"/>
  <c r="B33" i="31"/>
  <c r="B32" i="31"/>
  <c r="B31" i="31"/>
  <c r="B30" i="31"/>
  <c r="B29" i="31"/>
  <c r="B28" i="31"/>
  <c r="B27" i="31"/>
  <c r="B26" i="31"/>
  <c r="B25" i="31"/>
  <c r="B24" i="31"/>
  <c r="B23" i="31"/>
  <c r="B22" i="31"/>
  <c r="B21" i="31"/>
  <c r="B20" i="31"/>
  <c r="B19" i="31"/>
  <c r="B18" i="31"/>
  <c r="B17" i="31"/>
  <c r="B16" i="31"/>
  <c r="B15" i="31"/>
  <c r="B14" i="31"/>
  <c r="B13" i="31"/>
  <c r="B12" i="31"/>
  <c r="B11" i="31"/>
  <c r="B10" i="31"/>
  <c r="B9" i="31"/>
  <c r="B8" i="31"/>
  <c r="B7" i="31"/>
  <c r="B6" i="31"/>
  <c r="B5" i="31"/>
  <c r="B4" i="31"/>
  <c r="X3" i="31"/>
  <c r="B3" i="31"/>
  <c r="B2" i="31"/>
  <c r="B105" i="24"/>
  <c r="B104" i="24"/>
  <c r="B103" i="24"/>
  <c r="B102" i="24"/>
  <c r="B101" i="24"/>
  <c r="B100" i="24"/>
  <c r="B99" i="24"/>
  <c r="B98" i="24"/>
  <c r="B97" i="24"/>
  <c r="B96" i="24"/>
  <c r="B95" i="24"/>
  <c r="B94" i="24"/>
  <c r="B202" i="24"/>
  <c r="B311" i="24"/>
  <c r="B314" i="24"/>
  <c r="B119" i="24"/>
  <c r="B261" i="24"/>
  <c r="L304" i="24" a="1"/>
  <c r="B304" i="24"/>
  <c r="B305" i="24"/>
  <c r="B306" i="24"/>
  <c r="B308" i="24"/>
  <c r="L309" i="24" a="1"/>
  <c r="B309" i="24"/>
  <c r="L310" i="24" a="1"/>
  <c r="B310" i="24"/>
  <c r="B20" i="24"/>
  <c r="B21" i="24"/>
  <c r="B22" i="24"/>
  <c r="B23" i="24"/>
  <c r="B24" i="24"/>
  <c r="B25" i="24"/>
  <c r="B5" i="24"/>
  <c r="L9" i="24"/>
  <c r="B9" i="24"/>
  <c r="L8" i="24"/>
  <c r="B8" i="24"/>
  <c r="L7" i="24"/>
  <c r="B7" i="24"/>
  <c r="L6" i="24"/>
  <c r="B6" i="24"/>
  <c r="B201" i="24"/>
  <c r="B200" i="24"/>
  <c r="B116" i="24"/>
  <c r="B38" i="24"/>
  <c r="B206" i="24"/>
  <c r="B205" i="24"/>
  <c r="B204" i="24"/>
  <c r="B203" i="24"/>
  <c r="B194" i="24"/>
  <c r="B193" i="24"/>
  <c r="B192" i="24"/>
  <c r="B191" i="24"/>
  <c r="B189" i="24"/>
  <c r="B188" i="24"/>
  <c r="B187" i="24"/>
  <c r="B313" i="24"/>
  <c r="B336" i="24"/>
  <c r="B335" i="24"/>
  <c r="B334" i="24"/>
  <c r="B333" i="24"/>
  <c r="B332" i="24"/>
  <c r="B340" i="24"/>
  <c r="L339" i="24"/>
  <c r="B339" i="24"/>
  <c r="L338" i="24"/>
  <c r="B338" i="24"/>
  <c r="L337" i="24"/>
  <c r="B337" i="24"/>
  <c r="B331" i="24"/>
  <c r="B228" i="24"/>
  <c r="B303" i="24"/>
  <c r="B185" i="24"/>
  <c r="B184" i="24"/>
  <c r="B262" i="24"/>
  <c r="B149" i="24"/>
  <c r="B148" i="24"/>
  <c r="B257" i="24"/>
  <c r="B255" i="24"/>
  <c r="B259" i="24"/>
  <c r="B186" i="24"/>
  <c r="B37" i="24"/>
  <c r="B260" i="24"/>
  <c r="B36" i="24"/>
  <c r="B35" i="24"/>
  <c r="B34" i="24"/>
  <c r="B33" i="24"/>
  <c r="B32" i="24"/>
  <c r="B31" i="24"/>
  <c r="B30" i="24"/>
  <c r="B29" i="24"/>
  <c r="B28" i="24"/>
  <c r="B27" i="24"/>
  <c r="B26" i="24"/>
  <c r="B4" i="24"/>
  <c r="B183" i="24"/>
  <c r="B182" i="24"/>
  <c r="B181" i="24"/>
  <c r="B180" i="24"/>
  <c r="B179" i="24"/>
  <c r="B178" i="24"/>
  <c r="B177" i="24"/>
  <c r="B176" i="24"/>
  <c r="B175" i="24"/>
  <c r="B174" i="24"/>
  <c r="B173" i="24"/>
  <c r="B172" i="24"/>
  <c r="B171" i="24"/>
  <c r="B170" i="24"/>
  <c r="B169" i="24"/>
  <c r="B168" i="24"/>
  <c r="B167" i="24"/>
  <c r="B166" i="24"/>
  <c r="B165" i="24"/>
  <c r="B164" i="24"/>
  <c r="B163" i="24"/>
  <c r="B162" i="24"/>
  <c r="B161" i="24"/>
  <c r="B160" i="24"/>
  <c r="B159" i="24"/>
  <c r="B158" i="24"/>
  <c r="B157" i="24"/>
  <c r="B156" i="24"/>
  <c r="B155" i="24"/>
  <c r="B154" i="24"/>
  <c r="B153" i="24"/>
  <c r="B152" i="24"/>
  <c r="B151" i="24"/>
  <c r="B150" i="24"/>
  <c r="B256" i="24"/>
  <c r="B254" i="24"/>
  <c r="B258" i="24"/>
  <c r="B147" i="24"/>
  <c r="B146" i="24"/>
  <c r="B145" i="24"/>
  <c r="B144" i="24"/>
  <c r="B143" i="24"/>
  <c r="B142" i="24"/>
  <c r="B141" i="24"/>
  <c r="B140" i="24"/>
  <c r="B139" i="24"/>
  <c r="B138" i="24"/>
  <c r="B137" i="24"/>
  <c r="B136" i="24"/>
  <c r="B135" i="24"/>
  <c r="B134" i="24"/>
  <c r="B133" i="24"/>
  <c r="B132" i="24"/>
  <c r="B131" i="24"/>
  <c r="B130" i="24"/>
  <c r="B129" i="24"/>
  <c r="B128" i="24"/>
  <c r="B127" i="24"/>
  <c r="B126" i="24"/>
  <c r="B125" i="24"/>
  <c r="B124" i="24"/>
  <c r="B123" i="24"/>
  <c r="B122" i="24"/>
  <c r="B121" i="24"/>
  <c r="B120" i="24"/>
  <c r="B330" i="24"/>
  <c r="B329" i="24"/>
  <c r="B328" i="24"/>
  <c r="B327" i="24"/>
  <c r="B326" i="24"/>
  <c r="B325" i="24"/>
  <c r="B324" i="24"/>
  <c r="B323" i="24"/>
  <c r="B322" i="24"/>
  <c r="B321" i="24"/>
  <c r="B320" i="24"/>
  <c r="B319" i="24"/>
  <c r="B318" i="24"/>
  <c r="B317" i="24"/>
  <c r="B316" i="24"/>
  <c r="B315" i="24"/>
  <c r="B227" i="24"/>
  <c r="B226" i="24"/>
  <c r="B225" i="24"/>
  <c r="B224" i="24"/>
  <c r="B223" i="24"/>
  <c r="B222" i="24"/>
  <c r="B221" i="24"/>
  <c r="B220" i="24"/>
  <c r="B219" i="24"/>
  <c r="B218" i="24"/>
  <c r="B217" i="24"/>
  <c r="B216" i="24"/>
  <c r="B215" i="24"/>
  <c r="B214" i="24"/>
  <c r="B213" i="24"/>
  <c r="B212" i="24"/>
  <c r="B302" i="24"/>
  <c r="B301" i="24"/>
  <c r="B300" i="24"/>
  <c r="B299" i="24"/>
  <c r="B298" i="24"/>
  <c r="B297" i="24"/>
  <c r="B296" i="24"/>
  <c r="B295" i="24"/>
  <c r="B294" i="24"/>
  <c r="B293" i="24"/>
  <c r="B292" i="24"/>
  <c r="B291" i="24"/>
  <c r="B290" i="24"/>
  <c r="B289" i="24"/>
  <c r="B288" i="24"/>
  <c r="B287" i="24"/>
  <c r="B19" i="24"/>
  <c r="B18" i="24"/>
  <c r="B17" i="24"/>
  <c r="B16" i="24"/>
  <c r="B15" i="24"/>
  <c r="B14" i="24"/>
  <c r="B13" i="24"/>
  <c r="B12" i="24"/>
  <c r="B11" i="24"/>
  <c r="B10" i="24"/>
  <c r="B253" i="24"/>
  <c r="B252" i="24"/>
  <c r="B251" i="24"/>
  <c r="B250" i="24"/>
  <c r="B249" i="24"/>
  <c r="B248" i="24"/>
  <c r="B247" i="24"/>
  <c r="B246" i="24"/>
  <c r="B245" i="24"/>
  <c r="B244" i="24"/>
  <c r="B243" i="24"/>
  <c r="B242" i="24"/>
  <c r="B241" i="24"/>
  <c r="B240" i="24"/>
  <c r="B239" i="24"/>
  <c r="B238" i="24"/>
  <c r="B237" i="24"/>
  <c r="B236" i="24"/>
  <c r="B235" i="24"/>
  <c r="B234" i="24"/>
  <c r="B233" i="24"/>
  <c r="B232" i="24"/>
  <c r="B231" i="24"/>
  <c r="B230" i="24"/>
  <c r="B229"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X3" i="24"/>
  <c r="B40" i="24"/>
  <c r="B39" i="24"/>
  <c r="H11" i="56"/>
  <c r="B11" i="56"/>
  <c r="H10" i="56"/>
  <c r="B10" i="56"/>
  <c r="H9" i="56"/>
  <c r="B9" i="56"/>
  <c r="H8" i="56"/>
  <c r="B8" i="56"/>
  <c r="H7" i="56"/>
  <c r="B7" i="56"/>
  <c r="H6" i="56"/>
  <c r="B6" i="56"/>
  <c r="H5" i="56"/>
  <c r="B5" i="56"/>
  <c r="H4" i="56"/>
  <c r="B4" i="56"/>
  <c r="H3" i="56"/>
  <c r="B3" i="56"/>
  <c r="H2" i="56"/>
  <c r="G48" i="3" s="1"/>
  <c r="B2" i="56"/>
  <c r="K1" i="56"/>
  <c r="C8" i="46"/>
  <c r="C7" i="46"/>
  <c r="M5" i="46"/>
  <c r="L133" i="31" s="1"/>
  <c r="L130" i="31"/>
  <c r="H5" i="46"/>
  <c r="L203" i="24"/>
  <c r="AB3" i="46"/>
  <c r="AC3" i="46" s="1"/>
  <c r="DO2" i="14" s="1"/>
  <c r="E272" i="47"/>
  <c r="E271" i="47"/>
  <c r="E270" i="47"/>
  <c r="E269" i="47"/>
  <c r="E268" i="47"/>
  <c r="E267" i="47"/>
  <c r="E266" i="47"/>
  <c r="E265" i="47"/>
  <c r="E264" i="47"/>
  <c r="E263" i="47"/>
  <c r="E262" i="47"/>
  <c r="E261" i="47"/>
  <c r="E260" i="47"/>
  <c r="E259" i="47"/>
  <c r="E258" i="47"/>
  <c r="E257" i="47"/>
  <c r="E256" i="47"/>
  <c r="E255" i="47"/>
  <c r="AK254" i="47"/>
  <c r="AJ254" i="47"/>
  <c r="AI254" i="47"/>
  <c r="AH254" i="47"/>
  <c r="AG254" i="47"/>
  <c r="AF254" i="47"/>
  <c r="AE254" i="47"/>
  <c r="AD254" i="47"/>
  <c r="AC254" i="47"/>
  <c r="AB254" i="47"/>
  <c r="AA254" i="47"/>
  <c r="Z254" i="47"/>
  <c r="Y254" i="47"/>
  <c r="X254" i="47"/>
  <c r="W254" i="47"/>
  <c r="V254" i="47"/>
  <c r="U254" i="47"/>
  <c r="T254" i="47"/>
  <c r="S254" i="47"/>
  <c r="R254" i="47"/>
  <c r="E254" i="47"/>
  <c r="AK253" i="47"/>
  <c r="AJ253" i="47"/>
  <c r="AI253" i="47"/>
  <c r="AH253" i="47"/>
  <c r="AG253" i="47"/>
  <c r="AF253" i="47"/>
  <c r="AE253" i="47"/>
  <c r="AD253" i="47"/>
  <c r="AC253" i="47"/>
  <c r="AB253" i="47"/>
  <c r="AA253" i="47"/>
  <c r="Z253" i="47"/>
  <c r="Y253" i="47"/>
  <c r="X253" i="47"/>
  <c r="W253" i="47"/>
  <c r="V253" i="47"/>
  <c r="U253" i="47"/>
  <c r="T253" i="47"/>
  <c r="S253" i="47"/>
  <c r="R253" i="47"/>
  <c r="E253" i="47"/>
  <c r="AK252" i="47"/>
  <c r="AJ252" i="47"/>
  <c r="AI252" i="47"/>
  <c r="AH252" i="47"/>
  <c r="AG252" i="47"/>
  <c r="AF252" i="47"/>
  <c r="AE252" i="47"/>
  <c r="AD252" i="47"/>
  <c r="AC252" i="47"/>
  <c r="AB252" i="47"/>
  <c r="AA252" i="47"/>
  <c r="Z252" i="47"/>
  <c r="Y252" i="47"/>
  <c r="X252" i="47"/>
  <c r="W252" i="47"/>
  <c r="V252" i="47"/>
  <c r="U252" i="47"/>
  <c r="T252" i="47"/>
  <c r="S252" i="47"/>
  <c r="R252" i="47"/>
  <c r="E252" i="47"/>
  <c r="AK251" i="47"/>
  <c r="AJ251" i="47"/>
  <c r="AI251" i="47"/>
  <c r="AH251" i="47"/>
  <c r="AG251" i="47"/>
  <c r="AF251" i="47"/>
  <c r="AE251" i="47"/>
  <c r="AD251" i="47"/>
  <c r="AC251" i="47"/>
  <c r="AB251" i="47"/>
  <c r="AA251" i="47"/>
  <c r="Z251" i="47"/>
  <c r="Y251" i="47"/>
  <c r="X251" i="47"/>
  <c r="W251" i="47"/>
  <c r="V251" i="47"/>
  <c r="U251" i="47"/>
  <c r="T251" i="47"/>
  <c r="S251" i="47"/>
  <c r="R251" i="47"/>
  <c r="E251" i="47"/>
  <c r="AK250" i="47"/>
  <c r="AJ250" i="47"/>
  <c r="AI250" i="47"/>
  <c r="AH250" i="47"/>
  <c r="AG250" i="47"/>
  <c r="AF250" i="47"/>
  <c r="AE250" i="47"/>
  <c r="AD250" i="47"/>
  <c r="AC250" i="47"/>
  <c r="AB250" i="47"/>
  <c r="AA250" i="47"/>
  <c r="Z250" i="47"/>
  <c r="Y250" i="47"/>
  <c r="X250" i="47"/>
  <c r="W250" i="47"/>
  <c r="V250" i="47"/>
  <c r="U250" i="47"/>
  <c r="T250" i="47"/>
  <c r="S250" i="47"/>
  <c r="R250" i="47"/>
  <c r="E250" i="47"/>
  <c r="AK249" i="47"/>
  <c r="AJ249" i="47"/>
  <c r="AI249" i="47"/>
  <c r="AH249" i="47"/>
  <c r="AG249" i="47"/>
  <c r="AF249" i="47"/>
  <c r="AE249" i="47"/>
  <c r="AD249" i="47"/>
  <c r="AC249" i="47"/>
  <c r="AB249" i="47"/>
  <c r="AA249" i="47"/>
  <c r="Z249" i="47"/>
  <c r="Y249" i="47"/>
  <c r="X249" i="47"/>
  <c r="W249" i="47"/>
  <c r="V249" i="47"/>
  <c r="U249" i="47"/>
  <c r="T249" i="47"/>
  <c r="S249" i="47"/>
  <c r="R249" i="47"/>
  <c r="E249" i="47"/>
  <c r="AK248" i="47"/>
  <c r="AJ248" i="47"/>
  <c r="AI248" i="47"/>
  <c r="AH248" i="47"/>
  <c r="AG248" i="47"/>
  <c r="AF248" i="47"/>
  <c r="AE248" i="47"/>
  <c r="AD248" i="47"/>
  <c r="AC248" i="47"/>
  <c r="AB248" i="47"/>
  <c r="AA248" i="47"/>
  <c r="Z248" i="47"/>
  <c r="Y248" i="47"/>
  <c r="X248" i="47"/>
  <c r="W248" i="47"/>
  <c r="V248" i="47"/>
  <c r="U248" i="47"/>
  <c r="T248" i="47"/>
  <c r="S248" i="47"/>
  <c r="R248" i="47"/>
  <c r="E248" i="47"/>
  <c r="AK247" i="47"/>
  <c r="AJ247" i="47"/>
  <c r="AI247" i="47"/>
  <c r="AH247" i="47"/>
  <c r="AG247" i="47"/>
  <c r="AF247" i="47"/>
  <c r="AE247" i="47"/>
  <c r="AD247" i="47"/>
  <c r="AC247" i="47"/>
  <c r="AB247" i="47"/>
  <c r="AA247" i="47"/>
  <c r="Z247" i="47"/>
  <c r="Y247" i="47"/>
  <c r="X247" i="47"/>
  <c r="W247" i="47"/>
  <c r="V247" i="47"/>
  <c r="U247" i="47"/>
  <c r="T247" i="47"/>
  <c r="S247" i="47"/>
  <c r="R247" i="47"/>
  <c r="E247" i="47"/>
  <c r="AK246" i="47"/>
  <c r="AJ246" i="47"/>
  <c r="AI246" i="47"/>
  <c r="AH246" i="47"/>
  <c r="AG246" i="47"/>
  <c r="AF246" i="47"/>
  <c r="AE246" i="47"/>
  <c r="AD246" i="47"/>
  <c r="AC246" i="47"/>
  <c r="AB246" i="47"/>
  <c r="AA246" i="47"/>
  <c r="Z246" i="47"/>
  <c r="Y246" i="47"/>
  <c r="X246" i="47"/>
  <c r="W246" i="47"/>
  <c r="V246" i="47"/>
  <c r="U246" i="47"/>
  <c r="T246" i="47"/>
  <c r="S246" i="47"/>
  <c r="R246" i="47"/>
  <c r="E246" i="47"/>
  <c r="AK245" i="47"/>
  <c r="AJ245" i="47"/>
  <c r="AI245" i="47"/>
  <c r="AH245" i="47"/>
  <c r="AG245" i="47"/>
  <c r="AF245" i="47"/>
  <c r="AE245" i="47"/>
  <c r="AD245" i="47"/>
  <c r="AC245" i="47"/>
  <c r="AB245" i="47"/>
  <c r="AA245" i="47"/>
  <c r="Z245" i="47"/>
  <c r="Y245" i="47"/>
  <c r="X245" i="47"/>
  <c r="W245" i="47"/>
  <c r="V245" i="47"/>
  <c r="U245" i="47"/>
  <c r="T245" i="47"/>
  <c r="S245" i="47"/>
  <c r="R245" i="47"/>
  <c r="E245" i="47"/>
  <c r="AK244" i="47"/>
  <c r="AJ244" i="47"/>
  <c r="AI244" i="47"/>
  <c r="AH244" i="47"/>
  <c r="AG244" i="47"/>
  <c r="AF244" i="47"/>
  <c r="AE244" i="47"/>
  <c r="AD244" i="47"/>
  <c r="AC244" i="47"/>
  <c r="AB244" i="47"/>
  <c r="AA244" i="47"/>
  <c r="Z244" i="47"/>
  <c r="Y244" i="47"/>
  <c r="X244" i="47"/>
  <c r="W244" i="47"/>
  <c r="V244" i="47"/>
  <c r="U244" i="47"/>
  <c r="T244" i="47"/>
  <c r="S244" i="47"/>
  <c r="R244" i="47"/>
  <c r="E244" i="47"/>
  <c r="AK243" i="47"/>
  <c r="AJ243" i="47"/>
  <c r="AI243" i="47"/>
  <c r="AH243" i="47"/>
  <c r="AG243" i="47"/>
  <c r="AF243" i="47"/>
  <c r="AE243" i="47"/>
  <c r="AD243" i="47"/>
  <c r="AC243" i="47"/>
  <c r="AB243" i="47"/>
  <c r="AA243" i="47"/>
  <c r="Z243" i="47"/>
  <c r="Y243" i="47"/>
  <c r="X243" i="47"/>
  <c r="W243" i="47"/>
  <c r="V243" i="47"/>
  <c r="U243" i="47"/>
  <c r="T243" i="47"/>
  <c r="S243" i="47"/>
  <c r="R243" i="47"/>
  <c r="E243" i="47"/>
  <c r="AK242" i="47"/>
  <c r="AJ242" i="47"/>
  <c r="AI242" i="47"/>
  <c r="AH242" i="47"/>
  <c r="AG242" i="47"/>
  <c r="AF242" i="47"/>
  <c r="AE242" i="47"/>
  <c r="AD242" i="47"/>
  <c r="AC242" i="47"/>
  <c r="AB242" i="47"/>
  <c r="AA242" i="47"/>
  <c r="Z242" i="47"/>
  <c r="Y242" i="47"/>
  <c r="X242" i="47"/>
  <c r="W242" i="47"/>
  <c r="V242" i="47"/>
  <c r="U242" i="47"/>
  <c r="T242" i="47"/>
  <c r="S242" i="47"/>
  <c r="R242" i="47"/>
  <c r="E242" i="47"/>
  <c r="AK241" i="47"/>
  <c r="AJ241" i="47"/>
  <c r="AI241" i="47"/>
  <c r="AH241" i="47"/>
  <c r="AG241" i="47"/>
  <c r="AF241" i="47"/>
  <c r="AE241" i="47"/>
  <c r="AD241" i="47"/>
  <c r="AC241" i="47"/>
  <c r="AB241" i="47"/>
  <c r="AA241" i="47"/>
  <c r="Z241" i="47"/>
  <c r="Y241" i="47"/>
  <c r="X241" i="47"/>
  <c r="W241" i="47"/>
  <c r="V241" i="47"/>
  <c r="U241" i="47"/>
  <c r="T241" i="47"/>
  <c r="S241" i="47"/>
  <c r="R241" i="47"/>
  <c r="E241" i="47"/>
  <c r="AK240" i="47"/>
  <c r="AJ240" i="47"/>
  <c r="AI240" i="47"/>
  <c r="AH240" i="47"/>
  <c r="AG240" i="47"/>
  <c r="AF240" i="47"/>
  <c r="AE240" i="47"/>
  <c r="AD240" i="47"/>
  <c r="AC240" i="47"/>
  <c r="AB240" i="47"/>
  <c r="AA240" i="47"/>
  <c r="Z240" i="47"/>
  <c r="Y240" i="47"/>
  <c r="X240" i="47"/>
  <c r="W240" i="47"/>
  <c r="V240" i="47"/>
  <c r="U240" i="47"/>
  <c r="T240" i="47"/>
  <c r="S240" i="47"/>
  <c r="R240" i="47"/>
  <c r="E240" i="47"/>
  <c r="AK239" i="47"/>
  <c r="AJ239" i="47"/>
  <c r="AI239" i="47"/>
  <c r="AH239" i="47"/>
  <c r="AG239" i="47"/>
  <c r="AF239" i="47"/>
  <c r="AE239" i="47"/>
  <c r="AD239" i="47"/>
  <c r="AC239" i="47"/>
  <c r="AB239" i="47"/>
  <c r="AA239" i="47"/>
  <c r="Z239" i="47"/>
  <c r="Y239" i="47"/>
  <c r="X239" i="47"/>
  <c r="W239" i="47"/>
  <c r="V239" i="47"/>
  <c r="U239" i="47"/>
  <c r="T239" i="47"/>
  <c r="S239" i="47"/>
  <c r="R239" i="47"/>
  <c r="E239" i="47"/>
  <c r="AK238" i="47"/>
  <c r="AJ238" i="47"/>
  <c r="AI238" i="47"/>
  <c r="AH238" i="47"/>
  <c r="AG238" i="47"/>
  <c r="AF238" i="47"/>
  <c r="AE238" i="47"/>
  <c r="AD238" i="47"/>
  <c r="AC238" i="47"/>
  <c r="AB238" i="47"/>
  <c r="AA238" i="47"/>
  <c r="Z238" i="47"/>
  <c r="Y238" i="47"/>
  <c r="X238" i="47"/>
  <c r="W238" i="47"/>
  <c r="V238" i="47"/>
  <c r="U238" i="47"/>
  <c r="T238" i="47"/>
  <c r="S238" i="47"/>
  <c r="R238" i="47"/>
  <c r="E238" i="47"/>
  <c r="AK237" i="47"/>
  <c r="AJ237" i="47"/>
  <c r="AI237" i="47"/>
  <c r="AH237" i="47"/>
  <c r="AG237" i="47"/>
  <c r="AF237" i="47"/>
  <c r="AE237" i="47"/>
  <c r="AD237" i="47"/>
  <c r="AC237" i="47"/>
  <c r="AB237" i="47"/>
  <c r="AA237" i="47"/>
  <c r="Z237" i="47"/>
  <c r="Y237" i="47"/>
  <c r="X237" i="47"/>
  <c r="W237" i="47"/>
  <c r="V237" i="47"/>
  <c r="U237" i="47"/>
  <c r="T237" i="47"/>
  <c r="S237" i="47"/>
  <c r="R237" i="47"/>
  <c r="E237" i="47"/>
  <c r="AK236" i="47"/>
  <c r="AJ236" i="47"/>
  <c r="AI236" i="47"/>
  <c r="AH236" i="47"/>
  <c r="AG236" i="47"/>
  <c r="AF236" i="47"/>
  <c r="AE236" i="47"/>
  <c r="AD236" i="47"/>
  <c r="AC236" i="47"/>
  <c r="AB236" i="47"/>
  <c r="AA236" i="47"/>
  <c r="Z236" i="47"/>
  <c r="Y236" i="47"/>
  <c r="X236" i="47"/>
  <c r="W236" i="47"/>
  <c r="V236" i="47"/>
  <c r="U236" i="47"/>
  <c r="T236" i="47"/>
  <c r="S236" i="47"/>
  <c r="R236" i="47"/>
  <c r="E236" i="47"/>
  <c r="AK235" i="47"/>
  <c r="AJ235" i="47"/>
  <c r="AI235" i="47"/>
  <c r="AH235" i="47"/>
  <c r="AG235" i="47"/>
  <c r="AF235" i="47"/>
  <c r="AE235" i="47"/>
  <c r="AD235" i="47"/>
  <c r="AC235" i="47"/>
  <c r="AB235" i="47"/>
  <c r="AA235" i="47"/>
  <c r="Z235" i="47"/>
  <c r="Y235" i="47"/>
  <c r="X235" i="47"/>
  <c r="W235" i="47"/>
  <c r="V235" i="47"/>
  <c r="U235" i="47"/>
  <c r="T235" i="47"/>
  <c r="S235" i="47"/>
  <c r="R235" i="47"/>
  <c r="E235" i="47"/>
  <c r="AK234" i="47"/>
  <c r="AJ234" i="47"/>
  <c r="AI234" i="47"/>
  <c r="AH234" i="47"/>
  <c r="AG234" i="47"/>
  <c r="AF234" i="47"/>
  <c r="AE234" i="47"/>
  <c r="AD234" i="47"/>
  <c r="AC234" i="47"/>
  <c r="AB234" i="47"/>
  <c r="AA234" i="47"/>
  <c r="Z234" i="47"/>
  <c r="Y234" i="47"/>
  <c r="X234" i="47"/>
  <c r="W234" i="47"/>
  <c r="V234" i="47"/>
  <c r="U234" i="47"/>
  <c r="T234" i="47"/>
  <c r="S234" i="47"/>
  <c r="R234" i="47"/>
  <c r="E234" i="47"/>
  <c r="AK233" i="47"/>
  <c r="AJ233" i="47"/>
  <c r="AI233" i="47"/>
  <c r="AH233" i="47"/>
  <c r="AG233" i="47"/>
  <c r="AF233" i="47"/>
  <c r="AE233" i="47"/>
  <c r="AD233" i="47"/>
  <c r="AC233" i="47"/>
  <c r="AB233" i="47"/>
  <c r="AA233" i="47"/>
  <c r="Z233" i="47"/>
  <c r="Y233" i="47"/>
  <c r="X233" i="47"/>
  <c r="W233" i="47"/>
  <c r="V233" i="47"/>
  <c r="U233" i="47"/>
  <c r="T233" i="47"/>
  <c r="S233" i="47"/>
  <c r="R233" i="47"/>
  <c r="E233" i="47"/>
  <c r="AK232" i="47"/>
  <c r="AJ232" i="47"/>
  <c r="AI232" i="47"/>
  <c r="AH232" i="47"/>
  <c r="AG232" i="47"/>
  <c r="AF232" i="47"/>
  <c r="AE232" i="47"/>
  <c r="AD232" i="47"/>
  <c r="AC232" i="47"/>
  <c r="AB232" i="47"/>
  <c r="AA232" i="47"/>
  <c r="Z232" i="47"/>
  <c r="Y232" i="47"/>
  <c r="X232" i="47"/>
  <c r="W232" i="47"/>
  <c r="V232" i="47"/>
  <c r="U232" i="47"/>
  <c r="T232" i="47"/>
  <c r="S232" i="47"/>
  <c r="R232" i="47"/>
  <c r="E232" i="47"/>
  <c r="AK231" i="47"/>
  <c r="AJ231" i="47"/>
  <c r="AI231" i="47"/>
  <c r="AH231" i="47"/>
  <c r="AG231" i="47"/>
  <c r="AF231" i="47"/>
  <c r="AE231" i="47"/>
  <c r="AD231" i="47"/>
  <c r="AC231" i="47"/>
  <c r="AB231" i="47"/>
  <c r="AA231" i="47"/>
  <c r="Z231" i="47"/>
  <c r="Y231" i="47"/>
  <c r="X231" i="47"/>
  <c r="W231" i="47"/>
  <c r="V231" i="47"/>
  <c r="U231" i="47"/>
  <c r="T231" i="47"/>
  <c r="S231" i="47"/>
  <c r="R231" i="47"/>
  <c r="E231" i="47"/>
  <c r="AK230" i="47"/>
  <c r="AJ230" i="47"/>
  <c r="AI230" i="47"/>
  <c r="AH230" i="47"/>
  <c r="AG230" i="47"/>
  <c r="AF230" i="47"/>
  <c r="AE230" i="47"/>
  <c r="AD230" i="47"/>
  <c r="AC230" i="47"/>
  <c r="AB230" i="47"/>
  <c r="AA230" i="47"/>
  <c r="Z230" i="47"/>
  <c r="Y230" i="47"/>
  <c r="X230" i="47"/>
  <c r="W230" i="47"/>
  <c r="V230" i="47"/>
  <c r="U230" i="47"/>
  <c r="T230" i="47"/>
  <c r="S230" i="47"/>
  <c r="R230" i="47"/>
  <c r="E230" i="47"/>
  <c r="AK229" i="47"/>
  <c r="AJ229" i="47"/>
  <c r="AI229" i="47"/>
  <c r="AH229" i="47"/>
  <c r="AG229" i="47"/>
  <c r="AF229" i="47"/>
  <c r="AE229" i="47"/>
  <c r="AD229" i="47"/>
  <c r="AC229" i="47"/>
  <c r="AB229" i="47"/>
  <c r="AA229" i="47"/>
  <c r="Z229" i="47"/>
  <c r="Y229" i="47"/>
  <c r="X229" i="47"/>
  <c r="W229" i="47"/>
  <c r="V229" i="47"/>
  <c r="U229" i="47"/>
  <c r="T229" i="47"/>
  <c r="S229" i="47"/>
  <c r="R229" i="47"/>
  <c r="E229" i="47"/>
  <c r="AK228" i="47"/>
  <c r="AJ228" i="47"/>
  <c r="AI228" i="47"/>
  <c r="AH228" i="47"/>
  <c r="AG228" i="47"/>
  <c r="AF228" i="47"/>
  <c r="AE228" i="47"/>
  <c r="AD228" i="47"/>
  <c r="AC228" i="47"/>
  <c r="AB228" i="47"/>
  <c r="AA228" i="47"/>
  <c r="Z228" i="47"/>
  <c r="Y228" i="47"/>
  <c r="X228" i="47"/>
  <c r="W228" i="47"/>
  <c r="V228" i="47"/>
  <c r="U228" i="47"/>
  <c r="T228" i="47"/>
  <c r="S228" i="47"/>
  <c r="R228" i="47"/>
  <c r="E228" i="47"/>
  <c r="AK227" i="47"/>
  <c r="AJ227" i="47"/>
  <c r="AI227" i="47"/>
  <c r="AH227" i="47"/>
  <c r="AG227" i="47"/>
  <c r="AF227" i="47"/>
  <c r="AE227" i="47"/>
  <c r="AD227" i="47"/>
  <c r="AC227" i="47"/>
  <c r="AB227" i="47"/>
  <c r="AA227" i="47"/>
  <c r="Z227" i="47"/>
  <c r="Y227" i="47"/>
  <c r="X227" i="47"/>
  <c r="W227" i="47"/>
  <c r="V227" i="47"/>
  <c r="U227" i="47"/>
  <c r="T227" i="47"/>
  <c r="S227" i="47"/>
  <c r="R227" i="47"/>
  <c r="E227" i="47"/>
  <c r="AK226" i="47"/>
  <c r="AJ226" i="47"/>
  <c r="AI226" i="47"/>
  <c r="AH226" i="47"/>
  <c r="AG226" i="47"/>
  <c r="AF226" i="47"/>
  <c r="AE226" i="47"/>
  <c r="AD226" i="47"/>
  <c r="AC226" i="47"/>
  <c r="AB226" i="47"/>
  <c r="AA226" i="47"/>
  <c r="Z226" i="47"/>
  <c r="Y226" i="47"/>
  <c r="X226" i="47"/>
  <c r="W226" i="47"/>
  <c r="V226" i="47"/>
  <c r="U226" i="47"/>
  <c r="T226" i="47"/>
  <c r="S226" i="47"/>
  <c r="R226" i="47"/>
  <c r="E226" i="47"/>
  <c r="AK225" i="47"/>
  <c r="AJ225" i="47"/>
  <c r="AI225" i="47"/>
  <c r="AH225" i="47"/>
  <c r="AG225" i="47"/>
  <c r="AF225" i="47"/>
  <c r="AE225" i="47"/>
  <c r="AD225" i="47"/>
  <c r="AC225" i="47"/>
  <c r="AB225" i="47"/>
  <c r="AA225" i="47"/>
  <c r="Z225" i="47"/>
  <c r="Y225" i="47"/>
  <c r="X225" i="47"/>
  <c r="W225" i="47"/>
  <c r="V225" i="47"/>
  <c r="U225" i="47"/>
  <c r="T225" i="47"/>
  <c r="S225" i="47"/>
  <c r="R225" i="47"/>
  <c r="E225" i="47"/>
  <c r="AK224" i="47"/>
  <c r="AJ224" i="47"/>
  <c r="AI224" i="47"/>
  <c r="AH224" i="47"/>
  <c r="AG224" i="47"/>
  <c r="AF224" i="47"/>
  <c r="AE224" i="47"/>
  <c r="AD224" i="47"/>
  <c r="AC224" i="47"/>
  <c r="AB224" i="47"/>
  <c r="AA224" i="47"/>
  <c r="Z224" i="47"/>
  <c r="Y224" i="47"/>
  <c r="X224" i="47"/>
  <c r="W224" i="47"/>
  <c r="V224" i="47"/>
  <c r="U224" i="47"/>
  <c r="T224" i="47"/>
  <c r="S224" i="47"/>
  <c r="R224" i="47"/>
  <c r="E224" i="47"/>
  <c r="AK223" i="47"/>
  <c r="AJ223" i="47"/>
  <c r="AI223" i="47"/>
  <c r="AH223" i="47"/>
  <c r="AG223" i="47"/>
  <c r="AF223" i="47"/>
  <c r="AE223" i="47"/>
  <c r="AD223" i="47"/>
  <c r="AC223" i="47"/>
  <c r="AB223" i="47"/>
  <c r="AA223" i="47"/>
  <c r="Z223" i="47"/>
  <c r="Y223" i="47"/>
  <c r="X223" i="47"/>
  <c r="W223" i="47"/>
  <c r="V223" i="47"/>
  <c r="U223" i="47"/>
  <c r="T223" i="47"/>
  <c r="S223" i="47"/>
  <c r="R223" i="47"/>
  <c r="E223" i="47"/>
  <c r="AK222" i="47"/>
  <c r="AJ222" i="47"/>
  <c r="AI222" i="47"/>
  <c r="AH222" i="47"/>
  <c r="AG222" i="47"/>
  <c r="AF222" i="47"/>
  <c r="AE222" i="47"/>
  <c r="AD222" i="47"/>
  <c r="AC222" i="47"/>
  <c r="AB222" i="47"/>
  <c r="AA222" i="47"/>
  <c r="Z222" i="47"/>
  <c r="Y222" i="47"/>
  <c r="X222" i="47"/>
  <c r="W222" i="47"/>
  <c r="V222" i="47"/>
  <c r="U222" i="47"/>
  <c r="T222" i="47"/>
  <c r="S222" i="47"/>
  <c r="R222" i="47"/>
  <c r="E222" i="47"/>
  <c r="AK221" i="47"/>
  <c r="AJ221" i="47"/>
  <c r="AI221" i="47"/>
  <c r="AH221" i="47"/>
  <c r="AG221" i="47"/>
  <c r="AF221" i="47"/>
  <c r="AE221" i="47"/>
  <c r="AD221" i="47"/>
  <c r="AC221" i="47"/>
  <c r="AB221" i="47"/>
  <c r="AA221" i="47"/>
  <c r="Z221" i="47"/>
  <c r="Y221" i="47"/>
  <c r="X221" i="47"/>
  <c r="W221" i="47"/>
  <c r="V221" i="47"/>
  <c r="U221" i="47"/>
  <c r="T221" i="47"/>
  <c r="S221" i="47"/>
  <c r="R221" i="47"/>
  <c r="E221" i="47"/>
  <c r="AK220" i="47"/>
  <c r="AJ220" i="47"/>
  <c r="AI220" i="47"/>
  <c r="AH220" i="47"/>
  <c r="AG220" i="47"/>
  <c r="AF220" i="47"/>
  <c r="AE220" i="47"/>
  <c r="AD220" i="47"/>
  <c r="AC220" i="47"/>
  <c r="AB220" i="47"/>
  <c r="AA220" i="47"/>
  <c r="Z220" i="47"/>
  <c r="Y220" i="47"/>
  <c r="X220" i="47"/>
  <c r="W220" i="47"/>
  <c r="V220" i="47"/>
  <c r="U220" i="47"/>
  <c r="T220" i="47"/>
  <c r="S220" i="47"/>
  <c r="R220" i="47"/>
  <c r="E220" i="47"/>
  <c r="AK219" i="47"/>
  <c r="AJ219" i="47"/>
  <c r="AI219" i="47"/>
  <c r="AH219" i="47"/>
  <c r="AG219" i="47"/>
  <c r="AF219" i="47"/>
  <c r="AE219" i="47"/>
  <c r="AD219" i="47"/>
  <c r="AC219" i="47"/>
  <c r="AB219" i="47"/>
  <c r="AA219" i="47"/>
  <c r="Z219" i="47"/>
  <c r="Y219" i="47"/>
  <c r="X219" i="47"/>
  <c r="W219" i="47"/>
  <c r="V219" i="47"/>
  <c r="U219" i="47"/>
  <c r="T219" i="47"/>
  <c r="S219" i="47"/>
  <c r="R219" i="47"/>
  <c r="E219" i="47"/>
  <c r="AK218" i="47"/>
  <c r="AJ218" i="47"/>
  <c r="AI218" i="47"/>
  <c r="AH218" i="47"/>
  <c r="AG218" i="47"/>
  <c r="AF218" i="47"/>
  <c r="AE218" i="47"/>
  <c r="AD218" i="47"/>
  <c r="AC218" i="47"/>
  <c r="AB218" i="47"/>
  <c r="AA218" i="47"/>
  <c r="Z218" i="47"/>
  <c r="Y218" i="47"/>
  <c r="X218" i="47"/>
  <c r="W218" i="47"/>
  <c r="V218" i="47"/>
  <c r="U218" i="47"/>
  <c r="T218" i="47"/>
  <c r="S218" i="47"/>
  <c r="R218" i="47"/>
  <c r="E218" i="47"/>
  <c r="AK217" i="47"/>
  <c r="AJ217" i="47"/>
  <c r="AI217" i="47"/>
  <c r="AH217" i="47"/>
  <c r="AG217" i="47"/>
  <c r="AF217" i="47"/>
  <c r="AE217" i="47"/>
  <c r="AD217" i="47"/>
  <c r="AC217" i="47"/>
  <c r="AB217" i="47"/>
  <c r="AA217" i="47"/>
  <c r="Z217" i="47"/>
  <c r="Y217" i="47"/>
  <c r="X217" i="47"/>
  <c r="W217" i="47"/>
  <c r="V217" i="47"/>
  <c r="U217" i="47"/>
  <c r="T217" i="47"/>
  <c r="S217" i="47"/>
  <c r="R217" i="47"/>
  <c r="E217" i="47"/>
  <c r="AK216" i="47"/>
  <c r="AJ216" i="47"/>
  <c r="AI216" i="47"/>
  <c r="AH216" i="47"/>
  <c r="AG216" i="47"/>
  <c r="AF216" i="47"/>
  <c r="AE216" i="47"/>
  <c r="AD216" i="47"/>
  <c r="AC216" i="47"/>
  <c r="AB216" i="47"/>
  <c r="AA216" i="47"/>
  <c r="Z216" i="47"/>
  <c r="Y216" i="47"/>
  <c r="X216" i="47"/>
  <c r="W216" i="47"/>
  <c r="V216" i="47"/>
  <c r="U216" i="47"/>
  <c r="T216" i="47"/>
  <c r="S216" i="47"/>
  <c r="R216" i="47"/>
  <c r="E216" i="47"/>
  <c r="AK215" i="47"/>
  <c r="AJ215" i="47"/>
  <c r="AI215" i="47"/>
  <c r="AH215" i="47"/>
  <c r="AG215" i="47"/>
  <c r="AF215" i="47"/>
  <c r="AE215" i="47"/>
  <c r="AD215" i="47"/>
  <c r="AC215" i="47"/>
  <c r="AB215" i="47"/>
  <c r="AA215" i="47"/>
  <c r="Z215" i="47"/>
  <c r="Y215" i="47"/>
  <c r="X215" i="47"/>
  <c r="W215" i="47"/>
  <c r="V215" i="47"/>
  <c r="U215" i="47"/>
  <c r="T215" i="47"/>
  <c r="S215" i="47"/>
  <c r="R215" i="47"/>
  <c r="E215" i="47"/>
  <c r="AK214" i="47"/>
  <c r="AJ214" i="47"/>
  <c r="AI214" i="47"/>
  <c r="AH214" i="47"/>
  <c r="AG214" i="47"/>
  <c r="AF214" i="47"/>
  <c r="AE214" i="47"/>
  <c r="AD214" i="47"/>
  <c r="AC214" i="47"/>
  <c r="AB214" i="47"/>
  <c r="AA214" i="47"/>
  <c r="Z214" i="47"/>
  <c r="Y214" i="47"/>
  <c r="X214" i="47"/>
  <c r="W214" i="47"/>
  <c r="V214" i="47"/>
  <c r="U214" i="47"/>
  <c r="T214" i="47"/>
  <c r="S214" i="47"/>
  <c r="R214" i="47"/>
  <c r="E214" i="47"/>
  <c r="AK213" i="47"/>
  <c r="AJ213" i="47"/>
  <c r="AI213" i="47"/>
  <c r="AH213" i="47"/>
  <c r="AG213" i="47"/>
  <c r="AF213" i="47"/>
  <c r="AE213" i="47"/>
  <c r="AD213" i="47"/>
  <c r="AC213" i="47"/>
  <c r="AB213" i="47"/>
  <c r="AA213" i="47"/>
  <c r="Z213" i="47"/>
  <c r="Y213" i="47"/>
  <c r="X213" i="47"/>
  <c r="W213" i="47"/>
  <c r="V213" i="47"/>
  <c r="U213" i="47"/>
  <c r="T213" i="47"/>
  <c r="S213" i="47"/>
  <c r="R213" i="47"/>
  <c r="E213" i="47"/>
  <c r="AK212" i="47"/>
  <c r="AJ212" i="47"/>
  <c r="AI212" i="47"/>
  <c r="AH212" i="47"/>
  <c r="AG212" i="47"/>
  <c r="AF212" i="47"/>
  <c r="AE212" i="47"/>
  <c r="AD212" i="47"/>
  <c r="AC212" i="47"/>
  <c r="AB212" i="47"/>
  <c r="AA212" i="47"/>
  <c r="Z212" i="47"/>
  <c r="Y212" i="47"/>
  <c r="X212" i="47"/>
  <c r="W212" i="47"/>
  <c r="V212" i="47"/>
  <c r="U212" i="47"/>
  <c r="T212" i="47"/>
  <c r="S212" i="47"/>
  <c r="R212" i="47"/>
  <c r="E212" i="47"/>
  <c r="AK211" i="47"/>
  <c r="AJ211" i="47"/>
  <c r="AI211" i="47"/>
  <c r="AH211" i="47"/>
  <c r="AG211" i="47"/>
  <c r="AF211" i="47"/>
  <c r="AE211" i="47"/>
  <c r="AD211" i="47"/>
  <c r="AC211" i="47"/>
  <c r="AB211" i="47"/>
  <c r="AA211" i="47"/>
  <c r="Z211" i="47"/>
  <c r="Y211" i="47"/>
  <c r="X211" i="47"/>
  <c r="W211" i="47"/>
  <c r="V211" i="47"/>
  <c r="U211" i="47"/>
  <c r="T211" i="47"/>
  <c r="S211" i="47"/>
  <c r="R211" i="47"/>
  <c r="E211" i="47"/>
  <c r="AK210" i="47"/>
  <c r="AJ210" i="47"/>
  <c r="AI210" i="47"/>
  <c r="AH210" i="47"/>
  <c r="AG210" i="47"/>
  <c r="AF210" i="47"/>
  <c r="AE210" i="47"/>
  <c r="AD210" i="47"/>
  <c r="AC210" i="47"/>
  <c r="AB210" i="47"/>
  <c r="AA210" i="47"/>
  <c r="Z210" i="47"/>
  <c r="Y210" i="47"/>
  <c r="X210" i="47"/>
  <c r="W210" i="47"/>
  <c r="V210" i="47"/>
  <c r="U210" i="47"/>
  <c r="T210" i="47"/>
  <c r="S210" i="47"/>
  <c r="R210" i="47"/>
  <c r="E210" i="47"/>
  <c r="AK209" i="47"/>
  <c r="AJ209" i="47"/>
  <c r="AI209" i="47"/>
  <c r="AH209" i="47"/>
  <c r="AG209" i="47"/>
  <c r="AF209" i="47"/>
  <c r="AE209" i="47"/>
  <c r="AD209" i="47"/>
  <c r="AC209" i="47"/>
  <c r="AB209" i="47"/>
  <c r="AA209" i="47"/>
  <c r="Z209" i="47"/>
  <c r="Y209" i="47"/>
  <c r="X209" i="47"/>
  <c r="W209" i="47"/>
  <c r="V209" i="47"/>
  <c r="U209" i="47"/>
  <c r="T209" i="47"/>
  <c r="S209" i="47"/>
  <c r="R209" i="47"/>
  <c r="E209" i="47"/>
  <c r="AK208" i="47"/>
  <c r="AJ208" i="47"/>
  <c r="AI208" i="47"/>
  <c r="AH208" i="47"/>
  <c r="AG208" i="47"/>
  <c r="AF208" i="47"/>
  <c r="AE208" i="47"/>
  <c r="AD208" i="47"/>
  <c r="AC208" i="47"/>
  <c r="AB208" i="47"/>
  <c r="AA208" i="47"/>
  <c r="Z208" i="47"/>
  <c r="Y208" i="47"/>
  <c r="X208" i="47"/>
  <c r="W208" i="47"/>
  <c r="V208" i="47"/>
  <c r="U208" i="47"/>
  <c r="T208" i="47"/>
  <c r="S208" i="47"/>
  <c r="R208" i="47"/>
  <c r="E208" i="47"/>
  <c r="AK207" i="47"/>
  <c r="AJ207" i="47"/>
  <c r="AI207" i="47"/>
  <c r="AH207" i="47"/>
  <c r="AG207" i="47"/>
  <c r="AF207" i="47"/>
  <c r="AE207" i="47"/>
  <c r="AD207" i="47"/>
  <c r="AC207" i="47"/>
  <c r="AB207" i="47"/>
  <c r="AA207" i="47"/>
  <c r="Z207" i="47"/>
  <c r="Y207" i="47"/>
  <c r="X207" i="47"/>
  <c r="W207" i="47"/>
  <c r="V207" i="47"/>
  <c r="U207" i="47"/>
  <c r="T207" i="47"/>
  <c r="S207" i="47"/>
  <c r="R207" i="47"/>
  <c r="E207" i="47"/>
  <c r="AK206" i="47"/>
  <c r="AJ206" i="47"/>
  <c r="AI206" i="47"/>
  <c r="AH206" i="47"/>
  <c r="AG206" i="47"/>
  <c r="AF206" i="47"/>
  <c r="AE206" i="47"/>
  <c r="AD206" i="47"/>
  <c r="AC206" i="47"/>
  <c r="AB206" i="47"/>
  <c r="AA206" i="47"/>
  <c r="Z206" i="47"/>
  <c r="Y206" i="47"/>
  <c r="X206" i="47"/>
  <c r="W206" i="47"/>
  <c r="V206" i="47"/>
  <c r="U206" i="47"/>
  <c r="T206" i="47"/>
  <c r="S206" i="47"/>
  <c r="R206" i="47"/>
  <c r="E206" i="47"/>
  <c r="AK205" i="47"/>
  <c r="AJ205" i="47"/>
  <c r="AI205" i="47"/>
  <c r="AH205" i="47"/>
  <c r="AG205" i="47"/>
  <c r="AF205" i="47"/>
  <c r="AE205" i="47"/>
  <c r="AD205" i="47"/>
  <c r="AC205" i="47"/>
  <c r="AB205" i="47"/>
  <c r="AA205" i="47"/>
  <c r="Z205" i="47"/>
  <c r="Y205" i="47"/>
  <c r="X205" i="47"/>
  <c r="W205" i="47"/>
  <c r="V205" i="47"/>
  <c r="U205" i="47"/>
  <c r="T205" i="47"/>
  <c r="S205" i="47"/>
  <c r="R205" i="47"/>
  <c r="E205" i="47"/>
  <c r="AK204" i="47"/>
  <c r="AJ204" i="47"/>
  <c r="AI204" i="47"/>
  <c r="AH204" i="47"/>
  <c r="AG204" i="47"/>
  <c r="AF204" i="47"/>
  <c r="AE204" i="47"/>
  <c r="AD204" i="47"/>
  <c r="AC204" i="47"/>
  <c r="AB204" i="47"/>
  <c r="AA204" i="47"/>
  <c r="Z204" i="47"/>
  <c r="Y204" i="47"/>
  <c r="X204" i="47"/>
  <c r="W204" i="47"/>
  <c r="V204" i="47"/>
  <c r="U204" i="47"/>
  <c r="T204" i="47"/>
  <c r="S204" i="47"/>
  <c r="R204" i="47"/>
  <c r="E204" i="47"/>
  <c r="AK203" i="47"/>
  <c r="AJ203" i="47"/>
  <c r="AI203" i="47"/>
  <c r="AH203" i="47"/>
  <c r="AG203" i="47"/>
  <c r="AF203" i="47"/>
  <c r="AE203" i="47"/>
  <c r="AD203" i="47"/>
  <c r="AC203" i="47"/>
  <c r="AB203" i="47"/>
  <c r="AA203" i="47"/>
  <c r="Z203" i="47"/>
  <c r="Y203" i="47"/>
  <c r="X203" i="47"/>
  <c r="W203" i="47"/>
  <c r="V203" i="47"/>
  <c r="U203" i="47"/>
  <c r="T203" i="47"/>
  <c r="S203" i="47"/>
  <c r="R203" i="47"/>
  <c r="E203" i="47"/>
  <c r="AK202" i="47"/>
  <c r="AJ202" i="47"/>
  <c r="AI202" i="47"/>
  <c r="AH202" i="47"/>
  <c r="AG202" i="47"/>
  <c r="AF202" i="47"/>
  <c r="AE202" i="47"/>
  <c r="AD202" i="47"/>
  <c r="AC202" i="47"/>
  <c r="AB202" i="47"/>
  <c r="AA202" i="47"/>
  <c r="Z202" i="47"/>
  <c r="Y202" i="47"/>
  <c r="X202" i="47"/>
  <c r="W202" i="47"/>
  <c r="V202" i="47"/>
  <c r="U202" i="47"/>
  <c r="T202" i="47"/>
  <c r="S202" i="47"/>
  <c r="R202" i="47"/>
  <c r="E202" i="47"/>
  <c r="AK201" i="47"/>
  <c r="AJ201" i="47"/>
  <c r="AI201" i="47"/>
  <c r="AH201" i="47"/>
  <c r="AG201" i="47"/>
  <c r="AF201" i="47"/>
  <c r="AE201" i="47"/>
  <c r="AD201" i="47"/>
  <c r="AC201" i="47"/>
  <c r="AB201" i="47"/>
  <c r="AA201" i="47"/>
  <c r="Z201" i="47"/>
  <c r="Y201" i="47"/>
  <c r="X201" i="47"/>
  <c r="W201" i="47"/>
  <c r="V201" i="47"/>
  <c r="U201" i="47"/>
  <c r="T201" i="47"/>
  <c r="S201" i="47"/>
  <c r="R201" i="47"/>
  <c r="E201" i="47"/>
  <c r="AK200" i="47"/>
  <c r="AJ200" i="47"/>
  <c r="AI200" i="47"/>
  <c r="AH200" i="47"/>
  <c r="AG200" i="47"/>
  <c r="AF200" i="47"/>
  <c r="AE200" i="47"/>
  <c r="AD200" i="47"/>
  <c r="AC200" i="47"/>
  <c r="AB200" i="47"/>
  <c r="AA200" i="47"/>
  <c r="Z200" i="47"/>
  <c r="Y200" i="47"/>
  <c r="X200" i="47"/>
  <c r="W200" i="47"/>
  <c r="V200" i="47"/>
  <c r="U200" i="47"/>
  <c r="T200" i="47"/>
  <c r="S200" i="47"/>
  <c r="R200" i="47"/>
  <c r="E200" i="47"/>
  <c r="AK199" i="47"/>
  <c r="AJ199" i="47"/>
  <c r="AI199" i="47"/>
  <c r="AH199" i="47"/>
  <c r="AG199" i="47"/>
  <c r="AF199" i="47"/>
  <c r="AE199" i="47"/>
  <c r="AD199" i="47"/>
  <c r="AC199" i="47"/>
  <c r="AB199" i="47"/>
  <c r="AA199" i="47"/>
  <c r="Z199" i="47"/>
  <c r="Y199" i="47"/>
  <c r="X199" i="47"/>
  <c r="W199" i="47"/>
  <c r="V199" i="47"/>
  <c r="U199" i="47"/>
  <c r="T199" i="47"/>
  <c r="S199" i="47"/>
  <c r="R199" i="47"/>
  <c r="E199" i="47"/>
  <c r="AK198" i="47"/>
  <c r="AJ198" i="47"/>
  <c r="AI198" i="47"/>
  <c r="AH198" i="47"/>
  <c r="AG198" i="47"/>
  <c r="AF198" i="47"/>
  <c r="AE198" i="47"/>
  <c r="AD198" i="47"/>
  <c r="AC198" i="47"/>
  <c r="AB198" i="47"/>
  <c r="AA198" i="47"/>
  <c r="Z198" i="47"/>
  <c r="Y198" i="47"/>
  <c r="X198" i="47"/>
  <c r="W198" i="47"/>
  <c r="V198" i="47"/>
  <c r="U198" i="47"/>
  <c r="T198" i="47"/>
  <c r="S198" i="47"/>
  <c r="R198" i="47"/>
  <c r="E198" i="47"/>
  <c r="AK197" i="47"/>
  <c r="AJ197" i="47"/>
  <c r="AI197" i="47"/>
  <c r="AH197" i="47"/>
  <c r="AG197" i="47"/>
  <c r="AF197" i="47"/>
  <c r="AE197" i="47"/>
  <c r="AD197" i="47"/>
  <c r="AC197" i="47"/>
  <c r="AB197" i="47"/>
  <c r="AA197" i="47"/>
  <c r="Z197" i="47"/>
  <c r="Y197" i="47"/>
  <c r="X197" i="47"/>
  <c r="W197" i="47"/>
  <c r="V197" i="47"/>
  <c r="U197" i="47"/>
  <c r="T197" i="47"/>
  <c r="S197" i="47"/>
  <c r="R197" i="47"/>
  <c r="E197" i="47"/>
  <c r="AK196" i="47"/>
  <c r="AJ196" i="47"/>
  <c r="AI196" i="47"/>
  <c r="AH196" i="47"/>
  <c r="AG196" i="47"/>
  <c r="AF196" i="47"/>
  <c r="AE196" i="47"/>
  <c r="AD196" i="47"/>
  <c r="AC196" i="47"/>
  <c r="AB196" i="47"/>
  <c r="AA196" i="47"/>
  <c r="Z196" i="47"/>
  <c r="Y196" i="47"/>
  <c r="X196" i="47"/>
  <c r="W196" i="47"/>
  <c r="V196" i="47"/>
  <c r="U196" i="47"/>
  <c r="T196" i="47"/>
  <c r="S196" i="47"/>
  <c r="R196" i="47"/>
  <c r="E196" i="47"/>
  <c r="AK195" i="47"/>
  <c r="AJ195" i="47"/>
  <c r="AI195" i="47"/>
  <c r="AH195" i="47"/>
  <c r="AG195" i="47"/>
  <c r="AF195" i="47"/>
  <c r="AE195" i="47"/>
  <c r="AD195" i="47"/>
  <c r="AC195" i="47"/>
  <c r="AB195" i="47"/>
  <c r="AA195" i="47"/>
  <c r="Z195" i="47"/>
  <c r="Y195" i="47"/>
  <c r="X195" i="47"/>
  <c r="W195" i="47"/>
  <c r="V195" i="47"/>
  <c r="U195" i="47"/>
  <c r="T195" i="47"/>
  <c r="S195" i="47"/>
  <c r="R195" i="47"/>
  <c r="E195" i="47"/>
  <c r="AK194" i="47"/>
  <c r="AJ194" i="47"/>
  <c r="AI194" i="47"/>
  <c r="AH194" i="47"/>
  <c r="AG194" i="47"/>
  <c r="AF194" i="47"/>
  <c r="AE194" i="47"/>
  <c r="AD194" i="47"/>
  <c r="AC194" i="47"/>
  <c r="AB194" i="47"/>
  <c r="AA194" i="47"/>
  <c r="Z194" i="47"/>
  <c r="Y194" i="47"/>
  <c r="X194" i="47"/>
  <c r="W194" i="47"/>
  <c r="V194" i="47"/>
  <c r="U194" i="47"/>
  <c r="T194" i="47"/>
  <c r="S194" i="47"/>
  <c r="R194" i="47"/>
  <c r="E194" i="47"/>
  <c r="AK193" i="47"/>
  <c r="AJ193" i="47"/>
  <c r="AI193" i="47"/>
  <c r="AH193" i="47"/>
  <c r="AG193" i="47"/>
  <c r="AF193" i="47"/>
  <c r="AE193" i="47"/>
  <c r="AD193" i="47"/>
  <c r="AC193" i="47"/>
  <c r="AB193" i="47"/>
  <c r="AA193" i="47"/>
  <c r="Z193" i="47"/>
  <c r="Y193" i="47"/>
  <c r="X193" i="47"/>
  <c r="W193" i="47"/>
  <c r="V193" i="47"/>
  <c r="U193" i="47"/>
  <c r="T193" i="47"/>
  <c r="S193" i="47"/>
  <c r="R193" i="47"/>
  <c r="E193" i="47"/>
  <c r="AK192" i="47"/>
  <c r="AJ192" i="47"/>
  <c r="AI192" i="47"/>
  <c r="AH192" i="47"/>
  <c r="AG192" i="47"/>
  <c r="AF192" i="47"/>
  <c r="AE192" i="47"/>
  <c r="AD192" i="47"/>
  <c r="AC192" i="47"/>
  <c r="AB192" i="47"/>
  <c r="AA192" i="47"/>
  <c r="Z192" i="47"/>
  <c r="Y192" i="47"/>
  <c r="X192" i="47"/>
  <c r="W192" i="47"/>
  <c r="V192" i="47"/>
  <c r="U192" i="47"/>
  <c r="T192" i="47"/>
  <c r="S192" i="47"/>
  <c r="R192" i="47"/>
  <c r="E192" i="47"/>
  <c r="AK191" i="47"/>
  <c r="AJ191" i="47"/>
  <c r="AI191" i="47"/>
  <c r="AH191" i="47"/>
  <c r="AG191" i="47"/>
  <c r="AF191" i="47"/>
  <c r="AE191" i="47"/>
  <c r="AD191" i="47"/>
  <c r="AC191" i="47"/>
  <c r="AB191" i="47"/>
  <c r="AA191" i="47"/>
  <c r="Z191" i="47"/>
  <c r="Y191" i="47"/>
  <c r="X191" i="47"/>
  <c r="W191" i="47"/>
  <c r="V191" i="47"/>
  <c r="U191" i="47"/>
  <c r="T191" i="47"/>
  <c r="S191" i="47"/>
  <c r="R191" i="47"/>
  <c r="E191" i="47"/>
  <c r="AK190" i="47"/>
  <c r="AJ190" i="47"/>
  <c r="AI190" i="47"/>
  <c r="AH190" i="47"/>
  <c r="AG190" i="47"/>
  <c r="AF190" i="47"/>
  <c r="AE190" i="47"/>
  <c r="AD190" i="47"/>
  <c r="AC190" i="47"/>
  <c r="AB190" i="47"/>
  <c r="AA190" i="47"/>
  <c r="Z190" i="47"/>
  <c r="Y190" i="47"/>
  <c r="X190" i="47"/>
  <c r="W190" i="47"/>
  <c r="V190" i="47"/>
  <c r="U190" i="47"/>
  <c r="T190" i="47"/>
  <c r="S190" i="47"/>
  <c r="R190" i="47"/>
  <c r="E190" i="47"/>
  <c r="AK189" i="47"/>
  <c r="AJ189" i="47"/>
  <c r="AI189" i="47"/>
  <c r="AH189" i="47"/>
  <c r="AG189" i="47"/>
  <c r="AF189" i="47"/>
  <c r="AE189" i="47"/>
  <c r="AD189" i="47"/>
  <c r="AC189" i="47"/>
  <c r="AB189" i="47"/>
  <c r="AA189" i="47"/>
  <c r="Z189" i="47"/>
  <c r="Y189" i="47"/>
  <c r="X189" i="47"/>
  <c r="W189" i="47"/>
  <c r="V189" i="47"/>
  <c r="U189" i="47"/>
  <c r="T189" i="47"/>
  <c r="S189" i="47"/>
  <c r="R189" i="47"/>
  <c r="E189" i="47"/>
  <c r="AK188" i="47"/>
  <c r="AJ188" i="47"/>
  <c r="AI188" i="47"/>
  <c r="AH188" i="47"/>
  <c r="AG188" i="47"/>
  <c r="AF188" i="47"/>
  <c r="AE188" i="47"/>
  <c r="AD188" i="47"/>
  <c r="AC188" i="47"/>
  <c r="AB188" i="47"/>
  <c r="AA188" i="47"/>
  <c r="Z188" i="47"/>
  <c r="Y188" i="47"/>
  <c r="X188" i="47"/>
  <c r="W188" i="47"/>
  <c r="V188" i="47"/>
  <c r="U188" i="47"/>
  <c r="T188" i="47"/>
  <c r="S188" i="47"/>
  <c r="R188" i="47"/>
  <c r="E188" i="47"/>
  <c r="AK187" i="47"/>
  <c r="AJ187" i="47"/>
  <c r="AI187" i="47"/>
  <c r="AH187" i="47"/>
  <c r="AG187" i="47"/>
  <c r="AF187" i="47"/>
  <c r="AE187" i="47"/>
  <c r="AD187" i="47"/>
  <c r="AC187" i="47"/>
  <c r="AB187" i="47"/>
  <c r="AA187" i="47"/>
  <c r="Z187" i="47"/>
  <c r="Y187" i="47"/>
  <c r="X187" i="47"/>
  <c r="W187" i="47"/>
  <c r="V187" i="47"/>
  <c r="U187" i="47"/>
  <c r="T187" i="47"/>
  <c r="S187" i="47"/>
  <c r="R187" i="47"/>
  <c r="E187" i="47"/>
  <c r="AK186" i="47"/>
  <c r="AJ186" i="47"/>
  <c r="AI186" i="47"/>
  <c r="AH186" i="47"/>
  <c r="AG186" i="47"/>
  <c r="AF186" i="47"/>
  <c r="AE186" i="47"/>
  <c r="AD186" i="47"/>
  <c r="AC186" i="47"/>
  <c r="AB186" i="47"/>
  <c r="AA186" i="47"/>
  <c r="Z186" i="47"/>
  <c r="Y186" i="47"/>
  <c r="X186" i="47"/>
  <c r="W186" i="47"/>
  <c r="V186" i="47"/>
  <c r="U186" i="47"/>
  <c r="T186" i="47"/>
  <c r="S186" i="47"/>
  <c r="R186" i="47"/>
  <c r="E186" i="47"/>
  <c r="AK185" i="47"/>
  <c r="AJ185" i="47"/>
  <c r="AI185" i="47"/>
  <c r="AH185" i="47"/>
  <c r="AG185" i="47"/>
  <c r="AF185" i="47"/>
  <c r="AE185" i="47"/>
  <c r="AD185" i="47"/>
  <c r="AC185" i="47"/>
  <c r="AB185" i="47"/>
  <c r="AA185" i="47"/>
  <c r="Z185" i="47"/>
  <c r="Y185" i="47"/>
  <c r="X185" i="47"/>
  <c r="W185" i="47"/>
  <c r="V185" i="47"/>
  <c r="U185" i="47"/>
  <c r="T185" i="47"/>
  <c r="S185" i="47"/>
  <c r="R185" i="47"/>
  <c r="E185" i="47"/>
  <c r="AK184" i="47"/>
  <c r="AJ184" i="47"/>
  <c r="AI184" i="47"/>
  <c r="AH184" i="47"/>
  <c r="AG184" i="47"/>
  <c r="AF184" i="47"/>
  <c r="AE184" i="47"/>
  <c r="AD184" i="47"/>
  <c r="AC184" i="47"/>
  <c r="AB184" i="47"/>
  <c r="AA184" i="47"/>
  <c r="Z184" i="47"/>
  <c r="Y184" i="47"/>
  <c r="X184" i="47"/>
  <c r="W184" i="47"/>
  <c r="V184" i="47"/>
  <c r="U184" i="47"/>
  <c r="T184" i="47"/>
  <c r="S184" i="47"/>
  <c r="R184" i="47"/>
  <c r="E184" i="47"/>
  <c r="AK183" i="47"/>
  <c r="AJ183" i="47"/>
  <c r="AI183" i="47"/>
  <c r="AH183" i="47"/>
  <c r="AG183" i="47"/>
  <c r="AF183" i="47"/>
  <c r="AE183" i="47"/>
  <c r="AD183" i="47"/>
  <c r="AC183" i="47"/>
  <c r="AB183" i="47"/>
  <c r="AA183" i="47"/>
  <c r="Z183" i="47"/>
  <c r="Y183" i="47"/>
  <c r="X183" i="47"/>
  <c r="W183" i="47"/>
  <c r="V183" i="47"/>
  <c r="U183" i="47"/>
  <c r="T183" i="47"/>
  <c r="S183" i="47"/>
  <c r="R183" i="47"/>
  <c r="E183" i="47"/>
  <c r="AK182" i="47"/>
  <c r="AJ182" i="47"/>
  <c r="AI182" i="47"/>
  <c r="AH182" i="47"/>
  <c r="AG182" i="47"/>
  <c r="AF182" i="47"/>
  <c r="AE182" i="47"/>
  <c r="AD182" i="47"/>
  <c r="AC182" i="47"/>
  <c r="AB182" i="47"/>
  <c r="AA182" i="47"/>
  <c r="Z182" i="47"/>
  <c r="Y182" i="47"/>
  <c r="X182" i="47"/>
  <c r="W182" i="47"/>
  <c r="V182" i="47"/>
  <c r="U182" i="47"/>
  <c r="T182" i="47"/>
  <c r="S182" i="47"/>
  <c r="R182" i="47"/>
  <c r="E182" i="47"/>
  <c r="AK181" i="47"/>
  <c r="AJ181" i="47"/>
  <c r="AI181" i="47"/>
  <c r="AH181" i="47"/>
  <c r="AG181" i="47"/>
  <c r="AF181" i="47"/>
  <c r="AE181" i="47"/>
  <c r="AD181" i="47"/>
  <c r="AC181" i="47"/>
  <c r="AB181" i="47"/>
  <c r="AA181" i="47"/>
  <c r="Z181" i="47"/>
  <c r="Y181" i="47"/>
  <c r="X181" i="47"/>
  <c r="W181" i="47"/>
  <c r="V181" i="47"/>
  <c r="U181" i="47"/>
  <c r="T181" i="47"/>
  <c r="S181" i="47"/>
  <c r="R181" i="47"/>
  <c r="E181" i="47"/>
  <c r="AK180" i="47"/>
  <c r="AJ180" i="47"/>
  <c r="AI180" i="47"/>
  <c r="AH180" i="47"/>
  <c r="AG180" i="47"/>
  <c r="AF180" i="47"/>
  <c r="AE180" i="47"/>
  <c r="AD180" i="47"/>
  <c r="AC180" i="47"/>
  <c r="AB180" i="47"/>
  <c r="AA180" i="47"/>
  <c r="Z180" i="47"/>
  <c r="Y180" i="47"/>
  <c r="X180" i="47"/>
  <c r="W180" i="47"/>
  <c r="V180" i="47"/>
  <c r="U180" i="47"/>
  <c r="T180" i="47"/>
  <c r="S180" i="47"/>
  <c r="R180" i="47"/>
  <c r="E180" i="47"/>
  <c r="AK179" i="47"/>
  <c r="AJ179" i="47"/>
  <c r="AI179" i="47"/>
  <c r="AH179" i="47"/>
  <c r="AG179" i="47"/>
  <c r="AF179" i="47"/>
  <c r="AE179" i="47"/>
  <c r="AD179" i="47"/>
  <c r="AC179" i="47"/>
  <c r="AB179" i="47"/>
  <c r="AA179" i="47"/>
  <c r="Z179" i="47"/>
  <c r="Y179" i="47"/>
  <c r="X179" i="47"/>
  <c r="W179" i="47"/>
  <c r="V179" i="47"/>
  <c r="U179" i="47"/>
  <c r="T179" i="47"/>
  <c r="S179" i="47"/>
  <c r="R179" i="47"/>
  <c r="E179" i="47"/>
  <c r="AK178" i="47"/>
  <c r="AJ178" i="47"/>
  <c r="AI178" i="47"/>
  <c r="AH178" i="47"/>
  <c r="AG178" i="47"/>
  <c r="AF178" i="47"/>
  <c r="AE178" i="47"/>
  <c r="AD178" i="47"/>
  <c r="AC178" i="47"/>
  <c r="AB178" i="47"/>
  <c r="AA178" i="47"/>
  <c r="Z178" i="47"/>
  <c r="Y178" i="47"/>
  <c r="X178" i="47"/>
  <c r="W178" i="47"/>
  <c r="V178" i="47"/>
  <c r="U178" i="47"/>
  <c r="T178" i="47"/>
  <c r="S178" i="47"/>
  <c r="R178" i="47"/>
  <c r="E178" i="47"/>
  <c r="AK177" i="47"/>
  <c r="AJ177" i="47"/>
  <c r="AI177" i="47"/>
  <c r="AH177" i="47"/>
  <c r="AG177" i="47"/>
  <c r="AF177" i="47"/>
  <c r="AE177" i="47"/>
  <c r="AD177" i="47"/>
  <c r="AC177" i="47"/>
  <c r="AB177" i="47"/>
  <c r="AA177" i="47"/>
  <c r="Z177" i="47"/>
  <c r="Y177" i="47"/>
  <c r="X177" i="47"/>
  <c r="W177" i="47"/>
  <c r="V177" i="47"/>
  <c r="U177" i="47"/>
  <c r="T177" i="47"/>
  <c r="S177" i="47"/>
  <c r="R177" i="47"/>
  <c r="E177" i="47"/>
  <c r="AK176" i="47"/>
  <c r="AJ176" i="47"/>
  <c r="AI176" i="47"/>
  <c r="AH176" i="47"/>
  <c r="AG176" i="47"/>
  <c r="AF176" i="47"/>
  <c r="AE176" i="47"/>
  <c r="AD176" i="47"/>
  <c r="AC176" i="47"/>
  <c r="AB176" i="47"/>
  <c r="AA176" i="47"/>
  <c r="Z176" i="47"/>
  <c r="Y176" i="47"/>
  <c r="X176" i="47"/>
  <c r="W176" i="47"/>
  <c r="V176" i="47"/>
  <c r="U176" i="47"/>
  <c r="T176" i="47"/>
  <c r="S176" i="47"/>
  <c r="R176" i="47"/>
  <c r="E176" i="47"/>
  <c r="AK175" i="47"/>
  <c r="AJ175" i="47"/>
  <c r="AI175" i="47"/>
  <c r="AH175" i="47"/>
  <c r="AG175" i="47"/>
  <c r="AF175" i="47"/>
  <c r="AE175" i="47"/>
  <c r="AD175" i="47"/>
  <c r="AC175" i="47"/>
  <c r="AB175" i="47"/>
  <c r="AA175" i="47"/>
  <c r="Z175" i="47"/>
  <c r="Y175" i="47"/>
  <c r="X175" i="47"/>
  <c r="W175" i="47"/>
  <c r="V175" i="47"/>
  <c r="U175" i="47"/>
  <c r="T175" i="47"/>
  <c r="S175" i="47"/>
  <c r="R175" i="47"/>
  <c r="E175" i="47"/>
  <c r="AK174" i="47"/>
  <c r="AJ174" i="47"/>
  <c r="AI174" i="47"/>
  <c r="AH174" i="47"/>
  <c r="AG174" i="47"/>
  <c r="AF174" i="47"/>
  <c r="AE174" i="47"/>
  <c r="AD174" i="47"/>
  <c r="AC174" i="47"/>
  <c r="AB174" i="47"/>
  <c r="AA174" i="47"/>
  <c r="Z174" i="47"/>
  <c r="Y174" i="47"/>
  <c r="X174" i="47"/>
  <c r="W174" i="47"/>
  <c r="V174" i="47"/>
  <c r="U174" i="47"/>
  <c r="T174" i="47"/>
  <c r="S174" i="47"/>
  <c r="R174" i="47"/>
  <c r="E174" i="47"/>
  <c r="AK173" i="47"/>
  <c r="AJ173" i="47"/>
  <c r="AI173" i="47"/>
  <c r="AH173" i="47"/>
  <c r="AG173" i="47"/>
  <c r="AF173" i="47"/>
  <c r="AE173" i="47"/>
  <c r="AD173" i="47"/>
  <c r="AC173" i="47"/>
  <c r="AB173" i="47"/>
  <c r="AA173" i="47"/>
  <c r="Z173" i="47"/>
  <c r="Y173" i="47"/>
  <c r="X173" i="47"/>
  <c r="W173" i="47"/>
  <c r="V173" i="47"/>
  <c r="U173" i="47"/>
  <c r="T173" i="47"/>
  <c r="S173" i="47"/>
  <c r="R173" i="47"/>
  <c r="E173" i="47"/>
  <c r="AK172" i="47"/>
  <c r="AJ172" i="47"/>
  <c r="AI172" i="47"/>
  <c r="AH172" i="47"/>
  <c r="AG172" i="47"/>
  <c r="AF172" i="47"/>
  <c r="AE172" i="47"/>
  <c r="AD172" i="47"/>
  <c r="AC172" i="47"/>
  <c r="AB172" i="47"/>
  <c r="AA172" i="47"/>
  <c r="Z172" i="47"/>
  <c r="Y172" i="47"/>
  <c r="X172" i="47"/>
  <c r="W172" i="47"/>
  <c r="V172" i="47"/>
  <c r="U172" i="47"/>
  <c r="T172" i="47"/>
  <c r="S172" i="47"/>
  <c r="R172" i="47"/>
  <c r="E172" i="47"/>
  <c r="AK171" i="47"/>
  <c r="AJ171" i="47"/>
  <c r="AI171" i="47"/>
  <c r="AH171" i="47"/>
  <c r="AG171" i="47"/>
  <c r="AF171" i="47"/>
  <c r="AE171" i="47"/>
  <c r="AD171" i="47"/>
  <c r="AC171" i="47"/>
  <c r="AB171" i="47"/>
  <c r="AA171" i="47"/>
  <c r="Z171" i="47"/>
  <c r="Y171" i="47"/>
  <c r="X171" i="47"/>
  <c r="W171" i="47"/>
  <c r="V171" i="47"/>
  <c r="U171" i="47"/>
  <c r="T171" i="47"/>
  <c r="S171" i="47"/>
  <c r="R171" i="47"/>
  <c r="E171" i="47"/>
  <c r="AK170" i="47"/>
  <c r="AJ170" i="47"/>
  <c r="AI170" i="47"/>
  <c r="AH170" i="47"/>
  <c r="AG170" i="47"/>
  <c r="AF170" i="47"/>
  <c r="AE170" i="47"/>
  <c r="AD170" i="47"/>
  <c r="AC170" i="47"/>
  <c r="AB170" i="47"/>
  <c r="AA170" i="47"/>
  <c r="Z170" i="47"/>
  <c r="Y170" i="47"/>
  <c r="X170" i="47"/>
  <c r="W170" i="47"/>
  <c r="V170" i="47"/>
  <c r="U170" i="47"/>
  <c r="T170" i="47"/>
  <c r="S170" i="47"/>
  <c r="R170" i="47"/>
  <c r="E170" i="47"/>
  <c r="AK169" i="47"/>
  <c r="AJ169" i="47"/>
  <c r="AI169" i="47"/>
  <c r="AH169" i="47"/>
  <c r="AG169" i="47"/>
  <c r="AF169" i="47"/>
  <c r="AE169" i="47"/>
  <c r="AD169" i="47"/>
  <c r="AC169" i="47"/>
  <c r="AB169" i="47"/>
  <c r="AA169" i="47"/>
  <c r="Z169" i="47"/>
  <c r="Y169" i="47"/>
  <c r="X169" i="47"/>
  <c r="W169" i="47"/>
  <c r="V169" i="47"/>
  <c r="U169" i="47"/>
  <c r="T169" i="47"/>
  <c r="S169" i="47"/>
  <c r="R169" i="47"/>
  <c r="E169" i="47"/>
  <c r="AK168" i="47"/>
  <c r="AJ168" i="47"/>
  <c r="AI168" i="47"/>
  <c r="AH168" i="47"/>
  <c r="AG168" i="47"/>
  <c r="AF168" i="47"/>
  <c r="AE168" i="47"/>
  <c r="AD168" i="47"/>
  <c r="AC168" i="47"/>
  <c r="AB168" i="47"/>
  <c r="AA168" i="47"/>
  <c r="Z168" i="47"/>
  <c r="Y168" i="47"/>
  <c r="X168" i="47"/>
  <c r="W168" i="47"/>
  <c r="V168" i="47"/>
  <c r="U168" i="47"/>
  <c r="T168" i="47"/>
  <c r="S168" i="47"/>
  <c r="R168" i="47"/>
  <c r="E168" i="47"/>
  <c r="AK167" i="47"/>
  <c r="AJ167" i="47"/>
  <c r="AI167" i="47"/>
  <c r="AH167" i="47"/>
  <c r="AG167" i="47"/>
  <c r="AF167" i="47"/>
  <c r="AE167" i="47"/>
  <c r="AD167" i="47"/>
  <c r="AC167" i="47"/>
  <c r="AB167" i="47"/>
  <c r="AA167" i="47"/>
  <c r="Z167" i="47"/>
  <c r="Y167" i="47"/>
  <c r="X167" i="47"/>
  <c r="W167" i="47"/>
  <c r="V167" i="47"/>
  <c r="U167" i="47"/>
  <c r="T167" i="47"/>
  <c r="S167" i="47"/>
  <c r="R167" i="47"/>
  <c r="E167" i="47"/>
  <c r="AK166" i="47"/>
  <c r="AJ166" i="47"/>
  <c r="AI166" i="47"/>
  <c r="AH166" i="47"/>
  <c r="AG166" i="47"/>
  <c r="AF166" i="47"/>
  <c r="AE166" i="47"/>
  <c r="AD166" i="47"/>
  <c r="AC166" i="47"/>
  <c r="AB166" i="47"/>
  <c r="AA166" i="47"/>
  <c r="Z166" i="47"/>
  <c r="Y166" i="47"/>
  <c r="X166" i="47"/>
  <c r="W166" i="47"/>
  <c r="V166" i="47"/>
  <c r="U166" i="47"/>
  <c r="T166" i="47"/>
  <c r="S166" i="47"/>
  <c r="R166" i="47"/>
  <c r="E166" i="47"/>
  <c r="AK165" i="47"/>
  <c r="AJ165" i="47"/>
  <c r="AI165" i="47"/>
  <c r="AH165" i="47"/>
  <c r="AG165" i="47"/>
  <c r="AF165" i="47"/>
  <c r="AE165" i="47"/>
  <c r="AD165" i="47"/>
  <c r="AC165" i="47"/>
  <c r="AB165" i="47"/>
  <c r="AA165" i="47"/>
  <c r="Z165" i="47"/>
  <c r="Y165" i="47"/>
  <c r="X165" i="47"/>
  <c r="W165" i="47"/>
  <c r="V165" i="47"/>
  <c r="U165" i="47"/>
  <c r="T165" i="47"/>
  <c r="S165" i="47"/>
  <c r="R165" i="47"/>
  <c r="E165" i="47"/>
  <c r="AK164" i="47"/>
  <c r="AJ164" i="47"/>
  <c r="AI164" i="47"/>
  <c r="AH164" i="47"/>
  <c r="AG164" i="47"/>
  <c r="AF164" i="47"/>
  <c r="AE164" i="47"/>
  <c r="AD164" i="47"/>
  <c r="AC164" i="47"/>
  <c r="AB164" i="47"/>
  <c r="AA164" i="47"/>
  <c r="Z164" i="47"/>
  <c r="Y164" i="47"/>
  <c r="X164" i="47"/>
  <c r="W164" i="47"/>
  <c r="V164" i="47"/>
  <c r="U164" i="47"/>
  <c r="T164" i="47"/>
  <c r="S164" i="47"/>
  <c r="R164" i="47"/>
  <c r="E164" i="47"/>
  <c r="AK163" i="47"/>
  <c r="AJ163" i="47"/>
  <c r="AI163" i="47"/>
  <c r="AH163" i="47"/>
  <c r="AG163" i="47"/>
  <c r="AF163" i="47"/>
  <c r="AE163" i="47"/>
  <c r="AD163" i="47"/>
  <c r="AC163" i="47"/>
  <c r="AB163" i="47"/>
  <c r="AA163" i="47"/>
  <c r="Z163" i="47"/>
  <c r="Y163" i="47"/>
  <c r="X163" i="47"/>
  <c r="W163" i="47"/>
  <c r="V163" i="47"/>
  <c r="U163" i="47"/>
  <c r="T163" i="47"/>
  <c r="S163" i="47"/>
  <c r="R163" i="47"/>
  <c r="E163" i="47"/>
  <c r="AK162" i="47"/>
  <c r="AJ162" i="47"/>
  <c r="AI162" i="47"/>
  <c r="AH162" i="47"/>
  <c r="AG162" i="47"/>
  <c r="AF162" i="47"/>
  <c r="AE162" i="47"/>
  <c r="AD162" i="47"/>
  <c r="AC162" i="47"/>
  <c r="AB162" i="47"/>
  <c r="AA162" i="47"/>
  <c r="Z162" i="47"/>
  <c r="Y162" i="47"/>
  <c r="X162" i="47"/>
  <c r="W162" i="47"/>
  <c r="V162" i="47"/>
  <c r="U162" i="47"/>
  <c r="T162" i="47"/>
  <c r="S162" i="47"/>
  <c r="R162" i="47"/>
  <c r="E162" i="47"/>
  <c r="AK161" i="47"/>
  <c r="AJ161" i="47"/>
  <c r="AI161" i="47"/>
  <c r="AH161" i="47"/>
  <c r="AG161" i="47"/>
  <c r="AF161" i="47"/>
  <c r="AE161" i="47"/>
  <c r="AD161" i="47"/>
  <c r="AC161" i="47"/>
  <c r="AB161" i="47"/>
  <c r="AA161" i="47"/>
  <c r="Z161" i="47"/>
  <c r="Y161" i="47"/>
  <c r="X161" i="47"/>
  <c r="W161" i="47"/>
  <c r="V161" i="47"/>
  <c r="U161" i="47"/>
  <c r="T161" i="47"/>
  <c r="S161" i="47"/>
  <c r="R161" i="47"/>
  <c r="E161" i="47"/>
  <c r="AK160" i="47"/>
  <c r="AJ160" i="47"/>
  <c r="AI160" i="47"/>
  <c r="AH160" i="47"/>
  <c r="AG160" i="47"/>
  <c r="AF160" i="47"/>
  <c r="AE160" i="47"/>
  <c r="AD160" i="47"/>
  <c r="AC160" i="47"/>
  <c r="AB160" i="47"/>
  <c r="AA160" i="47"/>
  <c r="Z160" i="47"/>
  <c r="Y160" i="47"/>
  <c r="X160" i="47"/>
  <c r="W160" i="47"/>
  <c r="V160" i="47"/>
  <c r="U160" i="47"/>
  <c r="T160" i="47"/>
  <c r="S160" i="47"/>
  <c r="R160" i="47"/>
  <c r="E160" i="47"/>
  <c r="AK159" i="47"/>
  <c r="AJ159" i="47"/>
  <c r="AI159" i="47"/>
  <c r="AH159" i="47"/>
  <c r="AG159" i="47"/>
  <c r="AF159" i="47"/>
  <c r="AE159" i="47"/>
  <c r="AD159" i="47"/>
  <c r="AC159" i="47"/>
  <c r="AB159" i="47"/>
  <c r="AA159" i="47"/>
  <c r="Z159" i="47"/>
  <c r="Y159" i="47"/>
  <c r="X159" i="47"/>
  <c r="W159" i="47"/>
  <c r="V159" i="47"/>
  <c r="U159" i="47"/>
  <c r="T159" i="47"/>
  <c r="S159" i="47"/>
  <c r="R159" i="47"/>
  <c r="E159" i="47"/>
  <c r="AK158" i="47"/>
  <c r="AJ158" i="47"/>
  <c r="AI158" i="47"/>
  <c r="AH158" i="47"/>
  <c r="AG158" i="47"/>
  <c r="AF158" i="47"/>
  <c r="AE158" i="47"/>
  <c r="AD158" i="47"/>
  <c r="AC158" i="47"/>
  <c r="AB158" i="47"/>
  <c r="AA158" i="47"/>
  <c r="Z158" i="47"/>
  <c r="Y158" i="47"/>
  <c r="X158" i="47"/>
  <c r="W158" i="47"/>
  <c r="V158" i="47"/>
  <c r="U158" i="47"/>
  <c r="T158" i="47"/>
  <c r="S158" i="47"/>
  <c r="R158" i="47"/>
  <c r="E158" i="47"/>
  <c r="AK157" i="47"/>
  <c r="AJ157" i="47"/>
  <c r="AI157" i="47"/>
  <c r="AH157" i="47"/>
  <c r="AG157" i="47"/>
  <c r="AF157" i="47"/>
  <c r="AE157" i="47"/>
  <c r="AD157" i="47"/>
  <c r="AC157" i="47"/>
  <c r="AB157" i="47"/>
  <c r="AA157" i="47"/>
  <c r="Z157" i="47"/>
  <c r="Y157" i="47"/>
  <c r="X157" i="47"/>
  <c r="W157" i="47"/>
  <c r="V157" i="47"/>
  <c r="U157" i="47"/>
  <c r="T157" i="47"/>
  <c r="S157" i="47"/>
  <c r="R157" i="47"/>
  <c r="E157" i="47"/>
  <c r="AK156" i="47"/>
  <c r="AJ156" i="47"/>
  <c r="AI156" i="47"/>
  <c r="AH156" i="47"/>
  <c r="AG156" i="47"/>
  <c r="AF156" i="47"/>
  <c r="AE156" i="47"/>
  <c r="AD156" i="47"/>
  <c r="AC156" i="47"/>
  <c r="AB156" i="47"/>
  <c r="AA156" i="47"/>
  <c r="Z156" i="47"/>
  <c r="Y156" i="47"/>
  <c r="X156" i="47"/>
  <c r="W156" i="47"/>
  <c r="V156" i="47"/>
  <c r="U156" i="47"/>
  <c r="T156" i="47"/>
  <c r="S156" i="47"/>
  <c r="R156" i="47"/>
  <c r="E156" i="47"/>
  <c r="AK155" i="47"/>
  <c r="AJ155" i="47"/>
  <c r="AI155" i="47"/>
  <c r="AH155" i="47"/>
  <c r="AG155" i="47"/>
  <c r="AF155" i="47"/>
  <c r="AE155" i="47"/>
  <c r="AD155" i="47"/>
  <c r="AC155" i="47"/>
  <c r="AB155" i="47"/>
  <c r="AA155" i="47"/>
  <c r="Z155" i="47"/>
  <c r="Y155" i="47"/>
  <c r="X155" i="47"/>
  <c r="W155" i="47"/>
  <c r="V155" i="47"/>
  <c r="U155" i="47"/>
  <c r="T155" i="47"/>
  <c r="S155" i="47"/>
  <c r="R155" i="47"/>
  <c r="E155" i="47"/>
  <c r="AK154" i="47"/>
  <c r="AJ154" i="47"/>
  <c r="AI154" i="47"/>
  <c r="AH154" i="47"/>
  <c r="AG154" i="47"/>
  <c r="AF154" i="47"/>
  <c r="AE154" i="47"/>
  <c r="AD154" i="47"/>
  <c r="AC154" i="47"/>
  <c r="AB154" i="47"/>
  <c r="AA154" i="47"/>
  <c r="Z154" i="47"/>
  <c r="Y154" i="47"/>
  <c r="X154" i="47"/>
  <c r="W154" i="47"/>
  <c r="V154" i="47"/>
  <c r="U154" i="47"/>
  <c r="T154" i="47"/>
  <c r="S154" i="47"/>
  <c r="R154" i="47"/>
  <c r="E154" i="47"/>
  <c r="AK153" i="47"/>
  <c r="AJ153" i="47"/>
  <c r="AI153" i="47"/>
  <c r="AH153" i="47"/>
  <c r="AG153" i="47"/>
  <c r="AF153" i="47"/>
  <c r="AE153" i="47"/>
  <c r="AD153" i="47"/>
  <c r="AC153" i="47"/>
  <c r="AB153" i="47"/>
  <c r="AA153" i="47"/>
  <c r="Z153" i="47"/>
  <c r="Y153" i="47"/>
  <c r="X153" i="47"/>
  <c r="W153" i="47"/>
  <c r="V153" i="47"/>
  <c r="U153" i="47"/>
  <c r="T153" i="47"/>
  <c r="S153" i="47"/>
  <c r="R153" i="47"/>
  <c r="E153" i="47"/>
  <c r="AK152" i="47"/>
  <c r="AJ152" i="47"/>
  <c r="AI152" i="47"/>
  <c r="AH152" i="47"/>
  <c r="AG152" i="47"/>
  <c r="AF152" i="47"/>
  <c r="AE152" i="47"/>
  <c r="AD152" i="47"/>
  <c r="AC152" i="47"/>
  <c r="AB152" i="47"/>
  <c r="AA152" i="47"/>
  <c r="Z152" i="47"/>
  <c r="Y152" i="47"/>
  <c r="X152" i="47"/>
  <c r="W152" i="47"/>
  <c r="V152" i="47"/>
  <c r="U152" i="47"/>
  <c r="T152" i="47"/>
  <c r="S152" i="47"/>
  <c r="R152" i="47"/>
  <c r="E152" i="47"/>
  <c r="AK151" i="47"/>
  <c r="AJ151" i="47"/>
  <c r="AI151" i="47"/>
  <c r="AH151" i="47"/>
  <c r="AG151" i="47"/>
  <c r="AF151" i="47"/>
  <c r="AE151" i="47"/>
  <c r="AD151" i="47"/>
  <c r="AC151" i="47"/>
  <c r="AB151" i="47"/>
  <c r="AA151" i="47"/>
  <c r="Z151" i="47"/>
  <c r="Y151" i="47"/>
  <c r="X151" i="47"/>
  <c r="W151" i="47"/>
  <c r="V151" i="47"/>
  <c r="U151" i="47"/>
  <c r="T151" i="47"/>
  <c r="S151" i="47"/>
  <c r="R151" i="47"/>
  <c r="E151" i="47"/>
  <c r="AK150" i="47"/>
  <c r="AJ150" i="47"/>
  <c r="AI150" i="47"/>
  <c r="AH150" i="47"/>
  <c r="AG150" i="47"/>
  <c r="AF150" i="47"/>
  <c r="AE150" i="47"/>
  <c r="AD150" i="47"/>
  <c r="AC150" i="47"/>
  <c r="AB150" i="47"/>
  <c r="AA150" i="47"/>
  <c r="Z150" i="47"/>
  <c r="Y150" i="47"/>
  <c r="X150" i="47"/>
  <c r="W150" i="47"/>
  <c r="V150" i="47"/>
  <c r="U150" i="47"/>
  <c r="T150" i="47"/>
  <c r="S150" i="47"/>
  <c r="R150" i="47"/>
  <c r="E150" i="47"/>
  <c r="AK149" i="47"/>
  <c r="AJ149" i="47"/>
  <c r="AI149" i="47"/>
  <c r="AH149" i="47"/>
  <c r="AG149" i="47"/>
  <c r="AF149" i="47"/>
  <c r="AE149" i="47"/>
  <c r="AD149" i="47"/>
  <c r="AC149" i="47"/>
  <c r="AB149" i="47"/>
  <c r="AA149" i="47"/>
  <c r="Z149" i="47"/>
  <c r="Y149" i="47"/>
  <c r="X149" i="47"/>
  <c r="W149" i="47"/>
  <c r="V149" i="47"/>
  <c r="U149" i="47"/>
  <c r="T149" i="47"/>
  <c r="S149" i="47"/>
  <c r="R149" i="47"/>
  <c r="E149" i="47"/>
  <c r="AK148" i="47"/>
  <c r="AJ148" i="47"/>
  <c r="AI148" i="47"/>
  <c r="AH148" i="47"/>
  <c r="AG148" i="47"/>
  <c r="AF148" i="47"/>
  <c r="AE148" i="47"/>
  <c r="AD148" i="47"/>
  <c r="AC148" i="47"/>
  <c r="AB148" i="47"/>
  <c r="AA148" i="47"/>
  <c r="Z148" i="47"/>
  <c r="Y148" i="47"/>
  <c r="X148" i="47"/>
  <c r="W148" i="47"/>
  <c r="V148" i="47"/>
  <c r="U148" i="47"/>
  <c r="T148" i="47"/>
  <c r="S148" i="47"/>
  <c r="R148" i="47"/>
  <c r="E148" i="47"/>
  <c r="AK147" i="47"/>
  <c r="AJ147" i="47"/>
  <c r="AI147" i="47"/>
  <c r="AH147" i="47"/>
  <c r="AG147" i="47"/>
  <c r="AF147" i="47"/>
  <c r="AE147" i="47"/>
  <c r="AD147" i="47"/>
  <c r="AC147" i="47"/>
  <c r="AB147" i="47"/>
  <c r="AA147" i="47"/>
  <c r="Z147" i="47"/>
  <c r="Y147" i="47"/>
  <c r="X147" i="47"/>
  <c r="W147" i="47"/>
  <c r="V147" i="47"/>
  <c r="U147" i="47"/>
  <c r="T147" i="47"/>
  <c r="S147" i="47"/>
  <c r="R147" i="47"/>
  <c r="E147" i="47"/>
  <c r="AK146" i="47"/>
  <c r="AJ146" i="47"/>
  <c r="AI146" i="47"/>
  <c r="AH146" i="47"/>
  <c r="AG146" i="47"/>
  <c r="AF146" i="47"/>
  <c r="AE146" i="47"/>
  <c r="AD146" i="47"/>
  <c r="AC146" i="47"/>
  <c r="AB146" i="47"/>
  <c r="AA146" i="47"/>
  <c r="Z146" i="47"/>
  <c r="Y146" i="47"/>
  <c r="X146" i="47"/>
  <c r="W146" i="47"/>
  <c r="V146" i="47"/>
  <c r="U146" i="47"/>
  <c r="T146" i="47"/>
  <c r="S146" i="47"/>
  <c r="R146" i="47"/>
  <c r="E146" i="47"/>
  <c r="AK145" i="47"/>
  <c r="AJ145" i="47"/>
  <c r="AI145" i="47"/>
  <c r="AH145" i="47"/>
  <c r="AG145" i="47"/>
  <c r="AF145" i="47"/>
  <c r="AE145" i="47"/>
  <c r="AD145" i="47"/>
  <c r="AC145" i="47"/>
  <c r="AB145" i="47"/>
  <c r="AA145" i="47"/>
  <c r="Z145" i="47"/>
  <c r="Y145" i="47"/>
  <c r="X145" i="47"/>
  <c r="W145" i="47"/>
  <c r="V145" i="47"/>
  <c r="U145" i="47"/>
  <c r="T145" i="47"/>
  <c r="S145" i="47"/>
  <c r="R145" i="47"/>
  <c r="E145" i="47"/>
  <c r="AK144" i="47"/>
  <c r="AJ144" i="47"/>
  <c r="AI144" i="47"/>
  <c r="AH144" i="47"/>
  <c r="AG144" i="47"/>
  <c r="AF144" i="47"/>
  <c r="AE144" i="47"/>
  <c r="AD144" i="47"/>
  <c r="AC144" i="47"/>
  <c r="AB144" i="47"/>
  <c r="AA144" i="47"/>
  <c r="Z144" i="47"/>
  <c r="Y144" i="47"/>
  <c r="X144" i="47"/>
  <c r="W144" i="47"/>
  <c r="V144" i="47"/>
  <c r="U144" i="47"/>
  <c r="T144" i="47"/>
  <c r="S144" i="47"/>
  <c r="R144" i="47"/>
  <c r="E144" i="47"/>
  <c r="AK143" i="47"/>
  <c r="AJ143" i="47"/>
  <c r="AI143" i="47"/>
  <c r="AH143" i="47"/>
  <c r="AG143" i="47"/>
  <c r="AF143" i="47"/>
  <c r="AE143" i="47"/>
  <c r="AD143" i="47"/>
  <c r="AC143" i="47"/>
  <c r="AB143" i="47"/>
  <c r="AA143" i="47"/>
  <c r="Z143" i="47"/>
  <c r="Y143" i="47"/>
  <c r="X143" i="47"/>
  <c r="W143" i="47"/>
  <c r="V143" i="47"/>
  <c r="U143" i="47"/>
  <c r="T143" i="47"/>
  <c r="S143" i="47"/>
  <c r="R143" i="47"/>
  <c r="E143" i="47"/>
  <c r="AK142" i="47"/>
  <c r="AJ142" i="47"/>
  <c r="AI142" i="47"/>
  <c r="AH142" i="47"/>
  <c r="AG142" i="47"/>
  <c r="AF142" i="47"/>
  <c r="AE142" i="47"/>
  <c r="AD142" i="47"/>
  <c r="AC142" i="47"/>
  <c r="AB142" i="47"/>
  <c r="AA142" i="47"/>
  <c r="Z142" i="47"/>
  <c r="Y142" i="47"/>
  <c r="X142" i="47"/>
  <c r="W142" i="47"/>
  <c r="V142" i="47"/>
  <c r="U142" i="47"/>
  <c r="T142" i="47"/>
  <c r="S142" i="47"/>
  <c r="R142" i="47"/>
  <c r="E142" i="47"/>
  <c r="AK141" i="47"/>
  <c r="AJ141" i="47"/>
  <c r="AI141" i="47"/>
  <c r="AH141" i="47"/>
  <c r="AG141" i="47"/>
  <c r="AF141" i="47"/>
  <c r="AE141" i="47"/>
  <c r="AD141" i="47"/>
  <c r="AC141" i="47"/>
  <c r="AB141" i="47"/>
  <c r="AA141" i="47"/>
  <c r="Z141" i="47"/>
  <c r="Y141" i="47"/>
  <c r="X141" i="47"/>
  <c r="W141" i="47"/>
  <c r="V141" i="47"/>
  <c r="U141" i="47"/>
  <c r="T141" i="47"/>
  <c r="S141" i="47"/>
  <c r="R141" i="47"/>
  <c r="E141" i="47"/>
  <c r="AK140" i="47"/>
  <c r="AJ140" i="47"/>
  <c r="AI140" i="47"/>
  <c r="AH140" i="47"/>
  <c r="AG140" i="47"/>
  <c r="AF140" i="47"/>
  <c r="AE140" i="47"/>
  <c r="AD140" i="47"/>
  <c r="AC140" i="47"/>
  <c r="AB140" i="47"/>
  <c r="AA140" i="47"/>
  <c r="Z140" i="47"/>
  <c r="Y140" i="47"/>
  <c r="X140" i="47"/>
  <c r="W140" i="47"/>
  <c r="V140" i="47"/>
  <c r="U140" i="47"/>
  <c r="T140" i="47"/>
  <c r="S140" i="47"/>
  <c r="R140" i="47"/>
  <c r="E140" i="47"/>
  <c r="AK139" i="47"/>
  <c r="AJ139" i="47"/>
  <c r="AI139" i="47"/>
  <c r="AH139" i="47"/>
  <c r="AG139" i="47"/>
  <c r="AF139" i="47"/>
  <c r="AE139" i="47"/>
  <c r="AD139" i="47"/>
  <c r="AC139" i="47"/>
  <c r="AB139" i="47"/>
  <c r="AA139" i="47"/>
  <c r="Z139" i="47"/>
  <c r="Y139" i="47"/>
  <c r="X139" i="47"/>
  <c r="W139" i="47"/>
  <c r="V139" i="47"/>
  <c r="U139" i="47"/>
  <c r="T139" i="47"/>
  <c r="S139" i="47"/>
  <c r="R139" i="47"/>
  <c r="E139" i="47"/>
  <c r="AK138" i="47"/>
  <c r="AJ138" i="47"/>
  <c r="AI138" i="47"/>
  <c r="AH138" i="47"/>
  <c r="AG138" i="47"/>
  <c r="AF138" i="47"/>
  <c r="AE138" i="47"/>
  <c r="AD138" i="47"/>
  <c r="AC138" i="47"/>
  <c r="AB138" i="47"/>
  <c r="AA138" i="47"/>
  <c r="Z138" i="47"/>
  <c r="Y138" i="47"/>
  <c r="X138" i="47"/>
  <c r="W138" i="47"/>
  <c r="V138" i="47"/>
  <c r="U138" i="47"/>
  <c r="T138" i="47"/>
  <c r="S138" i="47"/>
  <c r="R138" i="47"/>
  <c r="E138" i="47"/>
  <c r="AK137" i="47"/>
  <c r="AJ137" i="47"/>
  <c r="AI137" i="47"/>
  <c r="AH137" i="47"/>
  <c r="AG137" i="47"/>
  <c r="AF137" i="47"/>
  <c r="AE137" i="47"/>
  <c r="AD137" i="47"/>
  <c r="AC137" i="47"/>
  <c r="AB137" i="47"/>
  <c r="AA137" i="47"/>
  <c r="Z137" i="47"/>
  <c r="Y137" i="47"/>
  <c r="X137" i="47"/>
  <c r="W137" i="47"/>
  <c r="V137" i="47"/>
  <c r="U137" i="47"/>
  <c r="T137" i="47"/>
  <c r="S137" i="47"/>
  <c r="R137" i="47"/>
  <c r="E137" i="47"/>
  <c r="AK136" i="47"/>
  <c r="AJ136" i="47"/>
  <c r="AI136" i="47"/>
  <c r="AH136" i="47"/>
  <c r="AG136" i="47"/>
  <c r="AF136" i="47"/>
  <c r="AE136" i="47"/>
  <c r="AD136" i="47"/>
  <c r="AC136" i="47"/>
  <c r="AB136" i="47"/>
  <c r="AA136" i="47"/>
  <c r="Z136" i="47"/>
  <c r="Y136" i="47"/>
  <c r="X136" i="47"/>
  <c r="W136" i="47"/>
  <c r="V136" i="47"/>
  <c r="U136" i="47"/>
  <c r="T136" i="47"/>
  <c r="S136" i="47"/>
  <c r="R136" i="47"/>
  <c r="E136" i="47"/>
  <c r="AK135" i="47"/>
  <c r="AJ135" i="47"/>
  <c r="AI135" i="47"/>
  <c r="AH135" i="47"/>
  <c r="AG135" i="47"/>
  <c r="AF135" i="47"/>
  <c r="AE135" i="47"/>
  <c r="AD135" i="47"/>
  <c r="AC135" i="47"/>
  <c r="AB135" i="47"/>
  <c r="AA135" i="47"/>
  <c r="Z135" i="47"/>
  <c r="Y135" i="47"/>
  <c r="X135" i="47"/>
  <c r="W135" i="47"/>
  <c r="V135" i="47"/>
  <c r="U135" i="47"/>
  <c r="T135" i="47"/>
  <c r="S135" i="47"/>
  <c r="R135" i="47"/>
  <c r="E135" i="47"/>
  <c r="AK134" i="47"/>
  <c r="AJ134" i="47"/>
  <c r="AI134" i="47"/>
  <c r="AH134" i="47"/>
  <c r="AG134" i="47"/>
  <c r="AF134" i="47"/>
  <c r="AE134" i="47"/>
  <c r="AD134" i="47"/>
  <c r="AC134" i="47"/>
  <c r="AB134" i="47"/>
  <c r="AA134" i="47"/>
  <c r="Z134" i="47"/>
  <c r="Y134" i="47"/>
  <c r="X134" i="47"/>
  <c r="W134" i="47"/>
  <c r="V134" i="47"/>
  <c r="U134" i="47"/>
  <c r="T134" i="47"/>
  <c r="S134" i="47"/>
  <c r="R134" i="47"/>
  <c r="E134" i="47"/>
  <c r="AK133" i="47"/>
  <c r="AJ133" i="47"/>
  <c r="AI133" i="47"/>
  <c r="AH133" i="47"/>
  <c r="AG133" i="47"/>
  <c r="AF133" i="47"/>
  <c r="AE133" i="47"/>
  <c r="AD133" i="47"/>
  <c r="AC133" i="47"/>
  <c r="AB133" i="47"/>
  <c r="AA133" i="47"/>
  <c r="Z133" i="47"/>
  <c r="Y133" i="47"/>
  <c r="X133" i="47"/>
  <c r="W133" i="47"/>
  <c r="V133" i="47"/>
  <c r="U133" i="47"/>
  <c r="T133" i="47"/>
  <c r="S133" i="47"/>
  <c r="R133" i="47"/>
  <c r="E133" i="47"/>
  <c r="AK132" i="47"/>
  <c r="AJ132" i="47"/>
  <c r="AI132" i="47"/>
  <c r="AH132" i="47"/>
  <c r="AG132" i="47"/>
  <c r="AF132" i="47"/>
  <c r="AE132" i="47"/>
  <c r="AD132" i="47"/>
  <c r="AC132" i="47"/>
  <c r="AB132" i="47"/>
  <c r="AA132" i="47"/>
  <c r="Z132" i="47"/>
  <c r="Y132" i="47"/>
  <c r="X132" i="47"/>
  <c r="W132" i="47"/>
  <c r="V132" i="47"/>
  <c r="U132" i="47"/>
  <c r="T132" i="47"/>
  <c r="S132" i="47"/>
  <c r="R132" i="47"/>
  <c r="E132" i="47"/>
  <c r="AK131" i="47"/>
  <c r="AJ131" i="47"/>
  <c r="AI131" i="47"/>
  <c r="AH131" i="47"/>
  <c r="AG131" i="47"/>
  <c r="AF131" i="47"/>
  <c r="AE131" i="47"/>
  <c r="AD131" i="47"/>
  <c r="AC131" i="47"/>
  <c r="AB131" i="47"/>
  <c r="AA131" i="47"/>
  <c r="Z131" i="47"/>
  <c r="Y131" i="47"/>
  <c r="X131" i="47"/>
  <c r="W131" i="47"/>
  <c r="V131" i="47"/>
  <c r="U131" i="47"/>
  <c r="T131" i="47"/>
  <c r="S131" i="47"/>
  <c r="R131" i="47"/>
  <c r="E131" i="47"/>
  <c r="AK130" i="47"/>
  <c r="AJ130" i="47"/>
  <c r="AI130" i="47"/>
  <c r="AH130" i="47"/>
  <c r="AG130" i="47"/>
  <c r="AF130" i="47"/>
  <c r="AE130" i="47"/>
  <c r="AD130" i="47"/>
  <c r="AC130" i="47"/>
  <c r="AB130" i="47"/>
  <c r="AA130" i="47"/>
  <c r="Z130" i="47"/>
  <c r="Y130" i="47"/>
  <c r="X130" i="47"/>
  <c r="W130" i="47"/>
  <c r="V130" i="47"/>
  <c r="U130" i="47"/>
  <c r="T130" i="47"/>
  <c r="S130" i="47"/>
  <c r="R130" i="47"/>
  <c r="E130" i="47"/>
  <c r="AK129" i="47"/>
  <c r="AJ129" i="47"/>
  <c r="AI129" i="47"/>
  <c r="AH129" i="47"/>
  <c r="AG129" i="47"/>
  <c r="AF129" i="47"/>
  <c r="AE129" i="47"/>
  <c r="AD129" i="47"/>
  <c r="AC129" i="47"/>
  <c r="AB129" i="47"/>
  <c r="AA129" i="47"/>
  <c r="Z129" i="47"/>
  <c r="Y129" i="47"/>
  <c r="X129" i="47"/>
  <c r="W129" i="47"/>
  <c r="V129" i="47"/>
  <c r="U129" i="47"/>
  <c r="T129" i="47"/>
  <c r="S129" i="47"/>
  <c r="R129" i="47"/>
  <c r="E129" i="47"/>
  <c r="AK128" i="47"/>
  <c r="AJ128" i="47"/>
  <c r="AI128" i="47"/>
  <c r="AH128" i="47"/>
  <c r="AG128" i="47"/>
  <c r="AF128" i="47"/>
  <c r="AE128" i="47"/>
  <c r="AD128" i="47"/>
  <c r="AC128" i="47"/>
  <c r="AB128" i="47"/>
  <c r="AA128" i="47"/>
  <c r="Z128" i="47"/>
  <c r="Y128" i="47"/>
  <c r="X128" i="47"/>
  <c r="W128" i="47"/>
  <c r="V128" i="47"/>
  <c r="U128" i="47"/>
  <c r="T128" i="47"/>
  <c r="S128" i="47"/>
  <c r="R128" i="47"/>
  <c r="E128" i="47"/>
  <c r="AK127" i="47"/>
  <c r="AJ127" i="47"/>
  <c r="AI127" i="47"/>
  <c r="AH127" i="47"/>
  <c r="AG127" i="47"/>
  <c r="AF127" i="47"/>
  <c r="AE127" i="47"/>
  <c r="AD127" i="47"/>
  <c r="AC127" i="47"/>
  <c r="AB127" i="47"/>
  <c r="AA127" i="47"/>
  <c r="Z127" i="47"/>
  <c r="Y127" i="47"/>
  <c r="X127" i="47"/>
  <c r="W127" i="47"/>
  <c r="V127" i="47"/>
  <c r="U127" i="47"/>
  <c r="T127" i="47"/>
  <c r="S127" i="47"/>
  <c r="R127" i="47"/>
  <c r="E127" i="47"/>
  <c r="AK126" i="47"/>
  <c r="AJ126" i="47"/>
  <c r="AI126" i="47"/>
  <c r="AH126" i="47"/>
  <c r="AG126" i="47"/>
  <c r="AF126" i="47"/>
  <c r="AE126" i="47"/>
  <c r="AD126" i="47"/>
  <c r="AC126" i="47"/>
  <c r="AB126" i="47"/>
  <c r="AA126" i="47"/>
  <c r="Z126" i="47"/>
  <c r="Y126" i="47"/>
  <c r="X126" i="47"/>
  <c r="W126" i="47"/>
  <c r="V126" i="47"/>
  <c r="U126" i="47"/>
  <c r="T126" i="47"/>
  <c r="S126" i="47"/>
  <c r="R126" i="47"/>
  <c r="E126" i="47"/>
  <c r="AK125" i="47"/>
  <c r="AJ125" i="47"/>
  <c r="AI125" i="47"/>
  <c r="AH125" i="47"/>
  <c r="AG125" i="47"/>
  <c r="AF125" i="47"/>
  <c r="AE125" i="47"/>
  <c r="AD125" i="47"/>
  <c r="AC125" i="47"/>
  <c r="AB125" i="47"/>
  <c r="AA125" i="47"/>
  <c r="Z125" i="47"/>
  <c r="Y125" i="47"/>
  <c r="X125" i="47"/>
  <c r="W125" i="47"/>
  <c r="V125" i="47"/>
  <c r="U125" i="47"/>
  <c r="T125" i="47"/>
  <c r="S125" i="47"/>
  <c r="R125" i="47"/>
  <c r="E125" i="47"/>
  <c r="AK124" i="47"/>
  <c r="AJ124" i="47"/>
  <c r="AI124" i="47"/>
  <c r="AH124" i="47"/>
  <c r="AG124" i="47"/>
  <c r="AF124" i="47"/>
  <c r="AE124" i="47"/>
  <c r="AD124" i="47"/>
  <c r="AC124" i="47"/>
  <c r="AB124" i="47"/>
  <c r="AA124" i="47"/>
  <c r="Z124" i="47"/>
  <c r="Y124" i="47"/>
  <c r="X124" i="47"/>
  <c r="W124" i="47"/>
  <c r="V124" i="47"/>
  <c r="U124" i="47"/>
  <c r="T124" i="47"/>
  <c r="S124" i="47"/>
  <c r="R124" i="47"/>
  <c r="E124" i="47"/>
  <c r="AK123" i="47"/>
  <c r="AJ123" i="47"/>
  <c r="AI123" i="47"/>
  <c r="AH123" i="47"/>
  <c r="AG123" i="47"/>
  <c r="AF123" i="47"/>
  <c r="AE123" i="47"/>
  <c r="AD123" i="47"/>
  <c r="AC123" i="47"/>
  <c r="AB123" i="47"/>
  <c r="AA123" i="47"/>
  <c r="Z123" i="47"/>
  <c r="Y123" i="47"/>
  <c r="X123" i="47"/>
  <c r="W123" i="47"/>
  <c r="V123" i="47"/>
  <c r="U123" i="47"/>
  <c r="T123" i="47"/>
  <c r="S123" i="47"/>
  <c r="R123" i="47"/>
  <c r="E123" i="47"/>
  <c r="AK122" i="47"/>
  <c r="AJ122" i="47"/>
  <c r="AI122" i="47"/>
  <c r="AH122" i="47"/>
  <c r="AG122" i="47"/>
  <c r="AF122" i="47"/>
  <c r="AE122" i="47"/>
  <c r="AD122" i="47"/>
  <c r="AC122" i="47"/>
  <c r="AB122" i="47"/>
  <c r="AA122" i="47"/>
  <c r="Z122" i="47"/>
  <c r="Y122" i="47"/>
  <c r="X122" i="47"/>
  <c r="W122" i="47"/>
  <c r="V122" i="47"/>
  <c r="U122" i="47"/>
  <c r="T122" i="47"/>
  <c r="S122" i="47"/>
  <c r="R122" i="47"/>
  <c r="E122" i="47"/>
  <c r="AK121" i="47"/>
  <c r="AJ121" i="47"/>
  <c r="AI121" i="47"/>
  <c r="AH121" i="47"/>
  <c r="AG121" i="47"/>
  <c r="AF121" i="47"/>
  <c r="AE121" i="47"/>
  <c r="AD121" i="47"/>
  <c r="AC121" i="47"/>
  <c r="AB121" i="47"/>
  <c r="AA121" i="47"/>
  <c r="Z121" i="47"/>
  <c r="Y121" i="47"/>
  <c r="X121" i="47"/>
  <c r="W121" i="47"/>
  <c r="V121" i="47"/>
  <c r="U121" i="47"/>
  <c r="T121" i="47"/>
  <c r="S121" i="47"/>
  <c r="R121" i="47"/>
  <c r="E121" i="47"/>
  <c r="AK120" i="47"/>
  <c r="AJ120" i="47"/>
  <c r="AI120" i="47"/>
  <c r="AH120" i="47"/>
  <c r="AG120" i="47"/>
  <c r="AF120" i="47"/>
  <c r="AE120" i="47"/>
  <c r="AD120" i="47"/>
  <c r="AC120" i="47"/>
  <c r="AB120" i="47"/>
  <c r="AA120" i="47"/>
  <c r="Z120" i="47"/>
  <c r="Y120" i="47"/>
  <c r="X120" i="47"/>
  <c r="W120" i="47"/>
  <c r="V120" i="47"/>
  <c r="U120" i="47"/>
  <c r="T120" i="47"/>
  <c r="S120" i="47"/>
  <c r="R120" i="47"/>
  <c r="E120" i="47"/>
  <c r="AK119" i="47"/>
  <c r="AJ119" i="47"/>
  <c r="AI119" i="47"/>
  <c r="AH119" i="47"/>
  <c r="AG119" i="47"/>
  <c r="AF119" i="47"/>
  <c r="AE119" i="47"/>
  <c r="AD119" i="47"/>
  <c r="AC119" i="47"/>
  <c r="AB119" i="47"/>
  <c r="AA119" i="47"/>
  <c r="Z119" i="47"/>
  <c r="Y119" i="47"/>
  <c r="X119" i="47"/>
  <c r="W119" i="47"/>
  <c r="V119" i="47"/>
  <c r="U119" i="47"/>
  <c r="T119" i="47"/>
  <c r="S119" i="47"/>
  <c r="R119" i="47"/>
  <c r="E119" i="47"/>
  <c r="AK118" i="47"/>
  <c r="AJ118" i="47"/>
  <c r="AI118" i="47"/>
  <c r="AH118" i="47"/>
  <c r="AG118" i="47"/>
  <c r="AF118" i="47"/>
  <c r="AE118" i="47"/>
  <c r="AD118" i="47"/>
  <c r="AC118" i="47"/>
  <c r="AB118" i="47"/>
  <c r="AA118" i="47"/>
  <c r="Z118" i="47"/>
  <c r="Y118" i="47"/>
  <c r="X118" i="47"/>
  <c r="W118" i="47"/>
  <c r="V118" i="47"/>
  <c r="U118" i="47"/>
  <c r="T118" i="47"/>
  <c r="S118" i="47"/>
  <c r="R118" i="47"/>
  <c r="E118" i="47"/>
  <c r="AK117" i="47"/>
  <c r="AJ117" i="47"/>
  <c r="AI117" i="47"/>
  <c r="AH117" i="47"/>
  <c r="AG117" i="47"/>
  <c r="AF117" i="47"/>
  <c r="AE117" i="47"/>
  <c r="AD117" i="47"/>
  <c r="AC117" i="47"/>
  <c r="AB117" i="47"/>
  <c r="AA117" i="47"/>
  <c r="Z117" i="47"/>
  <c r="Y117" i="47"/>
  <c r="X117" i="47"/>
  <c r="W117" i="47"/>
  <c r="V117" i="47"/>
  <c r="U117" i="47"/>
  <c r="T117" i="47"/>
  <c r="S117" i="47"/>
  <c r="R117" i="47"/>
  <c r="E117" i="47"/>
  <c r="AK116" i="47"/>
  <c r="AJ116" i="47"/>
  <c r="AI116" i="47"/>
  <c r="AH116" i="47"/>
  <c r="AG116" i="47"/>
  <c r="AF116" i="47"/>
  <c r="AE116" i="47"/>
  <c r="AD116" i="47"/>
  <c r="AC116" i="47"/>
  <c r="AB116" i="47"/>
  <c r="AA116" i="47"/>
  <c r="Z116" i="47"/>
  <c r="Y116" i="47"/>
  <c r="X116" i="47"/>
  <c r="W116" i="47"/>
  <c r="V116" i="47"/>
  <c r="U116" i="47"/>
  <c r="T116" i="47"/>
  <c r="S116" i="47"/>
  <c r="R116" i="47"/>
  <c r="E116" i="47"/>
  <c r="AK115" i="47"/>
  <c r="AJ115" i="47"/>
  <c r="AI115" i="47"/>
  <c r="AH115" i="47"/>
  <c r="AG115" i="47"/>
  <c r="AF115" i="47"/>
  <c r="AE115" i="47"/>
  <c r="AD115" i="47"/>
  <c r="AC115" i="47"/>
  <c r="AB115" i="47"/>
  <c r="AA115" i="47"/>
  <c r="Z115" i="47"/>
  <c r="Y115" i="47"/>
  <c r="X115" i="47"/>
  <c r="W115" i="47"/>
  <c r="V115" i="47"/>
  <c r="U115" i="47"/>
  <c r="T115" i="47"/>
  <c r="S115" i="47"/>
  <c r="R115" i="47"/>
  <c r="E115" i="47"/>
  <c r="AK114" i="47"/>
  <c r="AJ114" i="47"/>
  <c r="AI114" i="47"/>
  <c r="AH114" i="47"/>
  <c r="AG114" i="47"/>
  <c r="AF114" i="47"/>
  <c r="AE114" i="47"/>
  <c r="AD114" i="47"/>
  <c r="AC114" i="47"/>
  <c r="AB114" i="47"/>
  <c r="AA114" i="47"/>
  <c r="Z114" i="47"/>
  <c r="Y114" i="47"/>
  <c r="X114" i="47"/>
  <c r="W114" i="47"/>
  <c r="V114" i="47"/>
  <c r="U114" i="47"/>
  <c r="T114" i="47"/>
  <c r="S114" i="47"/>
  <c r="R114" i="47"/>
  <c r="E114" i="47"/>
  <c r="AK113" i="47"/>
  <c r="AJ113" i="47"/>
  <c r="AI113" i="47"/>
  <c r="AH113" i="47"/>
  <c r="AG113" i="47"/>
  <c r="AF113" i="47"/>
  <c r="AE113" i="47"/>
  <c r="AD113" i="47"/>
  <c r="AC113" i="47"/>
  <c r="AB113" i="47"/>
  <c r="AA113" i="47"/>
  <c r="Z113" i="47"/>
  <c r="Y113" i="47"/>
  <c r="X113" i="47"/>
  <c r="W113" i="47"/>
  <c r="V113" i="47"/>
  <c r="U113" i="47"/>
  <c r="T113" i="47"/>
  <c r="S113" i="47"/>
  <c r="R113" i="47"/>
  <c r="E113" i="47"/>
  <c r="AK112" i="47"/>
  <c r="AJ112" i="47"/>
  <c r="AI112" i="47"/>
  <c r="AH112" i="47"/>
  <c r="AG112" i="47"/>
  <c r="AF112" i="47"/>
  <c r="AE112" i="47"/>
  <c r="AD112" i="47"/>
  <c r="AC112" i="47"/>
  <c r="AB112" i="47"/>
  <c r="AA112" i="47"/>
  <c r="Z112" i="47"/>
  <c r="Y112" i="47"/>
  <c r="X112" i="47"/>
  <c r="W112" i="47"/>
  <c r="V112" i="47"/>
  <c r="U112" i="47"/>
  <c r="T112" i="47"/>
  <c r="S112" i="47"/>
  <c r="R112" i="47"/>
  <c r="E112" i="47"/>
  <c r="AK111" i="47"/>
  <c r="AJ111" i="47"/>
  <c r="AI111" i="47"/>
  <c r="AH111" i="47"/>
  <c r="AG111" i="47"/>
  <c r="AF111" i="47"/>
  <c r="AE111" i="47"/>
  <c r="AD111" i="47"/>
  <c r="AC111" i="47"/>
  <c r="AB111" i="47"/>
  <c r="AA111" i="47"/>
  <c r="Z111" i="47"/>
  <c r="Y111" i="47"/>
  <c r="X111" i="47"/>
  <c r="W111" i="47"/>
  <c r="V111" i="47"/>
  <c r="U111" i="47"/>
  <c r="T111" i="47"/>
  <c r="S111" i="47"/>
  <c r="R111" i="47"/>
  <c r="E111" i="47"/>
  <c r="AK110" i="47"/>
  <c r="AJ110" i="47"/>
  <c r="AI110" i="47"/>
  <c r="AH110" i="47"/>
  <c r="AG110" i="47"/>
  <c r="AF110" i="47"/>
  <c r="AE110" i="47"/>
  <c r="AD110" i="47"/>
  <c r="AC110" i="47"/>
  <c r="AB110" i="47"/>
  <c r="AA110" i="47"/>
  <c r="Z110" i="47"/>
  <c r="Y110" i="47"/>
  <c r="X110" i="47"/>
  <c r="W110" i="47"/>
  <c r="V110" i="47"/>
  <c r="U110" i="47"/>
  <c r="T110" i="47"/>
  <c r="S110" i="47"/>
  <c r="R110" i="47"/>
  <c r="E110" i="47"/>
  <c r="AK109" i="47"/>
  <c r="AJ109" i="47"/>
  <c r="AI109" i="47"/>
  <c r="AH109" i="47"/>
  <c r="AG109" i="47"/>
  <c r="AF109" i="47"/>
  <c r="AE109" i="47"/>
  <c r="AD109" i="47"/>
  <c r="AC109" i="47"/>
  <c r="AB109" i="47"/>
  <c r="AA109" i="47"/>
  <c r="Z109" i="47"/>
  <c r="Y109" i="47"/>
  <c r="X109" i="47"/>
  <c r="W109" i="47"/>
  <c r="V109" i="47"/>
  <c r="U109" i="47"/>
  <c r="T109" i="47"/>
  <c r="S109" i="47"/>
  <c r="R109" i="47"/>
  <c r="E109" i="47"/>
  <c r="AK108" i="47"/>
  <c r="AJ108" i="47"/>
  <c r="AI108" i="47"/>
  <c r="AH108" i="47"/>
  <c r="AG108" i="47"/>
  <c r="AF108" i="47"/>
  <c r="AE108" i="47"/>
  <c r="AD108" i="47"/>
  <c r="AC108" i="47"/>
  <c r="AB108" i="47"/>
  <c r="AA108" i="47"/>
  <c r="Z108" i="47"/>
  <c r="Y108" i="47"/>
  <c r="X108" i="47"/>
  <c r="W108" i="47"/>
  <c r="V108" i="47"/>
  <c r="U108" i="47"/>
  <c r="T108" i="47"/>
  <c r="S108" i="47"/>
  <c r="R108" i="47"/>
  <c r="E108" i="47"/>
  <c r="AK107" i="47"/>
  <c r="AJ107" i="47"/>
  <c r="AI107" i="47"/>
  <c r="AH107" i="47"/>
  <c r="AG107" i="47"/>
  <c r="AF107" i="47"/>
  <c r="AE107" i="47"/>
  <c r="AD107" i="47"/>
  <c r="AC107" i="47"/>
  <c r="AB107" i="47"/>
  <c r="AA107" i="47"/>
  <c r="Z107" i="47"/>
  <c r="Y107" i="47"/>
  <c r="X107" i="47"/>
  <c r="W107" i="47"/>
  <c r="V107" i="47"/>
  <c r="U107" i="47"/>
  <c r="T107" i="47"/>
  <c r="S107" i="47"/>
  <c r="R107" i="47"/>
  <c r="E107" i="47"/>
  <c r="AK106" i="47"/>
  <c r="AJ106" i="47"/>
  <c r="AI106" i="47"/>
  <c r="AH106" i="47"/>
  <c r="AG106" i="47"/>
  <c r="AF106" i="47"/>
  <c r="AE106" i="47"/>
  <c r="AD106" i="47"/>
  <c r="AC106" i="47"/>
  <c r="AB106" i="47"/>
  <c r="AA106" i="47"/>
  <c r="Z106" i="47"/>
  <c r="Y106" i="47"/>
  <c r="X106" i="47"/>
  <c r="W106" i="47"/>
  <c r="V106" i="47"/>
  <c r="U106" i="47"/>
  <c r="T106" i="47"/>
  <c r="S106" i="47"/>
  <c r="R106" i="47"/>
  <c r="E106" i="47"/>
  <c r="AK105" i="47"/>
  <c r="AJ105" i="47"/>
  <c r="AI105" i="47"/>
  <c r="AH105" i="47"/>
  <c r="AG105" i="47"/>
  <c r="AF105" i="47"/>
  <c r="AE105" i="47"/>
  <c r="AD105" i="47"/>
  <c r="AC105" i="47"/>
  <c r="AB105" i="47"/>
  <c r="AA105" i="47"/>
  <c r="Z105" i="47"/>
  <c r="Y105" i="47"/>
  <c r="X105" i="47"/>
  <c r="W105" i="47"/>
  <c r="V105" i="47"/>
  <c r="U105" i="47"/>
  <c r="T105" i="47"/>
  <c r="S105" i="47"/>
  <c r="R105" i="47"/>
  <c r="E105" i="47"/>
  <c r="AK104" i="47"/>
  <c r="AJ104" i="47"/>
  <c r="AI104" i="47"/>
  <c r="AH104" i="47"/>
  <c r="AG104" i="47"/>
  <c r="AF104" i="47"/>
  <c r="AE104" i="47"/>
  <c r="AD104" i="47"/>
  <c r="AC104" i="47"/>
  <c r="AB104" i="47"/>
  <c r="AA104" i="47"/>
  <c r="Z104" i="47"/>
  <c r="Y104" i="47"/>
  <c r="X104" i="47"/>
  <c r="W104" i="47"/>
  <c r="V104" i="47"/>
  <c r="U104" i="47"/>
  <c r="T104" i="47"/>
  <c r="S104" i="47"/>
  <c r="R104" i="47"/>
  <c r="E104" i="47"/>
  <c r="AK103" i="47"/>
  <c r="AJ103" i="47"/>
  <c r="AI103" i="47"/>
  <c r="AH103" i="47"/>
  <c r="AG103" i="47"/>
  <c r="AF103" i="47"/>
  <c r="AE103" i="47"/>
  <c r="AD103" i="47"/>
  <c r="AC103" i="47"/>
  <c r="AB103" i="47"/>
  <c r="AA103" i="47"/>
  <c r="Z103" i="47"/>
  <c r="Y103" i="47"/>
  <c r="X103" i="47"/>
  <c r="W103" i="47"/>
  <c r="V103" i="47"/>
  <c r="U103" i="47"/>
  <c r="T103" i="47"/>
  <c r="S103" i="47"/>
  <c r="R103" i="47"/>
  <c r="E103" i="47"/>
  <c r="AK102" i="47"/>
  <c r="AJ102" i="47"/>
  <c r="AI102" i="47"/>
  <c r="AH102" i="47"/>
  <c r="AG102" i="47"/>
  <c r="AF102" i="47"/>
  <c r="AE102" i="47"/>
  <c r="AD102" i="47"/>
  <c r="AC102" i="47"/>
  <c r="AB102" i="47"/>
  <c r="AA102" i="47"/>
  <c r="Z102" i="47"/>
  <c r="Y102" i="47"/>
  <c r="X102" i="47"/>
  <c r="W102" i="47"/>
  <c r="V102" i="47"/>
  <c r="U102" i="47"/>
  <c r="T102" i="47"/>
  <c r="S102" i="47"/>
  <c r="R102" i="47"/>
  <c r="E102" i="47"/>
  <c r="AK101" i="47"/>
  <c r="AJ101" i="47"/>
  <c r="AI101" i="47"/>
  <c r="AH101" i="47"/>
  <c r="AG101" i="47"/>
  <c r="AF101" i="47"/>
  <c r="AE101" i="47"/>
  <c r="AD101" i="47"/>
  <c r="AC101" i="47"/>
  <c r="AB101" i="47"/>
  <c r="AA101" i="47"/>
  <c r="Z101" i="47"/>
  <c r="Y101" i="47"/>
  <c r="X101" i="47"/>
  <c r="W101" i="47"/>
  <c r="V101" i="47"/>
  <c r="U101" i="47"/>
  <c r="T101" i="47"/>
  <c r="S101" i="47"/>
  <c r="R101" i="47"/>
  <c r="E101" i="47"/>
  <c r="AK100" i="47"/>
  <c r="AJ100" i="47"/>
  <c r="AI100" i="47"/>
  <c r="AH100" i="47"/>
  <c r="AG100" i="47"/>
  <c r="AF100" i="47"/>
  <c r="AE100" i="47"/>
  <c r="AD100" i="47"/>
  <c r="AC100" i="47"/>
  <c r="AB100" i="47"/>
  <c r="AA100" i="47"/>
  <c r="Z100" i="47"/>
  <c r="Y100" i="47"/>
  <c r="X100" i="47"/>
  <c r="W100" i="47"/>
  <c r="V100" i="47"/>
  <c r="U100" i="47"/>
  <c r="T100" i="47"/>
  <c r="S100" i="47"/>
  <c r="R100" i="47"/>
  <c r="E100" i="47"/>
  <c r="AK99" i="47"/>
  <c r="AJ99" i="47"/>
  <c r="AI99" i="47"/>
  <c r="AH99" i="47"/>
  <c r="AG99" i="47"/>
  <c r="AF99" i="47"/>
  <c r="AE99" i="47"/>
  <c r="AD99" i="47"/>
  <c r="AC99" i="47"/>
  <c r="AB99" i="47"/>
  <c r="AA99" i="47"/>
  <c r="Z99" i="47"/>
  <c r="Y99" i="47"/>
  <c r="X99" i="47"/>
  <c r="W99" i="47"/>
  <c r="V99" i="47"/>
  <c r="U99" i="47"/>
  <c r="T99" i="47"/>
  <c r="S99" i="47"/>
  <c r="R99" i="47"/>
  <c r="E99" i="47"/>
  <c r="AK98" i="47"/>
  <c r="AJ98" i="47"/>
  <c r="AI98" i="47"/>
  <c r="AH98" i="47"/>
  <c r="AG98" i="47"/>
  <c r="AF98" i="47"/>
  <c r="AE98" i="47"/>
  <c r="AD98" i="47"/>
  <c r="AC98" i="47"/>
  <c r="AB98" i="47"/>
  <c r="AA98" i="47"/>
  <c r="Z98" i="47"/>
  <c r="Y98" i="47"/>
  <c r="X98" i="47"/>
  <c r="W98" i="47"/>
  <c r="V98" i="47"/>
  <c r="U98" i="47"/>
  <c r="T98" i="47"/>
  <c r="S98" i="47"/>
  <c r="R98" i="47"/>
  <c r="E98" i="47"/>
  <c r="AK97" i="47"/>
  <c r="AJ97" i="47"/>
  <c r="AI97" i="47"/>
  <c r="AH97" i="47"/>
  <c r="AG97" i="47"/>
  <c r="AF97" i="47"/>
  <c r="AE97" i="47"/>
  <c r="AD97" i="47"/>
  <c r="AC97" i="47"/>
  <c r="AB97" i="47"/>
  <c r="AA97" i="47"/>
  <c r="Z97" i="47"/>
  <c r="Y97" i="47"/>
  <c r="X97" i="47"/>
  <c r="W97" i="47"/>
  <c r="V97" i="47"/>
  <c r="U97" i="47"/>
  <c r="T97" i="47"/>
  <c r="S97" i="47"/>
  <c r="R97" i="47"/>
  <c r="E97" i="47"/>
  <c r="AK96" i="47"/>
  <c r="AJ96" i="47"/>
  <c r="AI96" i="47"/>
  <c r="AH96" i="47"/>
  <c r="AG96" i="47"/>
  <c r="AF96" i="47"/>
  <c r="AE96" i="47"/>
  <c r="AD96" i="47"/>
  <c r="AC96" i="47"/>
  <c r="AB96" i="47"/>
  <c r="AA96" i="47"/>
  <c r="Z96" i="47"/>
  <c r="Y96" i="47"/>
  <c r="X96" i="47"/>
  <c r="W96" i="47"/>
  <c r="V96" i="47"/>
  <c r="U96" i="47"/>
  <c r="T96" i="47"/>
  <c r="S96" i="47"/>
  <c r="R96" i="47"/>
  <c r="E96" i="47"/>
  <c r="AK95" i="47"/>
  <c r="AJ95" i="47"/>
  <c r="AI95" i="47"/>
  <c r="AH95" i="47"/>
  <c r="AG95" i="47"/>
  <c r="AF95" i="47"/>
  <c r="AE95" i="47"/>
  <c r="AD95" i="47"/>
  <c r="AC95" i="47"/>
  <c r="AB95" i="47"/>
  <c r="AA95" i="47"/>
  <c r="Z95" i="47"/>
  <c r="Y95" i="47"/>
  <c r="X95" i="47"/>
  <c r="W95" i="47"/>
  <c r="V95" i="47"/>
  <c r="U95" i="47"/>
  <c r="T95" i="47"/>
  <c r="S95" i="47"/>
  <c r="R95" i="47"/>
  <c r="E95" i="47"/>
  <c r="AK94" i="47"/>
  <c r="AJ94" i="47"/>
  <c r="AI94" i="47"/>
  <c r="AH94" i="47"/>
  <c r="AG94" i="47"/>
  <c r="AF94" i="47"/>
  <c r="AE94" i="47"/>
  <c r="AD94" i="47"/>
  <c r="AC94" i="47"/>
  <c r="AB94" i="47"/>
  <c r="AA94" i="47"/>
  <c r="Z94" i="47"/>
  <c r="Y94" i="47"/>
  <c r="X94" i="47"/>
  <c r="W94" i="47"/>
  <c r="V94" i="47"/>
  <c r="U94" i="47"/>
  <c r="T94" i="47"/>
  <c r="S94" i="47"/>
  <c r="R94" i="47"/>
  <c r="E94" i="47"/>
  <c r="AK93" i="47"/>
  <c r="AJ93" i="47"/>
  <c r="AI93" i="47"/>
  <c r="AH93" i="47"/>
  <c r="AG93" i="47"/>
  <c r="AF93" i="47"/>
  <c r="AE93" i="47"/>
  <c r="AD93" i="47"/>
  <c r="AC93" i="47"/>
  <c r="AB93" i="47"/>
  <c r="AA93" i="47"/>
  <c r="Z93" i="47"/>
  <c r="Y93" i="47"/>
  <c r="X93" i="47"/>
  <c r="W93" i="47"/>
  <c r="V93" i="47"/>
  <c r="U93" i="47"/>
  <c r="T93" i="47"/>
  <c r="S93" i="47"/>
  <c r="R93" i="47"/>
  <c r="E93" i="47"/>
  <c r="AK92" i="47"/>
  <c r="AJ92" i="47"/>
  <c r="AI92" i="47"/>
  <c r="AH92" i="47"/>
  <c r="AG92" i="47"/>
  <c r="AF92" i="47"/>
  <c r="AE92" i="47"/>
  <c r="AD92" i="47"/>
  <c r="AC92" i="47"/>
  <c r="AB92" i="47"/>
  <c r="AA92" i="47"/>
  <c r="Z92" i="47"/>
  <c r="Y92" i="47"/>
  <c r="X92" i="47"/>
  <c r="W92" i="47"/>
  <c r="V92" i="47"/>
  <c r="U92" i="47"/>
  <c r="T92" i="47"/>
  <c r="S92" i="47"/>
  <c r="R92" i="47"/>
  <c r="E92" i="47"/>
  <c r="AK91" i="47"/>
  <c r="AJ91" i="47"/>
  <c r="AI91" i="47"/>
  <c r="AH91" i="47"/>
  <c r="AG91" i="47"/>
  <c r="AF91" i="47"/>
  <c r="AE91" i="47"/>
  <c r="AD91" i="47"/>
  <c r="AC91" i="47"/>
  <c r="AB91" i="47"/>
  <c r="AA91" i="47"/>
  <c r="Z91" i="47"/>
  <c r="Y91" i="47"/>
  <c r="X91" i="47"/>
  <c r="W91" i="47"/>
  <c r="V91" i="47"/>
  <c r="U91" i="47"/>
  <c r="T91" i="47"/>
  <c r="S91" i="47"/>
  <c r="R91" i="47"/>
  <c r="E91" i="47"/>
  <c r="AK90" i="47"/>
  <c r="AJ90" i="47"/>
  <c r="AI90" i="47"/>
  <c r="AH90" i="47"/>
  <c r="AG90" i="47"/>
  <c r="AF90" i="47"/>
  <c r="AE90" i="47"/>
  <c r="AD90" i="47"/>
  <c r="AC90" i="47"/>
  <c r="AB90" i="47"/>
  <c r="AA90" i="47"/>
  <c r="Z90" i="47"/>
  <c r="Y90" i="47"/>
  <c r="X90" i="47"/>
  <c r="W90" i="47"/>
  <c r="V90" i="47"/>
  <c r="U90" i="47"/>
  <c r="T90" i="47"/>
  <c r="S90" i="47"/>
  <c r="R90" i="47"/>
  <c r="E90" i="47"/>
  <c r="AK89" i="47"/>
  <c r="AJ89" i="47"/>
  <c r="AI89" i="47"/>
  <c r="AH89" i="47"/>
  <c r="AG89" i="47"/>
  <c r="AF89" i="47"/>
  <c r="AE89" i="47"/>
  <c r="AD89" i="47"/>
  <c r="AC89" i="47"/>
  <c r="AB89" i="47"/>
  <c r="AA89" i="47"/>
  <c r="Z89" i="47"/>
  <c r="Y89" i="47"/>
  <c r="X89" i="47"/>
  <c r="W89" i="47"/>
  <c r="V89" i="47"/>
  <c r="U89" i="47"/>
  <c r="T89" i="47"/>
  <c r="S89" i="47"/>
  <c r="R89" i="47"/>
  <c r="E89" i="47"/>
  <c r="AK88" i="47"/>
  <c r="AJ88" i="47"/>
  <c r="AI88" i="47"/>
  <c r="AH88" i="47"/>
  <c r="AG88" i="47"/>
  <c r="AF88" i="47"/>
  <c r="AE88" i="47"/>
  <c r="AD88" i="47"/>
  <c r="AC88" i="47"/>
  <c r="AB88" i="47"/>
  <c r="AA88" i="47"/>
  <c r="Z88" i="47"/>
  <c r="Y88" i="47"/>
  <c r="X88" i="47"/>
  <c r="W88" i="47"/>
  <c r="V88" i="47"/>
  <c r="U88" i="47"/>
  <c r="T88" i="47"/>
  <c r="S88" i="47"/>
  <c r="R88" i="47"/>
  <c r="E88" i="47"/>
  <c r="AK87" i="47"/>
  <c r="AJ87" i="47"/>
  <c r="AI87" i="47"/>
  <c r="AH87" i="47"/>
  <c r="AG87" i="47"/>
  <c r="AF87" i="47"/>
  <c r="AE87" i="47"/>
  <c r="AD87" i="47"/>
  <c r="AC87" i="47"/>
  <c r="AB87" i="47"/>
  <c r="AA87" i="47"/>
  <c r="Z87" i="47"/>
  <c r="Y87" i="47"/>
  <c r="X87" i="47"/>
  <c r="W87" i="47"/>
  <c r="V87" i="47"/>
  <c r="U87" i="47"/>
  <c r="T87" i="47"/>
  <c r="S87" i="47"/>
  <c r="R87" i="47"/>
  <c r="E87" i="47"/>
  <c r="AK86" i="47"/>
  <c r="AJ86" i="47"/>
  <c r="AI86" i="47"/>
  <c r="AH86" i="47"/>
  <c r="AG86" i="47"/>
  <c r="AF86" i="47"/>
  <c r="AE86" i="47"/>
  <c r="AD86" i="47"/>
  <c r="AC86" i="47"/>
  <c r="AB86" i="47"/>
  <c r="AA86" i="47"/>
  <c r="Z86" i="47"/>
  <c r="Y86" i="47"/>
  <c r="X86" i="47"/>
  <c r="W86" i="47"/>
  <c r="V86" i="47"/>
  <c r="U86" i="47"/>
  <c r="T86" i="47"/>
  <c r="S86" i="47"/>
  <c r="R86" i="47"/>
  <c r="E86" i="47"/>
  <c r="AK85" i="47"/>
  <c r="AJ85" i="47"/>
  <c r="AI85" i="47"/>
  <c r="AH85" i="47"/>
  <c r="AG85" i="47"/>
  <c r="AF85" i="47"/>
  <c r="AE85" i="47"/>
  <c r="AD85" i="47"/>
  <c r="AC85" i="47"/>
  <c r="AB85" i="47"/>
  <c r="AA85" i="47"/>
  <c r="Z85" i="47"/>
  <c r="Y85" i="47"/>
  <c r="X85" i="47"/>
  <c r="W85" i="47"/>
  <c r="V85" i="47"/>
  <c r="U85" i="47"/>
  <c r="T85" i="47"/>
  <c r="S85" i="47"/>
  <c r="R85" i="47"/>
  <c r="E85" i="47"/>
  <c r="AK84" i="47"/>
  <c r="AJ84" i="47"/>
  <c r="AI84" i="47"/>
  <c r="AH84" i="47"/>
  <c r="AG84" i="47"/>
  <c r="AF84" i="47"/>
  <c r="AE84" i="47"/>
  <c r="AD84" i="47"/>
  <c r="AC84" i="47"/>
  <c r="AB84" i="47"/>
  <c r="AA84" i="47"/>
  <c r="Z84" i="47"/>
  <c r="Y84" i="47"/>
  <c r="X84" i="47"/>
  <c r="W84" i="47"/>
  <c r="V84" i="47"/>
  <c r="U84" i="47"/>
  <c r="T84" i="47"/>
  <c r="S84" i="47"/>
  <c r="R84" i="47"/>
  <c r="E84" i="47"/>
  <c r="AK83" i="47"/>
  <c r="AJ83" i="47"/>
  <c r="AI83" i="47"/>
  <c r="AH83" i="47"/>
  <c r="AG83" i="47"/>
  <c r="AF83" i="47"/>
  <c r="AE83" i="47"/>
  <c r="AD83" i="47"/>
  <c r="AC83" i="47"/>
  <c r="AB83" i="47"/>
  <c r="AA83" i="47"/>
  <c r="Z83" i="47"/>
  <c r="Y83" i="47"/>
  <c r="X83" i="47"/>
  <c r="W83" i="47"/>
  <c r="V83" i="47"/>
  <c r="U83" i="47"/>
  <c r="T83" i="47"/>
  <c r="S83" i="47"/>
  <c r="R83" i="47"/>
  <c r="E83" i="47"/>
  <c r="AK82" i="47"/>
  <c r="AJ82" i="47"/>
  <c r="AI82" i="47"/>
  <c r="AH82" i="47"/>
  <c r="AG82" i="47"/>
  <c r="AF82" i="47"/>
  <c r="AE82" i="47"/>
  <c r="AD82" i="47"/>
  <c r="AC82" i="47"/>
  <c r="AB82" i="47"/>
  <c r="AA82" i="47"/>
  <c r="Z82" i="47"/>
  <c r="Y82" i="47"/>
  <c r="X82" i="47"/>
  <c r="W82" i="47"/>
  <c r="V82" i="47"/>
  <c r="U82" i="47"/>
  <c r="T82" i="47"/>
  <c r="S82" i="47"/>
  <c r="R82" i="47"/>
  <c r="E82" i="47"/>
  <c r="AK81" i="47"/>
  <c r="AJ81" i="47"/>
  <c r="AI81" i="47"/>
  <c r="AH81" i="47"/>
  <c r="AG81" i="47"/>
  <c r="AF81" i="47"/>
  <c r="AE81" i="47"/>
  <c r="AD81" i="47"/>
  <c r="AC81" i="47"/>
  <c r="AB81" i="47"/>
  <c r="AA81" i="47"/>
  <c r="Z81" i="47"/>
  <c r="Y81" i="47"/>
  <c r="X81" i="47"/>
  <c r="W81" i="47"/>
  <c r="V81" i="47"/>
  <c r="U81" i="47"/>
  <c r="T81" i="47"/>
  <c r="S81" i="47"/>
  <c r="R81" i="47"/>
  <c r="E81" i="47"/>
  <c r="AK80" i="47"/>
  <c r="AJ80" i="47"/>
  <c r="AI80" i="47"/>
  <c r="AH80" i="47"/>
  <c r="AG80" i="47"/>
  <c r="AF80" i="47"/>
  <c r="AE80" i="47"/>
  <c r="AD80" i="47"/>
  <c r="AC80" i="47"/>
  <c r="AB80" i="47"/>
  <c r="AA80" i="47"/>
  <c r="Z80" i="47"/>
  <c r="Y80" i="47"/>
  <c r="X80" i="47"/>
  <c r="W80" i="47"/>
  <c r="V80" i="47"/>
  <c r="U80" i="47"/>
  <c r="T80" i="47"/>
  <c r="S80" i="47"/>
  <c r="R80" i="47"/>
  <c r="E80" i="47"/>
  <c r="AK79" i="47"/>
  <c r="AJ79" i="47"/>
  <c r="AI79" i="47"/>
  <c r="AH79" i="47"/>
  <c r="AG79" i="47"/>
  <c r="AF79" i="47"/>
  <c r="AE79" i="47"/>
  <c r="AD79" i="47"/>
  <c r="AC79" i="47"/>
  <c r="AB79" i="47"/>
  <c r="AA79" i="47"/>
  <c r="Z79" i="47"/>
  <c r="Y79" i="47"/>
  <c r="X79" i="47"/>
  <c r="W79" i="47"/>
  <c r="V79" i="47"/>
  <c r="U79" i="47"/>
  <c r="T79" i="47"/>
  <c r="S79" i="47"/>
  <c r="R79" i="47"/>
  <c r="E79" i="47"/>
  <c r="AK78" i="47"/>
  <c r="AJ78" i="47"/>
  <c r="AI78" i="47"/>
  <c r="AH78" i="47"/>
  <c r="AG78" i="47"/>
  <c r="AF78" i="47"/>
  <c r="AE78" i="47"/>
  <c r="AD78" i="47"/>
  <c r="AC78" i="47"/>
  <c r="AB78" i="47"/>
  <c r="AA78" i="47"/>
  <c r="Z78" i="47"/>
  <c r="Y78" i="47"/>
  <c r="X78" i="47"/>
  <c r="W78" i="47"/>
  <c r="V78" i="47"/>
  <c r="U78" i="47"/>
  <c r="T78" i="47"/>
  <c r="S78" i="47"/>
  <c r="R78" i="47"/>
  <c r="E78" i="47"/>
  <c r="AK77" i="47"/>
  <c r="AJ77" i="47"/>
  <c r="AI77" i="47"/>
  <c r="AH77" i="47"/>
  <c r="AG77" i="47"/>
  <c r="AF77" i="47"/>
  <c r="AE77" i="47"/>
  <c r="AD77" i="47"/>
  <c r="AC77" i="47"/>
  <c r="AB77" i="47"/>
  <c r="AA77" i="47"/>
  <c r="Z77" i="47"/>
  <c r="Y77" i="47"/>
  <c r="X77" i="47"/>
  <c r="W77" i="47"/>
  <c r="V77" i="47"/>
  <c r="U77" i="47"/>
  <c r="T77" i="47"/>
  <c r="S77" i="47"/>
  <c r="R77" i="47"/>
  <c r="E77" i="47"/>
  <c r="AK76" i="47"/>
  <c r="AJ76" i="47"/>
  <c r="AI76" i="47"/>
  <c r="AH76" i="47"/>
  <c r="AG76" i="47"/>
  <c r="AF76" i="47"/>
  <c r="AE76" i="47"/>
  <c r="AD76" i="47"/>
  <c r="AC76" i="47"/>
  <c r="AB76" i="47"/>
  <c r="AA76" i="47"/>
  <c r="Z76" i="47"/>
  <c r="Y76" i="47"/>
  <c r="X76" i="47"/>
  <c r="W76" i="47"/>
  <c r="V76" i="47"/>
  <c r="U76" i="47"/>
  <c r="T76" i="47"/>
  <c r="S76" i="47"/>
  <c r="R76" i="47"/>
  <c r="E76" i="47"/>
  <c r="AK75" i="47"/>
  <c r="AJ75" i="47"/>
  <c r="AI75" i="47"/>
  <c r="AH75" i="47"/>
  <c r="AG75" i="47"/>
  <c r="AF75" i="47"/>
  <c r="AE75" i="47"/>
  <c r="AD75" i="47"/>
  <c r="AC75" i="47"/>
  <c r="AB75" i="47"/>
  <c r="AA75" i="47"/>
  <c r="Z75" i="47"/>
  <c r="Y75" i="47"/>
  <c r="X75" i="47"/>
  <c r="W75" i="47"/>
  <c r="V75" i="47"/>
  <c r="U75" i="47"/>
  <c r="T75" i="47"/>
  <c r="S75" i="47"/>
  <c r="R75" i="47"/>
  <c r="E75" i="47"/>
  <c r="AK74" i="47"/>
  <c r="AJ74" i="47"/>
  <c r="AI74" i="47"/>
  <c r="AH74" i="47"/>
  <c r="AG74" i="47"/>
  <c r="AF74" i="47"/>
  <c r="AE74" i="47"/>
  <c r="AD74" i="47"/>
  <c r="AC74" i="47"/>
  <c r="AB74" i="47"/>
  <c r="AA74" i="47"/>
  <c r="Z74" i="47"/>
  <c r="Y74" i="47"/>
  <c r="X74" i="47"/>
  <c r="W74" i="47"/>
  <c r="V74" i="47"/>
  <c r="U74" i="47"/>
  <c r="T74" i="47"/>
  <c r="S74" i="47"/>
  <c r="R74" i="47"/>
  <c r="E74" i="47"/>
  <c r="AK73" i="47"/>
  <c r="AJ73" i="47"/>
  <c r="AI73" i="47"/>
  <c r="AH73" i="47"/>
  <c r="AG73" i="47"/>
  <c r="AF73" i="47"/>
  <c r="AE73" i="47"/>
  <c r="AD73" i="47"/>
  <c r="AC73" i="47"/>
  <c r="AB73" i="47"/>
  <c r="AA73" i="47"/>
  <c r="Z73" i="47"/>
  <c r="Y73" i="47"/>
  <c r="X73" i="47"/>
  <c r="W73" i="47"/>
  <c r="V73" i="47"/>
  <c r="U73" i="47"/>
  <c r="T73" i="47"/>
  <c r="S73" i="47"/>
  <c r="R73" i="47"/>
  <c r="E73" i="47"/>
  <c r="AK72" i="47"/>
  <c r="AJ72" i="47"/>
  <c r="AI72" i="47"/>
  <c r="AH72" i="47"/>
  <c r="AG72" i="47"/>
  <c r="AF72" i="47"/>
  <c r="AE72" i="47"/>
  <c r="AD72" i="47"/>
  <c r="AC72" i="47"/>
  <c r="AB72" i="47"/>
  <c r="AA72" i="47"/>
  <c r="Z72" i="47"/>
  <c r="Y72" i="47"/>
  <c r="X72" i="47"/>
  <c r="W72" i="47"/>
  <c r="V72" i="47"/>
  <c r="U72" i="47"/>
  <c r="T72" i="47"/>
  <c r="S72" i="47"/>
  <c r="R72" i="47"/>
  <c r="E72" i="47"/>
  <c r="AK71" i="47"/>
  <c r="AJ71" i="47"/>
  <c r="AI71" i="47"/>
  <c r="AH71" i="47"/>
  <c r="AG71" i="47"/>
  <c r="AF71" i="47"/>
  <c r="AE71" i="47"/>
  <c r="AD71" i="47"/>
  <c r="AC71" i="47"/>
  <c r="AB71" i="47"/>
  <c r="AA71" i="47"/>
  <c r="Z71" i="47"/>
  <c r="Y71" i="47"/>
  <c r="X71" i="47"/>
  <c r="W71" i="47"/>
  <c r="V71" i="47"/>
  <c r="U71" i="47"/>
  <c r="T71" i="47"/>
  <c r="S71" i="47"/>
  <c r="R71" i="47"/>
  <c r="E71" i="47"/>
  <c r="AK70" i="47"/>
  <c r="AJ70" i="47"/>
  <c r="AI70" i="47"/>
  <c r="AH70" i="47"/>
  <c r="AG70" i="47"/>
  <c r="AF70" i="47"/>
  <c r="AE70" i="47"/>
  <c r="AD70" i="47"/>
  <c r="AC70" i="47"/>
  <c r="AB70" i="47"/>
  <c r="AA70" i="47"/>
  <c r="Z70" i="47"/>
  <c r="Y70" i="47"/>
  <c r="X70" i="47"/>
  <c r="W70" i="47"/>
  <c r="V70" i="47"/>
  <c r="U70" i="47"/>
  <c r="T70" i="47"/>
  <c r="S70" i="47"/>
  <c r="R70" i="47"/>
  <c r="E70" i="47"/>
  <c r="AK69" i="47"/>
  <c r="AJ69" i="47"/>
  <c r="AI69" i="47"/>
  <c r="AH69" i="47"/>
  <c r="AG69" i="47"/>
  <c r="AF69" i="47"/>
  <c r="AE69" i="47"/>
  <c r="AD69" i="47"/>
  <c r="AC69" i="47"/>
  <c r="AB69" i="47"/>
  <c r="AA69" i="47"/>
  <c r="Z69" i="47"/>
  <c r="Y69" i="47"/>
  <c r="X69" i="47"/>
  <c r="W69" i="47"/>
  <c r="V69" i="47"/>
  <c r="U69" i="47"/>
  <c r="T69" i="47"/>
  <c r="S69" i="47"/>
  <c r="R69" i="47"/>
  <c r="E69" i="47"/>
  <c r="AK68" i="47"/>
  <c r="AJ68" i="47"/>
  <c r="AI68" i="47"/>
  <c r="AH68" i="47"/>
  <c r="AG68" i="47"/>
  <c r="AF68" i="47"/>
  <c r="AE68" i="47"/>
  <c r="AD68" i="47"/>
  <c r="AC68" i="47"/>
  <c r="AB68" i="47"/>
  <c r="AA68" i="47"/>
  <c r="Z68" i="47"/>
  <c r="Y68" i="47"/>
  <c r="X68" i="47"/>
  <c r="W68" i="47"/>
  <c r="V68" i="47"/>
  <c r="U68" i="47"/>
  <c r="T68" i="47"/>
  <c r="S68" i="47"/>
  <c r="R68" i="47"/>
  <c r="E68" i="47"/>
  <c r="AK67" i="47"/>
  <c r="AJ67" i="47"/>
  <c r="AI67" i="47"/>
  <c r="AH67" i="47"/>
  <c r="AG67" i="47"/>
  <c r="AF67" i="47"/>
  <c r="AE67" i="47"/>
  <c r="AD67" i="47"/>
  <c r="AC67" i="47"/>
  <c r="AB67" i="47"/>
  <c r="AA67" i="47"/>
  <c r="Z67" i="47"/>
  <c r="Y67" i="47"/>
  <c r="X67" i="47"/>
  <c r="W67" i="47"/>
  <c r="V67" i="47"/>
  <c r="U67" i="47"/>
  <c r="T67" i="47"/>
  <c r="S67" i="47"/>
  <c r="R67" i="47"/>
  <c r="E67" i="47"/>
  <c r="AK66" i="47"/>
  <c r="AJ66" i="47"/>
  <c r="AI66" i="47"/>
  <c r="AH66" i="47"/>
  <c r="AG66" i="47"/>
  <c r="AF66" i="47"/>
  <c r="AE66" i="47"/>
  <c r="AD66" i="47"/>
  <c r="AC66" i="47"/>
  <c r="AB66" i="47"/>
  <c r="AA66" i="47"/>
  <c r="Z66" i="47"/>
  <c r="Y66" i="47"/>
  <c r="X66" i="47"/>
  <c r="W66" i="47"/>
  <c r="V66" i="47"/>
  <c r="U66" i="47"/>
  <c r="T66" i="47"/>
  <c r="S66" i="47"/>
  <c r="R66" i="47"/>
  <c r="E66" i="47"/>
  <c r="AK65" i="47"/>
  <c r="AJ65" i="47"/>
  <c r="AI65" i="47"/>
  <c r="AH65" i="47"/>
  <c r="AG65" i="47"/>
  <c r="AF65" i="47"/>
  <c r="AE65" i="47"/>
  <c r="AD65" i="47"/>
  <c r="AC65" i="47"/>
  <c r="AB65" i="47"/>
  <c r="AA65" i="47"/>
  <c r="Z65" i="47"/>
  <c r="Y65" i="47"/>
  <c r="X65" i="47"/>
  <c r="W65" i="47"/>
  <c r="V65" i="47"/>
  <c r="U65" i="47"/>
  <c r="T65" i="47"/>
  <c r="S65" i="47"/>
  <c r="R65" i="47"/>
  <c r="E65" i="47"/>
  <c r="AK64" i="47"/>
  <c r="AJ64" i="47"/>
  <c r="AI64" i="47"/>
  <c r="AH64" i="47"/>
  <c r="AG64" i="47"/>
  <c r="AF64" i="47"/>
  <c r="AE64" i="47"/>
  <c r="AD64" i="47"/>
  <c r="AC64" i="47"/>
  <c r="AB64" i="47"/>
  <c r="AA64" i="47"/>
  <c r="Z64" i="47"/>
  <c r="Y64" i="47"/>
  <c r="X64" i="47"/>
  <c r="W64" i="47"/>
  <c r="V64" i="47"/>
  <c r="U64" i="47"/>
  <c r="T64" i="47"/>
  <c r="S64" i="47"/>
  <c r="R64" i="47"/>
  <c r="E64" i="47"/>
  <c r="AK63" i="47"/>
  <c r="AJ63" i="47"/>
  <c r="AI63" i="47"/>
  <c r="AH63" i="47"/>
  <c r="AG63" i="47"/>
  <c r="AF63" i="47"/>
  <c r="AE63" i="47"/>
  <c r="AD63" i="47"/>
  <c r="AC63" i="47"/>
  <c r="AB63" i="47"/>
  <c r="AA63" i="47"/>
  <c r="Z63" i="47"/>
  <c r="Y63" i="47"/>
  <c r="X63" i="47"/>
  <c r="W63" i="47"/>
  <c r="V63" i="47"/>
  <c r="U63" i="47"/>
  <c r="T63" i="47"/>
  <c r="S63" i="47"/>
  <c r="R63" i="47"/>
  <c r="E63" i="47"/>
  <c r="AK62" i="47"/>
  <c r="AJ62" i="47"/>
  <c r="AI62" i="47"/>
  <c r="AH62" i="47"/>
  <c r="AG62" i="47"/>
  <c r="AF62" i="47"/>
  <c r="AE62" i="47"/>
  <c r="AD62" i="47"/>
  <c r="AC62" i="47"/>
  <c r="AB62" i="47"/>
  <c r="AA62" i="47"/>
  <c r="Z62" i="47"/>
  <c r="Y62" i="47"/>
  <c r="X62" i="47"/>
  <c r="W62" i="47"/>
  <c r="V62" i="47"/>
  <c r="U62" i="47"/>
  <c r="T62" i="47"/>
  <c r="S62" i="47"/>
  <c r="R62" i="47"/>
  <c r="E62" i="47"/>
  <c r="AK61" i="47"/>
  <c r="AJ61" i="47"/>
  <c r="AI61" i="47"/>
  <c r="AH61" i="47"/>
  <c r="AG61" i="47"/>
  <c r="AF61" i="47"/>
  <c r="AE61" i="47"/>
  <c r="AD61" i="47"/>
  <c r="AC61" i="47"/>
  <c r="AB61" i="47"/>
  <c r="AA61" i="47"/>
  <c r="Z61" i="47"/>
  <c r="Y61" i="47"/>
  <c r="X61" i="47"/>
  <c r="W61" i="47"/>
  <c r="V61" i="47"/>
  <c r="U61" i="47"/>
  <c r="T61" i="47"/>
  <c r="S61" i="47"/>
  <c r="R61" i="47"/>
  <c r="E61" i="47"/>
  <c r="AK60" i="47"/>
  <c r="AJ60" i="47"/>
  <c r="AI60" i="47"/>
  <c r="AH60" i="47"/>
  <c r="AG60" i="47"/>
  <c r="AF60" i="47"/>
  <c r="AE60" i="47"/>
  <c r="AD60" i="47"/>
  <c r="AC60" i="47"/>
  <c r="AB60" i="47"/>
  <c r="AA60" i="47"/>
  <c r="Z60" i="47"/>
  <c r="Y60" i="47"/>
  <c r="X60" i="47"/>
  <c r="W60" i="47"/>
  <c r="V60" i="47"/>
  <c r="U60" i="47"/>
  <c r="T60" i="47"/>
  <c r="S60" i="47"/>
  <c r="R60" i="47"/>
  <c r="E60" i="47"/>
  <c r="AK59" i="47"/>
  <c r="AJ59" i="47"/>
  <c r="AI59" i="47"/>
  <c r="AH59" i="47"/>
  <c r="AG59" i="47"/>
  <c r="AF59" i="47"/>
  <c r="AE59" i="47"/>
  <c r="AD59" i="47"/>
  <c r="AC59" i="47"/>
  <c r="AB59" i="47"/>
  <c r="AA59" i="47"/>
  <c r="Z59" i="47"/>
  <c r="Y59" i="47"/>
  <c r="X59" i="47"/>
  <c r="W59" i="47"/>
  <c r="V59" i="47"/>
  <c r="U59" i="47"/>
  <c r="T59" i="47"/>
  <c r="S59" i="47"/>
  <c r="R59" i="47"/>
  <c r="E59" i="47"/>
  <c r="AK58" i="47"/>
  <c r="AJ58" i="47"/>
  <c r="AI58" i="47"/>
  <c r="AH58" i="47"/>
  <c r="AG58" i="47"/>
  <c r="AF58" i="47"/>
  <c r="AE58" i="47"/>
  <c r="AD58" i="47"/>
  <c r="AC58" i="47"/>
  <c r="AB58" i="47"/>
  <c r="AA58" i="47"/>
  <c r="Z58" i="47"/>
  <c r="Y58" i="47"/>
  <c r="X58" i="47"/>
  <c r="W58" i="47"/>
  <c r="V58" i="47"/>
  <c r="U58" i="47"/>
  <c r="T58" i="47"/>
  <c r="S58" i="47"/>
  <c r="R58" i="47"/>
  <c r="E58" i="47"/>
  <c r="AK57" i="47"/>
  <c r="AJ57" i="47"/>
  <c r="AI57" i="47"/>
  <c r="AH57" i="47"/>
  <c r="AG57" i="47"/>
  <c r="AF57" i="47"/>
  <c r="AE57" i="47"/>
  <c r="AD57" i="47"/>
  <c r="AC57" i="47"/>
  <c r="AB57" i="47"/>
  <c r="AA57" i="47"/>
  <c r="Z57" i="47"/>
  <c r="Y57" i="47"/>
  <c r="X57" i="47"/>
  <c r="W57" i="47"/>
  <c r="V57" i="47"/>
  <c r="U57" i="47"/>
  <c r="T57" i="47"/>
  <c r="S57" i="47"/>
  <c r="R57" i="47"/>
  <c r="E57" i="47"/>
  <c r="AK56" i="47"/>
  <c r="AJ56" i="47"/>
  <c r="AI56" i="47"/>
  <c r="AH56" i="47"/>
  <c r="AG56" i="47"/>
  <c r="AF56" i="47"/>
  <c r="AE56" i="47"/>
  <c r="AD56" i="47"/>
  <c r="AC56" i="47"/>
  <c r="AB56" i="47"/>
  <c r="AA56" i="47"/>
  <c r="Z56" i="47"/>
  <c r="Y56" i="47"/>
  <c r="X56" i="47"/>
  <c r="W56" i="47"/>
  <c r="V56" i="47"/>
  <c r="U56" i="47"/>
  <c r="T56" i="47"/>
  <c r="S56" i="47"/>
  <c r="R56" i="47"/>
  <c r="E56" i="47"/>
  <c r="AK55" i="47"/>
  <c r="AJ55" i="47"/>
  <c r="AI55" i="47"/>
  <c r="AH55" i="47"/>
  <c r="AG55" i="47"/>
  <c r="AF55" i="47"/>
  <c r="AE55" i="47"/>
  <c r="AD55" i="47"/>
  <c r="AC55" i="47"/>
  <c r="AB55" i="47"/>
  <c r="AA55" i="47"/>
  <c r="Z55" i="47"/>
  <c r="Y55" i="47"/>
  <c r="X55" i="47"/>
  <c r="W55" i="47"/>
  <c r="V55" i="47"/>
  <c r="U55" i="47"/>
  <c r="T55" i="47"/>
  <c r="S55" i="47"/>
  <c r="R55" i="47"/>
  <c r="E55" i="47"/>
  <c r="AK54" i="47"/>
  <c r="AJ54" i="47"/>
  <c r="AI54" i="47"/>
  <c r="AH54" i="47"/>
  <c r="AG54" i="47"/>
  <c r="AF54" i="47"/>
  <c r="AE54" i="47"/>
  <c r="AD54" i="47"/>
  <c r="AC54" i="47"/>
  <c r="AB54" i="47"/>
  <c r="AA54" i="47"/>
  <c r="Z54" i="47"/>
  <c r="Y54" i="47"/>
  <c r="X54" i="47"/>
  <c r="W54" i="47"/>
  <c r="V54" i="47"/>
  <c r="U54" i="47"/>
  <c r="T54" i="47"/>
  <c r="S54" i="47"/>
  <c r="R54" i="47"/>
  <c r="E54" i="47"/>
  <c r="AK53" i="47"/>
  <c r="AJ53" i="47"/>
  <c r="AI53" i="47"/>
  <c r="AH53" i="47"/>
  <c r="AG53" i="47"/>
  <c r="AF53" i="47"/>
  <c r="AE53" i="47"/>
  <c r="AD53" i="47"/>
  <c r="AC53" i="47"/>
  <c r="AB53" i="47"/>
  <c r="AA53" i="47"/>
  <c r="Z53" i="47"/>
  <c r="Y53" i="47"/>
  <c r="X53" i="47"/>
  <c r="W53" i="47"/>
  <c r="V53" i="47"/>
  <c r="U53" i="47"/>
  <c r="T53" i="47"/>
  <c r="S53" i="47"/>
  <c r="R53" i="47"/>
  <c r="E53" i="47"/>
  <c r="AK52" i="47"/>
  <c r="AJ52" i="47"/>
  <c r="AI52" i="47"/>
  <c r="AH52" i="47"/>
  <c r="AG52" i="47"/>
  <c r="AF52" i="47"/>
  <c r="AE52" i="47"/>
  <c r="AD52" i="47"/>
  <c r="AC52" i="47"/>
  <c r="AB52" i="47"/>
  <c r="AA52" i="47"/>
  <c r="Z52" i="47"/>
  <c r="Y52" i="47"/>
  <c r="X52" i="47"/>
  <c r="W52" i="47"/>
  <c r="V52" i="47"/>
  <c r="U52" i="47"/>
  <c r="T52" i="47"/>
  <c r="S52" i="47"/>
  <c r="R52" i="47"/>
  <c r="E52" i="47"/>
  <c r="AK51" i="47"/>
  <c r="AJ51" i="47"/>
  <c r="AI51" i="47"/>
  <c r="AH51" i="47"/>
  <c r="AG51" i="47"/>
  <c r="AF51" i="47"/>
  <c r="AE51" i="47"/>
  <c r="AD51" i="47"/>
  <c r="AC51" i="47"/>
  <c r="AB51" i="47"/>
  <c r="AA51" i="47"/>
  <c r="Z51" i="47"/>
  <c r="Y51" i="47"/>
  <c r="X51" i="47"/>
  <c r="W51" i="47"/>
  <c r="V51" i="47"/>
  <c r="U51" i="47"/>
  <c r="T51" i="47"/>
  <c r="S51" i="47"/>
  <c r="R51" i="47"/>
  <c r="E51" i="47"/>
  <c r="AK50" i="47"/>
  <c r="AJ50" i="47"/>
  <c r="AI50" i="47"/>
  <c r="AH50" i="47"/>
  <c r="AG50" i="47"/>
  <c r="AF50" i="47"/>
  <c r="AE50" i="47"/>
  <c r="AD50" i="47"/>
  <c r="AC50" i="47"/>
  <c r="AB50" i="47"/>
  <c r="AA50" i="47"/>
  <c r="Z50" i="47"/>
  <c r="Y50" i="47"/>
  <c r="X50" i="47"/>
  <c r="W50" i="47"/>
  <c r="V50" i="47"/>
  <c r="U50" i="47"/>
  <c r="T50" i="47"/>
  <c r="S50" i="47"/>
  <c r="R50" i="47"/>
  <c r="E50" i="47"/>
  <c r="AK49" i="47"/>
  <c r="AJ49" i="47"/>
  <c r="AI49" i="47"/>
  <c r="AH49" i="47"/>
  <c r="AG49" i="47"/>
  <c r="AF49" i="47"/>
  <c r="AE49" i="47"/>
  <c r="AD49" i="47"/>
  <c r="AC49" i="47"/>
  <c r="AB49" i="47"/>
  <c r="AA49" i="47"/>
  <c r="Z49" i="47"/>
  <c r="Y49" i="47"/>
  <c r="X49" i="47"/>
  <c r="W49" i="47"/>
  <c r="V49" i="47"/>
  <c r="U49" i="47"/>
  <c r="T49" i="47"/>
  <c r="S49" i="47"/>
  <c r="R49" i="47"/>
  <c r="E49" i="47"/>
  <c r="AK48" i="47"/>
  <c r="AJ48" i="47"/>
  <c r="AI48" i="47"/>
  <c r="AH48" i="47"/>
  <c r="AG48" i="47"/>
  <c r="AF48" i="47"/>
  <c r="AE48" i="47"/>
  <c r="AD48" i="47"/>
  <c r="AC48" i="47"/>
  <c r="AB48" i="47"/>
  <c r="AA48" i="47"/>
  <c r="Z48" i="47"/>
  <c r="Y48" i="47"/>
  <c r="X48" i="47"/>
  <c r="W48" i="47"/>
  <c r="V48" i="47"/>
  <c r="U48" i="47"/>
  <c r="T48" i="47"/>
  <c r="S48" i="47"/>
  <c r="R48" i="47"/>
  <c r="E48" i="47"/>
  <c r="AK47" i="47"/>
  <c r="AJ47" i="47"/>
  <c r="AI47" i="47"/>
  <c r="AH47" i="47"/>
  <c r="AG47" i="47"/>
  <c r="AF47" i="47"/>
  <c r="AE47" i="47"/>
  <c r="AD47" i="47"/>
  <c r="AC47" i="47"/>
  <c r="AB47" i="47"/>
  <c r="AA47" i="47"/>
  <c r="Z47" i="47"/>
  <c r="Y47" i="47"/>
  <c r="X47" i="47"/>
  <c r="W47" i="47"/>
  <c r="V47" i="47"/>
  <c r="U47" i="47"/>
  <c r="T47" i="47"/>
  <c r="S47" i="47"/>
  <c r="R47" i="47"/>
  <c r="E47" i="47"/>
  <c r="AK46" i="47"/>
  <c r="AJ46" i="47"/>
  <c r="AI46" i="47"/>
  <c r="AH46" i="47"/>
  <c r="AG46" i="47"/>
  <c r="AF46" i="47"/>
  <c r="AE46" i="47"/>
  <c r="AD46" i="47"/>
  <c r="AC46" i="47"/>
  <c r="AB46" i="47"/>
  <c r="AA46" i="47"/>
  <c r="Z46" i="47"/>
  <c r="Y46" i="47"/>
  <c r="X46" i="47"/>
  <c r="W46" i="47"/>
  <c r="V46" i="47"/>
  <c r="U46" i="47"/>
  <c r="T46" i="47"/>
  <c r="S46" i="47"/>
  <c r="R46" i="47"/>
  <c r="E46" i="47"/>
  <c r="AK45" i="47"/>
  <c r="AJ45" i="47"/>
  <c r="AI45" i="47"/>
  <c r="AH45" i="47"/>
  <c r="AG45" i="47"/>
  <c r="AF45" i="47"/>
  <c r="AE45" i="47"/>
  <c r="AD45" i="47"/>
  <c r="AC45" i="47"/>
  <c r="AB45" i="47"/>
  <c r="AA45" i="47"/>
  <c r="Z45" i="47"/>
  <c r="Y45" i="47"/>
  <c r="X45" i="47"/>
  <c r="W45" i="47"/>
  <c r="V45" i="47"/>
  <c r="U45" i="47"/>
  <c r="T45" i="47"/>
  <c r="S45" i="47"/>
  <c r="R45" i="47"/>
  <c r="E45" i="47"/>
  <c r="AK44" i="47"/>
  <c r="AJ44" i="47"/>
  <c r="AI44" i="47"/>
  <c r="AH44" i="47"/>
  <c r="AG44" i="47"/>
  <c r="AF44" i="47"/>
  <c r="AE44" i="47"/>
  <c r="AD44" i="47"/>
  <c r="AC44" i="47"/>
  <c r="AB44" i="47"/>
  <c r="AA44" i="47"/>
  <c r="Z44" i="47"/>
  <c r="Y44" i="47"/>
  <c r="X44" i="47"/>
  <c r="W44" i="47"/>
  <c r="V44" i="47"/>
  <c r="U44" i="47"/>
  <c r="T44" i="47"/>
  <c r="S44" i="47"/>
  <c r="R44" i="47"/>
  <c r="E44" i="47"/>
  <c r="AK43" i="47"/>
  <c r="AJ43" i="47"/>
  <c r="AI43" i="47"/>
  <c r="AH43" i="47"/>
  <c r="AG43" i="47"/>
  <c r="AF43" i="47"/>
  <c r="AE43" i="47"/>
  <c r="AD43" i="47"/>
  <c r="AC43" i="47"/>
  <c r="AB43" i="47"/>
  <c r="AA43" i="47"/>
  <c r="Z43" i="47"/>
  <c r="Y43" i="47"/>
  <c r="X43" i="47"/>
  <c r="W43" i="47"/>
  <c r="V43" i="47"/>
  <c r="U43" i="47"/>
  <c r="T43" i="47"/>
  <c r="S43" i="47"/>
  <c r="R43" i="47"/>
  <c r="E43" i="47"/>
  <c r="AK42" i="47"/>
  <c r="AJ42" i="47"/>
  <c r="AI42" i="47"/>
  <c r="AH42" i="47"/>
  <c r="AG42" i="47"/>
  <c r="AF42" i="47"/>
  <c r="AE42" i="47"/>
  <c r="AD42" i="47"/>
  <c r="AC42" i="47"/>
  <c r="AB42" i="47"/>
  <c r="AA42" i="47"/>
  <c r="Z42" i="47"/>
  <c r="Y42" i="47"/>
  <c r="X42" i="47"/>
  <c r="W42" i="47"/>
  <c r="V42" i="47"/>
  <c r="U42" i="47"/>
  <c r="T42" i="47"/>
  <c r="S42" i="47"/>
  <c r="R42" i="47"/>
  <c r="E42" i="47"/>
  <c r="AK41" i="47"/>
  <c r="AJ41" i="47"/>
  <c r="AI41" i="47"/>
  <c r="AH41" i="47"/>
  <c r="AG41" i="47"/>
  <c r="AF41" i="47"/>
  <c r="AE41" i="47"/>
  <c r="AD41" i="47"/>
  <c r="AC41" i="47"/>
  <c r="AB41" i="47"/>
  <c r="AA41" i="47"/>
  <c r="Z41" i="47"/>
  <c r="Y41" i="47"/>
  <c r="X41" i="47"/>
  <c r="W41" i="47"/>
  <c r="V41" i="47"/>
  <c r="U41" i="47"/>
  <c r="T41" i="47"/>
  <c r="S41" i="47"/>
  <c r="R41" i="47"/>
  <c r="E41" i="47"/>
  <c r="AK40" i="47"/>
  <c r="AJ40" i="47"/>
  <c r="AI40" i="47"/>
  <c r="AH40" i="47"/>
  <c r="AG40" i="47"/>
  <c r="AF40" i="47"/>
  <c r="AE40" i="47"/>
  <c r="AD40" i="47"/>
  <c r="AC40" i="47"/>
  <c r="AB40" i="47"/>
  <c r="AA40" i="47"/>
  <c r="Z40" i="47"/>
  <c r="Y40" i="47"/>
  <c r="X40" i="47"/>
  <c r="W40" i="47"/>
  <c r="V40" i="47"/>
  <c r="U40" i="47"/>
  <c r="T40" i="47"/>
  <c r="S40" i="47"/>
  <c r="R40" i="47"/>
  <c r="E40" i="47"/>
  <c r="AK39" i="47"/>
  <c r="AJ39" i="47"/>
  <c r="AI39" i="47"/>
  <c r="AH39" i="47"/>
  <c r="AG39" i="47"/>
  <c r="AF39" i="47"/>
  <c r="AE39" i="47"/>
  <c r="AD39" i="47"/>
  <c r="AC39" i="47"/>
  <c r="AB39" i="47"/>
  <c r="AA39" i="47"/>
  <c r="Z39" i="47"/>
  <c r="Y39" i="47"/>
  <c r="X39" i="47"/>
  <c r="W39" i="47"/>
  <c r="V39" i="47"/>
  <c r="U39" i="47"/>
  <c r="T39" i="47"/>
  <c r="S39" i="47"/>
  <c r="R39" i="47"/>
  <c r="E39" i="47"/>
  <c r="AK38" i="47"/>
  <c r="AJ38" i="47"/>
  <c r="AI38" i="47"/>
  <c r="AH38" i="47"/>
  <c r="AG38" i="47"/>
  <c r="AF38" i="47"/>
  <c r="AE38" i="47"/>
  <c r="AD38" i="47"/>
  <c r="AC38" i="47"/>
  <c r="AB38" i="47"/>
  <c r="AA38" i="47"/>
  <c r="Z38" i="47"/>
  <c r="Y38" i="47"/>
  <c r="X38" i="47"/>
  <c r="W38" i="47"/>
  <c r="V38" i="47"/>
  <c r="U38" i="47"/>
  <c r="T38" i="47"/>
  <c r="S38" i="47"/>
  <c r="R38" i="47"/>
  <c r="E38" i="47"/>
  <c r="AK37" i="47"/>
  <c r="AJ37" i="47"/>
  <c r="AI37" i="47"/>
  <c r="AH37" i="47"/>
  <c r="AG37" i="47"/>
  <c r="AF37" i="47"/>
  <c r="AE37" i="47"/>
  <c r="AD37" i="47"/>
  <c r="AC37" i="47"/>
  <c r="AB37" i="47"/>
  <c r="AA37" i="47"/>
  <c r="Z37" i="47"/>
  <c r="Y37" i="47"/>
  <c r="X37" i="47"/>
  <c r="W37" i="47"/>
  <c r="V37" i="47"/>
  <c r="U37" i="47"/>
  <c r="T37" i="47"/>
  <c r="S37" i="47"/>
  <c r="R37" i="47"/>
  <c r="E37" i="47"/>
  <c r="AK36" i="47"/>
  <c r="AJ36" i="47"/>
  <c r="AI36" i="47"/>
  <c r="AH36" i="47"/>
  <c r="AG36" i="47"/>
  <c r="AF36" i="47"/>
  <c r="AE36" i="47"/>
  <c r="AD36" i="47"/>
  <c r="AC36" i="47"/>
  <c r="AB36" i="47"/>
  <c r="AA36" i="47"/>
  <c r="Z36" i="47"/>
  <c r="Y36" i="47"/>
  <c r="X36" i="47"/>
  <c r="W36" i="47"/>
  <c r="V36" i="47"/>
  <c r="U36" i="47"/>
  <c r="T36" i="47"/>
  <c r="S36" i="47"/>
  <c r="R36" i="47"/>
  <c r="E36" i="47"/>
  <c r="AK35" i="47"/>
  <c r="AJ35" i="47"/>
  <c r="AI35" i="47"/>
  <c r="AH35" i="47"/>
  <c r="AG35" i="47"/>
  <c r="AF35" i="47"/>
  <c r="AE35" i="47"/>
  <c r="AD35" i="47"/>
  <c r="AC35" i="47"/>
  <c r="AB35" i="47"/>
  <c r="AA35" i="47"/>
  <c r="Z35" i="47"/>
  <c r="Y35" i="47"/>
  <c r="X35" i="47"/>
  <c r="W35" i="47"/>
  <c r="V35" i="47"/>
  <c r="U35" i="47"/>
  <c r="T35" i="47"/>
  <c r="S35" i="47"/>
  <c r="R35" i="47"/>
  <c r="E35" i="47"/>
  <c r="AK34" i="47"/>
  <c r="AJ34" i="47"/>
  <c r="AI34" i="47"/>
  <c r="AH34" i="47"/>
  <c r="AG34" i="47"/>
  <c r="AF34" i="47"/>
  <c r="AE34" i="47"/>
  <c r="AD34" i="47"/>
  <c r="AC34" i="47"/>
  <c r="AB34" i="47"/>
  <c r="AA34" i="47"/>
  <c r="Z34" i="47"/>
  <c r="Y34" i="47"/>
  <c r="X34" i="47"/>
  <c r="W34" i="47"/>
  <c r="V34" i="47"/>
  <c r="U34" i="47"/>
  <c r="T34" i="47"/>
  <c r="S34" i="47"/>
  <c r="R34" i="47"/>
  <c r="E34" i="47"/>
  <c r="AK33" i="47"/>
  <c r="AJ33" i="47"/>
  <c r="AI33" i="47"/>
  <c r="AH33" i="47"/>
  <c r="AG33" i="47"/>
  <c r="AF33" i="47"/>
  <c r="AE33" i="47"/>
  <c r="AD33" i="47"/>
  <c r="AC33" i="47"/>
  <c r="AB33" i="47"/>
  <c r="AA33" i="47"/>
  <c r="Z33" i="47"/>
  <c r="Y33" i="47"/>
  <c r="X33" i="47"/>
  <c r="W33" i="47"/>
  <c r="V33" i="47"/>
  <c r="U33" i="47"/>
  <c r="T33" i="47"/>
  <c r="S33" i="47"/>
  <c r="R33" i="47"/>
  <c r="E33" i="47"/>
  <c r="AK32" i="47"/>
  <c r="AJ32" i="47"/>
  <c r="AI32" i="47"/>
  <c r="AH32" i="47"/>
  <c r="AG32" i="47"/>
  <c r="AF32" i="47"/>
  <c r="AE32" i="47"/>
  <c r="AD32" i="47"/>
  <c r="AC32" i="47"/>
  <c r="AB32" i="47"/>
  <c r="AA32" i="47"/>
  <c r="Z32" i="47"/>
  <c r="Y32" i="47"/>
  <c r="X32" i="47"/>
  <c r="W32" i="47"/>
  <c r="V32" i="47"/>
  <c r="U32" i="47"/>
  <c r="T32" i="47"/>
  <c r="S32" i="47"/>
  <c r="R32" i="47"/>
  <c r="E32" i="47"/>
  <c r="AK31" i="47"/>
  <c r="AJ31" i="47"/>
  <c r="AI31" i="47"/>
  <c r="AH31" i="47"/>
  <c r="AG31" i="47"/>
  <c r="AF31" i="47"/>
  <c r="AE31" i="47"/>
  <c r="AD31" i="47"/>
  <c r="AC31" i="47"/>
  <c r="AB31" i="47"/>
  <c r="AA31" i="47"/>
  <c r="Z31" i="47"/>
  <c r="Y31" i="47"/>
  <c r="X31" i="47"/>
  <c r="W31" i="47"/>
  <c r="V31" i="47"/>
  <c r="U31" i="47"/>
  <c r="T31" i="47"/>
  <c r="S31" i="47"/>
  <c r="R31" i="47"/>
  <c r="E31" i="47"/>
  <c r="AK30" i="47"/>
  <c r="AJ30" i="47"/>
  <c r="AI30" i="47"/>
  <c r="AH30" i="47"/>
  <c r="AG30" i="47"/>
  <c r="AF30" i="47"/>
  <c r="AE30" i="47"/>
  <c r="AD30" i="47"/>
  <c r="AC30" i="47"/>
  <c r="AB30" i="47"/>
  <c r="AA30" i="47"/>
  <c r="Z30" i="47"/>
  <c r="Y30" i="47"/>
  <c r="X30" i="47"/>
  <c r="W30" i="47"/>
  <c r="V30" i="47"/>
  <c r="U30" i="47"/>
  <c r="T30" i="47"/>
  <c r="S30" i="47"/>
  <c r="R30" i="47"/>
  <c r="E30" i="47"/>
  <c r="AK29" i="47"/>
  <c r="AJ29" i="47"/>
  <c r="AI29" i="47"/>
  <c r="AH29" i="47"/>
  <c r="AG29" i="47"/>
  <c r="AF29" i="47"/>
  <c r="AE29" i="47"/>
  <c r="AD29" i="47"/>
  <c r="AC29" i="47"/>
  <c r="AB29" i="47"/>
  <c r="AA29" i="47"/>
  <c r="Z29" i="47"/>
  <c r="Y29" i="47"/>
  <c r="X29" i="47"/>
  <c r="W29" i="47"/>
  <c r="V29" i="47"/>
  <c r="U29" i="47"/>
  <c r="T29" i="47"/>
  <c r="S29" i="47"/>
  <c r="R29" i="47"/>
  <c r="E29" i="47"/>
  <c r="AK28" i="47"/>
  <c r="AJ28" i="47"/>
  <c r="AI28" i="47"/>
  <c r="AH28" i="47"/>
  <c r="AG28" i="47"/>
  <c r="AF28" i="47"/>
  <c r="AE28" i="47"/>
  <c r="AD28" i="47"/>
  <c r="AC28" i="47"/>
  <c r="AB28" i="47"/>
  <c r="AA28" i="47"/>
  <c r="Z28" i="47"/>
  <c r="Y28" i="47"/>
  <c r="X28" i="47"/>
  <c r="W28" i="47"/>
  <c r="V28" i="47"/>
  <c r="U28" i="47"/>
  <c r="T28" i="47"/>
  <c r="S28" i="47"/>
  <c r="R28" i="47"/>
  <c r="E28" i="47"/>
  <c r="AK27" i="47"/>
  <c r="AJ27" i="47"/>
  <c r="AI27" i="47"/>
  <c r="AH27" i="47"/>
  <c r="AG27" i="47"/>
  <c r="AF27" i="47"/>
  <c r="AE27" i="47"/>
  <c r="AD27" i="47"/>
  <c r="AC27" i="47"/>
  <c r="AB27" i="47"/>
  <c r="AA27" i="47"/>
  <c r="Z27" i="47"/>
  <c r="Y27" i="47"/>
  <c r="X27" i="47"/>
  <c r="W27" i="47"/>
  <c r="V27" i="47"/>
  <c r="U27" i="47"/>
  <c r="T27" i="47"/>
  <c r="S27" i="47"/>
  <c r="R27" i="47"/>
  <c r="E27" i="47"/>
  <c r="AK26" i="47"/>
  <c r="AJ26" i="47"/>
  <c r="AI26" i="47"/>
  <c r="AH26" i="47"/>
  <c r="AG26" i="47"/>
  <c r="AF26" i="47"/>
  <c r="AE26" i="47"/>
  <c r="AD26" i="47"/>
  <c r="AC26" i="47"/>
  <c r="AB26" i="47"/>
  <c r="AA26" i="47"/>
  <c r="Z26" i="47"/>
  <c r="Y26" i="47"/>
  <c r="X26" i="47"/>
  <c r="W26" i="47"/>
  <c r="V26" i="47"/>
  <c r="U26" i="47"/>
  <c r="T26" i="47"/>
  <c r="S26" i="47"/>
  <c r="R26" i="47"/>
  <c r="E26" i="47"/>
  <c r="AK25" i="47"/>
  <c r="AJ25" i="47"/>
  <c r="AI25" i="47"/>
  <c r="AH25" i="47"/>
  <c r="AG25" i="47"/>
  <c r="AF25" i="47"/>
  <c r="AE25" i="47"/>
  <c r="AD25" i="47"/>
  <c r="AC25" i="47"/>
  <c r="AB25" i="47"/>
  <c r="AA25" i="47"/>
  <c r="Z25" i="47"/>
  <c r="Y25" i="47"/>
  <c r="X25" i="47"/>
  <c r="W25" i="47"/>
  <c r="V25" i="47"/>
  <c r="U25" i="47"/>
  <c r="T25" i="47"/>
  <c r="S25" i="47"/>
  <c r="R25" i="47"/>
  <c r="E25" i="47"/>
  <c r="AK24" i="47"/>
  <c r="AJ24" i="47"/>
  <c r="AI24" i="47"/>
  <c r="AH24" i="47"/>
  <c r="AG24" i="47"/>
  <c r="AF24" i="47"/>
  <c r="AE24" i="47"/>
  <c r="AD24" i="47"/>
  <c r="AC24" i="47"/>
  <c r="AB24" i="47"/>
  <c r="AA24" i="47"/>
  <c r="Z24" i="47"/>
  <c r="Y24" i="47"/>
  <c r="X24" i="47"/>
  <c r="W24" i="47"/>
  <c r="V24" i="47"/>
  <c r="U24" i="47"/>
  <c r="T24" i="47"/>
  <c r="S24" i="47"/>
  <c r="R24" i="47"/>
  <c r="E24" i="47"/>
  <c r="AK23" i="47"/>
  <c r="AJ23" i="47"/>
  <c r="AI23" i="47"/>
  <c r="AH23" i="47"/>
  <c r="AG23" i="47"/>
  <c r="AF23" i="47"/>
  <c r="AE23" i="47"/>
  <c r="AD23" i="47"/>
  <c r="AC23" i="47"/>
  <c r="AB23" i="47"/>
  <c r="AA23" i="47"/>
  <c r="Z23" i="47"/>
  <c r="Y23" i="47"/>
  <c r="X23" i="47"/>
  <c r="W23" i="47"/>
  <c r="V23" i="47"/>
  <c r="U23" i="47"/>
  <c r="T23" i="47"/>
  <c r="S23" i="47"/>
  <c r="R23" i="47"/>
  <c r="E23" i="47"/>
  <c r="AK22" i="47"/>
  <c r="AJ22" i="47"/>
  <c r="AI22" i="47"/>
  <c r="AH22" i="47"/>
  <c r="AG22" i="47"/>
  <c r="AF22" i="47"/>
  <c r="AE22" i="47"/>
  <c r="AD22" i="47"/>
  <c r="AC22" i="47"/>
  <c r="AB22" i="47"/>
  <c r="AA22" i="47"/>
  <c r="Z22" i="47"/>
  <c r="Y22" i="47"/>
  <c r="X22" i="47"/>
  <c r="W22" i="47"/>
  <c r="V22" i="47"/>
  <c r="U22" i="47"/>
  <c r="T22" i="47"/>
  <c r="S22" i="47"/>
  <c r="R22" i="47"/>
  <c r="E22" i="47"/>
  <c r="AK21" i="47"/>
  <c r="AJ21" i="47"/>
  <c r="AI21" i="47"/>
  <c r="AH21" i="47"/>
  <c r="AG21" i="47"/>
  <c r="AF21" i="47"/>
  <c r="AE21" i="47"/>
  <c r="AD21" i="47"/>
  <c r="AC21" i="47"/>
  <c r="AB21" i="47"/>
  <c r="AA21" i="47"/>
  <c r="Z21" i="47"/>
  <c r="Y21" i="47"/>
  <c r="X21" i="47"/>
  <c r="W21" i="47"/>
  <c r="V21" i="47"/>
  <c r="U21" i="47"/>
  <c r="T21" i="47"/>
  <c r="S21" i="47"/>
  <c r="R21" i="47"/>
  <c r="E21" i="47"/>
  <c r="AK20" i="47"/>
  <c r="AJ20" i="47"/>
  <c r="AI20" i="47"/>
  <c r="AH20" i="47"/>
  <c r="AG20" i="47"/>
  <c r="AF20" i="47"/>
  <c r="AE20" i="47"/>
  <c r="AD20" i="47"/>
  <c r="AC20" i="47"/>
  <c r="AB20" i="47"/>
  <c r="AA20" i="47"/>
  <c r="Z20" i="47"/>
  <c r="Y20" i="47"/>
  <c r="X20" i="47"/>
  <c r="W20" i="47"/>
  <c r="V20" i="47"/>
  <c r="U20" i="47"/>
  <c r="T20" i="47"/>
  <c r="S20" i="47"/>
  <c r="R20" i="47"/>
  <c r="E20" i="47"/>
  <c r="AK19" i="47"/>
  <c r="AJ19" i="47"/>
  <c r="AI19" i="47"/>
  <c r="AH19" i="47"/>
  <c r="AG19" i="47"/>
  <c r="AF19" i="47"/>
  <c r="AE19" i="47"/>
  <c r="AD19" i="47"/>
  <c r="AC19" i="47"/>
  <c r="AB19" i="47"/>
  <c r="AA19" i="47"/>
  <c r="Z19" i="47"/>
  <c r="Y19" i="47"/>
  <c r="X19" i="47"/>
  <c r="W19" i="47"/>
  <c r="V19" i="47"/>
  <c r="U19" i="47"/>
  <c r="T19" i="47"/>
  <c r="S19" i="47"/>
  <c r="R19" i="47"/>
  <c r="E19" i="47"/>
  <c r="AK18" i="47"/>
  <c r="AJ18" i="47"/>
  <c r="AI18" i="47"/>
  <c r="AH18" i="47"/>
  <c r="AG18" i="47"/>
  <c r="AF18" i="47"/>
  <c r="AE18" i="47"/>
  <c r="AD18" i="47"/>
  <c r="AC18" i="47"/>
  <c r="AB18" i="47"/>
  <c r="AA18" i="47"/>
  <c r="Z18" i="47"/>
  <c r="Y18" i="47"/>
  <c r="X18" i="47"/>
  <c r="W18" i="47"/>
  <c r="V18" i="47"/>
  <c r="U18" i="47"/>
  <c r="T18" i="47"/>
  <c r="S18" i="47"/>
  <c r="R18" i="47"/>
  <c r="E18" i="47"/>
  <c r="AK17" i="47"/>
  <c r="AJ17" i="47"/>
  <c r="AI17" i="47"/>
  <c r="AH17" i="47"/>
  <c r="AG17" i="47"/>
  <c r="AF17" i="47"/>
  <c r="AE17" i="47"/>
  <c r="AD17" i="47"/>
  <c r="AC17" i="47"/>
  <c r="AB17" i="47"/>
  <c r="AA17" i="47"/>
  <c r="Z17" i="47"/>
  <c r="Y17" i="47"/>
  <c r="X17" i="47"/>
  <c r="W17" i="47"/>
  <c r="V17" i="47"/>
  <c r="U17" i="47"/>
  <c r="T17" i="47"/>
  <c r="S17" i="47"/>
  <c r="R17" i="47"/>
  <c r="E17" i="47"/>
  <c r="AK16" i="47"/>
  <c r="AJ16" i="47"/>
  <c r="AI16" i="47"/>
  <c r="AH16" i="47"/>
  <c r="AG16" i="47"/>
  <c r="AF16" i="47"/>
  <c r="AE16" i="47"/>
  <c r="AD16" i="47"/>
  <c r="AC16" i="47"/>
  <c r="AB16" i="47"/>
  <c r="AA16" i="47"/>
  <c r="Z16" i="47"/>
  <c r="Y16" i="47"/>
  <c r="X16" i="47"/>
  <c r="W16" i="47"/>
  <c r="V16" i="47"/>
  <c r="U16" i="47"/>
  <c r="T16" i="47"/>
  <c r="S16" i="47"/>
  <c r="R16" i="47"/>
  <c r="E16" i="47"/>
  <c r="AK15" i="47"/>
  <c r="AJ15" i="47"/>
  <c r="AI15" i="47"/>
  <c r="AH15" i="47"/>
  <c r="AG15" i="47"/>
  <c r="AF15" i="47"/>
  <c r="AE15" i="47"/>
  <c r="AD15" i="47"/>
  <c r="AC15" i="47"/>
  <c r="AB15" i="47"/>
  <c r="AA15" i="47"/>
  <c r="Z15" i="47"/>
  <c r="Y15" i="47"/>
  <c r="X15" i="47"/>
  <c r="W15" i="47"/>
  <c r="V15" i="47"/>
  <c r="U15" i="47"/>
  <c r="T15" i="47"/>
  <c r="S15" i="47"/>
  <c r="R15" i="47"/>
  <c r="E15" i="47"/>
  <c r="AK14" i="47"/>
  <c r="AJ14" i="47"/>
  <c r="AI14" i="47"/>
  <c r="AH14" i="47"/>
  <c r="AG14" i="47"/>
  <c r="AF14" i="47"/>
  <c r="AE14" i="47"/>
  <c r="AD14" i="47"/>
  <c r="AC14" i="47"/>
  <c r="AB14" i="47"/>
  <c r="AA14" i="47"/>
  <c r="Z14" i="47"/>
  <c r="Y14" i="47"/>
  <c r="X14" i="47"/>
  <c r="W14" i="47"/>
  <c r="V14" i="47"/>
  <c r="U14" i="47"/>
  <c r="T14" i="47"/>
  <c r="S14" i="47"/>
  <c r="R14" i="47"/>
  <c r="E14" i="47"/>
  <c r="AK13" i="47"/>
  <c r="AJ13" i="47"/>
  <c r="AI13" i="47"/>
  <c r="AH13" i="47"/>
  <c r="AG13" i="47"/>
  <c r="AF13" i="47"/>
  <c r="AE13" i="47"/>
  <c r="AD13" i="47"/>
  <c r="AC13" i="47"/>
  <c r="AB13" i="47"/>
  <c r="AA13" i="47"/>
  <c r="Z13" i="47"/>
  <c r="Y13" i="47"/>
  <c r="X13" i="47"/>
  <c r="W13" i="47"/>
  <c r="V13" i="47"/>
  <c r="U13" i="47"/>
  <c r="T13" i="47"/>
  <c r="S13" i="47"/>
  <c r="R13" i="47"/>
  <c r="E13" i="47"/>
  <c r="AK12" i="47"/>
  <c r="AJ12" i="47"/>
  <c r="AI12" i="47"/>
  <c r="AH12" i="47"/>
  <c r="AG12" i="47"/>
  <c r="AF12" i="47"/>
  <c r="AE12" i="47"/>
  <c r="AD12" i="47"/>
  <c r="AC12" i="47"/>
  <c r="AB12" i="47"/>
  <c r="AA12" i="47"/>
  <c r="Z12" i="47"/>
  <c r="Y12" i="47"/>
  <c r="X12" i="47"/>
  <c r="W12" i="47"/>
  <c r="V12" i="47"/>
  <c r="U12" i="47"/>
  <c r="T12" i="47"/>
  <c r="S12" i="47"/>
  <c r="R12" i="47"/>
  <c r="E12" i="47"/>
  <c r="AK11" i="47"/>
  <c r="AJ11" i="47"/>
  <c r="AI11" i="47"/>
  <c r="AH11" i="47"/>
  <c r="AG11" i="47"/>
  <c r="AF11" i="47"/>
  <c r="AE11" i="47"/>
  <c r="AD11" i="47"/>
  <c r="AC11" i="47"/>
  <c r="AB11" i="47"/>
  <c r="AA11" i="47"/>
  <c r="Z11" i="47"/>
  <c r="Y11" i="47"/>
  <c r="X11" i="47"/>
  <c r="W11" i="47"/>
  <c r="V11" i="47"/>
  <c r="U11" i="47"/>
  <c r="T11" i="47"/>
  <c r="S11" i="47"/>
  <c r="R11" i="47"/>
  <c r="E11" i="47"/>
  <c r="AK10" i="47"/>
  <c r="AJ10" i="47"/>
  <c r="AI10" i="47"/>
  <c r="AH10" i="47"/>
  <c r="AG10" i="47"/>
  <c r="AF10" i="47"/>
  <c r="AE10" i="47"/>
  <c r="AD10" i="47"/>
  <c r="AC10" i="47"/>
  <c r="AB10" i="47"/>
  <c r="AA10" i="47"/>
  <c r="Z10" i="47"/>
  <c r="Y10" i="47"/>
  <c r="X10" i="47"/>
  <c r="W10" i="47"/>
  <c r="V10" i="47"/>
  <c r="U10" i="47"/>
  <c r="T10" i="47"/>
  <c r="S10" i="47"/>
  <c r="R10" i="47"/>
  <c r="E10" i="47"/>
  <c r="AK9" i="47"/>
  <c r="AJ9" i="47"/>
  <c r="AI9" i="47"/>
  <c r="AH9" i="47"/>
  <c r="AG9" i="47"/>
  <c r="AF9" i="47"/>
  <c r="AE9" i="47"/>
  <c r="AD9" i="47"/>
  <c r="AC9" i="47"/>
  <c r="AB9" i="47"/>
  <c r="AA9" i="47"/>
  <c r="Z9" i="47"/>
  <c r="Y9" i="47"/>
  <c r="X9" i="47"/>
  <c r="W9" i="47"/>
  <c r="V9" i="47"/>
  <c r="U9" i="47"/>
  <c r="T9" i="47"/>
  <c r="S9" i="47"/>
  <c r="R9" i="47"/>
  <c r="E9" i="47"/>
  <c r="AK8" i="47"/>
  <c r="AJ8" i="47"/>
  <c r="AI8" i="47"/>
  <c r="AH8" i="47"/>
  <c r="AG8" i="47"/>
  <c r="AF8" i="47"/>
  <c r="AE8" i="47"/>
  <c r="AD8" i="47"/>
  <c r="AC8" i="47"/>
  <c r="AB8" i="47"/>
  <c r="AA8" i="47"/>
  <c r="Z8" i="47"/>
  <c r="Y8" i="47"/>
  <c r="X8" i="47"/>
  <c r="W8" i="47"/>
  <c r="V8" i="47"/>
  <c r="U8" i="47"/>
  <c r="T8" i="47"/>
  <c r="S8" i="47"/>
  <c r="R8" i="47"/>
  <c r="E8" i="47"/>
  <c r="AK7" i="47"/>
  <c r="AJ7" i="47"/>
  <c r="AI7" i="47"/>
  <c r="AH7" i="47"/>
  <c r="AG7" i="47"/>
  <c r="AF7" i="47"/>
  <c r="AE7" i="47"/>
  <c r="AD7" i="47"/>
  <c r="AC7" i="47"/>
  <c r="AB7" i="47"/>
  <c r="AA7" i="47"/>
  <c r="Z7" i="47"/>
  <c r="Y7" i="47"/>
  <c r="X7" i="47"/>
  <c r="W7" i="47"/>
  <c r="V7" i="47"/>
  <c r="U7" i="47"/>
  <c r="T7" i="47"/>
  <c r="S7" i="47"/>
  <c r="R7" i="47"/>
  <c r="E7" i="47"/>
  <c r="AK6" i="47"/>
  <c r="AJ6" i="47"/>
  <c r="AI6" i="47"/>
  <c r="AH6" i="47"/>
  <c r="AG6" i="47"/>
  <c r="AF6" i="47"/>
  <c r="AE6" i="47"/>
  <c r="AD6" i="47"/>
  <c r="AC6" i="47"/>
  <c r="AB6" i="47"/>
  <c r="AA6" i="47"/>
  <c r="Z6" i="47"/>
  <c r="Y6" i="47"/>
  <c r="X6" i="47"/>
  <c r="W6" i="47"/>
  <c r="V6" i="47"/>
  <c r="U6" i="47"/>
  <c r="T6" i="47"/>
  <c r="S6" i="47"/>
  <c r="R6" i="47"/>
  <c r="E6" i="47"/>
  <c r="AK5" i="47"/>
  <c r="AJ5" i="47"/>
  <c r="AI5" i="47"/>
  <c r="AH5" i="47"/>
  <c r="AG5" i="47"/>
  <c r="AF5" i="47"/>
  <c r="AE5" i="47"/>
  <c r="AD5" i="47"/>
  <c r="AC5" i="47"/>
  <c r="AB5" i="47"/>
  <c r="AA5" i="47"/>
  <c r="Z5" i="47"/>
  <c r="Y5" i="47"/>
  <c r="X5" i="47"/>
  <c r="W5" i="47"/>
  <c r="V5" i="47"/>
  <c r="U5" i="47"/>
  <c r="T5" i="47"/>
  <c r="S5" i="47"/>
  <c r="R5" i="47"/>
  <c r="E5" i="47"/>
  <c r="AK4" i="47"/>
  <c r="AJ4" i="47"/>
  <c r="AI4" i="47"/>
  <c r="AH4" i="47"/>
  <c r="AG4" i="47"/>
  <c r="AF4" i="47"/>
  <c r="AE4" i="47"/>
  <c r="AD4" i="47"/>
  <c r="AC4" i="47"/>
  <c r="AB4" i="47"/>
  <c r="AA4" i="47"/>
  <c r="Z4" i="47"/>
  <c r="Y4" i="47"/>
  <c r="X4" i="47"/>
  <c r="W4" i="47"/>
  <c r="V4" i="47"/>
  <c r="U4" i="47"/>
  <c r="T4" i="47"/>
  <c r="S4" i="47"/>
  <c r="R4" i="47"/>
  <c r="E4" i="47"/>
  <c r="AK3" i="47"/>
  <c r="AJ3" i="47"/>
  <c r="AI3" i="47"/>
  <c r="AH3" i="47"/>
  <c r="AG3" i="47"/>
  <c r="AF3" i="47"/>
  <c r="AE3" i="47"/>
  <c r="AD3" i="47"/>
  <c r="AC3" i="47"/>
  <c r="AB3" i="47"/>
  <c r="AA3" i="47"/>
  <c r="Z3" i="47"/>
  <c r="Y3" i="47"/>
  <c r="X3" i="47"/>
  <c r="W3" i="47"/>
  <c r="V3" i="47"/>
  <c r="U3" i="47"/>
  <c r="T3" i="47"/>
  <c r="S3" i="47"/>
  <c r="R3" i="47"/>
  <c r="E3" i="47"/>
  <c r="BF255" i="49"/>
  <c r="AQ255" i="49"/>
  <c r="AB255" i="49"/>
  <c r="M255" i="49"/>
  <c r="BF254" i="49"/>
  <c r="AQ254" i="49"/>
  <c r="AB254" i="49"/>
  <c r="M254" i="49"/>
  <c r="BF253" i="49"/>
  <c r="AQ253" i="49"/>
  <c r="AB253" i="49"/>
  <c r="M253" i="49"/>
  <c r="BF252" i="49"/>
  <c r="AQ252" i="49"/>
  <c r="AB252" i="49"/>
  <c r="M252" i="49"/>
  <c r="BF251" i="49"/>
  <c r="AQ251" i="49"/>
  <c r="AB251" i="49"/>
  <c r="M251" i="49"/>
  <c r="BF250" i="49"/>
  <c r="AQ250" i="49"/>
  <c r="AB250" i="49"/>
  <c r="M250" i="49"/>
  <c r="BF249" i="49"/>
  <c r="AQ249" i="49"/>
  <c r="AB249" i="49"/>
  <c r="M249" i="49"/>
  <c r="BF248" i="49"/>
  <c r="AQ248" i="49"/>
  <c r="AB248" i="49"/>
  <c r="M248" i="49"/>
  <c r="BF247" i="49"/>
  <c r="AQ247" i="49"/>
  <c r="AB247" i="49"/>
  <c r="M247" i="49"/>
  <c r="BF246" i="49"/>
  <c r="AQ246" i="49"/>
  <c r="AB246" i="49"/>
  <c r="M246" i="49"/>
  <c r="BF245" i="49"/>
  <c r="AQ245" i="49"/>
  <c r="AB245" i="49"/>
  <c r="M245" i="49"/>
  <c r="BF244" i="49"/>
  <c r="AQ244" i="49"/>
  <c r="AB244" i="49"/>
  <c r="M244" i="49"/>
  <c r="BF243" i="49"/>
  <c r="AQ243" i="49"/>
  <c r="AB243" i="49"/>
  <c r="M243" i="49"/>
  <c r="BF242" i="49"/>
  <c r="AQ242" i="49"/>
  <c r="AB242" i="49"/>
  <c r="M242" i="49"/>
  <c r="BF241" i="49"/>
  <c r="AQ241" i="49"/>
  <c r="AB241" i="49"/>
  <c r="M241" i="49"/>
  <c r="BF240" i="49"/>
  <c r="AQ240" i="49"/>
  <c r="AB240" i="49"/>
  <c r="M240" i="49"/>
  <c r="BF239" i="49"/>
  <c r="AQ239" i="49"/>
  <c r="AB239" i="49"/>
  <c r="M239" i="49"/>
  <c r="BF238" i="49"/>
  <c r="AQ238" i="49"/>
  <c r="AB238" i="49"/>
  <c r="M238" i="49"/>
  <c r="BF237" i="49"/>
  <c r="AQ237" i="49"/>
  <c r="AB237" i="49"/>
  <c r="M237" i="49"/>
  <c r="BF236" i="49"/>
  <c r="AQ236" i="49"/>
  <c r="AB236" i="49"/>
  <c r="M236" i="49"/>
  <c r="BF235" i="49"/>
  <c r="AQ235" i="49"/>
  <c r="AB235" i="49"/>
  <c r="M235" i="49"/>
  <c r="BF234" i="49"/>
  <c r="AQ234" i="49"/>
  <c r="AB234" i="49"/>
  <c r="M234" i="49"/>
  <c r="BF233" i="49"/>
  <c r="AQ233" i="49"/>
  <c r="AB233" i="49"/>
  <c r="M233" i="49"/>
  <c r="BF232" i="49"/>
  <c r="AQ232" i="49"/>
  <c r="AB232" i="49"/>
  <c r="M232" i="49"/>
  <c r="BF231" i="49"/>
  <c r="AQ231" i="49"/>
  <c r="AB231" i="49"/>
  <c r="M231" i="49"/>
  <c r="BF230" i="49"/>
  <c r="AQ230" i="49"/>
  <c r="AB230" i="49"/>
  <c r="M230" i="49"/>
  <c r="BF229" i="49"/>
  <c r="AQ229" i="49"/>
  <c r="AB229" i="49"/>
  <c r="M229" i="49"/>
  <c r="BF228" i="49"/>
  <c r="AQ228" i="49"/>
  <c r="AB228" i="49"/>
  <c r="M228" i="49"/>
  <c r="BF227" i="49"/>
  <c r="AQ227" i="49"/>
  <c r="AB227" i="49"/>
  <c r="M227" i="49"/>
  <c r="BF226" i="49"/>
  <c r="AQ226" i="49"/>
  <c r="AB226" i="49"/>
  <c r="M226" i="49"/>
  <c r="BF225" i="49"/>
  <c r="AQ225" i="49"/>
  <c r="AB225" i="49"/>
  <c r="M225" i="49"/>
  <c r="BF224" i="49"/>
  <c r="AQ224" i="49"/>
  <c r="AB224" i="49"/>
  <c r="M224" i="49"/>
  <c r="BF223" i="49"/>
  <c r="AQ223" i="49"/>
  <c r="AB223" i="49"/>
  <c r="M223" i="49"/>
  <c r="BF222" i="49"/>
  <c r="AQ222" i="49"/>
  <c r="AB222" i="49"/>
  <c r="M222" i="49"/>
  <c r="BF221" i="49"/>
  <c r="AQ221" i="49"/>
  <c r="AB221" i="49"/>
  <c r="M221" i="49"/>
  <c r="BF220" i="49"/>
  <c r="AQ220" i="49"/>
  <c r="AB220" i="49"/>
  <c r="M220" i="49"/>
  <c r="BF219" i="49"/>
  <c r="AQ219" i="49"/>
  <c r="AB219" i="49"/>
  <c r="M219" i="49"/>
  <c r="BF218" i="49"/>
  <c r="AQ218" i="49"/>
  <c r="AB218" i="49"/>
  <c r="M218" i="49"/>
  <c r="BF217" i="49"/>
  <c r="AQ217" i="49"/>
  <c r="AB217" i="49"/>
  <c r="M217" i="49"/>
  <c r="BF216" i="49"/>
  <c r="AQ216" i="49"/>
  <c r="AB216" i="49"/>
  <c r="M216" i="49"/>
  <c r="BF215" i="49"/>
  <c r="AQ215" i="49"/>
  <c r="AB215" i="49"/>
  <c r="M215" i="49"/>
  <c r="BF214" i="49"/>
  <c r="AQ214" i="49"/>
  <c r="AB214" i="49"/>
  <c r="M214" i="49"/>
  <c r="BF213" i="49"/>
  <c r="AQ213" i="49"/>
  <c r="AB213" i="49"/>
  <c r="M213" i="49"/>
  <c r="BF212" i="49"/>
  <c r="AQ212" i="49"/>
  <c r="AB212" i="49"/>
  <c r="M212" i="49"/>
  <c r="BF211" i="49"/>
  <c r="AQ211" i="49"/>
  <c r="AB211" i="49"/>
  <c r="M211" i="49"/>
  <c r="BF210" i="49"/>
  <c r="AQ210" i="49"/>
  <c r="AB210" i="49"/>
  <c r="M210" i="49"/>
  <c r="BF209" i="49"/>
  <c r="AQ209" i="49"/>
  <c r="AB209" i="49"/>
  <c r="M209" i="49"/>
  <c r="BF208" i="49"/>
  <c r="AQ208" i="49"/>
  <c r="AB208" i="49"/>
  <c r="M208" i="49"/>
  <c r="BF207" i="49"/>
  <c r="AQ207" i="49"/>
  <c r="AB207" i="49"/>
  <c r="M207" i="49"/>
  <c r="BF206" i="49"/>
  <c r="AQ206" i="49"/>
  <c r="AB206" i="49"/>
  <c r="M206" i="49"/>
  <c r="BF205" i="49"/>
  <c r="AQ205" i="49"/>
  <c r="AB205" i="49"/>
  <c r="M205" i="49"/>
  <c r="BF204" i="49"/>
  <c r="AQ204" i="49"/>
  <c r="AB204" i="49"/>
  <c r="M204" i="49"/>
  <c r="BF203" i="49"/>
  <c r="AQ203" i="49"/>
  <c r="AB203" i="49"/>
  <c r="M203" i="49"/>
  <c r="BF202" i="49"/>
  <c r="AQ202" i="49"/>
  <c r="AB202" i="49"/>
  <c r="M202" i="49"/>
  <c r="BF201" i="49"/>
  <c r="AQ201" i="49"/>
  <c r="AB201" i="49"/>
  <c r="M201" i="49"/>
  <c r="BF200" i="49"/>
  <c r="AQ200" i="49"/>
  <c r="AB200" i="49"/>
  <c r="M200" i="49"/>
  <c r="BF199" i="49"/>
  <c r="AQ199" i="49"/>
  <c r="AB199" i="49"/>
  <c r="M199" i="49"/>
  <c r="BF198" i="49"/>
  <c r="AQ198" i="49"/>
  <c r="AB198" i="49"/>
  <c r="M198" i="49"/>
  <c r="BF197" i="49"/>
  <c r="AQ197" i="49"/>
  <c r="AB197" i="49"/>
  <c r="M197" i="49"/>
  <c r="BF196" i="49"/>
  <c r="AQ196" i="49"/>
  <c r="AB196" i="49"/>
  <c r="M196" i="49"/>
  <c r="BF195" i="49"/>
  <c r="AQ195" i="49"/>
  <c r="AB195" i="49"/>
  <c r="M195" i="49"/>
  <c r="BF194" i="49"/>
  <c r="AQ194" i="49"/>
  <c r="AB194" i="49"/>
  <c r="M194" i="49"/>
  <c r="BF193" i="49"/>
  <c r="AQ193" i="49"/>
  <c r="AB193" i="49"/>
  <c r="M193" i="49"/>
  <c r="BF192" i="49"/>
  <c r="AQ192" i="49"/>
  <c r="AB192" i="49"/>
  <c r="M192" i="49"/>
  <c r="BF191" i="49"/>
  <c r="AQ191" i="49"/>
  <c r="AB191" i="49"/>
  <c r="M191" i="49"/>
  <c r="BF190" i="49"/>
  <c r="AQ190" i="49"/>
  <c r="AB190" i="49"/>
  <c r="M190" i="49"/>
  <c r="BF189" i="49"/>
  <c r="AQ189" i="49"/>
  <c r="AB189" i="49"/>
  <c r="M189" i="49"/>
  <c r="BF188" i="49"/>
  <c r="AQ188" i="49"/>
  <c r="AB188" i="49"/>
  <c r="M188" i="49"/>
  <c r="BF187" i="49"/>
  <c r="AQ187" i="49"/>
  <c r="AB187" i="49"/>
  <c r="M187" i="49"/>
  <c r="BF186" i="49"/>
  <c r="AQ186" i="49"/>
  <c r="AB186" i="49"/>
  <c r="M186" i="49"/>
  <c r="BF185" i="49"/>
  <c r="AQ185" i="49"/>
  <c r="AB185" i="49"/>
  <c r="M185" i="49"/>
  <c r="BF184" i="49"/>
  <c r="AQ184" i="49"/>
  <c r="AB184" i="49"/>
  <c r="M184" i="49"/>
  <c r="BF183" i="49"/>
  <c r="AQ183" i="49"/>
  <c r="AB183" i="49"/>
  <c r="M183" i="49"/>
  <c r="BF182" i="49"/>
  <c r="AQ182" i="49"/>
  <c r="AB182" i="49"/>
  <c r="M182" i="49"/>
  <c r="BF181" i="49"/>
  <c r="AQ181" i="49"/>
  <c r="AB181" i="49"/>
  <c r="M181" i="49"/>
  <c r="BF180" i="49"/>
  <c r="AQ180" i="49"/>
  <c r="AB180" i="49"/>
  <c r="M180" i="49"/>
  <c r="BF179" i="49"/>
  <c r="AQ179" i="49"/>
  <c r="AB179" i="49"/>
  <c r="M179" i="49"/>
  <c r="BF178" i="49"/>
  <c r="AQ178" i="49"/>
  <c r="AB178" i="49"/>
  <c r="M178" i="49"/>
  <c r="BF177" i="49"/>
  <c r="AQ177" i="49"/>
  <c r="AB177" i="49"/>
  <c r="M177" i="49"/>
  <c r="BF176" i="49"/>
  <c r="AQ176" i="49"/>
  <c r="AB176" i="49"/>
  <c r="M176" i="49"/>
  <c r="BF175" i="49"/>
  <c r="AQ175" i="49"/>
  <c r="AB175" i="49"/>
  <c r="M175" i="49"/>
  <c r="BF174" i="49"/>
  <c r="AQ174" i="49"/>
  <c r="AB174" i="49"/>
  <c r="M174" i="49"/>
  <c r="BF173" i="49"/>
  <c r="AQ173" i="49"/>
  <c r="AB173" i="49"/>
  <c r="M173" i="49"/>
  <c r="BF172" i="49"/>
  <c r="AQ172" i="49"/>
  <c r="AB172" i="49"/>
  <c r="M172" i="49"/>
  <c r="BF171" i="49"/>
  <c r="AQ171" i="49"/>
  <c r="AB171" i="49"/>
  <c r="M171" i="49"/>
  <c r="BF170" i="49"/>
  <c r="AQ170" i="49"/>
  <c r="AB170" i="49"/>
  <c r="M170" i="49"/>
  <c r="BF169" i="49"/>
  <c r="AQ169" i="49"/>
  <c r="AB169" i="49"/>
  <c r="M169" i="49"/>
  <c r="BF168" i="49"/>
  <c r="AQ168" i="49"/>
  <c r="AB168" i="49"/>
  <c r="M168" i="49"/>
  <c r="BF167" i="49"/>
  <c r="AQ167" i="49"/>
  <c r="AB167" i="49"/>
  <c r="M167" i="49"/>
  <c r="BF166" i="49"/>
  <c r="AQ166" i="49"/>
  <c r="AB166" i="49"/>
  <c r="M166" i="49"/>
  <c r="BF165" i="49"/>
  <c r="AQ165" i="49"/>
  <c r="AB165" i="49"/>
  <c r="M165" i="49"/>
  <c r="BF164" i="49"/>
  <c r="AQ164" i="49"/>
  <c r="AB164" i="49"/>
  <c r="M164" i="49"/>
  <c r="BF163" i="49"/>
  <c r="AQ163" i="49"/>
  <c r="AB163" i="49"/>
  <c r="M163" i="49"/>
  <c r="BF162" i="49"/>
  <c r="AQ162" i="49"/>
  <c r="AB162" i="49"/>
  <c r="M162" i="49"/>
  <c r="BF161" i="49"/>
  <c r="AQ161" i="49"/>
  <c r="AB161" i="49"/>
  <c r="M161" i="49"/>
  <c r="BF160" i="49"/>
  <c r="AQ160" i="49"/>
  <c r="AB160" i="49"/>
  <c r="M160" i="49"/>
  <c r="BF159" i="49"/>
  <c r="AQ159" i="49"/>
  <c r="AB159" i="49"/>
  <c r="M159" i="49"/>
  <c r="BF158" i="49"/>
  <c r="AQ158" i="49"/>
  <c r="AB158" i="49"/>
  <c r="M158" i="49"/>
  <c r="BF157" i="49"/>
  <c r="AQ157" i="49"/>
  <c r="AB157" i="49"/>
  <c r="M157" i="49"/>
  <c r="BF156" i="49"/>
  <c r="AQ156" i="49"/>
  <c r="AB156" i="49"/>
  <c r="M156" i="49"/>
  <c r="BF155" i="49"/>
  <c r="AQ155" i="49"/>
  <c r="AB155" i="49"/>
  <c r="M155" i="49"/>
  <c r="BF154" i="49"/>
  <c r="AQ154" i="49"/>
  <c r="AB154" i="49"/>
  <c r="M154" i="49"/>
  <c r="BF153" i="49"/>
  <c r="AQ153" i="49"/>
  <c r="AB153" i="49"/>
  <c r="M153" i="49"/>
  <c r="BF152" i="49"/>
  <c r="AQ152" i="49"/>
  <c r="AB152" i="49"/>
  <c r="M152" i="49"/>
  <c r="BF151" i="49"/>
  <c r="AQ151" i="49"/>
  <c r="AB151" i="49"/>
  <c r="M151" i="49"/>
  <c r="BF150" i="49"/>
  <c r="AQ150" i="49"/>
  <c r="AB150" i="49"/>
  <c r="M150" i="49"/>
  <c r="BF149" i="49"/>
  <c r="AQ149" i="49"/>
  <c r="AB149" i="49"/>
  <c r="M149" i="49"/>
  <c r="BF148" i="49"/>
  <c r="AQ148" i="49"/>
  <c r="AB148" i="49"/>
  <c r="M148" i="49"/>
  <c r="BF147" i="49"/>
  <c r="AQ147" i="49"/>
  <c r="AB147" i="49"/>
  <c r="M147" i="49"/>
  <c r="BF146" i="49"/>
  <c r="AQ146" i="49"/>
  <c r="AB146" i="49"/>
  <c r="M146" i="49"/>
  <c r="BF145" i="49"/>
  <c r="AQ145" i="49"/>
  <c r="AB145" i="49"/>
  <c r="M145" i="49"/>
  <c r="BF144" i="49"/>
  <c r="AQ144" i="49"/>
  <c r="AB144" i="49"/>
  <c r="M144" i="49"/>
  <c r="BF143" i="49"/>
  <c r="AQ143" i="49"/>
  <c r="AB143" i="49"/>
  <c r="M143" i="49"/>
  <c r="BF142" i="49"/>
  <c r="AQ142" i="49"/>
  <c r="AB142" i="49"/>
  <c r="M142" i="49"/>
  <c r="BF141" i="49"/>
  <c r="AQ141" i="49"/>
  <c r="AB141" i="49"/>
  <c r="M141" i="49"/>
  <c r="BF140" i="49"/>
  <c r="AQ140" i="49"/>
  <c r="AB140" i="49"/>
  <c r="M140" i="49"/>
  <c r="BF139" i="49"/>
  <c r="AQ139" i="49"/>
  <c r="AB139" i="49"/>
  <c r="M139" i="49"/>
  <c r="BF138" i="49"/>
  <c r="AQ138" i="49"/>
  <c r="AB138" i="49"/>
  <c r="M138" i="49"/>
  <c r="BF137" i="49"/>
  <c r="AQ137" i="49"/>
  <c r="AB137" i="49"/>
  <c r="M137" i="49"/>
  <c r="BF136" i="49"/>
  <c r="AQ136" i="49"/>
  <c r="AB136" i="49"/>
  <c r="M136" i="49"/>
  <c r="BF135" i="49"/>
  <c r="AQ135" i="49"/>
  <c r="AB135" i="49"/>
  <c r="M135" i="49"/>
  <c r="BF134" i="49"/>
  <c r="AQ134" i="49"/>
  <c r="AB134" i="49"/>
  <c r="M134" i="49"/>
  <c r="BF133" i="49"/>
  <c r="AQ133" i="49"/>
  <c r="AB133" i="49"/>
  <c r="M133" i="49"/>
  <c r="BF132" i="49"/>
  <c r="AQ132" i="49"/>
  <c r="AB132" i="49"/>
  <c r="M132" i="49"/>
  <c r="BF131" i="49"/>
  <c r="AQ131" i="49"/>
  <c r="AB131" i="49"/>
  <c r="M131" i="49"/>
  <c r="BF130" i="49"/>
  <c r="AQ130" i="49"/>
  <c r="AB130" i="49"/>
  <c r="M130" i="49"/>
  <c r="BF129" i="49"/>
  <c r="AQ129" i="49"/>
  <c r="AB129" i="49"/>
  <c r="M129" i="49"/>
  <c r="BF128" i="49"/>
  <c r="AQ128" i="49"/>
  <c r="AB128" i="49"/>
  <c r="M128" i="49"/>
  <c r="BF127" i="49"/>
  <c r="AQ127" i="49"/>
  <c r="AB127" i="49"/>
  <c r="M127" i="49"/>
  <c r="BF126" i="49"/>
  <c r="AQ126" i="49"/>
  <c r="AB126" i="49"/>
  <c r="M126" i="49"/>
  <c r="BF125" i="49"/>
  <c r="AQ125" i="49"/>
  <c r="AB125" i="49"/>
  <c r="M125" i="49"/>
  <c r="BF124" i="49"/>
  <c r="AQ124" i="49"/>
  <c r="AB124" i="49"/>
  <c r="M124" i="49"/>
  <c r="BF123" i="49"/>
  <c r="AQ123" i="49"/>
  <c r="AB123" i="49"/>
  <c r="M123" i="49"/>
  <c r="BF122" i="49"/>
  <c r="AQ122" i="49"/>
  <c r="AB122" i="49"/>
  <c r="M122" i="49"/>
  <c r="BF121" i="49"/>
  <c r="AQ121" i="49"/>
  <c r="AB121" i="49"/>
  <c r="M121" i="49"/>
  <c r="BF120" i="49"/>
  <c r="AQ120" i="49"/>
  <c r="AB120" i="49"/>
  <c r="M120" i="49"/>
  <c r="BF119" i="49"/>
  <c r="AQ119" i="49"/>
  <c r="AB119" i="49"/>
  <c r="M119" i="49"/>
  <c r="BF118" i="49"/>
  <c r="AQ118" i="49"/>
  <c r="AB118" i="49"/>
  <c r="M118" i="49"/>
  <c r="BF117" i="49"/>
  <c r="AQ117" i="49"/>
  <c r="AB117" i="49"/>
  <c r="M117" i="49"/>
  <c r="BF116" i="49"/>
  <c r="AQ116" i="49"/>
  <c r="AB116" i="49"/>
  <c r="M116" i="49"/>
  <c r="BF115" i="49"/>
  <c r="AQ115" i="49"/>
  <c r="AB115" i="49"/>
  <c r="M115" i="49"/>
  <c r="BF114" i="49"/>
  <c r="AQ114" i="49"/>
  <c r="AB114" i="49"/>
  <c r="M114" i="49"/>
  <c r="BF113" i="49"/>
  <c r="AQ113" i="49"/>
  <c r="AB113" i="49"/>
  <c r="M113" i="49"/>
  <c r="BF112" i="49"/>
  <c r="AQ112" i="49"/>
  <c r="AB112" i="49"/>
  <c r="M112" i="49"/>
  <c r="BF111" i="49"/>
  <c r="AQ111" i="49"/>
  <c r="AB111" i="49"/>
  <c r="M111" i="49"/>
  <c r="BF110" i="49"/>
  <c r="AQ110" i="49"/>
  <c r="AB110" i="49"/>
  <c r="M110" i="49"/>
  <c r="BF109" i="49"/>
  <c r="AQ109" i="49"/>
  <c r="AB109" i="49"/>
  <c r="M109" i="49"/>
  <c r="BF108" i="49"/>
  <c r="AQ108" i="49"/>
  <c r="AB108" i="49"/>
  <c r="M108" i="49"/>
  <c r="BF107" i="49"/>
  <c r="AQ107" i="49"/>
  <c r="AB107" i="49"/>
  <c r="M107" i="49"/>
  <c r="BF106" i="49"/>
  <c r="AQ106" i="49"/>
  <c r="AB106" i="49"/>
  <c r="M106" i="49"/>
  <c r="BF105" i="49"/>
  <c r="AQ105" i="49"/>
  <c r="AB105" i="49"/>
  <c r="M105" i="49"/>
  <c r="BF104" i="49"/>
  <c r="AQ104" i="49"/>
  <c r="AB104" i="49"/>
  <c r="M104" i="49"/>
  <c r="BF103" i="49"/>
  <c r="AQ103" i="49"/>
  <c r="AB103" i="49"/>
  <c r="M103" i="49"/>
  <c r="BF102" i="49"/>
  <c r="AQ102" i="49"/>
  <c r="AB102" i="49"/>
  <c r="M102" i="49"/>
  <c r="BF101" i="49"/>
  <c r="AQ101" i="49"/>
  <c r="AB101" i="49"/>
  <c r="M101" i="49"/>
  <c r="BF100" i="49"/>
  <c r="AQ100" i="49"/>
  <c r="AB100" i="49"/>
  <c r="M100" i="49"/>
  <c r="BF99" i="49"/>
  <c r="AQ99" i="49"/>
  <c r="AB99" i="49"/>
  <c r="M99" i="49"/>
  <c r="BF98" i="49"/>
  <c r="AQ98" i="49"/>
  <c r="AB98" i="49"/>
  <c r="M98" i="49"/>
  <c r="BF97" i="49"/>
  <c r="AQ97" i="49"/>
  <c r="AB97" i="49"/>
  <c r="M97" i="49"/>
  <c r="BF96" i="49"/>
  <c r="AQ96" i="49"/>
  <c r="AB96" i="49"/>
  <c r="M96" i="49"/>
  <c r="BF95" i="49"/>
  <c r="AQ95" i="49"/>
  <c r="AB95" i="49"/>
  <c r="M95" i="49"/>
  <c r="BF94" i="49"/>
  <c r="AQ94" i="49"/>
  <c r="AB94" i="49"/>
  <c r="M94" i="49"/>
  <c r="BF93" i="49"/>
  <c r="AQ93" i="49"/>
  <c r="AB93" i="49"/>
  <c r="M93" i="49"/>
  <c r="BF92" i="49"/>
  <c r="AQ92" i="49"/>
  <c r="AB92" i="49"/>
  <c r="M92" i="49"/>
  <c r="BF91" i="49"/>
  <c r="AQ91" i="49"/>
  <c r="AB91" i="49"/>
  <c r="M91" i="49"/>
  <c r="BF90" i="49"/>
  <c r="AQ90" i="49"/>
  <c r="AB90" i="49"/>
  <c r="M90" i="49"/>
  <c r="BF89" i="49"/>
  <c r="AQ89" i="49"/>
  <c r="AB89" i="49"/>
  <c r="M89" i="49"/>
  <c r="BF88" i="49"/>
  <c r="AQ88" i="49"/>
  <c r="AB88" i="49"/>
  <c r="M88" i="49"/>
  <c r="BF87" i="49"/>
  <c r="AQ87" i="49"/>
  <c r="AB87" i="49"/>
  <c r="M87" i="49"/>
  <c r="BF86" i="49"/>
  <c r="AQ86" i="49"/>
  <c r="AB86" i="49"/>
  <c r="M86" i="49"/>
  <c r="BF85" i="49"/>
  <c r="AQ85" i="49"/>
  <c r="AB85" i="49"/>
  <c r="M85" i="49"/>
  <c r="BF84" i="49"/>
  <c r="AQ84" i="49"/>
  <c r="AB84" i="49"/>
  <c r="M84" i="49"/>
  <c r="BF83" i="49"/>
  <c r="AQ83" i="49"/>
  <c r="AB83" i="49"/>
  <c r="M83" i="49"/>
  <c r="BF82" i="49"/>
  <c r="AQ82" i="49"/>
  <c r="AB82" i="49"/>
  <c r="M82" i="49"/>
  <c r="BF81" i="49"/>
  <c r="AQ81" i="49"/>
  <c r="AB81" i="49"/>
  <c r="M81" i="49"/>
  <c r="BF80" i="49"/>
  <c r="AQ80" i="49"/>
  <c r="AB80" i="49"/>
  <c r="M80" i="49"/>
  <c r="BF79" i="49"/>
  <c r="AQ79" i="49"/>
  <c r="AB79" i="49"/>
  <c r="M79" i="49"/>
  <c r="BF78" i="49"/>
  <c r="AQ78" i="49"/>
  <c r="AB78" i="49"/>
  <c r="M78" i="49"/>
  <c r="BF77" i="49"/>
  <c r="AQ77" i="49"/>
  <c r="AB77" i="49"/>
  <c r="M77" i="49"/>
  <c r="BF76" i="49"/>
  <c r="AQ76" i="49"/>
  <c r="AB76" i="49"/>
  <c r="M76" i="49"/>
  <c r="BF75" i="49"/>
  <c r="AQ75" i="49"/>
  <c r="AB75" i="49"/>
  <c r="M75" i="49"/>
  <c r="BF74" i="49"/>
  <c r="AQ74" i="49"/>
  <c r="AB74" i="49"/>
  <c r="M74" i="49"/>
  <c r="BF73" i="49"/>
  <c r="AQ73" i="49"/>
  <c r="AB73" i="49"/>
  <c r="M73" i="49"/>
  <c r="BF72" i="49"/>
  <c r="AQ72" i="49"/>
  <c r="AB72" i="49"/>
  <c r="M72" i="49"/>
  <c r="BF71" i="49"/>
  <c r="AQ71" i="49"/>
  <c r="AB71" i="49"/>
  <c r="M71" i="49"/>
  <c r="BF70" i="49"/>
  <c r="AQ70" i="49"/>
  <c r="AB70" i="49"/>
  <c r="M70" i="49"/>
  <c r="BF69" i="49"/>
  <c r="AQ69" i="49"/>
  <c r="AB69" i="49"/>
  <c r="M69" i="49"/>
  <c r="BF68" i="49"/>
  <c r="AQ68" i="49"/>
  <c r="AB68" i="49"/>
  <c r="M68" i="49"/>
  <c r="BF67" i="49"/>
  <c r="AQ67" i="49"/>
  <c r="AB67" i="49"/>
  <c r="M67" i="49"/>
  <c r="BF66" i="49"/>
  <c r="AQ66" i="49"/>
  <c r="AB66" i="49"/>
  <c r="M66" i="49"/>
  <c r="BF65" i="49"/>
  <c r="AQ65" i="49"/>
  <c r="AB65" i="49"/>
  <c r="M65" i="49"/>
  <c r="BF64" i="49"/>
  <c r="AQ64" i="49"/>
  <c r="AB64" i="49"/>
  <c r="M64" i="49"/>
  <c r="BF63" i="49"/>
  <c r="AQ63" i="49"/>
  <c r="AB63" i="49"/>
  <c r="M63" i="49"/>
  <c r="BF62" i="49"/>
  <c r="AQ62" i="49"/>
  <c r="AB62" i="49"/>
  <c r="M62" i="49"/>
  <c r="BF61" i="49"/>
  <c r="AQ61" i="49"/>
  <c r="AB61" i="49"/>
  <c r="M61" i="49"/>
  <c r="BF60" i="49"/>
  <c r="AQ60" i="49"/>
  <c r="AB60" i="49"/>
  <c r="M60" i="49"/>
  <c r="BF59" i="49"/>
  <c r="AQ59" i="49"/>
  <c r="AB59" i="49"/>
  <c r="M59" i="49"/>
  <c r="BF58" i="49"/>
  <c r="AQ58" i="49"/>
  <c r="AB58" i="49"/>
  <c r="M58" i="49"/>
  <c r="BF57" i="49"/>
  <c r="AQ57" i="49"/>
  <c r="AB57" i="49"/>
  <c r="M57" i="49"/>
  <c r="BF56" i="49"/>
  <c r="AQ56" i="49"/>
  <c r="AB56" i="49"/>
  <c r="M56" i="49"/>
  <c r="BF55" i="49"/>
  <c r="AQ55" i="49"/>
  <c r="AB55" i="49"/>
  <c r="M55" i="49"/>
  <c r="BF54" i="49"/>
  <c r="AQ54" i="49"/>
  <c r="AB54" i="49"/>
  <c r="M54" i="49"/>
  <c r="BF53" i="49"/>
  <c r="AQ53" i="49"/>
  <c r="AB53" i="49"/>
  <c r="M53" i="49"/>
  <c r="BF52" i="49"/>
  <c r="AQ52" i="49"/>
  <c r="AB52" i="49"/>
  <c r="M52" i="49"/>
  <c r="BF51" i="49"/>
  <c r="AQ51" i="49"/>
  <c r="AB51" i="49"/>
  <c r="M51" i="49"/>
  <c r="BF50" i="49"/>
  <c r="AQ50" i="49"/>
  <c r="AB50" i="49"/>
  <c r="M50" i="49"/>
  <c r="BF49" i="49"/>
  <c r="AQ49" i="49"/>
  <c r="AB49" i="49"/>
  <c r="M49" i="49"/>
  <c r="BF48" i="49"/>
  <c r="AQ48" i="49"/>
  <c r="AB48" i="49"/>
  <c r="M48" i="49"/>
  <c r="BF47" i="49"/>
  <c r="AQ47" i="49"/>
  <c r="AB47" i="49"/>
  <c r="M47" i="49"/>
  <c r="BF46" i="49"/>
  <c r="AQ46" i="49"/>
  <c r="AB46" i="49"/>
  <c r="M46" i="49"/>
  <c r="BF45" i="49"/>
  <c r="AQ45" i="49"/>
  <c r="AB45" i="49"/>
  <c r="M45" i="49"/>
  <c r="BF44" i="49"/>
  <c r="AQ44" i="49"/>
  <c r="AB44" i="49"/>
  <c r="M44" i="49"/>
  <c r="BF43" i="49"/>
  <c r="AQ43" i="49"/>
  <c r="AB43" i="49"/>
  <c r="M43" i="49"/>
  <c r="BF42" i="49"/>
  <c r="AQ42" i="49"/>
  <c r="AB42" i="49"/>
  <c r="M42" i="49"/>
  <c r="BF41" i="49"/>
  <c r="AQ41" i="49"/>
  <c r="AB41" i="49"/>
  <c r="M41" i="49"/>
  <c r="BF40" i="49"/>
  <c r="AQ40" i="49"/>
  <c r="AB40" i="49"/>
  <c r="M40" i="49"/>
  <c r="BF39" i="49"/>
  <c r="AQ39" i="49"/>
  <c r="AB39" i="49"/>
  <c r="M39" i="49"/>
  <c r="BF38" i="49"/>
  <c r="AQ38" i="49"/>
  <c r="AB38" i="49"/>
  <c r="M38" i="49"/>
  <c r="BF37" i="49"/>
  <c r="AQ37" i="49"/>
  <c r="AB37" i="49"/>
  <c r="M37" i="49"/>
  <c r="BF36" i="49"/>
  <c r="AQ36" i="49"/>
  <c r="AB36" i="49"/>
  <c r="M36" i="49"/>
  <c r="BF35" i="49"/>
  <c r="AQ35" i="49"/>
  <c r="AB35" i="49"/>
  <c r="M35" i="49"/>
  <c r="BF34" i="49"/>
  <c r="AQ34" i="49"/>
  <c r="AB34" i="49"/>
  <c r="M34" i="49"/>
  <c r="BF33" i="49"/>
  <c r="AQ33" i="49"/>
  <c r="AB33" i="49"/>
  <c r="M33" i="49"/>
  <c r="BF32" i="49"/>
  <c r="AQ32" i="49"/>
  <c r="AB32" i="49"/>
  <c r="M32" i="49"/>
  <c r="BF31" i="49"/>
  <c r="AQ31" i="49"/>
  <c r="AB31" i="49"/>
  <c r="M31" i="49"/>
  <c r="BF30" i="49"/>
  <c r="AQ30" i="49"/>
  <c r="AB30" i="49"/>
  <c r="M30" i="49"/>
  <c r="BF29" i="49"/>
  <c r="AQ29" i="49"/>
  <c r="AB29" i="49"/>
  <c r="M29" i="49"/>
  <c r="BF28" i="49"/>
  <c r="AQ28" i="49"/>
  <c r="AB28" i="49"/>
  <c r="M28" i="49"/>
  <c r="BF27" i="49"/>
  <c r="AQ27" i="49"/>
  <c r="AB27" i="49"/>
  <c r="M27" i="49"/>
  <c r="BF26" i="49"/>
  <c r="AQ26" i="49"/>
  <c r="AB26" i="49"/>
  <c r="M26" i="49"/>
  <c r="BF25" i="49"/>
  <c r="AQ25" i="49"/>
  <c r="AB25" i="49"/>
  <c r="M25" i="49"/>
  <c r="BF24" i="49"/>
  <c r="AQ24" i="49"/>
  <c r="AB24" i="49"/>
  <c r="M24" i="49"/>
  <c r="BF23" i="49"/>
  <c r="AQ23" i="49"/>
  <c r="AB23" i="49"/>
  <c r="M23" i="49"/>
  <c r="BF22" i="49"/>
  <c r="AQ22" i="49"/>
  <c r="AB22" i="49"/>
  <c r="M22" i="49"/>
  <c r="BF21" i="49"/>
  <c r="AQ21" i="49"/>
  <c r="AB21" i="49"/>
  <c r="M21" i="49"/>
  <c r="BF20" i="49"/>
  <c r="AQ20" i="49"/>
  <c r="AB20" i="49"/>
  <c r="M20" i="49"/>
  <c r="BF19" i="49"/>
  <c r="AQ19" i="49"/>
  <c r="AB19" i="49"/>
  <c r="M19" i="49"/>
  <c r="BF18" i="49"/>
  <c r="AQ18" i="49"/>
  <c r="AB18" i="49"/>
  <c r="M18" i="49"/>
  <c r="BF17" i="49"/>
  <c r="AQ17" i="49"/>
  <c r="AB17" i="49"/>
  <c r="M17" i="49"/>
  <c r="BF16" i="49"/>
  <c r="AQ16" i="49"/>
  <c r="AB16" i="49"/>
  <c r="M16" i="49"/>
  <c r="BF15" i="49"/>
  <c r="AQ15" i="49"/>
  <c r="AB15" i="49"/>
  <c r="M15" i="49"/>
  <c r="BF14" i="49"/>
  <c r="AQ14" i="49"/>
  <c r="AB14" i="49"/>
  <c r="M14" i="49"/>
  <c r="BF13" i="49"/>
  <c r="AQ13" i="49"/>
  <c r="AB13" i="49"/>
  <c r="M13" i="49"/>
  <c r="BF12" i="49"/>
  <c r="AQ12" i="49"/>
  <c r="AB12" i="49"/>
  <c r="M12" i="49"/>
  <c r="BF11" i="49"/>
  <c r="AQ11" i="49"/>
  <c r="AB11" i="49"/>
  <c r="M11" i="49"/>
  <c r="BF10" i="49"/>
  <c r="AQ10" i="49"/>
  <c r="AB10" i="49"/>
  <c r="M10" i="49"/>
  <c r="BF9" i="49"/>
  <c r="AQ9" i="49"/>
  <c r="AB9" i="49"/>
  <c r="M9" i="49"/>
  <c r="BF8" i="49"/>
  <c r="AQ8" i="49"/>
  <c r="AB8" i="49"/>
  <c r="M8" i="49"/>
  <c r="BF7" i="49"/>
  <c r="AQ7" i="49"/>
  <c r="AB7" i="49"/>
  <c r="M7" i="49"/>
  <c r="BF6" i="49"/>
  <c r="AQ6" i="49"/>
  <c r="AB6" i="49"/>
  <c r="M6" i="49"/>
  <c r="BF5" i="49"/>
  <c r="AQ5" i="49"/>
  <c r="AB5" i="49"/>
  <c r="M5" i="49"/>
  <c r="BF4" i="49"/>
  <c r="AQ4" i="49"/>
  <c r="AB4" i="49"/>
  <c r="M4" i="49"/>
  <c r="X2" i="14"/>
  <c r="T2" i="14"/>
  <c r="M7" i="11" s="1"/>
  <c r="L261" i="24" s="1"/>
  <c r="LR3" i="9"/>
  <c r="LR4" i="9" s="1"/>
  <c r="LQ3" i="9"/>
  <c r="ID2" i="9"/>
  <c r="DX2" i="9"/>
  <c r="DT2" i="9"/>
  <c r="DS2" i="9"/>
  <c r="DP2" i="9"/>
  <c r="DQ2" i="9" s="1"/>
  <c r="DR2" i="9" s="1"/>
  <c r="CD2" i="9"/>
  <c r="G37" i="3" s="1"/>
  <c r="E37" i="3" s="1"/>
  <c r="CC2" i="9"/>
  <c r="CB2" i="9"/>
  <c r="BY2" i="9"/>
  <c r="BA21" i="13"/>
  <c r="AQ21" i="13"/>
  <c r="BA20" i="13"/>
  <c r="AQ20" i="13"/>
  <c r="BA19" i="13"/>
  <c r="AQ19" i="13"/>
  <c r="BA18" i="13"/>
  <c r="AQ18" i="13"/>
  <c r="BA17" i="13"/>
  <c r="AQ17" i="13"/>
  <c r="BA16" i="13"/>
  <c r="AQ16" i="13"/>
  <c r="BA15" i="13"/>
  <c r="AQ15" i="13"/>
  <c r="BA14" i="13"/>
  <c r="AQ14" i="13"/>
  <c r="BA13" i="13"/>
  <c r="AQ13" i="13"/>
  <c r="BA12" i="13"/>
  <c r="AQ12" i="13"/>
  <c r="BA11" i="13"/>
  <c r="AQ11" i="13"/>
  <c r="BA10" i="13"/>
  <c r="AQ10" i="13"/>
  <c r="BA9" i="13"/>
  <c r="AQ9" i="13"/>
  <c r="BA8" i="13"/>
  <c r="AQ8" i="13"/>
  <c r="BA7" i="13"/>
  <c r="AQ7" i="13"/>
  <c r="BA6" i="13"/>
  <c r="AQ6" i="13"/>
  <c r="BA5" i="13"/>
  <c r="AQ5" i="13"/>
  <c r="BA4" i="13"/>
  <c r="AQ4" i="13"/>
  <c r="BA2" i="13"/>
  <c r="AQ2" i="13"/>
  <c r="H51" i="3"/>
  <c r="G51" i="3"/>
  <c r="G30" i="3"/>
  <c r="E28" i="3"/>
  <c r="H16" i="3"/>
  <c r="G16" i="3"/>
  <c r="F4" i="60" a="1"/>
  <c r="E4" i="60" a="1"/>
  <c r="A4" i="60"/>
  <c r="AD3" i="60"/>
  <c r="AF1" i="60"/>
  <c r="BC15" i="62"/>
  <c r="BB15" i="62"/>
  <c r="BC14" i="62"/>
  <c r="BB14" i="62"/>
  <c r="BC12" i="62"/>
  <c r="BB12" i="62"/>
  <c r="BQ11" i="62"/>
  <c r="BR11" i="62" s="1"/>
  <c r="BC11" i="62"/>
  <c r="BB11" i="62"/>
  <c r="BQ10" i="62"/>
  <c r="BR10" i="62" s="1"/>
  <c r="BQ9" i="62"/>
  <c r="BR9" i="62" s="1"/>
  <c r="BC9" i="62"/>
  <c r="BB9" i="62"/>
  <c r="E9" i="62"/>
  <c r="BQ8" i="62"/>
  <c r="BR8" i="62" s="1"/>
  <c r="BC8" i="62"/>
  <c r="BB8" i="62"/>
  <c r="E8" i="62"/>
  <c r="BQ7" i="62"/>
  <c r="BR7" i="62" s="1"/>
  <c r="BQ6" i="62"/>
  <c r="BR6" i="62" s="1"/>
  <c r="BC6" i="62"/>
  <c r="BB6" i="62"/>
  <c r="E6" i="62"/>
  <c r="BQ5" i="62"/>
  <c r="BR5" i="62" s="1"/>
  <c r="BC5" i="62"/>
  <c r="BB5" i="62"/>
  <c r="E5" i="62"/>
  <c r="BQ4" i="62"/>
  <c r="BR4" i="62" s="1"/>
  <c r="AA4" i="62"/>
  <c r="AB4" i="62" s="1"/>
  <c r="E4" i="62"/>
  <c r="BQ3" i="62"/>
  <c r="BR3" i="62" s="1"/>
  <c r="BC3" i="62"/>
  <c r="F27" i="62" s="1"/>
  <c r="BB3" i="62"/>
  <c r="AA3" i="62"/>
  <c r="AB3" i="62" s="1"/>
  <c r="E3" i="62"/>
  <c r="BQ2" i="62"/>
  <c r="BR2" i="62" s="1"/>
  <c r="BC2" i="62"/>
  <c r="BB2" i="62"/>
  <c r="AA2" i="62"/>
  <c r="AB2" i="62" s="1"/>
  <c r="E2" i="62"/>
  <c r="N26" i="35"/>
  <c r="L195" i="31" s="1"/>
  <c r="AP12" i="35"/>
  <c r="L13" i="33" s="1"/>
  <c r="AU6" i="35"/>
  <c r="L54" i="33" s="1"/>
  <c r="P6" i="35"/>
  <c r="L107" i="31" s="1"/>
  <c r="AU5" i="35"/>
  <c r="L53" i="33" s="1"/>
  <c r="AU4" i="35"/>
  <c r="L52" i="33" s="1"/>
  <c r="P2" i="35"/>
  <c r="L106" i="31" s="1"/>
  <c r="L45" i="31"/>
  <c r="P1" i="35"/>
  <c r="L105" i="31" s="1"/>
  <c r="M36" i="11"/>
  <c r="M35" i="11"/>
  <c r="M34" i="11"/>
  <c r="J34" i="11"/>
  <c r="L27" i="11"/>
  <c r="L151" i="24" s="1"/>
  <c r="K27" i="11"/>
  <c r="J27" i="11"/>
  <c r="L152" i="24" s="1"/>
  <c r="F16" i="11"/>
  <c r="E16" i="11"/>
  <c r="D16" i="11"/>
  <c r="C16" i="11"/>
  <c r="F15" i="11"/>
  <c r="E15" i="11"/>
  <c r="D15" i="11"/>
  <c r="C15" i="11"/>
  <c r="F14" i="11"/>
  <c r="E14" i="11"/>
  <c r="D14" i="11"/>
  <c r="C14" i="11"/>
  <c r="CP13" i="11" a="1"/>
  <c r="F13" i="11"/>
  <c r="E13" i="11"/>
  <c r="D13" i="11"/>
  <c r="C13" i="11"/>
  <c r="F12" i="11"/>
  <c r="E12" i="11"/>
  <c r="D12" i="11"/>
  <c r="C12" i="11"/>
  <c r="AI11" i="11"/>
  <c r="AH11" i="11"/>
  <c r="F11" i="11"/>
  <c r="E11" i="11"/>
  <c r="D11" i="11"/>
  <c r="C11" i="11"/>
  <c r="AI10" i="11"/>
  <c r="AH10" i="11"/>
  <c r="F10" i="11"/>
  <c r="E10" i="11"/>
  <c r="D10" i="11"/>
  <c r="C10" i="11"/>
  <c r="DS9" i="11"/>
  <c r="L65" i="32" s="1"/>
  <c r="AI9" i="11"/>
  <c r="AH9" i="11"/>
  <c r="F9" i="11"/>
  <c r="E9" i="11"/>
  <c r="D9" i="11"/>
  <c r="C9" i="11"/>
  <c r="AI8" i="11"/>
  <c r="AH8" i="11"/>
  <c r="F8" i="11"/>
  <c r="E8" i="11"/>
  <c r="D8" i="11"/>
  <c r="C8" i="11"/>
  <c r="DF7" i="11"/>
  <c r="L331" i="24" s="1"/>
  <c r="AI7" i="11"/>
  <c r="AH7" i="11"/>
  <c r="F7" i="11"/>
  <c r="E7" i="11"/>
  <c r="D7" i="11"/>
  <c r="C7" i="11"/>
  <c r="DS6" i="11"/>
  <c r="DF6" i="11"/>
  <c r="L228" i="24" s="1"/>
  <c r="CP6" i="11" a="1"/>
  <c r="AI6" i="11"/>
  <c r="AH6" i="11"/>
  <c r="DF5" i="11"/>
  <c r="L303" i="24" s="1"/>
  <c r="AI5" i="11"/>
  <c r="AH5" i="11"/>
  <c r="AI4" i="11"/>
  <c r="AH4" i="11"/>
  <c r="DA3" i="11"/>
  <c r="L185" i="24" s="1"/>
  <c r="AI3" i="11"/>
  <c r="AH3" i="11"/>
  <c r="L4" i="24"/>
  <c r="DS2" i="11"/>
  <c r="L64" i="32" s="1"/>
  <c r="DA2" i="11"/>
  <c r="L184" i="24" s="1"/>
  <c r="CV2" i="11"/>
  <c r="L38" i="24" s="1"/>
  <c r="L260" i="24"/>
  <c r="AI2" i="11"/>
  <c r="AH2" i="11"/>
  <c r="DX1" i="11"/>
  <c r="L13" i="32" s="1"/>
  <c r="DS1" i="11"/>
  <c r="DF1" i="11"/>
  <c r="L148" i="24" s="1"/>
  <c r="CV1" i="11"/>
  <c r="L37" i="24" s="1"/>
  <c r="S37" i="24" s="1"/>
  <c r="C36" i="2"/>
  <c r="C37" i="2" s="1"/>
  <c r="E50" i="3" s="1"/>
  <c r="C23" i="2"/>
  <c r="C22" i="2"/>
  <c r="T15" i="2"/>
  <c r="U15" i="2" s="1"/>
  <c r="T14" i="2"/>
  <c r="U14" i="2" s="1"/>
  <c r="T13" i="2"/>
  <c r="U13" i="2" s="1"/>
  <c r="T12" i="2"/>
  <c r="U12" i="2" s="1"/>
  <c r="T11" i="2"/>
  <c r="U11" i="2" s="1"/>
  <c r="T10" i="2"/>
  <c r="U10" i="2" s="1"/>
  <c r="T9" i="2"/>
  <c r="U9" i="2" s="1"/>
  <c r="T8" i="2"/>
  <c r="U8" i="2" s="1"/>
  <c r="T7" i="2"/>
  <c r="U7" i="2" s="1"/>
  <c r="T6" i="2"/>
  <c r="U6" i="2" s="1"/>
  <c r="T5" i="2"/>
  <c r="U5" i="2" s="1"/>
  <c r="C5" i="2"/>
  <c r="J4" i="11" s="1"/>
  <c r="T4" i="2"/>
  <c r="U4" i="2" s="1"/>
  <c r="C4" i="2"/>
  <c r="J3" i="11" s="1"/>
  <c r="T3" i="2"/>
  <c r="U3" i="2" s="1"/>
  <c r="T2" i="2"/>
  <c r="U2" i="2" s="1"/>
  <c r="K2" i="2"/>
  <c r="BC24" i="10"/>
  <c r="BC23" i="10"/>
  <c r="BC22" i="10"/>
  <c r="BC21" i="10"/>
  <c r="J5" i="10"/>
  <c r="J6" i="10" s="1"/>
  <c r="I5" i="10"/>
  <c r="AX2" i="10"/>
  <c r="E11" i="5"/>
  <c r="P7" i="60" l="1"/>
  <c r="P5" i="60"/>
  <c r="P6" i="60"/>
  <c r="J6" i="60"/>
  <c r="K6" i="60"/>
  <c r="G7" i="60"/>
  <c r="H7" i="60"/>
  <c r="I7" i="60"/>
  <c r="AB5" i="60"/>
  <c r="AC5" i="60" s="1"/>
  <c r="AB7" i="60"/>
  <c r="J7" i="60"/>
  <c r="G5" i="60"/>
  <c r="K7" i="60"/>
  <c r="Q7" i="60" s="1"/>
  <c r="H5" i="60"/>
  <c r="I5" i="60"/>
  <c r="B5" i="60"/>
  <c r="J5" i="60"/>
  <c r="K5" i="60"/>
  <c r="B6" i="60"/>
  <c r="AB6" i="60"/>
  <c r="G6" i="60"/>
  <c r="H6" i="60"/>
  <c r="I6" i="60"/>
  <c r="B7" i="60"/>
  <c r="L150" i="24"/>
  <c r="M27" i="11"/>
  <c r="DO18" i="14"/>
  <c r="DO24" i="14"/>
  <c r="A341" i="24"/>
  <c r="A342" i="24"/>
  <c r="A343" i="24"/>
  <c r="A210" i="31"/>
  <c r="A212" i="31"/>
  <c r="A211" i="31"/>
  <c r="AC1" i="46"/>
  <c r="DO14" i="14"/>
  <c r="Y2" i="14"/>
  <c r="Y93" i="14" s="1"/>
  <c r="BA1" i="11"/>
  <c r="BA3" i="11" s="1"/>
  <c r="L116" i="24" s="1"/>
  <c r="U7" i="35"/>
  <c r="L174" i="31" s="1"/>
  <c r="U8" i="35"/>
  <c r="L175" i="31" s="1"/>
  <c r="U9" i="35"/>
  <c r="L176" i="31" s="1"/>
  <c r="T10" i="35"/>
  <c r="L188" i="31" s="1"/>
  <c r="U10" i="35"/>
  <c r="L177" i="31" s="1"/>
  <c r="U11" i="35"/>
  <c r="L178" i="31" s="1"/>
  <c r="U12" i="35"/>
  <c r="L179" i="31" s="1"/>
  <c r="T13" i="35"/>
  <c r="L191" i="31" s="1"/>
  <c r="T14" i="35"/>
  <c r="L192" i="31" s="1"/>
  <c r="T15" i="35"/>
  <c r="L193" i="31" s="1"/>
  <c r="T16" i="35"/>
  <c r="L194" i="31" s="1"/>
  <c r="U13" i="35"/>
  <c r="L180" i="31" s="1"/>
  <c r="U14" i="35"/>
  <c r="L181" i="31" s="1"/>
  <c r="U15" i="35"/>
  <c r="L182" i="31" s="1"/>
  <c r="U16" i="35"/>
  <c r="L183" i="31" s="1"/>
  <c r="T17" i="35"/>
  <c r="T8" i="35"/>
  <c r="L186" i="31" s="1"/>
  <c r="T9" i="35"/>
  <c r="L187" i="31" s="1"/>
  <c r="T11" i="35"/>
  <c r="L189" i="31" s="1"/>
  <c r="U17" i="35"/>
  <c r="T18" i="35"/>
  <c r="T6" i="35"/>
  <c r="U18" i="35"/>
  <c r="T12" i="35"/>
  <c r="L190" i="31" s="1"/>
  <c r="U6" i="35"/>
  <c r="T7" i="35"/>
  <c r="L185" i="31" s="1"/>
  <c r="G23" i="3"/>
  <c r="I23" i="3" s="1"/>
  <c r="E23" i="3" s="1"/>
  <c r="K2" i="35"/>
  <c r="J2" i="58"/>
  <c r="J31" i="58"/>
  <c r="J30" i="58"/>
  <c r="BZ2" i="9"/>
  <c r="K43" i="35" s="1"/>
  <c r="L43" i="31" s="1"/>
  <c r="A307" i="24"/>
  <c r="A3" i="24"/>
  <c r="A208" i="31"/>
  <c r="A209" i="31"/>
  <c r="H36" i="3"/>
  <c r="A106" i="24"/>
  <c r="A107" i="24"/>
  <c r="A108" i="24"/>
  <c r="A109" i="24"/>
  <c r="A110" i="24"/>
  <c r="A111" i="24"/>
  <c r="A112" i="24"/>
  <c r="A113" i="24"/>
  <c r="A114" i="24"/>
  <c r="A115" i="24"/>
  <c r="A2" i="24"/>
  <c r="A312" i="24"/>
  <c r="A117" i="24"/>
  <c r="A118" i="24"/>
  <c r="A274" i="24"/>
  <c r="A270" i="24"/>
  <c r="A269" i="24"/>
  <c r="A268" i="24"/>
  <c r="A267" i="24"/>
  <c r="A266" i="24"/>
  <c r="A265" i="24"/>
  <c r="A264" i="24"/>
  <c r="A263" i="24"/>
  <c r="A273" i="24"/>
  <c r="A272" i="24"/>
  <c r="A271" i="24"/>
  <c r="A286" i="24"/>
  <c r="A282" i="24"/>
  <c r="A281" i="24"/>
  <c r="A280" i="24"/>
  <c r="A279" i="24"/>
  <c r="A278" i="24"/>
  <c r="A277" i="24"/>
  <c r="A276" i="24"/>
  <c r="A275" i="24"/>
  <c r="A285" i="24"/>
  <c r="A284" i="24"/>
  <c r="A283" i="24"/>
  <c r="L63" i="32"/>
  <c r="DS3" i="11"/>
  <c r="A207" i="31"/>
  <c r="A199" i="31"/>
  <c r="A206" i="31"/>
  <c r="A198" i="31"/>
  <c r="A205" i="31"/>
  <c r="A197" i="31"/>
  <c r="A200" i="31"/>
  <c r="A203" i="31"/>
  <c r="A195" i="31"/>
  <c r="A202" i="31"/>
  <c r="A201" i="31"/>
  <c r="A204" i="31"/>
  <c r="A196" i="31"/>
  <c r="AG5" i="60"/>
  <c r="AG6" i="60" s="1"/>
  <c r="G13" i="3"/>
  <c r="E13" i="3" s="1"/>
  <c r="G13" i="46"/>
  <c r="I51" i="3"/>
  <c r="A210" i="24"/>
  <c r="A208" i="24"/>
  <c r="A211" i="24"/>
  <c r="A209" i="24"/>
  <c r="A207" i="24"/>
  <c r="A199" i="24"/>
  <c r="A198" i="24"/>
  <c r="A197" i="24"/>
  <c r="A196" i="24"/>
  <c r="AI12" i="11"/>
  <c r="AH3" i="60"/>
  <c r="AH4" i="60" s="1"/>
  <c r="A174" i="31"/>
  <c r="A137" i="31"/>
  <c r="A127" i="31"/>
  <c r="A132" i="31"/>
  <c r="A190" i="24"/>
  <c r="A195" i="24"/>
  <c r="M6" i="11"/>
  <c r="C15" i="46"/>
  <c r="D27" i="62"/>
  <c r="H32" i="3"/>
  <c r="I32" i="3" s="1"/>
  <c r="E32" i="3" s="1"/>
  <c r="J24" i="58"/>
  <c r="L186" i="24"/>
  <c r="H1" i="58"/>
  <c r="L5" i="24"/>
  <c r="D19" i="62"/>
  <c r="L123" i="31"/>
  <c r="A2" i="31"/>
  <c r="A65" i="33"/>
  <c r="A38" i="33"/>
  <c r="A77" i="32"/>
  <c r="A4" i="32"/>
  <c r="A60" i="32"/>
  <c r="A104" i="24"/>
  <c r="A328" i="24"/>
  <c r="A48" i="24"/>
  <c r="A100" i="24"/>
  <c r="A338" i="24"/>
  <c r="A164" i="24"/>
  <c r="A156" i="24"/>
  <c r="A131" i="24"/>
  <c r="A123" i="24"/>
  <c r="A81" i="24"/>
  <c r="A226" i="24"/>
  <c r="A216" i="24"/>
  <c r="A301" i="24"/>
  <c r="A295" i="24"/>
  <c r="A291" i="24"/>
  <c r="A10" i="24"/>
  <c r="A252" i="24"/>
  <c r="A246" i="24"/>
  <c r="A236" i="24"/>
  <c r="A230" i="24"/>
  <c r="A84" i="24"/>
  <c r="A82" i="24"/>
  <c r="A46" i="24"/>
  <c r="A79" i="24"/>
  <c r="A78" i="24"/>
  <c r="A76" i="24"/>
  <c r="A75" i="24"/>
  <c r="A74" i="24"/>
  <c r="A73" i="24"/>
  <c r="A71" i="24"/>
  <c r="A69" i="24"/>
  <c r="A66" i="24"/>
  <c r="A63" i="24"/>
  <c r="A62" i="24"/>
  <c r="A61" i="24"/>
  <c r="A55" i="24"/>
  <c r="A52" i="24"/>
  <c r="A49" i="24"/>
  <c r="A47" i="24"/>
  <c r="A45" i="24"/>
  <c r="A43" i="24"/>
  <c r="A41" i="24"/>
  <c r="A44" i="24"/>
  <c r="A42" i="24"/>
  <c r="A39" i="24"/>
  <c r="A58" i="24"/>
  <c r="A194" i="24"/>
  <c r="A187" i="24"/>
  <c r="A334" i="24"/>
  <c r="A331" i="24"/>
  <c r="A259" i="24"/>
  <c r="A30" i="24"/>
  <c r="A178" i="24"/>
  <c r="A170" i="24"/>
  <c r="A162" i="24"/>
  <c r="A158" i="24"/>
  <c r="A141" i="24"/>
  <c r="A135" i="24"/>
  <c r="A125" i="24"/>
  <c r="A330" i="24"/>
  <c r="A224" i="24"/>
  <c r="A220" i="24"/>
  <c r="A218" i="24"/>
  <c r="A212" i="24"/>
  <c r="A18" i="24"/>
  <c r="A16" i="24"/>
  <c r="A12" i="24"/>
  <c r="A248" i="24"/>
  <c r="A240" i="24"/>
  <c r="A93" i="24"/>
  <c r="A89" i="24"/>
  <c r="A88" i="24"/>
  <c r="A87" i="24"/>
  <c r="A86" i="24"/>
  <c r="A85" i="24"/>
  <c r="A83" i="24"/>
  <c r="A80" i="24"/>
  <c r="A77" i="24"/>
  <c r="A72" i="24"/>
  <c r="A70" i="24"/>
  <c r="A68" i="24"/>
  <c r="A67" i="24"/>
  <c r="A65" i="24"/>
  <c r="A64" i="24"/>
  <c r="A60" i="24"/>
  <c r="A59" i="24"/>
  <c r="A57" i="24"/>
  <c r="A56" i="24"/>
  <c r="A54" i="24"/>
  <c r="A53" i="24"/>
  <c r="A51" i="24"/>
  <c r="A50" i="24"/>
  <c r="A11" i="31"/>
  <c r="A21" i="31"/>
  <c r="A43" i="31"/>
  <c r="A95" i="31"/>
  <c r="A117" i="31"/>
  <c r="A128" i="31"/>
  <c r="A190" i="31"/>
  <c r="A40" i="32"/>
  <c r="A54" i="32"/>
  <c r="A64" i="33"/>
  <c r="A31" i="31"/>
  <c r="A53" i="31"/>
  <c r="A63" i="31"/>
  <c r="A123" i="31"/>
  <c r="A135" i="31"/>
  <c r="A146" i="31"/>
  <c r="A232" i="24"/>
  <c r="A238" i="24"/>
  <c r="A244" i="24"/>
  <c r="A287" i="24"/>
  <c r="A293" i="24"/>
  <c r="A299" i="24"/>
  <c r="A315" i="24"/>
  <c r="A322" i="24"/>
  <c r="A147" i="24"/>
  <c r="A150" i="24"/>
  <c r="A6" i="24"/>
  <c r="A22" i="24"/>
  <c r="A94" i="24"/>
  <c r="A3" i="31"/>
  <c r="A5" i="31"/>
  <c r="A15" i="31"/>
  <c r="A75" i="31"/>
  <c r="A85" i="31"/>
  <c r="A107" i="31"/>
  <c r="A184" i="31"/>
  <c r="A194" i="31"/>
  <c r="A20" i="32"/>
  <c r="A30" i="32"/>
  <c r="A48" i="32"/>
  <c r="A78" i="32"/>
  <c r="A6" i="33"/>
  <c r="A32" i="33"/>
  <c r="A46" i="33"/>
  <c r="A59" i="31"/>
  <c r="A69" i="31"/>
  <c r="A79" i="31"/>
  <c r="A142" i="31"/>
  <c r="A152" i="31"/>
  <c r="A172" i="31"/>
  <c r="A14" i="32"/>
  <c r="A24" i="32"/>
  <c r="A14" i="33"/>
  <c r="CF2" i="9"/>
  <c r="I16" i="3"/>
  <c r="E16" i="3" s="1"/>
  <c r="I5" i="46"/>
  <c r="K5" i="46" s="1"/>
  <c r="L131" i="31" s="1"/>
  <c r="A311" i="24"/>
  <c r="A304" i="24"/>
  <c r="A5" i="24"/>
  <c r="A201" i="24"/>
  <c r="A204" i="24"/>
  <c r="A303" i="24"/>
  <c r="A257" i="24"/>
  <c r="A28" i="24"/>
  <c r="A102" i="24"/>
  <c r="A96" i="24"/>
  <c r="A309" i="24"/>
  <c r="A23" i="24"/>
  <c r="A192" i="24"/>
  <c r="A336" i="24"/>
  <c r="A37" i="24"/>
  <c r="A32" i="24"/>
  <c r="A180" i="24"/>
  <c r="A174" i="24"/>
  <c r="A154" i="24"/>
  <c r="A254" i="24"/>
  <c r="A139" i="24"/>
  <c r="A133" i="24"/>
  <c r="A127" i="24"/>
  <c r="A318" i="24"/>
  <c r="A316" i="24"/>
  <c r="A227" i="24"/>
  <c r="A225" i="24"/>
  <c r="A223" i="24"/>
  <c r="A221" i="24"/>
  <c r="A219" i="24"/>
  <c r="A217" i="24"/>
  <c r="A215" i="24"/>
  <c r="A213" i="24"/>
  <c r="A302" i="24"/>
  <c r="A300" i="24"/>
  <c r="A298" i="24"/>
  <c r="A296" i="24"/>
  <c r="A294" i="24"/>
  <c r="A292" i="24"/>
  <c r="A290" i="24"/>
  <c r="A288" i="24"/>
  <c r="A19" i="24"/>
  <c r="A17" i="24"/>
  <c r="A15" i="24"/>
  <c r="A13" i="24"/>
  <c r="A11" i="24"/>
  <c r="A253" i="24"/>
  <c r="A251" i="24"/>
  <c r="A249" i="24"/>
  <c r="A247" i="24"/>
  <c r="A245" i="24"/>
  <c r="A243" i="24"/>
  <c r="A241" i="24"/>
  <c r="A239" i="24"/>
  <c r="A237" i="24"/>
  <c r="A235" i="24"/>
  <c r="A233" i="24"/>
  <c r="A231" i="24"/>
  <c r="A229" i="24"/>
  <c r="A92" i="24"/>
  <c r="A90" i="24"/>
  <c r="A91" i="24"/>
  <c r="A234" i="24"/>
  <c r="A242" i="24"/>
  <c r="A250" i="24"/>
  <c r="A14" i="24"/>
  <c r="A289" i="24"/>
  <c r="A297" i="24"/>
  <c r="A214" i="24"/>
  <c r="A222" i="24"/>
  <c r="A317" i="24"/>
  <c r="A320" i="24"/>
  <c r="A326" i="24"/>
  <c r="A143" i="24"/>
  <c r="A166" i="24"/>
  <c r="A172" i="24"/>
  <c r="A182" i="24"/>
  <c r="A36" i="24"/>
  <c r="A184" i="24"/>
  <c r="A116" i="24"/>
  <c r="A305" i="24"/>
  <c r="A193" i="31"/>
  <c r="A192" i="31"/>
  <c r="A186" i="31"/>
  <c r="A164" i="31"/>
  <c r="A160" i="31"/>
  <c r="A154" i="31"/>
  <c r="A133" i="31"/>
  <c r="A125" i="31"/>
  <c r="A119" i="31"/>
  <c r="A99" i="31"/>
  <c r="A93" i="31"/>
  <c r="A87" i="31"/>
  <c r="A67" i="31"/>
  <c r="A61" i="31"/>
  <c r="A55" i="31"/>
  <c r="A35" i="31"/>
  <c r="A29" i="31"/>
  <c r="A23" i="31"/>
  <c r="A182" i="31"/>
  <c r="A176" i="31"/>
  <c r="A168" i="31"/>
  <c r="A150" i="31"/>
  <c r="A144" i="31"/>
  <c r="A138" i="31"/>
  <c r="A115" i="31"/>
  <c r="A109" i="31"/>
  <c r="A103" i="31"/>
  <c r="A83" i="31"/>
  <c r="A77" i="31"/>
  <c r="A71" i="31"/>
  <c r="A51" i="31"/>
  <c r="A45" i="31"/>
  <c r="A39" i="31"/>
  <c r="A19" i="31"/>
  <c r="A13" i="31"/>
  <c r="A7" i="31"/>
  <c r="A27" i="31"/>
  <c r="A37" i="31"/>
  <c r="A47" i="31"/>
  <c r="A91" i="31"/>
  <c r="A101" i="31"/>
  <c r="A111" i="31"/>
  <c r="A158" i="31"/>
  <c r="A167" i="31"/>
  <c r="A178" i="31"/>
  <c r="U1" i="24"/>
  <c r="U1" i="31"/>
  <c r="A8" i="32"/>
  <c r="A36" i="32"/>
  <c r="A46" i="32"/>
  <c r="A52" i="32"/>
  <c r="A34" i="33"/>
  <c r="A40" i="33"/>
  <c r="A57" i="33"/>
  <c r="A16" i="32"/>
  <c r="A22" i="32"/>
  <c r="A28" i="32"/>
  <c r="A56" i="32"/>
  <c r="A62" i="32"/>
  <c r="A70" i="32"/>
  <c r="A8" i="33"/>
  <c r="A26" i="33"/>
  <c r="L42" i="24"/>
  <c r="J7" i="10"/>
  <c r="I7" i="10"/>
  <c r="U1" i="33"/>
  <c r="J4" i="58"/>
  <c r="J8" i="58"/>
  <c r="J9" i="58"/>
  <c r="J12" i="58"/>
  <c r="J15" i="58"/>
  <c r="J16" i="58"/>
  <c r="J18" i="58"/>
  <c r="J28" i="58"/>
  <c r="I6" i="10"/>
  <c r="J7" i="58"/>
  <c r="J11" i="58"/>
  <c r="J14" i="58"/>
  <c r="J27" i="58"/>
  <c r="J26" i="58"/>
  <c r="J25" i="58"/>
  <c r="J21" i="58"/>
  <c r="J17" i="58"/>
  <c r="J13" i="58"/>
  <c r="J3" i="58"/>
  <c r="A60" i="33"/>
  <c r="A52" i="33"/>
  <c r="A44" i="33"/>
  <c r="A36" i="33"/>
  <c r="A28" i="33"/>
  <c r="A20" i="33"/>
  <c r="A12" i="33"/>
  <c r="A4" i="33"/>
  <c r="A2" i="33"/>
  <c r="A18" i="33"/>
  <c r="A24" i="33"/>
  <c r="A30" i="33"/>
  <c r="A50" i="33"/>
  <c r="A56" i="33"/>
  <c r="A61" i="33"/>
  <c r="J6" i="58"/>
  <c r="J10" i="58"/>
  <c r="J20" i="58"/>
  <c r="L40" i="24"/>
  <c r="L229" i="24"/>
  <c r="A73" i="32"/>
  <c r="A66" i="32"/>
  <c r="A58" i="32"/>
  <c r="A50" i="32"/>
  <c r="A42" i="32"/>
  <c r="A34" i="32"/>
  <c r="A26" i="32"/>
  <c r="A18" i="32"/>
  <c r="A10" i="32"/>
  <c r="A6" i="32"/>
  <c r="A12" i="32"/>
  <c r="A32" i="32"/>
  <c r="A38" i="32"/>
  <c r="A44" i="32"/>
  <c r="A64" i="32"/>
  <c r="A69" i="32"/>
  <c r="A74" i="32"/>
  <c r="A10" i="33"/>
  <c r="A16" i="33"/>
  <c r="A22" i="33"/>
  <c r="A42" i="33"/>
  <c r="A48" i="33"/>
  <c r="A54" i="33"/>
  <c r="H1" i="34"/>
  <c r="J5" i="58"/>
  <c r="J19" i="58"/>
  <c r="J22" i="58"/>
  <c r="J23" i="58"/>
  <c r="J29" i="58"/>
  <c r="A324" i="24"/>
  <c r="A121" i="24"/>
  <c r="A129" i="24"/>
  <c r="A137" i="24"/>
  <c r="A145" i="24"/>
  <c r="A152" i="24"/>
  <c r="A160" i="24"/>
  <c r="A168" i="24"/>
  <c r="A176" i="24"/>
  <c r="A4" i="24"/>
  <c r="A26" i="24"/>
  <c r="A34" i="24"/>
  <c r="A149" i="24"/>
  <c r="A339" i="24"/>
  <c r="A332" i="24"/>
  <c r="A189" i="24"/>
  <c r="A206" i="24"/>
  <c r="A9" i="24"/>
  <c r="A310" i="24"/>
  <c r="A119" i="24"/>
  <c r="A98" i="24"/>
  <c r="A9" i="31"/>
  <c r="A17" i="31"/>
  <c r="A25" i="31"/>
  <c r="A33" i="31"/>
  <c r="A41" i="31"/>
  <c r="A49" i="31"/>
  <c r="A57" i="31"/>
  <c r="A65" i="31"/>
  <c r="A73" i="31"/>
  <c r="A81" i="31"/>
  <c r="A89" i="31"/>
  <c r="A97" i="31"/>
  <c r="A105" i="31"/>
  <c r="A113" i="31"/>
  <c r="A121" i="31"/>
  <c r="A130" i="31"/>
  <c r="A140" i="31"/>
  <c r="A148" i="31"/>
  <c r="A156" i="31"/>
  <c r="A163" i="31"/>
  <c r="A171" i="31"/>
  <c r="A180" i="31"/>
  <c r="A188" i="31"/>
  <c r="U1" i="32"/>
  <c r="AU2" i="14"/>
  <c r="AV2" i="14" s="1"/>
  <c r="D10" i="62"/>
  <c r="G10" i="62" s="1"/>
  <c r="E11" i="62"/>
  <c r="F26" i="62"/>
  <c r="F22" i="62"/>
  <c r="D23" i="62"/>
  <c r="E26" i="62"/>
  <c r="F25" i="62"/>
  <c r="D5" i="62"/>
  <c r="D25" i="62"/>
  <c r="D6" i="62"/>
  <c r="C9" i="62"/>
  <c r="C25" i="62"/>
  <c r="D8" i="62"/>
  <c r="E19" i="62"/>
  <c r="D20" i="62"/>
  <c r="D24" i="62"/>
  <c r="C26" i="62"/>
  <c r="D2" i="62"/>
  <c r="C3" i="62"/>
  <c r="D7" i="62"/>
  <c r="F19" i="62"/>
  <c r="E20" i="62"/>
  <c r="C21" i="62"/>
  <c r="D22" i="62"/>
  <c r="C23" i="62"/>
  <c r="E24" i="62"/>
  <c r="E25" i="62"/>
  <c r="D26" i="62"/>
  <c r="C4" i="62"/>
  <c r="C8" i="62"/>
  <c r="C20" i="62"/>
  <c r="E21" i="62"/>
  <c r="E23" i="62"/>
  <c r="C24" i="62"/>
  <c r="C2" i="62"/>
  <c r="D4" i="62"/>
  <c r="C7" i="62"/>
  <c r="D9" i="62"/>
  <c r="F21" i="62"/>
  <c r="C22" i="62"/>
  <c r="F23" i="62"/>
  <c r="D3" i="62"/>
  <c r="C5" i="62"/>
  <c r="C6" i="62"/>
  <c r="F20" i="62"/>
  <c r="D21" i="62"/>
  <c r="E22" i="62"/>
  <c r="F24" i="62"/>
  <c r="H31" i="3"/>
  <c r="H48" i="3"/>
  <c r="I48" i="3" s="1"/>
  <c r="E48" i="3" s="1"/>
  <c r="G2" i="3"/>
  <c r="E68" i="34"/>
  <c r="M37" i="11"/>
  <c r="L193" i="24"/>
  <c r="N5" i="46"/>
  <c r="P5" i="46" s="1"/>
  <c r="L136" i="31" s="1"/>
  <c r="H6" i="46"/>
  <c r="L231" i="24"/>
  <c r="G19" i="3"/>
  <c r="L230" i="24"/>
  <c r="L41" i="24"/>
  <c r="L232" i="24"/>
  <c r="E23" i="11"/>
  <c r="M2" i="58"/>
  <c r="A105" i="24"/>
  <c r="A103" i="24"/>
  <c r="A101" i="24"/>
  <c r="A99" i="24"/>
  <c r="A97" i="24"/>
  <c r="A95" i="24"/>
  <c r="A202" i="24"/>
  <c r="A314" i="24"/>
  <c r="A261" i="24"/>
  <c r="A308" i="24"/>
  <c r="A21" i="24"/>
  <c r="A25" i="24"/>
  <c r="A7" i="24"/>
  <c r="A200" i="24"/>
  <c r="A38" i="24"/>
  <c r="A205" i="24"/>
  <c r="A203" i="24"/>
  <c r="A193" i="24"/>
  <c r="A191" i="24"/>
  <c r="A188" i="24"/>
  <c r="A313" i="24"/>
  <c r="A335" i="24"/>
  <c r="A333" i="24"/>
  <c r="A340" i="24"/>
  <c r="A260" i="24"/>
  <c r="A35" i="24"/>
  <c r="A33" i="24"/>
  <c r="A31" i="24"/>
  <c r="A29" i="24"/>
  <c r="A27" i="24"/>
  <c r="A40" i="24"/>
  <c r="A306" i="24"/>
  <c r="A20" i="24"/>
  <c r="A24" i="24"/>
  <c r="A8" i="24"/>
  <c r="A337" i="24"/>
  <c r="A228" i="24"/>
  <c r="A185" i="24"/>
  <c r="A262" i="24"/>
  <c r="A148" i="24"/>
  <c r="A255" i="24"/>
  <c r="A186" i="24"/>
  <c r="A183" i="24"/>
  <c r="A181" i="24"/>
  <c r="A179" i="24"/>
  <c r="A177" i="24"/>
  <c r="A175" i="24"/>
  <c r="A173" i="24"/>
  <c r="A171" i="24"/>
  <c r="A169" i="24"/>
  <c r="A167" i="24"/>
  <c r="A165" i="24"/>
  <c r="A163" i="24"/>
  <c r="A161" i="24"/>
  <c r="A159" i="24"/>
  <c r="A157" i="24"/>
  <c r="A155" i="24"/>
  <c r="A153" i="24"/>
  <c r="A151" i="24"/>
  <c r="A256" i="24"/>
  <c r="A258" i="24"/>
  <c r="A146" i="24"/>
  <c r="A144" i="24"/>
  <c r="A142" i="24"/>
  <c r="A140" i="24"/>
  <c r="A138" i="24"/>
  <c r="A136" i="24"/>
  <c r="A134" i="24"/>
  <c r="A132" i="24"/>
  <c r="A130" i="24"/>
  <c r="A128" i="24"/>
  <c r="A126" i="24"/>
  <c r="A124" i="24"/>
  <c r="A122" i="24"/>
  <c r="A120" i="24"/>
  <c r="A329" i="24"/>
  <c r="A327" i="24"/>
  <c r="A325" i="24"/>
  <c r="A323" i="24"/>
  <c r="A321" i="24"/>
  <c r="A319" i="24"/>
  <c r="A75" i="32"/>
  <c r="A71" i="32"/>
  <c r="A67" i="32"/>
  <c r="A65" i="32"/>
  <c r="A63" i="32"/>
  <c r="A61" i="32"/>
  <c r="A59" i="32"/>
  <c r="A57" i="32"/>
  <c r="A55" i="32"/>
  <c r="A53" i="32"/>
  <c r="A51" i="32"/>
  <c r="A49" i="32"/>
  <c r="A47" i="32"/>
  <c r="A45" i="32"/>
  <c r="A43" i="32"/>
  <c r="A41" i="32"/>
  <c r="A39" i="32"/>
  <c r="A37" i="32"/>
  <c r="A35" i="32"/>
  <c r="A33" i="32"/>
  <c r="A31" i="32"/>
  <c r="A29" i="32"/>
  <c r="A27" i="32"/>
  <c r="A25" i="32"/>
  <c r="A23" i="32"/>
  <c r="A21" i="32"/>
  <c r="A19" i="32"/>
  <c r="A17" i="32"/>
  <c r="A15" i="32"/>
  <c r="A13" i="32"/>
  <c r="A11" i="32"/>
  <c r="A9" i="32"/>
  <c r="A7" i="32"/>
  <c r="A5" i="32"/>
  <c r="A76" i="32"/>
  <c r="A72" i="32"/>
  <c r="A68" i="32"/>
  <c r="A3" i="32"/>
  <c r="A66" i="33"/>
  <c r="A62" i="33"/>
  <c r="A58" i="33"/>
  <c r="A55" i="33"/>
  <c r="A53" i="33"/>
  <c r="A51" i="33"/>
  <c r="A49" i="33"/>
  <c r="A47" i="33"/>
  <c r="A45" i="33"/>
  <c r="A43" i="33"/>
  <c r="A41" i="33"/>
  <c r="A39" i="33"/>
  <c r="A37" i="33"/>
  <c r="A35" i="33"/>
  <c r="A33" i="33"/>
  <c r="A31" i="33"/>
  <c r="A29" i="33"/>
  <c r="A27" i="33"/>
  <c r="A25" i="33"/>
  <c r="A23" i="33"/>
  <c r="A21" i="33"/>
  <c r="A19" i="33"/>
  <c r="A17" i="33"/>
  <c r="A15" i="33"/>
  <c r="A13" i="33"/>
  <c r="A11" i="33"/>
  <c r="A9" i="33"/>
  <c r="A7" i="33"/>
  <c r="A5" i="33"/>
  <c r="A67" i="33"/>
  <c r="A63" i="33"/>
  <c r="A59" i="33"/>
  <c r="A3" i="33"/>
  <c r="A162" i="31"/>
  <c r="A166" i="31"/>
  <c r="A170" i="31"/>
  <c r="A4" i="31"/>
  <c r="A6" i="31"/>
  <c r="A8" i="31"/>
  <c r="A10" i="31"/>
  <c r="A12" i="31"/>
  <c r="A14" i="31"/>
  <c r="A16" i="31"/>
  <c r="A18" i="31"/>
  <c r="A20" i="31"/>
  <c r="A22" i="31"/>
  <c r="A24" i="31"/>
  <c r="A26" i="31"/>
  <c r="A28" i="31"/>
  <c r="A30" i="31"/>
  <c r="A32" i="31"/>
  <c r="A34" i="31"/>
  <c r="A36" i="31"/>
  <c r="A38" i="31"/>
  <c r="A40" i="31"/>
  <c r="A42" i="31"/>
  <c r="A44" i="31"/>
  <c r="A46" i="31"/>
  <c r="A48" i="31"/>
  <c r="A50" i="31"/>
  <c r="A52" i="31"/>
  <c r="A54" i="31"/>
  <c r="A56" i="31"/>
  <c r="A58" i="31"/>
  <c r="A60" i="31"/>
  <c r="A62" i="31"/>
  <c r="A64" i="31"/>
  <c r="A66" i="31"/>
  <c r="A68" i="31"/>
  <c r="A70" i="31"/>
  <c r="A72" i="31"/>
  <c r="A74" i="31"/>
  <c r="A76" i="31"/>
  <c r="A78" i="31"/>
  <c r="A80" i="31"/>
  <c r="A82" i="31"/>
  <c r="A84" i="31"/>
  <c r="A86" i="31"/>
  <c r="A88" i="31"/>
  <c r="A90" i="31"/>
  <c r="A92" i="31"/>
  <c r="A94" i="31"/>
  <c r="A96" i="31"/>
  <c r="A98" i="31"/>
  <c r="A100" i="31"/>
  <c r="A102" i="31"/>
  <c r="A104" i="31"/>
  <c r="A106" i="31"/>
  <c r="A108" i="31"/>
  <c r="A110" i="31"/>
  <c r="A112" i="31"/>
  <c r="A114" i="31"/>
  <c r="A116" i="31"/>
  <c r="A118" i="31"/>
  <c r="A120" i="31"/>
  <c r="A122" i="31"/>
  <c r="A124" i="31"/>
  <c r="A126" i="31"/>
  <c r="A129" i="31"/>
  <c r="A131" i="31"/>
  <c r="A134" i="31"/>
  <c r="A136" i="31"/>
  <c r="A139" i="31"/>
  <c r="A141" i="31"/>
  <c r="A143" i="31"/>
  <c r="A145" i="31"/>
  <c r="A147" i="31"/>
  <c r="A149" i="31"/>
  <c r="A151" i="31"/>
  <c r="A153" i="31"/>
  <c r="A155" i="31"/>
  <c r="A157" i="31"/>
  <c r="A159" i="31"/>
  <c r="A161" i="31"/>
  <c r="A165" i="31"/>
  <c r="A169" i="31"/>
  <c r="A173" i="31"/>
  <c r="A175" i="31"/>
  <c r="A177" i="31"/>
  <c r="A179" i="31"/>
  <c r="A181" i="31"/>
  <c r="A183" i="31"/>
  <c r="A185" i="31"/>
  <c r="A187" i="31"/>
  <c r="A189" i="31"/>
  <c r="A191" i="31"/>
  <c r="E2" i="3"/>
  <c r="K28" i="11"/>
  <c r="L153" i="24" s="1"/>
  <c r="L43" i="24"/>
  <c r="L28" i="11"/>
  <c r="L154" i="24" s="1"/>
  <c r="L29" i="11"/>
  <c r="L157" i="24" s="1"/>
  <c r="J30" i="11"/>
  <c r="L161" i="24" s="1"/>
  <c r="L137" i="24"/>
  <c r="J29" i="11"/>
  <c r="L158" i="24" s="1"/>
  <c r="K30" i="11"/>
  <c r="L159" i="24" s="1"/>
  <c r="J28" i="11"/>
  <c r="L155" i="24" s="1"/>
  <c r="K29" i="11"/>
  <c r="L156" i="24" s="1"/>
  <c r="L30" i="11"/>
  <c r="L160" i="24" s="1"/>
  <c r="CH35" i="11"/>
  <c r="E57" i="34"/>
  <c r="E69" i="34"/>
  <c r="E58" i="34"/>
  <c r="E59" i="34"/>
  <c r="E51" i="34"/>
  <c r="E53" i="34"/>
  <c r="E55" i="34"/>
  <c r="E61" i="34"/>
  <c r="E63" i="34"/>
  <c r="E65" i="34"/>
  <c r="E67" i="34"/>
  <c r="E11" i="34"/>
  <c r="E51" i="3"/>
  <c r="E12" i="34"/>
  <c r="E52" i="34"/>
  <c r="E54" i="34"/>
  <c r="E56" i="34"/>
  <c r="E62" i="34"/>
  <c r="E64" i="34"/>
  <c r="E66" i="34"/>
  <c r="E5" i="34"/>
  <c r="E7" i="34"/>
  <c r="E9" i="34"/>
  <c r="E4" i="34"/>
  <c r="E6" i="34"/>
  <c r="E8" i="34"/>
  <c r="E10" i="34"/>
  <c r="E18" i="3"/>
  <c r="L340" i="24"/>
  <c r="AU8" i="35"/>
  <c r="L55" i="33" s="1"/>
  <c r="T3" i="35"/>
  <c r="L138" i="31" s="1"/>
  <c r="E3" i="3"/>
  <c r="L205" i="24"/>
  <c r="L128" i="31"/>
  <c r="M6" i="46"/>
  <c r="L191" i="24"/>
  <c r="C6" i="46"/>
  <c r="C9" i="46"/>
  <c r="D23" i="11"/>
  <c r="E19" i="11"/>
  <c r="C25" i="11"/>
  <c r="R8" i="11" s="1"/>
  <c r="C20" i="11"/>
  <c r="R3" i="11" s="1"/>
  <c r="C28" i="11"/>
  <c r="R11" i="11" s="1"/>
  <c r="E21" i="11"/>
  <c r="C22" i="11"/>
  <c r="R5" i="11" s="1"/>
  <c r="D28" i="11"/>
  <c r="E27" i="11"/>
  <c r="E20" i="11"/>
  <c r="E22" i="11"/>
  <c r="E24" i="11"/>
  <c r="E25" i="11"/>
  <c r="D21" i="11"/>
  <c r="D27" i="11"/>
  <c r="C26" i="11"/>
  <c r="R9" i="11" s="1"/>
  <c r="C19" i="11"/>
  <c r="R2" i="11" s="1"/>
  <c r="D20" i="11"/>
  <c r="D22" i="11"/>
  <c r="C24" i="11"/>
  <c r="R7" i="11" s="1"/>
  <c r="D25" i="11"/>
  <c r="E26" i="11"/>
  <c r="E28" i="11"/>
  <c r="D19" i="11"/>
  <c r="C21" i="11"/>
  <c r="R4" i="11" s="1"/>
  <c r="C23" i="11"/>
  <c r="R6" i="11" s="1"/>
  <c r="D24" i="11"/>
  <c r="C27" i="11"/>
  <c r="R10" i="11" s="1"/>
  <c r="D26" i="11"/>
  <c r="K44" i="35"/>
  <c r="L44" i="31" s="1"/>
  <c r="DA1" i="11"/>
  <c r="L262" i="24" s="1"/>
  <c r="E6" i="3"/>
  <c r="DN1" i="11"/>
  <c r="L2" i="32" s="1"/>
  <c r="AP1" i="35"/>
  <c r="L2" i="33" s="1"/>
  <c r="AU1" i="35"/>
  <c r="L49" i="33" s="1"/>
  <c r="S13" i="11"/>
  <c r="M8" i="11"/>
  <c r="N4" i="46"/>
  <c r="P4" i="46" s="1"/>
  <c r="I4" i="46"/>
  <c r="K4" i="46" s="1"/>
  <c r="E26" i="3"/>
  <c r="LQ5" i="9"/>
  <c r="LR5" i="9"/>
  <c r="AP23" i="35"/>
  <c r="DS4" i="11"/>
  <c r="L60" i="32" s="1"/>
  <c r="P4" i="35"/>
  <c r="L103" i="31" s="1"/>
  <c r="CE2" i="9"/>
  <c r="DV2" i="9"/>
  <c r="LQ4" i="9"/>
  <c r="AU2" i="35"/>
  <c r="L50" i="33" s="1"/>
  <c r="DW2" i="9"/>
  <c r="P3" i="35"/>
  <c r="L102" i="31" s="1"/>
  <c r="CG2" i="9"/>
  <c r="DS10" i="11"/>
  <c r="BU2" i="14"/>
  <c r="G6" i="3"/>
  <c r="U2" i="14"/>
  <c r="E32" i="34"/>
  <c r="E30" i="34"/>
  <c r="E28" i="34"/>
  <c r="E26" i="34"/>
  <c r="E24" i="34"/>
  <c r="E29" i="34"/>
  <c r="E27" i="34"/>
  <c r="E25" i="34"/>
  <c r="E31" i="34"/>
  <c r="AC7" i="60" l="1"/>
  <c r="Q6" i="60"/>
  <c r="L7" i="60"/>
  <c r="D7" i="60" s="1"/>
  <c r="AC6" i="60"/>
  <c r="Y6" i="60"/>
  <c r="C6" i="60"/>
  <c r="C7" i="60"/>
  <c r="Y7" i="60"/>
  <c r="L6" i="60"/>
  <c r="D6" i="60" s="1"/>
  <c r="C5" i="60"/>
  <c r="Y5" i="60"/>
  <c r="R5" i="60" s="1"/>
  <c r="Q5" i="60"/>
  <c r="L5" i="60"/>
  <c r="AZ12" i="11"/>
  <c r="L110" i="24" s="1"/>
  <c r="BB10" i="11"/>
  <c r="L97" i="24" s="1"/>
  <c r="BB12" i="11"/>
  <c r="L99" i="24" s="1"/>
  <c r="BB13" i="11"/>
  <c r="L100" i="24" s="1"/>
  <c r="AZ16" i="11"/>
  <c r="L114" i="24" s="1"/>
  <c r="BB14" i="11"/>
  <c r="L101" i="24" s="1"/>
  <c r="AZ17" i="11"/>
  <c r="L115" i="24" s="1"/>
  <c r="BB15" i="11"/>
  <c r="L102" i="24" s="1"/>
  <c r="AZ7" i="11"/>
  <c r="L105" i="24" s="1"/>
  <c r="BB16" i="11"/>
  <c r="L103" i="24" s="1"/>
  <c r="BB17" i="11"/>
  <c r="L104" i="24" s="1"/>
  <c r="BB8" i="11"/>
  <c r="L95" i="24" s="1"/>
  <c r="AZ11" i="11"/>
  <c r="L109" i="24" s="1"/>
  <c r="BB9" i="11"/>
  <c r="L96" i="24" s="1"/>
  <c r="AZ13" i="11"/>
  <c r="L111" i="24" s="1"/>
  <c r="AZ14" i="11"/>
  <c r="L112" i="24" s="1"/>
  <c r="AZ15" i="11"/>
  <c r="L113" i="24" s="1"/>
  <c r="BB7" i="11"/>
  <c r="L94" i="24" s="1"/>
  <c r="BA7" i="11"/>
  <c r="AZ8" i="11"/>
  <c r="L106" i="24" s="1"/>
  <c r="AZ9" i="11"/>
  <c r="L107" i="24" s="1"/>
  <c r="AZ10" i="11"/>
  <c r="L108" i="24" s="1"/>
  <c r="BB11" i="11"/>
  <c r="L98" i="24" s="1"/>
  <c r="AD12" i="35"/>
  <c r="L67" i="31" s="1"/>
  <c r="AD1" i="35"/>
  <c r="L56" i="31" s="1"/>
  <c r="D4" i="46"/>
  <c r="L187" i="24" s="1"/>
  <c r="D5" i="46"/>
  <c r="CA2" i="9"/>
  <c r="L266" i="24"/>
  <c r="L278" i="24"/>
  <c r="E36" i="3"/>
  <c r="I36" i="3"/>
  <c r="M5" i="11"/>
  <c r="M4" i="11"/>
  <c r="AL5" i="60"/>
  <c r="AL6" i="60" s="1"/>
  <c r="L2" i="31"/>
  <c r="C14" i="46"/>
  <c r="C17" i="46"/>
  <c r="D14" i="46"/>
  <c r="AH5" i="60"/>
  <c r="AH6" i="60" s="1"/>
  <c r="G9" i="3"/>
  <c r="G6" i="62"/>
  <c r="G2" i="62"/>
  <c r="G5" i="62"/>
  <c r="D15" i="46"/>
  <c r="G15" i="46" s="1"/>
  <c r="G8" i="62"/>
  <c r="G7" i="62"/>
  <c r="G3" i="62"/>
  <c r="G9" i="62"/>
  <c r="G4" i="62"/>
  <c r="F28" i="62"/>
  <c r="C28" i="62"/>
  <c r="D28" i="62"/>
  <c r="E28" i="62"/>
  <c r="G20" i="3"/>
  <c r="C11" i="62"/>
  <c r="CI2" i="9"/>
  <c r="L129" i="31"/>
  <c r="J6" i="46"/>
  <c r="L39" i="24"/>
  <c r="S39" i="24" s="1"/>
  <c r="G21" i="3"/>
  <c r="G17" i="3"/>
  <c r="G25" i="3"/>
  <c r="J8" i="10"/>
  <c r="I8" i="10"/>
  <c r="D11" i="62"/>
  <c r="N6" i="46"/>
  <c r="L134" i="31"/>
  <c r="M30" i="11"/>
  <c r="M29" i="11"/>
  <c r="M28" i="11"/>
  <c r="I31" i="3"/>
  <c r="E31" i="3" s="1"/>
  <c r="L194" i="24"/>
  <c r="L204" i="24"/>
  <c r="L259" i="24"/>
  <c r="S259" i="24" s="1"/>
  <c r="G27" i="3"/>
  <c r="L257" i="24"/>
  <c r="L255" i="24"/>
  <c r="L206" i="24"/>
  <c r="G24" i="3"/>
  <c r="BA8" i="11"/>
  <c r="BA17" i="11"/>
  <c r="BA9" i="11"/>
  <c r="BA16" i="11"/>
  <c r="BA14" i="11"/>
  <c r="BA11" i="11"/>
  <c r="BA15" i="11"/>
  <c r="BA12" i="11"/>
  <c r="BA10" i="11"/>
  <c r="BA13" i="11"/>
  <c r="H17" i="3"/>
  <c r="E11" i="3"/>
  <c r="L173" i="31"/>
  <c r="U19" i="35"/>
  <c r="L184" i="31"/>
  <c r="T19" i="35"/>
  <c r="G35" i="3" s="1"/>
  <c r="E35" i="3" s="1"/>
  <c r="O6" i="46"/>
  <c r="H10" i="3"/>
  <c r="I6" i="46"/>
  <c r="L192" i="24"/>
  <c r="L66" i="32"/>
  <c r="H8" i="3"/>
  <c r="L108" i="31"/>
  <c r="E4" i="3"/>
  <c r="AD23" i="35"/>
  <c r="L78" i="31" s="1"/>
  <c r="EC2" i="11"/>
  <c r="L25" i="32" s="1"/>
  <c r="AY3" i="35"/>
  <c r="L26" i="33" s="1"/>
  <c r="AY1" i="35"/>
  <c r="LR6" i="9"/>
  <c r="LQ6" i="9"/>
  <c r="L61" i="32"/>
  <c r="L122" i="31"/>
  <c r="DZ2" i="9"/>
  <c r="DY2" i="9"/>
  <c r="EC13" i="11"/>
  <c r="L36" i="32" s="1"/>
  <c r="AY2" i="35"/>
  <c r="L25" i="33" s="1"/>
  <c r="EC1" i="11"/>
  <c r="L24" i="32" s="1"/>
  <c r="CH2" i="9"/>
  <c r="AI1" i="35" s="1"/>
  <c r="M3" i="11"/>
  <c r="L254" i="24" s="1"/>
  <c r="BZ4" i="11" a="1"/>
  <c r="BZ3" i="11" a="1"/>
  <c r="BZ6" i="11" a="1"/>
  <c r="BZ5" i="11" a="1"/>
  <c r="BZ7" i="11" a="1"/>
  <c r="BZ39" i="11" a="1"/>
  <c r="BZ37" i="11" a="1"/>
  <c r="BZ35" i="11" a="1"/>
  <c r="BZ36" i="11" a="1"/>
  <c r="BZ38" i="11" a="1"/>
  <c r="BZ34" i="11"/>
  <c r="L315" i="24" s="1"/>
  <c r="L26" i="24"/>
  <c r="S26" i="24" s="1"/>
  <c r="G8" i="3"/>
  <c r="BZ18" i="11"/>
  <c r="L212" i="24" s="1"/>
  <c r="BZ23" i="11" a="1"/>
  <c r="BZ22" i="11" a="1"/>
  <c r="BZ21" i="11" a="1"/>
  <c r="BZ20" i="11" a="1"/>
  <c r="BZ19" i="11" a="1"/>
  <c r="I19" i="3"/>
  <c r="E19" i="3" s="1"/>
  <c r="D5" i="60" l="1"/>
  <c r="Z7" i="60"/>
  <c r="R7" i="60"/>
  <c r="Z6" i="60"/>
  <c r="R6" i="60"/>
  <c r="Z5" i="60"/>
  <c r="K6" i="35"/>
  <c r="Y4" i="35"/>
  <c r="AI7" i="35"/>
  <c r="AI12" i="35"/>
  <c r="Y5" i="35"/>
  <c r="AI6" i="35"/>
  <c r="Y3" i="35"/>
  <c r="Y2" i="35" a="1"/>
  <c r="Y6" i="35"/>
  <c r="AI5" i="35"/>
  <c r="AI13" i="35"/>
  <c r="Y7" i="35"/>
  <c r="AI4" i="35"/>
  <c r="Y8" i="35"/>
  <c r="AI3" i="35"/>
  <c r="Y10" i="35"/>
  <c r="AI10" i="35"/>
  <c r="AI8" i="35"/>
  <c r="Y9" i="35"/>
  <c r="AI2" i="35"/>
  <c r="Y11" i="35"/>
  <c r="AI11" i="35"/>
  <c r="AI9" i="35"/>
  <c r="AD9" i="35" a="1"/>
  <c r="AD2" i="35" a="1"/>
  <c r="AD22" i="35" a="1"/>
  <c r="AD21" i="35" a="1"/>
  <c r="AD19" i="35" a="1"/>
  <c r="AD5" i="35" a="1"/>
  <c r="AD10" i="35" a="1"/>
  <c r="AD13" i="35" a="1"/>
  <c r="AD3" i="35" a="1"/>
  <c r="AD20" i="35" a="1"/>
  <c r="AD11" i="35" a="1"/>
  <c r="AD18" i="35" a="1"/>
  <c r="AD4" i="35" a="1"/>
  <c r="AD17" i="35" a="1"/>
  <c r="AD6" i="35" a="1"/>
  <c r="AD16" i="35" a="1"/>
  <c r="AD7" i="35" a="1"/>
  <c r="AD15" i="35" a="1"/>
  <c r="AD8" i="35" a="1"/>
  <c r="AD14" i="35" a="1"/>
  <c r="D6" i="46"/>
  <c r="L124" i="31"/>
  <c r="K23" i="35" a="1"/>
  <c r="K8" i="35"/>
  <c r="K15" i="35"/>
  <c r="K9" i="35"/>
  <c r="K11" i="35"/>
  <c r="K16" i="35"/>
  <c r="K10" i="35"/>
  <c r="K17" i="35"/>
  <c r="K18" i="35"/>
  <c r="K12" i="35"/>
  <c r="K32" i="35"/>
  <c r="K19" i="35"/>
  <c r="K4" i="35"/>
  <c r="K20" i="35"/>
  <c r="K3" i="35" a="1"/>
  <c r="K31" i="35"/>
  <c r="K30" i="35"/>
  <c r="K21" i="35"/>
  <c r="K13" i="35" a="1"/>
  <c r="K29" i="35"/>
  <c r="K22" i="35"/>
  <c r="K28" i="35"/>
  <c r="K14" i="35"/>
  <c r="K27" i="35"/>
  <c r="K26" i="35"/>
  <c r="K5" i="35"/>
  <c r="K25" i="35"/>
  <c r="K24" i="35"/>
  <c r="K7" i="35"/>
  <c r="L277" i="24"/>
  <c r="L265" i="24"/>
  <c r="G14" i="46"/>
  <c r="I8" i="3"/>
  <c r="E8" i="3" s="1"/>
  <c r="I17" i="3"/>
  <c r="E17" i="3" s="1"/>
  <c r="K6" i="46"/>
  <c r="J9" i="10"/>
  <c r="I9" i="10"/>
  <c r="G11" i="62"/>
  <c r="I2" i="62"/>
  <c r="H3" i="62" s="1"/>
  <c r="I3" i="62" s="1"/>
  <c r="H4" i="62" s="1"/>
  <c r="I4" i="62" s="1"/>
  <c r="H5" i="62" s="1"/>
  <c r="I5" i="62" s="1"/>
  <c r="H6" i="62" s="1"/>
  <c r="I6" i="62" s="1"/>
  <c r="H7" i="62" s="1"/>
  <c r="I7" i="62" s="1"/>
  <c r="H8" i="62" s="1"/>
  <c r="I8" i="62" s="1"/>
  <c r="H9" i="62" s="1"/>
  <c r="I9" i="62" s="1"/>
  <c r="H10" i="62" s="1"/>
  <c r="I10" i="62" s="1"/>
  <c r="BA18" i="11"/>
  <c r="DS8" i="11"/>
  <c r="L62" i="32" s="1"/>
  <c r="P6" i="46"/>
  <c r="BB18" i="11"/>
  <c r="AZ18" i="11"/>
  <c r="G34" i="3" s="1"/>
  <c r="I34" i="3" s="1"/>
  <c r="E34" i="3" s="1"/>
  <c r="AY15" i="35"/>
  <c r="L38" i="33" s="1"/>
  <c r="L136" i="24"/>
  <c r="AY4" i="35"/>
  <c r="L27" i="33" s="1"/>
  <c r="EH1" i="11"/>
  <c r="L37" i="32" s="1"/>
  <c r="L24" i="33"/>
  <c r="E45" i="3"/>
  <c r="EH14" i="11"/>
  <c r="L48" i="32" s="1"/>
  <c r="LQ7" i="9"/>
  <c r="LR7" i="9"/>
  <c r="CH34" i="11"/>
  <c r="L89" i="31"/>
  <c r="L133" i="24"/>
  <c r="CH30" i="11"/>
  <c r="CH33" i="11"/>
  <c r="CH32" i="11"/>
  <c r="L287" i="24"/>
  <c r="E46" i="3"/>
  <c r="CH31" i="11"/>
  <c r="L258" i="24"/>
  <c r="G10" i="3"/>
  <c r="I10" i="3" s="1"/>
  <c r="E10" i="3" s="1"/>
  <c r="L135" i="24"/>
  <c r="L134" i="24"/>
  <c r="L276" i="24" l="1"/>
  <c r="L264" i="24"/>
  <c r="I10" i="10"/>
  <c r="J10" i="10"/>
  <c r="LQ8" i="9"/>
  <c r="LR8" i="9"/>
  <c r="L120" i="24"/>
  <c r="DF3" i="11"/>
  <c r="L149" i="24" s="1"/>
  <c r="S149" i="24" s="1"/>
  <c r="JP2" i="9" l="1"/>
  <c r="LG2" i="9"/>
  <c r="L275" i="24"/>
  <c r="L263" i="24"/>
  <c r="J11" i="10"/>
  <c r="I11" i="10"/>
  <c r="LQ9" i="9"/>
  <c r="LR9" i="9"/>
  <c r="L285" i="24" l="1"/>
  <c r="L273" i="24"/>
  <c r="L85" i="24"/>
  <c r="L86" i="24"/>
  <c r="L88" i="24"/>
  <c r="L89" i="24"/>
  <c r="L90" i="24"/>
  <c r="L91" i="24"/>
  <c r="L93" i="24"/>
  <c r="L92" i="24"/>
  <c r="L87" i="24"/>
  <c r="I12" i="10"/>
  <c r="J12" i="10"/>
  <c r="L284" i="24" l="1"/>
  <c r="L272" i="24"/>
  <c r="V2" i="14"/>
  <c r="AX2" i="14"/>
  <c r="J13" i="10"/>
  <c r="I13" i="10"/>
  <c r="O27" i="35" l="1"/>
  <c r="L110" i="31" s="1"/>
  <c r="O31" i="35"/>
  <c r="O28" i="35"/>
  <c r="O38" i="35"/>
  <c r="O33" i="35"/>
  <c r="O37" i="35"/>
  <c r="O30" i="35"/>
  <c r="O29" i="35"/>
  <c r="O35" i="35"/>
  <c r="O34" i="35"/>
  <c r="O32" i="35"/>
  <c r="O36" i="35"/>
  <c r="J49" i="11" a="1"/>
  <c r="J57" i="11"/>
  <c r="J50" i="11"/>
  <c r="J53" i="11"/>
  <c r="J51" i="11"/>
  <c r="J58" i="11"/>
  <c r="J55" i="11"/>
  <c r="J56" i="11"/>
  <c r="J52" i="11"/>
  <c r="J54" i="11"/>
  <c r="L77" i="24"/>
  <c r="L283" i="24"/>
  <c r="L271" i="24"/>
  <c r="J43" i="11"/>
  <c r="J44" i="11"/>
  <c r="J39" i="11"/>
  <c r="J42" i="11"/>
  <c r="J35" i="11" a="1"/>
  <c r="J37" i="11"/>
  <c r="J41" i="11"/>
  <c r="J36" i="11"/>
  <c r="J40" i="11"/>
  <c r="J38" i="11"/>
  <c r="L28" i="24" l="1"/>
  <c r="L33" i="24"/>
  <c r="L36" i="24"/>
  <c r="L31" i="24"/>
  <c r="L35" i="24"/>
  <c r="L30" i="24"/>
  <c r="L34" i="24"/>
  <c r="L32" i="24"/>
  <c r="L29" i="24"/>
  <c r="L119" i="31"/>
  <c r="L116" i="31"/>
  <c r="L111" i="31"/>
  <c r="L113" i="31"/>
  <c r="L121" i="31"/>
  <c r="L112" i="31"/>
  <c r="L115" i="31"/>
  <c r="L118" i="31"/>
  <c r="L117" i="31"/>
  <c r="L114" i="31"/>
  <c r="L120" i="31"/>
  <c r="N30" i="35"/>
  <c r="L199" i="31" s="1"/>
  <c r="L66" i="24"/>
  <c r="L79" i="24"/>
  <c r="L30" i="31"/>
  <c r="L75" i="24"/>
  <c r="L78" i="24"/>
  <c r="N11" i="35"/>
  <c r="L83" i="24"/>
  <c r="L81" i="24"/>
  <c r="L82" i="24"/>
  <c r="DX6" i="11"/>
  <c r="L18" i="32" s="1"/>
  <c r="L32" i="31"/>
  <c r="L76" i="24"/>
  <c r="L80" i="24"/>
  <c r="L28" i="31"/>
  <c r="AP11" i="35"/>
  <c r="L12" i="33" s="1"/>
  <c r="AY20" i="35"/>
  <c r="L43" i="33" s="1"/>
  <c r="EH9" i="11"/>
  <c r="EC16" i="11"/>
  <c r="EC19" i="11"/>
  <c r="EH24" i="11"/>
  <c r="L56" i="32" s="1"/>
  <c r="DX11" i="11"/>
  <c r="L23" i="32" s="1"/>
  <c r="AD26" i="35"/>
  <c r="L81" i="31" s="1"/>
  <c r="L94" i="31"/>
  <c r="L11" i="31"/>
  <c r="L93" i="31"/>
  <c r="L8" i="31"/>
  <c r="P20" i="35"/>
  <c r="L158" i="31" s="1"/>
  <c r="AD31" i="35"/>
  <c r="L86" i="31" s="1"/>
  <c r="P13" i="35"/>
  <c r="L151" i="31" s="1"/>
  <c r="P18" i="35"/>
  <c r="L156" i="31" s="1"/>
  <c r="L98" i="31"/>
  <c r="L31" i="31"/>
  <c r="L16" i="31"/>
  <c r="L20" i="31"/>
  <c r="L18" i="31"/>
  <c r="L17" i="31"/>
  <c r="L49" i="31"/>
  <c r="L19" i="31"/>
  <c r="L21" i="31"/>
  <c r="L14" i="31"/>
  <c r="O11" i="35"/>
  <c r="O21" i="35"/>
  <c r="L148" i="31" s="1"/>
  <c r="P12" i="35" a="1"/>
  <c r="P11" i="35"/>
  <c r="L160" i="31" s="1"/>
  <c r="L10" i="31"/>
  <c r="L6" i="31"/>
  <c r="L50" i="31"/>
  <c r="L54" i="31"/>
  <c r="P15" i="35"/>
  <c r="L153" i="31" s="1"/>
  <c r="BZ8" i="11" a="1"/>
  <c r="BZ25" i="11" a="1"/>
  <c r="L21" i="11"/>
  <c r="L181" i="24" s="1"/>
  <c r="J12" i="11"/>
  <c r="L140" i="24"/>
  <c r="K15" i="11"/>
  <c r="L164" i="24" s="1"/>
  <c r="BZ9" i="11" a="1"/>
  <c r="L245" i="24"/>
  <c r="K20" i="11"/>
  <c r="L169" i="24" s="1"/>
  <c r="L138" i="24"/>
  <c r="L60" i="24"/>
  <c r="L141" i="24"/>
  <c r="L147" i="24"/>
  <c r="K19" i="11"/>
  <c r="L168" i="24" s="1"/>
  <c r="L18" i="11"/>
  <c r="L178" i="24" s="1"/>
  <c r="AP10" i="35"/>
  <c r="L11" i="33" s="1"/>
  <c r="L252" i="24"/>
  <c r="BZ47" i="11" a="1"/>
  <c r="BZ28" i="11" a="1"/>
  <c r="AP2" i="35"/>
  <c r="L3" i="33" s="1"/>
  <c r="AY19" i="35"/>
  <c r="L42" i="33" s="1"/>
  <c r="BZ31" i="11" a="1"/>
  <c r="AD32" i="35"/>
  <c r="L87" i="31" s="1"/>
  <c r="L248" i="24"/>
  <c r="AY18" i="35"/>
  <c r="L41" i="33" s="1"/>
  <c r="CH41" i="11"/>
  <c r="AB5" i="11"/>
  <c r="L13" i="24" s="1"/>
  <c r="EH22" i="11"/>
  <c r="L54" i="32" s="1"/>
  <c r="EH16" i="11"/>
  <c r="DX2" i="11"/>
  <c r="L14" i="32" s="1"/>
  <c r="EC7" i="11"/>
  <c r="L30" i="32" s="1"/>
  <c r="EC15" i="11"/>
  <c r="EC20" i="11"/>
  <c r="EH13" i="11"/>
  <c r="DN9" i="11"/>
  <c r="L10" i="32" s="1"/>
  <c r="EH5" i="11"/>
  <c r="EC8" i="11"/>
  <c r="L31" i="32" s="1"/>
  <c r="BZ32" i="11" a="1"/>
  <c r="BZ46" i="11" a="1"/>
  <c r="L240" i="24"/>
  <c r="L22" i="11"/>
  <c r="L182" i="24" s="1"/>
  <c r="L48" i="24"/>
  <c r="L62" i="24"/>
  <c r="L16" i="11"/>
  <c r="L176" i="24" s="1"/>
  <c r="BZ16" i="11" a="1"/>
  <c r="BZ48" i="11" a="1"/>
  <c r="CH40" i="11"/>
  <c r="CH42" i="11"/>
  <c r="L142" i="24"/>
  <c r="L67" i="24"/>
  <c r="J17" i="11"/>
  <c r="L243" i="24"/>
  <c r="L61" i="24"/>
  <c r="J16" i="11"/>
  <c r="J18" i="11"/>
  <c r="K14" i="11"/>
  <c r="L163" i="24" s="1"/>
  <c r="K17" i="11"/>
  <c r="L166" i="24" s="1"/>
  <c r="L121" i="24"/>
  <c r="BZ15" i="11" a="1"/>
  <c r="BZ45" i="11" a="1"/>
  <c r="CH37" i="11"/>
  <c r="L73" i="24"/>
  <c r="L69" i="24"/>
  <c r="L139" i="24"/>
  <c r="L72" i="24"/>
  <c r="L68" i="24"/>
  <c r="L242" i="24"/>
  <c r="L250" i="24"/>
  <c r="BZ17" i="11" a="1"/>
  <c r="BZ24" i="11" a="1"/>
  <c r="L9" i="31"/>
  <c r="L4" i="31"/>
  <c r="L95" i="31"/>
  <c r="L91" i="31"/>
  <c r="N18" i="35"/>
  <c r="L24" i="31"/>
  <c r="L27" i="31"/>
  <c r="O16" i="35"/>
  <c r="L52" i="31"/>
  <c r="O12" i="35" a="1"/>
  <c r="O15" i="35"/>
  <c r="AD30" i="35"/>
  <c r="L85" i="31" s="1"/>
  <c r="P17" i="35"/>
  <c r="L155" i="31" s="1"/>
  <c r="L47" i="31"/>
  <c r="P16" i="35"/>
  <c r="L53" i="31"/>
  <c r="O13" i="35"/>
  <c r="P19" i="35"/>
  <c r="AD29" i="35"/>
  <c r="L84" i="31" s="1"/>
  <c r="L90" i="31"/>
  <c r="N17" i="35"/>
  <c r="L26" i="31"/>
  <c r="N21" i="35"/>
  <c r="N12" i="35" a="1"/>
  <c r="AD25" i="35"/>
  <c r="L80" i="31" s="1"/>
  <c r="O17" i="35"/>
  <c r="O18" i="35"/>
  <c r="AD33" i="35"/>
  <c r="L88" i="31" s="1"/>
  <c r="N20" i="35"/>
  <c r="N16" i="35"/>
  <c r="N19" i="35"/>
  <c r="P21" i="35"/>
  <c r="AD24" i="35"/>
  <c r="L79" i="31" s="1"/>
  <c r="L99" i="31"/>
  <c r="O19" i="35"/>
  <c r="L146" i="31" s="1"/>
  <c r="L97" i="31"/>
  <c r="P14" i="35"/>
  <c r="L152" i="31" s="1"/>
  <c r="N14" i="35"/>
  <c r="N13" i="35"/>
  <c r="L48" i="31"/>
  <c r="L51" i="31"/>
  <c r="L92" i="31"/>
  <c r="L101" i="31"/>
  <c r="L25" i="31"/>
  <c r="L29" i="31"/>
  <c r="L15" i="31"/>
  <c r="L22" i="31"/>
  <c r="EH25" i="11"/>
  <c r="L57" i="32" s="1"/>
  <c r="DN2" i="11"/>
  <c r="L3" i="32" s="1"/>
  <c r="EH15" i="11"/>
  <c r="EC21" i="11"/>
  <c r="DN7" i="11"/>
  <c r="L8" i="32" s="1"/>
  <c r="DN5" i="11"/>
  <c r="L6" i="32" s="1"/>
  <c r="EH21" i="11"/>
  <c r="L53" i="32" s="1"/>
  <c r="EC6" i="11"/>
  <c r="L29" i="32" s="1"/>
  <c r="EH4" i="11"/>
  <c r="DX5" i="11"/>
  <c r="L17" i="32" s="1"/>
  <c r="EH8" i="11"/>
  <c r="L42" i="32" s="1"/>
  <c r="EC18" i="11"/>
  <c r="DX9" i="11"/>
  <c r="L21" i="32" s="1"/>
  <c r="EC9" i="11"/>
  <c r="L32" i="32" s="1"/>
  <c r="DX3" i="11"/>
  <c r="L15" i="32" s="1"/>
  <c r="EH6" i="11"/>
  <c r="S3" i="49" s="1"/>
  <c r="EC5" i="11"/>
  <c r="L28" i="32" s="1"/>
  <c r="DN10" i="11"/>
  <c r="L11" i="32" s="1"/>
  <c r="DX8" i="11"/>
  <c r="L20" i="32" s="1"/>
  <c r="EH7" i="11"/>
  <c r="T3" i="49" s="1"/>
  <c r="EC12" i="11"/>
  <c r="L35" i="32" s="1"/>
  <c r="DX10" i="11"/>
  <c r="L22" i="32" s="1"/>
  <c r="DN11" i="11"/>
  <c r="L12" i="32" s="1"/>
  <c r="EH23" i="11"/>
  <c r="L55" i="32" s="1"/>
  <c r="EC17" i="11"/>
  <c r="DN3" i="11"/>
  <c r="L4" i="32" s="1"/>
  <c r="DN8" i="11"/>
  <c r="L9" i="32" s="1"/>
  <c r="EC23" i="11"/>
  <c r="EH2" i="11"/>
  <c r="EH20" i="11"/>
  <c r="L52" i="32" s="1"/>
  <c r="EC3" i="11"/>
  <c r="L26" i="32" s="1"/>
  <c r="EC22" i="11"/>
  <c r="EH3" i="11"/>
  <c r="EH26" i="11"/>
  <c r="L58" i="32" s="1"/>
  <c r="EC11" i="11"/>
  <c r="L34" i="32" s="1"/>
  <c r="EH12" i="11"/>
  <c r="BC3" i="49" s="1"/>
  <c r="DX7" i="11"/>
  <c r="L19" i="32" s="1"/>
  <c r="EH19" i="11"/>
  <c r="L51" i="32" s="1"/>
  <c r="EC14" i="11"/>
  <c r="EH11" i="11"/>
  <c r="X3" i="49" s="1"/>
  <c r="DN4" i="11"/>
  <c r="L5" i="32" s="1"/>
  <c r="EH17" i="11"/>
  <c r="L49" i="32" s="1"/>
  <c r="EH18" i="11"/>
  <c r="L50" i="32" s="1"/>
  <c r="DX4" i="11"/>
  <c r="L16" i="32" s="1"/>
  <c r="EH10" i="11"/>
  <c r="BA3" i="49" s="1"/>
  <c r="K35" i="35"/>
  <c r="L35" i="31" s="1"/>
  <c r="L5" i="31"/>
  <c r="L145" i="24"/>
  <c r="BZ10" i="11" a="1"/>
  <c r="BZ43" i="11" a="1"/>
  <c r="L236" i="24"/>
  <c r="J21" i="11"/>
  <c r="L47" i="24"/>
  <c r="K40" i="35"/>
  <c r="L40" i="31" s="1"/>
  <c r="K39" i="35"/>
  <c r="L39" i="31" s="1"/>
  <c r="EC4" i="11"/>
  <c r="L27" i="32" s="1"/>
  <c r="EC10" i="11"/>
  <c r="L33" i="32" s="1"/>
  <c r="DN6" i="11"/>
  <c r="L7" i="32" s="1"/>
  <c r="L7" i="31"/>
  <c r="L12" i="31"/>
  <c r="AP7" i="35"/>
  <c r="L8" i="33" s="1"/>
  <c r="AP6" i="35"/>
  <c r="L7" i="33" s="1"/>
  <c r="AP3" i="35"/>
  <c r="L4" i="33" s="1"/>
  <c r="L143" i="24"/>
  <c r="AM3" i="49"/>
  <c r="BZ13" i="11" a="1"/>
  <c r="CH38" i="11"/>
  <c r="L241" i="24"/>
  <c r="L238" i="24"/>
  <c r="L55" i="24"/>
  <c r="L246" i="24"/>
  <c r="AN3" i="49"/>
  <c r="BZ33" i="11" a="1"/>
  <c r="BZ41" i="11" a="1"/>
  <c r="L17" i="11"/>
  <c r="L177" i="24" s="1"/>
  <c r="L249" i="24"/>
  <c r="J14" i="11"/>
  <c r="L247" i="24"/>
  <c r="L58" i="24"/>
  <c r="CH36" i="11"/>
  <c r="L125" i="24"/>
  <c r="BZ27" i="11" a="1"/>
  <c r="BZ11" i="11" a="1"/>
  <c r="J22" i="11"/>
  <c r="L253" i="24"/>
  <c r="L63" i="24"/>
  <c r="L124" i="24"/>
  <c r="L144" i="24"/>
  <c r="BZ26" i="11" a="1"/>
  <c r="BZ44" i="11" a="1"/>
  <c r="L57" i="24"/>
  <c r="J19" i="11"/>
  <c r="J13" i="11" a="1"/>
  <c r="L71" i="24"/>
  <c r="K42" i="35"/>
  <c r="L42" i="31" s="1"/>
  <c r="AP8" i="35"/>
  <c r="L9" i="33" s="1"/>
  <c r="AY7" i="35"/>
  <c r="L30" i="33" s="1"/>
  <c r="CH45" i="11"/>
  <c r="L132" i="24"/>
  <c r="CH44" i="11"/>
  <c r="L14" i="11"/>
  <c r="L174" i="24" s="1"/>
  <c r="L237" i="24"/>
  <c r="L52" i="24"/>
  <c r="K13" i="11" a="1"/>
  <c r="CH43" i="11"/>
  <c r="L126" i="24"/>
  <c r="BZ30" i="11" a="1"/>
  <c r="BZ42" i="11" a="1"/>
  <c r="L235" i="24"/>
  <c r="L53" i="24"/>
  <c r="K22" i="11"/>
  <c r="L171" i="24" s="1"/>
  <c r="L56" i="24"/>
  <c r="L20" i="11"/>
  <c r="L180" i="24" s="1"/>
  <c r="CH39" i="11"/>
  <c r="BZ49" i="11" a="1"/>
  <c r="BZ40" i="11" a="1"/>
  <c r="K21" i="11"/>
  <c r="L170" i="24" s="1"/>
  <c r="L19" i="11"/>
  <c r="L179" i="24" s="1"/>
  <c r="L12" i="11"/>
  <c r="L183" i="24" s="1"/>
  <c r="L59" i="24"/>
  <c r="L46" i="24"/>
  <c r="AF3" i="49"/>
  <c r="L146" i="24"/>
  <c r="BZ12" i="11" a="1"/>
  <c r="BZ14" i="11" a="1"/>
  <c r="K12" i="11"/>
  <c r="L172" i="24" s="1"/>
  <c r="L239" i="24"/>
  <c r="L65" i="24"/>
  <c r="L70" i="24"/>
  <c r="AP21" i="35"/>
  <c r="L22" i="33" s="1"/>
  <c r="O20" i="35"/>
  <c r="L55" i="31"/>
  <c r="L100" i="31"/>
  <c r="N15" i="35"/>
  <c r="K41" i="35"/>
  <c r="L41" i="31" s="1"/>
  <c r="AD28" i="35"/>
  <c r="L83" i="31" s="1"/>
  <c r="L15" i="11"/>
  <c r="L251" i="24"/>
  <c r="BZ29" i="11" a="1"/>
  <c r="J20" i="11"/>
  <c r="L13" i="11"/>
  <c r="K16" i="11"/>
  <c r="AB9" i="11"/>
  <c r="L17" i="24" s="1"/>
  <c r="AB11" i="11"/>
  <c r="L19" i="24" s="1"/>
  <c r="AB6" i="11"/>
  <c r="L14" i="24" s="1"/>
  <c r="AB8" i="11"/>
  <c r="L16" i="24" s="1"/>
  <c r="AB2" i="11"/>
  <c r="L10" i="24" s="1"/>
  <c r="AB3" i="11"/>
  <c r="L11" i="24" s="1"/>
  <c r="AB10" i="11"/>
  <c r="L18" i="24" s="1"/>
  <c r="AB4" i="11"/>
  <c r="L12" i="24" s="1"/>
  <c r="AB7" i="11"/>
  <c r="L15" i="24" s="1"/>
  <c r="N38" i="35"/>
  <c r="L207" i="31" s="1"/>
  <c r="N36" i="35"/>
  <c r="L205" i="31" s="1"/>
  <c r="N34" i="35"/>
  <c r="L203" i="31" s="1"/>
  <c r="N33" i="35"/>
  <c r="L202" i="31" s="1"/>
  <c r="N28" i="35"/>
  <c r="L197" i="31" s="1"/>
  <c r="AY6" i="35"/>
  <c r="L29" i="33" s="1"/>
  <c r="AP16" i="35"/>
  <c r="L17" i="33" s="1"/>
  <c r="AY11" i="35"/>
  <c r="L34" i="33" s="1"/>
  <c r="AP13" i="35"/>
  <c r="L14" i="33" s="1"/>
  <c r="AP22" i="35"/>
  <c r="L23" i="33" s="1"/>
  <c r="AP4" i="35"/>
  <c r="L5" i="33" s="1"/>
  <c r="AY5" i="35"/>
  <c r="L28" i="33" s="1"/>
  <c r="AY14" i="35"/>
  <c r="L37" i="33" s="1"/>
  <c r="AY23" i="35"/>
  <c r="L46" i="33" s="1"/>
  <c r="AP14" i="35"/>
  <c r="L15" i="33" s="1"/>
  <c r="AY9" i="35"/>
  <c r="L32" i="33" s="1"/>
  <c r="AY25" i="35"/>
  <c r="L48" i="33" s="1"/>
  <c r="AY24" i="35"/>
  <c r="L47" i="33" s="1"/>
  <c r="AY10" i="35"/>
  <c r="L33" i="33" s="1"/>
  <c r="AP20" i="35"/>
  <c r="L21" i="33" s="1"/>
  <c r="AY12" i="35"/>
  <c r="L35" i="33" s="1"/>
  <c r="AP9" i="35"/>
  <c r="L10" i="33" s="1"/>
  <c r="AY21" i="35"/>
  <c r="L44" i="33" s="1"/>
  <c r="AY8" i="35"/>
  <c r="L31" i="33" s="1"/>
  <c r="AY16" i="35"/>
  <c r="L39" i="33" s="1"/>
  <c r="AP5" i="35"/>
  <c r="L6" i="33" s="1"/>
  <c r="AP18" i="35"/>
  <c r="L19" i="33" s="1"/>
  <c r="AY22" i="35"/>
  <c r="L45" i="33" s="1"/>
  <c r="AP19" i="35"/>
  <c r="L20" i="33" s="1"/>
  <c r="AP17" i="35"/>
  <c r="L18" i="33" s="1"/>
  <c r="AY13" i="35"/>
  <c r="L36" i="33" s="1"/>
  <c r="AP15" i="35"/>
  <c r="L16" i="33" s="1"/>
  <c r="AY17" i="35"/>
  <c r="L40" i="33" s="1"/>
  <c r="K36" i="35"/>
  <c r="L36" i="31" s="1"/>
  <c r="K38" i="35"/>
  <c r="L38" i="31" s="1"/>
  <c r="K34" i="35"/>
  <c r="L34" i="31" s="1"/>
  <c r="L96" i="31"/>
  <c r="K37" i="35"/>
  <c r="L37" i="31" s="1"/>
  <c r="J15" i="11"/>
  <c r="K18" i="11"/>
  <c r="L167" i="24" s="1"/>
  <c r="L122" i="24"/>
  <c r="K33" i="35"/>
  <c r="N29" i="35"/>
  <c r="L198" i="31" s="1"/>
  <c r="N32" i="35"/>
  <c r="L201" i="31" s="1"/>
  <c r="N37" i="35"/>
  <c r="L206" i="31" s="1"/>
  <c r="N35" i="35"/>
  <c r="L204" i="31" s="1"/>
  <c r="N27" i="35"/>
  <c r="N31" i="35"/>
  <c r="L200" i="31" s="1"/>
  <c r="O14" i="35"/>
  <c r="AD27" i="35"/>
  <c r="L82" i="31" s="1"/>
  <c r="AZ3" i="49" l="1"/>
  <c r="L43" i="32"/>
  <c r="V3" i="49"/>
  <c r="AJ3" i="49"/>
  <c r="F3" i="49"/>
  <c r="L127" i="24"/>
  <c r="H3" i="49"/>
  <c r="H156" i="49" s="1"/>
  <c r="L129" i="24"/>
  <c r="AL3" i="49"/>
  <c r="Q20" i="35"/>
  <c r="L149" i="31"/>
  <c r="Q11" i="35"/>
  <c r="L128" i="24"/>
  <c r="AK3" i="49"/>
  <c r="AK248" i="49" s="1"/>
  <c r="G3" i="49"/>
  <c r="Z3" i="49"/>
  <c r="BD3" i="49"/>
  <c r="L47" i="32"/>
  <c r="AV3" i="49"/>
  <c r="L39" i="32"/>
  <c r="R3" i="49"/>
  <c r="R239" i="49" s="1"/>
  <c r="L333" i="24"/>
  <c r="L49" i="24"/>
  <c r="L335" i="24"/>
  <c r="L51" i="24"/>
  <c r="Q16" i="35"/>
  <c r="L143" i="31"/>
  <c r="L142" i="31"/>
  <c r="Q15" i="35"/>
  <c r="L154" i="31"/>
  <c r="L140" i="31"/>
  <c r="Q13" i="35"/>
  <c r="L157" i="31"/>
  <c r="Q19" i="35"/>
  <c r="L144" i="31"/>
  <c r="Q17" i="35"/>
  <c r="L145" i="31"/>
  <c r="Q18" i="35"/>
  <c r="L159" i="31"/>
  <c r="Q21" i="35"/>
  <c r="L38" i="32"/>
  <c r="AU3" i="49"/>
  <c r="D3" i="49"/>
  <c r="Q3" i="49"/>
  <c r="K3" i="49"/>
  <c r="L130" i="24"/>
  <c r="AO3" i="49"/>
  <c r="AO251" i="49" s="1"/>
  <c r="AH3" i="49"/>
  <c r="I3" i="49"/>
  <c r="M22" i="11"/>
  <c r="U3" i="49"/>
  <c r="L123" i="24"/>
  <c r="AG3" i="49"/>
  <c r="AG253" i="49" s="1"/>
  <c r="W3" i="49"/>
  <c r="W233" i="49" s="1"/>
  <c r="AY3" i="49"/>
  <c r="B3" i="49"/>
  <c r="B250" i="49" s="1"/>
  <c r="AI3" i="49"/>
  <c r="AI241" i="49" s="1"/>
  <c r="C3" i="49"/>
  <c r="C252" i="49" s="1"/>
  <c r="L131" i="24"/>
  <c r="E3" i="49"/>
  <c r="J3" i="49"/>
  <c r="J249" i="49" s="1"/>
  <c r="L41" i="32"/>
  <c r="L46" i="32"/>
  <c r="L44" i="32"/>
  <c r="BB3" i="49"/>
  <c r="M17" i="11"/>
  <c r="L45" i="32"/>
  <c r="L40" i="32"/>
  <c r="Y3" i="49"/>
  <c r="Y245" i="49" s="1"/>
  <c r="AX3" i="49"/>
  <c r="AX250" i="49" s="1"/>
  <c r="AW3" i="49"/>
  <c r="AW177" i="49" s="1"/>
  <c r="L336" i="24"/>
  <c r="M19" i="11"/>
  <c r="L147" i="31"/>
  <c r="M12" i="11"/>
  <c r="M20" i="11"/>
  <c r="M21" i="11"/>
  <c r="M14" i="11"/>
  <c r="L175" i="24"/>
  <c r="M15" i="11"/>
  <c r="L45" i="24"/>
  <c r="L173" i="24"/>
  <c r="L23" i="11"/>
  <c r="L165" i="24"/>
  <c r="M16" i="11"/>
  <c r="L50" i="24"/>
  <c r="L334" i="24"/>
  <c r="M18" i="11"/>
  <c r="L196" i="31"/>
  <c r="L141" i="31"/>
  <c r="Q14" i="35"/>
  <c r="L33" i="31"/>
  <c r="BC252" i="49"/>
  <c r="BC203" i="49"/>
  <c r="BC146" i="49"/>
  <c r="BC88" i="49"/>
  <c r="BC26" i="49"/>
  <c r="BC187" i="49"/>
  <c r="BC130" i="49"/>
  <c r="BC72" i="49"/>
  <c r="BC10" i="49"/>
  <c r="BC253" i="49"/>
  <c r="BC171" i="49"/>
  <c r="BC114" i="49"/>
  <c r="BC106" i="49"/>
  <c r="BC228" i="49"/>
  <c r="BC229" i="49"/>
  <c r="BC105" i="49"/>
  <c r="BC42" i="49"/>
  <c r="BC34" i="49"/>
  <c r="BC154" i="49"/>
  <c r="BC80" i="49"/>
  <c r="BC195" i="49"/>
  <c r="BC22" i="49"/>
  <c r="BC84" i="49"/>
  <c r="BC142" i="49"/>
  <c r="BC199" i="49"/>
  <c r="BC30" i="49"/>
  <c r="BC92" i="49"/>
  <c r="BC150" i="49"/>
  <c r="BC207" i="49"/>
  <c r="BC7" i="49"/>
  <c r="BC23" i="49"/>
  <c r="BC39" i="49"/>
  <c r="BC54" i="49"/>
  <c r="BC69" i="49"/>
  <c r="BC85" i="49"/>
  <c r="BC101" i="49"/>
  <c r="BC166" i="49"/>
  <c r="BC127" i="49"/>
  <c r="BC143" i="49"/>
  <c r="BC213" i="49"/>
  <c r="BC241" i="49"/>
  <c r="BC184" i="49"/>
  <c r="BC200" i="49"/>
  <c r="BC222" i="49"/>
  <c r="BC250" i="49"/>
  <c r="BC56" i="49"/>
  <c r="BC20" i="49"/>
  <c r="BC36" i="49"/>
  <c r="BC52" i="49"/>
  <c r="BC66" i="49"/>
  <c r="BC82" i="49"/>
  <c r="BC98" i="49"/>
  <c r="BC160" i="49"/>
  <c r="BC124" i="49"/>
  <c r="BC140" i="49"/>
  <c r="BC156" i="49"/>
  <c r="BC219" i="49"/>
  <c r="BC181" i="49"/>
  <c r="BC197" i="49"/>
  <c r="BC231" i="49"/>
  <c r="BC247" i="49"/>
  <c r="BC4" i="49"/>
  <c r="BC17" i="49"/>
  <c r="BC33" i="49"/>
  <c r="BC49" i="49"/>
  <c r="BC63" i="49"/>
  <c r="BC79" i="49"/>
  <c r="BC95" i="49"/>
  <c r="BC165" i="49"/>
  <c r="BC121" i="49"/>
  <c r="BC137" i="49"/>
  <c r="BC153" i="49"/>
  <c r="BC243" i="49"/>
  <c r="BC178" i="49"/>
  <c r="BC194" i="49"/>
  <c r="BC214" i="49"/>
  <c r="BC242" i="49"/>
  <c r="BC64" i="49"/>
  <c r="BC179" i="49"/>
  <c r="BC6" i="49"/>
  <c r="BC167" i="49"/>
  <c r="BC218" i="49"/>
  <c r="BC38" i="49"/>
  <c r="BC100" i="49"/>
  <c r="BC211" i="49"/>
  <c r="BC220" i="49"/>
  <c r="BC46" i="49"/>
  <c r="BC159" i="49"/>
  <c r="BC216" i="49"/>
  <c r="BC236" i="49"/>
  <c r="BC11" i="49"/>
  <c r="BC27" i="49"/>
  <c r="BC43" i="49"/>
  <c r="BC108" i="49"/>
  <c r="BC73" i="49"/>
  <c r="BC89" i="49"/>
  <c r="BC107" i="49"/>
  <c r="BC115" i="49"/>
  <c r="BC131" i="49"/>
  <c r="BC147" i="49"/>
  <c r="BC237" i="49"/>
  <c r="BC172" i="49"/>
  <c r="BC188" i="49"/>
  <c r="BC204" i="49"/>
  <c r="BC230" i="49"/>
  <c r="BC254" i="49"/>
  <c r="BC8" i="49"/>
  <c r="BC24" i="49"/>
  <c r="BC40" i="49"/>
  <c r="BC58" i="49"/>
  <c r="BC70" i="49"/>
  <c r="BC86" i="49"/>
  <c r="BC102" i="49"/>
  <c r="BC168" i="49"/>
  <c r="BC128" i="49"/>
  <c r="BC144" i="49"/>
  <c r="BC217" i="49"/>
  <c r="BC169" i="49"/>
  <c r="BC185" i="49"/>
  <c r="BC201" i="49"/>
  <c r="BC224" i="49"/>
  <c r="BC251" i="49"/>
  <c r="BC57" i="49"/>
  <c r="BC21" i="49"/>
  <c r="BC37" i="49"/>
  <c r="BC53" i="49"/>
  <c r="BC67" i="49"/>
  <c r="BC83" i="49"/>
  <c r="BC99" i="49"/>
  <c r="BC162" i="49"/>
  <c r="BC125" i="49"/>
  <c r="BC141" i="49"/>
  <c r="BC157" i="49"/>
  <c r="BC225" i="49"/>
  <c r="BC182" i="49"/>
  <c r="BC198" i="49"/>
  <c r="BC239" i="49"/>
  <c r="BC248" i="49"/>
  <c r="BC96" i="49"/>
  <c r="BC244" i="49"/>
  <c r="BC18" i="49"/>
  <c r="BC138" i="49"/>
  <c r="BC55" i="49"/>
  <c r="BC164" i="49"/>
  <c r="BC233" i="49"/>
  <c r="BC249" i="49"/>
  <c r="BC60" i="49"/>
  <c r="BC118" i="49"/>
  <c r="BC175" i="49"/>
  <c r="BC15" i="49"/>
  <c r="BC31" i="49"/>
  <c r="BC47" i="49"/>
  <c r="BC61" i="49"/>
  <c r="BC77" i="49"/>
  <c r="BC93" i="49"/>
  <c r="BC161" i="49"/>
  <c r="BC119" i="49"/>
  <c r="BC135" i="49"/>
  <c r="BC151" i="49"/>
  <c r="BC227" i="49"/>
  <c r="BC176" i="49"/>
  <c r="BC192" i="49"/>
  <c r="BC208" i="49"/>
  <c r="BC238" i="49"/>
  <c r="BC12" i="49"/>
  <c r="BC28" i="49"/>
  <c r="BC44" i="49"/>
  <c r="BC110" i="49"/>
  <c r="BC74" i="49"/>
  <c r="BC90" i="49"/>
  <c r="BC109" i="49"/>
  <c r="BC116" i="49"/>
  <c r="BC132" i="49"/>
  <c r="BC148" i="49"/>
  <c r="BC245" i="49"/>
  <c r="BC173" i="49"/>
  <c r="BC189" i="49"/>
  <c r="BC205" i="49"/>
  <c r="BC232" i="49"/>
  <c r="BC255" i="49"/>
  <c r="BC9" i="49"/>
  <c r="BC25" i="49"/>
  <c r="BC41" i="49"/>
  <c r="BC104" i="49"/>
  <c r="BC71" i="49"/>
  <c r="BC87" i="49"/>
  <c r="BC103" i="49"/>
  <c r="BC113" i="49"/>
  <c r="BC129" i="49"/>
  <c r="BC145" i="49"/>
  <c r="BC221" i="49"/>
  <c r="BC170" i="49"/>
  <c r="BC186" i="49"/>
  <c r="BC202" i="49"/>
  <c r="BC226" i="49"/>
  <c r="BC122" i="49"/>
  <c r="BC50" i="49"/>
  <c r="BC210" i="49"/>
  <c r="BC59" i="49"/>
  <c r="BC68" i="49"/>
  <c r="BC126" i="49"/>
  <c r="BC183" i="49"/>
  <c r="BC14" i="49"/>
  <c r="BC76" i="49"/>
  <c r="BC134" i="49"/>
  <c r="BC191" i="49"/>
  <c r="BC5" i="49"/>
  <c r="BC19" i="49"/>
  <c r="BC35" i="49"/>
  <c r="BC51" i="49"/>
  <c r="BC65" i="49"/>
  <c r="BC81" i="49"/>
  <c r="BC97" i="49"/>
  <c r="BC158" i="49"/>
  <c r="BC123" i="49"/>
  <c r="BC139" i="49"/>
  <c r="BC155" i="49"/>
  <c r="BC215" i="49"/>
  <c r="BC180" i="49"/>
  <c r="BC196" i="49"/>
  <c r="BC223" i="49"/>
  <c r="BC246" i="49"/>
  <c r="BC16" i="49"/>
  <c r="BC32" i="49"/>
  <c r="BC48" i="49"/>
  <c r="BC62" i="49"/>
  <c r="BC78" i="49"/>
  <c r="BC94" i="49"/>
  <c r="BC163" i="49"/>
  <c r="BC120" i="49"/>
  <c r="BC136" i="49"/>
  <c r="BC152" i="49"/>
  <c r="BC235" i="49"/>
  <c r="BC177" i="49"/>
  <c r="BC193" i="49"/>
  <c r="BC209" i="49"/>
  <c r="BC240" i="49"/>
  <c r="BC13" i="49"/>
  <c r="BC29" i="49"/>
  <c r="BC45" i="49"/>
  <c r="BC112" i="49"/>
  <c r="BC75" i="49"/>
  <c r="BC91" i="49"/>
  <c r="BC111" i="49"/>
  <c r="BC117" i="49"/>
  <c r="BC133" i="49"/>
  <c r="BC149" i="49"/>
  <c r="BC212" i="49"/>
  <c r="BC174" i="49"/>
  <c r="BC190" i="49"/>
  <c r="BC206" i="49"/>
  <c r="BC234" i="49"/>
  <c r="BA241" i="49"/>
  <c r="BA216" i="49"/>
  <c r="BA161" i="49"/>
  <c r="BA104" i="49"/>
  <c r="BA40" i="49"/>
  <c r="BA242" i="49"/>
  <c r="BA160" i="49"/>
  <c r="BA96" i="49"/>
  <c r="BA32" i="49"/>
  <c r="BA200" i="49"/>
  <c r="BA135" i="49"/>
  <c r="BA72" i="49"/>
  <c r="BA5" i="49"/>
  <c r="BA192" i="49"/>
  <c r="BA127" i="49"/>
  <c r="BA64" i="49"/>
  <c r="BA16" i="49"/>
  <c r="BA143" i="49"/>
  <c r="BA24" i="49"/>
  <c r="BA151" i="49"/>
  <c r="BA252" i="49"/>
  <c r="BA255" i="49"/>
  <c r="BA236" i="49"/>
  <c r="BA205" i="49"/>
  <c r="BA189" i="49"/>
  <c r="BA173" i="49"/>
  <c r="BA156" i="49"/>
  <c r="BA140" i="49"/>
  <c r="BA124" i="49"/>
  <c r="BA113" i="49"/>
  <c r="BA93" i="49"/>
  <c r="BA77" i="49"/>
  <c r="BA60" i="49"/>
  <c r="BA45" i="49"/>
  <c r="BA29" i="49"/>
  <c r="BA13" i="49"/>
  <c r="BA245" i="49"/>
  <c r="BA218" i="49"/>
  <c r="BA230" i="49"/>
  <c r="BA202" i="49"/>
  <c r="BA186" i="49"/>
  <c r="BA165" i="49"/>
  <c r="BA153" i="49"/>
  <c r="BA137" i="49"/>
  <c r="BA121" i="49"/>
  <c r="BA108" i="49"/>
  <c r="BA90" i="49"/>
  <c r="BA74" i="49"/>
  <c r="BA54" i="49"/>
  <c r="BA42" i="49"/>
  <c r="BA26" i="49"/>
  <c r="BA10" i="49"/>
  <c r="BA20" i="49"/>
  <c r="BA52" i="49"/>
  <c r="BA84" i="49"/>
  <c r="BA115" i="49"/>
  <c r="BA147" i="49"/>
  <c r="BA180" i="49"/>
  <c r="BA251" i="49"/>
  <c r="BA233" i="49"/>
  <c r="BA31" i="49"/>
  <c r="BA63" i="49"/>
  <c r="BA95" i="49"/>
  <c r="BA126" i="49"/>
  <c r="BA158" i="49"/>
  <c r="BA191" i="49"/>
  <c r="BA240" i="49"/>
  <c r="BA254" i="49"/>
  <c r="BA35" i="49"/>
  <c r="BA67" i="49"/>
  <c r="BA99" i="49"/>
  <c r="BA130" i="49"/>
  <c r="BA166" i="49"/>
  <c r="BA195" i="49"/>
  <c r="BA253" i="49"/>
  <c r="BA48" i="49"/>
  <c r="BA176" i="49"/>
  <c r="BA59" i="49"/>
  <c r="BA184" i="49"/>
  <c r="BA243" i="49"/>
  <c r="BA217" i="49"/>
  <c r="BA228" i="49"/>
  <c r="BA201" i="49"/>
  <c r="BA185" i="49"/>
  <c r="BA163" i="49"/>
  <c r="BA152" i="49"/>
  <c r="BA136" i="49"/>
  <c r="BA120" i="49"/>
  <c r="BA106" i="49"/>
  <c r="BA89" i="49"/>
  <c r="BA73" i="49"/>
  <c r="BA62" i="49"/>
  <c r="BA41" i="49"/>
  <c r="BA25" i="49"/>
  <c r="BA9" i="49"/>
  <c r="BA237" i="49"/>
  <c r="BA214" i="49"/>
  <c r="BA222" i="49"/>
  <c r="BA198" i="49"/>
  <c r="BA182" i="49"/>
  <c r="BA169" i="49"/>
  <c r="BA149" i="49"/>
  <c r="BA133" i="49"/>
  <c r="BA117" i="49"/>
  <c r="BA102" i="49"/>
  <c r="BA86" i="49"/>
  <c r="BA70" i="49"/>
  <c r="BA55" i="49"/>
  <c r="BA38" i="49"/>
  <c r="BA22" i="49"/>
  <c r="BA8" i="49"/>
  <c r="BA28" i="49"/>
  <c r="BA58" i="49"/>
  <c r="BA92" i="49"/>
  <c r="BA123" i="49"/>
  <c r="BA155" i="49"/>
  <c r="BA188" i="49"/>
  <c r="BA234" i="49"/>
  <c r="BA248" i="49"/>
  <c r="BA7" i="49"/>
  <c r="BA39" i="49"/>
  <c r="BA71" i="49"/>
  <c r="BA103" i="49"/>
  <c r="BA134" i="49"/>
  <c r="BA159" i="49"/>
  <c r="BA199" i="49"/>
  <c r="BA215" i="49"/>
  <c r="BA11" i="49"/>
  <c r="BA43" i="49"/>
  <c r="BA75" i="49"/>
  <c r="BA110" i="49"/>
  <c r="BA138" i="49"/>
  <c r="BA167" i="49"/>
  <c r="BA203" i="49"/>
  <c r="BA219" i="49"/>
  <c r="BA80" i="49"/>
  <c r="BA208" i="49"/>
  <c r="BA88" i="49"/>
  <c r="BA226" i="49"/>
  <c r="BA235" i="49"/>
  <c r="BA213" i="49"/>
  <c r="BA220" i="49"/>
  <c r="BA197" i="49"/>
  <c r="BA181" i="49"/>
  <c r="BA170" i="49"/>
  <c r="BA148" i="49"/>
  <c r="BA132" i="49"/>
  <c r="BA116" i="49"/>
  <c r="BA101" i="49"/>
  <c r="BA85" i="49"/>
  <c r="BA69" i="49"/>
  <c r="BA53" i="49"/>
  <c r="BA37" i="49"/>
  <c r="BA21" i="49"/>
  <c r="BA6" i="49"/>
  <c r="BA229" i="49"/>
  <c r="BA246" i="49"/>
  <c r="BA210" i="49"/>
  <c r="BA194" i="49"/>
  <c r="BA178" i="49"/>
  <c r="BA164" i="49"/>
  <c r="BA145" i="49"/>
  <c r="BA129" i="49"/>
  <c r="BA114" i="49"/>
  <c r="BA98" i="49"/>
  <c r="BA82" i="49"/>
  <c r="BA66" i="49"/>
  <c r="BA50" i="49"/>
  <c r="BA34" i="49"/>
  <c r="BA18" i="49"/>
  <c r="BA4" i="49"/>
  <c r="BA36" i="49"/>
  <c r="BA68" i="49"/>
  <c r="BA100" i="49"/>
  <c r="BA131" i="49"/>
  <c r="BA168" i="49"/>
  <c r="BA196" i="49"/>
  <c r="BA212" i="49"/>
  <c r="BA15" i="49"/>
  <c r="BA47" i="49"/>
  <c r="BA79" i="49"/>
  <c r="BA107" i="49"/>
  <c r="BA142" i="49"/>
  <c r="BA175" i="49"/>
  <c r="BA207" i="49"/>
  <c r="BA223" i="49"/>
  <c r="BA19" i="49"/>
  <c r="BA51" i="49"/>
  <c r="BA83" i="49"/>
  <c r="BA171" i="49"/>
  <c r="BA146" i="49"/>
  <c r="BA179" i="49"/>
  <c r="BA211" i="49"/>
  <c r="BA231" i="49"/>
  <c r="BA109" i="49"/>
  <c r="BA225" i="49"/>
  <c r="BA119" i="49"/>
  <c r="BA227" i="49"/>
  <c r="BA244" i="49"/>
  <c r="BA209" i="49"/>
  <c r="BA193" i="49"/>
  <c r="BA177" i="49"/>
  <c r="BA162" i="49"/>
  <c r="BA144" i="49"/>
  <c r="BA128" i="49"/>
  <c r="BA111" i="49"/>
  <c r="BA97" i="49"/>
  <c r="BA81" i="49"/>
  <c r="BA65" i="49"/>
  <c r="BA49" i="49"/>
  <c r="BA33" i="49"/>
  <c r="BA17" i="49"/>
  <c r="BA250" i="49"/>
  <c r="BA221" i="49"/>
  <c r="BA238" i="49"/>
  <c r="BA206" i="49"/>
  <c r="BA190" i="49"/>
  <c r="BA174" i="49"/>
  <c r="BA157" i="49"/>
  <c r="BA141" i="49"/>
  <c r="BA125" i="49"/>
  <c r="BA105" i="49"/>
  <c r="BA94" i="49"/>
  <c r="BA78" i="49"/>
  <c r="BA56" i="49"/>
  <c r="BA46" i="49"/>
  <c r="BA30" i="49"/>
  <c r="BA14" i="49"/>
  <c r="BA12" i="49"/>
  <c r="BA44" i="49"/>
  <c r="BA76" i="49"/>
  <c r="BA112" i="49"/>
  <c r="BA139" i="49"/>
  <c r="BA172" i="49"/>
  <c r="BA204" i="49"/>
  <c r="BA247" i="49"/>
  <c r="BA23" i="49"/>
  <c r="BA57" i="49"/>
  <c r="BA87" i="49"/>
  <c r="BA118" i="49"/>
  <c r="BA150" i="49"/>
  <c r="BA183" i="49"/>
  <c r="BA224" i="49"/>
  <c r="BA239" i="49"/>
  <c r="BA27" i="49"/>
  <c r="BA61" i="49"/>
  <c r="BA91" i="49"/>
  <c r="BA122" i="49"/>
  <c r="BA154" i="49"/>
  <c r="BA187" i="49"/>
  <c r="BA232" i="49"/>
  <c r="BA249" i="49"/>
  <c r="AN251" i="49"/>
  <c r="AN247" i="49"/>
  <c r="AN243" i="49"/>
  <c r="AN239" i="49"/>
  <c r="AN235" i="49"/>
  <c r="AN231" i="49"/>
  <c r="AN227" i="49"/>
  <c r="AN223" i="49"/>
  <c r="AN219" i="49"/>
  <c r="AN215" i="49"/>
  <c r="AN252" i="49"/>
  <c r="AN250" i="49"/>
  <c r="AN246" i="49"/>
  <c r="AN242" i="49"/>
  <c r="AN238" i="49"/>
  <c r="AN234" i="49"/>
  <c r="AN230" i="49"/>
  <c r="AN226" i="49"/>
  <c r="AN222" i="49"/>
  <c r="AN218" i="49"/>
  <c r="AN214" i="49"/>
  <c r="AN210" i="49"/>
  <c r="AN253" i="49"/>
  <c r="AN249" i="49"/>
  <c r="AN245" i="49"/>
  <c r="AN241" i="49"/>
  <c r="AN237" i="49"/>
  <c r="AN233" i="49"/>
  <c r="AN229" i="49"/>
  <c r="AN225" i="49"/>
  <c r="AN221" i="49"/>
  <c r="AN217" i="49"/>
  <c r="AN213" i="49"/>
  <c r="AN209" i="49"/>
  <c r="AN254" i="49"/>
  <c r="AN202" i="49"/>
  <c r="AN255" i="49"/>
  <c r="AN248" i="49"/>
  <c r="AN244" i="49"/>
  <c r="AN240" i="49"/>
  <c r="AN236" i="49"/>
  <c r="AN232" i="49"/>
  <c r="AN228" i="49"/>
  <c r="AN224" i="49"/>
  <c r="AN220" i="49"/>
  <c r="AN216" i="49"/>
  <c r="AN212" i="49"/>
  <c r="AN208" i="49"/>
  <c r="AN205" i="49"/>
  <c r="AN201" i="49"/>
  <c r="AN206" i="49"/>
  <c r="AN199" i="49"/>
  <c r="AN195" i="49"/>
  <c r="AN191" i="49"/>
  <c r="AN187" i="49"/>
  <c r="AN183" i="49"/>
  <c r="AN179" i="49"/>
  <c r="AN175" i="49"/>
  <c r="AN171" i="49"/>
  <c r="AN167" i="49"/>
  <c r="AN163" i="49"/>
  <c r="AN159" i="49"/>
  <c r="AN155" i="49"/>
  <c r="AN151" i="49"/>
  <c r="AN147" i="49"/>
  <c r="AN143" i="49"/>
  <c r="AN139" i="49"/>
  <c r="AN135" i="49"/>
  <c r="AN131" i="49"/>
  <c r="AN127" i="49"/>
  <c r="AN123" i="49"/>
  <c r="AN118" i="49"/>
  <c r="AN114" i="49"/>
  <c r="AN110" i="49"/>
  <c r="AN106" i="49"/>
  <c r="AN102" i="49"/>
  <c r="AN98" i="49"/>
  <c r="AN94" i="49"/>
  <c r="AN90" i="49"/>
  <c r="AN86" i="49"/>
  <c r="AN82" i="49"/>
  <c r="AN78" i="49"/>
  <c r="AN74" i="49"/>
  <c r="AN70" i="49"/>
  <c r="AN66" i="49"/>
  <c r="AN60" i="49"/>
  <c r="AN55" i="49"/>
  <c r="AN51" i="49"/>
  <c r="AN47" i="49"/>
  <c r="AN43" i="49"/>
  <c r="AN39" i="49"/>
  <c r="AN35" i="49"/>
  <c r="AN31" i="49"/>
  <c r="AN27" i="49"/>
  <c r="AN23" i="49"/>
  <c r="AN19" i="49"/>
  <c r="AN15" i="49"/>
  <c r="AN11" i="49"/>
  <c r="AN7" i="49"/>
  <c r="AN64" i="49"/>
  <c r="AN204" i="49"/>
  <c r="AN198" i="49"/>
  <c r="AN194" i="49"/>
  <c r="AN190" i="49"/>
  <c r="AN186" i="49"/>
  <c r="AN182" i="49"/>
  <c r="AN178" i="49"/>
  <c r="AN174" i="49"/>
  <c r="AN170" i="49"/>
  <c r="AN166" i="49"/>
  <c r="AN162" i="49"/>
  <c r="AN158" i="49"/>
  <c r="AN154" i="49"/>
  <c r="AN150" i="49"/>
  <c r="AN146" i="49"/>
  <c r="AN142" i="49"/>
  <c r="AN138" i="49"/>
  <c r="AN134" i="49"/>
  <c r="AN130" i="49"/>
  <c r="AN126" i="49"/>
  <c r="AN122" i="49"/>
  <c r="AN117" i="49"/>
  <c r="AN113" i="49"/>
  <c r="AN109" i="49"/>
  <c r="AN105" i="49"/>
  <c r="AN101" i="49"/>
  <c r="AN97" i="49"/>
  <c r="AN93" i="49"/>
  <c r="AN89" i="49"/>
  <c r="AN85" i="49"/>
  <c r="AN81" i="49"/>
  <c r="AN77" i="49"/>
  <c r="AN73" i="49"/>
  <c r="AN69" i="49"/>
  <c r="AN65" i="49"/>
  <c r="AN58" i="49"/>
  <c r="AN54" i="49"/>
  <c r="AN50" i="49"/>
  <c r="AN46" i="49"/>
  <c r="AN42" i="49"/>
  <c r="AN38" i="49"/>
  <c r="AN34" i="49"/>
  <c r="AN30" i="49"/>
  <c r="AN26" i="49"/>
  <c r="AN22" i="49"/>
  <c r="AN18" i="49"/>
  <c r="AN14" i="49"/>
  <c r="AN10" i="49"/>
  <c r="AN6" i="49"/>
  <c r="AN61" i="49"/>
  <c r="AN211" i="49"/>
  <c r="AN203" i="49"/>
  <c r="AN197" i="49"/>
  <c r="AN193" i="49"/>
  <c r="AN189" i="49"/>
  <c r="AN185" i="49"/>
  <c r="AN181" i="49"/>
  <c r="AN177" i="49"/>
  <c r="AN173" i="49"/>
  <c r="AN169" i="49"/>
  <c r="AN165" i="49"/>
  <c r="AN161" i="49"/>
  <c r="AN157" i="49"/>
  <c r="AN153" i="49"/>
  <c r="AN149" i="49"/>
  <c r="AN145" i="49"/>
  <c r="AN141" i="49"/>
  <c r="AN137" i="49"/>
  <c r="AN133" i="49"/>
  <c r="AN129" i="49"/>
  <c r="AN125" i="49"/>
  <c r="AN120" i="49"/>
  <c r="AN116" i="49"/>
  <c r="AN112" i="49"/>
  <c r="AN108" i="49"/>
  <c r="AN104" i="49"/>
  <c r="AN100" i="49"/>
  <c r="AN96" i="49"/>
  <c r="AN92" i="49"/>
  <c r="AN88" i="49"/>
  <c r="AN84" i="49"/>
  <c r="AN80" i="49"/>
  <c r="AN76" i="49"/>
  <c r="AN72" i="49"/>
  <c r="AN68" i="49"/>
  <c r="AN121" i="49"/>
  <c r="AN56" i="49"/>
  <c r="AN53" i="49"/>
  <c r="AN49" i="49"/>
  <c r="AN45" i="49"/>
  <c r="AN41" i="49"/>
  <c r="AN37" i="49"/>
  <c r="AN33" i="49"/>
  <c r="AN29" i="49"/>
  <c r="AN25" i="49"/>
  <c r="AN21" i="49"/>
  <c r="AN17" i="49"/>
  <c r="AN13" i="49"/>
  <c r="AN9" i="49"/>
  <c r="AN5" i="49"/>
  <c r="AN59" i="49"/>
  <c r="AN207" i="49"/>
  <c r="AN200" i="49"/>
  <c r="AN196" i="49"/>
  <c r="AN192" i="49"/>
  <c r="AN188" i="49"/>
  <c r="AN184" i="49"/>
  <c r="AN180" i="49"/>
  <c r="AN176" i="49"/>
  <c r="AN172" i="49"/>
  <c r="AN168" i="49"/>
  <c r="AN164" i="49"/>
  <c r="AN160" i="49"/>
  <c r="AN156" i="49"/>
  <c r="AN152" i="49"/>
  <c r="AN148" i="49"/>
  <c r="AN144" i="49"/>
  <c r="AN140" i="49"/>
  <c r="AN136" i="49"/>
  <c r="AN132" i="49"/>
  <c r="AN128" i="49"/>
  <c r="AN124" i="49"/>
  <c r="AN119" i="49"/>
  <c r="AN115" i="49"/>
  <c r="AN111" i="49"/>
  <c r="AN107" i="49"/>
  <c r="AN103" i="49"/>
  <c r="AN99" i="49"/>
  <c r="AN95" i="49"/>
  <c r="AN91" i="49"/>
  <c r="AN87" i="49"/>
  <c r="AN83" i="49"/>
  <c r="AN79" i="49"/>
  <c r="AN75" i="49"/>
  <c r="AN71" i="49"/>
  <c r="AN67" i="49"/>
  <c r="AN62" i="49"/>
  <c r="AN63" i="49"/>
  <c r="AN52" i="49"/>
  <c r="AN48" i="49"/>
  <c r="AN44" i="49"/>
  <c r="AN40" i="49"/>
  <c r="AN36" i="49"/>
  <c r="AN32" i="49"/>
  <c r="AN28" i="49"/>
  <c r="AN24" i="49"/>
  <c r="AN20" i="49"/>
  <c r="AN16" i="49"/>
  <c r="AN12" i="49"/>
  <c r="AN8" i="49"/>
  <c r="AN4" i="49"/>
  <c r="AN57" i="49"/>
  <c r="T241" i="49"/>
  <c r="T189" i="49"/>
  <c r="T62" i="49"/>
  <c r="T186" i="49"/>
  <c r="T36" i="49"/>
  <c r="T100" i="49"/>
  <c r="T164" i="49"/>
  <c r="T243" i="49"/>
  <c r="T94" i="49"/>
  <c r="T207" i="49"/>
  <c r="T52" i="49"/>
  <c r="T116" i="49"/>
  <c r="T183" i="49"/>
  <c r="T253" i="49"/>
  <c r="T126" i="49"/>
  <c r="T224" i="49"/>
  <c r="T4" i="49"/>
  <c r="T68" i="49"/>
  <c r="T132" i="49"/>
  <c r="T204" i="49"/>
  <c r="T220" i="49"/>
  <c r="T30" i="49"/>
  <c r="T158" i="49"/>
  <c r="T246" i="49"/>
  <c r="T20" i="49"/>
  <c r="T84" i="49"/>
  <c r="T148" i="49"/>
  <c r="T222" i="49"/>
  <c r="T227" i="49"/>
  <c r="T152" i="49"/>
  <c r="T88" i="49"/>
  <c r="T24" i="49"/>
  <c r="T211" i="49"/>
  <c r="T106" i="49"/>
  <c r="T185" i="49"/>
  <c r="T219" i="49"/>
  <c r="T144" i="49"/>
  <c r="T80" i="49"/>
  <c r="T16" i="49"/>
  <c r="T180" i="49"/>
  <c r="T58" i="49"/>
  <c r="T194" i="49"/>
  <c r="T124" i="49"/>
  <c r="T60" i="49"/>
  <c r="T235" i="49"/>
  <c r="T142" i="49"/>
  <c r="T14" i="49"/>
  <c r="T150" i="49"/>
  <c r="T86" i="49"/>
  <c r="T22" i="49"/>
  <c r="T209" i="49"/>
  <c r="T146" i="49"/>
  <c r="T82" i="49"/>
  <c r="T18" i="49"/>
  <c r="T225" i="49"/>
  <c r="T218" i="49"/>
  <c r="T176" i="49"/>
  <c r="T135" i="49"/>
  <c r="T79" i="49"/>
  <c r="T244" i="49"/>
  <c r="T206" i="49"/>
  <c r="T165" i="49"/>
  <c r="T133" i="49"/>
  <c r="T101" i="49"/>
  <c r="T53" i="49"/>
  <c r="T231" i="49"/>
  <c r="T192" i="49"/>
  <c r="T155" i="49"/>
  <c r="T123" i="49"/>
  <c r="T91" i="49"/>
  <c r="T59" i="49"/>
  <c r="T27" i="49"/>
  <c r="T111" i="49"/>
  <c r="T63" i="49"/>
  <c r="T7" i="49"/>
  <c r="T251" i="49"/>
  <c r="T250" i="49"/>
  <c r="T169" i="49"/>
  <c r="T137" i="49"/>
  <c r="T105" i="49"/>
  <c r="T73" i="49"/>
  <c r="T41" i="49"/>
  <c r="T9" i="49"/>
  <c r="T210" i="49"/>
  <c r="T136" i="49"/>
  <c r="T72" i="49"/>
  <c r="T8" i="49"/>
  <c r="T191" i="49"/>
  <c r="T74" i="49"/>
  <c r="T216" i="49"/>
  <c r="T199" i="49"/>
  <c r="T128" i="49"/>
  <c r="T64" i="49"/>
  <c r="T240" i="49"/>
  <c r="T154" i="49"/>
  <c r="T26" i="49"/>
  <c r="T172" i="49"/>
  <c r="T108" i="49"/>
  <c r="T44" i="49"/>
  <c r="T217" i="49"/>
  <c r="T110" i="49"/>
  <c r="T173" i="49"/>
  <c r="T134" i="49"/>
  <c r="T70" i="49"/>
  <c r="T6" i="49"/>
  <c r="T221" i="49"/>
  <c r="T130" i="49"/>
  <c r="T66" i="49"/>
  <c r="T181" i="49"/>
  <c r="T247" i="49"/>
  <c r="T208" i="49"/>
  <c r="T167" i="49"/>
  <c r="T127" i="49"/>
  <c r="T55" i="49"/>
  <c r="T234" i="49"/>
  <c r="T195" i="49"/>
  <c r="T157" i="49"/>
  <c r="T125" i="49"/>
  <c r="T93" i="49"/>
  <c r="T45" i="49"/>
  <c r="T248" i="49"/>
  <c r="T182" i="49"/>
  <c r="T147" i="49"/>
  <c r="T115" i="49"/>
  <c r="T83" i="49"/>
  <c r="T51" i="49"/>
  <c r="T19" i="49"/>
  <c r="T95" i="49"/>
  <c r="T47" i="49"/>
  <c r="T77" i="49"/>
  <c r="T239" i="49"/>
  <c r="T200" i="49"/>
  <c r="T161" i="49"/>
  <c r="T129" i="49"/>
  <c r="T97" i="49"/>
  <c r="T65" i="49"/>
  <c r="T33" i="49"/>
  <c r="T69" i="49"/>
  <c r="T188" i="49"/>
  <c r="T120" i="49"/>
  <c r="T56" i="49"/>
  <c r="T255" i="49"/>
  <c r="T170" i="49"/>
  <c r="T42" i="49"/>
  <c r="T245" i="49"/>
  <c r="T178" i="49"/>
  <c r="T112" i="49"/>
  <c r="T48" i="49"/>
  <c r="T254" i="49"/>
  <c r="T122" i="49"/>
  <c r="T201" i="49"/>
  <c r="T232" i="49"/>
  <c r="T156" i="49"/>
  <c r="T92" i="49"/>
  <c r="T28" i="49"/>
  <c r="T196" i="49"/>
  <c r="T78" i="49"/>
  <c r="T205" i="49"/>
  <c r="T118" i="49"/>
  <c r="T54" i="49"/>
  <c r="T177" i="49"/>
  <c r="T237" i="49"/>
  <c r="T114" i="49"/>
  <c r="T50" i="49"/>
  <c r="T197" i="49"/>
  <c r="T236" i="49"/>
  <c r="T198" i="49"/>
  <c r="T151" i="49"/>
  <c r="T119" i="49"/>
  <c r="T39" i="49"/>
  <c r="T223" i="49"/>
  <c r="T184" i="49"/>
  <c r="T149" i="49"/>
  <c r="T117" i="49"/>
  <c r="T85" i="49"/>
  <c r="T21" i="49"/>
  <c r="T213" i="49"/>
  <c r="T171" i="49"/>
  <c r="T139" i="49"/>
  <c r="T107" i="49"/>
  <c r="T75" i="49"/>
  <c r="T43" i="49"/>
  <c r="T11" i="49"/>
  <c r="T87" i="49"/>
  <c r="T31" i="49"/>
  <c r="T37" i="49"/>
  <c r="T228" i="49"/>
  <c r="T190" i="49"/>
  <c r="T153" i="49"/>
  <c r="T121" i="49"/>
  <c r="T89" i="49"/>
  <c r="T57" i="49"/>
  <c r="T25" i="49"/>
  <c r="T29" i="49"/>
  <c r="T249" i="49"/>
  <c r="T168" i="49"/>
  <c r="T104" i="49"/>
  <c r="T40" i="49"/>
  <c r="T230" i="49"/>
  <c r="T138" i="49"/>
  <c r="T10" i="49"/>
  <c r="T238" i="49"/>
  <c r="T160" i="49"/>
  <c r="T96" i="49"/>
  <c r="T32" i="49"/>
  <c r="T202" i="49"/>
  <c r="T90" i="49"/>
  <c r="T229" i="49"/>
  <c r="T214" i="49"/>
  <c r="T140" i="49"/>
  <c r="T76" i="49"/>
  <c r="T12" i="49"/>
  <c r="T175" i="49"/>
  <c r="T46" i="49"/>
  <c r="T233" i="49"/>
  <c r="T166" i="49"/>
  <c r="T102" i="49"/>
  <c r="T38" i="49"/>
  <c r="T193" i="49"/>
  <c r="T162" i="49"/>
  <c r="T98" i="49"/>
  <c r="T34" i="49"/>
  <c r="T212" i="49"/>
  <c r="T226" i="49"/>
  <c r="T187" i="49"/>
  <c r="T143" i="49"/>
  <c r="T103" i="49"/>
  <c r="T15" i="49"/>
  <c r="T215" i="49"/>
  <c r="T174" i="49"/>
  <c r="T141" i="49"/>
  <c r="T109" i="49"/>
  <c r="T61" i="49"/>
  <c r="T242" i="49"/>
  <c r="T203" i="49"/>
  <c r="T163" i="49"/>
  <c r="T131" i="49"/>
  <c r="T99" i="49"/>
  <c r="T67" i="49"/>
  <c r="T35" i="49"/>
  <c r="T159" i="49"/>
  <c r="T71" i="49"/>
  <c r="T23" i="49"/>
  <c r="T13" i="49"/>
  <c r="T252" i="49"/>
  <c r="T179" i="49"/>
  <c r="T145" i="49"/>
  <c r="T113" i="49"/>
  <c r="T81" i="49"/>
  <c r="T49" i="49"/>
  <c r="T17" i="49"/>
  <c r="T5" i="49"/>
  <c r="S254" i="49"/>
  <c r="S250" i="49"/>
  <c r="S244" i="49"/>
  <c r="S236" i="49"/>
  <c r="S228" i="49"/>
  <c r="S245" i="49"/>
  <c r="S219" i="49"/>
  <c r="S208" i="49"/>
  <c r="S253" i="49"/>
  <c r="S249" i="49"/>
  <c r="S242" i="49"/>
  <c r="S234" i="49"/>
  <c r="S226" i="49"/>
  <c r="S237" i="49"/>
  <c r="S215" i="49"/>
  <c r="S207" i="49"/>
  <c r="S255" i="49"/>
  <c r="S251" i="49"/>
  <c r="S246" i="49"/>
  <c r="S238" i="49"/>
  <c r="S230" i="49"/>
  <c r="S222" i="49"/>
  <c r="S221" i="49"/>
  <c r="S209" i="49"/>
  <c r="S252" i="49"/>
  <c r="S224" i="49"/>
  <c r="S205" i="49"/>
  <c r="S201" i="49"/>
  <c r="S197" i="49"/>
  <c r="S193" i="49"/>
  <c r="S189" i="49"/>
  <c r="S185" i="49"/>
  <c r="S181" i="49"/>
  <c r="S177" i="49"/>
  <c r="S173" i="49"/>
  <c r="S169" i="49"/>
  <c r="S223" i="49"/>
  <c r="S241" i="49"/>
  <c r="S213" i="49"/>
  <c r="S218" i="49"/>
  <c r="S156" i="49"/>
  <c r="S152" i="49"/>
  <c r="S148" i="49"/>
  <c r="S144" i="49"/>
  <c r="S140" i="49"/>
  <c r="S136" i="49"/>
  <c r="S132" i="49"/>
  <c r="S128" i="49"/>
  <c r="S124" i="49"/>
  <c r="S120" i="49"/>
  <c r="S116" i="49"/>
  <c r="S168" i="49"/>
  <c r="S160" i="49"/>
  <c r="S163" i="49"/>
  <c r="S109" i="49"/>
  <c r="S102" i="49"/>
  <c r="S98" i="49"/>
  <c r="S94" i="49"/>
  <c r="S90" i="49"/>
  <c r="S86" i="49"/>
  <c r="S82" i="49"/>
  <c r="S78" i="49"/>
  <c r="S74" i="49"/>
  <c r="S70" i="49"/>
  <c r="S66" i="49"/>
  <c r="S62" i="49"/>
  <c r="S108" i="49"/>
  <c r="S58" i="49"/>
  <c r="S52" i="49"/>
  <c r="S48" i="49"/>
  <c r="S44" i="49"/>
  <c r="S40" i="49"/>
  <c r="S36" i="49"/>
  <c r="S32" i="49"/>
  <c r="S28" i="49"/>
  <c r="S24" i="49"/>
  <c r="S20" i="49"/>
  <c r="S16" i="49"/>
  <c r="S12" i="49"/>
  <c r="S8" i="49"/>
  <c r="S57" i="49"/>
  <c r="S248" i="49"/>
  <c r="S229" i="49"/>
  <c r="S204" i="49"/>
  <c r="S200" i="49"/>
  <c r="S196" i="49"/>
  <c r="S192" i="49"/>
  <c r="S188" i="49"/>
  <c r="S184" i="49"/>
  <c r="S180" i="49"/>
  <c r="S176" i="49"/>
  <c r="S172" i="49"/>
  <c r="S247" i="49"/>
  <c r="S220" i="49"/>
  <c r="S233" i="49"/>
  <c r="S243" i="49"/>
  <c r="S214" i="49"/>
  <c r="S155" i="49"/>
  <c r="S151" i="49"/>
  <c r="S147" i="49"/>
  <c r="S143" i="49"/>
  <c r="S139" i="49"/>
  <c r="S135" i="49"/>
  <c r="S131" i="49"/>
  <c r="S127" i="49"/>
  <c r="S123" i="49"/>
  <c r="S119" i="49"/>
  <c r="S115" i="49"/>
  <c r="S166" i="49"/>
  <c r="S158" i="49"/>
  <c r="S161" i="49"/>
  <c r="S107" i="49"/>
  <c r="S101" i="49"/>
  <c r="S97" i="49"/>
  <c r="S93" i="49"/>
  <c r="S89" i="49"/>
  <c r="S85" i="49"/>
  <c r="S81" i="49"/>
  <c r="S77" i="49"/>
  <c r="S73" i="49"/>
  <c r="S69" i="49"/>
  <c r="S65" i="49"/>
  <c r="S61" i="49"/>
  <c r="S106" i="49"/>
  <c r="S55" i="49"/>
  <c r="S51" i="49"/>
  <c r="S47" i="49"/>
  <c r="S43" i="49"/>
  <c r="S39" i="49"/>
  <c r="S35" i="49"/>
  <c r="S31" i="49"/>
  <c r="S27" i="49"/>
  <c r="S23" i="49"/>
  <c r="S19" i="49"/>
  <c r="S15" i="49"/>
  <c r="S11" i="49"/>
  <c r="S7" i="49"/>
  <c r="S5" i="49"/>
  <c r="S240" i="49"/>
  <c r="S210" i="49"/>
  <c r="S203" i="49"/>
  <c r="S199" i="49"/>
  <c r="S195" i="49"/>
  <c r="S191" i="49"/>
  <c r="S187" i="49"/>
  <c r="S183" i="49"/>
  <c r="S179" i="49"/>
  <c r="S175" i="49"/>
  <c r="S171" i="49"/>
  <c r="S239" i="49"/>
  <c r="S216" i="49"/>
  <c r="S225" i="49"/>
  <c r="S235" i="49"/>
  <c r="S211" i="49"/>
  <c r="S154" i="49"/>
  <c r="S150" i="49"/>
  <c r="S146" i="49"/>
  <c r="S142" i="49"/>
  <c r="S138" i="49"/>
  <c r="S134" i="49"/>
  <c r="S130" i="49"/>
  <c r="S126" i="49"/>
  <c r="S122" i="49"/>
  <c r="S118" i="49"/>
  <c r="S114" i="49"/>
  <c r="S164" i="49"/>
  <c r="S167" i="49"/>
  <c r="S159" i="49"/>
  <c r="S105" i="49"/>
  <c r="S100" i="49"/>
  <c r="S96" i="49"/>
  <c r="S92" i="49"/>
  <c r="S88" i="49"/>
  <c r="S84" i="49"/>
  <c r="S80" i="49"/>
  <c r="S76" i="49"/>
  <c r="S72" i="49"/>
  <c r="S68" i="49"/>
  <c r="S64" i="49"/>
  <c r="S112" i="49"/>
  <c r="S104" i="49"/>
  <c r="S54" i="49"/>
  <c r="S50" i="49"/>
  <c r="S46" i="49"/>
  <c r="S42" i="49"/>
  <c r="S38" i="49"/>
  <c r="S34" i="49"/>
  <c r="S30" i="49"/>
  <c r="S26" i="49"/>
  <c r="S22" i="49"/>
  <c r="S18" i="49"/>
  <c r="S14" i="49"/>
  <c r="S10" i="49"/>
  <c r="S59" i="49"/>
  <c r="S6" i="49"/>
  <c r="S232" i="49"/>
  <c r="S206" i="49"/>
  <c r="S202" i="49"/>
  <c r="S198" i="49"/>
  <c r="S194" i="49"/>
  <c r="S190" i="49"/>
  <c r="S186" i="49"/>
  <c r="S182" i="49"/>
  <c r="S178" i="49"/>
  <c r="S174" i="49"/>
  <c r="S170" i="49"/>
  <c r="S231" i="49"/>
  <c r="S212" i="49"/>
  <c r="S217" i="49"/>
  <c r="S227" i="49"/>
  <c r="S157" i="49"/>
  <c r="S153" i="49"/>
  <c r="S149" i="49"/>
  <c r="S145" i="49"/>
  <c r="S141" i="49"/>
  <c r="S137" i="49"/>
  <c r="S133" i="49"/>
  <c r="S129" i="49"/>
  <c r="S125" i="49"/>
  <c r="S121" i="49"/>
  <c r="S117" i="49"/>
  <c r="S113" i="49"/>
  <c r="S162" i="49"/>
  <c r="S165" i="49"/>
  <c r="S111" i="49"/>
  <c r="S103" i="49"/>
  <c r="S99" i="49"/>
  <c r="S95" i="49"/>
  <c r="S91" i="49"/>
  <c r="S87" i="49"/>
  <c r="S83" i="49"/>
  <c r="S79" i="49"/>
  <c r="S75" i="49"/>
  <c r="S71" i="49"/>
  <c r="S67" i="49"/>
  <c r="S63" i="49"/>
  <c r="S110" i="49"/>
  <c r="S60" i="49"/>
  <c r="S53" i="49"/>
  <c r="S49" i="49"/>
  <c r="S45" i="49"/>
  <c r="S41" i="49"/>
  <c r="S37" i="49"/>
  <c r="S33" i="49"/>
  <c r="S29" i="49"/>
  <c r="S25" i="49"/>
  <c r="S21" i="49"/>
  <c r="S17" i="49"/>
  <c r="S13" i="49"/>
  <c r="S9" i="49"/>
  <c r="S56" i="49"/>
  <c r="S4" i="49"/>
  <c r="AF253" i="49"/>
  <c r="AF249" i="49"/>
  <c r="AF245" i="49"/>
  <c r="AF241" i="49"/>
  <c r="AF237" i="49"/>
  <c r="AF233" i="49"/>
  <c r="AF229" i="49"/>
  <c r="AF225" i="49"/>
  <c r="AF221" i="49"/>
  <c r="AF217" i="49"/>
  <c r="AF213" i="49"/>
  <c r="AF209" i="49"/>
  <c r="AF205" i="49"/>
  <c r="AF201" i="49"/>
  <c r="AF197" i="49"/>
  <c r="AF193" i="49"/>
  <c r="AF189" i="49"/>
  <c r="AF185" i="49"/>
  <c r="AF181" i="49"/>
  <c r="AF177" i="49"/>
  <c r="AF173" i="49"/>
  <c r="AF169" i="49"/>
  <c r="AF165" i="49"/>
  <c r="AF161" i="49"/>
  <c r="AF157" i="49"/>
  <c r="AF153" i="49"/>
  <c r="AF149" i="49"/>
  <c r="AF145" i="49"/>
  <c r="AF141" i="49"/>
  <c r="AF137" i="49"/>
  <c r="AF133" i="49"/>
  <c r="AF129" i="49"/>
  <c r="AF125" i="49"/>
  <c r="AF120" i="49"/>
  <c r="AF116" i="49"/>
  <c r="AF112" i="49"/>
  <c r="AF108" i="49"/>
  <c r="AF104" i="49"/>
  <c r="AF100" i="49"/>
  <c r="AF96" i="49"/>
  <c r="AF92" i="49"/>
  <c r="AF88" i="49"/>
  <c r="AF84" i="49"/>
  <c r="AF80" i="49"/>
  <c r="AF76" i="49"/>
  <c r="AF72" i="49"/>
  <c r="AF68" i="49"/>
  <c r="AF64" i="49"/>
  <c r="AF56" i="49"/>
  <c r="AF53" i="49"/>
  <c r="AF49" i="49"/>
  <c r="AF45" i="49"/>
  <c r="AF41" i="49"/>
  <c r="AF37" i="49"/>
  <c r="AF33" i="49"/>
  <c r="AF29" i="49"/>
  <c r="AF25" i="49"/>
  <c r="AF21" i="49"/>
  <c r="AF17" i="49"/>
  <c r="AF13" i="49"/>
  <c r="AF9" i="49"/>
  <c r="AF5" i="49"/>
  <c r="AF57" i="49"/>
  <c r="AF252" i="49"/>
  <c r="AF248" i="49"/>
  <c r="AF244" i="49"/>
  <c r="AF240" i="49"/>
  <c r="AF236" i="49"/>
  <c r="AF232" i="49"/>
  <c r="AF228" i="49"/>
  <c r="AF224" i="49"/>
  <c r="AF220" i="49"/>
  <c r="AF216" i="49"/>
  <c r="AF212" i="49"/>
  <c r="AF208" i="49"/>
  <c r="AF204" i="49"/>
  <c r="AF200" i="49"/>
  <c r="AF196" i="49"/>
  <c r="AF192" i="49"/>
  <c r="AF188" i="49"/>
  <c r="AF184" i="49"/>
  <c r="AF180" i="49"/>
  <c r="AF176" i="49"/>
  <c r="AF172" i="49"/>
  <c r="AF168" i="49"/>
  <c r="AF164" i="49"/>
  <c r="AF160" i="49"/>
  <c r="AF156" i="49"/>
  <c r="AF152" i="49"/>
  <c r="AF148" i="49"/>
  <c r="AF144" i="49"/>
  <c r="AF140" i="49"/>
  <c r="AF136" i="49"/>
  <c r="AF132" i="49"/>
  <c r="AF128" i="49"/>
  <c r="AF124" i="49"/>
  <c r="AF119" i="49"/>
  <c r="AF115" i="49"/>
  <c r="AF111" i="49"/>
  <c r="AF107" i="49"/>
  <c r="AF103" i="49"/>
  <c r="AF99" i="49"/>
  <c r="AF95" i="49"/>
  <c r="AF91" i="49"/>
  <c r="AF87" i="49"/>
  <c r="AF83" i="49"/>
  <c r="AF79" i="49"/>
  <c r="AF75" i="49"/>
  <c r="AF71" i="49"/>
  <c r="AF67" i="49"/>
  <c r="AF62" i="49"/>
  <c r="AF65" i="49"/>
  <c r="AF52" i="49"/>
  <c r="AF48" i="49"/>
  <c r="AF44" i="49"/>
  <c r="AF40" i="49"/>
  <c r="AF36" i="49"/>
  <c r="AF32" i="49"/>
  <c r="AF28" i="49"/>
  <c r="AF24" i="49"/>
  <c r="AF20" i="49"/>
  <c r="AF16" i="49"/>
  <c r="AF12" i="49"/>
  <c r="AF8" i="49"/>
  <c r="AF4" i="49"/>
  <c r="AF63" i="49"/>
  <c r="AF254" i="49"/>
  <c r="AF251" i="49"/>
  <c r="AF247" i="49"/>
  <c r="AF243" i="49"/>
  <c r="AF239" i="49"/>
  <c r="AF235" i="49"/>
  <c r="AF231" i="49"/>
  <c r="AF227" i="49"/>
  <c r="AF223" i="49"/>
  <c r="AF219" i="49"/>
  <c r="AF215" i="49"/>
  <c r="AF211" i="49"/>
  <c r="AF207" i="49"/>
  <c r="AF203" i="49"/>
  <c r="AF199" i="49"/>
  <c r="AF195" i="49"/>
  <c r="AF191" i="49"/>
  <c r="AF187" i="49"/>
  <c r="AF183" i="49"/>
  <c r="AF179" i="49"/>
  <c r="AF175" i="49"/>
  <c r="AF171" i="49"/>
  <c r="AF167" i="49"/>
  <c r="AF163" i="49"/>
  <c r="AF159" i="49"/>
  <c r="AF155" i="49"/>
  <c r="AF151" i="49"/>
  <c r="AF147" i="49"/>
  <c r="AF143" i="49"/>
  <c r="AF139" i="49"/>
  <c r="AF135" i="49"/>
  <c r="AF131" i="49"/>
  <c r="AF127" i="49"/>
  <c r="AF123" i="49"/>
  <c r="AF118" i="49"/>
  <c r="AF114" i="49"/>
  <c r="AF110" i="49"/>
  <c r="AF106" i="49"/>
  <c r="AF102" i="49"/>
  <c r="AF98" i="49"/>
  <c r="AF94" i="49"/>
  <c r="AF90" i="49"/>
  <c r="AF86" i="49"/>
  <c r="AF82" i="49"/>
  <c r="AF78" i="49"/>
  <c r="AF74" i="49"/>
  <c r="AF70" i="49"/>
  <c r="AF66" i="49"/>
  <c r="AF60" i="49"/>
  <c r="AF55" i="49"/>
  <c r="AF51" i="49"/>
  <c r="AF47" i="49"/>
  <c r="AF43" i="49"/>
  <c r="AF39" i="49"/>
  <c r="AF35" i="49"/>
  <c r="AF31" i="49"/>
  <c r="AF27" i="49"/>
  <c r="AF23" i="49"/>
  <c r="AF19" i="49"/>
  <c r="AF15" i="49"/>
  <c r="AF11" i="49"/>
  <c r="AF7" i="49"/>
  <c r="AF61" i="49"/>
  <c r="AF255" i="49"/>
  <c r="AF250" i="49"/>
  <c r="AF246" i="49"/>
  <c r="AF242" i="49"/>
  <c r="AF238" i="49"/>
  <c r="AF234" i="49"/>
  <c r="AF230" i="49"/>
  <c r="AF226" i="49"/>
  <c r="AF222" i="49"/>
  <c r="AF218" i="49"/>
  <c r="AF214" i="49"/>
  <c r="AF210" i="49"/>
  <c r="AF206" i="49"/>
  <c r="AF202" i="49"/>
  <c r="AF198" i="49"/>
  <c r="AF194" i="49"/>
  <c r="AF190" i="49"/>
  <c r="AF186" i="49"/>
  <c r="AF182" i="49"/>
  <c r="AF178" i="49"/>
  <c r="AF174" i="49"/>
  <c r="AF170" i="49"/>
  <c r="AF166" i="49"/>
  <c r="AF162" i="49"/>
  <c r="AF158" i="49"/>
  <c r="AF154" i="49"/>
  <c r="AF150" i="49"/>
  <c r="AF146" i="49"/>
  <c r="AF142" i="49"/>
  <c r="AF138" i="49"/>
  <c r="AF134" i="49"/>
  <c r="AF130" i="49"/>
  <c r="AF126" i="49"/>
  <c r="AF122" i="49"/>
  <c r="AF117" i="49"/>
  <c r="AF113" i="49"/>
  <c r="AF109" i="49"/>
  <c r="AF105" i="49"/>
  <c r="AF101" i="49"/>
  <c r="AF97" i="49"/>
  <c r="AF93" i="49"/>
  <c r="AF89" i="49"/>
  <c r="AF85" i="49"/>
  <c r="AF81" i="49"/>
  <c r="AF77" i="49"/>
  <c r="AF73" i="49"/>
  <c r="AF69" i="49"/>
  <c r="AF121" i="49"/>
  <c r="AF58" i="49"/>
  <c r="AF54" i="49"/>
  <c r="AF50" i="49"/>
  <c r="AF46" i="49"/>
  <c r="AF42" i="49"/>
  <c r="AF38" i="49"/>
  <c r="AF34" i="49"/>
  <c r="AF30" i="49"/>
  <c r="AF26" i="49"/>
  <c r="AF22" i="49"/>
  <c r="AF18" i="49"/>
  <c r="AF14" i="49"/>
  <c r="AF10" i="49"/>
  <c r="AF6" i="49"/>
  <c r="AF59" i="49"/>
  <c r="X254" i="49"/>
  <c r="X245" i="49"/>
  <c r="X241" i="49"/>
  <c r="X237" i="49"/>
  <c r="X233" i="49"/>
  <c r="X229" i="49"/>
  <c r="X225" i="49"/>
  <c r="X221" i="49"/>
  <c r="X220" i="49"/>
  <c r="X216" i="49"/>
  <c r="X212" i="49"/>
  <c r="X209" i="49"/>
  <c r="X205" i="49"/>
  <c r="X201" i="49"/>
  <c r="X197" i="49"/>
  <c r="X193" i="49"/>
  <c r="X189" i="49"/>
  <c r="X185" i="49"/>
  <c r="X181" i="49"/>
  <c r="X177" i="49"/>
  <c r="X173" i="49"/>
  <c r="X169" i="49"/>
  <c r="X165" i="49"/>
  <c r="X161" i="49"/>
  <c r="X157" i="49"/>
  <c r="X153" i="49"/>
  <c r="X149" i="49"/>
  <c r="X145" i="49"/>
  <c r="X141" i="49"/>
  <c r="X137" i="49"/>
  <c r="X133" i="49"/>
  <c r="X129" i="49"/>
  <c r="X125" i="49"/>
  <c r="X121" i="49"/>
  <c r="X117" i="49"/>
  <c r="X113" i="49"/>
  <c r="X109" i="49"/>
  <c r="X105" i="49"/>
  <c r="X101" i="49"/>
  <c r="X97" i="49"/>
  <c r="X93" i="49"/>
  <c r="X89" i="49"/>
  <c r="X85" i="49"/>
  <c r="X81" i="49"/>
  <c r="X77" i="49"/>
  <c r="X73" i="49"/>
  <c r="X69" i="49"/>
  <c r="X65" i="49"/>
  <c r="X61" i="49"/>
  <c r="X57" i="49"/>
  <c r="X53" i="49"/>
  <c r="X49" i="49"/>
  <c r="X45" i="49"/>
  <c r="X41" i="49"/>
  <c r="X37" i="49"/>
  <c r="X33" i="49"/>
  <c r="X29" i="49"/>
  <c r="X25" i="49"/>
  <c r="X21" i="49"/>
  <c r="X17" i="49"/>
  <c r="X13" i="49"/>
  <c r="X9" i="49"/>
  <c r="X5" i="49"/>
  <c r="X250" i="49"/>
  <c r="X244" i="49"/>
  <c r="X240" i="49"/>
  <c r="X236" i="49"/>
  <c r="X232" i="49"/>
  <c r="X228" i="49"/>
  <c r="X224" i="49"/>
  <c r="X255" i="49"/>
  <c r="X219" i="49"/>
  <c r="X215" i="49"/>
  <c r="X211" i="49"/>
  <c r="X208" i="49"/>
  <c r="X204" i="49"/>
  <c r="X200" i="49"/>
  <c r="X196" i="49"/>
  <c r="X192" i="49"/>
  <c r="X188" i="49"/>
  <c r="X184" i="49"/>
  <c r="X180" i="49"/>
  <c r="X176" i="49"/>
  <c r="X172" i="49"/>
  <c r="X168" i="49"/>
  <c r="X164" i="49"/>
  <c r="X160" i="49"/>
  <c r="X156" i="49"/>
  <c r="X152" i="49"/>
  <c r="X148" i="49"/>
  <c r="X144" i="49"/>
  <c r="X140" i="49"/>
  <c r="X136" i="49"/>
  <c r="X132" i="49"/>
  <c r="X128" i="49"/>
  <c r="X124" i="49"/>
  <c r="X120" i="49"/>
  <c r="X116" i="49"/>
  <c r="X112" i="49"/>
  <c r="X108" i="49"/>
  <c r="X104" i="49"/>
  <c r="X100" i="49"/>
  <c r="X96" i="49"/>
  <c r="X92" i="49"/>
  <c r="X88" i="49"/>
  <c r="X84" i="49"/>
  <c r="X80" i="49"/>
  <c r="X76" i="49"/>
  <c r="X72" i="49"/>
  <c r="X68" i="49"/>
  <c r="X64" i="49"/>
  <c r="X60" i="49"/>
  <c r="X56" i="49"/>
  <c r="X52" i="49"/>
  <c r="X48" i="49"/>
  <c r="X44" i="49"/>
  <c r="X40" i="49"/>
  <c r="X36" i="49"/>
  <c r="X32" i="49"/>
  <c r="X28" i="49"/>
  <c r="X24" i="49"/>
  <c r="X20" i="49"/>
  <c r="X16" i="49"/>
  <c r="X12" i="49"/>
  <c r="X8" i="49"/>
  <c r="X252" i="49"/>
  <c r="X247" i="49"/>
  <c r="X243" i="49"/>
  <c r="X239" i="49"/>
  <c r="X235" i="49"/>
  <c r="X231" i="49"/>
  <c r="X227" i="49"/>
  <c r="X223" i="49"/>
  <c r="X253" i="49"/>
  <c r="X218" i="49"/>
  <c r="X214" i="49"/>
  <c r="X249" i="49"/>
  <c r="X207" i="49"/>
  <c r="X203" i="49"/>
  <c r="X199" i="49"/>
  <c r="X195" i="49"/>
  <c r="X191" i="49"/>
  <c r="X187" i="49"/>
  <c r="X183" i="49"/>
  <c r="X179" i="49"/>
  <c r="X175" i="49"/>
  <c r="X171" i="49"/>
  <c r="X167" i="49"/>
  <c r="X163" i="49"/>
  <c r="X159" i="49"/>
  <c r="X155" i="49"/>
  <c r="X151" i="49"/>
  <c r="X147" i="49"/>
  <c r="X143" i="49"/>
  <c r="X139" i="49"/>
  <c r="X135" i="49"/>
  <c r="X131" i="49"/>
  <c r="X127" i="49"/>
  <c r="X123" i="49"/>
  <c r="X119" i="49"/>
  <c r="X115" i="49"/>
  <c r="X111" i="49"/>
  <c r="X107" i="49"/>
  <c r="X103" i="49"/>
  <c r="X99" i="49"/>
  <c r="X95" i="49"/>
  <c r="X91" i="49"/>
  <c r="X87" i="49"/>
  <c r="X83" i="49"/>
  <c r="X79" i="49"/>
  <c r="X75" i="49"/>
  <c r="X71" i="49"/>
  <c r="X67" i="49"/>
  <c r="X63" i="49"/>
  <c r="X59" i="49"/>
  <c r="X55" i="49"/>
  <c r="X51" i="49"/>
  <c r="X47" i="49"/>
  <c r="X43" i="49"/>
  <c r="X39" i="49"/>
  <c r="X35" i="49"/>
  <c r="X31" i="49"/>
  <c r="X27" i="49"/>
  <c r="X23" i="49"/>
  <c r="X19" i="49"/>
  <c r="X15" i="49"/>
  <c r="X11" i="49"/>
  <c r="X248" i="49"/>
  <c r="X246" i="49"/>
  <c r="X242" i="49"/>
  <c r="X238" i="49"/>
  <c r="X234" i="49"/>
  <c r="X230" i="49"/>
  <c r="X226" i="49"/>
  <c r="X222" i="49"/>
  <c r="X251" i="49"/>
  <c r="X217" i="49"/>
  <c r="X213" i="49"/>
  <c r="X210" i="49"/>
  <c r="X206" i="49"/>
  <c r="X202" i="49"/>
  <c r="X198" i="49"/>
  <c r="X194" i="49"/>
  <c r="X190" i="49"/>
  <c r="X186" i="49"/>
  <c r="X182" i="49"/>
  <c r="X178" i="49"/>
  <c r="X174" i="49"/>
  <c r="X170" i="49"/>
  <c r="X166" i="49"/>
  <c r="X162" i="49"/>
  <c r="X158" i="49"/>
  <c r="X154" i="49"/>
  <c r="X150" i="49"/>
  <c r="X146" i="49"/>
  <c r="X142" i="49"/>
  <c r="X138" i="49"/>
  <c r="X134" i="49"/>
  <c r="X130" i="49"/>
  <c r="X126" i="49"/>
  <c r="X122" i="49"/>
  <c r="X118" i="49"/>
  <c r="X114" i="49"/>
  <c r="X110" i="49"/>
  <c r="X106" i="49"/>
  <c r="X102" i="49"/>
  <c r="X98" i="49"/>
  <c r="X94" i="49"/>
  <c r="X90" i="49"/>
  <c r="X86" i="49"/>
  <c r="X82" i="49"/>
  <c r="X78" i="49"/>
  <c r="X74" i="49"/>
  <c r="X70" i="49"/>
  <c r="X66" i="49"/>
  <c r="X62" i="49"/>
  <c r="X58" i="49"/>
  <c r="X54" i="49"/>
  <c r="X50" i="49"/>
  <c r="X46" i="49"/>
  <c r="X42" i="49"/>
  <c r="X38" i="49"/>
  <c r="X34" i="49"/>
  <c r="X30" i="49"/>
  <c r="X26" i="49"/>
  <c r="X22" i="49"/>
  <c r="X18" i="49"/>
  <c r="X14" i="49"/>
  <c r="X10" i="49"/>
  <c r="X6" i="49"/>
  <c r="X7" i="49"/>
  <c r="X4" i="49"/>
  <c r="AM255" i="49"/>
  <c r="AM248" i="49"/>
  <c r="AM244" i="49"/>
  <c r="AM240" i="49"/>
  <c r="AM236" i="49"/>
  <c r="AM252" i="49"/>
  <c r="AM204" i="49"/>
  <c r="AM200" i="49"/>
  <c r="AM196" i="49"/>
  <c r="AM192" i="49"/>
  <c r="AM188" i="49"/>
  <c r="AM184" i="49"/>
  <c r="AM180" i="49"/>
  <c r="AM176" i="49"/>
  <c r="AM226" i="49"/>
  <c r="AM218" i="49"/>
  <c r="AM210" i="49"/>
  <c r="AM229" i="49"/>
  <c r="AM221" i="49"/>
  <c r="AM213" i="49"/>
  <c r="AM175" i="49"/>
  <c r="AM172" i="49"/>
  <c r="AM167" i="49"/>
  <c r="AM163" i="49"/>
  <c r="AM159" i="49"/>
  <c r="AM155" i="49"/>
  <c r="AM151" i="49"/>
  <c r="AM147" i="49"/>
  <c r="AM143" i="49"/>
  <c r="AM139" i="49"/>
  <c r="AM135" i="49"/>
  <c r="AM131" i="49"/>
  <c r="AM127" i="49"/>
  <c r="AM123" i="49"/>
  <c r="AM119" i="49"/>
  <c r="AM115" i="49"/>
  <c r="AM111" i="49"/>
  <c r="AM107" i="49"/>
  <c r="AM103" i="49"/>
  <c r="AM99" i="49"/>
  <c r="AM95" i="49"/>
  <c r="AM91" i="49"/>
  <c r="AM87" i="49"/>
  <c r="AM83" i="49"/>
  <c r="AM79" i="49"/>
  <c r="AM75" i="49"/>
  <c r="AM71" i="49"/>
  <c r="AM67" i="49"/>
  <c r="AM63" i="49"/>
  <c r="AM59" i="49"/>
  <c r="AM55" i="49"/>
  <c r="AM51" i="49"/>
  <c r="AM47" i="49"/>
  <c r="AM43" i="49"/>
  <c r="AM39" i="49"/>
  <c r="AM35" i="49"/>
  <c r="AM31" i="49"/>
  <c r="AM27" i="49"/>
  <c r="AM23" i="49"/>
  <c r="AM19" i="49"/>
  <c r="AM15" i="49"/>
  <c r="AM11" i="49"/>
  <c r="AM7" i="49"/>
  <c r="AM251" i="49"/>
  <c r="AM247" i="49"/>
  <c r="AM243" i="49"/>
  <c r="AM239" i="49"/>
  <c r="AM235" i="49"/>
  <c r="AM254" i="49"/>
  <c r="AM203" i="49"/>
  <c r="AM199" i="49"/>
  <c r="AM195" i="49"/>
  <c r="AM191" i="49"/>
  <c r="AM187" i="49"/>
  <c r="AM183" i="49"/>
  <c r="AM179" i="49"/>
  <c r="AM232" i="49"/>
  <c r="AM224" i="49"/>
  <c r="AM216" i="49"/>
  <c r="AM208" i="49"/>
  <c r="AM227" i="49"/>
  <c r="AM219" i="49"/>
  <c r="AM211" i="49"/>
  <c r="AM171" i="49"/>
  <c r="AM170" i="49"/>
  <c r="AM166" i="49"/>
  <c r="AM162" i="49"/>
  <c r="AM158" i="49"/>
  <c r="AM154" i="49"/>
  <c r="AM150" i="49"/>
  <c r="AM146" i="49"/>
  <c r="AM142" i="49"/>
  <c r="AM138" i="49"/>
  <c r="AM134" i="49"/>
  <c r="AM130" i="49"/>
  <c r="AM126" i="49"/>
  <c r="AM122" i="49"/>
  <c r="AM118" i="49"/>
  <c r="AM114" i="49"/>
  <c r="AM110" i="49"/>
  <c r="AM106" i="49"/>
  <c r="AM102" i="49"/>
  <c r="AM98" i="49"/>
  <c r="AM94" i="49"/>
  <c r="AM90" i="49"/>
  <c r="AM86" i="49"/>
  <c r="AM82" i="49"/>
  <c r="AM78" i="49"/>
  <c r="AM74" i="49"/>
  <c r="AM70" i="49"/>
  <c r="AM66" i="49"/>
  <c r="AM62" i="49"/>
  <c r="AM58" i="49"/>
  <c r="AM54" i="49"/>
  <c r="AM50" i="49"/>
  <c r="AM46" i="49"/>
  <c r="AM42" i="49"/>
  <c r="AM38" i="49"/>
  <c r="AM34" i="49"/>
  <c r="AM30" i="49"/>
  <c r="AM26" i="49"/>
  <c r="AM22" i="49"/>
  <c r="AM18" i="49"/>
  <c r="AM14" i="49"/>
  <c r="AM10" i="49"/>
  <c r="AM6" i="49"/>
  <c r="AM250" i="49"/>
  <c r="AM246" i="49"/>
  <c r="AM242" i="49"/>
  <c r="AM238" i="49"/>
  <c r="AM234" i="49"/>
  <c r="AM253" i="49"/>
  <c r="AM202" i="49"/>
  <c r="AM198" i="49"/>
  <c r="AM194" i="49"/>
  <c r="AM190" i="49"/>
  <c r="AM186" i="49"/>
  <c r="AM182" i="49"/>
  <c r="AM178" i="49"/>
  <c r="AM230" i="49"/>
  <c r="AM222" i="49"/>
  <c r="AM214" i="49"/>
  <c r="AM206" i="49"/>
  <c r="AM225" i="49"/>
  <c r="AM217" i="49"/>
  <c r="AM209" i="49"/>
  <c r="AM174" i="49"/>
  <c r="AM169" i="49"/>
  <c r="AM165" i="49"/>
  <c r="AM161" i="49"/>
  <c r="AM157" i="49"/>
  <c r="AM153" i="49"/>
  <c r="AM149" i="49"/>
  <c r="AM145" i="49"/>
  <c r="AM141" i="49"/>
  <c r="AM137" i="49"/>
  <c r="AM133" i="49"/>
  <c r="AM129" i="49"/>
  <c r="AM125" i="49"/>
  <c r="AM121" i="49"/>
  <c r="AM117" i="49"/>
  <c r="AM113" i="49"/>
  <c r="AM109" i="49"/>
  <c r="AM105" i="49"/>
  <c r="AM101" i="49"/>
  <c r="AM97" i="49"/>
  <c r="AM93" i="49"/>
  <c r="AM89" i="49"/>
  <c r="AM85" i="49"/>
  <c r="AM81" i="49"/>
  <c r="AM77" i="49"/>
  <c r="AM73" i="49"/>
  <c r="AM69" i="49"/>
  <c r="AM65" i="49"/>
  <c r="AM61" i="49"/>
  <c r="AM57" i="49"/>
  <c r="AM53" i="49"/>
  <c r="AM49" i="49"/>
  <c r="AM45" i="49"/>
  <c r="AM41" i="49"/>
  <c r="AM37" i="49"/>
  <c r="AM33" i="49"/>
  <c r="AM29" i="49"/>
  <c r="AM25" i="49"/>
  <c r="AM21" i="49"/>
  <c r="AM17" i="49"/>
  <c r="AM13" i="49"/>
  <c r="AM9" i="49"/>
  <c r="AM5" i="49"/>
  <c r="AM249" i="49"/>
  <c r="AM245" i="49"/>
  <c r="AM241" i="49"/>
  <c r="AM237" i="49"/>
  <c r="AM233" i="49"/>
  <c r="AM205" i="49"/>
  <c r="AM201" i="49"/>
  <c r="AM197" i="49"/>
  <c r="AM193" i="49"/>
  <c r="AM189" i="49"/>
  <c r="AM185" i="49"/>
  <c r="AM181" i="49"/>
  <c r="AM177" i="49"/>
  <c r="AM228" i="49"/>
  <c r="AM220" i="49"/>
  <c r="AM212" i="49"/>
  <c r="AM231" i="49"/>
  <c r="AM223" i="49"/>
  <c r="AM215" i="49"/>
  <c r="AM207" i="49"/>
  <c r="AM173" i="49"/>
  <c r="AM168" i="49"/>
  <c r="AM164" i="49"/>
  <c r="AM160" i="49"/>
  <c r="AM156" i="49"/>
  <c r="AM152" i="49"/>
  <c r="AM148" i="49"/>
  <c r="AM144" i="49"/>
  <c r="AM140" i="49"/>
  <c r="AM136" i="49"/>
  <c r="AM132" i="49"/>
  <c r="AM128" i="49"/>
  <c r="AM124" i="49"/>
  <c r="AM120" i="49"/>
  <c r="AM116" i="49"/>
  <c r="AM112" i="49"/>
  <c r="AM108" i="49"/>
  <c r="AM104" i="49"/>
  <c r="AM100" i="49"/>
  <c r="AM96" i="49"/>
  <c r="AM92" i="49"/>
  <c r="AM88" i="49"/>
  <c r="AM84" i="49"/>
  <c r="AM80" i="49"/>
  <c r="AM76" i="49"/>
  <c r="AM72" i="49"/>
  <c r="AM68" i="49"/>
  <c r="AM64" i="49"/>
  <c r="AM60" i="49"/>
  <c r="AM56" i="49"/>
  <c r="AM52" i="49"/>
  <c r="AM48" i="49"/>
  <c r="AM44" i="49"/>
  <c r="AM40" i="49"/>
  <c r="AM36" i="49"/>
  <c r="AM32" i="49"/>
  <c r="AM28" i="49"/>
  <c r="AM24" i="49"/>
  <c r="AM20" i="49"/>
  <c r="AM16" i="49"/>
  <c r="AM12" i="49"/>
  <c r="AM8" i="49"/>
  <c r="AM4" i="49"/>
  <c r="R8" i="49" l="1"/>
  <c r="AZ242" i="49"/>
  <c r="AZ246" i="49"/>
  <c r="AZ230" i="49"/>
  <c r="AZ218" i="49"/>
  <c r="AZ202" i="49"/>
  <c r="AZ186" i="49"/>
  <c r="AZ170" i="49"/>
  <c r="AZ154" i="49"/>
  <c r="AZ138" i="49"/>
  <c r="AZ122" i="49"/>
  <c r="AZ106" i="49"/>
  <c r="AZ90" i="49"/>
  <c r="AZ74" i="49"/>
  <c r="AZ58" i="49"/>
  <c r="AZ42" i="49"/>
  <c r="AZ26" i="49"/>
  <c r="AZ10" i="49"/>
  <c r="AZ241" i="49"/>
  <c r="AZ225" i="49"/>
  <c r="AZ213" i="49"/>
  <c r="AZ197" i="49"/>
  <c r="AZ181" i="49"/>
  <c r="AZ165" i="49"/>
  <c r="AZ149" i="49"/>
  <c r="AZ133" i="49"/>
  <c r="AZ117" i="49"/>
  <c r="AZ101" i="49"/>
  <c r="AZ85" i="49"/>
  <c r="AZ69" i="49"/>
  <c r="AZ53" i="49"/>
  <c r="AZ37" i="49"/>
  <c r="AZ21" i="49"/>
  <c r="AZ5" i="49"/>
  <c r="AZ236" i="49"/>
  <c r="AZ220" i="49"/>
  <c r="AZ208" i="49"/>
  <c r="AZ192" i="49"/>
  <c r="AZ176" i="49"/>
  <c r="AZ160" i="49"/>
  <c r="AZ144" i="49"/>
  <c r="AZ128" i="49"/>
  <c r="AZ112" i="49"/>
  <c r="AZ96" i="49"/>
  <c r="AZ80" i="49"/>
  <c r="AZ64" i="49"/>
  <c r="AZ207" i="49"/>
  <c r="AZ191" i="49"/>
  <c r="AZ151" i="49"/>
  <c r="AZ135" i="49"/>
  <c r="AZ119" i="49"/>
  <c r="AZ103" i="49"/>
  <c r="AZ87" i="49"/>
  <c r="AZ75" i="49"/>
  <c r="AZ71" i="49"/>
  <c r="AZ59" i="49"/>
  <c r="AZ55" i="49"/>
  <c r="AZ43" i="49"/>
  <c r="AZ39" i="49"/>
  <c r="AZ27" i="49"/>
  <c r="AZ23" i="49"/>
  <c r="AZ11" i="49"/>
  <c r="AZ7" i="49"/>
  <c r="R65" i="49"/>
  <c r="R187" i="49"/>
  <c r="R217" i="49"/>
  <c r="AZ91" i="49"/>
  <c r="AZ123" i="49"/>
  <c r="AZ155" i="49"/>
  <c r="AZ211" i="49"/>
  <c r="AZ84" i="49"/>
  <c r="AZ116" i="49"/>
  <c r="AZ148" i="49"/>
  <c r="AZ180" i="49"/>
  <c r="AZ212" i="49"/>
  <c r="AZ240" i="49"/>
  <c r="AZ25" i="49"/>
  <c r="AZ57" i="49"/>
  <c r="AZ89" i="49"/>
  <c r="AZ121" i="49"/>
  <c r="AZ153" i="49"/>
  <c r="AZ185" i="49"/>
  <c r="AZ217" i="49"/>
  <c r="AZ245" i="49"/>
  <c r="AZ30" i="49"/>
  <c r="AZ62" i="49"/>
  <c r="AZ94" i="49"/>
  <c r="AZ126" i="49"/>
  <c r="AZ158" i="49"/>
  <c r="AZ190" i="49"/>
  <c r="AZ252" i="49"/>
  <c r="AZ251" i="49"/>
  <c r="R246" i="49"/>
  <c r="R235" i="49"/>
  <c r="AZ107" i="49"/>
  <c r="AZ139" i="49"/>
  <c r="AZ195" i="49"/>
  <c r="AZ68" i="49"/>
  <c r="AZ100" i="49"/>
  <c r="AZ132" i="49"/>
  <c r="AZ164" i="49"/>
  <c r="AZ196" i="49"/>
  <c r="AZ224" i="49"/>
  <c r="AZ9" i="49"/>
  <c r="AZ41" i="49"/>
  <c r="AZ73" i="49"/>
  <c r="AZ105" i="49"/>
  <c r="AZ137" i="49"/>
  <c r="AZ169" i="49"/>
  <c r="AZ201" i="49"/>
  <c r="AZ229" i="49"/>
  <c r="AZ14" i="49"/>
  <c r="AZ46" i="49"/>
  <c r="AZ78" i="49"/>
  <c r="AZ110" i="49"/>
  <c r="AZ142" i="49"/>
  <c r="AZ174" i="49"/>
  <c r="AZ206" i="49"/>
  <c r="AZ234" i="49"/>
  <c r="R195" i="49"/>
  <c r="R32" i="49"/>
  <c r="R222" i="49"/>
  <c r="R40" i="49"/>
  <c r="AZ15" i="49"/>
  <c r="AZ31" i="49"/>
  <c r="AZ47" i="49"/>
  <c r="AZ63" i="49"/>
  <c r="AZ79" i="49"/>
  <c r="AZ95" i="49"/>
  <c r="AZ111" i="49"/>
  <c r="AZ127" i="49"/>
  <c r="AZ143" i="49"/>
  <c r="AZ183" i="49"/>
  <c r="AZ199" i="49"/>
  <c r="AZ56" i="49"/>
  <c r="AZ72" i="49"/>
  <c r="AZ88" i="49"/>
  <c r="AZ104" i="49"/>
  <c r="AZ120" i="49"/>
  <c r="AZ136" i="49"/>
  <c r="AZ152" i="49"/>
  <c r="AZ168" i="49"/>
  <c r="AZ184" i="49"/>
  <c r="AZ200" i="49"/>
  <c r="AZ216" i="49"/>
  <c r="AZ228" i="49"/>
  <c r="AZ244" i="49"/>
  <c r="AZ13" i="49"/>
  <c r="AZ29" i="49"/>
  <c r="AZ45" i="49"/>
  <c r="AZ61" i="49"/>
  <c r="AZ77" i="49"/>
  <c r="AZ93" i="49"/>
  <c r="AZ109" i="49"/>
  <c r="AZ125" i="49"/>
  <c r="AZ141" i="49"/>
  <c r="AZ157" i="49"/>
  <c r="AZ173" i="49"/>
  <c r="AZ189" i="49"/>
  <c r="AZ205" i="49"/>
  <c r="AZ250" i="49"/>
  <c r="AZ233" i="49"/>
  <c r="AZ247" i="49"/>
  <c r="AZ18" i="49"/>
  <c r="AZ34" i="49"/>
  <c r="AZ50" i="49"/>
  <c r="AZ66" i="49"/>
  <c r="AZ82" i="49"/>
  <c r="AZ98" i="49"/>
  <c r="AZ114" i="49"/>
  <c r="AZ130" i="49"/>
  <c r="AZ146" i="49"/>
  <c r="AZ162" i="49"/>
  <c r="AZ178" i="49"/>
  <c r="AZ194" i="49"/>
  <c r="AZ210" i="49"/>
  <c r="AZ222" i="49"/>
  <c r="AZ238" i="49"/>
  <c r="R171" i="49"/>
  <c r="R203" i="49"/>
  <c r="R230" i="49"/>
  <c r="R16" i="49"/>
  <c r="R48" i="49"/>
  <c r="R243" i="49"/>
  <c r="AZ19" i="49"/>
  <c r="AZ35" i="49"/>
  <c r="AZ51" i="49"/>
  <c r="AZ67" i="49"/>
  <c r="AZ83" i="49"/>
  <c r="AZ99" i="49"/>
  <c r="AZ115" i="49"/>
  <c r="AZ131" i="49"/>
  <c r="AZ147" i="49"/>
  <c r="AZ187" i="49"/>
  <c r="AZ203" i="49"/>
  <c r="AZ60" i="49"/>
  <c r="AZ76" i="49"/>
  <c r="AZ92" i="49"/>
  <c r="AZ108" i="49"/>
  <c r="AZ124" i="49"/>
  <c r="AZ140" i="49"/>
  <c r="AZ156" i="49"/>
  <c r="AZ172" i="49"/>
  <c r="AZ188" i="49"/>
  <c r="AZ204" i="49"/>
  <c r="AZ248" i="49"/>
  <c r="AZ232" i="49"/>
  <c r="AZ253" i="49"/>
  <c r="AZ17" i="49"/>
  <c r="AZ33" i="49"/>
  <c r="AZ49" i="49"/>
  <c r="AZ65" i="49"/>
  <c r="AZ81" i="49"/>
  <c r="AZ97" i="49"/>
  <c r="AZ113" i="49"/>
  <c r="AZ129" i="49"/>
  <c r="AZ145" i="49"/>
  <c r="AZ161" i="49"/>
  <c r="AZ177" i="49"/>
  <c r="AZ193" i="49"/>
  <c r="AZ209" i="49"/>
  <c r="AZ221" i="49"/>
  <c r="AZ237" i="49"/>
  <c r="AZ6" i="49"/>
  <c r="AZ22" i="49"/>
  <c r="AZ38" i="49"/>
  <c r="AZ54" i="49"/>
  <c r="AZ70" i="49"/>
  <c r="AZ86" i="49"/>
  <c r="AZ102" i="49"/>
  <c r="AZ118" i="49"/>
  <c r="AZ134" i="49"/>
  <c r="AZ150" i="49"/>
  <c r="AZ166" i="49"/>
  <c r="AZ182" i="49"/>
  <c r="AZ198" i="49"/>
  <c r="AZ214" i="49"/>
  <c r="AZ226" i="49"/>
  <c r="R179" i="49"/>
  <c r="R255" i="49"/>
  <c r="R238" i="49"/>
  <c r="R24" i="49"/>
  <c r="R57" i="49"/>
  <c r="R73" i="49"/>
  <c r="R208" i="49"/>
  <c r="R214" i="49"/>
  <c r="R250" i="49"/>
  <c r="R227" i="49"/>
  <c r="R183" i="49"/>
  <c r="R199" i="49"/>
  <c r="R213" i="49"/>
  <c r="R226" i="49"/>
  <c r="R242" i="49"/>
  <c r="R12" i="49"/>
  <c r="R28" i="49"/>
  <c r="R44" i="49"/>
  <c r="R61" i="49"/>
  <c r="R204" i="49"/>
  <c r="R218" i="49"/>
  <c r="R231" i="49"/>
  <c r="R247" i="49"/>
  <c r="R175" i="49"/>
  <c r="R191" i="49"/>
  <c r="R207" i="49"/>
  <c r="R251" i="49"/>
  <c r="R234" i="49"/>
  <c r="R4" i="49"/>
  <c r="R20" i="49"/>
  <c r="R36" i="49"/>
  <c r="R52" i="49"/>
  <c r="R69" i="49"/>
  <c r="R249" i="49"/>
  <c r="R223" i="49"/>
  <c r="AK224" i="49"/>
  <c r="AK244" i="49"/>
  <c r="AK255" i="49"/>
  <c r="AK28" i="49"/>
  <c r="AK33" i="49"/>
  <c r="AK63" i="49"/>
  <c r="AK92" i="49"/>
  <c r="AK97" i="49"/>
  <c r="AK127" i="49"/>
  <c r="AK156" i="49"/>
  <c r="AK181" i="49"/>
  <c r="AK186" i="49"/>
  <c r="AK44" i="49"/>
  <c r="AK108" i="49"/>
  <c r="AK233" i="49"/>
  <c r="AK209" i="49"/>
  <c r="AK49" i="49"/>
  <c r="AK138" i="49"/>
  <c r="AK197" i="49"/>
  <c r="AK15" i="49"/>
  <c r="AK79" i="49"/>
  <c r="AK143" i="49"/>
  <c r="AK202" i="49"/>
  <c r="AK60" i="49"/>
  <c r="AK124" i="49"/>
  <c r="AK183" i="49"/>
  <c r="AK252" i="49"/>
  <c r="AK65" i="49"/>
  <c r="AK154" i="49"/>
  <c r="AK220" i="49"/>
  <c r="AK31" i="49"/>
  <c r="AK95" i="49"/>
  <c r="AK159" i="49"/>
  <c r="AK230" i="49"/>
  <c r="AK12" i="49"/>
  <c r="AK76" i="49"/>
  <c r="AK140" i="49"/>
  <c r="AK199" i="49"/>
  <c r="AK17" i="49"/>
  <c r="AK81" i="49"/>
  <c r="AK170" i="49"/>
  <c r="AK251" i="49"/>
  <c r="AK47" i="49"/>
  <c r="AK111" i="49"/>
  <c r="AK245" i="49"/>
  <c r="AK215" i="49"/>
  <c r="AK32" i="49"/>
  <c r="AK96" i="49"/>
  <c r="AK144" i="49"/>
  <c r="AK249" i="49"/>
  <c r="AK217" i="49"/>
  <c r="AK37" i="49"/>
  <c r="AK101" i="49"/>
  <c r="AK241" i="49"/>
  <c r="AK228" i="49"/>
  <c r="AK19" i="49"/>
  <c r="AK51" i="49"/>
  <c r="AK67" i="49"/>
  <c r="AK83" i="49"/>
  <c r="AK115" i="49"/>
  <c r="AK131" i="49"/>
  <c r="AK147" i="49"/>
  <c r="AK163" i="49"/>
  <c r="AK174" i="49"/>
  <c r="AK190" i="49"/>
  <c r="AK206" i="49"/>
  <c r="AK242" i="49"/>
  <c r="AK223" i="49"/>
  <c r="AK48" i="49"/>
  <c r="AK80" i="49"/>
  <c r="AK112" i="49"/>
  <c r="AK128" i="49"/>
  <c r="AK160" i="49"/>
  <c r="AK187" i="49"/>
  <c r="AK232" i="49"/>
  <c r="AK5" i="49"/>
  <c r="AK21" i="49"/>
  <c r="AK53" i="49"/>
  <c r="AK69" i="49"/>
  <c r="AK85" i="49"/>
  <c r="AK142" i="49"/>
  <c r="AK158" i="49"/>
  <c r="AK185" i="49"/>
  <c r="AK201" i="49"/>
  <c r="AK213" i="49"/>
  <c r="AK254" i="49"/>
  <c r="AK35" i="49"/>
  <c r="AK99" i="49"/>
  <c r="AK4" i="49"/>
  <c r="AK20" i="49"/>
  <c r="AK36" i="49"/>
  <c r="AK52" i="49"/>
  <c r="AK68" i="49"/>
  <c r="AK84" i="49"/>
  <c r="AK100" i="49"/>
  <c r="AK116" i="49"/>
  <c r="AK132" i="49"/>
  <c r="AK148" i="49"/>
  <c r="AK164" i="49"/>
  <c r="AK175" i="49"/>
  <c r="AK191" i="49"/>
  <c r="AK208" i="49"/>
  <c r="AK246" i="49"/>
  <c r="AK225" i="49"/>
  <c r="AK9" i="49"/>
  <c r="AK25" i="49"/>
  <c r="AK41" i="49"/>
  <c r="AK57" i="49"/>
  <c r="AK73" i="49"/>
  <c r="AK89" i="49"/>
  <c r="AK105" i="49"/>
  <c r="AK146" i="49"/>
  <c r="AK162" i="49"/>
  <c r="AK173" i="49"/>
  <c r="AK189" i="49"/>
  <c r="AK205" i="49"/>
  <c r="AK238" i="49"/>
  <c r="AK221" i="49"/>
  <c r="AK7" i="49"/>
  <c r="AK23" i="49"/>
  <c r="AK39" i="49"/>
  <c r="AK55" i="49"/>
  <c r="AK71" i="49"/>
  <c r="AK87" i="49"/>
  <c r="AK103" i="49"/>
  <c r="AK119" i="49"/>
  <c r="AK135" i="49"/>
  <c r="AK151" i="49"/>
  <c r="AK167" i="49"/>
  <c r="AK178" i="49"/>
  <c r="AK194" i="49"/>
  <c r="AK214" i="49"/>
  <c r="AK239" i="49"/>
  <c r="AK231" i="49"/>
  <c r="AK16" i="49"/>
  <c r="AK64" i="49"/>
  <c r="AK203" i="49"/>
  <c r="AK8" i="49"/>
  <c r="AK24" i="49"/>
  <c r="AK40" i="49"/>
  <c r="AK56" i="49"/>
  <c r="AK72" i="49"/>
  <c r="AK88" i="49"/>
  <c r="AK104" i="49"/>
  <c r="AK120" i="49"/>
  <c r="AK136" i="49"/>
  <c r="AK152" i="49"/>
  <c r="AK168" i="49"/>
  <c r="AK179" i="49"/>
  <c r="AK195" i="49"/>
  <c r="AK216" i="49"/>
  <c r="AK243" i="49"/>
  <c r="AK236" i="49"/>
  <c r="AK13" i="49"/>
  <c r="AK29" i="49"/>
  <c r="AK45" i="49"/>
  <c r="AK61" i="49"/>
  <c r="AK77" i="49"/>
  <c r="AK93" i="49"/>
  <c r="AK109" i="49"/>
  <c r="AK150" i="49"/>
  <c r="AK166" i="49"/>
  <c r="AK177" i="49"/>
  <c r="AK193" i="49"/>
  <c r="AK212" i="49"/>
  <c r="AK235" i="49"/>
  <c r="AK229" i="49"/>
  <c r="AK11" i="49"/>
  <c r="AK27" i="49"/>
  <c r="AK43" i="49"/>
  <c r="AK59" i="49"/>
  <c r="AK75" i="49"/>
  <c r="AK91" i="49"/>
  <c r="AK107" i="49"/>
  <c r="AK123" i="49"/>
  <c r="AK139" i="49"/>
  <c r="AK155" i="49"/>
  <c r="AK171" i="49"/>
  <c r="AK182" i="49"/>
  <c r="AK198" i="49"/>
  <c r="AK222" i="49"/>
  <c r="AK207" i="49"/>
  <c r="AK134" i="49"/>
  <c r="AK130" i="49"/>
  <c r="AK126" i="49"/>
  <c r="AK122" i="49"/>
  <c r="AK118" i="49"/>
  <c r="AK114" i="49"/>
  <c r="AK110" i="49"/>
  <c r="AK106" i="49"/>
  <c r="AK102" i="49"/>
  <c r="AK98" i="49"/>
  <c r="AK94" i="49"/>
  <c r="AK90" i="49"/>
  <c r="AK86" i="49"/>
  <c r="AK82" i="49"/>
  <c r="AK78" i="49"/>
  <c r="AK74" i="49"/>
  <c r="AK70" i="49"/>
  <c r="AK66" i="49"/>
  <c r="AK62" i="49"/>
  <c r="AK58" i="49"/>
  <c r="AK54" i="49"/>
  <c r="AK50" i="49"/>
  <c r="AK46" i="49"/>
  <c r="AK42" i="49"/>
  <c r="AK38" i="49"/>
  <c r="AK34" i="49"/>
  <c r="AK30" i="49"/>
  <c r="AK26" i="49"/>
  <c r="AK22" i="49"/>
  <c r="AK18" i="49"/>
  <c r="AK14" i="49"/>
  <c r="AK10" i="49"/>
  <c r="AK6" i="49"/>
  <c r="AK253" i="49"/>
  <c r="AK240" i="49"/>
  <c r="AK227" i="49"/>
  <c r="AK219" i="49"/>
  <c r="AK211" i="49"/>
  <c r="AK247" i="49"/>
  <c r="AK250" i="49"/>
  <c r="AK234" i="49"/>
  <c r="AK226" i="49"/>
  <c r="AK218" i="49"/>
  <c r="AK210" i="49"/>
  <c r="AK204" i="49"/>
  <c r="AK200" i="49"/>
  <c r="AK196" i="49"/>
  <c r="AK192" i="49"/>
  <c r="AK188" i="49"/>
  <c r="AK184" i="49"/>
  <c r="AK180" i="49"/>
  <c r="AK176" i="49"/>
  <c r="AK172" i="49"/>
  <c r="AK237" i="49"/>
  <c r="AK169" i="49"/>
  <c r="AK165" i="49"/>
  <c r="AK161" i="49"/>
  <c r="AK157" i="49"/>
  <c r="AK153" i="49"/>
  <c r="AK149" i="49"/>
  <c r="AK145" i="49"/>
  <c r="AK141" i="49"/>
  <c r="AK137" i="49"/>
  <c r="AK133" i="49"/>
  <c r="AK129" i="49"/>
  <c r="AK125" i="49"/>
  <c r="AK121" i="49"/>
  <c r="AK117" i="49"/>
  <c r="AK113" i="49"/>
  <c r="AJ52" i="49"/>
  <c r="AJ48" i="49"/>
  <c r="AJ44" i="49"/>
  <c r="AJ40" i="49"/>
  <c r="AJ36" i="49"/>
  <c r="AJ32" i="49"/>
  <c r="AJ53" i="49"/>
  <c r="AJ49" i="49"/>
  <c r="AJ45" i="49"/>
  <c r="AJ41" i="49"/>
  <c r="AJ37" i="49"/>
  <c r="AJ33" i="49"/>
  <c r="AJ29" i="49"/>
  <c r="AJ25" i="49"/>
  <c r="AJ21" i="49"/>
  <c r="AJ17" i="49"/>
  <c r="AJ13" i="49"/>
  <c r="AJ9" i="49"/>
  <c r="AJ5" i="49"/>
  <c r="AJ60" i="49"/>
  <c r="AJ254" i="49"/>
  <c r="AJ249" i="49"/>
  <c r="AJ245" i="49"/>
  <c r="AJ241" i="49"/>
  <c r="AJ237" i="49"/>
  <c r="AJ233" i="49"/>
  <c r="AJ229" i="49"/>
  <c r="AJ225" i="49"/>
  <c r="AJ221" i="49"/>
  <c r="AJ217" i="49"/>
  <c r="AJ213" i="49"/>
  <c r="AJ209" i="49"/>
  <c r="AJ255" i="49"/>
  <c r="AJ202" i="49"/>
  <c r="AJ198" i="49"/>
  <c r="AJ77" i="49"/>
  <c r="AJ194" i="49"/>
  <c r="AJ190" i="49"/>
  <c r="AJ116" i="49"/>
  <c r="AJ112" i="49"/>
  <c r="AJ108" i="49"/>
  <c r="AJ104" i="49"/>
  <c r="AJ100" i="49"/>
  <c r="AJ57" i="49"/>
  <c r="AJ63" i="49"/>
  <c r="AJ56" i="49"/>
  <c r="AJ251" i="49"/>
  <c r="AJ247" i="49"/>
  <c r="AJ243" i="49"/>
  <c r="AJ239" i="49"/>
  <c r="AJ235" i="49"/>
  <c r="AJ231" i="49"/>
  <c r="AJ227" i="49"/>
  <c r="AJ223" i="49"/>
  <c r="AJ28" i="49"/>
  <c r="AJ24" i="49"/>
  <c r="AJ20" i="49"/>
  <c r="AJ16" i="49"/>
  <c r="AJ12" i="49"/>
  <c r="AJ8" i="49"/>
  <c r="AJ4" i="49"/>
  <c r="AJ7" i="49"/>
  <c r="AJ58" i="49"/>
  <c r="AJ252" i="49"/>
  <c r="AJ219" i="49"/>
  <c r="AJ215" i="49"/>
  <c r="AJ211" i="49"/>
  <c r="AJ207" i="49"/>
  <c r="AJ204" i="49"/>
  <c r="AJ200" i="49"/>
  <c r="AJ196" i="49"/>
  <c r="AJ192" i="49"/>
  <c r="AJ188" i="49"/>
  <c r="AJ184" i="49"/>
  <c r="AJ180" i="49"/>
  <c r="AJ176" i="49"/>
  <c r="AJ172" i="49"/>
  <c r="AJ168" i="49"/>
  <c r="AJ164" i="49"/>
  <c r="AJ160" i="49"/>
  <c r="AJ156" i="49"/>
  <c r="AJ152" i="49"/>
  <c r="AJ148" i="49"/>
  <c r="AJ140" i="49"/>
  <c r="AJ136" i="49"/>
  <c r="AJ132" i="49"/>
  <c r="AJ128" i="49"/>
  <c r="AJ124" i="49"/>
  <c r="AJ118" i="49"/>
  <c r="AJ114" i="49"/>
  <c r="AJ110" i="49"/>
  <c r="AJ106" i="49"/>
  <c r="AJ102" i="49"/>
  <c r="AJ98" i="49"/>
  <c r="AJ94" i="49"/>
  <c r="AJ90" i="49"/>
  <c r="AJ86" i="49"/>
  <c r="AJ82" i="49"/>
  <c r="AJ78" i="49"/>
  <c r="AJ74" i="49"/>
  <c r="AJ70" i="49"/>
  <c r="AJ66" i="49"/>
  <c r="AJ61" i="49"/>
  <c r="AJ54" i="49"/>
  <c r="AJ50" i="49"/>
  <c r="AJ46" i="49"/>
  <c r="AJ218" i="49"/>
  <c r="AJ42" i="49"/>
  <c r="AJ38" i="49"/>
  <c r="AJ34" i="49"/>
  <c r="AJ30" i="49"/>
  <c r="AJ22" i="49"/>
  <c r="AJ18" i="49"/>
  <c r="AJ14" i="49"/>
  <c r="AJ10" i="49"/>
  <c r="AJ6" i="49"/>
  <c r="AJ62" i="49"/>
  <c r="AJ64" i="49"/>
  <c r="AJ26" i="49"/>
  <c r="AJ248" i="49"/>
  <c r="AJ244" i="49"/>
  <c r="AJ240" i="49"/>
  <c r="AJ236" i="49"/>
  <c r="AJ232" i="49"/>
  <c r="AJ228" i="49"/>
  <c r="AJ224" i="49"/>
  <c r="AJ220" i="49"/>
  <c r="AJ216" i="49"/>
  <c r="AJ23" i="49"/>
  <c r="AJ19" i="49"/>
  <c r="AJ15" i="49"/>
  <c r="AJ11" i="49"/>
  <c r="AJ253" i="49"/>
  <c r="AJ250" i="49"/>
  <c r="AJ246" i="49"/>
  <c r="AJ242" i="49"/>
  <c r="AJ238" i="49"/>
  <c r="AJ234" i="49"/>
  <c r="AJ230" i="49"/>
  <c r="AJ226" i="49"/>
  <c r="AJ222" i="49"/>
  <c r="AJ144" i="49"/>
  <c r="AJ214" i="49"/>
  <c r="AJ210" i="49"/>
  <c r="AJ206" i="49"/>
  <c r="AJ203" i="49"/>
  <c r="AJ199" i="49"/>
  <c r="AJ195" i="49"/>
  <c r="AJ191" i="49"/>
  <c r="AJ187" i="49"/>
  <c r="AJ183" i="49"/>
  <c r="AJ179" i="49"/>
  <c r="AJ175" i="49"/>
  <c r="AJ171" i="49"/>
  <c r="AJ167" i="49"/>
  <c r="AJ163" i="49"/>
  <c r="AJ159" i="49"/>
  <c r="AJ155" i="49"/>
  <c r="AJ151" i="49"/>
  <c r="AJ147" i="49"/>
  <c r="AJ143" i="49"/>
  <c r="AJ139" i="49"/>
  <c r="AJ135" i="49"/>
  <c r="AJ131" i="49"/>
  <c r="AJ127" i="49"/>
  <c r="AJ123" i="49"/>
  <c r="AJ117" i="49"/>
  <c r="AJ113" i="49"/>
  <c r="AJ109" i="49"/>
  <c r="AJ105" i="49"/>
  <c r="AJ101" i="49"/>
  <c r="AJ97" i="49"/>
  <c r="AJ93" i="49"/>
  <c r="AJ89" i="49"/>
  <c r="AJ85" i="49"/>
  <c r="AJ81" i="49"/>
  <c r="AJ73" i="49"/>
  <c r="AJ69" i="49"/>
  <c r="AJ65" i="49"/>
  <c r="AJ59" i="49"/>
  <c r="F38" i="49"/>
  <c r="F34" i="49"/>
  <c r="F30" i="49"/>
  <c r="F26" i="49"/>
  <c r="F22" i="49"/>
  <c r="F18" i="49"/>
  <c r="F14" i="49"/>
  <c r="F10" i="49"/>
  <c r="F6" i="49"/>
  <c r="F252" i="49"/>
  <c r="F248" i="49"/>
  <c r="F244" i="49"/>
  <c r="F240" i="49"/>
  <c r="F236" i="49"/>
  <c r="F232" i="49"/>
  <c r="F228" i="49"/>
  <c r="F224" i="49"/>
  <c r="F220" i="49"/>
  <c r="F216" i="49"/>
  <c r="F212" i="49"/>
  <c r="F208" i="49"/>
  <c r="F204" i="49"/>
  <c r="F200" i="49"/>
  <c r="F196" i="49"/>
  <c r="F73" i="49"/>
  <c r="F65" i="49"/>
  <c r="F58" i="49"/>
  <c r="F49" i="49"/>
  <c r="F41" i="49"/>
  <c r="F25" i="49"/>
  <c r="F139" i="49"/>
  <c r="F131" i="49"/>
  <c r="F121" i="49"/>
  <c r="F116" i="49"/>
  <c r="F108" i="49"/>
  <c r="F100" i="49"/>
  <c r="F92" i="49"/>
  <c r="F84" i="49"/>
  <c r="F76" i="49"/>
  <c r="F68" i="49"/>
  <c r="F57" i="49"/>
  <c r="F52" i="49"/>
  <c r="F44" i="49"/>
  <c r="F36" i="49"/>
  <c r="F28" i="49"/>
  <c r="F16" i="49"/>
  <c r="F8" i="49"/>
  <c r="F192" i="49"/>
  <c r="F188" i="49"/>
  <c r="F184" i="49"/>
  <c r="F180" i="49"/>
  <c r="F176" i="49"/>
  <c r="F172" i="49"/>
  <c r="F168" i="49"/>
  <c r="F164" i="49"/>
  <c r="F160" i="49"/>
  <c r="F156" i="49"/>
  <c r="F152" i="49"/>
  <c r="F148" i="49"/>
  <c r="F144" i="49"/>
  <c r="F140" i="49"/>
  <c r="F136" i="49"/>
  <c r="F132" i="49"/>
  <c r="F171" i="49"/>
  <c r="F123" i="49"/>
  <c r="F122" i="49"/>
  <c r="F117" i="49"/>
  <c r="F113" i="49"/>
  <c r="F109" i="49"/>
  <c r="F105" i="49"/>
  <c r="F101" i="49"/>
  <c r="F97" i="49"/>
  <c r="F93" i="49"/>
  <c r="F89" i="49"/>
  <c r="F85" i="49"/>
  <c r="F81" i="49"/>
  <c r="F77" i="49"/>
  <c r="F69" i="49"/>
  <c r="F59" i="49"/>
  <c r="F53" i="49"/>
  <c r="F45" i="49"/>
  <c r="F37" i="49"/>
  <c r="F29" i="49"/>
  <c r="F143" i="49"/>
  <c r="F135" i="49"/>
  <c r="F128" i="49"/>
  <c r="F120" i="49"/>
  <c r="F112" i="49"/>
  <c r="F104" i="49"/>
  <c r="F88" i="49"/>
  <c r="F80" i="49"/>
  <c r="F72" i="49"/>
  <c r="F64" i="49"/>
  <c r="F56" i="49"/>
  <c r="F48" i="49"/>
  <c r="F40" i="49"/>
  <c r="F32" i="49"/>
  <c r="F24" i="49"/>
  <c r="F20" i="49"/>
  <c r="F12" i="49"/>
  <c r="F4" i="49"/>
  <c r="F33" i="49"/>
  <c r="F96" i="49"/>
  <c r="H207" i="49"/>
  <c r="H184" i="49"/>
  <c r="H164" i="49"/>
  <c r="H148" i="49"/>
  <c r="H132" i="49"/>
  <c r="H114" i="49"/>
  <c r="H86" i="49"/>
  <c r="H70" i="49"/>
  <c r="H243" i="49"/>
  <c r="H235" i="49"/>
  <c r="H219" i="49"/>
  <c r="H200" i="49"/>
  <c r="H192" i="49"/>
  <c r="H176" i="49"/>
  <c r="H168" i="49"/>
  <c r="H152" i="49"/>
  <c r="H136" i="49"/>
  <c r="H128" i="49"/>
  <c r="H110" i="49"/>
  <c r="H94" i="49"/>
  <c r="H78" i="49"/>
  <c r="H102" i="49"/>
  <c r="H215" i="49"/>
  <c r="H144" i="49"/>
  <c r="H118" i="49"/>
  <c r="H98" i="49"/>
  <c r="H82" i="49"/>
  <c r="H66" i="49"/>
  <c r="H254" i="49"/>
  <c r="H249" i="49"/>
  <c r="H241" i="49"/>
  <c r="H237" i="49"/>
  <c r="H229" i="49"/>
  <c r="H221" i="49"/>
  <c r="H217" i="49"/>
  <c r="H209" i="49"/>
  <c r="H202" i="49"/>
  <c r="H194" i="49"/>
  <c r="H186" i="49"/>
  <c r="H178" i="49"/>
  <c r="H170" i="49"/>
  <c r="H162" i="49"/>
  <c r="H154" i="49"/>
  <c r="H146" i="49"/>
  <c r="H138" i="49"/>
  <c r="H130" i="49"/>
  <c r="H121" i="49"/>
  <c r="H112" i="49"/>
  <c r="H104" i="49"/>
  <c r="H96" i="49"/>
  <c r="H92" i="49"/>
  <c r="H84" i="49"/>
  <c r="H80" i="49"/>
  <c r="H72" i="49"/>
  <c r="H57" i="49"/>
  <c r="H53" i="49"/>
  <c r="H45" i="49"/>
  <c r="H37" i="49"/>
  <c r="H29" i="49"/>
  <c r="H21" i="49"/>
  <c r="H13" i="49"/>
  <c r="H5" i="49"/>
  <c r="H248" i="49"/>
  <c r="H240" i="49"/>
  <c r="H232" i="49"/>
  <c r="H228" i="49"/>
  <c r="H220" i="49"/>
  <c r="H212" i="49"/>
  <c r="H205" i="49"/>
  <c r="H197" i="49"/>
  <c r="H189" i="49"/>
  <c r="H181" i="49"/>
  <c r="H173" i="49"/>
  <c r="H165" i="49"/>
  <c r="H153" i="49"/>
  <c r="H145" i="49"/>
  <c r="H137" i="49"/>
  <c r="H133" i="49"/>
  <c r="H125" i="49"/>
  <c r="H115" i="49"/>
  <c r="H107" i="49"/>
  <c r="H99" i="49"/>
  <c r="H91" i="49"/>
  <c r="H83" i="49"/>
  <c r="H75" i="49"/>
  <c r="H67" i="49"/>
  <c r="H65" i="49"/>
  <c r="H48" i="49"/>
  <c r="H40" i="49"/>
  <c r="H32" i="49"/>
  <c r="H24" i="49"/>
  <c r="H20" i="49"/>
  <c r="H12" i="49"/>
  <c r="H4" i="49"/>
  <c r="H251" i="49"/>
  <c r="H239" i="49"/>
  <c r="H223" i="49"/>
  <c r="H204" i="49"/>
  <c r="H188" i="49"/>
  <c r="H172" i="49"/>
  <c r="H160" i="49"/>
  <c r="H140" i="49"/>
  <c r="H124" i="49"/>
  <c r="H106" i="49"/>
  <c r="H90" i="49"/>
  <c r="H74" i="49"/>
  <c r="H61" i="49"/>
  <c r="H227" i="49"/>
  <c r="H245" i="49"/>
  <c r="H233" i="49"/>
  <c r="H225" i="49"/>
  <c r="H213" i="49"/>
  <c r="H206" i="49"/>
  <c r="H198" i="49"/>
  <c r="H190" i="49"/>
  <c r="H182" i="49"/>
  <c r="H174" i="49"/>
  <c r="H166" i="49"/>
  <c r="H158" i="49"/>
  <c r="H150" i="49"/>
  <c r="H142" i="49"/>
  <c r="H134" i="49"/>
  <c r="H126" i="49"/>
  <c r="H116" i="49"/>
  <c r="H108" i="49"/>
  <c r="H100" i="49"/>
  <c r="H88" i="49"/>
  <c r="H76" i="49"/>
  <c r="H68" i="49"/>
  <c r="H120" i="49"/>
  <c r="H49" i="49"/>
  <c r="H41" i="49"/>
  <c r="H33" i="49"/>
  <c r="H25" i="49"/>
  <c r="H17" i="49"/>
  <c r="H9" i="49"/>
  <c r="H58" i="49"/>
  <c r="H252" i="49"/>
  <c r="H244" i="49"/>
  <c r="H236" i="49"/>
  <c r="H224" i="49"/>
  <c r="H216" i="49"/>
  <c r="H208" i="49"/>
  <c r="H201" i="49"/>
  <c r="H193" i="49"/>
  <c r="H185" i="49"/>
  <c r="H177" i="49"/>
  <c r="H169" i="49"/>
  <c r="H161" i="49"/>
  <c r="H157" i="49"/>
  <c r="H149" i="49"/>
  <c r="H141" i="49"/>
  <c r="H129" i="49"/>
  <c r="H119" i="49"/>
  <c r="H111" i="49"/>
  <c r="H103" i="49"/>
  <c r="H95" i="49"/>
  <c r="H87" i="49"/>
  <c r="H79" i="49"/>
  <c r="H71" i="49"/>
  <c r="H64" i="49"/>
  <c r="H52" i="49"/>
  <c r="H44" i="49"/>
  <c r="H36" i="49"/>
  <c r="H28" i="49"/>
  <c r="H16" i="49"/>
  <c r="H8" i="49"/>
  <c r="H56" i="49"/>
  <c r="H247" i="49"/>
  <c r="H231" i="49"/>
  <c r="H211" i="49"/>
  <c r="H196" i="49"/>
  <c r="H180" i="49"/>
  <c r="H55" i="49"/>
  <c r="H51" i="49"/>
  <c r="H47" i="49"/>
  <c r="H43" i="49"/>
  <c r="H39" i="49"/>
  <c r="H35" i="49"/>
  <c r="H31" i="49"/>
  <c r="H27" i="49"/>
  <c r="H23" i="49"/>
  <c r="H19" i="49"/>
  <c r="H15" i="49"/>
  <c r="H11" i="49"/>
  <c r="H7" i="49"/>
  <c r="H62" i="49"/>
  <c r="H63" i="49"/>
  <c r="H255" i="49"/>
  <c r="H250" i="49"/>
  <c r="H246" i="49"/>
  <c r="H242" i="49"/>
  <c r="H238" i="49"/>
  <c r="H234" i="49"/>
  <c r="H230" i="49"/>
  <c r="H226" i="49"/>
  <c r="H222" i="49"/>
  <c r="H218" i="49"/>
  <c r="H214" i="49"/>
  <c r="H210" i="49"/>
  <c r="H253" i="49"/>
  <c r="H203" i="49"/>
  <c r="H199" i="49"/>
  <c r="H195" i="49"/>
  <c r="H191" i="49"/>
  <c r="H187" i="49"/>
  <c r="H183" i="49"/>
  <c r="H179" i="49"/>
  <c r="H175" i="49"/>
  <c r="H171" i="49"/>
  <c r="R200" i="49"/>
  <c r="R196" i="49"/>
  <c r="R192" i="49"/>
  <c r="R188" i="49"/>
  <c r="R184" i="49"/>
  <c r="R180" i="49"/>
  <c r="R176" i="49"/>
  <c r="R172" i="49"/>
  <c r="R168" i="49"/>
  <c r="R164" i="49"/>
  <c r="R160" i="49"/>
  <c r="R157" i="49"/>
  <c r="R153" i="49"/>
  <c r="R149" i="49"/>
  <c r="R145" i="49"/>
  <c r="R141" i="49"/>
  <c r="R137" i="49"/>
  <c r="R133" i="49"/>
  <c r="R129" i="49"/>
  <c r="R125" i="49"/>
  <c r="R121" i="49"/>
  <c r="R117" i="49"/>
  <c r="R113" i="49"/>
  <c r="R109" i="49"/>
  <c r="R105" i="49"/>
  <c r="R101" i="49"/>
  <c r="R97" i="49"/>
  <c r="R93" i="49"/>
  <c r="R89" i="49"/>
  <c r="R85" i="49"/>
  <c r="R81" i="49"/>
  <c r="R77" i="49"/>
  <c r="F201" i="49"/>
  <c r="F189" i="49"/>
  <c r="F177" i="49"/>
  <c r="F169" i="49"/>
  <c r="F165" i="49"/>
  <c r="F157" i="49"/>
  <c r="F141" i="49"/>
  <c r="F137" i="49"/>
  <c r="F129" i="49"/>
  <c r="F127" i="49"/>
  <c r="F114" i="49"/>
  <c r="F106" i="49"/>
  <c r="F98" i="49"/>
  <c r="F90" i="49"/>
  <c r="F82" i="49"/>
  <c r="F78" i="49"/>
  <c r="F66" i="49"/>
  <c r="F60" i="49"/>
  <c r="F50" i="49"/>
  <c r="F42" i="49"/>
  <c r="F205" i="49"/>
  <c r="F197" i="49"/>
  <c r="F193" i="49"/>
  <c r="F185" i="49"/>
  <c r="F181" i="49"/>
  <c r="F173" i="49"/>
  <c r="F161" i="49"/>
  <c r="F153" i="49"/>
  <c r="F149" i="49"/>
  <c r="F145" i="49"/>
  <c r="F133" i="49"/>
  <c r="F125" i="49"/>
  <c r="F118" i="49"/>
  <c r="F110" i="49"/>
  <c r="F102" i="49"/>
  <c r="F94" i="49"/>
  <c r="F86" i="49"/>
  <c r="F74" i="49"/>
  <c r="F70" i="49"/>
  <c r="F61" i="49"/>
  <c r="F54" i="49"/>
  <c r="F46" i="49"/>
  <c r="F21" i="49"/>
  <c r="F17" i="49"/>
  <c r="F13" i="49"/>
  <c r="F9" i="49"/>
  <c r="F5" i="49"/>
  <c r="F251" i="49"/>
  <c r="F247" i="49"/>
  <c r="F243" i="49"/>
  <c r="F239" i="49"/>
  <c r="F235" i="49"/>
  <c r="F231" i="49"/>
  <c r="F227" i="49"/>
  <c r="F223" i="49"/>
  <c r="F219" i="49"/>
  <c r="F215" i="49"/>
  <c r="F211" i="49"/>
  <c r="F207" i="49"/>
  <c r="F203" i="49"/>
  <c r="F199" i="49"/>
  <c r="F195" i="49"/>
  <c r="F191" i="49"/>
  <c r="F187" i="49"/>
  <c r="F183" i="49"/>
  <c r="F179" i="49"/>
  <c r="F175" i="49"/>
  <c r="F255" i="49"/>
  <c r="F167" i="49"/>
  <c r="F163" i="49"/>
  <c r="F159" i="49"/>
  <c r="F155" i="49"/>
  <c r="F151" i="49"/>
  <c r="F147" i="49"/>
  <c r="H122" i="49"/>
  <c r="H69" i="49"/>
  <c r="H73" i="49"/>
  <c r="H77" i="49"/>
  <c r="H81" i="49"/>
  <c r="H85" i="49"/>
  <c r="H89" i="49"/>
  <c r="H93" i="49"/>
  <c r="H97" i="49"/>
  <c r="H101" i="49"/>
  <c r="H105" i="49"/>
  <c r="H109" i="49"/>
  <c r="H113" i="49"/>
  <c r="H117" i="49"/>
  <c r="H123" i="49"/>
  <c r="H127" i="49"/>
  <c r="H135" i="49"/>
  <c r="H139" i="49"/>
  <c r="H143" i="49"/>
  <c r="H147" i="49"/>
  <c r="H151" i="49"/>
  <c r="H155" i="49"/>
  <c r="H159" i="49"/>
  <c r="H163" i="49"/>
  <c r="H167" i="49"/>
  <c r="H60" i="49"/>
  <c r="H6" i="49"/>
  <c r="H10" i="49"/>
  <c r="H14" i="49"/>
  <c r="H18" i="49"/>
  <c r="H22" i="49"/>
  <c r="H131" i="49"/>
  <c r="H26" i="49"/>
  <c r="H30" i="49"/>
  <c r="H34" i="49"/>
  <c r="H38" i="49"/>
  <c r="H42" i="49"/>
  <c r="H46" i="49"/>
  <c r="H50" i="49"/>
  <c r="H54" i="49"/>
  <c r="H59" i="49"/>
  <c r="AL101" i="49"/>
  <c r="AL97" i="49"/>
  <c r="AL93" i="49"/>
  <c r="AL89" i="49"/>
  <c r="AL85" i="49"/>
  <c r="AL81" i="49"/>
  <c r="AL77" i="49"/>
  <c r="AL73" i="49"/>
  <c r="AL69" i="49"/>
  <c r="AL65" i="49"/>
  <c r="AL60" i="49"/>
  <c r="AL59" i="49"/>
  <c r="AL53" i="49"/>
  <c r="AL49" i="49"/>
  <c r="AL45" i="49"/>
  <c r="AL41" i="49"/>
  <c r="AL37" i="49"/>
  <c r="AL33" i="49"/>
  <c r="AL29" i="49"/>
  <c r="AL25" i="49"/>
  <c r="AL21" i="49"/>
  <c r="AL17" i="49"/>
  <c r="AL13" i="49"/>
  <c r="AL9" i="49"/>
  <c r="AL5" i="49"/>
  <c r="AL145" i="49"/>
  <c r="AL46" i="49"/>
  <c r="AL42" i="49"/>
  <c r="AL38" i="49"/>
  <c r="AL34" i="49"/>
  <c r="AL30" i="49"/>
  <c r="AL26" i="49"/>
  <c r="AL22" i="49"/>
  <c r="AL18" i="49"/>
  <c r="AL14" i="49"/>
  <c r="AL10" i="49"/>
  <c r="AL6" i="49"/>
  <c r="AL251" i="49"/>
  <c r="AL247" i="49"/>
  <c r="AL243" i="49"/>
  <c r="AL239" i="49"/>
  <c r="AL235" i="49"/>
  <c r="AL231" i="49"/>
  <c r="AL227" i="49"/>
  <c r="AL223" i="49"/>
  <c r="AL219" i="49"/>
  <c r="AL215" i="49"/>
  <c r="AL211" i="49"/>
  <c r="AL207" i="49"/>
  <c r="AL205" i="49"/>
  <c r="AL201" i="49"/>
  <c r="AL197" i="49"/>
  <c r="AL193" i="49"/>
  <c r="AL189" i="49"/>
  <c r="AL185" i="49"/>
  <c r="AL181" i="49"/>
  <c r="AL177" i="49"/>
  <c r="AL173" i="49"/>
  <c r="AL169" i="49"/>
  <c r="AL165" i="49"/>
  <c r="AL161" i="49"/>
  <c r="AL157" i="49"/>
  <c r="AL153" i="49"/>
  <c r="AL149" i="49"/>
  <c r="AL141" i="49"/>
  <c r="AL137" i="49"/>
  <c r="AL133" i="49"/>
  <c r="AL129" i="49"/>
  <c r="AL123" i="49"/>
  <c r="AL125" i="49"/>
  <c r="AL117" i="49"/>
  <c r="AL113" i="49"/>
  <c r="AL109" i="49"/>
  <c r="AL105" i="49"/>
  <c r="G16" i="49"/>
  <c r="G4" i="49"/>
  <c r="G254" i="49"/>
  <c r="G249" i="49"/>
  <c r="G245" i="49"/>
  <c r="G241" i="49"/>
  <c r="G237" i="49"/>
  <c r="G233" i="49"/>
  <c r="G205" i="49"/>
  <c r="G201" i="49"/>
  <c r="G197" i="49"/>
  <c r="G193" i="49"/>
  <c r="G189" i="49"/>
  <c r="G185" i="49"/>
  <c r="G181" i="49"/>
  <c r="G177" i="49"/>
  <c r="G226" i="49"/>
  <c r="G218" i="49"/>
  <c r="G210" i="49"/>
  <c r="G227" i="49"/>
  <c r="G219" i="49"/>
  <c r="G211" i="49"/>
  <c r="G172" i="49"/>
  <c r="G173" i="49"/>
  <c r="G167" i="49"/>
  <c r="G149" i="49"/>
  <c r="G137" i="49"/>
  <c r="G129" i="49"/>
  <c r="G121" i="49"/>
  <c r="G113" i="49"/>
  <c r="G105" i="49"/>
  <c r="G93" i="49"/>
  <c r="G85" i="49"/>
  <c r="G77" i="49"/>
  <c r="G69" i="49"/>
  <c r="G57" i="49"/>
  <c r="G49" i="49"/>
  <c r="G41" i="49"/>
  <c r="G33" i="49"/>
  <c r="G13" i="49"/>
  <c r="G68" i="49"/>
  <c r="G40" i="49"/>
  <c r="G12" i="49"/>
  <c r="G23" i="49"/>
  <c r="G27" i="49"/>
  <c r="G31" i="49"/>
  <c r="G35" i="49"/>
  <c r="G39" i="49"/>
  <c r="G43" i="49"/>
  <c r="G47" i="49"/>
  <c r="G51" i="49"/>
  <c r="G55" i="49"/>
  <c r="G19" i="49"/>
  <c r="G59" i="49"/>
  <c r="G63" i="49"/>
  <c r="G67" i="49"/>
  <c r="G139" i="49"/>
  <c r="G71" i="49"/>
  <c r="G75" i="49"/>
  <c r="G24" i="49"/>
  <c r="G56" i="49"/>
  <c r="G84" i="49"/>
  <c r="G5" i="49"/>
  <c r="G25" i="49"/>
  <c r="G79" i="49"/>
  <c r="G83" i="49"/>
  <c r="G87" i="49"/>
  <c r="G91" i="49"/>
  <c r="G95" i="49"/>
  <c r="G99" i="49"/>
  <c r="G103" i="49"/>
  <c r="G107" i="49"/>
  <c r="G111" i="49"/>
  <c r="G115" i="49"/>
  <c r="G119" i="49"/>
  <c r="G123" i="49"/>
  <c r="G127" i="49"/>
  <c r="G131" i="49"/>
  <c r="G135" i="49"/>
  <c r="G143" i="49"/>
  <c r="G147" i="49"/>
  <c r="G151" i="49"/>
  <c r="G155" i="49"/>
  <c r="G159" i="49"/>
  <c r="G163" i="49"/>
  <c r="G15" i="49"/>
  <c r="G11" i="49"/>
  <c r="G7" i="49"/>
  <c r="G187" i="49"/>
  <c r="G223" i="49"/>
  <c r="G169" i="49"/>
  <c r="G157" i="49"/>
  <c r="AZ28" i="49"/>
  <c r="AZ44" i="49"/>
  <c r="AZ40" i="49"/>
  <c r="AZ36" i="49"/>
  <c r="AZ32" i="49"/>
  <c r="AZ24" i="49"/>
  <c r="AZ20" i="49"/>
  <c r="AZ16" i="49"/>
  <c r="AZ12" i="49"/>
  <c r="AZ8" i="49"/>
  <c r="AZ4" i="49"/>
  <c r="AZ255" i="49"/>
  <c r="AZ249" i="49"/>
  <c r="AZ243" i="49"/>
  <c r="AZ239" i="49"/>
  <c r="AZ235" i="49"/>
  <c r="AZ231" i="49"/>
  <c r="AZ227" i="49"/>
  <c r="AZ223" i="49"/>
  <c r="AZ254" i="49"/>
  <c r="AZ219" i="49"/>
  <c r="AZ215" i="49"/>
  <c r="AZ52" i="49"/>
  <c r="AZ48" i="49"/>
  <c r="V27" i="49"/>
  <c r="V126" i="49"/>
  <c r="V147" i="49"/>
  <c r="V167" i="49"/>
  <c r="V199" i="49"/>
  <c r="V226" i="49"/>
  <c r="V8" i="49"/>
  <c r="V24" i="49"/>
  <c r="V56" i="49"/>
  <c r="V73" i="49"/>
  <c r="V89" i="49"/>
  <c r="V106" i="49"/>
  <c r="V127" i="49"/>
  <c r="V148" i="49"/>
  <c r="V170" i="49"/>
  <c r="V229" i="49"/>
  <c r="V239" i="49"/>
  <c r="V223" i="49"/>
  <c r="V252" i="49"/>
  <c r="V196" i="49"/>
  <c r="V180" i="49"/>
  <c r="V164" i="49"/>
  <c r="V149" i="49"/>
  <c r="V133" i="49"/>
  <c r="V117" i="49"/>
  <c r="V249" i="49"/>
  <c r="V219" i="49"/>
  <c r="V205" i="49"/>
  <c r="V173" i="49"/>
  <c r="V30" i="49"/>
  <c r="V63" i="49"/>
  <c r="V79" i="49"/>
  <c r="V135" i="49"/>
  <c r="V156" i="49"/>
  <c r="V212" i="49"/>
  <c r="V202" i="49"/>
  <c r="V116" i="49"/>
  <c r="V232" i="49"/>
  <c r="V189" i="49"/>
  <c r="V14" i="49"/>
  <c r="V46" i="49"/>
  <c r="V95" i="49"/>
  <c r="V114" i="49"/>
  <c r="V182" i="49"/>
  <c r="V222" i="49"/>
  <c r="V41" i="49"/>
  <c r="V107" i="49"/>
  <c r="V203" i="49"/>
  <c r="V11" i="49"/>
  <c r="V241" i="49"/>
  <c r="V43" i="49"/>
  <c r="V60" i="49"/>
  <c r="V76" i="49"/>
  <c r="V92" i="49"/>
  <c r="V110" i="49"/>
  <c r="V131" i="49"/>
  <c r="V152" i="49"/>
  <c r="V175" i="49"/>
  <c r="V207" i="49"/>
  <c r="V234" i="49"/>
  <c r="V12" i="49"/>
  <c r="V28" i="49"/>
  <c r="V44" i="49"/>
  <c r="V61" i="49"/>
  <c r="V77" i="49"/>
  <c r="V93" i="49"/>
  <c r="V111" i="49"/>
  <c r="V132" i="49"/>
  <c r="V154" i="49"/>
  <c r="V178" i="49"/>
  <c r="V210" i="49"/>
  <c r="V237" i="49"/>
  <c r="V235" i="49"/>
  <c r="V251" i="49"/>
  <c r="V208" i="49"/>
  <c r="V192" i="49"/>
  <c r="V176" i="49"/>
  <c r="V160" i="49"/>
  <c r="V145" i="49"/>
  <c r="V129" i="49"/>
  <c r="V113" i="49"/>
  <c r="V244" i="49"/>
  <c r="V228" i="49"/>
  <c r="V215" i="49"/>
  <c r="V201" i="49"/>
  <c r="V185" i="49"/>
  <c r="V169" i="49"/>
  <c r="V18" i="49"/>
  <c r="V34" i="49"/>
  <c r="V50" i="49"/>
  <c r="V67" i="49"/>
  <c r="V83" i="49"/>
  <c r="V99" i="49"/>
  <c r="V119" i="49"/>
  <c r="V140" i="49"/>
  <c r="V161" i="49"/>
  <c r="V190" i="49"/>
  <c r="V220" i="49"/>
  <c r="V253" i="49"/>
  <c r="V70" i="49"/>
  <c r="V144" i="49"/>
  <c r="V58" i="49"/>
  <c r="V128" i="49"/>
  <c r="V230" i="49"/>
  <c r="V15" i="49"/>
  <c r="V31" i="49"/>
  <c r="V47" i="49"/>
  <c r="V64" i="49"/>
  <c r="V80" i="49"/>
  <c r="V96" i="49"/>
  <c r="V115" i="49"/>
  <c r="V136" i="49"/>
  <c r="V248" i="49"/>
  <c r="V183" i="49"/>
  <c r="V213" i="49"/>
  <c r="V242" i="49"/>
  <c r="V16" i="49"/>
  <c r="V32" i="49"/>
  <c r="V48" i="49"/>
  <c r="V65" i="49"/>
  <c r="V81" i="49"/>
  <c r="V97" i="49"/>
  <c r="V40" i="49"/>
  <c r="V138" i="49"/>
  <c r="V158" i="49"/>
  <c r="V186" i="49"/>
  <c r="V216" i="49"/>
  <c r="V247" i="49"/>
  <c r="V231" i="49"/>
  <c r="V218" i="49"/>
  <c r="V204" i="49"/>
  <c r="V188" i="49"/>
  <c r="V172" i="49"/>
  <c r="V157" i="49"/>
  <c r="V141" i="49"/>
  <c r="V125" i="49"/>
  <c r="V109" i="49"/>
  <c r="V240" i="49"/>
  <c r="V224" i="49"/>
  <c r="V211" i="49"/>
  <c r="V197" i="49"/>
  <c r="V181" i="49"/>
  <c r="V6" i="49"/>
  <c r="V22" i="49"/>
  <c r="V38" i="49"/>
  <c r="V54" i="49"/>
  <c r="V71" i="49"/>
  <c r="V87" i="49"/>
  <c r="V103" i="49"/>
  <c r="V124" i="49"/>
  <c r="V146" i="49"/>
  <c r="V166" i="49"/>
  <c r="V198" i="49"/>
  <c r="V225" i="49"/>
  <c r="V5" i="49"/>
  <c r="V86" i="49"/>
  <c r="V165" i="49"/>
  <c r="V9" i="49"/>
  <c r="V74" i="49"/>
  <c r="V150" i="49"/>
  <c r="V55" i="49"/>
  <c r="V19" i="49"/>
  <c r="V35" i="49"/>
  <c r="V51" i="49"/>
  <c r="V68" i="49"/>
  <c r="V84" i="49"/>
  <c r="V100" i="49"/>
  <c r="V120" i="49"/>
  <c r="V142" i="49"/>
  <c r="V162" i="49"/>
  <c r="V191" i="49"/>
  <c r="V254" i="49"/>
  <c r="V4" i="49"/>
  <c r="V20" i="49"/>
  <c r="V36" i="49"/>
  <c r="V52" i="49"/>
  <c r="V69" i="49"/>
  <c r="V85" i="49"/>
  <c r="V101" i="49"/>
  <c r="V122" i="49"/>
  <c r="V143" i="49"/>
  <c r="V163" i="49"/>
  <c r="V194" i="49"/>
  <c r="V221" i="49"/>
  <c r="V243" i="49"/>
  <c r="V227" i="49"/>
  <c r="V214" i="49"/>
  <c r="V200" i="49"/>
  <c r="V184" i="49"/>
  <c r="V168" i="49"/>
  <c r="V153" i="49"/>
  <c r="V137" i="49"/>
  <c r="V121" i="49"/>
  <c r="V105" i="49"/>
  <c r="V236" i="49"/>
  <c r="V255" i="49"/>
  <c r="V209" i="49"/>
  <c r="V193" i="49"/>
  <c r="V177" i="49"/>
  <c r="V10" i="49"/>
  <c r="V26" i="49"/>
  <c r="V42" i="49"/>
  <c r="V59" i="49"/>
  <c r="V75" i="49"/>
  <c r="V91" i="49"/>
  <c r="V108" i="49"/>
  <c r="V130" i="49"/>
  <c r="V151" i="49"/>
  <c r="V174" i="49"/>
  <c r="V206" i="49"/>
  <c r="V233" i="49"/>
  <c r="V21" i="49"/>
  <c r="V102" i="49"/>
  <c r="V195" i="49"/>
  <c r="V25" i="49"/>
  <c r="V90" i="49"/>
  <c r="V171" i="49"/>
  <c r="V7" i="49"/>
  <c r="V23" i="49"/>
  <c r="V39" i="49"/>
  <c r="V57" i="49"/>
  <c r="V72" i="49"/>
  <c r="V88" i="49"/>
  <c r="V104" i="49"/>
  <c r="R163" i="49"/>
  <c r="R159" i="49"/>
  <c r="R156" i="49"/>
  <c r="R152" i="49"/>
  <c r="R148" i="49"/>
  <c r="R144" i="49"/>
  <c r="R140" i="49"/>
  <c r="R136" i="49"/>
  <c r="R132" i="49"/>
  <c r="R128" i="49"/>
  <c r="R124" i="49"/>
  <c r="R120" i="49"/>
  <c r="R116" i="49"/>
  <c r="R112" i="49"/>
  <c r="R108" i="49"/>
  <c r="R104" i="49"/>
  <c r="R100" i="49"/>
  <c r="R96" i="49"/>
  <c r="R92" i="49"/>
  <c r="R88" i="49"/>
  <c r="R84" i="49"/>
  <c r="R80" i="49"/>
  <c r="R76" i="49"/>
  <c r="R72" i="49"/>
  <c r="R68" i="49"/>
  <c r="R64" i="49"/>
  <c r="R60" i="49"/>
  <c r="R55" i="49"/>
  <c r="R51" i="49"/>
  <c r="R47" i="49"/>
  <c r="R43" i="49"/>
  <c r="R39" i="49"/>
  <c r="R35" i="49"/>
  <c r="R139" i="49"/>
  <c r="R135" i="49"/>
  <c r="R127" i="49"/>
  <c r="R123" i="49"/>
  <c r="R119" i="49"/>
  <c r="R115" i="49"/>
  <c r="R111" i="49"/>
  <c r="R107" i="49"/>
  <c r="R103" i="49"/>
  <c r="R131" i="49"/>
  <c r="R167" i="49"/>
  <c r="AJ186" i="49"/>
  <c r="AJ182" i="49"/>
  <c r="AJ178" i="49"/>
  <c r="AJ174" i="49"/>
  <c r="AJ170" i="49"/>
  <c r="AJ166" i="49"/>
  <c r="AJ162" i="49"/>
  <c r="AJ158" i="49"/>
  <c r="AJ154" i="49"/>
  <c r="AJ150" i="49"/>
  <c r="AJ146" i="49"/>
  <c r="AJ142" i="49"/>
  <c r="AJ138" i="49"/>
  <c r="AJ134" i="49"/>
  <c r="AJ130" i="49"/>
  <c r="AJ126" i="49"/>
  <c r="AJ121" i="49"/>
  <c r="V45" i="49"/>
  <c r="V13" i="49"/>
  <c r="V250" i="49"/>
  <c r="V112" i="49"/>
  <c r="V53" i="49"/>
  <c r="V123" i="49"/>
  <c r="AJ76" i="49"/>
  <c r="AJ80" i="49"/>
  <c r="AJ84" i="49"/>
  <c r="AJ88" i="49"/>
  <c r="AJ92" i="49"/>
  <c r="AJ96" i="49"/>
  <c r="AJ122" i="49"/>
  <c r="AJ68" i="49"/>
  <c r="AJ72" i="49"/>
  <c r="F233" i="49"/>
  <c r="F225" i="49"/>
  <c r="F217" i="49"/>
  <c r="F213" i="49"/>
  <c r="F62" i="49"/>
  <c r="F47" i="49"/>
  <c r="F39" i="49"/>
  <c r="F31" i="49"/>
  <c r="F55" i="49"/>
  <c r="F15" i="49"/>
  <c r="F7" i="49"/>
  <c r="F254" i="49"/>
  <c r="F245" i="49"/>
  <c r="F237" i="49"/>
  <c r="F229" i="49"/>
  <c r="F221" i="49"/>
  <c r="F209" i="49"/>
  <c r="F51" i="49"/>
  <c r="F43" i="49"/>
  <c r="F35" i="49"/>
  <c r="F27" i="49"/>
  <c r="F19" i="49"/>
  <c r="F11" i="49"/>
  <c r="F249" i="49"/>
  <c r="F241" i="49"/>
  <c r="F23" i="49"/>
  <c r="AL31" i="49"/>
  <c r="AL27" i="49"/>
  <c r="AL23" i="49"/>
  <c r="AL19" i="49"/>
  <c r="AL15" i="49"/>
  <c r="AL11" i="49"/>
  <c r="AL7" i="49"/>
  <c r="AL255" i="49"/>
  <c r="AL248" i="49"/>
  <c r="AL244" i="49"/>
  <c r="AL240" i="49"/>
  <c r="AL236" i="49"/>
  <c r="AL232" i="49"/>
  <c r="AL228" i="49"/>
  <c r="AL224" i="49"/>
  <c r="AL220" i="49"/>
  <c r="AL216" i="49"/>
  <c r="AL212" i="49"/>
  <c r="AL208" i="49"/>
  <c r="AL252" i="49"/>
  <c r="AL202" i="49"/>
  <c r="AL198" i="49"/>
  <c r="AL194" i="49"/>
  <c r="AL190" i="49"/>
  <c r="AL186" i="49"/>
  <c r="AL182" i="49"/>
  <c r="AL178" i="49"/>
  <c r="AL174" i="49"/>
  <c r="AL170" i="49"/>
  <c r="AL166" i="49"/>
  <c r="AL162" i="49"/>
  <c r="AL158" i="49"/>
  <c r="AL154" i="49"/>
  <c r="AL150" i="49"/>
  <c r="AL146" i="49"/>
  <c r="AL138" i="49"/>
  <c r="AL134" i="49"/>
  <c r="AL130" i="49"/>
  <c r="AL127" i="49"/>
  <c r="AL124" i="49"/>
  <c r="AL118" i="49"/>
  <c r="AL114" i="49"/>
  <c r="AL110" i="49"/>
  <c r="AL106" i="49"/>
  <c r="AL102" i="49"/>
  <c r="AL83" i="49"/>
  <c r="AL98" i="49"/>
  <c r="AL94" i="49"/>
  <c r="AL90" i="49"/>
  <c r="AL86" i="49"/>
  <c r="AL82" i="49"/>
  <c r="AL78" i="49"/>
  <c r="AL74" i="49"/>
  <c r="AL70" i="49"/>
  <c r="AL66" i="49"/>
  <c r="AL62" i="49"/>
  <c r="AL61" i="49"/>
  <c r="AL54" i="49"/>
  <c r="AL50" i="49"/>
  <c r="AL142" i="49"/>
  <c r="AL115" i="49"/>
  <c r="AL111" i="49"/>
  <c r="AL107" i="49"/>
  <c r="AL103" i="49"/>
  <c r="AL99" i="49"/>
  <c r="AL95" i="49"/>
  <c r="AL91" i="49"/>
  <c r="AL87" i="49"/>
  <c r="AL79" i="49"/>
  <c r="AL75" i="49"/>
  <c r="AL71" i="49"/>
  <c r="AL67" i="49"/>
  <c r="AL63" i="49"/>
  <c r="AL56" i="49"/>
  <c r="AL55" i="49"/>
  <c r="AL51" i="49"/>
  <c r="AL47" i="49"/>
  <c r="AL43" i="49"/>
  <c r="AL39" i="49"/>
  <c r="AL35" i="49"/>
  <c r="G8" i="49"/>
  <c r="G251" i="49"/>
  <c r="G247" i="49"/>
  <c r="G243" i="49"/>
  <c r="G239" i="49"/>
  <c r="G235" i="49"/>
  <c r="G253" i="49"/>
  <c r="G203" i="49"/>
  <c r="G199" i="49"/>
  <c r="G195" i="49"/>
  <c r="G183" i="49"/>
  <c r="G179" i="49"/>
  <c r="G230" i="49"/>
  <c r="G222" i="49"/>
  <c r="G214" i="49"/>
  <c r="G215" i="49"/>
  <c r="G207" i="49"/>
  <c r="G165" i="49"/>
  <c r="G145" i="49"/>
  <c r="G125" i="49"/>
  <c r="G97" i="49"/>
  <c r="G61" i="49"/>
  <c r="G21" i="49"/>
  <c r="G52" i="49"/>
  <c r="G36" i="49"/>
  <c r="G20" i="49"/>
  <c r="G250" i="49"/>
  <c r="G246" i="49"/>
  <c r="G242" i="49"/>
  <c r="G238" i="49"/>
  <c r="G234" i="49"/>
  <c r="G206" i="49"/>
  <c r="G202" i="49"/>
  <c r="G198" i="49"/>
  <c r="G194" i="49"/>
  <c r="G190" i="49"/>
  <c r="G186" i="49"/>
  <c r="G182" i="49"/>
  <c r="G178" i="49"/>
  <c r="G228" i="49"/>
  <c r="G220" i="49"/>
  <c r="G212" i="49"/>
  <c r="G229" i="49"/>
  <c r="G221" i="49"/>
  <c r="G213" i="49"/>
  <c r="G174" i="49"/>
  <c r="G168" i="49"/>
  <c r="G164" i="49"/>
  <c r="G160" i="49"/>
  <c r="G156" i="49"/>
  <c r="G152" i="49"/>
  <c r="G148" i="49"/>
  <c r="G144" i="49"/>
  <c r="G140" i="49"/>
  <c r="G136" i="49"/>
  <c r="G132" i="49"/>
  <c r="G128" i="49"/>
  <c r="G124" i="49"/>
  <c r="G48" i="49"/>
  <c r="G32" i="49"/>
  <c r="G88" i="49"/>
  <c r="G92" i="49"/>
  <c r="G96" i="49"/>
  <c r="G80" i="49"/>
  <c r="G100" i="49"/>
  <c r="G104" i="49"/>
  <c r="G176" i="49"/>
  <c r="G108" i="49"/>
  <c r="G112" i="49"/>
  <c r="G116" i="49"/>
  <c r="G120" i="49"/>
  <c r="G72" i="49"/>
  <c r="G64" i="49"/>
  <c r="G60" i="49"/>
  <c r="AZ167" i="49"/>
  <c r="AZ179" i="49"/>
  <c r="AZ175" i="49"/>
  <c r="AZ171" i="49"/>
  <c r="AZ163" i="49"/>
  <c r="AZ159" i="49"/>
  <c r="V82" i="49"/>
  <c r="V245" i="49"/>
  <c r="V159" i="49"/>
  <c r="V49" i="49"/>
  <c r="V238" i="49"/>
  <c r="V134" i="49"/>
  <c r="V62" i="49"/>
  <c r="V187" i="49"/>
  <c r="V37" i="49"/>
  <c r="V78" i="49"/>
  <c r="V246" i="49"/>
  <c r="V66" i="49"/>
  <c r="V217" i="49"/>
  <c r="V118" i="49"/>
  <c r="V29" i="49"/>
  <c r="V179" i="49"/>
  <c r="V94" i="49"/>
  <c r="V33" i="49"/>
  <c r="V98" i="49"/>
  <c r="V155" i="49"/>
  <c r="V17" i="49"/>
  <c r="V139" i="49"/>
  <c r="R99" i="49"/>
  <c r="R174" i="49"/>
  <c r="R170" i="49"/>
  <c r="R166" i="49"/>
  <c r="R162" i="49"/>
  <c r="R252" i="49"/>
  <c r="R155" i="49"/>
  <c r="R151" i="49"/>
  <c r="R147" i="49"/>
  <c r="R143" i="49"/>
  <c r="R31" i="49"/>
  <c r="R27" i="49"/>
  <c r="R23" i="49"/>
  <c r="R158" i="49"/>
  <c r="R19" i="49"/>
  <c r="R15" i="49"/>
  <c r="R11" i="49"/>
  <c r="R7" i="49"/>
  <c r="R56" i="49"/>
  <c r="R245" i="49"/>
  <c r="R241" i="49"/>
  <c r="R237" i="49"/>
  <c r="R233" i="49"/>
  <c r="R229" i="49"/>
  <c r="R225" i="49"/>
  <c r="R221" i="49"/>
  <c r="R220" i="49"/>
  <c r="R216" i="49"/>
  <c r="R212" i="49"/>
  <c r="R190" i="49"/>
  <c r="R210" i="49"/>
  <c r="R206" i="49"/>
  <c r="R202" i="49"/>
  <c r="R198" i="49"/>
  <c r="R194" i="49"/>
  <c r="R186" i="49"/>
  <c r="R182" i="49"/>
  <c r="R178" i="49"/>
  <c r="AJ193" i="49"/>
  <c r="AJ197" i="49"/>
  <c r="AJ201" i="49"/>
  <c r="AJ149" i="49"/>
  <c r="AJ31" i="49"/>
  <c r="AJ35" i="49"/>
  <c r="AJ39" i="49"/>
  <c r="AJ47" i="49"/>
  <c r="AJ51" i="49"/>
  <c r="AJ55" i="49"/>
  <c r="AJ120" i="49"/>
  <c r="AJ43" i="49"/>
  <c r="AJ212" i="49"/>
  <c r="AJ71" i="49"/>
  <c r="AJ75" i="49"/>
  <c r="AJ79" i="49"/>
  <c r="AJ83" i="49"/>
  <c r="AJ87" i="49"/>
  <c r="AJ91" i="49"/>
  <c r="AJ95" i="49"/>
  <c r="AJ99" i="49"/>
  <c r="AJ103" i="49"/>
  <c r="AJ107" i="49"/>
  <c r="AJ111" i="49"/>
  <c r="AJ205" i="49"/>
  <c r="AJ208" i="49"/>
  <c r="AJ27" i="49"/>
  <c r="AJ115" i="49"/>
  <c r="AJ119" i="49"/>
  <c r="AJ125" i="49"/>
  <c r="AJ129" i="49"/>
  <c r="AJ133" i="49"/>
  <c r="AJ137" i="49"/>
  <c r="AJ141" i="49"/>
  <c r="AJ145" i="49"/>
  <c r="AJ153" i="49"/>
  <c r="AJ67" i="49"/>
  <c r="AJ157" i="49"/>
  <c r="AJ161" i="49"/>
  <c r="AJ165" i="49"/>
  <c r="AJ169" i="49"/>
  <c r="AJ173" i="49"/>
  <c r="AJ177" i="49"/>
  <c r="AJ181" i="49"/>
  <c r="AJ185" i="49"/>
  <c r="AJ189" i="49"/>
  <c r="F206" i="49"/>
  <c r="F234" i="49"/>
  <c r="F222" i="49"/>
  <c r="F214" i="49"/>
  <c r="F202" i="49"/>
  <c r="F194" i="49"/>
  <c r="F190" i="49"/>
  <c r="F178" i="49"/>
  <c r="F170" i="49"/>
  <c r="F154" i="49"/>
  <c r="F146" i="49"/>
  <c r="F134" i="49"/>
  <c r="F124" i="49"/>
  <c r="F119" i="49"/>
  <c r="F111" i="49"/>
  <c r="F103" i="49"/>
  <c r="F95" i="49"/>
  <c r="F87" i="49"/>
  <c r="F79" i="49"/>
  <c r="F71" i="49"/>
  <c r="F63" i="49"/>
  <c r="F253" i="49"/>
  <c r="F250" i="49"/>
  <c r="F246" i="49"/>
  <c r="F242" i="49"/>
  <c r="F238" i="49"/>
  <c r="F230" i="49"/>
  <c r="F226" i="49"/>
  <c r="F218" i="49"/>
  <c r="F210" i="49"/>
  <c r="F198" i="49"/>
  <c r="F186" i="49"/>
  <c r="F182" i="49"/>
  <c r="F174" i="49"/>
  <c r="F166" i="49"/>
  <c r="F158" i="49"/>
  <c r="F150" i="49"/>
  <c r="F142" i="49"/>
  <c r="F138" i="49"/>
  <c r="F130" i="49"/>
  <c r="F75" i="49"/>
  <c r="F67" i="49"/>
  <c r="F115" i="49"/>
  <c r="F107" i="49"/>
  <c r="F99" i="49"/>
  <c r="F126" i="49"/>
  <c r="F162" i="49"/>
  <c r="F91" i="49"/>
  <c r="F83" i="49"/>
  <c r="AL214" i="49"/>
  <c r="AL210" i="49"/>
  <c r="AL206" i="49"/>
  <c r="AL204" i="49"/>
  <c r="AL200" i="49"/>
  <c r="AL196" i="49"/>
  <c r="AL192" i="49"/>
  <c r="AL188" i="49"/>
  <c r="AL184" i="49"/>
  <c r="AL180" i="49"/>
  <c r="AL176" i="49"/>
  <c r="AL172" i="49"/>
  <c r="AL168" i="49"/>
  <c r="AL164" i="49"/>
  <c r="AL160" i="49"/>
  <c r="AL156" i="49"/>
  <c r="AL152" i="49"/>
  <c r="AL144" i="49"/>
  <c r="AL140" i="49"/>
  <c r="AL136" i="49"/>
  <c r="AL148" i="49"/>
  <c r="AL132" i="49"/>
  <c r="AL128" i="49"/>
  <c r="AL122" i="49"/>
  <c r="AL121" i="49"/>
  <c r="AL116" i="49"/>
  <c r="AL112" i="49"/>
  <c r="AL108" i="49"/>
  <c r="AL104" i="49"/>
  <c r="AL100" i="49"/>
  <c r="AL96" i="49"/>
  <c r="AL92" i="49"/>
  <c r="AL88" i="49"/>
  <c r="AL84" i="49"/>
  <c r="AL80" i="49"/>
  <c r="AL76" i="49"/>
  <c r="AL72" i="49"/>
  <c r="AL68" i="49"/>
  <c r="AL64" i="49"/>
  <c r="AL58" i="49"/>
  <c r="AL57" i="49"/>
  <c r="AL52" i="49"/>
  <c r="AL48" i="49"/>
  <c r="AL44" i="49"/>
  <c r="AL40" i="49"/>
  <c r="AL36" i="49"/>
  <c r="AL32" i="49"/>
  <c r="AL28" i="49"/>
  <c r="AL24" i="49"/>
  <c r="AL20" i="49"/>
  <c r="AL16" i="49"/>
  <c r="AL12" i="49"/>
  <c r="AL8" i="49"/>
  <c r="AL4" i="49"/>
  <c r="AL254" i="49"/>
  <c r="AL249" i="49"/>
  <c r="AL245" i="49"/>
  <c r="AL241" i="49"/>
  <c r="AL237" i="49"/>
  <c r="AL233" i="49"/>
  <c r="AL229" i="49"/>
  <c r="AL225" i="49"/>
  <c r="AL221" i="49"/>
  <c r="AL217" i="49"/>
  <c r="AL213" i="49"/>
  <c r="AL253" i="49"/>
  <c r="AL203" i="49"/>
  <c r="AL199" i="49"/>
  <c r="AL195" i="49"/>
  <c r="AL238" i="49"/>
  <c r="AL191" i="49"/>
  <c r="AL187" i="49"/>
  <c r="AL183" i="49"/>
  <c r="AL179" i="49"/>
  <c r="AL175" i="49"/>
  <c r="AL171" i="49"/>
  <c r="AL167" i="49"/>
  <c r="AL163" i="49"/>
  <c r="AL159" i="49"/>
  <c r="AL155" i="49"/>
  <c r="AL151" i="49"/>
  <c r="AL147" i="49"/>
  <c r="AL143" i="49"/>
  <c r="AL139" i="49"/>
  <c r="AL135" i="49"/>
  <c r="AL131" i="49"/>
  <c r="AL126" i="49"/>
  <c r="AL120" i="49"/>
  <c r="AL119" i="49"/>
  <c r="AL250" i="49"/>
  <c r="AL246" i="49"/>
  <c r="AL242" i="49"/>
  <c r="AL209" i="49"/>
  <c r="AL234" i="49"/>
  <c r="AL230" i="49"/>
  <c r="AL226" i="49"/>
  <c r="AL222" i="49"/>
  <c r="AL218" i="49"/>
  <c r="G225" i="49"/>
  <c r="G90" i="49"/>
  <c r="G94" i="49"/>
  <c r="G252" i="49"/>
  <c r="G248" i="49"/>
  <c r="G244" i="49"/>
  <c r="G240" i="49"/>
  <c r="G236" i="49"/>
  <c r="G255" i="49"/>
  <c r="G204" i="49"/>
  <c r="G200" i="49"/>
  <c r="G196" i="49"/>
  <c r="G192" i="49"/>
  <c r="G188" i="49"/>
  <c r="G184" i="49"/>
  <c r="G180" i="49"/>
  <c r="G232" i="49"/>
  <c r="G224" i="49"/>
  <c r="G216" i="49"/>
  <c r="G208" i="49"/>
  <c r="G217" i="49"/>
  <c r="G209" i="49"/>
  <c r="G171" i="49"/>
  <c r="G170" i="49"/>
  <c r="G166" i="49"/>
  <c r="G162" i="49"/>
  <c r="G158" i="49"/>
  <c r="G154" i="49"/>
  <c r="G150" i="49"/>
  <c r="G146" i="49"/>
  <c r="G142" i="49"/>
  <c r="G138" i="49"/>
  <c r="G134" i="49"/>
  <c r="G130" i="49"/>
  <c r="G126" i="49"/>
  <c r="G122" i="49"/>
  <c r="G118" i="49"/>
  <c r="G114" i="49"/>
  <c r="G110" i="49"/>
  <c r="G106" i="49"/>
  <c r="G102" i="49"/>
  <c r="G98" i="49"/>
  <c r="G14" i="49"/>
  <c r="G28" i="49"/>
  <c r="G44" i="49"/>
  <c r="G76" i="49"/>
  <c r="G9" i="49"/>
  <c r="G17" i="49"/>
  <c r="G29" i="49"/>
  <c r="G37" i="49"/>
  <c r="G45" i="49"/>
  <c r="G53" i="49"/>
  <c r="G65" i="49"/>
  <c r="G73" i="49"/>
  <c r="G81" i="49"/>
  <c r="G89" i="49"/>
  <c r="G101" i="49"/>
  <c r="G109" i="49"/>
  <c r="G117" i="49"/>
  <c r="G133" i="49"/>
  <c r="G141" i="49"/>
  <c r="G153" i="49"/>
  <c r="G161" i="49"/>
  <c r="G175" i="49"/>
  <c r="G231" i="49"/>
  <c r="G191" i="49"/>
  <c r="G6" i="49"/>
  <c r="G10" i="49"/>
  <c r="G18" i="49"/>
  <c r="G22" i="49"/>
  <c r="G26" i="49"/>
  <c r="G30" i="49"/>
  <c r="G34" i="49"/>
  <c r="G38" i="49"/>
  <c r="G42" i="49"/>
  <c r="G46" i="49"/>
  <c r="G50" i="49"/>
  <c r="G54" i="49"/>
  <c r="G58" i="49"/>
  <c r="G62" i="49"/>
  <c r="G66" i="49"/>
  <c r="G70" i="49"/>
  <c r="G74" i="49"/>
  <c r="G78" i="49"/>
  <c r="G82" i="49"/>
  <c r="G86" i="49"/>
  <c r="R95" i="49"/>
  <c r="R91" i="49"/>
  <c r="R87" i="49"/>
  <c r="R83" i="49"/>
  <c r="R79" i="49"/>
  <c r="R75" i="49"/>
  <c r="R71" i="49"/>
  <c r="R67" i="49"/>
  <c r="R63" i="49"/>
  <c r="Z254" i="49"/>
  <c r="Z245" i="49"/>
  <c r="Z241" i="49"/>
  <c r="Z237" i="49"/>
  <c r="Z233" i="49"/>
  <c r="Z229" i="49"/>
  <c r="Z225" i="49"/>
  <c r="Z221" i="49"/>
  <c r="Z253" i="49"/>
  <c r="Z217" i="49"/>
  <c r="Z213" i="49"/>
  <c r="Z251" i="49"/>
  <c r="Z207" i="49"/>
  <c r="Z203" i="49"/>
  <c r="Z199" i="49"/>
  <c r="Z195" i="49"/>
  <c r="Z191" i="49"/>
  <c r="Z187" i="49"/>
  <c r="Z183" i="49"/>
  <c r="Z179" i="49"/>
  <c r="Z175" i="49"/>
  <c r="Z171" i="49"/>
  <c r="Z167" i="49"/>
  <c r="Z163" i="49"/>
  <c r="Z159" i="49"/>
  <c r="Z155" i="49"/>
  <c r="Z151" i="49"/>
  <c r="Z147" i="49"/>
  <c r="Z143" i="49"/>
  <c r="Z139" i="49"/>
  <c r="R54" i="49"/>
  <c r="R59" i="49"/>
  <c r="R50" i="49"/>
  <c r="R46" i="49"/>
  <c r="R42" i="49"/>
  <c r="R38" i="49"/>
  <c r="R34" i="49"/>
  <c r="R30" i="49"/>
  <c r="R26" i="49"/>
  <c r="R22" i="49"/>
  <c r="R18" i="49"/>
  <c r="R14" i="49"/>
  <c r="R10" i="49"/>
  <c r="R6" i="49"/>
  <c r="R248" i="49"/>
  <c r="R244" i="49"/>
  <c r="R240" i="49"/>
  <c r="R236" i="49"/>
  <c r="R232" i="49"/>
  <c r="R228" i="49"/>
  <c r="R224" i="49"/>
  <c r="R254" i="49"/>
  <c r="R219" i="49"/>
  <c r="R215" i="49"/>
  <c r="R211" i="49"/>
  <c r="R209" i="49"/>
  <c r="R205" i="49"/>
  <c r="R201" i="49"/>
  <c r="R197" i="49"/>
  <c r="R193" i="49"/>
  <c r="R189" i="49"/>
  <c r="R185" i="49"/>
  <c r="R181" i="49"/>
  <c r="R177" i="49"/>
  <c r="R173" i="49"/>
  <c r="R169" i="49"/>
  <c r="R165" i="49"/>
  <c r="R161" i="49"/>
  <c r="R253" i="49"/>
  <c r="R154" i="49"/>
  <c r="R150" i="49"/>
  <c r="R146" i="49"/>
  <c r="R142" i="49"/>
  <c r="R138" i="49"/>
  <c r="R134" i="49"/>
  <c r="R130" i="49"/>
  <c r="R126" i="49"/>
  <c r="R122" i="49"/>
  <c r="R118" i="49"/>
  <c r="R114" i="49"/>
  <c r="R110" i="49"/>
  <c r="R106" i="49"/>
  <c r="R102" i="49"/>
  <c r="R98" i="49"/>
  <c r="R94" i="49"/>
  <c r="R90" i="49"/>
  <c r="R86" i="49"/>
  <c r="R82" i="49"/>
  <c r="R78" i="49"/>
  <c r="R74" i="49"/>
  <c r="R70" i="49"/>
  <c r="R66" i="49"/>
  <c r="R62" i="49"/>
  <c r="R58" i="49"/>
  <c r="R53" i="49"/>
  <c r="R49" i="49"/>
  <c r="R45" i="49"/>
  <c r="R41" i="49"/>
  <c r="R37" i="49"/>
  <c r="R33" i="49"/>
  <c r="R29" i="49"/>
  <c r="R25" i="49"/>
  <c r="R21" i="49"/>
  <c r="R17" i="49"/>
  <c r="R13" i="49"/>
  <c r="R9" i="49"/>
  <c r="R5" i="49"/>
  <c r="Z6" i="49"/>
  <c r="Z10" i="49"/>
  <c r="Z14" i="49"/>
  <c r="Z18" i="49"/>
  <c r="Z22" i="49"/>
  <c r="Z26" i="49"/>
  <c r="Z30" i="49"/>
  <c r="Z34" i="49"/>
  <c r="Z54" i="49"/>
  <c r="Z38" i="49"/>
  <c r="Z42" i="49"/>
  <c r="Z46" i="49"/>
  <c r="Z50" i="49"/>
  <c r="Z56" i="49"/>
  <c r="Z59" i="49"/>
  <c r="Z63" i="49"/>
  <c r="Z67" i="49"/>
  <c r="Z71" i="49"/>
  <c r="Z75" i="49"/>
  <c r="Z79" i="49"/>
  <c r="Z83" i="49"/>
  <c r="Z87" i="49"/>
  <c r="Z91" i="49"/>
  <c r="Z95" i="49"/>
  <c r="Z99" i="49"/>
  <c r="Z103" i="49"/>
  <c r="Z107" i="49"/>
  <c r="Z111" i="49"/>
  <c r="Z115" i="49"/>
  <c r="Z119" i="49"/>
  <c r="Z123" i="49"/>
  <c r="Z127" i="49"/>
  <c r="Z131" i="49"/>
  <c r="Z135" i="49"/>
  <c r="Z77" i="49"/>
  <c r="Z44" i="49"/>
  <c r="Z48" i="49"/>
  <c r="Z52" i="49"/>
  <c r="Z57" i="49"/>
  <c r="Z61" i="49"/>
  <c r="Z65" i="49"/>
  <c r="Z69" i="49"/>
  <c r="Z73" i="49"/>
  <c r="Z81" i="49"/>
  <c r="Z85" i="49"/>
  <c r="Z89" i="49"/>
  <c r="Z93" i="49"/>
  <c r="Z97" i="49"/>
  <c r="Z101" i="49"/>
  <c r="Z105" i="49"/>
  <c r="Z109" i="49"/>
  <c r="Z113" i="49"/>
  <c r="Z117" i="49"/>
  <c r="Z121" i="49"/>
  <c r="Z125" i="49"/>
  <c r="Z129" i="49"/>
  <c r="Z133" i="49"/>
  <c r="Z137" i="49"/>
  <c r="Z141" i="49"/>
  <c r="Z145" i="49"/>
  <c r="Z149" i="49"/>
  <c r="Z153" i="49"/>
  <c r="Z157" i="49"/>
  <c r="Z161" i="49"/>
  <c r="Z165" i="49"/>
  <c r="Z169" i="49"/>
  <c r="Z173" i="49"/>
  <c r="Z177" i="49"/>
  <c r="Z181" i="49"/>
  <c r="Z185" i="49"/>
  <c r="Z240" i="49"/>
  <c r="Z244" i="49"/>
  <c r="Z250" i="49"/>
  <c r="Z40" i="49"/>
  <c r="Z36" i="49"/>
  <c r="Z32" i="49"/>
  <c r="Z28" i="49"/>
  <c r="Z24" i="49"/>
  <c r="Z20" i="49"/>
  <c r="Z16" i="49"/>
  <c r="Z12" i="49"/>
  <c r="Z8" i="49"/>
  <c r="Z4" i="49"/>
  <c r="Z246" i="49"/>
  <c r="Z242" i="49"/>
  <c r="Z238" i="49"/>
  <c r="Z234" i="49"/>
  <c r="Z230" i="49"/>
  <c r="Z226" i="49"/>
  <c r="Z222" i="49"/>
  <c r="Z255" i="49"/>
  <c r="Z218" i="49"/>
  <c r="Z214" i="49"/>
  <c r="Z210" i="49"/>
  <c r="Z208" i="49"/>
  <c r="Z204" i="49"/>
  <c r="Z200" i="49"/>
  <c r="Z196" i="49"/>
  <c r="Z192" i="49"/>
  <c r="Z188" i="49"/>
  <c r="Z184" i="49"/>
  <c r="Z180" i="49"/>
  <c r="Z176" i="49"/>
  <c r="Z172" i="49"/>
  <c r="Z168" i="49"/>
  <c r="Z164" i="49"/>
  <c r="Z160" i="49"/>
  <c r="Z156" i="49"/>
  <c r="Z152" i="49"/>
  <c r="Z148" i="49"/>
  <c r="Z144" i="49"/>
  <c r="Z140" i="49"/>
  <c r="Z136" i="49"/>
  <c r="Z132" i="49"/>
  <c r="Z128" i="49"/>
  <c r="Z124" i="49"/>
  <c r="Z120" i="49"/>
  <c r="Z116" i="49"/>
  <c r="Z112" i="49"/>
  <c r="Z108" i="49"/>
  <c r="Z104" i="49"/>
  <c r="Z100" i="49"/>
  <c r="Z96" i="49"/>
  <c r="Z92" i="49"/>
  <c r="Z88" i="49"/>
  <c r="Z84" i="49"/>
  <c r="Z80" i="49"/>
  <c r="Z76" i="49"/>
  <c r="Z72" i="49"/>
  <c r="Z68" i="49"/>
  <c r="Z64" i="49"/>
  <c r="Z60" i="49"/>
  <c r="Z55" i="49"/>
  <c r="Z51" i="49"/>
  <c r="Z47" i="49"/>
  <c r="Z43" i="49"/>
  <c r="Z39" i="49"/>
  <c r="Z35" i="49"/>
  <c r="Z31" i="49"/>
  <c r="Z27" i="49"/>
  <c r="Z23" i="49"/>
  <c r="Z19" i="49"/>
  <c r="Z15" i="49"/>
  <c r="Z11" i="49"/>
  <c r="Z7" i="49"/>
  <c r="BD30" i="49"/>
  <c r="BD46" i="49"/>
  <c r="BD62" i="49"/>
  <c r="BD78" i="49"/>
  <c r="BD94" i="49"/>
  <c r="BD110" i="49"/>
  <c r="BD126" i="49"/>
  <c r="BD142" i="49"/>
  <c r="BD158" i="49"/>
  <c r="BD190" i="49"/>
  <c r="BD206" i="49"/>
  <c r="BD253" i="49"/>
  <c r="BD233" i="49"/>
  <c r="BD20" i="49"/>
  <c r="BD52" i="49"/>
  <c r="BD84" i="49"/>
  <c r="BD116" i="49"/>
  <c r="BD148" i="49"/>
  <c r="BD180" i="49"/>
  <c r="BD211" i="49"/>
  <c r="BD239" i="49"/>
  <c r="BD31" i="49"/>
  <c r="BD63" i="49"/>
  <c r="BD95" i="49"/>
  <c r="BD127" i="49"/>
  <c r="BD159" i="49"/>
  <c r="BD191" i="49"/>
  <c r="BD247" i="49"/>
  <c r="BD252" i="49"/>
  <c r="BD16" i="49"/>
  <c r="BD48" i="49"/>
  <c r="BD80" i="49"/>
  <c r="BD112" i="49"/>
  <c r="BD144" i="49"/>
  <c r="BD176" i="49"/>
  <c r="BD208" i="49"/>
  <c r="BD235" i="49"/>
  <c r="BD5" i="49"/>
  <c r="BD21" i="49"/>
  <c r="BD37" i="49"/>
  <c r="BD53" i="49"/>
  <c r="BD69" i="49"/>
  <c r="BD85" i="49"/>
  <c r="BD101" i="49"/>
  <c r="BD117" i="49"/>
  <c r="BD133" i="49"/>
  <c r="BD149" i="49"/>
  <c r="BD165" i="49"/>
  <c r="BD181" i="49"/>
  <c r="BD197" i="49"/>
  <c r="BD212" i="49"/>
  <c r="BD224" i="49"/>
  <c r="BD240" i="49"/>
  <c r="BD18" i="49"/>
  <c r="BD34" i="49"/>
  <c r="BD50" i="49"/>
  <c r="BD66" i="49"/>
  <c r="BD82" i="49"/>
  <c r="BD98" i="49"/>
  <c r="BD114" i="49"/>
  <c r="BD130" i="49"/>
  <c r="BD146" i="49"/>
  <c r="BD162" i="49"/>
  <c r="BD178" i="49"/>
  <c r="BD194" i="49"/>
  <c r="BD249" i="49"/>
  <c r="BD221" i="49"/>
  <c r="BD237" i="49"/>
  <c r="BD28" i="49"/>
  <c r="BD60" i="49"/>
  <c r="BD92" i="49"/>
  <c r="BD124" i="49"/>
  <c r="BD156" i="49"/>
  <c r="BD188" i="49"/>
  <c r="BD219" i="49"/>
  <c r="BD250" i="49"/>
  <c r="BD7" i="49"/>
  <c r="BD39" i="49"/>
  <c r="BD71" i="49"/>
  <c r="BD103" i="49"/>
  <c r="BD135" i="49"/>
  <c r="BD167" i="49"/>
  <c r="BD199" i="49"/>
  <c r="BD226" i="49"/>
  <c r="BD24" i="49"/>
  <c r="BD56" i="49"/>
  <c r="BD88" i="49"/>
  <c r="BD120" i="49"/>
  <c r="BD152" i="49"/>
  <c r="BD184" i="49"/>
  <c r="BD215" i="49"/>
  <c r="BD243" i="49"/>
  <c r="BD9" i="49"/>
  <c r="BD25" i="49"/>
  <c r="BD41" i="49"/>
  <c r="BD57" i="49"/>
  <c r="BD73" i="49"/>
  <c r="BD89" i="49"/>
  <c r="BD105" i="49"/>
  <c r="BD121" i="49"/>
  <c r="BD137" i="49"/>
  <c r="BD153" i="49"/>
  <c r="BD169" i="49"/>
  <c r="BD185" i="49"/>
  <c r="BD201" i="49"/>
  <c r="BD216" i="49"/>
  <c r="BD228" i="49"/>
  <c r="BD244" i="49"/>
  <c r="BD6" i="49"/>
  <c r="BD22" i="49"/>
  <c r="BD38" i="49"/>
  <c r="BD54" i="49"/>
  <c r="BD70" i="49"/>
  <c r="BD86" i="49"/>
  <c r="BD102" i="49"/>
  <c r="BD118" i="49"/>
  <c r="BD134" i="49"/>
  <c r="BD150" i="49"/>
  <c r="BD166" i="49"/>
  <c r="BD182" i="49"/>
  <c r="BD198" i="49"/>
  <c r="BD213" i="49"/>
  <c r="BD225" i="49"/>
  <c r="BD241" i="49"/>
  <c r="BD4" i="49"/>
  <c r="BD36" i="49"/>
  <c r="BD68" i="49"/>
  <c r="BD100" i="49"/>
  <c r="BD132" i="49"/>
  <c r="BD164" i="49"/>
  <c r="BD196" i="49"/>
  <c r="BD223" i="49"/>
  <c r="BD15" i="49"/>
  <c r="BD47" i="49"/>
  <c r="BD79" i="49"/>
  <c r="BD111" i="49"/>
  <c r="BD143" i="49"/>
  <c r="BD175" i="49"/>
  <c r="BD207" i="49"/>
  <c r="BD234" i="49"/>
  <c r="BD32" i="49"/>
  <c r="BD64" i="49"/>
  <c r="BD96" i="49"/>
  <c r="BD128" i="49"/>
  <c r="BD160" i="49"/>
  <c r="BD192" i="49"/>
  <c r="BD255" i="49"/>
  <c r="BD13" i="49"/>
  <c r="BD29" i="49"/>
  <c r="BD45" i="49"/>
  <c r="BD61" i="49"/>
  <c r="BD77" i="49"/>
  <c r="BD93" i="49"/>
  <c r="BD109" i="49"/>
  <c r="BD125" i="49"/>
  <c r="BD141" i="49"/>
  <c r="BD157" i="49"/>
  <c r="BD173" i="49"/>
  <c r="BD189" i="49"/>
  <c r="BD205" i="49"/>
  <c r="BD251" i="49"/>
  <c r="BD232" i="49"/>
  <c r="BD254" i="49"/>
  <c r="BD10" i="49"/>
  <c r="BD26" i="49"/>
  <c r="BD42" i="49"/>
  <c r="BD58" i="49"/>
  <c r="BD74" i="49"/>
  <c r="BD90" i="49"/>
  <c r="BD106" i="49"/>
  <c r="BD122" i="49"/>
  <c r="BD138" i="49"/>
  <c r="BD154" i="49"/>
  <c r="BD170" i="49"/>
  <c r="BD186" i="49"/>
  <c r="BD202" i="49"/>
  <c r="BD217" i="49"/>
  <c r="BD229" i="49"/>
  <c r="BD245" i="49"/>
  <c r="BD174" i="49"/>
  <c r="BD248" i="49"/>
  <c r="BD246" i="49"/>
  <c r="BD218" i="49"/>
  <c r="BD187" i="49"/>
  <c r="BD155" i="49"/>
  <c r="BD123" i="49"/>
  <c r="BD91" i="49"/>
  <c r="BD59" i="49"/>
  <c r="BD27" i="49"/>
  <c r="BD238" i="49"/>
  <c r="BD210" i="49"/>
  <c r="BD179" i="49"/>
  <c r="BD147" i="49"/>
  <c r="BD115" i="49"/>
  <c r="BD83" i="49"/>
  <c r="BD51" i="49"/>
  <c r="BD19" i="49"/>
  <c r="BD230" i="49"/>
  <c r="BD203" i="49"/>
  <c r="BD171" i="49"/>
  <c r="BD139" i="49"/>
  <c r="BD107" i="49"/>
  <c r="BD75" i="49"/>
  <c r="BD43" i="49"/>
  <c r="BD11" i="49"/>
  <c r="BD222" i="49"/>
  <c r="BD195" i="49"/>
  <c r="BD163" i="49"/>
  <c r="BD131" i="49"/>
  <c r="BD99" i="49"/>
  <c r="BD67" i="49"/>
  <c r="BD35" i="49"/>
  <c r="BD12" i="49"/>
  <c r="BD44" i="49"/>
  <c r="BD76" i="49"/>
  <c r="BD108" i="49"/>
  <c r="BD140" i="49"/>
  <c r="BD172" i="49"/>
  <c r="BD204" i="49"/>
  <c r="BD231" i="49"/>
  <c r="BD23" i="49"/>
  <c r="BD55" i="49"/>
  <c r="BD87" i="49"/>
  <c r="BD119" i="49"/>
  <c r="BD151" i="49"/>
  <c r="BD183" i="49"/>
  <c r="BD214" i="49"/>
  <c r="BD242" i="49"/>
  <c r="BD8" i="49"/>
  <c r="BD40" i="49"/>
  <c r="BD72" i="49"/>
  <c r="BD104" i="49"/>
  <c r="BD136" i="49"/>
  <c r="BD168" i="49"/>
  <c r="BD200" i="49"/>
  <c r="BD227" i="49"/>
  <c r="BD17" i="49"/>
  <c r="BD33" i="49"/>
  <c r="BD49" i="49"/>
  <c r="BD65" i="49"/>
  <c r="BD81" i="49"/>
  <c r="BD97" i="49"/>
  <c r="BD113" i="49"/>
  <c r="BD129" i="49"/>
  <c r="BD145" i="49"/>
  <c r="BD161" i="49"/>
  <c r="BD177" i="49"/>
  <c r="BD193" i="49"/>
  <c r="BD209" i="49"/>
  <c r="BD220" i="49"/>
  <c r="BD236" i="49"/>
  <c r="BD14" i="49"/>
  <c r="AV177" i="49"/>
  <c r="AV173" i="49"/>
  <c r="AV169" i="49"/>
  <c r="AV165" i="49"/>
  <c r="AV161" i="49"/>
  <c r="AV157" i="49"/>
  <c r="AV153" i="49"/>
  <c r="AV149" i="49"/>
  <c r="AV145" i="49"/>
  <c r="AV141" i="49"/>
  <c r="AV137" i="49"/>
  <c r="AV133" i="49"/>
  <c r="AV129" i="49"/>
  <c r="AV125" i="49"/>
  <c r="AV121" i="49"/>
  <c r="AV117" i="49"/>
  <c r="AV113" i="49"/>
  <c r="AV109" i="49"/>
  <c r="AV105" i="49"/>
  <c r="AV101" i="49"/>
  <c r="AV97" i="49"/>
  <c r="AV93" i="49"/>
  <c r="AV89" i="49"/>
  <c r="AV85" i="49"/>
  <c r="AV81" i="49"/>
  <c r="AV77" i="49"/>
  <c r="AV73" i="49"/>
  <c r="AV69" i="49"/>
  <c r="AV65" i="49"/>
  <c r="AV61" i="49"/>
  <c r="AV57" i="49"/>
  <c r="AV53" i="49"/>
  <c r="AV49" i="49"/>
  <c r="AV45" i="49"/>
  <c r="AV41" i="49"/>
  <c r="AV37" i="49"/>
  <c r="AV33" i="49"/>
  <c r="AV29" i="49"/>
  <c r="AV25" i="49"/>
  <c r="AV21" i="49"/>
  <c r="AV17" i="49"/>
  <c r="AV13" i="49"/>
  <c r="AV9" i="49"/>
  <c r="AV5" i="49"/>
  <c r="AV248" i="49"/>
  <c r="AV243" i="49"/>
  <c r="AV239" i="49"/>
  <c r="AV235" i="49"/>
  <c r="AV231" i="49"/>
  <c r="AV227" i="49"/>
  <c r="AV223" i="49"/>
  <c r="AV253" i="49"/>
  <c r="AV219" i="49"/>
  <c r="AV215" i="49"/>
  <c r="AV211" i="49"/>
  <c r="AV208" i="49"/>
  <c r="AV204" i="49"/>
  <c r="AV200" i="49"/>
  <c r="AV196" i="49"/>
  <c r="AV192" i="49"/>
  <c r="AV188" i="49"/>
  <c r="AV184" i="49"/>
  <c r="AV180" i="49"/>
  <c r="AV176" i="49"/>
  <c r="AV172" i="49"/>
  <c r="AV168" i="49"/>
  <c r="AV164" i="49"/>
  <c r="AV160" i="49"/>
  <c r="AV156" i="49"/>
  <c r="AV152" i="49"/>
  <c r="AV148" i="49"/>
  <c r="AV144" i="49"/>
  <c r="AV140" i="49"/>
  <c r="AV136" i="49"/>
  <c r="AV132" i="49"/>
  <c r="AV128" i="49"/>
  <c r="AV124" i="49"/>
  <c r="AV120" i="49"/>
  <c r="AV116" i="49"/>
  <c r="AV112" i="49"/>
  <c r="AV108" i="49"/>
  <c r="AV104" i="49"/>
  <c r="AV100" i="49"/>
  <c r="AV96" i="49"/>
  <c r="AV92" i="49"/>
  <c r="AV88" i="49"/>
  <c r="AV84" i="49"/>
  <c r="AV80" i="49"/>
  <c r="AV76" i="49"/>
  <c r="AV249" i="49"/>
  <c r="AV68" i="49"/>
  <c r="AV64" i="49"/>
  <c r="AV60" i="49"/>
  <c r="AV56" i="49"/>
  <c r="AV52" i="49"/>
  <c r="AV48" i="49"/>
  <c r="AV44" i="49"/>
  <c r="AV40" i="49"/>
  <c r="AV36" i="49"/>
  <c r="AV32" i="49"/>
  <c r="AV28" i="49"/>
  <c r="AV24" i="49"/>
  <c r="AV20" i="49"/>
  <c r="AV16" i="49"/>
  <c r="AV12" i="49"/>
  <c r="AV8" i="49"/>
  <c r="AV4" i="49"/>
  <c r="AV221" i="49"/>
  <c r="AV225" i="49"/>
  <c r="AV229" i="49"/>
  <c r="AV233" i="49"/>
  <c r="AV237" i="49"/>
  <c r="AV241" i="49"/>
  <c r="AV245" i="49"/>
  <c r="AV250" i="49"/>
  <c r="AV7" i="49"/>
  <c r="AV11" i="49"/>
  <c r="AV15" i="49"/>
  <c r="AV19" i="49"/>
  <c r="AV23" i="49"/>
  <c r="AV27" i="49"/>
  <c r="AV31" i="49"/>
  <c r="AV35" i="49"/>
  <c r="AV39" i="49"/>
  <c r="AV43" i="49"/>
  <c r="AV47" i="49"/>
  <c r="AV51" i="49"/>
  <c r="AV55" i="49"/>
  <c r="AV59" i="49"/>
  <c r="AV63" i="49"/>
  <c r="AV67" i="49"/>
  <c r="AV71" i="49"/>
  <c r="AV75" i="49"/>
  <c r="AV79" i="49"/>
  <c r="AV83" i="49"/>
  <c r="AV87" i="49"/>
  <c r="AV91" i="49"/>
  <c r="AV95" i="49"/>
  <c r="AV99" i="49"/>
  <c r="AV103" i="49"/>
  <c r="AV107" i="49"/>
  <c r="AV111" i="49"/>
  <c r="AV115" i="49"/>
  <c r="AV119" i="49"/>
  <c r="AV123" i="49"/>
  <c r="AV127" i="49"/>
  <c r="AV131" i="49"/>
  <c r="AV135" i="49"/>
  <c r="AV139" i="49"/>
  <c r="AV143" i="49"/>
  <c r="AV147" i="49"/>
  <c r="AV151" i="49"/>
  <c r="AV155" i="49"/>
  <c r="AV159" i="49"/>
  <c r="AV163" i="49"/>
  <c r="AV167" i="49"/>
  <c r="AV171" i="49"/>
  <c r="AV175" i="49"/>
  <c r="AV179" i="49"/>
  <c r="AV183" i="49"/>
  <c r="AV187" i="49"/>
  <c r="AV191" i="49"/>
  <c r="AV195" i="49"/>
  <c r="AV199" i="49"/>
  <c r="AV203" i="49"/>
  <c r="AV207" i="49"/>
  <c r="AV210" i="49"/>
  <c r="AV214" i="49"/>
  <c r="AV218" i="49"/>
  <c r="AV251" i="49"/>
  <c r="AV217" i="49"/>
  <c r="AV222" i="49"/>
  <c r="AV226" i="49"/>
  <c r="AV230" i="49"/>
  <c r="AV234" i="49"/>
  <c r="AV238" i="49"/>
  <c r="AV242" i="49"/>
  <c r="AV246" i="49"/>
  <c r="AV254" i="49"/>
  <c r="AV213" i="49"/>
  <c r="AV247" i="49"/>
  <c r="AV206" i="49"/>
  <c r="AV202" i="49"/>
  <c r="AV198" i="49"/>
  <c r="AV194" i="49"/>
  <c r="AV190" i="49"/>
  <c r="AV186" i="49"/>
  <c r="AV182" i="49"/>
  <c r="AV178" i="49"/>
  <c r="AV174" i="49"/>
  <c r="AV170" i="49"/>
  <c r="AV166" i="49"/>
  <c r="AV162" i="49"/>
  <c r="AV158" i="49"/>
  <c r="AV154" i="49"/>
  <c r="AV150" i="49"/>
  <c r="AV146" i="49"/>
  <c r="AV142" i="49"/>
  <c r="AV138" i="49"/>
  <c r="AV134" i="49"/>
  <c r="AV130" i="49"/>
  <c r="AV126" i="49"/>
  <c r="AV122" i="49"/>
  <c r="AV118" i="49"/>
  <c r="AV114" i="49"/>
  <c r="AV110" i="49"/>
  <c r="AV106" i="49"/>
  <c r="AV102" i="49"/>
  <c r="AV98" i="49"/>
  <c r="AV94" i="49"/>
  <c r="AV90" i="49"/>
  <c r="AV86" i="49"/>
  <c r="AV82" i="49"/>
  <c r="AV78" i="49"/>
  <c r="AV74" i="49"/>
  <c r="AV70" i="49"/>
  <c r="AV66" i="49"/>
  <c r="AV62" i="49"/>
  <c r="AV58" i="49"/>
  <c r="AV54" i="49"/>
  <c r="AV50" i="49"/>
  <c r="AV46" i="49"/>
  <c r="AV42" i="49"/>
  <c r="AV38" i="49"/>
  <c r="AV34" i="49"/>
  <c r="AV30" i="49"/>
  <c r="AV26" i="49"/>
  <c r="AV22" i="49"/>
  <c r="AV18" i="49"/>
  <c r="AV14" i="49"/>
  <c r="AV10" i="49"/>
  <c r="AV6" i="49"/>
  <c r="AV252" i="49"/>
  <c r="AV244" i="49"/>
  <c r="AV240" i="49"/>
  <c r="AV236" i="49"/>
  <c r="AV232" i="49"/>
  <c r="AV228" i="49"/>
  <c r="AV224" i="49"/>
  <c r="AV255" i="49"/>
  <c r="AV220" i="49"/>
  <c r="AV216" i="49"/>
  <c r="AV212" i="49"/>
  <c r="AV209" i="49"/>
  <c r="AV205" i="49"/>
  <c r="AV201" i="49"/>
  <c r="AV197" i="49"/>
  <c r="AV193" i="49"/>
  <c r="AV189" i="49"/>
  <c r="AV185" i="49"/>
  <c r="AV181" i="49"/>
  <c r="AV72" i="49"/>
  <c r="Z236" i="49"/>
  <c r="Z232" i="49"/>
  <c r="Z228" i="49"/>
  <c r="Z224" i="49"/>
  <c r="Z252" i="49"/>
  <c r="Z220" i="49"/>
  <c r="Z216" i="49"/>
  <c r="Z212" i="49"/>
  <c r="Z249" i="49"/>
  <c r="Z206" i="49"/>
  <c r="Z202" i="49"/>
  <c r="Z198" i="49"/>
  <c r="Z194" i="49"/>
  <c r="Z110" i="49"/>
  <c r="Z106" i="49"/>
  <c r="Z102" i="49"/>
  <c r="Z98" i="49"/>
  <c r="Z94" i="49"/>
  <c r="Z90" i="49"/>
  <c r="Z86" i="49"/>
  <c r="Z82" i="49"/>
  <c r="Z78" i="49"/>
  <c r="Z74" i="49"/>
  <c r="Z70" i="49"/>
  <c r="Z66" i="49"/>
  <c r="Z62" i="49"/>
  <c r="Z58" i="49"/>
  <c r="Z53" i="49"/>
  <c r="Z49" i="49"/>
  <c r="Z45" i="49"/>
  <c r="Z41" i="49"/>
  <c r="Z37" i="49"/>
  <c r="Z33" i="49"/>
  <c r="Z29" i="49"/>
  <c r="Z25" i="49"/>
  <c r="Z21" i="49"/>
  <c r="Z17" i="49"/>
  <c r="Z13" i="49"/>
  <c r="Z9" i="49"/>
  <c r="Z5" i="49"/>
  <c r="Z247" i="49"/>
  <c r="Z243" i="49"/>
  <c r="Z239" i="49"/>
  <c r="Z235" i="49"/>
  <c r="Z231" i="49"/>
  <c r="Z227" i="49"/>
  <c r="Z223" i="49"/>
  <c r="Z248" i="49"/>
  <c r="Z219" i="49"/>
  <c r="Z215" i="49"/>
  <c r="Z211" i="49"/>
  <c r="Z209" i="49"/>
  <c r="Z205" i="49"/>
  <c r="Z201" i="49"/>
  <c r="Z197" i="49"/>
  <c r="Z193" i="49"/>
  <c r="Z189" i="49"/>
  <c r="Z190" i="49"/>
  <c r="Z186" i="49"/>
  <c r="Z182" i="49"/>
  <c r="Z178" i="49"/>
  <c r="Z174" i="49"/>
  <c r="Z170" i="49"/>
  <c r="Z166" i="49"/>
  <c r="Z162" i="49"/>
  <c r="Z158" i="49"/>
  <c r="Z154" i="49"/>
  <c r="Z150" i="49"/>
  <c r="Z146" i="49"/>
  <c r="Z142" i="49"/>
  <c r="Z138" i="49"/>
  <c r="Z134" i="49"/>
  <c r="Z130" i="49"/>
  <c r="Z126" i="49"/>
  <c r="Z122" i="49"/>
  <c r="Z118" i="49"/>
  <c r="Z114" i="49"/>
  <c r="AU227" i="49"/>
  <c r="AU253" i="49"/>
  <c r="AU249" i="49"/>
  <c r="AU244" i="49"/>
  <c r="AU236" i="49"/>
  <c r="AU228" i="49"/>
  <c r="AU245" i="49"/>
  <c r="AU220" i="49"/>
  <c r="AU207" i="49"/>
  <c r="AU203" i="49"/>
  <c r="AU199" i="49"/>
  <c r="AU195" i="49"/>
  <c r="AU191" i="49"/>
  <c r="AU187" i="49"/>
  <c r="AU183" i="49"/>
  <c r="AU179" i="49"/>
  <c r="AU175" i="49"/>
  <c r="AU171" i="49"/>
  <c r="AU231" i="49"/>
  <c r="AU212" i="49"/>
  <c r="AU225" i="49"/>
  <c r="AU235" i="49"/>
  <c r="AU211" i="49"/>
  <c r="AU154" i="49"/>
  <c r="AU150" i="49"/>
  <c r="AU146" i="49"/>
  <c r="AU142" i="49"/>
  <c r="AU138" i="49"/>
  <c r="AU45" i="49"/>
  <c r="AU41" i="49"/>
  <c r="AU37" i="49"/>
  <c r="AU33" i="49"/>
  <c r="AU29" i="49"/>
  <c r="AU25" i="49"/>
  <c r="AU21" i="49"/>
  <c r="AU17" i="49"/>
  <c r="AU13" i="49"/>
  <c r="AU9" i="49"/>
  <c r="AU57" i="49"/>
  <c r="AU6" i="49"/>
  <c r="AU252" i="49"/>
  <c r="AU248" i="49"/>
  <c r="AU242" i="49"/>
  <c r="AU234" i="49"/>
  <c r="AU226" i="49"/>
  <c r="AU237" i="49"/>
  <c r="AU216" i="49"/>
  <c r="AU206" i="49"/>
  <c r="AU202" i="49"/>
  <c r="AU198" i="49"/>
  <c r="AU194" i="49"/>
  <c r="AU190" i="49"/>
  <c r="AU186" i="49"/>
  <c r="AU182" i="49"/>
  <c r="AU178" i="49"/>
  <c r="AU174" i="49"/>
  <c r="AU170" i="49"/>
  <c r="AU223" i="49"/>
  <c r="AU210" i="49"/>
  <c r="AU218" i="49"/>
  <c r="AU169" i="49"/>
  <c r="AU157" i="49"/>
  <c r="AU153" i="49"/>
  <c r="AU149" i="49"/>
  <c r="AU145" i="49"/>
  <c r="AU141" i="49"/>
  <c r="AU137" i="49"/>
  <c r="AU133" i="49"/>
  <c r="AU129" i="49"/>
  <c r="AU125" i="49"/>
  <c r="AU121" i="49"/>
  <c r="AU117" i="49"/>
  <c r="AU113" i="49"/>
  <c r="AU162" i="49"/>
  <c r="AU165" i="49"/>
  <c r="AU111" i="49"/>
  <c r="AU103" i="49"/>
  <c r="AU99" i="49"/>
  <c r="AU95" i="49"/>
  <c r="AU91" i="49"/>
  <c r="AU87" i="49"/>
  <c r="AU83" i="49"/>
  <c r="AU79" i="49"/>
  <c r="AU75" i="49"/>
  <c r="AU71" i="49"/>
  <c r="AU67" i="49"/>
  <c r="AU63" i="49"/>
  <c r="AU112" i="49"/>
  <c r="AU104" i="49"/>
  <c r="AU52" i="49"/>
  <c r="AU48" i="49"/>
  <c r="AU44" i="49"/>
  <c r="AU40" i="49"/>
  <c r="AU36" i="49"/>
  <c r="AU32" i="49"/>
  <c r="AU28" i="49"/>
  <c r="AU24" i="49"/>
  <c r="AU20" i="49"/>
  <c r="AU16" i="49"/>
  <c r="AU12" i="49"/>
  <c r="AU8" i="49"/>
  <c r="AU54" i="49"/>
  <c r="AU4" i="49"/>
  <c r="AU255" i="49"/>
  <c r="AU251" i="49"/>
  <c r="AU247" i="49"/>
  <c r="AU240" i="49"/>
  <c r="AU232" i="49"/>
  <c r="AU224" i="49"/>
  <c r="AU229" i="49"/>
  <c r="AU209" i="49"/>
  <c r="AU205" i="49"/>
  <c r="AU201" i="49"/>
  <c r="AU197" i="49"/>
  <c r="AU193" i="49"/>
  <c r="AU189" i="49"/>
  <c r="AU185" i="49"/>
  <c r="AU181" i="49"/>
  <c r="AU177" i="49"/>
  <c r="AU173" i="49"/>
  <c r="AU217" i="49"/>
  <c r="AU241" i="49"/>
  <c r="AU214" i="49"/>
  <c r="AU219" i="49"/>
  <c r="AU156" i="49"/>
  <c r="AU152" i="49"/>
  <c r="AU148" i="49"/>
  <c r="AU144" i="49"/>
  <c r="AU140" i="49"/>
  <c r="AU136" i="49"/>
  <c r="AU132" i="49"/>
  <c r="AU128" i="49"/>
  <c r="AU124" i="49"/>
  <c r="AU120" i="49"/>
  <c r="AU116" i="49"/>
  <c r="AU168" i="49"/>
  <c r="AU160" i="49"/>
  <c r="AU163" i="49"/>
  <c r="AU109" i="49"/>
  <c r="AU102" i="49"/>
  <c r="AU98" i="49"/>
  <c r="AU94" i="49"/>
  <c r="AU90" i="49"/>
  <c r="AU86" i="49"/>
  <c r="AU82" i="49"/>
  <c r="AU78" i="49"/>
  <c r="AU74" i="49"/>
  <c r="AU70" i="49"/>
  <c r="AU66" i="49"/>
  <c r="AU62" i="49"/>
  <c r="AU110" i="49"/>
  <c r="AU58" i="49"/>
  <c r="AU51" i="49"/>
  <c r="AU47" i="49"/>
  <c r="AU43" i="49"/>
  <c r="AU39" i="49"/>
  <c r="AU35" i="49"/>
  <c r="AU31" i="49"/>
  <c r="AU27" i="49"/>
  <c r="AU23" i="49"/>
  <c r="AU19" i="49"/>
  <c r="AU15" i="49"/>
  <c r="AU11" i="49"/>
  <c r="AU7" i="49"/>
  <c r="AU55" i="49"/>
  <c r="AU254" i="49"/>
  <c r="AU250" i="49"/>
  <c r="AU246" i="49"/>
  <c r="AU238" i="49"/>
  <c r="AU230" i="49"/>
  <c r="AU222" i="49"/>
  <c r="AU221" i="49"/>
  <c r="AU208" i="49"/>
  <c r="AU204" i="49"/>
  <c r="AU200" i="49"/>
  <c r="AU196" i="49"/>
  <c r="AU192" i="49"/>
  <c r="AU188" i="49"/>
  <c r="AU184" i="49"/>
  <c r="AU180" i="49"/>
  <c r="AU176" i="49"/>
  <c r="AU172" i="49"/>
  <c r="AU239" i="49"/>
  <c r="AU213" i="49"/>
  <c r="AU233" i="49"/>
  <c r="AU243" i="49"/>
  <c r="AU215" i="49"/>
  <c r="AU155" i="49"/>
  <c r="AU151" i="49"/>
  <c r="AU147" i="49"/>
  <c r="AU143" i="49"/>
  <c r="AU139" i="49"/>
  <c r="AU135" i="49"/>
  <c r="AU131" i="49"/>
  <c r="AU127" i="49"/>
  <c r="AU123" i="49"/>
  <c r="AU119" i="49"/>
  <c r="AU115" i="49"/>
  <c r="AU166" i="49"/>
  <c r="AU158" i="49"/>
  <c r="AU161" i="49"/>
  <c r="AU107" i="49"/>
  <c r="AU101" i="49"/>
  <c r="AU97" i="49"/>
  <c r="AU93" i="49"/>
  <c r="AU89" i="49"/>
  <c r="AU85" i="49"/>
  <c r="AU81" i="49"/>
  <c r="AU77" i="49"/>
  <c r="AU73" i="49"/>
  <c r="AU69" i="49"/>
  <c r="AU65" i="49"/>
  <c r="AU61" i="49"/>
  <c r="AU108" i="49"/>
  <c r="AU56" i="49"/>
  <c r="AU50" i="49"/>
  <c r="AU46" i="49"/>
  <c r="AU42" i="49"/>
  <c r="AU38" i="49"/>
  <c r="AU34" i="49"/>
  <c r="AU30" i="49"/>
  <c r="AU26" i="49"/>
  <c r="AU22" i="49"/>
  <c r="AU18" i="49"/>
  <c r="AU14" i="49"/>
  <c r="AU10" i="49"/>
  <c r="AU59" i="49"/>
  <c r="AU5" i="49"/>
  <c r="D176" i="49"/>
  <c r="D172" i="49"/>
  <c r="D168" i="49"/>
  <c r="D164" i="49"/>
  <c r="D160" i="49"/>
  <c r="D156" i="49"/>
  <c r="D152" i="49"/>
  <c r="D148" i="49"/>
  <c r="D144" i="49"/>
  <c r="D140" i="49"/>
  <c r="D84" i="49"/>
  <c r="D88" i="49"/>
  <c r="D80" i="49"/>
  <c r="D76" i="49"/>
  <c r="D72" i="49"/>
  <c r="D68" i="49"/>
  <c r="D121" i="49"/>
  <c r="D58" i="49"/>
  <c r="D54" i="49"/>
  <c r="D50" i="49"/>
  <c r="D46" i="49"/>
  <c r="D42" i="49"/>
  <c r="D38" i="49"/>
  <c r="D34" i="49"/>
  <c r="D30" i="49"/>
  <c r="D26" i="49"/>
  <c r="D22" i="49"/>
  <c r="D18" i="49"/>
  <c r="D14" i="49"/>
  <c r="D10" i="49"/>
  <c r="D6" i="49"/>
  <c r="D61" i="49"/>
  <c r="D252" i="49"/>
  <c r="D248" i="49"/>
  <c r="D244" i="49"/>
  <c r="D240" i="49"/>
  <c r="D236" i="49"/>
  <c r="D232" i="49"/>
  <c r="D228" i="49"/>
  <c r="D224" i="49"/>
  <c r="D220" i="49"/>
  <c r="D216" i="49"/>
  <c r="D212" i="49"/>
  <c r="D208" i="49"/>
  <c r="D205" i="49"/>
  <c r="D201" i="49"/>
  <c r="D197" i="49"/>
  <c r="D193" i="49"/>
  <c r="D189" i="49"/>
  <c r="D185" i="49"/>
  <c r="D181" i="49"/>
  <c r="D177" i="49"/>
  <c r="D173" i="49"/>
  <c r="D169" i="49"/>
  <c r="D165" i="49"/>
  <c r="D161" i="49"/>
  <c r="D157" i="49"/>
  <c r="D153" i="49"/>
  <c r="D149" i="49"/>
  <c r="D145" i="49"/>
  <c r="D141" i="49"/>
  <c r="D137" i="49"/>
  <c r="D133" i="49"/>
  <c r="D129" i="49"/>
  <c r="D125" i="49"/>
  <c r="D119" i="49"/>
  <c r="D115" i="49"/>
  <c r="D111" i="49"/>
  <c r="D107" i="49"/>
  <c r="D103" i="49"/>
  <c r="D99" i="49"/>
  <c r="D95" i="49"/>
  <c r="D91" i="49"/>
  <c r="D87" i="49"/>
  <c r="D83" i="49"/>
  <c r="D79" i="49"/>
  <c r="D75" i="49"/>
  <c r="D71" i="49"/>
  <c r="D67" i="49"/>
  <c r="D63" i="49"/>
  <c r="D64" i="49"/>
  <c r="D53" i="49"/>
  <c r="D49" i="49"/>
  <c r="D45" i="49"/>
  <c r="D41" i="49"/>
  <c r="D37" i="49"/>
  <c r="D33" i="49"/>
  <c r="D29" i="49"/>
  <c r="D25" i="49"/>
  <c r="D21" i="49"/>
  <c r="D17" i="49"/>
  <c r="D13" i="49"/>
  <c r="D9" i="49"/>
  <c r="D5" i="49"/>
  <c r="D59" i="49"/>
  <c r="D251" i="49"/>
  <c r="D247" i="49"/>
  <c r="D243" i="49"/>
  <c r="D239" i="49"/>
  <c r="D235" i="49"/>
  <c r="D231" i="49"/>
  <c r="D227" i="49"/>
  <c r="D223" i="49"/>
  <c r="D219" i="49"/>
  <c r="D215" i="49"/>
  <c r="D211" i="49"/>
  <c r="D207" i="49"/>
  <c r="D204" i="49"/>
  <c r="D200" i="49"/>
  <c r="D196" i="49"/>
  <c r="D192" i="49"/>
  <c r="D188" i="49"/>
  <c r="D184" i="49"/>
  <c r="D180" i="49"/>
  <c r="Q67" i="49"/>
  <c r="Q15" i="49"/>
  <c r="Q147" i="49"/>
  <c r="Q131" i="49"/>
  <c r="Q182" i="49"/>
  <c r="Q54" i="49"/>
  <c r="Q186" i="49"/>
  <c r="Q138" i="49"/>
  <c r="Q103" i="49"/>
  <c r="Q64" i="49"/>
  <c r="Q80" i="49"/>
  <c r="Q242" i="49"/>
  <c r="Q6" i="49"/>
  <c r="Q149" i="49"/>
  <c r="Q170" i="49"/>
  <c r="Q78" i="49"/>
  <c r="Q142" i="49"/>
  <c r="Q134" i="49"/>
  <c r="Q198" i="49"/>
  <c r="Q119" i="49"/>
  <c r="Q216" i="49"/>
  <c r="Q241" i="49"/>
  <c r="Q100" i="49"/>
  <c r="Q116" i="49"/>
  <c r="Q213" i="49"/>
  <c r="Q235" i="49"/>
  <c r="Q106" i="49"/>
  <c r="Q121" i="49"/>
  <c r="Q218" i="49"/>
  <c r="Q245" i="49"/>
  <c r="Q238" i="49"/>
  <c r="Q34" i="49"/>
  <c r="Q222" i="49"/>
  <c r="Q11" i="49"/>
  <c r="Q123" i="49"/>
  <c r="Q139" i="49"/>
  <c r="Q250" i="49"/>
  <c r="Q5" i="49"/>
  <c r="Q120" i="49"/>
  <c r="Q136" i="49"/>
  <c r="Q243" i="49"/>
  <c r="Q13" i="49"/>
  <c r="Q125" i="49"/>
  <c r="Q141" i="49"/>
  <c r="Q205" i="49"/>
  <c r="Q236" i="49"/>
  <c r="Q108" i="49"/>
  <c r="Q122" i="49"/>
  <c r="Q174" i="49"/>
  <c r="Q223" i="49"/>
  <c r="Q231" i="49"/>
  <c r="Q38" i="49"/>
  <c r="Q47" i="49"/>
  <c r="Q105" i="49"/>
  <c r="Q127" i="49"/>
  <c r="Q191" i="49"/>
  <c r="Q207" i="49"/>
  <c r="Q12" i="49"/>
  <c r="Q44" i="49"/>
  <c r="Q112" i="49"/>
  <c r="Q124" i="49"/>
  <c r="Q188" i="49"/>
  <c r="Q204" i="49"/>
  <c r="Q17" i="49"/>
  <c r="Q49" i="49"/>
  <c r="Q109" i="49"/>
  <c r="Q129" i="49"/>
  <c r="Q193" i="49"/>
  <c r="Q209" i="49"/>
  <c r="I254" i="49"/>
  <c r="I117" i="49"/>
  <c r="I137" i="49"/>
  <c r="I244" i="49"/>
  <c r="I251" i="49"/>
  <c r="I219" i="49"/>
  <c r="I197" i="49"/>
  <c r="I63" i="49"/>
  <c r="I47" i="49"/>
  <c r="I31" i="49"/>
  <c r="I15" i="49"/>
  <c r="I169" i="49"/>
  <c r="I79" i="49"/>
  <c r="I181" i="49"/>
  <c r="I153" i="49"/>
  <c r="I121" i="49"/>
  <c r="I106" i="49"/>
  <c r="I90" i="49"/>
  <c r="I74" i="49"/>
  <c r="I58" i="49"/>
  <c r="I42" i="49"/>
  <c r="I26" i="49"/>
  <c r="I10" i="49"/>
  <c r="I228" i="49"/>
  <c r="I250" i="49"/>
  <c r="I209" i="49"/>
  <c r="I192" i="49"/>
  <c r="I176" i="49"/>
  <c r="I164" i="49"/>
  <c r="I148" i="49"/>
  <c r="I132" i="49"/>
  <c r="I101" i="49"/>
  <c r="I85" i="49"/>
  <c r="I69" i="49"/>
  <c r="I53" i="49"/>
  <c r="I37" i="49"/>
  <c r="I21" i="49"/>
  <c r="I5" i="49"/>
  <c r="I218" i="49"/>
  <c r="I231" i="49"/>
  <c r="I203" i="49"/>
  <c r="I187" i="49"/>
  <c r="I249" i="49"/>
  <c r="I159" i="49"/>
  <c r="I143" i="49"/>
  <c r="I127" i="49"/>
  <c r="I96" i="49"/>
  <c r="I112" i="49"/>
  <c r="I80" i="49"/>
  <c r="I64" i="49"/>
  <c r="I48" i="49"/>
  <c r="I32" i="49"/>
  <c r="I16" i="49"/>
  <c r="I255" i="49"/>
  <c r="I216" i="49"/>
  <c r="I229" i="49"/>
  <c r="I202" i="49"/>
  <c r="I186" i="49"/>
  <c r="I245" i="49"/>
  <c r="I158" i="49"/>
  <c r="I142" i="49"/>
  <c r="I126" i="49"/>
  <c r="I111" i="49"/>
  <c r="I95" i="49"/>
  <c r="AY30" i="49"/>
  <c r="AY13" i="49"/>
  <c r="AY82" i="49"/>
  <c r="AY228" i="49"/>
  <c r="AY194" i="49"/>
  <c r="AY172" i="49"/>
  <c r="BB243" i="49"/>
  <c r="BB94" i="49"/>
  <c r="AU134" i="49"/>
  <c r="AU130" i="49"/>
  <c r="AU126" i="49"/>
  <c r="AU122" i="49"/>
  <c r="AU118" i="49"/>
  <c r="AU114" i="49"/>
  <c r="AU164" i="49"/>
  <c r="AU167" i="49"/>
  <c r="AU159" i="49"/>
  <c r="AU105" i="49"/>
  <c r="AU100" i="49"/>
  <c r="AU96" i="49"/>
  <c r="AU92" i="49"/>
  <c r="AU88" i="49"/>
  <c r="AU84" i="49"/>
  <c r="AU80" i="49"/>
  <c r="AU76" i="49"/>
  <c r="AU72" i="49"/>
  <c r="AU68" i="49"/>
  <c r="AU64" i="49"/>
  <c r="AU60" i="49"/>
  <c r="AU106" i="49"/>
  <c r="AU53" i="49"/>
  <c r="AU49" i="49"/>
  <c r="D136" i="49"/>
  <c r="D132" i="49"/>
  <c r="D128" i="49"/>
  <c r="D124" i="49"/>
  <c r="D118" i="49"/>
  <c r="D114" i="49"/>
  <c r="D110" i="49"/>
  <c r="D106" i="49"/>
  <c r="D102" i="49"/>
  <c r="D98" i="49"/>
  <c r="D94" i="49"/>
  <c r="D90" i="49"/>
  <c r="D86" i="49"/>
  <c r="D82" i="49"/>
  <c r="D78" i="49"/>
  <c r="D74" i="49"/>
  <c r="D70" i="49"/>
  <c r="D66" i="49"/>
  <c r="D62" i="49"/>
  <c r="D56" i="49"/>
  <c r="D52" i="49"/>
  <c r="D48" i="49"/>
  <c r="D44" i="49"/>
  <c r="D40" i="49"/>
  <c r="D36" i="49"/>
  <c r="D32" i="49"/>
  <c r="D28" i="49"/>
  <c r="D24" i="49"/>
  <c r="D20" i="49"/>
  <c r="D16" i="49"/>
  <c r="D12" i="49"/>
  <c r="D8" i="49"/>
  <c r="D4" i="49"/>
  <c r="D57" i="49"/>
  <c r="K253" i="49"/>
  <c r="K249" i="49"/>
  <c r="K245" i="49"/>
  <c r="K241" i="49"/>
  <c r="K237" i="49"/>
  <c r="K233" i="49"/>
  <c r="K204" i="49"/>
  <c r="K200" i="49"/>
  <c r="K196" i="49"/>
  <c r="K192" i="49"/>
  <c r="K188" i="49"/>
  <c r="K184" i="49"/>
  <c r="K180" i="49"/>
  <c r="K231" i="49"/>
  <c r="K223" i="49"/>
  <c r="K215" i="49"/>
  <c r="K207" i="49"/>
  <c r="K228" i="49"/>
  <c r="K220" i="49"/>
  <c r="K212" i="49"/>
  <c r="K174" i="49"/>
  <c r="K172" i="49"/>
  <c r="K167" i="49"/>
  <c r="K163" i="49"/>
  <c r="K159" i="49"/>
  <c r="K155" i="49"/>
  <c r="K151" i="49"/>
  <c r="K147" i="49"/>
  <c r="K143" i="49"/>
  <c r="K139" i="49"/>
  <c r="K135" i="49"/>
  <c r="K131" i="49"/>
  <c r="K127" i="49"/>
  <c r="K123" i="49"/>
  <c r="K119" i="49"/>
  <c r="K115" i="49"/>
  <c r="K111" i="49"/>
  <c r="K107" i="49"/>
  <c r="K103" i="49"/>
  <c r="K99" i="49"/>
  <c r="K95" i="49"/>
  <c r="K91" i="49"/>
  <c r="K87" i="49"/>
  <c r="K83" i="49"/>
  <c r="K79" i="49"/>
  <c r="K75" i="49"/>
  <c r="K71" i="49"/>
  <c r="K67" i="49"/>
  <c r="K63" i="49"/>
  <c r="K59" i="49"/>
  <c r="K55" i="49"/>
  <c r="K51" i="49"/>
  <c r="K47" i="49"/>
  <c r="K43" i="49"/>
  <c r="K39" i="49"/>
  <c r="K35" i="49"/>
  <c r="K31" i="49"/>
  <c r="K27" i="49"/>
  <c r="K23" i="49"/>
  <c r="K19" i="49"/>
  <c r="K15" i="49"/>
  <c r="K11" i="49"/>
  <c r="K7" i="49"/>
  <c r="K252" i="49"/>
  <c r="K248" i="49"/>
  <c r="K244" i="49"/>
  <c r="K240" i="49"/>
  <c r="K236" i="49"/>
  <c r="K254" i="49"/>
  <c r="K203" i="49"/>
  <c r="K199" i="49"/>
  <c r="K195" i="49"/>
  <c r="K191" i="49"/>
  <c r="K187" i="49"/>
  <c r="K183" i="49"/>
  <c r="K108" i="49"/>
  <c r="K104" i="49"/>
  <c r="K100" i="49"/>
  <c r="K96" i="49"/>
  <c r="K92" i="49"/>
  <c r="K88" i="49"/>
  <c r="K84" i="49"/>
  <c r="K80" i="49"/>
  <c r="K76" i="49"/>
  <c r="K72" i="49"/>
  <c r="K68" i="49"/>
  <c r="K64" i="49"/>
  <c r="K60" i="49"/>
  <c r="K56" i="49"/>
  <c r="K52" i="49"/>
  <c r="K48" i="49"/>
  <c r="K44" i="49"/>
  <c r="K40" i="49"/>
  <c r="K36" i="49"/>
  <c r="K32" i="49"/>
  <c r="K28" i="49"/>
  <c r="K24" i="49"/>
  <c r="K20" i="49"/>
  <c r="K16" i="49"/>
  <c r="K12" i="49"/>
  <c r="K8" i="49"/>
  <c r="K4" i="49"/>
  <c r="U153" i="49"/>
  <c r="U74" i="49"/>
  <c r="U217" i="49"/>
  <c r="U148" i="49"/>
  <c r="U69" i="49"/>
  <c r="U242" i="49"/>
  <c r="U204" i="49"/>
  <c r="U171" i="49"/>
  <c r="U223" i="49"/>
  <c r="U170" i="49"/>
  <c r="U130" i="49"/>
  <c r="U87" i="49"/>
  <c r="U43" i="49"/>
  <c r="U161" i="49"/>
  <c r="U139" i="49"/>
  <c r="U119" i="49"/>
  <c r="U169" i="49"/>
  <c r="D226" i="49"/>
  <c r="D139" i="49"/>
  <c r="D135" i="49"/>
  <c r="D131" i="49"/>
  <c r="D127" i="49"/>
  <c r="D122" i="49"/>
  <c r="D117" i="49"/>
  <c r="D113" i="49"/>
  <c r="D109" i="49"/>
  <c r="D105" i="49"/>
  <c r="D101" i="49"/>
  <c r="D97" i="49"/>
  <c r="D93" i="49"/>
  <c r="D89" i="49"/>
  <c r="D85" i="49"/>
  <c r="D81" i="49"/>
  <c r="D77" i="49"/>
  <c r="D73" i="49"/>
  <c r="D69" i="49"/>
  <c r="D123" i="49"/>
  <c r="D60" i="49"/>
  <c r="D55" i="49"/>
  <c r="D51" i="49"/>
  <c r="D47" i="49"/>
  <c r="D43" i="49"/>
  <c r="D39" i="49"/>
  <c r="D35" i="49"/>
  <c r="D31" i="49"/>
  <c r="D27" i="49"/>
  <c r="D23" i="49"/>
  <c r="D19" i="49"/>
  <c r="D15" i="49"/>
  <c r="D11" i="49"/>
  <c r="D7" i="49"/>
  <c r="D65" i="49"/>
  <c r="D255" i="49"/>
  <c r="D249" i="49"/>
  <c r="D245" i="49"/>
  <c r="D241" i="49"/>
  <c r="D237" i="49"/>
  <c r="D233" i="49"/>
  <c r="D150" i="49"/>
  <c r="D229" i="49"/>
  <c r="D225" i="49"/>
  <c r="D221" i="49"/>
  <c r="D217" i="49"/>
  <c r="D213" i="49"/>
  <c r="D209" i="49"/>
  <c r="D206" i="49"/>
  <c r="D202" i="49"/>
  <c r="D198" i="49"/>
  <c r="D194" i="49"/>
  <c r="D190" i="49"/>
  <c r="D186" i="49"/>
  <c r="D182" i="49"/>
  <c r="D178" i="49"/>
  <c r="D174" i="49"/>
  <c r="D170" i="49"/>
  <c r="D166" i="49"/>
  <c r="D162" i="49"/>
  <c r="D158" i="49"/>
  <c r="D154" i="49"/>
  <c r="D92" i="49"/>
  <c r="D96" i="49"/>
  <c r="D100" i="49"/>
  <c r="D104" i="49"/>
  <c r="D108" i="49"/>
  <c r="D112" i="49"/>
  <c r="D116" i="49"/>
  <c r="D120" i="49"/>
  <c r="D126" i="49"/>
  <c r="D130" i="49"/>
  <c r="D134" i="49"/>
  <c r="D138" i="49"/>
  <c r="D142" i="49"/>
  <c r="D253" i="49"/>
  <c r="D250" i="49"/>
  <c r="D246" i="49"/>
  <c r="D242" i="49"/>
  <c r="D238" i="49"/>
  <c r="D234" i="49"/>
  <c r="D230" i="49"/>
  <c r="D146" i="49"/>
  <c r="D222" i="49"/>
  <c r="D218" i="49"/>
  <c r="D214" i="49"/>
  <c r="D210" i="49"/>
  <c r="D254" i="49"/>
  <c r="D203" i="49"/>
  <c r="D199" i="49"/>
  <c r="D195" i="49"/>
  <c r="D191" i="49"/>
  <c r="D187" i="49"/>
  <c r="D183" i="49"/>
  <c r="D179" i="49"/>
  <c r="D175" i="49"/>
  <c r="D171" i="49"/>
  <c r="D167" i="49"/>
  <c r="D163" i="49"/>
  <c r="D159" i="49"/>
  <c r="D155" i="49"/>
  <c r="D151" i="49"/>
  <c r="D147" i="49"/>
  <c r="D143" i="49"/>
  <c r="K101" i="49"/>
  <c r="K97" i="49"/>
  <c r="K93" i="49"/>
  <c r="K89" i="49"/>
  <c r="K85" i="49"/>
  <c r="K81" i="49"/>
  <c r="K77" i="49"/>
  <c r="K73" i="49"/>
  <c r="K69" i="49"/>
  <c r="K65" i="49"/>
  <c r="K61" i="49"/>
  <c r="K57" i="49"/>
  <c r="K53" i="49"/>
  <c r="K49" i="49"/>
  <c r="K45" i="49"/>
  <c r="K41" i="49"/>
  <c r="K37" i="49"/>
  <c r="K33" i="49"/>
  <c r="K29" i="49"/>
  <c r="K21" i="49"/>
  <c r="K17" i="49"/>
  <c r="K13" i="49"/>
  <c r="K9" i="49"/>
  <c r="K5" i="49"/>
  <c r="K250" i="49"/>
  <c r="K246" i="49"/>
  <c r="K242" i="49"/>
  <c r="K238" i="49"/>
  <c r="K234" i="49"/>
  <c r="K205" i="49"/>
  <c r="K201" i="49"/>
  <c r="K197" i="49"/>
  <c r="K193" i="49"/>
  <c r="K189" i="49"/>
  <c r="K185" i="49"/>
  <c r="K181" i="49"/>
  <c r="K177" i="49"/>
  <c r="K225" i="49"/>
  <c r="K217" i="49"/>
  <c r="K209" i="49"/>
  <c r="K230" i="49"/>
  <c r="K222" i="49"/>
  <c r="K214" i="49"/>
  <c r="K175" i="49"/>
  <c r="K176" i="49"/>
  <c r="K168" i="49"/>
  <c r="K164" i="49"/>
  <c r="K160" i="49"/>
  <c r="K156" i="49"/>
  <c r="K152" i="49"/>
  <c r="K148" i="49"/>
  <c r="K144" i="49"/>
  <c r="K140" i="49"/>
  <c r="K136" i="49"/>
  <c r="K132" i="49"/>
  <c r="K128" i="49"/>
  <c r="K124" i="49"/>
  <c r="K120" i="49"/>
  <c r="K116" i="49"/>
  <c r="K112" i="49"/>
  <c r="K25" i="49"/>
  <c r="K179" i="49"/>
  <c r="K229" i="49"/>
  <c r="K221" i="49"/>
  <c r="K213" i="49"/>
  <c r="K255" i="49"/>
  <c r="K226" i="49"/>
  <c r="K218" i="49"/>
  <c r="K210" i="49"/>
  <c r="K173" i="49"/>
  <c r="K170" i="49"/>
  <c r="K166" i="49"/>
  <c r="K162" i="49"/>
  <c r="K158" i="49"/>
  <c r="K154" i="49"/>
  <c r="K150" i="49"/>
  <c r="K146" i="49"/>
  <c r="K142" i="49"/>
  <c r="K138" i="49"/>
  <c r="K134" i="49"/>
  <c r="K130" i="49"/>
  <c r="K126" i="49"/>
  <c r="K122" i="49"/>
  <c r="K118" i="49"/>
  <c r="K114" i="49"/>
  <c r="K110" i="49"/>
  <c r="K106" i="49"/>
  <c r="K102" i="49"/>
  <c r="K98" i="49"/>
  <c r="K94" i="49"/>
  <c r="K90" i="49"/>
  <c r="K86" i="49"/>
  <c r="K82" i="49"/>
  <c r="K78" i="49"/>
  <c r="K74" i="49"/>
  <c r="K70" i="49"/>
  <c r="K66" i="49"/>
  <c r="K62" i="49"/>
  <c r="K58" i="49"/>
  <c r="K54" i="49"/>
  <c r="K50" i="49"/>
  <c r="K46" i="49"/>
  <c r="K42" i="49"/>
  <c r="K38" i="49"/>
  <c r="K34" i="49"/>
  <c r="K30" i="49"/>
  <c r="K26" i="49"/>
  <c r="K22" i="49"/>
  <c r="K18" i="49"/>
  <c r="K14" i="49"/>
  <c r="K10" i="49"/>
  <c r="K6" i="49"/>
  <c r="K251" i="49"/>
  <c r="K247" i="49"/>
  <c r="K243" i="49"/>
  <c r="K239" i="49"/>
  <c r="K235" i="49"/>
  <c r="K206" i="49"/>
  <c r="K202" i="49"/>
  <c r="K198" i="49"/>
  <c r="K194" i="49"/>
  <c r="K190" i="49"/>
  <c r="K186" i="49"/>
  <c r="K182" i="49"/>
  <c r="K178" i="49"/>
  <c r="K227" i="49"/>
  <c r="K219" i="49"/>
  <c r="K211" i="49"/>
  <c r="K232" i="49"/>
  <c r="K224" i="49"/>
  <c r="K216" i="49"/>
  <c r="K208" i="49"/>
  <c r="K171" i="49"/>
  <c r="K169" i="49"/>
  <c r="K165" i="49"/>
  <c r="K161" i="49"/>
  <c r="K157" i="49"/>
  <c r="K153" i="49"/>
  <c r="K149" i="49"/>
  <c r="K145" i="49"/>
  <c r="K141" i="49"/>
  <c r="K137" i="49"/>
  <c r="K133" i="49"/>
  <c r="K129" i="49"/>
  <c r="K125" i="49"/>
  <c r="K121" i="49"/>
  <c r="K117" i="49"/>
  <c r="K113" i="49"/>
  <c r="K109" i="49"/>
  <c r="K105" i="49"/>
  <c r="AH233" i="49"/>
  <c r="AH217" i="49"/>
  <c r="AH203" i="49"/>
  <c r="AH187" i="49"/>
  <c r="AH171" i="49"/>
  <c r="AH155" i="49"/>
  <c r="AH139" i="49"/>
  <c r="AH123" i="49"/>
  <c r="AH107" i="49"/>
  <c r="AH91" i="49"/>
  <c r="AH75" i="49"/>
  <c r="AH62" i="49"/>
  <c r="AH43" i="49"/>
  <c r="AH27" i="49"/>
  <c r="AH11" i="49"/>
  <c r="AH244" i="49"/>
  <c r="AH228" i="49"/>
  <c r="AH212" i="49"/>
  <c r="AH198" i="49"/>
  <c r="AH182" i="49"/>
  <c r="AH166" i="49"/>
  <c r="AH150" i="49"/>
  <c r="AH134" i="49"/>
  <c r="AH118" i="49"/>
  <c r="AH102" i="49"/>
  <c r="AH86" i="49"/>
  <c r="AH70" i="49"/>
  <c r="AH54" i="49"/>
  <c r="AH38" i="49"/>
  <c r="AH22" i="49"/>
  <c r="AH6" i="49"/>
  <c r="AH239" i="49"/>
  <c r="AH223" i="49"/>
  <c r="AH207" i="49"/>
  <c r="AH193" i="49"/>
  <c r="AH177" i="49"/>
  <c r="AH161" i="49"/>
  <c r="AH145" i="49"/>
  <c r="AH129" i="49"/>
  <c r="AH113" i="49"/>
  <c r="AH81" i="49"/>
  <c r="AH65" i="49"/>
  <c r="AH49" i="49"/>
  <c r="AH33" i="49"/>
  <c r="AH17" i="49"/>
  <c r="AH250" i="49"/>
  <c r="AH234" i="49"/>
  <c r="AH218" i="49"/>
  <c r="AH204" i="49"/>
  <c r="AH188" i="49"/>
  <c r="AH172" i="49"/>
  <c r="AH156" i="49"/>
  <c r="AH140" i="49"/>
  <c r="AH127" i="49"/>
  <c r="AH108" i="49"/>
  <c r="AH92" i="49"/>
  <c r="AH76" i="49"/>
  <c r="AH57" i="49"/>
  <c r="AH44" i="49"/>
  <c r="AH28" i="49"/>
  <c r="AH249" i="49"/>
  <c r="AH12" i="49"/>
  <c r="AH97" i="49"/>
  <c r="E255" i="49"/>
  <c r="E65" i="49"/>
  <c r="E193" i="49"/>
  <c r="E75" i="49"/>
  <c r="E198" i="49"/>
  <c r="E188" i="49"/>
  <c r="E70" i="49"/>
  <c r="E60" i="49"/>
  <c r="E183" i="49"/>
  <c r="U230" i="49"/>
  <c r="U202" i="49"/>
  <c r="U157" i="49"/>
  <c r="U125" i="49"/>
  <c r="U94" i="49"/>
  <c r="U55" i="49"/>
  <c r="U30" i="49"/>
  <c r="U244" i="49"/>
  <c r="U227" i="49"/>
  <c r="U185" i="49"/>
  <c r="U152" i="49"/>
  <c r="U120" i="49"/>
  <c r="U89" i="49"/>
  <c r="U57" i="49"/>
  <c r="U25" i="49"/>
  <c r="U9" i="49"/>
  <c r="U226" i="49"/>
  <c r="U241" i="49"/>
  <c r="U208" i="49"/>
  <c r="U192" i="49"/>
  <c r="U176" i="49"/>
  <c r="U254" i="49"/>
  <c r="U224" i="49"/>
  <c r="U239" i="49"/>
  <c r="U207" i="49"/>
  <c r="U191" i="49"/>
  <c r="U175" i="49"/>
  <c r="U159" i="49"/>
  <c r="U142" i="49"/>
  <c r="U126" i="49"/>
  <c r="U106" i="49"/>
  <c r="U95" i="49"/>
  <c r="U79" i="49"/>
  <c r="U61" i="49"/>
  <c r="U47" i="49"/>
  <c r="U31" i="49"/>
  <c r="U15" i="49"/>
  <c r="U143" i="49"/>
  <c r="U80" i="49"/>
  <c r="U16" i="49"/>
  <c r="U115" i="49"/>
  <c r="U44" i="49"/>
  <c r="U135" i="49"/>
  <c r="U72" i="49"/>
  <c r="U8" i="49"/>
  <c r="U100" i="49"/>
  <c r="U36" i="49"/>
  <c r="U194" i="49"/>
  <c r="U141" i="49"/>
  <c r="U109" i="49"/>
  <c r="U63" i="49"/>
  <c r="U14" i="49"/>
  <c r="U213" i="49"/>
  <c r="U181" i="49"/>
  <c r="U136" i="49"/>
  <c r="U101" i="49"/>
  <c r="U53" i="49"/>
  <c r="U17" i="49"/>
  <c r="U234" i="49"/>
  <c r="U233" i="49"/>
  <c r="U200" i="49"/>
  <c r="U180" i="49"/>
  <c r="U249" i="49"/>
  <c r="U215" i="49"/>
  <c r="U211" i="49"/>
  <c r="U187" i="49"/>
  <c r="U162" i="49"/>
  <c r="U146" i="49"/>
  <c r="U122" i="49"/>
  <c r="U103" i="49"/>
  <c r="U83" i="49"/>
  <c r="U56" i="49"/>
  <c r="U39" i="49"/>
  <c r="U19" i="49"/>
  <c r="U127" i="49"/>
  <c r="U48" i="49"/>
  <c r="U123" i="49"/>
  <c r="U28" i="49"/>
  <c r="U105" i="49"/>
  <c r="U24" i="49"/>
  <c r="U84" i="49"/>
  <c r="U5" i="49"/>
  <c r="U222" i="49"/>
  <c r="U178" i="49"/>
  <c r="U137" i="49"/>
  <c r="U90" i="49"/>
  <c r="U46" i="49"/>
  <c r="U10" i="49"/>
  <c r="U251" i="49"/>
  <c r="U166" i="49"/>
  <c r="U132" i="49"/>
  <c r="U85" i="49"/>
  <c r="U41" i="49"/>
  <c r="U7" i="49"/>
  <c r="U220" i="49"/>
  <c r="U225" i="49"/>
  <c r="U196" i="49"/>
  <c r="U172" i="49"/>
  <c r="U240" i="49"/>
  <c r="U247" i="49"/>
  <c r="U203" i="49"/>
  <c r="U183" i="49"/>
  <c r="U167" i="49"/>
  <c r="U138" i="49"/>
  <c r="U118" i="49"/>
  <c r="U99" i="49"/>
  <c r="U75" i="49"/>
  <c r="U58" i="49"/>
  <c r="U35" i="49"/>
  <c r="U11" i="49"/>
  <c r="U108" i="49"/>
  <c r="U32" i="49"/>
  <c r="U92" i="49"/>
  <c r="U12" i="49"/>
  <c r="U88" i="49"/>
  <c r="U147" i="49"/>
  <c r="U68" i="49"/>
  <c r="U131" i="49"/>
  <c r="AY163" i="49"/>
  <c r="AY186" i="49"/>
  <c r="Q251" i="49"/>
  <c r="Q253" i="49"/>
  <c r="Q215" i="49"/>
  <c r="Q46" i="49"/>
  <c r="Q77" i="49"/>
  <c r="Q72" i="49"/>
  <c r="Q22" i="49"/>
  <c r="Q63" i="49"/>
  <c r="Q52" i="49"/>
  <c r="Q55" i="49"/>
  <c r="Q202" i="49"/>
  <c r="U40" i="49"/>
  <c r="U59" i="49"/>
  <c r="U64" i="49"/>
  <c r="U23" i="49"/>
  <c r="U111" i="49"/>
  <c r="U150" i="49"/>
  <c r="U195" i="49"/>
  <c r="U219" i="49"/>
  <c r="U184" i="49"/>
  <c r="U253" i="49"/>
  <c r="U21" i="49"/>
  <c r="U107" i="49"/>
  <c r="U197" i="49"/>
  <c r="U26" i="49"/>
  <c r="U104" i="49"/>
  <c r="U229" i="49"/>
  <c r="AY101" i="49"/>
  <c r="AY19" i="49"/>
  <c r="AY140" i="49"/>
  <c r="AW221" i="49"/>
  <c r="AW26" i="49"/>
  <c r="AW78" i="49"/>
  <c r="AY100" i="49"/>
  <c r="AY121" i="49"/>
  <c r="AY117" i="49"/>
  <c r="AY170" i="49"/>
  <c r="AY107" i="49"/>
  <c r="AY62" i="49"/>
  <c r="AY54" i="49"/>
  <c r="AY247" i="49"/>
  <c r="AY6" i="49"/>
  <c r="AY180" i="49"/>
  <c r="AY216" i="49"/>
  <c r="AY154" i="49"/>
  <c r="AY102" i="49"/>
  <c r="AY91" i="49"/>
  <c r="AY23" i="49"/>
  <c r="AY232" i="49"/>
  <c r="AY108" i="49"/>
  <c r="AY33" i="49"/>
  <c r="AY177" i="49"/>
  <c r="AY38" i="49"/>
  <c r="AY34" i="49"/>
  <c r="AY92" i="49"/>
  <c r="AY113" i="49"/>
  <c r="AY130" i="49"/>
  <c r="AY78" i="49"/>
  <c r="AY67" i="49"/>
  <c r="AY77" i="49"/>
  <c r="AY20" i="49"/>
  <c r="AY9" i="49"/>
  <c r="AY4" i="49"/>
  <c r="AY179" i="49"/>
  <c r="AY212" i="49"/>
  <c r="AY110" i="49"/>
  <c r="AY39" i="49"/>
  <c r="AY199" i="49"/>
  <c r="AY115" i="49"/>
  <c r="AY49" i="49"/>
  <c r="AY209" i="49"/>
  <c r="AY198" i="49"/>
  <c r="AY18" i="49"/>
  <c r="AY26" i="49"/>
  <c r="AY135" i="49"/>
  <c r="AY93" i="49"/>
  <c r="AY87" i="49"/>
  <c r="AY8" i="49"/>
  <c r="AY244" i="49"/>
  <c r="AY28" i="49"/>
  <c r="AY162" i="49"/>
  <c r="AY125" i="49"/>
  <c r="AY190" i="49"/>
  <c r="AY10" i="49"/>
  <c r="AY237" i="49"/>
  <c r="AY150" i="49"/>
  <c r="AY103" i="49"/>
  <c r="AY86" i="49"/>
  <c r="AY189" i="49"/>
  <c r="AY44" i="49"/>
  <c r="AY120" i="49"/>
  <c r="U151" i="49"/>
  <c r="U155" i="49"/>
  <c r="U6" i="49"/>
  <c r="U51" i="49"/>
  <c r="U91" i="49"/>
  <c r="U134" i="49"/>
  <c r="U179" i="49"/>
  <c r="U231" i="49"/>
  <c r="U164" i="49"/>
  <c r="U212" i="49"/>
  <c r="U248" i="49"/>
  <c r="U73" i="49"/>
  <c r="U158" i="49"/>
  <c r="U236" i="49"/>
  <c r="U78" i="49"/>
  <c r="U174" i="49"/>
  <c r="AY81" i="49"/>
  <c r="AY218" i="49"/>
  <c r="Q167" i="49"/>
  <c r="Q61" i="49"/>
  <c r="Q66" i="49"/>
  <c r="Q118" i="49"/>
  <c r="Q35" i="49"/>
  <c r="Q99" i="49"/>
  <c r="Q168" i="49"/>
  <c r="Q254" i="49"/>
  <c r="Q48" i="49"/>
  <c r="Q107" i="49"/>
  <c r="Q176" i="49"/>
  <c r="Q227" i="49"/>
  <c r="Q53" i="49"/>
  <c r="Q117" i="49"/>
  <c r="Q181" i="49"/>
  <c r="Q237" i="49"/>
  <c r="Q14" i="49"/>
  <c r="Q18" i="49"/>
  <c r="Q26" i="49"/>
  <c r="Q130" i="49"/>
  <c r="Q239" i="49"/>
  <c r="Q83" i="49"/>
  <c r="Q179" i="49"/>
  <c r="Q16" i="49"/>
  <c r="Q96" i="49"/>
  <c r="Q192" i="49"/>
  <c r="Q21" i="49"/>
  <c r="Q101" i="49"/>
  <c r="Q197" i="49"/>
  <c r="Q247" i="49"/>
  <c r="Q206" i="49"/>
  <c r="Q9" i="49"/>
  <c r="Q8" i="49"/>
  <c r="Q71" i="49"/>
  <c r="Q135" i="49"/>
  <c r="Q199" i="49"/>
  <c r="Q4" i="49"/>
  <c r="Q68" i="49"/>
  <c r="Q132" i="49"/>
  <c r="Q196" i="49"/>
  <c r="Q7" i="49"/>
  <c r="Q73" i="49"/>
  <c r="Q137" i="49"/>
  <c r="Q201" i="49"/>
  <c r="Q10" i="49"/>
  <c r="Q94" i="49"/>
  <c r="Q98" i="49"/>
  <c r="Q86" i="49"/>
  <c r="Q27" i="49"/>
  <c r="Q91" i="49"/>
  <c r="Q155" i="49"/>
  <c r="Q232" i="49"/>
  <c r="Q24" i="49"/>
  <c r="Q88" i="49"/>
  <c r="Q152" i="49"/>
  <c r="Q226" i="49"/>
  <c r="Q29" i="49"/>
  <c r="Q93" i="49"/>
  <c r="Q255" i="49"/>
  <c r="Q126" i="49"/>
  <c r="Q194" i="49"/>
  <c r="Q19" i="49"/>
  <c r="Q115" i="49"/>
  <c r="Q195" i="49"/>
  <c r="Q32" i="49"/>
  <c r="Q128" i="49"/>
  <c r="Q208" i="49"/>
  <c r="Q37" i="49"/>
  <c r="Q133" i="49"/>
  <c r="Q211" i="49"/>
  <c r="Q90" i="49"/>
  <c r="Q82" i="49"/>
  <c r="Q70" i="49"/>
  <c r="Q23" i="49"/>
  <c r="Q87" i="49"/>
  <c r="Q151" i="49"/>
  <c r="Q224" i="49"/>
  <c r="Q20" i="49"/>
  <c r="Q84" i="49"/>
  <c r="Q148" i="49"/>
  <c r="Q252" i="49"/>
  <c r="Q25" i="49"/>
  <c r="Q89" i="49"/>
  <c r="Q153" i="49"/>
  <c r="Q228" i="49"/>
  <c r="Q62" i="49"/>
  <c r="Q158" i="49"/>
  <c r="Q166" i="49"/>
  <c r="Q150" i="49"/>
  <c r="Q43" i="49"/>
  <c r="Q110" i="49"/>
  <c r="Q169" i="49"/>
  <c r="Q220" i="49"/>
  <c r="Q40" i="49"/>
  <c r="Q104" i="49"/>
  <c r="Q163" i="49"/>
  <c r="Q217" i="49"/>
  <c r="Q45" i="49"/>
  <c r="Q114" i="49"/>
  <c r="Q173" i="49"/>
  <c r="Q221" i="49"/>
  <c r="Q74" i="49"/>
  <c r="Q113" i="49"/>
  <c r="Q111" i="49"/>
  <c r="Q102" i="49"/>
  <c r="Q31" i="49"/>
  <c r="Q95" i="49"/>
  <c r="Q160" i="49"/>
  <c r="Q240" i="49"/>
  <c r="Q28" i="49"/>
  <c r="Q92" i="49"/>
  <c r="Q156" i="49"/>
  <c r="Q234" i="49"/>
  <c r="Q33" i="49"/>
  <c r="Q97" i="49"/>
  <c r="Q164" i="49"/>
  <c r="Q244" i="49"/>
  <c r="Q177" i="49"/>
  <c r="Q81" i="49"/>
  <c r="Q172" i="49"/>
  <c r="Q76" i="49"/>
  <c r="Q175" i="49"/>
  <c r="Q79" i="49"/>
  <c r="Q178" i="49"/>
  <c r="Q42" i="49"/>
  <c r="Q189" i="49"/>
  <c r="Q200" i="49"/>
  <c r="Q203" i="49"/>
  <c r="Q75" i="49"/>
  <c r="Q30" i="49"/>
  <c r="Q185" i="49"/>
  <c r="Q180" i="49"/>
  <c r="Q183" i="49"/>
  <c r="Q210" i="49"/>
  <c r="Q85" i="49"/>
  <c r="Q162" i="49"/>
  <c r="Q233" i="49"/>
  <c r="Q249" i="49"/>
  <c r="U20" i="49"/>
  <c r="U67" i="49"/>
  <c r="Q229" i="49"/>
  <c r="Q145" i="49"/>
  <c r="Q65" i="49"/>
  <c r="Q248" i="49"/>
  <c r="Q140" i="49"/>
  <c r="Q58" i="49"/>
  <c r="Q225" i="49"/>
  <c r="Q143" i="49"/>
  <c r="Q56" i="49"/>
  <c r="Q159" i="49"/>
  <c r="Q50" i="49"/>
  <c r="Q230" i="49"/>
  <c r="Q219" i="49"/>
  <c r="Q157" i="49"/>
  <c r="Q60" i="49"/>
  <c r="Q184" i="49"/>
  <c r="Q59" i="49"/>
  <c r="Q187" i="49"/>
  <c r="Q57" i="49"/>
  <c r="Q246" i="49"/>
  <c r="Q154" i="49"/>
  <c r="Q165" i="49"/>
  <c r="Q41" i="49"/>
  <c r="Q171" i="49"/>
  <c r="Q36" i="49"/>
  <c r="Q161" i="49"/>
  <c r="Q39" i="49"/>
  <c r="Q146" i="49"/>
  <c r="Q214" i="49"/>
  <c r="Q69" i="49"/>
  <c r="Q144" i="49"/>
  <c r="Q212" i="49"/>
  <c r="Q51" i="49"/>
  <c r="Q190" i="49"/>
  <c r="U52" i="49"/>
  <c r="U60" i="49"/>
  <c r="U76" i="49"/>
  <c r="U96" i="49"/>
  <c r="U27" i="49"/>
  <c r="U71" i="49"/>
  <c r="U113" i="49"/>
  <c r="U154" i="49"/>
  <c r="U199" i="49"/>
  <c r="U232" i="49"/>
  <c r="U188" i="49"/>
  <c r="U216" i="49"/>
  <c r="U37" i="49"/>
  <c r="U116" i="49"/>
  <c r="U201" i="49"/>
  <c r="U42" i="49"/>
  <c r="U121" i="49"/>
  <c r="U237" i="49"/>
  <c r="AY204" i="49"/>
  <c r="AY29" i="49"/>
  <c r="AY155" i="49"/>
  <c r="AY227" i="49"/>
  <c r="AY178" i="49"/>
  <c r="AO64" i="49"/>
  <c r="AO128" i="49"/>
  <c r="AO188" i="49"/>
  <c r="AO5" i="49"/>
  <c r="AO69" i="49"/>
  <c r="AO133" i="49"/>
  <c r="AO193" i="49"/>
  <c r="AO10" i="49"/>
  <c r="AO74" i="49"/>
  <c r="AO138" i="49"/>
  <c r="AO198" i="49"/>
  <c r="AO15" i="49"/>
  <c r="AO79" i="49"/>
  <c r="AO143" i="49"/>
  <c r="AO203" i="49"/>
  <c r="AO172" i="49"/>
  <c r="AO53" i="49"/>
  <c r="AO177" i="49"/>
  <c r="AO58" i="49"/>
  <c r="AO182" i="49"/>
  <c r="AO63" i="49"/>
  <c r="AO127" i="49"/>
  <c r="AO255" i="49"/>
  <c r="AG76" i="49"/>
  <c r="AO16" i="49"/>
  <c r="AO80" i="49"/>
  <c r="AO144" i="49"/>
  <c r="AO204" i="49"/>
  <c r="AO21" i="49"/>
  <c r="AO85" i="49"/>
  <c r="AO149" i="49"/>
  <c r="AO213" i="49"/>
  <c r="AO26" i="49"/>
  <c r="AO90" i="49"/>
  <c r="AO154" i="49"/>
  <c r="AO223" i="49"/>
  <c r="AO31" i="49"/>
  <c r="AO95" i="49"/>
  <c r="AO159" i="49"/>
  <c r="AO233" i="49"/>
  <c r="AO48" i="49"/>
  <c r="AO112" i="49"/>
  <c r="AO220" i="49"/>
  <c r="AO117" i="49"/>
  <c r="AO230" i="49"/>
  <c r="AO122" i="49"/>
  <c r="AO247" i="49"/>
  <c r="AO187" i="49"/>
  <c r="AO32" i="49"/>
  <c r="AO96" i="49"/>
  <c r="AO160" i="49"/>
  <c r="AO237" i="49"/>
  <c r="AO37" i="49"/>
  <c r="AO101" i="49"/>
  <c r="AO165" i="49"/>
  <c r="AO238" i="49"/>
  <c r="AO42" i="49"/>
  <c r="AO106" i="49"/>
  <c r="AO170" i="49"/>
  <c r="AO208" i="49"/>
  <c r="AO47" i="49"/>
  <c r="AO111" i="49"/>
  <c r="AO171" i="49"/>
  <c r="AO218" i="49"/>
  <c r="AG97" i="49"/>
  <c r="AO4" i="49"/>
  <c r="AO20" i="49"/>
  <c r="AO36" i="49"/>
  <c r="AO52" i="49"/>
  <c r="AO68" i="49"/>
  <c r="AO84" i="49"/>
  <c r="AO100" i="49"/>
  <c r="AO116" i="49"/>
  <c r="AO132" i="49"/>
  <c r="AO148" i="49"/>
  <c r="AO164" i="49"/>
  <c r="AO176" i="49"/>
  <c r="AO192" i="49"/>
  <c r="AO211" i="49"/>
  <c r="AO234" i="49"/>
  <c r="AO228" i="49"/>
  <c r="AO9" i="49"/>
  <c r="AO25" i="49"/>
  <c r="AO41" i="49"/>
  <c r="AO57" i="49"/>
  <c r="AO73" i="49"/>
  <c r="AO89" i="49"/>
  <c r="AO105" i="49"/>
  <c r="AO121" i="49"/>
  <c r="AO137" i="49"/>
  <c r="AO153" i="49"/>
  <c r="AO169" i="49"/>
  <c r="AO181" i="49"/>
  <c r="AO197" i="49"/>
  <c r="AO221" i="49"/>
  <c r="AO206" i="49"/>
  <c r="AO243" i="49"/>
  <c r="AO14" i="49"/>
  <c r="AO30" i="49"/>
  <c r="AO46" i="49"/>
  <c r="AO62" i="49"/>
  <c r="AO78" i="49"/>
  <c r="AO94" i="49"/>
  <c r="AO110" i="49"/>
  <c r="AO126" i="49"/>
  <c r="AO142" i="49"/>
  <c r="AO158" i="49"/>
  <c r="AO248" i="49"/>
  <c r="AO186" i="49"/>
  <c r="AO202" i="49"/>
  <c r="AO231" i="49"/>
  <c r="AO216" i="49"/>
  <c r="AO254" i="49"/>
  <c r="AO19" i="49"/>
  <c r="AO35" i="49"/>
  <c r="AO51" i="49"/>
  <c r="AO67" i="49"/>
  <c r="AO83" i="49"/>
  <c r="AO99" i="49"/>
  <c r="AO115" i="49"/>
  <c r="AO131" i="49"/>
  <c r="AO147" i="49"/>
  <c r="AO163" i="49"/>
  <c r="AO175" i="49"/>
  <c r="AO191" i="49"/>
  <c r="AO209" i="49"/>
  <c r="AO249" i="49"/>
  <c r="AO226" i="49"/>
  <c r="AG70" i="49"/>
  <c r="AO8" i="49"/>
  <c r="AO24" i="49"/>
  <c r="AO40" i="49"/>
  <c r="AO56" i="49"/>
  <c r="AO72" i="49"/>
  <c r="AO88" i="49"/>
  <c r="AO104" i="49"/>
  <c r="AO120" i="49"/>
  <c r="AO136" i="49"/>
  <c r="AO152" i="49"/>
  <c r="AO168" i="49"/>
  <c r="AO180" i="49"/>
  <c r="AO196" i="49"/>
  <c r="AO219" i="49"/>
  <c r="AO250" i="49"/>
  <c r="AO239" i="49"/>
  <c r="AO13" i="49"/>
  <c r="AO29" i="49"/>
  <c r="AO45" i="49"/>
  <c r="AO61" i="49"/>
  <c r="AO77" i="49"/>
  <c r="AO93" i="49"/>
  <c r="AO109" i="49"/>
  <c r="AO125" i="49"/>
  <c r="AO141" i="49"/>
  <c r="AO157" i="49"/>
  <c r="AO244" i="49"/>
  <c r="AO185" i="49"/>
  <c r="AO201" i="49"/>
  <c r="AO229" i="49"/>
  <c r="AO214" i="49"/>
  <c r="AO253" i="49"/>
  <c r="AO18" i="49"/>
  <c r="AO34" i="49"/>
  <c r="AO50" i="49"/>
  <c r="AO66" i="49"/>
  <c r="AO82" i="49"/>
  <c r="AO98" i="49"/>
  <c r="AO114" i="49"/>
  <c r="AO130" i="49"/>
  <c r="AO146" i="49"/>
  <c r="AO162" i="49"/>
  <c r="AO174" i="49"/>
  <c r="AO190" i="49"/>
  <c r="AO207" i="49"/>
  <c r="AO245" i="49"/>
  <c r="AO224" i="49"/>
  <c r="AO7" i="49"/>
  <c r="AO23" i="49"/>
  <c r="AO39" i="49"/>
  <c r="AO55" i="49"/>
  <c r="AO71" i="49"/>
  <c r="AO87" i="49"/>
  <c r="AO103" i="49"/>
  <c r="AO119" i="49"/>
  <c r="AO135" i="49"/>
  <c r="AO151" i="49"/>
  <c r="AO167" i="49"/>
  <c r="AO179" i="49"/>
  <c r="AO195" i="49"/>
  <c r="AO217" i="49"/>
  <c r="AO246" i="49"/>
  <c r="AO235" i="49"/>
  <c r="AG75" i="49"/>
  <c r="AO12" i="49"/>
  <c r="AO28" i="49"/>
  <c r="AO44" i="49"/>
  <c r="AO60" i="49"/>
  <c r="AO76" i="49"/>
  <c r="AO92" i="49"/>
  <c r="AO108" i="49"/>
  <c r="AO124" i="49"/>
  <c r="AO140" i="49"/>
  <c r="AO156" i="49"/>
  <c r="AO240" i="49"/>
  <c r="AO184" i="49"/>
  <c r="AO200" i="49"/>
  <c r="AO227" i="49"/>
  <c r="AO212" i="49"/>
  <c r="AO252" i="49"/>
  <c r="AO17" i="49"/>
  <c r="AO33" i="49"/>
  <c r="AO49" i="49"/>
  <c r="AO65" i="49"/>
  <c r="AO81" i="49"/>
  <c r="AO97" i="49"/>
  <c r="AO113" i="49"/>
  <c r="AO129" i="49"/>
  <c r="AO145" i="49"/>
  <c r="AO161" i="49"/>
  <c r="AO173" i="49"/>
  <c r="AO189" i="49"/>
  <c r="AO205" i="49"/>
  <c r="AO241" i="49"/>
  <c r="AO222" i="49"/>
  <c r="AO6" i="49"/>
  <c r="AO22" i="49"/>
  <c r="AO38" i="49"/>
  <c r="AO54" i="49"/>
  <c r="AO70" i="49"/>
  <c r="AO86" i="49"/>
  <c r="AO102" i="49"/>
  <c r="AO118" i="49"/>
  <c r="AO134" i="49"/>
  <c r="AO150" i="49"/>
  <c r="AO166" i="49"/>
  <c r="AO178" i="49"/>
  <c r="AO194" i="49"/>
  <c r="AO215" i="49"/>
  <c r="AO242" i="49"/>
  <c r="AO232" i="49"/>
  <c r="AO11" i="49"/>
  <c r="AO27" i="49"/>
  <c r="AO43" i="49"/>
  <c r="AO59" i="49"/>
  <c r="AO75" i="49"/>
  <c r="AO91" i="49"/>
  <c r="AO107" i="49"/>
  <c r="AO123" i="49"/>
  <c r="AO139" i="49"/>
  <c r="AO155" i="49"/>
  <c r="AO236" i="49"/>
  <c r="AO183" i="49"/>
  <c r="AO199" i="49"/>
  <c r="AO225" i="49"/>
  <c r="AO210" i="49"/>
  <c r="AW126" i="49"/>
  <c r="AW250" i="49"/>
  <c r="AW40" i="49"/>
  <c r="AW123" i="49"/>
  <c r="AW253" i="49"/>
  <c r="AW100" i="49"/>
  <c r="AW164" i="49"/>
  <c r="AW251" i="49"/>
  <c r="AW60" i="49"/>
  <c r="AW144" i="49"/>
  <c r="AW214" i="49"/>
  <c r="AW173" i="49"/>
  <c r="AY182" i="49"/>
  <c r="AY22" i="49"/>
  <c r="AY96" i="49"/>
  <c r="AY174" i="49"/>
  <c r="AY14" i="49"/>
  <c r="AY88" i="49"/>
  <c r="AY73" i="49"/>
  <c r="AY253" i="49"/>
  <c r="AY226" i="49"/>
  <c r="AY83" i="49"/>
  <c r="AY15" i="49"/>
  <c r="AY175" i="49"/>
  <c r="AY98" i="49"/>
  <c r="AY25" i="49"/>
  <c r="AY185" i="49"/>
  <c r="AY97" i="49"/>
  <c r="AY24" i="49"/>
  <c r="AY184" i="49"/>
  <c r="AH245" i="49"/>
  <c r="AH229" i="49"/>
  <c r="AH213" i="49"/>
  <c r="AH199" i="49"/>
  <c r="AH183" i="49"/>
  <c r="AH167" i="49"/>
  <c r="AH151" i="49"/>
  <c r="AH135" i="49"/>
  <c r="AH119" i="49"/>
  <c r="AH103" i="49"/>
  <c r="AH87" i="49"/>
  <c r="AH71" i="49"/>
  <c r="AH55" i="49"/>
  <c r="AH39" i="49"/>
  <c r="AH23" i="49"/>
  <c r="AH7" i="49"/>
  <c r="AH240" i="49"/>
  <c r="AH224" i="49"/>
  <c r="AH208" i="49"/>
  <c r="AH194" i="49"/>
  <c r="AH178" i="49"/>
  <c r="AH162" i="49"/>
  <c r="AH146" i="49"/>
  <c r="AH130" i="49"/>
  <c r="AH114" i="49"/>
  <c r="AH98" i="49"/>
  <c r="AH82" i="49"/>
  <c r="AH66" i="49"/>
  <c r="AH50" i="49"/>
  <c r="AH34" i="49"/>
  <c r="AH18" i="49"/>
  <c r="AH251" i="49"/>
  <c r="AH235" i="49"/>
  <c r="AH219" i="49"/>
  <c r="AH205" i="49"/>
  <c r="AH189" i="49"/>
  <c r="AH173" i="49"/>
  <c r="AH157" i="49"/>
  <c r="AH141" i="49"/>
  <c r="AH121" i="49"/>
  <c r="AH109" i="49"/>
  <c r="AH93" i="49"/>
  <c r="AH77" i="49"/>
  <c r="AH59" i="49"/>
  <c r="AH45" i="49"/>
  <c r="AH29" i="49"/>
  <c r="AH13" i="49"/>
  <c r="AH246" i="49"/>
  <c r="AH230" i="49"/>
  <c r="AH214" i="49"/>
  <c r="AH200" i="49"/>
  <c r="AH184" i="49"/>
  <c r="AH168" i="49"/>
  <c r="AH152" i="49"/>
  <c r="AH136" i="49"/>
  <c r="AH120" i="49"/>
  <c r="AH104" i="49"/>
  <c r="AH88" i="49"/>
  <c r="AH72" i="49"/>
  <c r="AH56" i="49"/>
  <c r="AH40" i="49"/>
  <c r="AH24" i="49"/>
  <c r="AH8" i="49"/>
  <c r="AH241" i="49"/>
  <c r="AH225" i="49"/>
  <c r="AH209" i="49"/>
  <c r="AH195" i="49"/>
  <c r="AH179" i="49"/>
  <c r="AH163" i="49"/>
  <c r="AH147" i="49"/>
  <c r="AH131" i="49"/>
  <c r="AH115" i="49"/>
  <c r="AH99" i="49"/>
  <c r="AH83" i="49"/>
  <c r="AH67" i="49"/>
  <c r="AH51" i="49"/>
  <c r="AH35" i="49"/>
  <c r="AH19" i="49"/>
  <c r="AH252" i="49"/>
  <c r="AH236" i="49"/>
  <c r="AH220" i="49"/>
  <c r="AH253" i="49"/>
  <c r="AH190" i="49"/>
  <c r="AH174" i="49"/>
  <c r="AH158" i="49"/>
  <c r="AH142" i="49"/>
  <c r="AH126" i="49"/>
  <c r="AH110" i="49"/>
  <c r="AH94" i="49"/>
  <c r="AH78" i="49"/>
  <c r="AH61" i="49"/>
  <c r="AH46" i="49"/>
  <c r="AH30" i="49"/>
  <c r="AH14" i="49"/>
  <c r="AH247" i="49"/>
  <c r="AH231" i="49"/>
  <c r="AH215" i="49"/>
  <c r="AH201" i="49"/>
  <c r="AH185" i="49"/>
  <c r="AH169" i="49"/>
  <c r="AH153" i="49"/>
  <c r="AH137" i="49"/>
  <c r="AH122" i="49"/>
  <c r="AH105" i="49"/>
  <c r="AH89" i="49"/>
  <c r="AH73" i="49"/>
  <c r="AH58" i="49"/>
  <c r="AH41" i="49"/>
  <c r="AH25" i="49"/>
  <c r="AH9" i="49"/>
  <c r="AH242" i="49"/>
  <c r="AH226" i="49"/>
  <c r="AH210" i="49"/>
  <c r="AH196" i="49"/>
  <c r="AH180" i="49"/>
  <c r="AH164" i="49"/>
  <c r="AH148" i="49"/>
  <c r="AH132" i="49"/>
  <c r="AH116" i="49"/>
  <c r="AH100" i="49"/>
  <c r="AH84" i="49"/>
  <c r="AH68" i="49"/>
  <c r="AH52" i="49"/>
  <c r="AH36" i="49"/>
  <c r="AH20" i="49"/>
  <c r="AH4" i="49"/>
  <c r="AH255" i="49"/>
  <c r="AH237" i="49"/>
  <c r="AH221" i="49"/>
  <c r="AH254" i="49"/>
  <c r="AH191" i="49"/>
  <c r="AH175" i="49"/>
  <c r="AH159" i="49"/>
  <c r="AH143" i="49"/>
  <c r="AH125" i="49"/>
  <c r="AH111" i="49"/>
  <c r="AH95" i="49"/>
  <c r="AH79" i="49"/>
  <c r="AH63" i="49"/>
  <c r="AH47" i="49"/>
  <c r="AH31" i="49"/>
  <c r="AH15" i="49"/>
  <c r="AH248" i="49"/>
  <c r="AH232" i="49"/>
  <c r="AH216" i="49"/>
  <c r="AH202" i="49"/>
  <c r="AH186" i="49"/>
  <c r="AH170" i="49"/>
  <c r="AH154" i="49"/>
  <c r="AH138" i="49"/>
  <c r="AH124" i="49"/>
  <c r="AH106" i="49"/>
  <c r="AH90" i="49"/>
  <c r="AH74" i="49"/>
  <c r="AH60" i="49"/>
  <c r="AH42" i="49"/>
  <c r="AH26" i="49"/>
  <c r="AH10" i="49"/>
  <c r="AH243" i="49"/>
  <c r="AH227" i="49"/>
  <c r="AH211" i="49"/>
  <c r="AH197" i="49"/>
  <c r="AH181" i="49"/>
  <c r="AH165" i="49"/>
  <c r="AH149" i="49"/>
  <c r="AH133" i="49"/>
  <c r="AH117" i="49"/>
  <c r="AH101" i="49"/>
  <c r="AH85" i="49"/>
  <c r="AH69" i="49"/>
  <c r="AH53" i="49"/>
  <c r="AH37" i="49"/>
  <c r="AH21" i="49"/>
  <c r="AH5" i="49"/>
  <c r="AH238" i="49"/>
  <c r="AH222" i="49"/>
  <c r="AH206" i="49"/>
  <c r="AH192" i="49"/>
  <c r="AH176" i="49"/>
  <c r="AH160" i="49"/>
  <c r="AH144" i="49"/>
  <c r="AH128" i="49"/>
  <c r="AH112" i="49"/>
  <c r="AH96" i="49"/>
  <c r="AH80" i="49"/>
  <c r="AH64" i="49"/>
  <c r="AH48" i="49"/>
  <c r="AH32" i="49"/>
  <c r="AH16" i="49"/>
  <c r="AW249" i="49"/>
  <c r="AW127" i="49"/>
  <c r="AW117" i="49"/>
  <c r="AW213" i="49"/>
  <c r="AW39" i="49"/>
  <c r="AW41" i="49"/>
  <c r="AW122" i="49"/>
  <c r="AW124" i="49"/>
  <c r="AW215" i="49"/>
  <c r="AW17" i="49"/>
  <c r="AW99" i="49"/>
  <c r="AW101" i="49"/>
  <c r="AW162" i="49"/>
  <c r="AW166" i="49"/>
  <c r="AW247" i="49"/>
  <c r="AY255" i="49"/>
  <c r="AY157" i="49"/>
  <c r="AY84" i="49"/>
  <c r="AY58" i="49"/>
  <c r="AY153" i="49"/>
  <c r="AY80" i="49"/>
  <c r="AY5" i="49"/>
  <c r="AY149" i="49"/>
  <c r="AY76" i="49"/>
  <c r="AY252" i="49"/>
  <c r="AY145" i="49"/>
  <c r="AY72" i="49"/>
  <c r="AY11" i="49"/>
  <c r="AY106" i="49"/>
  <c r="AY171" i="49"/>
  <c r="AY16" i="49"/>
  <c r="AY160" i="49"/>
  <c r="AY176" i="49"/>
  <c r="AY21" i="49"/>
  <c r="AY159" i="49"/>
  <c r="AY181" i="49"/>
  <c r="AY31" i="49"/>
  <c r="AY118" i="49"/>
  <c r="AY191" i="49"/>
  <c r="AY36" i="49"/>
  <c r="AY123" i="49"/>
  <c r="AY196" i="49"/>
  <c r="AY41" i="49"/>
  <c r="AY128" i="49"/>
  <c r="AY201" i="49"/>
  <c r="AY35" i="49"/>
  <c r="AY122" i="49"/>
  <c r="AY195" i="49"/>
  <c r="AY40" i="49"/>
  <c r="AY127" i="49"/>
  <c r="AY200" i="49"/>
  <c r="AY45" i="49"/>
  <c r="AY132" i="49"/>
  <c r="AY205" i="49"/>
  <c r="AY55" i="49"/>
  <c r="AY142" i="49"/>
  <c r="AY246" i="49"/>
  <c r="AY109" i="49"/>
  <c r="AY147" i="49"/>
  <c r="AY229" i="49"/>
  <c r="AY63" i="49"/>
  <c r="AY152" i="49"/>
  <c r="AY239" i="49"/>
  <c r="AY238" i="49"/>
  <c r="AY141" i="49"/>
  <c r="AY68" i="49"/>
  <c r="AY213" i="49"/>
  <c r="AY137" i="49"/>
  <c r="AY64" i="49"/>
  <c r="AY206" i="49"/>
  <c r="AY133" i="49"/>
  <c r="AY60" i="49"/>
  <c r="AY202" i="49"/>
  <c r="AY129" i="49"/>
  <c r="AY105" i="49"/>
  <c r="AY43" i="49"/>
  <c r="AY114" i="49"/>
  <c r="AY187" i="49"/>
  <c r="AY48" i="49"/>
  <c r="AY119" i="49"/>
  <c r="AY192" i="49"/>
  <c r="AY53" i="49"/>
  <c r="AY124" i="49"/>
  <c r="AY197" i="49"/>
  <c r="AY61" i="49"/>
  <c r="AY134" i="49"/>
  <c r="AY207" i="49"/>
  <c r="AY66" i="49"/>
  <c r="AY139" i="49"/>
  <c r="AY222" i="49"/>
  <c r="AY71" i="49"/>
  <c r="AY144" i="49"/>
  <c r="AY223" i="49"/>
  <c r="AY65" i="49"/>
  <c r="AY138" i="49"/>
  <c r="AY217" i="49"/>
  <c r="AY70" i="49"/>
  <c r="AY143" i="49"/>
  <c r="AY221" i="49"/>
  <c r="AY75" i="49"/>
  <c r="AY148" i="49"/>
  <c r="AY231" i="49"/>
  <c r="AY85" i="49"/>
  <c r="AY210" i="49"/>
  <c r="AY249" i="49"/>
  <c r="AY90" i="49"/>
  <c r="AY236" i="49"/>
  <c r="AY254" i="49"/>
  <c r="AY95" i="49"/>
  <c r="AY234" i="49"/>
  <c r="U250" i="49"/>
  <c r="U218" i="49"/>
  <c r="U210" i="49"/>
  <c r="U190" i="49"/>
  <c r="U168" i="49"/>
  <c r="U149" i="49"/>
  <c r="U133" i="49"/>
  <c r="U117" i="49"/>
  <c r="U102" i="49"/>
  <c r="U86" i="49"/>
  <c r="U70" i="49"/>
  <c r="U54" i="49"/>
  <c r="U38" i="49"/>
  <c r="U22" i="49"/>
  <c r="U4" i="49"/>
  <c r="U228" i="49"/>
  <c r="U243" i="49"/>
  <c r="U209" i="49"/>
  <c r="U193" i="49"/>
  <c r="U177" i="49"/>
  <c r="U163" i="49"/>
  <c r="U144" i="49"/>
  <c r="U128" i="49"/>
  <c r="U110" i="49"/>
  <c r="U97" i="49"/>
  <c r="U81" i="49"/>
  <c r="U65" i="49"/>
  <c r="U49" i="49"/>
  <c r="U33" i="49"/>
  <c r="U246" i="49"/>
  <c r="U245" i="49"/>
  <c r="U206" i="49"/>
  <c r="U186" i="49"/>
  <c r="U165" i="49"/>
  <c r="U145" i="49"/>
  <c r="U129" i="49"/>
  <c r="U112" i="49"/>
  <c r="U98" i="49"/>
  <c r="U82" i="49"/>
  <c r="U66" i="49"/>
  <c r="U50" i="49"/>
  <c r="U34" i="49"/>
  <c r="U18" i="49"/>
  <c r="U252" i="49"/>
  <c r="U255" i="49"/>
  <c r="U235" i="49"/>
  <c r="U205" i="49"/>
  <c r="U189" i="49"/>
  <c r="U173" i="49"/>
  <c r="U156" i="49"/>
  <c r="U140" i="49"/>
  <c r="U124" i="49"/>
  <c r="U114" i="49"/>
  <c r="U93" i="49"/>
  <c r="U77" i="49"/>
  <c r="U62" i="49"/>
  <c r="U45" i="49"/>
  <c r="U29" i="49"/>
  <c r="U13" i="49"/>
  <c r="AW254" i="49"/>
  <c r="AW42" i="49"/>
  <c r="AW209" i="49"/>
  <c r="AW190" i="49"/>
  <c r="AW191" i="49"/>
  <c r="AW208" i="49"/>
  <c r="AW35" i="49"/>
  <c r="AW36" i="49"/>
  <c r="AW37" i="49"/>
  <c r="AW157" i="49"/>
  <c r="AW103" i="49"/>
  <c r="AW105" i="49"/>
  <c r="AW107" i="49"/>
  <c r="AW193" i="49"/>
  <c r="AW186" i="49"/>
  <c r="AW187" i="49"/>
  <c r="AW188" i="49"/>
  <c r="AW255" i="49"/>
  <c r="AW10" i="49"/>
  <c r="AW62" i="49"/>
  <c r="AW64" i="49"/>
  <c r="AW81" i="49"/>
  <c r="AW98" i="49"/>
  <c r="AW167" i="49"/>
  <c r="AW169" i="49"/>
  <c r="AW158" i="49"/>
  <c r="AW133" i="49"/>
  <c r="AW216" i="49"/>
  <c r="AW217" i="49"/>
  <c r="AW218" i="49"/>
  <c r="AW54" i="49"/>
  <c r="AW57" i="49"/>
  <c r="AW59" i="49"/>
  <c r="AY248" i="49"/>
  <c r="AY224" i="49"/>
  <c r="AY161" i="49"/>
  <c r="AY56" i="49"/>
  <c r="AY241" i="49"/>
  <c r="AY242" i="49"/>
  <c r="AY164" i="49"/>
  <c r="AY50" i="49"/>
  <c r="AY233" i="49"/>
  <c r="AY215" i="49"/>
  <c r="AY112" i="49"/>
  <c r="AY46" i="49"/>
  <c r="AY225" i="49"/>
  <c r="AY220" i="49"/>
  <c r="AY104" i="49"/>
  <c r="AY42" i="49"/>
  <c r="AY27" i="49"/>
  <c r="AY89" i="49"/>
  <c r="AY146" i="49"/>
  <c r="AY203" i="49"/>
  <c r="AY32" i="49"/>
  <c r="AY94" i="49"/>
  <c r="AY151" i="49"/>
  <c r="AY208" i="49"/>
  <c r="AY37" i="49"/>
  <c r="AY99" i="49"/>
  <c r="AY156" i="49"/>
  <c r="AY230" i="49"/>
  <c r="AY47" i="49"/>
  <c r="AY158" i="49"/>
  <c r="AY219" i="49"/>
  <c r="AY235" i="49"/>
  <c r="AY52" i="49"/>
  <c r="AY168" i="49"/>
  <c r="AY214" i="49"/>
  <c r="AY245" i="49"/>
  <c r="AY59" i="49"/>
  <c r="AY167" i="49"/>
  <c r="AY169" i="49"/>
  <c r="AY251" i="49"/>
  <c r="AY51" i="49"/>
  <c r="AY166" i="49"/>
  <c r="AY211" i="49"/>
  <c r="AY243" i="49"/>
  <c r="AY57" i="49"/>
  <c r="AY165" i="49"/>
  <c r="AY240" i="49"/>
  <c r="AY250" i="49"/>
  <c r="AY111" i="49"/>
  <c r="AY116" i="49"/>
  <c r="AY173" i="49"/>
  <c r="AY7" i="49"/>
  <c r="AY69" i="49"/>
  <c r="AY126" i="49"/>
  <c r="AY183" i="49"/>
  <c r="AY12" i="49"/>
  <c r="AY74" i="49"/>
  <c r="AY131" i="49"/>
  <c r="AY188" i="49"/>
  <c r="AY17" i="49"/>
  <c r="AY79" i="49"/>
  <c r="AY136" i="49"/>
  <c r="AY193" i="49"/>
  <c r="U238" i="49"/>
  <c r="U214" i="49"/>
  <c r="U221" i="49"/>
  <c r="U198" i="49"/>
  <c r="U182" i="49"/>
  <c r="U160" i="49"/>
  <c r="I7" i="49"/>
  <c r="I23" i="49"/>
  <c r="I39" i="49"/>
  <c r="I55" i="49"/>
  <c r="I71" i="49"/>
  <c r="I87" i="49"/>
  <c r="I103" i="49"/>
  <c r="I119" i="49"/>
  <c r="I134" i="49"/>
  <c r="I150" i="49"/>
  <c r="I166" i="49"/>
  <c r="I178" i="49"/>
  <c r="I194" i="49"/>
  <c r="I213" i="49"/>
  <c r="I239" i="49"/>
  <c r="I232" i="49"/>
  <c r="I8" i="49"/>
  <c r="I24" i="49"/>
  <c r="I40" i="49"/>
  <c r="I56" i="49"/>
  <c r="I72" i="49"/>
  <c r="I88" i="49"/>
  <c r="I104" i="49"/>
  <c r="I171" i="49"/>
  <c r="I135" i="49"/>
  <c r="I151" i="49"/>
  <c r="I167" i="49"/>
  <c r="I179" i="49"/>
  <c r="I195" i="49"/>
  <c r="I215" i="49"/>
  <c r="I243" i="49"/>
  <c r="I236" i="49"/>
  <c r="I13" i="49"/>
  <c r="I29" i="49"/>
  <c r="I45" i="49"/>
  <c r="I61" i="49"/>
  <c r="I77" i="49"/>
  <c r="I93" i="49"/>
  <c r="I109" i="49"/>
  <c r="I124" i="49"/>
  <c r="I140" i="49"/>
  <c r="I156" i="49"/>
  <c r="I237" i="49"/>
  <c r="I184" i="49"/>
  <c r="I200" i="49"/>
  <c r="I225" i="49"/>
  <c r="I212" i="49"/>
  <c r="I253" i="49"/>
  <c r="I18" i="49"/>
  <c r="I34" i="49"/>
  <c r="I50" i="49"/>
  <c r="I66" i="49"/>
  <c r="I82" i="49"/>
  <c r="I98" i="49"/>
  <c r="I114" i="49"/>
  <c r="I129" i="49"/>
  <c r="I145" i="49"/>
  <c r="I161" i="49"/>
  <c r="I173" i="49"/>
  <c r="I189" i="49"/>
  <c r="I205" i="49"/>
  <c r="I238" i="49"/>
  <c r="I222" i="49"/>
  <c r="E123" i="49"/>
  <c r="E249" i="49"/>
  <c r="E128" i="49"/>
  <c r="E6" i="49"/>
  <c r="E133" i="49"/>
  <c r="E11" i="49"/>
  <c r="E138" i="49"/>
  <c r="I11" i="49"/>
  <c r="I27" i="49"/>
  <c r="I43" i="49"/>
  <c r="I59" i="49"/>
  <c r="I75" i="49"/>
  <c r="I91" i="49"/>
  <c r="I107" i="49"/>
  <c r="I122" i="49"/>
  <c r="I138" i="49"/>
  <c r="I154" i="49"/>
  <c r="I170" i="49"/>
  <c r="I182" i="49"/>
  <c r="I198" i="49"/>
  <c r="I221" i="49"/>
  <c r="I208" i="49"/>
  <c r="I248" i="49"/>
  <c r="I12" i="49"/>
  <c r="I28" i="49"/>
  <c r="I44" i="49"/>
  <c r="I60" i="49"/>
  <c r="I76" i="49"/>
  <c r="I92" i="49"/>
  <c r="I108" i="49"/>
  <c r="I123" i="49"/>
  <c r="I139" i="49"/>
  <c r="I155" i="49"/>
  <c r="I233" i="49"/>
  <c r="I183" i="49"/>
  <c r="I199" i="49"/>
  <c r="I223" i="49"/>
  <c r="I210" i="49"/>
  <c r="I252" i="49"/>
  <c r="I17" i="49"/>
  <c r="I33" i="49"/>
  <c r="I49" i="49"/>
  <c r="I65" i="49"/>
  <c r="I81" i="49"/>
  <c r="I97" i="49"/>
  <c r="I113" i="49"/>
  <c r="I128" i="49"/>
  <c r="I144" i="49"/>
  <c r="I160" i="49"/>
  <c r="I172" i="49"/>
  <c r="I188" i="49"/>
  <c r="I204" i="49"/>
  <c r="I234" i="49"/>
  <c r="I220" i="49"/>
  <c r="I6" i="49"/>
  <c r="I22" i="49"/>
  <c r="I38" i="49"/>
  <c r="I54" i="49"/>
  <c r="I70" i="49"/>
  <c r="I86" i="49"/>
  <c r="I102" i="49"/>
  <c r="I118" i="49"/>
  <c r="I133" i="49"/>
  <c r="I149" i="49"/>
  <c r="I165" i="49"/>
  <c r="I177" i="49"/>
  <c r="I193" i="49"/>
  <c r="I211" i="49"/>
  <c r="I235" i="49"/>
  <c r="I230" i="49"/>
  <c r="E44" i="49"/>
  <c r="E234" i="49"/>
  <c r="E49" i="49"/>
  <c r="E172" i="49"/>
  <c r="E54" i="49"/>
  <c r="E177" i="49"/>
  <c r="E59" i="49"/>
  <c r="E182" i="49"/>
  <c r="I19" i="49"/>
  <c r="I35" i="49"/>
  <c r="I51" i="49"/>
  <c r="I67" i="49"/>
  <c r="I83" i="49"/>
  <c r="I99" i="49"/>
  <c r="I115" i="49"/>
  <c r="I130" i="49"/>
  <c r="I146" i="49"/>
  <c r="I162" i="49"/>
  <c r="I174" i="49"/>
  <c r="I190" i="49"/>
  <c r="I206" i="49"/>
  <c r="I242" i="49"/>
  <c r="I224" i="49"/>
  <c r="I4" i="49"/>
  <c r="I20" i="49"/>
  <c r="I36" i="49"/>
  <c r="I52" i="49"/>
  <c r="I68" i="49"/>
  <c r="I84" i="49"/>
  <c r="I100" i="49"/>
  <c r="I116" i="49"/>
  <c r="I131" i="49"/>
  <c r="I147" i="49"/>
  <c r="I163" i="49"/>
  <c r="I175" i="49"/>
  <c r="I191" i="49"/>
  <c r="I207" i="49"/>
  <c r="I246" i="49"/>
  <c r="I226" i="49"/>
  <c r="I9" i="49"/>
  <c r="I25" i="49"/>
  <c r="I41" i="49"/>
  <c r="I57" i="49"/>
  <c r="I73" i="49"/>
  <c r="I89" i="49"/>
  <c r="I105" i="49"/>
  <c r="I120" i="49"/>
  <c r="I136" i="49"/>
  <c r="I152" i="49"/>
  <c r="I168" i="49"/>
  <c r="I180" i="49"/>
  <c r="I196" i="49"/>
  <c r="I217" i="49"/>
  <c r="I247" i="49"/>
  <c r="I240" i="49"/>
  <c r="I14" i="49"/>
  <c r="I30" i="49"/>
  <c r="I46" i="49"/>
  <c r="I62" i="49"/>
  <c r="I78" i="49"/>
  <c r="I94" i="49"/>
  <c r="I110" i="49"/>
  <c r="I125" i="49"/>
  <c r="I141" i="49"/>
  <c r="I157" i="49"/>
  <c r="I241" i="49"/>
  <c r="I185" i="49"/>
  <c r="I201" i="49"/>
  <c r="I227" i="49"/>
  <c r="I214" i="49"/>
  <c r="E108" i="49"/>
  <c r="E209" i="49"/>
  <c r="E113" i="49"/>
  <c r="E219" i="49"/>
  <c r="E118" i="49"/>
  <c r="E229" i="49"/>
  <c r="E122" i="49"/>
  <c r="E245" i="49"/>
  <c r="Y213" i="49"/>
  <c r="Y157" i="49"/>
  <c r="Y246" i="49"/>
  <c r="Y148" i="49"/>
  <c r="Y55" i="49"/>
  <c r="Y7" i="49"/>
  <c r="BB84" i="49"/>
  <c r="Y76" i="49"/>
  <c r="Y147" i="49"/>
  <c r="Y124" i="49"/>
  <c r="Y243" i="49"/>
  <c r="Y135" i="49"/>
  <c r="Y88" i="49"/>
  <c r="Y219" i="49"/>
  <c r="W223" i="49"/>
  <c r="B239" i="49"/>
  <c r="B254" i="49"/>
  <c r="AG6" i="49"/>
  <c r="AG11" i="49"/>
  <c r="AG12" i="49"/>
  <c r="AG29" i="49"/>
  <c r="J15" i="49"/>
  <c r="C15" i="49"/>
  <c r="B244" i="49"/>
  <c r="AG133" i="49"/>
  <c r="AG138" i="49"/>
  <c r="AG139" i="49"/>
  <c r="AG160" i="49"/>
  <c r="J5" i="49"/>
  <c r="C38" i="49"/>
  <c r="B249" i="49"/>
  <c r="AG193" i="49"/>
  <c r="AG198" i="49"/>
  <c r="AG199" i="49"/>
  <c r="AG239" i="49"/>
  <c r="J10" i="49"/>
  <c r="C13" i="49"/>
  <c r="W107" i="49"/>
  <c r="W230" i="49"/>
  <c r="W84" i="49"/>
  <c r="W14" i="49"/>
  <c r="W6" i="49"/>
  <c r="W33" i="49"/>
  <c r="W16" i="49"/>
  <c r="W229" i="49"/>
  <c r="W134" i="49"/>
  <c r="W172" i="49"/>
  <c r="AX139" i="49"/>
  <c r="W237" i="49"/>
  <c r="W221" i="49"/>
  <c r="W153" i="49"/>
  <c r="W203" i="49"/>
  <c r="B176" i="49"/>
  <c r="B181" i="49"/>
  <c r="B186" i="49"/>
  <c r="B191" i="49"/>
  <c r="AG9" i="49"/>
  <c r="AG54" i="49"/>
  <c r="AG118" i="49"/>
  <c r="AG177" i="49"/>
  <c r="AG230" i="49"/>
  <c r="AG59" i="49"/>
  <c r="AG122" i="49"/>
  <c r="AG182" i="49"/>
  <c r="AG245" i="49"/>
  <c r="AG60" i="49"/>
  <c r="AG123" i="49"/>
  <c r="AG183" i="49"/>
  <c r="AG249" i="49"/>
  <c r="AG81" i="49"/>
  <c r="AG144" i="49"/>
  <c r="AG204" i="49"/>
  <c r="J191" i="49"/>
  <c r="J196" i="49"/>
  <c r="J201" i="49"/>
  <c r="J206" i="49"/>
  <c r="C48" i="49"/>
  <c r="C18" i="49"/>
  <c r="C242" i="49"/>
  <c r="C27" i="49"/>
  <c r="B48" i="49"/>
  <c r="B53" i="49"/>
  <c r="B59" i="49"/>
  <c r="B63" i="49"/>
  <c r="AG22" i="49"/>
  <c r="AG86" i="49"/>
  <c r="AG149" i="49"/>
  <c r="AG213" i="49"/>
  <c r="AG27" i="49"/>
  <c r="AG91" i="49"/>
  <c r="AG154" i="49"/>
  <c r="AG223" i="49"/>
  <c r="AG28" i="49"/>
  <c r="AG92" i="49"/>
  <c r="AG155" i="49"/>
  <c r="AG225" i="49"/>
  <c r="AG45" i="49"/>
  <c r="AG113" i="49"/>
  <c r="AG172" i="49"/>
  <c r="AG220" i="49"/>
  <c r="J64" i="49"/>
  <c r="J69" i="49"/>
  <c r="J74" i="49"/>
  <c r="J79" i="49"/>
  <c r="C58" i="49"/>
  <c r="C33" i="49"/>
  <c r="C8" i="49"/>
  <c r="C19" i="49"/>
  <c r="B112" i="49"/>
  <c r="B117" i="49"/>
  <c r="B123" i="49"/>
  <c r="B128" i="49"/>
  <c r="AG38" i="49"/>
  <c r="AG102" i="49"/>
  <c r="AG165" i="49"/>
  <c r="AG240" i="49"/>
  <c r="AG43" i="49"/>
  <c r="AG107" i="49"/>
  <c r="AG170" i="49"/>
  <c r="AG208" i="49"/>
  <c r="AG44" i="49"/>
  <c r="AG108" i="49"/>
  <c r="AG234" i="49"/>
  <c r="AG210" i="49"/>
  <c r="AG65" i="49"/>
  <c r="AG128" i="49"/>
  <c r="AG188" i="49"/>
  <c r="J125" i="49"/>
  <c r="J133" i="49"/>
  <c r="J138" i="49"/>
  <c r="J143" i="49"/>
  <c r="C53" i="49"/>
  <c r="C28" i="49"/>
  <c r="C247" i="49"/>
  <c r="C23" i="49"/>
  <c r="W194" i="49"/>
  <c r="W181" i="49"/>
  <c r="W174" i="49"/>
  <c r="W234" i="49"/>
  <c r="W219" i="49"/>
  <c r="W244" i="49"/>
  <c r="W156" i="49"/>
  <c r="W215" i="49"/>
  <c r="W46" i="49"/>
  <c r="W226" i="49"/>
  <c r="W64" i="49"/>
  <c r="W179" i="49"/>
  <c r="W89" i="49"/>
  <c r="W220" i="49"/>
  <c r="W161" i="49"/>
  <c r="W208" i="49"/>
  <c r="AX175" i="49"/>
  <c r="W136" i="49"/>
  <c r="W123" i="49"/>
  <c r="W116" i="49"/>
  <c r="W160" i="49"/>
  <c r="W103" i="49"/>
  <c r="W108" i="49"/>
  <c r="W99" i="49"/>
  <c r="W102" i="49"/>
  <c r="W77" i="49"/>
  <c r="W192" i="49"/>
  <c r="W96" i="49"/>
  <c r="W241" i="49"/>
  <c r="W114" i="49"/>
  <c r="W21" i="49"/>
  <c r="W141" i="49"/>
  <c r="W199" i="49"/>
  <c r="W79" i="49"/>
  <c r="W66" i="49"/>
  <c r="W111" i="49"/>
  <c r="W47" i="49"/>
  <c r="W40" i="49"/>
  <c r="W43" i="49"/>
  <c r="W36" i="49"/>
  <c r="W39" i="49"/>
  <c r="W158" i="49"/>
  <c r="W5" i="49"/>
  <c r="W121" i="49"/>
  <c r="W26" i="49"/>
  <c r="W146" i="49"/>
  <c r="W53" i="49"/>
  <c r="W232" i="49"/>
  <c r="W248" i="49"/>
  <c r="W178" i="49"/>
  <c r="W120" i="49"/>
  <c r="W63" i="49"/>
  <c r="W245" i="49"/>
  <c r="W217" i="49"/>
  <c r="W168" i="49"/>
  <c r="W51" i="49"/>
  <c r="W231" i="49"/>
  <c r="W214" i="49"/>
  <c r="W110" i="49"/>
  <c r="W44" i="49"/>
  <c r="W209" i="49"/>
  <c r="W151" i="49"/>
  <c r="W94" i="49"/>
  <c r="W31" i="49"/>
  <c r="W202" i="49"/>
  <c r="W144" i="49"/>
  <c r="W87" i="49"/>
  <c r="W24" i="49"/>
  <c r="W205" i="49"/>
  <c r="W147" i="49"/>
  <c r="W90" i="49"/>
  <c r="W27" i="49"/>
  <c r="W198" i="49"/>
  <c r="W140" i="49"/>
  <c r="W83" i="49"/>
  <c r="W20" i="49"/>
  <c r="W201" i="49"/>
  <c r="W143" i="49"/>
  <c r="W86" i="49"/>
  <c r="W23" i="49"/>
  <c r="W22" i="49"/>
  <c r="W54" i="49"/>
  <c r="W85" i="49"/>
  <c r="W163" i="49"/>
  <c r="W142" i="49"/>
  <c r="W240" i="49"/>
  <c r="W204" i="49"/>
  <c r="W9" i="49"/>
  <c r="W41" i="49"/>
  <c r="W72" i="49"/>
  <c r="W104" i="49"/>
  <c r="W129" i="49"/>
  <c r="W228" i="49"/>
  <c r="W187" i="49"/>
  <c r="W4" i="49"/>
  <c r="W34" i="49"/>
  <c r="W65" i="49"/>
  <c r="W97" i="49"/>
  <c r="W122" i="49"/>
  <c r="W154" i="49"/>
  <c r="W180" i="49"/>
  <c r="W243" i="49"/>
  <c r="W29" i="49"/>
  <c r="W60" i="49"/>
  <c r="W92" i="49"/>
  <c r="W117" i="49"/>
  <c r="W149" i="49"/>
  <c r="W175" i="49"/>
  <c r="W225" i="49"/>
  <c r="W246" i="49"/>
  <c r="W207" i="49"/>
  <c r="W255" i="49"/>
  <c r="AX23" i="49"/>
  <c r="AX163" i="49"/>
  <c r="W239" i="49"/>
  <c r="W242" i="49"/>
  <c r="W162" i="49"/>
  <c r="W48" i="49"/>
  <c r="W222" i="49"/>
  <c r="W155" i="49"/>
  <c r="W98" i="49"/>
  <c r="W35" i="49"/>
  <c r="W206" i="49"/>
  <c r="W148" i="49"/>
  <c r="W91" i="49"/>
  <c r="W28" i="49"/>
  <c r="W193" i="49"/>
  <c r="W135" i="49"/>
  <c r="W78" i="49"/>
  <c r="W15" i="49"/>
  <c r="W186" i="49"/>
  <c r="W128" i="49"/>
  <c r="W71" i="49"/>
  <c r="W8" i="49"/>
  <c r="W189" i="49"/>
  <c r="W131" i="49"/>
  <c r="W74" i="49"/>
  <c r="W11" i="49"/>
  <c r="W182" i="49"/>
  <c r="W124" i="49"/>
  <c r="W67" i="49"/>
  <c r="W56" i="49"/>
  <c r="W185" i="49"/>
  <c r="W127" i="49"/>
  <c r="W70" i="49"/>
  <c r="W7" i="49"/>
  <c r="W30" i="49"/>
  <c r="W61" i="49"/>
  <c r="W93" i="49"/>
  <c r="W118" i="49"/>
  <c r="W150" i="49"/>
  <c r="W176" i="49"/>
  <c r="W227" i="49"/>
  <c r="W17" i="49"/>
  <c r="W49" i="49"/>
  <c r="W80" i="49"/>
  <c r="W164" i="49"/>
  <c r="W137" i="49"/>
  <c r="W211" i="49"/>
  <c r="W195" i="49"/>
  <c r="W10" i="49"/>
  <c r="W42" i="49"/>
  <c r="W73" i="49"/>
  <c r="W106" i="49"/>
  <c r="W130" i="49"/>
  <c r="W236" i="49"/>
  <c r="W188" i="49"/>
  <c r="W55" i="49"/>
  <c r="W37" i="49"/>
  <c r="W68" i="49"/>
  <c r="W100" i="49"/>
  <c r="W125" i="49"/>
  <c r="W157" i="49"/>
  <c r="W183" i="49"/>
  <c r="W252" i="49"/>
  <c r="W235" i="49"/>
  <c r="W238" i="49"/>
  <c r="AX44" i="49"/>
  <c r="AX30" i="49"/>
  <c r="W210" i="49"/>
  <c r="W152" i="49"/>
  <c r="W95" i="49"/>
  <c r="W32" i="49"/>
  <c r="W197" i="49"/>
  <c r="W139" i="49"/>
  <c r="W82" i="49"/>
  <c r="W19" i="49"/>
  <c r="W190" i="49"/>
  <c r="W132" i="49"/>
  <c r="W75" i="49"/>
  <c r="W12" i="49"/>
  <c r="W177" i="49"/>
  <c r="W119" i="49"/>
  <c r="W62" i="49"/>
  <c r="W251" i="49"/>
  <c r="W170" i="49"/>
  <c r="W167" i="49"/>
  <c r="W59" i="49"/>
  <c r="W254" i="49"/>
  <c r="W173" i="49"/>
  <c r="W115" i="49"/>
  <c r="W109" i="49"/>
  <c r="W247" i="49"/>
  <c r="W224" i="49"/>
  <c r="W159" i="49"/>
  <c r="W52" i="49"/>
  <c r="W250" i="49"/>
  <c r="W169" i="49"/>
  <c r="W165" i="49"/>
  <c r="W57" i="49"/>
  <c r="W58" i="49"/>
  <c r="W38" i="49"/>
  <c r="W69" i="49"/>
  <c r="W101" i="49"/>
  <c r="W126" i="49"/>
  <c r="W212" i="49"/>
  <c r="W184" i="49"/>
  <c r="W253" i="49"/>
  <c r="W25" i="49"/>
  <c r="W105" i="49"/>
  <c r="W88" i="49"/>
  <c r="W113" i="49"/>
  <c r="W145" i="49"/>
  <c r="W171" i="49"/>
  <c r="W216" i="49"/>
  <c r="W18" i="49"/>
  <c r="W50" i="49"/>
  <c r="W81" i="49"/>
  <c r="W166" i="49"/>
  <c r="W138" i="49"/>
  <c r="W213" i="49"/>
  <c r="W196" i="49"/>
  <c r="W13" i="49"/>
  <c r="W45" i="49"/>
  <c r="W76" i="49"/>
  <c r="W112" i="49"/>
  <c r="W133" i="49"/>
  <c r="W218" i="49"/>
  <c r="W191" i="49"/>
  <c r="W200" i="49"/>
  <c r="W249" i="49"/>
  <c r="AX253" i="49"/>
  <c r="AX112" i="49"/>
  <c r="AX187" i="49"/>
  <c r="AX240" i="49"/>
  <c r="AX142" i="49"/>
  <c r="AX116" i="49"/>
  <c r="AX29" i="49"/>
  <c r="AX233" i="49"/>
  <c r="AX71" i="49"/>
  <c r="AX97" i="49"/>
  <c r="AX190" i="49"/>
  <c r="AX164" i="49"/>
  <c r="AX141" i="49"/>
  <c r="AX168" i="49"/>
  <c r="AX37" i="49"/>
  <c r="AX170" i="49"/>
  <c r="AX49" i="49"/>
  <c r="AX255" i="49"/>
  <c r="AX189" i="49"/>
  <c r="AX212" i="49"/>
  <c r="AX114" i="49"/>
  <c r="AX27" i="49"/>
  <c r="AX56" i="49"/>
  <c r="AX169" i="49"/>
  <c r="AX193" i="49"/>
  <c r="B64" i="49"/>
  <c r="B192" i="49"/>
  <c r="B69" i="49"/>
  <c r="B197" i="49"/>
  <c r="B74" i="49"/>
  <c r="B138" i="49"/>
  <c r="B15" i="49"/>
  <c r="B143" i="49"/>
  <c r="AG17" i="49"/>
  <c r="AG26" i="49"/>
  <c r="AG58" i="49"/>
  <c r="AG90" i="49"/>
  <c r="AG121" i="49"/>
  <c r="AG153" i="49"/>
  <c r="AG181" i="49"/>
  <c r="AG221" i="49"/>
  <c r="AG241" i="49"/>
  <c r="AG31" i="49"/>
  <c r="AG63" i="49"/>
  <c r="AG95" i="49"/>
  <c r="AG126" i="49"/>
  <c r="AG158" i="49"/>
  <c r="AG186" i="49"/>
  <c r="AG231" i="49"/>
  <c r="AG255" i="49"/>
  <c r="AG32" i="49"/>
  <c r="AG64" i="49"/>
  <c r="AG96" i="49"/>
  <c r="AG127" i="49"/>
  <c r="AG159" i="49"/>
  <c r="AG187" i="49"/>
  <c r="AG235" i="49"/>
  <c r="AG5" i="49"/>
  <c r="AG53" i="49"/>
  <c r="AG101" i="49"/>
  <c r="AG132" i="49"/>
  <c r="AG164" i="49"/>
  <c r="AG192" i="49"/>
  <c r="AG211" i="49"/>
  <c r="AG228" i="49"/>
  <c r="J16" i="49"/>
  <c r="J144" i="49"/>
  <c r="J21" i="49"/>
  <c r="J149" i="49"/>
  <c r="J26" i="49"/>
  <c r="J154" i="49"/>
  <c r="J31" i="49"/>
  <c r="J159" i="49"/>
  <c r="C243" i="49"/>
  <c r="C202" i="49"/>
  <c r="C192" i="49"/>
  <c r="C177" i="49"/>
  <c r="C207" i="49"/>
  <c r="C214" i="49"/>
  <c r="C83" i="49"/>
  <c r="C87" i="49"/>
  <c r="E12" i="49"/>
  <c r="E76" i="49"/>
  <c r="E139" i="49"/>
  <c r="E199" i="49"/>
  <c r="E17" i="49"/>
  <c r="E81" i="49"/>
  <c r="E144" i="49"/>
  <c r="E204" i="49"/>
  <c r="E22" i="49"/>
  <c r="E86" i="49"/>
  <c r="E149" i="49"/>
  <c r="E212" i="49"/>
  <c r="E27" i="49"/>
  <c r="E91" i="49"/>
  <c r="E154" i="49"/>
  <c r="E222" i="49"/>
  <c r="B16" i="49"/>
  <c r="B80" i="49"/>
  <c r="B144" i="49"/>
  <c r="B207" i="49"/>
  <c r="B21" i="49"/>
  <c r="B85" i="49"/>
  <c r="B149" i="49"/>
  <c r="B212" i="49"/>
  <c r="B26" i="49"/>
  <c r="B90" i="49"/>
  <c r="B154" i="49"/>
  <c r="B217" i="49"/>
  <c r="B31" i="49"/>
  <c r="B95" i="49"/>
  <c r="B159" i="49"/>
  <c r="B222" i="49"/>
  <c r="AG25" i="49"/>
  <c r="AG14" i="49"/>
  <c r="AG30" i="49"/>
  <c r="AG46" i="49"/>
  <c r="AG62" i="49"/>
  <c r="AG78" i="49"/>
  <c r="AG94" i="49"/>
  <c r="AG110" i="49"/>
  <c r="AG125" i="49"/>
  <c r="AG141" i="49"/>
  <c r="AG157" i="49"/>
  <c r="AG242" i="49"/>
  <c r="AG185" i="49"/>
  <c r="AG201" i="49"/>
  <c r="AG229" i="49"/>
  <c r="AG214" i="49"/>
  <c r="AG254" i="49"/>
  <c r="AG19" i="49"/>
  <c r="AG35" i="49"/>
  <c r="AG51" i="49"/>
  <c r="AG67" i="49"/>
  <c r="AG83" i="49"/>
  <c r="AG99" i="49"/>
  <c r="AG115" i="49"/>
  <c r="AG130" i="49"/>
  <c r="AG146" i="49"/>
  <c r="AG162" i="49"/>
  <c r="AG174" i="49"/>
  <c r="AG190" i="49"/>
  <c r="AG207" i="49"/>
  <c r="AG247" i="49"/>
  <c r="AG224" i="49"/>
  <c r="AG4" i="49"/>
  <c r="AG20" i="49"/>
  <c r="AG36" i="49"/>
  <c r="AG52" i="49"/>
  <c r="AG68" i="49"/>
  <c r="AG84" i="49"/>
  <c r="AG100" i="49"/>
  <c r="AG116" i="49"/>
  <c r="AG131" i="49"/>
  <c r="AG147" i="49"/>
  <c r="AG163" i="49"/>
  <c r="AG175" i="49"/>
  <c r="AG191" i="49"/>
  <c r="AG209" i="49"/>
  <c r="AG251" i="49"/>
  <c r="AG226" i="49"/>
  <c r="AG13" i="49"/>
  <c r="AG37" i="49"/>
  <c r="AG57" i="49"/>
  <c r="AG73" i="49"/>
  <c r="AG89" i="49"/>
  <c r="AG105" i="49"/>
  <c r="AG120" i="49"/>
  <c r="AG136" i="49"/>
  <c r="AG152" i="49"/>
  <c r="AG168" i="49"/>
  <c r="AG180" i="49"/>
  <c r="AG196" i="49"/>
  <c r="AG219" i="49"/>
  <c r="AG252" i="49"/>
  <c r="AG237" i="49"/>
  <c r="J32" i="49"/>
  <c r="J96" i="49"/>
  <c r="J160" i="49"/>
  <c r="J222" i="49"/>
  <c r="J37" i="49"/>
  <c r="J101" i="49"/>
  <c r="J165" i="49"/>
  <c r="J227" i="49"/>
  <c r="J42" i="49"/>
  <c r="J106" i="49"/>
  <c r="J170" i="49"/>
  <c r="J232" i="49"/>
  <c r="J47" i="49"/>
  <c r="J111" i="49"/>
  <c r="J174" i="49"/>
  <c r="J237" i="49"/>
  <c r="C226" i="49"/>
  <c r="C216" i="49"/>
  <c r="C173" i="49"/>
  <c r="C166" i="49"/>
  <c r="C161" i="49"/>
  <c r="C156" i="49"/>
  <c r="C146" i="49"/>
  <c r="C141" i="49"/>
  <c r="C136" i="49"/>
  <c r="C126" i="49"/>
  <c r="C121" i="49"/>
  <c r="C116" i="49"/>
  <c r="C143" i="49"/>
  <c r="C147" i="49"/>
  <c r="C151" i="49"/>
  <c r="C155" i="49"/>
  <c r="B127" i="49"/>
  <c r="B5" i="49"/>
  <c r="B133" i="49"/>
  <c r="B10" i="49"/>
  <c r="B202" i="49"/>
  <c r="B79" i="49"/>
  <c r="B253" i="49"/>
  <c r="AG10" i="49"/>
  <c r="AG42" i="49"/>
  <c r="AG74" i="49"/>
  <c r="AG106" i="49"/>
  <c r="AG137" i="49"/>
  <c r="AG169" i="49"/>
  <c r="AG197" i="49"/>
  <c r="AG206" i="49"/>
  <c r="AG15" i="49"/>
  <c r="AG47" i="49"/>
  <c r="AG79" i="49"/>
  <c r="AG111" i="49"/>
  <c r="AG142" i="49"/>
  <c r="AG246" i="49"/>
  <c r="AG202" i="49"/>
  <c r="AG216" i="49"/>
  <c r="AG16" i="49"/>
  <c r="AG48" i="49"/>
  <c r="AG80" i="49"/>
  <c r="AG112" i="49"/>
  <c r="AG143" i="49"/>
  <c r="AG250" i="49"/>
  <c r="AG203" i="49"/>
  <c r="AG218" i="49"/>
  <c r="AG33" i="49"/>
  <c r="AG69" i="49"/>
  <c r="AG85" i="49"/>
  <c r="AG117" i="49"/>
  <c r="AG148" i="49"/>
  <c r="AG176" i="49"/>
  <c r="AG236" i="49"/>
  <c r="J80" i="49"/>
  <c r="J255" i="49"/>
  <c r="J85" i="49"/>
  <c r="J211" i="49"/>
  <c r="J90" i="49"/>
  <c r="J216" i="49"/>
  <c r="J95" i="49"/>
  <c r="J221" i="49"/>
  <c r="C248" i="49"/>
  <c r="C238" i="49"/>
  <c r="C197" i="49"/>
  <c r="C182" i="49"/>
  <c r="C227" i="49"/>
  <c r="C224" i="49"/>
  <c r="C79" i="49"/>
  <c r="C91" i="49"/>
  <c r="E28" i="49"/>
  <c r="E92" i="49"/>
  <c r="E155" i="49"/>
  <c r="E224" i="49"/>
  <c r="E33" i="49"/>
  <c r="E97" i="49"/>
  <c r="E160" i="49"/>
  <c r="E235" i="49"/>
  <c r="E38" i="49"/>
  <c r="E102" i="49"/>
  <c r="E165" i="49"/>
  <c r="E236" i="49"/>
  <c r="E43" i="49"/>
  <c r="E107" i="49"/>
  <c r="E170" i="49"/>
  <c r="E207" i="49"/>
  <c r="B32" i="49"/>
  <c r="B96" i="49"/>
  <c r="B160" i="49"/>
  <c r="B223" i="49"/>
  <c r="B37" i="49"/>
  <c r="B101" i="49"/>
  <c r="B165" i="49"/>
  <c r="B228" i="49"/>
  <c r="B42" i="49"/>
  <c r="B106" i="49"/>
  <c r="B170" i="49"/>
  <c r="B233" i="49"/>
  <c r="B47" i="49"/>
  <c r="B111" i="49"/>
  <c r="B175" i="49"/>
  <c r="B238" i="49"/>
  <c r="AG49" i="49"/>
  <c r="AG18" i="49"/>
  <c r="AG34" i="49"/>
  <c r="AG50" i="49"/>
  <c r="AG66" i="49"/>
  <c r="AG82" i="49"/>
  <c r="AG98" i="49"/>
  <c r="AG114" i="49"/>
  <c r="AG129" i="49"/>
  <c r="AG145" i="49"/>
  <c r="AG161" i="49"/>
  <c r="AG173" i="49"/>
  <c r="AG189" i="49"/>
  <c r="AG205" i="49"/>
  <c r="AG243" i="49"/>
  <c r="AG222" i="49"/>
  <c r="AG7" i="49"/>
  <c r="AG23" i="49"/>
  <c r="AG39" i="49"/>
  <c r="AG55" i="49"/>
  <c r="AG71" i="49"/>
  <c r="AG87" i="49"/>
  <c r="AG103" i="49"/>
  <c r="AG119" i="49"/>
  <c r="AG134" i="49"/>
  <c r="AG150" i="49"/>
  <c r="AG166" i="49"/>
  <c r="AG178" i="49"/>
  <c r="AG194" i="49"/>
  <c r="AG215" i="49"/>
  <c r="AG244" i="49"/>
  <c r="AG232" i="49"/>
  <c r="AG8" i="49"/>
  <c r="AG24" i="49"/>
  <c r="AG40" i="49"/>
  <c r="AG56" i="49"/>
  <c r="AG72" i="49"/>
  <c r="AG88" i="49"/>
  <c r="AG104" i="49"/>
  <c r="AG171" i="49"/>
  <c r="AG135" i="49"/>
  <c r="AG151" i="49"/>
  <c r="AG167" i="49"/>
  <c r="AG179" i="49"/>
  <c r="AG195" i="49"/>
  <c r="AG217" i="49"/>
  <c r="AG248" i="49"/>
  <c r="AG233" i="49"/>
  <c r="AG21" i="49"/>
  <c r="AG41" i="49"/>
  <c r="AG61" i="49"/>
  <c r="AG77" i="49"/>
  <c r="AG93" i="49"/>
  <c r="AG109" i="49"/>
  <c r="AG124" i="49"/>
  <c r="AG140" i="49"/>
  <c r="AG156" i="49"/>
  <c r="AG238" i="49"/>
  <c r="AG184" i="49"/>
  <c r="AG200" i="49"/>
  <c r="AG227" i="49"/>
  <c r="AG212" i="49"/>
  <c r="J48" i="49"/>
  <c r="J112" i="49"/>
  <c r="J175" i="49"/>
  <c r="J238" i="49"/>
  <c r="J53" i="49"/>
  <c r="J117" i="49"/>
  <c r="J180" i="49"/>
  <c r="J243" i="49"/>
  <c r="J61" i="49"/>
  <c r="J124" i="49"/>
  <c r="J185" i="49"/>
  <c r="J248" i="49"/>
  <c r="J63" i="49"/>
  <c r="J126" i="49"/>
  <c r="J190" i="49"/>
  <c r="J253" i="49"/>
  <c r="C122" i="49"/>
  <c r="C117" i="49"/>
  <c r="C112" i="49"/>
  <c r="C102" i="49"/>
  <c r="C97" i="49"/>
  <c r="C92" i="49"/>
  <c r="C82" i="49"/>
  <c r="C77" i="49"/>
  <c r="C72" i="49"/>
  <c r="C62" i="49"/>
  <c r="C57" i="49"/>
  <c r="C52" i="49"/>
  <c r="C179" i="49"/>
  <c r="C183" i="49"/>
  <c r="C187" i="49"/>
  <c r="C191" i="49"/>
  <c r="Y166" i="49"/>
  <c r="Y64" i="49"/>
  <c r="Y238" i="49"/>
  <c r="Y158" i="49"/>
  <c r="Y51" i="49"/>
  <c r="Y34" i="49"/>
  <c r="Y152" i="49"/>
  <c r="Y188" i="49"/>
  <c r="Y237" i="49"/>
  <c r="Y70" i="49"/>
  <c r="Y15" i="49"/>
  <c r="Y197" i="49"/>
  <c r="Y224" i="49"/>
  <c r="BB248" i="49"/>
  <c r="BB219" i="49"/>
  <c r="Y77" i="49"/>
  <c r="Y30" i="49"/>
  <c r="Y168" i="49"/>
  <c r="Y216" i="49"/>
  <c r="Y214" i="49"/>
  <c r="Y98" i="49"/>
  <c r="Y250" i="49"/>
  <c r="Y199" i="49"/>
  <c r="Y160" i="49"/>
  <c r="Y133" i="49"/>
  <c r="Y180" i="49"/>
  <c r="Y27" i="49"/>
  <c r="Y126" i="49"/>
  <c r="BB83" i="49"/>
  <c r="BB89" i="49"/>
  <c r="Y220" i="49"/>
  <c r="Y94" i="49"/>
  <c r="Y241" i="49"/>
  <c r="Y236" i="49"/>
  <c r="Y143" i="49"/>
  <c r="Y164" i="49"/>
  <c r="Y65" i="49"/>
  <c r="Y173" i="49"/>
  <c r="Y75" i="49"/>
  <c r="Y198" i="49"/>
  <c r="Y123" i="49"/>
  <c r="Y108" i="49"/>
  <c r="Y155" i="49"/>
  <c r="BB254" i="49"/>
  <c r="BB214" i="49"/>
  <c r="Y248" i="49"/>
  <c r="Y140" i="49"/>
  <c r="Y61" i="49"/>
  <c r="Y211" i="49"/>
  <c r="Y127" i="49"/>
  <c r="Y43" i="49"/>
  <c r="Y46" i="49"/>
  <c r="Y105" i="49"/>
  <c r="Y174" i="49"/>
  <c r="Y223" i="49"/>
  <c r="Y120" i="49"/>
  <c r="Y204" i="49"/>
  <c r="Y33" i="49"/>
  <c r="Y170" i="49"/>
  <c r="Y58" i="49"/>
  <c r="Y200" i="49"/>
  <c r="Y113" i="49"/>
  <c r="Y29" i="49"/>
  <c r="Y208" i="49"/>
  <c r="Y122" i="49"/>
  <c r="Y37" i="49"/>
  <c r="Y50" i="49"/>
  <c r="Y114" i="49"/>
  <c r="Y178" i="49"/>
  <c r="Y231" i="49"/>
  <c r="Y107" i="49"/>
  <c r="Y193" i="49"/>
  <c r="Y23" i="49"/>
  <c r="Y106" i="49"/>
  <c r="Y17" i="49"/>
  <c r="Y221" i="49"/>
  <c r="Y151" i="49"/>
  <c r="Y67" i="49"/>
  <c r="Y242" i="49"/>
  <c r="Y138" i="49"/>
  <c r="Y53" i="49"/>
  <c r="Y22" i="49"/>
  <c r="Y86" i="49"/>
  <c r="Y149" i="49"/>
  <c r="Y222" i="49"/>
  <c r="Y185" i="49"/>
  <c r="Y183" i="49"/>
  <c r="Y95" i="49"/>
  <c r="Y253" i="49"/>
  <c r="Y83" i="49"/>
  <c r="Y154" i="49"/>
  <c r="Y10" i="49"/>
  <c r="Y137" i="49"/>
  <c r="Y228" i="49"/>
  <c r="Y128" i="49"/>
  <c r="Y41" i="49"/>
  <c r="Y71" i="49"/>
  <c r="BB115" i="49"/>
  <c r="BB236" i="49"/>
  <c r="BB116" i="49"/>
  <c r="BB237" i="49"/>
  <c r="BB121" i="49"/>
  <c r="BB242" i="49"/>
  <c r="BB126" i="49"/>
  <c r="BB249" i="49"/>
  <c r="Y205" i="49"/>
  <c r="Y119" i="49"/>
  <c r="Y35" i="49"/>
  <c r="Y192" i="49"/>
  <c r="Y110" i="49"/>
  <c r="Y21" i="49"/>
  <c r="Y54" i="49"/>
  <c r="Y125" i="49"/>
  <c r="Y190" i="49"/>
  <c r="Y251" i="49"/>
  <c r="Y79" i="49"/>
  <c r="Y162" i="49"/>
  <c r="Y235" i="49"/>
  <c r="Y73" i="49"/>
  <c r="Y134" i="49"/>
  <c r="Y179" i="49"/>
  <c r="Y93" i="49"/>
  <c r="Y9" i="49"/>
  <c r="Y187" i="49"/>
  <c r="Y101" i="49"/>
  <c r="Y16" i="49"/>
  <c r="Y66" i="49"/>
  <c r="Y129" i="49"/>
  <c r="Y194" i="49"/>
  <c r="Y225" i="49"/>
  <c r="Y68" i="49"/>
  <c r="Y150" i="49"/>
  <c r="Y218" i="49"/>
  <c r="Y62" i="49"/>
  <c r="Y92" i="49"/>
  <c r="Y226" i="49"/>
  <c r="Y130" i="49"/>
  <c r="Y45" i="49"/>
  <c r="Y203" i="49"/>
  <c r="Y116" i="49"/>
  <c r="Y32" i="49"/>
  <c r="Y38" i="49"/>
  <c r="Y102" i="49"/>
  <c r="Y159" i="49"/>
  <c r="Y215" i="49"/>
  <c r="Y142" i="49"/>
  <c r="Y97" i="49"/>
  <c r="Y8" i="49"/>
  <c r="Y212" i="49"/>
  <c r="Y40" i="49"/>
  <c r="Y109" i="49"/>
  <c r="Y42" i="49"/>
  <c r="Y167" i="49"/>
  <c r="Y131" i="49"/>
  <c r="Y44" i="49"/>
  <c r="Y177" i="49"/>
  <c r="Y81" i="49"/>
  <c r="BB18" i="49"/>
  <c r="BB147" i="49"/>
  <c r="BB19" i="49"/>
  <c r="BB148" i="49"/>
  <c r="BB24" i="49"/>
  <c r="BB153" i="49"/>
  <c r="BB29" i="49"/>
  <c r="BB252" i="49"/>
  <c r="Y184" i="49"/>
  <c r="Y99" i="49"/>
  <c r="Y13" i="49"/>
  <c r="Y171" i="49"/>
  <c r="Y85" i="49"/>
  <c r="Y14" i="49"/>
  <c r="Y78" i="49"/>
  <c r="Y141" i="49"/>
  <c r="Y206" i="49"/>
  <c r="Y207" i="49"/>
  <c r="Y36" i="49"/>
  <c r="Y118" i="49"/>
  <c r="Y201" i="49"/>
  <c r="Y31" i="49"/>
  <c r="Y233" i="49"/>
  <c r="Y156" i="49"/>
  <c r="Y72" i="49"/>
  <c r="Y252" i="49"/>
  <c r="Y169" i="49"/>
  <c r="Y80" i="49"/>
  <c r="Y18" i="49"/>
  <c r="Y82" i="49"/>
  <c r="Y145" i="49"/>
  <c r="Y210" i="49"/>
  <c r="Y196" i="49"/>
  <c r="Y25" i="49"/>
  <c r="Y112" i="49"/>
  <c r="Y191" i="49"/>
  <c r="Y20" i="49"/>
  <c r="Y209" i="49"/>
  <c r="Y195" i="49"/>
  <c r="Y115" i="49"/>
  <c r="Y24" i="49"/>
  <c r="Y181" i="49"/>
  <c r="Y96" i="49"/>
  <c r="Y11" i="49"/>
  <c r="Y57" i="49"/>
  <c r="Y117" i="49"/>
  <c r="Y182" i="49"/>
  <c r="Y239" i="49"/>
  <c r="Y100" i="49"/>
  <c r="Y12" i="49"/>
  <c r="Y234" i="49"/>
  <c r="Y163" i="49"/>
  <c r="Y227" i="49"/>
  <c r="Y69" i="49"/>
  <c r="Y74" i="49"/>
  <c r="Y202" i="49"/>
  <c r="Y47" i="49"/>
  <c r="Y254" i="49"/>
  <c r="Y39" i="49"/>
  <c r="BB50" i="49"/>
  <c r="BB178" i="49"/>
  <c r="BB51" i="49"/>
  <c r="BB179" i="49"/>
  <c r="BB57" i="49"/>
  <c r="BB184" i="49"/>
  <c r="BB62" i="49"/>
  <c r="BB189" i="49"/>
  <c r="B4" i="49"/>
  <c r="B20" i="49"/>
  <c r="B36" i="49"/>
  <c r="B52" i="49"/>
  <c r="B68" i="49"/>
  <c r="B84" i="49"/>
  <c r="B100" i="49"/>
  <c r="B116" i="49"/>
  <c r="B132" i="49"/>
  <c r="B148" i="49"/>
  <c r="B164" i="49"/>
  <c r="B180" i="49"/>
  <c r="B196" i="49"/>
  <c r="B211" i="49"/>
  <c r="B227" i="49"/>
  <c r="B243" i="49"/>
  <c r="B9" i="49"/>
  <c r="B25" i="49"/>
  <c r="B41" i="49"/>
  <c r="B57" i="49"/>
  <c r="B73" i="49"/>
  <c r="B89" i="49"/>
  <c r="B105" i="49"/>
  <c r="B121" i="49"/>
  <c r="B137" i="49"/>
  <c r="B153" i="49"/>
  <c r="B169" i="49"/>
  <c r="B185" i="49"/>
  <c r="B201" i="49"/>
  <c r="B216" i="49"/>
  <c r="B232" i="49"/>
  <c r="B248" i="49"/>
  <c r="B14" i="49"/>
  <c r="B30" i="49"/>
  <c r="B46" i="49"/>
  <c r="B62" i="49"/>
  <c r="B78" i="49"/>
  <c r="B94" i="49"/>
  <c r="B110" i="49"/>
  <c r="B124" i="49"/>
  <c r="B142" i="49"/>
  <c r="B158" i="49"/>
  <c r="B174" i="49"/>
  <c r="B190" i="49"/>
  <c r="B206" i="49"/>
  <c r="B221" i="49"/>
  <c r="B237" i="49"/>
  <c r="B255" i="49"/>
  <c r="B19" i="49"/>
  <c r="B35" i="49"/>
  <c r="B51" i="49"/>
  <c r="B67" i="49"/>
  <c r="B83" i="49"/>
  <c r="B99" i="49"/>
  <c r="B115" i="49"/>
  <c r="B131" i="49"/>
  <c r="B147" i="49"/>
  <c r="B163" i="49"/>
  <c r="B179" i="49"/>
  <c r="B195" i="49"/>
  <c r="B210" i="49"/>
  <c r="B226" i="49"/>
  <c r="B242" i="49"/>
  <c r="J4" i="49"/>
  <c r="J20" i="49"/>
  <c r="J36" i="49"/>
  <c r="J52" i="49"/>
  <c r="J68" i="49"/>
  <c r="J84" i="49"/>
  <c r="J100" i="49"/>
  <c r="J116" i="49"/>
  <c r="J132" i="49"/>
  <c r="J148" i="49"/>
  <c r="J164" i="49"/>
  <c r="J179" i="49"/>
  <c r="J195" i="49"/>
  <c r="J210" i="49"/>
  <c r="J226" i="49"/>
  <c r="J242" i="49"/>
  <c r="J9" i="49"/>
  <c r="J25" i="49"/>
  <c r="J41" i="49"/>
  <c r="J59" i="49"/>
  <c r="J73" i="49"/>
  <c r="J89" i="49"/>
  <c r="J105" i="49"/>
  <c r="J123" i="49"/>
  <c r="J137" i="49"/>
  <c r="J153" i="49"/>
  <c r="J169" i="49"/>
  <c r="J184" i="49"/>
  <c r="J200" i="49"/>
  <c r="J215" i="49"/>
  <c r="J231" i="49"/>
  <c r="J247" i="49"/>
  <c r="J14" i="49"/>
  <c r="J30" i="49"/>
  <c r="J46" i="49"/>
  <c r="J62" i="49"/>
  <c r="J78" i="49"/>
  <c r="J94" i="49"/>
  <c r="J110" i="49"/>
  <c r="J122" i="49"/>
  <c r="J142" i="49"/>
  <c r="J158" i="49"/>
  <c r="J173" i="49"/>
  <c r="J189" i="49"/>
  <c r="J205" i="49"/>
  <c r="J220" i="49"/>
  <c r="J236" i="49"/>
  <c r="J252" i="49"/>
  <c r="J19" i="49"/>
  <c r="J35" i="49"/>
  <c r="J51" i="49"/>
  <c r="J67" i="49"/>
  <c r="J83" i="49"/>
  <c r="J99" i="49"/>
  <c r="J115" i="49"/>
  <c r="J131" i="49"/>
  <c r="J147" i="49"/>
  <c r="J163" i="49"/>
  <c r="J178" i="49"/>
  <c r="J194" i="49"/>
  <c r="J209" i="49"/>
  <c r="J225" i="49"/>
  <c r="J241" i="49"/>
  <c r="C206" i="49"/>
  <c r="C170" i="49"/>
  <c r="C106" i="49"/>
  <c r="C42" i="49"/>
  <c r="C201" i="49"/>
  <c r="C165" i="49"/>
  <c r="C101" i="49"/>
  <c r="C37" i="49"/>
  <c r="C196" i="49"/>
  <c r="C160" i="49"/>
  <c r="C96" i="49"/>
  <c r="C32" i="49"/>
  <c r="C186" i="49"/>
  <c r="C150" i="49"/>
  <c r="C86" i="49"/>
  <c r="C22" i="49"/>
  <c r="C181" i="49"/>
  <c r="C145" i="49"/>
  <c r="C81" i="49"/>
  <c r="C17" i="49"/>
  <c r="C253" i="49"/>
  <c r="C140" i="49"/>
  <c r="C76" i="49"/>
  <c r="C12" i="49"/>
  <c r="C215" i="49"/>
  <c r="C130" i="49"/>
  <c r="C66" i="49"/>
  <c r="C251" i="49"/>
  <c r="C232" i="49"/>
  <c r="C125" i="49"/>
  <c r="C61" i="49"/>
  <c r="C246" i="49"/>
  <c r="C222" i="49"/>
  <c r="C120" i="49"/>
  <c r="C56" i="49"/>
  <c r="C236" i="49"/>
  <c r="C172" i="49"/>
  <c r="C110" i="49"/>
  <c r="C46" i="49"/>
  <c r="C205" i="49"/>
  <c r="C169" i="49"/>
  <c r="C105" i="49"/>
  <c r="C41" i="49"/>
  <c r="C200" i="49"/>
  <c r="C164" i="49"/>
  <c r="C100" i="49"/>
  <c r="C36" i="49"/>
  <c r="C31" i="49"/>
  <c r="C95" i="49"/>
  <c r="C159" i="49"/>
  <c r="C195" i="49"/>
  <c r="C35" i="49"/>
  <c r="C99" i="49"/>
  <c r="C163" i="49"/>
  <c r="C199" i="49"/>
  <c r="C39" i="49"/>
  <c r="C103" i="49"/>
  <c r="C167" i="49"/>
  <c r="C203" i="49"/>
  <c r="C43" i="49"/>
  <c r="C107" i="49"/>
  <c r="C171" i="49"/>
  <c r="C254" i="49"/>
  <c r="B8" i="49"/>
  <c r="B24" i="49"/>
  <c r="B40" i="49"/>
  <c r="B56" i="49"/>
  <c r="B72" i="49"/>
  <c r="B88" i="49"/>
  <c r="B104" i="49"/>
  <c r="B120" i="49"/>
  <c r="B136" i="49"/>
  <c r="B152" i="49"/>
  <c r="B168" i="49"/>
  <c r="B184" i="49"/>
  <c r="B200" i="49"/>
  <c r="B215" i="49"/>
  <c r="B231" i="49"/>
  <c r="B247" i="49"/>
  <c r="B13" i="49"/>
  <c r="B29" i="49"/>
  <c r="B45" i="49"/>
  <c r="B60" i="49"/>
  <c r="B77" i="49"/>
  <c r="B93" i="49"/>
  <c r="B109" i="49"/>
  <c r="B122" i="49"/>
  <c r="B141" i="49"/>
  <c r="B157" i="49"/>
  <c r="B173" i="49"/>
  <c r="B189" i="49"/>
  <c r="B205" i="49"/>
  <c r="B220" i="49"/>
  <c r="B236" i="49"/>
  <c r="B252" i="49"/>
  <c r="B18" i="49"/>
  <c r="B34" i="49"/>
  <c r="B50" i="49"/>
  <c r="B66" i="49"/>
  <c r="B82" i="49"/>
  <c r="B98" i="49"/>
  <c r="B114" i="49"/>
  <c r="B130" i="49"/>
  <c r="B146" i="49"/>
  <c r="B162" i="49"/>
  <c r="B178" i="49"/>
  <c r="B194" i="49"/>
  <c r="B209" i="49"/>
  <c r="B225" i="49"/>
  <c r="B241" i="49"/>
  <c r="B7" i="49"/>
  <c r="B23" i="49"/>
  <c r="B39" i="49"/>
  <c r="B55" i="49"/>
  <c r="B71" i="49"/>
  <c r="B87" i="49"/>
  <c r="B103" i="49"/>
  <c r="B119" i="49"/>
  <c r="B135" i="49"/>
  <c r="B151" i="49"/>
  <c r="B167" i="49"/>
  <c r="B183" i="49"/>
  <c r="B199" i="49"/>
  <c r="B214" i="49"/>
  <c r="B230" i="49"/>
  <c r="B246" i="49"/>
  <c r="J8" i="49"/>
  <c r="J24" i="49"/>
  <c r="J40" i="49"/>
  <c r="J57" i="49"/>
  <c r="J72" i="49"/>
  <c r="J88" i="49"/>
  <c r="J104" i="49"/>
  <c r="J121" i="49"/>
  <c r="J136" i="49"/>
  <c r="J152" i="49"/>
  <c r="J168" i="49"/>
  <c r="J183" i="49"/>
  <c r="J199" i="49"/>
  <c r="J214" i="49"/>
  <c r="J230" i="49"/>
  <c r="J246" i="49"/>
  <c r="J13" i="49"/>
  <c r="J29" i="49"/>
  <c r="J45" i="49"/>
  <c r="J60" i="49"/>
  <c r="J77" i="49"/>
  <c r="J93" i="49"/>
  <c r="J109" i="49"/>
  <c r="J120" i="49"/>
  <c r="J141" i="49"/>
  <c r="J157" i="49"/>
  <c r="J172" i="49"/>
  <c r="J188" i="49"/>
  <c r="J204" i="49"/>
  <c r="J219" i="49"/>
  <c r="J235" i="49"/>
  <c r="J251" i="49"/>
  <c r="J18" i="49"/>
  <c r="J34" i="49"/>
  <c r="J50" i="49"/>
  <c r="J66" i="49"/>
  <c r="J82" i="49"/>
  <c r="J98" i="49"/>
  <c r="J114" i="49"/>
  <c r="J130" i="49"/>
  <c r="J146" i="49"/>
  <c r="J162" i="49"/>
  <c r="J177" i="49"/>
  <c r="J193" i="49"/>
  <c r="J208" i="49"/>
  <c r="J224" i="49"/>
  <c r="J240" i="49"/>
  <c r="J7" i="49"/>
  <c r="J23" i="49"/>
  <c r="J39" i="49"/>
  <c r="J55" i="49"/>
  <c r="J71" i="49"/>
  <c r="J87" i="49"/>
  <c r="J103" i="49"/>
  <c r="J119" i="49"/>
  <c r="J135" i="49"/>
  <c r="J151" i="49"/>
  <c r="J167" i="49"/>
  <c r="J182" i="49"/>
  <c r="J198" i="49"/>
  <c r="J213" i="49"/>
  <c r="J229" i="49"/>
  <c r="J245" i="49"/>
  <c r="C190" i="49"/>
  <c r="C154" i="49"/>
  <c r="C90" i="49"/>
  <c r="C26" i="49"/>
  <c r="C185" i="49"/>
  <c r="C149" i="49"/>
  <c r="C85" i="49"/>
  <c r="C21" i="49"/>
  <c r="C180" i="49"/>
  <c r="C144" i="49"/>
  <c r="C80" i="49"/>
  <c r="C16" i="49"/>
  <c r="C223" i="49"/>
  <c r="C134" i="49"/>
  <c r="C70" i="49"/>
  <c r="C6" i="49"/>
  <c r="C213" i="49"/>
  <c r="C129" i="49"/>
  <c r="C65" i="49"/>
  <c r="C250" i="49"/>
  <c r="C230" i="49"/>
  <c r="C124" i="49"/>
  <c r="C60" i="49"/>
  <c r="C240" i="49"/>
  <c r="C210" i="49"/>
  <c r="C114" i="49"/>
  <c r="C50" i="49"/>
  <c r="C235" i="49"/>
  <c r="C175" i="49"/>
  <c r="C109" i="49"/>
  <c r="C45" i="49"/>
  <c r="C204" i="49"/>
  <c r="C168" i="49"/>
  <c r="C104" i="49"/>
  <c r="C40" i="49"/>
  <c r="C194" i="49"/>
  <c r="C158" i="49"/>
  <c r="C94" i="49"/>
  <c r="C30" i="49"/>
  <c r="C189" i="49"/>
  <c r="C153" i="49"/>
  <c r="C89" i="49"/>
  <c r="C25" i="49"/>
  <c r="C184" i="49"/>
  <c r="C148" i="49"/>
  <c r="C84" i="49"/>
  <c r="C20" i="49"/>
  <c r="C47" i="49"/>
  <c r="C111" i="49"/>
  <c r="C176" i="49"/>
  <c r="C237" i="49"/>
  <c r="C51" i="49"/>
  <c r="C115" i="49"/>
  <c r="C212" i="49"/>
  <c r="C241" i="49"/>
  <c r="C55" i="49"/>
  <c r="C119" i="49"/>
  <c r="C220" i="49"/>
  <c r="C245" i="49"/>
  <c r="C59" i="49"/>
  <c r="C123" i="49"/>
  <c r="C228" i="49"/>
  <c r="C249" i="49"/>
  <c r="B12" i="49"/>
  <c r="B28" i="49"/>
  <c r="B44" i="49"/>
  <c r="B58" i="49"/>
  <c r="B76" i="49"/>
  <c r="B92" i="49"/>
  <c r="B108" i="49"/>
  <c r="B125" i="49"/>
  <c r="B140" i="49"/>
  <c r="B156" i="49"/>
  <c r="B172" i="49"/>
  <c r="B188" i="49"/>
  <c r="B204" i="49"/>
  <c r="B219" i="49"/>
  <c r="B235" i="49"/>
  <c r="B251" i="49"/>
  <c r="B17" i="49"/>
  <c r="B33" i="49"/>
  <c r="B49" i="49"/>
  <c r="B65" i="49"/>
  <c r="B81" i="49"/>
  <c r="B97" i="49"/>
  <c r="B113" i="49"/>
  <c r="B129" i="49"/>
  <c r="B145" i="49"/>
  <c r="B161" i="49"/>
  <c r="B177" i="49"/>
  <c r="B193" i="49"/>
  <c r="B208" i="49"/>
  <c r="B224" i="49"/>
  <c r="B240" i="49"/>
  <c r="B6" i="49"/>
  <c r="B22" i="49"/>
  <c r="B38" i="49"/>
  <c r="B54" i="49"/>
  <c r="B70" i="49"/>
  <c r="B86" i="49"/>
  <c r="B102" i="49"/>
  <c r="B118" i="49"/>
  <c r="B134" i="49"/>
  <c r="B150" i="49"/>
  <c r="B166" i="49"/>
  <c r="B182" i="49"/>
  <c r="B198" i="49"/>
  <c r="B213" i="49"/>
  <c r="B229" i="49"/>
  <c r="B245" i="49"/>
  <c r="B11" i="49"/>
  <c r="B27" i="49"/>
  <c r="B43" i="49"/>
  <c r="B61" i="49"/>
  <c r="B75" i="49"/>
  <c r="B91" i="49"/>
  <c r="B107" i="49"/>
  <c r="B126" i="49"/>
  <c r="B139" i="49"/>
  <c r="B155" i="49"/>
  <c r="B171" i="49"/>
  <c r="B187" i="49"/>
  <c r="B203" i="49"/>
  <c r="B218" i="49"/>
  <c r="B234" i="49"/>
  <c r="J12" i="49"/>
  <c r="J28" i="49"/>
  <c r="J44" i="49"/>
  <c r="J58" i="49"/>
  <c r="J76" i="49"/>
  <c r="J92" i="49"/>
  <c r="J108" i="49"/>
  <c r="J127" i="49"/>
  <c r="J140" i="49"/>
  <c r="J156" i="49"/>
  <c r="J171" i="49"/>
  <c r="J187" i="49"/>
  <c r="J203" i="49"/>
  <c r="J218" i="49"/>
  <c r="J234" i="49"/>
  <c r="J250" i="49"/>
  <c r="J17" i="49"/>
  <c r="J33" i="49"/>
  <c r="J49" i="49"/>
  <c r="J65" i="49"/>
  <c r="J81" i="49"/>
  <c r="J97" i="49"/>
  <c r="J113" i="49"/>
  <c r="J129" i="49"/>
  <c r="J145" i="49"/>
  <c r="J161" i="49"/>
  <c r="J176" i="49"/>
  <c r="J192" i="49"/>
  <c r="J207" i="49"/>
  <c r="J223" i="49"/>
  <c r="J239" i="49"/>
  <c r="J6" i="49"/>
  <c r="J22" i="49"/>
  <c r="J38" i="49"/>
  <c r="J54" i="49"/>
  <c r="J70" i="49"/>
  <c r="J86" i="49"/>
  <c r="J102" i="49"/>
  <c r="J118" i="49"/>
  <c r="J134" i="49"/>
  <c r="J150" i="49"/>
  <c r="J166" i="49"/>
  <c r="J181" i="49"/>
  <c r="J197" i="49"/>
  <c r="J212" i="49"/>
  <c r="J228" i="49"/>
  <c r="J244" i="49"/>
  <c r="J11" i="49"/>
  <c r="J27" i="49"/>
  <c r="J43" i="49"/>
  <c r="J56" i="49"/>
  <c r="J75" i="49"/>
  <c r="J91" i="49"/>
  <c r="J107" i="49"/>
  <c r="J128" i="49"/>
  <c r="J139" i="49"/>
  <c r="J155" i="49"/>
  <c r="J254" i="49"/>
  <c r="J186" i="49"/>
  <c r="J202" i="49"/>
  <c r="J217" i="49"/>
  <c r="J233" i="49"/>
  <c r="C231" i="49"/>
  <c r="C138" i="49"/>
  <c r="C74" i="49"/>
  <c r="C10" i="49"/>
  <c r="C221" i="49"/>
  <c r="C133" i="49"/>
  <c r="C69" i="49"/>
  <c r="C5" i="49"/>
  <c r="C211" i="49"/>
  <c r="C128" i="49"/>
  <c r="C64" i="49"/>
  <c r="C244" i="49"/>
  <c r="C218" i="49"/>
  <c r="C118" i="49"/>
  <c r="C54" i="49"/>
  <c r="C239" i="49"/>
  <c r="C208" i="49"/>
  <c r="C113" i="49"/>
  <c r="C49" i="49"/>
  <c r="C234" i="49"/>
  <c r="C174" i="49"/>
  <c r="C108" i="49"/>
  <c r="C44" i="49"/>
  <c r="C198" i="49"/>
  <c r="C162" i="49"/>
  <c r="C98" i="49"/>
  <c r="C34" i="49"/>
  <c r="C193" i="49"/>
  <c r="C157" i="49"/>
  <c r="C93" i="49"/>
  <c r="C29" i="49"/>
  <c r="C188" i="49"/>
  <c r="C152" i="49"/>
  <c r="C88" i="49"/>
  <c r="C24" i="49"/>
  <c r="C178" i="49"/>
  <c r="C142" i="49"/>
  <c r="C78" i="49"/>
  <c r="C14" i="49"/>
  <c r="C229" i="49"/>
  <c r="C137" i="49"/>
  <c r="C73" i="49"/>
  <c r="C9" i="49"/>
  <c r="C219" i="49"/>
  <c r="C132" i="49"/>
  <c r="C68" i="49"/>
  <c r="C4" i="49"/>
  <c r="C63" i="49"/>
  <c r="C127" i="49"/>
  <c r="C209" i="49"/>
  <c r="C255" i="49"/>
  <c r="C67" i="49"/>
  <c r="C131" i="49"/>
  <c r="C217" i="49"/>
  <c r="C7" i="49"/>
  <c r="C71" i="49"/>
  <c r="C135" i="49"/>
  <c r="C225" i="49"/>
  <c r="C11" i="49"/>
  <c r="C75" i="49"/>
  <c r="C139" i="49"/>
  <c r="C233" i="49"/>
  <c r="E4" i="49"/>
  <c r="E20" i="49"/>
  <c r="E36" i="49"/>
  <c r="E52" i="49"/>
  <c r="E68" i="49"/>
  <c r="E84" i="49"/>
  <c r="E100" i="49"/>
  <c r="E116" i="49"/>
  <c r="E131" i="49"/>
  <c r="E147" i="49"/>
  <c r="E163" i="49"/>
  <c r="E175" i="49"/>
  <c r="E191" i="49"/>
  <c r="E208" i="49"/>
  <c r="E247" i="49"/>
  <c r="E225" i="49"/>
  <c r="E9" i="49"/>
  <c r="E25" i="49"/>
  <c r="E41" i="49"/>
  <c r="E57" i="49"/>
  <c r="E73" i="49"/>
  <c r="E89" i="49"/>
  <c r="E105" i="49"/>
  <c r="E171" i="49"/>
  <c r="E136" i="49"/>
  <c r="E152" i="49"/>
  <c r="E168" i="49"/>
  <c r="E180" i="49"/>
  <c r="E196" i="49"/>
  <c r="E218" i="49"/>
  <c r="E248" i="49"/>
  <c r="E237" i="49"/>
  <c r="E14" i="49"/>
  <c r="E30" i="49"/>
  <c r="E46" i="49"/>
  <c r="E62" i="49"/>
  <c r="E78" i="49"/>
  <c r="E94" i="49"/>
  <c r="E110" i="49"/>
  <c r="E125" i="49"/>
  <c r="E141" i="49"/>
  <c r="E157" i="49"/>
  <c r="E242" i="49"/>
  <c r="E185" i="49"/>
  <c r="E201" i="49"/>
  <c r="E228" i="49"/>
  <c r="E213" i="49"/>
  <c r="E254" i="49"/>
  <c r="E19" i="49"/>
  <c r="E35" i="49"/>
  <c r="E51" i="49"/>
  <c r="E67" i="49"/>
  <c r="E83" i="49"/>
  <c r="E99" i="49"/>
  <c r="E115" i="49"/>
  <c r="E130" i="49"/>
  <c r="E146" i="49"/>
  <c r="E162" i="49"/>
  <c r="E174" i="49"/>
  <c r="E190" i="49"/>
  <c r="E206" i="49"/>
  <c r="E243" i="49"/>
  <c r="E223" i="49"/>
  <c r="E8" i="49"/>
  <c r="E24" i="49"/>
  <c r="E40" i="49"/>
  <c r="E56" i="49"/>
  <c r="E72" i="49"/>
  <c r="E88" i="49"/>
  <c r="E104" i="49"/>
  <c r="E120" i="49"/>
  <c r="E135" i="49"/>
  <c r="E151" i="49"/>
  <c r="E167" i="49"/>
  <c r="E179" i="49"/>
  <c r="E195" i="49"/>
  <c r="E216" i="49"/>
  <c r="E244" i="49"/>
  <c r="E233" i="49"/>
  <c r="E13" i="49"/>
  <c r="E29" i="49"/>
  <c r="E45" i="49"/>
  <c r="E61" i="49"/>
  <c r="E77" i="49"/>
  <c r="E93" i="49"/>
  <c r="E109" i="49"/>
  <c r="E124" i="49"/>
  <c r="E140" i="49"/>
  <c r="E156" i="49"/>
  <c r="E238" i="49"/>
  <c r="E184" i="49"/>
  <c r="E200" i="49"/>
  <c r="E226" i="49"/>
  <c r="E211" i="49"/>
  <c r="E253" i="49"/>
  <c r="E18" i="49"/>
  <c r="E34" i="49"/>
  <c r="E50" i="49"/>
  <c r="E66" i="49"/>
  <c r="E82" i="49"/>
  <c r="E98" i="49"/>
  <c r="E114" i="49"/>
  <c r="E129" i="49"/>
  <c r="E145" i="49"/>
  <c r="E161" i="49"/>
  <c r="E173" i="49"/>
  <c r="E189" i="49"/>
  <c r="E205" i="49"/>
  <c r="E239" i="49"/>
  <c r="E221" i="49"/>
  <c r="E7" i="49"/>
  <c r="E23" i="49"/>
  <c r="E39" i="49"/>
  <c r="E55" i="49"/>
  <c r="E71" i="49"/>
  <c r="E87" i="49"/>
  <c r="E103" i="49"/>
  <c r="E119" i="49"/>
  <c r="E134" i="49"/>
  <c r="E150" i="49"/>
  <c r="E166" i="49"/>
  <c r="E178" i="49"/>
  <c r="E194" i="49"/>
  <c r="E214" i="49"/>
  <c r="E240" i="49"/>
  <c r="E231" i="49"/>
  <c r="E16" i="49"/>
  <c r="E32" i="49"/>
  <c r="E48" i="49"/>
  <c r="E64" i="49"/>
  <c r="E80" i="49"/>
  <c r="E96" i="49"/>
  <c r="E112" i="49"/>
  <c r="E127" i="49"/>
  <c r="E143" i="49"/>
  <c r="E159" i="49"/>
  <c r="E250" i="49"/>
  <c r="E187" i="49"/>
  <c r="E203" i="49"/>
  <c r="E232" i="49"/>
  <c r="E217" i="49"/>
  <c r="E5" i="49"/>
  <c r="E21" i="49"/>
  <c r="E37" i="49"/>
  <c r="E53" i="49"/>
  <c r="E69" i="49"/>
  <c r="E85" i="49"/>
  <c r="E101" i="49"/>
  <c r="E117" i="49"/>
  <c r="E132" i="49"/>
  <c r="E148" i="49"/>
  <c r="E164" i="49"/>
  <c r="E176" i="49"/>
  <c r="E192" i="49"/>
  <c r="E210" i="49"/>
  <c r="E251" i="49"/>
  <c r="E227" i="49"/>
  <c r="E10" i="49"/>
  <c r="E26" i="49"/>
  <c r="E42" i="49"/>
  <c r="E58" i="49"/>
  <c r="E74" i="49"/>
  <c r="E90" i="49"/>
  <c r="E106" i="49"/>
  <c r="E121" i="49"/>
  <c r="E137" i="49"/>
  <c r="E153" i="49"/>
  <c r="E169" i="49"/>
  <c r="E181" i="49"/>
  <c r="E197" i="49"/>
  <c r="E220" i="49"/>
  <c r="E252" i="49"/>
  <c r="E241" i="49"/>
  <c r="E15" i="49"/>
  <c r="E31" i="49"/>
  <c r="E47" i="49"/>
  <c r="E63" i="49"/>
  <c r="E79" i="49"/>
  <c r="E95" i="49"/>
  <c r="E111" i="49"/>
  <c r="E126" i="49"/>
  <c r="E142" i="49"/>
  <c r="E158" i="49"/>
  <c r="E246" i="49"/>
  <c r="E186" i="49"/>
  <c r="E202" i="49"/>
  <c r="E230" i="49"/>
  <c r="E215" i="49"/>
  <c r="AI14" i="49"/>
  <c r="AI5" i="49"/>
  <c r="AI50" i="49"/>
  <c r="AI38" i="49"/>
  <c r="AI34" i="49"/>
  <c r="AI65" i="49"/>
  <c r="AI97" i="49"/>
  <c r="AI129" i="49"/>
  <c r="AI208" i="49"/>
  <c r="AI211" i="49"/>
  <c r="AI197" i="49"/>
  <c r="AI70" i="49"/>
  <c r="AI86" i="49"/>
  <c r="AI118" i="49"/>
  <c r="AI150" i="49"/>
  <c r="AI218" i="49"/>
  <c r="AI186" i="49"/>
  <c r="AI243" i="49"/>
  <c r="AI27" i="49"/>
  <c r="AI59" i="49"/>
  <c r="AI107" i="49"/>
  <c r="AI139" i="49"/>
  <c r="AI173" i="49"/>
  <c r="AI231" i="49"/>
  <c r="AI253" i="49"/>
  <c r="AI56" i="49"/>
  <c r="AI88" i="49"/>
  <c r="AI120" i="49"/>
  <c r="AI152" i="49"/>
  <c r="AI222" i="49"/>
  <c r="AI188" i="49"/>
  <c r="AI245" i="49"/>
  <c r="AI20" i="49"/>
  <c r="AI10" i="49"/>
  <c r="AI66" i="49"/>
  <c r="AI44" i="49"/>
  <c r="AI40" i="49"/>
  <c r="AI69" i="49"/>
  <c r="AI85" i="49"/>
  <c r="AI117" i="49"/>
  <c r="AI149" i="49"/>
  <c r="AI216" i="49"/>
  <c r="AI185" i="49"/>
  <c r="AI242" i="49"/>
  <c r="AI90" i="49"/>
  <c r="AI122" i="49"/>
  <c r="AI154" i="49"/>
  <c r="AI226" i="49"/>
  <c r="AI190" i="49"/>
  <c r="AI247" i="49"/>
  <c r="AI31" i="49"/>
  <c r="AI63" i="49"/>
  <c r="AI95" i="49"/>
  <c r="AI127" i="49"/>
  <c r="AI159" i="49"/>
  <c r="AI179" i="49"/>
  <c r="AI236" i="49"/>
  <c r="AI60" i="49"/>
  <c r="AI108" i="49"/>
  <c r="AI140" i="49"/>
  <c r="AI171" i="49"/>
  <c r="AI176" i="49"/>
  <c r="AI249" i="49"/>
  <c r="AI36" i="49"/>
  <c r="AI26" i="49"/>
  <c r="AI17" i="49"/>
  <c r="AI13" i="49"/>
  <c r="AI49" i="49"/>
  <c r="AI81" i="49"/>
  <c r="AI113" i="49"/>
  <c r="AI145" i="49"/>
  <c r="AI161" i="49"/>
  <c r="AI181" i="49"/>
  <c r="AI238" i="49"/>
  <c r="AI102" i="49"/>
  <c r="AI134" i="49"/>
  <c r="AI166" i="49"/>
  <c r="AI221" i="49"/>
  <c r="AI202" i="49"/>
  <c r="AI11" i="49"/>
  <c r="AI43" i="49"/>
  <c r="AI75" i="49"/>
  <c r="AI91" i="49"/>
  <c r="AI123" i="49"/>
  <c r="AI155" i="49"/>
  <c r="AI228" i="49"/>
  <c r="AI191" i="49"/>
  <c r="AI248" i="49"/>
  <c r="AI72" i="49"/>
  <c r="AI104" i="49"/>
  <c r="AI136" i="49"/>
  <c r="AI168" i="49"/>
  <c r="AI225" i="49"/>
  <c r="AI204" i="49"/>
  <c r="AI41" i="49"/>
  <c r="AI32" i="49"/>
  <c r="AI22" i="49"/>
  <c r="AI18" i="49"/>
  <c r="AI53" i="49"/>
  <c r="AI101" i="49"/>
  <c r="AI133" i="49"/>
  <c r="AI165" i="49"/>
  <c r="AI219" i="49"/>
  <c r="AI201" i="49"/>
  <c r="AI74" i="49"/>
  <c r="AI106" i="49"/>
  <c r="AI138" i="49"/>
  <c r="AI170" i="49"/>
  <c r="AI229" i="49"/>
  <c r="AI255" i="49"/>
  <c r="AI15" i="49"/>
  <c r="AI47" i="49"/>
  <c r="AI79" i="49"/>
  <c r="AI111" i="49"/>
  <c r="AI143" i="49"/>
  <c r="AI172" i="49"/>
  <c r="AI207" i="49"/>
  <c r="AI195" i="49"/>
  <c r="AI252" i="49"/>
  <c r="AI76" i="49"/>
  <c r="AI92" i="49"/>
  <c r="AI124" i="49"/>
  <c r="AI156" i="49"/>
  <c r="AI230" i="49"/>
  <c r="AI192" i="49"/>
  <c r="AI233" i="49"/>
  <c r="AI4" i="49"/>
  <c r="AI25" i="49"/>
  <c r="AI46" i="49"/>
  <c r="AI16" i="49"/>
  <c r="AI37" i="49"/>
  <c r="AI6" i="49"/>
  <c r="AI28" i="49"/>
  <c r="AI54" i="49"/>
  <c r="AI24" i="49"/>
  <c r="AI45" i="49"/>
  <c r="AI57" i="49"/>
  <c r="AI73" i="49"/>
  <c r="AI89" i="49"/>
  <c r="AI105" i="49"/>
  <c r="AI121" i="49"/>
  <c r="AI137" i="49"/>
  <c r="AI153" i="49"/>
  <c r="AI169" i="49"/>
  <c r="AI224" i="49"/>
  <c r="AI227" i="49"/>
  <c r="AI189" i="49"/>
  <c r="AI205" i="49"/>
  <c r="AI246" i="49"/>
  <c r="AI78" i="49"/>
  <c r="AI94" i="49"/>
  <c r="AI110" i="49"/>
  <c r="AI126" i="49"/>
  <c r="AI142" i="49"/>
  <c r="AI158" i="49"/>
  <c r="AI175" i="49"/>
  <c r="AI254" i="49"/>
  <c r="AI178" i="49"/>
  <c r="AI194" i="49"/>
  <c r="AI235" i="49"/>
  <c r="AI251" i="49"/>
  <c r="AI19" i="49"/>
  <c r="AI35" i="49"/>
  <c r="AI51" i="49"/>
  <c r="AI67" i="49"/>
  <c r="AI83" i="49"/>
  <c r="AI99" i="49"/>
  <c r="AI115" i="49"/>
  <c r="AI131" i="49"/>
  <c r="AI147" i="49"/>
  <c r="AI163" i="49"/>
  <c r="AI212" i="49"/>
  <c r="AI215" i="49"/>
  <c r="AI183" i="49"/>
  <c r="AI199" i="49"/>
  <c r="AI240" i="49"/>
  <c r="AI48" i="49"/>
  <c r="AI64" i="49"/>
  <c r="AI80" i="49"/>
  <c r="AI96" i="49"/>
  <c r="AI112" i="49"/>
  <c r="AI128" i="49"/>
  <c r="AI144" i="49"/>
  <c r="AI160" i="49"/>
  <c r="AI206" i="49"/>
  <c r="AI209" i="49"/>
  <c r="AI180" i="49"/>
  <c r="AI196" i="49"/>
  <c r="AI237" i="49"/>
  <c r="AI9" i="49"/>
  <c r="AI30" i="49"/>
  <c r="AI62" i="49"/>
  <c r="AI21" i="49"/>
  <c r="AI42" i="49"/>
  <c r="AI12" i="49"/>
  <c r="AI33" i="49"/>
  <c r="AI8" i="49"/>
  <c r="AI29" i="49"/>
  <c r="AI58" i="49"/>
  <c r="AI61" i="49"/>
  <c r="AI77" i="49"/>
  <c r="AI93" i="49"/>
  <c r="AI109" i="49"/>
  <c r="AI125" i="49"/>
  <c r="AI141" i="49"/>
  <c r="AI157" i="49"/>
  <c r="AI174" i="49"/>
  <c r="AI232" i="49"/>
  <c r="AI177" i="49"/>
  <c r="AI193" i="49"/>
  <c r="AI234" i="49"/>
  <c r="AI250" i="49"/>
  <c r="AI82" i="49"/>
  <c r="AI98" i="49"/>
  <c r="AI114" i="49"/>
  <c r="AI130" i="49"/>
  <c r="AI146" i="49"/>
  <c r="AI162" i="49"/>
  <c r="AI210" i="49"/>
  <c r="AI213" i="49"/>
  <c r="AI182" i="49"/>
  <c r="AI198" i="49"/>
  <c r="AI239" i="49"/>
  <c r="AI7" i="49"/>
  <c r="AI23" i="49"/>
  <c r="AI39" i="49"/>
  <c r="AI55" i="49"/>
  <c r="AI71" i="49"/>
  <c r="AI87" i="49"/>
  <c r="AI103" i="49"/>
  <c r="AI119" i="49"/>
  <c r="AI135" i="49"/>
  <c r="AI151" i="49"/>
  <c r="AI167" i="49"/>
  <c r="AI220" i="49"/>
  <c r="AI223" i="49"/>
  <c r="AI187" i="49"/>
  <c r="AI203" i="49"/>
  <c r="AI244" i="49"/>
  <c r="AI52" i="49"/>
  <c r="AI68" i="49"/>
  <c r="AI84" i="49"/>
  <c r="AI100" i="49"/>
  <c r="AI116" i="49"/>
  <c r="AI132" i="49"/>
  <c r="AI148" i="49"/>
  <c r="AI164" i="49"/>
  <c r="AI214" i="49"/>
  <c r="AI217" i="49"/>
  <c r="AI184" i="49"/>
  <c r="AI200" i="49"/>
  <c r="AW222" i="49"/>
  <c r="AW172" i="49"/>
  <c r="AW106" i="49"/>
  <c r="AW45" i="49"/>
  <c r="AW252" i="49"/>
  <c r="AW248" i="49"/>
  <c r="AW104" i="49"/>
  <c r="AW44" i="49"/>
  <c r="AW220" i="49"/>
  <c r="AW171" i="49"/>
  <c r="AW111" i="49"/>
  <c r="AW43" i="49"/>
  <c r="AW149" i="49"/>
  <c r="AW129" i="49"/>
  <c r="AW108" i="49"/>
  <c r="AW227" i="49"/>
  <c r="AW152" i="49"/>
  <c r="AW89" i="49"/>
  <c r="AW25" i="49"/>
  <c r="AW225" i="49"/>
  <c r="AW151" i="49"/>
  <c r="AW88" i="49"/>
  <c r="AW24" i="49"/>
  <c r="AW223" i="49"/>
  <c r="AW150" i="49"/>
  <c r="AW87" i="49"/>
  <c r="AW23" i="49"/>
  <c r="AW70" i="49"/>
  <c r="AW113" i="49"/>
  <c r="AW94" i="49"/>
  <c r="AW212" i="49"/>
  <c r="AW148" i="49"/>
  <c r="AW85" i="49"/>
  <c r="AW21" i="49"/>
  <c r="AW210" i="49"/>
  <c r="AW147" i="49"/>
  <c r="AW84" i="49"/>
  <c r="AW20" i="49"/>
  <c r="AW211" i="49"/>
  <c r="AW146" i="49"/>
  <c r="AW83" i="49"/>
  <c r="AW19" i="49"/>
  <c r="AW56" i="49"/>
  <c r="AW34" i="49"/>
  <c r="AW14" i="49"/>
  <c r="AW192" i="49"/>
  <c r="AW128" i="49"/>
  <c r="AW65" i="49"/>
  <c r="AW228" i="49"/>
  <c r="AW175" i="49"/>
  <c r="AW112" i="49"/>
  <c r="AW48" i="49"/>
  <c r="AW226" i="49"/>
  <c r="AW174" i="49"/>
  <c r="AW110" i="49"/>
  <c r="AW47" i="49"/>
  <c r="AW160" i="49"/>
  <c r="AW145" i="49"/>
  <c r="AW189" i="49"/>
  <c r="AW74" i="49"/>
  <c r="AW90" i="49"/>
  <c r="AW109" i="49"/>
  <c r="AW121" i="49"/>
  <c r="BB34" i="49"/>
  <c r="BB99" i="49"/>
  <c r="BB162" i="49"/>
  <c r="BB220" i="49"/>
  <c r="BB35" i="49"/>
  <c r="BB100" i="49"/>
  <c r="BB163" i="49"/>
  <c r="BB221" i="49"/>
  <c r="BB40" i="49"/>
  <c r="BB105" i="49"/>
  <c r="BB168" i="49"/>
  <c r="BB226" i="49"/>
  <c r="BB45" i="49"/>
  <c r="BB110" i="49"/>
  <c r="BB173" i="49"/>
  <c r="BB231" i="49"/>
  <c r="AW235" i="49"/>
  <c r="AW156" i="49"/>
  <c r="AW93" i="49"/>
  <c r="AW29" i="49"/>
  <c r="AW233" i="49"/>
  <c r="AW155" i="49"/>
  <c r="AW92" i="49"/>
  <c r="AW28" i="49"/>
  <c r="AW231" i="49"/>
  <c r="AW154" i="49"/>
  <c r="AW91" i="49"/>
  <c r="AW27" i="49"/>
  <c r="AW86" i="49"/>
  <c r="AW66" i="49"/>
  <c r="AW46" i="49"/>
  <c r="AW200" i="49"/>
  <c r="AW136" i="49"/>
  <c r="AW73" i="49"/>
  <c r="AW8" i="49"/>
  <c r="AW199" i="49"/>
  <c r="AW135" i="49"/>
  <c r="AW72" i="49"/>
  <c r="AW9" i="49"/>
  <c r="AW198" i="49"/>
  <c r="AW134" i="49"/>
  <c r="AW71" i="49"/>
  <c r="AW6" i="49"/>
  <c r="AW4" i="49"/>
  <c r="AW50" i="49"/>
  <c r="AW30" i="49"/>
  <c r="AW196" i="49"/>
  <c r="AW132" i="49"/>
  <c r="AW69" i="49"/>
  <c r="AW7" i="49"/>
  <c r="AW195" i="49"/>
  <c r="AW131" i="49"/>
  <c r="AW68" i="49"/>
  <c r="AW5" i="49"/>
  <c r="AW194" i="49"/>
  <c r="AW130" i="49"/>
  <c r="AW67" i="49"/>
  <c r="AW240" i="49"/>
  <c r="AW245" i="49"/>
  <c r="AW205" i="49"/>
  <c r="AW230" i="49"/>
  <c r="AW176" i="49"/>
  <c r="AW114" i="49"/>
  <c r="AW49" i="49"/>
  <c r="AW241" i="49"/>
  <c r="AW161" i="49"/>
  <c r="AW96" i="49"/>
  <c r="AW32" i="49"/>
  <c r="AW239" i="49"/>
  <c r="AW159" i="49"/>
  <c r="AW95" i="49"/>
  <c r="AW31" i="49"/>
  <c r="AW102" i="49"/>
  <c r="AW82" i="49"/>
  <c r="AW125" i="49"/>
  <c r="AW137" i="49"/>
  <c r="AW153" i="49"/>
  <c r="AW168" i="49"/>
  <c r="AW185" i="49"/>
  <c r="AW204" i="49"/>
  <c r="AW140" i="49"/>
  <c r="AW77" i="49"/>
  <c r="AW13" i="49"/>
  <c r="AW203" i="49"/>
  <c r="AW139" i="49"/>
  <c r="AW76" i="49"/>
  <c r="AW12" i="49"/>
  <c r="AW202" i="49"/>
  <c r="AW138" i="49"/>
  <c r="AW75" i="49"/>
  <c r="AW11" i="49"/>
  <c r="AW22" i="49"/>
  <c r="AW224" i="49"/>
  <c r="AW246" i="49"/>
  <c r="AW184" i="49"/>
  <c r="AW120" i="49"/>
  <c r="AW55" i="49"/>
  <c r="AW244" i="49"/>
  <c r="AW183" i="49"/>
  <c r="AW119" i="49"/>
  <c r="AW61" i="49"/>
  <c r="AW242" i="49"/>
  <c r="AW182" i="49"/>
  <c r="AW118" i="49"/>
  <c r="AW58" i="49"/>
  <c r="AW197" i="49"/>
  <c r="AW232" i="49"/>
  <c r="AW237" i="49"/>
  <c r="AW238" i="49"/>
  <c r="AW180" i="49"/>
  <c r="AW116" i="49"/>
  <c r="AW53" i="49"/>
  <c r="AW236" i="49"/>
  <c r="AW179" i="49"/>
  <c r="AW115" i="49"/>
  <c r="AW52" i="49"/>
  <c r="AW234" i="49"/>
  <c r="AW178" i="49"/>
  <c r="AW170" i="49"/>
  <c r="AW51" i="49"/>
  <c r="AW181" i="49"/>
  <c r="AW165" i="49"/>
  <c r="AW141" i="49"/>
  <c r="AW243" i="49"/>
  <c r="AW163" i="49"/>
  <c r="AW97" i="49"/>
  <c r="AW33" i="49"/>
  <c r="AW207" i="49"/>
  <c r="AW143" i="49"/>
  <c r="AW80" i="49"/>
  <c r="AW16" i="49"/>
  <c r="AW206" i="49"/>
  <c r="AW142" i="49"/>
  <c r="AW79" i="49"/>
  <c r="AW15" i="49"/>
  <c r="AW38" i="49"/>
  <c r="AW18" i="49"/>
  <c r="AW63" i="49"/>
  <c r="AW201" i="49"/>
  <c r="AW229" i="49"/>
  <c r="AW219" i="49"/>
  <c r="BB67" i="49"/>
  <c r="BB131" i="49"/>
  <c r="BB194" i="49"/>
  <c r="BB56" i="49"/>
  <c r="BB68" i="49"/>
  <c r="BB132" i="49"/>
  <c r="BB195" i="49"/>
  <c r="BB8" i="49"/>
  <c r="BB73" i="49"/>
  <c r="BB137" i="49"/>
  <c r="BB200" i="49"/>
  <c r="BB13" i="49"/>
  <c r="BB78" i="49"/>
  <c r="BB142" i="49"/>
  <c r="BB205" i="49"/>
  <c r="Y229" i="49"/>
  <c r="Y28" i="49"/>
  <c r="Y103" i="49"/>
  <c r="Y165" i="49"/>
  <c r="Y87" i="49"/>
  <c r="Y4" i="49"/>
  <c r="Y175" i="49"/>
  <c r="Y230" i="49"/>
  <c r="Y153" i="49"/>
  <c r="Y90" i="49"/>
  <c r="Y26" i="49"/>
  <c r="Y48" i="49"/>
  <c r="Y132" i="49"/>
  <c r="Y232" i="49"/>
  <c r="Y63" i="49"/>
  <c r="Y146" i="49"/>
  <c r="Y217" i="49"/>
  <c r="Y49" i="49"/>
  <c r="Y52" i="49"/>
  <c r="Y240" i="49"/>
  <c r="Y139" i="49"/>
  <c r="Y56" i="49"/>
  <c r="Y249" i="49"/>
  <c r="Y161" i="49"/>
  <c r="Y5" i="49"/>
  <c r="Y84" i="49"/>
  <c r="Y255" i="49"/>
  <c r="Y172" i="49"/>
  <c r="Y89" i="49"/>
  <c r="Y247" i="49"/>
  <c r="Y186" i="49"/>
  <c r="Y121" i="49"/>
  <c r="Y60" i="49"/>
  <c r="Y6" i="49"/>
  <c r="Y91" i="49"/>
  <c r="Y176" i="49"/>
  <c r="Y19" i="49"/>
  <c r="Y104" i="49"/>
  <c r="Y189" i="49"/>
  <c r="Y111" i="49"/>
  <c r="Y144" i="49"/>
  <c r="Y136" i="49"/>
  <c r="Y59" i="49"/>
  <c r="Y244" i="49"/>
  <c r="BB6" i="49"/>
  <c r="BB22" i="49"/>
  <c r="BB38" i="49"/>
  <c r="BB55" i="49"/>
  <c r="BB71" i="49"/>
  <c r="BB87" i="49"/>
  <c r="BB103" i="49"/>
  <c r="BB119" i="49"/>
  <c r="BB135" i="49"/>
  <c r="BB151" i="49"/>
  <c r="BB166" i="49"/>
  <c r="BB182" i="49"/>
  <c r="BB198" i="49"/>
  <c r="BB212" i="49"/>
  <c r="BB224" i="49"/>
  <c r="BB240" i="49"/>
  <c r="BB7" i="49"/>
  <c r="BB23" i="49"/>
  <c r="BB39" i="49"/>
  <c r="BB54" i="49"/>
  <c r="BB72" i="49"/>
  <c r="BB88" i="49"/>
  <c r="BB104" i="49"/>
  <c r="BB120" i="49"/>
  <c r="BB136" i="49"/>
  <c r="BB152" i="49"/>
  <c r="BB167" i="49"/>
  <c r="BB183" i="49"/>
  <c r="BB199" i="49"/>
  <c r="BB213" i="49"/>
  <c r="BB225" i="49"/>
  <c r="BB241" i="49"/>
  <c r="BB12" i="49"/>
  <c r="BB28" i="49"/>
  <c r="BB44" i="49"/>
  <c r="BB61" i="49"/>
  <c r="BB77" i="49"/>
  <c r="BB93" i="49"/>
  <c r="BB109" i="49"/>
  <c r="BB125" i="49"/>
  <c r="BB141" i="49"/>
  <c r="BB157" i="49"/>
  <c r="BB172" i="49"/>
  <c r="BB188" i="49"/>
  <c r="BB204" i="49"/>
  <c r="BB218" i="49"/>
  <c r="BB230" i="49"/>
  <c r="BB246" i="49"/>
  <c r="BB17" i="49"/>
  <c r="BB33" i="49"/>
  <c r="BB49" i="49"/>
  <c r="BB66" i="49"/>
  <c r="BB82" i="49"/>
  <c r="BB98" i="49"/>
  <c r="BB114" i="49"/>
  <c r="BB130" i="49"/>
  <c r="BB146" i="49"/>
  <c r="BB161" i="49"/>
  <c r="BB177" i="49"/>
  <c r="BB193" i="49"/>
  <c r="BB209" i="49"/>
  <c r="BB255" i="49"/>
  <c r="BB235" i="49"/>
  <c r="BB10" i="49"/>
  <c r="BB26" i="49"/>
  <c r="BB42" i="49"/>
  <c r="BB59" i="49"/>
  <c r="BB75" i="49"/>
  <c r="BB91" i="49"/>
  <c r="BB107" i="49"/>
  <c r="BB123" i="49"/>
  <c r="BB139" i="49"/>
  <c r="BB155" i="49"/>
  <c r="BB170" i="49"/>
  <c r="BB186" i="49"/>
  <c r="BB202" i="49"/>
  <c r="BB216" i="49"/>
  <c r="BB228" i="49"/>
  <c r="BB244" i="49"/>
  <c r="BB11" i="49"/>
  <c r="BB27" i="49"/>
  <c r="BB43" i="49"/>
  <c r="BB60" i="49"/>
  <c r="BB76" i="49"/>
  <c r="BB92" i="49"/>
  <c r="BB108" i="49"/>
  <c r="BB124" i="49"/>
  <c r="BB140" i="49"/>
  <c r="BB156" i="49"/>
  <c r="BB171" i="49"/>
  <c r="BB187" i="49"/>
  <c r="BB203" i="49"/>
  <c r="BB217" i="49"/>
  <c r="BB229" i="49"/>
  <c r="BB245" i="49"/>
  <c r="BB16" i="49"/>
  <c r="BB32" i="49"/>
  <c r="BB48" i="49"/>
  <c r="BB65" i="49"/>
  <c r="BB81" i="49"/>
  <c r="BB97" i="49"/>
  <c r="BB113" i="49"/>
  <c r="BB129" i="49"/>
  <c r="BB145" i="49"/>
  <c r="BB160" i="49"/>
  <c r="BB176" i="49"/>
  <c r="BB192" i="49"/>
  <c r="BB208" i="49"/>
  <c r="BB251" i="49"/>
  <c r="BB234" i="49"/>
  <c r="BB5" i="49"/>
  <c r="BB21" i="49"/>
  <c r="BB37" i="49"/>
  <c r="BB53" i="49"/>
  <c r="BB70" i="49"/>
  <c r="BB86" i="49"/>
  <c r="BB102" i="49"/>
  <c r="BB118" i="49"/>
  <c r="BB134" i="49"/>
  <c r="BB150" i="49"/>
  <c r="BB165" i="49"/>
  <c r="BB181" i="49"/>
  <c r="BB197" i="49"/>
  <c r="BB211" i="49"/>
  <c r="BB223" i="49"/>
  <c r="BB239" i="49"/>
  <c r="BB14" i="49"/>
  <c r="BB30" i="49"/>
  <c r="BB46" i="49"/>
  <c r="BB63" i="49"/>
  <c r="BB79" i="49"/>
  <c r="BB95" i="49"/>
  <c r="BB111" i="49"/>
  <c r="BB127" i="49"/>
  <c r="BB143" i="49"/>
  <c r="BB158" i="49"/>
  <c r="BB174" i="49"/>
  <c r="BB190" i="49"/>
  <c r="BB206" i="49"/>
  <c r="BB250" i="49"/>
  <c r="BB232" i="49"/>
  <c r="BB253" i="49"/>
  <c r="BB15" i="49"/>
  <c r="BB31" i="49"/>
  <c r="BB47" i="49"/>
  <c r="BB64" i="49"/>
  <c r="BB80" i="49"/>
  <c r="BB96" i="49"/>
  <c r="BB112" i="49"/>
  <c r="BB128" i="49"/>
  <c r="BB144" i="49"/>
  <c r="BB159" i="49"/>
  <c r="BB175" i="49"/>
  <c r="BB191" i="49"/>
  <c r="BB207" i="49"/>
  <c r="BB247" i="49"/>
  <c r="BB233" i="49"/>
  <c r="BB4" i="49"/>
  <c r="BB20" i="49"/>
  <c r="BB36" i="49"/>
  <c r="BB52" i="49"/>
  <c r="BB69" i="49"/>
  <c r="BB85" i="49"/>
  <c r="BB101" i="49"/>
  <c r="BB117" i="49"/>
  <c r="BB133" i="49"/>
  <c r="BB149" i="49"/>
  <c r="BB164" i="49"/>
  <c r="BB180" i="49"/>
  <c r="BB196" i="49"/>
  <c r="BB210" i="49"/>
  <c r="BB222" i="49"/>
  <c r="BB238" i="49"/>
  <c r="BB9" i="49"/>
  <c r="BB25" i="49"/>
  <c r="BB41" i="49"/>
  <c r="BB58" i="49"/>
  <c r="BB74" i="49"/>
  <c r="BB90" i="49"/>
  <c r="BB106" i="49"/>
  <c r="BB122" i="49"/>
  <c r="BB138" i="49"/>
  <c r="BB154" i="49"/>
  <c r="BB169" i="49"/>
  <c r="BB185" i="49"/>
  <c r="BB201" i="49"/>
  <c r="BB215" i="49"/>
  <c r="BB227" i="49"/>
  <c r="AX144" i="49"/>
  <c r="AX186" i="49"/>
  <c r="AX191" i="49"/>
  <c r="AX209" i="49"/>
  <c r="AX192" i="49"/>
  <c r="AX137" i="49"/>
  <c r="AX7" i="49"/>
  <c r="AX204" i="49"/>
  <c r="AX26" i="49"/>
  <c r="AX31" i="49"/>
  <c r="AX19" i="49"/>
  <c r="AX196" i="49"/>
  <c r="AX171" i="49"/>
  <c r="AX173" i="49"/>
  <c r="AX87" i="49"/>
  <c r="AX129" i="49"/>
  <c r="AX8" i="49"/>
  <c r="AX185" i="49"/>
  <c r="AX224" i="49"/>
  <c r="AX48" i="49"/>
  <c r="AX138" i="49"/>
  <c r="AX143" i="49"/>
  <c r="AX113" i="49"/>
  <c r="AX96" i="49"/>
  <c r="AX25" i="49"/>
  <c r="AX38" i="49"/>
  <c r="AX53" i="49"/>
  <c r="AX241" i="49"/>
  <c r="AX174" i="49"/>
  <c r="AX50" i="49"/>
  <c r="AX194" i="49"/>
  <c r="AX98" i="49"/>
  <c r="AX20" i="49"/>
  <c r="AX76" i="49"/>
  <c r="AX72" i="49"/>
  <c r="AX124" i="49"/>
  <c r="AX243" i="49"/>
  <c r="AX244" i="49"/>
  <c r="AX242" i="49"/>
  <c r="AX248" i="49"/>
  <c r="AX252" i="49"/>
  <c r="AX102" i="49"/>
  <c r="AX101" i="49"/>
  <c r="AX83" i="49"/>
  <c r="AX118" i="49"/>
  <c r="AX117" i="49"/>
  <c r="AX176" i="49"/>
  <c r="AX221" i="49"/>
  <c r="AX24" i="49"/>
  <c r="AX108" i="49"/>
  <c r="AX202" i="49"/>
  <c r="AX203" i="49"/>
  <c r="AX201" i="49"/>
  <c r="AX206" i="49"/>
  <c r="AX207" i="49"/>
  <c r="AX205" i="49"/>
  <c r="AX135" i="49"/>
  <c r="AX235" i="49"/>
  <c r="AX234" i="49"/>
  <c r="AX151" i="49"/>
  <c r="AX80" i="49"/>
  <c r="AX180" i="49"/>
  <c r="AX208" i="49"/>
  <c r="AX225" i="49"/>
  <c r="AX90" i="49"/>
  <c r="AX91" i="49"/>
  <c r="AX89" i="49"/>
  <c r="AX94" i="49"/>
  <c r="AX95" i="49"/>
  <c r="AX93" i="49"/>
  <c r="AX166" i="49"/>
  <c r="AX165" i="49"/>
  <c r="AX147" i="49"/>
  <c r="AX182" i="49"/>
  <c r="AX181" i="49"/>
  <c r="AX4" i="49"/>
  <c r="AX12" i="49"/>
  <c r="AX54" i="49"/>
  <c r="AX28" i="49"/>
  <c r="AX227" i="49"/>
  <c r="AX228" i="49"/>
  <c r="AX226" i="49"/>
  <c r="AX231" i="49"/>
  <c r="AX232" i="49"/>
  <c r="AX230" i="49"/>
  <c r="AX199" i="49"/>
  <c r="AX178" i="49"/>
  <c r="AX177" i="49"/>
  <c r="AX211" i="49"/>
  <c r="AX65" i="49"/>
  <c r="AX66" i="49"/>
  <c r="AX35" i="49"/>
  <c r="AX131" i="49"/>
  <c r="AX254" i="49"/>
  <c r="AX10" i="49"/>
  <c r="AX92" i="49"/>
  <c r="AX84" i="49"/>
  <c r="AX32" i="49"/>
  <c r="AX136" i="49"/>
  <c r="AX58" i="49"/>
  <c r="AX59" i="49"/>
  <c r="AX57" i="49"/>
  <c r="AX62" i="49"/>
  <c r="AX63" i="49"/>
  <c r="AX61" i="49"/>
  <c r="AX223" i="49"/>
  <c r="AX222" i="49"/>
  <c r="AX247" i="49"/>
  <c r="AX239" i="49"/>
  <c r="AX238" i="49"/>
  <c r="AX36" i="49"/>
  <c r="AX140" i="49"/>
  <c r="AX88" i="49"/>
  <c r="AX216" i="49"/>
  <c r="AX11" i="49"/>
  <c r="AX9" i="49"/>
  <c r="AX14" i="49"/>
  <c r="AX15" i="49"/>
  <c r="AX13" i="49"/>
  <c r="AX6" i="49"/>
  <c r="AX5" i="49"/>
  <c r="AX115" i="49"/>
  <c r="AX22" i="49"/>
  <c r="AX21" i="49"/>
  <c r="AX220" i="49"/>
  <c r="AX237" i="49"/>
  <c r="AX40" i="49"/>
  <c r="AX172" i="49"/>
  <c r="AX154" i="49"/>
  <c r="AX155" i="49"/>
  <c r="AX153" i="49"/>
  <c r="AX158" i="49"/>
  <c r="AX159" i="49"/>
  <c r="AX157" i="49"/>
  <c r="AX39" i="49"/>
  <c r="AX18" i="49"/>
  <c r="AX17" i="49"/>
  <c r="AX55" i="49"/>
  <c r="AX60" i="49"/>
  <c r="AX68" i="49"/>
  <c r="AX229" i="49"/>
  <c r="AX120" i="49"/>
  <c r="AX42" i="49"/>
  <c r="AX43" i="49"/>
  <c r="AX41" i="49"/>
  <c r="AX46" i="49"/>
  <c r="AX47" i="49"/>
  <c r="AX45" i="49"/>
  <c r="AX70" i="49"/>
  <c r="AX69" i="49"/>
  <c r="AX51" i="49"/>
  <c r="AX86" i="49"/>
  <c r="AX85" i="49"/>
  <c r="AX195" i="49"/>
  <c r="AX161" i="49"/>
  <c r="AX162" i="49"/>
  <c r="AX130" i="49"/>
  <c r="AX99" i="49"/>
  <c r="AX16" i="49"/>
  <c r="AX148" i="49"/>
  <c r="AX160" i="49"/>
  <c r="AX200" i="49"/>
  <c r="AX122" i="49"/>
  <c r="AX123" i="49"/>
  <c r="AX121" i="49"/>
  <c r="AX126" i="49"/>
  <c r="AX127" i="49"/>
  <c r="AX125" i="49"/>
  <c r="AX103" i="49"/>
  <c r="AX82" i="49"/>
  <c r="AX81" i="49"/>
  <c r="AX119" i="49"/>
  <c r="AX156" i="49"/>
  <c r="AX100" i="49"/>
  <c r="AX64" i="49"/>
  <c r="AX152" i="49"/>
  <c r="AX74" i="49"/>
  <c r="AX75" i="49"/>
  <c r="AX73" i="49"/>
  <c r="AX78" i="49"/>
  <c r="AX79" i="49"/>
  <c r="AX77" i="49"/>
  <c r="AX134" i="49"/>
  <c r="AX133" i="49"/>
  <c r="AX236" i="49"/>
  <c r="AX150" i="49"/>
  <c r="AX149" i="49"/>
  <c r="AX52" i="49"/>
  <c r="AX188" i="49"/>
  <c r="AX104" i="49"/>
  <c r="AX246" i="49"/>
  <c r="AX214" i="49"/>
  <c r="AX215" i="49"/>
  <c r="AX213" i="49"/>
  <c r="AX218" i="49"/>
  <c r="AX219" i="49"/>
  <c r="AX217" i="49"/>
  <c r="AX167" i="49"/>
  <c r="AX146" i="49"/>
  <c r="AX145" i="49"/>
  <c r="AX183" i="49"/>
  <c r="AX245" i="49"/>
  <c r="AX132" i="49"/>
  <c r="AX128" i="49"/>
  <c r="AX184" i="49"/>
  <c r="AX106" i="49"/>
  <c r="AX107" i="49"/>
  <c r="AX105" i="49"/>
  <c r="AX110" i="49"/>
  <c r="AX111" i="49"/>
  <c r="AX109" i="49"/>
  <c r="AX198" i="49"/>
  <c r="AX197" i="49"/>
  <c r="AX179" i="49"/>
  <c r="AX210" i="49"/>
  <c r="AX249" i="49"/>
  <c r="AX67" i="49"/>
  <c r="AX33" i="49"/>
  <c r="AX34" i="49"/>
  <c r="AX251" i="49"/>
  <c r="AP58" i="49" l="1"/>
  <c r="AA42" i="49"/>
  <c r="AA148" i="49"/>
  <c r="AA7" i="49"/>
  <c r="AA88" i="49"/>
  <c r="AA54" i="49"/>
  <c r="AA187" i="49"/>
  <c r="AA233" i="49"/>
  <c r="AP189" i="49"/>
  <c r="AP193" i="49"/>
  <c r="AP220" i="49"/>
  <c r="BE26" i="49"/>
  <c r="BE205" i="49"/>
  <c r="BE119" i="49"/>
  <c r="AA79" i="49"/>
  <c r="AA226" i="49"/>
  <c r="AA8" i="49"/>
  <c r="AP6" i="49"/>
  <c r="AA158" i="49"/>
  <c r="AA114" i="49"/>
  <c r="AA138" i="49"/>
  <c r="AA95" i="49"/>
  <c r="AA35" i="49"/>
  <c r="AP70" i="49"/>
  <c r="AP86" i="49"/>
  <c r="AP118" i="49"/>
  <c r="AP66" i="49"/>
  <c r="AP44" i="49"/>
  <c r="AP122" i="49"/>
  <c r="AP190" i="49"/>
  <c r="AP75" i="49"/>
  <c r="AP165" i="49"/>
  <c r="AP121" i="49"/>
  <c r="AP94" i="49"/>
  <c r="AP35" i="49"/>
  <c r="AP67" i="49"/>
  <c r="AP99" i="49"/>
  <c r="AP163" i="49"/>
  <c r="AP180" i="49"/>
  <c r="AP30" i="49"/>
  <c r="AA229" i="49"/>
  <c r="AA165" i="49"/>
  <c r="AA217" i="49"/>
  <c r="AA144" i="49"/>
  <c r="BE247" i="49"/>
  <c r="BE221" i="49"/>
  <c r="AA14" i="49"/>
  <c r="AA102" i="49"/>
  <c r="AA199" i="49"/>
  <c r="BE60" i="49"/>
  <c r="BE39" i="49"/>
  <c r="AA255" i="49"/>
  <c r="AA63" i="49"/>
  <c r="AA175" i="49"/>
  <c r="BE213" i="49"/>
  <c r="BE100" i="49"/>
  <c r="AA247" i="49"/>
  <c r="AP76" i="49"/>
  <c r="AP236" i="49"/>
  <c r="AP107" i="49"/>
  <c r="AP241" i="49"/>
  <c r="AP38" i="49"/>
  <c r="AP110" i="49"/>
  <c r="AP245" i="49"/>
  <c r="AP100" i="49"/>
  <c r="AP210" i="49"/>
  <c r="AP156" i="49"/>
  <c r="AP97" i="49"/>
  <c r="AP68" i="49"/>
  <c r="AP254" i="49"/>
  <c r="AP79" i="49"/>
  <c r="AP152" i="49"/>
  <c r="AP253" i="49"/>
  <c r="AA77" i="49"/>
  <c r="AP143" i="49"/>
  <c r="AP15" i="49"/>
  <c r="AA245" i="49"/>
  <c r="BE157" i="49"/>
  <c r="BE57" i="49"/>
  <c r="AA214" i="49"/>
  <c r="BE158" i="49"/>
  <c r="BE89" i="49"/>
  <c r="BE99" i="49"/>
  <c r="BE166" i="49"/>
  <c r="BE17" i="49"/>
  <c r="BE203" i="49"/>
  <c r="BE164" i="49"/>
  <c r="BE250" i="49"/>
  <c r="AA157" i="49"/>
  <c r="BE217" i="49"/>
  <c r="BE187" i="49"/>
  <c r="AP199" i="49"/>
  <c r="AP138" i="49"/>
  <c r="AA213" i="49"/>
  <c r="L214" i="49"/>
  <c r="AP222" i="49"/>
  <c r="AA135" i="49"/>
  <c r="AA246" i="49"/>
  <c r="AP234" i="49"/>
  <c r="AP12" i="49"/>
  <c r="AP144" i="49"/>
  <c r="AP154" i="49"/>
  <c r="AP188" i="49"/>
  <c r="L59" i="49"/>
  <c r="AP211" i="49"/>
  <c r="AA239" i="49"/>
  <c r="AA196" i="49"/>
  <c r="AA172" i="49"/>
  <c r="L80" i="49"/>
  <c r="AA84" i="49"/>
  <c r="AP155" i="49"/>
  <c r="AP149" i="49"/>
  <c r="AA210" i="49"/>
  <c r="AA166" i="49"/>
  <c r="AA76" i="49"/>
  <c r="AA55" i="49"/>
  <c r="AA153" i="49"/>
  <c r="AP160" i="49"/>
  <c r="AP172" i="49"/>
  <c r="AP170" i="49"/>
  <c r="AP123" i="49"/>
  <c r="AA147" i="49"/>
  <c r="AA56" i="49"/>
  <c r="AA253" i="49"/>
  <c r="AA107" i="49"/>
  <c r="AA15" i="49"/>
  <c r="AA219" i="49"/>
  <c r="AA124" i="49"/>
  <c r="AP133" i="49"/>
  <c r="AP198" i="49"/>
  <c r="AP29" i="49"/>
  <c r="AA191" i="49"/>
  <c r="AA58" i="49"/>
  <c r="AA250" i="49"/>
  <c r="AA252" i="49"/>
  <c r="AA189" i="49"/>
  <c r="AA222" i="49"/>
  <c r="AA104" i="49"/>
  <c r="AA123" i="49"/>
  <c r="BE255" i="49"/>
  <c r="AA32" i="49"/>
  <c r="AA211" i="49"/>
  <c r="AA30" i="49"/>
  <c r="AA4" i="49"/>
  <c r="AA53" i="49"/>
  <c r="AA192" i="49"/>
  <c r="AA49" i="49"/>
  <c r="AA122" i="49"/>
  <c r="AA204" i="49"/>
  <c r="AA90" i="49"/>
  <c r="AA156" i="49"/>
  <c r="BE71" i="49"/>
  <c r="AA19" i="49"/>
  <c r="AA5" i="49"/>
  <c r="AA87" i="49"/>
  <c r="AA182" i="49"/>
  <c r="AA145" i="49"/>
  <c r="AA150" i="49"/>
  <c r="AA134" i="49"/>
  <c r="AA149" i="49"/>
  <c r="AA221" i="49"/>
  <c r="AA193" i="49"/>
  <c r="AA120" i="49"/>
  <c r="AA94" i="49"/>
  <c r="AA126" i="49"/>
  <c r="AA188" i="49"/>
  <c r="AA243" i="49"/>
  <c r="BE160" i="49"/>
  <c r="BE84" i="49"/>
  <c r="BE228" i="49"/>
  <c r="BE97" i="49"/>
  <c r="BE249" i="49"/>
  <c r="BE105" i="49"/>
  <c r="BE214" i="49"/>
  <c r="BE78" i="49"/>
  <c r="BE83" i="49"/>
  <c r="BE30" i="49"/>
  <c r="BE240" i="49"/>
  <c r="AA161" i="49"/>
  <c r="AA230" i="49"/>
  <c r="AA254" i="49"/>
  <c r="AA12" i="49"/>
  <c r="AA25" i="49"/>
  <c r="AA207" i="49"/>
  <c r="AA66" i="49"/>
  <c r="AA73" i="49"/>
  <c r="AA251" i="49"/>
  <c r="AA21" i="49"/>
  <c r="AA86" i="49"/>
  <c r="AA50" i="49"/>
  <c r="AA29" i="49"/>
  <c r="AA223" i="49"/>
  <c r="AA43" i="49"/>
  <c r="BE156" i="49"/>
  <c r="BE239" i="49"/>
  <c r="BE252" i="49"/>
  <c r="BE149" i="49"/>
  <c r="AA186" i="49"/>
  <c r="AA100" i="49"/>
  <c r="AA206" i="49"/>
  <c r="AA85" i="49"/>
  <c r="AA110" i="49"/>
  <c r="AA83" i="49"/>
  <c r="AA185" i="49"/>
  <c r="AA33" i="49"/>
  <c r="AA174" i="49"/>
  <c r="AA108" i="49"/>
  <c r="AA168" i="49"/>
  <c r="AA64" i="49"/>
  <c r="AA167" i="49"/>
  <c r="AA152" i="49"/>
  <c r="AA37" i="49"/>
  <c r="AA130" i="49"/>
  <c r="AA71" i="49"/>
  <c r="AA98" i="49"/>
  <c r="AA65" i="49"/>
  <c r="AA142" i="49"/>
  <c r="AA241" i="49"/>
  <c r="AA194" i="49"/>
  <c r="AP167" i="49"/>
  <c r="AP34" i="49"/>
  <c r="AP74" i="49"/>
  <c r="AP11" i="49"/>
  <c r="AP239" i="49"/>
  <c r="L196" i="49"/>
  <c r="AP162" i="49"/>
  <c r="AP208" i="49"/>
  <c r="AP139" i="49"/>
  <c r="L249" i="49"/>
  <c r="AP157" i="49"/>
  <c r="AP183" i="49"/>
  <c r="AP142" i="49"/>
  <c r="AP204" i="49"/>
  <c r="AA203" i="49"/>
  <c r="AP182" i="49"/>
  <c r="AP177" i="49"/>
  <c r="AP237" i="49"/>
  <c r="AP229" i="49"/>
  <c r="AP225" i="49"/>
  <c r="AP223" i="49"/>
  <c r="AP213" i="49"/>
  <c r="AP33" i="49"/>
  <c r="AP240" i="49"/>
  <c r="AP134" i="49"/>
  <c r="L123" i="49"/>
  <c r="L100" i="49"/>
  <c r="L125" i="49"/>
  <c r="L190" i="49"/>
  <c r="AP196" i="49"/>
  <c r="AP115" i="49"/>
  <c r="AP45" i="49"/>
  <c r="AP230" i="49"/>
  <c r="AA249" i="49"/>
  <c r="AA26" i="49"/>
  <c r="AA47" i="49"/>
  <c r="AA227" i="49"/>
  <c r="AA201" i="49"/>
  <c r="AA16" i="49"/>
  <c r="AA205" i="49"/>
  <c r="AA228" i="49"/>
  <c r="AA22" i="49"/>
  <c r="AA231" i="49"/>
  <c r="AA248" i="49"/>
  <c r="AA70" i="49"/>
  <c r="AA89" i="49"/>
  <c r="AA39" i="49"/>
  <c r="AA46" i="49"/>
  <c r="AA160" i="49"/>
  <c r="AA218" i="49"/>
  <c r="AA101" i="49"/>
  <c r="AA82" i="49"/>
  <c r="AA183" i="49"/>
  <c r="AA137" i="49"/>
  <c r="AA17" i="49"/>
  <c r="AA118" i="49"/>
  <c r="AA11" i="49"/>
  <c r="AA117" i="49"/>
  <c r="AA97" i="49"/>
  <c r="AA151" i="49"/>
  <c r="AA178" i="49"/>
  <c r="AA136" i="49"/>
  <c r="AA220" i="49"/>
  <c r="AA181" i="49"/>
  <c r="AA237" i="49"/>
  <c r="AA244" i="49"/>
  <c r="AA240" i="49"/>
  <c r="AA146" i="49"/>
  <c r="AA48" i="49"/>
  <c r="AP249" i="49"/>
  <c r="AP27" i="49"/>
  <c r="L159" i="49"/>
  <c r="AA109" i="49"/>
  <c r="AA68" i="49"/>
  <c r="AA140" i="49"/>
  <c r="AA75" i="49"/>
  <c r="AA143" i="49"/>
  <c r="AA59" i="49"/>
  <c r="AA52" i="49"/>
  <c r="AA103" i="49"/>
  <c r="AP9" i="49"/>
  <c r="AP238" i="49"/>
  <c r="AP176" i="49"/>
  <c r="AP65" i="49"/>
  <c r="AA57" i="49"/>
  <c r="AA18" i="49"/>
  <c r="AA72" i="49"/>
  <c r="AA40" i="49"/>
  <c r="AA45" i="49"/>
  <c r="AA62" i="49"/>
  <c r="AA113" i="49"/>
  <c r="AA236" i="49"/>
  <c r="BE253" i="49"/>
  <c r="AA6" i="49"/>
  <c r="AA28" i="49"/>
  <c r="AP87" i="49"/>
  <c r="AP28" i="49"/>
  <c r="AP22" i="49"/>
  <c r="AP43" i="49"/>
  <c r="AP95" i="49"/>
  <c r="L11" i="49"/>
  <c r="L149" i="49"/>
  <c r="L13" i="49"/>
  <c r="L78" i="49"/>
  <c r="L201" i="49"/>
  <c r="AP184" i="49"/>
  <c r="AP61" i="49"/>
  <c r="AP248" i="49"/>
  <c r="AP40" i="49"/>
  <c r="AP166" i="49"/>
  <c r="AP161" i="49"/>
  <c r="AP203" i="49"/>
  <c r="AP131" i="49"/>
  <c r="AP126" i="49"/>
  <c r="AP128" i="49"/>
  <c r="AP92" i="49"/>
  <c r="L53" i="49"/>
  <c r="AP81" i="49"/>
  <c r="AP130" i="49"/>
  <c r="AP125" i="49"/>
  <c r="AP62" i="49"/>
  <c r="AP25" i="49"/>
  <c r="AP59" i="49"/>
  <c r="L48" i="49"/>
  <c r="AP164" i="49"/>
  <c r="AP244" i="49"/>
  <c r="AP80" i="49"/>
  <c r="AP89" i="49"/>
  <c r="AP4" i="49"/>
  <c r="AP219" i="49"/>
  <c r="AP191" i="49"/>
  <c r="AP91" i="49"/>
  <c r="AP202" i="49"/>
  <c r="AP102" i="49"/>
  <c r="AP13" i="49"/>
  <c r="AP108" i="49"/>
  <c r="AP185" i="49"/>
  <c r="AP85" i="49"/>
  <c r="AP197" i="49"/>
  <c r="AP103" i="49"/>
  <c r="AP39" i="49"/>
  <c r="AP98" i="49"/>
  <c r="AP54" i="49"/>
  <c r="AP124" i="49"/>
  <c r="AP255" i="49"/>
  <c r="AP104" i="49"/>
  <c r="AP113" i="49"/>
  <c r="AP17" i="49"/>
  <c r="AP60" i="49"/>
  <c r="AP127" i="49"/>
  <c r="AP243" i="49"/>
  <c r="AP5" i="49"/>
  <c r="L63" i="49"/>
  <c r="L203" i="49"/>
  <c r="L134" i="49"/>
  <c r="L6" i="49"/>
  <c r="L129" i="49"/>
  <c r="L23" i="49"/>
  <c r="L146" i="49"/>
  <c r="L18" i="49"/>
  <c r="L136" i="49"/>
  <c r="L72" i="49"/>
  <c r="L8" i="49"/>
  <c r="AP233" i="49"/>
  <c r="AP171" i="49"/>
  <c r="AP56" i="49"/>
  <c r="AP178" i="49"/>
  <c r="AP216" i="49"/>
  <c r="AP206" i="49"/>
  <c r="AP106" i="49"/>
  <c r="L121" i="49"/>
  <c r="AP209" i="49"/>
  <c r="AP84" i="49"/>
  <c r="AP20" i="49"/>
  <c r="AP83" i="49"/>
  <c r="AP141" i="49"/>
  <c r="AP78" i="49"/>
  <c r="L90" i="49"/>
  <c r="BE190" i="49"/>
  <c r="AA171" i="49"/>
  <c r="AA105" i="49"/>
  <c r="AA224" i="49"/>
  <c r="AA106" i="49"/>
  <c r="AA141" i="49"/>
  <c r="AP232" i="49"/>
  <c r="AP105" i="49"/>
  <c r="AP201" i="49"/>
  <c r="AP168" i="49"/>
  <c r="AP140" i="49"/>
  <c r="AP179" i="49"/>
  <c r="AP117" i="49"/>
  <c r="AP218" i="49"/>
  <c r="L58" i="49"/>
  <c r="L117" i="49"/>
  <c r="L209" i="49"/>
  <c r="L133" i="49"/>
  <c r="L160" i="49"/>
  <c r="L165" i="49"/>
  <c r="L170" i="49"/>
  <c r="AP119" i="49"/>
  <c r="AP55" i="49"/>
  <c r="AP114" i="49"/>
  <c r="AP158" i="49"/>
  <c r="AP153" i="49"/>
  <c r="AP37" i="49"/>
  <c r="AP252" i="49"/>
  <c r="AP53" i="49"/>
  <c r="AP159" i="49"/>
  <c r="AP31" i="49"/>
  <c r="AP173" i="49"/>
  <c r="AP50" i="49"/>
  <c r="L251" i="49"/>
  <c r="L239" i="49"/>
  <c r="L216" i="49"/>
  <c r="L151" i="49"/>
  <c r="L51" i="49"/>
  <c r="L46" i="49"/>
  <c r="L139" i="49"/>
  <c r="AA200" i="49"/>
  <c r="AA81" i="49"/>
  <c r="AA212" i="49"/>
  <c r="AA38" i="49"/>
  <c r="AA173" i="49"/>
  <c r="AA170" i="49"/>
  <c r="AA190" i="49"/>
  <c r="AA197" i="49"/>
  <c r="AA235" i="49"/>
  <c r="AA125" i="49"/>
  <c r="AA80" i="49"/>
  <c r="AA127" i="49"/>
  <c r="AA131" i="49"/>
  <c r="AA128" i="49"/>
  <c r="AA155" i="49"/>
  <c r="AA34" i="49"/>
  <c r="AA163" i="49"/>
  <c r="AA23" i="49"/>
  <c r="AA20" i="49"/>
  <c r="AA24" i="49"/>
  <c r="AA51" i="49"/>
  <c r="AA232" i="49"/>
  <c r="AA179" i="49"/>
  <c r="AA215" i="49"/>
  <c r="L254" i="49"/>
  <c r="L68" i="49"/>
  <c r="L73" i="49"/>
  <c r="L75" i="49"/>
  <c r="L70" i="49"/>
  <c r="L65" i="49"/>
  <c r="L102" i="49"/>
  <c r="L97" i="49"/>
  <c r="L236" i="49"/>
  <c r="L186" i="49"/>
  <c r="L244" i="49"/>
  <c r="L176" i="49"/>
  <c r="L21" i="49"/>
  <c r="L179" i="49"/>
  <c r="L174" i="49"/>
  <c r="L41" i="49"/>
  <c r="AP195" i="49"/>
  <c r="L238" i="49"/>
  <c r="AP16" i="49"/>
  <c r="AP10" i="49"/>
  <c r="L141" i="49"/>
  <c r="AP120" i="49"/>
  <c r="AP247" i="49"/>
  <c r="L31" i="49"/>
  <c r="BE245" i="49"/>
  <c r="BE103" i="49"/>
  <c r="BE88" i="49"/>
  <c r="BE174" i="49"/>
  <c r="BE192" i="49"/>
  <c r="BE37" i="49"/>
  <c r="AA60" i="49"/>
  <c r="BE163" i="49"/>
  <c r="AA234" i="49"/>
  <c r="AA96" i="49"/>
  <c r="AA195" i="49"/>
  <c r="AA112" i="49"/>
  <c r="AA169" i="49"/>
  <c r="AA36" i="49"/>
  <c r="AA177" i="49"/>
  <c r="AA116" i="49"/>
  <c r="AA129" i="49"/>
  <c r="AA208" i="49"/>
  <c r="AA61" i="49"/>
  <c r="BE14" i="49"/>
  <c r="BE59" i="49"/>
  <c r="AA111" i="49"/>
  <c r="AA176" i="49"/>
  <c r="AA121" i="49"/>
  <c r="BE243" i="49"/>
  <c r="BE200" i="49"/>
  <c r="BE226" i="49"/>
  <c r="BE212" i="49"/>
  <c r="AA31" i="49"/>
  <c r="AA99" i="49"/>
  <c r="AA44" i="49"/>
  <c r="AA9" i="49"/>
  <c r="AA154" i="49"/>
  <c r="AA242" i="49"/>
  <c r="AA27" i="49"/>
  <c r="BE169" i="49"/>
  <c r="AA133" i="49"/>
  <c r="AA216" i="49"/>
  <c r="AA184" i="49"/>
  <c r="AA69" i="49"/>
  <c r="AA115" i="49"/>
  <c r="AA119" i="49"/>
  <c r="AA238" i="49"/>
  <c r="AA93" i="49"/>
  <c r="AA67" i="49"/>
  <c r="AA162" i="49"/>
  <c r="AA225" i="49"/>
  <c r="AA92" i="49"/>
  <c r="AA180" i="49"/>
  <c r="AA202" i="49"/>
  <c r="AA209" i="49"/>
  <c r="BE62" i="49"/>
  <c r="AA91" i="49"/>
  <c r="BE106" i="49"/>
  <c r="BE237" i="49"/>
  <c r="BE108" i="49"/>
  <c r="BE137" i="49"/>
  <c r="BE121" i="49"/>
  <c r="BE229" i="49"/>
  <c r="BE24" i="49"/>
  <c r="BE27" i="49"/>
  <c r="AA139" i="49"/>
  <c r="AA132" i="49"/>
  <c r="AP71" i="49"/>
  <c r="AP63" i="49"/>
  <c r="AP129" i="49"/>
  <c r="L128" i="49"/>
  <c r="L234" i="49"/>
  <c r="L107" i="49"/>
  <c r="L43" i="49"/>
  <c r="L38" i="49"/>
  <c r="L224" i="49"/>
  <c r="AA74" i="49"/>
  <c r="AA78" i="49"/>
  <c r="AA13" i="49"/>
  <c r="AA159" i="49"/>
  <c r="AA41" i="49"/>
  <c r="AA10" i="49"/>
  <c r="AA198" i="49"/>
  <c r="AA164" i="49"/>
  <c r="L229" i="49"/>
  <c r="L166" i="49"/>
  <c r="L161" i="49"/>
  <c r="L33" i="49"/>
  <c r="L219" i="49"/>
  <c r="L156" i="49"/>
  <c r="L92" i="49"/>
  <c r="L28" i="49"/>
  <c r="L198" i="49"/>
  <c r="L210" i="49"/>
  <c r="L193" i="49"/>
  <c r="L188" i="49"/>
  <c r="L171" i="49"/>
  <c r="L175" i="49"/>
  <c r="L246" i="49"/>
  <c r="L183" i="49"/>
  <c r="L119" i="49"/>
  <c r="L55" i="49"/>
  <c r="L241" i="49"/>
  <c r="L178" i="49"/>
  <c r="L114" i="49"/>
  <c r="L50" i="49"/>
  <c r="L173" i="49"/>
  <c r="L109" i="49"/>
  <c r="L45" i="49"/>
  <c r="L231" i="49"/>
  <c r="L168" i="49"/>
  <c r="L104" i="49"/>
  <c r="L40" i="49"/>
  <c r="L105" i="49"/>
  <c r="L147" i="49"/>
  <c r="L19" i="49"/>
  <c r="L205" i="49"/>
  <c r="L14" i="49"/>
  <c r="L200" i="49"/>
  <c r="L9" i="49"/>
  <c r="L4" i="49"/>
  <c r="L185" i="49"/>
  <c r="L57" i="49"/>
  <c r="L243" i="49"/>
  <c r="L180" i="49"/>
  <c r="BE29" i="49"/>
  <c r="L191" i="49"/>
  <c r="L77" i="49"/>
  <c r="AP212" i="49"/>
  <c r="AP151" i="49"/>
  <c r="AP215" i="49"/>
  <c r="AP205" i="49"/>
  <c r="AP18" i="49"/>
  <c r="AP69" i="49"/>
  <c r="AP250" i="49"/>
  <c r="AP48" i="49"/>
  <c r="AP47" i="49"/>
  <c r="AP169" i="49"/>
  <c r="AP42" i="49"/>
  <c r="AP136" i="49"/>
  <c r="AP73" i="49"/>
  <c r="AP226" i="49"/>
  <c r="AP175" i="49"/>
  <c r="AP116" i="49"/>
  <c r="AP52" i="49"/>
  <c r="AP174" i="49"/>
  <c r="AP51" i="49"/>
  <c r="AP214" i="49"/>
  <c r="AP242" i="49"/>
  <c r="AP46" i="49"/>
  <c r="L222" i="49"/>
  <c r="L217" i="49"/>
  <c r="L212" i="49"/>
  <c r="L207" i="49"/>
  <c r="L87" i="49"/>
  <c r="AP228" i="49"/>
  <c r="AP132" i="49"/>
  <c r="AP235" i="49"/>
  <c r="AP96" i="49"/>
  <c r="AP231" i="49"/>
  <c r="AP221" i="49"/>
  <c r="L143" i="49"/>
  <c r="L132" i="49"/>
  <c r="L137" i="49"/>
  <c r="L142" i="49"/>
  <c r="L16" i="49"/>
  <c r="L26" i="49"/>
  <c r="L181" i="49"/>
  <c r="L206" i="49"/>
  <c r="L242" i="49"/>
  <c r="L115" i="49"/>
  <c r="L237" i="49"/>
  <c r="L110" i="49"/>
  <c r="L232" i="49"/>
  <c r="L169" i="49"/>
  <c r="L227" i="49"/>
  <c r="L164" i="49"/>
  <c r="L36" i="49"/>
  <c r="L82" i="49"/>
  <c r="L112" i="49"/>
  <c r="AP227" i="49"/>
  <c r="AP93" i="49"/>
  <c r="AP21" i="49"/>
  <c r="AP135" i="49"/>
  <c r="AP72" i="49"/>
  <c r="AP194" i="49"/>
  <c r="AP7" i="49"/>
  <c r="AP49" i="49"/>
  <c r="AP148" i="49"/>
  <c r="AP137" i="49"/>
  <c r="AP251" i="49"/>
  <c r="AP36" i="49"/>
  <c r="L154" i="49"/>
  <c r="L144" i="49"/>
  <c r="L83" i="49"/>
  <c r="AP101" i="49"/>
  <c r="AP64" i="49"/>
  <c r="AP186" i="49"/>
  <c r="AP200" i="49"/>
  <c r="AP111" i="49"/>
  <c r="AP147" i="49"/>
  <c r="AP19" i="49"/>
  <c r="L95" i="49"/>
  <c r="L85" i="49"/>
  <c r="AP32" i="49"/>
  <c r="L138" i="49"/>
  <c r="BE82" i="49"/>
  <c r="BE155" i="49"/>
  <c r="BE223" i="49"/>
  <c r="BE193" i="49"/>
  <c r="AP109" i="49"/>
  <c r="AP24" i="49"/>
  <c r="AP41" i="49"/>
  <c r="AP145" i="49"/>
  <c r="AP88" i="49"/>
  <c r="AP150" i="49"/>
  <c r="L111" i="49"/>
  <c r="L42" i="49"/>
  <c r="L37" i="49"/>
  <c r="L32" i="49"/>
  <c r="L226" i="49"/>
  <c r="L223" i="49"/>
  <c r="L248" i="49"/>
  <c r="L163" i="49"/>
  <c r="L204" i="49"/>
  <c r="AP217" i="49"/>
  <c r="AP187" i="49"/>
  <c r="AP23" i="49"/>
  <c r="AP146" i="49"/>
  <c r="AP82" i="49"/>
  <c r="AP77" i="49"/>
  <c r="AP8" i="49"/>
  <c r="AP112" i="49"/>
  <c r="AP246" i="49"/>
  <c r="AP224" i="49"/>
  <c r="AP57" i="49"/>
  <c r="AP192" i="49"/>
  <c r="AP207" i="49"/>
  <c r="AP181" i="49"/>
  <c r="AP26" i="49"/>
  <c r="AP90" i="49"/>
  <c r="AP14" i="49"/>
  <c r="L79" i="49"/>
  <c r="L15" i="49"/>
  <c r="L10" i="49"/>
  <c r="L5" i="49"/>
  <c r="L255" i="49"/>
  <c r="L245" i="49"/>
  <c r="L182" i="49"/>
  <c r="L177" i="49"/>
  <c r="L235" i="49"/>
  <c r="L172" i="49"/>
  <c r="L122" i="49"/>
  <c r="BE188" i="49"/>
  <c r="BE64" i="49"/>
  <c r="BE75" i="49"/>
  <c r="BE54" i="49"/>
  <c r="BE182" i="49"/>
  <c r="BE185" i="49"/>
  <c r="BE216" i="49"/>
  <c r="BE199" i="49"/>
  <c r="BE143" i="49"/>
  <c r="BE236" i="49"/>
  <c r="BE238" i="49"/>
  <c r="BE230" i="49"/>
  <c r="BE67" i="49"/>
  <c r="BE69" i="49"/>
  <c r="BE135" i="49"/>
  <c r="BE233" i="49"/>
  <c r="BE147" i="49"/>
  <c r="BE189" i="49"/>
  <c r="BE254" i="49"/>
  <c r="L202" i="49"/>
  <c r="L197" i="49"/>
  <c r="L192" i="49"/>
  <c r="L233" i="49"/>
  <c r="BE251" i="49"/>
  <c r="BE198" i="49"/>
  <c r="BE219" i="49"/>
  <c r="BE52" i="49"/>
  <c r="BE148" i="49"/>
  <c r="BE86" i="49"/>
  <c r="BE45" i="49"/>
  <c r="BE68" i="49"/>
  <c r="BE18" i="49"/>
  <c r="BE140" i="49"/>
  <c r="BE58" i="49"/>
  <c r="BE35" i="49"/>
  <c r="BE227" i="49"/>
  <c r="BE241" i="49"/>
  <c r="BE204" i="49"/>
  <c r="BE209" i="49"/>
  <c r="BE139" i="49"/>
  <c r="BE34" i="49"/>
  <c r="BE146" i="49"/>
  <c r="BE134" i="49"/>
  <c r="BE122" i="49"/>
  <c r="BE47" i="49"/>
  <c r="BE153" i="49"/>
  <c r="BE40" i="49"/>
  <c r="BE13" i="49"/>
  <c r="BE136" i="49"/>
  <c r="BE224" i="49"/>
  <c r="BE19" i="49"/>
  <c r="BE44" i="49"/>
  <c r="BE116" i="49"/>
  <c r="BE179" i="49"/>
  <c r="BE111" i="49"/>
  <c r="BE77" i="49"/>
  <c r="BE126" i="49"/>
  <c r="BE55" i="49"/>
  <c r="BE117" i="49"/>
  <c r="BE102" i="49"/>
  <c r="BE50" i="49"/>
  <c r="BE138" i="49"/>
  <c r="BE74" i="49"/>
  <c r="BE118" i="49"/>
  <c r="BE180" i="49"/>
  <c r="BE113" i="49"/>
  <c r="BE154" i="49"/>
  <c r="L64" i="49"/>
  <c r="L69" i="49"/>
  <c r="L74" i="49"/>
  <c r="L187" i="49"/>
  <c r="L126" i="49"/>
  <c r="L61" i="49"/>
  <c r="L118" i="49"/>
  <c r="L54" i="49"/>
  <c r="L240" i="49"/>
  <c r="L113" i="49"/>
  <c r="L49" i="49"/>
  <c r="L108" i="49"/>
  <c r="L44" i="49"/>
  <c r="L228" i="49"/>
  <c r="L84" i="49"/>
  <c r="L89" i="49"/>
  <c r="L94" i="49"/>
  <c r="L124" i="49"/>
  <c r="L199" i="49"/>
  <c r="L135" i="49"/>
  <c r="L71" i="49"/>
  <c r="L7" i="49"/>
  <c r="L194" i="49"/>
  <c r="L130" i="49"/>
  <c r="L66" i="49"/>
  <c r="L252" i="49"/>
  <c r="L189" i="49"/>
  <c r="L60" i="49"/>
  <c r="L247" i="49"/>
  <c r="L184" i="49"/>
  <c r="L120" i="49"/>
  <c r="L56" i="49"/>
  <c r="L195" i="49"/>
  <c r="L96" i="49"/>
  <c r="L101" i="49"/>
  <c r="L106" i="49"/>
  <c r="L35" i="49"/>
  <c r="L158" i="49"/>
  <c r="L30" i="49"/>
  <c r="L153" i="49"/>
  <c r="L25" i="49"/>
  <c r="L148" i="49"/>
  <c r="L20" i="49"/>
  <c r="L131" i="49"/>
  <c r="L127" i="49"/>
  <c r="L211" i="49"/>
  <c r="L221" i="49"/>
  <c r="L218" i="49"/>
  <c r="L155" i="49"/>
  <c r="L91" i="49"/>
  <c r="L27" i="49"/>
  <c r="L213" i="49"/>
  <c r="L150" i="49"/>
  <c r="L86" i="49"/>
  <c r="L22" i="49"/>
  <c r="L208" i="49"/>
  <c r="L145" i="49"/>
  <c r="L81" i="49"/>
  <c r="L17" i="49"/>
  <c r="L140" i="49"/>
  <c r="L76" i="49"/>
  <c r="L12" i="49"/>
  <c r="L47" i="49"/>
  <c r="L250" i="49"/>
  <c r="L230" i="49"/>
  <c r="L167" i="49"/>
  <c r="L103" i="49"/>
  <c r="L39" i="49"/>
  <c r="L225" i="49"/>
  <c r="L162" i="49"/>
  <c r="L98" i="49"/>
  <c r="L34" i="49"/>
  <c r="L220" i="49"/>
  <c r="L157" i="49"/>
  <c r="L93" i="49"/>
  <c r="L29" i="49"/>
  <c r="L215" i="49"/>
  <c r="L152" i="49"/>
  <c r="L88" i="49"/>
  <c r="L24" i="49"/>
  <c r="L99" i="49"/>
  <c r="L253" i="49"/>
  <c r="L67" i="49"/>
  <c r="L62" i="49"/>
  <c r="L116" i="49"/>
  <c r="L52" i="49"/>
  <c r="BE128" i="49"/>
  <c r="BE133" i="49"/>
  <c r="BE152" i="49"/>
  <c r="BE43" i="49"/>
  <c r="BE63" i="49"/>
  <c r="BE4" i="49"/>
  <c r="BE165" i="49"/>
  <c r="BE151" i="49"/>
  <c r="BE98" i="49"/>
  <c r="BE48" i="49"/>
  <c r="BE31" i="49"/>
  <c r="BE32" i="49"/>
  <c r="BE131" i="49"/>
  <c r="BE220" i="49"/>
  <c r="BE110" i="49"/>
  <c r="BE112" i="49"/>
  <c r="BE56" i="49"/>
  <c r="BE23" i="49"/>
  <c r="BE210" i="49"/>
  <c r="BE107" i="49"/>
  <c r="BE132" i="49"/>
  <c r="BE218" i="49"/>
  <c r="BE73" i="49"/>
  <c r="BE127" i="49"/>
  <c r="BE161" i="49"/>
  <c r="BE51" i="49"/>
  <c r="BE42" i="49"/>
  <c r="BE22" i="49"/>
  <c r="BE178" i="49"/>
  <c r="BE231" i="49"/>
  <c r="BE28" i="49"/>
  <c r="BE181" i="49"/>
  <c r="BE234" i="49"/>
  <c r="BE207" i="49"/>
  <c r="BE176" i="49"/>
  <c r="BE242" i="49"/>
  <c r="BE72" i="49"/>
  <c r="BE53" i="49"/>
  <c r="BE7" i="49"/>
  <c r="BE191" i="49"/>
  <c r="BE206" i="49"/>
  <c r="BE186" i="49"/>
  <c r="BE49" i="49"/>
  <c r="BE215" i="49"/>
  <c r="BE90" i="49"/>
  <c r="BE25" i="49"/>
  <c r="BE85" i="49"/>
  <c r="BE144" i="49"/>
  <c r="BE80" i="49"/>
  <c r="BE142" i="49"/>
  <c r="BE41" i="49"/>
  <c r="BE159" i="49"/>
  <c r="BE211" i="49"/>
  <c r="BE79" i="49"/>
  <c r="BE197" i="49"/>
  <c r="BE70" i="49"/>
  <c r="BE5" i="49"/>
  <c r="BE244" i="49"/>
  <c r="BE235" i="49"/>
  <c r="BE167" i="49"/>
  <c r="BE104" i="49"/>
  <c r="BE201" i="49"/>
  <c r="BE15" i="49"/>
  <c r="BE33" i="49"/>
  <c r="BE141" i="49"/>
  <c r="BE170" i="49"/>
  <c r="BE115" i="49"/>
  <c r="BE184" i="49"/>
  <c r="BE12" i="49"/>
  <c r="BE114" i="49"/>
  <c r="BE194" i="49"/>
  <c r="BE195" i="49"/>
  <c r="BE8" i="49"/>
  <c r="BE46" i="49"/>
  <c r="BE91" i="49"/>
  <c r="BE93" i="49"/>
  <c r="BE173" i="49"/>
  <c r="BE168" i="49"/>
  <c r="BE109" i="49"/>
  <c r="BE175" i="49"/>
  <c r="BE20" i="49"/>
  <c r="BE87" i="49"/>
  <c r="BE171" i="49"/>
  <c r="BE145" i="49"/>
  <c r="BE125" i="49"/>
  <c r="BE162" i="49"/>
  <c r="BE21" i="49"/>
  <c r="BE6" i="49"/>
  <c r="BE9" i="49"/>
  <c r="BE92" i="49"/>
  <c r="BE232" i="49"/>
  <c r="BE94" i="49"/>
  <c r="BE248" i="49"/>
  <c r="BE96" i="49"/>
  <c r="BE36" i="49"/>
  <c r="BE95" i="49"/>
  <c r="BE150" i="49"/>
  <c r="BE76" i="49"/>
  <c r="BE130" i="49"/>
  <c r="BE61" i="49"/>
  <c r="BE183" i="49"/>
  <c r="BE120" i="49"/>
  <c r="BE246" i="49"/>
  <c r="BE81" i="49"/>
  <c r="BE16" i="49"/>
  <c r="BE11" i="49"/>
  <c r="BE222" i="49"/>
  <c r="BE10" i="49"/>
  <c r="BE66" i="49"/>
  <c r="BE208" i="49"/>
  <c r="BE202" i="49"/>
  <c r="BE101" i="49"/>
  <c r="BE196" i="49"/>
  <c r="BE65" i="49"/>
  <c r="BE38" i="49"/>
  <c r="BE123" i="49"/>
  <c r="BE172" i="49"/>
  <c r="BE177" i="49"/>
  <c r="BE225" i="49"/>
  <c r="BE124" i="49"/>
  <c r="BE129" i="49"/>
  <c r="AC81" i="49" l="1"/>
  <c r="AC117" i="49"/>
  <c r="AC12" i="49"/>
  <c r="AC186" i="49"/>
  <c r="AC51" i="49"/>
  <c r="AR83" i="49"/>
  <c r="N228" i="49"/>
  <c r="AR14" i="49"/>
  <c r="AR29" i="49"/>
  <c r="N240" i="49"/>
  <c r="AC207" i="49"/>
  <c r="AR132" i="49"/>
  <c r="AR97" i="49"/>
  <c r="N23" i="49"/>
  <c r="N24" i="49"/>
  <c r="AC213" i="49"/>
  <c r="AC143" i="49"/>
  <c r="AR78" i="49"/>
  <c r="N195" i="49"/>
  <c r="AR230" i="49"/>
  <c r="AC20" i="49"/>
  <c r="N173" i="49"/>
  <c r="AR245" i="49"/>
  <c r="AR189" i="49"/>
  <c r="AR68" i="49"/>
  <c r="AC191" i="49"/>
  <c r="AC202" i="49"/>
  <c r="AR65" i="49"/>
  <c r="AR93" i="49"/>
  <c r="AR209" i="49"/>
  <c r="AR9" i="49"/>
  <c r="N43" i="49"/>
  <c r="AC223" i="49"/>
  <c r="AC135" i="49"/>
  <c r="AR89" i="49"/>
  <c r="AC140" i="49"/>
  <c r="AC23" i="49"/>
  <c r="N176" i="49"/>
  <c r="N94" i="49"/>
  <c r="AC109" i="49"/>
  <c r="AC116" i="49"/>
  <c r="N162" i="49"/>
  <c r="N142" i="49"/>
  <c r="AR77" i="49"/>
  <c r="AR88" i="49"/>
  <c r="AR180" i="49"/>
  <c r="N132" i="49"/>
  <c r="N193" i="49"/>
  <c r="N38" i="49"/>
  <c r="AC158" i="49"/>
  <c r="AC201" i="49"/>
  <c r="AC67" i="49"/>
  <c r="AC74" i="49"/>
  <c r="AC167" i="49"/>
  <c r="AC177" i="49"/>
  <c r="AC196" i="49"/>
  <c r="AC98" i="49"/>
  <c r="AC155" i="49"/>
  <c r="AC138" i="49"/>
  <c r="AC10" i="49"/>
  <c r="AC188" i="49"/>
  <c r="AC185" i="49"/>
  <c r="AC198" i="49"/>
  <c r="AC251" i="49"/>
  <c r="AC132" i="49"/>
  <c r="AC95" i="49"/>
  <c r="AC99" i="49"/>
  <c r="AC231" i="49"/>
  <c r="AC54" i="49"/>
  <c r="AC78" i="49"/>
  <c r="AC32" i="49"/>
  <c r="AC255" i="49"/>
  <c r="AC154" i="49"/>
  <c r="AC238" i="49"/>
  <c r="AC254" i="49"/>
  <c r="AC34" i="49"/>
  <c r="AC174" i="49"/>
  <c r="AC152" i="49"/>
  <c r="AC168" i="49"/>
  <c r="AC245" i="49"/>
  <c r="AC105" i="49"/>
  <c r="AC49" i="49"/>
  <c r="AC166" i="49"/>
  <c r="AC87" i="49"/>
  <c r="AC210" i="49"/>
  <c r="AC172" i="49"/>
  <c r="AC219" i="49"/>
  <c r="AC46" i="49"/>
  <c r="AC16" i="49"/>
  <c r="AC221" i="49"/>
  <c r="AC151" i="49"/>
  <c r="AC19" i="49"/>
  <c r="AC103" i="49"/>
  <c r="AC111" i="49"/>
  <c r="AC52" i="49"/>
  <c r="AC249" i="49"/>
  <c r="AC36" i="49"/>
  <c r="AC70" i="49"/>
  <c r="AC76" i="49"/>
  <c r="AC187" i="49"/>
  <c r="AC61" i="49"/>
  <c r="N28" i="49"/>
  <c r="AC200" i="49"/>
  <c r="AC88" i="49"/>
  <c r="N111" i="49"/>
  <c r="AC216" i="49"/>
  <c r="AC175" i="49"/>
  <c r="AR137" i="49"/>
  <c r="AC163" i="49"/>
  <c r="AC69" i="49"/>
  <c r="AC121" i="49"/>
  <c r="AR19" i="49"/>
  <c r="N93" i="49"/>
  <c r="AC53" i="49"/>
  <c r="AC29" i="49"/>
  <c r="AC237" i="49"/>
  <c r="AC149" i="49"/>
  <c r="AR235" i="49"/>
  <c r="N250" i="49"/>
  <c r="AC230" i="49"/>
  <c r="AC206" i="49"/>
  <c r="AC170" i="49"/>
  <c r="AR94" i="49"/>
  <c r="N186" i="49"/>
  <c r="AC44" i="49"/>
  <c r="AC171" i="49"/>
  <c r="AC239" i="49"/>
  <c r="AC183" i="49"/>
  <c r="AC234" i="49"/>
  <c r="AC104" i="49"/>
  <c r="AC6" i="49"/>
  <c r="AC184" i="49"/>
  <c r="AR102" i="49"/>
  <c r="AC62" i="49"/>
  <c r="AC15" i="49"/>
  <c r="AC73" i="49"/>
  <c r="AC118" i="49"/>
  <c r="AC60" i="49"/>
  <c r="AR64" i="49"/>
  <c r="AC127" i="49"/>
  <c r="AC119" i="49"/>
  <c r="AC189" i="49"/>
  <c r="AR234" i="49"/>
  <c r="N143" i="49"/>
  <c r="AC59" i="49"/>
  <c r="AC21" i="49"/>
  <c r="AC147" i="49"/>
  <c r="AR98" i="49"/>
  <c r="AC222" i="49"/>
  <c r="AC114" i="49"/>
  <c r="AC197" i="49"/>
  <c r="AC56" i="49"/>
  <c r="AR178" i="49"/>
  <c r="N194" i="49"/>
  <c r="AC38" i="49"/>
  <c r="AC7" i="49"/>
  <c r="AC66" i="49"/>
  <c r="AR198" i="49"/>
  <c r="N27" i="49"/>
  <c r="AC215" i="49"/>
  <c r="AC55" i="49"/>
  <c r="AC164" i="49"/>
  <c r="AR54" i="49"/>
  <c r="N149" i="49"/>
  <c r="AC122" i="49"/>
  <c r="AC146" i="49"/>
  <c r="AC180" i="49"/>
  <c r="AR174" i="49"/>
  <c r="AC97" i="49"/>
  <c r="AR120" i="49"/>
  <c r="AC113" i="49"/>
  <c r="AC14" i="49"/>
  <c r="N8" i="49"/>
  <c r="AC50" i="49"/>
  <c r="AR18" i="49"/>
  <c r="AC13" i="49"/>
  <c r="AC101" i="49"/>
  <c r="AR79" i="49"/>
  <c r="AC47" i="49"/>
  <c r="AC30" i="49"/>
  <c r="AC179" i="49"/>
  <c r="AC244" i="49"/>
  <c r="AC217" i="49"/>
  <c r="AC133" i="49"/>
  <c r="AC126" i="49"/>
  <c r="AR61" i="49"/>
  <c r="N13" i="49"/>
  <c r="AC123" i="49"/>
  <c r="AC93" i="49"/>
  <c r="AC18" i="49"/>
  <c r="AC232" i="49"/>
  <c r="AR23" i="49"/>
  <c r="N33" i="49"/>
  <c r="AC129" i="49"/>
  <c r="AC11" i="49"/>
  <c r="AC212" i="49"/>
  <c r="AC204" i="49"/>
  <c r="AR84" i="49"/>
  <c r="AC112" i="49"/>
  <c r="AC125" i="49"/>
  <c r="AC247" i="49"/>
  <c r="AC148" i="49"/>
  <c r="AR126" i="49"/>
  <c r="N243" i="49"/>
  <c r="AC28" i="49"/>
  <c r="AC110" i="49"/>
  <c r="AC64" i="49"/>
  <c r="AC142" i="49"/>
  <c r="AR20" i="49"/>
  <c r="AC145" i="49"/>
  <c r="AC86" i="49"/>
  <c r="AC48" i="49"/>
  <c r="AC39" i="49"/>
  <c r="AR236" i="49"/>
  <c r="AC45" i="49"/>
  <c r="AC136" i="49"/>
  <c r="AC242" i="49"/>
  <c r="AC236" i="49"/>
  <c r="AR95" i="49"/>
  <c r="AC94" i="49"/>
  <c r="AC178" i="49"/>
  <c r="AC161" i="49"/>
  <c r="AC205" i="49"/>
  <c r="AC240" i="49"/>
  <c r="AC43" i="49"/>
  <c r="AC233" i="49"/>
  <c r="AC68" i="49"/>
  <c r="AR103" i="49"/>
  <c r="AC33" i="49"/>
  <c r="AC108" i="49"/>
  <c r="AC71" i="49"/>
  <c r="AC241" i="49"/>
  <c r="AR50" i="49"/>
  <c r="AC141" i="49"/>
  <c r="AC90" i="49"/>
  <c r="AC89" i="49"/>
  <c r="AR239" i="49"/>
  <c r="AC17" i="49"/>
  <c r="AC218" i="49"/>
  <c r="AC195" i="49"/>
  <c r="AC84" i="49"/>
  <c r="AR99" i="49"/>
  <c r="AC156" i="49"/>
  <c r="AC40" i="49"/>
  <c r="AC192" i="49"/>
  <c r="AC243" i="49"/>
  <c r="AR183" i="49"/>
  <c r="AC159" i="49"/>
  <c r="AC157" i="49"/>
  <c r="AC9" i="49"/>
  <c r="AC173" i="49"/>
  <c r="AR203" i="49"/>
  <c r="AC5" i="49"/>
  <c r="AC77" i="49"/>
  <c r="AC214" i="49"/>
  <c r="AC24" i="49"/>
  <c r="AR60" i="49"/>
  <c r="AC203" i="49"/>
  <c r="AC57" i="49"/>
  <c r="AC208" i="49"/>
  <c r="AC42" i="49"/>
  <c r="AR179" i="49"/>
  <c r="AC41" i="49"/>
  <c r="AC37" i="49"/>
  <c r="AC92" i="49"/>
  <c r="AC169" i="49"/>
  <c r="AC128" i="49"/>
  <c r="AC4" i="49"/>
  <c r="AR4" i="49"/>
  <c r="N18" i="49"/>
  <c r="AC209" i="49"/>
  <c r="AC27" i="49"/>
  <c r="AC107" i="49"/>
  <c r="AC199" i="49"/>
  <c r="AR24" i="49"/>
  <c r="AC58" i="49"/>
  <c r="AC63" i="49"/>
  <c r="AC26" i="49"/>
  <c r="AR73" i="49"/>
  <c r="N160" i="49"/>
  <c r="AC229" i="49"/>
  <c r="AC246" i="49"/>
  <c r="AC144" i="49"/>
  <c r="AC227" i="49"/>
  <c r="AR131" i="49"/>
  <c r="N62" i="49"/>
  <c r="AC31" i="49"/>
  <c r="AC228" i="49"/>
  <c r="AC182" i="49"/>
  <c r="AC80" i="49"/>
  <c r="AR25" i="49"/>
  <c r="AC139" i="49"/>
  <c r="AC79" i="49"/>
  <c r="AC137" i="49"/>
  <c r="AC35" i="49"/>
  <c r="AC211" i="49"/>
  <c r="AR241" i="49"/>
  <c r="AC65" i="49"/>
  <c r="AC22" i="49"/>
  <c r="AC83" i="49"/>
  <c r="AC253" i="49"/>
  <c r="AR100" i="49"/>
  <c r="AC134" i="49"/>
  <c r="AC120" i="49"/>
  <c r="AC85" i="49"/>
  <c r="AC8" i="49"/>
  <c r="AR82" i="49"/>
  <c r="AC102" i="49"/>
  <c r="AC25" i="49"/>
  <c r="AC130" i="49"/>
  <c r="AC235" i="49"/>
  <c r="AR108" i="49"/>
  <c r="AC82" i="49"/>
  <c r="AC226" i="49"/>
  <c r="AC181" i="49"/>
  <c r="AC252" i="49"/>
  <c r="AR55" i="49"/>
  <c r="AC194" i="49"/>
  <c r="AC72" i="49"/>
  <c r="AC162" i="49"/>
  <c r="AC153" i="49"/>
  <c r="AR240" i="49"/>
  <c r="AC225" i="49"/>
  <c r="AC100" i="49"/>
  <c r="AC190" i="49"/>
  <c r="AC220" i="49"/>
  <c r="AR104" i="49"/>
  <c r="AC160" i="49"/>
  <c r="AC150" i="49"/>
  <c r="AC115" i="49"/>
  <c r="AR184" i="49"/>
  <c r="AC250" i="49"/>
  <c r="AC91" i="49"/>
  <c r="AC176" i="49"/>
  <c r="AC106" i="49"/>
  <c r="AR204" i="49"/>
  <c r="AC193" i="49"/>
  <c r="AC75" i="49"/>
  <c r="AC96" i="49"/>
  <c r="AC224" i="49"/>
  <c r="AR62" i="49"/>
  <c r="AC248" i="49"/>
  <c r="AC165" i="49"/>
  <c r="AC131" i="49"/>
  <c r="AC124" i="49"/>
  <c r="AR185" i="49"/>
  <c r="BG68" i="49"/>
  <c r="N99" i="49"/>
  <c r="N127" i="49"/>
  <c r="N44" i="49"/>
  <c r="N226" i="49"/>
  <c r="AR207" i="49"/>
  <c r="AR246" i="49"/>
  <c r="AR217" i="49"/>
  <c r="N223" i="49"/>
  <c r="AR145" i="49"/>
  <c r="AR121" i="49"/>
  <c r="AR70" i="49"/>
  <c r="AR71" i="49"/>
  <c r="AR76" i="49"/>
  <c r="N72" i="49"/>
  <c r="N77" i="49"/>
  <c r="N82" i="49"/>
  <c r="N87" i="49"/>
  <c r="AR85" i="49"/>
  <c r="AR90" i="49"/>
  <c r="AR91" i="49"/>
  <c r="AR96" i="49"/>
  <c r="N92" i="49"/>
  <c r="N97" i="49"/>
  <c r="N102" i="49"/>
  <c r="N107" i="49"/>
  <c r="AR138" i="49"/>
  <c r="AR143" i="49"/>
  <c r="AR144" i="49"/>
  <c r="AR149" i="49"/>
  <c r="N106" i="49"/>
  <c r="N175" i="49"/>
  <c r="AR190" i="49"/>
  <c r="AR195" i="49"/>
  <c r="AR196" i="49"/>
  <c r="AR201" i="49"/>
  <c r="N57" i="49"/>
  <c r="N190" i="49"/>
  <c r="AR81" i="49"/>
  <c r="AR86" i="49"/>
  <c r="AR87" i="49"/>
  <c r="AR92" i="49"/>
  <c r="N88" i="49"/>
  <c r="N157" i="49"/>
  <c r="N39" i="49"/>
  <c r="AR34" i="49"/>
  <c r="AR39" i="49"/>
  <c r="AR40" i="49"/>
  <c r="AR45" i="49"/>
  <c r="N54" i="49"/>
  <c r="AR154" i="49"/>
  <c r="AR159" i="49"/>
  <c r="AR160" i="49"/>
  <c r="AR165" i="49"/>
  <c r="N117" i="49"/>
  <c r="N128" i="49"/>
  <c r="AR142" i="49"/>
  <c r="AR147" i="49"/>
  <c r="AR148" i="49"/>
  <c r="AR153" i="49"/>
  <c r="N73" i="49"/>
  <c r="N83" i="49"/>
  <c r="AR162" i="49"/>
  <c r="AR167" i="49"/>
  <c r="AR168" i="49"/>
  <c r="AR173" i="49"/>
  <c r="N178" i="49"/>
  <c r="AR117" i="49"/>
  <c r="AR123" i="49"/>
  <c r="AR124" i="49"/>
  <c r="AR129" i="49"/>
  <c r="N198" i="49"/>
  <c r="AR38" i="49"/>
  <c r="AR43" i="49"/>
  <c r="AR44" i="49"/>
  <c r="AR49" i="49"/>
  <c r="AR158" i="49"/>
  <c r="AR163" i="49"/>
  <c r="AR164" i="49"/>
  <c r="AR169" i="49"/>
  <c r="AR242" i="49"/>
  <c r="AR247" i="49"/>
  <c r="AR248" i="49"/>
  <c r="AR253" i="49"/>
  <c r="N199" i="49"/>
  <c r="AR59" i="49"/>
  <c r="AR7" i="49"/>
  <c r="AR8" i="49"/>
  <c r="AR13" i="49"/>
  <c r="N12" i="49"/>
  <c r="AR122" i="49"/>
  <c r="AR127" i="49"/>
  <c r="AR128" i="49"/>
  <c r="AR133" i="49"/>
  <c r="N154" i="49"/>
  <c r="AR238" i="49"/>
  <c r="AR243" i="49"/>
  <c r="AR244" i="49"/>
  <c r="N227" i="49"/>
  <c r="AR249" i="49"/>
  <c r="AR130" i="49"/>
  <c r="AR135" i="49"/>
  <c r="AR136" i="49"/>
  <c r="AR141" i="49"/>
  <c r="N136" i="49"/>
  <c r="N141" i="49"/>
  <c r="N146" i="49"/>
  <c r="N151" i="49"/>
  <c r="AR150" i="49"/>
  <c r="AR155" i="49"/>
  <c r="AR156" i="49"/>
  <c r="AR161" i="49"/>
  <c r="N156" i="49"/>
  <c r="N161" i="49"/>
  <c r="N166" i="49"/>
  <c r="N171" i="49"/>
  <c r="AR202" i="49"/>
  <c r="AR208" i="49"/>
  <c r="AR213" i="49"/>
  <c r="N101" i="49"/>
  <c r="N170" i="49"/>
  <c r="N238" i="49"/>
  <c r="AR255" i="49"/>
  <c r="AR63" i="49"/>
  <c r="AR5" i="49"/>
  <c r="N52" i="49"/>
  <c r="N185" i="49"/>
  <c r="N255" i="49"/>
  <c r="AR146" i="49"/>
  <c r="AR151" i="49"/>
  <c r="AR152" i="49"/>
  <c r="AR157" i="49"/>
  <c r="N152" i="49"/>
  <c r="N34" i="49"/>
  <c r="N103" i="49"/>
  <c r="AR101" i="49"/>
  <c r="AR106" i="49"/>
  <c r="AR107" i="49"/>
  <c r="AR112" i="49"/>
  <c r="N235" i="49"/>
  <c r="N245" i="49"/>
  <c r="AR218" i="49"/>
  <c r="AR223" i="49"/>
  <c r="AR224" i="49"/>
  <c r="AR229" i="49"/>
  <c r="N181" i="49"/>
  <c r="N191" i="49"/>
  <c r="AR206" i="49"/>
  <c r="AR211" i="49"/>
  <c r="AR212" i="49"/>
  <c r="N137" i="49"/>
  <c r="N147" i="49"/>
  <c r="AR226" i="49"/>
  <c r="AR231" i="49"/>
  <c r="AR232" i="49"/>
  <c r="AR237" i="49"/>
  <c r="N183" i="49"/>
  <c r="AR182" i="49"/>
  <c r="AR187" i="49"/>
  <c r="AR188" i="49"/>
  <c r="AR193" i="49"/>
  <c r="N203" i="49"/>
  <c r="AR105" i="49"/>
  <c r="AR110" i="49"/>
  <c r="AR111" i="49"/>
  <c r="AR116" i="49"/>
  <c r="N133" i="49"/>
  <c r="AR222" i="49"/>
  <c r="AR227" i="49"/>
  <c r="AR228" i="49"/>
  <c r="N84" i="49"/>
  <c r="AR46" i="49"/>
  <c r="AR51" i="49"/>
  <c r="AR52" i="49"/>
  <c r="AR56" i="49"/>
  <c r="N184" i="49"/>
  <c r="AR69" i="49"/>
  <c r="AR74" i="49"/>
  <c r="AR75" i="49"/>
  <c r="AR80" i="49"/>
  <c r="N17" i="49"/>
  <c r="AR186" i="49"/>
  <c r="AR191" i="49"/>
  <c r="AR192" i="49"/>
  <c r="AR197" i="49"/>
  <c r="N159" i="49"/>
  <c r="AR42" i="49"/>
  <c r="AR47" i="49"/>
  <c r="AR48" i="49"/>
  <c r="AR53" i="49"/>
  <c r="N232" i="49"/>
  <c r="AR233" i="49"/>
  <c r="AR194" i="49"/>
  <c r="AR199" i="49"/>
  <c r="AR200" i="49"/>
  <c r="AR205" i="49"/>
  <c r="N200" i="49"/>
  <c r="N205" i="49"/>
  <c r="N209" i="49"/>
  <c r="N214" i="49"/>
  <c r="AR214" i="49"/>
  <c r="AR219" i="49"/>
  <c r="AR220" i="49"/>
  <c r="AR225" i="49"/>
  <c r="N219" i="49"/>
  <c r="N224" i="49"/>
  <c r="N229" i="49"/>
  <c r="N234" i="49"/>
  <c r="AR6" i="49"/>
  <c r="AR11" i="49"/>
  <c r="AR12" i="49"/>
  <c r="AR17" i="49"/>
  <c r="N96" i="49"/>
  <c r="N165" i="49"/>
  <c r="N233" i="49"/>
  <c r="AR58" i="49"/>
  <c r="AR66" i="49"/>
  <c r="AR67" i="49"/>
  <c r="AR72" i="49"/>
  <c r="N180" i="49"/>
  <c r="N248" i="49"/>
  <c r="N67" i="49"/>
  <c r="AR210" i="49"/>
  <c r="AR215" i="49"/>
  <c r="AR216" i="49"/>
  <c r="AR221" i="49"/>
  <c r="N29" i="49"/>
  <c r="N98" i="49"/>
  <c r="N167" i="49"/>
  <c r="AR166" i="49"/>
  <c r="AR171" i="49"/>
  <c r="AR172" i="49"/>
  <c r="AR177" i="49"/>
  <c r="N49" i="49"/>
  <c r="N61" i="49"/>
  <c r="AR22" i="49"/>
  <c r="AR27" i="49"/>
  <c r="AR28" i="49"/>
  <c r="AR33" i="49"/>
  <c r="N112" i="49"/>
  <c r="N123" i="49"/>
  <c r="AR10" i="49"/>
  <c r="AR15" i="49"/>
  <c r="AR16" i="49"/>
  <c r="AR21" i="49"/>
  <c r="N68" i="49"/>
  <c r="N78" i="49"/>
  <c r="AR30" i="49"/>
  <c r="AR35" i="49"/>
  <c r="AR36" i="49"/>
  <c r="AR41" i="49"/>
  <c r="N168" i="49"/>
  <c r="AR251" i="49"/>
  <c r="AR252" i="49"/>
  <c r="N188" i="49"/>
  <c r="AR170" i="49"/>
  <c r="AR175" i="49"/>
  <c r="AR176" i="49"/>
  <c r="AR181" i="49"/>
  <c r="N138" i="49"/>
  <c r="AR26" i="49"/>
  <c r="AR31" i="49"/>
  <c r="AR32" i="49"/>
  <c r="AR37" i="49"/>
  <c r="N89" i="49"/>
  <c r="AR113" i="49"/>
  <c r="AR118" i="49"/>
  <c r="AR119" i="49"/>
  <c r="AR125" i="49"/>
  <c r="N189" i="49"/>
  <c r="AR134" i="49"/>
  <c r="AR139" i="49"/>
  <c r="AR140" i="49"/>
  <c r="N22" i="49"/>
  <c r="AR250" i="49"/>
  <c r="AR254" i="49"/>
  <c r="AR57" i="49"/>
  <c r="N144" i="49"/>
  <c r="AR109" i="49"/>
  <c r="AR114" i="49"/>
  <c r="AR115" i="49"/>
  <c r="N237" i="49"/>
  <c r="BG98" i="49"/>
  <c r="N253" i="49"/>
  <c r="N81" i="49"/>
  <c r="N86" i="49"/>
  <c r="N91" i="49"/>
  <c r="N211" i="49"/>
  <c r="N148" i="49"/>
  <c r="N158" i="49"/>
  <c r="N252" i="49"/>
  <c r="N242" i="49"/>
  <c r="N124" i="49"/>
  <c r="N113" i="49"/>
  <c r="N69" i="49"/>
  <c r="N197" i="49"/>
  <c r="N108" i="49"/>
  <c r="N118" i="49"/>
  <c r="N126" i="49"/>
  <c r="N239" i="49"/>
  <c r="N244" i="49"/>
  <c r="N249" i="49"/>
  <c r="N254" i="49"/>
  <c r="N196" i="49"/>
  <c r="N201" i="49"/>
  <c r="N206" i="49"/>
  <c r="N210" i="49"/>
  <c r="N231" i="49"/>
  <c r="N236" i="49"/>
  <c r="N241" i="49"/>
  <c r="N246" i="49"/>
  <c r="N251" i="49"/>
  <c r="N6" i="49"/>
  <c r="N11" i="49"/>
  <c r="N192" i="49"/>
  <c r="N202" i="49"/>
  <c r="N153" i="49"/>
  <c r="N163" i="49"/>
  <c r="N247" i="49"/>
  <c r="N7" i="49"/>
  <c r="N76" i="49"/>
  <c r="N207" i="49"/>
  <c r="N212" i="49"/>
  <c r="N217" i="49"/>
  <c r="N222" i="49"/>
  <c r="N36" i="49"/>
  <c r="N41" i="49"/>
  <c r="N46" i="49"/>
  <c r="N51" i="49"/>
  <c r="N32" i="49"/>
  <c r="N37" i="49"/>
  <c r="N42" i="49"/>
  <c r="N47" i="49"/>
  <c r="N116" i="49"/>
  <c r="N121" i="49"/>
  <c r="N131" i="49"/>
  <c r="N215" i="49"/>
  <c r="N220" i="49"/>
  <c r="N225" i="49"/>
  <c r="N230" i="49"/>
  <c r="N172" i="49"/>
  <c r="N177" i="49"/>
  <c r="N182" i="49"/>
  <c r="N187" i="49"/>
  <c r="N48" i="49"/>
  <c r="N53" i="49"/>
  <c r="N59" i="49"/>
  <c r="N63" i="49"/>
  <c r="N4" i="49"/>
  <c r="N9" i="49"/>
  <c r="N14" i="49"/>
  <c r="N19" i="49"/>
  <c r="N40" i="49"/>
  <c r="N45" i="49"/>
  <c r="N50" i="49"/>
  <c r="N55" i="49"/>
  <c r="N58" i="49"/>
  <c r="N65" i="49"/>
  <c r="N70" i="49"/>
  <c r="N75" i="49"/>
  <c r="N5" i="49"/>
  <c r="N10" i="49"/>
  <c r="N15" i="49"/>
  <c r="N216" i="49"/>
  <c r="N221" i="49"/>
  <c r="N56" i="49"/>
  <c r="N60" i="49"/>
  <c r="N66" i="49"/>
  <c r="N71" i="49"/>
  <c r="N140" i="49"/>
  <c r="N145" i="49"/>
  <c r="N150" i="49"/>
  <c r="N155" i="49"/>
  <c r="N16" i="49"/>
  <c r="N21" i="49"/>
  <c r="N26" i="49"/>
  <c r="N31" i="49"/>
  <c r="N100" i="49"/>
  <c r="N105" i="49"/>
  <c r="N110" i="49"/>
  <c r="N115" i="49"/>
  <c r="BG96" i="49"/>
  <c r="BG25" i="49"/>
  <c r="BG47" i="49"/>
  <c r="N104" i="49"/>
  <c r="N109" i="49"/>
  <c r="N114" i="49"/>
  <c r="N119" i="49"/>
  <c r="N125" i="49"/>
  <c r="N129" i="49"/>
  <c r="N134" i="49"/>
  <c r="N139" i="49"/>
  <c r="N64" i="49"/>
  <c r="N74" i="49"/>
  <c r="N79" i="49"/>
  <c r="N20" i="49"/>
  <c r="N25" i="49"/>
  <c r="N30" i="49"/>
  <c r="N35" i="49"/>
  <c r="N120" i="49"/>
  <c r="N122" i="49"/>
  <c r="N130" i="49"/>
  <c r="N135" i="49"/>
  <c r="N204" i="49"/>
  <c r="N208" i="49"/>
  <c r="N213" i="49"/>
  <c r="N218" i="49"/>
  <c r="N80" i="49"/>
  <c r="N85" i="49"/>
  <c r="N90" i="49"/>
  <c r="N95" i="49"/>
  <c r="N164" i="49"/>
  <c r="N169" i="49"/>
  <c r="N174" i="49"/>
  <c r="N179" i="49"/>
  <c r="BG27" i="49"/>
  <c r="BG72" i="49"/>
  <c r="BG130" i="49"/>
  <c r="BG108" i="49"/>
  <c r="BG28" i="49"/>
  <c r="BG238" i="49"/>
  <c r="BG31" i="49"/>
  <c r="BG11" i="49"/>
  <c r="BG76" i="49"/>
  <c r="BG92" i="49"/>
  <c r="BG168" i="49"/>
  <c r="BG46" i="49"/>
  <c r="BG79" i="49"/>
  <c r="BG48" i="49"/>
  <c r="BG95" i="49"/>
  <c r="BG15" i="49"/>
  <c r="BG10" i="49"/>
  <c r="BG9" i="49"/>
  <c r="BG24" i="49"/>
  <c r="BG64" i="49"/>
  <c r="BG84" i="49"/>
  <c r="BG55" i="49"/>
  <c r="BG104" i="49"/>
  <c r="BG255" i="49"/>
  <c r="BG100" i="49"/>
  <c r="BG82" i="49"/>
  <c r="BG34" i="49"/>
  <c r="BG20" i="49"/>
  <c r="BG6" i="49"/>
  <c r="BG26" i="49"/>
  <c r="BG99" i="49"/>
  <c r="BG202" i="49"/>
  <c r="BG110" i="49"/>
  <c r="BG225" i="49"/>
  <c r="BG49" i="49"/>
  <c r="BG54" i="49"/>
  <c r="BG7" i="49"/>
  <c r="BG183" i="49"/>
  <c r="BG44" i="49"/>
  <c r="BG63" i="49"/>
  <c r="BG39" i="49"/>
  <c r="BG222" i="49"/>
  <c r="BG242" i="49"/>
  <c r="BG14" i="49"/>
  <c r="BG38" i="49"/>
  <c r="BG246" i="49"/>
  <c r="BG36" i="49"/>
  <c r="BG232" i="49"/>
  <c r="BG8" i="49"/>
  <c r="BG74" i="49"/>
  <c r="BG91" i="49"/>
  <c r="BG167" i="49"/>
  <c r="BG73" i="49"/>
  <c r="BG78" i="49"/>
  <c r="BG165" i="49"/>
  <c r="BG126" i="49"/>
  <c r="BG51" i="49"/>
  <c r="BG67" i="49"/>
  <c r="BG88" i="49"/>
  <c r="BG97" i="49"/>
  <c r="BG175" i="49"/>
  <c r="BG5" i="49"/>
  <c r="BG86" i="49"/>
  <c r="BG103" i="49"/>
  <c r="BG134" i="49"/>
  <c r="BG231" i="49"/>
  <c r="BG56" i="49"/>
  <c r="BG90" i="49"/>
  <c r="BG111" i="49"/>
  <c r="BG122" i="49"/>
  <c r="BG89" i="49"/>
  <c r="BG94" i="49"/>
  <c r="BG121" i="49"/>
  <c r="BG142" i="49"/>
  <c r="BG66" i="49"/>
  <c r="BG83" i="49"/>
  <c r="BG114" i="49"/>
  <c r="BG109" i="49"/>
  <c r="BG18" i="49"/>
  <c r="BG102" i="49"/>
  <c r="BG129" i="49"/>
  <c r="BG150" i="49"/>
  <c r="BG171" i="49"/>
  <c r="BG43" i="49"/>
  <c r="BG112" i="49"/>
  <c r="BG80" i="49"/>
  <c r="BG107" i="49"/>
  <c r="BG163" i="49"/>
  <c r="BG137" i="49"/>
  <c r="BG211" i="49"/>
  <c r="BG119" i="49"/>
  <c r="BG140" i="49"/>
  <c r="BG157" i="49"/>
  <c r="BG203" i="49"/>
  <c r="BG40" i="49"/>
  <c r="BG81" i="49"/>
  <c r="BG169" i="49"/>
  <c r="BG159" i="49"/>
  <c r="BG12" i="49"/>
  <c r="BG115" i="49"/>
  <c r="BG153" i="49"/>
  <c r="BG52" i="49"/>
  <c r="BG33" i="49"/>
  <c r="BG135" i="49"/>
  <c r="BG101" i="49"/>
  <c r="BG148" i="49"/>
  <c r="BG149" i="49"/>
  <c r="BG212" i="49"/>
  <c r="BG23" i="49"/>
  <c r="BG131" i="49"/>
  <c r="BG136" i="49"/>
  <c r="BG210" i="49"/>
  <c r="BG245" i="49"/>
  <c r="BG77" i="49"/>
  <c r="BG160" i="49"/>
  <c r="BG125" i="49"/>
  <c r="BG235" i="49"/>
  <c r="BG59" i="49"/>
  <c r="BG123" i="49"/>
  <c r="BG144" i="49"/>
  <c r="BG170" i="49"/>
  <c r="BG207" i="49"/>
  <c r="BG161" i="49"/>
  <c r="BG166" i="49"/>
  <c r="BG214" i="49"/>
  <c r="BG218" i="49"/>
  <c r="BG179" i="49"/>
  <c r="BG65" i="49"/>
  <c r="BG147" i="49"/>
  <c r="BG152" i="49"/>
  <c r="BG178" i="49"/>
  <c r="BG249" i="49"/>
  <c r="BG93" i="49"/>
  <c r="BG124" i="49"/>
  <c r="BG141" i="49"/>
  <c r="BG187" i="49"/>
  <c r="BG247" i="49"/>
  <c r="BG139" i="49"/>
  <c r="BG219" i="49"/>
  <c r="BG186" i="49"/>
  <c r="BG236" i="49"/>
  <c r="BG200" i="49"/>
  <c r="BG69" i="49"/>
  <c r="BG116" i="49"/>
  <c r="BG117" i="49"/>
  <c r="BG138" i="49"/>
  <c r="BG243" i="49"/>
  <c r="BG241" i="49"/>
  <c r="BG194" i="49"/>
  <c r="BG192" i="49"/>
  <c r="BG197" i="49"/>
  <c r="BG237" i="49"/>
  <c r="BG155" i="49"/>
  <c r="BG71" i="49"/>
  <c r="BG22" i="49"/>
  <c r="BG75" i="49"/>
  <c r="BG62" i="49"/>
  <c r="BG164" i="49"/>
  <c r="BG61" i="49"/>
  <c r="BG162" i="49"/>
  <c r="BG177" i="49"/>
  <c r="BG60" i="49"/>
  <c r="BG239" i="49"/>
  <c r="BG205" i="49"/>
  <c r="BG206" i="49"/>
  <c r="BG244" i="49"/>
  <c r="BG188" i="49"/>
  <c r="BG240" i="49"/>
  <c r="BG57" i="49"/>
  <c r="BG233" i="49"/>
  <c r="BG217" i="49"/>
  <c r="BG182" i="49"/>
  <c r="BG253" i="49"/>
  <c r="BG180" i="49"/>
  <c r="BG201" i="49"/>
  <c r="BG13" i="49"/>
  <c r="BG184" i="49"/>
  <c r="BG234" i="49"/>
  <c r="BG204" i="49"/>
  <c r="BG4" i="49"/>
  <c r="BG21" i="49"/>
  <c r="BG176" i="49"/>
  <c r="BG181" i="49"/>
  <c r="BG198" i="49"/>
  <c r="BG196" i="49"/>
  <c r="BG224" i="49"/>
  <c r="BG29" i="49"/>
  <c r="BG127" i="49"/>
  <c r="BG173" i="49"/>
  <c r="BG174" i="49"/>
  <c r="BG195" i="49"/>
  <c r="BG193" i="49"/>
  <c r="BG230" i="49"/>
  <c r="BG16" i="49"/>
  <c r="BG37" i="49"/>
  <c r="BG19" i="49"/>
  <c r="BG41" i="49"/>
  <c r="BG30" i="49"/>
  <c r="BG58" i="49"/>
  <c r="BG145" i="49"/>
  <c r="BG250" i="49"/>
  <c r="BG17" i="49"/>
  <c r="BG120" i="49"/>
  <c r="BG199" i="49"/>
  <c r="BG35" i="49"/>
  <c r="BG106" i="49"/>
  <c r="BG42" i="49"/>
  <c r="BG146" i="49"/>
  <c r="BG226" i="49"/>
  <c r="BG70" i="49"/>
  <c r="BG87" i="49"/>
  <c r="BG118" i="49"/>
  <c r="BG113" i="49"/>
  <c r="BG221" i="49"/>
  <c r="BG251" i="49"/>
  <c r="BG45" i="49"/>
  <c r="BG105" i="49"/>
  <c r="BG85" i="49"/>
  <c r="BG132" i="49"/>
  <c r="BG133" i="49"/>
  <c r="BG154" i="49"/>
  <c r="BG143" i="49"/>
  <c r="BG172" i="49"/>
  <c r="BG209" i="49"/>
  <c r="BG216" i="49"/>
  <c r="BG151" i="49"/>
  <c r="BG156" i="49"/>
  <c r="BG223" i="49"/>
  <c r="BG228" i="49"/>
  <c r="BG158" i="49"/>
  <c r="BG128" i="49"/>
  <c r="BG227" i="49"/>
  <c r="BG191" i="49"/>
  <c r="BG215" i="49"/>
  <c r="BG189" i="49"/>
  <c r="BG190" i="49"/>
  <c r="BG220" i="49"/>
  <c r="BG254" i="49"/>
  <c r="BG32" i="49"/>
  <c r="BG53" i="49"/>
  <c r="BG50" i="49"/>
  <c r="BG208" i="49"/>
  <c r="BG229" i="49"/>
  <c r="BG248" i="49"/>
  <c r="BG213" i="49"/>
  <c r="BG185" i="49"/>
  <c r="BG252" i="49"/>
  <c r="EL4" i="11" l="1"/>
  <c r="EO4" i="11" s="1"/>
  <c r="EM5" i="11"/>
  <c r="EL5" i="11"/>
  <c r="EO5" i="11" s="1"/>
  <c r="EM4" i="11"/>
  <c r="L208" i="31"/>
  <c r="L209" i="31" l="1"/>
  <c r="E70" i="34" l="1"/>
  <c r="E48" i="34"/>
  <c r="E47" i="34"/>
  <c r="E2" i="34"/>
  <c r="L67" i="33"/>
  <c r="L66" i="33"/>
  <c r="L65" i="33"/>
  <c r="L64" i="33"/>
  <c r="L78" i="32"/>
  <c r="L77" i="32"/>
  <c r="L76" i="32"/>
  <c r="L75" i="32"/>
  <c r="L74" i="32"/>
  <c r="L73" i="32"/>
  <c r="L172" i="31"/>
  <c r="L171" i="31"/>
  <c r="L170" i="31"/>
  <c r="L169" i="31"/>
  <c r="L168" i="31"/>
  <c r="L167" i="31"/>
  <c r="L310" i="24"/>
  <c r="L309" i="24"/>
  <c r="L308" i="24"/>
  <c r="L307" i="24"/>
  <c r="L306" i="24"/>
  <c r="L305" i="24"/>
  <c r="L304" i="24"/>
  <c r="DP22" i="14"/>
  <c r="DP21" i="14"/>
  <c r="DP20" i="14"/>
  <c r="DP19" i="14"/>
  <c r="DP18" i="14"/>
  <c r="DP17" i="14"/>
  <c r="DP16" i="14"/>
  <c r="DP15" i="14"/>
  <c r="DP14" i="14"/>
  <c r="DP13" i="14"/>
  <c r="DP12" i="14"/>
  <c r="DP11" i="14"/>
  <c r="DP10" i="14"/>
  <c r="DP9" i="14"/>
  <c r="DP8" i="14"/>
  <c r="DP7" i="14"/>
  <c r="DP6" i="14"/>
  <c r="DP5" i="14"/>
  <c r="DP4" i="14"/>
  <c r="DP3" i="14"/>
  <c r="DP2" i="14"/>
  <c r="Q5" i="46"/>
  <c r="L5" i="46"/>
  <c r="G5" i="46"/>
  <c r="M4" i="60"/>
  <c r="F4" i="60"/>
  <c r="E4" i="60"/>
  <c r="K23" i="35"/>
  <c r="L23" i="31" s="1"/>
  <c r="AD22" i="35"/>
  <c r="L77" i="31" s="1"/>
  <c r="AD21" i="35"/>
  <c r="L76" i="31" s="1"/>
  <c r="AD20" i="35"/>
  <c r="L75" i="31" s="1"/>
  <c r="AD19" i="35"/>
  <c r="L74" i="31" s="1"/>
  <c r="AD18" i="35"/>
  <c r="L73" i="31" s="1"/>
  <c r="AD17" i="35"/>
  <c r="L72" i="31" s="1"/>
  <c r="AD16" i="35"/>
  <c r="L71" i="31" s="1"/>
  <c r="AD15" i="35"/>
  <c r="L70" i="31" s="1"/>
  <c r="AD14" i="35"/>
  <c r="L69" i="31" s="1"/>
  <c r="AD13" i="35"/>
  <c r="L68" i="31" s="1"/>
  <c r="K13" i="35"/>
  <c r="L13" i="31" s="1"/>
  <c r="P12" i="35"/>
  <c r="O12" i="35"/>
  <c r="N12" i="35"/>
  <c r="N22" i="35" s="1"/>
  <c r="N23" i="35" s="1"/>
  <c r="AD11" i="35"/>
  <c r="L66" i="31" s="1"/>
  <c r="AD10" i="35"/>
  <c r="L65" i="31" s="1"/>
  <c r="AD9" i="35"/>
  <c r="L64" i="31" s="1"/>
  <c r="AD8" i="35"/>
  <c r="L63" i="31" s="1"/>
  <c r="AD7" i="35"/>
  <c r="L62" i="31" s="1"/>
  <c r="AD6" i="35"/>
  <c r="L61" i="31" s="1"/>
  <c r="AD5" i="35"/>
  <c r="L60" i="31" s="1"/>
  <c r="AD4" i="35"/>
  <c r="L59" i="31" s="1"/>
  <c r="AD3" i="35"/>
  <c r="L58" i="31" s="1"/>
  <c r="K3" i="35"/>
  <c r="AD2" i="35"/>
  <c r="L57" i="31" s="1"/>
  <c r="Y2" i="35"/>
  <c r="L46" i="31" s="1"/>
  <c r="BZ49" i="11"/>
  <c r="L330" i="24" s="1"/>
  <c r="J49" i="11"/>
  <c r="L27" i="24" s="1"/>
  <c r="BZ48" i="11"/>
  <c r="BZ47" i="11"/>
  <c r="L328" i="24" s="1"/>
  <c r="L84" i="24"/>
  <c r="BZ46" i="11"/>
  <c r="L327" i="24" s="1"/>
  <c r="BZ45" i="11"/>
  <c r="BZ44" i="11"/>
  <c r="BZ43" i="11"/>
  <c r="BZ42" i="11"/>
  <c r="BZ41" i="11"/>
  <c r="BZ40" i="11"/>
  <c r="BZ39" i="11"/>
  <c r="BZ38" i="11"/>
  <c r="BZ37" i="11"/>
  <c r="L74" i="24"/>
  <c r="BZ36" i="11"/>
  <c r="BZ35" i="11"/>
  <c r="AV35" i="11"/>
  <c r="AU35" i="11"/>
  <c r="J35" i="11"/>
  <c r="K34" i="11" s="1"/>
  <c r="AV34" i="11"/>
  <c r="AU34" i="11"/>
  <c r="BZ33" i="11"/>
  <c r="AV33" i="11"/>
  <c r="AU33" i="11"/>
  <c r="BZ32" i="11"/>
  <c r="AV32" i="11"/>
  <c r="AU32" i="11"/>
  <c r="BZ31" i="11"/>
  <c r="AV31" i="11"/>
  <c r="AU31" i="11"/>
  <c r="BZ30" i="11"/>
  <c r="AV30" i="11"/>
  <c r="AU30" i="11"/>
  <c r="BZ29" i="11"/>
  <c r="AV29" i="11"/>
  <c r="AU29" i="11"/>
  <c r="BZ28" i="11"/>
  <c r="AV28" i="11"/>
  <c r="AU28" i="11"/>
  <c r="BZ27" i="11"/>
  <c r="L64" i="24"/>
  <c r="AV27" i="11"/>
  <c r="AU27" i="11"/>
  <c r="BZ26" i="11"/>
  <c r="AV26" i="11"/>
  <c r="AU26" i="11"/>
  <c r="BZ25" i="11"/>
  <c r="AV25" i="11"/>
  <c r="AU25" i="11"/>
  <c r="BZ24" i="11"/>
  <c r="AV24" i="11"/>
  <c r="AU24" i="11"/>
  <c r="BZ23" i="11"/>
  <c r="AV23" i="11"/>
  <c r="AU23" i="11"/>
  <c r="BZ22" i="11"/>
  <c r="AV22" i="11"/>
  <c r="AU22" i="11"/>
  <c r="BZ21" i="11"/>
  <c r="AV21" i="11"/>
  <c r="AU21" i="11"/>
  <c r="BZ20" i="11"/>
  <c r="AV20" i="11"/>
  <c r="AU20" i="11"/>
  <c r="BZ19" i="11"/>
  <c r="AV19" i="11"/>
  <c r="AU19" i="11"/>
  <c r="AV18" i="11"/>
  <c r="AU18" i="11"/>
  <c r="BZ17" i="11"/>
  <c r="BR17" i="11"/>
  <c r="L244" i="24" s="1"/>
  <c r="BJ17" i="11"/>
  <c r="AV17" i="11"/>
  <c r="AU17" i="11"/>
  <c r="BZ16" i="11"/>
  <c r="AV16" i="11"/>
  <c r="AU16" i="11"/>
  <c r="BZ15" i="11"/>
  <c r="AV15" i="11"/>
  <c r="AU15" i="11"/>
  <c r="BZ14" i="11"/>
  <c r="AV14" i="11"/>
  <c r="AU14" i="11"/>
  <c r="CP13" i="11"/>
  <c r="BZ13" i="11"/>
  <c r="L298" i="24" s="1"/>
  <c r="AV13" i="11"/>
  <c r="AU13" i="11"/>
  <c r="K13" i="11"/>
  <c r="J13" i="11"/>
  <c r="BZ12" i="11"/>
  <c r="L297" i="24" s="1"/>
  <c r="AV12" i="11"/>
  <c r="AU12" i="11"/>
  <c r="BZ11" i="11"/>
  <c r="AV11" i="11"/>
  <c r="AU11" i="11"/>
  <c r="BZ10" i="11"/>
  <c r="AV10" i="11"/>
  <c r="AU10" i="11"/>
  <c r="BZ9" i="11"/>
  <c r="AV9" i="11"/>
  <c r="AU9" i="11"/>
  <c r="BZ8" i="11"/>
  <c r="BZ7" i="11"/>
  <c r="BR7" i="11"/>
  <c r="L234" i="24" s="1"/>
  <c r="BJ7" i="11"/>
  <c r="AT7" i="11"/>
  <c r="CP6" i="11"/>
  <c r="BZ6" i="11"/>
  <c r="BZ5" i="11"/>
  <c r="BZ4" i="11"/>
  <c r="BA4" i="11"/>
  <c r="BZ3" i="11"/>
  <c r="D3" i="11"/>
  <c r="D2" i="11"/>
  <c r="C3" i="2"/>
  <c r="G44" i="3"/>
  <c r="G43" i="3"/>
  <c r="AN11" i="13" l="1"/>
  <c r="AN9" i="13"/>
  <c r="AN3" i="13"/>
  <c r="AN15" i="13"/>
  <c r="S7" i="60"/>
  <c r="S6" i="60"/>
  <c r="S5" i="60"/>
  <c r="AN13" i="13"/>
  <c r="AN7" i="13"/>
  <c r="AW9" i="11"/>
  <c r="AW13" i="11"/>
  <c r="AW17" i="11"/>
  <c r="AW26" i="11"/>
  <c r="AW18" i="11"/>
  <c r="AW23" i="11"/>
  <c r="L296" i="24"/>
  <c r="L295" i="24" s="1"/>
  <c r="L294" i="24" s="1"/>
  <c r="AW15" i="11"/>
  <c r="AW24" i="11"/>
  <c r="AW14" i="11"/>
  <c r="AW12" i="11"/>
  <c r="AW20" i="11"/>
  <c r="E41" i="3"/>
  <c r="F3" i="60"/>
  <c r="N4" i="60"/>
  <c r="P4" i="60"/>
  <c r="P3" i="60" s="1"/>
  <c r="O4" i="60"/>
  <c r="B4" i="60"/>
  <c r="G4" i="60"/>
  <c r="I4" i="60"/>
  <c r="K4" i="60"/>
  <c r="H4" i="60"/>
  <c r="AB4" i="60"/>
  <c r="J4" i="60"/>
  <c r="E5" i="46" a="1"/>
  <c r="E5" i="46" s="1"/>
  <c r="E4" i="46" a="1"/>
  <c r="E4" i="46" s="1"/>
  <c r="AW32" i="11"/>
  <c r="AW30" i="11"/>
  <c r="AW35" i="11"/>
  <c r="AW31" i="11"/>
  <c r="AW22" i="11"/>
  <c r="AW27" i="11"/>
  <c r="AW10" i="11"/>
  <c r="AW21" i="11"/>
  <c r="AV7" i="11" a="1"/>
  <c r="AV7" i="11" s="1"/>
  <c r="AU8" i="11" a="1"/>
  <c r="AU8" i="11" s="1"/>
  <c r="AV8" i="11" a="1"/>
  <c r="AV8" i="11" s="1"/>
  <c r="AU7" i="11" a="1"/>
  <c r="AU7" i="11" s="1"/>
  <c r="AW11" i="11"/>
  <c r="AW28" i="11"/>
  <c r="AW29" i="11"/>
  <c r="AW16" i="11"/>
  <c r="AW25" i="11"/>
  <c r="AW34" i="11"/>
  <c r="L293" i="24"/>
  <c r="L292" i="24" s="1"/>
  <c r="L291" i="24" s="1"/>
  <c r="L290" i="24" s="1"/>
  <c r="L289" i="24" s="1"/>
  <c r="L200" i="24" s="1"/>
  <c r="L288" i="24" s="1"/>
  <c r="L312" i="24" s="1"/>
  <c r="L2" i="24" s="1"/>
  <c r="G6" i="46"/>
  <c r="L127" i="31"/>
  <c r="Q6" i="46"/>
  <c r="L137" i="31"/>
  <c r="M13" i="11"/>
  <c r="M23" i="11" s="1"/>
  <c r="L162" i="24"/>
  <c r="K23" i="11"/>
  <c r="L54" i="24"/>
  <c r="H21" i="3"/>
  <c r="I21" i="3" s="1"/>
  <c r="E21" i="3" s="1"/>
  <c r="J23" i="11"/>
  <c r="L329" i="24"/>
  <c r="L299" i="24" s="1"/>
  <c r="E44" i="3" s="1"/>
  <c r="E43" i="3" s="1"/>
  <c r="O22" i="35"/>
  <c r="O23" i="35" s="1"/>
  <c r="L139" i="31"/>
  <c r="Q12" i="35"/>
  <c r="Q22" i="35" s="1"/>
  <c r="Q23" i="35" s="1"/>
  <c r="P22" i="35"/>
  <c r="P23" i="35" s="1"/>
  <c r="L150" i="31"/>
  <c r="L3" i="31"/>
  <c r="H25" i="3"/>
  <c r="I25" i="3" s="1"/>
  <c r="E25" i="3" s="1"/>
  <c r="L332" i="24"/>
  <c r="L44" i="24"/>
  <c r="Q7" i="11"/>
  <c r="S7" i="11" s="1"/>
  <c r="Q10" i="11"/>
  <c r="S10" i="11" s="1"/>
  <c r="H24" i="3"/>
  <c r="I24" i="3" s="1"/>
  <c r="E24" i="3" s="1"/>
  <c r="AU3" i="35"/>
  <c r="L51" i="33" s="1"/>
  <c r="E40" i="3" s="1"/>
  <c r="H20" i="3"/>
  <c r="I20" i="3" s="1"/>
  <c r="E20" i="3" s="1"/>
  <c r="DS5" i="11"/>
  <c r="Q4" i="11"/>
  <c r="S4" i="11" s="1"/>
  <c r="H47" i="3"/>
  <c r="Q3" i="11"/>
  <c r="S3" i="11" s="1"/>
  <c r="C38" i="2"/>
  <c r="E49" i="3" s="1"/>
  <c r="Q6" i="11"/>
  <c r="S6" i="11" s="1"/>
  <c r="J2" i="11"/>
  <c r="M2" i="11" s="1"/>
  <c r="H27" i="3"/>
  <c r="I27" i="3" s="1"/>
  <c r="E27" i="3" s="1"/>
  <c r="Q9" i="11"/>
  <c r="S9" i="11" s="1"/>
  <c r="Q5" i="11"/>
  <c r="S5" i="11" s="1"/>
  <c r="Q8" i="11"/>
  <c r="S8" i="11" s="1"/>
  <c r="Q11" i="11"/>
  <c r="S11" i="11" s="1"/>
  <c r="P5" i="35"/>
  <c r="L104" i="31" s="1"/>
  <c r="C42" i="2"/>
  <c r="Q2" i="11"/>
  <c r="S2" i="11" s="1"/>
  <c r="L132" i="31"/>
  <c r="L6" i="46"/>
  <c r="L326" i="24"/>
  <c r="L325" i="24" s="1"/>
  <c r="L324" i="24" s="1"/>
  <c r="L323" i="24" s="1"/>
  <c r="L322" i="24" s="1"/>
  <c r="L321" i="24" s="1"/>
  <c r="L320" i="24" s="1"/>
  <c r="L319" i="24" s="1"/>
  <c r="L318" i="24" s="1"/>
  <c r="L317" i="24" s="1"/>
  <c r="L316" i="24" s="1"/>
  <c r="L227" i="24" s="1"/>
  <c r="AW33" i="11" s="1"/>
  <c r="L226" i="24" s="1"/>
  <c r="L225" i="24" s="1"/>
  <c r="L224" i="24" s="1"/>
  <c r="L223" i="24" s="1"/>
  <c r="L222" i="24" s="1"/>
  <c r="L221" i="24" s="1"/>
  <c r="L220" i="24" s="1"/>
  <c r="L219" i="24" s="1"/>
  <c r="L218" i="24" s="1"/>
  <c r="L217" i="24" s="1"/>
  <c r="L216" i="24" s="1"/>
  <c r="L215" i="24" s="1"/>
  <c r="L214" i="24" s="1"/>
  <c r="L213" i="24" s="1"/>
  <c r="AW19" i="11" s="1"/>
  <c r="L302" i="24" s="1"/>
  <c r="L301" i="24" s="1"/>
  <c r="L300" i="24" s="1"/>
  <c r="AD5" i="60" l="1"/>
  <c r="AA5" i="60"/>
  <c r="V5" i="60"/>
  <c r="W5" i="60" s="1"/>
  <c r="U5" i="60"/>
  <c r="T5" i="60"/>
  <c r="X5" i="60"/>
  <c r="AA6" i="60"/>
  <c r="X6" i="60"/>
  <c r="V6" i="60"/>
  <c r="W6" i="60" s="1"/>
  <c r="T6" i="60"/>
  <c r="U6" i="60"/>
  <c r="AD6" i="60"/>
  <c r="V7" i="60"/>
  <c r="W7" i="60" s="1"/>
  <c r="X7" i="60"/>
  <c r="T7" i="60"/>
  <c r="AD7" i="60"/>
  <c r="U7" i="60"/>
  <c r="AA7" i="60"/>
  <c r="Q4" i="60"/>
  <c r="Q3" i="60" s="1"/>
  <c r="AC4" i="60"/>
  <c r="S4" i="60"/>
  <c r="C4" i="60"/>
  <c r="Y4" i="60"/>
  <c r="R4" i="60" s="1"/>
  <c r="AN5" i="13" s="1"/>
  <c r="L4" i="60"/>
  <c r="F4" i="46"/>
  <c r="L188" i="24"/>
  <c r="E6" i="46"/>
  <c r="L125" i="31"/>
  <c r="F5" i="46"/>
  <c r="AW3" i="11"/>
  <c r="L311" i="24" s="1"/>
  <c r="AW2" i="11"/>
  <c r="AW7" i="11"/>
  <c r="AW8" i="11"/>
  <c r="S12" i="11"/>
  <c r="S14" i="11" s="1"/>
  <c r="S15" i="11" s="1"/>
  <c r="E7" i="3"/>
  <c r="L59" i="32"/>
  <c r="E39" i="3" s="1"/>
  <c r="D17" i="46"/>
  <c r="H9" i="3"/>
  <c r="G47" i="3"/>
  <c r="E5" i="3"/>
  <c r="G5" i="3"/>
  <c r="L256" i="24"/>
  <c r="I9" i="3" l="1"/>
  <c r="E9" i="3" s="1"/>
  <c r="Z4" i="60"/>
  <c r="R3" i="60"/>
  <c r="U4" i="60"/>
  <c r="AD4" i="60" s="1"/>
  <c r="V4" i="60"/>
  <c r="W4" i="60" s="1"/>
  <c r="W3" i="60" s="1"/>
  <c r="T4" i="60"/>
  <c r="AA4" i="60"/>
  <c r="X4" i="60"/>
  <c r="X3" i="60" s="1"/>
  <c r="D4" i="60"/>
  <c r="D3" i="60" s="1"/>
  <c r="L3" i="60"/>
  <c r="F6" i="46"/>
  <c r="E17" i="46" s="1"/>
  <c r="G17" i="46" s="1"/>
  <c r="L126" i="31"/>
  <c r="E38" i="3" s="1"/>
  <c r="E16" i="46"/>
  <c r="G16" i="46" s="1"/>
  <c r="H30" i="3"/>
  <c r="I30" i="3" s="1"/>
  <c r="E30" i="3" s="1"/>
  <c r="L189" i="24"/>
  <c r="G18" i="46"/>
  <c r="L314" i="24"/>
  <c r="AW4" i="11"/>
  <c r="L202" i="24" s="1"/>
  <c r="E47" i="3"/>
  <c r="I47" i="3"/>
  <c r="G19" i="46" l="1"/>
  <c r="E2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3" authorId="0" shapeId="0" xr:uid="{00000000-0006-0000-0100-000001000000}">
      <text>
        <r>
          <rPr>
            <b/>
            <sz val="9"/>
            <color indexed="81"/>
            <rFont val="Tahoma"/>
            <family val="2"/>
          </rPr>
          <t>Author:</t>
        </r>
        <r>
          <rPr>
            <sz val="9"/>
            <color indexed="81"/>
            <rFont val="Tahoma"/>
            <family val="2"/>
          </rPr>
          <t xml:space="preserve">
Log sẽ có các nhóm con là Methodology và Manual; 
Note sẽ có các nhóm con là Daily work (các vấn đề giao dịch/kinh doanh hàng ngày), Strategy (các vấn đề giao dịch/kinh doanh theo kế hoạch/chiến lược/ dự kiến mà mình hỏi được thông tin).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W1" authorId="0" shapeId="0" xr:uid="{00000000-0006-0000-0E00-000001000000}">
      <text>
        <r>
          <rPr>
            <b/>
            <sz val="9"/>
            <color indexed="81"/>
            <rFont val="Tahoma"/>
            <family val="2"/>
          </rPr>
          <t>Windows User:</t>
        </r>
        <r>
          <rPr>
            <sz val="9"/>
            <color indexed="81"/>
            <rFont val="Tahoma"/>
            <family val="2"/>
          </rPr>
          <t xml:space="preserve">
Nhập khi có mã bond mới</t>
        </r>
      </text>
    </comment>
    <comment ref="AB1" authorId="0" shapeId="0" xr:uid="{00000000-0006-0000-0E00-000002000000}">
      <text>
        <r>
          <rPr>
            <b/>
            <sz val="9"/>
            <color indexed="81"/>
            <rFont val="Tahoma"/>
            <family val="2"/>
          </rPr>
          <t>Windows User:</t>
        </r>
        <r>
          <rPr>
            <sz val="9"/>
            <color indexed="81"/>
            <rFont val="Tahoma"/>
            <family val="2"/>
          </rPr>
          <t xml:space="preserve">
Bổ sung khi có folder mới, hoặc khi sửa book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Lam Pham Duc (QLRR - QLRRTTTK RRTT&amp;LSSNH)</author>
  </authors>
  <commentList>
    <comment ref="G8" authorId="0" shapeId="0" xr:uid="{2FDE526C-0306-4F4B-9F1A-E6DE77351BD1}">
      <text>
        <r>
          <rPr>
            <b/>
            <sz val="9"/>
            <color indexed="81"/>
            <rFont val="Tahoma"/>
            <family val="2"/>
          </rPr>
          <t>Thao Tran Thi Phuong (QLRR-TTTK):</t>
        </r>
        <r>
          <rPr>
            <sz val="9"/>
            <color indexed="81"/>
            <rFont val="Tahoma"/>
            <family val="2"/>
          </rPr>
          <t xml:space="preserve">
MSB</t>
        </r>
      </text>
    </comment>
    <comment ref="H8" authorId="0" shapeId="0" xr:uid="{C567585C-3249-4753-9FA3-D0C3E52436AC}">
      <text>
        <r>
          <rPr>
            <b/>
            <sz val="9"/>
            <color indexed="81"/>
            <rFont val="Tahoma"/>
            <family val="2"/>
          </rPr>
          <t>Thao Tran Thi Phuong (QLRR-TTTK):</t>
        </r>
        <r>
          <rPr>
            <sz val="9"/>
            <color indexed="81"/>
            <rFont val="Tahoma"/>
            <family val="2"/>
          </rPr>
          <t xml:space="preserve">
SBV</t>
        </r>
      </text>
    </comment>
    <comment ref="G10" authorId="0" shapeId="0" xr:uid="{7C458A2B-83EF-49B5-84B6-F6676CA809C7}">
      <text>
        <r>
          <rPr>
            <b/>
            <sz val="9"/>
            <color indexed="81"/>
            <rFont val="Tahoma"/>
            <family val="2"/>
          </rPr>
          <t>Thao Tran Thi Phuong (QLRR-TTTK):</t>
        </r>
        <r>
          <rPr>
            <sz val="9"/>
            <color indexed="81"/>
            <rFont val="Tahoma"/>
            <family val="2"/>
          </rPr>
          <t xml:space="preserve">
MSB</t>
        </r>
      </text>
    </comment>
    <comment ref="H10" authorId="0" shapeId="0" xr:uid="{399967B5-83F2-4011-BFE2-8EE935AAD421}">
      <text>
        <r>
          <rPr>
            <b/>
            <sz val="9"/>
            <color indexed="81"/>
            <rFont val="Tahoma"/>
            <family val="2"/>
          </rPr>
          <t>Thao Tran Thi Phuong (QLRR-TTTK):</t>
        </r>
        <r>
          <rPr>
            <sz val="9"/>
            <color indexed="81"/>
            <rFont val="Tahoma"/>
            <family val="2"/>
          </rPr>
          <t xml:space="preserve">
SBV</t>
        </r>
      </text>
    </comment>
    <comment ref="G16" authorId="0" shapeId="0" xr:uid="{83DFF2E1-A0F7-4E7B-9212-F56E7718D499}">
      <text>
        <r>
          <rPr>
            <b/>
            <sz val="9"/>
            <color indexed="81"/>
            <rFont val="Tahoma"/>
            <family val="2"/>
          </rPr>
          <t>Thao Tran Thi Phuong (QLRR-TTTK):</t>
        </r>
        <r>
          <rPr>
            <sz val="9"/>
            <color indexed="81"/>
            <rFont val="Tahoma"/>
            <family val="2"/>
          </rPr>
          <t xml:space="preserve">
FNRP</t>
        </r>
      </text>
    </comment>
    <comment ref="H16" authorId="0" shapeId="0" xr:uid="{C964CAAB-109D-4B41-9F8A-A48513703F0B}">
      <text>
        <r>
          <rPr>
            <b/>
            <sz val="9"/>
            <color indexed="81"/>
            <rFont val="Tahoma"/>
            <family val="2"/>
          </rPr>
          <t>Thao Tran Thi Phuong (QLRR-TTTK):</t>
        </r>
        <r>
          <rPr>
            <sz val="9"/>
            <color indexed="81"/>
            <rFont val="Tahoma"/>
            <family val="2"/>
          </rPr>
          <t xml:space="preserve">
BaselEXA risk datamart</t>
        </r>
      </text>
    </comment>
    <comment ref="G18" authorId="1" shapeId="0" xr:uid="{77ABE8FB-83C7-4A59-B900-C8424AAA27C7}">
      <text>
        <r>
          <rPr>
            <b/>
            <sz val="10"/>
            <color indexed="81"/>
            <rFont val="Tahoma"/>
            <family val="2"/>
          </rPr>
          <t>Lam Pham Duc (QLRR - QLRRTTTK RRTT&amp;LSSNH): MSB</t>
        </r>
        <r>
          <rPr>
            <sz val="10"/>
            <color indexed="81"/>
            <rFont val="Tahoma"/>
            <family val="2"/>
          </rPr>
          <t xml:space="preserve">
</t>
        </r>
      </text>
    </comment>
    <comment ref="H18" authorId="1" shapeId="0" xr:uid="{260DAF31-F9D2-40DA-8E00-4A2BBD8BD03B}">
      <text>
        <r>
          <rPr>
            <b/>
            <sz val="10"/>
            <color indexed="81"/>
            <rFont val="Tahoma"/>
            <family val="2"/>
          </rPr>
          <t>Lam Pham Duc (QLRR - QLRRTTTK RRTT&amp;LSSNH):</t>
        </r>
        <r>
          <rPr>
            <sz val="10"/>
            <color indexed="81"/>
            <rFont val="Tahoma"/>
            <family val="2"/>
          </rPr>
          <t xml:space="preserve">
SBV
</t>
        </r>
      </text>
    </comment>
    <comment ref="G19" authorId="0" shapeId="0" xr:uid="{7349A665-1FA7-492B-82DC-14BEE318C98D}">
      <text>
        <r>
          <rPr>
            <b/>
            <sz val="9"/>
            <color indexed="81"/>
            <rFont val="Tahoma"/>
            <family val="2"/>
          </rPr>
          <t>Thao Tran Thi Phuong (QLRR-TTTK):</t>
        </r>
        <r>
          <rPr>
            <sz val="9"/>
            <color indexed="81"/>
            <rFont val="Tahoma"/>
            <family val="2"/>
          </rPr>
          <t xml:space="preserve">
FNRP</t>
        </r>
      </text>
    </comment>
    <comment ref="H19" authorId="0" shapeId="0" xr:uid="{FAD5105E-1ABF-4598-9CDF-EABD2C3A9083}">
      <text>
        <r>
          <rPr>
            <b/>
            <sz val="9"/>
            <color indexed="81"/>
            <rFont val="Tahoma"/>
            <family val="2"/>
          </rPr>
          <t>Thao Tran Thi Phuong (QLRR-TTTK):</t>
        </r>
        <r>
          <rPr>
            <sz val="9"/>
            <color indexed="81"/>
            <rFont val="Tahoma"/>
            <family val="2"/>
          </rPr>
          <t xml:space="preserve">
RP_SEC_POS</t>
        </r>
      </text>
    </comment>
    <comment ref="G20" authorId="0" shapeId="0" xr:uid="{39499653-8F05-45A1-ACB2-9B22A5812EAE}">
      <text>
        <r>
          <rPr>
            <b/>
            <sz val="9"/>
            <color indexed="81"/>
            <rFont val="Tahoma"/>
            <family val="2"/>
          </rPr>
          <t>Thao Tran Thi Phuong (QLRR-TTTK):</t>
        </r>
        <r>
          <rPr>
            <sz val="9"/>
            <color indexed="81"/>
            <rFont val="Tahoma"/>
            <family val="2"/>
          </rPr>
          <t xml:space="preserve">
FNRP</t>
        </r>
      </text>
    </comment>
    <comment ref="H20" authorId="0" shapeId="0" xr:uid="{00E1D98C-D372-48C7-AECC-709CC684C6BB}">
      <text>
        <r>
          <rPr>
            <b/>
            <sz val="9"/>
            <color indexed="81"/>
            <rFont val="Tahoma"/>
            <family val="2"/>
          </rPr>
          <t>Thao Tran Thi Phuong (QLRR-TTTK):</t>
        </r>
        <r>
          <rPr>
            <sz val="9"/>
            <color indexed="81"/>
            <rFont val="Tahoma"/>
            <family val="2"/>
          </rPr>
          <t xml:space="preserve">
(RPT - 1) - Dealps Sell + Dealps Buy - Deleted Deal</t>
        </r>
      </text>
    </comment>
    <comment ref="G23" authorId="0" shapeId="0" xr:uid="{5775E936-8F1D-4982-8860-92DABD27D870}">
      <text>
        <r>
          <rPr>
            <b/>
            <sz val="9"/>
            <color indexed="81"/>
            <rFont val="Tahoma"/>
            <family val="2"/>
          </rPr>
          <t>Thao Tran Thi Phuong (QLRR-TTTK):</t>
        </r>
        <r>
          <rPr>
            <sz val="9"/>
            <color indexed="81"/>
            <rFont val="Tahoma"/>
            <family val="2"/>
          </rPr>
          <t xml:space="preserve">
FNRP</t>
        </r>
      </text>
    </comment>
    <comment ref="H23" authorId="0" shapeId="0" xr:uid="{3FE13CE6-C377-4D94-BF1D-29AC0F340EDD}">
      <text>
        <r>
          <rPr>
            <b/>
            <sz val="9"/>
            <color indexed="81"/>
            <rFont val="Tahoma"/>
            <family val="2"/>
          </rPr>
          <t>Thao Tran Thi Phuong (QLRR-TTTK):</t>
        </r>
        <r>
          <rPr>
            <sz val="9"/>
            <color indexed="81"/>
            <rFont val="Tahoma"/>
            <family val="2"/>
          </rPr>
          <t xml:space="preserve">
RP_SEC_POS</t>
        </r>
      </text>
    </comment>
    <comment ref="G24" authorId="0" shapeId="0" xr:uid="{BCC8B75F-8D11-46D4-86EE-A20F1A5B2582}">
      <text>
        <r>
          <rPr>
            <b/>
            <sz val="9"/>
            <color indexed="81"/>
            <rFont val="Tahoma"/>
            <family val="2"/>
          </rPr>
          <t>Thao Tran Thi Phuong (QLRR-TTTK):</t>
        </r>
        <r>
          <rPr>
            <sz val="9"/>
            <color indexed="81"/>
            <rFont val="Tahoma"/>
            <family val="2"/>
          </rPr>
          <t xml:space="preserve">
FNRP</t>
        </r>
      </text>
    </comment>
    <comment ref="H24" authorId="0" shapeId="0" xr:uid="{96D0A07E-8719-4D98-BC2F-B4B39D0CC246}">
      <text>
        <r>
          <rPr>
            <b/>
            <sz val="9"/>
            <color indexed="81"/>
            <rFont val="Tahoma"/>
            <family val="2"/>
          </rPr>
          <t>Thao Tran Thi Phuong (QLRR-TTTK):</t>
        </r>
        <r>
          <rPr>
            <sz val="9"/>
            <color indexed="81"/>
            <rFont val="Tahoma"/>
            <family val="2"/>
          </rPr>
          <t xml:space="preserve">
(RPT - 1) - Dealps Sell + Dealps Buy - Deleted Deal</t>
        </r>
      </text>
    </comment>
    <comment ref="G27" authorId="0" shapeId="0" xr:uid="{BEA07610-0190-4D96-877F-31F34367B573}">
      <text>
        <r>
          <rPr>
            <b/>
            <sz val="9"/>
            <color indexed="81"/>
            <rFont val="Tahoma"/>
            <family val="2"/>
          </rPr>
          <t>Thao Tran Thi Phuong (QLRR-TTTK):</t>
        </r>
        <r>
          <rPr>
            <sz val="9"/>
            <color indexed="81"/>
            <rFont val="Tahoma"/>
            <family val="2"/>
          </rPr>
          <t xml:space="preserve">
Rpt</t>
        </r>
      </text>
    </comment>
    <comment ref="H27" authorId="0" shapeId="0" xr:uid="{0943C814-4DDA-4E1E-9690-DABD44B4DD95}">
      <text>
        <r>
          <rPr>
            <b/>
            <sz val="9"/>
            <color indexed="81"/>
            <rFont val="Tahoma"/>
            <family val="2"/>
          </rPr>
          <t>Thao Tran Thi Phuong (QLRR-TTTK):</t>
        </r>
        <r>
          <rPr>
            <sz val="9"/>
            <color indexed="81"/>
            <rFont val="Tahoma"/>
            <family val="2"/>
          </rPr>
          <t xml:space="preserve">
Rpt - 1</t>
        </r>
      </text>
    </comment>
    <comment ref="G47" authorId="0" shapeId="0" xr:uid="{10F9ECD0-D1CB-4F49-AF36-12D0079474FA}">
      <text>
        <r>
          <rPr>
            <b/>
            <sz val="9"/>
            <color indexed="81"/>
            <rFont val="Tahoma"/>
            <family val="2"/>
          </rPr>
          <t>Thao Tran Thi Phuong (QLRR-TTTK):</t>
        </r>
        <r>
          <rPr>
            <sz val="9"/>
            <color indexed="81"/>
            <rFont val="Tahoma"/>
            <family val="2"/>
          </rPr>
          <t xml:space="preserve">
Actual PnL</t>
        </r>
      </text>
    </comment>
    <comment ref="H47" authorId="0" shapeId="0" xr:uid="{216F30EB-EE32-45AB-B6C5-F92169978E03}">
      <text>
        <r>
          <rPr>
            <b/>
            <sz val="9"/>
            <color indexed="81"/>
            <rFont val="Tahoma"/>
            <family val="2"/>
          </rPr>
          <t>Thao Tran Thi Phuong (QLRR-TTTK):</t>
        </r>
        <r>
          <rPr>
            <sz val="9"/>
            <color indexed="81"/>
            <rFont val="Tahoma"/>
            <family val="2"/>
          </rPr>
          <t xml:space="preserve">
VaR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Windows User</author>
  </authors>
  <commentList>
    <comment ref="CN1" authorId="0" shapeId="0" xr:uid="{622DC5F7-7AA0-4D3B-81C3-72C4CA947AEE}">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EN1" authorId="0" shapeId="0" xr:uid="{B89EB249-FE97-4C7D-A2DE-5ED3ED90B7D2}">
      <text>
        <r>
          <rPr>
            <b/>
            <sz val="9"/>
            <color indexed="81"/>
            <rFont val="Tahoma"/>
            <family val="2"/>
          </rPr>
          <t>Thao Tran Thi Phuong (QLRR-TTTK):</t>
        </r>
        <r>
          <rPr>
            <sz val="9"/>
            <color indexed="81"/>
            <rFont val="Tahoma"/>
            <family val="2"/>
          </rPr>
          <t xml:space="preserve">
hao Tran Thi Phuong (QLRR-TTTK):
Ngày KB số 3 và 13 MHCC tính nằm trong KB số bao nhiêu trong tool tự tính</t>
        </r>
      </text>
    </comment>
    <comment ref="DS3" authorId="1" shapeId="0" xr:uid="{00000000-0006-0000-0B00-000001000000}">
      <text>
        <r>
          <rPr>
            <b/>
            <sz val="9"/>
            <color indexed="81"/>
            <rFont val="Tahoma"/>
            <family val="2"/>
          </rPr>
          <t>Windows User:</t>
        </r>
        <r>
          <rPr>
            <sz val="9"/>
            <color indexed="81"/>
            <rFont val="Tahoma"/>
            <family val="2"/>
          </rPr>
          <t xml:space="preserve">
chỉ tiêu này ở tool cũ đang tính sai do làm thủ công.</t>
        </r>
      </text>
    </comment>
    <comment ref="CN8" authorId="0" shapeId="0" xr:uid="{2074A629-C4E8-458E-B83A-9853FE117937}">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 ref="CN15" authorId="0" shapeId="0" xr:uid="{8ACDEC0C-EF94-4606-B92A-A7B87AA72725}">
      <text>
        <r>
          <rPr>
            <b/>
            <sz val="9"/>
            <color indexed="81"/>
            <rFont val="Tahoma"/>
            <family val="2"/>
          </rPr>
          <t>Thao Tran Thi Phuong (QLRR-TTTK):</t>
        </r>
        <r>
          <rPr>
            <sz val="9"/>
            <color indexed="81"/>
            <rFont val="Tahoma"/>
            <family val="2"/>
          </rPr>
          <t xml:space="preserve">
Ngày KB số 3 và 13 MHCC tính nằm trong KB số bao nhiêu trong tool tự tính</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AP2" authorId="0" shapeId="0" xr:uid="{00000000-0006-0000-0C00-000001000000}">
      <text>
        <r>
          <rPr>
            <b/>
            <sz val="9"/>
            <color indexed="81"/>
            <rFont val="Tahoma"/>
            <family val="2"/>
          </rPr>
          <t>Windows User:</t>
        </r>
        <r>
          <rPr>
            <sz val="9"/>
            <color indexed="81"/>
            <rFont val="Tahoma"/>
            <family val="2"/>
          </rPr>
          <t xml:space="preserve">
các nôi dung này tool cũ tính đang sai</t>
        </r>
      </text>
    </comment>
    <comment ref="AP13" authorId="0" shapeId="0" xr:uid="{00000000-0006-0000-0C00-000002000000}">
      <text>
        <r>
          <rPr>
            <b/>
            <sz val="9"/>
            <color indexed="81"/>
            <rFont val="Tahoma"/>
            <family val="2"/>
          </rPr>
          <t>Windows User:</t>
        </r>
        <r>
          <rPr>
            <sz val="9"/>
            <color indexed="81"/>
            <rFont val="Tahoma"/>
            <family val="2"/>
          </rPr>
          <t xml:space="preserve">
các nôi dung này tool cũ tính đang sai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AI11" authorId="0" shapeId="0" xr:uid="{5C5A5D3A-2E4A-4B56-9B17-6BDFE51F2303}">
      <text>
        <r>
          <rPr>
            <b/>
            <sz val="9"/>
            <color indexed="81"/>
            <rFont val="Tahoma"/>
            <family val="2"/>
          </rPr>
          <t>Thao Tran Thi Phuong (QLRR-TTTK):</t>
        </r>
        <r>
          <rPr>
            <sz val="9"/>
            <color indexed="81"/>
            <rFont val="Tahoma"/>
            <family val="2"/>
          </rPr>
          <t xml:space="preserve">
tính = 2 cách
- cách 1 = rpbod3 + value trong tháng
- cách 2 = rp_sec_pos - value trong các tháng sau</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Thao Tran Thi Phuong (QLRR-TTTK)</author>
  </authors>
  <commentList>
    <comment ref="S1" authorId="0" shapeId="0" xr:uid="{68CDC49A-A3B2-4315-9FBC-39339EDF5CDC}">
      <text>
        <r>
          <rPr>
            <b/>
            <sz val="9"/>
            <color indexed="81"/>
            <rFont val="Tahoma"/>
            <family val="2"/>
          </rPr>
          <t>Thao Tran Thi Phuong (QLRR-TTTK):</t>
        </r>
        <r>
          <rPr>
            <sz val="9"/>
            <color indexed="81"/>
            <rFont val="Tahoma"/>
            <family val="2"/>
          </rPr>
          <t xml:space="preserve">
ItD điều chỉnh các deal công nợ gửi giá,
ItD điều chỉnh PTCK đã phân bổ
=&gt; Công thức lọc tìm deal công nợ
- Công nợ: MtM - MtM tại ngày phát sinh
- K phải công nợ: MtM - PTCK còn lại - mệnh giá</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342B9E-EE4D-4BE4-8CB9-0513DB6EEAB0}" keepAlive="1" name="Query - Aution" description="Connection to the 'Aution' query in the workbook." type="5" refreshedVersion="8" background="1" saveData="1">
    <dbPr connection="Provider=Microsoft.Mashup.OleDb.1;Data Source=$Workbook$;Location=Aution;Extended Properties=&quot;&quot;" command="SELECT * FROM [Aution]"/>
  </connection>
  <connection id="2" xr16:uid="{00000000-0015-0000-FFFF-FFFF00000000}" keepAlive="1" name="Query - Bankingbook_MSB" description="Connection to the 'Bankingbook_MSB' query in the workbook." type="5" refreshedVersion="8" background="1" saveData="1">
    <dbPr connection="Provider=Microsoft.Mashup.OleDb.1;Data Source=$Workbook$;Location=Bankingbook_MSB;Extended Properties=&quot;&quot;" command="SELECT * FROM [Bankingbook_MSB]"/>
  </connection>
  <connection id="3" xr16:uid="{00000000-0015-0000-FFFF-FFFF01000000}" keepAlive="1" name="Query - Bankingbook_SBV" description="Connection to the 'Bankingbook_SBV' query in the workbook." type="5" refreshedVersion="8" saveData="1">
    <dbPr connection="Provider=Microsoft.Mashup.OleDb.1;Data Source=$Workbook$;Location=Bankingbook_SBV;Extended Properties=&quot;&quot;" command="SELECT * FROM [Bankingbook_SBV]"/>
  </connection>
  <connection id="4" xr16:uid="{2D97A5A3-9D22-42F0-A61A-A611781A465B}" keepAlive="1" name="Query - Bond Last Tradingdate" description="Connection to the 'Bond Last Tradingdate' query in the workbook." type="5" refreshedVersion="8" background="1" saveData="1">
    <dbPr connection="Provider=Microsoft.Mashup.OleDb.1;Data Source=$Workbook$;Location=&quot;Bond Last Tradingdate&quot;;Extended Properties=&quot;&quot;" command="SELECT * FROM [Bond Last Tradingdate]"/>
  </connection>
  <connection id="5" xr16:uid="{02783D45-A6F2-4B27-B508-B26EE4D83823}" keepAlive="1" name="Query - Buy price" description="Connection to the 'Buy price' query in the workbook." type="5" refreshedVersion="0" background="1">
    <dbPr connection="Provider=Microsoft.Mashup.OleDb.1;Data Source=$Workbook$;Location=&quot;Buy price&quot;;Extended Properties=&quot;&quot;" command="SELECT * FROM [Buy price]"/>
  </connection>
  <connection id="6" xr16:uid="{0578324B-640D-4350-B2A1-3935B1D9AEAA}" keepAlive="1" name="Query - Buy unvalid" description="Connection to the 'Buy unvalid' query in the workbook." type="5" refreshedVersion="8" background="1" saveData="1">
    <dbPr connection="Provider=Microsoft.Mashup.OleDb.1;Data Source=$Workbook$;Location=&quot;Buy unvalid&quot;;Extended Properties=&quot;&quot;" command="SELECT * FROM [Buy unvalid]"/>
  </connection>
  <connection id="7" xr16:uid="{00000000-0015-0000-FFFF-FFFF03000000}" keepAlive="1" name="Query - Data53_PnL" description="Connection to the 'Data53_PnL' query in the workbook." type="5" refreshedVersion="8" background="1" saveData="1">
    <dbPr connection="Provider=Microsoft.Mashup.OleDb.1;Data Source=$Workbook$;Location=Data53_PnL;Extended Properties=&quot;&quot;" command="SELECT * FROM [Data53_PnL]"/>
  </connection>
  <connection id="8" xr16:uid="{00000000-0015-0000-FFFF-FFFF04000000}" keepAlive="1" name="Query - Data53_PV01" description="Connection to the 'Data53_PV01' query in the workbook." type="5" refreshedVersion="8" background="1" saveData="1">
    <dbPr connection="Provider=Microsoft.Mashup.OleDb.1;Data Source=$Workbook$;Location=Data53_PV01;Extended Properties=&quot;&quot;" command="SELECT * FROM [Data53_PV01]"/>
  </connection>
  <connection id="9" xr16:uid="{92648017-E4DC-46D1-9829-8123A309FA11}" keepAlive="1" name="Query - Deal_delete" description="Connection to the 'Deal_delete' query in the workbook." type="5" refreshedVersion="8" background="1" saveData="1">
    <dbPr connection="Provider=Microsoft.Mashup.OleDb.1;Data Source=$Workbook$;Location=Deal_delete;Extended Properties=&quot;&quot;" command="SELECT * FROM [Deal_delete]"/>
  </connection>
  <connection id="10" xr16:uid="{846AE7D9-CED5-47B4-A4C5-A5458AD3D36D}" keepAlive="1" name="Query - Deal_fix" description="Connection to the 'Deal_fix' query in the workbook." type="5" refreshedVersion="8" background="1" saveData="1">
    <dbPr connection="Provider=Microsoft.Mashup.OleDb.1;Data Source=$Workbook$;Location=Deal_fix;Extended Properties=&quot;&quot;" command="SELECT * FROM [Deal_fix]"/>
  </connection>
  <connection id="11" xr16:uid="{C5354418-1008-4AD9-9FC1-40C684B156FC}" keepAlive="1" name="Query - Est NIM" description="Connection to the 'Est NIM' query in the workbook." type="5" refreshedVersion="0" background="1">
    <dbPr connection="Provider=Microsoft.Mashup.OleDb.1;Data Source=$Workbook$;Location=&quot;Est NIM&quot;;Extended Properties=&quot;&quot;" command="SELECT * FROM [Est NIM]"/>
  </connection>
  <connection id="12" xr16:uid="{26A1803A-8528-4300-81BC-568B9632C1DF}" keepAlive="1" name="Query - Est NIM1" description="Connection to the 'Est NIM' query in the workbook." type="5" refreshedVersion="8" background="1" saveData="1">
    <dbPr connection="Provider=Microsoft.Mashup.OleDb.1;Data Source=$Workbook$;Location=&quot;Est NIM&quot;;Extended Properties=&quot;&quot;" command="SELECT * FROM [Est NIM]"/>
  </connection>
  <connection id="13" xr16:uid="{00000000-0015-0000-FFFF-FFFF06000000}" keepAlive="1" name="Query - FNRP_Future" description="Connection to the 'FNRP_Future' query in the workbook." type="5" refreshedVersion="8" background="1" saveData="1">
    <dbPr connection="Provider=Microsoft.Mashup.OleDb.1;Data Source=$Workbook$;Location=FNRP_Future;Extended Properties=&quot;&quot;" command="SELECT * FROM [FNRP_Future]"/>
  </connection>
  <connection id="14" xr16:uid="{8E1B0187-5488-4BAB-9F2A-9FE8BB3293D6}" keepAlive="1" name="Query - FNRP_Repo" description="Connection to the 'FNRP_Repo' query in the workbook." type="5" refreshedVersion="8" background="1" saveData="1">
    <dbPr connection="Provider=Microsoft.Mashup.OleDb.1;Data Source=$Workbook$;Location=FNRP_Repo;Extended Properties=&quot;&quot;" command="SELECT * FROM [FNRP_Repo]"/>
  </connection>
  <connection id="15" xr16:uid="{000B92ED-C575-41A4-8700-22F36530F638}" keepAlive="1" name="Query - Giam sat yesterday" description="Connection to the 'Giam sat yesterday' query in the workbook." type="5" refreshedVersion="8" background="1" saveData="1">
    <dbPr connection="Provider=Microsoft.Mashup.OleDb.1;Data Source=$Workbook$;Location=&quot;Giam sat yesterday&quot;;Extended Properties=&quot;&quot;" command="SELECT * FROM [Giam sat yesterday]"/>
  </connection>
  <connection id="16" xr16:uid="{056EC77F-0321-42CC-8A1A-13C1AE74EDBA}" keepAlive="1" name="Query - His funding cost" description="Connection to the 'His funding cost' query in the workbook." type="5" refreshedVersion="8" background="1" saveData="1">
    <dbPr connection="Provider=Microsoft.Mashup.OleDb.1;Data Source=$Workbook$;Location=&quot;His funding cost&quot;;Extended Properties=&quot;&quot;" command="SELECT * FROM [His funding cost]"/>
  </connection>
  <connection id="17" xr16:uid="{186ABD66-3F62-4520-BF2B-267FB41F795E}" keepAlive="1" name="Query - His NPT" description="Connection to the 'His NPT' query in the workbook." type="5" refreshedVersion="8" background="1" saveData="1">
    <dbPr connection="Provider=Microsoft.Mashup.OleDb.1;Data Source=$Workbook$;Location=&quot;His NPT&quot;;Extended Properties=&quot;&quot;" command="SELECT * FROM [His NPT]"/>
  </connection>
  <connection id="18" xr16:uid="{00000000-0015-0000-FFFF-FFFF0A000000}" keepAlive="1" name="Query - His pos" description="Connection to the 'His pos' query in the workbook." type="5" refreshedVersion="8" background="1" saveData="1">
    <dbPr connection="Provider=Microsoft.Mashup.OleDb.1;Data Source=$Workbook$;Location=&quot;His pos&quot;;Extended Properties=&quot;&quot;" command="SELECT * FROM [His pos]"/>
  </connection>
  <connection id="19" xr16:uid="{01DAF38D-D58F-45A6-84D8-D91F26B6FA2B}" keepAlive="1" name="Query - His pos BB" description="Connection to the 'His pos BB' query in the workbook." type="5" refreshedVersion="8" background="1" saveData="1">
    <dbPr connection="Provider=Microsoft.Mashup.OleDb.1;Data Source=$Workbook$;Location=&quot;His pos BB&quot;;Extended Properties=&quot;&quot;" command="SELECT * FROM [His pos BB]"/>
  </connection>
  <connection id="20" xr16:uid="{1F9E189A-473A-47F4-9A67-B7B3CE5E3D09}" keepAlive="1" name="Query - His yield bq" description="Connection to the 'His yield bq' query in the workbook." type="5" refreshedVersion="8" background="1" saveData="1">
    <dbPr connection="Provider=Microsoft.Mashup.OleDb.1;Data Source=$Workbook$;Location=&quot;His yield bq&quot;;Extended Properties=&quot;&quot;" command="SELECT * FROM [His yield bq]"/>
  </connection>
  <connection id="21" xr16:uid="{00000000-0015-0000-FFFF-FFFF0B000000}" keepAlive="1" name="Query - His53_BB_MSB" description="Connection to the 'His53_BB_MSB' query in the workbook." type="5" refreshedVersion="8" background="1" saveData="1">
    <dbPr connection="Provider=Microsoft.Mashup.OleDb.1;Data Source=$Workbook$;Location=His53_BB_MSB;Extended Properties=&quot;&quot;" command="SELECT * FROM [His53_BB_MSB]"/>
  </connection>
  <connection id="22" xr16:uid="{00000000-0015-0000-FFFF-FFFF0C000000}" keepAlive="1" name="Query - His53_BB_SBV" description="Connection to the 'His53_BB_SBV' query in the workbook." type="5" refreshedVersion="8" background="1" saveData="1">
    <dbPr connection="Provider=Microsoft.Mashup.OleDb.1;Data Source=$Workbook$;Location=His53_BB_SBV;Extended Properties=&quot;&quot;" command="SELECT * FROM [His53_BB_SBV]"/>
  </connection>
  <connection id="23" xr16:uid="{00000000-0015-0000-FFFF-FFFF0D000000}" keepAlive="1" name="Query - His53_TB_SBV" description="Connection to the 'His53_TB_SBV' query in the workbook." type="5" refreshedVersion="8" background="1" saveData="1">
    <dbPr connection="Provider=Microsoft.Mashup.OleDb.1;Data Source=$Workbook$;Location=His53_TB_SBV;Extended Properties=&quot;&quot;" command="SELECT * FROM [His53_TB_SBV]"/>
  </connection>
  <connection id="24" xr16:uid="{A7929E8D-5029-4CED-9B8C-EF5CC4341FA4}" keepAlive="1" name="Query - Mapping deal" description="Connection to the 'Mapping deal' query in the workbook." type="5" refreshedVersion="8" background="1" saveData="1">
    <dbPr connection="Provider=Microsoft.Mashup.OleDb.1;Data Source=$Workbook$;Location=&quot;Mapping deal&quot;;Extended Properties=&quot;&quot;" command="SELECT * FROM [Mapping deal]"/>
  </connection>
  <connection id="25" xr16:uid="{9604D189-6441-4D93-BA77-32A12CB41F1F}" keepAlive="1" name="Query - Mapping sell Unrealized" description="Connection to the 'Mapping sell Unrealized' query in the workbook." type="5" refreshedVersion="8" background="1" saveData="1">
    <dbPr connection="Provider=Microsoft.Mashup.OleDb.1;Data Source=$Workbook$;Location=&quot;Mapping sell Unrealized&quot;;Extended Properties=&quot;&quot;" command="SELECT * FROM [Mapping sell Unrealized]"/>
  </connection>
  <connection id="26" xr16:uid="{83744525-1EA8-49B1-BA06-735457128B9D}" keepAlive="1" name="Query - MM" description="Connection to the 'MM' query in the workbook." type="5" refreshedVersion="8" background="1" saveData="1">
    <dbPr connection="Provider=Microsoft.Mashup.OleDb.1;Data Source=$Workbook$;Location=MM;Extended Properties=&quot;&quot;" command="SELECT * FROM [MM]"/>
  </connection>
  <connection id="27" xr16:uid="{00000000-0015-0000-FFFF-FFFF10000000}" keepAlive="1" name="Query - Newdeals" description="Connection to the 'Newdeals' query in the workbook." type="5" refreshedVersion="8" background="1" saveData="1">
    <dbPr connection="Provider=Microsoft.Mashup.OleDb.1;Data Source=$Workbook$;Location=Newdeals;Extended Properties=&quot;&quot;" command="SELECT * FROM [Newdeals]"/>
  </connection>
  <connection id="28" xr16:uid="{8704562D-5F49-439E-B808-7CC3067FCCB8}" keepAlive="1" name="Query - OMO" description="Connection to the 'OMO' query in the workbook." type="5" refreshedVersion="8" background="1" saveData="1">
    <dbPr connection="Provider=Microsoft.Mashup.OleDb.1;Data Source=$Workbook$;Location=OMO;Extended Properties=&quot;&quot;" command="SELECT * FROM [OMO]"/>
  </connection>
  <connection id="29" xr16:uid="{00000000-0015-0000-FFFF-FFFF11000000}" keepAlive="1" name="Query - On_off_ngoai bs" description="Connection to the 'On_off_ngoai bs' query in the workbook." type="5" refreshedVersion="8" background="1" saveData="1">
    <dbPr connection="Provider=Microsoft.Mashup.OleDb.1;Data Source=$Workbook$;Location=&quot;On_off_ngoai bs&quot;;Extended Properties=&quot;&quot;" command="SELECT * FROM [On_off_ngoai bs]"/>
  </connection>
  <connection id="30" xr16:uid="{DB4BC583-5B97-428E-8730-8950917FBA6D}" keepAlive="1" name="Query - Outright" description="Connection to the 'Outright' query in the workbook." type="5" refreshedVersion="8" background="1" saveData="1">
    <dbPr connection="Provider=Microsoft.Mashup.OleDb.1;Data Source=$Workbook$;Location=Outright;Extended Properties=&quot;&quot;" command="SELECT * FROM [Outright]"/>
  </connection>
  <connection id="31" xr16:uid="{A4555B2A-96F6-4BDA-95E7-3F9F99E18F18}" keepAlive="1" name="Query - Outstanding pos_BB_MSB" description="Connection to the 'Outstanding pos_BB_MSB' query in the workbook." type="5" refreshedVersion="8" background="1" saveData="1">
    <dbPr connection="Provider=Microsoft.Mashup.OleDb.1;Data Source=$Workbook$;Location=&quot;Outstanding pos_BB_MSB&quot;;Extended Properties=&quot;&quot;" command="SELECT * FROM [Outstanding pos_BB_MSB]"/>
  </connection>
  <connection id="32" xr16:uid="{00000000-0015-0000-FFFF-FFFF14000000}" keepAlive="1" name="Query - Outstanding pos_BB_SBV" description="Connection to the 'Outstanding pos_BB_SBV' query in the workbook." type="5" refreshedVersion="8" background="1" saveData="1">
    <dbPr connection="Provider=Microsoft.Mashup.OleDb.1;Data Source=$Workbook$;Location=&quot;Outstanding pos_BB_SBV&quot;;Extended Properties=&quot;&quot;" command="SELECT * FROM [Outstanding pos_BB_SBV]"/>
  </connection>
  <connection id="33" xr16:uid="{00000000-0015-0000-FFFF-FFFF16000000}" keepAlive="1" name="Query - Outstanding pos_TB_MSB" description="Connection to the 'Outstanding pos_TB_MSB' query in the workbook." type="5" refreshedVersion="8" background="1" saveData="1">
    <dbPr connection="Provider=Microsoft.Mashup.OleDb.1;Data Source=$Workbook$;Location=&quot;Outstanding pos_TB_MSB&quot;;Extended Properties=&quot;&quot;" command="SELECT * FROM [Outstanding pos_TB_MSB]"/>
  </connection>
  <connection id="34" xr16:uid="{00000000-0015-0000-FFFF-FFFF15000000}" keepAlive="1" name="Query - Outstanding pos_TB_SBV" description="Connection to the 'Outstanding pos_TB_SBV' query in the workbook." type="5" refreshedVersion="8" background="1" saveData="1">
    <dbPr connection="Provider=Microsoft.Mashup.OleDb.1;Data Source=$Workbook$;Location=&quot;Outstanding pos_TB_SBV&quot;;Extended Properties=&quot;&quot;" command="SELECT * FROM [Outstanding pos_TB_SBV]"/>
  </connection>
  <connection id="35" xr16:uid="{00000000-0015-0000-FFFF-FFFF19000000}" keepAlive="1" name="Query - Param" description="Connection to the 'Param' query in the workbook." type="5" refreshedVersion="0" background="1">
    <dbPr connection="Provider=Microsoft.Mashup.OleDb.1;Data Source=$Workbook$;Location=Param;Extended Properties=&quot;&quot;" command="SELECT * FROM [Param]"/>
  </connection>
  <connection id="36" xr16:uid="{907C0507-BF80-45A8-9CE9-26B3DC33EE7F}" keepAlive="1" name="Query - PTCK offBS" description="Connection to the 'PTCK offBS' query in the workbook." type="5" refreshedVersion="8" background="1" saveData="1">
    <dbPr connection="Provider=Microsoft.Mashup.OleDb.1;Data Source=$Workbook$;Location=&quot;PTCK offBS&quot;;Extended Properties=&quot;&quot;" command="SELECT * FROM [PTCK offBS]"/>
  </connection>
  <connection id="37" xr16:uid="{00000000-0015-0000-FFFF-FFFF1A000000}" keepAlive="1" name="Query - PTCK on BS" description="Connection to the 'PTCK on BS' query in the workbook." type="5" refreshedVersion="8" background="1" saveData="1">
    <dbPr connection="Provider=Microsoft.Mashup.OleDb.1;Data Source=$Workbook$;Location=&quot;PTCK on BS&quot;;Extended Properties=&quot;&quot;" command="SELECT * FROM [PTCK on BS]"/>
  </connection>
  <connection id="38" xr16:uid="{FF30F05F-1582-43CC-A9BF-4DDDF74A96EC}" keepAlive="1" name="Query - Repo" description="Connection to the 'Repo' query in the workbook." type="5" refreshedVersion="8" background="1" saveData="1">
    <dbPr connection="Provider=Microsoft.Mashup.OleDb.1;Data Source=$Workbook$;Location=Repo;Extended Properties=&quot;&quot;" command="SELECT * FROM [Repo]"/>
  </connection>
  <connection id="39" xr16:uid="{D127354B-699B-4604-A8AF-F5D67D83860A}" keepAlive="1" name="Query - Repo TD" description="Connection to the 'Repo TD' query in the workbook." type="5" refreshedVersion="8" background="1" saveData="1">
    <dbPr connection="Provider=Microsoft.Mashup.OleDb.1;Data Source=$Workbook$;Location=&quot;Repo TD&quot;;Extended Properties=&quot;&quot;" command="SELECT * FROM [Repo TD]"/>
  </connection>
  <connection id="40" xr16:uid="{D6103FCA-260F-445F-A4D0-57A3C4E60BEC}" keepAlive="1" name="Query - RPBOD3" description="Connection to the 'RPBOD3' query in the workbook." type="5" refreshedVersion="8" background="1" saveData="1">
    <dbPr connection="Provider=Microsoft.Mashup.OleDb.1;Data Source=$Workbook$;Location=RPBOD3;Extended Properties=&quot;&quot;" command="SELECT * FROM [RPBOD3]"/>
  </connection>
  <connection id="41" xr16:uid="{1ED66DB5-4AB7-4676-81EF-C424A284D985}" keepAlive="1" name="Query - Sell unvalid" description="Connection to the 'Sell unvalid' query in the workbook." type="5" refreshedVersion="8" background="1" saveData="1">
    <dbPr connection="Provider=Microsoft.Mashup.OleDb.1;Data Source=$Workbook$;Location=&quot;Sell unvalid&quot;;Extended Properties=&quot;&quot;" command="SELECT * FROM [Sell unvalid]"/>
  </connection>
  <connection id="42" xr16:uid="{2370D589-864C-474F-89A6-45FAF7174875}" keepAlive="1" name="Query - Tradingbook_MSB" description="Connection to the 'Tradingbook_MSB' query in the workbook." type="5" refreshedVersion="8" background="1" saveData="1">
    <dbPr connection="Provider=Microsoft.Mashup.OleDb.1;Data Source=$Workbook$;Location=Tradingbook_MSB;Extended Properties=&quot;&quot;" command="SELECT * FROM [Tradingbook_MSB]"/>
  </connection>
  <connection id="43" xr16:uid="{00000000-0015-0000-FFFF-FFFF1C000000}" keepAlive="1" name="Query - Tradingbook_SBV" description="Connection to the 'Tradingbook_SBV' query in the workbook." type="5" refreshedVersion="8" background="1" saveData="1">
    <dbPr connection="Provider=Microsoft.Mashup.OleDb.1;Data Source=$Workbook$;Location=Tradingbook_SBV;Extended Properties=&quot;&quot;" command="SELECT * FROM [Tradingbook_SBV]"/>
  </connection>
  <connection id="44" xr16:uid="{3F9AF86B-168A-4A76-B1E5-559A4FA127C3}" keepAlive="1" name="Query - VaR Bond MHCC" description="Connection to the 'VaR Bond MHCC' query in the workbook." type="5" refreshedVersion="8" background="1" saveData="1">
    <dbPr connection="Provider=Microsoft.Mashup.OleDb.1;Data Source=$Workbook$;Location=&quot;VaR Bond MHCC&quot;;Extended Properties=&quot;&quot;" command="SELECT * FROM [VaR Bond MHCC]"/>
  </connection>
  <connection id="45" xr16:uid="{00000000-0015-0000-FFFF-FFFF1F000000}" keepAlive="1" name="Query - VaR_series" description="Connection to the 'VaR_series' query in the workbook." type="5" refreshedVersion="8" background="1" saveData="1">
    <dbPr connection="Provider=Microsoft.Mashup.OleDb.1;Data Source=$Workbook$;Location=VaR_series;Extended Properties=&quot;&quot;" command="SELECT * FROM [VaR_series]"/>
  </connection>
  <connection id="46" xr16:uid="{00000000-0015-0000-FFFF-FFFF20000000}" keepAlive="1" name="Query - VaR_yesterday" description="Connection to the 'VaR_yesterday' query in the workbook." type="5" refreshedVersion="8" background="1" saveData="1">
    <dbPr connection="Provider=Microsoft.Mashup.OleDb.1;Data Source=$Workbook$;Location=VaR_yesterday;Extended Properties=&quot;&quot;" command="SELECT * FROM [VaR_yesterday]"/>
  </connection>
  <connection id="47" xr16:uid="{00000000-0015-0000-FFFF-FFFF21000000}" keepAlive="1" name="Query - Yield" description="Connection to the 'Yield' query in the workbook." type="5" refreshedVersion="8" background="1" saveData="1">
    <dbPr connection="Provider=Microsoft.Mashup.OleDb.1;Data Source=$Workbook$;Location=Yield;Extended Properties=&quot;&quot;" command="SELECT * FROM [Yield]"/>
  </connection>
  <connection id="48" xr16:uid="{00000000-0015-0000-FFFF-FFFF22000000}" keepAlive="1" name="Query - Yield_1Y" description="Connection to the 'Yield_1Y' query in the workbook." type="5" refreshedVersion="8" background="1" saveData="1">
    <dbPr connection="Provider=Microsoft.Mashup.OleDb.1;Data Source=$Workbook$;Location=Yield_1Y;Extended Properties=&quot;&quot;" command="SELECT * FROM [Yield_1Y]"/>
  </connection>
  <connection id="49" xr16:uid="{00000000-0015-0000-FFFF-FFFF23000000}" keepAlive="1" name="Query - Yield_lastmonth" description="Connection to the 'Yield_lastmonth' query in the workbook." type="5" refreshedVersion="8" background="1" saveData="1">
    <dbPr connection="Provider=Microsoft.Mashup.OleDb.1;Data Source=$Workbook$;Location=Yield_lastmonth;Extended Properties=&quot;&quot;" command="SELECT * FROM [Yield_lastmonth]"/>
  </connection>
  <connection id="50" xr16:uid="{00000000-0015-0000-FFFF-FFFF24000000}" keepAlive="1" name="Query - Yield_lastyear" description="Connection to the 'Yield_lastyear' query in the workbook." type="5" refreshedVersion="8" background="1" saveData="1">
    <dbPr connection="Provider=Microsoft.Mashup.OleDb.1;Data Source=$Workbook$;Location=Yield_lastyear;Extended Properties=&quot;&quot;" command="SELECT * FROM [Yield_lastyear]"/>
  </connection>
  <connection id="51" xr16:uid="{00000000-0015-0000-FFFF-FFFF25000000}" keepAlive="1" name="Query - Yield_yesterday" description="Connection to the 'Yield_yesterday' query in the workbook." type="5" refreshedVersion="8" background="1" saveData="1">
    <dbPr connection="Provider=Microsoft.Mashup.OleDb.1;Data Source=$Workbook$;Location=Yield_yesterday;Extended Properties=&quot;&quot;" command="SELECT * FROM [Yield_yesterda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<sst xmlns="http://schemas.openxmlformats.org/spreadsheetml/2006/main" count="38364" uniqueCount="4540">
  <si>
    <t>STT</t>
  </si>
  <si>
    <t>Values</t>
  </si>
  <si>
    <t>Tool chạy đến bước:</t>
  </si>
  <si>
    <t>List bảng refresh</t>
  </si>
  <si>
    <t>Source_sheet</t>
  </si>
  <si>
    <t>Source_refresh</t>
  </si>
  <si>
    <t>Tham số</t>
  </si>
  <si>
    <t xml:space="preserve"> </t>
  </si>
  <si>
    <t>Summary</t>
  </si>
  <si>
    <t>Phân loại</t>
  </si>
  <si>
    <t>Type</t>
  </si>
  <si>
    <t>Sheet</t>
  </si>
  <si>
    <t>Ghi chú</t>
  </si>
  <si>
    <t>His.TB</t>
  </si>
  <si>
    <t>RPCOLL02</t>
  </si>
  <si>
    <t>REPO</t>
  </si>
  <si>
    <t>- Bị double dữ liệu ở 9 dòng cuối (bị cách bởi 2 dòng trắng nên khi copy paste bị sai)</t>
  </si>
  <si>
    <t>FI bond, CD, REPO</t>
  </si>
  <si>
    <t>Phân tích PnL</t>
  </si>
  <si>
    <t>Tính năng P&amp;L Explainer đã có dùng thử cho FX, chưa mở rộng ra dùng cho các sp khác.
Có thể cân nhắc dùng cho File bond tool, thay thế cho các customize/excel phân tích cấu phần PnL</t>
  </si>
  <si>
    <t>Item_Grp_1</t>
  </si>
  <si>
    <t>Item_Grp_2</t>
  </si>
  <si>
    <t>Yêu cầu</t>
  </si>
  <si>
    <t>Chi tiết</t>
  </si>
  <si>
    <t>Ưu điểm</t>
  </si>
  <si>
    <t>Nhược điểm</t>
  </si>
  <si>
    <t>Data</t>
  </si>
  <si>
    <t>Nguồn data</t>
  </si>
  <si>
    <t>Cố gắng đồng nhất cùng nguồn, ưu tiên nguồn từ các báo cáo Customize thay vì nguồn tự xuất K+</t>
  </si>
  <si>
    <t>- Chi tiết các báo cáo customized có thể thay thế báo cáo xuất từ K+ Yến đã cmt chi tiết theo từng tool công cụ trong đợt rà soát</t>
  </si>
  <si>
    <t>Không query dữ liệu từ các bảng, database của K+. Luôn đảm bảo dùng nguồn customized, tính năng chuẩn của K+, hoặc các nguồn data thay thế từ máy 53</t>
  </si>
  <si>
    <t>Auto Input</t>
  </si>
  <si>
    <t>- Ứng dụng nhiều nhất có thể Power query để load dữ liệu đầu vào</t>
  </si>
  <si>
    <t>- Giảm dung lượng file
- Không phải viết code VBA phức tạp</t>
  </si>
  <si>
    <t>- Version Excel thấp có thể không load được các bảng PW phức tạp -&gt; tuy nhiên với người mới ứng dụng các thao tác này cũng sẽ ít sd</t>
  </si>
  <si>
    <t>- Hiện tại các báo cáo hầu hết sử dụng input đầu vào là các file excel lấy từ WinSCP
- Hàng ngày các bạn GS có thao tác là vào WinSCP \ Copy vào 1 folder từ máy 53 
- Mỗi sp sẽ vào folder này và nhặt báo cáo của mình ra \ copy về folder báo cáo của mình
- Có nên chăng ko cần bước 3 nữa là link thẳng tool đến folder ở bước 2???</t>
  </si>
  <si>
    <t>Manual input</t>
  </si>
  <si>
    <t>- Các đầu vào là manual</t>
  </si>
  <si>
    <t>- Tránh được quên update or do bỏ sót</t>
  </si>
  <si>
    <t>- Hiện chỉ có phần NIM và VaR là manual, đang để chung với sheet Summary
- OK với cách thiết kế hiện tại, tuy nhiên nên để lên đầu và phía ngoài dễ nhìn thấy, or đặt double check để tránh quên</t>
  </si>
  <si>
    <t>Input ngày T-1</t>
  </si>
  <si>
    <t>- Các dữ liệu của ngày T-1 nhằm mục đích so sánh giữa 2 ngày</t>
  </si>
  <si>
    <t>- Nên ứng dụng Power query kéo dữ liệu trực tiếp từ tool công cụ ngày T-1 về, đặt tham số link file để thuận tiện khi thay đổi folder lưu trữ và chỉ lấy trường dữ liệu cần thiết để so sánh thay vì copy all dữ liệu như hiện nay</t>
  </si>
  <si>
    <t xml:space="preserve">- Không có </t>
  </si>
  <si>
    <t>Limit list</t>
  </si>
  <si>
    <t xml:space="preserve">- Limit all sản phẩm update chung lên 1 bảng máy 53
- All tool công cụ của các sản phẩm load từ bảng này về thực hiện giám sát
-&gt; Tận dụng các bảng Limits trên máy 53, làm đầu vào cho các tool báo cáo và phân tích </t>
  </si>
  <si>
    <t>- Rà soát danh sách dealer: nếu bảng dealer title chuẩn, được update thường xuyên thì em đã k cần so sánh với bản danh sách dealer gần nhất được lưu (file excel) mà rà soát luôn với data máy 53
- Update limit trên MLS: Khi cần cập nhật Limit trên MLS, phải kiểm tra bảng Limit MLS trên 53, để biết tên limit hiện có trên MLS là gì, dùng bảng Dealer_Limit_Criteria – nơi lưu trữ cho mình biết khi cập nhật limit để biết là cần trường gì khi update/ create limit trên MLS.
- Dataref có thể dừng ko dùng</t>
  </si>
  <si>
    <t>- Đồng bộ và thống nhất
- Khi có thay đổi về HM -&gt; limit tự động cập nhật, tránh sai sót, quên update</t>
  </si>
  <si>
    <t>- trước đây: tên limit từ bảng chung và từng file tool không thống nhất dẫn đến khó khăn trong việc matching
- Người chịu trách nhiệm update limit lên 53 khi thay đổi limit chậm trễ update dẫn đến ảnh hưởng đến giám sát</t>
  </si>
  <si>
    <t>- Hiện limit đang fix, cần update bản limit trên máy 53 và all sản phẩm kéo về từ bảng này</t>
  </si>
  <si>
    <t>Output đầu ra</t>
  </si>
  <si>
    <t xml:space="preserve">- Có sheet "All data" là tất cả các đầu ra cần có của báo cáo. Các Output này tham chiếu công thức tính toán từ các Input ở trên
- 1 sản phẩm cần : gồm các hạn mức gì, mức thực tế đang là bao nhiêu, sd % bao nhiêu rồi
</t>
  </si>
  <si>
    <t>- List các chỉ tiêu đầu ra của báo cáo cần có, tập trung tại 1 sheet output - "All data"
- Từ sheet "All data" này sẽ được phân bổ tiếp đến các phần liên quan " report", lưu His53, phân tích khác…
-&gt; Hiện bond có sheet summary, DR có sheet double check, tuy nhiên 2 sheet này chưa thực sự tóm tắt hết được các nội dung cần giám sát sản phẩm</t>
  </si>
  <si>
    <t>- Kiểm soát dữ liệu output từ 1 nguồn duy nhất, nếu có chỉnh sửa, thay đổi PPL chỉ sửa ở 1 chỗ, tránh sửa thiếu
- Nếu có dữ liệu sai, sai ở 1 nguồn, tránh tình trạng nguồn ra này sai, trong khi nguồn ra khác lại đúng</t>
  </si>
  <si>
    <t>- Có những dữ liệu chi tiết chỉ cần lưu lên 53, không sd ra mặt báo cáo (Pos theo từng tenor, issuer…) 
-&gt; điểm này có thể linh hoạt điều chỉnh phù hợp với báo cáo, tránh trùng lắp gây nặng tool</t>
  </si>
  <si>
    <t>Không có</t>
  </si>
  <si>
    <t>Reconcile dữ liệu với GL</t>
  </si>
  <si>
    <t>Có thông tin GL, reconcile dữ liệu trạng thái với GL
Có thông tin reconcile với các sp từ báo cáo vốn -&gt; tận dụng nguồn báo cáo này</t>
  </si>
  <si>
    <t>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</si>
  <si>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t>- Chưa có</t>
  </si>
  <si>
    <t>Guide</t>
  </si>
  <si>
    <r>
      <t xml:space="preserve">1. Data flow: gồm 1 list danh sách các input đầu vào của file tool + nguồn khai thác </t>
    </r>
    <r>
      <rPr>
        <sz val="10"/>
        <color rgb="FFFF0000"/>
        <rFont val="Arial"/>
        <family val="2"/>
      </rPr>
      <t xml:space="preserve">(liệt kê rõ database/ bảng, Báo cáo customize tên cụ thể, set up KGRVAR đang lấy bookmark có cấu trúc như thế nào, FRN đang lấy theo setup cụ thể ntn...) </t>
    </r>
    <r>
      <rPr>
        <sz val="10"/>
        <color theme="1"/>
        <rFont val="Arial"/>
        <family val="2"/>
      </rPr>
      <t>+ mục đích/ý nghĩa của input (có link dẫn chiếu đến các tài liệu đầy đủ) + output đầu ra (sử dụng trong báo cáo nào)
2. PPL sản phẩm: Giới thiệu ngắn gọn mục đích/nội dung file và tham chiếu đến File chi tiết tham khảo
   + Phương pháp/công thức tính/ bản chất tính toán;
3. Workflow: mô tả chi tiết các thao tác vận hành tool, giải thích nội dung chi tiết từng bước chạy</t>
    </r>
  </si>
  <si>
    <t>- List các sheet có trong file tool, nội dung tương ứng
- Các bước vận hành file
- Nút bấm này nhằm mục đích gì? Liên quan đến sheet dữ liệu nào?</t>
  </si>
  <si>
    <t>- Giúp người mới tiếp cận nhanh chóng vận hành file</t>
  </si>
  <si>
    <t>- Trừ các dữ liệu chính là FRP, nhiều nguồn dữ liệu khác từ file tool rất khó suy luận ra là dùng với mục đích gì
ThaoVT1: em bổ sung thêm chữ màu đỏ cho yêu cầu với Guide nhé chị Yến ui</t>
  </si>
  <si>
    <t>- OK đã có, cần update nếu có thay đổi tool
- Cần bổ sung phần KGR VAR book mark và set up FRN</t>
  </si>
  <si>
    <t>Hình thức</t>
  </si>
  <si>
    <t>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t>
  </si>
  <si>
    <t>- Giúp người vận hành file dễ nhận diện, tránh bỏ sót thao tác, dữ liệu cần update</t>
  </si>
  <si>
    <t xml:space="preserve">- Chưa thống nhất </t>
  </si>
  <si>
    <t>Name</t>
  </si>
  <si>
    <t>- Đặt tên trường: Tại mỗi sheet, đặt tên trường đảm bảo nguyên tắc QĐ.RR.082 và thuận tiện vận hành
- His53: Có sheet giải thích ý nghĩa của từng chỉ số, hoặc 1 cột note để giải thích PPL/ý nghĩa (dòng dữ liệu được lưu trữ trên máy 53)</t>
  </si>
  <si>
    <t>- Tại mỗi sheet, đặt tên trường ngắn gọn để thuận tiện tính toán, lên báo cáo. Đặt tên không dấu. Kèm theo 1 dòng giải thích ý nghĩa của từng trường để tránh nhầm lẫn (đặc biệt là những trường dữ liệu có ít khác biệt với nhau). Xem xét việc viết thành 1 file guide word/excel riêng để mô tả chi tiết các trường thông tin. 
- Mỗi dòng dữ liệu lưu trữ 1 chỉ số, để hiểu hết ý nghĩa của các chỉ số (nếu ko phải người làm báo cáo), nhất là các chỉ số gần giống nhau, sử dụng đúng mục đích phân tích
Khi có thay đổi công thức (PPL), note để biết PPL đã thay đổi. Chuỗi thống kê sẽ có ý nghĩa khác với trước khi thay đổi</t>
  </si>
  <si>
    <t xml:space="preserve">Đảm bảo người quản lý File hiểu đúng ý nghĩa (khi viết ra được ý nghĩa của trường)
Đảm bảo người backup, người sử dụng File không mất thời gian đọc từng công thức và luận ý nghĩa của trường
Thuận tiện tổng hợp thành 1 sheet Data Dictionary của File tool, sau đó tổng hợp thành Data Dictionary chung của nhóm </t>
  </si>
  <si>
    <t>Mất thời gian tổng hợp lần đầu
Có thể quên khi chỉnh sửa</t>
  </si>
  <si>
    <t>Runtool</t>
  </si>
  <si>
    <t xml:space="preserve"> Gồm :
- List các tham số được sử dụng cho báo cáo
- Các nút bấm vận hành file ( bổ sung thêm sơ đồ vận hành, mục đích/ý nghĩa của nút bấm càng tốt)</t>
  </si>
  <si>
    <t>- Đã có sheet này: bao gồm các parameter và nút run</t>
  </si>
  <si>
    <t>Log &amp; note</t>
  </si>
  <si>
    <r>
      <t xml:space="preserve">1. Log: những thay đổi về tool (chỉnh sửa công thức, thay đổi luồng tính toán...)
2. Note: những lưu ý trong quá trình GS &amp; BC </t>
    </r>
    <r>
      <rPr>
        <sz val="10"/>
        <color rgb="FFFF0000"/>
        <rFont val="Arial"/>
        <family val="2"/>
      </rPr>
      <t>(PPL, các ngày data có bất thường...)</t>
    </r>
    <r>
      <rPr>
        <sz val="10"/>
        <color theme="1"/>
        <rFont val="Arial"/>
        <family val="2"/>
      </rPr>
      <t xml:space="preserve">
3. Pending issues
4. Tính kế thừa giữa các File sau mỗi lần cải tổ, đảm bảo lưu chuỗi Log&amp;note tập trung
</t>
    </r>
    <r>
      <rPr>
        <sz val="10"/>
        <color rgb="FFFF0000"/>
        <rFont val="Arial"/>
        <family val="2"/>
      </rPr>
      <t xml:space="preserve">Khi Log&amp;Note, phải có Date cụ thể để biết sự thay đổi/thông tin bất thường phát sinh tại ngày nào
</t>
    </r>
  </si>
  <si>
    <t>1 Log: là ghi lại những thay đổi về PPL tính toán, công thức tính, nguồn dữ liệu đầu vào, thay đổi cách vận hành file
2. Note: là ghi lại những lưu ý về biến động mạnh giá thị trường, bất thường về số liệu, biến động mạnh PnL,…
3. Penidng issues; Gồm: Ngày phát hiện vấn đề, Vấn đề là gì, Phân loại,  Nguyên nhân, Hướng xử lý, Tình trạng, tiến độ xử lý issues
3 nội dung này có thể để cùng trên 1 vùng dữ liệu, phân biệt bằng 1 trường (cột) phân loại
4. File tool mới luôn phải kế thừa và copy lại toàn bộ Log&amp;Note của File tool cũ, khi cần chỉ cần vào File tool mới nhất có đủ log của quá khứ, mới dễ tra cứu
Lưu trữ log note tập trung ở 1 File tool/1 sản phẩm cho dễ tập trung, thay vì lưu ở quá nhiều File tool con
Log về vấn đề data máy 53, sẽ có log thêm ở Folder máy 53 bên cạnh Log ở File tool. Mọi task khác có dẫn đến vđ data của 53, luôn phải làm double: copy log ở file task đưa về tổng hợp ở máy 53, tổng hợp ở File tool GSSP</t>
  </si>
  <si>
    <t>- Giúp người back up nhanh chóng nắm được các điểm thay đổi file tool, Giúp thấy rõ các cải tiến, nâng cấp, update mới nhất về tool, Giúp giải thích được các biến động lớn trong quá khứ
- Bên Basel có hẳn 1 file log pending issues để theo dõi các pending hiện tại và tiến độ close các issues, bên chính sách cũng có track change, log pending theo từng mục công việc chính, nhưng bên giám sát chưa có. Cân nhắc tạo luôn 1 sheet Pending issues trong tool công cụ để: View tổng thể các issue của từng sản phẩm, log đầy đủ vào đây, Từ đó từng sản phẩm có thể tự lên plan để close issue.</t>
  </si>
  <si>
    <t>- OK đã có</t>
  </si>
  <si>
    <t>Cải tiến &amp; ứng dụng</t>
  </si>
  <si>
    <t>- List các cải tiến tool 
- List các ứng dụng đã áp dụng trong tool
- Có thể chung sheet với Log &amp; note</t>
  </si>
  <si>
    <t>- Liệt kê các cải tiến và ứng dụng mà bạn đã dùng trong quá trình vận hành tool</t>
  </si>
  <si>
    <t>- Giúp bạn nhìn lại quá trình thay đổi tool của mình
- Người khác có thể học tập và ứng dụng</t>
  </si>
  <si>
    <t>Double check</t>
  </si>
  <si>
    <t>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t>
  </si>
  <si>
    <t>-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</si>
  <si>
    <t>- Giúp người vận hành file tool tránh được các sai sót (đặc biệt hữu ích với bạn mới tiếp cận file)</t>
  </si>
  <si>
    <t>- Nhiều khi dựa dẫm quá vào phần check này mà lại bỏ sót những lỗi có thể chưa gặp bao giờ</t>
  </si>
  <si>
    <t>Pivot có tính năng liệt kê ra các bảng, vùng data của các bảng thành 1 mục riêng -- &gt; Có thể dùng để check Pivot kéo đã đủ công thức chưa</t>
  </si>
  <si>
    <t>- Đang để chung với sheet "Summary" -&gt; nên cơ cấu riêng ra và bổ sung thêm nhiều hơn đk check
- Ví dụ Rule bất thường giống Rule cmt báo cáo (các chỉ số vượt bao nhiêu tỷ DtD hoặc vượt bao nhiêu % DtD thì cần check).</t>
  </si>
  <si>
    <t>Tham số báo cáo</t>
  </si>
  <si>
    <t xml:space="preserve">Tối đa nhất có thể phần tham số trong tool
- Tham số để chạy VBA, code SQL (nếu có)
- Tham số để chạy Power Query
- Tham số đặt công thức cho các ô Excel, trong các sheet của File
</t>
  </si>
  <si>
    <t>- Tham số ngày
- Tham số link file input
- Tham số cho phần lọc dữ liệu</t>
  </si>
  <si>
    <t xml:space="preserve">- Khi cần điều chỉnh nguồn lấy dữ liệu chỉ cần thay đổi phần tham số -&gt; dễ dàng chỉnh sửa khi cần và chỉ sửa tập trung ở 1 chỗ, Sửa lắt nhắt dễ sai sót
- Đặt parameter ngay bên ngoài giúp người khác tiếp cận file tool hiểu nguồn gốc dữ liệu, luồng đi của dữ liệu
</t>
  </si>
  <si>
    <t>- Thao tác xây dựng tool sẽ phức tạp hơn</t>
  </si>
  <si>
    <t>Cần tham số hóa code VBA</t>
  </si>
  <si>
    <t>Vận hành</t>
  </si>
  <si>
    <t>Phân tích so sánh</t>
  </si>
  <si>
    <t>So sánh giữa 2 ngày bất kỳ bằng cách tham số hóa (đổi ngày, lấy được dữ liệu) hoặc Power Query
Gộp các data FRN T1 và T2 vào 1 sheet, sử dụng Pivot để so sánh thông số -- &gt; So sánh sử dụng Pivot, để dễ phân tích sâu và click ra thông tin chi tiết, hạn chế tối đa việc đặt công thức (vlookup, sum...) để so sánh số liệu giữa 2 thời điểm</t>
  </si>
  <si>
    <t>Hiện tại, các File cả FX và DR đang làm theo kiểu:
- FRN mỗi ngày 1 sheet
- Dùng pivot riêng rẽ từng bảng FRN
- Dùng công thức đối chiếu so sánh các chỉ số PnL, Position, PV01… giữa 2 ngày 
Cách làm này ko hiệu quả khi phân tích, do khi so sánh giữa 2 ngày, số liệu luôn có thay đổi (ngày today sẽ có thêm 1 số ngày mới, bớt 1 số ngày MAT đi), ngày quá khứ sẽ có thêm 1 số ngày MAT khác). Khi muốn phân tích các chỉ số tăng/giảm do Pos cũ bao nhiêu, do Pos mới bao nhiêu ko thuận tiện
== &gt; Nên gộp các data các ngày cần so sánh vào 1 sheet. Thêm cột Date.</t>
  </si>
  <si>
    <t xml:space="preserve"> Dùng pivot để so sánh giữa 2 ngày, đảm bảo ngắn gọn, ko bị nhầm lẫn thông tin, ko phải đi đối chiếu xuôi ngược (ko cần đứng tại ngày today vlookup, sau đó lại đứng tại ngày today - T để vloopkup lần nữa)
Khi xem xét chi tiết đến MAT date, cũng dễ dàng phán đoán được deal PS mới và deal dịch chuyển kỳ hạn</t>
  </si>
  <si>
    <t>YenNT: PA này gây nặng dữ liệu -&gt; Yến đang đề xuất dùng power query đến file ngày T-1, chỉ lấy những dữ liệu cần so sánh với ngày T và kéo về -&gt; vừa gọn file lại vừa tránh việc sai sót trong quá trình copy dữ liệu</t>
  </si>
  <si>
    <t>- Đang không có kiểu dữ liệu này</t>
  </si>
  <si>
    <t>x</t>
  </si>
  <si>
    <t>VBA</t>
  </si>
  <si>
    <t>Thiết kế VBA với tất cả các tham số ở ngoài excel, ko để fix trong code</t>
  </si>
  <si>
    <t>Xem ví dụ sheet VBA</t>
  </si>
  <si>
    <t>Mọi tham số đều để mở ở ngoài excel. Khi cần chỉnh sửa excel, chỉ cần vào update lại các ô tham số -- &gt; Ko mất thời gian đọc code và chỉnh sửa trong code (có thể chỉnh sửa sót, nếu có hard code fix tên file, tên sheet, tên vùng dữ liệu ở quá nhiều đoạn code nhỏ)
Nhìn ngay sheet excel đã hiểu được luồng chạy của code, không cần mất thời gian đọc code</t>
  </si>
  <si>
    <t>- Nếu không phải là người giỏi code, thì yêu cầu này sẽ khá phức tạp và mất nhiều thời gian</t>
  </si>
  <si>
    <t>RptDate ở mỗi file tool 1 định dạng, chỉ cần đổi máy làm là bị lỗi gây sai lệch số liệu. Hist 53 có tình trạng Dòng data ko có RptDate
-- &gt; Cần sửa lại bước Double check và bước nhận diện ở Code VBA, nếu RptDate trống thì ko làm</t>
  </si>
  <si>
    <t>Thống nhất ở tất cả các tool</t>
  </si>
  <si>
    <t>Giảm thời gian xử lý tay đổi định dạng ngày. Giảm sai sót do người backup định dạng máy khác</t>
  </si>
  <si>
    <t>Có tình trạng này</t>
  </si>
  <si>
    <t>VBA/Duplicate và lưu nhiều lần data</t>
  </si>
  <si>
    <t xml:space="preserve">Cần kiểm tra và có rule thống nhất nhận diện duplicate và chỉ lưu 2 lần data tại 1 ngày (1 lần khớp báo cáo gửi đi, 1 lần data final đúng)
 Duplicate: Dùng cột STT nhận diện hay dùng rule gì. Áp dụng chung cho tất cả các công cụ (từng SP và EOD)
Cần chốt Rule of Reports tối đa lưu 2 lần data, ko có phát sinh việc lưu 3 lần data. </t>
  </si>
  <si>
    <t>Rule nhận diện Duplicate data trước khi đẩy lên, thống nhất cho các tool
Code VBA thống nhất cho các tool
Tối đa 2 lần: 1 lần khớp với số báo cáo đã trót gửi đi (dù số sai, để khi cần còn đối chiếu lại được), và 1 lần số đúng (sau khi gửi báo cáo mới biết số đúng, làm lại số liệu để lưu trữ). Kỳ vọng hầu hết chỉ có 1 lần data quan sát, các ngày tồn taị 2 lần lưu data rất hãn hữu. Các lần lưu trung gian khác luôn luôn phải xóa bỏ trong quá trình code VBA chạy</t>
  </si>
  <si>
    <t>Giảm rác data, mỗi lần dùng lại 1 lần đi xử lý file rác excel (vì data gốc 53 vẫn bị duplicate)</t>
  </si>
  <si>
    <t>Cần tìm cách query chung, để luôn lấy được data final chuẩn nhất phân tích (với những ngày có data 2 lần, lần sau mới final đúng thì chỉ query ra data lần sau, ko query lấy data lần lưu trước)</t>
  </si>
  <si>
    <t>VBA và Double check</t>
  </si>
  <si>
    <t>Double check: Luôn có bước check data trước khi đẩy lên lưu trữ: Nếu trường data bị trống hoặc số lớn bất thường
VBA: Luôn kiểm tra ngày RptDt, nếu có bị trống thì báo lỗi ko đẩy nữa</t>
  </si>
  <si>
    <t>Giảm data rác, lưu mà ko biết data ngày nào</t>
  </si>
  <si>
    <t>- Đã chặn số dòng up lên bằng lệnh count rồi mà nhỉ?
- Code mẫu Y gửi cho team có tham chiếu đến 1 ô RPT date và được định dạng cho ngày cụ thể -&gt; loại bỏ được lỗi mà HP nêu</t>
  </si>
  <si>
    <t>Backup dữ liệu</t>
  </si>
  <si>
    <t>- Folder backup tool và báo cáo nên sắp xếp theo tầng dữ liệu sau:
+ Folder backup tổng
+ Folder theo loại dữ liệu : file tool, file rpt, file support
+ Folder theo năm
+ Folder theo tháng</t>
  </si>
  <si>
    <t>- Do hiện nay chỉ đang để ở tầng thứ 2 or 3, sau đó lưu trữ all file của các năm, các tháng lẫn lộn -&gt; gây khó khăn trong việc tìm kiếm file backup</t>
  </si>
  <si>
    <t>- Việc sắp xếp dữ liệu theo tháng, năm giúp việc tìm kiếm file backup dễ dàng hơn</t>
  </si>
  <si>
    <t>- Chưa theo rule này</t>
  </si>
  <si>
    <t>Cảnh báo tính bảo mật</t>
  </si>
  <si>
    <t>Ngay khi mở file, cần phải có pop up thông báo về tính bảo mật của file tại phòng QLRRTT</t>
  </si>
  <si>
    <t>Dash board</t>
  </si>
  <si>
    <t xml:space="preserve">Thiết kế tự động thay đổi chart khi người xem thay đổi khoảng thời gian muốn xem báo cáo.
(Lên sheet trong file Report)
Cái này là optional có thể để chung hoặc file riêng trong PTKD:
Sheet tổng hợp chart (pivot chart) nhanh cho các chỉ tiêu/thông tin chính theo từng sản phẩm, dựa trên data lịch sử đã lưu trữ và có thể tận dụng Slicer. Chart tối thiểu phải có là: Positions theo ngày; PL theo ngày; VaR theo ngày; Top 5-10 cpty lớn; Số lượng/khối lượng giao dịch theo từng sản phẩm...
</t>
  </si>
  <si>
    <t>Chart tự động đổi chuỗi ngày (không phải sửa tay)</t>
  </si>
  <si>
    <t>Lưu trữ</t>
  </si>
  <si>
    <t>His53</t>
  </si>
  <si>
    <r>
      <t xml:space="preserve">- Cần thống nhất các trường dữ liệu giữa các sản phẩm với nhau
</t>
    </r>
    <r>
      <rPr>
        <sz val="10"/>
        <color rgb="FFFF0000"/>
        <rFont val="Arial"/>
        <family val="2"/>
      </rPr>
      <t xml:space="preserve">- Cần note lại lý do tại sao mình phải lưu dữ liệu abcxyz lên máy 53 (yêu cầu tuân thủ, yêu cầu lưu trữ phục vụ phân tích gì….), để định kỳ mình rà soát cả dữ liệu đẩy lên máy 53 (tránh lưu thiếu, thừa....) </t>
    </r>
    <r>
      <rPr>
        <sz val="10"/>
        <color rgb="FF0070C0"/>
        <rFont val="Arial"/>
        <family val="2"/>
      </rPr>
      <t xml:space="preserve">-&gt; Nội dung này có ở 1 mục rà soát khi chính sách list ra các nội dung cần lưu trữ cho mục đích phân tích, thống kê để rà soát, ban hành limit rồi mà nhỉ?  </t>
    </r>
  </si>
  <si>
    <t>ThaoVT1: em bổ sung thêm chữ màu đỏ cho mục yêu cầu nhé chị Yến ui</t>
  </si>
  <si>
    <t>X</t>
  </si>
  <si>
    <t>Thông tin điền đang đúng với Data Dictionary của máy 53. Tuy nhiên Các trường lưu trữ máy 53 nên thống nhất giữa các sản phẩm (Product,Indicators,Rpt_Grp,Class…)</t>
  </si>
  <si>
    <t>Trường Rpt_grp đang điền indicators realised/unrealised PnL</t>
  </si>
  <si>
    <t>Đặt tên file và lưu trữ file</t>
  </si>
  <si>
    <t>File tool mới nhất là file không có version và được đặt ngay tại folder sử dụng chính để làm báo cáo;
File tool cũ, sau khi đã sửa file mới, đặt tại folder lưu trữ lịch sử;</t>
  </si>
  <si>
    <t>Luôn nhận diện nhanh được File tool
Có file tool cũ để khi cần xem lại, sử dụng lại
Sau khoảng 3Y ko dùng, có thể xóa File tool cũ đi</t>
  </si>
  <si>
    <t>Đang làm như thế này rồi</t>
  </si>
  <si>
    <t>Có phần phân tích so sánh tác động theo nhiều chiều:
- GD mới PS( tối thiểu PnL, có thể VaR hoặc PV01), Danh mục cũ
- Theo nhóm sản phẩm</t>
  </si>
  <si>
    <t>Tạo thành Rule thống nhất, thay vì random thủ công nhất thời</t>
  </si>
  <si>
    <t>FRN win scp: xem lại vì hiện đang lấy giá ngày chủ nhật, FRN chủ nhật và thứ 6 có thể khác biệt nhau vì giá có thể thay đổi và số ngày chiết khấu có thể khác nhau -- &gt; FRN có thể lấy trên Basel, vì Basel lưu hàng ngày</t>
  </si>
  <si>
    <t>Dung cmt</t>
  </si>
  <si>
    <t>His 53</t>
  </si>
  <si>
    <t>Tách riêng Summary và double check ra riêng</t>
  </si>
  <si>
    <t>OK</t>
  </si>
  <si>
    <t>Tool bond hiện tại đã khắc phục đẩy lặp dòng</t>
  </si>
  <si>
    <t>Trước đây có tuân theo, nhưng đã bỏ đi, do gây chậm khi mở file</t>
  </si>
  <si>
    <t>Đã chuyển rule trên winscp để lưu ngày back up</t>
  </si>
  <si>
    <t>Bổ sung cột note</t>
  </si>
  <si>
    <t>FNRP TB</t>
  </si>
  <si>
    <t>FNRP TB (SBV)</t>
  </si>
  <si>
    <t>Report date</t>
  </si>
  <si>
    <t>Yesterday</t>
  </si>
  <si>
    <t>Last month</t>
  </si>
  <si>
    <t>Last year</t>
  </si>
  <si>
    <t>FNRP BB</t>
  </si>
  <si>
    <t>FNRP BB (SBV)</t>
  </si>
  <si>
    <t>VIETNAMESE DONG</t>
  </si>
  <si>
    <t>0 yrs &lt;= duration &lt; 1 yr</t>
  </si>
  <si>
    <t>VDB111001</t>
  </si>
  <si>
    <t>GOVBOND</t>
  </si>
  <si>
    <t>Buy</t>
  </si>
  <si>
    <t>TD1113004</t>
  </si>
  <si>
    <t>CPB1013011</t>
  </si>
  <si>
    <t>...</t>
  </si>
  <si>
    <t/>
  </si>
  <si>
    <t>QHB1013022</t>
  </si>
  <si>
    <t>TPKB12022</t>
  </si>
  <si>
    <t>TPKB12023</t>
  </si>
  <si>
    <t>TB1013040</t>
  </si>
  <si>
    <t>TPKB12001</t>
  </si>
  <si>
    <t>TPKB12008</t>
  </si>
  <si>
    <t>TPKB13001</t>
  </si>
  <si>
    <t>TD1114005</t>
  </si>
  <si>
    <t>VDB111016</t>
  </si>
  <si>
    <t>TD1214011</t>
  </si>
  <si>
    <t>TPKB13026</t>
  </si>
  <si>
    <t>TD1114020</t>
  </si>
  <si>
    <t>TPKB13027</t>
  </si>
  <si>
    <t>TD1214029</t>
  </si>
  <si>
    <t>TD1214030</t>
  </si>
  <si>
    <t>TD1114039</t>
  </si>
  <si>
    <t>TD1114045</t>
  </si>
  <si>
    <t>TD1214130</t>
  </si>
  <si>
    <t>TD1114053</t>
  </si>
  <si>
    <t>TD1214131</t>
  </si>
  <si>
    <t>TD1114059</t>
  </si>
  <si>
    <t>TD1214171</t>
  </si>
  <si>
    <t>BVDB12150</t>
  </si>
  <si>
    <t>BVDB12188</t>
  </si>
  <si>
    <t>26/11/2014</t>
  </si>
  <si>
    <t>BVDB12189</t>
  </si>
  <si>
    <t>BVDB12204</t>
  </si>
  <si>
    <t>TD1214172</t>
  </si>
  <si>
    <t>VDB111063</t>
  </si>
  <si>
    <t>BVDB12206</t>
  </si>
  <si>
    <t>21/12/2014</t>
  </si>
  <si>
    <t>TPKB14001</t>
  </si>
  <si>
    <t>TD1315001</t>
  </si>
  <si>
    <t>TD1215001</t>
  </si>
  <si>
    <t>TP4A0105</t>
  </si>
  <si>
    <t>TP4A0305</t>
  </si>
  <si>
    <t>TD1215015</t>
  </si>
  <si>
    <t>TD1315002</t>
  </si>
  <si>
    <t>TD1315003</t>
  </si>
  <si>
    <t>TP4A0505</t>
  </si>
  <si>
    <t>BVDB13037</t>
  </si>
  <si>
    <t>TD1215027</t>
  </si>
  <si>
    <t>BVDB13038</t>
  </si>
  <si>
    <t>TD1215032</t>
  </si>
  <si>
    <t>TD1315004</t>
  </si>
  <si>
    <t>BVDB13040</t>
  </si>
  <si>
    <t>BVDB13041</t>
  </si>
  <si>
    <t>TP4A1005</t>
  </si>
  <si>
    <t>TB1015036</t>
  </si>
  <si>
    <t>TD1315005</t>
  </si>
  <si>
    <t>BVDB13115</t>
  </si>
  <si>
    <t>TB1015041</t>
  </si>
  <si>
    <t>TD1215033</t>
  </si>
  <si>
    <t>BVDB13116</t>
  </si>
  <si>
    <t>VDB112070</t>
  </si>
  <si>
    <t>VDB110025</t>
  </si>
  <si>
    <t>BVDB13117</t>
  </si>
  <si>
    <t>VDB110023</t>
  </si>
  <si>
    <t>VDB112072</t>
  </si>
  <si>
    <t>TP4A1405</t>
  </si>
  <si>
    <t>TD1015044</t>
  </si>
  <si>
    <t>VDB112073</t>
  </si>
  <si>
    <t>TD1215034</t>
  </si>
  <si>
    <t>TD1015050</t>
  </si>
  <si>
    <t>TD1215035</t>
  </si>
  <si>
    <t>TD1315006</t>
  </si>
  <si>
    <t>TB1015055</t>
  </si>
  <si>
    <t>TP4A2205</t>
  </si>
  <si>
    <t>TP4A2305</t>
  </si>
  <si>
    <t>BVDB13123</t>
  </si>
  <si>
    <t>TD1315007</t>
  </si>
  <si>
    <t>TB1015059</t>
  </si>
  <si>
    <t>BVDB12139</t>
  </si>
  <si>
    <t>TP4A2505</t>
  </si>
  <si>
    <t>TD1215133</t>
  </si>
  <si>
    <t>BVDB13222</t>
  </si>
  <si>
    <t>BVDB13224</t>
  </si>
  <si>
    <t>TD1315008</t>
  </si>
  <si>
    <t>BVDB13225</t>
  </si>
  <si>
    <t>TD1015064</t>
  </si>
  <si>
    <t>TD1315009</t>
  </si>
  <si>
    <t>BVDB13228</t>
  </si>
  <si>
    <t>HCMB12202</t>
  </si>
  <si>
    <t>14/11/2015</t>
  </si>
  <si>
    <t>BVDB13266</t>
  </si>
  <si>
    <t>BVDB12192</t>
  </si>
  <si>
    <t>26/11/2015</t>
  </si>
  <si>
    <t>BVDB13267</t>
  </si>
  <si>
    <t>TD1215176</t>
  </si>
  <si>
    <t>30/11/2015</t>
  </si>
  <si>
    <t>BVDB13268</t>
  </si>
  <si>
    <t>BVDB13269</t>
  </si>
  <si>
    <t>BVDB13270</t>
  </si>
  <si>
    <t>BVDB12194</t>
  </si>
  <si>
    <t>BVDB12210</t>
  </si>
  <si>
    <t>TD1215132</t>
  </si>
  <si>
    <t>Sell</t>
  </si>
  <si>
    <t>BVDB14098</t>
  </si>
  <si>
    <t>TD1316011</t>
  </si>
  <si>
    <t>TD1416061</t>
  </si>
  <si>
    <t>BVDB14099</t>
  </si>
  <si>
    <t>VDB111003</t>
  </si>
  <si>
    <t>BVDB14100</t>
  </si>
  <si>
    <t>VDB111017</t>
  </si>
  <si>
    <t>TD1116019</t>
  </si>
  <si>
    <t>TD1316012</t>
  </si>
  <si>
    <t>TD1416062</t>
  </si>
  <si>
    <t>TD1316013</t>
  </si>
  <si>
    <t>TD1416063</t>
  </si>
  <si>
    <t>TD1316014</t>
  </si>
  <si>
    <t>TD1416064</t>
  </si>
  <si>
    <t>BVDB13045</t>
  </si>
  <si>
    <t>BVDB13046</t>
  </si>
  <si>
    <t>TD1316015</t>
  </si>
  <si>
    <t>TD1416065</t>
  </si>
  <si>
    <t>TD1316016</t>
  </si>
  <si>
    <t>TD1116026</t>
  </si>
  <si>
    <t>TD1416066</t>
  </si>
  <si>
    <t>BVDB13126</t>
  </si>
  <si>
    <t>BVDB13127</t>
  </si>
  <si>
    <t>BVBS13088</t>
  </si>
  <si>
    <t>TD1316017</t>
  </si>
  <si>
    <t>TD1116040</t>
  </si>
  <si>
    <t>TD1416067</t>
  </si>
  <si>
    <t>TD1116046</t>
  </si>
  <si>
    <t>TD1316018</t>
  </si>
  <si>
    <t>TD1116050</t>
  </si>
  <si>
    <t>BVDB13133</t>
  </si>
  <si>
    <t>TD1116054</t>
  </si>
  <si>
    <t>QH061618</t>
  </si>
  <si>
    <t>BVDB13230</t>
  </si>
  <si>
    <t>HNKD13258</t>
  </si>
  <si>
    <t>BVDB13232</t>
  </si>
  <si>
    <t>VDB111058</t>
  </si>
  <si>
    <t>HCMB13260</t>
  </si>
  <si>
    <t>TD1316019</t>
  </si>
  <si>
    <t>TPKB16022</t>
  </si>
  <si>
    <t>15/11/2016</t>
  </si>
  <si>
    <t>VDB111062</t>
  </si>
  <si>
    <t>BVDB14115</t>
  </si>
  <si>
    <t>TD1417071</t>
  </si>
  <si>
    <t>TD1217002</t>
  </si>
  <si>
    <t>BVDB14117</t>
  </si>
  <si>
    <t>VDB112004</t>
  </si>
  <si>
    <t>TD1417072</t>
  </si>
  <si>
    <t>VDB112008</t>
  </si>
  <si>
    <t>VDB112014</t>
  </si>
  <si>
    <t>TD1217016</t>
  </si>
  <si>
    <t>TD1417073</t>
  </si>
  <si>
    <t>TD1417074</t>
  </si>
  <si>
    <t>TD1417075</t>
  </si>
  <si>
    <t>TD1217036</t>
  </si>
  <si>
    <t>TD1417076</t>
  </si>
  <si>
    <t>TD1217037</t>
  </si>
  <si>
    <t>TD1417077</t>
  </si>
  <si>
    <t>VDB112075</t>
  </si>
  <si>
    <t>TD1217038</t>
  </si>
  <si>
    <t>TD1217039</t>
  </si>
  <si>
    <t>TD1417078</t>
  </si>
  <si>
    <t>TD1217040</t>
  </si>
  <si>
    <t>TD1417079</t>
  </si>
  <si>
    <t>BVBS14023</t>
  </si>
  <si>
    <t>TD1417080</t>
  </si>
  <si>
    <t>CP4A0402</t>
  </si>
  <si>
    <t>BVDB12152</t>
  </si>
  <si>
    <t>26/11/2017</t>
  </si>
  <si>
    <t>BVBS12124</t>
  </si>
  <si>
    <t>BVDB14120</t>
  </si>
  <si>
    <t>TD1417166</t>
  </si>
  <si>
    <t>BVDB14121</t>
  </si>
  <si>
    <t>BVDB12212</t>
  </si>
  <si>
    <t>21/12/2017</t>
  </si>
  <si>
    <t>BVDB14122</t>
  </si>
  <si>
    <t>BVDB14123</t>
  </si>
  <si>
    <t>TD1318021</t>
  </si>
  <si>
    <t>BVDB15196</t>
  </si>
  <si>
    <t>TD1318022</t>
  </si>
  <si>
    <t>BVDB13053</t>
  </si>
  <si>
    <t>TD1318023</t>
  </si>
  <si>
    <t>TD1318024</t>
  </si>
  <si>
    <t>BVDB13136</t>
  </si>
  <si>
    <t>TD1318025</t>
  </si>
  <si>
    <t>CP4A1203</t>
  </si>
  <si>
    <t>HNKD13160</t>
  </si>
  <si>
    <t>CP4A1603</t>
  </si>
  <si>
    <t>QHD0818030</t>
  </si>
  <si>
    <t>BVDB15197</t>
  </si>
  <si>
    <t>CP4A2103</t>
  </si>
  <si>
    <t>CP4A2203</t>
  </si>
  <si>
    <t>BVDB13144</t>
  </si>
  <si>
    <t>CP4A3403</t>
  </si>
  <si>
    <t>BVDB15204</t>
  </si>
  <si>
    <t>BVDB15205</t>
  </si>
  <si>
    <t>BVDB15206</t>
  </si>
  <si>
    <t>BVDB15207</t>
  </si>
  <si>
    <t>TD1518355</t>
  </si>
  <si>
    <t>BVDB13290</t>
  </si>
  <si>
    <t>TD1518356</t>
  </si>
  <si>
    <t>CP4_1603</t>
  </si>
  <si>
    <t>TD1518357</t>
  </si>
  <si>
    <t>BVDB13293</t>
  </si>
  <si>
    <t>CP4A4703</t>
  </si>
  <si>
    <t>BVDB13294</t>
  </si>
  <si>
    <t>TD1318027</t>
  </si>
  <si>
    <t>CP4_1703</t>
  </si>
  <si>
    <t>19/12/2018</t>
  </si>
  <si>
    <t>BVDB13296</t>
  </si>
  <si>
    <t>TD1518361</t>
  </si>
  <si>
    <t>TD1518362</t>
  </si>
  <si>
    <t>BVDB16052</t>
  </si>
  <si>
    <t>TD1619436</t>
  </si>
  <si>
    <t>TD1518360</t>
  </si>
  <si>
    <t>BVDB16053</t>
  </si>
  <si>
    <t>BVDB14130</t>
  </si>
  <si>
    <t>TD1419081</t>
  </si>
  <si>
    <t>BVDB14131</t>
  </si>
  <si>
    <t>BVDB14132</t>
  </si>
  <si>
    <t>TD1419082</t>
  </si>
  <si>
    <t>CP4A1004</t>
  </si>
  <si>
    <t>TD1419083</t>
  </si>
  <si>
    <t>TD1619437</t>
  </si>
  <si>
    <t>TD1518358</t>
  </si>
  <si>
    <t>TD1518359</t>
  </si>
  <si>
    <t>TD1419084</t>
  </si>
  <si>
    <t>TD1619438</t>
  </si>
  <si>
    <t>TD1419085</t>
  </si>
  <si>
    <t>TD1619439</t>
  </si>
  <si>
    <t>BVBS16278</t>
  </si>
  <si>
    <t>TD1619440</t>
  </si>
  <si>
    <t>TD1419086</t>
  </si>
  <si>
    <t>TD1419087</t>
  </si>
  <si>
    <t>QHB0919013</t>
  </si>
  <si>
    <t>CP4A3104</t>
  </si>
  <si>
    <t>TD1419088</t>
  </si>
  <si>
    <t>HNKD14162</t>
  </si>
  <si>
    <t>TP4A4004</t>
  </si>
  <si>
    <t>TD1419089</t>
  </si>
  <si>
    <t>TP4A4204</t>
  </si>
  <si>
    <t>TP4A4604</t>
  </si>
  <si>
    <t>13/10/2019</t>
  </si>
  <si>
    <t>DNGD14183</t>
  </si>
  <si>
    <t>TP4A5004</t>
  </si>
  <si>
    <t>TD1419090</t>
  </si>
  <si>
    <t>31/10/2019</t>
  </si>
  <si>
    <t>BVDB14136</t>
  </si>
  <si>
    <t>BVDB14137</t>
  </si>
  <si>
    <t>BVDB14139</t>
  </si>
  <si>
    <t>TD1520256</t>
  </si>
  <si>
    <t>BVDB15211</t>
  </si>
  <si>
    <t>BVDB15212</t>
  </si>
  <si>
    <t>TD1520259</t>
  </si>
  <si>
    <t>BVDB15213</t>
  </si>
  <si>
    <t>TD1520260</t>
  </si>
  <si>
    <t>TD1520261</t>
  </si>
  <si>
    <t>TD1520262</t>
  </si>
  <si>
    <t>TD1520264</t>
  </si>
  <si>
    <t>QHB1020028</t>
  </si>
  <si>
    <t>VDB110019</t>
  </si>
  <si>
    <t>VDB110016</t>
  </si>
  <si>
    <t>VDB110029</t>
  </si>
  <si>
    <t>VDB110024</t>
  </si>
  <si>
    <t>TD1020046</t>
  </si>
  <si>
    <t>TD1520266</t>
  </si>
  <si>
    <t>TD1520267</t>
  </si>
  <si>
    <t>TD1020061</t>
  </si>
  <si>
    <t>TD1020065</t>
  </si>
  <si>
    <t>18/10/2020</t>
  </si>
  <si>
    <t>TD1520268</t>
  </si>
  <si>
    <t>BVDB15222</t>
  </si>
  <si>
    <t>BVDB15223</t>
  </si>
  <si>
    <t>30/10/2020</t>
  </si>
  <si>
    <t>TD1520269</t>
  </si>
  <si>
    <t>BVDB15224</t>
  </si>
  <si>
    <t>TD1520270</t>
  </si>
  <si>
    <t>TD1520271</t>
  </si>
  <si>
    <t>12/11/2020</t>
  </si>
  <si>
    <t>BVDB15225</t>
  </si>
  <si>
    <t>BVDB15327</t>
  </si>
  <si>
    <t>TP4A3205</t>
  </si>
  <si>
    <t>BVDB16103</t>
  </si>
  <si>
    <t>TD1621446</t>
  </si>
  <si>
    <t>BVDB16105</t>
  </si>
  <si>
    <t>TD1621447</t>
  </si>
  <si>
    <t>TD1121021</t>
  </si>
  <si>
    <t>TD1621448</t>
  </si>
  <si>
    <t>TD1621449</t>
  </si>
  <si>
    <t>TD1621450</t>
  </si>
  <si>
    <t>TP1A0906</t>
  </si>
  <si>
    <t>TD1621451</t>
  </si>
  <si>
    <t>TD1621452</t>
  </si>
  <si>
    <t>TD1621453</t>
  </si>
  <si>
    <t>TD1621454</t>
  </si>
  <si>
    <t>VDB111027</t>
  </si>
  <si>
    <t>TD1621455</t>
  </si>
  <si>
    <t>TD1621470</t>
  </si>
  <si>
    <t>TD1621471</t>
  </si>
  <si>
    <t>TD1621472</t>
  </si>
  <si>
    <t>TD1621475</t>
  </si>
  <si>
    <t>TD1621476</t>
  </si>
  <si>
    <t>TD1621477</t>
  </si>
  <si>
    <t>BVBS16319</t>
  </si>
  <si>
    <t>BVDB16106</t>
  </si>
  <si>
    <t>BVBS16320</t>
  </si>
  <si>
    <t>TD1621478</t>
  </si>
  <si>
    <t>TD1621473</t>
  </si>
  <si>
    <t>BVDB16107</t>
  </si>
  <si>
    <t>TD1621479</t>
  </si>
  <si>
    <t>TD1621474</t>
  </si>
  <si>
    <t>QH062104</t>
  </si>
  <si>
    <t>TD1621485</t>
  </si>
  <si>
    <t>TD1621486</t>
  </si>
  <si>
    <t>TD1621487</t>
  </si>
  <si>
    <t>TD1621488</t>
  </si>
  <si>
    <t>BVBS18149</t>
  </si>
  <si>
    <t>BVDB16109</t>
  </si>
  <si>
    <t>BVDB16110</t>
  </si>
  <si>
    <t>VDB111060</t>
  </si>
  <si>
    <t>TD1621489</t>
  </si>
  <si>
    <t>QH062139</t>
  </si>
  <si>
    <t>30/11/2021</t>
  </si>
  <si>
    <t>BVDB18001</t>
  </si>
  <si>
    <t>BVDB18002</t>
  </si>
  <si>
    <t>BVDB18003</t>
  </si>
  <si>
    <t>TD1722377</t>
  </si>
  <si>
    <t>BVDB17216</t>
  </si>
  <si>
    <t>QH072216</t>
  </si>
  <si>
    <t>BVDB17217</t>
  </si>
  <si>
    <t>TD1722378</t>
  </si>
  <si>
    <t>TD1222012</t>
  </si>
  <si>
    <t>TD1722379</t>
  </si>
  <si>
    <t>TD1722380</t>
  </si>
  <si>
    <t>TD1222042</t>
  </si>
  <si>
    <t>TD1722381</t>
  </si>
  <si>
    <t>TD1722382</t>
  </si>
  <si>
    <t>TD1722383</t>
  </si>
  <si>
    <t>TD1722384</t>
  </si>
  <si>
    <t>BVDB17218</t>
  </si>
  <si>
    <t>TD1823087</t>
  </si>
  <si>
    <t>TD1323031</t>
  </si>
  <si>
    <t>BVDB13058</t>
  </si>
  <si>
    <t>TD1823088</t>
  </si>
  <si>
    <t>BVDB13060</t>
  </si>
  <si>
    <t>BVDB13062</t>
  </si>
  <si>
    <t>TD1623480</t>
  </si>
  <si>
    <t>TD1623481</t>
  </si>
  <si>
    <t>TD1623482</t>
  </si>
  <si>
    <t>TD1623483</t>
  </si>
  <si>
    <t>TD1323032</t>
  </si>
  <si>
    <t>BVDB18022</t>
  </si>
  <si>
    <t>19/12/2023</t>
  </si>
  <si>
    <t>BVDB18023</t>
  </si>
  <si>
    <t>26/12/2023</t>
  </si>
  <si>
    <t>TD1724412</t>
  </si>
  <si>
    <t>TD1924163</t>
  </si>
  <si>
    <t>TD1424091</t>
  </si>
  <si>
    <t>TD1724413</t>
  </si>
  <si>
    <t>TD1724414</t>
  </si>
  <si>
    <t>TD1724415</t>
  </si>
  <si>
    <t>TD1424092</t>
  </si>
  <si>
    <t>TD1724416</t>
  </si>
  <si>
    <t>TD1724417</t>
  </si>
  <si>
    <t>TD1424093</t>
  </si>
  <si>
    <t>TD1924164</t>
  </si>
  <si>
    <t>TD1424173</t>
  </si>
  <si>
    <t>HCMB14179</t>
  </si>
  <si>
    <t>TD1424174</t>
  </si>
  <si>
    <t>15/10/2024</t>
  </si>
  <si>
    <t>TD1724418</t>
  </si>
  <si>
    <t>BVDB19022</t>
  </si>
  <si>
    <t>20/11/2024</t>
  </si>
  <si>
    <t>TD2025003</t>
  </si>
  <si>
    <t>TD1825102</t>
  </si>
  <si>
    <t>TD1525278</t>
  </si>
  <si>
    <t>TD1525279</t>
  </si>
  <si>
    <t>TD1525280</t>
  </si>
  <si>
    <t>TD1825103</t>
  </si>
  <si>
    <t>TD2025005</t>
  </si>
  <si>
    <t>BVDB18236</t>
  </si>
  <si>
    <t>TD2025006</t>
  </si>
  <si>
    <t>TD1926170</t>
  </si>
  <si>
    <t>TD2126001</t>
  </si>
  <si>
    <t>TD1626456</t>
  </si>
  <si>
    <t>TD2126002</t>
  </si>
  <si>
    <t>TD2126003</t>
  </si>
  <si>
    <t>TD1926171</t>
  </si>
  <si>
    <t>TD1626457</t>
  </si>
  <si>
    <t>TD2126162</t>
  </si>
  <si>
    <t>BVDB19041</t>
  </si>
  <si>
    <t>BVDB19042</t>
  </si>
  <si>
    <t>20/11/2026</t>
  </si>
  <si>
    <t>BVDB17265</t>
  </si>
  <si>
    <t>TD2027008</t>
  </si>
  <si>
    <t>BVDB17267</t>
  </si>
  <si>
    <t>BVDB17268</t>
  </si>
  <si>
    <t>TD1727396</t>
  </si>
  <si>
    <t>BVBS17053</t>
  </si>
  <si>
    <t>BVBS17054</t>
  </si>
  <si>
    <t>TD1727397</t>
  </si>
  <si>
    <t>BVBS17057</t>
  </si>
  <si>
    <t>BVBS17059</t>
  </si>
  <si>
    <t>TD1727398</t>
  </si>
  <si>
    <t>TD2027010</t>
  </si>
  <si>
    <t>TD1727399</t>
  </si>
  <si>
    <t>BVDB17269</t>
  </si>
  <si>
    <t>BVDB17270</t>
  </si>
  <si>
    <t>TD1828112</t>
  </si>
  <si>
    <t>TD1828113</t>
  </si>
  <si>
    <t>TB1328154</t>
  </si>
  <si>
    <t>TD2128007</t>
  </si>
  <si>
    <t>TD2128008</t>
  </si>
  <si>
    <t>TD1828119</t>
  </si>
  <si>
    <t>BVDB18041</t>
  </si>
  <si>
    <t>TD1828120</t>
  </si>
  <si>
    <t>13/12/2028</t>
  </si>
  <si>
    <t>TD1828121</t>
  </si>
  <si>
    <t>TD1929175</t>
  </si>
  <si>
    <t>TD1929178</t>
  </si>
  <si>
    <t>TD1929176</t>
  </si>
  <si>
    <t>TD1429094</t>
  </si>
  <si>
    <t>TD1929177</t>
  </si>
  <si>
    <t>TD1929179</t>
  </si>
  <si>
    <t>HCMB14181</t>
  </si>
  <si>
    <t>TD1929180</t>
  </si>
  <si>
    <t>TD1429095</t>
  </si>
  <si>
    <t>15/10/2029</t>
  </si>
  <si>
    <t>BVDB19061</t>
  </si>
  <si>
    <t>13/11/2029</t>
  </si>
  <si>
    <t>BVDB19062</t>
  </si>
  <si>
    <t>BVDB19063</t>
  </si>
  <si>
    <t>BVDB19064</t>
  </si>
  <si>
    <t>TD1929181</t>
  </si>
  <si>
    <t>TD2030011</t>
  </si>
  <si>
    <t>TD1530258</t>
  </si>
  <si>
    <t>TD1530287</t>
  </si>
  <si>
    <t>TD1530288</t>
  </si>
  <si>
    <t>TD2030012</t>
  </si>
  <si>
    <t>TD1530289</t>
  </si>
  <si>
    <t>TD2030013</t>
  </si>
  <si>
    <t>TD1530290</t>
  </si>
  <si>
    <t>TD2030014</t>
  </si>
  <si>
    <t>TD1631461</t>
  </si>
  <si>
    <t>TD1631462</t>
  </si>
  <si>
    <t>TD1631463</t>
  </si>
  <si>
    <t>BVBS16394</t>
  </si>
  <si>
    <t>BVBS16395</t>
  </si>
  <si>
    <t>TD1631464</t>
  </si>
  <si>
    <t>BVBS16410</t>
  </si>
  <si>
    <t>HCMB16506</t>
  </si>
  <si>
    <t>BVBS17082</t>
  </si>
  <si>
    <t>BVDB17316</t>
  </si>
  <si>
    <t>BVDB17317</t>
  </si>
  <si>
    <t>TD2030015</t>
  </si>
  <si>
    <t>TD2030016</t>
  </si>
  <si>
    <t>TD2030017</t>
  </si>
  <si>
    <t>TD2030018</t>
  </si>
  <si>
    <t>BVDB20084</t>
  </si>
  <si>
    <t>TD2030020</t>
  </si>
  <si>
    <t>BVBS20120</t>
  </si>
  <si>
    <t>27/11/2030</t>
  </si>
  <si>
    <t>BVDB20086</t>
  </si>
  <si>
    <t>TD2030135</t>
  </si>
  <si>
    <t>TD2131012</t>
  </si>
  <si>
    <t>TD2131013</t>
  </si>
  <si>
    <t>TD2131014</t>
  </si>
  <si>
    <t>TD2131016</t>
  </si>
  <si>
    <t>TD2131015</t>
  </si>
  <si>
    <t>TD2131017</t>
  </si>
  <si>
    <t>TD1631465</t>
  </si>
  <si>
    <t>BVBS16406</t>
  </si>
  <si>
    <t>TD2131018</t>
  </si>
  <si>
    <t>TD2131019</t>
  </si>
  <si>
    <t>BVDB21094</t>
  </si>
  <si>
    <t>TD1732401</t>
  </si>
  <si>
    <t>TD2232105</t>
  </si>
  <si>
    <t>BVBS17085</t>
  </si>
  <si>
    <t>TD1732402</t>
  </si>
  <si>
    <t>TD1732403</t>
  </si>
  <si>
    <t>TD1732404</t>
  </si>
  <si>
    <t>BVBS17089</t>
  </si>
  <si>
    <t>BVBS17090</t>
  </si>
  <si>
    <t>TD1732405</t>
  </si>
  <si>
    <t>BVBS17092</t>
  </si>
  <si>
    <t>BVDB17319</t>
  </si>
  <si>
    <t>BVDB17320</t>
  </si>
  <si>
    <t>25/12/2032</t>
  </si>
  <si>
    <t>TD1833122</t>
  </si>
  <si>
    <t>BVBS18228</t>
  </si>
  <si>
    <t>BVBS18230</t>
  </si>
  <si>
    <t>BVDB18061</t>
  </si>
  <si>
    <t>12/12/2033</t>
  </si>
  <si>
    <t>TD1934187</t>
  </si>
  <si>
    <t>TD1934189</t>
  </si>
  <si>
    <t>TD1934188</t>
  </si>
  <si>
    <t>TD1934190</t>
  </si>
  <si>
    <t>TD1934191</t>
  </si>
  <si>
    <t>BVBS19145</t>
  </si>
  <si>
    <t>BVBS19146</t>
  </si>
  <si>
    <t>TD1934192</t>
  </si>
  <si>
    <t>17/10/2034</t>
  </si>
  <si>
    <t>BVDB19081</t>
  </si>
  <si>
    <t>BVDB19082</t>
  </si>
  <si>
    <t>BVDB19083</t>
  </si>
  <si>
    <t>BVDB19084</t>
  </si>
  <si>
    <t>TD1934193</t>
  </si>
  <si>
    <t>TD2035021</t>
  </si>
  <si>
    <t>TL1535301</t>
  </si>
  <si>
    <t>TD1636466</t>
  </si>
  <si>
    <t>TD1636502</t>
  </si>
  <si>
    <t>TD1737406</t>
  </si>
  <si>
    <t>TD1737407</t>
  </si>
  <si>
    <t>TD2035022</t>
  </si>
  <si>
    <t>TD2035023</t>
  </si>
  <si>
    <t>TD2035024</t>
  </si>
  <si>
    <t>TD2035025</t>
  </si>
  <si>
    <t>TD2035026</t>
  </si>
  <si>
    <t>TD2035027</t>
  </si>
  <si>
    <t>15/10/2035</t>
  </si>
  <si>
    <t>BVDB20099</t>
  </si>
  <si>
    <t>TD2035028</t>
  </si>
  <si>
    <t>26/11/2035</t>
  </si>
  <si>
    <t>BVBS20126</t>
  </si>
  <si>
    <t>27/11/2035</t>
  </si>
  <si>
    <t>TD2035029</t>
  </si>
  <si>
    <t>17/12/2035</t>
  </si>
  <si>
    <t>TD2136025</t>
  </si>
  <si>
    <t>TD2136026</t>
  </si>
  <si>
    <t>TD2136027</t>
  </si>
  <si>
    <t>TD2136028</t>
  </si>
  <si>
    <t>TD2136029</t>
  </si>
  <si>
    <t>TD2136030</t>
  </si>
  <si>
    <t>25/11/2036</t>
  </si>
  <si>
    <t>TD2237118</t>
  </si>
  <si>
    <t>TD1737408</t>
  </si>
  <si>
    <t>TD1737427</t>
  </si>
  <si>
    <t>TD1838132</t>
  </si>
  <si>
    <t>TD1939200</t>
  </si>
  <si>
    <t>TD1939201</t>
  </si>
  <si>
    <t>TD2040031</t>
  </si>
  <si>
    <t>TD2040032</t>
  </si>
  <si>
    <t>TD2141038</t>
  </si>
  <si>
    <t>TD2141039</t>
  </si>
  <si>
    <t>TD2242128</t>
  </si>
  <si>
    <t>TL1545363</t>
  </si>
  <si>
    <t>TD1646468</t>
  </si>
  <si>
    <t>TD1646469</t>
  </si>
  <si>
    <t>TD1646503</t>
  </si>
  <si>
    <t>TD1747409</t>
  </si>
  <si>
    <t>TD1747410</t>
  </si>
  <si>
    <t>TD1747411</t>
  </si>
  <si>
    <t>TD1747430</t>
  </si>
  <si>
    <t>TD1747431</t>
  </si>
  <si>
    <t>TD1747432</t>
  </si>
  <si>
    <t>TD1848138</t>
  </si>
  <si>
    <t>TD1949205</t>
  </si>
  <si>
    <t>TD1949206</t>
  </si>
  <si>
    <t>TD2050035</t>
  </si>
  <si>
    <t>TD2050036</t>
  </si>
  <si>
    <t>TD2151042</t>
  </si>
  <si>
    <t>TD2151043</t>
  </si>
  <si>
    <t>Currency</t>
  </si>
  <si>
    <t>Duration</t>
  </si>
  <si>
    <t>Security Name</t>
  </si>
  <si>
    <t>Type of Instr.</t>
  </si>
  <si>
    <t>Mat. Date</t>
  </si>
  <si>
    <t>Open Pos</t>
  </si>
  <si>
    <t>Price</t>
  </si>
  <si>
    <t>Clean Price</t>
  </si>
  <si>
    <t>MARKET_VALUE</t>
  </si>
  <si>
    <t>Cpn Rate</t>
  </si>
  <si>
    <t>Accr Int</t>
  </si>
  <si>
    <t>Cpn Cumul</t>
  </si>
  <si>
    <t>Cpn Reinvested</t>
  </si>
  <si>
    <t>Cost of Carry</t>
  </si>
  <si>
    <t>Yield Mat</t>
  </si>
  <si>
    <t>Mod Dur</t>
  </si>
  <si>
    <t>DURATION</t>
  </si>
  <si>
    <t>Cnvx.</t>
  </si>
  <si>
    <t>Cnvx. Value</t>
  </si>
  <si>
    <t>Theta (K)</t>
  </si>
  <si>
    <t>P/L Currency</t>
  </si>
  <si>
    <t>P/L Local</t>
  </si>
  <si>
    <t>P/L Report</t>
  </si>
  <si>
    <t>Avg Yield</t>
  </si>
  <si>
    <t>Brokerage</t>
  </si>
  <si>
    <t>Forex BPV (K)</t>
  </si>
  <si>
    <t>Eq Future</t>
  </si>
  <si>
    <t>QUANTITY</t>
  </si>
  <si>
    <t>Nominal</t>
  </si>
  <si>
    <t>Avg Price</t>
  </si>
  <si>
    <t>BPV (K)</t>
  </si>
  <si>
    <t>REALIZED_CUR</t>
  </si>
  <si>
    <t>UNREALIZED_CUR</t>
  </si>
  <si>
    <t>P/L Clean Price</t>
  </si>
  <si>
    <t>QHB1013027</t>
  </si>
  <si>
    <t>TPKB12031</t>
  </si>
  <si>
    <t>VBS111034</t>
  </si>
  <si>
    <t>VBS111035</t>
  </si>
  <si>
    <t>VBS111042</t>
  </si>
  <si>
    <t>BVDB12138</t>
  </si>
  <si>
    <t>VEC11003</t>
  </si>
  <si>
    <t>VBS111023</t>
  </si>
  <si>
    <t>VEC111030</t>
  </si>
  <si>
    <t>VBS111043</t>
  </si>
  <si>
    <t>BVBS18170</t>
  </si>
  <si>
    <t>BVDB18235</t>
  </si>
  <si>
    <t>12/12/2025</t>
  </si>
  <si>
    <t>BVBS17060</t>
  </si>
  <si>
    <t>31/10/2027</t>
  </si>
  <si>
    <t>BVBS17061</t>
  </si>
  <si>
    <t>BVDB18043</t>
  </si>
  <si>
    <t>26/12/2028</t>
  </si>
  <si>
    <t>BVBS17091</t>
  </si>
  <si>
    <t>31/10/2032</t>
  </si>
  <si>
    <t>Duration_range</t>
  </si>
  <si>
    <t>FNRP-REPO</t>
  </si>
  <si>
    <t>Bonds</t>
  </si>
  <si>
    <t>Deal Id</t>
  </si>
  <si>
    <t>Block Number</t>
  </si>
  <si>
    <t>Trade Date</t>
  </si>
  <si>
    <t>Folder</t>
  </si>
  <si>
    <t>Cpty</t>
  </si>
  <si>
    <t>Counterparty Name</t>
  </si>
  <si>
    <t>Short Name</t>
  </si>
  <si>
    <t>Notional</t>
  </si>
  <si>
    <t>Haircut</t>
  </si>
  <si>
    <t>Value Date</t>
  </si>
  <si>
    <t>Rate</t>
  </si>
  <si>
    <t>Deal Type</t>
  </si>
  <si>
    <t>Accrued</t>
  </si>
  <si>
    <t>Collateral</t>
  </si>
  <si>
    <t>Current Haircut</t>
  </si>
  <si>
    <t>Dur.</t>
  </si>
  <si>
    <t>YTM</t>
  </si>
  <si>
    <t>NPV</t>
  </si>
  <si>
    <t>AFS-PHUONG</t>
  </si>
  <si>
    <t>ST-REPO</t>
  </si>
  <si>
    <t>Repo</t>
  </si>
  <si>
    <t>VIBH</t>
  </si>
  <si>
    <t>TCBV-HO</t>
  </si>
  <si>
    <t>Reverse Repo</t>
  </si>
  <si>
    <t>FNRP Repo</t>
  </si>
  <si>
    <t>Book</t>
  </si>
  <si>
    <t>Market Value</t>
  </si>
  <si>
    <t>Realized Cur</t>
  </si>
  <si>
    <t>Unrealized Cur</t>
  </si>
  <si>
    <t>Quantity</t>
  </si>
  <si>
    <t>VDB</t>
  </si>
  <si>
    <t>B</t>
  </si>
  <si>
    <t>KBNN</t>
  </si>
  <si>
    <t>AFS-DCM</t>
  </si>
  <si>
    <t>AFS-HUY</t>
  </si>
  <si>
    <t>BondsDeals_Id</t>
  </si>
  <si>
    <t>Bonds_ShortName</t>
  </si>
  <si>
    <t>Yield</t>
  </si>
  <si>
    <t>FaceValue</t>
  </si>
  <si>
    <t>Accural</t>
  </si>
  <si>
    <t>GrossAmount</t>
  </si>
  <si>
    <t>ClearingModes_ShortName</t>
  </si>
  <si>
    <t>OurCorres</t>
  </si>
  <si>
    <t>CaptureDate</t>
  </si>
  <si>
    <t>Folders_ShortName</t>
  </si>
  <si>
    <t>BOCaptureDate</t>
  </si>
  <si>
    <t>LegalStatus_Id</t>
  </si>
  <si>
    <t>NoExDividendDays</t>
  </si>
  <si>
    <t>Term</t>
  </si>
  <si>
    <t>Book MSB</t>
  </si>
  <si>
    <t>Book SBV</t>
  </si>
  <si>
    <t>Loại TP</t>
  </si>
  <si>
    <t>Issuer</t>
  </si>
  <si>
    <t>Amt</t>
  </si>
  <si>
    <t>Total Rate</t>
  </si>
  <si>
    <t>Mature Date</t>
  </si>
  <si>
    <t>Tenor left</t>
  </si>
  <si>
    <t>Std Tenor</t>
  </si>
  <si>
    <t>Market Yield</t>
  </si>
  <si>
    <t>UnrealizedPnL</t>
  </si>
  <si>
    <t>MDuration</t>
  </si>
  <si>
    <t>PV01</t>
  </si>
  <si>
    <t>Accr</t>
  </si>
  <si>
    <t>Convexity</t>
  </si>
  <si>
    <t>RptDate</t>
  </si>
  <si>
    <t>Indicators</t>
  </si>
  <si>
    <t>Actual</t>
  </si>
  <si>
    <t>VaR_99</t>
  </si>
  <si>
    <t>BOND_MSB</t>
  </si>
  <si>
    <t>IR</t>
  </si>
  <si>
    <t>ALL</t>
  </si>
  <si>
    <t>Signal</t>
  </si>
  <si>
    <t>Sheet_check</t>
  </si>
  <si>
    <t>Chỉ tiêu</t>
  </si>
  <si>
    <t>Kết quả</t>
  </si>
  <si>
    <t>Deal ps</t>
  </si>
  <si>
    <t>NIM</t>
  </si>
  <si>
    <t>VaR</t>
  </si>
  <si>
    <t>Future</t>
  </si>
  <si>
    <t>Position</t>
  </si>
  <si>
    <t>14D Total MtM PnL</t>
  </si>
  <si>
    <t>Daily PnL</t>
  </si>
  <si>
    <t>Biến động yield</t>
  </si>
  <si>
    <t xml:space="preserve">PnL </t>
  </si>
  <si>
    <t>Ước lượng PnL</t>
  </si>
  <si>
    <t>Tenor</t>
  </si>
  <si>
    <t>1Y</t>
  </si>
  <si>
    <t>2Y</t>
  </si>
  <si>
    <t>3Y</t>
  </si>
  <si>
    <t>4Y</t>
  </si>
  <si>
    <t>5Y</t>
  </si>
  <si>
    <t>7Y</t>
  </si>
  <si>
    <t>10Y</t>
  </si>
  <si>
    <t>15Y</t>
  </si>
  <si>
    <t>20Y</t>
  </si>
  <si>
    <t>30Y</t>
  </si>
  <si>
    <t>RPT date</t>
  </si>
  <si>
    <t>yesterday</t>
  </si>
  <si>
    <t>M-1</t>
  </si>
  <si>
    <t>PnL</t>
  </si>
  <si>
    <t>Estimated PnL</t>
  </si>
  <si>
    <t>Tổ chức phát hành</t>
  </si>
  <si>
    <t>DNGTP</t>
  </si>
  <si>
    <t>TPCQĐP</t>
  </si>
  <si>
    <t>HIFU</t>
  </si>
  <si>
    <t>HPGTP</t>
  </si>
  <si>
    <t>KBNN-HN</t>
  </si>
  <si>
    <t>TPCP</t>
  </si>
  <si>
    <t>QNGTP</t>
  </si>
  <si>
    <t>UBND-DN</t>
  </si>
  <si>
    <t>UBND-HCM</t>
  </si>
  <si>
    <t>UBND-HN</t>
  </si>
  <si>
    <t>UBND-HP</t>
  </si>
  <si>
    <t>UBND-QN</t>
  </si>
  <si>
    <t>VBS</t>
  </si>
  <si>
    <t>TPCPBL</t>
  </si>
  <si>
    <t>CSXH</t>
  </si>
  <si>
    <t>NHPT</t>
  </si>
  <si>
    <t>VEC</t>
  </si>
  <si>
    <t>VGD</t>
  </si>
  <si>
    <t>Kỳ hạn HNX</t>
  </si>
  <si>
    <t>Tenor chuẩn</t>
  </si>
  <si>
    <t>số ngày chuẩn</t>
  </si>
  <si>
    <t>1 Tháng</t>
  </si>
  <si>
    <t>3M</t>
  </si>
  <si>
    <t>2 Tháng</t>
  </si>
  <si>
    <t>6M</t>
  </si>
  <si>
    <t>3 Tháng</t>
  </si>
  <si>
    <t>6 Tháng</t>
  </si>
  <si>
    <t>9 Tháng</t>
  </si>
  <si>
    <t>1 Năm</t>
  </si>
  <si>
    <t>2 Năm</t>
  </si>
  <si>
    <t>3 Năm</t>
  </si>
  <si>
    <t>3 - 5 Năm</t>
  </si>
  <si>
    <t>3-5Y</t>
  </si>
  <si>
    <t>5 Năm</t>
  </si>
  <si>
    <t>5 - 7 Năm</t>
  </si>
  <si>
    <t>5-7Y</t>
  </si>
  <si>
    <t>7 Năm</t>
  </si>
  <si>
    <t>7 - 10 Năm</t>
  </si>
  <si>
    <t>7-10Y</t>
  </si>
  <si>
    <t>10 Năm</t>
  </si>
  <si>
    <t>10 - 15 Năm</t>
  </si>
  <si>
    <t>10-15Y</t>
  </si>
  <si>
    <t>15 Năm</t>
  </si>
  <si>
    <t>15 - 20 Năm</t>
  </si>
  <si>
    <t>15-20Y</t>
  </si>
  <si>
    <t>20 Năm</t>
  </si>
  <si>
    <t>20-25 Năm</t>
  </si>
  <si>
    <t>20-25Y</t>
  </si>
  <si>
    <t>25 Năm</t>
  </si>
  <si>
    <t>25Y</t>
  </si>
  <si>
    <t>25-30 Năm</t>
  </si>
  <si>
    <t>25-30Y</t>
  </si>
  <si>
    <t>30 Năm</t>
  </si>
  <si>
    <t>Min (days)</t>
  </si>
  <si>
    <t>Max (days)</t>
  </si>
  <si>
    <t>Min (year)</t>
  </si>
  <si>
    <t>Max (year)</t>
  </si>
  <si>
    <t>Days (year)</t>
  </si>
  <si>
    <t> 0.5y </t>
  </si>
  <si>
    <t> &lt;0.5 </t>
  </si>
  <si>
    <t> 1y </t>
  </si>
  <si>
    <t> 0.5y-1.0y </t>
  </si>
  <si>
    <t> 1.5y </t>
  </si>
  <si>
    <t> 1.0y-1.5y </t>
  </si>
  <si>
    <t> 2y </t>
  </si>
  <si>
    <t> 1.5y-2.5y </t>
  </si>
  <si>
    <t> 3y </t>
  </si>
  <si>
    <t> 2.5y-3.5y </t>
  </si>
  <si>
    <t> 4y </t>
  </si>
  <si>
    <t> 3.5y-4.5y </t>
  </si>
  <si>
    <t> 5y </t>
  </si>
  <si>
    <t> 4.5y-5.5y </t>
  </si>
  <si>
    <t> 6y </t>
  </si>
  <si>
    <t> 5.5y-6.5y </t>
  </si>
  <si>
    <t> 7y </t>
  </si>
  <si>
    <t> 6.5y-8Y </t>
  </si>
  <si>
    <t> 8Y </t>
  </si>
  <si>
    <t> 8Y-9Y </t>
  </si>
  <si>
    <t> 10y </t>
  </si>
  <si>
    <t> 9y-10y </t>
  </si>
  <si>
    <t> 15y </t>
  </si>
  <si>
    <t> 11y-15y </t>
  </si>
  <si>
    <t> 20y </t>
  </si>
  <si>
    <t> 16y-25y </t>
  </si>
  <si>
    <t> 30y </t>
  </si>
  <si>
    <t> 26y-30y </t>
  </si>
  <si>
    <t>range</t>
  </si>
  <si>
    <t>Desk</t>
  </si>
  <si>
    <t>Unit</t>
  </si>
  <si>
    <t>Average</t>
  </si>
  <si>
    <t>9M</t>
  </si>
  <si>
    <t>1M</t>
  </si>
  <si>
    <t>Yield 53_Yesterday</t>
  </si>
  <si>
    <t>Yield 53_today</t>
  </si>
  <si>
    <t>Yield 53_Last year</t>
  </si>
  <si>
    <t>Yield 53_Last month</t>
  </si>
  <si>
    <t>urgent</t>
  </si>
  <si>
    <t>cân nhắc, vì phải sửa CSDL</t>
  </si>
  <si>
    <t>Hiện phải đến bước lên mặt báo cáo mới dễ xem dữ liệu để phân tích, tại tool chưa đủ thông tin để comment 
Bổ sung sheet "Phan tich" chi tiết chuỗi để phân tích tại tool luôn, hiện đang phải view tại file mặt báo cáo</t>
  </si>
  <si>
    <t>Phan tich</t>
  </si>
  <si>
    <t>FNRP</t>
  </si>
  <si>
    <t>None</t>
  </si>
  <si>
    <t>1. Loại bỏ bớt các dữ liệu không thật sự cần thiết đẩy lên 53
2. Cùng chỉ tiêu nhưng ở các sheet up lên 53 đang tính cách khác nhau, công thức cũng loằng ngoằng, vắt vẻo
Sau khi họp với chị Yến và c HP thì phần detail cho các tchp là VDB, VBS theo từng tenor sẽ bỏ đi. 
Nếu cần dùng thì sẽ dùng nguồn Basel.</t>
  </si>
  <si>
    <t>Dữ liệu kéo về để dạng dọc, trong khi thông tin cần ít 
Cân nhắc đẩy về chiều dọc cho 1 số bảng mà indicator ít ví dụ Other, BF, đẩy bảng cần nhiều thông tin xuống để nếu có cần kéo thêm data thì k vđề</t>
  </si>
  <si>
    <t>NIM là nguồn lấy bên ngoài, có khi sẽ bị quên
=&gt;  Thêm cảnh báo để đến gđ cần lấy dữ liệu vì đây là nguồn chủ động xin bên QLHS &amp; cân nhắc thao tác thủ công do (1. format bên thứ 3 có thể đổi + vẫn input thêm thông tin + thủ công 1 lần/tháng và chỉ mất vài chục giây)</t>
  </si>
  <si>
    <t>Các thông tin limit đang nhập tay =&gt; Dễ sai số liệu nếu k cập nhật kịp thời
Bổ sung limit list, không nhập tay khi có thay đổi limit</t>
  </si>
  <si>
    <t>Input RP_BON_AVA: Nhằm tính Available bond và unrealized P/L tương ứng. (Ban đầu dùng bc RP_BON_AVA, nhưng sau đó bc này lỗi nên cần tính thủ công theo sheet BondDeals. Sau đó quyết định bỏ chỉ số này nên sheet này dừng sử dụng.
=&gt; Bỏ nội dung này</t>
  </si>
  <si>
    <r>
      <t xml:space="preserve">Hiện tool đang duy trì:
+  4 sheets FNRP (2 BB/TB MSB, 2 BB/TB SBV)
+ Đối với 6 FNRP: 4 MSB/SBV (BB/TB); FI bond, PPCD : mỗi FNRP 87 columns mà chỉ sd 1 số lượng nhất định
</t>
    </r>
    <r>
      <rPr>
        <b/>
        <sz val="10"/>
        <color theme="1"/>
        <rFont val="Arial"/>
        <family val="2"/>
      </rPr>
      <t>=&gt; Đề xuất:</t>
    </r>
    <r>
      <rPr>
        <sz val="10"/>
        <color theme="1"/>
        <rFont val="Arial"/>
        <family val="2"/>
      </rPr>
      <t xml:space="preserve">
+ Gộp 2  FNRP MSB (BB/TB) =&gt; Chỉ còn 1 sheet FNRP MSB
+ Gộp 2  FNRP SBV (BB/TB) =&gt; Chỉ còn 1 sheet FNRP SBV
+ Gộp FNRP Future và Repo
+ Chỉ load các thông tin cần thiết
↓ dung lượng, gọn tool</t>
    </r>
  </si>
  <si>
    <t>Hiện tool đang duy trì:
+  4 sheet đẩy lên 53 với cùng cấu trúc
Gộp vào 1 sheet excel , có hyperlink để cần vào phần nào click có liền
=&gt; bớt cồng kềnh</t>
  </si>
  <si>
    <r>
      <t xml:space="preserve">Summary không để lẫn cả các phần phân tích nhỏ:
+ Stress test:  Đẩy vào sheet phân tích
+ NIM: Đẩy vào Other input
</t>
    </r>
    <r>
      <rPr>
        <b/>
        <sz val="10"/>
        <color theme="1"/>
        <rFont val="Arial"/>
        <family val="2"/>
      </rPr>
      <t>=&gt; Đề xuất:</t>
    </r>
    <r>
      <rPr>
        <sz val="10"/>
        <color theme="1"/>
        <rFont val="Arial"/>
        <family val="2"/>
      </rPr>
      <t xml:space="preserve">
Chỉ để phần liên quan đến limit + summary sợ bộ 
Sheet IPV đang để summary gd theo CTPT =&gt; Đẩy về summary load PoQ để lấy từ nguồn file "List deal"</t>
    </r>
  </si>
  <si>
    <t>- PV01 của TB MSB ở sheet Summary đang để giá trị value
- Giá trị này đang ko khớp với giá trị đúng tính từ FRP
'- Duration của BB MSB ở sheet Summary đang để giá trị value
- Duration này ở sheet His.BB lưu lên 53 cũng đang để giá trị value luôn
=&gt; Check lại</t>
  </si>
  <si>
    <t>Các thông tin ở phần đẩy lên 53 đang k phải là công thức =&gt; Check lại
Bond available
Unrealized ItD PnL of Bond available
Concentration by Issuer đang bị fixed cho KBNN, VDB, VBS
Concentration by Term
=&gt; Check lại số bị fix hay do 1 bước copy số từ ngoài đẩy vào, nói chung để ntn rất khó kiểm soát dữ liệu</t>
  </si>
  <si>
    <t>Thực trạng &amp; Đề xuất</t>
  </si>
  <si>
    <t>Concentration by Issuer, term đang để giá trị value, ko có công thức tính cho các ô này
Duration đang để giá trị value</t>
  </si>
  <si>
    <t>- Output là dữ liệu bond cầm cố -&gt; thay vì khai thác nguồn này có thể sd kết quả của LR đã tính kéo từ 53 về sẽ đỡ được 1 bước vào K+ xuất ra.
Bỏ input này do DCM đã có nguồn thông tin từ báo cáo MCO từ bên Thanh khoản, không cần để thông tin này trên mặt báo cáo. Người GSSP có thể xem trực tiếp thông tin này từ báo cáo thanh khoản, không cần kéo dữ liệu từ Thanh khoản về do có thể dữ liệu chưa cập nhật (ngày T-2, không phải T-1)
Lưu ý: Sau khi họp với c Yến và c HP thì KL nội dung này phục vụ DCM tuy nhiên hiên tại DCM đã nhận được báo cáo team TK =&gt; Bỏ nd này đi.</t>
  </si>
  <si>
    <t>PPCD có cần thống nhất phần báo cáo xuất và phần All deal search không? mục đích</t>
  </si>
  <si>
    <t>Cân nhắc bổ sung dần</t>
  </si>
  <si>
    <r>
      <t xml:space="preserve">3 input của 3 sheet này có thể thay thế bằng Liq03 mà LR đang sử dụng. 
</t>
    </r>
    <r>
      <rPr>
        <b/>
        <sz val="10"/>
        <color theme="1"/>
        <rFont val="Arial"/>
        <family val="2"/>
      </rPr>
      <t>Lưu ý:
PPCD (1) do MSB phát hành, (2) MSB đi đầu tư
NGuyên tắc Reconcile
(a) FNRP K+ gồm tất cả các deal có trade date &amp;value date đều là quá khứ =&gt; đi vào hạch toán kế toán. 
(b) Qua trade date chưa đến value date và BO đã valid =&gt; Kế toán sẽ ghi nhận ngoại bảng cho các deal này
(c) Chưa qua trade date và BO chưa valid =&gt; Kế toán không ghi nhận gì nội/ngoại bảng
Nếu reconcile thì sẽ khớp đc giữa K+ và phần kế toán cho mục a và mục b.</t>
    </r>
    <r>
      <rPr>
        <sz val="10"/>
        <color theme="1"/>
        <rFont val="Arial"/>
        <family val="2"/>
      </rPr>
      <t xml:space="preserve">
Tại sao PPCD có gồm các mã MSB, mà liq03 không có? (do liq03 đang care đến phần MSB đang đi đầu tư, không tính các mã MSB phát hành để tính phần tài sản thanh khoản cao). Bên liq03 thì không tính đến các deal ở mục nd cột (H11) 
=&gt; Không lấy nguồn Liq03 được do không khớp dữ liệu K+ (K+ lấy hết các deal, hết các trạng thái trong quy định RR.012)</t>
    </r>
    <r>
      <rPr>
        <sz val="10"/>
        <color rgb="FFFF0000"/>
        <rFont val="Arial"/>
        <family val="2"/>
      </rPr>
      <t xml:space="preserve">
</t>
    </r>
    <r>
      <rPr>
        <b/>
        <sz val="10"/>
        <color rgb="FFFF0000"/>
        <rFont val="Arial"/>
        <family val="2"/>
      </rPr>
      <t/>
    </r>
  </si>
  <si>
    <t>Cân nhắc sau</t>
  </si>
  <si>
    <t>Bổ sung: Bổ sung tối đa các nội dung có thể double check:
+ VaR, PnL set
+ PnL bất thường theo ngưỡng set up</t>
  </si>
  <si>
    <t>Đánh giá (Bond)</t>
  </si>
  <si>
    <t>Hiện đang có nguồn K+ customized xuất từ winscp, KGR, Data 53</t>
  </si>
  <si>
    <t>Bond kéo từ DB53 về, không dùng nguồn nào từ DB K+.</t>
  </si>
  <si>
    <t xml:space="preserve">Áp dụng tối đa </t>
  </si>
  <si>
    <t>Rule &amp; Gap</t>
  </si>
  <si>
    <t>Rà soát, đề xuất</t>
  </si>
  <si>
    <t>Nguồn</t>
  </si>
  <si>
    <t>Ứng dụng power query: 
+ Lấy dữ liệu từ file Excel, từ database 53, web
+ Các thao tác mang tính lặp đi lặp lại hàng ngày (filter ngày báo cáo, lọc bỏ các items không cần thiết, gộp cột…)</t>
  </si>
  <si>
    <t>- Tập trung tại 1 sheet, bôi vàng, note rõ tần suất update</t>
  </si>
  <si>
    <t>Các đầu vào là manual: Tập trung tại 1 sheet, bôi vàng, note rõ tần suất update
+ NIM, VaR, file LBP LBP sheet riêng, NIM và VaR để trong Other input</t>
  </si>
  <si>
    <t>- Các dữ liệu của ngày T-1 nhằm mục đích so sánh giữa 2 ngày
 Nên ứng dụng Power query kéo dữ liệu trực tiếp từ tool công cụ ngày T-1 về, đặt tham số link file để thuận tiện khi thay đổi folder lưu trữ và chỉ lấy trường dữ liệu cần thiết</t>
  </si>
  <si>
    <t xml:space="preserve">- Hạn chế việc copy all dữ liệu từ ngày cũ sang ngày mới (file cồng kềnh, nặng file)
- Linh hoạt việc so sánh ngày T-1, last week, last month, last year
</t>
  </si>
  <si>
    <t>Có thông tin GL, reconcile dữ liệu trạng thái với GL
Có thông tin reconcile với các sp từ báo cáo vốn -&gt; tận dụng nguồn báo cáo này
Trước mình chưa đưa nội dung này thành yêu cầu bắt buộc, dẫn đến:
- Giám sát chưa thực sự nắm rõ hạch toán kế toán của sản phẩm mình đang theo dõi
- Sau tiếp cận đến vốn, phải reconcile với GL cũng sẽ có vướng mắc
Có thêm yêu cầu này sẽ giúp mình hiểu toàn diện 1 sản phẩm hơn.</t>
  </si>
  <si>
    <r>
      <t xml:space="preserve">Tối đa nhất có thể phần tham số trong tool
- Tham số để chạy VBA, code SQL (nếu có)
- Tham số để chạy Power Query
- Tham số đặt công thức cho các ô Excel, trong các sheet của File
</t>
    </r>
    <r>
      <rPr>
        <b/>
        <sz val="10"/>
        <color theme="1"/>
        <rFont val="Arial"/>
        <family val="2"/>
      </rPr>
      <t>Ví dụ:</t>
    </r>
    <r>
      <rPr>
        <sz val="10"/>
        <color theme="1"/>
        <rFont val="Arial"/>
        <family val="2"/>
      </rPr>
      <t xml:space="preserve">
- Tham số ngày
- Tham số link file input
- Tham số cho phần lọc dữ liệu</t>
    </r>
  </si>
  <si>
    <t>K có tình trạng này, chỉ có ở tool FX nhưng tool này cũng đã sửa</t>
  </si>
  <si>
    <t>Apply vào các tool mặt báo cáo</t>
  </si>
  <si>
    <t>Bổ sung dần</t>
  </si>
  <si>
    <t>All</t>
  </si>
  <si>
    <t>JAN</t>
  </si>
  <si>
    <t>Coupon</t>
  </si>
  <si>
    <t>T</t>
  </si>
  <si>
    <t>Total</t>
  </si>
  <si>
    <t>FEB</t>
  </si>
  <si>
    <t>MAR</t>
  </si>
  <si>
    <t>APR</t>
  </si>
  <si>
    <t>MAY</t>
  </si>
  <si>
    <t>JUN</t>
  </si>
  <si>
    <t>JUL</t>
  </si>
  <si>
    <t>AUG</t>
  </si>
  <si>
    <t>SEP</t>
  </si>
  <si>
    <t>OCT</t>
  </si>
  <si>
    <t>Check round cuoi cung</t>
  </si>
  <si>
    <t>De sau</t>
  </si>
  <si>
    <r>
      <t xml:space="preserve">1. Check các dữ liệu bất thường
2. Check vùng dữ liệu chưa được kéo hết công thức
3. Check dữ liệu tăng/giảm mạnh đột biến 
4. Check dữ liệu sắp chạm limit
5. Nhắc lịch định kỳ
- Tất cả các chỉ số có lưu trữ trên máy 53, đều phải có Rule check (Có lưu trữ, có double check, để dữ liệu lưu trữ chính xác, tin cậy để sử dụng. Đã làm, làm cho chuẩn, đỡ phí công sức lưu và bỏ đi ko dùng)
</t>
    </r>
    <r>
      <rPr>
        <b/>
        <sz val="10"/>
        <color theme="1"/>
        <rFont val="Arial"/>
        <family val="2"/>
      </rPr>
      <t>Cụ thể:</t>
    </r>
    <r>
      <rPr>
        <sz val="10"/>
        <color theme="1"/>
        <rFont val="Arial"/>
        <family val="2"/>
      </rPr>
      <t xml:space="preserve">
- Check các ô dữ liệu có chứa công thức bị lỗi #N/A, #Value, #Ref
- Check các dữ liệu biến động bất thường (tăng gấp trên X lần so với dữ liệu ngày T-1 là bất thường or rule khác nào đó)
- Check dữ liệu các vùng cần update nhưng có thể đang bị quên…
- Check các indicator có limit và sắp chạm ngưỡng limit (đạt 80% limit thì warning)
- Theo đặc thù từng loại dữ liệu trong mỗi bảng: Ví dụ với bảng VaR_PnL Set: Rule check với phần VaR: đặt công thức double check nếu Report Date &lt;&gt; Max (Date scenarios) thì đang lưu sai Rpt, nếu data trống (IR+FX+XAU = 0) thì ko lưu trữ
- Check nếu công thức ko được kéo hết hoặc vùng dữ liệu của Pivot lấy thiếu data -- &gt; Kết quả sai
- Nếu là ngày bao nhiêu đó của tháng thì nhắc đã update VTC chưa...
- Check dữ liệu này đã được update chưa
- Check max-min của chart</t>
    </r>
  </si>
  <si>
    <t>Note</t>
  </si>
  <si>
    <t>FI</t>
  </si>
  <si>
    <t>Lo nam</t>
  </si>
  <si>
    <t>Trang thai mo</t>
  </si>
  <si>
    <t>Hien thuc hoa lai nam</t>
  </si>
  <si>
    <t>Input_data</t>
  </si>
  <si>
    <t>Class</t>
  </si>
  <si>
    <t>Market</t>
  </si>
  <si>
    <t>Type_of_Deal</t>
  </si>
  <si>
    <t>Rpt_Grp</t>
  </si>
  <si>
    <t>Tenor_Grp</t>
  </si>
  <si>
    <t>Tenor_Value</t>
  </si>
  <si>
    <t>Limits_ALCO</t>
  </si>
  <si>
    <t>Limits_FI</t>
  </si>
  <si>
    <t>Dealers</t>
  </si>
  <si>
    <t>Tittles</t>
  </si>
  <si>
    <t>Limit_breaches</t>
  </si>
  <si>
    <t>Spot</t>
  </si>
  <si>
    <t>Bio VND</t>
  </si>
  <si>
    <t>DCM</t>
  </si>
  <si>
    <t>TPCQDP</t>
  </si>
  <si>
    <t>By_remain_tenors_ Standard</t>
  </si>
  <si>
    <t>Market_value</t>
  </si>
  <si>
    <t>Years</t>
  </si>
  <si>
    <t>Modified_Duration</t>
  </si>
  <si>
    <t>PV100</t>
  </si>
  <si>
    <t>Clean price</t>
  </si>
  <si>
    <t>Lo thang</t>
  </si>
  <si>
    <t>Lo ngay</t>
  </si>
  <si>
    <t>ItD_PnL_Realised</t>
  </si>
  <si>
    <t>ItD_PnL_Unrealised</t>
  </si>
  <si>
    <t>%</t>
  </si>
  <si>
    <t>Unrealized_ItD_MtM_PnL</t>
  </si>
  <si>
    <t>LBP_Nominal_Value</t>
  </si>
  <si>
    <t>LBP_LSLK</t>
  </si>
  <si>
    <t>PP net</t>
  </si>
  <si>
    <t>PP absolute</t>
  </si>
  <si>
    <t>Spot+Future</t>
  </si>
  <si>
    <t>years</t>
  </si>
  <si>
    <t>Concentration by Issuer</t>
  </si>
  <si>
    <t>Concentration by Term</t>
  </si>
  <si>
    <t>≤5Y</t>
  </si>
  <si>
    <t>≥20Y</t>
  </si>
  <si>
    <t>Bond Hedging LBP</t>
  </si>
  <si>
    <t>TCPH</t>
  </si>
  <si>
    <t>BVBS14199</t>
  </si>
  <si>
    <t>BVBS15105</t>
  </si>
  <si>
    <t>BVBS15141</t>
  </si>
  <si>
    <t>BVBS15145</t>
  </si>
  <si>
    <t>BVBS15146</t>
  </si>
  <si>
    <t>BVBS15147</t>
  </si>
  <si>
    <t>BVBS15148</t>
  </si>
  <si>
    <t>BVBS15149</t>
  </si>
  <si>
    <t>BVBS15155</t>
  </si>
  <si>
    <t>BVBS15160</t>
  </si>
  <si>
    <t>BVBS15173</t>
  </si>
  <si>
    <t>BVBS15176</t>
  </si>
  <si>
    <t>BVBS15177</t>
  </si>
  <si>
    <t>BVBS15178</t>
  </si>
  <si>
    <t>BVBS16365</t>
  </si>
  <si>
    <t>BVBS16367</t>
  </si>
  <si>
    <t>BVBS16368</t>
  </si>
  <si>
    <t>BVBS16369</t>
  </si>
  <si>
    <t>BVBS16370</t>
  </si>
  <si>
    <t>BVBS16373</t>
  </si>
  <si>
    <t>BVBS16403</t>
  </si>
  <si>
    <t>BVBS16405</t>
  </si>
  <si>
    <t>BVBS16408</t>
  </si>
  <si>
    <t>BVBS16409</t>
  </si>
  <si>
    <t>BVBS16411</t>
  </si>
  <si>
    <t>BVBS17052</t>
  </si>
  <si>
    <t>BVBS17055</t>
  </si>
  <si>
    <t>BVBS17056</t>
  </si>
  <si>
    <t>BVBS17058</t>
  </si>
  <si>
    <t>BVBS17062</t>
  </si>
  <si>
    <t>BVBS17063</t>
  </si>
  <si>
    <t>BVBS17064</t>
  </si>
  <si>
    <t>BVBS17065</t>
  </si>
  <si>
    <t>BVBS17081</t>
  </si>
  <si>
    <t>BVBS17083</t>
  </si>
  <si>
    <t>BVBS17084</t>
  </si>
  <si>
    <t>BVBS17086</t>
  </si>
  <si>
    <t>BVBS17087</t>
  </si>
  <si>
    <t>BVBS17088</t>
  </si>
  <si>
    <t>BVBS17093</t>
  </si>
  <si>
    <t>BVBS17094</t>
  </si>
  <si>
    <t>BVBS17095</t>
  </si>
  <si>
    <t>BVBS18160</t>
  </si>
  <si>
    <t>BVBS18161</t>
  </si>
  <si>
    <t>BVBS18164</t>
  </si>
  <si>
    <t>BVBS18165</t>
  </si>
  <si>
    <t>BVBS18166</t>
  </si>
  <si>
    <t>BVBS18169</t>
  </si>
  <si>
    <t>BVBS18171</t>
  </si>
  <si>
    <t>BVBS18196</t>
  </si>
  <si>
    <t>BVBS18222</t>
  </si>
  <si>
    <t>BVBS18223</t>
  </si>
  <si>
    <t>BVBS18225</t>
  </si>
  <si>
    <t>BVBS18226</t>
  </si>
  <si>
    <t>BVBS18227</t>
  </si>
  <si>
    <t>BVBS18229</t>
  </si>
  <si>
    <t>BVBS18231</t>
  </si>
  <si>
    <t>BVBS19126</t>
  </si>
  <si>
    <t>BVBS19127</t>
  </si>
  <si>
    <t>BVBS19144</t>
  </si>
  <si>
    <t>BVDB13059</t>
  </si>
  <si>
    <t>BVDB13061</t>
  </si>
  <si>
    <t>BVDB13063</t>
  </si>
  <si>
    <t>BVDB13064</t>
  </si>
  <si>
    <t>BVDB13151</t>
  </si>
  <si>
    <t>BVDB13249</t>
  </si>
  <si>
    <t>BVDB14149</t>
  </si>
  <si>
    <t>BVDB15235</t>
  </si>
  <si>
    <t>BVDB15241</t>
  </si>
  <si>
    <t>BVDB15242</t>
  </si>
  <si>
    <t>BVDB15244</t>
  </si>
  <si>
    <t>BVDB15247</t>
  </si>
  <si>
    <t>BVDB15248</t>
  </si>
  <si>
    <t>BVDB15251</t>
  </si>
  <si>
    <t>BVDB16205</t>
  </si>
  <si>
    <t>BVDB17266</t>
  </si>
  <si>
    <t>BVDB17271</t>
  </si>
  <si>
    <t>BVDB17315</t>
  </si>
  <si>
    <t>BVDB17318</t>
  </si>
  <si>
    <t>BVDB18021</t>
  </si>
  <si>
    <t>BVDB18042</t>
  </si>
  <si>
    <t>BVDB18063</t>
  </si>
  <si>
    <t>BVDB18237</t>
  </si>
  <si>
    <t>BVDB19021</t>
  </si>
  <si>
    <t>HCMB13257</t>
  </si>
  <si>
    <t>HCMB13262</t>
  </si>
  <si>
    <t>HCMB15312</t>
  </si>
  <si>
    <t>HCMB15313</t>
  </si>
  <si>
    <t>HCMB17435</t>
  </si>
  <si>
    <t>HCMB17436</t>
  </si>
  <si>
    <t>HPGB17438</t>
  </si>
  <si>
    <t>QHB0823036</t>
  </si>
  <si>
    <t>QHB0823039</t>
  </si>
  <si>
    <t>QHB0823044</t>
  </si>
  <si>
    <t>QHB0823049</t>
  </si>
  <si>
    <t>QHD0823023</t>
  </si>
  <si>
    <t>QHD0823031</t>
  </si>
  <si>
    <t>QHD0823032</t>
  </si>
  <si>
    <t>QHD0823042</t>
  </si>
  <si>
    <t>QHD0823050</t>
  </si>
  <si>
    <t>TD1424204</t>
  </si>
  <si>
    <t>TD1646495</t>
  </si>
  <si>
    <t>TD1823089</t>
  </si>
  <si>
    <t>TD1828114</t>
  </si>
  <si>
    <t>TD1828115</t>
  </si>
  <si>
    <t>TD1828116</t>
  </si>
  <si>
    <t>TD1828117</t>
  </si>
  <si>
    <t>TD1828118</t>
  </si>
  <si>
    <t>TD1833123</t>
  </si>
  <si>
    <t>TD1833124</t>
  </si>
  <si>
    <t>TD1833126</t>
  </si>
  <si>
    <t>TD1833127</t>
  </si>
  <si>
    <t>TD1833128</t>
  </si>
  <si>
    <t>TD1833129</t>
  </si>
  <si>
    <t>TD1833130</t>
  </si>
  <si>
    <t>TD1848139</t>
  </si>
  <si>
    <t>TL1535299</t>
  </si>
  <si>
    <t>TL1535300</t>
  </si>
  <si>
    <t>TL1535302</t>
  </si>
  <si>
    <t>VDB111010</t>
  </si>
  <si>
    <t>VEC10801</t>
  </si>
  <si>
    <t>Mã trái phiếu</t>
  </si>
  <si>
    <t>BVBS12096</t>
  </si>
  <si>
    <t>BVBS12097</t>
  </si>
  <si>
    <t>BVBS12100</t>
  </si>
  <si>
    <t>BVBS12121</t>
  </si>
  <si>
    <t>BVBS12123</t>
  </si>
  <si>
    <t>BVBS12126</t>
  </si>
  <si>
    <t>BVBS12154</t>
  </si>
  <si>
    <t>BVBS12155</t>
  </si>
  <si>
    <t>BVBS12156</t>
  </si>
  <si>
    <t>BVBS13077</t>
  </si>
  <si>
    <t>BVBS13078</t>
  </si>
  <si>
    <t>BVBS13079</t>
  </si>
  <si>
    <t>BVBS13080</t>
  </si>
  <si>
    <t>BVBS13082</t>
  </si>
  <si>
    <t>BVBS13083</t>
  </si>
  <si>
    <t>BVBS13084</t>
  </si>
  <si>
    <t>BVBS13086</t>
  </si>
  <si>
    <t>BVBS13087</t>
  </si>
  <si>
    <t>BVBS13089</t>
  </si>
  <si>
    <t>BVBS13090</t>
  </si>
  <si>
    <t>BVBS13091</t>
  </si>
  <si>
    <t>BVBS13101</t>
  </si>
  <si>
    <t>BVBS13102</t>
  </si>
  <si>
    <t>BVBS13108</t>
  </si>
  <si>
    <t>BVBS13165</t>
  </si>
  <si>
    <t>BVBS13166</t>
  </si>
  <si>
    <t>BVBS13167</t>
  </si>
  <si>
    <t>BVBS13170</t>
  </si>
  <si>
    <t>BVBS13174</t>
  </si>
  <si>
    <t>BVBS13175</t>
  </si>
  <si>
    <t>BVBS13186</t>
  </si>
  <si>
    <t>BVBS13210</t>
  </si>
  <si>
    <t>BVBS14001</t>
  </si>
  <si>
    <t>BVBS14011</t>
  </si>
  <si>
    <t>BVBS14012</t>
  </si>
  <si>
    <t>BVBS14013</t>
  </si>
  <si>
    <t>BVBS14015</t>
  </si>
  <si>
    <t>BVBS14016</t>
  </si>
  <si>
    <t>BVBS14017</t>
  </si>
  <si>
    <t>BVBS14019</t>
  </si>
  <si>
    <t>BVBS14024</t>
  </si>
  <si>
    <t>BVBS14028</t>
  </si>
  <si>
    <t>BVBS14036</t>
  </si>
  <si>
    <t>BVBS14037</t>
  </si>
  <si>
    <t>BVBS14041</t>
  </si>
  <si>
    <t>BVBS14042</t>
  </si>
  <si>
    <t>BVBS14043</t>
  </si>
  <si>
    <t>BVBS14044</t>
  </si>
  <si>
    <t>BVBS14046</t>
  </si>
  <si>
    <t>BVBS14050</t>
  </si>
  <si>
    <t>BVBS14052</t>
  </si>
  <si>
    <t>BVBS15021</t>
  </si>
  <si>
    <t>BVBS15022</t>
  </si>
  <si>
    <t>BVBS15023</t>
  </si>
  <si>
    <t>BVBS15024</t>
  </si>
  <si>
    <t>BVBS15025</t>
  </si>
  <si>
    <t>BVBS15026</t>
  </si>
  <si>
    <t>BVBS15027</t>
  </si>
  <si>
    <t>BVBS15029</t>
  </si>
  <si>
    <t>BVBS15030</t>
  </si>
  <si>
    <t>BVBS15031</t>
  </si>
  <si>
    <t>BVBS15035</t>
  </si>
  <si>
    <t>BVBS15036</t>
  </si>
  <si>
    <t>BVBS15037</t>
  </si>
  <si>
    <t>BVBS15039</t>
  </si>
  <si>
    <t>BVBS15040</t>
  </si>
  <si>
    <t>BVBS15050</t>
  </si>
  <si>
    <t>BVBS15051</t>
  </si>
  <si>
    <t>BVBS15052</t>
  </si>
  <si>
    <t>BVBS15053</t>
  </si>
  <si>
    <t>BVBS15054</t>
  </si>
  <si>
    <t>BVBS15056</t>
  </si>
  <si>
    <t>BVBS15057</t>
  </si>
  <si>
    <t>BVBS15058</t>
  </si>
  <si>
    <t>BVBS15059</t>
  </si>
  <si>
    <t>BVBS15060</t>
  </si>
  <si>
    <t>BVBS15061</t>
  </si>
  <si>
    <t>BVBS15062</t>
  </si>
  <si>
    <t>BVBS15063</t>
  </si>
  <si>
    <t>BVBS15064</t>
  </si>
  <si>
    <t>BVBS15065</t>
  </si>
  <si>
    <t>BVBS15066</t>
  </si>
  <si>
    <t>BVBS15067</t>
  </si>
  <si>
    <t>BVBS15091</t>
  </si>
  <si>
    <t>BVBS15092</t>
  </si>
  <si>
    <t>BVBS15093</t>
  </si>
  <si>
    <t>BVBS15094</t>
  </si>
  <si>
    <t>BVBS15095</t>
  </si>
  <si>
    <t>BVBS15098</t>
  </si>
  <si>
    <t>BVBS16276</t>
  </si>
  <si>
    <t>BVBS16277</t>
  </si>
  <si>
    <t>BVBS16279</t>
  </si>
  <si>
    <t>BVBS16280</t>
  </si>
  <si>
    <t>BVBS16281</t>
  </si>
  <si>
    <t>BVBS16318</t>
  </si>
  <si>
    <t>BVBS16321</t>
  </si>
  <si>
    <t>BVBS16322</t>
  </si>
  <si>
    <t>BVBS16323</t>
  </si>
  <si>
    <t>BVBS16324</t>
  </si>
  <si>
    <t>BVBS16325</t>
  </si>
  <si>
    <t>BVBS16326</t>
  </si>
  <si>
    <t>BVBS16327</t>
  </si>
  <si>
    <t>BVBS16328</t>
  </si>
  <si>
    <t>BVBS16329</t>
  </si>
  <si>
    <t>BVBS16330</t>
  </si>
  <si>
    <t>BVBS16331</t>
  </si>
  <si>
    <t>BVBS16332</t>
  </si>
  <si>
    <t>BVBS16333</t>
  </si>
  <si>
    <t>BVBS16335</t>
  </si>
  <si>
    <t>BVBS17024</t>
  </si>
  <si>
    <t>BVBS17025</t>
  </si>
  <si>
    <t>BVBS17026</t>
  </si>
  <si>
    <t>BVBS17027</t>
  </si>
  <si>
    <t>BVBS17028</t>
  </si>
  <si>
    <t>BVBS18145</t>
  </si>
  <si>
    <t>BVBS18146</t>
  </si>
  <si>
    <t>BVBS18147</t>
  </si>
  <si>
    <t>BVBS18148</t>
  </si>
  <si>
    <t>BVDB12078</t>
  </si>
  <si>
    <t>BVDB12145</t>
  </si>
  <si>
    <t>BVDB12147</t>
  </si>
  <si>
    <t>BVDB12149</t>
  </si>
  <si>
    <t>BVDB12151</t>
  </si>
  <si>
    <t>BVDB12190</t>
  </si>
  <si>
    <t>BVDB12191</t>
  </si>
  <si>
    <t>BVDB12193</t>
  </si>
  <si>
    <t>BVDB12195</t>
  </si>
  <si>
    <t>BVDB12196</t>
  </si>
  <si>
    <t>BVDB12197</t>
  </si>
  <si>
    <t>BVDB12205</t>
  </si>
  <si>
    <t>BVDB12208</t>
  </si>
  <si>
    <t>BVDB12209</t>
  </si>
  <si>
    <t>BVDB13035</t>
  </si>
  <si>
    <t>BVDB13036</t>
  </si>
  <si>
    <t>BVDB13039</t>
  </si>
  <si>
    <t>BVDB13043</t>
  </si>
  <si>
    <t>BVDB13044</t>
  </si>
  <si>
    <t>BVDB13047</t>
  </si>
  <si>
    <t>BVDB13048</t>
  </si>
  <si>
    <t>BVDB13049</t>
  </si>
  <si>
    <t>BVDB13050</t>
  </si>
  <si>
    <t>BVDB13051</t>
  </si>
  <si>
    <t>BVDB13054</t>
  </si>
  <si>
    <t>BVDB13119</t>
  </si>
  <si>
    <t>BVDB13125</t>
  </si>
  <si>
    <t>BVDB13134</t>
  </si>
  <si>
    <t>BVDB13135</t>
  </si>
  <si>
    <t>BVDB13137</t>
  </si>
  <si>
    <t>BVDB13138</t>
  </si>
  <si>
    <t>BVDB13139</t>
  </si>
  <si>
    <t>BVDB13142</t>
  </si>
  <si>
    <t>BVDB13143</t>
  </si>
  <si>
    <t>BVDB13223</t>
  </si>
  <si>
    <t>BVDB13226</t>
  </si>
  <si>
    <t>BVDB13227</t>
  </si>
  <si>
    <t>BVDB13229</t>
  </si>
  <si>
    <t>BVDB13233</t>
  </si>
  <si>
    <t>BVDB13234</t>
  </si>
  <si>
    <t>BVDB13237</t>
  </si>
  <si>
    <t>BVDB13239</t>
  </si>
  <si>
    <t>BVDB13243</t>
  </si>
  <si>
    <t>BVDB13244</t>
  </si>
  <si>
    <t>BVDB13264</t>
  </si>
  <si>
    <t>BVDB13271</t>
  </si>
  <si>
    <t>BVDB13291</t>
  </si>
  <si>
    <t>BVDB13292</t>
  </si>
  <si>
    <t>BVDB13295</t>
  </si>
  <si>
    <t>BVDB14116</t>
  </si>
  <si>
    <t>BVDB14118</t>
  </si>
  <si>
    <t>BVDB14133</t>
  </si>
  <si>
    <t>BVDB14134</t>
  </si>
  <si>
    <t>BVDB14138</t>
  </si>
  <si>
    <t>BVDB15208</t>
  </si>
  <si>
    <t>BVDB15209</t>
  </si>
  <si>
    <t>BVDB15221</t>
  </si>
  <si>
    <t>BVDB15326</t>
  </si>
  <si>
    <t>BVDB16054</t>
  </si>
  <si>
    <t>BVDB16055</t>
  </si>
  <si>
    <t>BVDB16056</t>
  </si>
  <si>
    <t>BVDB16104</t>
  </si>
  <si>
    <t>BVDB17215</t>
  </si>
  <si>
    <t>BVGD16497</t>
  </si>
  <si>
    <t>CP061102</t>
  </si>
  <si>
    <t>CP061103</t>
  </si>
  <si>
    <t>CP061104</t>
  </si>
  <si>
    <t>CP061105</t>
  </si>
  <si>
    <t>CP061106</t>
  </si>
  <si>
    <t>CP061107</t>
  </si>
  <si>
    <t>CP061108</t>
  </si>
  <si>
    <t>CP061109</t>
  </si>
  <si>
    <t>CP061110</t>
  </si>
  <si>
    <t>CP061111</t>
  </si>
  <si>
    <t>CP061112</t>
  </si>
  <si>
    <t>CP061113</t>
  </si>
  <si>
    <t>CP061114</t>
  </si>
  <si>
    <t>CP061115</t>
  </si>
  <si>
    <t>CP061116</t>
  </si>
  <si>
    <t>CP061117</t>
  </si>
  <si>
    <t>CP061119</t>
  </si>
  <si>
    <t>CP061121</t>
  </si>
  <si>
    <t>CP061122</t>
  </si>
  <si>
    <t>CP061123</t>
  </si>
  <si>
    <t>CP061124</t>
  </si>
  <si>
    <t>CP061125</t>
  </si>
  <si>
    <t>CP061126</t>
  </si>
  <si>
    <t>CP061318</t>
  </si>
  <si>
    <t>CP061320</t>
  </si>
  <si>
    <t>CP061327</t>
  </si>
  <si>
    <t>CP061601</t>
  </si>
  <si>
    <t>CP071201</t>
  </si>
  <si>
    <t>CP071202</t>
  </si>
  <si>
    <t>CP071203</t>
  </si>
  <si>
    <t>CP071204</t>
  </si>
  <si>
    <t>CP071205</t>
  </si>
  <si>
    <t>CP071206</t>
  </si>
  <si>
    <t>CP071207</t>
  </si>
  <si>
    <t>CP071208</t>
  </si>
  <si>
    <t>CP071209</t>
  </si>
  <si>
    <t>CP071210</t>
  </si>
  <si>
    <t>CP071211</t>
  </si>
  <si>
    <t>CP071213</t>
  </si>
  <si>
    <t>CP071215</t>
  </si>
  <si>
    <t>CP071217</t>
  </si>
  <si>
    <t>CP071218</t>
  </si>
  <si>
    <t>CP071219</t>
  </si>
  <si>
    <t>CP071220</t>
  </si>
  <si>
    <t>CP071221</t>
  </si>
  <si>
    <t>CP071222</t>
  </si>
  <si>
    <t>CP071223</t>
  </si>
  <si>
    <t>CP071224</t>
  </si>
  <si>
    <t>CP071225</t>
  </si>
  <si>
    <t>CP071412</t>
  </si>
  <si>
    <t>CP071414</t>
  </si>
  <si>
    <t>CP071416</t>
  </si>
  <si>
    <t>CP4A0102</t>
  </si>
  <si>
    <t>CP4A0103</t>
  </si>
  <si>
    <t>CP4A0104</t>
  </si>
  <si>
    <t>CP4A0202</t>
  </si>
  <si>
    <t>CP4A0203</t>
  </si>
  <si>
    <t>CP4A0302</t>
  </si>
  <si>
    <t>CP4A0303</t>
  </si>
  <si>
    <t>CP4A0304</t>
  </si>
  <si>
    <t>CP4A0403</t>
  </si>
  <si>
    <t>CP4A0502</t>
  </si>
  <si>
    <t>CP4A0504</t>
  </si>
  <si>
    <t>CP4A0602</t>
  </si>
  <si>
    <t>CP4A0603</t>
  </si>
  <si>
    <t>CP4A0702</t>
  </si>
  <si>
    <t>CP4A0703</t>
  </si>
  <si>
    <t>CP4A0704</t>
  </si>
  <si>
    <t>CP4A0802</t>
  </si>
  <si>
    <t>CP4A0804</t>
  </si>
  <si>
    <t>CP4A0902</t>
  </si>
  <si>
    <t>CP4A0903</t>
  </si>
  <si>
    <t>CP4A0904</t>
  </si>
  <si>
    <t>CP4A1002</t>
  </si>
  <si>
    <t>CP4A1003</t>
  </si>
  <si>
    <t>CP4A1102</t>
  </si>
  <si>
    <t>CP4A1104</t>
  </si>
  <si>
    <t>CP4A1204</t>
  </si>
  <si>
    <t>CP4A1303</t>
  </si>
  <si>
    <t>CP4A1304</t>
  </si>
  <si>
    <t>CP4A1403</t>
  </si>
  <si>
    <t>CP4A1503</t>
  </si>
  <si>
    <t>CP4A1504</t>
  </si>
  <si>
    <t>CP4A1604</t>
  </si>
  <si>
    <t>CP4A1703</t>
  </si>
  <si>
    <t>CP4A1704</t>
  </si>
  <si>
    <t>CP4A1803</t>
  </si>
  <si>
    <t>CP4A1804</t>
  </si>
  <si>
    <t>CP4A1903</t>
  </si>
  <si>
    <t>CP4A2003</t>
  </si>
  <si>
    <t>CP4A2004</t>
  </si>
  <si>
    <t>CP4A2204</t>
  </si>
  <si>
    <t>CP4A2303</t>
  </si>
  <si>
    <t>CP4A2304</t>
  </si>
  <si>
    <t>CP4A2403</t>
  </si>
  <si>
    <t>CP4A2404</t>
  </si>
  <si>
    <t>CP4A2503</t>
  </si>
  <si>
    <t>CP4A2504</t>
  </si>
  <si>
    <t>CP4A2603</t>
  </si>
  <si>
    <t>CP4A2604</t>
  </si>
  <si>
    <t>CP4A2703</t>
  </si>
  <si>
    <t>CP4A2704</t>
  </si>
  <si>
    <t>CP4A2904</t>
  </si>
  <si>
    <t>CP4A3003</t>
  </si>
  <si>
    <t>CP4A3004</t>
  </si>
  <si>
    <t>CP4A3303</t>
  </si>
  <si>
    <t>CP4A3304</t>
  </si>
  <si>
    <t>CP4A3503</t>
  </si>
  <si>
    <t>CP4A3603</t>
  </si>
  <si>
    <t>CP4A3703</t>
  </si>
  <si>
    <t>CP4A4003</t>
  </si>
  <si>
    <t>CP4A4403</t>
  </si>
  <si>
    <t>CP4A4603</t>
  </si>
  <si>
    <t>CP4A4803</t>
  </si>
  <si>
    <t>CP4A4903</t>
  </si>
  <si>
    <t>CP4A5003</t>
  </si>
  <si>
    <t>CP4_0102</t>
  </si>
  <si>
    <t>CP4_0104</t>
  </si>
  <si>
    <t>CP4_0204</t>
  </si>
  <si>
    <t>CP4_0404</t>
  </si>
  <si>
    <t>CP4_0503</t>
  </si>
  <si>
    <t>CP4_0504</t>
  </si>
  <si>
    <t>CP4_0902</t>
  </si>
  <si>
    <t>CP4_1004</t>
  </si>
  <si>
    <t>CP4_1803</t>
  </si>
  <si>
    <t>CPB070932</t>
  </si>
  <si>
    <t>CPB070934</t>
  </si>
  <si>
    <t>CPB070937</t>
  </si>
  <si>
    <t>CPB070939</t>
  </si>
  <si>
    <t>CPB070945</t>
  </si>
  <si>
    <t>CPB071029</t>
  </si>
  <si>
    <t>CPB071032</t>
  </si>
  <si>
    <t>CPB071034</t>
  </si>
  <si>
    <t>CPB071234</t>
  </si>
  <si>
    <t>CPB071237</t>
  </si>
  <si>
    <t>CPB071242</t>
  </si>
  <si>
    <t>CPB071245</t>
  </si>
  <si>
    <t>CPB071247</t>
  </si>
  <si>
    <t>CPB0810004</t>
  </si>
  <si>
    <t>CPB0810010</t>
  </si>
  <si>
    <t>CPB0810012</t>
  </si>
  <si>
    <t>CPB0810016</t>
  </si>
  <si>
    <t>CPB0810021</t>
  </si>
  <si>
    <t>CPB0810024</t>
  </si>
  <si>
    <t>CPB0810028</t>
  </si>
  <si>
    <t>CPB0810037</t>
  </si>
  <si>
    <t>CPB0810045</t>
  </si>
  <si>
    <t>CPB0810051</t>
  </si>
  <si>
    <t>CPB0810057</t>
  </si>
  <si>
    <t>CPB0810070</t>
  </si>
  <si>
    <t>CPB0810079</t>
  </si>
  <si>
    <t>CPB0810082</t>
  </si>
  <si>
    <t>CPB0811019</t>
  </si>
  <si>
    <t>CPB0811025</t>
  </si>
  <si>
    <t>CPB0811029</t>
  </si>
  <si>
    <t>CPB0811038</t>
  </si>
  <si>
    <t>CPB0811046</t>
  </si>
  <si>
    <t>CPB0811052</t>
  </si>
  <si>
    <t>CPB0811071</t>
  </si>
  <si>
    <t>CPB0811080</t>
  </si>
  <si>
    <t>CPB0811083</t>
  </si>
  <si>
    <t>CPB0813005</t>
  </si>
  <si>
    <t>CPB0813011</t>
  </si>
  <si>
    <t>CPB0813013</t>
  </si>
  <si>
    <t>CPB0813058</t>
  </si>
  <si>
    <t>CPB0911001</t>
  </si>
  <si>
    <t>CPB0911009</t>
  </si>
  <si>
    <t>CPB0911027</t>
  </si>
  <si>
    <t>CPB0912002</t>
  </si>
  <si>
    <t>CPB0912010</t>
  </si>
  <si>
    <t>CPB0912011</t>
  </si>
  <si>
    <t>CPB0912012</t>
  </si>
  <si>
    <t>CPB0912028</t>
  </si>
  <si>
    <t>CPB0914003</t>
  </si>
  <si>
    <t>CPB1012001</t>
  </si>
  <si>
    <t>CPB1012003</t>
  </si>
  <si>
    <t>CPB1012010</t>
  </si>
  <si>
    <t>CPD071043</t>
  </si>
  <si>
    <t>CPD071044</t>
  </si>
  <si>
    <t>CPD071046</t>
  </si>
  <si>
    <t>CPD071226</t>
  </si>
  <si>
    <t>CPD071227</t>
  </si>
  <si>
    <t>CPD071228</t>
  </si>
  <si>
    <t>CPD071230</t>
  </si>
  <si>
    <t>CPD071233</t>
  </si>
  <si>
    <t>CPD071235</t>
  </si>
  <si>
    <t>CPD071236</t>
  </si>
  <si>
    <t>CPD071238</t>
  </si>
  <si>
    <t>CPD071240</t>
  </si>
  <si>
    <t>CPD071241</t>
  </si>
  <si>
    <t>CPD071243</t>
  </si>
  <si>
    <t>CPD071244</t>
  </si>
  <si>
    <t>CPD071246</t>
  </si>
  <si>
    <t>CPD0810017</t>
  </si>
  <si>
    <t>CPD0810022</t>
  </si>
  <si>
    <t>CPD0810026</t>
  </si>
  <si>
    <t>CPD0810034</t>
  </si>
  <si>
    <t>CPD0810040</t>
  </si>
  <si>
    <t>CPD0810074</t>
  </si>
  <si>
    <t>CPD0810081</t>
  </si>
  <si>
    <t>CPD0811002</t>
  </si>
  <si>
    <t>CPD0811008</t>
  </si>
  <si>
    <t>CPD0811035</t>
  </si>
  <si>
    <t>CPD0811041</t>
  </si>
  <si>
    <t>CPD0813001</t>
  </si>
  <si>
    <t>CPD0813009</t>
  </si>
  <si>
    <t>CPD0813027</t>
  </si>
  <si>
    <t>CPD0911004</t>
  </si>
  <si>
    <t>CPD0914026</t>
  </si>
  <si>
    <t>CPD1012012</t>
  </si>
  <si>
    <t>CPD1012024</t>
  </si>
  <si>
    <t>CPD1012032</t>
  </si>
  <si>
    <t>CPD1013014</t>
  </si>
  <si>
    <t>CPD1013025</t>
  </si>
  <si>
    <t>CPD1015026</t>
  </si>
  <si>
    <t>CPD1015033</t>
  </si>
  <si>
    <t>DNGH13066</t>
  </si>
  <si>
    <t>HCMB0901</t>
  </si>
  <si>
    <t>HCMB0902</t>
  </si>
  <si>
    <t>HCMB0903</t>
  </si>
  <si>
    <t>HCMB12203</t>
  </si>
  <si>
    <t>HCMB13255</t>
  </si>
  <si>
    <t>HCMB13256</t>
  </si>
  <si>
    <t>HCMB13261</t>
  </si>
  <si>
    <t>HCMB14178</t>
  </si>
  <si>
    <t>HCMB15308</t>
  </si>
  <si>
    <t>HCMB15309</t>
  </si>
  <si>
    <t>HN051001</t>
  </si>
  <si>
    <t>HN051002</t>
  </si>
  <si>
    <t>HN061101</t>
  </si>
  <si>
    <t>HN061102</t>
  </si>
  <si>
    <t>HNKD13259</t>
  </si>
  <si>
    <t>HNKD15297</t>
  </si>
  <si>
    <t>HNKD15298</t>
  </si>
  <si>
    <t>HPGB15314</t>
  </si>
  <si>
    <t>QH051001</t>
  </si>
  <si>
    <t>QH051002</t>
  </si>
  <si>
    <t>QH052001</t>
  </si>
  <si>
    <t>QH052002</t>
  </si>
  <si>
    <t>QH052003</t>
  </si>
  <si>
    <t>QH061102</t>
  </si>
  <si>
    <t>QH061103</t>
  </si>
  <si>
    <t>QH061105</t>
  </si>
  <si>
    <t>QH061106</t>
  </si>
  <si>
    <t>QH061108</t>
  </si>
  <si>
    <t>QH061109</t>
  </si>
  <si>
    <t>QH061110</t>
  </si>
  <si>
    <t>QH061111</t>
  </si>
  <si>
    <t>QH061112</t>
  </si>
  <si>
    <t>QH061113</t>
  </si>
  <si>
    <t>QH061114</t>
  </si>
  <si>
    <t>QH061118</t>
  </si>
  <si>
    <t>QH061119</t>
  </si>
  <si>
    <t>QH061120</t>
  </si>
  <si>
    <t>QH061121</t>
  </si>
  <si>
    <t>QH061124</t>
  </si>
  <si>
    <t>QH061127</t>
  </si>
  <si>
    <t>QH061130</t>
  </si>
  <si>
    <t>QH061132</t>
  </si>
  <si>
    <t>QH061133</t>
  </si>
  <si>
    <t>QH061134</t>
  </si>
  <si>
    <t>QH061135</t>
  </si>
  <si>
    <t>QH061136</t>
  </si>
  <si>
    <t>QH061137</t>
  </si>
  <si>
    <t>QH061141</t>
  </si>
  <si>
    <t>QH061611</t>
  </si>
  <si>
    <t>QH062101</t>
  </si>
  <si>
    <t>QH062107</t>
  </si>
  <si>
    <t>QH062111</t>
  </si>
  <si>
    <t>QH062112</t>
  </si>
  <si>
    <t>QH062113</t>
  </si>
  <si>
    <t>QH062116</t>
  </si>
  <si>
    <t>QH062122</t>
  </si>
  <si>
    <t>QH062123</t>
  </si>
  <si>
    <t>QH062125</t>
  </si>
  <si>
    <t>QH062126</t>
  </si>
  <si>
    <t>QH062128</t>
  </si>
  <si>
    <t>QH062129</t>
  </si>
  <si>
    <t>QH062131</t>
  </si>
  <si>
    <t>QH062133</t>
  </si>
  <si>
    <t>QH062138</t>
  </si>
  <si>
    <t>QH062140</t>
  </si>
  <si>
    <t>QH062142</t>
  </si>
  <si>
    <t>QH071016</t>
  </si>
  <si>
    <t>QH071018</t>
  </si>
  <si>
    <t>QH071020</t>
  </si>
  <si>
    <t>QH071201</t>
  </si>
  <si>
    <t>QH071202</t>
  </si>
  <si>
    <t>QH071203</t>
  </si>
  <si>
    <t>QH071207</t>
  </si>
  <si>
    <t>QH071208</t>
  </si>
  <si>
    <t>QH071210</t>
  </si>
  <si>
    <t>QH071211</t>
  </si>
  <si>
    <t>QH071212</t>
  </si>
  <si>
    <t>QH071213</t>
  </si>
  <si>
    <t>QH071714</t>
  </si>
  <si>
    <t>QH071717</t>
  </si>
  <si>
    <t>QH071722</t>
  </si>
  <si>
    <t>QH072205</t>
  </si>
  <si>
    <t>QH072209</t>
  </si>
  <si>
    <t>QH072213</t>
  </si>
  <si>
    <t>QH072219</t>
  </si>
  <si>
    <t>QH072221</t>
  </si>
  <si>
    <t>QH072223</t>
  </si>
  <si>
    <t>QH072224</t>
  </si>
  <si>
    <t>QHB071225</t>
  </si>
  <si>
    <t>QHB0810003</t>
  </si>
  <si>
    <t>QHB0810006</t>
  </si>
  <si>
    <t>QHB0810007</t>
  </si>
  <si>
    <t>QHB0810014</t>
  </si>
  <si>
    <t>QHB0810015</t>
  </si>
  <si>
    <t>QHB0810020</t>
  </si>
  <si>
    <t>QHB0811018</t>
  </si>
  <si>
    <t>QHB0811065</t>
  </si>
  <si>
    <t>QHB0811068</t>
  </si>
  <si>
    <t>QHB0811078</t>
  </si>
  <si>
    <t>QHB0811084</t>
  </si>
  <si>
    <t>QHB0811086</t>
  </si>
  <si>
    <t>QHB0811088</t>
  </si>
  <si>
    <t>QHB0811089</t>
  </si>
  <si>
    <t>QHB0813053</t>
  </si>
  <si>
    <t>QHB0813054</t>
  </si>
  <si>
    <t>QHB0813061</t>
  </si>
  <si>
    <t>QHB0813062</t>
  </si>
  <si>
    <t>QHB0813063</t>
  </si>
  <si>
    <t>QHB0813064</t>
  </si>
  <si>
    <t>QHB0813066</t>
  </si>
  <si>
    <t>QHB0813069</t>
  </si>
  <si>
    <t>QHB0813072</t>
  </si>
  <si>
    <t>QHB0813073</t>
  </si>
  <si>
    <t>QHB0813087</t>
  </si>
  <si>
    <t>QHB0818033</t>
  </si>
  <si>
    <t>QHB0818043</t>
  </si>
  <si>
    <t>QHB0818048</t>
  </si>
  <si>
    <t>QHB0911014</t>
  </si>
  <si>
    <t>QHB0911015</t>
  </si>
  <si>
    <t>QHB0911019</t>
  </si>
  <si>
    <t>QHB0911020</t>
  </si>
  <si>
    <t>QHB0911021</t>
  </si>
  <si>
    <t>QHB0912022</t>
  </si>
  <si>
    <t>QHB0912029</t>
  </si>
  <si>
    <t>QHB0912030</t>
  </si>
  <si>
    <t>QHB1012002</t>
  </si>
  <si>
    <t>QHB1012004</t>
  </si>
  <si>
    <t>QHB1012005</t>
  </si>
  <si>
    <t>QHB1012007</t>
  </si>
  <si>
    <t>QHB1012009</t>
  </si>
  <si>
    <t>QHB1012015</t>
  </si>
  <si>
    <t>QHB1012016</t>
  </si>
  <si>
    <t>QHB1012018</t>
  </si>
  <si>
    <t>QHB1012019</t>
  </si>
  <si>
    <t>QHB1012020</t>
  </si>
  <si>
    <t>QHB1013006</t>
  </si>
  <si>
    <t>QHB1013008</t>
  </si>
  <si>
    <t>QHB1013013</t>
  </si>
  <si>
    <t>QHB1013017</t>
  </si>
  <si>
    <t>QHB1013021</t>
  </si>
  <si>
    <t>QHB1013023</t>
  </si>
  <si>
    <t>QHB1013031</t>
  </si>
  <si>
    <t>QHD0811055</t>
  </si>
  <si>
    <t>QHD0811059</t>
  </si>
  <si>
    <t>QHD0811067</t>
  </si>
  <si>
    <t>QHD0811076</t>
  </si>
  <si>
    <t>QHD0811085</t>
  </si>
  <si>
    <t>QHD0813047</t>
  </si>
  <si>
    <t>QHD0813056</t>
  </si>
  <si>
    <t>QHD0813060</t>
  </si>
  <si>
    <t>QHD0813075</t>
  </si>
  <si>
    <t>QHD0813077</t>
  </si>
  <si>
    <t>QHD0914025</t>
  </si>
  <si>
    <t>QHD0919008</t>
  </si>
  <si>
    <t>QHD0919024</t>
  </si>
  <si>
    <t>QNGB13161</t>
  </si>
  <si>
    <t>QNGH13263</t>
  </si>
  <si>
    <t>TB1012034</t>
  </si>
  <si>
    <t>TB1013035</t>
  </si>
  <si>
    <t>TB1013042</t>
  </si>
  <si>
    <t>TB1013047</t>
  </si>
  <si>
    <t>TB1013051</t>
  </si>
  <si>
    <t>TB1013054</t>
  </si>
  <si>
    <t>TB1013060</t>
  </si>
  <si>
    <t>TB1015043</t>
  </si>
  <si>
    <t>TB1015048</t>
  </si>
  <si>
    <t>TB1015052</t>
  </si>
  <si>
    <t>TD1012037</t>
  </si>
  <si>
    <t>TD1012039</t>
  </si>
  <si>
    <t>TD1013038</t>
  </si>
  <si>
    <t>TD1013045</t>
  </si>
  <si>
    <t>TD1013049</t>
  </si>
  <si>
    <t>TD1013057</t>
  </si>
  <si>
    <t>TD1013058</t>
  </si>
  <si>
    <t>TD1013062</t>
  </si>
  <si>
    <t>TD1013063</t>
  </si>
  <si>
    <t>TD1015053</t>
  </si>
  <si>
    <t>TD1015056</t>
  </si>
  <si>
    <t>TD1113038</t>
  </si>
  <si>
    <t>TD1114049</t>
  </si>
  <si>
    <t>TD1214025</t>
  </si>
  <si>
    <t>TD1217026</t>
  </si>
  <si>
    <t>TD1315010</t>
  </si>
  <si>
    <t>TL1520272</t>
  </si>
  <si>
    <t>TL1520273</t>
  </si>
  <si>
    <t>TL1520274</t>
  </si>
  <si>
    <t>TP1A0105</t>
  </si>
  <si>
    <t>TP1A0106</t>
  </si>
  <si>
    <t>TP1A0205</t>
  </si>
  <si>
    <t>TP1A0206</t>
  </si>
  <si>
    <t>TP1A0305</t>
  </si>
  <si>
    <t>TP1A0405</t>
  </si>
  <si>
    <t>TP1A0406</t>
  </si>
  <si>
    <t>TP1A0505</t>
  </si>
  <si>
    <t>TP1A0506</t>
  </si>
  <si>
    <t>TP1A0605</t>
  </si>
  <si>
    <t>TP1A0606</t>
  </si>
  <si>
    <t>TP1A0705</t>
  </si>
  <si>
    <t>TP1A0805</t>
  </si>
  <si>
    <t>TP1A0806</t>
  </si>
  <si>
    <t>TP1A0905</t>
  </si>
  <si>
    <t>TP1A1005</t>
  </si>
  <si>
    <t>TP1A1006</t>
  </si>
  <si>
    <t>TP1A1105</t>
  </si>
  <si>
    <t>TP1A1106</t>
  </si>
  <si>
    <t>TP1A1205</t>
  </si>
  <si>
    <t>TP1A1206</t>
  </si>
  <si>
    <t>TP1A1305</t>
  </si>
  <si>
    <t>TP1A1306</t>
  </si>
  <si>
    <t>TP1A1404</t>
  </si>
  <si>
    <t>TP1A1405</t>
  </si>
  <si>
    <t>TP1A1406</t>
  </si>
  <si>
    <t>TP1A1504</t>
  </si>
  <si>
    <t>TP1A1505</t>
  </si>
  <si>
    <t>TP1A1506</t>
  </si>
  <si>
    <t>TP1A1604</t>
  </si>
  <si>
    <t>TP1A1605</t>
  </si>
  <si>
    <t>TP1A1606</t>
  </si>
  <si>
    <t>TP1A1704</t>
  </si>
  <si>
    <t>TP1A1705</t>
  </si>
  <si>
    <t>TP1A1804</t>
  </si>
  <si>
    <t>TP1A1805</t>
  </si>
  <si>
    <t>TP1A1904</t>
  </si>
  <si>
    <t>TP1A1905</t>
  </si>
  <si>
    <t>TP1A2004</t>
  </si>
  <si>
    <t>TP1A2005</t>
  </si>
  <si>
    <t>TP1A2104</t>
  </si>
  <si>
    <t>TP1A2305</t>
  </si>
  <si>
    <t>TP1A2405</t>
  </si>
  <si>
    <t>TP1A2505</t>
  </si>
  <si>
    <t>TP1A2605</t>
  </si>
  <si>
    <t>TP1A2705</t>
  </si>
  <si>
    <t>TP1A2805</t>
  </si>
  <si>
    <t>TP1A2905</t>
  </si>
  <si>
    <t>TP1A3005</t>
  </si>
  <si>
    <t>TP1A3105</t>
  </si>
  <si>
    <t>TP1A3405</t>
  </si>
  <si>
    <t>TP1A3505</t>
  </si>
  <si>
    <t>TP1A3805</t>
  </si>
  <si>
    <t>TP1A3905</t>
  </si>
  <si>
    <t>TP1A4005</t>
  </si>
  <si>
    <t>TP1A4205</t>
  </si>
  <si>
    <t>TP1A4405</t>
  </si>
  <si>
    <t>TP1A4605</t>
  </si>
  <si>
    <t>TP1A4905</t>
  </si>
  <si>
    <t>TP1A5005</t>
  </si>
  <si>
    <t>TP1A5105</t>
  </si>
  <si>
    <t>TP1A5205</t>
  </si>
  <si>
    <t>TP1A5605</t>
  </si>
  <si>
    <t>TP1_0105</t>
  </si>
  <si>
    <t>TP1_0106</t>
  </si>
  <si>
    <t>TP1_0205</t>
  </si>
  <si>
    <t>TP1_0206</t>
  </si>
  <si>
    <t>TP1_0306</t>
  </si>
  <si>
    <t>TP1_0405</t>
  </si>
  <si>
    <t>TP1_0406</t>
  </si>
  <si>
    <t>TP1_0505</t>
  </si>
  <si>
    <t>TP1_0506</t>
  </si>
  <si>
    <t>TP1_0606</t>
  </si>
  <si>
    <t>TP1_0706</t>
  </si>
  <si>
    <t>TP1_0805</t>
  </si>
  <si>
    <t>TP1_0806</t>
  </si>
  <si>
    <t>TP1_0905</t>
  </si>
  <si>
    <t>TP1_0906</t>
  </si>
  <si>
    <t>TP1_1005</t>
  </si>
  <si>
    <t>TP1_1006</t>
  </si>
  <si>
    <t>TP1_1105</t>
  </si>
  <si>
    <t>TP1_1106</t>
  </si>
  <si>
    <t>TP1_1205</t>
  </si>
  <si>
    <t>TP1_1405</t>
  </si>
  <si>
    <t>TP1_1504</t>
  </si>
  <si>
    <t>TP1_1505</t>
  </si>
  <si>
    <t>TP1_1604</t>
  </si>
  <si>
    <t>TP1_1605</t>
  </si>
  <si>
    <t>TP1_1704</t>
  </si>
  <si>
    <t>TP1_1705</t>
  </si>
  <si>
    <t>TP1_1804</t>
  </si>
  <si>
    <t>TP1_1805</t>
  </si>
  <si>
    <t>TP1_1904</t>
  </si>
  <si>
    <t>TP1_1905</t>
  </si>
  <si>
    <t>TP1_2005</t>
  </si>
  <si>
    <t>TP1_2105</t>
  </si>
  <si>
    <t>TP1_2205</t>
  </si>
  <si>
    <t>TP1_2305</t>
  </si>
  <si>
    <t>TP1_2405</t>
  </si>
  <si>
    <t>TP1_2505</t>
  </si>
  <si>
    <t>TP4A0106</t>
  </si>
  <si>
    <t>TP4A0206</t>
  </si>
  <si>
    <t>TP4A0306</t>
  </si>
  <si>
    <t>TP4A0405</t>
  </si>
  <si>
    <t>TP4A0406</t>
  </si>
  <si>
    <t>TP4A0605</t>
  </si>
  <si>
    <t>TP4A0606</t>
  </si>
  <si>
    <t>TP4A0706</t>
  </si>
  <si>
    <t>TP4A0806</t>
  </si>
  <si>
    <t>TP4A0905</t>
  </si>
  <si>
    <t>TP4A0906</t>
  </si>
  <si>
    <t>TP4A1006</t>
  </si>
  <si>
    <t>TP4A1105</t>
  </si>
  <si>
    <t>TP4A1205</t>
  </si>
  <si>
    <t>TP4A1206</t>
  </si>
  <si>
    <t>TP4A1305</t>
  </si>
  <si>
    <t>TP4A1306</t>
  </si>
  <si>
    <t>TP4A1505</t>
  </si>
  <si>
    <t>TP4A1606</t>
  </si>
  <si>
    <t>TP4A1705</t>
  </si>
  <si>
    <t>TP4A1805</t>
  </si>
  <si>
    <t>TP4A1905</t>
  </si>
  <si>
    <t>TP4A2705</t>
  </si>
  <si>
    <t>TP4A2905</t>
  </si>
  <si>
    <t>TP4A3005</t>
  </si>
  <si>
    <t>TP4A3105</t>
  </si>
  <si>
    <t>TP4A3404</t>
  </si>
  <si>
    <t>TP4A3504</t>
  </si>
  <si>
    <t>TP4A3704</t>
  </si>
  <si>
    <t>TP4A3804</t>
  </si>
  <si>
    <t>TP4A3904</t>
  </si>
  <si>
    <t>TP4A4104</t>
  </si>
  <si>
    <t>TP4A4504</t>
  </si>
  <si>
    <t>TP4A4704</t>
  </si>
  <si>
    <t>TP4A4804</t>
  </si>
  <si>
    <t>TP4A4904</t>
  </si>
  <si>
    <t>TP4A5104</t>
  </si>
  <si>
    <t>TP4A5204</t>
  </si>
  <si>
    <t>TP4_0105</t>
  </si>
  <si>
    <t>TP4_1104</t>
  </si>
  <si>
    <t>TP4_1304</t>
  </si>
  <si>
    <t>VBS10903</t>
  </si>
  <si>
    <t>VBS10904</t>
  </si>
  <si>
    <t>VBS110017</t>
  </si>
  <si>
    <t>VBS110020</t>
  </si>
  <si>
    <t>VBS110031</t>
  </si>
  <si>
    <t>VBS110032</t>
  </si>
  <si>
    <t>VBS11006</t>
  </si>
  <si>
    <t>VBS11007</t>
  </si>
  <si>
    <t>VBS11008</t>
  </si>
  <si>
    <t>VBS11009</t>
  </si>
  <si>
    <t>VBS11010</t>
  </si>
  <si>
    <t>VBS11011</t>
  </si>
  <si>
    <t>VBS11012</t>
  </si>
  <si>
    <t>VBS11013</t>
  </si>
  <si>
    <t>VBS11014</t>
  </si>
  <si>
    <t>VBS111022</t>
  </si>
  <si>
    <t>VBS111024</t>
  </si>
  <si>
    <t>VBS111025</t>
  </si>
  <si>
    <t>VBS111041</t>
  </si>
  <si>
    <t>VBS111044</t>
  </si>
  <si>
    <t>VBS111047</t>
  </si>
  <si>
    <t>VBS111048</t>
  </si>
  <si>
    <t>VBS111051</t>
  </si>
  <si>
    <t>VBS111052</t>
  </si>
  <si>
    <t>VBS111055</t>
  </si>
  <si>
    <t>VBS111056</t>
  </si>
  <si>
    <t>VBS112005</t>
  </si>
  <si>
    <t>VBS112006</t>
  </si>
  <si>
    <t>VBS112009</t>
  </si>
  <si>
    <t>VBS112010</t>
  </si>
  <si>
    <t>VBS112017</t>
  </si>
  <si>
    <t>VBS112018</t>
  </si>
  <si>
    <t>VBS112019</t>
  </si>
  <si>
    <t>VBS112020</t>
  </si>
  <si>
    <t>VBS112021</t>
  </si>
  <si>
    <t>VBS112022</t>
  </si>
  <si>
    <t>VBS112023</t>
  </si>
  <si>
    <t>VBS112024</t>
  </si>
  <si>
    <t>VBS112028</t>
  </si>
  <si>
    <t>VBS112044</t>
  </si>
  <si>
    <t>VBS112048</t>
  </si>
  <si>
    <t>VBS112049</t>
  </si>
  <si>
    <t>VBS112050</t>
  </si>
  <si>
    <t>VBS112051</t>
  </si>
  <si>
    <t>VBS112058</t>
  </si>
  <si>
    <t>VBS112059</t>
  </si>
  <si>
    <t>VBS112061</t>
  </si>
  <si>
    <t>VBS112068</t>
  </si>
  <si>
    <t>VBS112069</t>
  </si>
  <si>
    <t>VBS112085</t>
  </si>
  <si>
    <t>VDB109028</t>
  </si>
  <si>
    <t>VDB110015</t>
  </si>
  <si>
    <t>VDB110018</t>
  </si>
  <si>
    <t>VDB110021</t>
  </si>
  <si>
    <t>VDB110022</t>
  </si>
  <si>
    <t>VDB110026</t>
  </si>
  <si>
    <t>VDB110027</t>
  </si>
  <si>
    <t>VDB111002</t>
  </si>
  <si>
    <t>VDB111006</t>
  </si>
  <si>
    <t>VDB111007</t>
  </si>
  <si>
    <t>VDB111008</t>
  </si>
  <si>
    <t>VDB111009</t>
  </si>
  <si>
    <t>VDB111011</t>
  </si>
  <si>
    <t>VDB111012</t>
  </si>
  <si>
    <t>VDB111013</t>
  </si>
  <si>
    <t>VDB111014</t>
  </si>
  <si>
    <t>VDB111015</t>
  </si>
  <si>
    <t>VDB111018</t>
  </si>
  <si>
    <t>VDB111028</t>
  </si>
  <si>
    <t>VDB111033</t>
  </si>
  <si>
    <t>VDB111036</t>
  </si>
  <si>
    <t>VDB111037</t>
  </si>
  <si>
    <t>VDB111057</t>
  </si>
  <si>
    <t>VDB111061</t>
  </si>
  <si>
    <t>VDB111064</t>
  </si>
  <si>
    <t>VDB112003</t>
  </si>
  <si>
    <t>VDB112007</t>
  </si>
  <si>
    <t>VDB112013</t>
  </si>
  <si>
    <t>VDB112071</t>
  </si>
  <si>
    <t>VDB112076</t>
  </si>
  <si>
    <t>VEC10712</t>
  </si>
  <si>
    <t>VEC10802</t>
  </si>
  <si>
    <t>VEC10803</t>
  </si>
  <si>
    <t>VEC10804</t>
  </si>
  <si>
    <t>VEC10905</t>
  </si>
  <si>
    <t>VEC10906</t>
  </si>
  <si>
    <t>VEC10907</t>
  </si>
  <si>
    <t>VEC10908</t>
  </si>
  <si>
    <t>VEC10909</t>
  </si>
  <si>
    <t>VEC10910</t>
  </si>
  <si>
    <t>VEC10911</t>
  </si>
  <si>
    <t>VEC11001</t>
  </si>
  <si>
    <t>VEC11002</t>
  </si>
  <si>
    <t>VEC11005</t>
  </si>
  <si>
    <t>VEC111031</t>
  </si>
  <si>
    <t>VEC111032</t>
  </si>
  <si>
    <t>TPKB12005</t>
  </si>
  <si>
    <t>TPKB12006</t>
  </si>
  <si>
    <t>TPKB12007</t>
  </si>
  <si>
    <t>TPKB12009</t>
  </si>
  <si>
    <t>TPKB12010</t>
  </si>
  <si>
    <t>TPKB12014</t>
  </si>
  <si>
    <t>TPKB12015</t>
  </si>
  <si>
    <t>TPKB12024</t>
  </si>
  <si>
    <t>TPKB12025</t>
  </si>
  <si>
    <t>TPKB12026</t>
  </si>
  <si>
    <t>TPKB12027</t>
  </si>
  <si>
    <t>TPKB12032</t>
  </si>
  <si>
    <t>TPKB12033</t>
  </si>
  <si>
    <t>TPKB13006</t>
  </si>
  <si>
    <t>TPKB13022</t>
  </si>
  <si>
    <t>TPKB13023</t>
  </si>
  <si>
    <t>TPKB13024</t>
  </si>
  <si>
    <t>TPKB13025</t>
  </si>
  <si>
    <t>TPKB13028</t>
  </si>
  <si>
    <t>TPKB13029</t>
  </si>
  <si>
    <t>TPKB13030</t>
  </si>
  <si>
    <t>TPKB13031</t>
  </si>
  <si>
    <t>TPKB13032</t>
  </si>
  <si>
    <t>TPKB13033</t>
  </si>
  <si>
    <t>TPKB13034</t>
  </si>
  <si>
    <t>TPKB13035</t>
  </si>
  <si>
    <t>TPKB13036</t>
  </si>
  <si>
    <t>TPKB13037</t>
  </si>
  <si>
    <t>TPKB13039</t>
  </si>
  <si>
    <t>TPKB13040</t>
  </si>
  <si>
    <t>TPKB13041</t>
  </si>
  <si>
    <t>TPKB13044</t>
  </si>
  <si>
    <t>TPKB13045</t>
  </si>
  <si>
    <t>TPKB13046</t>
  </si>
  <si>
    <t>TPKB13047</t>
  </si>
  <si>
    <t>TPKB13048</t>
  </si>
  <si>
    <t>TPKB13049</t>
  </si>
  <si>
    <t>TPKB13050</t>
  </si>
  <si>
    <t>TPKB13051</t>
  </si>
  <si>
    <t>TPKB13052</t>
  </si>
  <si>
    <t>TPKB13053</t>
  </si>
  <si>
    <t>TPKB13054</t>
  </si>
  <si>
    <t>TPKB13055</t>
  </si>
  <si>
    <t>TPKB13056</t>
  </si>
  <si>
    <t>TPKB14017</t>
  </si>
  <si>
    <t>TPKB14018</t>
  </si>
  <si>
    <t>TPKB14019</t>
  </si>
  <si>
    <t>TPKB14020</t>
  </si>
  <si>
    <t>TPKB14021</t>
  </si>
  <si>
    <t>TPKB14022</t>
  </si>
  <si>
    <t>TPKB14023</t>
  </si>
  <si>
    <t>TPKB14024</t>
  </si>
  <si>
    <t>TPKB14025</t>
  </si>
  <si>
    <t>TPKB14026</t>
  </si>
  <si>
    <t>TPKB14027</t>
  </si>
  <si>
    <t>TPKB14028</t>
  </si>
  <si>
    <t>TPKB14029</t>
  </si>
  <si>
    <t>TPKB14030</t>
  </si>
  <si>
    <t>TPKB14031</t>
  </si>
  <si>
    <t>TPKB14032</t>
  </si>
  <si>
    <t>TPKB15001</t>
  </si>
  <si>
    <t>TPKB15002</t>
  </si>
  <si>
    <t>TPKB15003</t>
  </si>
  <si>
    <t>TPKB15004</t>
  </si>
  <si>
    <t>TPKB15005</t>
  </si>
  <si>
    <t>TPKB15006</t>
  </si>
  <si>
    <t>TPKB15022</t>
  </si>
  <si>
    <t>TPKB15023</t>
  </si>
  <si>
    <t>TPKB15026</t>
  </si>
  <si>
    <t>TPKB15027</t>
  </si>
  <si>
    <t>TPKB15028</t>
  </si>
  <si>
    <t>TPKB16001</t>
  </si>
  <si>
    <t>TPKB16002</t>
  </si>
  <si>
    <t>TPKB16003</t>
  </si>
  <si>
    <t>TPKB16004</t>
  </si>
  <si>
    <t>TPKB16013</t>
  </si>
  <si>
    <t>TPKB16014</t>
  </si>
  <si>
    <t>TPKB16023</t>
  </si>
  <si>
    <t>Modified Duration</t>
  </si>
  <si>
    <t>Conv</t>
  </si>
  <si>
    <t>Duration_edited</t>
  </si>
  <si>
    <t>BPV_edited</t>
  </si>
  <si>
    <t>Quantity_edited</t>
  </si>
  <si>
    <t>AFS-TUNG</t>
  </si>
  <si>
    <t>BVBS16399</t>
  </si>
  <si>
    <t>BVBS16362</t>
  </si>
  <si>
    <t>BVBS16400</t>
  </si>
  <si>
    <t>BVBS16366</t>
  </si>
  <si>
    <t>BVBS16404</t>
  </si>
  <si>
    <t>BVBS16371</t>
  </si>
  <si>
    <t>BVBS16372</t>
  </si>
  <si>
    <t>HCMB16504</t>
  </si>
  <si>
    <t>HCMB16505</t>
  </si>
  <si>
    <t>BVBS16374</t>
  </si>
  <si>
    <t>BVBS16412</t>
  </si>
  <si>
    <t>BVDB16111</t>
  </si>
  <si>
    <t>BVBS16413</t>
  </si>
  <si>
    <t>TD1722376</t>
  </si>
  <si>
    <t>BVDB17213</t>
  </si>
  <si>
    <t>BVDB17264</t>
  </si>
  <si>
    <t>BVBS17021</t>
  </si>
  <si>
    <t>BVDB17214</t>
  </si>
  <si>
    <t>BVBS17022</t>
  </si>
  <si>
    <t>BVBS17051</t>
  </si>
  <si>
    <t>BVBS17023</t>
  </si>
  <si>
    <t>BVBS17029</t>
  </si>
  <si>
    <t>BVBS17096</t>
  </si>
  <si>
    <t>BVBS18210</t>
  </si>
  <si>
    <t>BVBS18185</t>
  </si>
  <si>
    <t>BVBS18186</t>
  </si>
  <si>
    <t>BVBS18211</t>
  </si>
  <si>
    <t>BVBS18155</t>
  </si>
  <si>
    <t>BVBS18187</t>
  </si>
  <si>
    <t>BVBS18212</t>
  </si>
  <si>
    <t>BVBS18156</t>
  </si>
  <si>
    <t>BVBS18188</t>
  </si>
  <si>
    <t>BVBS18213</t>
  </si>
  <si>
    <t>BVBS18157</t>
  </si>
  <si>
    <t>BVBS18189</t>
  </si>
  <si>
    <t>BVBS18214</t>
  </si>
  <si>
    <t>BVBS18197</t>
  </si>
  <si>
    <t>BVBS18198</t>
  </si>
  <si>
    <t>BVBS18201</t>
  </si>
  <si>
    <t>BVBS18202</t>
  </si>
  <si>
    <t>TD1848132</t>
  </si>
  <si>
    <t>BVBS18203</t>
  </si>
  <si>
    <t>BVBS18204</t>
  </si>
  <si>
    <t>BVBS18205</t>
  </si>
  <si>
    <t>BVDB18062</t>
  </si>
  <si>
    <t>TD1924162</t>
  </si>
  <si>
    <t>TD1939199</t>
  </si>
  <si>
    <t>TD1949204</t>
  </si>
  <si>
    <t>BVBS19128</t>
  </si>
  <si>
    <t>TD2025004</t>
  </si>
  <si>
    <t>TD2027009</t>
  </si>
  <si>
    <t>Days</t>
  </si>
  <si>
    <t>Others</t>
  </si>
  <si>
    <t>List bond code</t>
  </si>
  <si>
    <t>Trading</t>
  </si>
  <si>
    <t>Banking</t>
  </si>
  <si>
    <t>AFS-HUONG</t>
  </si>
  <si>
    <t>AFS-YEN</t>
  </si>
  <si>
    <t>AFS-ANHPN</t>
  </si>
  <si>
    <t>AFS-LOANNT</t>
  </si>
  <si>
    <t>AFS-ALM</t>
  </si>
  <si>
    <t>AFS-HA</t>
  </si>
  <si>
    <t>AFS-SON</t>
  </si>
  <si>
    <t>Phân tách Book</t>
  </si>
  <si>
    <t>BO-BK-GR</t>
  </si>
  <si>
    <t>BO-BB-GR</t>
  </si>
  <si>
    <t>BO-TB-GR</t>
  </si>
  <si>
    <t>BO-TR-GR</t>
  </si>
  <si>
    <t>Deal phát sinh chênh với MtM</t>
  </si>
  <si>
    <t>Deal ps'!AN1</t>
  </si>
  <si>
    <t xml:space="preserve">Ngưỡng check yield bất thường (points) </t>
  </si>
  <si>
    <t>Phân loại out/repo</t>
  </si>
  <si>
    <t>Deal ps'!L1</t>
  </si>
  <si>
    <t>Deal phát sinh</t>
  </si>
  <si>
    <t>Open position (Bio VND)</t>
  </si>
  <si>
    <t>Volume_Trading_by_Face_dealps</t>
  </si>
  <si>
    <t>Nội dung</t>
  </si>
  <si>
    <t>Market value</t>
  </si>
  <si>
    <t>Monthly PnL</t>
  </si>
  <si>
    <t>Year to date PnL</t>
  </si>
  <si>
    <t>Today</t>
  </si>
  <si>
    <t>VaR_yesterday</t>
  </si>
  <si>
    <t>Diff</t>
  </si>
  <si>
    <t>Months</t>
  </si>
  <si>
    <t>NOV</t>
  </si>
  <si>
    <t>DEC</t>
  </si>
  <si>
    <t>YtD_NIM</t>
  </si>
  <si>
    <t xml:space="preserve"> ItD Unrealized PnL</t>
  </si>
  <si>
    <t>Actual (bio VND)</t>
  </si>
  <si>
    <t>FNRP Bond future</t>
  </si>
  <si>
    <t>GB05F1909</t>
  </si>
  <si>
    <t>GB05F1912</t>
  </si>
  <si>
    <t>GB05F2003</t>
  </si>
  <si>
    <t>GB05F2009</t>
  </si>
  <si>
    <t>BOND FUTURE 09.2020</t>
  </si>
  <si>
    <t>GB10F2109</t>
  </si>
  <si>
    <t>BOND FUTURE 09.2021</t>
  </si>
  <si>
    <t>GB10F2206</t>
  </si>
  <si>
    <t>Maturity</t>
  </si>
  <si>
    <t>Point Price</t>
  </si>
  <si>
    <t>Point AvgPrice</t>
  </si>
  <si>
    <t>Theor. Price</t>
  </si>
  <si>
    <t>Theor. Yield</t>
  </si>
  <si>
    <t>Cnvx</t>
  </si>
  <si>
    <t>P/L Total</t>
  </si>
  <si>
    <t>tenor</t>
  </si>
  <si>
    <t>Abs amount</t>
  </si>
  <si>
    <t>Out amount</t>
  </si>
  <si>
    <t>Mã FUT</t>
  </si>
  <si>
    <t>Settlement Date</t>
  </si>
  <si>
    <t>Bond Future infor</t>
  </si>
  <si>
    <t>Trang thai mo_actual</t>
  </si>
  <si>
    <t>Trang thai mo_abs</t>
  </si>
  <si>
    <t>Duration, MD, Convexity</t>
  </si>
  <si>
    <t>N</t>
  </si>
  <si>
    <t>Bổ sung thêm Itd PnL bond future để k phải nhập tay thông tin này khi tính Yearly PnL, daily PnL…</t>
  </si>
  <si>
    <t>Itd_PnL_Bondfuture</t>
  </si>
  <si>
    <t>Realised + Unrealised</t>
  </si>
  <si>
    <t>PV01 (Future + spot)</t>
  </si>
  <si>
    <t xml:space="preserve"> (Future + spot)</t>
  </si>
  <si>
    <t>Position_BF</t>
  </si>
  <si>
    <t>PnL_BF</t>
  </si>
  <si>
    <t>PnL_BF(more)</t>
  </si>
  <si>
    <t>Dur</t>
  </si>
  <si>
    <t>MD</t>
  </si>
  <si>
    <t>Counterparty</t>
  </si>
  <si>
    <t>CPTY</t>
  </si>
  <si>
    <t>Sum of Quantity</t>
  </si>
  <si>
    <t>ACBV</t>
  </si>
  <si>
    <t>Weighting</t>
  </si>
  <si>
    <t>PnL Bond spot</t>
  </si>
  <si>
    <t>-14 days</t>
  </si>
  <si>
    <t>Itd_PnL_Total</t>
  </si>
  <si>
    <t>Compare to date</t>
  </si>
  <si>
    <t>Lộc bảo phát</t>
  </si>
  <si>
    <t>Gioi han dau tu GTCG chinh phu co ky han tu 20 nam tro len</t>
  </si>
  <si>
    <t>&gt;20Y</t>
  </si>
  <si>
    <t>4 -11Y</t>
  </si>
  <si>
    <t>Position_by_Face</t>
  </si>
  <si>
    <t>Type_of_deal</t>
  </si>
  <si>
    <t>Position_cuoi_ngay</t>
  </si>
  <si>
    <t>Dao_han_trong_ngay</t>
  </si>
  <si>
    <t>Phat_sinh_trong_ngay</t>
  </si>
  <si>
    <t>Lai_suat_trung_binh</t>
  </si>
  <si>
    <t>Unrealized_ItD_MtM</t>
  </si>
  <si>
    <t>Reverse_Repo</t>
  </si>
  <si>
    <t>Position_repo</t>
  </si>
  <si>
    <t>1M-3M</t>
  </si>
  <si>
    <t>3M-6M</t>
  </si>
  <si>
    <t>6M-1Y</t>
  </si>
  <si>
    <t>Trạng thái mở</t>
  </si>
  <si>
    <t>MSB - Trading book</t>
  </si>
  <si>
    <t>MSB - Banking Book</t>
  </si>
  <si>
    <t>SBV - Trading book</t>
  </si>
  <si>
    <t>SBV - Banking book</t>
  </si>
  <si>
    <t>01. Trading book</t>
  </si>
  <si>
    <t>01. TRADING BOOK_MSB</t>
  </si>
  <si>
    <t>02. BOND FUTURE</t>
  </si>
  <si>
    <t>03. TRADING BOOK_SBV</t>
  </si>
  <si>
    <t>03. Trading book_SBV</t>
  </si>
  <si>
    <t>01. Banking book_MSB</t>
  </si>
  <si>
    <t>Duration, MD, Conx, PV01</t>
  </si>
  <si>
    <t>02. Banking book_SBV</t>
  </si>
  <si>
    <t>04. Banking book_SBV</t>
  </si>
  <si>
    <t>02. Banking book_MSB</t>
  </si>
  <si>
    <t>03. Repo &amp; Reverse repo</t>
  </si>
  <si>
    <t>Day min</t>
  </si>
  <si>
    <t>Day max</t>
  </si>
  <si>
    <t>Add type</t>
  </si>
  <si>
    <t>∆ yield - daily</t>
  </si>
  <si>
    <t>∆ yield - monthly</t>
  </si>
  <si>
    <t>∆ yield - yearly</t>
  </si>
  <si>
    <t>Y-1</t>
  </si>
  <si>
    <t>Tần suất: Adhoc</t>
  </si>
  <si>
    <t>Tần suất: Khi có mã PH mới</t>
  </si>
  <si>
    <t>Tradingbook_MSB</t>
  </si>
  <si>
    <t>Bankingbook_MSB</t>
  </si>
  <si>
    <t>Tradingbook_SBV</t>
  </si>
  <si>
    <t>Bankingbook_SBV</t>
  </si>
  <si>
    <t>FNRP_Repo</t>
  </si>
  <si>
    <t>FNRP_Future</t>
  </si>
  <si>
    <t>Newdeals</t>
  </si>
  <si>
    <t>VaR_series</t>
  </si>
  <si>
    <t>TD2237126</t>
  </si>
  <si>
    <t>17/11/2037</t>
  </si>
  <si>
    <t>FNRP Bond Fututres</t>
  </si>
  <si>
    <t>PnL có bất thường không?</t>
  </si>
  <si>
    <t>I. PHƯƠNG PHÁP LUẬN FINANCIAL REPORT</t>
  </si>
  <si>
    <t>Methodology</t>
  </si>
  <si>
    <t>1. Chỉ số cho từng mã bond cụ thể:</t>
  </si>
  <si>
    <t>Cost of carry: Tính lãi đơn theo lãi suất ON được khai báo dùng cho Cost of carry theo từng currency trên K+</t>
  </si>
  <si>
    <t>2. Các chỉ số cho Danh mục</t>
  </si>
  <si>
    <t xml:space="preserve">Các chỉ số độ nhạy mang tính chất thời gian sẽ là trung bình với trọng số là NPV. </t>
  </si>
  <si>
    <t>VD: Duration Danh mục = Trung bình có trọng số của các Duration theo trọng số NPV.</t>
  </si>
  <si>
    <t>- Duration</t>
  </si>
  <si>
    <t>- Modified Duration</t>
  </si>
  <si>
    <t>- Convexity</t>
  </si>
  <si>
    <t>Các chỉ số độ nhạy mang tính chất thay đổi vi phân sẽ được cộng ngang. VD: BPV danh mục = Tổng các BPV thành phần</t>
  </si>
  <si>
    <t>- BPV</t>
  </si>
  <si>
    <t>- Theta</t>
  </si>
  <si>
    <t>- Gamma</t>
  </si>
  <si>
    <t>Tiêu chí trong FRP</t>
  </si>
  <si>
    <t xml:space="preserve"> = Giá lưu tại Store value if báo cáo xuất nguồn Reval
= Market nếu xuất nguồn Realtime</t>
  </si>
  <si>
    <t>Tùy khai báo mà giá này là dirty hay clean. Hiện đang là clean.</t>
  </si>
  <si>
    <t>= Trung bình ( tỷ trọng theo Face) của giá Clean price trên màn hình deal của tất cả các deal mua ( Nếu chọn Average, còn FIFO or LIFO thì là các deal mua còn lại chưa match với deal bán)</t>
  </si>
  <si>
    <t>Avg Accr</t>
  </si>
  <si>
    <t>= Trung bình ( tỷ trọng theo Face) của Accru trên màn hình deal của tất cả các deal mua( Nếu chọn Average, còn FIFO or LIFO thì là các deal mua còn lại chưa match với deal bán)</t>
  </si>
  <si>
    <t>= Trung bình ( tỷ trọng theo Face) của Yield mua của tất cả các deal mua ( Nếu chọn Average, còn FIFO or LIFO thì là các deal mua còn lại chưa match với deal bán)</t>
  </si>
  <si>
    <t>= Dirty price *Quantity = (Clean price + Accr Int )*Quantity</t>
  </si>
  <si>
    <t>= Accru interest của bond đó tại thời điểm xuất báo cáo</t>
  </si>
  <si>
    <t>= Coupon thực tế đã nhận được dồn tích đến thời điểm hiện tại</t>
  </si>
  <si>
    <t>- Trường hợp mua trái phiếu vào khoảng ngày ko được hưởng coupon (từ ngày trả coupon trở về trước xx ngày cụ thể, được khai báo trong bond def) thì deal mua đó không được tính là hưởng coupon</t>
  </si>
  <si>
    <t>= Coupon + cost of carry</t>
  </si>
  <si>
    <t>- là lãi suất VNDON tính theo PP Simple</t>
  </si>
  <si>
    <t>= YTM tính bằng Interpolate linear BondCurve (nếu tính giá theo par), hoặc tính từ sport rate cho mã bond cụ thể (nếu tính giá theo spot rate)</t>
  </si>
  <si>
    <t>= -MD*MV*0.01%</t>
  </si>
  <si>
    <t>- Tùy thuộc vào việc mình chọn theo PP tính giá FIFO, LIPO or Average
- Nguyên tắc = Giá bán - Giá mua ( Dirty, còn theo Clean price có cột BY - P/L Clean Price)</t>
  </si>
  <si>
    <t>= Clean realized + Clean Unrealized</t>
  </si>
  <si>
    <t>= Realized Cur  + Unrealized Cur + Cost of carry( cái này có thể bỏ tick chọn trong báo cáo Financial report)</t>
  </si>
  <si>
    <t>Quy đổi PL currency ra đồng tiền Local hoặc đồng tiền Report (MSB đều xem = VND nên kết quả như nhau)</t>
  </si>
  <si>
    <t>Bond đã đáo hạn còn trạng thái</t>
  </si>
  <si>
    <t>- K+ sẽ cho vào Unrealized, còn file tính excel của QLRR hiện nay đang cho vào Realized và công thức tính đang ngược dấu nhau
QLRR : = Gross - Face
K+ = Face - Gross</t>
  </si>
  <si>
    <t>Cash Flow</t>
  </si>
  <si>
    <t xml:space="preserve">- DF của Cash flow bond này lại được tính dựa trên Zero coupon chứ không tính dựa trên Par
</t>
  </si>
  <si>
    <t>List deals</t>
  </si>
  <si>
    <t>Yield_yesterday</t>
  </si>
  <si>
    <t>Yield_lastmonth</t>
  </si>
  <si>
    <t>Yield_lastyear</t>
  </si>
  <si>
    <t>Data53_PnL</t>
  </si>
  <si>
    <t>Data53_PV01</t>
  </si>
  <si>
    <t>His53_BB_MSB</t>
  </si>
  <si>
    <t>His53_TB_SBV</t>
  </si>
  <si>
    <t>His53_BB_SBV</t>
  </si>
  <si>
    <t>Có deal mua trên thị trường sơ cấp không? Khối lượng bao nhiêu</t>
  </si>
  <si>
    <t>Tính tổng posi deal phát sinh có type là "Primary_market"</t>
  </si>
  <si>
    <t>Daily PnL so với mốc 15 tỷ, nếu abs(PnL) vượt thì check</t>
  </si>
  <si>
    <t>Phan tich_TB'!L1</t>
  </si>
  <si>
    <t>Check dữ liệu đẩy lên máy 53 có bị lỗi không? His.BB</t>
  </si>
  <si>
    <t>Check dữ liệu đẩy lên máy 53 có bị lỗi không? His.TB.SBV</t>
  </si>
  <si>
    <t>Check dữ liệu đẩy lên máy 53 có bị lỗi không? His.BB.SBV</t>
  </si>
  <si>
    <t>Check dữ liệu đẩy lên máy 53 có bị lỗi không? His.Other</t>
  </si>
  <si>
    <t>His.BB!A1</t>
  </si>
  <si>
    <t>His.TB.SBV!A1</t>
  </si>
  <si>
    <t>His.BB.SBV!A1</t>
  </si>
  <si>
    <t>His.Other!A1</t>
  </si>
  <si>
    <t>CTPT</t>
  </si>
  <si>
    <t>Check yield trung bình TB có bị &lt;=0 không</t>
  </si>
  <si>
    <t>Check yield trung bình BB có bị &lt;=0 không</t>
  </si>
  <si>
    <t>avg yield</t>
  </si>
  <si>
    <t>Gioi han dau tu GTCG chinh phu do CQDP phat hanh</t>
  </si>
  <si>
    <t>NH1B0007_02</t>
  </si>
  <si>
    <t>TD2252132</t>
  </si>
  <si>
    <t>MAC</t>
  </si>
  <si>
    <t>QLQ_BAOVIE</t>
  </si>
  <si>
    <t>CK_VCB</t>
  </si>
  <si>
    <t>CK_VPB</t>
  </si>
  <si>
    <t>CK_VNDIREC</t>
  </si>
  <si>
    <t>VFS</t>
  </si>
  <si>
    <t>TC_DIENLUC</t>
  </si>
  <si>
    <t>CK_SGHN</t>
  </si>
  <si>
    <t>TD2338131</t>
  </si>
  <si>
    <t>TD2333116</t>
  </si>
  <si>
    <t>TD2328096</t>
  </si>
  <si>
    <t>TD2330106</t>
  </si>
  <si>
    <t>TD2328097</t>
  </si>
  <si>
    <t>TD2333117</t>
  </si>
  <si>
    <t>TD2338132</t>
  </si>
  <si>
    <t>TradeDate</t>
  </si>
  <si>
    <t>SettlementDate</t>
  </si>
  <si>
    <t>DealType</t>
  </si>
  <si>
    <t>Cpty_ShortName</t>
  </si>
  <si>
    <t>Issuer Counterparty</t>
  </si>
  <si>
    <t>CouponRate</t>
  </si>
  <si>
    <t>IssueDate</t>
  </si>
  <si>
    <t>MaturityDate</t>
  </si>
  <si>
    <t>Min</t>
  </si>
  <si>
    <t>Max</t>
  </si>
  <si>
    <t>TD2330107</t>
  </si>
  <si>
    <t>TD2333118</t>
  </si>
  <si>
    <t>BVBS19147</t>
  </si>
  <si>
    <t>TD2030019</t>
  </si>
  <si>
    <t>BVDB20069</t>
  </si>
  <si>
    <t>BVDB20054</t>
  </si>
  <si>
    <t>BVDB20070</t>
  </si>
  <si>
    <t>BVDB20055</t>
  </si>
  <si>
    <t>BVDB20100</t>
  </si>
  <si>
    <t>BVDB20085</t>
  </si>
  <si>
    <t>BVBS20127</t>
  </si>
  <si>
    <t>BVBS20121</t>
  </si>
  <si>
    <t>BVDB20101</t>
  </si>
  <si>
    <t>BVDB20087</t>
  </si>
  <si>
    <t>BVDB20103</t>
  </si>
  <si>
    <t>BVBS21145</t>
  </si>
  <si>
    <t>BVBS21130</t>
  </si>
  <si>
    <t>BVBS21144</t>
  </si>
  <si>
    <t>BVBS21129</t>
  </si>
  <si>
    <t>BVBS21146</t>
  </si>
  <si>
    <t>BVBS21131</t>
  </si>
  <si>
    <t>BVBS21132</t>
  </si>
  <si>
    <t>BVBS21147</t>
  </si>
  <si>
    <t>BVBS21133</t>
  </si>
  <si>
    <t>BVBS21148</t>
  </si>
  <si>
    <t>BVBS21149</t>
  </si>
  <si>
    <t>TD2126004</t>
  </si>
  <si>
    <t>TD2126005</t>
  </si>
  <si>
    <t>TD2126006</t>
  </si>
  <si>
    <t>BVDB21076</t>
  </si>
  <si>
    <t>BVDB21061</t>
  </si>
  <si>
    <t>BVDB21091</t>
  </si>
  <si>
    <t>BVDB21106</t>
  </si>
  <si>
    <t>TD2229101</t>
  </si>
  <si>
    <t>TD2229103</t>
  </si>
  <si>
    <t>TD2227091</t>
  </si>
  <si>
    <t>TD2229104</t>
  </si>
  <si>
    <t>TD2232106</t>
  </si>
  <si>
    <t>TD2232107</t>
  </si>
  <si>
    <t>TD2227092</t>
  </si>
  <si>
    <t>TD2229201</t>
  </si>
  <si>
    <t>TD2227093</t>
  </si>
  <si>
    <t>TD2232108</t>
  </si>
  <si>
    <t>TD2229202</t>
  </si>
  <si>
    <t>BVBS22157</t>
  </si>
  <si>
    <t>BVBS22147</t>
  </si>
  <si>
    <t>BVBS22177</t>
  </si>
  <si>
    <t>BVBS22137</t>
  </si>
  <si>
    <t>BVBS22148</t>
  </si>
  <si>
    <t>BVBS22138</t>
  </si>
  <si>
    <t>BVBS22158</t>
  </si>
  <si>
    <t>BVBS22178</t>
  </si>
  <si>
    <t>BVBS22140</t>
  </si>
  <si>
    <t>BVBS22180</t>
  </si>
  <si>
    <t>BVBS22160</t>
  </si>
  <si>
    <t>BVBS22150</t>
  </si>
  <si>
    <t>BVBS22141</t>
  </si>
  <si>
    <t>BVBS22151</t>
  </si>
  <si>
    <t>BVBS22161</t>
  </si>
  <si>
    <t>BVBS22181</t>
  </si>
  <si>
    <t>BVBS22164</t>
  </si>
  <si>
    <t>BVBS22154</t>
  </si>
  <si>
    <t>BVBS22184</t>
  </si>
  <si>
    <t>BVBS22144</t>
  </si>
  <si>
    <t>BVDB21093</t>
  </si>
  <si>
    <t>TD2232109</t>
  </si>
  <si>
    <t>TD2237121</t>
  </si>
  <si>
    <t>BVBS22254</t>
  </si>
  <si>
    <t>BVBS22221</t>
  </si>
  <si>
    <t>BVBS22264</t>
  </si>
  <si>
    <t>BVBS22244</t>
  </si>
  <si>
    <t>BVBS22245</t>
  </si>
  <si>
    <t>BVBS22222</t>
  </si>
  <si>
    <t>BVBS22265</t>
  </si>
  <si>
    <t>BVBS22255</t>
  </si>
  <si>
    <t>TD2237125</t>
  </si>
  <si>
    <t>BVBS22266</t>
  </si>
  <si>
    <t>BVBS22223</t>
  </si>
  <si>
    <t>BVBS22246</t>
  </si>
  <si>
    <t>BVBS22256</t>
  </si>
  <si>
    <t>TD2232111</t>
  </si>
  <si>
    <t>BVBS22247</t>
  </si>
  <si>
    <t>BVBS22257</t>
  </si>
  <si>
    <t>BVBS22267</t>
  </si>
  <si>
    <t>BVBS22224</t>
  </si>
  <si>
    <t>BVBS22248</t>
  </si>
  <si>
    <t>BVBS22268</t>
  </si>
  <si>
    <t>BVBS22225</t>
  </si>
  <si>
    <t>BVBS22258</t>
  </si>
  <si>
    <t>BVBS22259</t>
  </si>
  <si>
    <t>BVBS22226</t>
  </si>
  <si>
    <t>BVBS22269</t>
  </si>
  <si>
    <t>BVBS22249</t>
  </si>
  <si>
    <t>BVBS22260</t>
  </si>
  <si>
    <t>BVBS22270</t>
  </si>
  <si>
    <t>TD2232112</t>
  </si>
  <si>
    <t>BVBS22276</t>
  </si>
  <si>
    <t>TD2328098</t>
  </si>
  <si>
    <t>KBHN</t>
  </si>
  <si>
    <t>TD2338133</t>
  </si>
  <si>
    <t>TD2353151</t>
  </si>
  <si>
    <t>TD2343146</t>
  </si>
  <si>
    <t>TD2232114</t>
  </si>
  <si>
    <t>4y</t>
  </si>
  <si>
    <t>Portfolio</t>
  </si>
  <si>
    <t>TD2333119</t>
  </si>
  <si>
    <t>TD2338134</t>
  </si>
  <si>
    <t>Deal ps'!A1</t>
  </si>
  <si>
    <t>Log sẽ có các nhóm con là Methodology và Manual (Khi có thay đổi PPL tính toán, sửa lại công thức tính, thêm bớt chỉ tiêu đo lường upload lên máy 53...) 
Note sẽ có các nhóm con là Daily work (các vấn đề giao dịch/kinh doanh hàng ngày có biến động bất thường...), Strategy (các vấn đề giao dịch/kinh doanh theo kế hoạch/chiến lược/ dự kiến mà mình hỏi được thông tin).</t>
  </si>
  <si>
    <t>Date</t>
  </si>
  <si>
    <t>File tính</t>
  </si>
  <si>
    <t>Ngày bắt đầu</t>
  </si>
  <si>
    <t>Ngày sử dụng cuối</t>
  </si>
  <si>
    <t>Nhóm</t>
  </si>
  <si>
    <t>Thông tin chi tiết</t>
  </si>
  <si>
    <t>Lưu ý (nếu có)</t>
  </si>
  <si>
    <t>PIC</t>
  </si>
  <si>
    <t xml:space="preserve">Tình trạng </t>
  </si>
  <si>
    <t>File theo dõi bond v4</t>
  </si>
  <si>
    <t>Log</t>
  </si>
  <si>
    <t>Manual</t>
  </si>
  <si>
    <t>File theo dõi bond v5</t>
  </si>
  <si>
    <t>File mới nhẹ hơn (từ 8mb -&gt; dưới 1mb)
Bỏ sheet one-off, Doi tac, yield curve (yield curve đã có trong file Daily report).
Bổ sung sheet DM do chị Tâm cung cấp đầu tháng 5 (DM trái phiếu trading và banking)</t>
  </si>
  <si>
    <t>File theo dõi bond v6</t>
  </si>
  <si>
    <t>Bỏ sheet Ky phieu
Bổ sung sheet Chênh lệch AS nhằm kiểm tra chênh lệch AS ngày báo cáo và ngày trước đó (do AS có các deal trùng số deal nên cách kiểm tra cũ không phát hiện được chênh lệch)</t>
  </si>
  <si>
    <t>File theo dõi bond v7</t>
  </si>
  <si>
    <t xml:space="preserve">Bổ sung sheet DM trading, DM banking (và bỏ sheet DM chị Tâm cung cấp)
Bổ sung công thức bên phải tại sheet Outright PS để cập nhật các giao dịch buy và sell TPCP vào sheet DM trading và DM banking
Bổ sung công thức tại sheet CSDL để update các mã bond code mới (tương ứng với đặc điểm TP như mature date, ngày trả lãi, coupon...) -&gt; </t>
  </si>
  <si>
    <t>File theo dõi bond v8</t>
  </si>
  <si>
    <t>Bổ sung 4 sheet Loan, Manh, Tam, Huong để theo dõi hạn mức trạng thái các dealer này (copy giao dịch từ sheet outright PS sang)
Sửa lại công thức bên phải ở sheet outright PS và sheet RP_Gen
Bỏ sheet AS_N-1, sheet Chênh lẹch AS. Việc theo dõi chênh lệch file AS ngày báo cáo và ngày trước báo cáo thực hiện ở file AS sửa mature date, vì cần thực sửa mature date cho các deal Repo.
Bổ sung sheet TPDN, TCTD list các trái phiếu doanh nghiệp và trái phiếu chính phủ theo file AS và theo các giao dịch phát sinh hàng ngày</t>
  </si>
  <si>
    <t>File theo dõi bond v9</t>
  </si>
  <si>
    <t>Bỏ sheet Loan, Manh, Tam, Huong vì không theo dõi hạn mức trạng thái bond theo dealer nữa.</t>
  </si>
  <si>
    <t>File theo dõi bond v10</t>
  </si>
  <si>
    <t xml:space="preserve">Bổ sung sheet AS_N-1 vào để so sánh chênh lệch file AS (không cần làm tại file riêng rẽ như trước kia)
Bổ sung sheet CMD và sheet Rate để a Thành thực hiện cải tiến file theo dõi.
Sheet Outright và Repo, sắp xếp và rút gọn lại các cột </t>
  </si>
  <si>
    <t>File theo dõi bond v11</t>
  </si>
  <si>
    <t>Bổ sung sheet Bank n Corp, Summary, Yield table, bổ sung công thức tính toán tại file DM trading, DM banking -&gt; thực hiện tính toán làm báo cáo ở file theo dõi ngày luôn, không cần thực hiện ở các file khác</t>
  </si>
  <si>
    <t>File theo dõi bond v12</t>
  </si>
  <si>
    <t>Sửa lại cách tính PnL của DM trading và banking -&gt; tại sheet DM trading và DM banking, bổ sung PnL ver 1 và PnL ver 2
PnL = marketprice - faceamount
PnL ver1 = market price - investment price (settlement amount)
PnL ver 2 = market price - discounted settlement amount + income from coupon</t>
  </si>
  <si>
    <t>File theo dõi bond v13</t>
  </si>
  <si>
    <t>Chốt cách tính PnL ver 3 = market price - settlement amount + income from coupon (no discount)
Sửa lại sheet DM trading và DM banking, phần tính PnL theo 3 cột: PnL ver 3, PnL ver 1
PnL ver1 = market price - investment price (settlement amount)
PnL ver 2 = PnL ver 2 = market price - discounted settlement amount + income from coupon</t>
  </si>
  <si>
    <t>Bond CMD4.0</t>
  </si>
  <si>
    <t xml:space="preserve">Sheet CMD bắt đầu sử dụng
Bỏ sheet AS N-1, Sheet AS chỉ load các deal tăng giảm thay đổi so với ngày hôm trước
Sheet outright PS và Repo PS chỉ load cac deal mà ngày settlement date chưa thực hiện
Bỏ sheet Outright Data, Repo Data
</t>
  </si>
  <si>
    <t>Theo doi bond v15</t>
  </si>
  <si>
    <t xml:space="preserve">Bỏ sheet CMD, thêm sheet CSDL </t>
  </si>
  <si>
    <t>Thay đổi cách chia tenor, cộng điểm spread vào yield ( KBNN = VBMA + 20 point, VDB = VBMA + 50 point)</t>
  </si>
  <si>
    <t>Theo doi bond v16</t>
  </si>
  <si>
    <t>Thay đổi toàn bộ dữ liệu của danh mục Trading và Banking. Lấy nguồn dữ liệu đầu vào từ K+ khi bắt đầu Golive</t>
  </si>
  <si>
    <t>Theo doi bond v17</t>
  </si>
  <si>
    <t>Tính YtD PnL thay vì ItD PnL, trong đó 2013 YtD PnL = ItD (b/c) - ItD (2012) + PnL đáo hạn trong năm 2013. Realized k bao gồm coupon. Việc này sẽ áp dụng cho từ đầu tháng 2/2013</t>
  </si>
  <si>
    <t>Theo doi bond v18</t>
  </si>
  <si>
    <t>Thay đổi cách tính giá ( thay giá Dirty bằng giá Clean) và cách tính P/L mới = Market price(Clean) - Invesment Price(clean) + Coupon thực nhận ( Dòng coupon nhận được từ khi mua đến ngày báo cáo)</t>
  </si>
  <si>
    <t>Thay đổi mức spread mới : KBNN + 20 điểm, VDB ( 0.5, 1, 2,3,10Y) + 100 điểm, kỳ hạn còn lại + 50 điểm
Dựa trên bảng yield tính lại yield thị trường cho từng deal theo phương pháp interpolate.</t>
  </si>
  <si>
    <t>Áp dụng interpolate yield cho DM banking (trước kia mới áp dụng cho DM Baking)</t>
  </si>
  <si>
    <t>Sửa lại công thức tính Invesment price và Market price ( Nếu ngày báo cáo = ngày trả lãi Coupon thì Dirty = Clean, ngc lại Dirty = Clean + Acru)</t>
  </si>
  <si>
    <t>Sửa lại hàng công thức lưu CSDL từ bảng pivot của Banking (phần position và PnL theo từng kỳ hạn) cho giống với Trading (dùng hàm getpivotdata thay vì vlookup) vì bảng có thể thay đổi (mất hoặc thêm 1 nhóm kỳ hạn) nên hàm vlookup bị sai</t>
  </si>
  <si>
    <t>leqa</t>
  </si>
  <si>
    <t>Điều chỉnh Spead yield của TP VDB kỳ hạn 4Y từ 50 lên 100.</t>
  </si>
  <si>
    <t>yennt8</t>
  </si>
  <si>
    <t>- K+\ Financial report\ Yield mat 
- Pending : Yield mat được K+ lấy từ nguồn nào? Tính toán như thế nào để ra được giá trị yield mat trong báo cáo Financial report
- Đã chứng minh được Financial report lấy trường Yield MAT làm Market yield để tính Market Price ( Dùng Yield mat ứng với từng yield trong báo cáo Financial report, gắn vào File theo dõi, tính ra Market price và so sánh với Market price trong Financial report; Kết quả : 2 giá Market price này khá khớp nhau, chỉ chênh nhau không quá 1% ( Sheet SS Market price)
- Pending : K+ lấy Yield MAT như thế nào?. Theo nguyên tắc thì K+ sẽ lấy  Bond Curve mình nhập vào cuối ngày, dùng mô hình Vasicek &amp; Fong để tính ra Yield MAT. Cụ thể
Từ Deal manager\yield curve\yield definion\bond curve\rate input \đưa ra 1 curve khá khớp với Yield MAT( Sheet Bond curve file đính kèm ( par rate)), tuy nhiên hầu như các bond đều lấy theo tenor VNIVND1Y = 6.65  ( trừ 3 mã TD1114039, TD1114045 và TD1316012). Tenor này có Area là M.Mkt, trong đó Curve VNIBOR kỳ hạn 1Y thì chính bằng 6.65. ( Kết quả ngày 23/09/2013)</t>
  </si>
  <si>
    <t xml:space="preserve">Sửa sheet " Trading 28.12.2012" thành " Trading 31.12.2013" và thêm sheet "Banking 31.12.2013" để tính YtD P/L </t>
  </si>
  <si>
    <t xml:space="preserve"> Đã cập nhật Spread yield theo thống kê từ 9.2013 – 2.2014 ( Chi tiết file thống kê yield). Theo đó vẫn áp dụng cộng thêm 20 Point đối với TPCP, còn TPCPBL giảm 50 Point ở kỳ hạn &lt;0.5Y và 1Y, đồng thời tăng 50 Point ở kỳ hạn 5Y so với kỳ thống kê trước.
Thêm vào đó đối với kỳ hạn &lt;0.5Y tớ thay đổi nguồn lấy giá, từ ngày hôm nay trở đi sẽ lấy bằng lãi suất 6M của curve MSBVND.
</t>
  </si>
  <si>
    <t>- Thêm sheet " Bond mua cho MDB" : Liệt kê các giao dịch bond mua cho MDB
- Ngày bắt đầu thực hiện mua vào là ngày 16/05/2014</t>
  </si>
  <si>
    <t>Theo doi bond v19</t>
  </si>
  <si>
    <t>- Bỏ 2 sheet Trading và Banking tại thời điểm cuối năm trước(Thông tin cần lấy cho dữ liệu tại ngày cuối cùng của năm trước BC sẽ được vlookup ở sheet CSDL)
- Bỏ 2 sheet Trading matured và Banking Matured(Chuyển các trái phiếu đã Matured từ 2 sheet này vào 2 sheet Trading và Banking tương ứng và Chỉnh sửa công thức để ghi nhận giá trị của các bond Matured này)
- Bỏ sheet "FI Bond" ( Chuyển các trái phiếu thuộc FI Bond vào DM Trading, gắn Instrument tương ứng)
- Thêm sheet "Modified.Deal" ( Liệt kê các giao dịch được chỉnh sửa, xóa tại ngày báo cáo)</t>
  </si>
  <si>
    <t>Sửa lại điều kiện Where của code sheet "  "DealBonds.PS" lấy ngày CaptureDate, do có những deal bond có ngày TradeDate&gt;CaptuteDate --&gt; nếu lọc theo điều kiện cũ thì rất dễ sót deal</t>
  </si>
  <si>
    <t>YenNT sửa Investment amount = lấy thẳng trường Gross amount thay vì tính bằng hàm VBA như trước --&gt; dẫn đến daily P/L giảm mạnh</t>
  </si>
  <si>
    <t>Sửa công thức tại cột Total P/L ( AL) : đối với bond đã đáo hạn thì P/L = Face - Investment + Coupon ( công thức cũ đang để sai là Invesment - face + coupon)</t>
  </si>
  <si>
    <t>Thêm kỳ hạn 7Y vào file theo dõi hàng ngày do VBMA quote thêm giá kỳ hạn 7Y và 10Y</t>
  </si>
  <si>
    <t>Thêm sheet " Check BC Finacial report" để check các nội dung : position, market yield, market value và các chỉ số độ nhạy.</t>
  </si>
  <si>
    <t>- Thêm kỳ hạn 15Y
- Bỏ phần tính Market yield theo từng nhà phát hành --&gt; chỉ phân 2 loại TPCP và TPCPBL</t>
  </si>
  <si>
    <t>YenNT sửa file công cụ: sáp nhập danh mục bond của MDB vào danh mục Banking Book của MSB ( phân tách những bond ngày xưa của MDB qua phần Folder ( AFS-ALM-MDB)</t>
  </si>
  <si>
    <t>YenNT</t>
  </si>
  <si>
    <t>Sheet BC Dealer: bổ sung ý kiến ALCO về Hạn mức của danh mục Banking Book sau sáp nhập. Thống nhất vẫn giữ nguyên hạn mức cũ là 11.000 tỷ. Hạn mức sau sáp nhập 11,3 nghìn tỷ sẽ được giữ nguyên và giảm dần về mức 11.000 tỷ.</t>
  </si>
  <si>
    <t>HuongNT</t>
  </si>
  <si>
    <t>Theo doi bond v20</t>
  </si>
  <si>
    <t>Bắt đầu sử dụng File theo dõi bond Ver 20
Nội dung khác với Ver 19 :
- Điều chỉnh cách tính giá với trái phiếu trả lãi trước và trái phiếu trả lãi sau
- Thay giá Market price từ giá Clean thành giá Dirty
- Toàn bộ phần CSDL năm 2015 trong file Ver 20 đã làm lại theo cấu trúc file Ver 20</t>
  </si>
  <si>
    <t>- Đổi Spread cho trái phiếu KBNN từ 30 point xuống 10 point; TP VDB từ 100 point xuống 50 point
- Thay đổi công thức ngày Next và Last ứng với năm báo cáo</t>
  </si>
  <si>
    <t>Theo doi bond v21</t>
  </si>
  <si>
    <t>- Sử dụng file theo dõi bond mới
- Công thức tính giá, Accru theo PP của K+</t>
  </si>
  <si>
    <t>- Sửa số tiền coupon thực nhận nếu giao dịch tại ngày Ex.Divident day</t>
  </si>
  <si>
    <t xml:space="preserve">- Cải tiến file
- Bổ sung tất cả các tiêu chí mà Hương ghi trong Data list (ngoại trừ phần doanh số giao dịch theo Ctpy - do số lượng đối tác rất lớn (88 đối tác - chỉ 1 ngân hàng thôi nhưng chia ra làm mấy đối tác (vd : ANZ-HN, ANZ-HCM…))
Tất cả Data này được lưu trữ ở 1 file riêng ( file "Historical_data_bond") - Yến đã viết code để lưu tự động.
- Viết code để tự động update 6 bảng dữ liệu lấy từ Aqua của file theo dõi.
- YTM của bond tham chiếu trực tiếp từ Yield curve tương ứng với TPCP or TPCPBL thay vì chỉ tham chiếu từ tenor chuẩn trước đây
- Bổ sung phần check limit của tất cả các hạn mức hiện tại áp dụng cho Trading và Banking
</t>
  </si>
  <si>
    <t>Theo doi bond v22</t>
  </si>
  <si>
    <t>Bắt đầu sử dụng file theo dõi bond Ver 22
- Sử dụng báo cáo Financial report của K+ làm báo cáo
- Chốt danh mục đến 31/12/2015 để tính P/L</t>
  </si>
  <si>
    <t>Data lich su tinh hinh tt</t>
  </si>
  <si>
    <t>Historical_Data_Bond</t>
  </si>
  <si>
    <t>Dữ liệu realized PnL của Trading Book giảm mạnh từ 2400 tỷ về 180 tỷ từ thời điểm 29/6 đến 5/7 =&gt; HuyNQ tìm hiểu nguyên nhân và note lại vào sheet Log File của file Historical =&gt; HUYNQ6 đã note về chỉnh sửa này</t>
  </si>
  <si>
    <t>Ngày 18/07, theo thông tin từ FI, do các thông tin bất lợi trên thị trường, desk Bond thực hiện các deal Repo dưới hình thức mua – bán Outright trực tiếp với đối tác. Khối lượng thực hiện Outright Repo trong ngày là 1,118 tỷ với lãi suất 2,35%/năm cho kỳ hạn 1 tháng. Tất cả các deal đều được thực hiện dưới hình thức sell-buy</t>
  </si>
  <si>
    <t>HuyNQ thực hiện load dữ liệu danh sách Bond trên HNX, all dữ liệu</t>
  </si>
  <si>
    <t>HuyNQ6</t>
  </si>
  <si>
    <t>-Theo như kết quả check từ dữ liệu được lưu ở file công cụ bond và database của hnx thì không thấy có sự khác biệt.
- Vấn đê bond của VDB (Ngân hàng phát triển) được kí hiệu là Trái phiếu chính phủ: Các bond này được phát hành từ trước năm 2010 và được phân loại trên database của HNX là trái phiếu chính phủ. Thông tin cụ thể như sau:
*Các mã bắt đầu bằng TP4:  Tên:Trái phiếu Chính phủ BLPH - Hình thức phát hành: Bảo lãnh.
*Các mã bắt đầu bằng CP4:  Tên:Trái phiếu Chính phủ BLPH - Hình thức phát hành: Bảo lãnh.
*Các mã bắt đầu bằng QH:    Tên:Trái phiếu Chính phủ            - Hình thức phát hành: Đấu thầu.</t>
  </si>
  <si>
    <t>Tiến hành đổi các code: Lấy deal phát sinh Trading, Check position, lấy cash flow cho bond trả trước.</t>
  </si>
  <si>
    <t>Thêm các trường data phân loại theo HNX trong v22 và historical</t>
  </si>
  <si>
    <t>*Sửa code phân loại realised và unrealised của dealer thành
*Thay code phân loại kỳ hạn thêm 1 ngày (code phân loại của file, ko anh hưởng giá trị tính toán) do vào ngày đáo hạn đã tính cho mã là matured ko phân loại kỳ hạn
*Edit thông tin historical các ngày sau tháng 7 theo như check của HuongNT</t>
  </si>
  <si>
    <t>Điều chỉnh phần Coupon of Banking book do chốt danh mục từ 31/12/2015. Do một số bond tại thời điểm 31/12/2015 vẫn còn trạng thái và coupon đã nhận được trước thời điểm 31/12/2015. Sau thời điểm này không nhận thêm coupon nào và trạng thái = 0 --&gt; coupon hiện tại = 0</t>
  </si>
  <si>
    <t>Chi tiết list danh sách bên cạnh</t>
  </si>
  <si>
    <t>Data his lưu trên máy 53: Từ ngày 5/10/2018, lưu tách nhỏ thêm nhiều data về Trạng thái, Market value của từng tenor theo các nhóm issuer (TPCP, TPCPBL, TPCQDP) -- &gt; duy trì việc lưu thêm data này đến tháng 1/2020 lại thấy ko lưu trữ nữa</t>
  </si>
  <si>
    <t>Pending</t>
  </si>
  <si>
    <t>Sheet Trading SBV/ Banking SBV: sửa lại công thức tính ItD PnL</t>
  </si>
  <si>
    <t>Cần chạy lại file T10 để up lại chuỗi lên máy 53</t>
  </si>
  <si>
    <t>Dung</t>
  </si>
  <si>
    <t xml:space="preserve">Sheet Summary: bổ sung conditional formating cho limit </t>
  </si>
  <si>
    <t>IPV: nguồn giá mới (áp dụng từ 1/1/2019)
- ST &lt;1Y và &gt;20Y: YTM TC HNX
- ST 1-5Y: VBMA
- ST 7-15Y: FI quote
- Spread VDB, VBS, HIFU: +100pts</t>
  </si>
  <si>
    <t>DCM trình ALCO phê duyệt ngoại lệ v/v tạm thời bỏ hạn mức với BB từ 16/11-31/12/2018
Ngày 19/11/2018, ALCO đã phê duyệt tờ trình của ĐVKD v/v tạm thời không áp dụng các hạn mức đối với Banking book từ 16/11/2018-31/12/2018 do danh mục đang trong giai đoạn tái cơ cấu. QLRR tiếp tục theo dõi các chỉ số bình thường, chỉ tạm dừng việc kết luận tuân thủ/vi phạm hạn mức.</t>
  </si>
  <si>
    <t>Chỉ theo dõi HM, không KL tuân thủ/vi phạm</t>
  </si>
  <si>
    <t>List deal: list trong file theo dõi bond còn lệch so với list xuất từ K+ do có 1 số deal 2017 đã update sau ngày capture.
Do ItD 31/12/2017 đã chốt theo list này nên tạm thời chưa sửa lại list (để ko ảnh hưởng đến YtD của năm 2018). Đến 31/12/2018 (hoặc khi bắt đầu tính PnL theo FRP) sẽ phải update lại list đúng, chốt lại ItD PnL theo list đúng ở 31/12/2018.</t>
  </si>
  <si>
    <t>Từ 1/1/2019, list deal đã được update lại</t>
  </si>
  <si>
    <t>Giai đoạn này nguồn giá chưa dùng độc lập (ST&lt;1Y và &gt;7Y vẫn dùng do FI quote, vì vậy MtM PnL sẽ lỗ nếu dùng nguồn giá VBMA, nhưng do FI quote unchange yield nên không nhìn ra lỗ MtM này. 
Ngày 15/11/2018, CEO của FI và CRO đã họp v/v xem xét nguồn giá độc lập để MtM và thống nhất các điểm sau: 
- ST &lt;1Y và 20-30Y: chuyển sang yield tham chiếu danh mục benchmark HNX thay vì yield FI quote.
- ST 1-5Y: vẫn dùng yield VBMA như hiện nay.
- ST 7-15Y: tạm thời vẫn dùng yield FI quote như hiện nay và sẽ đánh giá lại vào năm sau.
- Spread VDB, VBS, HIFU - ST: áp dụng chung mức +100pts.
Đối với ST 7-15Y, MRM vẫn tiếp tục đề xuất dùng yield VBMA thay thế FI quote do thống kê (dựa trên GD thực tế của MSB đã loại bỏ GD kỹ thuật) cho thấy yield VBMA vẫn khớp với GD thực tế hơn. MRM sẽ hoàn thiện tài liệu và gửi sang DCM trong tháng 11 để cùng thảo luận. Dự kiến việc áp dụng nguồn giá mới sẽ bắt đầu từ 1/1/2019.</t>
  </si>
  <si>
    <t>Việc đổi nguồn giá không ảnh hưởng đến set up curve trên K+, chỉ là nhập giá khác vào các bond curve hiện tại</t>
  </si>
  <si>
    <t>Bổ sung thêm code lấy thông tin deals đã bị xóa trong vòng 30 ngày kể từ ngày RPT (Sheet Check và Deals Archive) để đối chiếu với list deal</t>
  </si>
  <si>
    <t>Lưu vết email của VBMA về quy trình quote yield curve (Phát sinh khi thấy nguồn giá FI quote (kỳ 7-15Y) không chính xác. Trong khi VBMA yield tăng, MtM sẽ lỗ thì FI vẫn quote giá không đổi, nên MtM những ngày cuối tháng 11, 12/2018 không lỗ. Vì vậy MRM đã phải làm IPV để xin thay đổi nguồn giá, đảm bảo tính độc lập khách quan hơn)</t>
  </si>
  <si>
    <t>\2. Bao cao RRTT\2.1. Quan tri viec thuc hien bao cao\IPV 2018\Email</t>
  </si>
  <si>
    <t>BB họp giữa QLHS và QLRR đầu tháng 10 lưu tại folder:
\\10.1.2.40\06.khoi quan ly rui ro\02.Trung Tam QLRR Thi Truong\02.Phong GSRRTT\Theo doi\BOND\3. PnL Bond\Họp với QLHS</t>
  </si>
  <si>
    <t>Strategy</t>
  </si>
  <si>
    <t>Budget 2019 của FI: BB chịu margin 5.1% -&gt; 11/12/2018, MSB đã mua thêm vào gần 3,000 tỷ TP VDB trên sơ cấp. Mục đích:
- Hoàn thành nghĩa vụ của Market maker (2018 MSB cam kết mua ít nhất 4,800 tỷ trên sơ cấp, trước 11/12 mới mua khoảng 2,500 tỷ. Trong đó, giai đoạn giữa năm hầu như ko mua do LS LNH tăng cao nên mua như vậy sẽ không được lợi về NIM)
- Mua bond VDB thay vì bond ST thì sẽ được hưởng coupon cao hơn -&gt; NIM tốt hơn
-&gt; DCM có ý kiến sẽ bỏ limit đối với %ST trong BB khi trình HM mới cho năm 2019</t>
  </si>
  <si>
    <t>Daily work</t>
  </si>
  <si>
    <t>DCM update lại folder các deal chuyển book nội bộ đầu T11: 
- Deal S từ TB -&gt; BB: có vết update folder trong bảng Audit trail
- Deal B BB mua từ TB: K+ tự đẩy ra deal mới (capture date = 13/12/2018, trade date = 7/11/2018), không còn deal cũ ghi tại ngày 7/11</t>
  </si>
  <si>
    <t>Cũng do phát sinh YtD bị lỗ lớn vì giai đoạn này yield tăng, nên MRM và DCM đã phân tích lại ý nghĩa của YtD PnL và nhận thấy chỉ số này chỉ hợp lý nếu ghi nhận lãi lỗ tạm tính vào Hạch toán kế toán (kiểu IFRS9). Còn với cách ghi nhận VAS, toàn bộ phần lãi từ khi đầu tư của các Bond outstanding đang không được ghi nhận vào đâu -- &gt; Dùng ItD chính xác hơn
Ngoài ra, trước tính dùng giá Dirtty để ra PnL và không cộng với phần PnL NIM do QLHS cung cấp (YtD thuần túy chỉ là Market value dirty tại ngày t - Market value dirty tại ngày 31/12 năm trước) -- &gt; Đổi pp tính PnL (từ 1/1/2019) thành giá clean.  Ytd MtM PnL = Price PnL (tính theo giá clean) + NIM PnL. 
- Price PnL -&gt; Lấy từ FRN K+
- NIM PnL -&gt; QLHS cung cấp theo tuần, chấp nhận số liệu trên BC sẽ có độ trễ</t>
  </si>
  <si>
    <t xml:space="preserve">ALCO đã phê duyệt các hạn mức mới áp dụng từ 1/1/2019 với nội dung sau:
- Đối với TB SBV: HM trạng thái 10,000 tỷ và HM lỗ năm -500 tỷ VND.
- Đối với BB SBV: Giữ nguyên các HM như năm 2018, ngoại trừ tỷ trọng tối thiểu đầu tư TP KBNN giảm xuống 20%.
- Phương pháp luận tính lỗ năm đối với TB SBV và TB MSB: Ytd MtM PnL = Price PnL (tính theo giá clean) + NIM PnL. </t>
  </si>
  <si>
    <t>Những việc cần làm ngày 31.12.18:
- Chạy tay FRN realtime với curve cũ -&gt; làm BC 31.12.18 với giá cũ (load data lần 1 ngày 28/12 để lấy deal ps ngày 28/12, sau đó đổi ngày BC thành 31/12, FRN lấy ngày 31/12 -&gt; phải xử lý tay phần này) -&gt; upload 2 chuỗi historical ngày 28.12 và 31.12 lên máy 53
- Nhập curve mới ngày 31/12 (không đổi set up curve, chỉ nhập giá khác vào bondcurve có sẵn)
- Update lại script K+ thành clean PnL (6 script): Trong P/L methodology bỏ tick chọn ở Include Accrued
- Xuất tay FRN realtime 31.12.18 theo giá mới (chỉ để đề phòng TH tối 31.12 hệ thống lỗi). Nếu hệ thống chạy bt, 2/1 load thẳng data từ database, ko cần dùng FRN này.</t>
  </si>
  <si>
    <t>Chuỗi historical PnL:
Lưu ý do từ năm 2019 thay đổi PP tính PnL clean thay vì PnL dirty nên tại 31.12.2018 các bảng data đều lưu 2 chuỗi PnL theo cả 2 pp. Phân biệt bằng trường Note
- Nếu Note = (blank): PnL tính theo curve cũ và giá dirty
- Nếu Note = Clean price: PnL tính theo curve mới và giá clean
Từ 1/1/2019, chỉ lưu 1 chuỗi PnL clean (trường Note = Clean price).</t>
  </si>
  <si>
    <t>Đã sửa lại code VBA và bổ sung thêm 1 bảng load deal PS từ K+ trong sheet Deal.PS. Mục đích: nếu dữ liệu đổ vào datamart của BS2 muộn, người làm BC sẽ vào máy 53 copy tay 4 FRN về, sau đó ấn nút Update code và Load data chọn NO (không load data từ nguồn BS2)
-&gt; Đảm bảo BC hoàn thành đúng giờ</t>
  </si>
  <si>
    <t>Sửa code load deal bond PS từ BS2 -&gt; bổ sung thêm đk lọc ở trường CALCULATION GROUP là B hoặc M
- Đối với các deal key vào AFS-dealer hoặc AFS-ALM: trên bảng Bond transaction chỉ hiện 1 deal với calculation group là B (Both)
- Đối với các deal key vào AFS-DCM: trên bảng bond transaction bị duplicate 3 lần (M, S, N). Mục đích để phân loại sổ khi làm bc theo MSB/SBV
=&gt; Bổ sung thêm đk vào code để đảm bảo khi load deal ps hàng ngày các deal ko bị lặp lại</t>
  </si>
  <si>
    <t>CEO FI đã phê duyệt sử dụng yield VBMA 7-15Y để MtM thay cho FI quote -&gt; sẽ áp dụng từ 7/1/2019: Do đó từ 2019 mới có lưu vết Floating rate của VBMA trên K+
- Nguồn VBMA: lợi suất TPCP 1-15Y.
- Nguồn HNX (YTM tham chiếu của DM bechmark): lợi suất TPCP kỳ &lt;1Y và 20Y, 30Y.
- Spread VDB/VBS/HIFU - ST: +100 pts đối với tất cả các KH.</t>
  </si>
  <si>
    <t>Cần sửa lại chuỗi ItD PnL từ 31/12/2018 - 4/1/2019 theo curve mới để đồng bộ số liệu YtD PnL</t>
  </si>
  <si>
    <t>VBMA điều chỉnh yield 1Y từ 3.296% thành 3.301%.
Đánh giá: Yield điều chỉnh kỳ 1Y chỉ thêm 0.5pts, mà nhóm này PV01 khá bé ( -0.007407573 ~ 7 triệu), nên về số liệu historical cũng không gây ảnh hưởng đáng kể =&gt; không điều chỉnh lại số liệu vì sẽ cần tính toán thủ công.</t>
  </si>
  <si>
    <t>Số liệu BB MSB chênh 1,770 tỷ VND do DCM add thêm folder USED_CAMCO và LOCK_CAMCO vào folder group BB MSB</t>
  </si>
  <si>
    <t>1 số deal MSB giao dịch với VIBH và CK_TCBS S/B cùng 1 mã bond, yield done deal cao hơn yield MtM (30-50pts). ĐVKD giải thích bản chất là gd outright repo, MSB hỗ trợ đối tác làm doanh số.
Đối với MSB, cặp GD S/B key đồng thời ko làm biến động trạng thái. Tuy giá done deal cao hơn yield MtM, nhưng netoff 2 deal cũng ko gây PnL bất thường.</t>
  </si>
  <si>
    <t>FI bond: Đối với FI bond trên K+ hiện có 2 bc có thể khai thác:
1. BC chuẩn FRN (Instrument: Bond &amp; PPCD, Portfolio: FIBOND): lưu ý khi xuất ra phải loại đi các mã do MSB phát hành (MSBxxxx)
2. BC customized RP_SEC_POS: do FI xây dựng, cũng lấy theo tiêu chí folder AFS-LOANFI (nếu xuất theo portfolio FIBOND sẽ bị double phần mang đi cầm cố trong folder USED_CI và LOCK_CI, phải bỏ 2 folder này đi). Lưu ý: (1) trên BC có cả các mã do MSB phát hành -&gt; cần loại đi, (2) trên BC bị lẫn 1 số bond đã đáo hạn -&gt; cần loại đi, (3) tại thời điểm golive FI chốt thiếu 1,000 tỷ TP tăng vốn của SEA, nên cần cộng thêm phần này khi reconcile số liệu.</t>
  </si>
  <si>
    <t xml:space="preserve">Note </t>
  </si>
  <si>
    <t xml:space="preserve">Ngày 20-21/11 phát sinh giao dịch với CK SSI và MBBank cùng 1 mã bond, yield done deal cao hơn MtM ~100pts. ĐVKD giải thích là GD outright repo, MSB hỗ trợ đối tác làm doanh số. </t>
  </si>
  <si>
    <t>Hà</t>
  </si>
  <si>
    <t>Sửa file Bond tool thay cho file tool cũ rất nặng</t>
  </si>
  <si>
    <t>YenNT8</t>
  </si>
  <si>
    <t>Việc lấy dữ liệu từ Database K+ ko làm được trên Tool mới do bị cắt kết nối. Người làm báo cáo phải vào K+, copy tay.</t>
  </si>
  <si>
    <t>Dữ liệu FI bond &amp; PPCD trong tool cũ là list deal lấy từ Database K+. Ở tool mới thì lấy FRP khai thác từ Script K+. Dữ liệu mới sẽ nhẹ hơn rất nhiều, tuy nhiên phần PPCD đang chưa khai thác được phần Yield TB</t>
  </si>
  <si>
    <t>List deal bond trong tool cũ là list deal từ trước đến ngày báo cáo. Tool mới chỉ lấy list deal từ đầu năm 2020. Mục đích tính chỉ tiêu RRTTrg theo Cpty -&gt; dữ liệu trong năm tài chính là đủ.</t>
  </si>
  <si>
    <t>Check FI bond &amp; PPCD trong tool cũ là copy All deal search (cần sửa định dạng 'mm/dd/yyyy'). Tool mới copy All deal search cần sửa định dạng 'dd/mm/yyyy'. Để All deal search: K+ All deal search &gt;&gt; Money market &gt;&gt; Papers &amp; CD &gt;&gt; PPCD_GR</t>
  </si>
  <si>
    <t>Đổi nguồn tính YTM trung bình danh mục Trading:
- Đổi nguồn tính từ YTM trung bình của báo cáo Financial report sang báo cáo RP_SEC_POS nhằm mục đích tính đúng NIM 
- YTM giảm từ 4.6 xuống còn 4.34</t>
  </si>
  <si>
    <t>Nguồn giá IPV: Kỳ hạn 20Y &amp; 30Y của TPCP: VBMA quote do muốn tập trung hóa nguồn dữ liệu.
'- Kỳ hạn ≤ 15Y: Giữ nguyên nguồn giá hiện tại 'TPCP: 1Y - 15Y: VBMA quote, Others: HNX Benchmark)
- Kỳ hạn 20Y &amp; 30Y của TPCP: VBMA quote do muốn tập trung hóa nguồn dữ liệu.
- TPCPBL: TPCP + 100 pts vẫn giữ nguyên như 2019</t>
  </si>
  <si>
    <t>Data hist lưu trên máy 53: Từ ngày này, đã thấy loại bỏ 1 loạt chỉ tiêu không còn lưu trữ trên máy 53 (Lưu từ tháng 10/2018 -- &gt; T10/2020). Nhưng không thấy nêu lý do vì sao bỏ, có nguồn thay thế là gì</t>
  </si>
  <si>
    <t>Bổ sung lại nội dung log cũ (lấy từ file tool cũ), update trên đây để quản trị file tool bond theo 1 quá trình. (Tuy nhiên mới từ File 2018, trước 2018 chưa copy vào)</t>
  </si>
  <si>
    <t>MP</t>
  </si>
  <si>
    <t xml:space="preserve">Bổ sung sheet Guide gồm 3 cấu phần: Methodology; Data flow và Work flow. Guide cũ gần như thiếu hoàn toàn, chỉ có một ít phần work flow liên quan công cụ này. Không đủ thông tin về các file công cụ hỗ trợ công việc khác liên quan việc làm báo cáo bond. </t>
  </si>
  <si>
    <t>Còn một ít thông tin về tên script trên K+ và tên bảng trên Risk datamart. Nhờ Hưng bổ sung nốt.</t>
  </si>
  <si>
    <t>Sheet Hist... có công thức link đến file cũ trên máy của Yến, đã sửa lại</t>
  </si>
  <si>
    <t>Done</t>
  </si>
  <si>
    <t xml:space="preserve">Update code VBA phần copy dữ liệu cho gọn. </t>
  </si>
  <si>
    <t>Sheet Bond Deals tạm ko dùng nữa, đã hide đi.</t>
  </si>
  <si>
    <t>Giải thích tại sao trạng thái tại Bond AVA bị âm?</t>
  </si>
  <si>
    <t>Done, nguyên nhân như sau:
1. do data đầu vào sai
2. đến ngày đến hạn repo nó mới nhả đúng bond về trạng thái available, nhưng repo chưa đến đáo hạn mình đã key deal repo rồi thì nó sẽ làm bond sẽ bị âm available
3. bond sell forward chưa đến ngày thanh toán, trong lúc ý mang đi repo cũng làm âm
=&gt; Số sai ko lưu dữ liệu từ T10/2021</t>
  </si>
  <si>
    <t>Hằng</t>
  </si>
  <si>
    <t>PL repo: 
- Nguồn giá sử dụng đã là giá VBMA quote chưa? Nếu chưa thì cần update. 
- PL repo đã được tính chung vào PL bond chưa? Trong NIM mà QLHS gửi có PL từ repo ko?</t>
  </si>
  <si>
    <t>Pending, cần bổ sung</t>
  </si>
  <si>
    <t>Hưng</t>
  </si>
  <si>
    <t>Market confirmaty:
- Ngưỡng GD bất thường mà HNX dùng để phát hiện Outright repo?
- Tất cả các nguyên nhân khiến cho các bank lách Outright repo thay cho Repo?</t>
  </si>
  <si>
    <t xml:space="preserve">Done
- Ngưỡng giao dịch bất thường là 40 bps 
- Mục đích: 
+ Quản trị các chỉ số an toàn: PLN, TLDP, RWA tín dụng: Về bản chất, hoạt động mua bán lại công cụ nợ trên thị trường thứ cấp là giao dịch sản phẩm tài chính với tài sản đảm bảo là TPCP. Tuy nhiên, theo hướng dẫn về giao dịch và hạch toán kế toán lại được coi là hoạt động cho vay, nên ảnh hưởng đến phân loại nợ, trích lập dự phòng và RWA tín dụng của TCTD. 
+ Quản trị hạn mức với các Khách hàng ĐCTC: Giao dịch mua đứt bán đoạn chịu ít hạn mức hơn mua bán có kỳ hạn. VD: Nếu là giao dịch mua bán có kỳ hạn sẽ chịu thêm hạn mức cấp tín dụng ngoài các hạn mức khác giống như giao dịch mua đứt bán đoạn (HM đầu tư, mua GTCG, HM thanh toán...). Ngoài ra, nếu là giao dịch mua đứt bán đoạn mà MSB trả tiền sau khi nhận GTCG thì ko phát sinh RR tín dụng đối tác, nhưng với giao dịch mua bán có kỳ hạn, RR tín dụng đối tác luôn tồn tại. 
</t>
  </si>
  <si>
    <t>Các sheet FRP..., một số mã bond mới chưa có thông tin trong Bond Def nên ko nhận diện được TPCP hay TPCP bảo lãnh…. Đã update</t>
  </si>
  <si>
    <t>Cập nhật Manual việc lấy Lộc Bảo Phát (RP_Giao dịch TPCP) từ FI service. Giải thích phần code VBA rõ hơn về việc copy dữ liệu từ RP… vào file LBP, tính toán, lọc dữ liệu, copy lại sang file Bond tool.</t>
  </si>
  <si>
    <t>Đã thêm chức năng kiểm tra nếu có #NA ở phần phân loại TPCP/TPCPBL</t>
  </si>
  <si>
    <t>Thêm note định kỳ hàng tuần check lại file List deal để rà soát lại để nhận diện lại Outright repo và revert repo do có thể dealer ko key 2 leg cùng ngày. Đối tác thường làm outright repo là SSI và VNDIRECT.</t>
  </si>
  <si>
    <t>Bổ sung manual các bước thủ công (copy PV01 ngày hôm trước, VaR ngày hôm trước để dùng cho bảng Stress test bên dưới, sheet Summary)</t>
  </si>
  <si>
    <t>Rà soát lại rule nhận diện Outright repo và Outright revert repo (theo giá, theo ngày settlement cho 2 chiều buy sell như thế nào?) Lưu ý review list deals định kỳ xem có trường hợp O.repo/ O. Rev. Repo nào ko hợp lý ko</t>
  </si>
  <si>
    <t>Dấu hiệu nhận biết:
Yield chênh bất thường 
2 chiều Buy/ Sell đối nhau có cùng cpty, quantity
Reverse repo: buy trước sell sau, xem ở settlement date
Repo: sell trước buy sau, xem ở settlement date
Lưu ý trường hợp ko key cùng ngày capture mà key 1 chân trước thì hỏi lại dealer cho chắc chắn. Cuối tháng rà lại file list deal 1 lần để ghép cặp cho chuẩn.</t>
  </si>
  <si>
    <t>Bổ sung code xác định nút đã thực hiện (do xen kẽ các bước ấn nút, còn có các bước lấy/bổ sung dữ liệu khác, nên đôi khi người làm báo cáo quên mất mình đã thực hiện đến bước ấn nút nào)</t>
  </si>
  <si>
    <t>Bổ sung bảng hỗ trợ giải thích nguyên nhân biến động</t>
  </si>
  <si>
    <t>Done, đã có cmt tự động trong sheet Table ở file Desk Bond. Sau có thời gian nên hoàn thiện hơn để phân tách PnL từ phát sinh mới hay từ đánh giá lại trạng thái.</t>
  </si>
  <si>
    <t>Sửa lại công thức tính Position ở sheet Summary: =SUMIFS(FUT!W:W, FUT!T:T, "&gt;"&amp;RPT)/10^9, không đúng</t>
  </si>
  <si>
    <t>Check phần PPCD bị Check ở sheet Summary, đã bổ sung vào phần note ở sheet này.
Dữ liệu PPCD ko xuất all deal search từ 13/1/2021</t>
  </si>
  <si>
    <t>- Sửa code trong file khi thay đổi định dạng file Bond Tool, Bond RPT sang xlsb để giảm dung lượng chạy cho nhẹ
- Sửa code các phần copy báo cáo xuất tự động từ K+ ra các sheet màu vàng: code lúc trước chưa cop RP_BON_AVA, code xóa dữ liệu cũ ko xóa hết, cop dữ liệu mới ko đủ</t>
  </si>
  <si>
    <t>Check lại số liệu phần cpty IPV, FI bond và PP&amp;CD (cả phần code VBA, bảng pivot số liệu và lưu trữ historical máy 53)</t>
  </si>
  <si>
    <t>Done đã note vào các bảng trong sheet IPV, FI bond và PPCD. 
Phần xử lý IPV ở nút IPV
Phần xử lý FI bond và PPCD ở nút Refresh all</t>
  </si>
  <si>
    <t>Nâng cấp tool để lấy nguồn FIN rpt kéo từ K+ ra hoặc lấy từ excel xuất tự động FIN rpt (nội dung như nhau nhưng format khác nhau)</t>
  </si>
  <si>
    <t>Làm file thủ công bên ngoài: "\\10.1.2.40\06.khoi quan ly rui ro\02.Trung Tam QLRR Thi Truong\02.Phong GSRRTT\05.Report\Theo doi\BOND\1. New tool\fnrp thu cong.xlsx"</t>
  </si>
  <si>
    <t>Rà soát và update bookmark VaR bond vào file tool bond và log file Kplus track change</t>
  </si>
  <si>
    <t>Done đã bổ sung vào sheet Guide, file Track change chị Thảo đã note</t>
  </si>
  <si>
    <t>Bổ sung manual phần thông tin set up FIN rpt (tiêu chí set up, tên script…)</t>
  </si>
  <si>
    <t>Đã bổ sung script</t>
  </si>
  <si>
    <t>File data thị trường: Làm sạch lại dữ liệu (xin số của NCKT) và làm lại file phần hist. data 53. Nếu ko xin được số của NCKT thì phải thu thập lại từng ngày. 
Các trường dữ liệu lưu data 53 chưa giải thích rõ ý nghĩa từng loại thông tin lưu trữ (tham khảo thêm file CHỉ số RRTT)</t>
  </si>
  <si>
    <t>Pending
Xin số từ NCKT nhưng họ lưu dữ liệu theo chiều khác mình nên ko làm sạch dữ liệu cũ đc
=&gt; Xây lại số liệu và file chuẩn data thị trường từ 2022 và lưu số 2022. Nhớ rà và sửa theo các code ở File Bond tool hoặc Bond RPT New để update đồng bộ</t>
  </si>
  <si>
    <t>Done, đã làm sạch file data  và dữ liệu trên máy 53</t>
  </si>
  <si>
    <t>Check lại với bên DCM có dùng các bc mapping deal và Bond AVA và Sec pos ko</t>
  </si>
  <si>
    <t>DCM có dùng cả 3 báo cáo nhưng RP_SEC_POS, AVA_BOND đều bị sai, FI bận chưa sửa được và cũng đã gửi IT vài lần nhưng chưa xử lý =&gt; FI quản lý danh mục bằng cách nào? Vẫn dùng các bc đó, nhưng FI biết chỗ nào đúng chỗ nào sai =&gt; Vậy đoán là kiểu bán tự động, có điều chỉnh tay vài chỗ.</t>
  </si>
  <si>
    <t>Sửa các code trong sheet Run tool:
- Cop dữ liệu không đầy đủ, cần phải cop từ chỗ có dữ liệu đến hết
- Sửa code phần LBP, sửa List deal, IPV, PPCD, FI Bond</t>
  </si>
  <si>
    <t>Data TT thị trường</t>
  </si>
  <si>
    <t xml:space="preserve">Sửa file Data TT thị trường các nội dung:
- KLGD, GTGD sheet May 53 và công thức liên quan
- Rpt Group đặt công thức tự động theo năm sheet May 53
- Sửa lại công thức phân tách kỳ hạn ở sheet Ki han khoi luong, bổ sung kỳ 1 năm
</t>
  </si>
  <si>
    <t>Dữ liệu lưu máy 53 đúng từ ngày 2/11/2021
Dữ liệu liên quan đến sơ cấp lũy kế 2021 bị sai, hiện ko lưu nữa. 
Sang 2022 lưu đúng lại từ đầu</t>
  </si>
  <si>
    <t>- Vì dữ liệu QK sai, trên VBMA có sẵn dữ liệu chuỗi trúng thầu theo tháng/ năm từ 2013 đến nay để khai thác -&gt; ko cần lưu nữa. Bỏ các chỉ tiêu sau: KLTT_YYYY, So_phien_so_cap trên máy 53 
- Vì trên VBMA có kết quả trúng thầu theo từng issuers =&gt; vẫn cần tiếp tục lưu số tổng KLTT, giá trị gọi thầu của all issuers để tiện theo dõi và cmt. Nếu sau ko muốn lưu thì có thể lấy từ VBMA rồi pivot cũng được.
Làm sạch dữ liệu Sơ cấp: KLTT, giá trị gọi thầu trên máy 53: nguồn từ VBMA: https://www.vbma.org.vn/vi/market-data/primary-market: Kết quả đấu thầu theo đợt
- GTGD outright, repo, tổng từ 2020 trên VBMA theo ngày/ tháng/ năm: Làm sạch dữ liệu thứ cấp từ 2020 đến nay: GTGD: nguồn từ VBMA https://www.vbma.org.vn/vi/market-data/secondary-market
Ngày nào GTGD sai giữa máy 53 và VBMA thì phải lên HNX lấy lại số KLGD trong ngày và update trên máy 53
-  Giữ lại các chỉ tiêu Max_volume, tenor_max, KLGD theo kỳ hạn để cmt đánh giá báo cáo daily hoặc trả lời Q/A tháng. VBMA, HNX ko có sẵn</t>
  </si>
  <si>
    <t xml:space="preserve">- KLTT_YYYY có các chỉ tiêu con là KLTT tổng lũy kế năm, KLTT lũy kế năm chia theo nhóm Issuers: KBNN, VBS, VDB
- Giá trị giao dịch mới đc lưu từ 25/10/2021 do Hằng sửa file data TT, trước đó lưu sai: chỉ tiêu KL_Trading và KLGD như nhau
Do đó Hằng đã lưu bổ sung GTGD từ 2020 đến nay. </t>
  </si>
  <si>
    <t>PnL Set Hist</t>
  </si>
  <si>
    <t>PnL set VaR thường: từ T7/2021 lưu thiếu
Đã lưu bổ sung đầy đủ từ T7/2021 đến hiện tại</t>
  </si>
  <si>
    <t>PnL set Stress VaR: file tool ko có, dữ liệu ko lưu
Hằng đã sửa file tool bổ sung thêm PnL set Stress VaR. 9/11 file tool đã chạy ok nhưng do KGR lỗi nên PnL set Stress VaR lưu  của ngày liền trước là 8/11/2021</t>
  </si>
  <si>
    <t>Các bạn lưu bổ sung PnL set Stress VaR từ T7 đến 8/11/2021</t>
  </si>
  <si>
    <t>Báo cáo RP_BON_AVA và RP_SEC_POS theo dealer thông tin hiện đang sai, một số mã bond đã bán đi tuy nhiên  vẫn còn được tính trạng thái. Hiện nay dealer quản trị file riêng k dùng báo cáo K+ tham chiếu</t>
  </si>
  <si>
    <t>Trangntt56</t>
  </si>
  <si>
    <t>Báo cáo FNRP bị sai, IT chạy lại, tuy nhiên người lấy bc cần phải refresh lại winscp thì mới đúng được</t>
  </si>
  <si>
    <t>Indicator YTM của TB và BB đang khác nhau. TB lấy theo yield của RP_SEC_POS còn BB lấy theo FRP.BB =&gt; check lại nguyên nhân, đồng bộ cách lấy dữ liệu, sửa tên cột YTM ở các sheet FRP</t>
  </si>
  <si>
    <t>Bond Tool</t>
  </si>
  <si>
    <t xml:space="preserve">Đã copy tất cả các Log từ 2012-2016 vào chung 1 File này. Yêu cầu tất cả các lần nâng cấp/thay đổi công cụ báo cáo sau này, luôn đảm bảo copy đầy đủ Log cũ vào trong Tool mới (Thói quen của người làm tool mới là hay "Quên" kế thừa người cũ, để mọi thứ refresh từ đầu, nên người sau đó ko nhìn thấy chuỗi thông tin cũ khi cần)
</t>
  </si>
  <si>
    <t>Log file cũ 2012-2016 tại đây: "\\10.1.2.40\06.Khoi Quan Ly Rui Ro\02.Trung Tam QLRR Thi Truong\02.Phong GSRRTT\05.Report\Theo doi\BOND\Bond log file_Đến 2016.xlsx"</t>
  </si>
  <si>
    <t>Phuongvh</t>
  </si>
  <si>
    <t>Sửa lại ct tính Repo ở sheet bond ava do đang mapping k chuẩn</t>
  </si>
  <si>
    <t>FNRP bond bị sai do lấy lại giá cũ do vậy PnL ngày 16/2 rất bất thường khi yield tăng mạnh mà PnL lỗ ít. Đã gửi IT, tuy nhiên IT k tìm ra nguyên nhân. Đã gửi cho support team</t>
  </si>
  <si>
    <t>PnL lỗ mạnh do yield ngày 16.2 FNRP lỗi lấy lại giá cũ nên 17.2 ItD trừ cho cả phần của ngày 16/2 nên lỗ mạnh</t>
  </si>
  <si>
    <t>. VaR tiếp tục tăng ở mức rất cao tăng lên mức 88 tỷ (kịch bản giá không thay đổi) trạng thái FNRP giảm do KGR k tính các deal trade date trong tương lai (chênh lệch trong ngày 8/3 là 850 tỷ)</t>
  </si>
  <si>
    <t>Sửa code 4 file: RP_SEC_POS, RPBOD_B002, RPCOLL02, RP_BOND_AVA đuôi xml =&gt; csv</t>
  </si>
  <si>
    <t>FNRP ngày rpt là 18/4 bị sai quanti, nên lấy lại FNRP intra để tính</t>
  </si>
  <si>
    <t>Maã bond TD1722380 đã mat, FNRP tính sai do cho luôn clean price =0 nên MtM lại PnL lỗ lớn (Unze PnL lỗ lớn) =&gt; hiệu chỉnh lại bằng tay</t>
  </si>
  <si>
    <t xml:space="preserve">Lưu thêm PV01 kì 0.25Y và 0.5Y cho TB </t>
  </si>
  <si>
    <t>Upgrade</t>
  </si>
  <si>
    <t>Bổ sung code tự động kéo công thức, tool hiện tại đang kéo công thức nhưng bị thiếu dẫn đến các công thức trung gian có thể bị sai</t>
  </si>
  <si>
    <t>Dung21</t>
  </si>
  <si>
    <t>Sửa code kéo dữ liệu deal bond, code cũ copy bị thiếu dòng deal đầu tiên</t>
  </si>
  <si>
    <t>Issue</t>
  </si>
  <si>
    <t>Daily PnL intra 0.6 tỷ trong khi daily tool lỗ hơn 49tỷ, check nguyên nhân do 1 deal đáo hạn trong ngày nhưng FNRP chạy revaluation đang ghi nhận Price, realize, unrealized PnL đang bị sai.</t>
  </si>
  <si>
    <t>Sửa lại tool phần "Lo ngay" tính toán đang để "lo nam tại ngày rpt" - "lo nam tại ngày cuối năm trc =&gt; Sai, nếu NIM cộng vào tại ngày rpt thì sẽ sai.
Sửa lại: Itd tại ngày rpt date - Itd tại ngày yesterday</t>
  </si>
  <si>
    <t>Dung21 &amp;Trang</t>
  </si>
  <si>
    <t>Từ hôm thứ 5 khi quét file giá bị lỗi thì đồng thời hệ thống k+ cũng gặp lỗi nghiêm trọng: K+ không tính toán giá cho các mã Bond tại bảng Bond quote, vì không tính toán và lấy ngày hôm trước dẫn đến Financial report đang bị tính toán sai. Phương án xử lý tạm thời ước lượng PnL qua PV01.</t>
  </si>
  <si>
    <t xml:space="preserve">Dung21 </t>
  </si>
  <si>
    <t>c HP sharing thông tin từ DCM:  Yield bond VDB bây giờ chỉ chênh khoảng 20 điểm so với ST, ko phải chênh 80-100 điểm như trước đây nữa, log vào phần phân tích IPV sau này còn làm và cũng nhạy cảm hơn với spread yield này nhé. vì chênh ko nhiều, nên ngta cũng ko mặn mà mua VDB nữa. trước đây bên mình đòi gỡ bỏ hạn mức chặn trần VDB (chặn sàn ST),để mở cửa đầu tư nhiều VDB cho danh mục BB, cũng vì lúc ấy kêu VDB ko thanh khoản bằng, nhưng lúc đó chênh spread nhiều, đầu tư lợi suất tốt hơn, mình thích và các bank khác cũng thích, tranh nhau mua =&gt; Take note cho đợt IPV tới.</t>
  </si>
  <si>
    <t>Trong quá trình làm tool mới phát hiện ra tool hiện tại đang ghi nhật Mat date bị sai, vd bond TD2030014 đang ghi nhận 7/2/2030 nhưng đúng phải là 2/7/2030. Cách khắc phục: Sửa lại format date</t>
  </si>
  <si>
    <t>Trong quá trình làm tool mới phát hiện ra tool hiện tại đang tính sai Volume_Trading_by_Face  cho Primary_market và Secondary_market ở dòng 56 và 57</t>
  </si>
  <si>
    <t>Phần tenor sau khi trao đổi với đvkd thì bên đó xđ tenor dựa trên (Mat - rpt)/365 =&gt; Sửa lại công thức YEARFRAC(rpt, mat_date +1,1) thành YEARFRAC(rpt, mat_date ,3). Tức: (1) Trong đó chuyển từ act/act về act/365 và (2) Không để mat date +1 vì không hợp lý.</t>
  </si>
  <si>
    <t>Sửa lại indicator của NIM, đổi tên từ PnL thành YTD NIM. Đoạn code sửa như sau:
Update dbo.Bond_Trading_Historical
set Indicators = 'YtD_NIM', Rpt_Grp = ''
where Indicators = 'PnL' and Rpt_Grp = 'YtD_NIM_PnL'</t>
  </si>
  <si>
    <t>Sửa lại indicator của Bond future, đổi indicator cho position của Bond future nhìn cho dễ hiểu . Đoạn code sửa như sau
Update dbo.Bond_Trading_Historical
set Indicators = 'Trang thai mo_actual'
where Indicators = 'Trang thai mo_actual' and Input_data = 'Future' and note   = 'PP net'
/
Update dbo.Bond_Trading_Historical
set Indicators = 'Trang thai mo_abs'
where Indicators = 'Trang thai mo' and Input_data = 'Future' and note   = 'PP absolute'</t>
  </si>
  <si>
    <t>Lưu ý: Kể từ 26/12/2022 dữ liệu Banking book SBV và trading book SBV chỉ ghi nhận các giao dịch trên Balance sheet (Loại các giao dịch có ngày trade date trong tương lai do các deal này BO không thể validate, nên giao dịch không thể hiện trên Balance sheet). QLRR thay đổi hướng giám sát này để đảm bảo bộ sổ SBV luôn đối chiếu được với GL, thống nhất với số liệu trạng thái tính vốn cho rủi ro thị trường.</t>
  </si>
  <si>
    <r>
      <rPr>
        <b/>
        <sz val="11"/>
        <color theme="1"/>
        <rFont val="Times New Roman"/>
        <family val="1"/>
      </rPr>
      <t>LOG</t>
    </r>
    <r>
      <rPr>
        <sz val="11"/>
        <color theme="1"/>
        <rFont val="Times New Roman"/>
        <family val="1"/>
      </rPr>
      <t xml:space="preserve"> (note lại tất cả các điểm thay đổi hoặc cần lưu ý hàng ngày)</t>
    </r>
  </si>
  <si>
    <r>
      <t xml:space="preserve">Sửa lại công thức tính ngày trả lãi cuối cùng tương ứng với ngày báo cáo (để tính ngày accrue interest tại ngày báo cáo).
Công thức cũ: Nếu ngày báo cáo &gt; ngày trả lãi tại năm báo cáo </t>
    </r>
    <r>
      <rPr>
        <b/>
        <sz val="11"/>
        <color theme="1"/>
        <rFont val="Times New Roman"/>
        <family val="1"/>
      </rPr>
      <t>hoặc ngày value date &gt; Ngày trả lãi tại năm báo cáo</t>
    </r>
    <r>
      <rPr>
        <sz val="11"/>
        <color theme="1"/>
        <rFont val="Times New Roman"/>
        <family val="1"/>
      </rPr>
      <t xml:space="preserve"> thì ngày trả lãi cuối cùng là ngày trả lãi tại năm báo cáo, còn không là ngày trả lãi tại năm báo cáo  - 1 năm.
Công thức mới: Nếu ngày báo cáo &gt; ngày trả lãi tại năm báo cáo thì ngày trả lãi cuối cùng là ngày trả lãi tại năm báo cáo, còn không là ngày trả lãi tại năm báo cáo  - 1 năm.</t>
    </r>
  </si>
  <si>
    <r>
      <t xml:space="preserve">- Bổ sung Manual cho phần lấy dữ liệu FRP từ K+; </t>
    </r>
    <r>
      <rPr>
        <sz val="11"/>
        <color rgb="FFFF0000"/>
        <rFont val="Times New Roman"/>
        <family val="1"/>
      </rPr>
      <t>HuongNT đã viết code để check tất cả các folder có trong FG Trading/Banking Book thì thấy: (1) code lấy deal phát sinh trong ngày không lấy đầy đủ các folder có trong F.Group Trading; (2) Các folder của các dealer mới là Thành và Hưng chưa được gắn vào FG để tính toán (chưa ảnh hưởng vì chưa phát sinh deal, tuy nhiên vẫn phải gắn vào FG vì các bạn này đều đã có Folder riêng ) đã báo lại với desk Bond để update, HUYNQ follow việc này.</t>
    </r>
    <r>
      <rPr>
        <sz val="11"/>
        <color theme="1"/>
        <rFont val="Times New Roman"/>
        <family val="1"/>
      </rPr>
      <t xml:space="preserve">
- Sửa lại công thức match thông tin Issuer trong sheet DealBond.PS: mục đích: lấy thông tin chuẩn từ sheet BondDef;
- Sửa lại công thức cột AP2, sheet DealBond.PS: dữ liệu KHCL: sửa lại là ngày Maturity Date - Settlement Date (không phải Captured Date);
-Sửa lại công thức Kiểm tra giá giao dịch bất thường: không lấy thông tin Issuer để mapping nữa, mà sẽ lấy thông tin về phân loại trong BondDef (</t>
    </r>
    <r>
      <rPr>
        <sz val="11"/>
        <rFont val="Times New Roman"/>
        <family val="1"/>
      </rPr>
      <t>HUYNQ6 đã update database phân loại của HNX thành 1 file bondef mới)</t>
    </r>
    <r>
      <rPr>
        <sz val="11"/>
        <color theme="1"/>
        <rFont val="Times New Roman"/>
        <family val="1"/>
      </rPr>
      <t xml:space="preserve">
    </t>
    </r>
    <r>
      <rPr>
        <i/>
        <sz val="11"/>
        <color theme="1"/>
        <rFont val="Times New Roman"/>
        <family val="1"/>
      </rPr>
      <t>Sửa lại công thức cột AN sheet DealBond.PS: lấy thông tin loại TP thay vì Issuer;
    Sửa lại công thức cột Á và AT sheet DealBond.PS: lấy yield theo loại TP thay vì lấy theo Issuer</t>
    </r>
    <r>
      <rPr>
        <sz val="11"/>
        <color theme="1"/>
        <rFont val="Times New Roman"/>
        <family val="1"/>
      </rPr>
      <t xml:space="preserve">.
- Sheet FRP Trading: 
   </t>
    </r>
    <r>
      <rPr>
        <sz val="11"/>
        <color rgb="FFFF0000"/>
        <rFont val="Times New Roman"/>
        <family val="1"/>
      </rPr>
      <t xml:space="preserve"> Thông tin về Bond trả lãi trước: HuongNT đã viết code để lấy được tất cả các bond trả lãi trước được khai báo trong hệ thống, HuyNQ nghiên cứu để refresh tự động bảng này hoặc định kỳ vào refresh tay cho nhớ mục đích;</t>
    </r>
    <r>
      <rPr>
        <sz val="11"/>
        <color theme="1"/>
        <rFont val="Times New Roman"/>
        <family val="1"/>
      </rPr>
      <t xml:space="preserve"> HuongNT đã sửa lại công thức mapping Tra lai truoc trong 2 sheet FRP Trading và FRP Banking.
    </t>
    </r>
    <r>
      <rPr>
        <i/>
        <sz val="11"/>
        <color theme="1"/>
        <rFont val="Times New Roman"/>
        <family val="1"/>
      </rPr>
      <t xml:space="preserve">Thông tin phân loại theo kỳ hạn chuẩn vì hiện tại đang ko có kỳ 20y và 30Y: HUYDQ đã cho thông tin chuẩn của HNX, HuyNQ sẽ nghiên cứu để cập nhật lại vào file tính.
</t>
    </r>
    <r>
      <rPr>
        <sz val="11"/>
        <rFont val="Times New Roman"/>
        <family val="1"/>
      </rPr>
      <t>Sheet Deal Banking và Deal Trading: phần phân loại TP đang bị sai (ví dụ trái phiếu VEC là TPCPBL lại đang được phân loại là TPCQĐP), HuyNQ chuẩn hóa lại công thức theo dữ liệu từ sheet BondDef. Lưu ý chuẩn hóa lại công thức phần term. =&gt; thông tin về bondef đã được update thành 1 file mới và đã tiến hành phân loại bond theo mẫu của FI =&gt; HuongNt chốt hướng để lưu và sử dụng data sau phân loại này</t>
    </r>
    <r>
      <rPr>
        <sz val="11"/>
        <color rgb="FFFF0000"/>
        <rFont val="Times New Roman"/>
        <family val="1"/>
      </rPr>
      <t xml:space="preserve">
</t>
    </r>
    <r>
      <rPr>
        <sz val="11"/>
        <rFont val="Times New Roman"/>
        <family val="1"/>
      </rPr>
      <t>Sheet Audit: HuongNt đã bổ sung code check deal xóa để biết có điều chỉnh vào Trading/Banking hay không.</t>
    </r>
  </si>
  <si>
    <r>
      <t xml:space="preserve">HuyNQ check lại thông tin BondDef với HUYDQ, thực hiện tính toán lại dữ liệu phân loại và thống kê. Thực hiện cắt file dữ liệu theo năm cho đỡ nặng và đảm bảo phản ánh được số chính xác khi static data thay đổi (hiện tại đang để paste value nên khi thực hiện thay đổi lại dữ liệu phân loại sẽ không tự động cập nhật được các kết quả tương ứng.
</t>
    </r>
    <r>
      <rPr>
        <sz val="11"/>
        <rFont val="Times New Roman"/>
        <family val="1"/>
      </rPr>
      <t xml:space="preserve">Chưa có nguồn số liệu thống kê tín phiếu đã phát hành trong ngày: HuongNT sẽ làm việc lại với MM để xin nguồn số liệu, đã có phần lưu trữ lịch sử thông tin phát hành Tín phiếu trong quá khứ của file chính sách, sẽ update vào đây để làm cơ sở dữ liệu.
</t>
    </r>
    <r>
      <rPr>
        <sz val="11"/>
        <color rgb="FFFF0000"/>
        <rFont val="Times New Roman"/>
        <family val="1"/>
      </rPr>
      <t>HuongNT sẽ tạo thêm các bảng PIVOT để so sánh Yield và Volume trên: (1) sơ cấp với thứ cấp; (2) sơ cấp với VBMA quote; (3) thứ cấp với VBMA quote để có thêm thông tin phân tích thị trường.</t>
    </r>
  </si>
  <si>
    <r>
      <t xml:space="preserve">Hằng ngày vẫn sẽ đối chiếu </t>
    </r>
    <r>
      <rPr>
        <b/>
        <sz val="11"/>
        <color theme="1"/>
        <rFont val="Times New Roman"/>
        <family val="1"/>
      </rPr>
      <t>daily PnL</t>
    </r>
    <r>
      <rPr>
        <sz val="11"/>
        <color theme="1"/>
        <rFont val="Times New Roman"/>
        <family val="1"/>
      </rPr>
      <t xml:space="preserve"> trên FRN với daily PnL từ List deal (ko đối chiếu ItD vì list deal đã cutoff từ 31/12/2015 nên sẽ ko khớp) -&gt; Chi tiết ở sheet Check</t>
    </r>
  </si>
  <si>
    <t>Log/note</t>
  </si>
  <si>
    <t>- Trạng thái danh mục Trading và Banking trên K+ và MLS lệch nhau
- Do ngày 04/23/2013 FI thực hiện key back date (04/01/2013) chuyển những bond từ Banking book sang Trading book theo tờ trình dẫn đến các deal chuyển Folder nội bộ không ăn vào hạn mức trên MLS
- Ngày 06/17/2013 : FI xóa những deal chuyển folder từ ngày 23/4, key deal bán từ Banking sang Trading để khớp với những deal đã bán khống ở Trading vào đầu tháng 4 và chuyển một số bond từ Trading sang Banking theo tờ trình được phê duyệt
- Kết luận : Tất cả các deal chuyển nội bộ giữa các Folder không làm thay đổi trạng thái của DM trên MLS</t>
  </si>
  <si>
    <t>S</t>
  </si>
  <si>
    <t>PNL deal phát sinh</t>
  </si>
  <si>
    <t>TD2328099</t>
  </si>
  <si>
    <t>Chênh lệch</t>
  </si>
  <si>
    <t>Unrealized PnL theo báo cáo RP_SEC_POS (sheet Outstanding pos)</t>
  </si>
  <si>
    <t>=(Clean price - Avg Price)*Quantity</t>
  </si>
  <si>
    <t>FNRP!A1</t>
  </si>
  <si>
    <t>Check Duration</t>
  </si>
  <si>
    <t>Phan tich_TB'!C3</t>
  </si>
  <si>
    <t>Phan tich_BB'!B3</t>
  </si>
  <si>
    <t>Avg price là bình quân gia quyền giá clean price theo trọng số quantity của các deal mua trái phiếu.</t>
  </si>
  <si>
    <t>Duration của các bộ mà lớn hơn 30 thì check</t>
  </si>
  <si>
    <t>12y</t>
  </si>
  <si>
    <t>TD2338135</t>
  </si>
  <si>
    <t>TD2333120</t>
  </si>
  <si>
    <t>10y</t>
  </si>
  <si>
    <t>TOTAL</t>
  </si>
  <si>
    <t>5y</t>
  </si>
  <si>
    <t>7y</t>
  </si>
  <si>
    <t>8y</t>
  </si>
  <si>
    <t>TD2232113</t>
  </si>
  <si>
    <t>His_pos</t>
  </si>
  <si>
    <t>BVBS23234</t>
  </si>
  <si>
    <t>BVBS23156</t>
  </si>
  <si>
    <t>BVBS23182</t>
  </si>
  <si>
    <t>BVBS23260</t>
  </si>
  <si>
    <t>ThaoVT1</t>
  </si>
  <si>
    <t>YtD PnL</t>
  </si>
  <si>
    <t>VaR_95</t>
  </si>
  <si>
    <t>ItD Unrealized PnL</t>
  </si>
  <si>
    <t>Kể từ báo cáo ngày 30/05/2023, setup VaR trên KGR đổi độ tin cậy từ 99% sang 95%. Dữ liệu lịch sử là VaR 95% kể từ ngày này</t>
  </si>
  <si>
    <t>Deal số 40210 và 40211 giá cao bất thường (chênh 137 bps so với giá MtM), DCM (Sơn) giải thích: Họ bán cho mình YTM cao thì mình càng lợi carry. Mục đích của SEA thì em không biết nhưng đối với góc độ MSB thì vừa tăng doanh số, vừa được lợi 1 ngày carry trade, và với YTM cao nếu fail deal bán thì mình có thể mang con này ra market bán được. (Deal sell buy back với Sea)
Cụ thể, deal số 40210 MSB mua của SEA với yield cao ---&gt; MSB lãi về giá. Nếu Sea k thực hiện deal mua, MSB có thể mang bán trên thị trường với giá market ---&gt; lãi về giá.</t>
  </si>
  <si>
    <r>
      <t xml:space="preserve">Ngày 26/07, DCM thực hiện 1 loạt deal với Sea với yield 4.x, 5. trong khi giá MtM chỉ quanh vùng 2.4, giá off mrk hơn 2%.
Các deal này được giải thích là thực hiện nhu cầu của đối tác Sea. Sea thực hiện có thể nhằm mục đích cook số lợi nhuận. Cook như thế nào tham khảo email </t>
    </r>
    <r>
      <rPr>
        <b/>
        <sz val="11"/>
        <color theme="1"/>
        <rFont val="Times New Roman"/>
        <family val="1"/>
      </rPr>
      <t>Xử lý lợi nhuận Bond trading</t>
    </r>
  </si>
  <si>
    <t>TD2338136</t>
  </si>
  <si>
    <t>BOND_SBV</t>
  </si>
  <si>
    <t>Ngày 03/08/2023, DCM có bán luôn 112 tỷ 30Y đã mua từ sơ cấp ngày 02/08, và bán cho SSI.
Được biết, đây là giao dịch MSB làm hộ cho SSI, MSB không hưởng PnL về giá, vậy MSB được gì?
- 1 ngày coupon
- MSB là market maker nên sẽ có KPI về đấu thầu. Do vậy, MSB làm hộ KH sẽ giúp đạt được KPI này.
- Ngoài ra, còn là các cách duy trì mqh với đối tác</t>
  </si>
  <si>
    <t>Ngayf 03/08/2023, MSB cũng thực hiện một số deal với SSI với giá out of market. Các deal out of market này không phải là outright repo đâu nhé, nó là các deal kỹ thuật nhằm xử lý lợi nhuận cho đối tác. Các xử lý ntn, tham khảo email xử lý lợi nhuận Bond trading</t>
  </si>
  <si>
    <t>Tool</t>
  </si>
  <si>
    <t>Thay đổi folder lưu trữ input</t>
  </si>
  <si>
    <t>Tool_name</t>
  </si>
  <si>
    <t>Do không vào được KGR nên dữ liệu VaR ngày báo cáo 16/8/2023 là dữ liệu VaR ngày 15/8/23</t>
  </si>
  <si>
    <t>TD2328100</t>
  </si>
  <si>
    <t>SBV</t>
  </si>
  <si>
    <t>TPNHNN</t>
  </si>
  <si>
    <t>Coupon rate binh quan</t>
  </si>
  <si>
    <t>BVBS23189</t>
  </si>
  <si>
    <t>BVBS23244</t>
  </si>
  <si>
    <t>BVBS23270</t>
  </si>
  <si>
    <t>14/11/2028</t>
  </si>
  <si>
    <t>14/11/2033</t>
  </si>
  <si>
    <t>14/11/2038</t>
  </si>
  <si>
    <t>BVBS23245</t>
  </si>
  <si>
    <t>17/11/2033</t>
  </si>
  <si>
    <t>BVBS23246</t>
  </si>
  <si>
    <t>BVBS23272</t>
  </si>
  <si>
    <t>21/11/2038</t>
  </si>
  <si>
    <t>21/11/2033</t>
  </si>
  <si>
    <t>TD2333121</t>
  </si>
  <si>
    <t>TD2338137</t>
  </si>
  <si>
    <t>19/10/2038</t>
  </si>
  <si>
    <t>BVBS23273</t>
  </si>
  <si>
    <t>Tách position theo issuer và lưu trữ</t>
  </si>
  <si>
    <t>Lienntn3</t>
  </si>
  <si>
    <t>Thêm công thức tính coupon rate bình quân và lưu trữ</t>
  </si>
  <si>
    <t>Tăng trạng thái TB, mua sơ cấp TPCPBL</t>
  </si>
  <si>
    <t xml:space="preserve">Ngày 13/12/2023, MSB thực hiện giao dịch bán 900 tỷ Banking book với đối tác TCBS và SSI, và mua lại cho Trading book.
Mua sơ cấp 500 tỷ TPCP kỳ 30Y </t>
  </si>
  <si>
    <t>TD2333122</t>
  </si>
  <si>
    <t>ON BS</t>
  </si>
  <si>
    <t>OFF BS</t>
  </si>
  <si>
    <t>Bổ sung chỉ số ON BS, OFF BS, NGOAI GL cho TB MSB, BB MSB và TB SBV, BB SBV</t>
  </si>
  <si>
    <t>TD2429007</t>
  </si>
  <si>
    <t>TD2434019</t>
  </si>
  <si>
    <t>TD2439029</t>
  </si>
  <si>
    <t>TD2328101</t>
  </si>
  <si>
    <t>PV00</t>
  </si>
  <si>
    <t>PV101</t>
  </si>
  <si>
    <t>PV102</t>
  </si>
  <si>
    <t>NGOAI BS</t>
  </si>
  <si>
    <t>Face</t>
  </si>
  <si>
    <t>MtM (clean)</t>
  </si>
  <si>
    <t>DM Banking book</t>
  </si>
  <si>
    <t>DM Trading book</t>
  </si>
  <si>
    <t>MtM</t>
  </si>
  <si>
    <t>Bổ sung tính market value theo ON BS, OFF BS, NGOAI GL</t>
  </si>
  <si>
    <t>15/11/2033</t>
  </si>
  <si>
    <t>27y</t>
  </si>
  <si>
    <t>POSTED_DT</t>
  </si>
  <si>
    <t>BOND_CODE</t>
  </si>
  <si>
    <t>BOOK_FLAG</t>
  </si>
  <si>
    <t>BALANCE</t>
  </si>
  <si>
    <t>CLEAN_PRICE</t>
  </si>
  <si>
    <t>BAL</t>
  </si>
  <si>
    <t>GL_CODE</t>
  </si>
  <si>
    <t>GL_CODE_NAME</t>
  </si>
  <si>
    <t>POSITION</t>
  </si>
  <si>
    <t>Sơ cấp/thứ cấp</t>
  </si>
  <si>
    <t>Yield MtM</t>
  </si>
  <si>
    <t>yield done deal</t>
  </si>
  <si>
    <t>Chênh (points)</t>
  </si>
  <si>
    <t>Check/ok</t>
  </si>
  <si>
    <t>gr tenor</t>
  </si>
  <si>
    <t>KHO BAC NHA NUOC</t>
  </si>
  <si>
    <t>13/12/2033</t>
  </si>
  <si>
    <t>TD2434022</t>
  </si>
  <si>
    <t>VaR 95%</t>
  </si>
  <si>
    <t>VaR 99%</t>
  </si>
  <si>
    <t>TD2434023</t>
  </si>
  <si>
    <t>TD2439031</t>
  </si>
  <si>
    <t>TD2434024</t>
  </si>
  <si>
    <t>Không có dữ liệu FNRP Repo từ ngày 30/7</t>
  </si>
  <si>
    <t>Check số trạng thái đầu kỳ và số cuối kỳ của trading book lệch 1,350 tỷ do dealer sửa deal làm outright repo với SSI nhưng chỉ hiện deal S, không hiện deal S</t>
  </si>
  <si>
    <t>TD2434025</t>
  </si>
  <si>
    <t>TD2439032</t>
  </si>
  <si>
    <t>dữ liệu kondor bị lỗi, sử dụng dữ liệu FNRP từ basel</t>
  </si>
  <si>
    <t>BOND FUTURE 09.2019</t>
  </si>
  <si>
    <t>BVBS23271</t>
  </si>
  <si>
    <t>17/11/2038</t>
  </si>
  <si>
    <t>Khối lượng</t>
  </si>
  <si>
    <t xml:space="preserve">Time holding bình quân </t>
  </si>
  <si>
    <t>Thời gian nắm giữ bình quân gia quyền của danh mục TB</t>
  </si>
  <si>
    <t>days</t>
  </si>
  <si>
    <t>Number of deals &gt; 365 days</t>
  </si>
  <si>
    <t>Time holding</t>
  </si>
  <si>
    <t xml:space="preserve">Bổ sung chỉ số Time holding cho TB và BB </t>
  </si>
  <si>
    <t>TD2434021</t>
  </si>
  <si>
    <t>Lastest 1Y</t>
  </si>
  <si>
    <t>Total PnL</t>
  </si>
  <si>
    <t>Date scenario</t>
  </si>
  <si>
    <t>Check</t>
  </si>
  <si>
    <t>Row Labels</t>
  </si>
  <si>
    <t>Sum of Average</t>
  </si>
  <si>
    <t>DtD - Change in yield</t>
  </si>
  <si>
    <t>Yield 1Y</t>
  </si>
  <si>
    <t>Yield_1Y</t>
  </si>
  <si>
    <t>TD2434026</t>
  </si>
  <si>
    <t>Bổ sung kịch bản VaR</t>
  </si>
  <si>
    <t xml:space="preserve">Folders group </t>
  </si>
  <si>
    <t>Folders group</t>
  </si>
  <si>
    <t>Bộ sổ</t>
  </si>
  <si>
    <t>MSB</t>
  </si>
  <si>
    <t>Outstanding_pos_TB_SBV</t>
  </si>
  <si>
    <t>Outstanding_pos_BB_SBV</t>
  </si>
  <si>
    <t xml:space="preserve"> Log</t>
  </si>
  <si>
    <t xml:space="preserve">Chỉ số ItD Unrealized PnL bộ sổ SBV (TB+BB) bị lệch với bộ MSB (TB+BB). Do ItD Unrealized PnL bộ MSB được tính trên báo cáo Bond Outstanding (RP_SEC_POS) theo phương pháp cherry picking, bộ SBV được tính trên FNRP theo phương pháp Avg price. </t>
  </si>
  <si>
    <t>- Thêm bảng Bond outstanding TB và BB SBV, lưu trữ thêm số ItD unrealized PnL cho bộ TB và BB SBV. Lọc bỏ những deal có amt bị âm thì bộ SBV và MSB khớp.
- Số liệu ItD unrealized PnL đúng từ ngày 7/10/2024. Tuy nhiên không chỉnh sửa được số liệu quá khứ do báo cáo RP_SEC_POS được xuất real time.</t>
  </si>
  <si>
    <t>Unrealized ItD MtM PnL của bộ SBV = MSB?</t>
  </si>
  <si>
    <t>YtD PnL của bộ SBV = MSB?</t>
  </si>
  <si>
    <t>Thaottp14</t>
  </si>
  <si>
    <t>Check position (face value) FNRP và BaselEXA risk datamart</t>
  </si>
  <si>
    <t>By tenor</t>
  </si>
  <si>
    <t>2W</t>
  </si>
  <si>
    <t>3W</t>
  </si>
  <si>
    <t>2M</t>
  </si>
  <si>
    <t>- MtM lấy từ code trên baselEXA datamart &lt;&gt; Market value (theo clean price) trên FNRP
- Sửa lại công thức GAP = MtM-BV, trong đó, MtM lấy từ FNRP</t>
  </si>
  <si>
    <t>Số Actual PnL (Daily PnL) có vượt VaR (RPT-1) không?</t>
  </si>
  <si>
    <t>Check Deal ps hoặc Yield</t>
  </si>
  <si>
    <t>Number of deals hold &gt;365 days</t>
  </si>
  <si>
    <t>Thêm 1 indicator "Note" trong His.TB để giải thích các case lỗ Daily PnL vượt VaR do yield biến động mạnh hoặc Deal ps lỗ lớn</t>
  </si>
  <si>
    <t>Value</t>
  </si>
  <si>
    <t>Chiết khấu</t>
  </si>
  <si>
    <t>Phụ trội</t>
  </si>
  <si>
    <t>Sửa số VaR thành presentation dưới dạng số dương</t>
  </si>
  <si>
    <t>Mã</t>
  </si>
  <si>
    <t>Khối lượng Banking book bộ MSB và SBV có thay đổi không</t>
  </si>
  <si>
    <t>Position TB</t>
  </si>
  <si>
    <t>Position BB</t>
  </si>
  <si>
    <t>His_posBB</t>
  </si>
  <si>
    <t>FNRP!AN1</t>
  </si>
  <si>
    <t>Time holding TB &gt;345 thì warning</t>
  </si>
  <si>
    <t>Yield tăng ở các kỳ trọng yếu 7Y (+3.3bps, lỗ 2 tỷ), 10Y (+2.3bps, lỗ 16 tỷ), 15Y (+2.3bps, lỗ 20 tỷ). Deal phát sinh trong ngày 2 deal kỹ thuật 44854 và 44855 với CPTY VPS (do khách hàng nhờ làm) gây lỗ 6 tỷ</t>
  </si>
  <si>
    <t>Yield tăng và bán lỗ khiến Daily PnL của BB ngày 13/12 lỗ 44 tỷ
Deal 44958 bán mã TD1828113 lỗ 600 tr so với MtM với CPTY MHCV
Deal 44959 bán mã HCMB14181 lỗ  32 tỷ so với MtM với CPTY CK_BIDV 
(ngày 17/12 phát sinh deal 44976 mua mã HCMB14181 vào TB, lãi 31 tỷ. Yield giảm và lãi từ dealps khiến Daily PnL TB lãi 49 tỷ. Có khả năng vì mục đích realize lợi nhuận)</t>
  </si>
  <si>
    <t>Yield giảm và lãi từ dealps khiến Daily PnL TB lãi 49 tỷ
Deal 44976 mua mã HCMB14181 vào TB, lãi 31 tỷ. Có khả năng vì mục đích realize lợi nhuận
Trước đó ngày 13/12, Deal 44959 bán mã HCMB14181 lỗ  32 tỷ so với MtM với CPTY CK_BIDV</t>
  </si>
  <si>
    <t>Yield MtM tăng mạnh: 7Y tăng 10.5bps, 10Y tăng 9.5bps, 15Y tăng 6.5bps
Dealps cuối ngày bất thường 45013 lãi 27 tỷ khiến Daily PnL và ItD Unrealized PnL bớt lỗ so với số ước tính EOD.
DCM bán 2 mã ở Banking, lỗ 125 triệu, không có dấu hiệu bất thường.</t>
  </si>
  <si>
    <t>Deal phát sinh lỗ/lãi lớn</t>
  </si>
  <si>
    <t>Deal phát sinh lỗ/lãi &gt; 5 tỷ</t>
  </si>
  <si>
    <t>Trading MSB: deal bán 45062, 45061, 45054 total 350 tỷ, yield thấp hơn 33bps so với MtM, lãi 15 tỷ
Banking MSB: deal mua 45049, 45050 total 100 tỷ, lỗ 1 tỷ và deal bán 45063, 45064, 45065 lỗ 27 tỷ.
Có khả năng mua lỗ Banking và bán lãi Trading (deal ps ngày 23/12) để realize lợi nhuận Trading (45063 và 45036,45034), (45065 và 45039), (45064 và 45037)</t>
  </si>
  <si>
    <t>Xoa deal</t>
  </si>
  <si>
    <t>Deals</t>
  </si>
  <si>
    <t>DEAL_ID</t>
  </si>
  <si>
    <t>DEAL_TYPE</t>
  </si>
  <si>
    <t>Sensitivity</t>
  </si>
  <si>
    <t>Time</t>
  </si>
  <si>
    <t>Khối lượng FNRP và RP_SEC_POS</t>
  </si>
  <si>
    <t>Trạng thái đầu kỳ và số cuối kỳ</t>
  </si>
  <si>
    <t>Trạng thái thành phần</t>
  </si>
  <si>
    <t>Có mã Bond mới không</t>
  </si>
  <si>
    <t>Khối lượng bộ MSB và SBV trên FNRP</t>
  </si>
  <si>
    <t>Khối lượng bộ MSB và SBV trên RP_SEC_POS</t>
  </si>
  <si>
    <t>Tỷ</t>
  </si>
  <si>
    <t>Check 2 nguồn</t>
  </si>
  <si>
    <t>Không được short sell bond</t>
  </si>
  <si>
    <t>Yield MtM với dealps &gt; 40bps</t>
  </si>
  <si>
    <t>Check FNRP</t>
  </si>
  <si>
    <t>Yield tăng mạnh hơn kịch bản VaR 95%, các kỳ hạn trọng yếu &gt;10Y đều tăng mạnh hơn kịch bản VaR ~4bps (1 phần do cuối tuần trước các bên bán ra nhiều nên đầu tuần yield tăng mạnh)</t>
  </si>
  <si>
    <t>tỷ</t>
  </si>
  <si>
    <t>Dealps lãi bất thường, follow deal 45256, 45259 mua bán mã TD2439031</t>
  </si>
  <si>
    <t>VaR95%</t>
  </si>
  <si>
    <t>VaR99%</t>
  </si>
  <si>
    <t>MHCC</t>
  </si>
  <si>
    <t>Tự tính</t>
  </si>
  <si>
    <t>VaR series 53 TD MSB</t>
  </si>
  <si>
    <t>Coupon rate BQ</t>
  </si>
  <si>
    <t>VaR_Bond_MHCC</t>
  </si>
  <si>
    <t>Duration BB_SBV bất thường k?</t>
  </si>
  <si>
    <t>Sử dụng bộ VaR do bên MHCC chạy tool tự động tính cho để lưu trữ trên máy 53 và báo cáo
Vẫn giữ lại sheet tính VaR để so sánh đổi chiếu</t>
  </si>
  <si>
    <t>HLA level 2 FI Bond</t>
  </si>
  <si>
    <t>Outright</t>
  </si>
  <si>
    <t>VND</t>
  </si>
  <si>
    <t>YtD Realised PnL</t>
  </si>
  <si>
    <t>YtD Unrealised PnL</t>
  </si>
  <si>
    <t>Outstanding_pos_TB_MSB</t>
  </si>
  <si>
    <t>Outstanding_pos_BB_MSB</t>
  </si>
  <si>
    <t>Điều chỉnh lại cách tính thời gian nắm giữ cho các giao dịch tự doanh trong Trading book, không tính thời gian của từng deal cụ thể mà tính dựa trên mã bond. 
Theo dõi các mã Bond trong Trading book không có giao dịch mua bán trong vòng 1 năm thì trao đổi với ĐVKD về mục đích: 
- Nắm giữ dài hạn nhận Coupon thì chuyển qua Banking book 
- Giao dịch để nhận Capital gain thì giữ lại Trading book.</t>
  </si>
  <si>
    <t>Deal xóa</t>
  </si>
  <si>
    <t>Bổ sung indicator YtD PnL theo kỳ hạn cho BB MSB lưu trữ 53</t>
  </si>
  <si>
    <t>Ngày</t>
  </si>
  <si>
    <t>KHCL</t>
  </si>
  <si>
    <t>Mã TP</t>
  </si>
  <si>
    <t>Loại tiền tệ</t>
  </si>
  <si>
    <t>KLGD</t>
  </si>
  <si>
    <t>GTGD</t>
  </si>
  <si>
    <t>3 - 5 năm</t>
  </si>
  <si>
    <t>1 năm</t>
  </si>
  <si>
    <t>5 - 7 năm</t>
  </si>
  <si>
    <t>20 - 25 năm</t>
  </si>
  <si>
    <t>7 năm</t>
  </si>
  <si>
    <t>7 - 10 năm</t>
  </si>
  <si>
    <t>5 năm</t>
  </si>
  <si>
    <t>15 năm</t>
  </si>
  <si>
    <t>10 - 15 năm</t>
  </si>
  <si>
    <t>25 - 30 năm</t>
  </si>
  <si>
    <t>10 năm</t>
  </si>
  <si>
    <t>Repos</t>
  </si>
  <si>
    <t>Kỳ hạn MBL</t>
  </si>
  <si>
    <t>Tiền tệ</t>
  </si>
  <si>
    <t>Lãi suất MBL</t>
  </si>
  <si>
    <t>GTTT</t>
  </si>
  <si>
    <t>Ngày TT lần 1</t>
  </si>
  <si>
    <t>Secondary_market</t>
  </si>
  <si>
    <t>Bond</t>
  </si>
  <si>
    <t>KLGD outright phat sinh trong ngay</t>
  </si>
  <si>
    <t>bio VND</t>
  </si>
  <si>
    <t>Gross amount phat sinh trong ngay</t>
  </si>
  <si>
    <t>Primary_market</t>
  </si>
  <si>
    <t>Gia tri goi thau</t>
  </si>
  <si>
    <t>Gia tri goi thau trong ngay</t>
  </si>
  <si>
    <t>Phat sinh trong ngay</t>
  </si>
  <si>
    <t>&lt;=5Y</t>
  </si>
  <si>
    <t>10-20Y</t>
  </si>
  <si>
    <t>&gt;=20Y</t>
  </si>
  <si>
    <t>GTGD_Repos</t>
  </si>
  <si>
    <t>Repos phat sinh trong ngay</t>
  </si>
  <si>
    <t>Aution</t>
  </si>
  <si>
    <t>Tên TCPH</t>
  </si>
  <si>
    <t>Kỳ hạn</t>
  </si>
  <si>
    <t>Ngày TCPH ▼</t>
  </si>
  <si>
    <t>Ngày phát hành</t>
  </si>
  <si>
    <t>Phương thức phát hành</t>
  </si>
  <si>
    <t>GT gọi thầu</t>
  </si>
  <si>
    <t>GT đặt thầu</t>
  </si>
  <si>
    <t>GT trúng thầu</t>
  </si>
  <si>
    <t>Số tiền thanh toán trái phiếu trúng thầu</t>
  </si>
  <si>
    <t>GT gọi thầu phát hành thêm</t>
  </si>
  <si>
    <t>GT đặt thầu phát hành thêm</t>
  </si>
  <si>
    <t>GT trúng thầu phát hành thêm</t>
  </si>
  <si>
    <t>Số tiền thanh toán trái phiếu phát hành thêm</t>
  </si>
  <si>
    <t>Lãi suất danh nghĩa (%/Năm)</t>
  </si>
  <si>
    <t>Lãi suất trúng thầu (%/Năm)</t>
  </si>
  <si>
    <t>LS đăng ký thấp nhất (%/Năm)</t>
  </si>
  <si>
    <t>LS đăng ký cao nhất (%/Năm)</t>
  </si>
  <si>
    <t>Đợt đấu thầu</t>
  </si>
  <si>
    <t>25 năm</t>
  </si>
  <si>
    <t>9 tháng</t>
  </si>
  <si>
    <t>3 năm</t>
  </si>
  <si>
    <t>2 năm</t>
  </si>
  <si>
    <t>6 tháng</t>
  </si>
  <si>
    <t>15 - 20 năm</t>
  </si>
  <si>
    <t>30 năm</t>
  </si>
  <si>
    <t>20 năm</t>
  </si>
  <si>
    <t>Market tenor</t>
  </si>
  <si>
    <t xml:space="preserve">Gia tri trung thau trong ngay </t>
  </si>
  <si>
    <t>Grand Total</t>
  </si>
  <si>
    <t>Sum of KLGD</t>
  </si>
  <si>
    <t>List deals thứ cấp</t>
  </si>
  <si>
    <t>List deals sơ cấp</t>
  </si>
  <si>
    <t>Check số outright tổng vào thành phần</t>
  </si>
  <si>
    <t>Market!A1</t>
  </si>
  <si>
    <t>Check PnL của TB SBV có bất thường không? (lãi/ lỗ &gt;100 tỷ)</t>
  </si>
  <si>
    <t>Có deal nào trong TB bộ SBV mà thời gian nắm giữ dài hơn 1Y</t>
  </si>
  <si>
    <t>Có deal nào trong TB bộ MSB mà thời gian nắm giữ dài hơn 1Y</t>
  </si>
  <si>
    <t>Thêm code VBA copy dữ liệu thị trường outright, repo, đấu thầu sang file lưu trữ lũy kế</t>
  </si>
  <si>
    <t>Tích hợp tool 01. tính toán dữ liệu giao dịch thị trường vào tool 02. (tool này) tại các sheet:
- Market: dữ liệu raw Outright, Repos, Aution
- His.DataTT: lưu trữ lên máy 53</t>
  </si>
  <si>
    <t>Thêm sheet Content - mục lục và workflow mới cho tool</t>
  </si>
  <si>
    <t>Work _flows</t>
  </si>
  <si>
    <t>Đấu thầu</t>
  </si>
  <si>
    <t>KQ GD trong ngày</t>
  </si>
  <si>
    <t>Bổ sung thêm VaR 10D 95% và 99%</t>
  </si>
  <si>
    <t>Tìm hiểu về báo cáo MSB_RP_DM, validate các trường, yêu cầu bổ sung trường nếu cần. Validate lưu tại: \\10.1.2.40\06.Khoi Quan Ly Rui Ro\02.Trung Tam QLRR Thi Truong\02.Phong GSRRTT\12.Projects\45.Tim hieu bao cao RPBOD_F001_Kondor</t>
  </si>
  <si>
    <t>TD2454043</t>
  </si>
  <si>
    <t>10DtD - Change in yield</t>
  </si>
  <si>
    <t>MSB 1D</t>
  </si>
  <si>
    <t>SBV 1D</t>
  </si>
  <si>
    <t>MSB 10D</t>
  </si>
  <si>
    <t>Rank</t>
  </si>
  <si>
    <t>PV01_Bond TD</t>
  </si>
  <si>
    <t>SBV 10D</t>
  </si>
  <si>
    <t>KB</t>
  </si>
  <si>
    <t>VaR 10D</t>
  </si>
  <si>
    <t>FOLDERS_CODE</t>
  </si>
  <si>
    <t>MSB - TB</t>
  </si>
  <si>
    <t>MSB - BB</t>
  </si>
  <si>
    <t>SBV - TB</t>
  </si>
  <si>
    <t>SBV - BB</t>
  </si>
  <si>
    <t>RP_SEC</t>
  </si>
  <si>
    <t>Raw data</t>
  </si>
  <si>
    <t>Outs TB MSB</t>
  </si>
  <si>
    <t>Outs BB MSB</t>
  </si>
  <si>
    <t>Outs TB SBV</t>
  </si>
  <si>
    <t>Outs BB SBV</t>
  </si>
  <si>
    <t>GD thứ cấp</t>
  </si>
  <si>
    <t>Deal ps trong ngày</t>
  </si>
  <si>
    <t>Deal ps 2016-2024</t>
  </si>
  <si>
    <t>RPBOD_B003</t>
  </si>
  <si>
    <t>TD2535023</t>
  </si>
  <si>
    <t>Bổ sung code VBA copy list deal xóa trong ngày BC ra file deal ps</t>
  </si>
  <si>
    <t>Bổ sung ItD Unrealized các deal mua nội bảng dùng input rpbod_b003</t>
  </si>
  <si>
    <t>Gộp các sheet Outstanding_pos vào sheet RP_SEC cho gọn</t>
  </si>
  <si>
    <t>BLOCK_NUMBER</t>
  </si>
  <si>
    <t>CPTY_CODE</t>
  </si>
  <si>
    <t>CURRENCY_CODE</t>
  </si>
  <si>
    <t>AMOUNT</t>
  </si>
  <si>
    <t>FIXED_RATE</t>
  </si>
  <si>
    <t>CAPTURE_DATE</t>
  </si>
  <si>
    <t>VALUE_DATE</t>
  </si>
  <si>
    <t>MATURITY_DATE</t>
  </si>
  <si>
    <t>TRADING_DATE</t>
  </si>
  <si>
    <t>FACE_AMOUNT</t>
  </si>
  <si>
    <t>GLOBAL_AMOUNT</t>
  </si>
  <si>
    <t>FORWARD_AMOUNT</t>
  </si>
  <si>
    <t>R</t>
  </si>
  <si>
    <t>OMO</t>
  </si>
  <si>
    <t>PRODUCT_CODE</t>
  </si>
  <si>
    <t>COMMENTS</t>
  </si>
  <si>
    <t>MM</t>
  </si>
  <si>
    <t>QLHS NIM</t>
  </si>
  <si>
    <t>Realized PnL</t>
  </si>
  <si>
    <t>NIM_TB MSB</t>
  </si>
  <si>
    <t>YtD_Realized PnL</t>
  </si>
  <si>
    <t>Ty le dau tu TPCP</t>
  </si>
  <si>
    <t>Tong no phai tra</t>
  </si>
  <si>
    <t>BS</t>
  </si>
  <si>
    <t>05. Other</t>
  </si>
  <si>
    <t>Nợ PT bình quân</t>
  </si>
  <si>
    <t>TD2535024</t>
  </si>
  <si>
    <t>MSB_RP_DM</t>
  </si>
  <si>
    <t>Ma Bond</t>
  </si>
  <si>
    <t>Deal Sell Id</t>
  </si>
  <si>
    <t>So luong Deal Sell</t>
  </si>
  <si>
    <t>Ngay den han deal Sell</t>
  </si>
  <si>
    <t>Deal Buy ID</t>
  </si>
  <si>
    <t>So luong Map</t>
  </si>
  <si>
    <t>So luong chua map</t>
  </si>
  <si>
    <t>Ngay Value Deal buy</t>
  </si>
  <si>
    <t>Ngay thuc hien map</t>
  </si>
  <si>
    <t>Nguoi thuc hien map</t>
  </si>
  <si>
    <t>Mapping deal</t>
  </si>
  <si>
    <t>Deal bán phát sinh mới đã được map chưa</t>
  </si>
  <si>
    <t>Mapping_deal</t>
  </si>
  <si>
    <t>Thêm bảng mapping deal cho các deal bán phát sinh mới, thêm check DCM đã map đủ chưa</t>
  </si>
  <si>
    <t>TD2535025</t>
  </si>
  <si>
    <t>Time hold/Deal</t>
  </si>
  <si>
    <t>Time hold/BondID</t>
  </si>
  <si>
    <t>Sửa lại công thức tính thời gian nắm giữ trung bình, các deal chưa tới ngày thì thời gian nắm giữ =0, xóa sheet Time holding, sửa code VBA</t>
  </si>
  <si>
    <t>Bổ sung lưu trữ nợ phải trả từng ngày và tính tỷ lệ mua nắm giữ đầu tư TPCP, đẩy lưu trữ trên 53</t>
  </si>
  <si>
    <t>Index</t>
  </si>
  <si>
    <t>Thứ</t>
  </si>
  <si>
    <t>Chủ nhật</t>
  </si>
  <si>
    <t>Thứ 2</t>
  </si>
  <si>
    <t>Thứ 3</t>
  </si>
  <si>
    <t>Thứ 4</t>
  </si>
  <si>
    <t>Thứ 5</t>
  </si>
  <si>
    <t>Thứ 6</t>
  </si>
  <si>
    <t>Thứ 7</t>
  </si>
  <si>
    <t>Ngày đầu tháng</t>
  </si>
  <si>
    <t>Ngày cuối tháng</t>
  </si>
  <si>
    <t>Up số NPT</t>
  </si>
  <si>
    <t>Đã lấy đủ dữ liệu nợ phải trả tháng trước chưa</t>
  </si>
  <si>
    <t>Lấy từ DWH và LR input</t>
  </si>
  <si>
    <t>No PT'!Y1</t>
  </si>
  <si>
    <t>code xóa dữ liệu cũ</t>
  </si>
  <si>
    <t>TD2535026</t>
  </si>
  <si>
    <t>His_NPT</t>
  </si>
  <si>
    <t>Sửa số nợ phải cuối tháng 3 do điều chỉnh</t>
  </si>
  <si>
    <t>Deal mua 45794 bị xóa map với deal bán 45864 làm số position RP_SEC và FNRP bị lệch, đã báo ĐVKD tìm nguyên nhân và map lại
Trong khi BC RP_BOD không có deal mua 45794 =&gt; Tự điều chỉnh tay
=&gt; Hệ thống đã được fix ngày 8/4</t>
  </si>
  <si>
    <t>Funding</t>
  </si>
  <si>
    <t>Repo_TD</t>
  </si>
  <si>
    <t>Các deal với CK SSI và CK Vietin là deal kỹ thuật, yield chênh so với MtM khá nhiều</t>
  </si>
  <si>
    <t>Các deal với CK TCBS yield chênh với MtM khá nhiều, và 1 cặp deal sell buy back khác giá bán đi thấp hơn giá mua về</t>
  </si>
  <si>
    <t>Global amount</t>
  </si>
  <si>
    <t>Weighted rate</t>
  </si>
  <si>
    <t>Dao han trong ngay</t>
  </si>
  <si>
    <t>Deal</t>
  </si>
  <si>
    <t>Face amount</t>
  </si>
  <si>
    <t>Kỳ hạn MM</t>
  </si>
  <si>
    <t>1W</t>
  </si>
  <si>
    <t>Sửa lại bảng Bond_Other_Historical trên DB 53, thêm các indicator FV, Global amount, forward amont của repo và omo
Sửa lại kỳ hạn MM lưu trữ 53 khớp với kỳ hạn thị trường</t>
  </si>
  <si>
    <t>Weighted by Global amount</t>
  </si>
  <si>
    <t>Funding!A1</t>
  </si>
  <si>
    <t>Check số global amount FNRP và basel của deal repo</t>
  </si>
  <si>
    <t>Check số global amount MM và OMO</t>
  </si>
  <si>
    <t>Funding!AN2</t>
  </si>
  <si>
    <t>Tính toán và lưu trữ position Trading MSB exclude Repos/OMO
=&gt; Hiện tại ĐVKD không tách riêng repo cho Trading và Banking nên hiện tại chưa thể tách dc
=&gt; Chị ngadh1 bảo deal repo comment là bond thì là cho bên DCM, còn MM là cho bên MM, cũng không tách riêng OMO cho Trading và Banking</t>
  </si>
  <si>
    <t>Deal sửa</t>
  </si>
  <si>
    <t>VALUE_DATE_RPT</t>
  </si>
  <si>
    <t>VALUE_DATE_YESTERDAY</t>
  </si>
  <si>
    <t>YIELD_RPT</t>
  </si>
  <si>
    <t>YIELD_YESTERDAY</t>
  </si>
  <si>
    <t>AMOUNT_RPT</t>
  </si>
  <si>
    <t>AMOUNT_YESTERDAY</t>
  </si>
  <si>
    <t>Deal_fix</t>
  </si>
  <si>
    <t>Deal_delete</t>
  </si>
  <si>
    <t>Tên sheet + link</t>
  </si>
  <si>
    <t>Gross amt</t>
  </si>
  <si>
    <t>RPBOD3</t>
  </si>
  <si>
    <t>Kéo từ raw thêm bảng deal sửa amount/value date/yield cho govbond (viết code ở dữ liệu ở basel, thêm vào raw data)
Thêm code VBA copy dữ liệu ra list deal tổng hợp</t>
  </si>
  <si>
    <t>Weekday</t>
  </si>
  <si>
    <r>
      <rPr>
        <b/>
        <sz val="11"/>
        <color rgb="FF000000"/>
        <rFont val="Calibri Light"/>
        <family val="2"/>
      </rPr>
      <t>Pos exclude Repo/OMO</t>
    </r>
    <r>
      <rPr>
        <sz val="11"/>
        <color rgb="FF000000"/>
        <rFont val="Calibri Light"/>
        <family val="2"/>
      </rPr>
      <t xml:space="preserve">
= (1) + (2) - (5) - (6)</t>
    </r>
  </si>
  <si>
    <t>Basel</t>
  </si>
  <si>
    <t>Cross check</t>
  </si>
  <si>
    <t>PnL tại ngày báo cáo trở thành KB số 13 =&gt; VaR95 nội suy từ KB13 và KB14 nên PnL vượt VaR95. Dữ liệu lịch sử 1 năm trở lại biến động VaR khá thấp, trong khi cuộc chiến thương mại Mỹ Trung gần đây khiến biến động rất bất thường. Lãi suất trúng thầu sơ cấp phiên hôm thứ 5 đã tăng ở tất cả các kỳ hạn</t>
  </si>
  <si>
    <t>Không có dữ liệu VaR ngày 25/4 do MHCC chưa gen ra file output, lưu tạm số cũ, hôm sau chạy lại số</t>
  </si>
  <si>
    <t>Phần mẫu số đã lấy đúng và đủ dữ liệu NPT tháng trước chưa</t>
  </si>
  <si>
    <t>His53'!CT1</t>
  </si>
  <si>
    <t>GD sell buy back với ck BIDV giá cao hơn 50bps so với giá MtM</t>
  </si>
  <si>
    <t>Bổ sung 1 sheet PowerQuery_Scripts, viết code VBA xuất tất cả script Power Query M-code ra file tránh lỡ tay xóa mất bảng truy vấn</t>
  </si>
  <si>
    <t>Mệnh giá</t>
  </si>
  <si>
    <t>GL</t>
  </si>
  <si>
    <t>Check FNRP, Basel, RPBOD3, GL</t>
  </si>
  <si>
    <t>Bổ sung cross check giữa các nguồn FNRP, Basel, RPBOD3, GL</t>
  </si>
  <si>
    <t>VaR BK</t>
  </si>
  <si>
    <t>Bộ</t>
  </si>
  <si>
    <t>Horizon</t>
  </si>
  <si>
    <t>TD</t>
  </si>
  <si>
    <t>VaR10D</t>
  </si>
  <si>
    <t>BK</t>
  </si>
  <si>
    <t>VaR1D</t>
  </si>
  <si>
    <t>VaR20D</t>
  </si>
  <si>
    <t>VaR10D_95</t>
  </si>
  <si>
    <t>VaR10D_99</t>
  </si>
  <si>
    <t>VaR20D_95</t>
  </si>
  <si>
    <t>VaR20D_99</t>
  </si>
  <si>
    <t>Kéo query thêm dữ liệu VaR10D, 20D độ tin cậy 95% và 99% cho 2 book TD và BK MSB
Bổ sung lưu trữ dữ liệu VaR cho 2 book TD &amp; BK và 2 bộ MSB &amp; SBV</t>
  </si>
  <si>
    <t>Số bond available</t>
  </si>
  <si>
    <t>Số bond đã mang đi làm repo, ở cả folder AFS-HUONG và AFS-ALM</t>
  </si>
  <si>
    <t>VCBH</t>
  </si>
  <si>
    <t>3y</t>
  </si>
  <si>
    <t>CVaR10D_95</t>
  </si>
  <si>
    <t>CVaR10D_99</t>
  </si>
  <si>
    <t>CVaR20D_95</t>
  </si>
  <si>
    <t>CVaR20D_99</t>
  </si>
  <si>
    <t>CVaR_95</t>
  </si>
  <si>
    <t>CVaR_99</t>
  </si>
  <si>
    <t>Tính và lưu trữ CVaR/ES cho 4 bộ sổ</t>
  </si>
  <si>
    <t>Deal 46306 Khi chưa xóa, deal mua này khiến ItD Unrealized giảm (tăng lỗ) 2.3 tỷ. Sau khi xóa, chỉ số này tăng (giảm lỗ) 2.3 tỷ
Deal 46305
- Khi chưa xóa,  Deal bán này map cùng deal mua 65125 =&gt; tạo ra Realized PnL của deal bán là 23 tr và ItD Unrealized tăng (giảm lỗ) 2.3 tỷ
- Sau khi xóa, Realized PnL giảm 23tr và deal mua 65125 vào lại list outstading khiến chỉ số này giảm (tăng lỗ) 2.3 tỷ</t>
  </si>
  <si>
    <t>Deal 46221 ban đầu key với CK_VNDIREC, sau xóa đó key lại 46360 với SSI, ItD Unrealized trước khi xóa deal và sau khi xóa thay bằng deal khác thì không đổi
Deal 46222 ban đầu key với CK_VNDIREC, sau xóa đó key lại 46361 với CK_MAS, ItD Unrealized trước khi xóa deal và sau khi xóa thay bằng deal khác thì không đổi</t>
  </si>
  <si>
    <t>Deal mua bán với CK MBS yield thấp hơn so với MtM 43bps
Deal bán 46433
=&gt; PnL nếu bán bằng giá MtM là lỗ 12 tỷ, Pnl thực tế ước tính của deal là lãi 500tr 
=&gt; Realized PnL thực tế so với nếu bán bằng giá MtM tăng 12 tỷ
Deal mua 46434
=&gt; Itd Unrealized giảm (tăng lỗ) 12.4 tỷ so với ItD Unrealized nếu mua bằng giá MtM</t>
  </si>
  <si>
    <t>Deal mua bán với CK MBS yield thấp hơn so với MtM 47bps
Deal mua 46432
=&gt; Itd Unrealized giảm (tăng lỗ) 3.3 tỷ so với ItD Unrealized nếu mua bằng giá MtM
Deal bán 46431
=&gt; PnL nếu bán bằng giá MtM là lỗ 3.3 tỷ, Pnl thực tế ước tính của deal là lãi 36tr 
=&gt; Realized PnL thực tế so với nếu bán bằng giá MtM tăng 3.3 tỷ</t>
  </si>
  <si>
    <t>Tool cap</t>
  </si>
  <si>
    <t>Deal mua bán với CK VIX yield thấp hơn so với MtM 52bps
Deal mua 46449
=&gt; Itd Unrealized giảm (tăng lỗ) 1.4 tỷ so với ItD Unrealized nếu mua bằng giá MtM
Deal bán 46448
=&gt; PnL nếu bán bằng giá MtM là lỗ 1.4 tỷ, Pnl thực tế ước tính của deal là lãi 6tr 
=&gt; Realized PnL thực tế so với nếu bán bằng giá MtM tăng 1.4 tỷ
Ngoài ra còn có giao dịch Reverse Repo với QLQ_BAOVIE dưới dạng mua tháng 5 bán tháng 12
Total 1,424 tỷ tính trên face trong 6 tháng, 
repo rate rất thấp chỉ 0.17%/năm thể hiện trên giá bán - giá mua</t>
  </si>
  <si>
    <t>Xóa 2 cặp deal key ngày 27/5 với QLQ BAOVIET, ĐVKD bảo do đối tác hủy deal???</t>
  </si>
  <si>
    <t>Đặt công thức link input do sắp xếp lại folder</t>
  </si>
  <si>
    <t>Tool phân tích PnL</t>
  </si>
  <si>
    <t>Tool mặt báo cáo</t>
  </si>
  <si>
    <t>Deal mua 46503 yield của giao dịch thấp hơn Yield MtM 56bps =&gt; Itd Unrealized giảm (tăng lỗ) 2.6 tỷ so với ItD Unrealized nếu mua bằng giá MtM
Deal bán 46502 yield của giao dịch thấp hơn Yield MtM 57bps =&gt;PnL nếu bán bằng giá MtM là lỗ 2.6 tỷ, Pnl thực tế ước tính của deal là lỗ 27tr 
=&gt; Realized PnL thực tế so với nếu bán bằng giá MtM tăng 2.6 tỷ</t>
  </si>
  <si>
    <t>CK_VIX</t>
  </si>
  <si>
    <t>Tool Giám sát deal</t>
  </si>
  <si>
    <t>Tool FI Bond</t>
  </si>
  <si>
    <t>BondID</t>
  </si>
  <si>
    <t>Mat Date</t>
  </si>
  <si>
    <t>Deal Sell</t>
  </si>
  <si>
    <t>Deal buy</t>
  </si>
  <si>
    <t>Giá clean</t>
  </si>
  <si>
    <t>(Giá bán - Giá MtM)
*quantity</t>
  </si>
  <si>
    <t>(Giá MtM - Giá mua)
* quantity</t>
  </si>
  <si>
    <t>Yield bán - Yield MtM
bps</t>
  </si>
  <si>
    <t>Nối</t>
  </si>
  <si>
    <t>Ngày value</t>
  </si>
  <si>
    <t>Yield MtM
%</t>
  </si>
  <si>
    <t>Yield MtM - Yield Mua
bps</t>
  </si>
  <si>
    <t>MAPPING DEAL - DEAL SELL</t>
  </si>
  <si>
    <t>DEAL BUY - GIÁ GỐC</t>
  </si>
  <si>
    <t>GIÁ VỐN MỚI</t>
  </si>
  <si>
    <t>GIÁ MtM</t>
  </si>
  <si>
    <t>YIELD MtM</t>
  </si>
  <si>
    <t>Deal bán 46577: yield của giao dịch thấp hơn Yield MtM 48bps =&gt;PnL nếu bán bằng giá MtM là lỗ 1.4 tỷ, Pnl thực tế ước tính của deal là lỗ 287tr 
=&gt; Realized PnL thực tế so với nếu bán bằng giá MtM tăng 1.7 tỷ
Deal mua 46578: yield của giao dịch thấp hơn Yield MtM 48bps =&gt; Itd Unrealized giảm (tăng lỗ) 1.7 tỷ so với ItD Unrealized nếu mua bằng giá MtM</t>
  </si>
  <si>
    <t>&lt;=Nhớ đổi ngày BC</t>
  </si>
  <si>
    <t>Năm</t>
  </si>
  <si>
    <t>Tháng</t>
  </si>
  <si>
    <r>
      <t>Tăng/Giảm BB khác
(</t>
    </r>
    <r>
      <rPr>
        <i/>
        <sz val="11"/>
        <color theme="1"/>
        <rFont val="Calibri"/>
        <family val="2"/>
        <scheme val="minor"/>
      </rPr>
      <t>GD mua bán thật</t>
    </r>
    <r>
      <rPr>
        <b/>
        <sz val="11"/>
        <color theme="1"/>
        <rFont val="Calibri"/>
        <family val="2"/>
        <scheme val="minor"/>
      </rPr>
      <t>)</t>
    </r>
  </si>
  <si>
    <t>Thay đổi Pos Banking trong kỳ</t>
  </si>
  <si>
    <t>Pos đầu kỳ</t>
  </si>
  <si>
    <t>Pos cuối kỳ =
đầu kỳ + thay đổi</t>
  </si>
  <si>
    <t>Chuyển sổ 
Bán TB-Mua BB</t>
  </si>
  <si>
    <t>Dirty Price</t>
  </si>
  <si>
    <t>Unrealized PnL
(Tại ngày mua)</t>
  </si>
  <si>
    <t>Unrealized PnL
(Hiện tại)</t>
  </si>
  <si>
    <t>Chuyển sổ 
Bán BB-Mua TB</t>
  </si>
  <si>
    <t>Deal ID</t>
  </si>
  <si>
    <t>Mua/Bán hẳn</t>
  </si>
  <si>
    <t>CK_TCBS</t>
  </si>
  <si>
    <t>CK_MB</t>
  </si>
  <si>
    <t>CK_MIRAE</t>
  </si>
  <si>
    <t>CK_BIDV</t>
  </si>
  <si>
    <t>CK_VPS</t>
  </si>
  <si>
    <t>CK_SSI</t>
  </si>
  <si>
    <t>CK_VIETIN</t>
  </si>
  <si>
    <t>HDBV</t>
  </si>
  <si>
    <t>CK_VIETCAP</t>
  </si>
  <si>
    <t>CK_VFS</t>
  </si>
  <si>
    <t>ICBV</t>
  </si>
  <si>
    <t>MHCV</t>
  </si>
  <si>
    <t>ANZF-VN</t>
  </si>
  <si>
    <t>QLQ_SSI</t>
  </si>
  <si>
    <t>Thêm sheet tính Realized PnL theo PPL của QLHS để báo cáo nội bộ
Thêm sheet Thay đổi trạng thái Banking book</t>
  </si>
  <si>
    <t>List kéo công thức</t>
  </si>
  <si>
    <t>Tham chiếu</t>
  </si>
  <si>
    <t>J2</t>
  </si>
  <si>
    <t>Bảng</t>
  </si>
  <si>
    <t>Apply cth</t>
  </si>
  <si>
    <t>Count</t>
  </si>
  <si>
    <t>A4:D4</t>
  </si>
  <si>
    <t>G4:L4</t>
  </si>
  <si>
    <t>VDB111004</t>
  </si>
  <si>
    <t>VDB111005</t>
  </si>
  <si>
    <t>Viết code VBA kéo công thức bằng vòng lặp để code nhìn đỡ dài</t>
  </si>
  <si>
    <t>Tác động ItD PnL</t>
  </si>
  <si>
    <t>BOND FUTURE 12.2019</t>
  </si>
  <si>
    <t>BOND FUTURE 03.2020</t>
  </si>
  <si>
    <t>BOND FUTURE 06.2022</t>
  </si>
  <si>
    <t>Sửa công thức itd unrealized PnL cho kì 1Y TB MSB do ghi nhận thiếu kì 3-6M</t>
  </si>
  <si>
    <t>Tranglt38</t>
  </si>
  <si>
    <t>SGTT</t>
  </si>
  <si>
    <t>GD bất thường vs MBS
- yield của giao dịch 46618 thấp hơn Yield MtM 39bps =&gt;PnL nếu bán bằng giá MtM là lỗ 981tr, Pnl thực tế ước tính của deal là lãi 4.7 tỷ 
=&gt; Realized PnL thực tế so với nếu bán bằng giá MtM tăng 5.6 tỷ
- yield của giao dịch 46619 thấp hơn Yield MtM 42bps =&gt; Itd Unrealized giảm (tăng lỗ) 6 tỷ so với ItD Unrealized nếu mua bằng giá MtM
- yield của giao dịch 46620 thấp hơn Yield MtM 41bps =&gt;PnL nếu bán bằng giá MtM là lỗ 4.9 tỷ, Pnl thực tế ước tính của deal là lãi 1.8 tỷ
=&gt; Realized PnL thực tế so với nếu bán bằng giá MtM tăng 6.8 tỷ
- yield của giao dịch 46621 thấp hơn Yield MtM 41bps =&gt; Itd Unrealized giảm (tăng lỗ) 6.8 tỷ so với ItD Unrealized nếu mua bằng giá MtM</t>
  </si>
  <si>
    <t>Công thức up số liệu Duration TB (sheet Phan tich_TB) bị lỗi ref tất cả các kì hạn và loại bond từ ngày 5/3/2025-18/6/2025 (số Tổng ko bị ảnh hưởng, lỗi) --&gt; số liệu up lên 53 cho các dòng dữ liệu này đều = 0 --&gt; đã sửa công thức</t>
  </si>
  <si>
    <t>Calendar</t>
  </si>
  <si>
    <t>Working date</t>
  </si>
  <si>
    <t>Gap</t>
  </si>
  <si>
    <t>GL mệnh giá lệch so với các nguồn ngày ngày 23/6</t>
  </si>
  <si>
    <t>Bổ sung thêm bảng thống kế tách riêng số lượng mã lãi lỗ, FV, MV, ItD theo từng book ở sheet RP_SEC</t>
  </si>
  <si>
    <t>Deal bất thường với CPTY VPS và VIX để realized lãi cao, yield chênh so với yield MtM 42-53bps</t>
  </si>
  <si>
    <t>PRICE</t>
  </si>
  <si>
    <t>Deal bất thường với VPB
- Deal mua 46653, yield của giao dịch thấp hơn Yield MtM 65bps =&gt; Itd Unrealized giảm (tăng lỗ) 9 tỷ so với ItD Unrealized nếu mua bằng giá MtM
- Deal bán 46650, yield của giao dịch thấp hơn Yield MtM 65bps =&gt;PnL nếu bán bằng giá MtM là lỗ 4.5 tỷ, Pnl thực tế ước tính của deal là lãi 4.7 tỷ
=&gt; Realized PnL thực tế so với nếu bán bằng giá MtM tăng 9 tỷ</t>
  </si>
  <si>
    <t>Cap Date</t>
  </si>
  <si>
    <t>Deal 46650 yield của giao dịch thấp hơn Yield MtM 54bps =&gt;PnL nếu bán bằng giá MtM là lỗ 7.4 tỷ, Pnl thực tế ước tính của deal là lãi 4.9 tỷ
=&gt; Realized PnL thực tế so với nếu bán bằng giá MtM tăng 12 tỷ</t>
  </si>
  <si>
    <t>Deal 46708 vs CK VIETIN, yield của giao dịch thấp hơn Yield MtM 48bps =&gt;PnL nếu bán bằng giá MtM là lỗ 6.8 tỷ, Pnl thực tế ước tính của deal là lãi 6.5 tỷ
=&gt; Realized PnL thực tế so với nếu bán bằng giá MtM tăng 13 tỷ
Xóa 1 deal bán, là tăng pos 200 tỷ</t>
  </si>
  <si>
    <t>PTCK</t>
  </si>
  <si>
    <t>Lưu trữ bổ sung PTCK tách book</t>
  </si>
  <si>
    <t>2 cặp deal mua bán bất thường với CK Pinetree, yield thấp hơn yield MtM 48-57bps</t>
  </si>
  <si>
    <t>Thêm bảng lấy PTCK theo ghi nhận của kế toán từ RPBOD_B003 để tính realized pnl cho chuẩn</t>
  </si>
  <si>
    <t>Điều chỉnh tay số MtD PnL do xóa deal vắt tháng =&gt; PnL trên FNRP bị lệch</t>
  </si>
  <si>
    <t>Số PTCK tách book ở RPBOD3 và số tổng GL có khớp k?</t>
  </si>
  <si>
    <t>Chấp nhận sai số dưới 100 đồng</t>
  </si>
  <si>
    <t>Yield so cap tang manh thoi gian gan day, thu 4 vua roi tang 3bps kỳ 10Y</t>
  </si>
  <si>
    <t>CK_UP</t>
  </si>
  <si>
    <t>Mua banking và key nhầm deal nhầm valuedate =&gt; ItD Unrealized của Trading giảm 20 tỷ dù yield tăng</t>
  </si>
  <si>
    <t>Điều chỉnh daily PnL, tính thủ công lại FNRP_PNL của yesterday do xóa deal vào 2 ngày 23/7 và 24/7</t>
  </si>
  <si>
    <t>SBVN</t>
  </si>
  <si>
    <t>D</t>
  </si>
  <si>
    <t>TBOND_OMO</t>
  </si>
  <si>
    <t>TREA_CLEAN</t>
  </si>
  <si>
    <t>Sai input FNRP do sửa output từ Kondor\</t>
  </si>
  <si>
    <t>1 yr &lt;= duration &lt; 3 yrs</t>
  </si>
  <si>
    <t>3 yrs &lt;= duration &lt; 5 yrs</t>
  </si>
  <si>
    <t>5 yrs &lt;= duration &lt; 7 yrs</t>
  </si>
  <si>
    <t>7 yrs &lt;= duration &lt; 10 yrs</t>
  </si>
  <si>
    <t>duration &gt;= 10 yrs</t>
  </si>
  <si>
    <t>Dữ liệu VaR MHCC không có sẵn do thiếu dữ liệu FNRP từ basel, backup bằng VaR tự tính, thiếu VaR cho bộ SBV</t>
  </si>
  <si>
    <t>Sửa lại link folder từ \\10.1.2.40 thành \\filesrv01.msb.com.vn</t>
  </si>
  <si>
    <t>TD2454046</t>
  </si>
  <si>
    <t>Giá vốn mới - 
Giá vốn cũ</t>
  </si>
  <si>
    <t>Gross Amt 
= FV+AI</t>
  </si>
  <si>
    <r>
      <t xml:space="preserve">Giá vốn =
FV+AI+PTCK </t>
    </r>
    <r>
      <rPr>
        <sz val="11"/>
        <rFont val="Calibri"/>
        <family val="2"/>
        <scheme val="minor"/>
      </rPr>
      <t>remain</t>
    </r>
  </si>
  <si>
    <t>Accrual</t>
  </si>
  <si>
    <t>Yield %</t>
  </si>
  <si>
    <t>Realized PnL =
Sell dirty - Gía vốn</t>
  </si>
  <si>
    <r>
      <t xml:space="preserve">Giá MtM
</t>
    </r>
    <r>
      <rPr>
        <sz val="11"/>
        <color theme="1"/>
        <rFont val="Calibri"/>
        <family val="2"/>
        <scheme val="minor"/>
      </rPr>
      <t>(clean)</t>
    </r>
  </si>
  <si>
    <t>TLTT</t>
  </si>
  <si>
    <t>Thêm công thức tính TLTT =&gt; copy ra file list tổng =&gt; phục vụ báo cáo Power BI</t>
  </si>
  <si>
    <t>Không có dữ liệu RPBOD_B002 do không có deal phát sinh</t>
  </si>
  <si>
    <t>TD2535028</t>
  </si>
  <si>
    <t>Column19</t>
  </si>
  <si>
    <t>Column20</t>
  </si>
  <si>
    <t>Column1</t>
  </si>
  <si>
    <t>0.00</t>
  </si>
  <si>
    <t xml:space="preserve">--- </t>
  </si>
  <si>
    <t>26/01/2013</t>
  </si>
  <si>
    <t>20/04/2013</t>
  </si>
  <si>
    <t>28/05/2013</t>
  </si>
  <si>
    <t>14/06/2013</t>
  </si>
  <si>
    <t>11/02/2014</t>
  </si>
  <si>
    <t>28/02/2014</t>
  </si>
  <si>
    <t>14/06/2014</t>
  </si>
  <si>
    <t>28/06/2014</t>
  </si>
  <si>
    <t>15/07/2014</t>
  </si>
  <si>
    <t>13/09/2014</t>
  </si>
  <si>
    <t>16/01/2015</t>
  </si>
  <si>
    <t>24/02/2015</t>
  </si>
  <si>
    <t>29/03/2015</t>
  </si>
  <si>
    <t>16/04/2015</t>
  </si>
  <si>
    <t>24/04/2015</t>
  </si>
  <si>
    <t>17/05/2015</t>
  </si>
  <si>
    <t>21/05/2015</t>
  </si>
  <si>
    <t>28/05/2015</t>
  </si>
  <si>
    <t>29/05/2015</t>
  </si>
  <si>
    <t>11/06/2015</t>
  </si>
  <si>
    <t>09/09/2015</t>
  </si>
  <si>
    <t>13/09/2015</t>
  </si>
  <si>
    <t>11/02/2016</t>
  </si>
  <si>
    <t>23/02/2016</t>
  </si>
  <si>
    <t>04/04/2016</t>
  </si>
  <si>
    <t>28/06/2016</t>
  </si>
  <si>
    <t>02/12/2016</t>
  </si>
  <si>
    <t>15/01/2017</t>
  </si>
  <si>
    <t>10/02/2017</t>
  </si>
  <si>
    <t>15/02/2017</t>
  </si>
  <si>
    <t>17/02/2017</t>
  </si>
  <si>
    <t>28/02/2017</t>
  </si>
  <si>
    <t>15/03/2017</t>
  </si>
  <si>
    <t>31/03/2017</t>
  </si>
  <si>
    <t>15/04/2017</t>
  </si>
  <si>
    <t>15/05/2017</t>
  </si>
  <si>
    <t>29/05/2017</t>
  </si>
  <si>
    <t>15/06/2017</t>
  </si>
  <si>
    <t>30/06/2017</t>
  </si>
  <si>
    <t>15/07/2017</t>
  </si>
  <si>
    <t>31/08/2017</t>
  </si>
  <si>
    <t>12/09/2017</t>
  </si>
  <si>
    <t>15/04/2018</t>
  </si>
  <si>
    <t>31/05/2018</t>
  </si>
  <si>
    <t>15/01/2019</t>
  </si>
  <si>
    <t>15/02/2019</t>
  </si>
  <si>
    <t>28/02/2019</t>
  </si>
  <si>
    <t>31/03/2019</t>
  </si>
  <si>
    <t>15/05/2019</t>
  </si>
  <si>
    <t>30/06/2019</t>
  </si>
  <si>
    <t>15/07/2019</t>
  </si>
  <si>
    <t>31/07/2019</t>
  </si>
  <si>
    <t>19/08/2019</t>
  </si>
  <si>
    <t>31/08/2019</t>
  </si>
  <si>
    <t>15/03/2020</t>
  </si>
  <si>
    <t>29/04/2020</t>
  </si>
  <si>
    <t>24/05/2020</t>
  </si>
  <si>
    <t>28/05/2020</t>
  </si>
  <si>
    <t>07/06/2020</t>
  </si>
  <si>
    <t>05/11/2020</t>
  </si>
  <si>
    <t>07/01/2021</t>
  </si>
  <si>
    <t>18/02/2021</t>
  </si>
  <si>
    <t>25/02/2021</t>
  </si>
  <si>
    <t>07/07/2021</t>
  </si>
  <si>
    <t>11/07/2021</t>
  </si>
  <si>
    <t>08/02/2022</t>
  </si>
  <si>
    <t>12/02/2022</t>
  </si>
  <si>
    <t>14/02/2022</t>
  </si>
  <si>
    <t>17/01/2023</t>
  </si>
  <si>
    <t>31/01/2023</t>
  </si>
  <si>
    <t>04/03/2023</t>
  </si>
  <si>
    <t>05/04/2023</t>
  </si>
  <si>
    <t>07/07/2023</t>
  </si>
  <si>
    <t>25/09/2023</t>
  </si>
  <si>
    <t>12/01/2024</t>
  </si>
  <si>
    <t>28/02/2024</t>
  </si>
  <si>
    <t>02/03/2024</t>
  </si>
  <si>
    <t>31/05/2024</t>
  </si>
  <si>
    <t>06/07/2024</t>
  </si>
  <si>
    <t>31/08/2024</t>
  </si>
  <si>
    <t>15/09/2024</t>
  </si>
  <si>
    <t>02/10/2024</t>
  </si>
  <si>
    <t>06/10/2026</t>
  </si>
  <si>
    <t>16/01/2027</t>
  </si>
  <si>
    <t>14/02/2027</t>
  </si>
  <si>
    <t>16/02/2027</t>
  </si>
  <si>
    <t>04/05/2027</t>
  </si>
  <si>
    <t>13/07/2027</t>
  </si>
  <si>
    <t>07/11/2027</t>
  </si>
  <si>
    <t>06/12/2027</t>
  </si>
  <si>
    <t>08/02/2028</t>
  </si>
  <si>
    <t>03/01/2029</t>
  </si>
  <si>
    <t>31/01/2029</t>
  </si>
  <si>
    <t>15/03/2029</t>
  </si>
  <si>
    <t>02/10/2029</t>
  </si>
  <si>
    <t>04/12/2029</t>
  </si>
  <si>
    <t>09/01/2030</t>
  </si>
  <si>
    <t>28/02/2030</t>
  </si>
  <si>
    <t>15/03/2030</t>
  </si>
  <si>
    <t>14/05/2030</t>
  </si>
  <si>
    <t>31/05/2030</t>
  </si>
  <si>
    <t>18/06/2030</t>
  </si>
  <si>
    <t>30/06/2030</t>
  </si>
  <si>
    <t>02/07/2030</t>
  </si>
  <si>
    <t>09/07/2030</t>
  </si>
  <si>
    <t>16/07/2030</t>
  </si>
  <si>
    <t>27/08/2030</t>
  </si>
  <si>
    <t>03/09/2030</t>
  </si>
  <si>
    <t>14/04/2031</t>
  </si>
  <si>
    <t>02/06/2031</t>
  </si>
  <si>
    <t>17/06/2031</t>
  </si>
  <si>
    <t>22/06/2031</t>
  </si>
  <si>
    <t>27/06/2031</t>
  </si>
  <si>
    <t>05/01/2032</t>
  </si>
  <si>
    <t>08/02/2032</t>
  </si>
  <si>
    <t>14/02/2032</t>
  </si>
  <si>
    <t>16/03/2032</t>
  </si>
  <si>
    <t>27/04/2032</t>
  </si>
  <si>
    <t>20/07/2032</t>
  </si>
  <si>
    <t>06/12/2032</t>
  </si>
  <si>
    <t>08/12/2032</t>
  </si>
  <si>
    <t>05/01/2033</t>
  </si>
  <si>
    <t>13/04/2033</t>
  </si>
  <si>
    <t>09/10/2033</t>
  </si>
  <si>
    <t>03/01/2034</t>
  </si>
  <si>
    <t>24/01/2034</t>
  </si>
  <si>
    <t>07/12/2033</t>
  </si>
  <si>
    <t>11/01/2034</t>
  </si>
  <si>
    <t>21/02/2034</t>
  </si>
  <si>
    <t>30/05/2034</t>
  </si>
  <si>
    <t>25/07/2034</t>
  </si>
  <si>
    <t>04/12/2034</t>
  </si>
  <si>
    <t>09/01/2035</t>
  </si>
  <si>
    <t>09/07/2035</t>
  </si>
  <si>
    <t>27/08/2035</t>
  </si>
  <si>
    <t>01/10/2035</t>
  </si>
  <si>
    <t>15/04/2036</t>
  </si>
  <si>
    <t>09/09/2036</t>
  </si>
  <si>
    <t>19/01/2037</t>
  </si>
  <si>
    <t>30/03/2037</t>
  </si>
  <si>
    <t>11/05/2037</t>
  </si>
  <si>
    <t>20/07/2037</t>
  </si>
  <si>
    <t>05/01/2038</t>
  </si>
  <si>
    <t>01/02/2038</t>
  </si>
  <si>
    <t>02/02/2038</t>
  </si>
  <si>
    <t>17/01/2039</t>
  </si>
  <si>
    <t>23/03/2038</t>
  </si>
  <si>
    <t>20/04/2038</t>
  </si>
  <si>
    <t>22/06/2038</t>
  </si>
  <si>
    <t>05/12/2038</t>
  </si>
  <si>
    <t>11/01/2039</t>
  </si>
  <si>
    <t>09/05/2039</t>
  </si>
  <si>
    <t>22/08/2039</t>
  </si>
  <si>
    <t>12/09/2039</t>
  </si>
  <si>
    <t>09/01/2040</t>
  </si>
  <si>
    <t>20/08/2040</t>
  </si>
  <si>
    <t>16/03/2047</t>
  </si>
  <si>
    <t>07/04/2047</t>
  </si>
  <si>
    <t>15/06/2047</t>
  </si>
  <si>
    <t>18/01/2048</t>
  </si>
  <si>
    <t>26/09/2049</t>
  </si>
  <si>
    <t>23/03/2053</t>
  </si>
  <si>
    <t>14/01/2031</t>
  </si>
  <si>
    <t>08/04/2031</t>
  </si>
  <si>
    <t>06/05/2031</t>
  </si>
  <si>
    <t>02/02/2033</t>
  </si>
  <si>
    <t>23/02/2033</t>
  </si>
  <si>
    <t>14/09/2033</t>
  </si>
  <si>
    <t>11/04/2034</t>
  </si>
  <si>
    <t>20/06/2034</t>
  </si>
  <si>
    <t>04/07/2034</t>
  </si>
  <si>
    <t>18/07/2034</t>
  </si>
  <si>
    <t>15/08/2034</t>
  </si>
  <si>
    <t>17/09/2034</t>
  </si>
  <si>
    <t>26/09/2034</t>
  </si>
  <si>
    <t>07/08/2035</t>
  </si>
  <si>
    <t>12/08/2036</t>
  </si>
  <si>
    <t>30/03/2043</t>
  </si>
  <si>
    <t>Deal công nợ</t>
  </si>
  <si>
    <t>Giá MtM tại ngày ps</t>
  </si>
  <si>
    <t>Điều chỉnh ItD</t>
  </si>
  <si>
    <t xml:space="preserve"> ItD Unrealized PnL (đã điều chỉnh cp công nợ)</t>
  </si>
  <si>
    <t>ItD Unrealized PnL (số nguyên, chưa điều chỉnh)</t>
  </si>
  <si>
    <t>So nguyen chua dieu chinh</t>
  </si>
  <si>
    <t>Itd_Unrealized_MtM_PnL</t>
  </si>
  <si>
    <t>ItD Unrealized PnL điều chỉnh</t>
  </si>
  <si>
    <t>Tính toán và thêm lưu trữ chỉ số ItD Unrealized cho Trading điều chỉnh do chi phí thanh toán công nợ - tính lại các deal outstanding liên quan bằng cách MtM tại ngày báo cáo - MtM tại ngày phát sinh deal mua công nợ</t>
  </si>
  <si>
    <t>So dieu chinh cong no</t>
  </si>
  <si>
    <t>PT/CK remaining</t>
  </si>
  <si>
    <t>Thay đổi pos</t>
  </si>
  <si>
    <t>Daily PnL vượt VaR do yield sơ cấp tăng =&gt; yield thứ cấp tăng 3-4bps</t>
  </si>
  <si>
    <t>Ngày 17/9, thanh toán công nợ cho VPS 10 tỷ
Ngày 25/9, thanh toán công nợ cho VPS 2 tỷ</t>
  </si>
  <si>
    <t>Sửa lại công thức thay đổi pos từ deal xóa, 10^9-&gt;10^4</t>
  </si>
  <si>
    <t>3 tháng</t>
  </si>
  <si>
    <t>TD2530010</t>
  </si>
  <si>
    <t>27/02/2035</t>
  </si>
  <si>
    <t>No PT'!A1</t>
  </si>
  <si>
    <t>ItD trước khi điều chỉnh (3) = (1) + (2)</t>
  </si>
  <si>
    <t>Tác động ItD</t>
  </si>
  <si>
    <t>AA2:AO2</t>
  </si>
  <si>
    <t>ItD hiện tại nếu không bán</t>
  </si>
  <si>
    <t>Noted: Manual</t>
  </si>
  <si>
    <t>Chạy báo cáo cho những ngày đầu tháng</t>
  </si>
  <si>
    <t xml:space="preserve"> =&gt; cần lấy số nợ phải trả từ DWH &amp; LR</t>
  </si>
  <si>
    <t>&gt; Bang can doi tai san (quy doi)</t>
  </si>
  <si>
    <t>- Input LR: sẽ thiếu các ngày thứ 7 và cuối tháng</t>
  </si>
  <si>
    <t xml:space="preserve">GL &gt; Báo cáo tài chính &gt; Quyết định 16 </t>
  </si>
  <si>
    <t>Số cuối tháng điều chỉnh back date 10 ngày đầu</t>
  </si>
  <si>
    <t>nên phải check hàng ngày</t>
  </si>
  <si>
    <t>Giam sat</t>
  </si>
  <si>
    <t>Sửa link ở cột K sheet No PT</t>
  </si>
  <si>
    <t>- Không có ở input LR thì bấm vào đây để vào DWH</t>
  </si>
  <si>
    <t>Bổ sung các bảng cầng gửi trong nhóm vào sheet Giám sát</t>
  </si>
  <si>
    <r>
      <t xml:space="preserve">Phân loại deal: Hỏi thêm dealer nếu consider
Book = null =&gt; </t>
    </r>
    <r>
      <rPr>
        <b/>
        <sz val="11"/>
        <color theme="1"/>
        <rFont val="Calibri"/>
        <family val="2"/>
        <scheme val="minor"/>
      </rPr>
      <t>None</t>
    </r>
    <r>
      <rPr>
        <sz val="11"/>
        <color theme="1"/>
        <rFont val="Calibri"/>
        <family val="2"/>
        <scheme val="minor"/>
      </rPr>
      <t xml:space="preserve">
Deal buy-sell, cùng Trade date, cùng Cpty, cùng quantity  =&gt; </t>
    </r>
    <r>
      <rPr>
        <b/>
        <sz val="11"/>
        <color theme="1"/>
        <rFont val="Calibri"/>
        <family val="2"/>
        <scheme val="minor"/>
      </rPr>
      <t>Outright repo</t>
    </r>
    <r>
      <rPr>
        <sz val="11"/>
        <color theme="1"/>
        <rFont val="Calibri"/>
        <family val="2"/>
        <scheme val="minor"/>
      </rPr>
      <t xml:space="preserve">
Còn lại là </t>
    </r>
    <r>
      <rPr>
        <b/>
        <sz val="11"/>
        <color theme="1"/>
        <rFont val="Calibri"/>
        <family val="2"/>
        <scheme val="minor"/>
      </rPr>
      <t>Outright</t>
    </r>
  </si>
  <si>
    <t>ItD</t>
  </si>
  <si>
    <t>Buy chưa valid</t>
  </si>
  <si>
    <t>Sell chưa valid</t>
  </si>
  <si>
    <t>Lệch do insert nhầm 1 deal mua 500 tỷ, đã báo ĐVKD sửa lại</t>
  </si>
  <si>
    <t>Buy_unvalid</t>
  </si>
  <si>
    <t>Sell_unvalid</t>
  </si>
  <si>
    <t>Tác động ItD của deal mua chưa valid (5)</t>
  </si>
  <si>
    <t>Điều chỉnh ItD của deal bán chưa valid (4)</t>
  </si>
  <si>
    <t>ItD điều chỉnh deal gửi giá và bán chưa valid (6) = (1) + (4)</t>
  </si>
  <si>
    <t>Giá MtM</t>
  </si>
  <si>
    <t>Tool yesterday</t>
  </si>
  <si>
    <t>So vs hôm trước</t>
  </si>
  <si>
    <t>Giam_sat_yesterday</t>
  </si>
  <si>
    <t>His</t>
  </si>
  <si>
    <t>DEAL_BUY_ID</t>
  </si>
  <si>
    <t>Tác động Realized</t>
  </si>
  <si>
    <t>Check số Ngoài BS và tổng Buy chưa valid - Sell chưa valid ở sheet Giám sát</t>
  </si>
  <si>
    <t>Check số Off + Ngoài BS với tổng Buy - Sell ở sheet Giám sát</t>
  </si>
  <si>
    <t>Realized chua ttoan</t>
  </si>
  <si>
    <t>Realized PnL QLHS chua ghi nhan, chua toi valuedate</t>
  </si>
  <si>
    <t>Tính ItD cho các deal chưa valid</t>
  </si>
  <si>
    <t>Thu từ coupon chưa ghi nhận</t>
  </si>
  <si>
    <t>NIM QLHS chưa ghi nhận</t>
  </si>
  <si>
    <t>NIM chua ghi nhan</t>
  </si>
  <si>
    <t>Coupon chua ghi nhan</t>
  </si>
  <si>
    <t>Cp lai Repo OMO</t>
  </si>
  <si>
    <t>Coupon chua ghi nhan trong thang</t>
  </si>
  <si>
    <t>Chi phi lai funding tu vay Repo va OMO</t>
  </si>
  <si>
    <t>P2:R2</t>
  </si>
  <si>
    <t>AL2:AN2</t>
  </si>
  <si>
    <t>Realized của các deal bán chưa valid</t>
  </si>
  <si>
    <t>Thu từ Coupon</t>
  </si>
  <si>
    <t>Tính và lưu trữ Realized cho các deal bán QLHS chưa ghi nhận làm cấu phần tính chỉ số mức độ sử dụng vốn = ItD + Realized&amp;NIM đã ghi nhận + Realized&amp;NIM chưa ghi nhận + Vốn yêu cầu
=&gt; Lưu back date để vẽ chart</t>
  </si>
  <si>
    <t>Chi phí lãi 1 ngày</t>
  </si>
  <si>
    <t>Auction</t>
  </si>
  <si>
    <t>Latest update QLHS</t>
  </si>
  <si>
    <t>Time hold (tenor)</t>
  </si>
  <si>
    <t>Thgian nắm giữ</t>
  </si>
  <si>
    <t>Amount outs</t>
  </si>
  <si>
    <t>ItD ban đầu</t>
  </si>
  <si>
    <t>ItD adjusted</t>
  </si>
  <si>
    <t>Time hold (Tenor)</t>
  </si>
  <si>
    <t>Time holding_ItD unre</t>
  </si>
  <si>
    <t>Time holding_Amount</t>
  </si>
  <si>
    <t>Check khối lượng theo thời gian nắm giữ</t>
  </si>
  <si>
    <t>So dieu chinh</t>
  </si>
  <si>
    <t>S2:Y2</t>
  </si>
  <si>
    <t>Tính và lưu trữ trạng thái và ItD theo thời gian nắm giữ</t>
  </si>
  <si>
    <t>NH TMCP QUOC TE</t>
  </si>
  <si>
    <t>24/07/2030</t>
  </si>
  <si>
    <t>MtM - BV</t>
  </si>
  <si>
    <t>On BS</t>
  </si>
  <si>
    <t>On + Off + Ngoai BS</t>
  </si>
  <si>
    <t>Giá của deal bán 48307 bị sai nên lỗ lớn, đã báo đvkd điều chỉnh lại</t>
  </si>
  <si>
    <t>CK_MAYBANK</t>
  </si>
  <si>
    <t>VPBS</t>
  </si>
  <si>
    <t>17y</t>
  </si>
  <si>
    <t>V</t>
  </si>
  <si>
    <t>Điều chỉnh dữ liệu tại FNRP BB SBV do input chỉ ghi nhận danh mục đã valid</t>
  </si>
  <si>
    <t>Captured Date</t>
  </si>
  <si>
    <r>
      <t>Tăng pos BB 
(</t>
    </r>
    <r>
      <rPr>
        <i/>
        <sz val="11"/>
        <color theme="1"/>
        <rFont val="Calibri"/>
        <family val="2"/>
        <scheme val="minor"/>
      </rPr>
      <t>Chuyển sổ TB-&gt;BB</t>
    </r>
    <r>
      <rPr>
        <b/>
        <sz val="11"/>
        <color theme="1"/>
        <rFont val="Calibri"/>
        <family val="2"/>
        <scheme val="minor"/>
      </rPr>
      <t>)</t>
    </r>
  </si>
  <si>
    <r>
      <t>Giảm Pos BB 
(</t>
    </r>
    <r>
      <rPr>
        <i/>
        <sz val="11"/>
        <color theme="1"/>
        <rFont val="Calibri"/>
        <family val="2"/>
        <scheme val="minor"/>
      </rPr>
      <t>Chuyển sổ BB-&gt;TB</t>
    </r>
    <r>
      <rPr>
        <b/>
        <sz val="11"/>
        <color theme="1"/>
        <rFont val="Calibri"/>
        <family val="2"/>
        <scheme val="minor"/>
      </rPr>
      <t>)</t>
    </r>
  </si>
  <si>
    <t>STT 
cặp deal</t>
  </si>
  <si>
    <t>STT
cặp deal</t>
  </si>
  <si>
    <t>Giá MtM
(tại ngày mua)</t>
  </si>
  <si>
    <t>Do chuyển sổ 
TB-&gt;BB</t>
  </si>
  <si>
    <t>Do chuyển sổ 
BB-&gt;TB</t>
  </si>
  <si>
    <r>
      <t xml:space="preserve">Giảm pos BB
</t>
    </r>
    <r>
      <rPr>
        <i/>
        <sz val="11"/>
        <color theme="1"/>
        <rFont val="Calibri"/>
        <family val="2"/>
        <scheme val="minor"/>
      </rPr>
      <t>(Do đáo hạn)</t>
    </r>
  </si>
  <si>
    <t>Tác động tới ItD Unrealized PnL tại ngày mua</t>
  </si>
  <si>
    <t>DM Trading</t>
  </si>
  <si>
    <t>DM Banking</t>
  </si>
  <si>
    <t>Total năm</t>
  </si>
  <si>
    <t>ItD Unrealized hiện tại</t>
  </si>
  <si>
    <t>Outstanding hiện tại</t>
  </si>
  <si>
    <t>Bổ sung thêm list deal total 1,600 tỷ chuyển từ Trading -&gt; Baking vào sheet Thay doi_BB, sửa lại bảng tổng hợp và thêm trường date vào bảng dữ liệu deal chi tiết</t>
  </si>
  <si>
    <t>Ngày valid</t>
  </si>
  <si>
    <t>Input&gt;&gt;&gt;</t>
  </si>
  <si>
    <t>Output</t>
  </si>
  <si>
    <t>PTCK_offBS</t>
  </si>
  <si>
    <t>Sửa lại công thức ước tính NIM chưa ghi nhận</t>
  </si>
  <si>
    <t>Chi phí funding</t>
  </si>
  <si>
    <t>His_funding_cost</t>
  </si>
  <si>
    <t>Cp funding</t>
  </si>
  <si>
    <t>Chi phí Funding chưa ghi nhận</t>
  </si>
  <si>
    <t>TD2540037</t>
  </si>
  <si>
    <t>GROSS_AMOUNT</t>
  </si>
  <si>
    <t>COUPON_RATE</t>
  </si>
  <si>
    <t>Dirty price</t>
  </si>
  <si>
    <t>PTCK_Remain</t>
  </si>
  <si>
    <t>GL nội bảng</t>
  </si>
  <si>
    <t>RPBOD3 để tính mua đầu tư trái phiếu chính phủ</t>
  </si>
  <si>
    <t>và tính PTCK onBS</t>
  </si>
  <si>
    <t>List buy onBS</t>
  </si>
  <si>
    <t>PTCK off+ngBS</t>
  </si>
  <si>
    <t>LAST_PMT</t>
  </si>
  <si>
    <t>START_ACC</t>
  </si>
  <si>
    <t>PTCK remain</t>
  </si>
  <si>
    <t>tổng PTCK remain</t>
  </si>
  <si>
    <t>N4:AD4</t>
  </si>
  <si>
    <t>Last TradingDate</t>
  </si>
  <si>
    <t>Bond-Last Tradingdate</t>
  </si>
  <si>
    <t>Bond_Last_Tradingdate</t>
  </si>
  <si>
    <t>Sửa lại bảng Bond_Last_Tradingdate</t>
  </si>
  <si>
    <t>Tính lại PTCK off BS, xóa đi 1 bảng bond infor trong sheet giám sát và sửa lại list bảng cần query</t>
  </si>
  <si>
    <t>Note:</t>
  </si>
  <si>
    <t>CLEAN PRICE</t>
  </si>
  <si>
    <t>MARKET VALUE</t>
  </si>
  <si>
    <t>6y</t>
  </si>
  <si>
    <t>TD2636021</t>
  </si>
  <si>
    <t>.</t>
  </si>
  <si>
    <r>
      <t>(Take note vào ô màu xanh để lưu lên DB53 khi VaR bị vượt, hoặc thị trường biến động mạnh,</t>
    </r>
    <r>
      <rPr>
        <b/>
        <sz val="10"/>
        <color rgb="FFFF0000"/>
        <rFont val="Arial"/>
        <family val="2"/>
      </rPr>
      <t xml:space="preserve"> gõ k dấu</t>
    </r>
    <r>
      <rPr>
        <sz val="10"/>
        <color theme="1"/>
        <rFont val="Arial"/>
        <family val="2"/>
      </rPr>
      <t>)</t>
    </r>
  </si>
  <si>
    <t>TRANSACTION_STATUS</t>
  </si>
  <si>
    <t>Sửa lại rule phân tách on off ngoài BS, dùng trường TRANSACTION_STATUS (V or N) để tách là Ngoài BS hay không, còn lại dùng trường VALUE_DATE để tách On và Off BS còn lại
Sửa công thức và các bảng query liên quan</t>
  </si>
  <si>
    <t>FNRP/RPSEC</t>
  </si>
  <si>
    <t>Unrealized ItD MtM PnL của nguồn RP_SEC_POS = Basel?</t>
  </si>
  <si>
    <t>Bảng Giam_sat_yesterday hôm sau cần sửa lại query nếu bị lỗi</t>
  </si>
  <si>
    <t>Bổ sung tính toán và lưu trữ ItD cho On, Off, Ngoài BS book TD và BK
Sửa lại query các bảng trong sheet Giám sát, bỏ đi các cột, tính toán không cần thiết</t>
  </si>
  <si>
    <t>bondID</t>
  </si>
  <si>
    <t>&lt; Nhớ điền last updated</t>
  </si>
  <si>
    <t>Check xem có deal nào đã qua value date nhưng trạng thái vẫn N (chưa valid) không?</t>
  </si>
  <si>
    <t>Hỏi BO và ĐVKD nếu có</t>
  </si>
  <si>
    <t>Thêm check xem có deal nào đã qua value date nhưng trạng thái vẫn N (chưa valid) không?</t>
  </si>
  <si>
    <t>AX2:BC2</t>
  </si>
  <si>
    <t>AB3:AC3</t>
  </si>
  <si>
    <t>Amt mua</t>
  </si>
  <si>
    <t>Amt bán</t>
  </si>
  <si>
    <t>ItD mua</t>
  </si>
  <si>
    <t>ItD bán</t>
  </si>
  <si>
    <t>check mua - bán so với số tổng &gt;&gt;&gt;</t>
  </si>
  <si>
    <t>Thêm lưu trữ face amount và ItD của deal buy/deal sell phần off và ngoài BS</t>
  </si>
  <si>
    <t>Deal sell</t>
  </si>
  <si>
    <t>Add check âm trạng  thái</t>
  </si>
  <si>
    <t>lampd3</t>
  </si>
  <si>
    <t>Lệch FNRP 50 tỷ do xảy ra trường hợp key deal và xóa deal buy trong ngày (49066). Đồng thời deal này được mapping với 1 deal sell (49065)
Đáng chú ý, deal sell này chưa có deal buy trước đấy, khiến cho trạng thái âm (-50 tỷ) và phải thay đổi số FNRP, tuy nhiên sẽ ảnh hưởng đến tính toán nhiều chỉ số như ItD, VaR, ...
Thêm check âm trạng thái cho trường hợp này</t>
  </si>
  <si>
    <t>Có bao nhiêu mã trong TB MSB bị âm trạng thái</t>
  </si>
  <si>
    <t>Có bao nhiêu mã trong BB MSB bị âm trạng thái</t>
  </si>
  <si>
    <t>Có bao nhiêu mã trong TB SBV bị âm trạng thái</t>
  </si>
  <si>
    <t>Có bao nhiêu mã trong BB SBV bị âm trạng thái</t>
  </si>
  <si>
    <t>mã</t>
  </si>
  <si>
    <t>Sửa lại công thức double check: có bao nhiêu mã bị âm trạng thái trong 4 bộ TD&amp;BK, MSB&amp;SBV</t>
  </si>
  <si>
    <t>Dữ liệu OMO bảng MM transaction và bảng Repo transaction lệch 435 tỷ</t>
  </si>
  <si>
    <t>Xem lại code</t>
  </si>
  <si>
    <t>=&gt; Nhắn ĐVKD chuyển/giao dịch những mã bond này đi</t>
  </si>
  <si>
    <t>\\filesrv01.msb.com.vn\06.Khoi Quan Ly Rui Ro\02.Trung Tam QLRR Thi Truong\02.Phong GSRRTT\05.Report\01.Daily Report\HisRpt_Before042026\BOND\01.GovBond_Backup\List_Deals\MSB DealPs\List deal ps 2016_2024.xlsx</t>
  </si>
  <si>
    <t>Value chênh với MtM</t>
  </si>
  <si>
    <t>ItD adj</t>
  </si>
  <si>
    <t>ItD adj_công nợ</t>
  </si>
  <si>
    <t>Quantity FNRP</t>
  </si>
  <si>
    <t>ItD adj_Công nợ</t>
  </si>
  <si>
    <t xml:space="preserve"> ItD Unrealized PnL adj</t>
  </si>
  <si>
    <t>Adj thanh toan cong no &amp; PTCK da phan bo</t>
  </si>
  <si>
    <t>ItD Unrealized</t>
  </si>
  <si>
    <t>ItD Unrealized adj</t>
  </si>
  <si>
    <t>Adj PTCK da phan bo</t>
  </si>
  <si>
    <t>Phải khớp hoàn toàn</t>
  </si>
  <si>
    <t>AS2:AY2</t>
  </si>
  <si>
    <t>BS2:BU2</t>
  </si>
  <si>
    <t>CO2:CQ2</t>
  </si>
  <si>
    <t>Tính lại ItD Unrealized, adj thêm PTCK đã phân bổ cho 4 bộ sổ, cho các cấu phần on off BS</t>
  </si>
  <si>
    <t>+ Giá bán là giá MtM clean price của mã trái phiếu tại ngày báo cáo
+ Giá mua là giá trên deal còn lại outstanding
Báo cáo này dealer sẽ theo lựa chọn map 1 deal bán với 1 deal mua (cherry picking).
Unrealized PnL theo phương pháp Cherry picking và PP trung bình trên FNRP khác nhau.
Nếu như deal chưa được map thì cần báo với DCM để map deal, sau đó xuất lại input</t>
  </si>
  <si>
    <t>BN2:BQ2</t>
  </si>
  <si>
    <t>= (giá MtM - giá mua)*quantity</t>
  </si>
  <si>
    <t>Điều chỉnh công nợ, PTCK đã phân bổ (2)</t>
  </si>
  <si>
    <t>ItD
đã điều chỉnh (1)</t>
  </si>
  <si>
    <t>Realized của các deal bán đã valid chưa thanh toán</t>
  </si>
  <si>
    <t>His_yield_bq</t>
  </si>
  <si>
    <t>Sửa lại công thức ước tính NIM chưa ghi nhận = yield bình quân - ls funding bq của repo và omo</t>
  </si>
  <si>
    <t>Toàn danh mục</t>
  </si>
  <si>
    <t>OnBS</t>
  </si>
  <si>
    <t>Yield bq (%)</t>
  </si>
  <si>
    <t>AG2:AQ2</t>
  </si>
  <si>
    <t>BY2:CI2</t>
  </si>
  <si>
    <t>FG2:FQ2</t>
  </si>
  <si>
    <t>GW2:GY2</t>
  </si>
  <si>
    <t>IC2:IF2</t>
  </si>
  <si>
    <t>ThisCouponRate</t>
  </si>
  <si>
    <t>AV3</t>
  </si>
  <si>
    <t>BK3:BO3</t>
  </si>
  <si>
    <t>Coupon bq (%)</t>
  </si>
  <si>
    <t>YTM_ON BS</t>
  </si>
  <si>
    <t>Coupon rate binh quan_On BS</t>
  </si>
  <si>
    <t>Thu lãi</t>
  </si>
  <si>
    <t>YTM_On BS</t>
  </si>
  <si>
    <t>Coupon rate binh quan_ON BS</t>
  </si>
  <si>
    <t>YTM bq</t>
  </si>
  <si>
    <t>Coupon rate bq</t>
  </si>
  <si>
    <t>Sửa lại công thức ước tính NIM chưa ghi nhận = yield bình quân ON BS - ls funding bq của repo và omo
Lưu bổ sung Yield và Coupon bình quân On BS cho 2 book Trading và Banking MSB</t>
  </si>
  <si>
    <t>30/06/2018</t>
  </si>
  <si>
    <t>20/08/2018</t>
  </si>
  <si>
    <t>21/08/2018</t>
  </si>
  <si>
    <t>10/09/2018</t>
  </si>
  <si>
    <t>24/09/2018</t>
  </si>
  <si>
    <t>15/01/2020</t>
  </si>
  <si>
    <t>03/02/2020</t>
  </si>
  <si>
    <t>26/04/2020</t>
  </si>
  <si>
    <t>23/10/2020</t>
  </si>
  <si>
    <t>06/11/2020</t>
  </si>
  <si>
    <t>26/04/2021</t>
  </si>
  <si>
    <t>17/06/2021</t>
  </si>
  <si>
    <t>20/06/2021</t>
  </si>
  <si>
    <t>22/06/2021</t>
  </si>
  <si>
    <t>04/07/2021</t>
  </si>
  <si>
    <t>31/10/2021</t>
  </si>
  <si>
    <t>07/11/2021</t>
  </si>
  <si>
    <t>24/11/2021</t>
  </si>
  <si>
    <t>19/12/2021</t>
  </si>
  <si>
    <t>26/12/2021</t>
  </si>
  <si>
    <t>12/01/2022</t>
  </si>
  <si>
    <t>09/03/2022</t>
  </si>
  <si>
    <t>14/04/2022</t>
  </si>
  <si>
    <t>31/05/2022</t>
  </si>
  <si>
    <t>08/06/2022</t>
  </si>
  <si>
    <t>29/06/2022</t>
  </si>
  <si>
    <t>20/07/2022</t>
  </si>
  <si>
    <t>12/10/2022</t>
  </si>
  <si>
    <t>29/11/2022</t>
  </si>
  <si>
    <t>04/01/2023</t>
  </si>
  <si>
    <t>22/03/2023</t>
  </si>
  <si>
    <t>25/03/2023</t>
  </si>
  <si>
    <t>23/06/2023</t>
  </si>
  <si>
    <t>08/09/2023</t>
  </si>
  <si>
    <t>17/01/2024</t>
  </si>
  <si>
    <t>23/03/2024</t>
  </si>
  <si>
    <t>18/05/2024</t>
  </si>
  <si>
    <t>08/06/2024</t>
  </si>
  <si>
    <t>19/10/2024</t>
  </si>
  <si>
    <t>09/01/2025</t>
  </si>
  <si>
    <t>11/01/2025</t>
  </si>
  <si>
    <t>31/01/2025</t>
  </si>
  <si>
    <t>15/03/2025</t>
  </si>
  <si>
    <t>22/03/2025</t>
  </si>
  <si>
    <t>04/06/2025</t>
  </si>
  <si>
    <t>03/11/2025</t>
  </si>
  <si>
    <t>19/12/2025</t>
  </si>
  <si>
    <t>26/12/2025</t>
  </si>
  <si>
    <t>10/01/2026</t>
  </si>
  <si>
    <t>28/01/2026</t>
  </si>
  <si>
    <t>03/03/2026</t>
  </si>
  <si>
    <t>23/04/2026</t>
  </si>
  <si>
    <t>22/07/2026</t>
  </si>
  <si>
    <t>26/09/2026</t>
  </si>
  <si>
    <t>28/10/2026</t>
  </si>
  <si>
    <t>13/11/2026</t>
  </si>
  <si>
    <t>08/02/2027</t>
  </si>
  <si>
    <t>14/03/2027</t>
  </si>
  <si>
    <t>30/05/2027</t>
  </si>
  <si>
    <t>29/10/2027</t>
  </si>
  <si>
    <t>02/11/2027</t>
  </si>
  <si>
    <t>29/11/2027</t>
  </si>
  <si>
    <t>20/12/2027</t>
  </si>
  <si>
    <t>04/01/2028</t>
  </si>
  <si>
    <t>16/02/2028</t>
  </si>
  <si>
    <t>04/03/2028</t>
  </si>
  <si>
    <t>30/06/2028</t>
  </si>
  <si>
    <t>09/09/2028</t>
  </si>
  <si>
    <t>15/11/2028</t>
  </si>
  <si>
    <t>30/11/2028</t>
  </si>
  <si>
    <t>12/12/2028</t>
  </si>
  <si>
    <t>27/12/2028</t>
  </si>
  <si>
    <t>11/01/2029</t>
  </si>
  <si>
    <t>07/03/2029</t>
  </si>
  <si>
    <t>09/05/2029</t>
  </si>
  <si>
    <t>25/07/2029</t>
  </si>
  <si>
    <t>03/10/2029</t>
  </si>
  <si>
    <t>20/11/2029</t>
  </si>
  <si>
    <t>27/11/2029</t>
  </si>
  <si>
    <t>05/12/2029</t>
  </si>
  <si>
    <t>31/01/2030</t>
  </si>
  <si>
    <t>09/02/2030</t>
  </si>
  <si>
    <t>11/11/2030</t>
  </si>
  <si>
    <t>12/11/2030</t>
  </si>
  <si>
    <t>17/12/2030</t>
  </si>
  <si>
    <t>07/01/2031</t>
  </si>
  <si>
    <t>10/06/2031</t>
  </si>
  <si>
    <t>22/07/2031</t>
  </si>
  <si>
    <t>04/08/2031</t>
  </si>
  <si>
    <t>15/09/2031</t>
  </si>
  <si>
    <t>27/09/2031</t>
  </si>
  <si>
    <t>25/10/2031</t>
  </si>
  <si>
    <t>17/01/2032</t>
  </si>
  <si>
    <t>04/05/2032</t>
  </si>
  <si>
    <t>23/05/2032</t>
  </si>
  <si>
    <t>30/05/2032</t>
  </si>
  <si>
    <t>30/09/2031</t>
  </si>
  <si>
    <t>18/11/2031</t>
  </si>
  <si>
    <t>06/01/2032</t>
  </si>
  <si>
    <t>14/03/2032</t>
  </si>
  <si>
    <t>07/11/2032</t>
  </si>
  <si>
    <t>24/11/2032</t>
  </si>
  <si>
    <t>11/01/2033</t>
  </si>
  <si>
    <t>06/07/2033</t>
  </si>
  <si>
    <t>24/09/2034</t>
  </si>
  <si>
    <t>01/10/2034</t>
  </si>
  <si>
    <t>13/11/2034</t>
  </si>
  <si>
    <t>20/11/2034</t>
  </si>
  <si>
    <t>27/11/2034</t>
  </si>
  <si>
    <t>13/03/2035</t>
  </si>
  <si>
    <t>27/03/2035</t>
  </si>
  <si>
    <t>14/05/2035</t>
  </si>
  <si>
    <t>18/06/2035</t>
  </si>
  <si>
    <t>01/09/2035</t>
  </si>
  <si>
    <t>11/11/2035</t>
  </si>
  <si>
    <t>08/01/2036</t>
  </si>
  <si>
    <t>14/01/2036</t>
  </si>
  <si>
    <t>21/01/2036</t>
  </si>
  <si>
    <t>10/06/2036</t>
  </si>
  <si>
    <t>06/10/2036</t>
  </si>
  <si>
    <t>06/01/2037</t>
  </si>
  <si>
    <t>14/01/2041</t>
  </si>
  <si>
    <t>25/11/2041</t>
  </si>
  <si>
    <t>06/01/2042</t>
  </si>
  <si>
    <t>30/12/2045</t>
  </si>
  <si>
    <t>28/01/2046</t>
  </si>
  <si>
    <t>09/06/2046</t>
  </si>
  <si>
    <t>15/09/2046</t>
  </si>
  <si>
    <t>13/10/2046</t>
  </si>
  <si>
    <t>12/01/2047</t>
  </si>
  <si>
    <t>20/04/2047</t>
  </si>
  <si>
    <t>24/01/2049</t>
  </si>
  <si>
    <t>16/01/2050</t>
  </si>
  <si>
    <t>15/10/2050</t>
  </si>
  <si>
    <t>14/01/2051</t>
  </si>
  <si>
    <t>26/08/2051</t>
  </si>
  <si>
    <t>13/01/2052</t>
  </si>
  <si>
    <t>18/01/2054</t>
  </si>
  <si>
    <t>13/06/2054</t>
  </si>
  <si>
    <t>Check ItD thành phần</t>
  </si>
  <si>
    <t>DP2:DZ2</t>
  </si>
  <si>
    <t>TD2636023</t>
  </si>
  <si>
    <t>23/04/2036</t>
  </si>
  <si>
    <t>2y</t>
  </si>
  <si>
    <t>Xóa sheet NIM_VTC</t>
  </si>
  <si>
    <r>
      <t xml:space="preserve">NIM ước tính chưa ghi nhận: Thu lãi đang tính bằng Position ON BS * YTM ON BS tại ngày báo cáo (do chưa có YTM ON BS dữ liệu quá khứ)
=&gt; 1 tháng sau sửa lại thành YTM ON BS tại từng ngày tương ứng
</t>
    </r>
    <r>
      <rPr>
        <sz val="11"/>
        <color rgb="FF00B050"/>
        <rFont val="Times New Roman"/>
        <family val="1"/>
      </rPr>
      <t>=&gt; Done 19/5</t>
    </r>
  </si>
  <si>
    <t>6m</t>
  </si>
  <si>
    <t xml:space="preserve">                                                                                                                                                                                                                                                                                                                                                                                                                                                                                                                                                                                                                                                         </t>
  </si>
  <si>
    <t>\\filesrv01.msb.com.vn\06.Khoi Quan Ly Rui Ro\02.Trung Tam QLRR Thi Truong\02.Phong GSRRTT\05.Report\01.Daily Report\HisRpt_Before042026\BOND\01.GovBond_Backup\MSB DealPs\List deal ps 2025.xlsx</t>
  </si>
  <si>
    <t xml:space="preserve">Outright/ Outright Repo                                                                                                             </t>
  </si>
  <si>
    <t>Volumn daily MSB/Market (Outright)</t>
  </si>
  <si>
    <t>Volumn GD MSB/Market</t>
  </si>
  <si>
    <t>Volumn GD MSB/Market Outright</t>
  </si>
  <si>
    <t>Volumn daily MSB/Market (tổng)</t>
  </si>
  <si>
    <t>DICTIONARY</t>
  </si>
  <si>
    <t>Definition</t>
  </si>
  <si>
    <t>Formula</t>
  </si>
  <si>
    <t>Notes</t>
  </si>
  <si>
    <t>Chỉ số</t>
  </si>
  <si>
    <t>EWMA</t>
  </si>
  <si>
    <t>Volatility</t>
  </si>
  <si>
    <r>
      <t xml:space="preserve">+) Tham số: </t>
    </r>
    <r>
      <rPr>
        <b/>
        <sz val="11"/>
        <color theme="1"/>
        <rFont val="Calibri"/>
        <family val="2"/>
        <scheme val="minor"/>
      </rPr>
      <t>λ = 0.98</t>
    </r>
    <r>
      <rPr>
        <sz val="11"/>
        <color theme="1"/>
        <rFont val="Calibri"/>
        <family val="2"/>
        <scheme val="minor"/>
      </rPr>
      <t xml:space="preserve">
- OPTIONS, FUTURES, AND OTHER DERIVATIVES - John C. Hull &amp; RiskMetrics (1996) by J.P.Morgan -&gt; </t>
    </r>
    <r>
      <rPr>
        <b/>
        <sz val="11"/>
        <color theme="1"/>
        <rFont val="Calibri"/>
        <family val="2"/>
        <scheme val="minor"/>
      </rPr>
      <t>λ=0.94</t>
    </r>
    <r>
      <rPr>
        <sz val="11"/>
        <color theme="1"/>
        <rFont val="Calibri"/>
        <family val="2"/>
        <scheme val="minor"/>
      </rPr>
      <t xml:space="preserve"> cho equity, FX daily,… các asset class có thanh khoản cao và biến động nhanh
- Yield TPCP Việt Nam có đặc thù khác: thanh khoản thấp hơn, yield biến động không liên tục như các tài sản khác nên lấy </t>
    </r>
    <r>
      <rPr>
        <b/>
        <sz val="11"/>
        <color theme="1"/>
        <rFont val="Calibri"/>
        <family val="2"/>
        <scheme val="minor"/>
      </rPr>
      <t>λ cao hơn</t>
    </r>
    <r>
      <rPr>
        <sz val="11"/>
        <color theme="1"/>
        <rFont val="Calibri"/>
        <family val="2"/>
        <scheme val="minor"/>
      </rPr>
      <t xml:space="preserve"> (capture chu kỳ lãi suất trung hạn thay vì chỉ phản ánh noise ngắn hạn)
</t>
    </r>
  </si>
  <si>
    <t>EWMA áp dụng cho government bond interest rates
Asikoglu &amp; Kayahan (2010) áp dụng EWMA ở các mức λ khác nhau để dự báo volatility lãi suất Government Debt Securities trên thị trường trái phiếu Istanbul, đạt reliability level 0.99 qua backtesting - xác nhận EWMA phù hợp cho interest rate volatility của thị trường mới nổi. 
Asikoglu &amp; Kayahan (2010), "Applicability of the EWMA Model to Estimate the Volatility of Istanbul Stock Exchange Bonds and Bills Market", Finance – Challenges of the Future, Vol.1(11).
- Cá nhân đánh giá: 0.99 weight quá nặng các volatility trong quá khứ, có thể khiến cho biến động yield của ngày báo cáo bị weight quá nhỏ -&gt; phản ánh chậm 1 ngày làm việc -&gt; Hạ xuống quanh mức 0.96~0.98 là hợp lý nhất để không bị underweight yield của ngày hiện tại (bám sát real-time hơn)</t>
  </si>
  <si>
    <t>Lý luận</t>
  </si>
  <si>
    <t>EWMA ước tính với trọng số giảm dần theo hàm mũ - ngày gần hơn được weighted cao hơn. Phản ánh biến động hiện tại nhanh hơn SMA.
-Ưu: Phản ứng nhanh hơn với shock
-Nhược: không có mean reversion, nhạy cảm với outliers ngắn hạn (bám sát shock scenarios nhưng trung và dài hạn không phản ánh tốt</t>
  </si>
  <si>
    <t>SMA (Simple Moving Average)</t>
  </si>
  <si>
    <t>SMA đo lường mức độ biến động của Δyield DtD trong window cố định trong X ngày. Mỗi ngày có trọng số bằng nhau.
- Ưu: ổn định, dễ giải thích, dễ hiểu. View tổng thể trung dài hạn (nhiều time window)
- Nhược: Khi ngày shock rời window, σ giảm đột ngột dù thị trường không đổi; phản ứng chậm với biến động mới, không capture được shock tốt</t>
  </si>
  <si>
    <t>σₙ = √[λ * σ²ₙ₋₁ + (1−λ) * (rₙ)²]
- λ đại diện cho tỷ trọng volatility các ngày liền trước
- σ_annual = σ_daily × √252</t>
  </si>
  <si>
    <t xml:space="preserve">σ = √[Σ(rₙ - r̄)²/n-1]
- σ_annual = σ_daily × √252
- rₙ = yₜ − yₜ₋₁ = Δyₙ (delta yield)
- r̄ là trung bình của các rₙ trong một time window nhất định
</t>
  </si>
  <si>
    <t>Time windows: 1Y (m=252), 2Y (m=504), 3Y (m=756).</t>
  </si>
  <si>
    <t>Hull (2022), Ch.23, Eq.23.1–23.2; CFA Institute QIA (2025); Basel BCBS (1996) §IV.</t>
  </si>
  <si>
    <t>Số nợ PT ngày 18/04/2026 lệch 2 nghìn tỷ do key nhầm deal CCS, không được điều chỉnh trên DWH do đã gửi cân đối. Tự điều chỉnh tay lấy số nợ PT - V. CÁC CÔNG CỤ TÀI CHÍNH PHÁT SINH VÀ CÁC TÀI SẢN TÀI CHÍNH KHÁC = 3.138.182.221.647.710 - 2.773.791.821.600.000 = 364.390.400.047.710</t>
  </si>
  <si>
    <t>\\filesrv01.msb.com.vn\06.Khoi Quan Ly Rui Ro\02.Trung Tam QLRR Thi Truong\02.Phong GSRRTT\05.Report\01.Daily Report\02.His Market info\HNX_DS NY.xlsm</t>
  </si>
  <si>
    <t>VAL_CAP_REP:17741</t>
  </si>
  <si>
    <t>YIELD</t>
  </si>
  <si>
    <t>QUANT</t>
  </si>
  <si>
    <t>QUANT*YIELD</t>
  </si>
  <si>
    <t>rp_sec</t>
  </si>
  <si>
    <t>Check quantity bảng ước tính NIM và số nội bảng</t>
  </si>
  <si>
    <t>date</t>
  </si>
  <si>
    <t>valid trong tháng</t>
  </si>
  <si>
    <t>outs on BS</t>
  </si>
  <si>
    <t>yield bq</t>
  </si>
  <si>
    <t>số tháng tiếp</t>
  </si>
  <si>
    <t>Realized off BS</t>
  </si>
  <si>
    <t>Realized ngoai BS</t>
  </si>
  <si>
    <t>Realized PnL off BS tai ngay bao cao</t>
  </si>
  <si>
    <t>Realized PnL ngoai BS tai ngay bao cao</t>
  </si>
  <si>
    <t>Est YTM T1</t>
  </si>
  <si>
    <t>Est YTM T2</t>
  </si>
  <si>
    <t>Est YTM T3</t>
  </si>
  <si>
    <t>Est YTM T4</t>
  </si>
  <si>
    <t>Est YTM T5</t>
  </si>
  <si>
    <t>Est YTM T6</t>
  </si>
  <si>
    <t>Est YTM T7</t>
  </si>
  <si>
    <t>Est YTM T8</t>
  </si>
  <si>
    <t>Est YTM T9</t>
  </si>
  <si>
    <t>Est YTM T10</t>
  </si>
  <si>
    <t>Est YTM T11</t>
  </si>
  <si>
    <t>Est YTM T12</t>
  </si>
  <si>
    <t>Cac thang da qua trong nam thi luu uoc tinh = 0</t>
  </si>
  <si>
    <t>Indicator 1</t>
  </si>
  <si>
    <t>Indicator 2</t>
  </si>
  <si>
    <t>Est Posi onBS T1</t>
  </si>
  <si>
    <t>Est Posi onBS T2</t>
  </si>
  <si>
    <t>Est Posi onBS T3</t>
  </si>
  <si>
    <t>Est Posi onBS T4</t>
  </si>
  <si>
    <t>Est Posi onBS T5</t>
  </si>
  <si>
    <t>Est Posi onBS T6</t>
  </si>
  <si>
    <t>Est Posi onBS T7</t>
  </si>
  <si>
    <t>Est Posi onBS T8</t>
  </si>
  <si>
    <t>Est Posi onBS T9</t>
  </si>
  <si>
    <t>Est Posi onBS T10</t>
  </si>
  <si>
    <t>Est Posi onBS T11</t>
  </si>
  <si>
    <t>Est Posi onBS T12</t>
  </si>
  <si>
    <t>Est_NIM</t>
  </si>
  <si>
    <t>CH2:CI2</t>
  </si>
  <si>
    <t>CVaR10D_97.5</t>
  </si>
  <si>
    <t>Deal_ID</t>
  </si>
  <si>
    <t>Deal type</t>
  </si>
  <si>
    <t>Bond code</t>
  </si>
  <si>
    <t>Đối tác</t>
  </si>
  <si>
    <t>Face amt</t>
  </si>
  <si>
    <t>Key date</t>
  </si>
  <si>
    <t>Value date</t>
  </si>
  <si>
    <t>Delete Date</t>
  </si>
  <si>
    <t>Status</t>
  </si>
  <si>
    <t>VAL_CAP_REP:17828</t>
  </si>
  <si>
    <t>VAL_CAP_REP:17829</t>
  </si>
  <si>
    <t>Yield RP SEC</t>
  </si>
  <si>
    <t>VAL_CAP_REP:17862</t>
  </si>
  <si>
    <t>VAL_CAP_REP:17863</t>
  </si>
  <si>
    <t>VAL_CAP_REP:17864</t>
  </si>
  <si>
    <t>YTM fund tu Pool</t>
  </si>
  <si>
    <t>YTM tu fund</t>
  </si>
  <si>
    <t>Book fund tu Pool</t>
  </si>
  <si>
    <t>Trang thai mo Book DCM tu fund</t>
  </si>
  <si>
    <t>Trang thai mo Book fund tu Pool</t>
  </si>
  <si>
    <t>Itd_Unrealized Book DCM tu fund</t>
  </si>
  <si>
    <t>Itd_Unrealized Book fund tu Pool</t>
  </si>
  <si>
    <t>VAL_CAP_REP:17909</t>
  </si>
  <si>
    <t>VAL_CAP_REP:17910</t>
  </si>
  <si>
    <t>VAL_CAP_REP:17911</t>
  </si>
  <si>
    <t>Đáo hạn</t>
  </si>
  <si>
    <t>Ước tính NIM</t>
  </si>
  <si>
    <t>Bổ sung thêm ước tính và lưu trữ position On BS, YTM on BS</t>
  </si>
  <si>
    <t>TB (HTM)</t>
  </si>
  <si>
    <t>Yield RP SEC2</t>
  </si>
  <si>
    <t>YTM_AllBook</t>
  </si>
  <si>
    <t>VAL_CAP_REP:17977</t>
  </si>
  <si>
    <t>VAL_CAP_REP:17980</t>
  </si>
  <si>
    <t>VAL_CAP_REP:17981</t>
  </si>
  <si>
    <t>VAL_CAP_REP:17991</t>
  </si>
  <si>
    <t>VAL_CAP_REP:17999</t>
  </si>
  <si>
    <t>VAL_CAP_REP:17997</t>
  </si>
  <si>
    <t>VAL_CAP_REP:17998</t>
  </si>
  <si>
    <t>VAL_CAP_REP:17996</t>
  </si>
  <si>
    <t>VAL_CAP_REP:17995</t>
  </si>
  <si>
    <t>\\filesrv01.msb.com.vn\06.Khoi Quan Ly Rui Ro\02.Trung Tam QLRR Thi Truong\02.Phong GSRRTT\05.Report\01.Daily Report\02.His Market info\HNX_Outright_Repo.xlsm</t>
  </si>
  <si>
    <t>VAL_CAP_REP:17992</t>
  </si>
  <si>
    <t>VAL_CAP_REP:17994</t>
  </si>
  <si>
    <t>MFKR</t>
  </si>
  <si>
    <t>AFS-ITB</t>
  </si>
  <si>
    <t xml:space="preserve">Test deal KGS </t>
  </si>
  <si>
    <t>VAL_CAP_REP:18010</t>
  </si>
  <si>
    <t>VAL_CAP_REP:18011</t>
  </si>
  <si>
    <t>VAL_CAP_REP:18012</t>
  </si>
  <si>
    <t>GBA05310713</t>
  </si>
  <si>
    <t xml:space="preserve">TPCP Kyrzystan </t>
  </si>
  <si>
    <t>% amt FNRP</t>
  </si>
  <si>
    <t>Market Value FNRP</t>
  </si>
  <si>
    <t>=SUMPRODUCT(RPBOD3[Quantity]*RPBOD3[Yield]*((RPBOD3[Folder]="AFS-ALM")+(RPBOD3[Folder]="AFS-PHUONG")))
/
SUM(SUMIFS(RPBOD3[Quantity],RPBOD3[Folder], {"AFS-ALM","AFS-PHUONG"}))</t>
  </si>
  <si>
    <t>Coupon Rate</t>
  </si>
  <si>
    <t>=SUMPRODUCT(RPBOD3[Quantity]*RPBOD3[ThisCouponRate]*((RPBOD3[Folder]="AFS-ALM")+(RPBOD3[Folder]="AFS-PHUONG")))
/
SUM(SUMIFS(RPBOD3[Quantity],RPBOD3[Folder], {"AFS-ALM","AFS-PHUONG"}))</t>
  </si>
  <si>
    <t>Adhoc tách DM</t>
  </si>
  <si>
    <t>VAL_CAP_REP:18022</t>
  </si>
  <si>
    <t>VAL_CAP_REP:18016</t>
  </si>
  <si>
    <t>VAL_CAP_REP:18015</t>
  </si>
  <si>
    <t>VAL_CAP_REP:18017</t>
  </si>
  <si>
    <t>VAL_CAP_REP:18018</t>
  </si>
  <si>
    <t>VAL_CAP_REP:18019</t>
  </si>
  <si>
    <t>VAL_CAP_REP:18020</t>
  </si>
  <si>
    <t>VAL_CAP_REP:18021</t>
  </si>
  <si>
    <t>SOM KYRGYZSTAN</t>
  </si>
  <si>
    <t>13/07/2031</t>
  </si>
  <si>
    <t>SBV - BB - ITB</t>
  </si>
  <si>
    <t>BB_MSB_ITB</t>
  </si>
  <si>
    <t>VAL_CAP_REP:18024</t>
  </si>
  <si>
    <t>VAL_CAP_REP:18025</t>
  </si>
  <si>
    <t>VAL_CAP_REP:18026</t>
  </si>
  <si>
    <t>Quant*Yield</t>
  </si>
  <si>
    <t>Tính toán</t>
  </si>
  <si>
    <t>Thêm 2 danh mục tách TB HTM 5k tỷ và BB 12k tỷ vào cuối RP_SEC</t>
  </si>
  <si>
    <t>Thay đổi cách tính Coupon và Yield onBS, PV01, hàng loạt chỉ số để include DM 5k tỷ</t>
  </si>
  <si>
    <t>VAL_CAP_REP:18036</t>
  </si>
  <si>
    <t>VAL_CAP_REP:18040</t>
  </si>
  <si>
    <t>VAL_CAP_REP:18039</t>
  </si>
  <si>
    <t>VAL_CAP_REP:18044</t>
  </si>
  <si>
    <t>VAL_CAP_REP:18042</t>
  </si>
  <si>
    <t>VAL_CAP_REP:18043</t>
  </si>
  <si>
    <t>VAL_CAP_REP:18041</t>
  </si>
  <si>
    <t>VAL_CAP_REP:18055</t>
  </si>
  <si>
    <t>VAL_CAP_REP:18050</t>
  </si>
  <si>
    <t>VAL_CAP_REP:18056</t>
  </si>
  <si>
    <t>VAL_CAP_REP:18051</t>
  </si>
  <si>
    <t>VAL_CAP_REP:18053</t>
  </si>
  <si>
    <t>VAL_CAP_REP:18052</t>
  </si>
  <si>
    <t>VAL_CAP_REP:18071</t>
  </si>
  <si>
    <t>VAL_CAP_REP:18072</t>
  </si>
  <si>
    <t>VAL_CAP_REP:18073</t>
  </si>
  <si>
    <t>VAL_CAP_REP:18077</t>
  </si>
  <si>
    <t>VAL_CAP_REP:18078</t>
  </si>
  <si>
    <t>VAL_CAP_REP:18079</t>
  </si>
  <si>
    <t>GBA05310727</t>
  </si>
  <si>
    <t>Dur*MV</t>
  </si>
  <si>
    <t>MDur*MV</t>
  </si>
  <si>
    <t>VAL_CAP_REP:18083</t>
  </si>
  <si>
    <t>VAL_CAP_REP:18084</t>
  </si>
  <si>
    <t>VAL_CAP_REP:18085</t>
  </si>
  <si>
    <t>VAL_CAP_REP:18088</t>
  </si>
  <si>
    <t>VAL_CAP_REP:18086</t>
  </si>
  <si>
    <t>VAL_CAP_REP:18087</t>
  </si>
  <si>
    <t>VAL_CAP_REP:18089</t>
  </si>
  <si>
    <t>VAL_CAP_REP:18094</t>
  </si>
  <si>
    <t>VAL_CAP_REP:18090</t>
  </si>
  <si>
    <t>VAL_CAP_REP:18091</t>
  </si>
  <si>
    <t>VAL_CAP_REP:18092</t>
  </si>
  <si>
    <t>VAL_CAP_REP:18096</t>
  </si>
  <si>
    <t>VAL_CAP_REP:18095</t>
  </si>
  <si>
    <t>TD2631010</t>
  </si>
  <si>
    <t>AFS-GOV</t>
  </si>
  <si>
    <t>BB (11k)</t>
  </si>
  <si>
    <t>Book DCM tu fund</t>
  </si>
  <si>
    <t>Check tổng số FNRP BB và book TB BB tách bởi DCM (tách BB)</t>
  </si>
  <si>
    <t>VAL_CAP_REP:18107</t>
  </si>
  <si>
    <t>VAL_CAP_REP:18103</t>
  </si>
  <si>
    <t>VAL_CAP_REP:18104</t>
  </si>
  <si>
    <t>VAL_CAP_REP:18105</t>
  </si>
  <si>
    <t>VAL_CAP_REP:18106</t>
  </si>
  <si>
    <t>VAL_CAP_REP:18117</t>
  </si>
  <si>
    <t>VAL_CAP_REP:18118</t>
  </si>
  <si>
    <t>VAL_CAP_REP:18119</t>
  </si>
  <si>
    <t>VAL_CAP_REP:18120</t>
  </si>
  <si>
    <t>VAL_CAP_REP:18121</t>
  </si>
  <si>
    <t>Check mapping deal đầy đủ ở sell chưa valid</t>
  </si>
  <si>
    <t>VAL_CAP_REP:18133</t>
  </si>
  <si>
    <t>VAL_CAP_REP:18134</t>
  </si>
  <si>
    <t>101145.00000000000000</t>
  </si>
  <si>
    <t>101145.0000000000000</t>
  </si>
  <si>
    <t>100012.00000000000000</t>
  </si>
  <si>
    <t>100012.0000000000000</t>
  </si>
  <si>
    <t>109643.00000000000000</t>
  </si>
  <si>
    <t>109643.0000000000000</t>
  </si>
  <si>
    <t>TD2631008</t>
  </si>
  <si>
    <t>30 ngày</t>
  </si>
  <si>
    <t>OT-P-VSD</t>
  </si>
  <si>
    <t>STBVVN</t>
  </si>
  <si>
    <t>HUONGHTQ</t>
  </si>
  <si>
    <t>LOANNT10</t>
  </si>
  <si>
    <t>Outright Repo</t>
  </si>
  <si>
    <t>-241452996.73</t>
  </si>
  <si>
    <t>-506078758.19</t>
  </si>
  <si>
    <t>-2548235944.01</t>
  </si>
  <si>
    <t>-325225327.84</t>
  </si>
  <si>
    <t>-2954354949.81</t>
  </si>
  <si>
    <t>-999544372.74</t>
  </si>
  <si>
    <t>-1382173141.01</t>
  </si>
  <si>
    <t>-479049149.80</t>
  </si>
  <si>
    <t>-272187016.80</t>
  </si>
  <si>
    <t>1042498254.49</t>
  </si>
  <si>
    <t>1292697834.94</t>
  </si>
  <si>
    <t>2242401610.60</t>
  </si>
  <si>
    <t>-187655246.53</t>
  </si>
  <si>
    <t>440954484.43</t>
  </si>
  <si>
    <t>230723363.31</t>
  </si>
  <si>
    <t>-304279832.27</t>
  </si>
  <si>
    <t>-173241236.09</t>
  </si>
  <si>
    <t>2459627551.76</t>
  </si>
  <si>
    <t>570679245.99</t>
  </si>
  <si>
    <t>1261297825.85</t>
  </si>
  <si>
    <t>1299496274.43</t>
  </si>
  <si>
    <t>542953217.97</t>
  </si>
  <si>
    <t>-2818498749.98</t>
  </si>
  <si>
    <t>-311677328.54</t>
  </si>
  <si>
    <t>248638245.72</t>
  </si>
  <si>
    <t>-1648570390.34</t>
  </si>
  <si>
    <t>128878891.08</t>
  </si>
  <si>
    <t>490278897.11</t>
  </si>
  <si>
    <t>449422321.68</t>
  </si>
  <si>
    <t>1059211153.52</t>
  </si>
  <si>
    <t>-5243402568.67</t>
  </si>
  <si>
    <t>-5616266751.24</t>
  </si>
  <si>
    <t>-4285490562.77</t>
  </si>
  <si>
    <t>632905291.31</t>
  </si>
  <si>
    <t>-719333145.48</t>
  </si>
  <si>
    <t>-697893483.11</t>
  </si>
  <si>
    <t>-3471153412.53</t>
  </si>
  <si>
    <t>-2592368650.36</t>
  </si>
  <si>
    <t>-1816911025.21</t>
  </si>
  <si>
    <t>-2424662795.80</t>
  </si>
  <si>
    <t>-1464525599.35</t>
  </si>
  <si>
    <t>-1485175435.87</t>
  </si>
  <si>
    <t>-1011409050.89</t>
  </si>
  <si>
    <t>-353055796.43</t>
  </si>
  <si>
    <t>-716364349.63</t>
  </si>
  <si>
    <t>-133808867.01</t>
  </si>
  <si>
    <t>2610801240.88</t>
  </si>
  <si>
    <t>-1149398119.06</t>
  </si>
  <si>
    <t>566489780.69</t>
  </si>
  <si>
    <t>-356023424.35</t>
  </si>
  <si>
    <t>-1606982570.97</t>
  </si>
  <si>
    <t>-581168599.94</t>
  </si>
  <si>
    <t>-1044750772.53</t>
  </si>
  <si>
    <t>-37115433.01</t>
  </si>
  <si>
    <t>-209214984.37</t>
  </si>
  <si>
    <t>-245106223.12</t>
  </si>
  <si>
    <t>-818009933.48</t>
  </si>
  <si>
    <t>-865702497.05</t>
  </si>
  <si>
    <t>275975822.16</t>
  </si>
  <si>
    <t>-644267333.69</t>
  </si>
  <si>
    <t>-260064383.68</t>
  </si>
  <si>
    <t>1377594822.44</t>
  </si>
  <si>
    <t>-193739696.87</t>
  </si>
  <si>
    <t>-398442498.53</t>
  </si>
  <si>
    <t>-920665711.74</t>
  </si>
  <si>
    <t>548316935.88</t>
  </si>
  <si>
    <t>4669036970.62</t>
  </si>
  <si>
    <t>-80367720.65</t>
  </si>
  <si>
    <t>161393206.48</t>
  </si>
  <si>
    <t>-32303909.76</t>
  </si>
  <si>
    <t>-406592649.12</t>
  </si>
  <si>
    <t>-122651211.82</t>
  </si>
  <si>
    <t>224516143.46</t>
  </si>
  <si>
    <t>-202964317.25</t>
  </si>
  <si>
    <t>-108075136.86</t>
  </si>
  <si>
    <t>361385709.27</t>
  </si>
  <si>
    <t>99953.00000000000000</t>
  </si>
  <si>
    <t>99953.0000000000000</t>
  </si>
  <si>
    <t>100289.00000000000000</t>
  </si>
  <si>
    <t>100289.0000000000000</t>
  </si>
  <si>
    <t>99411.00000000000000</t>
  </si>
  <si>
    <t>99411.0000000000000</t>
  </si>
  <si>
    <t>100956.00000000000000</t>
  </si>
  <si>
    <t>100956.0000000000000</t>
  </si>
  <si>
    <t>99338.00000000000000</t>
  </si>
  <si>
    <t>99338.0000000000000</t>
  </si>
  <si>
    <t>101071.00000000000000</t>
  </si>
  <si>
    <t>101071.0000000000000</t>
  </si>
  <si>
    <t>101065.00000000000000</t>
  </si>
  <si>
    <t>101065.0000000000000</t>
  </si>
  <si>
    <t>101045.00000000000000</t>
  </si>
  <si>
    <t>101045.0000000000000</t>
  </si>
  <si>
    <t>101136.00000000000000</t>
  </si>
  <si>
    <t>101136.0000000000000</t>
  </si>
  <si>
    <t>101447.00000000000000</t>
  </si>
  <si>
    <t>101447.0000000000000</t>
  </si>
  <si>
    <t>101420.00000000000000</t>
  </si>
  <si>
    <t>101420.0000000000000</t>
  </si>
  <si>
    <t>101416.00000000000000</t>
  </si>
  <si>
    <t>101416.0000000000000</t>
  </si>
  <si>
    <t>97634.00000000000000</t>
  </si>
  <si>
    <t>97634.0000000000000</t>
  </si>
  <si>
    <t>102134.00000000000000</t>
  </si>
  <si>
    <t>102134.0000000000000</t>
  </si>
  <si>
    <t>102262.00000000000000</t>
  </si>
  <si>
    <t>102262.0000000000000</t>
  </si>
  <si>
    <t>102007.00000000000000</t>
  </si>
  <si>
    <t>102007.0000000000000</t>
  </si>
  <si>
    <t>101001.00000000000000</t>
  </si>
  <si>
    <t>101001.0000000000000</t>
  </si>
  <si>
    <t>97958.00000000000000</t>
  </si>
  <si>
    <t>97958.0000000000000</t>
  </si>
  <si>
    <t>109346.00000000000000</t>
  </si>
  <si>
    <t>109346.0000000000000</t>
  </si>
  <si>
    <t>96303.00000000000000</t>
  </si>
  <si>
    <t>96303.0000000000000</t>
  </si>
  <si>
    <t>102091.00000000000000</t>
  </si>
  <si>
    <t>102091.0000000000000</t>
  </si>
  <si>
    <t>96319.00000000000000</t>
  </si>
  <si>
    <t>96319.0000000000000</t>
  </si>
  <si>
    <t>102841.00000000000000</t>
  </si>
  <si>
    <t>102841.0000000000000</t>
  </si>
  <si>
    <t>103139.00000000000000</t>
  </si>
  <si>
    <t>103139.0000000000000</t>
  </si>
  <si>
    <t>103181.00000000000000</t>
  </si>
  <si>
    <t>103181.0000000000000</t>
  </si>
  <si>
    <t>103202.00000000000000</t>
  </si>
  <si>
    <t>103202.0000000000000</t>
  </si>
  <si>
    <t>95113.00000000000000</t>
  </si>
  <si>
    <t>95113.0000000000000</t>
  </si>
  <si>
    <t>102597.00000000000000</t>
  </si>
  <si>
    <t>102597.0000000000000</t>
  </si>
  <si>
    <t>102439.00000000000000</t>
  </si>
  <si>
    <t>102439.0000000000000</t>
  </si>
  <si>
    <t>112331.00000000000000</t>
  </si>
  <si>
    <t>112331.0000000000000</t>
  </si>
  <si>
    <t>102570.00000000000000</t>
  </si>
  <si>
    <t>102570.0000000000000</t>
  </si>
  <si>
    <t>101911.00000000000000</t>
  </si>
  <si>
    <t>101911.0000000000000</t>
  </si>
  <si>
    <t>110295.00000000000000</t>
  </si>
  <si>
    <t>110295.0000000000000</t>
  </si>
  <si>
    <t>100467.00000000000000</t>
  </si>
  <si>
    <t>100467.0000000000000</t>
  </si>
  <si>
    <t>109512.00000000000000</t>
  </si>
  <si>
    <t>109512.0000000000000</t>
  </si>
  <si>
    <t>100365.00000000000000</t>
  </si>
  <si>
    <t>100365.0000000000000</t>
  </si>
  <si>
    <t>99735.00000000000000</t>
  </si>
  <si>
    <t>99735.0000000000000</t>
  </si>
  <si>
    <t>99125.00000000000000</t>
  </si>
  <si>
    <t>99125.0000000000000</t>
  </si>
  <si>
    <t>97770.00000000000000</t>
  </si>
  <si>
    <t>97770.0000000000000</t>
  </si>
  <si>
    <t>111970.00000000000000</t>
  </si>
  <si>
    <t>111970.0000000000000</t>
  </si>
  <si>
    <t>111831.00000000000000</t>
  </si>
  <si>
    <t>111831.0000000000000</t>
  </si>
  <si>
    <t>110932.00000000000000</t>
  </si>
  <si>
    <t>110932.0000000000000</t>
  </si>
  <si>
    <t>95892.00000000000000</t>
  </si>
  <si>
    <t>95892.0000000000000</t>
  </si>
  <si>
    <t>112715.00000000000000</t>
  </si>
  <si>
    <t>112715.0000000000000</t>
  </si>
  <si>
    <t>96757.00000000000000</t>
  </si>
  <si>
    <t>96757.0000000000000</t>
  </si>
  <si>
    <t>112895.00000000000000</t>
  </si>
  <si>
    <t>112895.0000000000000</t>
  </si>
  <si>
    <t>96341.00000000000000</t>
  </si>
  <si>
    <t>96341.0000000000000</t>
  </si>
  <si>
    <t>95953.00000000000000</t>
  </si>
  <si>
    <t>95953.0000000000000</t>
  </si>
  <si>
    <t>95562.00000000000000</t>
  </si>
  <si>
    <t>95562.0000000000000</t>
  </si>
  <si>
    <t>95519.00000000000000</t>
  </si>
  <si>
    <t>95519.0000000000000</t>
  </si>
  <si>
    <t>96066.00000000000000</t>
  </si>
  <si>
    <t>96066.0000000000000</t>
  </si>
  <si>
    <t>96029.00000000000000</t>
  </si>
  <si>
    <t>96029.0000000000000</t>
  </si>
  <si>
    <t>94580.00000000000000</t>
  </si>
  <si>
    <t>94580.0000000000000</t>
  </si>
  <si>
    <t>94129.00000000000000</t>
  </si>
  <si>
    <t>94129.0000000000000</t>
  </si>
  <si>
    <t>92881.00000000000000</t>
  </si>
  <si>
    <t>92881.0000000000000</t>
  </si>
  <si>
    <t>93129.00000000000000</t>
  </si>
  <si>
    <t>93129.0000000000000</t>
  </si>
  <si>
    <t>113876.00000000000000</t>
  </si>
  <si>
    <t>113876.0000000000000</t>
  </si>
  <si>
    <t>92544.00000000000000</t>
  </si>
  <si>
    <t>92544.0000000000000</t>
  </si>
  <si>
    <t>92361.00000000000000</t>
  </si>
  <si>
    <t>92361.0000000000000</t>
  </si>
  <si>
    <t>114320.00000000000000</t>
  </si>
  <si>
    <t>114320.0000000000000</t>
  </si>
  <si>
    <t>92167.00000000000000</t>
  </si>
  <si>
    <t>92167.0000000000000</t>
  </si>
  <si>
    <t>114538.00000000000000</t>
  </si>
  <si>
    <t>114538.0000000000000</t>
  </si>
  <si>
    <t>91493.00000000000000</t>
  </si>
  <si>
    <t>91493.0000000000000</t>
  </si>
  <si>
    <t>114401.00000000000000</t>
  </si>
  <si>
    <t>114401.0000000000000</t>
  </si>
  <si>
    <t>114422.00000000000000</t>
  </si>
  <si>
    <t>114422.0000000000000</t>
  </si>
  <si>
    <t>91370.00000000000000</t>
  </si>
  <si>
    <t>91370.0000000000000</t>
  </si>
  <si>
    <t>90750.00000000000000</t>
  </si>
  <si>
    <t>90750.0000000000000</t>
  </si>
  <si>
    <t>114808.00000000000000</t>
  </si>
  <si>
    <t>114808.0000000000000</t>
  </si>
  <si>
    <t>114152.00000000000000</t>
  </si>
  <si>
    <t>114152.0000000000000</t>
  </si>
  <si>
    <t>90323.00000000000000</t>
  </si>
  <si>
    <t>90323.0000000000000</t>
  </si>
  <si>
    <t>89610.00000000000000</t>
  </si>
  <si>
    <t>89610.0000000000000</t>
  </si>
  <si>
    <t>89590.00000000000000</t>
  </si>
  <si>
    <t>89590.0000000000000</t>
  </si>
  <si>
    <t>113891.00000000000000</t>
  </si>
  <si>
    <t>113891.0000000000000</t>
  </si>
  <si>
    <t>113396.00000000000000</t>
  </si>
  <si>
    <t>113396.0000000000000</t>
  </si>
  <si>
    <t>113429.00000000000000</t>
  </si>
  <si>
    <t>113429.0000000000000</t>
  </si>
  <si>
    <t>113101.00000000000000</t>
  </si>
  <si>
    <t>113101.0000000000000</t>
  </si>
  <si>
    <t>112833.00000000000000</t>
  </si>
  <si>
    <t>112833.0000000000000</t>
  </si>
  <si>
    <t>112060.00000000000000</t>
  </si>
  <si>
    <t>112060.0000000000000</t>
  </si>
  <si>
    <t>112093.00000000000000</t>
  </si>
  <si>
    <t>112093.0000000000000</t>
  </si>
  <si>
    <t>111498.00000000000000</t>
  </si>
  <si>
    <t>111498.0000000000000</t>
  </si>
  <si>
    <t>110540.00000000000000</t>
  </si>
  <si>
    <t>110540.0000000000000</t>
  </si>
  <si>
    <t>89351.00000000000000</t>
  </si>
  <si>
    <t>89351.0000000000000</t>
  </si>
  <si>
    <t>107331.00000000000000</t>
  </si>
  <si>
    <t>107331.0000000000000</t>
  </si>
  <si>
    <t>102771.00000000000000</t>
  </si>
  <si>
    <t>102771.0000000000000</t>
  </si>
  <si>
    <t>107517.00000000000000</t>
  </si>
  <si>
    <t>107517.0000000000000</t>
  </si>
  <si>
    <t>102776.00000000000000</t>
  </si>
  <si>
    <t>102776.0000000000000</t>
  </si>
  <si>
    <t>105949.00000000000000</t>
  </si>
  <si>
    <t>105949.0000000000000</t>
  </si>
  <si>
    <t>104987.00000000000000</t>
  </si>
  <si>
    <t>104987.0000000000000</t>
  </si>
  <si>
    <t>99480.00000000000000</t>
  </si>
  <si>
    <t>99480.0000000000000</t>
  </si>
  <si>
    <t>98907.00000000000000</t>
  </si>
  <si>
    <t>98907.0000000000000</t>
  </si>
  <si>
    <t>93755.00000000000000</t>
  </si>
  <si>
    <t>93755.0000000000000</t>
  </si>
  <si>
    <t>88853.00000000000000</t>
  </si>
  <si>
    <t>88853.0000000000000</t>
  </si>
  <si>
    <t>87948.00000000000000</t>
  </si>
  <si>
    <t>87948.0000000000000</t>
  </si>
  <si>
    <t>106992.00000000000000</t>
  </si>
  <si>
    <t>106992.0000000000000</t>
  </si>
  <si>
    <t>107000.00000000000000</t>
  </si>
  <si>
    <t>107000.0000000000000</t>
  </si>
  <si>
    <t>107009.00000000000000</t>
  </si>
  <si>
    <t>107009.0000000000000</t>
  </si>
  <si>
    <t>90876.00000000000000</t>
  </si>
  <si>
    <t>90876.0000000000000</t>
  </si>
  <si>
    <t>89666.00000000000000</t>
  </si>
  <si>
    <t>89666.0000000000000</t>
  </si>
  <si>
    <t>89050.00000000000000</t>
  </si>
  <si>
    <t>89050.0000000000000</t>
  </si>
  <si>
    <t>86931.00000000000000</t>
  </si>
  <si>
    <t>86931.0000000000000</t>
  </si>
  <si>
    <t>105991.00000000000000</t>
  </si>
  <si>
    <t>105991.0000000000000</t>
  </si>
  <si>
    <t>106013.00000000000000</t>
  </si>
  <si>
    <t>106013.0000000000000</t>
  </si>
  <si>
    <t>86137.00000000000000</t>
  </si>
  <si>
    <t>86137.0000000000000</t>
  </si>
  <si>
    <t>104787.00000000000000</t>
  </si>
  <si>
    <t>104787.0000000000000</t>
  </si>
  <si>
    <t>104176.00000000000000</t>
  </si>
  <si>
    <t>104176.0000000000000</t>
  </si>
  <si>
    <t>87596.00000000000000</t>
  </si>
  <si>
    <t>87596.0000000000000</t>
  </si>
  <si>
    <t>104228.00000000000000</t>
  </si>
  <si>
    <t>104228.0000000000000</t>
  </si>
  <si>
    <t>101627.00000000000000</t>
  </si>
  <si>
    <t>101627.0000000000000</t>
  </si>
  <si>
    <t>98948.00000000000000</t>
  </si>
  <si>
    <t>98948.0000000000000</t>
  </si>
  <si>
    <t>98282.00000000000000</t>
  </si>
  <si>
    <t>98282.0000000000000</t>
  </si>
  <si>
    <t>97540.00000000000000</t>
  </si>
  <si>
    <t>97540.0000000000000</t>
  </si>
  <si>
    <t>97531.00000000000000</t>
  </si>
  <si>
    <t>97531.0000000000000</t>
  </si>
  <si>
    <t>96852.00000000000000</t>
  </si>
  <si>
    <t>96852.0000000000000</t>
  </si>
  <si>
    <t>124511.00000000000000</t>
  </si>
  <si>
    <t>124511.0000000000000</t>
  </si>
  <si>
    <t>89242.00000000000000</t>
  </si>
  <si>
    <t>89242.0000000000000</t>
  </si>
  <si>
    <t>89188.00000000000000</t>
  </si>
  <si>
    <t>89188.0000000000000</t>
  </si>
  <si>
    <t>89135.00000000000000</t>
  </si>
  <si>
    <t>89135.0000000000000</t>
  </si>
  <si>
    <t>89029.00000000000000</t>
  </si>
  <si>
    <t>89029.0000000000000</t>
  </si>
  <si>
    <t>88187.00000000000000</t>
  </si>
  <si>
    <t>88187.0000000000000</t>
  </si>
  <si>
    <t>94692.00000000000000</t>
  </si>
  <si>
    <t>94692.0000000000000</t>
  </si>
  <si>
    <t>91883.00000000000000</t>
  </si>
  <si>
    <t>91883.0000000000000</t>
  </si>
  <si>
    <t>89638.00000000000000</t>
  </si>
  <si>
    <t>89638.0000000000000</t>
  </si>
  <si>
    <t>89589.00000000000000</t>
  </si>
  <si>
    <t>89589.0000000000000</t>
  </si>
  <si>
    <t>89564.00000000000000</t>
  </si>
  <si>
    <t>89564.0000000000000</t>
  </si>
  <si>
    <t>89539.00000000000000</t>
  </si>
  <si>
    <t>89539.0000000000000</t>
  </si>
  <si>
    <t>89369.00000000000000</t>
  </si>
  <si>
    <t>89369.0000000000000</t>
  </si>
  <si>
    <t>90685.00000000000000</t>
  </si>
  <si>
    <t>90685.0000000000000</t>
  </si>
  <si>
    <t>89897.00000000000000</t>
  </si>
  <si>
    <t>89897.0000000000000</t>
  </si>
  <si>
    <t>91987.00000000000000</t>
  </si>
  <si>
    <t>91987.0000000000000</t>
  </si>
  <si>
    <t>89735.00000000000000</t>
  </si>
  <si>
    <t>89735.0000000000000</t>
  </si>
  <si>
    <t>88872.00000000000000</t>
  </si>
  <si>
    <t>88872.0000000000000</t>
  </si>
  <si>
    <t>87340.00000000000000</t>
  </si>
  <si>
    <t>87340.0000000000000</t>
  </si>
  <si>
    <t>88243.00000000000000</t>
  </si>
  <si>
    <t>88243.0000000000000</t>
  </si>
  <si>
    <t>87170.00000000000000</t>
  </si>
  <si>
    <t>87170.0000000000000</t>
  </si>
  <si>
    <t>85584.00000000000000</t>
  </si>
  <si>
    <t>85584.0000000000000</t>
  </si>
  <si>
    <t>84707.00000000000000</t>
  </si>
  <si>
    <t>84707.0000000000000</t>
  </si>
  <si>
    <t>124796.00000000000000</t>
  </si>
  <si>
    <t>124796.0000000000000</t>
  </si>
  <si>
    <t>85071.00000000000000</t>
  </si>
  <si>
    <t>85071.0000000000000</t>
  </si>
  <si>
    <t>84053.00000000000000</t>
  </si>
  <si>
    <t>84053.0000000000000</t>
  </si>
  <si>
    <t>82987.00000000000000</t>
  </si>
  <si>
    <t>82987.0000000000000</t>
  </si>
  <si>
    <t>82068.00000000000000</t>
  </si>
  <si>
    <t>82068.0000000000000</t>
  </si>
  <si>
    <t>126022.00000000000000</t>
  </si>
  <si>
    <t>126022.0000000000000</t>
  </si>
  <si>
    <t>82533.00000000000000</t>
  </si>
  <si>
    <t>82533.0000000000000</t>
  </si>
  <si>
    <t>82354.00000000000000</t>
  </si>
  <si>
    <t>82354.0000000000000</t>
  </si>
  <si>
    <t>126513.00000000000000</t>
  </si>
  <si>
    <t>126513.0000000000000</t>
  </si>
  <si>
    <t>124359.00000000000000</t>
  </si>
  <si>
    <t>124359.0000000000000</t>
  </si>
  <si>
    <t>121194.00000000000000</t>
  </si>
  <si>
    <t>121194.0000000000000</t>
  </si>
  <si>
    <t>112969.00000000000000</t>
  </si>
  <si>
    <t>112969.0000000000000</t>
  </si>
  <si>
    <t>103625.00000000000000</t>
  </si>
  <si>
    <t>103625.0000000000000</t>
  </si>
  <si>
    <t>101870.00000000000000</t>
  </si>
  <si>
    <t>101870.0000000000000</t>
  </si>
  <si>
    <t>106262.00000000000000</t>
  </si>
  <si>
    <t>106262.0000000000000</t>
  </si>
  <si>
    <t>99219.00000000000000</t>
  </si>
  <si>
    <t>99219.0000000000000</t>
  </si>
  <si>
    <t>93852.00000000000000</t>
  </si>
  <si>
    <t>93852.0000000000000</t>
  </si>
  <si>
    <t>90235.00000000000000</t>
  </si>
  <si>
    <t>90235.0000000000000</t>
  </si>
  <si>
    <t>87342.00000000000000</t>
  </si>
  <si>
    <t>87342.0000000000000</t>
  </si>
  <si>
    <t>85523.00000000000000</t>
  </si>
  <si>
    <t>85523.0000000000000</t>
  </si>
  <si>
    <t>82776.00000000000000</t>
  </si>
  <si>
    <t>82776.0000000000000</t>
  </si>
  <si>
    <t>110155.00000000000000</t>
  </si>
  <si>
    <t>110155.0000000000000</t>
  </si>
  <si>
    <t>103606.00000000000000</t>
  </si>
  <si>
    <t>103606.0000000000000</t>
  </si>
  <si>
    <t>84678.00000000000000</t>
  </si>
  <si>
    <t>84678.0000000000000</t>
  </si>
  <si>
    <t>82727.00000000000000</t>
  </si>
  <si>
    <t>82727.0000000000000</t>
  </si>
  <si>
    <t>82446.00000000000000</t>
  </si>
  <si>
    <t>82446.0000000000000</t>
  </si>
  <si>
    <t>82677.00000000000000</t>
  </si>
  <si>
    <t>82677.0000000000000</t>
  </si>
  <si>
    <t>84269.00000000000000</t>
  </si>
  <si>
    <t>84269.0000000000000</t>
  </si>
  <si>
    <t>90735.00000000000000</t>
  </si>
  <si>
    <t>90735.0000000000000</t>
  </si>
  <si>
    <t>87240.00000000000000</t>
  </si>
  <si>
    <t>87240.0000000000000</t>
  </si>
  <si>
    <t>81666.00000000000000</t>
  </si>
  <si>
    <t>81666.0000000000000</t>
  </si>
  <si>
    <t>79629.00000000000000</t>
  </si>
  <si>
    <t>79629.0000000000000</t>
  </si>
  <si>
    <t>89616.00000000000000</t>
  </si>
  <si>
    <t>89616.0000000000000</t>
  </si>
  <si>
    <t>142049.00000000000000</t>
  </si>
  <si>
    <t>142049.0000000000000</t>
  </si>
  <si>
    <t>142132.00000000000000</t>
  </si>
  <si>
    <t>142132.0000000000000</t>
  </si>
  <si>
    <t>142528.00000000000000</t>
  </si>
  <si>
    <t>142528.0000000000000</t>
  </si>
  <si>
    <t>141546.00000000000000</t>
  </si>
  <si>
    <t>141546.0000000000000</t>
  </si>
  <si>
    <t>141623.00000000000000</t>
  </si>
  <si>
    <t>141623.0000000000000</t>
  </si>
  <si>
    <t>141888.00000000000000</t>
  </si>
  <si>
    <t>141888.0000000000000</t>
  </si>
  <si>
    <t>142082.00000000000000</t>
  </si>
  <si>
    <t>142082.0000000000000</t>
  </si>
  <si>
    <t>140846.00000000000000</t>
  </si>
  <si>
    <t>140846.0000000000000</t>
  </si>
  <si>
    <t>138272.00000000000000</t>
  </si>
  <si>
    <t>138272.0000000000000</t>
  </si>
  <si>
    <t>134499.00000000000000</t>
  </si>
  <si>
    <t>134499.0000000000000</t>
  </si>
  <si>
    <t>120122.00000000000000</t>
  </si>
  <si>
    <t>120122.0000000000000</t>
  </si>
  <si>
    <t>115288.00000000000000</t>
  </si>
  <si>
    <t>115288.0000000000000</t>
  </si>
  <si>
    <t>107139.00000000000000</t>
  </si>
  <si>
    <t>107139.0000000000000</t>
  </si>
  <si>
    <t>87506.00000000000000</t>
  </si>
  <si>
    <t>87506.0000000000000</t>
  </si>
  <si>
    <t>77090.00000000000000</t>
  </si>
  <si>
    <t>77090.0000000000000</t>
  </si>
  <si>
    <t>73842.00000000000000</t>
  </si>
  <si>
    <t>73842.0000000000000</t>
  </si>
  <si>
    <t>92330.00000000000000</t>
  </si>
  <si>
    <t>92330.0000000000000</t>
  </si>
  <si>
    <t>15 ngày</t>
  </si>
  <si>
    <t>33 ngày</t>
  </si>
  <si>
    <t>17/08/2026</t>
  </si>
  <si>
    <t>INTERDEAL</t>
  </si>
  <si>
    <t>CK_KAFI</t>
  </si>
  <si>
    <t>CK_THIENVI</t>
  </si>
  <si>
    <t xml:space="preserve">VaR vượt do chuyển Book BB -&gt; TB </t>
  </si>
  <si>
    <t>5. Done tool FI Bond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</si>
</sst>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41" formatCode="_(* #,##0_);_(* \(#,##0\);_(* &quot;-&quot;_);_(@_)"/>
    <numFmt numFmtId="43" formatCode="_(* #,##0.00_);_(* \(#,##0.00\);_(* &quot;-&quot;??_);_(@_)"/>
    <numFmt numFmtId="164" formatCode="_(* #,##0.000000_);_(* \(#,##0.000000\);_(* &quot;-&quot;??_);_(@_)"/>
    <numFmt numFmtId="165" formatCode="_(* #,##0_);_(* \(#,##0\);_(* &quot;-&quot;??_);_(@_)"/>
    <numFmt numFmtId="166" formatCode="_(* #,##0.0_);_(* \(#,##0.0\);_(* &quot;-&quot;??_);_(@_)"/>
    <numFmt numFmtId="167" formatCode="[$-409]mmm\-yy;@"/>
    <numFmt numFmtId="168" formatCode="dd\-mmm\-yyyy"/>
    <numFmt numFmtId="169" formatCode="[$-409]d\-mmm\-yy;@"/>
    <numFmt numFmtId="170" formatCode="_(* #,##0.000_);_(* \(#,##0.000\);_(* &quot;-&quot;??_);_(@_)"/>
    <numFmt numFmtId="171" formatCode="0.0"/>
    <numFmt numFmtId="172" formatCode="_(* #,##0.00000_);_(* \(#,##0.00000\);_(* &quot;-&quot;??_);_(@_)"/>
    <numFmt numFmtId="173" formatCode="_-* #,##0.00\ _₫_-;\-* #,##0.00\ _₫_-;_-* &quot;-&quot;??\ _₫_-;_-@_-"/>
    <numFmt numFmtId="174" formatCode="_(* #,##0.0000_);_(* \(#,##0.0000\);_(* &quot;-&quot;??_);_(@_)"/>
    <numFmt numFmtId="175" formatCode="_(* #,##0.000000000_);_(* \(#,##0.000000000\);_(* &quot;-&quot;??_);_(@_)"/>
    <numFmt numFmtId="176" formatCode="_(* #,##0.000000000000_);_(* \(#,##0.000000000000\);_(* &quot;-&quot;??_);_(@_)"/>
    <numFmt numFmtId="177" formatCode="0.0%"/>
    <numFmt numFmtId="178" formatCode="_(* #,##0.00000000_);_(* \(#,##0.00000000\);_(* &quot;-&quot;??_);_(@_)"/>
    <numFmt numFmtId="179" formatCode="_-* #,##0_-;\-* #,##0_-;_-* &quot;-&quot;??_-;_-@_-"/>
    <numFmt numFmtId="180" formatCode="m/d/yyyy"/>
    <numFmt numFmtId="181" formatCode="_(* #,##0.0000000_);_(* \(#,##0.0000000\);_(* &quot;-&quot;_);_(@_)"/>
    <numFmt numFmtId="182" formatCode="_(* #,##0.000_);_(* \(#,##0.000\);_(* &quot;-&quot;_);_(@_)"/>
    <numFmt numFmtId="183" formatCode="_(* #,##0.000_);_(* \(#,##0.000\);_(* &quot;-&quot;???_);_(@_)"/>
    <numFmt numFmtId="184" formatCode="_(* #,##0.0000_);_(* \(#,##0.0000\);_(* &quot;-&quot;_);_(@_)"/>
    <numFmt numFmtId="185" formatCode="_(* #,##0.0000_);_(* \(#,##0.0000\);_(* &quot;-&quot;????_);_(@_)"/>
    <numFmt numFmtId="186" formatCode="0.000000%"/>
    <numFmt numFmtId="187" formatCode="_(* #,##0.000000_);_(* \(#,##0.000000\);_(* &quot;-&quot;_);_(@_)"/>
    <numFmt numFmtId="188" formatCode="_(* #,##0.00_);_(* \(#,##0.00\);_(* &quot;-&quot;_);_(@_)"/>
    <numFmt numFmtId="189" formatCode="0.000%"/>
    <numFmt numFmtId="190" formatCode="_(* #,##0.0000000_);_(* \(#,##0.0000000\);_(* &quot;-&quot;??_);_(@_)"/>
    <numFmt numFmtId="191" formatCode="0.0000000%"/>
    <numFmt numFmtId="192" formatCode="_(* #,##0.00000_);_(* \(#,##0.00000\);_(* &quot;-&quot;_);_(@_)"/>
    <numFmt numFmtId="193" formatCode="0.00000000000"/>
  </numFmts>
  <fonts count="115" x14ac:knownFonts="1">
    <font>
      <sz val="11"/>
      <color theme="1"/>
      <name val="Calibri"/>
      <family val="2"/>
      <scheme val="minor"/>
    </font>
    <font>
      <sz val="11"/>
      <color theme="1"/>
      <name val="Calibri"/>
      <family val="2"/>
      <charset val="163"/>
      <scheme val="minor"/>
    </font>
    <font>
      <sz val="11"/>
      <color theme="1"/>
      <name val="Calibri"/>
      <family val="2"/>
      <scheme val="minor"/>
    </font>
    <font>
      <b/>
      <sz val="10"/>
      <color theme="0"/>
      <name val="Arial"/>
      <family val="2"/>
    </font>
    <font>
      <sz val="10"/>
      <color theme="1"/>
      <name val="Arial"/>
      <family val="2"/>
    </font>
    <font>
      <b/>
      <i/>
      <sz val="10"/>
      <color rgb="FF0070C0"/>
      <name val="Arial"/>
      <family val="2"/>
    </font>
    <font>
      <i/>
      <sz val="10"/>
      <color theme="1"/>
      <name val="Arial"/>
      <family val="2"/>
    </font>
    <font>
      <b/>
      <sz val="10"/>
      <color theme="1"/>
      <name val="Arial"/>
      <family val="2"/>
    </font>
    <font>
      <sz val="10"/>
      <color rgb="FFFF0000"/>
      <name val="Arial"/>
      <family val="2"/>
    </font>
    <font>
      <u/>
      <sz val="11"/>
      <color theme="10"/>
      <name val="Calibri"/>
      <family val="2"/>
      <scheme val="minor"/>
    </font>
    <font>
      <b/>
      <sz val="11"/>
      <color theme="1"/>
      <name val="Calibri"/>
      <family val="2"/>
      <scheme val="minor"/>
    </font>
    <font>
      <sz val="10"/>
      <color rgb="FF0070C0"/>
      <name val="Arial"/>
      <family val="2"/>
    </font>
    <font>
      <b/>
      <sz val="12"/>
      <color theme="1"/>
      <name val="Times New Roman"/>
      <family val="1"/>
    </font>
    <font>
      <sz val="12"/>
      <color theme="1"/>
      <name val="Times New Roman"/>
      <family val="1"/>
    </font>
    <font>
      <sz val="11"/>
      <color rgb="FFFF0000"/>
      <name val="Calibri"/>
      <family val="2"/>
      <scheme val="minor"/>
    </font>
    <font>
      <b/>
      <sz val="10"/>
      <name val="Arial"/>
      <family val="2"/>
    </font>
    <font>
      <sz val="10"/>
      <name val="Arial"/>
      <family val="2"/>
    </font>
    <font>
      <sz val="11"/>
      <color theme="1"/>
      <name val="Times New Roman"/>
      <family val="1"/>
    </font>
    <font>
      <u/>
      <sz val="11"/>
      <color theme="10"/>
      <name val="Times New Roman"/>
      <family val="1"/>
    </font>
    <font>
      <b/>
      <sz val="11"/>
      <color theme="1"/>
      <name val="Times New Roman"/>
      <family val="1"/>
    </font>
    <font>
      <sz val="13"/>
      <color theme="1"/>
      <name val="Times New Roman"/>
      <family val="2"/>
    </font>
    <font>
      <b/>
      <sz val="9.5"/>
      <color theme="1"/>
      <name val="Arial"/>
      <family val="2"/>
    </font>
    <font>
      <sz val="9.5"/>
      <color theme="1"/>
      <name val="Arial"/>
      <family val="2"/>
    </font>
    <font>
      <b/>
      <sz val="9"/>
      <color theme="1"/>
      <name val="Arial"/>
      <family val="2"/>
    </font>
    <font>
      <sz val="9"/>
      <color theme="1"/>
      <name val="Arial"/>
      <family val="2"/>
    </font>
    <font>
      <b/>
      <sz val="10"/>
      <color indexed="9"/>
      <name val="Arial"/>
      <family val="2"/>
    </font>
    <font>
      <b/>
      <sz val="9"/>
      <name val="Arial"/>
      <family val="2"/>
    </font>
    <font>
      <sz val="9"/>
      <name val="Arial"/>
      <family val="2"/>
    </font>
    <font>
      <b/>
      <sz val="11"/>
      <color rgb="FFFF0000"/>
      <name val="Calibri"/>
      <family val="2"/>
      <scheme val="minor"/>
    </font>
    <font>
      <b/>
      <sz val="10"/>
      <color rgb="FFFF0000"/>
      <name val="Arial"/>
      <family val="2"/>
    </font>
    <font>
      <sz val="9"/>
      <color rgb="FF000000"/>
      <name val="Arial"/>
      <family val="2"/>
    </font>
    <font>
      <sz val="11"/>
      <color theme="1"/>
      <name val="Arial"/>
      <family val="2"/>
    </font>
    <font>
      <sz val="9"/>
      <color indexed="81"/>
      <name val="Tahoma"/>
      <family val="2"/>
    </font>
    <font>
      <b/>
      <sz val="9"/>
      <color indexed="81"/>
      <name val="Tahoma"/>
      <family val="2"/>
    </font>
    <font>
      <b/>
      <sz val="11"/>
      <name val="Arial"/>
      <family val="2"/>
    </font>
    <font>
      <sz val="11"/>
      <color rgb="FFFF0000"/>
      <name val="Times New Roman"/>
      <family val="1"/>
    </font>
    <font>
      <b/>
      <sz val="14"/>
      <color theme="1"/>
      <name val="Calibri"/>
      <family val="2"/>
      <scheme val="minor"/>
    </font>
    <font>
      <sz val="10"/>
      <color rgb="FFFF0000"/>
      <name val="Arial"/>
      <family val="2"/>
    </font>
    <font>
      <b/>
      <sz val="11"/>
      <name val="Arial"/>
      <family val="2"/>
    </font>
    <font>
      <b/>
      <sz val="14"/>
      <color theme="0"/>
      <name val="Calibri"/>
      <family val="2"/>
      <scheme val="minor"/>
    </font>
    <font>
      <b/>
      <sz val="11"/>
      <color theme="1"/>
      <name val="Calibri"/>
      <family val="2"/>
    </font>
    <font>
      <sz val="10"/>
      <color theme="1"/>
      <name val="Arial"/>
      <family val="2"/>
    </font>
    <font>
      <sz val="11"/>
      <name val="Calibri"/>
      <family val="2"/>
      <scheme val="minor"/>
    </font>
    <font>
      <sz val="10"/>
      <color theme="1"/>
      <name val="Calibri"/>
      <family val="2"/>
      <scheme val="minor"/>
    </font>
    <font>
      <sz val="9"/>
      <color rgb="FFC00000"/>
      <name val="Arial"/>
      <family val="2"/>
    </font>
    <font>
      <sz val="12"/>
      <color rgb="FFFF0000"/>
      <name val="Times New Roman"/>
      <family val="1"/>
    </font>
    <font>
      <b/>
      <sz val="12"/>
      <color rgb="FFFF0000"/>
      <name val="Calibri"/>
      <family val="2"/>
      <scheme val="minor"/>
    </font>
    <font>
      <b/>
      <sz val="11"/>
      <color theme="0"/>
      <name val="Times New Roman"/>
      <family val="1"/>
    </font>
    <font>
      <sz val="11"/>
      <name val="Times New Roman"/>
      <family val="1"/>
    </font>
    <font>
      <i/>
      <sz val="11"/>
      <color theme="1"/>
      <name val="Times New Roman"/>
      <family val="1"/>
    </font>
    <font>
      <i/>
      <sz val="12"/>
      <color theme="1"/>
      <name val="Times New Roman"/>
      <family val="1"/>
    </font>
    <font>
      <b/>
      <sz val="12"/>
      <color theme="5"/>
      <name val="Times New Roman"/>
      <family val="1"/>
    </font>
    <font>
      <b/>
      <sz val="12"/>
      <name val="Times New Roman"/>
      <family val="1"/>
    </font>
    <font>
      <sz val="18"/>
      <color theme="3"/>
      <name val="Calibri Light"/>
      <family val="2"/>
      <charset val="163"/>
      <scheme val="major"/>
    </font>
    <font>
      <b/>
      <sz val="15"/>
      <color theme="3"/>
      <name val="Calibri"/>
      <family val="2"/>
      <charset val="163"/>
      <scheme val="minor"/>
    </font>
    <font>
      <b/>
      <sz val="13"/>
      <color theme="3"/>
      <name val="Calibri"/>
      <family val="2"/>
      <charset val="163"/>
      <scheme val="minor"/>
    </font>
    <font>
      <b/>
      <sz val="11"/>
      <color theme="3"/>
      <name val="Calibri"/>
      <family val="2"/>
      <charset val="163"/>
      <scheme val="minor"/>
    </font>
    <font>
      <sz val="11"/>
      <color rgb="FF006100"/>
      <name val="Calibri"/>
      <family val="2"/>
      <charset val="163"/>
      <scheme val="minor"/>
    </font>
    <font>
      <sz val="11"/>
      <color rgb="FF9C0006"/>
      <name val="Calibri"/>
      <family val="2"/>
      <charset val="163"/>
      <scheme val="minor"/>
    </font>
    <font>
      <sz val="11"/>
      <color rgb="FF9C6500"/>
      <name val="Calibri"/>
      <family val="2"/>
      <charset val="163"/>
      <scheme val="minor"/>
    </font>
    <font>
      <sz val="11"/>
      <color rgb="FF3F3F76"/>
      <name val="Calibri"/>
      <family val="2"/>
      <charset val="163"/>
      <scheme val="minor"/>
    </font>
    <font>
      <b/>
      <sz val="11"/>
      <color rgb="FF3F3F3F"/>
      <name val="Calibri"/>
      <family val="2"/>
      <charset val="163"/>
      <scheme val="minor"/>
    </font>
    <font>
      <b/>
      <sz val="11"/>
      <color rgb="FFFA7D00"/>
      <name val="Calibri"/>
      <family val="2"/>
      <charset val="163"/>
      <scheme val="minor"/>
    </font>
    <font>
      <sz val="11"/>
      <color rgb="FFFA7D00"/>
      <name val="Calibri"/>
      <family val="2"/>
      <charset val="163"/>
      <scheme val="minor"/>
    </font>
    <font>
      <b/>
      <sz val="11"/>
      <color theme="0"/>
      <name val="Calibri"/>
      <family val="2"/>
      <charset val="163"/>
      <scheme val="minor"/>
    </font>
    <font>
      <sz val="11"/>
      <color rgb="FFFF0000"/>
      <name val="Calibri"/>
      <family val="2"/>
      <charset val="163"/>
      <scheme val="minor"/>
    </font>
    <font>
      <i/>
      <sz val="11"/>
      <color rgb="FF7F7F7F"/>
      <name val="Calibri"/>
      <family val="2"/>
      <charset val="163"/>
      <scheme val="minor"/>
    </font>
    <font>
      <b/>
      <sz val="11"/>
      <color theme="1"/>
      <name val="Calibri"/>
      <family val="2"/>
      <charset val="163"/>
      <scheme val="minor"/>
    </font>
    <font>
      <sz val="11"/>
      <color theme="0"/>
      <name val="Calibri"/>
      <family val="2"/>
      <charset val="163"/>
      <scheme val="minor"/>
    </font>
    <font>
      <b/>
      <sz val="11"/>
      <color theme="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1"/>
      <color rgb="FFFF0000"/>
      <name val="Calibri"/>
      <family val="2"/>
      <scheme val="minor"/>
    </font>
    <font>
      <b/>
      <sz val="11"/>
      <color rgb="FF000000"/>
      <name val="Calibri Light"/>
      <family val="2"/>
    </font>
    <font>
      <sz val="11"/>
      <color rgb="FF000000"/>
      <name val="Calibri Light"/>
      <family val="2"/>
    </font>
    <font>
      <sz val="11"/>
      <color rgb="FF00B050"/>
      <name val="Calibri"/>
      <family val="2"/>
      <scheme val="minor"/>
    </font>
    <font>
      <i/>
      <sz val="10"/>
      <color rgb="FFFF0000"/>
      <name val="Arial"/>
      <family val="2"/>
    </font>
    <font>
      <b/>
      <sz val="11"/>
      <name val="Calibri"/>
      <family val="2"/>
      <scheme val="minor"/>
    </font>
    <font>
      <sz val="11"/>
      <color theme="1"/>
      <name val="Times New Roman"/>
      <family val="2"/>
    </font>
    <font>
      <sz val="11"/>
      <color theme="4" tint="-0.249977111117893"/>
      <name val="Calibri"/>
      <family val="2"/>
      <scheme val="minor"/>
    </font>
    <font>
      <sz val="8"/>
      <name val="Calibri"/>
      <family val="2"/>
      <scheme val="minor"/>
    </font>
    <font>
      <b/>
      <i/>
      <sz val="10"/>
      <color theme="1"/>
      <name val="Arial"/>
      <family val="2"/>
    </font>
    <font>
      <sz val="10"/>
      <color theme="1"/>
      <name val="Arial"/>
      <family val="2"/>
    </font>
    <font>
      <sz val="10"/>
      <color theme="1"/>
      <name val="Arial"/>
      <family val="2"/>
    </font>
    <font>
      <sz val="11"/>
      <color rgb="FFFF0000"/>
      <name val="Calibri Light"/>
      <family val="2"/>
    </font>
    <font>
      <sz val="10"/>
      <color rgb="FFFF0000"/>
      <name val="Times New Roman"/>
      <family val="1"/>
    </font>
    <font>
      <u/>
      <sz val="11"/>
      <color rgb="FFFF0000"/>
      <name val="Calibri"/>
      <family val="2"/>
      <scheme val="minor"/>
    </font>
    <font>
      <u/>
      <sz val="11"/>
      <name val="Calibri"/>
      <family val="2"/>
      <scheme val="minor"/>
    </font>
    <font>
      <i/>
      <sz val="11"/>
      <color theme="1"/>
      <name val="Calibri"/>
      <family val="2"/>
      <scheme val="minor"/>
    </font>
    <font>
      <sz val="11"/>
      <color rgb="FFEE0000"/>
      <name val="Calibri"/>
      <family val="2"/>
      <scheme val="minor"/>
    </font>
    <font>
      <b/>
      <u/>
      <sz val="11"/>
      <color theme="10"/>
      <name val="Calibri"/>
      <family val="2"/>
      <scheme val="minor"/>
    </font>
    <font>
      <sz val="11"/>
      <color rgb="FFC00000"/>
      <name val="Calibri"/>
      <family val="2"/>
      <scheme val="minor"/>
    </font>
    <font>
      <sz val="10"/>
      <color theme="10"/>
      <name val="Arial"/>
      <family val="2"/>
    </font>
    <font>
      <sz val="10"/>
      <color indexed="81"/>
      <name val="Tahoma"/>
      <family val="2"/>
    </font>
    <font>
      <b/>
      <sz val="10"/>
      <color indexed="81"/>
      <name val="Tahoma"/>
      <family val="2"/>
    </font>
    <font>
      <b/>
      <sz val="9"/>
      <color rgb="FF454545"/>
      <name val="Arial"/>
      <family val="2"/>
    </font>
    <font>
      <sz val="10"/>
      <color theme="0"/>
      <name val="Arial"/>
      <family val="2"/>
    </font>
    <font>
      <b/>
      <sz val="7"/>
      <color rgb="FF454545"/>
      <name val="Arial"/>
      <family val="2"/>
    </font>
    <font>
      <b/>
      <sz val="11"/>
      <color rgb="FFFF0000"/>
      <name val="Calibri Light"/>
      <family val="2"/>
    </font>
    <font>
      <b/>
      <sz val="16"/>
      <color theme="1"/>
      <name val="Times New Roman"/>
      <family val="1"/>
    </font>
    <font>
      <sz val="11"/>
      <color rgb="FF00B050"/>
      <name val="Times New Roman"/>
      <family val="1"/>
    </font>
    <font>
      <b/>
      <sz val="11"/>
      <color theme="0"/>
      <name val="Arial"/>
      <family val="2"/>
    </font>
    <font>
      <b/>
      <sz val="11"/>
      <color rgb="FFFFFF00"/>
      <name val="Calibri"/>
      <family val="2"/>
      <scheme val="minor"/>
    </font>
    <font>
      <sz val="11"/>
      <color rgb="FFFFFF00"/>
      <name val="Calibri"/>
      <family val="2"/>
      <scheme val="minor"/>
    </font>
  </fonts>
  <fills count="73">
    <fill>
      <patternFill patternType="none"/>
    </fill>
    <fill>
      <patternFill patternType="gray125"/>
    </fill>
    <fill>
      <patternFill patternType="solid">
        <fgColor rgb="FFFFFF0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indexed="58"/>
        <bgColor indexed="64"/>
      </patternFill>
    </fill>
    <fill>
      <patternFill patternType="solid">
        <fgColor indexed="62"/>
        <bgColor indexed="64"/>
      </patternFill>
    </fill>
    <fill>
      <patternFill patternType="solid">
        <fgColor theme="7" tint="0.59999389629810485"/>
        <bgColor indexed="64"/>
      </patternFill>
    </fill>
    <fill>
      <patternFill patternType="solid">
        <fgColor rgb="FFFFFFFF"/>
        <bgColor indexed="64"/>
      </patternFill>
    </fill>
    <fill>
      <patternFill patternType="solid">
        <fgColor rgb="FFDCE6F1"/>
        <bgColor indexed="64"/>
      </patternFill>
    </fill>
    <fill>
      <patternFill patternType="solid">
        <fgColor indexed="9"/>
        <bgColor indexed="64"/>
      </patternFill>
    </fill>
    <fill>
      <patternFill patternType="solid">
        <fgColor theme="4" tint="0.59999389629810485"/>
        <bgColor indexed="64"/>
      </patternFill>
    </fill>
    <fill>
      <patternFill patternType="solid">
        <fgColor theme="9"/>
        <bgColor theme="9"/>
      </patternFill>
    </fill>
    <fill>
      <patternFill patternType="solid">
        <fgColor rgb="FFFF0000"/>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5"/>
        <bgColor indexed="64"/>
      </patternFill>
    </fill>
    <fill>
      <patternFill patternType="solid">
        <fgColor theme="9"/>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8CBAD"/>
        <bgColor indexed="64"/>
      </patternFill>
    </fill>
    <fill>
      <patternFill patternType="solid">
        <fgColor rgb="FF9BC2E6"/>
        <bgColor indexed="64"/>
      </patternFill>
    </fill>
    <fill>
      <patternFill patternType="solid">
        <fgColor theme="9" tint="0.59999389629810485"/>
        <bgColor indexed="64"/>
      </patternFill>
    </fill>
    <fill>
      <patternFill patternType="solid">
        <fgColor rgb="FFFFC9C9"/>
        <bgColor indexed="64"/>
      </patternFill>
    </fill>
    <fill>
      <patternFill patternType="solid">
        <fgColor rgb="FFFFEBEB"/>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FCCCC"/>
        <bgColor indexed="64"/>
      </patternFill>
    </fill>
    <fill>
      <patternFill patternType="solid">
        <fgColor rgb="FF83423D"/>
        <bgColor indexed="64"/>
      </patternFill>
    </fill>
    <fill>
      <patternFill patternType="solid">
        <fgColor rgb="FFC00000"/>
        <bgColor indexed="64"/>
      </patternFill>
    </fill>
    <fill>
      <patternFill patternType="solid">
        <fgColor theme="7"/>
        <bgColor indexed="64"/>
      </patternFill>
    </fill>
    <fill>
      <patternFill patternType="solid">
        <fgColor theme="2"/>
        <bgColor indexed="64"/>
      </patternFill>
    </fill>
    <fill>
      <patternFill patternType="solid">
        <fgColor theme="9" tint="0.79998168889431442"/>
        <bgColor theme="9" tint="0.79998168889431442"/>
      </patternFill>
    </fill>
    <fill>
      <patternFill patternType="solid">
        <fgColor theme="3" tint="0.749992370372631"/>
        <bgColor indexed="64"/>
      </patternFill>
    </fill>
    <fill>
      <patternFill patternType="solid">
        <fgColor theme="6"/>
        <bgColor indexed="64"/>
      </patternFill>
    </fill>
    <fill>
      <patternFill patternType="solid">
        <fgColor theme="3" tint="0.249977111117893"/>
        <bgColor theme="9"/>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7" tint="0.79998168889431442"/>
        <bgColor indexed="64"/>
      </patternFill>
    </fill>
  </fills>
  <borders count="45">
    <border>
      <left/>
      <right/>
      <top/>
      <bottom/>
      <diagonal/>
    </border>
    <border>
      <left style="thin">
        <color auto="1"/>
      </left>
      <right style="thin">
        <color auto="1"/>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58"/>
      </left>
      <right style="thin">
        <color indexed="58"/>
      </right>
      <top style="thin">
        <color indexed="58"/>
      </top>
      <bottom style="thin">
        <color indexed="58"/>
      </bottom>
      <diagonal/>
    </border>
    <border>
      <left style="thin">
        <color indexed="64"/>
      </left>
      <right style="thin">
        <color indexed="64"/>
      </right>
      <top style="thin">
        <color indexed="64"/>
      </top>
      <bottom style="thin">
        <color indexed="64"/>
      </bottom>
      <diagonal/>
    </border>
    <border>
      <left style="thin">
        <color rgb="FF4F81BD"/>
      </left>
      <right style="thin">
        <color rgb="FF4F81BD"/>
      </right>
      <top style="thin">
        <color rgb="FF4F81BD"/>
      </top>
      <bottom style="thin">
        <color rgb="FF4F81BD"/>
      </bottom>
      <diagonal/>
    </border>
    <border>
      <left style="thin">
        <color auto="1"/>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diagonal/>
    </border>
    <border>
      <left/>
      <right/>
      <top/>
      <bottom style="thin">
        <color theme="0" tint="-0.34998626667073579"/>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style="thin">
        <color rgb="FF000000"/>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indexed="64"/>
      </right>
      <top style="thin">
        <color indexed="64"/>
      </top>
      <bottom style="thin">
        <color indexed="64"/>
      </bottom>
      <diagonal/>
    </border>
    <border>
      <left style="thin">
        <color indexed="64"/>
      </left>
      <right/>
      <top/>
      <bottom style="thin">
        <color theme="0" tint="-0.34998626667073579"/>
      </bottom>
      <diagonal/>
    </border>
    <border>
      <left/>
      <right/>
      <top style="thin">
        <color theme="9" tint="0.39997558519241921"/>
      </top>
      <bottom/>
      <diagonal/>
    </border>
    <border>
      <left/>
      <right style="thin">
        <color theme="9" tint="0.39997558519241921"/>
      </right>
      <top style="thin">
        <color theme="9" tint="0.39997558519241921"/>
      </top>
      <bottom/>
      <diagonal/>
    </border>
    <border>
      <left/>
      <right style="thin">
        <color theme="9" tint="0.39997558519241921"/>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style="thin">
        <color auto="1"/>
      </left>
      <right/>
      <top/>
      <bottom style="thin">
        <color auto="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s>
  <cellStyleXfs count="112">
    <xf numFmtId="0" fontId="0" fillId="0" borderId="0"/>
    <xf numFmtId="43" fontId="2" fillId="0" borderId="0" applyFont="0" applyFill="0" applyBorder="0" applyAlignment="0" applyProtection="0"/>
    <xf numFmtId="0" fontId="9" fillId="0" borderId="0" applyNumberFormat="0" applyFill="0" applyBorder="0" applyAlignment="0" applyProtection="0"/>
    <xf numFmtId="0" fontId="16" fillId="0" borderId="0"/>
    <xf numFmtId="167" fontId="20" fillId="0" borderId="0"/>
    <xf numFmtId="167" fontId="2" fillId="0" borderId="0"/>
    <xf numFmtId="167" fontId="25" fillId="8" borderId="4" applyNumberFormat="0" applyFont="0" applyFill="0" applyBorder="0" applyAlignment="0" applyProtection="0">
      <alignment vertical="center"/>
    </xf>
    <xf numFmtId="0" fontId="25" fillId="8"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0" fontId="16" fillId="9" borderId="4" applyNumberFormat="0" applyFont="0" applyFill="0" applyBorder="0" applyAlignment="0" applyProtection="0">
      <alignment vertical="center"/>
    </xf>
    <xf numFmtId="168" fontId="16" fillId="9" borderId="4" applyNumberFormat="0" applyFont="0" applyFill="0" applyBorder="0" applyAlignment="0" applyProtection="0">
      <alignment vertical="center"/>
    </xf>
    <xf numFmtId="9" fontId="2" fillId="0" borderId="0" applyFont="0" applyFill="0" applyBorder="0" applyAlignment="0" applyProtection="0"/>
    <xf numFmtId="0" fontId="16" fillId="12" borderId="6">
      <alignment vertical="center"/>
    </xf>
    <xf numFmtId="0" fontId="16" fillId="12" borderId="6">
      <alignment vertical="center"/>
    </xf>
    <xf numFmtId="0" fontId="16" fillId="12" borderId="6">
      <alignment vertical="center"/>
    </xf>
    <xf numFmtId="0" fontId="16" fillId="11" borderId="6">
      <alignment vertical="center"/>
    </xf>
    <xf numFmtId="0" fontId="16" fillId="11" borderId="6">
      <alignment vertical="center"/>
    </xf>
    <xf numFmtId="0" fontId="16" fillId="11" borderId="6">
      <alignment vertical="center"/>
    </xf>
    <xf numFmtId="0" fontId="16" fillId="11" borderId="6">
      <alignment vertical="center"/>
    </xf>
    <xf numFmtId="167" fontId="16" fillId="12" borderId="6">
      <alignment vertical="center"/>
    </xf>
    <xf numFmtId="167" fontId="16" fillId="9" borderId="4" applyNumberFormat="0" applyFont="0" applyFill="0" applyBorder="0" applyAlignment="0" applyProtection="0">
      <alignment vertical="center"/>
    </xf>
    <xf numFmtId="167" fontId="16" fillId="11" borderId="6">
      <alignment vertical="center"/>
    </xf>
    <xf numFmtId="167" fontId="16" fillId="9" borderId="4" applyNumberFormat="0" applyFont="0" applyFill="0" applyBorder="0" applyAlignment="0" applyProtection="0">
      <alignment vertical="center"/>
    </xf>
    <xf numFmtId="167" fontId="16" fillId="13" borderId="4" applyNumberFormat="0" applyFont="0" applyFill="0" applyBorder="0" applyAlignment="0" applyProtection="0">
      <alignment vertical="center"/>
    </xf>
    <xf numFmtId="0" fontId="53" fillId="0" borderId="0" applyNumberFormat="0" applyFill="0" applyBorder="0" applyAlignment="0" applyProtection="0"/>
    <xf numFmtId="0" fontId="54" fillId="0" borderId="14" applyNumberFormat="0" applyFill="0" applyAlignment="0" applyProtection="0"/>
    <xf numFmtId="0" fontId="55" fillId="0" borderId="15" applyNumberFormat="0" applyFill="0" applyAlignment="0" applyProtection="0"/>
    <xf numFmtId="0" fontId="56" fillId="0" borderId="16" applyNumberFormat="0" applyFill="0" applyAlignment="0" applyProtection="0"/>
    <xf numFmtId="0" fontId="56" fillId="0" borderId="0" applyNumberFormat="0" applyFill="0" applyBorder="0" applyAlignment="0" applyProtection="0"/>
    <xf numFmtId="0" fontId="57" fillId="22" borderId="0" applyNumberFormat="0" applyBorder="0" applyAlignment="0" applyProtection="0"/>
    <xf numFmtId="0" fontId="58" fillId="23" borderId="0" applyNumberFormat="0" applyBorder="0" applyAlignment="0" applyProtection="0"/>
    <xf numFmtId="0" fontId="59" fillId="24" borderId="0" applyNumberFormat="0" applyBorder="0" applyAlignment="0" applyProtection="0"/>
    <xf numFmtId="0" fontId="60" fillId="25" borderId="17" applyNumberFormat="0" applyAlignment="0" applyProtection="0"/>
    <xf numFmtId="0" fontId="61" fillId="26" borderId="18" applyNumberFormat="0" applyAlignment="0" applyProtection="0"/>
    <xf numFmtId="0" fontId="62" fillId="26" borderId="17" applyNumberFormat="0" applyAlignment="0" applyProtection="0"/>
    <xf numFmtId="0" fontId="63" fillId="0" borderId="19" applyNumberFormat="0" applyFill="0" applyAlignment="0" applyProtection="0"/>
    <xf numFmtId="0" fontId="64" fillId="27" borderId="20" applyNumberFormat="0" applyAlignment="0" applyProtection="0"/>
    <xf numFmtId="0" fontId="65" fillId="0" borderId="0" applyNumberFormat="0" applyFill="0" applyBorder="0" applyAlignment="0" applyProtection="0"/>
    <xf numFmtId="0" fontId="66" fillId="0" borderId="0" applyNumberFormat="0" applyFill="0" applyBorder="0" applyAlignment="0" applyProtection="0"/>
    <xf numFmtId="0" fontId="67" fillId="0" borderId="22" applyNumberFormat="0" applyFill="0" applyAlignment="0" applyProtection="0"/>
    <xf numFmtId="0" fontId="6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68" fillId="32" borderId="0" applyNumberFormat="0" applyBorder="0" applyAlignment="0" applyProtection="0"/>
    <xf numFmtId="0" fontId="68"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68" fillId="36" borderId="0" applyNumberFormat="0" applyBorder="0" applyAlignment="0" applyProtection="0"/>
    <xf numFmtId="0" fontId="68"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68" fillId="40" borderId="0" applyNumberFormat="0" applyBorder="0" applyAlignment="0" applyProtection="0"/>
    <xf numFmtId="0" fontId="68"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68" fillId="44" borderId="0" applyNumberFormat="0" applyBorder="0" applyAlignment="0" applyProtection="0"/>
    <xf numFmtId="0" fontId="68"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68" fillId="48" borderId="0" applyNumberFormat="0" applyBorder="0" applyAlignment="0" applyProtection="0"/>
    <xf numFmtId="0" fontId="68"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68" fillId="52" borderId="0" applyNumberFormat="0" applyBorder="0" applyAlignment="0" applyProtection="0"/>
    <xf numFmtId="0" fontId="1" fillId="0" borderId="0"/>
    <xf numFmtId="0" fontId="1" fillId="28" borderId="21" applyNumberFormat="0" applyFont="0" applyAlignment="0" applyProtection="0"/>
    <xf numFmtId="0" fontId="2" fillId="28" borderId="21" applyNumberFormat="0" applyFont="0" applyAlignment="0" applyProtection="0"/>
    <xf numFmtId="0" fontId="70" fillId="0" borderId="0" applyNumberFormat="0" applyFill="0" applyBorder="0" applyAlignment="0" applyProtection="0"/>
    <xf numFmtId="0" fontId="71" fillId="0" borderId="14" applyNumberFormat="0" applyFill="0" applyAlignment="0" applyProtection="0"/>
    <xf numFmtId="0" fontId="72" fillId="0" borderId="15" applyNumberFormat="0" applyFill="0" applyAlignment="0" applyProtection="0"/>
    <xf numFmtId="0" fontId="73" fillId="0" borderId="16" applyNumberFormat="0" applyFill="0" applyAlignment="0" applyProtection="0"/>
    <xf numFmtId="0" fontId="73" fillId="0" borderId="0" applyNumberFormat="0" applyFill="0" applyBorder="0" applyAlignment="0" applyProtection="0"/>
    <xf numFmtId="0" fontId="74" fillId="22" borderId="0" applyNumberFormat="0" applyBorder="0" applyAlignment="0" applyProtection="0"/>
    <xf numFmtId="0" fontId="75" fillId="23" borderId="0" applyNumberFormat="0" applyBorder="0" applyAlignment="0" applyProtection="0"/>
    <xf numFmtId="0" fontId="76" fillId="24" borderId="0" applyNumberFormat="0" applyBorder="0" applyAlignment="0" applyProtection="0"/>
    <xf numFmtId="0" fontId="77" fillId="25" borderId="17" applyNumberFormat="0" applyAlignment="0" applyProtection="0"/>
    <xf numFmtId="0" fontId="78" fillId="26" borderId="18" applyNumberFormat="0" applyAlignment="0" applyProtection="0"/>
    <xf numFmtId="0" fontId="79" fillId="26" borderId="17" applyNumberFormat="0" applyAlignment="0" applyProtection="0"/>
    <xf numFmtId="0" fontId="80" fillId="0" borderId="19" applyNumberFormat="0" applyFill="0" applyAlignment="0" applyProtection="0"/>
    <xf numFmtId="0" fontId="69" fillId="27" borderId="20" applyNumberFormat="0" applyAlignment="0" applyProtection="0"/>
    <xf numFmtId="0" fontId="14" fillId="0" borderId="0" applyNumberFormat="0" applyFill="0" applyBorder="0" applyAlignment="0" applyProtection="0"/>
    <xf numFmtId="0" fontId="81" fillId="0" borderId="0" applyNumberFormat="0" applyFill="0" applyBorder="0" applyAlignment="0" applyProtection="0"/>
    <xf numFmtId="0" fontId="10" fillId="0" borderId="22" applyNumberFormat="0" applyFill="0" applyAlignment="0" applyProtection="0"/>
    <xf numFmtId="0" fontId="8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82" fillId="32" borderId="0" applyNumberFormat="0" applyBorder="0" applyAlignment="0" applyProtection="0"/>
    <xf numFmtId="0" fontId="8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82" fillId="36" borderId="0" applyNumberFormat="0" applyBorder="0" applyAlignment="0" applyProtection="0"/>
    <xf numFmtId="0" fontId="8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82" fillId="40" borderId="0" applyNumberFormat="0" applyBorder="0" applyAlignment="0" applyProtection="0"/>
    <xf numFmtId="0" fontId="8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82" fillId="44" borderId="0" applyNumberFormat="0" applyBorder="0" applyAlignment="0" applyProtection="0"/>
    <xf numFmtId="0" fontId="82"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82" fillId="48" borderId="0" applyNumberFormat="0" applyBorder="0" applyAlignment="0" applyProtection="0"/>
    <xf numFmtId="0" fontId="82" fillId="49"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82" fillId="52" borderId="0" applyNumberFormat="0" applyBorder="0" applyAlignment="0" applyProtection="0"/>
    <xf numFmtId="43" fontId="89" fillId="0" borderId="0" applyFont="0" applyFill="0" applyBorder="0" applyAlignment="0" applyProtection="0"/>
    <xf numFmtId="0" fontId="16" fillId="0" borderId="0">
      <alignment vertical="center"/>
    </xf>
    <xf numFmtId="0" fontId="16" fillId="0" borderId="0"/>
    <xf numFmtId="0" fontId="16" fillId="0" borderId="0"/>
    <xf numFmtId="41" fontId="2" fillId="0" borderId="0" applyFont="0" applyFill="0" applyBorder="0" applyAlignment="0" applyProtection="0"/>
  </cellStyleXfs>
  <cellXfs count="854">
    <xf numFmtId="0" fontId="0" fillId="0" borderId="0" xfId="0"/>
    <xf numFmtId="0" fontId="4" fillId="0" borderId="0" xfId="0" applyFont="1"/>
    <xf numFmtId="0" fontId="6" fillId="2" borderId="0" xfId="0" applyFont="1" applyFill="1"/>
    <xf numFmtId="0" fontId="7" fillId="3"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vertical="center"/>
    </xf>
    <xf numFmtId="0" fontId="4" fillId="0" borderId="1" xfId="0" applyFont="1" applyBorder="1"/>
    <xf numFmtId="14" fontId="8" fillId="0" borderId="0" xfId="0" applyNumberFormat="1" applyFont="1"/>
    <xf numFmtId="0" fontId="10" fillId="2" borderId="0" xfId="0" applyFont="1" applyFill="1"/>
    <xf numFmtId="0" fontId="0" fillId="0" borderId="0" xfId="0" applyAlignment="1">
      <alignment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wrapText="1"/>
    </xf>
    <xf numFmtId="0" fontId="7" fillId="3" borderId="1" xfId="0" applyFont="1" applyFill="1" applyBorder="1" applyAlignment="1">
      <alignment horizontal="center" vertical="center" wrapText="1"/>
    </xf>
    <xf numFmtId="0" fontId="7" fillId="0" borderId="0" xfId="0" applyFont="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vertical="center" wrapText="1"/>
    </xf>
    <xf numFmtId="0" fontId="4" fillId="0" borderId="1" xfId="0" quotePrefix="1" applyFont="1" applyBorder="1" applyAlignment="1">
      <alignment vertical="center" wrapText="1"/>
    </xf>
    <xf numFmtId="0" fontId="4" fillId="0" borderId="0" xfId="0" applyFont="1" applyAlignment="1">
      <alignment vertical="center" wrapText="1"/>
    </xf>
    <xf numFmtId="0" fontId="7" fillId="4" borderId="1" xfId="0" applyFont="1" applyFill="1" applyBorder="1" applyAlignment="1">
      <alignment horizontal="center" vertical="center" wrapText="1"/>
    </xf>
    <xf numFmtId="0" fontId="4" fillId="0" borderId="1" xfId="0" applyFont="1" applyBorder="1" applyAlignment="1">
      <alignment horizontal="left" vertical="center" wrapText="1"/>
    </xf>
    <xf numFmtId="0" fontId="4" fillId="0" borderId="2" xfId="0" applyFont="1" applyBorder="1" applyAlignment="1">
      <alignment vertical="center" wrapText="1"/>
    </xf>
    <xf numFmtId="0" fontId="4" fillId="0" borderId="3" xfId="0" applyFont="1" applyBorder="1" applyAlignment="1">
      <alignment vertical="center" wrapText="1"/>
    </xf>
    <xf numFmtId="0" fontId="8" fillId="0" borderId="1" xfId="0" quotePrefix="1" applyFont="1" applyBorder="1" applyAlignment="1">
      <alignment vertical="center" wrapText="1"/>
    </xf>
    <xf numFmtId="0" fontId="8" fillId="0" borderId="1" xfId="0" applyFont="1" applyBorder="1" applyAlignment="1">
      <alignment vertical="center" wrapText="1"/>
    </xf>
    <xf numFmtId="0" fontId="11" fillId="0" borderId="1" xfId="0" applyFont="1" applyBorder="1" applyAlignment="1">
      <alignment vertical="center" wrapText="1"/>
    </xf>
    <xf numFmtId="0" fontId="4" fillId="0" borderId="0" xfId="0" applyFont="1" applyAlignment="1">
      <alignment horizontal="left" vertical="center" wrapText="1"/>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9" fillId="0" borderId="0" xfId="2"/>
    <xf numFmtId="0" fontId="7" fillId="0" borderId="1" xfId="0" applyFont="1" applyBorder="1" applyAlignment="1">
      <alignment horizontal="center"/>
    </xf>
    <xf numFmtId="0" fontId="4" fillId="0" borderId="0" xfId="0" applyFont="1" applyAlignment="1">
      <alignment horizontal="center"/>
    </xf>
    <xf numFmtId="0" fontId="14" fillId="0" borderId="0" xfId="0" applyFont="1"/>
    <xf numFmtId="0" fontId="13" fillId="0" borderId="1" xfId="0" applyFont="1" applyBorder="1" applyAlignment="1">
      <alignment vertical="center" wrapText="1"/>
    </xf>
    <xf numFmtId="166" fontId="0" fillId="0" borderId="0" xfId="1" applyNumberFormat="1" applyFont="1"/>
    <xf numFmtId="14" fontId="0" fillId="0" borderId="0" xfId="0" applyNumberFormat="1"/>
    <xf numFmtId="0" fontId="10" fillId="6" borderId="0" xfId="0" applyFont="1" applyFill="1"/>
    <xf numFmtId="165" fontId="0" fillId="0" borderId="0" xfId="1" applyNumberFormat="1" applyFont="1"/>
    <xf numFmtId="165" fontId="0" fillId="0" borderId="0" xfId="0" applyNumberFormat="1"/>
    <xf numFmtId="0" fontId="0" fillId="0" borderId="0" xfId="1" applyNumberFormat="1" applyFont="1"/>
    <xf numFmtId="0" fontId="0" fillId="2" borderId="0" xfId="0" applyFill="1"/>
    <xf numFmtId="0" fontId="22" fillId="7" borderId="1" xfId="0" applyFont="1" applyFill="1" applyBorder="1" applyAlignment="1">
      <alignment horizontal="center"/>
    </xf>
    <xf numFmtId="0" fontId="10" fillId="0" borderId="0" xfId="0" applyFont="1" applyAlignment="1">
      <alignment horizontal="center"/>
    </xf>
    <xf numFmtId="0" fontId="23" fillId="0" borderId="5" xfId="0" applyFont="1" applyBorder="1" applyAlignment="1">
      <alignment horizontal="center" vertical="center"/>
    </xf>
    <xf numFmtId="0" fontId="24" fillId="0" borderId="5" xfId="0" applyFont="1" applyBorder="1" applyAlignment="1">
      <alignment horizontal="center" vertical="center"/>
    </xf>
    <xf numFmtId="167" fontId="26" fillId="6" borderId="5" xfId="6" applyFont="1" applyFill="1" applyBorder="1" applyAlignment="1">
      <alignment horizontal="center" vertical="center"/>
    </xf>
    <xf numFmtId="0" fontId="24" fillId="0" borderId="0" xfId="0" applyFont="1" applyAlignment="1">
      <alignment horizontal="center" vertical="center"/>
    </xf>
    <xf numFmtId="0" fontId="27" fillId="0" borderId="5" xfId="0" applyFont="1" applyBorder="1" applyAlignment="1">
      <alignment horizontal="center" vertical="center"/>
    </xf>
    <xf numFmtId="0" fontId="27" fillId="7" borderId="0" xfId="9" applyFont="1" applyFill="1" applyBorder="1" applyAlignment="1">
      <alignment horizontal="center" vertical="center"/>
    </xf>
    <xf numFmtId="43" fontId="0" fillId="0" borderId="0" xfId="1" applyFont="1"/>
    <xf numFmtId="0" fontId="10" fillId="0" borderId="0" xfId="0" applyFont="1"/>
    <xf numFmtId="167" fontId="26" fillId="6" borderId="1" xfId="6" applyFont="1" applyFill="1" applyBorder="1" applyAlignment="1">
      <alignment horizontal="center" vertical="center"/>
    </xf>
    <xf numFmtId="0" fontId="27" fillId="0" borderId="1" xfId="0" applyFont="1" applyBorder="1" applyAlignment="1">
      <alignment horizontal="center" vertical="center"/>
    </xf>
    <xf numFmtId="0" fontId="7" fillId="0" borderId="1" xfId="0" applyFont="1" applyBorder="1" applyAlignment="1">
      <alignment horizontal="left" vertical="center" wrapText="1"/>
    </xf>
    <xf numFmtId="0" fontId="4" fillId="0" borderId="0" xfId="0" applyFont="1" applyAlignment="1">
      <alignment vertical="center"/>
    </xf>
    <xf numFmtId="0" fontId="4" fillId="0" borderId="0" xfId="0" applyFont="1" applyAlignment="1">
      <alignment horizontal="left" vertical="center"/>
    </xf>
    <xf numFmtId="0" fontId="16" fillId="0" borderId="0" xfId="0" applyFont="1"/>
    <xf numFmtId="43" fontId="4" fillId="0" borderId="0" xfId="1" applyFont="1" applyFill="1" applyAlignment="1">
      <alignment horizontal="left" vertical="center"/>
    </xf>
    <xf numFmtId="43" fontId="4" fillId="0" borderId="0" xfId="1" applyFont="1" applyFill="1" applyAlignment="1">
      <alignment horizontal="center" vertical="center"/>
    </xf>
    <xf numFmtId="43" fontId="8" fillId="0" borderId="0" xfId="1" applyFont="1" applyFill="1"/>
    <xf numFmtId="0" fontId="4" fillId="0" borderId="0" xfId="0" quotePrefix="1" applyFont="1"/>
    <xf numFmtId="165" fontId="4" fillId="0" borderId="0" xfId="1" applyNumberFormat="1" applyFont="1" applyFill="1"/>
    <xf numFmtId="43" fontId="4" fillId="0" borderId="0" xfId="1" applyFont="1" applyFill="1" applyBorder="1" applyAlignment="1">
      <alignment horizontal="center" vertical="center"/>
    </xf>
    <xf numFmtId="43" fontId="8" fillId="0" borderId="0" xfId="1" applyFont="1" applyFill="1" applyBorder="1"/>
    <xf numFmtId="0" fontId="8" fillId="0" borderId="0" xfId="0" applyFont="1"/>
    <xf numFmtId="165" fontId="4" fillId="0" borderId="0" xfId="1" applyNumberFormat="1" applyFont="1"/>
    <xf numFmtId="0" fontId="4" fillId="0" borderId="0" xfId="0" applyFont="1" applyAlignment="1">
      <alignment horizontal="left"/>
    </xf>
    <xf numFmtId="43" fontId="28" fillId="4" borderId="0" xfId="1" applyFont="1" applyFill="1" applyAlignment="1">
      <alignment horizontal="center"/>
    </xf>
    <xf numFmtId="0" fontId="28" fillId="4" borderId="0" xfId="0" applyFont="1" applyFill="1" applyAlignment="1">
      <alignment horizontal="center"/>
    </xf>
    <xf numFmtId="165" fontId="28" fillId="4" borderId="0" xfId="1" applyNumberFormat="1" applyFont="1" applyFill="1" applyAlignment="1">
      <alignment horizontal="center"/>
    </xf>
    <xf numFmtId="43" fontId="0" fillId="0" borderId="0" xfId="0" applyNumberFormat="1"/>
    <xf numFmtId="43" fontId="14" fillId="0" borderId="0" xfId="1" applyFont="1"/>
    <xf numFmtId="165" fontId="14" fillId="0" borderId="0" xfId="1" applyNumberFormat="1" applyFont="1"/>
    <xf numFmtId="0" fontId="7" fillId="0" borderId="1" xfId="0" applyFont="1" applyBorder="1" applyAlignment="1">
      <alignment vertical="center"/>
    </xf>
    <xf numFmtId="0" fontId="9" fillId="0" borderId="0" xfId="2" quotePrefix="1"/>
    <xf numFmtId="0" fontId="10" fillId="0" borderId="0" xfId="0" applyFont="1" applyAlignment="1">
      <alignment wrapText="1"/>
    </xf>
    <xf numFmtId="0" fontId="0" fillId="2" borderId="0" xfId="0" applyFill="1" applyAlignment="1">
      <alignment horizontal="center" wrapText="1"/>
    </xf>
    <xf numFmtId="169" fontId="34" fillId="6" borderId="7" xfId="0" applyNumberFormat="1" applyFont="1" applyFill="1" applyBorder="1" applyAlignment="1">
      <alignment horizontal="center" vertical="center"/>
    </xf>
    <xf numFmtId="0" fontId="21" fillId="14" borderId="1" xfId="0" applyFont="1" applyFill="1" applyBorder="1" applyAlignment="1">
      <alignment horizontal="center"/>
    </xf>
    <xf numFmtId="0" fontId="10" fillId="14" borderId="1" xfId="0" applyFont="1" applyFill="1" applyBorder="1" applyAlignment="1">
      <alignment horizontal="center"/>
    </xf>
    <xf numFmtId="169" fontId="34" fillId="6" borderId="0" xfId="0" applyNumberFormat="1" applyFont="1" applyFill="1" applyAlignment="1">
      <alignment horizontal="center" vertical="center"/>
    </xf>
    <xf numFmtId="43" fontId="4" fillId="0" borderId="1" xfId="1" applyFont="1" applyFill="1" applyBorder="1" applyAlignment="1">
      <alignment horizontal="center" vertical="center"/>
    </xf>
    <xf numFmtId="170" fontId="0" fillId="0" borderId="0" xfId="1" applyNumberFormat="1" applyFont="1"/>
    <xf numFmtId="169" fontId="15" fillId="0" borderId="0" xfId="0" applyNumberFormat="1" applyFont="1" applyAlignment="1">
      <alignment horizontal="center" vertical="center"/>
    </xf>
    <xf numFmtId="43" fontId="15" fillId="0" borderId="0" xfId="1" applyFont="1" applyFill="1" applyBorder="1" applyAlignment="1">
      <alignment horizontal="center" vertical="center"/>
    </xf>
    <xf numFmtId="169" fontId="15" fillId="6" borderId="0" xfId="0" applyNumberFormat="1" applyFont="1" applyFill="1" applyAlignment="1">
      <alignment horizontal="center" vertical="center"/>
    </xf>
    <xf numFmtId="0" fontId="14" fillId="6" borderId="0" xfId="0" applyFont="1" applyFill="1"/>
    <xf numFmtId="0" fontId="14" fillId="0" borderId="0" xfId="0" applyFont="1" applyAlignment="1">
      <alignment horizontal="center"/>
    </xf>
    <xf numFmtId="14" fontId="4" fillId="0" borderId="1" xfId="0" applyNumberFormat="1" applyFont="1" applyBorder="1"/>
    <xf numFmtId="0" fontId="4" fillId="0" borderId="5" xfId="0" applyFont="1" applyBorder="1"/>
    <xf numFmtId="0" fontId="10" fillId="0" borderId="5" xfId="0" applyFont="1" applyBorder="1"/>
    <xf numFmtId="0" fontId="0" fillId="0" borderId="5" xfId="0" applyBorder="1"/>
    <xf numFmtId="169" fontId="15" fillId="6" borderId="0" xfId="0" applyNumberFormat="1" applyFont="1" applyFill="1" applyAlignment="1">
      <alignment horizontal="left" vertical="center"/>
    </xf>
    <xf numFmtId="0" fontId="0" fillId="0" borderId="0" xfId="0" applyAlignment="1">
      <alignment horizontal="left"/>
    </xf>
    <xf numFmtId="169" fontId="38" fillId="0" borderId="0" xfId="0" applyNumberFormat="1" applyFont="1" applyAlignment="1">
      <alignment horizontal="center" vertical="center"/>
    </xf>
    <xf numFmtId="0" fontId="34" fillId="0" borderId="0" xfId="0" applyFont="1" applyAlignment="1">
      <alignment horizontal="center" vertical="center"/>
    </xf>
    <xf numFmtId="0" fontId="38" fillId="0" borderId="0" xfId="0" applyFont="1" applyAlignment="1">
      <alignment horizontal="center" vertical="center"/>
    </xf>
    <xf numFmtId="0" fontId="37" fillId="0" borderId="0" xfId="1" applyNumberFormat="1" applyFont="1" applyFill="1" applyAlignment="1">
      <alignment horizontal="center" vertical="center"/>
    </xf>
    <xf numFmtId="0" fontId="34" fillId="15" borderId="12" xfId="0" applyFont="1" applyFill="1" applyBorder="1" applyAlignment="1">
      <alignment horizontal="center" vertical="center"/>
    </xf>
    <xf numFmtId="0" fontId="38" fillId="15" borderId="11" xfId="0" applyFont="1" applyFill="1" applyBorder="1" applyAlignment="1">
      <alignment horizontal="center" vertical="center"/>
    </xf>
    <xf numFmtId="43" fontId="4" fillId="0" borderId="10" xfId="1" applyFont="1" applyFill="1" applyBorder="1" applyAlignment="1">
      <alignment horizontal="center" vertical="center"/>
    </xf>
    <xf numFmtId="43" fontId="4" fillId="0" borderId="5" xfId="1" applyFont="1" applyFill="1" applyBorder="1" applyAlignment="1">
      <alignment horizontal="left" vertical="center"/>
    </xf>
    <xf numFmtId="0" fontId="0" fillId="0" borderId="5" xfId="0" applyBorder="1" applyAlignment="1">
      <alignment horizontal="center"/>
    </xf>
    <xf numFmtId="169" fontId="3" fillId="16" borderId="0" xfId="0" applyNumberFormat="1" applyFont="1" applyFill="1" applyAlignment="1">
      <alignment horizontal="center" vertical="center"/>
    </xf>
    <xf numFmtId="43" fontId="3" fillId="16" borderId="0" xfId="1" applyFont="1" applyFill="1" applyAlignment="1">
      <alignment horizontal="center" vertical="center"/>
    </xf>
    <xf numFmtId="14" fontId="3" fillId="16" borderId="0" xfId="0" applyNumberFormat="1" applyFont="1" applyFill="1" applyAlignment="1">
      <alignment vertical="center"/>
    </xf>
    <xf numFmtId="0" fontId="28" fillId="4" borderId="0" xfId="1" applyNumberFormat="1" applyFont="1" applyFill="1" applyAlignment="1">
      <alignment horizontal="center"/>
    </xf>
    <xf numFmtId="0" fontId="9" fillId="0" borderId="0" xfId="2" applyNumberFormat="1" applyFill="1" applyAlignment="1">
      <alignment horizontal="center"/>
    </xf>
    <xf numFmtId="0" fontId="36" fillId="6" borderId="0" xfId="0" applyFont="1" applyFill="1"/>
    <xf numFmtId="14" fontId="4" fillId="0" borderId="0" xfId="0" applyNumberFormat="1" applyFont="1"/>
    <xf numFmtId="14" fontId="3" fillId="16" borderId="0" xfId="0" applyNumberFormat="1" applyFont="1" applyFill="1" applyAlignment="1">
      <alignment horizontal="center" vertical="center"/>
    </xf>
    <xf numFmtId="0" fontId="0" fillId="7" borderId="0" xfId="0" applyFill="1"/>
    <xf numFmtId="0" fontId="0" fillId="18" borderId="0" xfId="0" applyFill="1"/>
    <xf numFmtId="43" fontId="38" fillId="0" borderId="0" xfId="1" applyFont="1" applyFill="1" applyBorder="1" applyAlignment="1">
      <alignment horizontal="center" vertical="center"/>
    </xf>
    <xf numFmtId="165" fontId="0" fillId="0" borderId="0" xfId="1" applyNumberFormat="1" applyFont="1" applyFill="1"/>
    <xf numFmtId="43" fontId="8" fillId="0" borderId="0" xfId="1" quotePrefix="1" applyFont="1" applyFill="1" applyBorder="1"/>
    <xf numFmtId="165" fontId="28" fillId="4" borderId="13" xfId="1" applyNumberFormat="1" applyFont="1" applyFill="1" applyBorder="1" applyAlignment="1">
      <alignment horizontal="center"/>
    </xf>
    <xf numFmtId="43" fontId="28" fillId="4" borderId="13" xfId="1" applyFont="1" applyFill="1" applyBorder="1" applyAlignment="1">
      <alignment horizontal="center"/>
    </xf>
    <xf numFmtId="0" fontId="28" fillId="4" borderId="13" xfId="0" applyFont="1" applyFill="1" applyBorder="1" applyAlignment="1">
      <alignment horizontal="center"/>
    </xf>
    <xf numFmtId="169" fontId="29" fillId="16" borderId="0" xfId="0" applyNumberFormat="1" applyFont="1" applyFill="1" applyAlignment="1">
      <alignment horizontal="center" vertical="center"/>
    </xf>
    <xf numFmtId="43" fontId="14" fillId="0" borderId="0" xfId="0" applyNumberFormat="1" applyFont="1"/>
    <xf numFmtId="43" fontId="8" fillId="0" borderId="0" xfId="1" applyFont="1" applyFill="1" applyAlignment="1">
      <alignment horizontal="center" vertical="center"/>
    </xf>
    <xf numFmtId="0" fontId="43" fillId="0" borderId="5" xfId="0" applyFont="1" applyBorder="1" applyAlignment="1">
      <alignment horizontal="center"/>
    </xf>
    <xf numFmtId="0" fontId="44" fillId="0" borderId="5" xfId="0" applyFont="1" applyBorder="1" applyAlignment="1">
      <alignment horizontal="center" vertical="center"/>
    </xf>
    <xf numFmtId="14" fontId="14" fillId="0" borderId="0" xfId="0" applyNumberFormat="1" applyFont="1"/>
    <xf numFmtId="43" fontId="8" fillId="0" borderId="0" xfId="1" applyFont="1" applyFill="1" applyAlignment="1">
      <alignment horizontal="left" vertical="center"/>
    </xf>
    <xf numFmtId="166" fontId="0" fillId="0" borderId="0" xfId="0" applyNumberFormat="1"/>
    <xf numFmtId="43" fontId="8" fillId="0" borderId="1" xfId="1" applyFont="1" applyFill="1" applyBorder="1" applyAlignment="1">
      <alignment horizontal="center" vertical="center"/>
    </xf>
    <xf numFmtId="0" fontId="0" fillId="0" borderId="0" xfId="0" applyAlignment="1">
      <alignment vertical="center"/>
    </xf>
    <xf numFmtId="0" fontId="0" fillId="2" borderId="0" xfId="0" applyFill="1" applyAlignment="1">
      <alignment vertical="center" wrapText="1"/>
    </xf>
    <xf numFmtId="0" fontId="17" fillId="0" borderId="0" xfId="0" applyFont="1" applyAlignment="1">
      <alignment vertical="center" wrapText="1"/>
    </xf>
    <xf numFmtId="0" fontId="17" fillId="0" borderId="0" xfId="0" quotePrefix="1" applyFont="1" applyAlignment="1">
      <alignment vertical="center" wrapText="1"/>
    </xf>
    <xf numFmtId="0" fontId="18" fillId="0" borderId="0" xfId="2" applyFont="1" applyBorder="1" applyAlignment="1">
      <alignment horizontal="center" vertical="center" wrapText="1"/>
    </xf>
    <xf numFmtId="0" fontId="17" fillId="2" borderId="0" xfId="0" applyFont="1" applyFill="1" applyAlignment="1">
      <alignment vertical="center" wrapText="1"/>
    </xf>
    <xf numFmtId="14" fontId="17" fillId="0" borderId="0" xfId="0" applyNumberFormat="1" applyFont="1" applyAlignment="1">
      <alignment vertical="center" wrapText="1"/>
    </xf>
    <xf numFmtId="0" fontId="17" fillId="0" borderId="0" xfId="0"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wrapText="1"/>
    </xf>
    <xf numFmtId="0" fontId="47" fillId="16" borderId="0" xfId="0" applyFont="1" applyFill="1" applyAlignment="1">
      <alignment horizontal="center" vertical="center" wrapText="1"/>
    </xf>
    <xf numFmtId="15" fontId="17" fillId="0" borderId="0" xfId="0" applyNumberFormat="1" applyFont="1" applyAlignment="1">
      <alignment vertical="center" wrapText="1"/>
    </xf>
    <xf numFmtId="16" fontId="17" fillId="0" borderId="0" xfId="0" applyNumberFormat="1" applyFont="1" applyAlignment="1">
      <alignment vertical="center" wrapText="1"/>
    </xf>
    <xf numFmtId="14" fontId="17" fillId="2" borderId="0" xfId="0" applyNumberFormat="1" applyFont="1" applyFill="1" applyAlignment="1">
      <alignment vertical="center" wrapText="1"/>
    </xf>
    <xf numFmtId="0" fontId="35" fillId="0" borderId="0" xfId="0" applyFont="1" applyAlignment="1">
      <alignment vertical="center" wrapText="1"/>
    </xf>
    <xf numFmtId="0" fontId="48" fillId="0" borderId="0" xfId="0" applyFont="1" applyAlignment="1">
      <alignment vertical="center" wrapText="1"/>
    </xf>
    <xf numFmtId="14" fontId="17" fillId="0" borderId="0" xfId="0" applyNumberFormat="1" applyFont="1" applyAlignment="1">
      <alignment vertical="center"/>
    </xf>
    <xf numFmtId="14" fontId="17" fillId="0" borderId="0" xfId="0" applyNumberFormat="1" applyFont="1" applyAlignment="1">
      <alignment horizontal="center" vertical="center" wrapText="1"/>
    </xf>
    <xf numFmtId="14" fontId="17" fillId="2" borderId="0" xfId="0" applyNumberFormat="1" applyFont="1" applyFill="1" applyAlignment="1">
      <alignment horizontal="center" vertical="center" wrapText="1"/>
    </xf>
    <xf numFmtId="0" fontId="17" fillId="2" borderId="0" xfId="0" applyFont="1" applyFill="1" applyAlignment="1">
      <alignment vertical="center"/>
    </xf>
    <xf numFmtId="0" fontId="17" fillId="2" borderId="0" xfId="0" quotePrefix="1" applyFont="1" applyFill="1" applyAlignment="1">
      <alignment vertical="center" wrapText="1"/>
    </xf>
    <xf numFmtId="0" fontId="12" fillId="7" borderId="0" xfId="0" applyFont="1" applyFill="1"/>
    <xf numFmtId="0" fontId="13" fillId="7" borderId="0" xfId="0" applyFont="1" applyFill="1"/>
    <xf numFmtId="0" fontId="50" fillId="7" borderId="0" xfId="0" applyFont="1" applyFill="1"/>
    <xf numFmtId="0" fontId="51" fillId="7" borderId="0" xfId="0" applyFont="1" applyFill="1"/>
    <xf numFmtId="0" fontId="13" fillId="7" borderId="0" xfId="0" quotePrefix="1" applyFont="1" applyFill="1"/>
    <xf numFmtId="164" fontId="0" fillId="0" borderId="0" xfId="1" applyNumberFormat="1" applyFont="1"/>
    <xf numFmtId="43" fontId="14" fillId="2" borderId="0" xfId="0" applyNumberFormat="1" applyFont="1" applyFill="1"/>
    <xf numFmtId="0" fontId="0" fillId="6" borderId="0" xfId="0" applyFill="1"/>
    <xf numFmtId="165" fontId="14" fillId="0" borderId="0" xfId="0" applyNumberFormat="1" applyFont="1"/>
    <xf numFmtId="0" fontId="4" fillId="0" borderId="5" xfId="0" applyFont="1" applyBorder="1" applyAlignment="1">
      <alignment vertical="center"/>
    </xf>
    <xf numFmtId="0" fontId="10" fillId="0" borderId="23" xfId="0" applyFont="1" applyBorder="1" applyAlignment="1">
      <alignment horizontal="center" vertical="center" wrapText="1"/>
    </xf>
    <xf numFmtId="0" fontId="0" fillId="0" borderId="23" xfId="0" applyBorder="1" applyAlignment="1">
      <alignment wrapText="1"/>
    </xf>
    <xf numFmtId="2" fontId="0" fillId="0" borderId="23" xfId="0" applyNumberFormat="1" applyBorder="1" applyAlignment="1">
      <alignment wrapText="1"/>
    </xf>
    <xf numFmtId="165" fontId="83" fillId="0" borderId="0" xfId="1" applyNumberFormat="1" applyFont="1"/>
    <xf numFmtId="169" fontId="3" fillId="16" borderId="0" xfId="0" applyNumberFormat="1" applyFont="1" applyFill="1" applyAlignment="1">
      <alignment horizontal="left" vertical="center"/>
    </xf>
    <xf numFmtId="0" fontId="34" fillId="6" borderId="0" xfId="0" applyFont="1" applyFill="1" applyAlignment="1">
      <alignment horizontal="center" vertical="center"/>
    </xf>
    <xf numFmtId="171" fontId="8" fillId="0" borderId="0" xfId="0" applyNumberFormat="1" applyFont="1" applyAlignment="1">
      <alignment horizontal="center" vertical="center"/>
    </xf>
    <xf numFmtId="43" fontId="37" fillId="0" borderId="0" xfId="1" applyFont="1" applyFill="1" applyAlignment="1">
      <alignment horizontal="center" vertical="center"/>
    </xf>
    <xf numFmtId="0" fontId="87" fillId="0" borderId="0" xfId="0" applyFont="1"/>
    <xf numFmtId="43" fontId="28" fillId="55" borderId="0" xfId="1" applyFont="1" applyFill="1" applyAlignment="1">
      <alignment horizontal="center"/>
    </xf>
    <xf numFmtId="165" fontId="28" fillId="55" borderId="0" xfId="1" applyNumberFormat="1" applyFont="1" applyFill="1" applyAlignment="1">
      <alignment horizontal="center"/>
    </xf>
    <xf numFmtId="169" fontId="34" fillId="14" borderId="5" xfId="0" applyNumberFormat="1" applyFont="1" applyFill="1" applyBorder="1" applyAlignment="1">
      <alignment horizontal="center" vertical="center"/>
    </xf>
    <xf numFmtId="165" fontId="0" fillId="0" borderId="0" xfId="1" applyNumberFormat="1" applyFont="1" applyAlignment="1">
      <alignment horizontal="center"/>
    </xf>
    <xf numFmtId="14" fontId="0" fillId="0" borderId="0" xfId="0" applyNumberFormat="1" applyAlignment="1">
      <alignment horizontal="center"/>
    </xf>
    <xf numFmtId="165" fontId="8" fillId="0" borderId="0" xfId="1" applyNumberFormat="1" applyFont="1" applyFill="1" applyBorder="1" applyAlignment="1">
      <alignment horizontal="center" vertical="center"/>
    </xf>
    <xf numFmtId="0" fontId="10" fillId="56" borderId="0" xfId="0" applyFont="1" applyFill="1"/>
    <xf numFmtId="43" fontId="28" fillId="57" borderId="0" xfId="1" applyFont="1" applyFill="1" applyAlignment="1">
      <alignment horizontal="center"/>
    </xf>
    <xf numFmtId="165" fontId="10" fillId="56" borderId="0" xfId="1" applyNumberFormat="1" applyFont="1" applyFill="1" applyAlignment="1">
      <alignment horizontal="center"/>
    </xf>
    <xf numFmtId="165" fontId="14" fillId="0" borderId="0" xfId="1" applyNumberFormat="1" applyFont="1" applyAlignment="1">
      <alignment horizontal="center"/>
    </xf>
    <xf numFmtId="0" fontId="0" fillId="0" borderId="0" xfId="0" pivotButton="1"/>
    <xf numFmtId="14" fontId="0" fillId="0" borderId="0" xfId="0" applyNumberFormat="1" applyAlignment="1">
      <alignment horizontal="left"/>
    </xf>
    <xf numFmtId="0" fontId="10" fillId="0" borderId="5" xfId="0" applyFont="1" applyBorder="1" applyAlignment="1">
      <alignment horizontal="center"/>
    </xf>
    <xf numFmtId="0" fontId="0" fillId="0" borderId="26" xfId="0" applyBorder="1" applyAlignment="1">
      <alignment wrapText="1"/>
    </xf>
    <xf numFmtId="2" fontId="0" fillId="0" borderId="26" xfId="0" applyNumberFormat="1" applyBorder="1" applyAlignment="1">
      <alignment wrapText="1"/>
    </xf>
    <xf numFmtId="2" fontId="0" fillId="0" borderId="0" xfId="0" applyNumberFormat="1" applyAlignment="1">
      <alignment wrapText="1"/>
    </xf>
    <xf numFmtId="0" fontId="0" fillId="0" borderId="27" xfId="0" applyBorder="1" applyAlignment="1">
      <alignment wrapText="1"/>
    </xf>
    <xf numFmtId="2" fontId="0" fillId="0" borderId="27" xfId="0" applyNumberFormat="1" applyBorder="1" applyAlignment="1">
      <alignment wrapText="1"/>
    </xf>
    <xf numFmtId="0" fontId="10" fillId="0" borderId="28" xfId="0" applyFont="1" applyBorder="1" applyAlignment="1">
      <alignment horizontal="center" vertical="center" wrapText="1"/>
    </xf>
    <xf numFmtId="0" fontId="10" fillId="0" borderId="29" xfId="0" applyFont="1" applyBorder="1" applyAlignment="1">
      <alignment horizontal="center" vertical="center" wrapText="1"/>
    </xf>
    <xf numFmtId="0" fontId="10" fillId="0" borderId="30" xfId="0" applyFont="1" applyBorder="1" applyAlignment="1">
      <alignment horizontal="center" vertical="center" wrapText="1"/>
    </xf>
    <xf numFmtId="0" fontId="0" fillId="0" borderId="28" xfId="0" applyBorder="1" applyAlignment="1">
      <alignment wrapText="1"/>
    </xf>
    <xf numFmtId="2" fontId="0" fillId="0" borderId="29" xfId="0" applyNumberFormat="1" applyBorder="1" applyAlignment="1">
      <alignment wrapText="1"/>
    </xf>
    <xf numFmtId="2" fontId="0" fillId="0" borderId="30" xfId="0" applyNumberFormat="1" applyBorder="1" applyAlignment="1">
      <alignment wrapText="1"/>
    </xf>
    <xf numFmtId="43" fontId="14" fillId="0" borderId="0" xfId="1" applyFont="1" applyFill="1"/>
    <xf numFmtId="165" fontId="14" fillId="0" borderId="5" xfId="1" applyNumberFormat="1" applyFont="1" applyBorder="1" applyAlignment="1">
      <alignment vertical="center"/>
    </xf>
    <xf numFmtId="0" fontId="0" fillId="59" borderId="0" xfId="0" applyFill="1"/>
    <xf numFmtId="0" fontId="10" fillId="59" borderId="25" xfId="0" applyFont="1" applyFill="1" applyBorder="1" applyAlignment="1">
      <alignment horizontal="center"/>
    </xf>
    <xf numFmtId="165" fontId="14" fillId="59" borderId="0" xfId="1" applyNumberFormat="1" applyFont="1" applyFill="1"/>
    <xf numFmtId="170" fontId="0" fillId="59" borderId="0" xfId="1" applyNumberFormat="1" applyFont="1" applyFill="1"/>
    <xf numFmtId="0" fontId="5" fillId="2" borderId="0" xfId="0" applyFont="1" applyFill="1"/>
    <xf numFmtId="0" fontId="92" fillId="2" borderId="0" xfId="0" applyFont="1" applyFill="1"/>
    <xf numFmtId="0" fontId="4" fillId="2" borderId="0" xfId="0" applyFont="1" applyFill="1"/>
    <xf numFmtId="14" fontId="17" fillId="0" borderId="0" xfId="0" applyNumberFormat="1" applyFont="1" applyAlignment="1">
      <alignment horizontal="center" vertical="center"/>
    </xf>
    <xf numFmtId="14" fontId="35" fillId="0" borderId="0" xfId="0" applyNumberFormat="1" applyFont="1" applyAlignment="1">
      <alignment horizontal="center" vertical="center" wrapText="1"/>
    </xf>
    <xf numFmtId="14" fontId="47" fillId="16" borderId="0" xfId="0" applyNumberFormat="1" applyFont="1" applyFill="1" applyAlignment="1">
      <alignment horizontal="center" vertical="center" wrapText="1"/>
    </xf>
    <xf numFmtId="0" fontId="90" fillId="0" borderId="0" xfId="0" applyFont="1"/>
    <xf numFmtId="0" fontId="47" fillId="61" borderId="1" xfId="3" applyFont="1" applyFill="1" applyBorder="1" applyAlignment="1">
      <alignment horizontal="center" vertical="center"/>
    </xf>
    <xf numFmtId="0" fontId="47" fillId="61" borderId="1" xfId="3" applyFont="1" applyFill="1" applyBorder="1" applyAlignment="1">
      <alignment horizontal="center" vertical="center" wrapText="1"/>
    </xf>
    <xf numFmtId="49" fontId="42" fillId="0" borderId="0" xfId="2" quotePrefix="1" applyNumberFormat="1" applyFont="1" applyFill="1" applyBorder="1" applyAlignment="1">
      <alignment wrapText="1"/>
    </xf>
    <xf numFmtId="43" fontId="15" fillId="14" borderId="10" xfId="1" applyFont="1" applyFill="1" applyBorder="1" applyAlignment="1">
      <alignment horizontal="center" vertical="center"/>
    </xf>
    <xf numFmtId="43" fontId="4" fillId="0" borderId="5" xfId="1" applyFont="1" applyFill="1" applyBorder="1" applyAlignment="1">
      <alignment horizontal="center" vertical="center"/>
    </xf>
    <xf numFmtId="0" fontId="38" fillId="0" borderId="5" xfId="0" applyFont="1" applyBorder="1" applyAlignment="1">
      <alignment horizontal="center" vertical="center"/>
    </xf>
    <xf numFmtId="165" fontId="8" fillId="0" borderId="5" xfId="1" applyNumberFormat="1" applyFont="1" applyFill="1" applyBorder="1" applyAlignment="1">
      <alignment horizontal="center" vertical="center"/>
    </xf>
    <xf numFmtId="169" fontId="15" fillId="14" borderId="5" xfId="0" applyNumberFormat="1" applyFont="1" applyFill="1" applyBorder="1" applyAlignment="1">
      <alignment horizontal="left" vertical="center"/>
    </xf>
    <xf numFmtId="169" fontId="15" fillId="14" borderId="5" xfId="0" applyNumberFormat="1" applyFont="1" applyFill="1" applyBorder="1" applyAlignment="1">
      <alignment horizontal="center" vertical="center"/>
    </xf>
    <xf numFmtId="165" fontId="15" fillId="14" borderId="5" xfId="1" applyNumberFormat="1" applyFont="1" applyFill="1" applyBorder="1" applyAlignment="1">
      <alignment horizontal="center" vertical="center"/>
    </xf>
    <xf numFmtId="43" fontId="15" fillId="14" borderId="5" xfId="1" applyFont="1" applyFill="1" applyBorder="1" applyAlignment="1">
      <alignment horizontal="center" vertical="center"/>
    </xf>
    <xf numFmtId="43" fontId="8" fillId="0" borderId="5" xfId="1" applyFont="1" applyFill="1" applyBorder="1" applyAlignment="1">
      <alignment horizontal="center" vertical="center"/>
    </xf>
    <xf numFmtId="43" fontId="8" fillId="0" borderId="5" xfId="1" applyFont="1" applyFill="1" applyBorder="1" applyAlignment="1">
      <alignment horizontal="left" vertical="center"/>
    </xf>
    <xf numFmtId="0" fontId="39" fillId="17" borderId="0" xfId="0" applyFont="1" applyFill="1" applyAlignment="1">
      <alignment vertical="center"/>
    </xf>
    <xf numFmtId="0" fontId="10" fillId="6" borderId="0" xfId="0" applyFont="1" applyFill="1" applyAlignment="1">
      <alignment vertical="center"/>
    </xf>
    <xf numFmtId="0" fontId="0" fillId="0" borderId="5" xfId="0" applyBorder="1" applyAlignment="1">
      <alignment vertical="center"/>
    </xf>
    <xf numFmtId="43" fontId="8" fillId="0" borderId="5" xfId="1" applyFont="1" applyFill="1" applyBorder="1" applyAlignment="1">
      <alignment vertical="center"/>
    </xf>
    <xf numFmtId="0" fontId="4" fillId="0" borderId="5" xfId="0" applyFont="1" applyBorder="1" applyAlignment="1">
      <alignment horizontal="center" vertical="center"/>
    </xf>
    <xf numFmtId="43" fontId="14" fillId="0" borderId="0" xfId="1" applyFont="1" applyAlignment="1">
      <alignment vertical="center"/>
    </xf>
    <xf numFmtId="0" fontId="37" fillId="0" borderId="0" xfId="1" applyNumberFormat="1" applyFont="1" applyFill="1" applyAlignment="1">
      <alignment vertical="center"/>
    </xf>
    <xf numFmtId="165" fontId="37" fillId="0" borderId="5" xfId="1" applyNumberFormat="1" applyFont="1" applyFill="1" applyBorder="1" applyAlignment="1">
      <alignment vertical="center"/>
    </xf>
    <xf numFmtId="165" fontId="37" fillId="0" borderId="0" xfId="1" applyNumberFormat="1" applyFont="1" applyFill="1" applyAlignment="1">
      <alignment vertical="center"/>
    </xf>
    <xf numFmtId="43" fontId="14" fillId="0" borderId="5" xfId="1" applyFont="1" applyBorder="1" applyAlignment="1">
      <alignment vertical="center"/>
    </xf>
    <xf numFmtId="43" fontId="14" fillId="0" borderId="5" xfId="0" applyNumberFormat="1" applyFont="1" applyBorder="1" applyAlignment="1">
      <alignment vertical="center"/>
    </xf>
    <xf numFmtId="43" fontId="14" fillId="0" borderId="0" xfId="0" applyNumberFormat="1" applyFont="1" applyAlignment="1">
      <alignment vertical="center"/>
    </xf>
    <xf numFmtId="165" fontId="8" fillId="0" borderId="0" xfId="1" applyNumberFormat="1" applyFont="1" applyFill="1" applyAlignment="1">
      <alignment vertical="center"/>
    </xf>
    <xf numFmtId="40" fontId="14" fillId="0" borderId="0" xfId="0" applyNumberFormat="1" applyFont="1" applyAlignment="1">
      <alignment vertical="center"/>
    </xf>
    <xf numFmtId="0" fontId="14" fillId="0" borderId="0" xfId="0" applyFont="1" applyAlignment="1">
      <alignment vertical="center"/>
    </xf>
    <xf numFmtId="165" fontId="0" fillId="0" borderId="0" xfId="1" applyNumberFormat="1" applyFont="1" applyAlignment="1">
      <alignment vertical="center"/>
    </xf>
    <xf numFmtId="43" fontId="0" fillId="0" borderId="0" xfId="1" applyFont="1" applyAlignment="1">
      <alignment vertical="center"/>
    </xf>
    <xf numFmtId="9" fontId="14" fillId="0" borderId="5" xfId="11" applyFont="1" applyBorder="1" applyAlignment="1">
      <alignment vertical="center"/>
    </xf>
    <xf numFmtId="0" fontId="0" fillId="0" borderId="5" xfId="0" applyBorder="1" applyAlignment="1">
      <alignment horizontal="center" vertical="center"/>
    </xf>
    <xf numFmtId="43" fontId="14" fillId="0" borderId="5" xfId="1" applyFont="1" applyBorder="1" applyAlignment="1">
      <alignment horizontal="center" vertical="center"/>
    </xf>
    <xf numFmtId="0" fontId="14" fillId="0" borderId="5" xfId="0" applyFont="1" applyBorder="1" applyAlignment="1">
      <alignment vertical="center"/>
    </xf>
    <xf numFmtId="40" fontId="14" fillId="0" borderId="5" xfId="1" applyNumberFormat="1" applyFont="1" applyBorder="1" applyAlignment="1">
      <alignment vertical="center"/>
    </xf>
    <xf numFmtId="11" fontId="4" fillId="0" borderId="5" xfId="0" applyNumberFormat="1" applyFont="1" applyBorder="1" applyAlignment="1">
      <alignment vertical="center"/>
    </xf>
    <xf numFmtId="40" fontId="14" fillId="0" borderId="5" xfId="0" applyNumberFormat="1" applyFont="1" applyBorder="1" applyAlignment="1">
      <alignment vertical="center"/>
    </xf>
    <xf numFmtId="14" fontId="7" fillId="0" borderId="5" xfId="0" applyNumberFormat="1" applyFont="1" applyBorder="1" applyAlignment="1">
      <alignment horizontal="center" vertical="center"/>
    </xf>
    <xf numFmtId="0" fontId="7" fillId="0" borderId="5" xfId="0" applyFont="1" applyBorder="1" applyAlignment="1">
      <alignment horizontal="center" vertical="center"/>
    </xf>
    <xf numFmtId="14" fontId="4" fillId="0" borderId="5" xfId="0" applyNumberFormat="1" applyFont="1" applyBorder="1" applyAlignment="1">
      <alignment vertical="center"/>
    </xf>
    <xf numFmtId="43" fontId="8" fillId="0" borderId="5" xfId="1" applyFont="1" applyBorder="1" applyAlignment="1">
      <alignment vertical="center"/>
    </xf>
    <xf numFmtId="0" fontId="36" fillId="59" borderId="0" xfId="0" applyFont="1" applyFill="1" applyAlignment="1">
      <alignment vertical="center"/>
    </xf>
    <xf numFmtId="167" fontId="26" fillId="0" borderId="5" xfId="6" applyFont="1" applyFill="1" applyBorder="1" applyAlignment="1">
      <alignment horizontal="center" vertical="center"/>
    </xf>
    <xf numFmtId="0" fontId="27" fillId="0" borderId="5" xfId="13" applyFont="1" applyFill="1" applyBorder="1" applyAlignment="1">
      <alignment horizontal="center" vertical="center"/>
    </xf>
    <xf numFmtId="167" fontId="27" fillId="0" borderId="5" xfId="19" applyFont="1" applyFill="1" applyBorder="1" applyAlignment="1">
      <alignment horizontal="center" vertical="center"/>
    </xf>
    <xf numFmtId="167" fontId="27" fillId="0" borderId="5" xfId="20" applyFont="1" applyFill="1" applyBorder="1" applyAlignment="1">
      <alignment horizontal="center" vertical="center"/>
    </xf>
    <xf numFmtId="0" fontId="27" fillId="0" borderId="5" xfId="16" applyFont="1" applyFill="1" applyBorder="1" applyAlignment="1">
      <alignment horizontal="center" vertical="center"/>
    </xf>
    <xf numFmtId="167" fontId="27" fillId="0" borderId="5" xfId="21" applyFont="1" applyFill="1" applyBorder="1" applyAlignment="1">
      <alignment horizontal="center" vertical="center"/>
    </xf>
    <xf numFmtId="167" fontId="27" fillId="0" borderId="5" xfId="5" applyFont="1" applyBorder="1" applyAlignment="1">
      <alignment horizontal="center" vertical="center"/>
    </xf>
    <xf numFmtId="167" fontId="30" fillId="0" borderId="5" xfId="5" applyFont="1" applyBorder="1" applyAlignment="1">
      <alignment horizontal="center" vertical="center" wrapText="1"/>
    </xf>
    <xf numFmtId="14" fontId="27" fillId="0" borderId="5" xfId="5" applyNumberFormat="1" applyFont="1" applyBorder="1" applyAlignment="1">
      <alignment horizontal="center" vertical="center"/>
    </xf>
    <xf numFmtId="167" fontId="30" fillId="0" borderId="5" xfId="5" applyFont="1" applyBorder="1" applyAlignment="1">
      <alignment horizontal="center" vertical="center"/>
    </xf>
    <xf numFmtId="167" fontId="24" fillId="0" borderId="5" xfId="5" applyFont="1" applyBorder="1" applyAlignment="1">
      <alignment horizontal="center" vertical="center"/>
    </xf>
    <xf numFmtId="0" fontId="0" fillId="5" borderId="5" xfId="0" applyFill="1" applyBorder="1"/>
    <xf numFmtId="0" fontId="0" fillId="0" borderId="5" xfId="0" applyBorder="1" applyAlignment="1">
      <alignment horizontal="left"/>
    </xf>
    <xf numFmtId="0" fontId="22" fillId="7" borderId="5" xfId="0" applyFont="1" applyFill="1" applyBorder="1" applyAlignment="1">
      <alignment horizontal="center"/>
    </xf>
    <xf numFmtId="43" fontId="7" fillId="0" borderId="5" xfId="1" applyFont="1" applyFill="1" applyBorder="1" applyAlignment="1">
      <alignment horizontal="center" vertical="center"/>
    </xf>
    <xf numFmtId="0" fontId="28" fillId="0" borderId="0" xfId="0" applyFont="1"/>
    <xf numFmtId="43" fontId="28" fillId="0" borderId="0" xfId="1" applyFont="1" applyFill="1" applyBorder="1" applyAlignment="1">
      <alignment horizontal="center"/>
    </xf>
    <xf numFmtId="43" fontId="28" fillId="4" borderId="11" xfId="1" applyFont="1" applyFill="1" applyBorder="1" applyAlignment="1">
      <alignment horizontal="center"/>
    </xf>
    <xf numFmtId="0" fontId="0" fillId="0" borderId="1" xfId="0" applyBorder="1" applyAlignment="1">
      <alignment horizontal="center"/>
    </xf>
    <xf numFmtId="43" fontId="28" fillId="0" borderId="0" xfId="1" applyFont="1" applyAlignment="1">
      <alignment vertical="center"/>
    </xf>
    <xf numFmtId="0" fontId="4" fillId="0" borderId="0" xfId="1" applyNumberFormat="1" applyFont="1" applyFill="1" applyAlignment="1">
      <alignment horizontal="center" vertical="center"/>
    </xf>
    <xf numFmtId="174" fontId="0" fillId="0" borderId="0" xfId="1" applyNumberFormat="1" applyFont="1"/>
    <xf numFmtId="0" fontId="3" fillId="62" borderId="0" xfId="0" applyFont="1" applyFill="1" applyAlignment="1">
      <alignment horizontal="center" vertical="center"/>
    </xf>
    <xf numFmtId="0" fontId="3" fillId="62" borderId="0" xfId="0" applyFont="1" applyFill="1" applyAlignment="1">
      <alignment horizontal="left" vertical="center"/>
    </xf>
    <xf numFmtId="165" fontId="3" fillId="62" borderId="0" xfId="1" applyNumberFormat="1" applyFont="1" applyFill="1" applyAlignment="1">
      <alignment horizontal="center" vertical="center"/>
    </xf>
    <xf numFmtId="0" fontId="4" fillId="0" borderId="0" xfId="0" applyFont="1" applyAlignment="1">
      <alignment horizontal="center" vertical="center"/>
    </xf>
    <xf numFmtId="14" fontId="8" fillId="0" borderId="0" xfId="0" applyNumberFormat="1" applyFont="1" applyAlignment="1">
      <alignment vertical="center"/>
    </xf>
    <xf numFmtId="165" fontId="4" fillId="0" borderId="0" xfId="1" applyNumberFormat="1" applyFont="1" applyAlignment="1">
      <alignment horizontal="left" vertical="center"/>
    </xf>
    <xf numFmtId="165" fontId="4" fillId="0" borderId="0" xfId="1" applyNumberFormat="1" applyFont="1" applyAlignment="1">
      <alignment horizontal="center" vertical="center"/>
    </xf>
    <xf numFmtId="165" fontId="4" fillId="0" borderId="0" xfId="1" applyNumberFormat="1" applyFont="1" applyAlignment="1">
      <alignment vertical="center"/>
    </xf>
    <xf numFmtId="165" fontId="8" fillId="0" borderId="0" xfId="1" applyNumberFormat="1" applyFont="1" applyAlignment="1">
      <alignment vertical="center"/>
    </xf>
    <xf numFmtId="165" fontId="8" fillId="0" borderId="0" xfId="1" applyNumberFormat="1" applyFont="1" applyAlignment="1">
      <alignment vertical="center" wrapText="1"/>
    </xf>
    <xf numFmtId="0" fontId="10" fillId="2" borderId="0" xfId="0" applyFont="1" applyFill="1" applyAlignment="1">
      <alignment horizontal="center" wrapText="1"/>
    </xf>
    <xf numFmtId="0" fontId="17" fillId="0" borderId="1" xfId="0" applyFont="1" applyBorder="1" applyAlignment="1">
      <alignment horizontal="center" vertical="center"/>
    </xf>
    <xf numFmtId="0" fontId="17" fillId="0" borderId="5" xfId="0" applyFont="1" applyBorder="1" applyAlignment="1">
      <alignment horizontal="center" vertical="center"/>
    </xf>
    <xf numFmtId="1" fontId="35" fillId="0" borderId="1" xfId="1" applyNumberFormat="1" applyFont="1" applyBorder="1" applyAlignment="1">
      <alignment horizontal="center" vertical="center"/>
    </xf>
    <xf numFmtId="0" fontId="35" fillId="0" borderId="1" xfId="0" applyFont="1" applyBorder="1" applyAlignment="1">
      <alignment horizontal="center" vertical="center"/>
    </xf>
    <xf numFmtId="0" fontId="35" fillId="0" borderId="5" xfId="0" applyFont="1" applyBorder="1" applyAlignment="1">
      <alignment horizontal="center" vertical="center"/>
    </xf>
    <xf numFmtId="1" fontId="35" fillId="0" borderId="5" xfId="1" applyNumberFormat="1" applyFont="1" applyBorder="1" applyAlignment="1">
      <alignment horizontal="center" vertical="center"/>
    </xf>
    <xf numFmtId="0" fontId="17" fillId="0" borderId="5" xfId="0" applyFont="1" applyBorder="1" applyAlignment="1">
      <alignment horizontal="left" vertical="center"/>
    </xf>
    <xf numFmtId="0" fontId="0" fillId="0" borderId="5" xfId="0" applyBorder="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47" fillId="61" borderId="5" xfId="3" applyFont="1" applyFill="1" applyBorder="1" applyAlignment="1">
      <alignment horizontal="left" vertical="center"/>
    </xf>
    <xf numFmtId="165" fontId="28" fillId="58" borderId="5" xfId="1" applyNumberFormat="1" applyFont="1" applyFill="1" applyBorder="1" applyAlignment="1">
      <alignment horizontal="left" vertical="center"/>
    </xf>
    <xf numFmtId="0" fontId="9" fillId="0" borderId="1" xfId="2" quotePrefix="1" applyBorder="1" applyAlignment="1">
      <alignment horizontal="left" vertical="center"/>
    </xf>
    <xf numFmtId="165" fontId="14" fillId="0" borderId="5" xfId="1" applyNumberFormat="1" applyFont="1" applyBorder="1" applyAlignment="1">
      <alignment horizontal="left" vertical="center"/>
    </xf>
    <xf numFmtId="165" fontId="42" fillId="0" borderId="5" xfId="1" applyNumberFormat="1" applyFont="1" applyBorder="1" applyAlignment="1">
      <alignment horizontal="left" vertical="center"/>
    </xf>
    <xf numFmtId="0" fontId="18" fillId="0" borderId="1" xfId="2" quotePrefix="1" applyFont="1" applyBorder="1" applyAlignment="1">
      <alignment horizontal="left" vertical="center"/>
    </xf>
    <xf numFmtId="0" fontId="9" fillId="0" borderId="1" xfId="2" applyBorder="1" applyAlignment="1">
      <alignment horizontal="left" vertical="center"/>
    </xf>
    <xf numFmtId="0" fontId="18" fillId="0" borderId="1" xfId="2" applyFont="1" applyBorder="1" applyAlignment="1">
      <alignment horizontal="left" vertical="center"/>
    </xf>
    <xf numFmtId="0" fontId="9" fillId="0" borderId="5" xfId="2" applyBorder="1" applyAlignment="1">
      <alignment horizontal="left" vertical="center"/>
    </xf>
    <xf numFmtId="0" fontId="18" fillId="0" borderId="5" xfId="2" applyFont="1" applyBorder="1" applyAlignment="1">
      <alignment horizontal="left" vertical="center"/>
    </xf>
    <xf numFmtId="0" fontId="17" fillId="0" borderId="0" xfId="0" applyFont="1" applyAlignment="1">
      <alignment horizontal="left" vertical="center"/>
    </xf>
    <xf numFmtId="165" fontId="14" fillId="0" borderId="0" xfId="1" applyNumberFormat="1" applyFont="1" applyAlignment="1">
      <alignment horizontal="left" vertical="center"/>
    </xf>
    <xf numFmtId="0" fontId="17" fillId="0" borderId="5" xfId="0" applyFont="1" applyBorder="1" applyAlignment="1">
      <alignment horizontal="left" vertical="center" wrapText="1"/>
    </xf>
    <xf numFmtId="0" fontId="52" fillId="19" borderId="5" xfId="0" applyFont="1" applyFill="1" applyBorder="1" applyAlignment="1">
      <alignment horizontal="center" vertical="center" wrapText="1"/>
    </xf>
    <xf numFmtId="0" fontId="13" fillId="0" borderId="5" xfId="0" applyFont="1" applyBorder="1" applyAlignment="1">
      <alignment horizontal="center" vertical="center" wrapText="1"/>
    </xf>
    <xf numFmtId="0" fontId="13" fillId="0" borderId="5" xfId="0" applyFont="1" applyBorder="1" applyAlignment="1">
      <alignment vertical="center" wrapText="1"/>
    </xf>
    <xf numFmtId="0" fontId="13" fillId="0" borderId="5" xfId="0" quotePrefix="1" applyFont="1" applyBorder="1" applyAlignment="1">
      <alignment horizontal="left" vertical="center" wrapText="1"/>
    </xf>
    <xf numFmtId="0" fontId="13" fillId="0" borderId="5" xfId="0" quotePrefix="1" applyFont="1" applyBorder="1" applyAlignment="1">
      <alignment vertical="center" wrapText="1"/>
    </xf>
    <xf numFmtId="0" fontId="45" fillId="0" borderId="5" xfId="0" applyFont="1" applyBorder="1" applyAlignment="1">
      <alignment vertical="center" wrapText="1"/>
    </xf>
    <xf numFmtId="0" fontId="45" fillId="0" borderId="5" xfId="0" quotePrefix="1" applyFont="1" applyBorder="1" applyAlignment="1">
      <alignment vertical="center" wrapText="1"/>
    </xf>
    <xf numFmtId="0" fontId="27" fillId="7" borderId="5" xfId="8" applyFont="1" applyFill="1" applyBorder="1" applyAlignment="1">
      <alignment horizontal="center" vertical="center"/>
    </xf>
    <xf numFmtId="0" fontId="27" fillId="7" borderId="5" xfId="9" applyFont="1" applyFill="1" applyBorder="1" applyAlignment="1">
      <alignment horizontal="center" vertical="center"/>
    </xf>
    <xf numFmtId="168" fontId="27" fillId="7" borderId="5" xfId="10" applyFont="1" applyFill="1" applyBorder="1" applyAlignment="1">
      <alignment horizontal="center" vertical="center"/>
    </xf>
    <xf numFmtId="0" fontId="0" fillId="20" borderId="0" xfId="0" applyFill="1"/>
    <xf numFmtId="0" fontId="10" fillId="20" borderId="25" xfId="0" applyFont="1" applyFill="1" applyBorder="1" applyAlignment="1">
      <alignment horizontal="center"/>
    </xf>
    <xf numFmtId="0" fontId="0" fillId="63" borderId="0" xfId="0" applyFill="1"/>
    <xf numFmtId="0" fontId="10" fillId="63" borderId="25" xfId="0" applyFont="1" applyFill="1" applyBorder="1" applyAlignment="1">
      <alignment horizontal="center"/>
    </xf>
    <xf numFmtId="165" fontId="10" fillId="60" borderId="0" xfId="1" applyNumberFormat="1" applyFont="1" applyFill="1" applyAlignment="1">
      <alignment horizontal="center"/>
    </xf>
    <xf numFmtId="165" fontId="14" fillId="60" borderId="0" xfId="1" applyNumberFormat="1" applyFont="1" applyFill="1" applyAlignment="1">
      <alignment horizontal="center"/>
    </xf>
    <xf numFmtId="0" fontId="10" fillId="63" borderId="7" xfId="0" applyFont="1" applyFill="1" applyBorder="1"/>
    <xf numFmtId="165" fontId="10" fillId="63" borderId="31" xfId="1" applyNumberFormat="1" applyFont="1" applyFill="1" applyBorder="1" applyAlignment="1">
      <alignment horizontal="center"/>
    </xf>
    <xf numFmtId="165" fontId="14" fillId="0" borderId="7" xfId="1" applyNumberFormat="1" applyFont="1" applyBorder="1"/>
    <xf numFmtId="0" fontId="0" fillId="0" borderId="7" xfId="0" applyBorder="1"/>
    <xf numFmtId="0" fontId="10" fillId="20" borderId="7" xfId="0" applyFont="1" applyFill="1" applyBorder="1"/>
    <xf numFmtId="165" fontId="10" fillId="20" borderId="31" xfId="1" applyNumberFormat="1" applyFont="1" applyFill="1" applyBorder="1" applyAlignment="1">
      <alignment horizontal="center"/>
    </xf>
    <xf numFmtId="14" fontId="15" fillId="14" borderId="10" xfId="1" applyNumberFormat="1" applyFont="1" applyFill="1" applyBorder="1" applyAlignment="1">
      <alignment horizontal="center" vertical="center"/>
    </xf>
    <xf numFmtId="165" fontId="15" fillId="14" borderId="10" xfId="1" applyNumberFormat="1" applyFont="1" applyFill="1" applyBorder="1" applyAlignment="1">
      <alignment horizontal="center" vertical="center"/>
    </xf>
    <xf numFmtId="14" fontId="10" fillId="56" borderId="0" xfId="1" applyNumberFormat="1" applyFont="1" applyFill="1" applyAlignment="1">
      <alignment horizontal="center"/>
    </xf>
    <xf numFmtId="43" fontId="14" fillId="4" borderId="0" xfId="1" applyFont="1" applyFill="1" applyAlignment="1">
      <alignment horizontal="center"/>
    </xf>
    <xf numFmtId="165" fontId="14" fillId="4" borderId="0" xfId="1" applyNumberFormat="1" applyFont="1" applyFill="1" applyAlignment="1">
      <alignment horizontal="center"/>
    </xf>
    <xf numFmtId="0" fontId="10" fillId="0" borderId="5" xfId="0" applyFont="1" applyBorder="1" applyAlignment="1">
      <alignment vertical="center"/>
    </xf>
    <xf numFmtId="0" fontId="10" fillId="0" borderId="0" xfId="0" applyFont="1" applyAlignment="1">
      <alignment vertical="center"/>
    </xf>
    <xf numFmtId="0" fontId="4" fillId="0" borderId="5" xfId="1" applyNumberFormat="1" applyFont="1" applyFill="1" applyBorder="1" applyAlignment="1">
      <alignment vertical="center"/>
    </xf>
    <xf numFmtId="0" fontId="36" fillId="4" borderId="0" xfId="0" applyFont="1" applyFill="1" applyAlignment="1">
      <alignment vertical="center"/>
    </xf>
    <xf numFmtId="0" fontId="4" fillId="0" borderId="5" xfId="0" applyFont="1" applyBorder="1" applyAlignment="1">
      <alignment horizontal="left" vertical="center"/>
    </xf>
    <xf numFmtId="0" fontId="8" fillId="0" borderId="5" xfId="0" applyFont="1" applyBorder="1" applyAlignment="1">
      <alignment vertical="center"/>
    </xf>
    <xf numFmtId="0" fontId="10" fillId="0" borderId="0" xfId="0" applyFont="1" applyAlignment="1">
      <alignment horizontal="center" vertical="center"/>
    </xf>
    <xf numFmtId="0" fontId="10" fillId="21" borderId="5" xfId="0" applyFont="1" applyFill="1" applyBorder="1" applyAlignment="1">
      <alignment horizontal="center" vertical="center"/>
    </xf>
    <xf numFmtId="0" fontId="10" fillId="21" borderId="10" xfId="0" applyFont="1" applyFill="1" applyBorder="1" applyAlignment="1">
      <alignment horizontal="center" vertical="center"/>
    </xf>
    <xf numFmtId="0" fontId="10" fillId="21" borderId="1" xfId="0" applyFont="1" applyFill="1" applyBorder="1" applyAlignment="1">
      <alignment horizontal="center" vertical="center"/>
    </xf>
    <xf numFmtId="0" fontId="21" fillId="14" borderId="1" xfId="0" applyFont="1" applyFill="1" applyBorder="1" applyAlignment="1">
      <alignment horizontal="center" vertical="center"/>
    </xf>
    <xf numFmtId="0" fontId="10" fillId="14" borderId="1" xfId="0" applyFont="1" applyFill="1" applyBorder="1" applyAlignment="1">
      <alignment horizontal="center" vertical="center"/>
    </xf>
    <xf numFmtId="0" fontId="40" fillId="14" borderId="1" xfId="0" applyFont="1" applyFill="1" applyBorder="1" applyAlignment="1">
      <alignment horizontal="center" vertical="center"/>
    </xf>
    <xf numFmtId="0" fontId="31" fillId="0" borderId="1" xfId="0" applyFont="1" applyBorder="1" applyAlignment="1">
      <alignment vertical="center"/>
    </xf>
    <xf numFmtId="43" fontId="8" fillId="0" borderId="0" xfId="1" applyFont="1" applyFill="1" applyAlignment="1">
      <alignment vertical="center"/>
    </xf>
    <xf numFmtId="0" fontId="4" fillId="0" borderId="0" xfId="1" applyNumberFormat="1" applyFont="1" applyFill="1" applyAlignment="1">
      <alignment vertical="center"/>
    </xf>
    <xf numFmtId="165" fontId="4" fillId="0" borderId="0" xfId="1" applyNumberFormat="1" applyFont="1" applyFill="1" applyAlignment="1">
      <alignment vertical="center"/>
    </xf>
    <xf numFmtId="43" fontId="37" fillId="0" borderId="0" xfId="1" applyFont="1" applyFill="1" applyAlignment="1">
      <alignment vertical="center"/>
    </xf>
    <xf numFmtId="0" fontId="37" fillId="0" borderId="5" xfId="1" applyNumberFormat="1" applyFont="1" applyFill="1" applyBorder="1" applyAlignment="1">
      <alignment vertical="center"/>
    </xf>
    <xf numFmtId="165" fontId="8" fillId="0" borderId="5" xfId="1" applyNumberFormat="1" applyFont="1" applyFill="1" applyBorder="1" applyAlignment="1">
      <alignment vertical="center"/>
    </xf>
    <xf numFmtId="43" fontId="8" fillId="0" borderId="5" xfId="1" quotePrefix="1" applyFont="1" applyFill="1" applyBorder="1" applyAlignment="1">
      <alignment vertical="center"/>
    </xf>
    <xf numFmtId="43" fontId="8" fillId="0" borderId="0" xfId="1" quotePrefix="1" applyFont="1" applyFill="1" applyAlignment="1">
      <alignment vertical="center"/>
    </xf>
    <xf numFmtId="43" fontId="14" fillId="0" borderId="10" xfId="1" applyFont="1" applyBorder="1" applyAlignment="1">
      <alignment horizontal="center" vertical="center"/>
    </xf>
    <xf numFmtId="14" fontId="14" fillId="0" borderId="10" xfId="1" applyNumberFormat="1" applyFont="1" applyBorder="1" applyAlignment="1">
      <alignment horizontal="center" vertical="center"/>
    </xf>
    <xf numFmtId="165" fontId="14" fillId="0" borderId="10" xfId="1" applyNumberFormat="1" applyFont="1" applyBorder="1" applyAlignment="1">
      <alignment horizontal="center" vertical="center"/>
    </xf>
    <xf numFmtId="39" fontId="14" fillId="0" borderId="5" xfId="0" applyNumberFormat="1" applyFont="1" applyBorder="1" applyAlignment="1">
      <alignment vertical="center"/>
    </xf>
    <xf numFmtId="0" fontId="22" fillId="7" borderId="1" xfId="0" applyFont="1" applyFill="1" applyBorder="1" applyAlignment="1">
      <alignment horizontal="center" vertical="center"/>
    </xf>
    <xf numFmtId="14" fontId="14" fillId="0" borderId="5" xfId="0" applyNumberFormat="1" applyFont="1" applyBorder="1" applyAlignment="1">
      <alignment horizontal="center" vertical="center"/>
    </xf>
    <xf numFmtId="43" fontId="14" fillId="0" borderId="1" xfId="0" applyNumberFormat="1" applyFont="1" applyBorder="1" applyAlignment="1">
      <alignment horizontal="center" vertical="center"/>
    </xf>
    <xf numFmtId="43" fontId="0" fillId="0" borderId="0" xfId="0" applyNumberFormat="1" applyAlignment="1">
      <alignment horizontal="center" vertical="center"/>
    </xf>
    <xf numFmtId="43" fontId="14" fillId="0" borderId="1" xfId="1" applyFont="1" applyBorder="1" applyAlignment="1">
      <alignment vertical="center"/>
    </xf>
    <xf numFmtId="43" fontId="14" fillId="0" borderId="1" xfId="0" applyNumberFormat="1" applyFont="1" applyBorder="1" applyAlignment="1">
      <alignment vertical="center"/>
    </xf>
    <xf numFmtId="43" fontId="0" fillId="0" borderId="0" xfId="0" applyNumberFormat="1" applyAlignment="1">
      <alignment vertical="center"/>
    </xf>
    <xf numFmtId="0" fontId="23" fillId="0" borderId="1" xfId="0" applyFont="1" applyBorder="1" applyAlignment="1">
      <alignment vertical="center"/>
    </xf>
    <xf numFmtId="43" fontId="4" fillId="0" borderId="1" xfId="1" applyFont="1" applyBorder="1" applyAlignment="1">
      <alignment vertical="center"/>
    </xf>
    <xf numFmtId="43" fontId="0" fillId="0" borderId="5" xfId="0" applyNumberFormat="1" applyBorder="1" applyAlignment="1">
      <alignment vertical="center"/>
    </xf>
    <xf numFmtId="43" fontId="37" fillId="0" borderId="5" xfId="1" applyFont="1" applyFill="1" applyBorder="1" applyAlignment="1">
      <alignment vertical="center"/>
    </xf>
    <xf numFmtId="0" fontId="8" fillId="0" borderId="0" xfId="1" applyNumberFormat="1" applyFont="1" applyFill="1" applyAlignment="1">
      <alignment vertical="center"/>
    </xf>
    <xf numFmtId="41" fontId="8" fillId="0" borderId="0" xfId="1" applyNumberFormat="1" applyFont="1" applyFill="1" applyAlignment="1">
      <alignment vertical="center"/>
    </xf>
    <xf numFmtId="14" fontId="14" fillId="0" borderId="5" xfId="1" applyNumberFormat="1" applyFont="1" applyBorder="1" applyAlignment="1">
      <alignment horizontal="center" vertical="center"/>
    </xf>
    <xf numFmtId="165" fontId="14" fillId="0" borderId="5" xfId="1" applyNumberFormat="1" applyFont="1" applyBorder="1" applyAlignment="1">
      <alignment horizontal="center" vertical="center"/>
    </xf>
    <xf numFmtId="43" fontId="0" fillId="0" borderId="0" xfId="1" applyFont="1" applyAlignment="1">
      <alignment horizontal="left" vertical="center"/>
    </xf>
    <xf numFmtId="43" fontId="0" fillId="0" borderId="3" xfId="1" applyFont="1" applyBorder="1" applyAlignment="1">
      <alignment horizontal="left" vertical="center"/>
    </xf>
    <xf numFmtId="14" fontId="0" fillId="0" borderId="0" xfId="1" applyNumberFormat="1" applyFont="1" applyAlignment="1">
      <alignment vertical="center"/>
    </xf>
    <xf numFmtId="43" fontId="28" fillId="14" borderId="0" xfId="1" applyFont="1" applyFill="1" applyAlignment="1">
      <alignment vertical="center"/>
    </xf>
    <xf numFmtId="14" fontId="0" fillId="0" borderId="0" xfId="0" applyNumberFormat="1" applyAlignment="1">
      <alignment vertical="center"/>
    </xf>
    <xf numFmtId="43" fontId="14" fillId="0" borderId="1" xfId="1" applyFont="1" applyBorder="1" applyAlignment="1">
      <alignment horizontal="center" vertical="center"/>
    </xf>
    <xf numFmtId="43" fontId="14" fillId="0" borderId="1" xfId="1" applyFont="1" applyFill="1" applyBorder="1" applyAlignment="1">
      <alignment horizontal="center" vertical="center"/>
    </xf>
    <xf numFmtId="43" fontId="0" fillId="0" borderId="0" xfId="1" applyFont="1" applyFill="1" applyBorder="1" applyAlignment="1">
      <alignment horizontal="center" vertical="center"/>
    </xf>
    <xf numFmtId="43" fontId="8" fillId="0" borderId="0" xfId="1" applyFont="1" applyFill="1" applyBorder="1" applyAlignment="1">
      <alignment vertical="center"/>
    </xf>
    <xf numFmtId="0" fontId="0" fillId="0" borderId="10" xfId="0" applyBorder="1" applyAlignment="1">
      <alignment horizontal="center" vertical="center"/>
    </xf>
    <xf numFmtId="0" fontId="0" fillId="0" borderId="1" xfId="0" applyBorder="1" applyAlignment="1">
      <alignment vertical="center"/>
    </xf>
    <xf numFmtId="43" fontId="0" fillId="0" borderId="0" xfId="1" applyFont="1" applyBorder="1" applyAlignment="1">
      <alignment horizontal="center" vertical="center"/>
    </xf>
    <xf numFmtId="43" fontId="46" fillId="0" borderId="0" xfId="0" applyNumberFormat="1" applyFont="1" applyAlignment="1">
      <alignment vertical="center"/>
    </xf>
    <xf numFmtId="43" fontId="0" fillId="0" borderId="0" xfId="1" applyFont="1" applyFill="1" applyAlignment="1">
      <alignment vertical="center"/>
    </xf>
    <xf numFmtId="39" fontId="0" fillId="0" borderId="0" xfId="0" applyNumberFormat="1" applyAlignment="1">
      <alignment vertical="center"/>
    </xf>
    <xf numFmtId="170" fontId="14" fillId="0" borderId="1" xfId="1" applyNumberFormat="1" applyFont="1" applyBorder="1" applyAlignment="1">
      <alignment horizontal="center" vertical="center"/>
    </xf>
    <xf numFmtId="173" fontId="14" fillId="0" borderId="0" xfId="0" applyNumberFormat="1" applyFont="1" applyAlignment="1">
      <alignment vertical="center"/>
    </xf>
    <xf numFmtId="43" fontId="28" fillId="0" borderId="0" xfId="1" applyFont="1" applyAlignment="1">
      <alignment horizontal="center" vertical="center"/>
    </xf>
    <xf numFmtId="43" fontId="10" fillId="0" borderId="0" xfId="1" applyFont="1" applyAlignment="1">
      <alignment horizontal="center" vertical="center"/>
    </xf>
    <xf numFmtId="43" fontId="0" fillId="0" borderId="0" xfId="1" applyFont="1" applyBorder="1" applyAlignment="1">
      <alignment vertical="center"/>
    </xf>
    <xf numFmtId="0" fontId="4" fillId="0" borderId="0" xfId="1" applyNumberFormat="1" applyFont="1" applyFill="1" applyAlignment="1">
      <alignment horizontal="left" vertical="center"/>
    </xf>
    <xf numFmtId="0" fontId="9" fillId="0" borderId="5" xfId="2" quotePrefix="1" applyBorder="1" applyAlignment="1">
      <alignment horizontal="left" vertical="center"/>
    </xf>
    <xf numFmtId="174" fontId="28" fillId="57" borderId="0" xfId="1" applyNumberFormat="1" applyFont="1" applyFill="1" applyAlignment="1">
      <alignment horizontal="center"/>
    </xf>
    <xf numFmtId="165" fontId="14" fillId="0" borderId="0" xfId="1" applyNumberFormat="1" applyFont="1" applyFill="1" applyAlignment="1">
      <alignment horizontal="center"/>
    </xf>
    <xf numFmtId="3" fontId="0" fillId="0" borderId="0" xfId="0" applyNumberFormat="1"/>
    <xf numFmtId="165" fontId="14" fillId="0" borderId="0" xfId="1" applyNumberFormat="1" applyFont="1" applyAlignment="1">
      <alignment vertical="center"/>
    </xf>
    <xf numFmtId="14" fontId="10" fillId="0" borderId="0" xfId="0" applyNumberFormat="1" applyFont="1"/>
    <xf numFmtId="0" fontId="10" fillId="0" borderId="5" xfId="0" applyFont="1" applyBorder="1" applyAlignment="1">
      <alignment horizontal="center" vertical="center"/>
    </xf>
    <xf numFmtId="165" fontId="16" fillId="0" borderId="0" xfId="1" applyNumberFormat="1" applyFont="1"/>
    <xf numFmtId="0" fontId="14" fillId="0" borderId="0" xfId="1" applyNumberFormat="1" applyFont="1"/>
    <xf numFmtId="0" fontId="14" fillId="0" borderId="0" xfId="0" applyFont="1" applyAlignment="1">
      <alignment horizontal="left"/>
    </xf>
    <xf numFmtId="43" fontId="29" fillId="0" borderId="0" xfId="1" applyFont="1" applyFill="1" applyAlignment="1">
      <alignment horizontal="center" vertical="center"/>
    </xf>
    <xf numFmtId="14" fontId="10" fillId="2" borderId="0" xfId="0" applyNumberFormat="1" applyFont="1" applyFill="1"/>
    <xf numFmtId="14" fontId="69" fillId="0" borderId="0" xfId="0" applyNumberFormat="1" applyFont="1"/>
    <xf numFmtId="0" fontId="69" fillId="0" borderId="0" xfId="0" applyFont="1"/>
    <xf numFmtId="0" fontId="10" fillId="2" borderId="0" xfId="0" applyFont="1" applyFill="1" applyAlignment="1">
      <alignment wrapText="1"/>
    </xf>
    <xf numFmtId="0" fontId="45" fillId="60" borderId="1" xfId="0" applyFont="1" applyFill="1" applyBorder="1" applyAlignment="1">
      <alignment horizontal="center" vertical="center"/>
    </xf>
    <xf numFmtId="175" fontId="0" fillId="0" borderId="0" xfId="1" applyNumberFormat="1" applyFont="1"/>
    <xf numFmtId="165" fontId="95" fillId="0" borderId="0" xfId="1" applyNumberFormat="1" applyFont="1" applyBorder="1" applyAlignment="1">
      <alignment horizontal="center" vertical="center"/>
    </xf>
    <xf numFmtId="176" fontId="0" fillId="0" borderId="0" xfId="0" applyNumberFormat="1"/>
    <xf numFmtId="0" fontId="7" fillId="0" borderId="0" xfId="0" applyFont="1"/>
    <xf numFmtId="177" fontId="0" fillId="0" borderId="0" xfId="11" applyNumberFormat="1" applyFont="1"/>
    <xf numFmtId="165" fontId="10" fillId="0" borderId="32" xfId="1" applyNumberFormat="1" applyFont="1" applyFill="1" applyBorder="1" applyAlignment="1">
      <alignment horizontal="center"/>
    </xf>
    <xf numFmtId="0" fontId="10" fillId="0" borderId="32" xfId="0" applyFont="1" applyBorder="1" applyAlignment="1">
      <alignment horizontal="left"/>
    </xf>
    <xf numFmtId="0" fontId="10" fillId="0" borderId="33" xfId="1" applyNumberFormat="1" applyFont="1" applyFill="1" applyBorder="1"/>
    <xf numFmtId="165" fontId="14" fillId="65" borderId="0" xfId="1" applyNumberFormat="1" applyFont="1" applyFill="1" applyBorder="1" applyAlignment="1">
      <alignment horizontal="center"/>
    </xf>
    <xf numFmtId="0" fontId="14" fillId="65" borderId="34" xfId="1" applyNumberFormat="1" applyFont="1" applyFill="1" applyBorder="1"/>
    <xf numFmtId="164" fontId="14" fillId="0" borderId="0" xfId="1" applyNumberFormat="1" applyFont="1"/>
    <xf numFmtId="14" fontId="29" fillId="16" borderId="0" xfId="0" applyNumberFormat="1" applyFont="1" applyFill="1" applyAlignment="1">
      <alignment horizontal="center" vertical="center"/>
    </xf>
    <xf numFmtId="0" fontId="29" fillId="0" borderId="0" xfId="0" applyFont="1"/>
    <xf numFmtId="0" fontId="92" fillId="2" borderId="0" xfId="0" applyFont="1" applyFill="1" applyAlignment="1">
      <alignment horizontal="right"/>
    </xf>
    <xf numFmtId="0" fontId="0" fillId="0" borderId="5" xfId="0" applyBorder="1" applyAlignment="1">
      <alignment horizontal="center" vertical="center" wrapText="1"/>
    </xf>
    <xf numFmtId="165" fontId="28" fillId="0" borderId="0" xfId="1" applyNumberFormat="1" applyFont="1" applyFill="1" applyAlignment="1">
      <alignment horizontal="center"/>
    </xf>
    <xf numFmtId="0" fontId="88" fillId="0" borderId="0" xfId="0" applyFont="1" applyAlignment="1">
      <alignment horizontal="center" vertical="center"/>
    </xf>
    <xf numFmtId="0" fontId="88" fillId="0" borderId="0" xfId="1" applyNumberFormat="1" applyFont="1" applyFill="1" applyBorder="1" applyAlignment="1">
      <alignment horizontal="center" vertical="center"/>
    </xf>
    <xf numFmtId="165" fontId="88" fillId="0" borderId="0" xfId="1" applyNumberFormat="1" applyFont="1" applyFill="1" applyBorder="1" applyAlignment="1">
      <alignment horizontal="center" vertical="center"/>
    </xf>
    <xf numFmtId="14" fontId="88" fillId="0" borderId="0" xfId="0" applyNumberFormat="1" applyFont="1" applyAlignment="1">
      <alignment horizontal="center" vertical="center"/>
    </xf>
    <xf numFmtId="43" fontId="88" fillId="0" borderId="0" xfId="1" applyFont="1" applyFill="1" applyBorder="1" applyAlignment="1">
      <alignment horizontal="center" vertical="center" wrapText="1"/>
    </xf>
    <xf numFmtId="0" fontId="88" fillId="0" borderId="0" xfId="1" applyNumberFormat="1" applyFont="1" applyFill="1" applyBorder="1" applyAlignment="1">
      <alignment horizontal="center" vertical="center" wrapText="1"/>
    </xf>
    <xf numFmtId="165" fontId="88" fillId="0" borderId="35" xfId="1" applyNumberFormat="1" applyFont="1" applyFill="1" applyBorder="1" applyAlignment="1">
      <alignment horizontal="center" vertical="center" wrapText="1"/>
    </xf>
    <xf numFmtId="43" fontId="88" fillId="0" borderId="0" xfId="1" applyFont="1" applyFill="1" applyAlignment="1">
      <alignment horizontal="center" vertical="center" wrapText="1"/>
    </xf>
    <xf numFmtId="165" fontId="88" fillId="0" borderId="0" xfId="1" applyNumberFormat="1" applyFont="1" applyFill="1" applyAlignment="1">
      <alignment horizontal="center" vertical="center" wrapText="1"/>
    </xf>
    <xf numFmtId="165" fontId="10" fillId="0" borderId="0" xfId="1" applyNumberFormat="1" applyFont="1" applyAlignment="1">
      <alignment horizontal="center" vertical="center" wrapText="1"/>
    </xf>
    <xf numFmtId="0" fontId="10" fillId="0" borderId="0" xfId="1" applyNumberFormat="1" applyFont="1" applyAlignment="1">
      <alignment horizontal="center" vertical="center" wrapText="1"/>
    </xf>
    <xf numFmtId="0" fontId="42" fillId="0" borderId="0" xfId="0" applyFont="1" applyAlignment="1">
      <alignment horizontal="center" vertical="center"/>
    </xf>
    <xf numFmtId="165" fontId="42" fillId="0" borderId="0" xfId="1" applyNumberFormat="1" applyFont="1" applyFill="1" applyBorder="1" applyAlignment="1">
      <alignment vertical="center"/>
    </xf>
    <xf numFmtId="165" fontId="42" fillId="0" borderId="0" xfId="1" applyNumberFormat="1" applyFont="1" applyFill="1" applyAlignment="1">
      <alignment vertical="center"/>
    </xf>
    <xf numFmtId="14" fontId="42" fillId="0" borderId="0" xfId="1" applyNumberFormat="1" applyFont="1" applyFill="1" applyBorder="1" applyAlignment="1">
      <alignment vertical="center"/>
    </xf>
    <xf numFmtId="172" fontId="42" fillId="0" borderId="0" xfId="1" applyNumberFormat="1" applyFont="1" applyFill="1" applyBorder="1" applyAlignment="1">
      <alignment vertical="center"/>
    </xf>
    <xf numFmtId="165" fontId="42" fillId="0" borderId="35" xfId="1" applyNumberFormat="1" applyFont="1" applyFill="1" applyBorder="1" applyAlignment="1">
      <alignment vertical="center"/>
    </xf>
    <xf numFmtId="0" fontId="42" fillId="0" borderId="0" xfId="1" applyNumberFormat="1" applyFont="1" applyFill="1" applyBorder="1" applyAlignment="1">
      <alignment vertical="center"/>
    </xf>
    <xf numFmtId="165" fontId="0" fillId="0" borderId="0" xfId="1" applyNumberFormat="1" applyFont="1" applyFill="1" applyAlignment="1">
      <alignment vertical="center"/>
    </xf>
    <xf numFmtId="174" fontId="0" fillId="0" borderId="0" xfId="1" applyNumberFormat="1" applyFont="1" applyFill="1" applyAlignment="1">
      <alignment horizontal="center" vertical="center"/>
    </xf>
    <xf numFmtId="165" fontId="0" fillId="0" borderId="0" xfId="1" applyNumberFormat="1" applyFont="1" applyFill="1" applyAlignment="1">
      <alignment horizontal="center" vertical="center"/>
    </xf>
    <xf numFmtId="170" fontId="0" fillId="0" borderId="0" xfId="1" applyNumberFormat="1" applyFont="1" applyAlignment="1">
      <alignment horizontal="center" vertical="center"/>
    </xf>
    <xf numFmtId="165" fontId="0" fillId="0" borderId="0" xfId="1" applyNumberFormat="1" applyFont="1" applyAlignment="1">
      <alignment horizontal="center" vertical="center"/>
    </xf>
    <xf numFmtId="43" fontId="42" fillId="0" borderId="0" xfId="1" applyFont="1" applyFill="1" applyBorder="1" applyAlignment="1">
      <alignment vertical="center"/>
    </xf>
    <xf numFmtId="43" fontId="0" fillId="0" borderId="0" xfId="1" applyFont="1" applyAlignment="1">
      <alignment horizontal="center" vertical="center"/>
    </xf>
    <xf numFmtId="0" fontId="42" fillId="0" borderId="35" xfId="0" applyFont="1" applyBorder="1" applyAlignment="1">
      <alignment horizontal="center" vertical="center"/>
    </xf>
    <xf numFmtId="0" fontId="42" fillId="0" borderId="0" xfId="0" applyFont="1" applyAlignment="1">
      <alignment vertical="center"/>
    </xf>
    <xf numFmtId="14" fontId="42" fillId="0" borderId="0" xfId="0" applyNumberFormat="1" applyFont="1" applyAlignment="1">
      <alignment vertical="center"/>
    </xf>
    <xf numFmtId="165" fontId="88" fillId="2" borderId="0" xfId="1" applyNumberFormat="1" applyFont="1" applyFill="1" applyAlignment="1">
      <alignment vertical="center"/>
    </xf>
    <xf numFmtId="0" fontId="35" fillId="0" borderId="1" xfId="0" quotePrefix="1" applyFont="1" applyBorder="1" applyAlignment="1">
      <alignment horizontal="center" vertical="center"/>
    </xf>
    <xf numFmtId="165" fontId="88" fillId="18" borderId="35" xfId="1" applyNumberFormat="1" applyFont="1" applyFill="1" applyBorder="1" applyAlignment="1">
      <alignment horizontal="center" vertical="center" wrapText="1"/>
    </xf>
    <xf numFmtId="165" fontId="42" fillId="18" borderId="35" xfId="1" applyNumberFormat="1" applyFont="1" applyFill="1" applyBorder="1" applyAlignment="1">
      <alignment vertical="center"/>
    </xf>
    <xf numFmtId="165" fontId="0" fillId="0" borderId="35" xfId="1" applyNumberFormat="1" applyFont="1" applyFill="1" applyBorder="1" applyAlignment="1">
      <alignment vertical="center"/>
    </xf>
    <xf numFmtId="165" fontId="10" fillId="0" borderId="35" xfId="1" applyNumberFormat="1" applyFont="1" applyFill="1" applyBorder="1" applyAlignment="1">
      <alignment horizontal="center" vertical="center" wrapText="1"/>
    </xf>
    <xf numFmtId="0" fontId="10" fillId="3" borderId="5" xfId="0" applyFont="1" applyFill="1" applyBorder="1" applyAlignment="1">
      <alignment horizontal="center" vertical="center" wrapText="1"/>
    </xf>
    <xf numFmtId="0" fontId="10" fillId="2" borderId="5" xfId="0" applyFont="1" applyFill="1" applyBorder="1" applyAlignment="1">
      <alignment horizontal="center" vertical="center" wrapText="1"/>
    </xf>
    <xf numFmtId="0" fontId="10" fillId="2" borderId="0" xfId="0" applyFont="1" applyFill="1" applyAlignment="1">
      <alignment horizontal="center" vertical="center" wrapText="1"/>
    </xf>
    <xf numFmtId="0" fontId="69" fillId="68" borderId="0" xfId="0" applyFont="1" applyFill="1" applyAlignment="1">
      <alignment vertical="center"/>
    </xf>
    <xf numFmtId="14" fontId="69" fillId="68" borderId="0" xfId="0" applyNumberFormat="1" applyFont="1" applyFill="1" applyAlignment="1">
      <alignment vertical="center"/>
    </xf>
    <xf numFmtId="0" fontId="69" fillId="69" borderId="0" xfId="0" applyFont="1" applyFill="1" applyAlignment="1">
      <alignment vertical="center"/>
    </xf>
    <xf numFmtId="43" fontId="69" fillId="69" borderId="0" xfId="1" applyFont="1" applyFill="1" applyBorder="1" applyAlignment="1">
      <alignment horizontal="center" vertical="center"/>
    </xf>
    <xf numFmtId="165" fontId="69" fillId="69" borderId="0" xfId="1" applyNumberFormat="1" applyFont="1" applyFill="1" applyBorder="1" applyAlignment="1">
      <alignment vertical="center"/>
    </xf>
    <xf numFmtId="165" fontId="69" fillId="69" borderId="0" xfId="1" applyNumberFormat="1" applyFont="1" applyFill="1" applyBorder="1" applyAlignment="1">
      <alignment vertical="center" wrapText="1"/>
    </xf>
    <xf numFmtId="165" fontId="88" fillId="0" borderId="0" xfId="1" applyNumberFormat="1" applyFont="1" applyFill="1" applyBorder="1" applyAlignment="1">
      <alignment vertical="center"/>
    </xf>
    <xf numFmtId="0" fontId="10" fillId="2" borderId="0" xfId="0" applyFont="1" applyFill="1" applyAlignment="1">
      <alignment vertical="center"/>
    </xf>
    <xf numFmtId="165" fontId="0" fillId="0" borderId="5" xfId="0" applyNumberFormat="1" applyBorder="1" applyAlignment="1">
      <alignment horizontal="center" vertical="center" wrapText="1"/>
    </xf>
    <xf numFmtId="165" fontId="0" fillId="0" borderId="0" xfId="1" applyNumberFormat="1" applyFont="1" applyFill="1" applyBorder="1" applyAlignment="1">
      <alignment vertical="center"/>
    </xf>
    <xf numFmtId="0" fontId="0" fillId="0" borderId="0" xfId="1" applyNumberFormat="1" applyFont="1" applyFill="1" applyBorder="1" applyAlignment="1">
      <alignment vertical="center"/>
    </xf>
    <xf numFmtId="165" fontId="14" fillId="0" borderId="0" xfId="1" applyNumberFormat="1" applyFont="1" applyFill="1" applyBorder="1" applyAlignment="1">
      <alignment vertical="center"/>
    </xf>
    <xf numFmtId="165" fontId="10" fillId="3" borderId="5" xfId="0" applyNumberFormat="1" applyFont="1" applyFill="1" applyBorder="1" applyAlignment="1">
      <alignment horizontal="center" vertical="center" wrapText="1"/>
    </xf>
    <xf numFmtId="0" fontId="0" fillId="0" borderId="0" xfId="0" applyAlignment="1">
      <alignment horizontal="center" vertical="center" wrapText="1"/>
    </xf>
    <xf numFmtId="0" fontId="0" fillId="2" borderId="5" xfId="0" applyFill="1" applyBorder="1" applyAlignment="1">
      <alignment horizontal="center" vertical="center" wrapText="1"/>
    </xf>
    <xf numFmtId="43" fontId="0" fillId="0" borderId="5" xfId="0" applyNumberFormat="1" applyBorder="1" applyAlignment="1">
      <alignment horizontal="center" vertical="center" wrapText="1"/>
    </xf>
    <xf numFmtId="43" fontId="10" fillId="3" borderId="5" xfId="0" applyNumberFormat="1" applyFont="1" applyFill="1" applyBorder="1" applyAlignment="1">
      <alignment horizontal="center" vertical="center" wrapText="1"/>
    </xf>
    <xf numFmtId="165" fontId="28" fillId="69" borderId="0" xfId="1" applyNumberFormat="1" applyFont="1" applyFill="1" applyBorder="1" applyAlignment="1">
      <alignment horizontal="center" vertical="center" wrapText="1"/>
    </xf>
    <xf numFmtId="165" fontId="28" fillId="69" borderId="0" xfId="1" applyNumberFormat="1" applyFont="1" applyFill="1" applyBorder="1" applyAlignment="1">
      <alignment vertical="center"/>
    </xf>
    <xf numFmtId="0" fontId="28" fillId="69" borderId="0" xfId="1" applyNumberFormat="1" applyFont="1" applyFill="1" applyBorder="1" applyAlignment="1">
      <alignment vertical="center"/>
    </xf>
    <xf numFmtId="0" fontId="14" fillId="0" borderId="0" xfId="1" applyNumberFormat="1" applyFont="1" applyFill="1" applyBorder="1" applyAlignment="1">
      <alignment vertical="center"/>
    </xf>
    <xf numFmtId="0" fontId="3" fillId="67" borderId="0" xfId="0" quotePrefix="1" applyFont="1" applyFill="1"/>
    <xf numFmtId="0" fontId="7" fillId="3" borderId="5" xfId="0" applyFont="1" applyFill="1" applyBorder="1"/>
    <xf numFmtId="165" fontId="8" fillId="0" borderId="5" xfId="1" applyNumberFormat="1" applyFont="1" applyBorder="1" applyAlignment="1">
      <alignment vertical="center"/>
    </xf>
    <xf numFmtId="0" fontId="0" fillId="0" borderId="10" xfId="0" applyBorder="1"/>
    <xf numFmtId="0" fontId="88" fillId="0" borderId="0" xfId="1" applyNumberFormat="1" applyFont="1" applyFill="1" applyBorder="1" applyAlignment="1">
      <alignment vertical="center"/>
    </xf>
    <xf numFmtId="43" fontId="8" fillId="0" borderId="0" xfId="1" applyFont="1"/>
    <xf numFmtId="0" fontId="4" fillId="0" borderId="0" xfId="1" applyNumberFormat="1" applyFont="1" applyFill="1" applyBorder="1" applyAlignment="1">
      <alignment horizontal="left" vertical="center"/>
    </xf>
    <xf numFmtId="0" fontId="3" fillId="16" borderId="0" xfId="0" applyFont="1" applyFill="1" applyAlignment="1">
      <alignment horizontal="center" vertical="center"/>
    </xf>
    <xf numFmtId="0" fontId="3" fillId="16" borderId="0" xfId="0" applyFont="1" applyFill="1" applyAlignment="1">
      <alignment horizontal="left" vertical="center"/>
    </xf>
    <xf numFmtId="0" fontId="4" fillId="0" borderId="0" xfId="1" applyNumberFormat="1" applyFont="1"/>
    <xf numFmtId="43" fontId="0" fillId="0" borderId="0" xfId="0" quotePrefix="1" applyNumberFormat="1" applyAlignment="1">
      <alignment horizontal="center" vertical="center"/>
    </xf>
    <xf numFmtId="43" fontId="0" fillId="0" borderId="0" xfId="0" quotePrefix="1" applyNumberFormat="1" applyAlignment="1">
      <alignment horizontal="left" vertical="center"/>
    </xf>
    <xf numFmtId="43" fontId="14" fillId="0" borderId="5" xfId="1" applyFont="1" applyBorder="1" applyAlignment="1">
      <alignment horizontal="left" vertical="center"/>
    </xf>
    <xf numFmtId="178" fontId="0" fillId="0" borderId="0" xfId="0" applyNumberFormat="1" applyAlignment="1">
      <alignment horizontal="left" vertical="center"/>
    </xf>
    <xf numFmtId="0" fontId="0" fillId="18" borderId="5" xfId="0" applyFill="1" applyBorder="1" applyAlignment="1">
      <alignment horizontal="left"/>
    </xf>
    <xf numFmtId="0" fontId="0" fillId="18" borderId="5" xfId="0" applyFill="1" applyBorder="1"/>
    <xf numFmtId="0" fontId="101" fillId="0" borderId="0" xfId="2" applyFont="1"/>
    <xf numFmtId="179" fontId="0" fillId="0" borderId="0" xfId="1" applyNumberFormat="1" applyFont="1" applyFill="1"/>
    <xf numFmtId="41" fontId="0" fillId="0" borderId="0" xfId="111" applyFont="1"/>
    <xf numFmtId="41" fontId="0" fillId="0" borderId="0" xfId="111" applyFont="1" applyFill="1"/>
    <xf numFmtId="180" fontId="0" fillId="0" borderId="0" xfId="0" applyNumberFormat="1"/>
    <xf numFmtId="179" fontId="0" fillId="0" borderId="0" xfId="0" applyNumberFormat="1"/>
    <xf numFmtId="41" fontId="28" fillId="55" borderId="0" xfId="111" applyFont="1" applyFill="1" applyAlignment="1">
      <alignment horizontal="center"/>
    </xf>
    <xf numFmtId="41" fontId="0" fillId="0" borderId="0" xfId="111" applyFont="1" applyAlignment="1">
      <alignment horizontal="center"/>
    </xf>
    <xf numFmtId="14" fontId="90" fillId="0" borderId="0" xfId="0" applyNumberFormat="1" applyFont="1"/>
    <xf numFmtId="41" fontId="90" fillId="0" borderId="0" xfId="111" applyFont="1"/>
    <xf numFmtId="14" fontId="0" fillId="0" borderId="0" xfId="0" applyNumberFormat="1" applyAlignment="1">
      <alignment horizontal="center" vertical="center"/>
    </xf>
    <xf numFmtId="0" fontId="14" fillId="0" borderId="0" xfId="11" applyNumberFormat="1" applyFont="1"/>
    <xf numFmtId="0" fontId="0" fillId="0" borderId="24" xfId="0" applyBorder="1"/>
    <xf numFmtId="43" fontId="0" fillId="0" borderId="0" xfId="0" applyNumberFormat="1" applyAlignment="1">
      <alignment horizontal="left" vertical="center"/>
    </xf>
    <xf numFmtId="41" fontId="10" fillId="0" borderId="0" xfId="111" applyFont="1"/>
    <xf numFmtId="0" fontId="0" fillId="0" borderId="1" xfId="0" applyBorder="1" applyAlignment="1">
      <alignment horizontal="center" vertical="center"/>
    </xf>
    <xf numFmtId="0" fontId="4" fillId="0" borderId="5" xfId="1" applyNumberFormat="1" applyFont="1" applyFill="1" applyBorder="1" applyAlignment="1">
      <alignment horizontal="left" vertical="center"/>
    </xf>
    <xf numFmtId="0" fontId="21" fillId="14" borderId="1" xfId="0" applyFont="1" applyFill="1" applyBorder="1" applyAlignment="1">
      <alignment horizontal="left" vertical="center"/>
    </xf>
    <xf numFmtId="165" fontId="42" fillId="0" borderId="0" xfId="1" applyNumberFormat="1" applyFont="1" applyFill="1" applyBorder="1" applyAlignment="1">
      <alignment horizontal="left" vertical="center"/>
    </xf>
    <xf numFmtId="41" fontId="0" fillId="0" borderId="0" xfId="0" applyNumberFormat="1" applyAlignment="1">
      <alignment horizontal="left" vertical="center"/>
    </xf>
    <xf numFmtId="165" fontId="0" fillId="0" borderId="0" xfId="1" applyNumberFormat="1" applyFont="1" applyAlignment="1">
      <alignment horizontal="left" vertical="center"/>
    </xf>
    <xf numFmtId="174" fontId="28" fillId="55" borderId="0" xfId="1" applyNumberFormat="1" applyFont="1" applyFill="1" applyAlignment="1">
      <alignment horizontal="center"/>
    </xf>
    <xf numFmtId="174" fontId="0" fillId="0" borderId="0" xfId="0" applyNumberFormat="1" applyAlignment="1">
      <alignment horizontal="center"/>
    </xf>
    <xf numFmtId="0" fontId="69" fillId="0" borderId="0" xfId="0" applyFont="1" applyAlignment="1">
      <alignment horizontal="center" vertical="center"/>
    </xf>
    <xf numFmtId="14" fontId="0" fillId="0" borderId="0" xfId="111" applyNumberFormat="1" applyFont="1" applyFill="1"/>
    <xf numFmtId="41" fontId="14" fillId="0" borderId="0" xfId="111" applyFont="1"/>
    <xf numFmtId="0" fontId="100" fillId="0" borderId="0" xfId="0" applyFont="1" applyAlignment="1">
      <alignment vertical="center"/>
    </xf>
    <xf numFmtId="41" fontId="0" fillId="0" borderId="5" xfId="0" applyNumberFormat="1" applyBorder="1" applyAlignment="1">
      <alignment vertical="center"/>
    </xf>
    <xf numFmtId="165" fontId="88" fillId="0" borderId="0" xfId="1" applyNumberFormat="1" applyFont="1" applyFill="1" applyBorder="1" applyAlignment="1">
      <alignment horizontal="center" vertical="center" wrapText="1"/>
    </xf>
    <xf numFmtId="165" fontId="0" fillId="0" borderId="0" xfId="1" applyNumberFormat="1" applyFont="1" applyBorder="1" applyAlignment="1">
      <alignment vertical="center"/>
    </xf>
    <xf numFmtId="0" fontId="0" fillId="0" borderId="0" xfId="0" quotePrefix="1"/>
    <xf numFmtId="0" fontId="102" fillId="0" borderId="0" xfId="0" applyFont="1"/>
    <xf numFmtId="41" fontId="0" fillId="0" borderId="0" xfId="111" applyFont="1" applyAlignment="1">
      <alignment vertical="center"/>
    </xf>
    <xf numFmtId="14" fontId="0" fillId="0" borderId="0" xfId="111" applyNumberFormat="1" applyFont="1" applyAlignment="1">
      <alignment vertical="center"/>
    </xf>
    <xf numFmtId="0" fontId="0" fillId="0" borderId="0" xfId="111" applyNumberFormat="1" applyFont="1" applyAlignment="1">
      <alignment vertical="center"/>
    </xf>
    <xf numFmtId="165" fontId="14" fillId="0" borderId="0" xfId="0" applyNumberFormat="1" applyFont="1" applyAlignment="1">
      <alignment vertical="center"/>
    </xf>
    <xf numFmtId="41" fontId="14" fillId="0" borderId="0" xfId="111" applyFont="1" applyAlignment="1">
      <alignment vertical="center"/>
    </xf>
    <xf numFmtId="17" fontId="4" fillId="0" borderId="1" xfId="0" quotePrefix="1" applyNumberFormat="1" applyFont="1" applyBorder="1" applyAlignment="1">
      <alignment vertical="center"/>
    </xf>
    <xf numFmtId="0" fontId="10" fillId="0" borderId="24" xfId="0" applyFont="1" applyBorder="1" applyAlignment="1">
      <alignment vertical="center"/>
    </xf>
    <xf numFmtId="41" fontId="2" fillId="0" borderId="24" xfId="111" applyFont="1" applyBorder="1" applyAlignment="1">
      <alignment vertical="center"/>
    </xf>
    <xf numFmtId="41" fontId="0" fillId="0" borderId="24" xfId="0" applyNumberFormat="1" applyBorder="1" applyAlignment="1">
      <alignment vertical="center"/>
    </xf>
    <xf numFmtId="41" fontId="0" fillId="0" borderId="24" xfId="111" applyFont="1" applyBorder="1" applyAlignment="1">
      <alignment vertical="center"/>
    </xf>
    <xf numFmtId="0" fontId="10" fillId="0" borderId="3" xfId="0" applyFont="1" applyBorder="1" applyAlignment="1">
      <alignment vertical="center"/>
    </xf>
    <xf numFmtId="41" fontId="2" fillId="0" borderId="3" xfId="111" applyFont="1" applyBorder="1" applyAlignment="1">
      <alignment vertical="center"/>
    </xf>
    <xf numFmtId="41" fontId="0" fillId="0" borderId="3" xfId="0" applyNumberFormat="1" applyBorder="1" applyAlignment="1">
      <alignment vertical="center"/>
    </xf>
    <xf numFmtId="41" fontId="0" fillId="0" borderId="3" xfId="111" applyFont="1" applyBorder="1" applyAlignment="1">
      <alignment vertical="center"/>
    </xf>
    <xf numFmtId="0" fontId="0" fillId="0" borderId="5" xfId="0" quotePrefix="1" applyBorder="1" applyAlignment="1">
      <alignment vertical="center"/>
    </xf>
    <xf numFmtId="165" fontId="10" fillId="0" borderId="0" xfId="1" applyNumberFormat="1" applyFont="1" applyFill="1" applyBorder="1" applyAlignment="1">
      <alignment horizontal="center" vertical="center" wrapText="1"/>
    </xf>
    <xf numFmtId="165" fontId="0" fillId="0" borderId="0" xfId="1" applyNumberFormat="1" applyFont="1" applyFill="1" applyBorder="1" applyAlignment="1">
      <alignment horizontal="center" vertical="center"/>
    </xf>
    <xf numFmtId="0" fontId="84" fillId="0" borderId="5" xfId="0" applyFont="1" applyBorder="1" applyAlignment="1">
      <alignment horizontal="right" vertical="center"/>
    </xf>
    <xf numFmtId="165" fontId="84" fillId="0" borderId="5" xfId="1" applyNumberFormat="1" applyFont="1" applyBorder="1" applyAlignment="1">
      <alignment horizontal="center" vertical="center"/>
    </xf>
    <xf numFmtId="0" fontId="84" fillId="0" borderId="5" xfId="0" applyFont="1" applyBorder="1" applyAlignment="1">
      <alignment horizontal="center" vertical="center"/>
    </xf>
    <xf numFmtId="0" fontId="85" fillId="0" borderId="5" xfId="0" applyFont="1" applyBorder="1" applyAlignment="1">
      <alignment horizontal="center" vertical="center"/>
    </xf>
    <xf numFmtId="0" fontId="85" fillId="0" borderId="5" xfId="0" applyFont="1" applyBorder="1" applyAlignment="1">
      <alignment vertical="center"/>
    </xf>
    <xf numFmtId="165" fontId="95" fillId="0" borderId="5" xfId="1" applyNumberFormat="1" applyFont="1" applyBorder="1" applyAlignment="1">
      <alignment horizontal="center" vertical="center"/>
    </xf>
    <xf numFmtId="0" fontId="85" fillId="0" borderId="5" xfId="0" applyFont="1" applyBorder="1" applyAlignment="1">
      <alignment vertical="center" wrapText="1"/>
    </xf>
    <xf numFmtId="41" fontId="10" fillId="0" borderId="0" xfId="0" applyNumberFormat="1" applyFont="1" applyAlignment="1">
      <alignment vertical="center"/>
    </xf>
    <xf numFmtId="41" fontId="0" fillId="0" borderId="0" xfId="0" applyNumberFormat="1" applyAlignment="1">
      <alignment vertical="center"/>
    </xf>
    <xf numFmtId="0" fontId="8" fillId="0" borderId="5" xfId="0" applyFont="1" applyBorder="1"/>
    <xf numFmtId="0" fontId="10" fillId="0" borderId="8"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41" fontId="14" fillId="0" borderId="0" xfId="0" applyNumberFormat="1" applyFont="1"/>
    <xf numFmtId="0" fontId="29" fillId="59" borderId="5" xfId="1" applyNumberFormat="1" applyFont="1" applyFill="1" applyBorder="1" applyAlignment="1">
      <alignment horizontal="left" vertical="center"/>
    </xf>
    <xf numFmtId="14" fontId="8" fillId="0" borderId="5" xfId="1" applyNumberFormat="1" applyFont="1" applyFill="1" applyBorder="1" applyAlignment="1">
      <alignment horizontal="center" vertical="center"/>
    </xf>
    <xf numFmtId="14" fontId="37" fillId="0" borderId="5" xfId="1" applyNumberFormat="1" applyFont="1" applyFill="1" applyBorder="1" applyAlignment="1">
      <alignment horizontal="center" vertical="center"/>
    </xf>
    <xf numFmtId="14" fontId="29" fillId="59" borderId="5" xfId="1" applyNumberFormat="1" applyFont="1" applyFill="1" applyBorder="1" applyAlignment="1">
      <alignment horizontal="center" vertical="center"/>
    </xf>
    <xf numFmtId="0" fontId="37" fillId="0" borderId="0" xfId="1" applyNumberFormat="1" applyFont="1" applyFill="1" applyBorder="1" applyAlignment="1">
      <alignment vertical="center"/>
    </xf>
    <xf numFmtId="43" fontId="37" fillId="0" borderId="0" xfId="1" applyFont="1" applyFill="1" applyBorder="1" applyAlignment="1">
      <alignment vertical="center"/>
    </xf>
    <xf numFmtId="41" fontId="37" fillId="0" borderId="0" xfId="111" applyFont="1" applyFill="1" applyAlignment="1">
      <alignment vertical="center"/>
    </xf>
    <xf numFmtId="181" fontId="14" fillId="0" borderId="0" xfId="111" applyNumberFormat="1" applyFont="1"/>
    <xf numFmtId="174" fontId="14" fillId="0" borderId="0" xfId="1" applyNumberFormat="1" applyFont="1"/>
    <xf numFmtId="182" fontId="37" fillId="0" borderId="0" xfId="111" applyNumberFormat="1" applyFont="1" applyFill="1" applyAlignment="1">
      <alignment vertical="center"/>
    </xf>
    <xf numFmtId="183" fontId="37" fillId="0" borderId="0" xfId="1" applyNumberFormat="1" applyFont="1" applyFill="1" applyAlignment="1">
      <alignment vertical="center"/>
    </xf>
    <xf numFmtId="41" fontId="0" fillId="0" borderId="5" xfId="111" applyFont="1" applyBorder="1" applyAlignment="1">
      <alignment vertical="center"/>
    </xf>
    <xf numFmtId="3" fontId="14" fillId="0" borderId="0" xfId="0" applyNumberFormat="1" applyFont="1"/>
    <xf numFmtId="0" fontId="24" fillId="0" borderId="5" xfId="0" applyFont="1" applyBorder="1" applyAlignment="1">
      <alignment horizontal="center" vertical="center" wrapText="1"/>
    </xf>
    <xf numFmtId="0" fontId="24" fillId="0" borderId="0" xfId="0" applyFont="1" applyAlignment="1">
      <alignment horizontal="center"/>
    </xf>
    <xf numFmtId="0" fontId="24" fillId="0" borderId="24" xfId="0" applyFont="1" applyBorder="1" applyAlignment="1">
      <alignment horizontal="center" vertical="center" wrapText="1"/>
    </xf>
    <xf numFmtId="41" fontId="37" fillId="0" borderId="5" xfId="1" applyNumberFormat="1" applyFont="1" applyFill="1" applyBorder="1" applyAlignment="1">
      <alignment vertical="center"/>
    </xf>
    <xf numFmtId="0" fontId="8" fillId="0" borderId="5" xfId="1" applyNumberFormat="1" applyFont="1" applyFill="1" applyBorder="1" applyAlignment="1">
      <alignment vertical="center"/>
    </xf>
    <xf numFmtId="0" fontId="15" fillId="59" borderId="5" xfId="1" applyNumberFormat="1" applyFont="1" applyFill="1" applyBorder="1" applyAlignment="1">
      <alignment vertical="center"/>
    </xf>
    <xf numFmtId="0" fontId="29" fillId="59" borderId="5" xfId="1" applyNumberFormat="1" applyFont="1" applyFill="1" applyBorder="1" applyAlignment="1">
      <alignment vertical="center"/>
    </xf>
    <xf numFmtId="41" fontId="29" fillId="59" borderId="5" xfId="1" applyNumberFormat="1" applyFont="1" applyFill="1" applyBorder="1" applyAlignment="1">
      <alignment vertical="center"/>
    </xf>
    <xf numFmtId="165" fontId="29" fillId="59" borderId="5" xfId="1" applyNumberFormat="1" applyFont="1" applyFill="1" applyBorder="1" applyAlignment="1">
      <alignment vertical="center"/>
    </xf>
    <xf numFmtId="165" fontId="37" fillId="0" borderId="0" xfId="1" applyNumberFormat="1" applyFont="1" applyFill="1" applyBorder="1" applyAlignment="1">
      <alignment vertical="center"/>
    </xf>
    <xf numFmtId="165" fontId="8" fillId="0" borderId="0" xfId="1" applyNumberFormat="1" applyFont="1" applyFill="1" applyBorder="1" applyAlignment="1">
      <alignment vertical="center"/>
    </xf>
    <xf numFmtId="43" fontId="8" fillId="0" borderId="0" xfId="1" applyFont="1" applyFill="1" applyBorder="1" applyAlignment="1">
      <alignment horizontal="center" vertical="center"/>
    </xf>
    <xf numFmtId="41" fontId="37" fillId="0" borderId="5" xfId="111" applyFont="1" applyFill="1" applyBorder="1" applyAlignment="1">
      <alignment vertical="center"/>
    </xf>
    <xf numFmtId="0" fontId="15" fillId="6" borderId="0" xfId="0" applyFont="1" applyFill="1" applyAlignment="1">
      <alignment vertical="center"/>
    </xf>
    <xf numFmtId="14" fontId="15" fillId="6" borderId="0" xfId="0" applyNumberFormat="1" applyFont="1" applyFill="1" applyAlignment="1">
      <alignment vertical="center"/>
    </xf>
    <xf numFmtId="0" fontId="15" fillId="6" borderId="0" xfId="0" applyFont="1" applyFill="1" applyAlignment="1">
      <alignment horizontal="left" vertical="center"/>
    </xf>
    <xf numFmtId="0" fontId="15" fillId="6" borderId="0" xfId="0" applyFont="1" applyFill="1" applyAlignment="1">
      <alignment horizontal="center" vertical="center"/>
    </xf>
    <xf numFmtId="43" fontId="29" fillId="6" borderId="0" xfId="1" applyFont="1" applyFill="1" applyBorder="1" applyAlignment="1">
      <alignment horizontal="center" vertical="center"/>
    </xf>
    <xf numFmtId="169" fontId="29" fillId="6" borderId="0" xfId="0" applyNumberFormat="1" applyFont="1" applyFill="1" applyAlignment="1">
      <alignment horizontal="center" vertical="center"/>
    </xf>
    <xf numFmtId="0" fontId="4" fillId="0" borderId="0" xfId="1" applyNumberFormat="1" applyFont="1" applyFill="1" applyBorder="1" applyAlignment="1">
      <alignment horizontal="center" vertical="center"/>
    </xf>
    <xf numFmtId="165" fontId="8" fillId="0" borderId="0" xfId="1" applyNumberFormat="1" applyFont="1" applyFill="1" applyBorder="1"/>
    <xf numFmtId="165" fontId="4" fillId="0" borderId="0" xfId="1" applyNumberFormat="1" applyFont="1" applyFill="1" applyBorder="1"/>
    <xf numFmtId="165" fontId="4" fillId="0" borderId="0" xfId="0" applyNumberFormat="1" applyFont="1"/>
    <xf numFmtId="43" fontId="4" fillId="0" borderId="0" xfId="1" applyFont="1" applyFill="1" applyBorder="1" applyAlignment="1">
      <alignment horizontal="left" vertical="center"/>
    </xf>
    <xf numFmtId="43" fontId="8" fillId="0" borderId="0" xfId="0" applyNumberFormat="1" applyFont="1"/>
    <xf numFmtId="43" fontId="8" fillId="0" borderId="0" xfId="1" applyFont="1" applyBorder="1"/>
    <xf numFmtId="165" fontId="4" fillId="0" borderId="0" xfId="1" applyNumberFormat="1" applyFont="1" applyBorder="1"/>
    <xf numFmtId="49" fontId="4" fillId="0" borderId="0" xfId="0" quotePrefix="1" applyNumberFormat="1" applyFont="1"/>
    <xf numFmtId="43" fontId="14" fillId="0" borderId="0" xfId="1" applyFont="1" applyBorder="1"/>
    <xf numFmtId="43" fontId="14" fillId="0" borderId="0" xfId="1" applyFont="1" applyFill="1" applyBorder="1"/>
    <xf numFmtId="165" fontId="8" fillId="0" borderId="0" xfId="1" applyNumberFormat="1" applyFont="1" applyBorder="1"/>
    <xf numFmtId="41" fontId="8" fillId="0" borderId="0" xfId="111" applyFont="1" applyFill="1" applyBorder="1" applyAlignment="1">
      <alignment horizontal="left" vertical="center"/>
    </xf>
    <xf numFmtId="165" fontId="4" fillId="0" borderId="0" xfId="1" applyNumberFormat="1" applyFont="1" applyFill="1" applyBorder="1" applyAlignment="1">
      <alignment horizontal="center"/>
    </xf>
    <xf numFmtId="0" fontId="4" fillId="0" borderId="0" xfId="0" quotePrefix="1" applyFont="1" applyAlignment="1">
      <alignment horizontal="center"/>
    </xf>
    <xf numFmtId="2" fontId="0" fillId="0" borderId="0" xfId="0" applyNumberFormat="1" applyAlignment="1">
      <alignment horizontal="center"/>
    </xf>
    <xf numFmtId="0" fontId="4" fillId="0" borderId="0" xfId="1" applyNumberFormat="1" applyFont="1" applyFill="1" applyAlignment="1">
      <alignment horizontal="center"/>
    </xf>
    <xf numFmtId="180" fontId="0" fillId="0" borderId="0" xfId="0" applyNumberFormat="1" applyAlignment="1">
      <alignment vertical="center"/>
    </xf>
    <xf numFmtId="0" fontId="10" fillId="7" borderId="0" xfId="0" applyFont="1" applyFill="1"/>
    <xf numFmtId="0" fontId="42" fillId="2" borderId="0" xfId="0" applyFont="1" applyFill="1"/>
    <xf numFmtId="185" fontId="9" fillId="0" borderId="5" xfId="2" applyNumberFormat="1" applyBorder="1" applyAlignment="1">
      <alignment horizontal="left" vertical="center"/>
    </xf>
    <xf numFmtId="0" fontId="84" fillId="0" borderId="5" xfId="0" applyFont="1" applyBorder="1" applyAlignment="1">
      <alignment vertical="center" wrapText="1"/>
    </xf>
    <xf numFmtId="0" fontId="10" fillId="0" borderId="0" xfId="0" applyFont="1" applyAlignment="1">
      <alignment vertical="top"/>
    </xf>
    <xf numFmtId="165" fontId="14" fillId="0" borderId="1" xfId="0" applyNumberFormat="1" applyFont="1" applyBorder="1" applyAlignment="1">
      <alignment horizontal="center" vertical="center"/>
    </xf>
    <xf numFmtId="172" fontId="14" fillId="0" borderId="0" xfId="1" applyNumberFormat="1" applyFont="1"/>
    <xf numFmtId="0" fontId="69" fillId="68" borderId="0" xfId="0" applyFont="1" applyFill="1" applyAlignment="1">
      <alignment vertical="center" wrapText="1"/>
    </xf>
    <xf numFmtId="0" fontId="69" fillId="68" borderId="0" xfId="0" applyFont="1" applyFill="1" applyAlignment="1">
      <alignment horizontal="center" vertical="center" wrapText="1"/>
    </xf>
    <xf numFmtId="14" fontId="0" fillId="0" borderId="0" xfId="1" applyNumberFormat="1" applyFont="1" applyFill="1" applyBorder="1" applyAlignment="1">
      <alignment vertical="center"/>
    </xf>
    <xf numFmtId="165" fontId="28" fillId="69" borderId="0" xfId="1" applyNumberFormat="1" applyFont="1" applyFill="1" applyBorder="1" applyAlignment="1">
      <alignment vertical="center" wrapText="1"/>
    </xf>
    <xf numFmtId="0" fontId="10" fillId="0" borderId="0" xfId="0" applyFont="1" applyAlignment="1">
      <alignment vertical="center" wrapText="1"/>
    </xf>
    <xf numFmtId="0" fontId="10" fillId="3" borderId="5" xfId="0" applyFont="1" applyFill="1" applyBorder="1" applyAlignment="1">
      <alignment horizontal="left" vertical="center"/>
    </xf>
    <xf numFmtId="165" fontId="0" fillId="0" borderId="0" xfId="1" quotePrefix="1" applyNumberFormat="1" applyFont="1" applyBorder="1" applyAlignment="1">
      <alignment vertical="center"/>
    </xf>
    <xf numFmtId="0" fontId="86" fillId="0" borderId="0" xfId="0" applyFont="1" applyAlignment="1">
      <alignment vertical="center"/>
    </xf>
    <xf numFmtId="165" fontId="0" fillId="0" borderId="0" xfId="1" applyNumberFormat="1" applyFont="1" applyAlignment="1">
      <alignment horizontal="right" vertical="center"/>
    </xf>
    <xf numFmtId="165" fontId="10" fillId="2" borderId="0" xfId="1" applyNumberFormat="1" applyFont="1" applyFill="1" applyAlignment="1">
      <alignment vertical="center"/>
    </xf>
    <xf numFmtId="165" fontId="14" fillId="0" borderId="0" xfId="0" applyNumberFormat="1" applyFont="1" applyAlignment="1">
      <alignment horizontal="center" vertical="center"/>
    </xf>
    <xf numFmtId="165" fontId="0" fillId="0" borderId="0" xfId="0" applyNumberFormat="1" applyAlignment="1">
      <alignment vertical="center"/>
    </xf>
    <xf numFmtId="0" fontId="0" fillId="0" borderId="0" xfId="1" applyNumberFormat="1" applyFont="1" applyAlignment="1">
      <alignment vertical="center"/>
    </xf>
    <xf numFmtId="165" fontId="28" fillId="0" borderId="5" xfId="1" quotePrefix="1" applyNumberFormat="1" applyFont="1" applyFill="1" applyBorder="1" applyAlignment="1">
      <alignment vertical="center"/>
    </xf>
    <xf numFmtId="165" fontId="28" fillId="2" borderId="5" xfId="1" quotePrefix="1" applyNumberFormat="1" applyFont="1" applyFill="1" applyBorder="1" applyAlignment="1">
      <alignment vertical="center"/>
    </xf>
    <xf numFmtId="165" fontId="96" fillId="0" borderId="0" xfId="1" applyNumberFormat="1" applyFont="1" applyBorder="1" applyAlignment="1">
      <alignment vertical="center"/>
    </xf>
    <xf numFmtId="165" fontId="14" fillId="0" borderId="0" xfId="1" applyNumberFormat="1" applyFont="1" applyBorder="1" applyAlignment="1">
      <alignment vertical="center"/>
    </xf>
    <xf numFmtId="165" fontId="86" fillId="0" borderId="0" xfId="1" applyNumberFormat="1" applyFont="1" applyAlignment="1">
      <alignment vertical="center"/>
    </xf>
    <xf numFmtId="165" fontId="28" fillId="2" borderId="5" xfId="1" applyNumberFormat="1" applyFont="1" applyFill="1" applyBorder="1" applyAlignment="1">
      <alignment vertical="center"/>
    </xf>
    <xf numFmtId="165" fontId="100" fillId="0" borderId="0" xfId="1" applyNumberFormat="1" applyFont="1" applyAlignment="1">
      <alignment vertical="center"/>
    </xf>
    <xf numFmtId="0" fontId="10" fillId="2" borderId="5" xfId="0" applyFont="1" applyFill="1" applyBorder="1" applyAlignment="1">
      <alignment vertical="center"/>
    </xf>
    <xf numFmtId="165" fontId="10" fillId="0" borderId="5" xfId="1" applyNumberFormat="1" applyFont="1" applyBorder="1" applyAlignment="1">
      <alignment vertical="center"/>
    </xf>
    <xf numFmtId="165" fontId="10" fillId="0" borderId="5" xfId="1" applyNumberFormat="1" applyFont="1" applyFill="1" applyBorder="1" applyAlignment="1">
      <alignment vertical="center"/>
    </xf>
    <xf numFmtId="165" fontId="10" fillId="0" borderId="0" xfId="1" applyNumberFormat="1" applyFont="1" applyFill="1" applyBorder="1" applyAlignment="1">
      <alignment vertical="center"/>
    </xf>
    <xf numFmtId="186" fontId="14" fillId="0" borderId="0" xfId="11" applyNumberFormat="1" applyFont="1"/>
    <xf numFmtId="184" fontId="0" fillId="0" borderId="0" xfId="111" applyNumberFormat="1" applyFont="1"/>
    <xf numFmtId="41" fontId="29" fillId="59" borderId="5" xfId="111" applyFont="1" applyFill="1" applyBorder="1" applyAlignment="1">
      <alignment horizontal="left" vertical="center"/>
    </xf>
    <xf numFmtId="187" fontId="0" fillId="0" borderId="0" xfId="111" applyNumberFormat="1" applyFont="1"/>
    <xf numFmtId="14" fontId="0" fillId="0" borderId="0" xfId="1" applyNumberFormat="1" applyFont="1" applyAlignment="1">
      <alignment horizontal="center"/>
    </xf>
    <xf numFmtId="14" fontId="0" fillId="0" borderId="0" xfId="1" applyNumberFormat="1" applyFont="1" applyFill="1" applyAlignment="1">
      <alignment horizontal="center"/>
    </xf>
    <xf numFmtId="1" fontId="28" fillId="0" borderId="0" xfId="1" applyNumberFormat="1" applyFont="1" applyAlignment="1">
      <alignment horizontal="center"/>
    </xf>
    <xf numFmtId="1" fontId="14" fillId="0" borderId="0" xfId="1" applyNumberFormat="1" applyFont="1" applyAlignment="1">
      <alignment horizontal="center"/>
    </xf>
    <xf numFmtId="14" fontId="10" fillId="0" borderId="0" xfId="0" applyNumberFormat="1" applyFont="1" applyAlignment="1">
      <alignment horizontal="center" vertical="center"/>
    </xf>
    <xf numFmtId="14" fontId="0" fillId="0" borderId="0" xfId="1" applyNumberFormat="1" applyFont="1" applyAlignment="1">
      <alignment horizontal="center" vertical="center"/>
    </xf>
    <xf numFmtId="41" fontId="37" fillId="0" borderId="0" xfId="111" applyFont="1" applyFill="1" applyBorder="1" applyAlignment="1">
      <alignment vertical="center"/>
    </xf>
    <xf numFmtId="14" fontId="8" fillId="0" borderId="0" xfId="1" applyNumberFormat="1" applyFont="1" applyFill="1" applyBorder="1" applyAlignment="1">
      <alignment horizontal="center" vertical="center"/>
    </xf>
    <xf numFmtId="186" fontId="37" fillId="0" borderId="0" xfId="11" applyNumberFormat="1" applyFont="1" applyFill="1" applyBorder="1" applyAlignment="1">
      <alignment vertical="center"/>
    </xf>
    <xf numFmtId="14" fontId="37" fillId="0" borderId="0" xfId="1" applyNumberFormat="1" applyFont="1" applyFill="1" applyBorder="1" applyAlignment="1">
      <alignment horizontal="center" vertical="center"/>
    </xf>
    <xf numFmtId="14" fontId="29" fillId="0" borderId="0" xfId="1" applyNumberFormat="1" applyFont="1" applyFill="1" applyBorder="1" applyAlignment="1">
      <alignment horizontal="center" vertical="center"/>
    </xf>
    <xf numFmtId="0" fontId="29" fillId="0" borderId="0" xfId="1" applyNumberFormat="1" applyFont="1" applyFill="1" applyBorder="1" applyAlignment="1">
      <alignment horizontal="left" vertical="center"/>
    </xf>
    <xf numFmtId="180" fontId="0" fillId="0" borderId="0" xfId="1" applyNumberFormat="1" applyFont="1"/>
    <xf numFmtId="165" fontId="0" fillId="2" borderId="0" xfId="1" applyNumberFormat="1" applyFont="1" applyFill="1" applyAlignment="1">
      <alignment vertical="center"/>
    </xf>
    <xf numFmtId="174" fontId="14" fillId="0" borderId="0" xfId="1" applyNumberFormat="1" applyFont="1" applyBorder="1" applyAlignment="1">
      <alignment vertical="center"/>
    </xf>
    <xf numFmtId="41" fontId="14" fillId="0" borderId="0" xfId="111" applyFont="1" applyAlignment="1">
      <alignment horizontal="center" vertical="center"/>
    </xf>
    <xf numFmtId="14" fontId="14" fillId="0" borderId="0" xfId="111" applyNumberFormat="1" applyFont="1" applyAlignment="1">
      <alignment vertical="center"/>
    </xf>
    <xf numFmtId="14" fontId="0" fillId="0" borderId="0" xfId="111" applyNumberFormat="1" applyFont="1" applyAlignment="1">
      <alignment horizontal="right" vertical="center"/>
    </xf>
    <xf numFmtId="0" fontId="0" fillId="0" borderId="0" xfId="111" applyNumberFormat="1" applyFont="1" applyFill="1" applyAlignment="1">
      <alignment vertical="center"/>
    </xf>
    <xf numFmtId="0" fontId="3" fillId="70" borderId="42" xfId="0" applyFont="1" applyFill="1" applyBorder="1"/>
    <xf numFmtId="0" fontId="97" fillId="0" borderId="0" xfId="2" applyFont="1" applyFill="1" applyBorder="1" applyAlignment="1">
      <alignment horizontal="left"/>
    </xf>
    <xf numFmtId="0" fontId="14" fillId="0" borderId="0" xfId="2" applyFont="1" applyFill="1" applyBorder="1" applyAlignment="1">
      <alignment horizontal="left"/>
    </xf>
    <xf numFmtId="0" fontId="98" fillId="0" borderId="0" xfId="2" applyFont="1" applyFill="1" applyBorder="1" applyAlignment="1">
      <alignment horizontal="left"/>
    </xf>
    <xf numFmtId="0" fontId="42" fillId="0" borderId="0" xfId="2" applyFont="1" applyFill="1" applyBorder="1" applyAlignment="1">
      <alignment horizontal="left"/>
    </xf>
    <xf numFmtId="0" fontId="8" fillId="0" borderId="0" xfId="2" applyFont="1" applyFill="1" applyBorder="1" applyAlignment="1">
      <alignment horizontal="left"/>
    </xf>
    <xf numFmtId="14" fontId="8" fillId="0" borderId="0" xfId="2" quotePrefix="1" applyNumberFormat="1" applyFont="1" applyFill="1" applyBorder="1" applyAlignment="1">
      <alignment horizontal="left"/>
    </xf>
    <xf numFmtId="0" fontId="9" fillId="0" borderId="0" xfId="2" applyFill="1" applyBorder="1" applyAlignment="1">
      <alignment horizontal="left"/>
    </xf>
    <xf numFmtId="0" fontId="3" fillId="0" borderId="0" xfId="0" applyFont="1" applyAlignment="1">
      <alignment vertical="center"/>
    </xf>
    <xf numFmtId="0" fontId="3" fillId="0" borderId="0" xfId="0" applyFont="1" applyAlignment="1">
      <alignment horizontal="left" vertical="center"/>
    </xf>
    <xf numFmtId="14" fontId="8" fillId="0" borderId="0" xfId="0" quotePrefix="1" applyNumberFormat="1" applyFont="1" applyAlignment="1">
      <alignment horizontal="left" wrapText="1"/>
    </xf>
    <xf numFmtId="14" fontId="8" fillId="0" borderId="0" xfId="0" applyNumberFormat="1" applyFont="1" applyAlignment="1">
      <alignment horizontal="left"/>
    </xf>
    <xf numFmtId="0" fontId="41" fillId="0" borderId="0" xfId="0" applyFont="1"/>
    <xf numFmtId="0" fontId="93" fillId="0" borderId="0" xfId="0" applyFont="1" applyAlignment="1">
      <alignment horizontal="center" vertical="center"/>
    </xf>
    <xf numFmtId="0" fontId="93" fillId="0" borderId="0" xfId="0" applyFont="1"/>
    <xf numFmtId="0" fontId="94" fillId="0" borderId="0" xfId="0" applyFont="1" applyAlignment="1">
      <alignment horizontal="center" vertical="center"/>
    </xf>
    <xf numFmtId="0" fontId="94" fillId="0" borderId="0" xfId="0" applyFont="1"/>
    <xf numFmtId="0" fontId="8" fillId="0" borderId="0" xfId="0" applyFont="1" applyAlignment="1">
      <alignment horizontal="left"/>
    </xf>
    <xf numFmtId="0" fontId="103" fillId="0" borderId="0" xfId="2" applyFont="1" applyFill="1" applyBorder="1" applyAlignment="1">
      <alignment horizontal="left"/>
    </xf>
    <xf numFmtId="0" fontId="9" fillId="0" borderId="0" xfId="2" applyFill="1" applyBorder="1"/>
    <xf numFmtId="0" fontId="4" fillId="64" borderId="42" xfId="0" applyFont="1" applyFill="1" applyBorder="1"/>
    <xf numFmtId="0" fontId="7" fillId="64" borderId="42" xfId="0" applyFont="1" applyFill="1" applyBorder="1"/>
    <xf numFmtId="0" fontId="4" fillId="64" borderId="43" xfId="0" applyFont="1" applyFill="1" applyBorder="1"/>
    <xf numFmtId="0" fontId="4" fillId="64" borderId="44" xfId="0" applyFont="1" applyFill="1" applyBorder="1" applyAlignment="1">
      <alignment horizontal="centerContinuous"/>
    </xf>
    <xf numFmtId="0" fontId="7" fillId="64" borderId="44" xfId="0" applyFont="1" applyFill="1" applyBorder="1" applyAlignment="1">
      <alignment horizontal="centerContinuous"/>
    </xf>
    <xf numFmtId="0" fontId="4" fillId="64" borderId="2" xfId="0" applyFont="1" applyFill="1" applyBorder="1" applyAlignment="1">
      <alignment horizontal="centerContinuous"/>
    </xf>
    <xf numFmtId="0" fontId="3" fillId="0" borderId="0" xfId="0" quotePrefix="1" applyFont="1" applyAlignment="1">
      <alignment vertical="center"/>
    </xf>
    <xf numFmtId="41" fontId="10" fillId="0" borderId="0" xfId="0" applyNumberFormat="1" applyFont="1" applyAlignment="1">
      <alignment vertical="top"/>
    </xf>
    <xf numFmtId="180" fontId="14" fillId="0" borderId="0" xfId="1" applyNumberFormat="1" applyFont="1" applyAlignment="1">
      <alignment vertical="center"/>
    </xf>
    <xf numFmtId="41" fontId="0" fillId="0" borderId="0" xfId="111" applyFont="1" applyAlignment="1">
      <alignment horizontal="left" vertical="center"/>
    </xf>
    <xf numFmtId="14" fontId="0" fillId="0" borderId="0" xfId="0" applyNumberFormat="1" applyAlignment="1">
      <alignment horizontal="right" vertical="center"/>
    </xf>
    <xf numFmtId="0" fontId="0" fillId="19" borderId="0" xfId="111" applyNumberFormat="1" applyFont="1" applyFill="1" applyAlignment="1">
      <alignment vertical="center"/>
    </xf>
    <xf numFmtId="14" fontId="4" fillId="2" borderId="0" xfId="0" applyNumberFormat="1" applyFont="1" applyFill="1" applyAlignment="1">
      <alignment horizontal="left" vertical="center"/>
    </xf>
    <xf numFmtId="0" fontId="84" fillId="0" borderId="0" xfId="0" applyFont="1" applyAlignment="1">
      <alignment horizontal="center" vertical="center"/>
    </xf>
    <xf numFmtId="165" fontId="14" fillId="0" borderId="5" xfId="0" applyNumberFormat="1" applyFont="1" applyBorder="1" applyAlignment="1">
      <alignment vertical="center"/>
    </xf>
    <xf numFmtId="14" fontId="42" fillId="2" borderId="0" xfId="2" applyNumberFormat="1" applyFont="1" applyFill="1" applyBorder="1" applyAlignment="1">
      <alignment horizontal="left"/>
    </xf>
    <xf numFmtId="14" fontId="0" fillId="0" borderId="0" xfId="0" applyNumberFormat="1" applyAlignment="1">
      <alignment wrapText="1"/>
    </xf>
    <xf numFmtId="0" fontId="88" fillId="71" borderId="5" xfId="0" applyFont="1" applyFill="1" applyBorder="1" applyAlignment="1">
      <alignment horizontal="center" vertical="center"/>
    </xf>
    <xf numFmtId="0" fontId="88" fillId="60" borderId="5" xfId="0" applyFont="1" applyFill="1" applyBorder="1" applyAlignment="1">
      <alignment horizontal="center" vertical="center"/>
    </xf>
    <xf numFmtId="0" fontId="88" fillId="0" borderId="0" xfId="0" applyFont="1" applyAlignment="1">
      <alignment vertical="center"/>
    </xf>
    <xf numFmtId="41" fontId="14" fillId="60" borderId="5" xfId="111" applyFont="1" applyFill="1" applyBorder="1" applyAlignment="1">
      <alignment vertical="center"/>
    </xf>
    <xf numFmtId="41" fontId="14" fillId="71" borderId="5" xfId="111" applyFont="1" applyFill="1" applyBorder="1" applyAlignment="1">
      <alignment vertical="center"/>
    </xf>
    <xf numFmtId="185" fontId="14" fillId="0" borderId="0" xfId="0" applyNumberFormat="1" applyFont="1" applyAlignment="1">
      <alignment vertical="center"/>
    </xf>
    <xf numFmtId="0" fontId="0" fillId="0" borderId="0" xfId="0" applyAlignment="1">
      <alignment horizontal="right" vertical="center"/>
    </xf>
    <xf numFmtId="185" fontId="14" fillId="2" borderId="0" xfId="0" applyNumberFormat="1" applyFont="1" applyFill="1" applyAlignment="1">
      <alignment vertical="center"/>
    </xf>
    <xf numFmtId="165" fontId="0" fillId="0" borderId="0" xfId="0" applyNumberFormat="1" applyAlignment="1">
      <alignment horizontal="left" vertical="center"/>
    </xf>
    <xf numFmtId="165" fontId="14" fillId="0" borderId="0" xfId="1" quotePrefix="1" applyNumberFormat="1" applyFont="1" applyAlignment="1">
      <alignment vertical="center"/>
    </xf>
    <xf numFmtId="1" fontId="35" fillId="0" borderId="5" xfId="1" quotePrefix="1" applyNumberFormat="1" applyFont="1" applyBorder="1" applyAlignment="1">
      <alignment horizontal="center" vertical="center"/>
    </xf>
    <xf numFmtId="41" fontId="106" fillId="0" borderId="0" xfId="111" applyFont="1"/>
    <xf numFmtId="0" fontId="0" fillId="0" borderId="0" xfId="0" quotePrefix="1" applyAlignment="1">
      <alignment horizontal="left" vertical="center"/>
    </xf>
    <xf numFmtId="10" fontId="14" fillId="0" borderId="0" xfId="11" applyNumberFormat="1" applyFont="1"/>
    <xf numFmtId="0" fontId="107" fillId="7" borderId="0" xfId="0" applyFont="1" applyFill="1"/>
    <xf numFmtId="0" fontId="107" fillId="0" borderId="0" xfId="0" applyFont="1"/>
    <xf numFmtId="0" fontId="107" fillId="0" borderId="0" xfId="0" quotePrefix="1" applyFont="1"/>
    <xf numFmtId="3" fontId="108" fillId="0" borderId="0" xfId="0" applyNumberFormat="1" applyFont="1"/>
    <xf numFmtId="0" fontId="3" fillId="20" borderId="42" xfId="0" quotePrefix="1" applyFont="1" applyFill="1" applyBorder="1"/>
    <xf numFmtId="41" fontId="0" fillId="0" borderId="0" xfId="0" applyNumberFormat="1"/>
    <xf numFmtId="41" fontId="8" fillId="0" borderId="5" xfId="111" applyFont="1" applyFill="1" applyBorder="1" applyAlignment="1">
      <alignment horizontal="left" vertical="center"/>
    </xf>
    <xf numFmtId="41" fontId="14" fillId="0" borderId="5" xfId="111" applyFont="1" applyBorder="1" applyAlignment="1">
      <alignment vertical="center"/>
    </xf>
    <xf numFmtId="41" fontId="8" fillId="0" borderId="5" xfId="111" applyFont="1" applyFill="1" applyBorder="1" applyAlignment="1">
      <alignment horizontal="center" vertical="center"/>
    </xf>
    <xf numFmtId="41" fontId="28" fillId="0" borderId="0" xfId="111" applyFont="1" applyAlignment="1">
      <alignment vertical="center"/>
    </xf>
    <xf numFmtId="41" fontId="7" fillId="0" borderId="5" xfId="111" applyFont="1" applyFill="1" applyBorder="1" applyAlignment="1">
      <alignment horizontal="center" vertical="center"/>
    </xf>
    <xf numFmtId="41" fontId="100" fillId="0" borderId="0" xfId="111" applyFont="1" applyAlignment="1">
      <alignment vertical="center"/>
    </xf>
    <xf numFmtId="165" fontId="28" fillId="72" borderId="5" xfId="1" quotePrefix="1" applyNumberFormat="1" applyFont="1" applyFill="1" applyBorder="1" applyAlignment="1">
      <alignment vertical="center"/>
    </xf>
    <xf numFmtId="184" fontId="37" fillId="0" borderId="5" xfId="111" applyNumberFormat="1" applyFont="1" applyFill="1" applyBorder="1" applyAlignment="1">
      <alignment vertical="center"/>
    </xf>
    <xf numFmtId="184" fontId="8" fillId="0" borderId="5" xfId="111" applyNumberFormat="1" applyFont="1" applyBorder="1" applyAlignment="1">
      <alignment horizontal="center" vertical="center"/>
    </xf>
    <xf numFmtId="189" fontId="0" fillId="0" borderId="0" xfId="11" applyNumberFormat="1" applyFont="1" applyAlignment="1">
      <alignment vertical="center"/>
    </xf>
    <xf numFmtId="0" fontId="21" fillId="7" borderId="8" xfId="0" applyFont="1" applyFill="1" applyBorder="1" applyAlignment="1">
      <alignment horizontal="center" vertical="center"/>
    </xf>
    <xf numFmtId="190" fontId="14" fillId="0" borderId="5" xfId="1" applyNumberFormat="1" applyFont="1" applyBorder="1" applyAlignment="1">
      <alignment vertical="center"/>
    </xf>
    <xf numFmtId="191" fontId="0" fillId="0" borderId="0" xfId="11" applyNumberFormat="1" applyFont="1" applyAlignment="1">
      <alignment vertical="center"/>
    </xf>
    <xf numFmtId="188" fontId="14" fillId="0" borderId="0" xfId="111" applyNumberFormat="1" applyFont="1" applyAlignment="1">
      <alignment vertical="center"/>
    </xf>
    <xf numFmtId="188" fontId="0" fillId="0" borderId="0" xfId="111" applyNumberFormat="1" applyFont="1"/>
    <xf numFmtId="188" fontId="0" fillId="0" borderId="0" xfId="111" applyNumberFormat="1" applyFont="1" applyAlignment="1">
      <alignment vertical="center"/>
    </xf>
    <xf numFmtId="188" fontId="0" fillId="0" borderId="0" xfId="111" applyNumberFormat="1" applyFont="1" applyAlignment="1">
      <alignment horizontal="right"/>
    </xf>
    <xf numFmtId="192" fontId="14" fillId="0" borderId="5" xfId="0" applyNumberFormat="1" applyFont="1" applyBorder="1" applyAlignment="1">
      <alignment vertical="center"/>
    </xf>
    <xf numFmtId="191" fontId="14" fillId="0" borderId="0" xfId="11" applyNumberFormat="1" applyFont="1" applyAlignment="1">
      <alignment vertical="center"/>
    </xf>
    <xf numFmtId="193" fontId="14" fillId="0" borderId="0" xfId="0" applyNumberFormat="1" applyFont="1" applyAlignment="1">
      <alignment vertical="center"/>
    </xf>
    <xf numFmtId="172" fontId="14" fillId="0" borderId="0" xfId="1" applyNumberFormat="1" applyFont="1" applyBorder="1"/>
    <xf numFmtId="172" fontId="37" fillId="0" borderId="0" xfId="1" applyNumberFormat="1" applyFont="1" applyFill="1" applyAlignment="1">
      <alignment vertical="center"/>
    </xf>
    <xf numFmtId="14" fontId="34" fillId="6" borderId="0" xfId="0" applyNumberFormat="1" applyFont="1" applyFill="1" applyAlignment="1">
      <alignment horizontal="center" vertical="center"/>
    </xf>
    <xf numFmtId="14" fontId="37" fillId="0" borderId="0" xfId="1" applyNumberFormat="1" applyFont="1" applyFill="1" applyAlignment="1">
      <alignment vertical="center"/>
    </xf>
    <xf numFmtId="41" fontId="109" fillId="0" borderId="5" xfId="111" applyFont="1" applyBorder="1" applyAlignment="1">
      <alignment horizontal="right" vertical="center"/>
    </xf>
    <xf numFmtId="41" fontId="42" fillId="0" borderId="0" xfId="111" applyFont="1" applyAlignment="1">
      <alignment vertical="center"/>
    </xf>
    <xf numFmtId="0" fontId="19" fillId="0" borderId="5" xfId="0" applyFont="1" applyBorder="1" applyAlignment="1">
      <alignment horizontal="left" vertical="center"/>
    </xf>
    <xf numFmtId="49" fontId="88" fillId="0" borderId="1" xfId="2" quotePrefix="1" applyNumberFormat="1" applyFont="1" applyFill="1" applyBorder="1" applyAlignment="1">
      <alignment horizontal="left" vertical="center"/>
    </xf>
    <xf numFmtId="165" fontId="28" fillId="0" borderId="5" xfId="1" applyNumberFormat="1" applyFont="1" applyBorder="1" applyAlignment="1">
      <alignment horizontal="left" vertical="center"/>
    </xf>
    <xf numFmtId="0" fontId="10" fillId="0" borderId="0" xfId="0" applyFont="1" applyAlignment="1">
      <alignment horizontal="left" vertical="center"/>
    </xf>
    <xf numFmtId="0" fontId="88" fillId="2" borderId="0" xfId="1" applyNumberFormat="1" applyFont="1" applyFill="1" applyAlignment="1">
      <alignment horizontal="left"/>
    </xf>
    <xf numFmtId="43" fontId="8" fillId="0" borderId="0" xfId="11" applyNumberFormat="1" applyFont="1" applyAlignment="1">
      <alignment vertical="center"/>
    </xf>
    <xf numFmtId="0" fontId="110" fillId="0" borderId="0" xfId="0" applyFont="1" applyAlignment="1">
      <alignment horizontal="left" vertical="top"/>
    </xf>
    <xf numFmtId="0" fontId="0" fillId="0" borderId="0" xfId="0" applyAlignment="1">
      <alignment vertical="top"/>
    </xf>
    <xf numFmtId="0" fontId="10" fillId="58" borderId="5" xfId="0" applyFont="1" applyFill="1" applyBorder="1" applyAlignment="1">
      <alignment horizontal="center" vertical="top" wrapText="1"/>
    </xf>
    <xf numFmtId="0" fontId="0" fillId="0" borderId="0" xfId="0" applyAlignment="1">
      <alignment vertical="top" wrapText="1"/>
    </xf>
    <xf numFmtId="0" fontId="0" fillId="0" borderId="5" xfId="0" applyBorder="1" applyAlignment="1">
      <alignment horizontal="center" vertical="top" wrapText="1"/>
    </xf>
    <xf numFmtId="0" fontId="0" fillId="0" borderId="5" xfId="0" applyBorder="1" applyAlignment="1">
      <alignment vertical="top" wrapText="1"/>
    </xf>
    <xf numFmtId="0" fontId="0" fillId="0" borderId="5" xfId="0" quotePrefix="1" applyBorder="1" applyAlignment="1">
      <alignment vertical="top" wrapText="1"/>
    </xf>
    <xf numFmtId="0" fontId="0" fillId="0" borderId="0" xfId="0" applyAlignment="1">
      <alignment horizontal="center" vertical="top" wrapText="1"/>
    </xf>
    <xf numFmtId="0" fontId="0" fillId="0" borderId="0" xfId="0" quotePrefix="1" applyAlignment="1">
      <alignment vertical="top" wrapText="1"/>
    </xf>
    <xf numFmtId="41" fontId="100" fillId="0" borderId="0" xfId="0" applyNumberFormat="1" applyFont="1" applyAlignment="1">
      <alignment vertical="center"/>
    </xf>
    <xf numFmtId="180" fontId="0" fillId="2" borderId="0" xfId="0" applyNumberFormat="1" applyFill="1" applyAlignment="1">
      <alignment vertical="center"/>
    </xf>
    <xf numFmtId="41" fontId="0" fillId="2" borderId="0" xfId="111" applyFont="1" applyFill="1" applyAlignment="1">
      <alignment vertical="center"/>
    </xf>
    <xf numFmtId="41" fontId="0" fillId="2" borderId="0" xfId="111" applyFont="1" applyFill="1"/>
    <xf numFmtId="43" fontId="0" fillId="2" borderId="0" xfId="1" applyFont="1" applyFill="1"/>
    <xf numFmtId="180" fontId="0" fillId="2" borderId="0" xfId="1" applyNumberFormat="1" applyFont="1" applyFill="1"/>
    <xf numFmtId="188" fontId="42" fillId="0" borderId="0" xfId="111" applyNumberFormat="1" applyFont="1" applyAlignment="1">
      <alignment vertical="center"/>
    </xf>
    <xf numFmtId="14" fontId="0" fillId="0" borderId="5" xfId="0" applyNumberFormat="1" applyBorder="1" applyAlignment="1">
      <alignment vertical="center"/>
    </xf>
    <xf numFmtId="192" fontId="0" fillId="0" borderId="5" xfId="111" applyNumberFormat="1" applyFont="1" applyBorder="1" applyAlignment="1">
      <alignment vertical="center"/>
    </xf>
    <xf numFmtId="0" fontId="0" fillId="2" borderId="0" xfId="0" applyFill="1" applyAlignment="1">
      <alignment vertical="center"/>
    </xf>
    <xf numFmtId="0" fontId="88" fillId="0" borderId="0" xfId="0" applyFont="1" applyAlignment="1">
      <alignment horizontal="center" vertical="center" wrapText="1"/>
    </xf>
    <xf numFmtId="165" fontId="88" fillId="0" borderId="0" xfId="1" applyNumberFormat="1" applyFont="1" applyFill="1" applyAlignment="1">
      <alignment horizontal="center" vertical="center"/>
    </xf>
    <xf numFmtId="43" fontId="88" fillId="0" borderId="0" xfId="1" applyFont="1" applyFill="1" applyAlignment="1">
      <alignment horizontal="center" vertical="center"/>
    </xf>
    <xf numFmtId="0" fontId="42" fillId="0" borderId="0" xfId="0" applyFont="1" applyAlignment="1">
      <alignment horizontal="center"/>
    </xf>
    <xf numFmtId="165" fontId="42" fillId="0" borderId="0" xfId="1" applyNumberFormat="1" applyFont="1" applyFill="1" applyAlignment="1">
      <alignment horizontal="center"/>
    </xf>
    <xf numFmtId="43" fontId="42" fillId="0" borderId="0" xfId="1" applyFont="1" applyFill="1" applyAlignment="1">
      <alignment horizontal="center" vertical="center"/>
    </xf>
    <xf numFmtId="0" fontId="42" fillId="2" borderId="0" xfId="0" applyFont="1" applyFill="1" applyAlignment="1">
      <alignment horizontal="center"/>
    </xf>
    <xf numFmtId="165" fontId="42" fillId="2" borderId="0" xfId="1" applyNumberFormat="1" applyFont="1" applyFill="1" applyAlignment="1">
      <alignment horizontal="center"/>
    </xf>
    <xf numFmtId="165" fontId="0" fillId="2" borderId="0" xfId="0" applyNumberFormat="1" applyFill="1"/>
    <xf numFmtId="43" fontId="42" fillId="2" borderId="0" xfId="1" applyFont="1" applyFill="1" applyAlignment="1">
      <alignment horizontal="center" vertical="center"/>
    </xf>
    <xf numFmtId="14" fontId="88" fillId="0" borderId="0" xfId="1" applyNumberFormat="1" applyFont="1" applyFill="1" applyAlignment="1">
      <alignment horizontal="center" vertical="center"/>
    </xf>
    <xf numFmtId="43" fontId="113" fillId="0" borderId="0" xfId="1" applyFont="1" applyFill="1" applyAlignment="1">
      <alignment horizontal="center" vertical="center"/>
    </xf>
    <xf numFmtId="14" fontId="113" fillId="0" borderId="0" xfId="1" applyNumberFormat="1" applyFont="1" applyFill="1" applyAlignment="1">
      <alignment horizontal="center" vertical="center"/>
    </xf>
    <xf numFmtId="9" fontId="14" fillId="0" borderId="0" xfId="11" applyFont="1"/>
    <xf numFmtId="9" fontId="14" fillId="0" borderId="0" xfId="0" applyNumberFormat="1" applyFont="1"/>
    <xf numFmtId="178" fontId="14" fillId="0" borderId="0" xfId="1" quotePrefix="1" applyNumberFormat="1" applyFont="1" applyFill="1" applyAlignment="1">
      <alignment vertical="center" wrapText="1"/>
    </xf>
    <xf numFmtId="165" fontId="114" fillId="0" borderId="0" xfId="1" applyNumberFormat="1" applyFont="1"/>
    <xf numFmtId="0" fontId="14" fillId="65" borderId="13" xfId="0" applyFont="1" applyFill="1" applyBorder="1"/>
    <xf numFmtId="43" fontId="14" fillId="65" borderId="13" xfId="1" applyFont="1" applyFill="1" applyBorder="1"/>
    <xf numFmtId="165" fontId="14" fillId="65" borderId="13" xfId="1" applyNumberFormat="1" applyFont="1" applyFill="1" applyBorder="1"/>
    <xf numFmtId="43" fontId="14" fillId="65" borderId="11" xfId="1" applyFont="1" applyFill="1" applyBorder="1"/>
    <xf numFmtId="192" fontId="0" fillId="0" borderId="8" xfId="111" applyNumberFormat="1" applyFont="1" applyBorder="1" applyAlignment="1">
      <alignment vertical="center"/>
    </xf>
    <xf numFmtId="0" fontId="112" fillId="19" borderId="2" xfId="0" applyFont="1" applyFill="1" applyBorder="1" applyAlignment="1">
      <alignment horizontal="center" vertical="center"/>
    </xf>
    <xf numFmtId="0" fontId="112" fillId="19" borderId="3" xfId="0" applyFont="1" applyFill="1" applyBorder="1" applyAlignment="1">
      <alignment horizontal="center" vertical="center"/>
    </xf>
    <xf numFmtId="41" fontId="112" fillId="19" borderId="3" xfId="111" applyFont="1" applyFill="1" applyBorder="1" applyAlignment="1">
      <alignment vertical="center"/>
    </xf>
    <xf numFmtId="0" fontId="112" fillId="19" borderId="3" xfId="0" applyFont="1" applyFill="1" applyBorder="1" applyAlignment="1">
      <alignment vertical="center"/>
    </xf>
    <xf numFmtId="41" fontId="69" fillId="19" borderId="3" xfId="0" applyNumberFormat="1" applyFont="1" applyFill="1" applyBorder="1" applyAlignment="1">
      <alignment vertical="center"/>
    </xf>
    <xf numFmtId="41" fontId="69" fillId="19" borderId="38" xfId="0" applyNumberFormat="1" applyFont="1" applyFill="1" applyBorder="1" applyAlignment="1">
      <alignment vertical="center"/>
    </xf>
    <xf numFmtId="0" fontId="0" fillId="0" borderId="43" xfId="0" applyBorder="1" applyAlignment="1">
      <alignment horizontal="center" vertical="center"/>
    </xf>
    <xf numFmtId="14" fontId="0" fillId="0" borderId="24" xfId="0" applyNumberFormat="1" applyBorder="1" applyAlignment="1">
      <alignment vertical="center"/>
    </xf>
    <xf numFmtId="192" fontId="0" fillId="0" borderId="24" xfId="111" applyNumberFormat="1" applyFont="1" applyBorder="1" applyAlignment="1">
      <alignment vertical="center"/>
    </xf>
    <xf numFmtId="192" fontId="0" fillId="0" borderId="37" xfId="111" applyNumberFormat="1" applyFont="1" applyBorder="1" applyAlignment="1">
      <alignment vertical="center"/>
    </xf>
    <xf numFmtId="165" fontId="14" fillId="0" borderId="0" xfId="1" applyNumberFormat="1" applyFont="1" applyFill="1"/>
    <xf numFmtId="1" fontId="0" fillId="0" borderId="0" xfId="0" applyNumberFormat="1"/>
    <xf numFmtId="41" fontId="7" fillId="2" borderId="5" xfId="111" applyFont="1" applyFill="1" applyBorder="1" applyAlignment="1">
      <alignment horizontal="center" vertical="center"/>
    </xf>
    <xf numFmtId="165" fontId="14" fillId="72" borderId="0" xfId="1" applyNumberFormat="1" applyFont="1" applyFill="1" applyAlignment="1">
      <alignment vertical="center"/>
    </xf>
    <xf numFmtId="0" fontId="0" fillId="18" borderId="36" xfId="0" applyFill="1" applyBorder="1" applyAlignment="1">
      <alignment horizontal="left"/>
    </xf>
    <xf numFmtId="0" fontId="0" fillId="18" borderId="36" xfId="0" applyFill="1" applyBorder="1"/>
    <xf numFmtId="165" fontId="14" fillId="0" borderId="0" xfId="1" applyNumberFormat="1" applyFont="1" applyBorder="1"/>
    <xf numFmtId="180" fontId="14" fillId="0" borderId="0" xfId="0" applyNumberFormat="1" applyFont="1"/>
    <xf numFmtId="43" fontId="10" fillId="0" borderId="0" xfId="0" applyNumberFormat="1" applyFont="1" applyAlignment="1">
      <alignment horizontal="center" vertical="center"/>
    </xf>
    <xf numFmtId="43" fontId="4" fillId="0" borderId="0" xfId="0" applyNumberFormat="1" applyFont="1"/>
    <xf numFmtId="43" fontId="14" fillId="0" borderId="0" xfId="1" quotePrefix="1" applyFont="1" applyBorder="1"/>
    <xf numFmtId="1" fontId="14" fillId="0" borderId="0" xfId="0" applyNumberFormat="1" applyFont="1"/>
    <xf numFmtId="2" fontId="14" fillId="0" borderId="0" xfId="0" applyNumberFormat="1" applyFont="1"/>
    <xf numFmtId="165" fontId="14" fillId="0" borderId="5" xfId="1" applyNumberFormat="1" applyFont="1" applyBorder="1" applyAlignment="1">
      <alignment horizontal="right" vertical="center"/>
    </xf>
    <xf numFmtId="0" fontId="14" fillId="65" borderId="0" xfId="0" applyFont="1" applyFill="1" applyAlignment="1">
      <alignment horizontal="left"/>
    </xf>
    <xf numFmtId="0" fontId="0" fillId="64" borderId="0" xfId="0" applyFill="1" applyAlignment="1">
      <alignment horizontal="left" vertical="top" wrapText="1"/>
    </xf>
    <xf numFmtId="0" fontId="13" fillId="0" borderId="5" xfId="0" applyFont="1" applyBorder="1" applyAlignment="1">
      <alignment horizontal="left" vertical="center" wrapText="1"/>
    </xf>
    <xf numFmtId="0" fontId="13" fillId="0" borderId="5" xfId="0" quotePrefix="1" applyFont="1" applyBorder="1" applyAlignment="1">
      <alignment horizontal="left" vertical="center" wrapText="1"/>
    </xf>
    <xf numFmtId="165" fontId="28" fillId="58" borderId="8" xfId="1" applyNumberFormat="1" applyFont="1" applyFill="1" applyBorder="1" applyAlignment="1">
      <alignment horizontal="center" vertical="center"/>
    </xf>
    <xf numFmtId="165" fontId="28" fillId="58" borderId="10" xfId="1" applyNumberFormat="1" applyFont="1" applyFill="1" applyBorder="1" applyAlignment="1">
      <alignment horizontal="center" vertical="center"/>
    </xf>
    <xf numFmtId="0" fontId="0" fillId="0" borderId="5" xfId="0" applyBorder="1" applyAlignment="1">
      <alignment horizontal="center" vertical="center" wrapText="1"/>
    </xf>
    <xf numFmtId="0" fontId="34" fillId="6" borderId="5" xfId="0" applyFont="1" applyFill="1" applyBorder="1" applyAlignment="1">
      <alignment horizontal="left" vertical="center"/>
    </xf>
    <xf numFmtId="0" fontId="16" fillId="0" borderId="8" xfId="1" applyNumberFormat="1" applyFont="1" applyFill="1" applyBorder="1" applyAlignment="1">
      <alignment horizontal="left" vertical="center"/>
    </xf>
    <xf numFmtId="0" fontId="16" fillId="0" borderId="10" xfId="1" applyNumberFormat="1" applyFont="1" applyFill="1" applyBorder="1" applyAlignment="1">
      <alignment horizontal="left" vertical="center"/>
    </xf>
    <xf numFmtId="0" fontId="10" fillId="3" borderId="24" xfId="0" applyFont="1" applyFill="1" applyBorder="1" applyAlignment="1">
      <alignment horizontal="center" vertical="center" wrapText="1"/>
    </xf>
    <xf numFmtId="0" fontId="10" fillId="3" borderId="36"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37" xfId="0" applyFont="1" applyFill="1" applyBorder="1" applyAlignment="1">
      <alignment horizontal="center" vertical="center" wrapText="1"/>
    </xf>
    <xf numFmtId="0" fontId="10" fillId="2" borderId="38" xfId="0" applyFont="1" applyFill="1" applyBorder="1" applyAlignment="1">
      <alignment horizontal="center" vertical="center" wrapText="1"/>
    </xf>
    <xf numFmtId="0" fontId="10" fillId="2" borderId="2" xfId="0" applyFont="1" applyFill="1" applyBorder="1" applyAlignment="1">
      <alignment horizontal="center" vertical="center" wrapText="1"/>
    </xf>
    <xf numFmtId="0" fontId="10" fillId="3" borderId="39" xfId="0" applyFont="1" applyFill="1" applyBorder="1" applyAlignment="1">
      <alignment horizontal="center" vertical="center" wrapText="1"/>
    </xf>
    <xf numFmtId="0" fontId="10" fillId="3" borderId="40" xfId="0" applyFont="1" applyFill="1" applyBorder="1" applyAlignment="1">
      <alignment horizontal="center" vertical="center" wrapText="1"/>
    </xf>
    <xf numFmtId="0" fontId="10" fillId="3" borderId="41" xfId="0" applyFont="1" applyFill="1" applyBorder="1" applyAlignment="1">
      <alignment horizontal="center" vertical="center" wrapText="1"/>
    </xf>
    <xf numFmtId="14" fontId="69" fillId="19" borderId="5" xfId="0" applyNumberFormat="1" applyFont="1" applyFill="1" applyBorder="1" applyAlignment="1">
      <alignment horizontal="center" vertical="center" wrapText="1"/>
    </xf>
    <xf numFmtId="0" fontId="69" fillId="19" borderId="5" xfId="0" applyFont="1" applyFill="1" applyBorder="1" applyAlignment="1">
      <alignment horizontal="center" vertical="center" wrapText="1"/>
    </xf>
    <xf numFmtId="0" fontId="88" fillId="55" borderId="5" xfId="0" applyFont="1" applyFill="1" applyBorder="1" applyAlignment="1">
      <alignment horizontal="center" vertical="center"/>
    </xf>
    <xf numFmtId="165" fontId="88" fillId="4" borderId="5" xfId="1" applyNumberFormat="1" applyFont="1" applyFill="1" applyBorder="1" applyAlignment="1">
      <alignment horizontal="center" vertical="center"/>
    </xf>
    <xf numFmtId="0" fontId="88" fillId="66" borderId="5" xfId="0" applyFont="1" applyFill="1" applyBorder="1" applyAlignment="1">
      <alignment horizontal="center" vertical="center"/>
    </xf>
    <xf numFmtId="0" fontId="88" fillId="4" borderId="5" xfId="0" applyFont="1" applyFill="1" applyBorder="1" applyAlignment="1">
      <alignment horizontal="center" vertical="center"/>
    </xf>
    <xf numFmtId="0" fontId="84" fillId="53" borderId="5" xfId="0" applyFont="1" applyFill="1" applyBorder="1" applyAlignment="1">
      <alignment horizontal="center" vertical="center"/>
    </xf>
    <xf numFmtId="165" fontId="84" fillId="54" borderId="5" xfId="1" applyNumberFormat="1" applyFont="1" applyFill="1" applyBorder="1" applyAlignment="1">
      <alignment horizontal="center" vertical="center"/>
    </xf>
    <xf numFmtId="0" fontId="84" fillId="10" borderId="5" xfId="0" applyFont="1" applyFill="1" applyBorder="1" applyAlignment="1">
      <alignment horizontal="center" vertical="center"/>
    </xf>
    <xf numFmtId="0" fontId="0" fillId="0" borderId="0" xfId="0" applyNumberFormat="1"/>
    <xf numFmtId="0" fontId="0" fillId="0" borderId="0" xfId="0" applyFont="1" applyAlignment="1">
      <alignment vertical="center"/>
    </xf>
    <xf numFmtId="180" fontId="0" fillId="0" borderId="0" xfId="0" applyNumberFormat="1" applyFont="1" applyAlignment="1">
      <alignment vertical="center"/>
    </xf>
    <xf numFmtId="0" fontId="0" fillId="0" borderId="0" xfId="0" applyNumberFormat="1" applyAlignment="1">
      <alignment horizontal="center" vertical="center"/>
    </xf>
    <xf numFmtId="0" fontId="0" fillId="2" borderId="0" xfId="0" applyNumberFormat="1" applyFill="1" applyAlignment="1">
      <alignment horizontal="center" vertical="center"/>
    </xf>
    <xf numFmtId="0" fontId="0" fillId="0" borderId="0" xfId="0" applyNumberFormat="1" applyAlignment="1">
      <alignment vertical="center"/>
    </xf>
    <xf numFmtId="0" fontId="0" fillId="2" borderId="0" xfId="0" applyNumberFormat="1" applyFill="1" applyAlignment="1">
      <alignment vertical="center"/>
    </xf>
  </cellXfs>
  <cellStyles count="112">
    <cellStyle name="20% - Accent1" xfId="41" builtinId="30" customBuiltin="1"/>
    <cellStyle name="20% - Accent1 2" xfId="84" xr:uid="{00000000-0005-0000-0000-000001000000}"/>
    <cellStyle name="20% - Accent2" xfId="45" builtinId="34" customBuiltin="1"/>
    <cellStyle name="20% - Accent2 2" xfId="88" xr:uid="{00000000-0005-0000-0000-000003000000}"/>
    <cellStyle name="20% - Accent3" xfId="49" builtinId="38" customBuiltin="1"/>
    <cellStyle name="20% - Accent3 2" xfId="92" xr:uid="{00000000-0005-0000-0000-000005000000}"/>
    <cellStyle name="20% - Accent4" xfId="53" builtinId="42" customBuiltin="1"/>
    <cellStyle name="20% - Accent4 2" xfId="96" xr:uid="{00000000-0005-0000-0000-000007000000}"/>
    <cellStyle name="20% - Accent5" xfId="57" builtinId="46" customBuiltin="1"/>
    <cellStyle name="20% - Accent5 2" xfId="100" xr:uid="{00000000-0005-0000-0000-000009000000}"/>
    <cellStyle name="20% - Accent6" xfId="61" builtinId="50" customBuiltin="1"/>
    <cellStyle name="20% - Accent6 2" xfId="104" xr:uid="{00000000-0005-0000-0000-00000B000000}"/>
    <cellStyle name="40% - Accent1" xfId="42" builtinId="31" customBuiltin="1"/>
    <cellStyle name="40% - Accent1 2" xfId="85" xr:uid="{00000000-0005-0000-0000-00000D000000}"/>
    <cellStyle name="40% - Accent2" xfId="46" builtinId="35" customBuiltin="1"/>
    <cellStyle name="40% - Accent2 2" xfId="89" xr:uid="{00000000-0005-0000-0000-00000F000000}"/>
    <cellStyle name="40% - Accent3" xfId="50" builtinId="39" customBuiltin="1"/>
    <cellStyle name="40% - Accent3 2" xfId="93" xr:uid="{00000000-0005-0000-0000-000011000000}"/>
    <cellStyle name="40% - Accent4" xfId="54" builtinId="43" customBuiltin="1"/>
    <cellStyle name="40% - Accent4 2" xfId="97" xr:uid="{00000000-0005-0000-0000-000013000000}"/>
    <cellStyle name="40% - Accent5" xfId="58" builtinId="47" customBuiltin="1"/>
    <cellStyle name="40% - Accent5 2" xfId="101" xr:uid="{00000000-0005-0000-0000-000015000000}"/>
    <cellStyle name="40% - Accent6" xfId="62" builtinId="51" customBuiltin="1"/>
    <cellStyle name="40% - Accent6 2" xfId="105" xr:uid="{00000000-0005-0000-0000-000017000000}"/>
    <cellStyle name="60% - Accent1" xfId="43" builtinId="32" customBuiltin="1"/>
    <cellStyle name="60% - Accent1 2" xfId="86" xr:uid="{00000000-0005-0000-0000-000019000000}"/>
    <cellStyle name="60% - Accent2" xfId="47" builtinId="36" customBuiltin="1"/>
    <cellStyle name="60% - Accent2 2" xfId="90" xr:uid="{00000000-0005-0000-0000-00001B000000}"/>
    <cellStyle name="60% - Accent3" xfId="51" builtinId="40" customBuiltin="1"/>
    <cellStyle name="60% - Accent3 2" xfId="94" xr:uid="{00000000-0005-0000-0000-00001D000000}"/>
    <cellStyle name="60% - Accent4" xfId="55" builtinId="44" customBuiltin="1"/>
    <cellStyle name="60% - Accent4 2" xfId="98" xr:uid="{00000000-0005-0000-0000-00001F000000}"/>
    <cellStyle name="60% - Accent5" xfId="59" builtinId="48" customBuiltin="1"/>
    <cellStyle name="60% - Accent5 2" xfId="102" xr:uid="{00000000-0005-0000-0000-000021000000}"/>
    <cellStyle name="60% - Accent6" xfId="63" builtinId="52" customBuiltin="1"/>
    <cellStyle name="60% - Accent6 2" xfId="106" xr:uid="{00000000-0005-0000-0000-000023000000}"/>
    <cellStyle name="Accent1" xfId="40" builtinId="29" customBuiltin="1"/>
    <cellStyle name="Accent1 2" xfId="83" xr:uid="{00000000-0005-0000-0000-000025000000}"/>
    <cellStyle name="Accent2" xfId="44" builtinId="33" customBuiltin="1"/>
    <cellStyle name="Accent2 2" xfId="87" xr:uid="{00000000-0005-0000-0000-000027000000}"/>
    <cellStyle name="Accent3" xfId="48" builtinId="37" customBuiltin="1"/>
    <cellStyle name="Accent3 2" xfId="91" xr:uid="{00000000-0005-0000-0000-000029000000}"/>
    <cellStyle name="Accent4" xfId="52" builtinId="41" customBuiltin="1"/>
    <cellStyle name="Accent4 2" xfId="95" xr:uid="{00000000-0005-0000-0000-00002B000000}"/>
    <cellStyle name="Accent5" xfId="56" builtinId="45" customBuiltin="1"/>
    <cellStyle name="Accent5 2" xfId="99" xr:uid="{00000000-0005-0000-0000-00002D000000}"/>
    <cellStyle name="Accent6" xfId="60" builtinId="49" customBuiltin="1"/>
    <cellStyle name="Accent6 2" xfId="103" xr:uid="{00000000-0005-0000-0000-00002F000000}"/>
    <cellStyle name="Bad" xfId="30" builtinId="27" customBuiltin="1"/>
    <cellStyle name="Bad 2" xfId="73" xr:uid="{00000000-0005-0000-0000-000031000000}"/>
    <cellStyle name="Calculation" xfId="34" builtinId="22" customBuiltin="1"/>
    <cellStyle name="Calculation 2" xfId="77" xr:uid="{00000000-0005-0000-0000-000033000000}"/>
    <cellStyle name="Check Cell" xfId="36" builtinId="23" customBuiltin="1"/>
    <cellStyle name="Check Cell 2" xfId="79" xr:uid="{00000000-0005-0000-0000-000035000000}"/>
    <cellStyle name="Comma" xfId="1" builtinId="3"/>
    <cellStyle name="Comma [0]" xfId="111" builtinId="6"/>
    <cellStyle name="Comma 2 41 2 2 2" xfId="107" xr:uid="{00000000-0005-0000-0000-000037000000}"/>
    <cellStyle name="EvenStyleCODE" xfId="16" xr:uid="{00000000-0005-0000-0000-000039000000}"/>
    <cellStyle name="EvenStyleCOUPON_BOND_TYPE_TXT" xfId="15" xr:uid="{00000000-0005-0000-0000-00003A000000}"/>
    <cellStyle name="EvenStyleISSUER_CODE" xfId="21" xr:uid="{00000000-0005-0000-0000-00003B000000}"/>
    <cellStyle name="EvenStyleNAME" xfId="17" xr:uid="{00000000-0005-0000-0000-00003C000000}"/>
    <cellStyle name="EvenStyleSTOCKS_TYPE_TXT" xfId="18" xr:uid="{00000000-0005-0000-0000-00003D000000}"/>
    <cellStyle name="EvenStyleSTT" xfId="23" xr:uid="{00000000-0005-0000-0000-00003E000000}"/>
    <cellStyle name="Explanatory Text" xfId="38" builtinId="53" customBuiltin="1"/>
    <cellStyle name="Explanatory Text 2" xfId="81" xr:uid="{00000000-0005-0000-0000-000040000000}"/>
    <cellStyle name="Good" xfId="29" builtinId="26" customBuiltin="1"/>
    <cellStyle name="Good 2" xfId="72" xr:uid="{00000000-0005-0000-0000-000042000000}"/>
    <cellStyle name="HeaderStyle" xfId="7" xr:uid="{00000000-0005-0000-0000-000043000000}"/>
    <cellStyle name="HeaderStyle 2" xfId="6" xr:uid="{00000000-0005-0000-0000-000044000000}"/>
    <cellStyle name="Heading 1" xfId="25" builtinId="16" customBuiltin="1"/>
    <cellStyle name="Heading 1 2" xfId="68" xr:uid="{00000000-0005-0000-0000-000046000000}"/>
    <cellStyle name="Heading 2" xfId="26" builtinId="17" customBuiltin="1"/>
    <cellStyle name="Heading 2 2" xfId="69" xr:uid="{00000000-0005-0000-0000-000048000000}"/>
    <cellStyle name="Heading 3" xfId="27" builtinId="18" customBuiltin="1"/>
    <cellStyle name="Heading 3 2" xfId="70" xr:uid="{00000000-0005-0000-0000-00004A000000}"/>
    <cellStyle name="Heading 4" xfId="28" builtinId="19" customBuiltin="1"/>
    <cellStyle name="Heading 4 2" xfId="71" xr:uid="{00000000-0005-0000-0000-00004C000000}"/>
    <cellStyle name="Hyperlink" xfId="2" builtinId="8"/>
    <cellStyle name="Input" xfId="32" builtinId="20" customBuiltin="1"/>
    <cellStyle name="Input 2" xfId="75" xr:uid="{00000000-0005-0000-0000-00004F000000}"/>
    <cellStyle name="Linked Cell" xfId="35" builtinId="24" customBuiltin="1"/>
    <cellStyle name="Linked Cell 2" xfId="78" xr:uid="{00000000-0005-0000-0000-000051000000}"/>
    <cellStyle name="Neutral" xfId="31" builtinId="28" customBuiltin="1"/>
    <cellStyle name="Neutral 2" xfId="74" xr:uid="{00000000-0005-0000-0000-000053000000}"/>
    <cellStyle name="Normal" xfId="0" builtinId="0"/>
    <cellStyle name="Normal 10" xfId="5" xr:uid="{00000000-0005-0000-0000-000055000000}"/>
    <cellStyle name="Normal 2" xfId="64" xr:uid="{00000000-0005-0000-0000-000056000000}"/>
    <cellStyle name="Normal 2 2" xfId="108" xr:uid="{DE855113-3043-42D2-8787-08FC33F934D3}"/>
    <cellStyle name="Normal 28" xfId="3" xr:uid="{00000000-0005-0000-0000-000057000000}"/>
    <cellStyle name="Normal 326" xfId="109" xr:uid="{E85C32E6-9884-4FD1-ADAB-E3E4A74C33CD}"/>
    <cellStyle name="Normal 327" xfId="110" xr:uid="{C8981DD3-49B7-4524-BE68-B4E15FEFF218}"/>
    <cellStyle name="Normal 76 2" xfId="4" xr:uid="{00000000-0005-0000-0000-000058000000}"/>
    <cellStyle name="Note" xfId="66" builtinId="10" customBuiltin="1"/>
    <cellStyle name="Note 2" xfId="65" xr:uid="{00000000-0005-0000-0000-00005A000000}"/>
    <cellStyle name="OddStyleBEGIN_DAYS" xfId="8" xr:uid="{00000000-0005-0000-0000-00005B000000}"/>
    <cellStyle name="OddStyleCODE" xfId="13" xr:uid="{00000000-0005-0000-0000-00005C000000}"/>
    <cellStyle name="OddStyleCOUPON_BOND_TYPE_TXT" xfId="12" xr:uid="{00000000-0005-0000-0000-00005D000000}"/>
    <cellStyle name="OddStyleEND_DAYS" xfId="9" xr:uid="{00000000-0005-0000-0000-00005E000000}"/>
    <cellStyle name="OddStyleISSUER_CODE" xfId="19" xr:uid="{00000000-0005-0000-0000-00005F000000}"/>
    <cellStyle name="OddStyleNAME" xfId="14" xr:uid="{00000000-0005-0000-0000-000060000000}"/>
    <cellStyle name="OddStyleSTOCKS_TYPE" xfId="20" xr:uid="{00000000-0005-0000-0000-000061000000}"/>
    <cellStyle name="OddStyleSTT" xfId="22" xr:uid="{00000000-0005-0000-0000-000062000000}"/>
    <cellStyle name="OddStyleVALIDATED_DATE" xfId="10" xr:uid="{00000000-0005-0000-0000-000063000000}"/>
    <cellStyle name="Output" xfId="33" builtinId="21" customBuiltin="1"/>
    <cellStyle name="Output 2" xfId="76" xr:uid="{00000000-0005-0000-0000-000065000000}"/>
    <cellStyle name="Percent" xfId="11" builtinId="5"/>
    <cellStyle name="Title" xfId="24" builtinId="15" customBuiltin="1"/>
    <cellStyle name="Title 2" xfId="67" xr:uid="{00000000-0005-0000-0000-000068000000}"/>
    <cellStyle name="Total" xfId="39" builtinId="25" customBuiltin="1"/>
    <cellStyle name="Total 2" xfId="82" xr:uid="{00000000-0005-0000-0000-00006A000000}"/>
    <cellStyle name="Warning Text" xfId="37" builtinId="11" customBuiltin="1"/>
    <cellStyle name="Warning Text 2" xfId="80" xr:uid="{00000000-0005-0000-0000-00006C000000}"/>
  </cellStyles>
  <dxfs count="523">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auto="1"/>
      </font>
      <fill>
        <patternFill>
          <bgColor rgb="FFFF0000"/>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00B05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9C0006"/>
      </font>
      <fill>
        <patternFill>
          <bgColor rgb="FFFFC7CE"/>
        </patternFill>
      </fill>
    </dxf>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numFmt numFmtId="19" formatCode="d/m/yyyy"/>
      <fill>
        <patternFill patternType="none">
          <fgColor indexed="64"/>
          <bgColor auto="1"/>
        </patternFill>
      </fill>
    </dxf>
    <dxf>
      <fill>
        <patternFill patternType="none">
          <fgColor indexed="64"/>
          <bgColor auto="1"/>
        </patternFill>
      </fill>
    </dxf>
    <dxf>
      <numFmt numFmtId="19" formatCode="d/m/yyyy"/>
    </dxf>
    <dxf>
      <numFmt numFmtId="0" formatCode="General"/>
    </dxf>
    <dxf>
      <font>
        <b val="0"/>
        <strike val="0"/>
        <outline val="0"/>
        <shadow val="0"/>
        <u val="none"/>
        <vertAlign val="baseline"/>
        <sz val="11"/>
        <color rgb="FFFF0000"/>
        <name val="Calibri"/>
        <family val="2"/>
        <scheme val="minor"/>
      </font>
      <alignment horizontal="general" vertical="center" textRotation="0" wrapText="0" indent="0" justifyLastLine="0" shrinkToFit="0" readingOrder="0"/>
    </dxf>
    <dxf>
      <font>
        <b val="0"/>
        <strike val="0"/>
        <outline val="0"/>
        <shadow val="0"/>
        <u val="none"/>
        <vertAlign val="baseline"/>
        <sz val="11"/>
        <color rgb="FFFF0000"/>
        <name val="Calibri"/>
        <family val="2"/>
        <scheme val="minor"/>
      </font>
      <numFmt numFmtId="188" formatCode="_(* #,##0.00_);_(* \(#,##0.00\);_(* &quot;-&quot;_);_(@_)"/>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alignment horizontal="general" vertical="center" textRotation="0" wrapText="0" indent="0" justifyLastLine="0" shrinkToFit="0" readingOrder="0"/>
    </dxf>
    <dxf>
      <font>
        <b val="0"/>
      </font>
      <numFmt numFmtId="180" formatCode="m/d/yyyy"/>
      <alignment horizontal="general" vertical="center" textRotation="0" wrapText="0" indent="0" justifyLastLine="0" shrinkToFit="0" readingOrder="0"/>
    </dxf>
    <dxf>
      <font>
        <b val="0"/>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font>
        <color rgb="FFFF0000"/>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color rgb="FFFF0000"/>
      </font>
      <numFmt numFmtId="165" formatCode="_(* #,##0_);_(* \(#,##0\);_(* &quot;-&quot;??_);_(@_)"/>
      <fill>
        <patternFill patternType="none">
          <fgColor indexed="64"/>
          <bgColor indexed="65"/>
        </patternFill>
      </fill>
    </dxf>
    <dxf>
      <font>
        <color rgb="FFFF0000"/>
      </font>
      <numFmt numFmtId="165" formatCode="_(* #,##0_);_(* \(#,##0\);_(* &quot;-&quot;??_);_(@_)"/>
      <fill>
        <patternFill patternType="none">
          <fgColor indexed="64"/>
          <bgColor indexed="65"/>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65" formatCode="_(* #,##0_);_(* \(#,##0\);_(* &quot;-&quot;??_);_(@_)"/>
      <fill>
        <patternFill patternType="none">
          <fgColor indexed="64"/>
          <bgColor indexed="65"/>
        </patternFill>
      </fill>
    </dxf>
    <dxf>
      <font>
        <color rgb="FFFF0000"/>
      </font>
      <numFmt numFmtId="2" formatCode="0.00"/>
      <fill>
        <patternFill patternType="none">
          <fgColor indexed="64"/>
          <bgColor auto="1"/>
        </patternFill>
      </fill>
    </dxf>
    <dxf>
      <font>
        <color rgb="FFFF0000"/>
      </font>
      <numFmt numFmtId="2" formatCode="0.00"/>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fill>
        <patternFill patternType="none">
          <fgColor indexed="64"/>
          <bgColor auto="1"/>
        </patternFill>
      </fill>
    </dxf>
    <dxf>
      <font>
        <color rgb="FFFF0000"/>
      </font>
      <numFmt numFmtId="1" formatCode="0"/>
      <fill>
        <patternFill patternType="none">
          <fgColor indexed="64"/>
          <bgColor auto="1"/>
        </patternFill>
      </fill>
    </dxf>
    <dxf>
      <font>
        <color rgb="FFFF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theme="1"/>
        <name val="Calibri"/>
        <family val="2"/>
        <scheme val="minor"/>
      </font>
      <numFmt numFmtId="179" formatCode="_-* #,##0_-;\-* #,##0_-;_-* &quot;-&quot;??_-;_-@_-"/>
      <fill>
        <patternFill patternType="none">
          <fgColor indexed="64"/>
          <bgColor indexed="65"/>
        </patternFill>
      </fill>
    </dxf>
    <dxf>
      <numFmt numFmtId="19" formatCode="d/m/yyyy"/>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numFmt numFmtId="174" formatCode="_(* #,##0.0000_);_(* \(#,##0.0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65" formatCode="_(* #,##0_);_(* \(#,##0\);_(* &quot;-&quot;??_);_(@_)"/>
      <fill>
        <patternFill patternType="none">
          <fgColor indexed="64"/>
          <bgColor indexed="65"/>
        </patternFill>
      </fill>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rgb="FFFF0000"/>
        <name val="Calibri"/>
        <family val="2"/>
        <scheme val="minor"/>
      </font>
      <numFmt numFmtId="181" formatCode="_(* #,##0.0000000_);_(* \(#,##0.0000000\);_(* &quot;-&quot;_);_(@_)"/>
    </dxf>
    <dxf>
      <font>
        <color rgb="FFFF0000"/>
      </font>
      <numFmt numFmtId="165" formatCode="_(* #,##0_);_(* \(#,##0\);_(* &quot;-&quot;??_);_(@_)"/>
    </dxf>
    <dxf>
      <font>
        <strike val="0"/>
        <outline val="0"/>
        <shadow val="0"/>
        <u val="none"/>
        <vertAlign val="baseline"/>
        <sz val="11"/>
        <color rgb="FFFF0000"/>
        <name val="Calibri"/>
        <family val="2"/>
        <scheme val="minor"/>
      </font>
      <numFmt numFmtId="165" formatCode="_(* #,##0_);_(* \(#,##0\);_(* &quot;-&quot;??_);_(@_)"/>
    </dxf>
    <dxf>
      <numFmt numFmtId="165" formatCode="_(* #,##0_);_(* \(#,##0\);_(* &quot;-&quot;??_);_(@_)"/>
    </dxf>
    <dxf>
      <numFmt numFmtId="165" formatCode="_(* #,##0_);_(* \(#,##0\);_(* &quot;-&quot;??_);_(@_)"/>
    </dxf>
    <dxf>
      <numFmt numFmtId="165" formatCode="_(* #,##0_);_(* \(#,##0\);_(* &quot;-&quot;??_);_(@_)"/>
    </dxf>
    <dxf>
      <numFmt numFmtId="180" formatCode="m/d/yyyy"/>
    </dxf>
    <dxf>
      <numFmt numFmtId="180" formatCode="m/d/yyyy"/>
    </dxf>
    <dxf>
      <numFmt numFmtId="180" formatCode="m/d/yyyy"/>
    </dxf>
    <dxf>
      <numFmt numFmtId="180" formatCode="m/d/yyyy"/>
    </dxf>
    <dxf>
      <numFmt numFmtId="180" formatCode="m/d/yyyy"/>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color rgb="FFFF0000"/>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87" formatCode="_(* #,##0.000000_);_(* \(#,##0.000000\);_(* &quot;-&quot;_);_(@_)"/>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80" formatCode="m/d/yyyy"/>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numFmt numFmtId="0" formatCode="General"/>
    </dxf>
    <dxf>
      <numFmt numFmtId="0" formatCode="General"/>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numFmt numFmtId="180" formatCode="m/d/yyyy"/>
      <alignment horizontal="general" vertical="center"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3" formatCode="_(* #,##0_);_(* \(#,##0\);_(* &quot;-&quot;_);_(@_)"/>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88" formatCode="_(* #,##0.00_);_(* \(#,##0.00\);_(* &quot;-&quot;_);_(@_)"/>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88" formatCode="_(* #,##0.00_);_(* \(#,##0.00\);_(* &quot;-&quot;_);_(@_)"/>
    </dxf>
    <dxf>
      <alignment horizontal="general" vertical="center" textRotation="0" wrapText="0" indent="0" justifyLastLine="0" shrinkToFit="0" readingOrder="0"/>
    </dxf>
    <dxf>
      <alignment horizontal="general" vertical="center" textRotation="0" wrapText="0" indent="0" justifyLastLine="0" shrinkToFit="0" readingOrder="0"/>
    </dxf>
    <dxf>
      <numFmt numFmtId="165" formatCode="_(* #,##0_);_(* \(#,##0\);_(* &quot;-&quot;??_);_(@_)"/>
      <alignment horizontal="general" vertical="center" textRotation="0" wrapText="0" indent="0" justifyLastLine="0" shrinkToFit="0" readingOrder="0"/>
    </dxf>
    <dxf>
      <numFmt numFmtId="165" formatCode="_(* #,##0_);_(* \(#,##0\);_(* &quot;-&quot;??_);_(@_)"/>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font>
        <color rgb="FFFF0000"/>
      </font>
      <numFmt numFmtId="165" formatCode="_(* #,##0_);_(* \(#,##0\);_(* &quot;-&quot;??_);_(@_)"/>
      <alignment horizontal="general" vertical="center" textRotation="0" wrapText="0" indent="0" justifyLastLine="0" shrinkToFit="0" readingOrder="0"/>
    </dxf>
    <dxf>
      <font>
        <color rgb="FFFF0000"/>
      </font>
      <numFmt numFmtId="165" formatCode="_(* #,##0_);_(* \(#,##0\);_(* &quot;-&quot;??_);_(@_)"/>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84" formatCode="_(* #,##0.0000_);_(* \(#,##0.0000\);_(* &quot;-&quot;_);_(@_)"/>
    </dxf>
    <dxf>
      <font>
        <b val="0"/>
        <i val="0"/>
        <strike val="0"/>
        <condense val="0"/>
        <extend val="0"/>
        <outline val="0"/>
        <shadow val="0"/>
        <u val="none"/>
        <vertAlign val="baseline"/>
        <sz val="11"/>
        <color theme="1"/>
        <name val="Calibri"/>
        <family val="2"/>
        <scheme val="minor"/>
      </font>
    </dxf>
    <dxf>
      <numFmt numFmtId="0" formatCode="General"/>
    </dxf>
    <dxf>
      <font>
        <b val="0"/>
        <i val="0"/>
        <strike val="0"/>
        <condense val="0"/>
        <extend val="0"/>
        <outline val="0"/>
        <shadow val="0"/>
        <u val="none"/>
        <vertAlign val="baseline"/>
        <sz val="11"/>
        <color theme="1"/>
        <name val="Calibri"/>
        <family val="2"/>
        <scheme val="minor"/>
      </font>
      <numFmt numFmtId="180" formatCode="m/d/yyyy"/>
    </dxf>
    <dxf>
      <font>
        <b val="0"/>
        <i val="0"/>
        <strike val="0"/>
        <condense val="0"/>
        <extend val="0"/>
        <outline val="0"/>
        <shadow val="0"/>
        <u val="none"/>
        <vertAlign val="baseline"/>
        <sz val="11"/>
        <color theme="1"/>
        <name val="Calibri"/>
        <family val="2"/>
        <scheme val="minor"/>
      </font>
      <numFmt numFmtId="184" formatCode="_(* #,##0.0000_);_(* \(#,##0.0000\);_(* &quot;-&quot;_);_(@_)"/>
    </dxf>
    <dxf>
      <font>
        <b val="0"/>
        <i val="0"/>
        <strike val="0"/>
        <condense val="0"/>
        <extend val="0"/>
        <outline val="0"/>
        <shadow val="0"/>
        <u val="none"/>
        <vertAlign val="baseline"/>
        <sz val="11"/>
        <color theme="1"/>
        <name val="Calibri"/>
        <family val="2"/>
        <scheme val="minor"/>
      </font>
    </dxf>
    <dxf>
      <numFmt numFmtId="180" formatCode="m/d/yyyy"/>
    </dxf>
    <dxf>
      <numFmt numFmtId="19" formatCode="d/m/yyyy"/>
    </dxf>
    <dxf>
      <numFmt numFmtId="165" formatCode="_(* #,##0_);_(* \(#,##0\);_(* &quot;-&quot;??_);_(@_)"/>
    </dxf>
    <dxf>
      <numFmt numFmtId="180" formatCode="m/d/yyyy"/>
    </dxf>
    <dxf>
      <numFmt numFmtId="165" formatCode="_(* #,##0_);_(* \(#,##0\);_(* &quot;-&quot;??_);_(@_)"/>
    </dxf>
    <dxf>
      <numFmt numFmtId="180" formatCode="m/d/yyyy"/>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theme="1"/>
        <name val="Calibri"/>
        <family val="2"/>
        <scheme val="minor"/>
      </font>
    </dxf>
    <dxf>
      <numFmt numFmtId="19" formatCode="d/m/yyyy"/>
    </dxf>
    <dxf>
      <numFmt numFmtId="19" formatCode="d/m/yyyy"/>
    </dxf>
    <dxf>
      <font>
        <b val="0"/>
        <i val="0"/>
        <strike val="0"/>
        <condense val="0"/>
        <extend val="0"/>
        <outline val="0"/>
        <shadow val="0"/>
        <u val="none"/>
        <vertAlign val="baseline"/>
        <sz val="11"/>
        <color rgb="FFFF0000"/>
        <name val="Calibri"/>
        <family val="2"/>
        <scheme val="minor"/>
      </font>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9" formatCode="d/m/yyyy"/>
    </dxf>
    <dxf>
      <numFmt numFmtId="19" formatCode="d/m/yyyy"/>
    </dxf>
    <dxf>
      <numFmt numFmtId="180" formatCode="m/d/yyyy"/>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dxf>
    <dxf>
      <numFmt numFmtId="180" formatCode="m/d/yyyy"/>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74" formatCode="_(* #,##0.0000_);_(* \(#,##0.000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9" formatCode="d/m/yyyy"/>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numFmt numFmtId="165" formatCode="_(* #,##0_);_(* \(#,##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65" formatCode="_(* #,##0_);_(* \(#,##0\);_(* &quot;-&quot;??_);_(@_)"/>
    </dxf>
    <dxf>
      <numFmt numFmtId="35" formatCode="_(* #,##0.00_);_(* \(#,##0.0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theme="1"/>
        <name val="Calibri"/>
        <family val="2"/>
        <scheme val="minor"/>
      </font>
      <numFmt numFmtId="165" formatCode="_(* #,##0_);_(* \(#,##0\);_(* &quot;-&quot;??_);_(@_)"/>
    </dxf>
    <dxf>
      <numFmt numFmtId="165" formatCode="_(* #,##0_);_(* \(#,##0\);_(* &quot;-&quot;??_);_(@_)"/>
    </dxf>
    <dxf>
      <numFmt numFmtId="165" formatCode="_(* #,##0_);_(* \(#,##0\);_(* &quot;-&quot;??_);_(@_)"/>
    </dxf>
    <dxf>
      <numFmt numFmtId="180" formatCode="m/d/yyyy"/>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border diagonalUp="0" diagonalDown="0">
        <left/>
        <right style="thin">
          <color theme="9" tint="0.39997558519241921"/>
        </right>
        <top/>
        <bottom/>
        <vertical/>
        <horizontal/>
      </border>
    </dxf>
    <dxf>
      <font>
        <b val="0"/>
        <i val="0"/>
        <strike val="0"/>
        <condense val="0"/>
        <extend val="0"/>
        <outline val="0"/>
        <shadow val="0"/>
        <u val="none"/>
        <vertAlign val="baseline"/>
        <sz val="11"/>
        <color rgb="FFFF0000"/>
        <name val="Calibri"/>
        <family val="2"/>
        <scheme val="minor"/>
      </font>
      <numFmt numFmtId="0" formatCode="General"/>
      <fill>
        <patternFill patternType="solid">
          <fgColor theme="9" tint="0.79998168889431442"/>
          <bgColor theme="9" tint="0.79998168889431442"/>
        </patternFill>
      </fill>
      <alignment horizontal="left"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alignment horizontal="center" vertical="bottom" textRotation="0" wrapText="0" indent="0" justifyLastLine="0" shrinkToFit="0" readingOrder="0"/>
    </dxf>
    <dxf>
      <numFmt numFmtId="180" formatCode="m/d/yyyy"/>
    </dxf>
    <dxf>
      <numFmt numFmtId="180" formatCode="m/d/yyyy"/>
    </dxf>
    <dxf>
      <font>
        <b val="0"/>
        <i val="0"/>
        <strike val="0"/>
        <condense val="0"/>
        <extend val="0"/>
        <outline val="0"/>
        <shadow val="0"/>
        <u val="none"/>
        <vertAlign val="baseline"/>
        <sz val="11"/>
        <color theme="1"/>
        <name val="Calibri"/>
        <family val="2"/>
        <scheme val="minor"/>
      </font>
    </dxf>
    <dxf>
      <numFmt numFmtId="18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35" formatCode="_(* #,##0.00_);_(* \(#,##0.00\);_(* &quot;-&quot;??_);_(@_)"/>
    </dxf>
    <dxf>
      <font>
        <b val="0"/>
        <i val="0"/>
        <strike val="0"/>
        <condense val="0"/>
        <extend val="0"/>
        <outline val="0"/>
        <shadow val="0"/>
        <u val="none"/>
        <vertAlign val="baseline"/>
        <sz val="11"/>
        <color theme="1"/>
        <name val="Calibri"/>
        <scheme val="minor"/>
      </font>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FF0000"/>
      </font>
      <numFmt numFmtId="35" formatCode="_(* #,##0.00_);_(* \(#,##0.00\);_(* &quot;-&quot;??_);_(@_)"/>
    </dxf>
    <dxf>
      <font>
        <strike val="0"/>
        <outline val="0"/>
        <shadow val="0"/>
        <u val="none"/>
        <vertAlign val="baseline"/>
        <sz val="11"/>
        <color rgb="FFFF0000"/>
        <name val="Calibri"/>
        <family val="2"/>
        <scheme val="minor"/>
      </font>
      <numFmt numFmtId="165" formatCode="_(* #,##0_);_(* \(#,##0\);_(* &quot;-&quot;??_);_(@_)"/>
    </dxf>
    <dxf>
      <font>
        <strike val="0"/>
        <outline val="0"/>
        <shadow val="0"/>
        <u val="none"/>
        <vertAlign val="baseline"/>
        <sz val="11"/>
        <color rgb="FFFF0000"/>
        <name val="Calibri"/>
        <family val="2"/>
        <scheme val="minor"/>
      </font>
      <numFmt numFmtId="13" formatCode="0%"/>
    </dxf>
    <dxf>
      <font>
        <strike val="0"/>
        <outline val="0"/>
        <shadow val="0"/>
        <u val="none"/>
        <vertAlign val="baseline"/>
        <sz val="11"/>
        <color rgb="FFFF0000"/>
        <name val="Calibri"/>
        <family val="2"/>
        <scheme val="minor"/>
      </font>
      <numFmt numFmtId="180" formatCode="m/d/yyyy"/>
    </dxf>
    <dxf>
      <font>
        <b val="0"/>
        <i val="0"/>
        <strike val="0"/>
        <condense val="0"/>
        <extend val="0"/>
        <outline val="0"/>
        <shadow val="0"/>
        <u val="none"/>
        <vertAlign val="baseline"/>
        <sz val="11"/>
        <color rgb="FFFF0000"/>
        <name val="Calibri"/>
        <family val="2"/>
        <scheme val="minor"/>
      </font>
      <numFmt numFmtId="35" formatCode="_(* #,##0.00_);_(* \(#,##0.00\);_(* &quot;-&quot;??_);_(@_)"/>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numFmt numFmtId="35" formatCode="_(* #,##0.00_);_(* \(#,##0.00\);_(* &quot;-&quot;??_);_(@_)"/>
    </dxf>
    <dxf>
      <font>
        <b val="0"/>
        <i val="0"/>
        <strike val="0"/>
        <condense val="0"/>
        <extend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13" formatCode="0%"/>
    </dxf>
    <dxf>
      <font>
        <strike val="0"/>
        <outline val="0"/>
        <shadow val="0"/>
        <u val="none"/>
        <vertAlign val="baseline"/>
        <sz val="11"/>
        <color rgb="FFFF0000"/>
        <name val="Calibri"/>
        <family val="2"/>
        <scheme val="minor"/>
      </font>
      <numFmt numFmtId="180" formatCode="m/d/yyyy"/>
    </dxf>
    <dxf>
      <font>
        <b val="0"/>
        <i val="0"/>
        <strike val="0"/>
        <condense val="0"/>
        <extend val="0"/>
        <outline val="0"/>
        <shadow val="0"/>
        <u val="none"/>
        <vertAlign val="baseline"/>
        <sz val="11"/>
        <color rgb="FFFF0000"/>
        <name val="Calibri"/>
        <family val="2"/>
        <scheme val="minor"/>
      </font>
      <numFmt numFmtId="0" formatCode="General"/>
    </dxf>
    <dxf>
      <font>
        <strike val="0"/>
        <outline val="0"/>
        <shadow val="0"/>
        <u val="none"/>
        <vertAlign val="baseline"/>
        <sz val="11"/>
        <color rgb="FFFF0000"/>
        <name val="Calibri"/>
        <family val="2"/>
        <scheme val="minor"/>
      </font>
    </dxf>
    <dxf>
      <font>
        <b val="0"/>
        <i val="0"/>
        <strike val="0"/>
        <condense val="0"/>
        <extend val="0"/>
        <outline val="0"/>
        <shadow val="0"/>
        <u val="none"/>
        <vertAlign val="baseline"/>
        <sz val="11"/>
        <color rgb="FFFF0000"/>
        <name val="Calibri"/>
        <family val="2"/>
        <scheme val="minor"/>
      </font>
      <numFmt numFmtId="165" formatCode="_(* #,##0_);_(* \(#,##0\);_(* &quot;-&quot;??_);_(@_)"/>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5" formatCode="_(* #,##0_);_(* \(#,##0\);_(* &quot;-&quot;??_);_(@_)"/>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65" formatCode="_(* #,##0_);_(* \(#,##0\);_(* &quot;-&quot;??_);_(@_)"/>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right style="thin">
          <color indexed="64"/>
        </right>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165" formatCode="_(* #,##0_);_(* \(#,##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numFmt numFmtId="35" formatCode="_(* #,##0.00_);_(* \(#,##0.00\);_(* &quot;-&quot;??_);_(@_)"/>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rgb="FFFF0000"/>
        <name val="Calibri"/>
        <family val="2"/>
        <scheme val="minor"/>
      </font>
      <fill>
        <patternFill patternType="solid">
          <fgColor theme="9" tint="0.79998168889431442"/>
          <bgColor theme="9" tint="0.79998168889431442"/>
        </patternFill>
      </fill>
      <border diagonalUp="0" diagonalDown="0">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family val="2"/>
        <scheme val="minor"/>
      </font>
      <fill>
        <patternFill patternType="none">
          <fgColor indexed="64"/>
          <bgColor auto="1"/>
        </patternFill>
      </fil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border outline="0">
        <left style="thin">
          <color theme="5" tint="0.39997558519241921"/>
        </left>
        <top style="thin">
          <color theme="5" tint="0.39997558519241921"/>
        </top>
        <bottom style="thin">
          <color theme="5"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_(* #,##0_);_(* \(#,##0\);_(* &quot;-&quot;??_);_(@_)"/>
      <alignment vertical="center" textRotation="0" indent="0" justifyLastLine="0" shrinkToFit="0" readingOrder="0"/>
    </dxf>
    <dxf>
      <numFmt numFmtId="165" formatCode="_(* #,##0_);_(* \(#,##0\);_(* &quot;-&quot;??_);_(@_)"/>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92" formatCode="_(* #,##0.00000_);_(* \(#,##0.0000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80" formatCode="m/d/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rial"/>
        <family val="2"/>
        <scheme val="none"/>
      </font>
      <fill>
        <patternFill patternType="solid">
          <fgColor indexed="64"/>
          <bgColor theme="5"/>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font>
        <color rgb="FFEE0000"/>
      </font>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alignment horizontal="general" vertical="center" textRotation="0" wrapText="0" indent="0" justifyLastLine="0" shrinkToFit="0" readingOrder="0"/>
    </dxf>
    <dxf>
      <font>
        <b val="0"/>
      </font>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theme="1"/>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0"/>
        <color rgb="FFFF0000"/>
        <name val="Arial"/>
        <scheme val="none"/>
      </font>
      <numFmt numFmtId="169" formatCode="[$-409]d\-mmm\-yy;@"/>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Arial"/>
        <scheme val="none"/>
      </font>
      <numFmt numFmtId="169" formatCode="[$-409]d\-mmm\-yy;@"/>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scheme val="none"/>
      </font>
      <fill>
        <patternFill patternType="none">
          <fgColor indexed="64"/>
          <bgColor auto="1"/>
        </patternFill>
      </fill>
      <alignment horizontal="left"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dxf>
    <dxf>
      <font>
        <strike val="0"/>
        <outline val="0"/>
        <shadow val="0"/>
        <u val="none"/>
        <vertAlign val="baseline"/>
        <sz val="10"/>
        <name val="Arial"/>
        <scheme val="none"/>
      </font>
      <fill>
        <patternFill patternType="none">
          <fgColor indexed="64"/>
          <bgColor auto="1"/>
        </patternFill>
      </fill>
      <alignment horizontal="center" vertical="center" textRotation="0" wrapText="0" indent="0" justifyLastLine="0" shrinkToFit="0" readingOrder="0"/>
    </dxf>
    <dxf>
      <border outline="0">
        <top style="thin">
          <color theme="4"/>
        </top>
      </border>
    </dxf>
    <dxf>
      <font>
        <strike val="0"/>
        <outline val="0"/>
        <shadow val="0"/>
        <u val="none"/>
        <vertAlign val="baseline"/>
        <sz val="10"/>
        <name val="Arial"/>
        <scheme val="none"/>
      </font>
      <fill>
        <patternFill patternType="none">
          <fgColor indexed="64"/>
          <bgColor auto="1"/>
        </patternFill>
      </fill>
    </dxf>
    <dxf>
      <font>
        <b/>
        <i val="0"/>
        <strike val="0"/>
        <condense val="0"/>
        <extend val="0"/>
        <outline val="0"/>
        <shadow val="0"/>
        <u val="none"/>
        <vertAlign val="baseline"/>
        <sz val="10"/>
        <color theme="0"/>
        <name val="Arial"/>
        <scheme val="none"/>
      </font>
      <fill>
        <patternFill patternType="none">
          <fgColor indexed="64"/>
          <bgColor auto="1"/>
        </patternFill>
      </fill>
      <alignment horizontal="general" vertical="center" textRotation="0" wrapText="0" indent="0" justifyLastLine="0" shrinkToFit="0" readingOrder="0"/>
    </dxf>
  </dxfs>
  <tableStyles count="0" defaultTableStyle="TableStyleMedium2" defaultPivotStyle="PivotStyleLight16"/>
  <colors>
    <mruColors>
      <color rgb="FFFFCCCC"/>
      <color rgb="FF8342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externalLink" Target="externalLinks/externalLink10.xml"/><Relationship Id="rId47" Type="http://schemas.openxmlformats.org/officeDocument/2006/relationships/externalLink" Target="externalLinks/externalLink15.xml"/><Relationship Id="rId63" Type="http://schemas.openxmlformats.org/officeDocument/2006/relationships/connections" Target="connections.xml"/><Relationship Id="rId68"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3" Type="http://schemas.openxmlformats.org/officeDocument/2006/relationships/externalLink" Target="externalLinks/externalLink21.xml"/><Relationship Id="rId58" Type="http://schemas.openxmlformats.org/officeDocument/2006/relationships/externalLink" Target="externalLinks/externalLink26.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pivotCacheDefinition" Target="pivotCache/pivotCacheDefinition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externalLink" Target="externalLinks/externalLink16.xml"/><Relationship Id="rId56" Type="http://schemas.openxmlformats.org/officeDocument/2006/relationships/externalLink" Target="externalLinks/externalLink24.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externalLink" Target="externalLinks/externalLink14.xml"/><Relationship Id="rId59" Type="http://schemas.openxmlformats.org/officeDocument/2006/relationships/externalLink" Target="externalLinks/externalLink27.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9.xml"/><Relationship Id="rId54" Type="http://schemas.openxmlformats.org/officeDocument/2006/relationships/externalLink" Target="externalLinks/externalLink22.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externalLink" Target="externalLinks/externalLink17.xml"/><Relationship Id="rId57" Type="http://schemas.openxmlformats.org/officeDocument/2006/relationships/externalLink" Target="externalLinks/externalLink2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externalLink" Target="externalLinks/externalLink20.xml"/><Relationship Id="rId60" Type="http://schemas.openxmlformats.org/officeDocument/2006/relationships/pivotCacheDefinition" Target="pivotCache/pivotCacheDefinition1.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7.xml"/><Relationship Id="rId34" Type="http://schemas.openxmlformats.org/officeDocument/2006/relationships/externalLink" Target="externalLinks/externalLink2.xml"/><Relationship Id="rId50" Type="http://schemas.openxmlformats.org/officeDocument/2006/relationships/externalLink" Target="externalLinks/externalLink18.xml"/><Relationship Id="rId55" Type="http://schemas.openxmlformats.org/officeDocument/2006/relationships/externalLink" Target="externalLinks/externalLink23.xml"/></Relationships>
</file>

<file path=xl/diagrams/_rels/data2.xml.rels><?xml version="1.0" encoding="UTF-8" standalone="yes"?>
<Relationships xmlns="http://schemas.openxmlformats.org/package/2006/relationships"><Relationship Id="rId8" Type="http://schemas.openxmlformats.org/officeDocument/2006/relationships/hyperlink" Target="#Market!A1"/><Relationship Id="rId13" Type="http://schemas.openxmlformats.org/officeDocument/2006/relationships/hyperlink" Target="#His.DataTT!A1"/><Relationship Id="rId18" Type="http://schemas.openxmlformats.org/officeDocument/2006/relationships/hyperlink" Target="#His.Other!A1"/><Relationship Id="rId3" Type="http://schemas.openxmlformats.org/officeDocument/2006/relationships/hyperlink" Target="#PPL!A1"/><Relationship Id="rId21" Type="http://schemas.openxmlformats.org/officeDocument/2006/relationships/hyperlink" Target="#'Yield 1Y'!A1"/><Relationship Id="rId7" Type="http://schemas.openxmlformats.org/officeDocument/2006/relationships/hyperlink" Target="#'Phan tich_BB'!A1"/><Relationship Id="rId12" Type="http://schemas.openxmlformats.org/officeDocument/2006/relationships/hyperlink" Target="#'His53'!A1"/><Relationship Id="rId17" Type="http://schemas.openxmlformats.org/officeDocument/2006/relationships/hyperlink" Target="#His.BB.SBV!A1"/><Relationship Id="rId2" Type="http://schemas.openxmlformats.org/officeDocument/2006/relationships/hyperlink" Target="#'Data flows'!A1"/><Relationship Id="rId16" Type="http://schemas.openxmlformats.org/officeDocument/2006/relationships/hyperlink" Target="#His.TB.SBV!A1"/><Relationship Id="rId20" Type="http://schemas.openxmlformats.org/officeDocument/2006/relationships/hyperlink" Target="#'VaR senerio'!A1"/><Relationship Id="rId1" Type="http://schemas.openxmlformats.org/officeDocument/2006/relationships/hyperlink" Target="#Log!A1"/><Relationship Id="rId6" Type="http://schemas.openxmlformats.org/officeDocument/2006/relationships/hyperlink" Target="#'Phan tich_TB'!A1"/><Relationship Id="rId11" Type="http://schemas.openxmlformats.org/officeDocument/2006/relationships/hyperlink" Target="#RP_SEC!A1"/><Relationship Id="rId5" Type="http://schemas.openxmlformats.org/officeDocument/2006/relationships/hyperlink" Target="#Runtool!A1"/><Relationship Id="rId15" Type="http://schemas.openxmlformats.org/officeDocument/2006/relationships/hyperlink" Target="#His.BB!A1"/><Relationship Id="rId23" Type="http://schemas.openxmlformats.org/officeDocument/2006/relationships/hyperlink" Target="#Scripts!A1"/><Relationship Id="rId10" Type="http://schemas.openxmlformats.org/officeDocument/2006/relationships/hyperlink" Target="#FNRP!A1"/><Relationship Id="rId19" Type="http://schemas.openxmlformats.org/officeDocument/2006/relationships/hyperlink" Target="#'No PT'!A1"/><Relationship Id="rId4" Type="http://schemas.openxmlformats.org/officeDocument/2006/relationships/hyperlink" Target="#Ref!A1"/><Relationship Id="rId9" Type="http://schemas.openxmlformats.org/officeDocument/2006/relationships/hyperlink" Target="#'Deal ps'!A1"/><Relationship Id="rId14" Type="http://schemas.openxmlformats.org/officeDocument/2006/relationships/hyperlink" Target="#His.TB!A1"/><Relationship Id="rId22" Type="http://schemas.openxmlformats.org/officeDocument/2006/relationships/hyperlink" Target="#'MV (MSB)'!A1"/></Relationships>
</file>

<file path=xl/diagrams/colors1.xml><?xml version="1.0" encoding="utf-8"?>
<dgm:colorsDef xmlns:dgm="http://schemas.openxmlformats.org/drawingml/2006/diagram" xmlns:a="http://schemas.openxmlformats.org/drawingml/2006/main" uniqueId="urn:microsoft.com/office/officeart/2005/8/colors/accent1_2#1">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79C9EA12-1B66-41EC-B6C8-842A4A7FD839}" type="doc">
      <dgm:prSet loTypeId="urn:microsoft.com/office/officeart/2005/8/layout/vList2" loCatId="list" qsTypeId="urn:microsoft.com/office/officeart/2005/8/quickstyle/simple1#2" qsCatId="simple" csTypeId="urn:microsoft.com/office/officeart/2005/8/colors/accent1_2#1" csCatId="accent1" phldr="1"/>
      <dgm:spPr/>
      <dgm:t>
        <a:bodyPr/>
        <a:lstStyle/>
        <a:p>
          <a:endParaRPr lang="en-US"/>
        </a:p>
      </dgm:t>
    </dgm:pt>
    <dgm:pt modelId="{2C72F0DA-2D7A-4524-97A8-42C925415415}">
      <dgm:prSet phldrT="[Text]" custT="1"/>
      <dgm:spPr/>
      <dgm:t>
        <a:bodyPr/>
        <a:lstStyle/>
        <a:p>
          <a:r>
            <a:rPr lang="vi-VN" sz="1200">
              <a:latin typeface="Calibri" panose="020F0502020204030204" pitchFamily="34" charset="0"/>
              <a:cs typeface="Calibri" panose="020F0502020204030204" pitchFamily="34" charset="0"/>
            </a:rPr>
            <a:t>01. Lấy input</a:t>
          </a:r>
          <a:endParaRPr lang="en-US" sz="1200">
            <a:latin typeface="Calibri" panose="020F0502020204030204" pitchFamily="34" charset="0"/>
            <a:cs typeface="Calibri" panose="020F0502020204030204" pitchFamily="34" charset="0"/>
          </a:endParaRPr>
        </a:p>
      </dgm:t>
    </dgm:pt>
    <dgm:pt modelId="{1C857CA8-ABC0-4AD0-8C48-3106020F257E}" type="parTrans" cxnId="{F31E5D4C-FEB9-4938-B5E8-DEC2DB4DCF7B}">
      <dgm:prSet/>
      <dgm:spPr/>
      <dgm:t>
        <a:bodyPr/>
        <a:lstStyle/>
        <a:p>
          <a:endParaRPr lang="en-US"/>
        </a:p>
      </dgm:t>
    </dgm:pt>
    <dgm:pt modelId="{5A5B14B6-4BDA-4586-9BD8-8A4E1F1030DC}" type="sibTrans" cxnId="{F31E5D4C-FEB9-4938-B5E8-DEC2DB4DCF7B}">
      <dgm:prSet/>
      <dgm:spPr/>
      <dgm:t>
        <a:bodyPr/>
        <a:lstStyle/>
        <a:p>
          <a:endParaRPr lang="en-US"/>
        </a:p>
      </dgm:t>
    </dgm:pt>
    <dgm:pt modelId="{214CA4B6-2799-4E75-9A40-010AA8283A4B}">
      <dgm:prSet phldrT="[Text]" custT="1"/>
      <dgm:spPr/>
      <dgm:t>
        <a:bodyPr/>
        <a:lstStyle/>
        <a:p>
          <a:r>
            <a:rPr lang="en-US" sz="1100" b="1">
              <a:latin typeface="Calibri" panose="020F0502020204030204" pitchFamily="34" charset="0"/>
              <a:cs typeface="Calibri" panose="020F0502020204030204" pitchFamily="34" charset="0"/>
            </a:rPr>
            <a:t>10</a:t>
          </a:r>
          <a:r>
            <a:rPr lang="vi-VN" sz="1100" b="1">
              <a:latin typeface="Calibri" panose="020F0502020204030204" pitchFamily="34" charset="0"/>
              <a:cs typeface="Calibri" panose="020F0502020204030204" pitchFamily="34" charset="0"/>
            </a:rPr>
            <a:t> input từ 53</a:t>
          </a:r>
          <a:endParaRPr lang="en-US" sz="1100" b="1">
            <a:latin typeface="Calibri" panose="020F0502020204030204" pitchFamily="34" charset="0"/>
            <a:cs typeface="Calibri" panose="020F0502020204030204" pitchFamily="34" charset="0"/>
          </a:endParaRPr>
        </a:p>
      </dgm:t>
    </dgm:pt>
    <dgm:pt modelId="{380C0EF2-51E2-426F-B739-500D04504CF7}" type="parTrans" cxnId="{00AACF26-8DB4-4AD5-AEB8-0D1B93EFE2D0}">
      <dgm:prSet/>
      <dgm:spPr/>
      <dgm:t>
        <a:bodyPr/>
        <a:lstStyle/>
        <a:p>
          <a:endParaRPr lang="en-US"/>
        </a:p>
      </dgm:t>
    </dgm:pt>
    <dgm:pt modelId="{14785E19-90EE-4AEE-8369-7E2BBAEA6A88}" type="sibTrans" cxnId="{00AACF26-8DB4-4AD5-AEB8-0D1B93EFE2D0}">
      <dgm:prSet/>
      <dgm:spPr/>
      <dgm:t>
        <a:bodyPr/>
        <a:lstStyle/>
        <a:p>
          <a:endParaRPr lang="en-US"/>
        </a:p>
      </dgm:t>
    </dgm:pt>
    <dgm:pt modelId="{41DD3164-D068-41BB-9355-4AB043B41ACD}">
      <dgm:prSet phldrT="[Text]" custT="1"/>
      <dgm:spPr/>
      <dgm:t>
        <a:bodyPr/>
        <a:lstStyle/>
        <a:p>
          <a:r>
            <a:rPr lang="vi-VN" sz="1200">
              <a:latin typeface="Calibri" panose="020F0502020204030204" pitchFamily="34" charset="0"/>
              <a:cs typeface="Calibri" panose="020F0502020204030204" pitchFamily="34" charset="0"/>
            </a:rPr>
            <a:t>02. Chạy tool tính</a:t>
          </a:r>
          <a:endParaRPr lang="en-US" sz="1200">
            <a:latin typeface="Calibri" panose="020F0502020204030204" pitchFamily="34" charset="0"/>
            <a:cs typeface="Calibri" panose="020F0502020204030204" pitchFamily="34" charset="0"/>
          </a:endParaRPr>
        </a:p>
      </dgm:t>
    </dgm:pt>
    <dgm:pt modelId="{6250D4F4-9C4E-48EC-855A-4B1A1D906E7D}" type="parTrans" cxnId="{91DBD34E-BAF1-4ACC-99A0-EF24EECE1C60}">
      <dgm:prSet/>
      <dgm:spPr/>
      <dgm:t>
        <a:bodyPr/>
        <a:lstStyle/>
        <a:p>
          <a:endParaRPr lang="en-US"/>
        </a:p>
      </dgm:t>
    </dgm:pt>
    <dgm:pt modelId="{E7CB733D-ACDF-4D49-97CB-7D7B31800FD3}" type="sibTrans" cxnId="{91DBD34E-BAF1-4ACC-99A0-EF24EECE1C60}">
      <dgm:prSet/>
      <dgm:spPr/>
      <dgm:t>
        <a:bodyPr/>
        <a:lstStyle/>
        <a:p>
          <a:endParaRPr lang="en-US"/>
        </a:p>
      </dgm:t>
    </dgm:pt>
    <dgm:pt modelId="{DC818516-F292-4141-84C1-5838AACA0E32}">
      <dgm:prSet phldrT="[Text]" custT="1"/>
      <dgm:spPr/>
      <dgm:t>
        <a:bodyPr/>
        <a:lstStyle/>
        <a:p>
          <a:r>
            <a:rPr lang="en-US" sz="1100"/>
            <a:t>Refresh data</a:t>
          </a:r>
        </a:p>
      </dgm:t>
    </dgm:pt>
    <dgm:pt modelId="{2C064E17-D49B-4881-B1A2-F81ED6517D8B}" type="parTrans" cxnId="{D2B1B7C7-6865-4D1E-BF97-BCF465B7AF14}">
      <dgm:prSet/>
      <dgm:spPr/>
      <dgm:t>
        <a:bodyPr/>
        <a:lstStyle/>
        <a:p>
          <a:endParaRPr lang="en-US"/>
        </a:p>
      </dgm:t>
    </dgm:pt>
    <dgm:pt modelId="{E9FC9951-C296-48CD-A0B6-86D37E073BEB}" type="sibTrans" cxnId="{D2B1B7C7-6865-4D1E-BF97-BCF465B7AF14}">
      <dgm:prSet/>
      <dgm:spPr/>
      <dgm:t>
        <a:bodyPr/>
        <a:lstStyle/>
        <a:p>
          <a:endParaRPr lang="en-US"/>
        </a:p>
      </dgm:t>
    </dgm:pt>
    <dgm:pt modelId="{4A4F2DF0-8E22-4F00-BA80-205E816ACAA3}">
      <dgm:prSet phldrT="[Text]" custT="1"/>
      <dgm:spPr/>
      <dgm:t>
        <a:bodyPr/>
        <a:lstStyle/>
        <a:p>
          <a:r>
            <a:rPr lang="vi-VN" sz="1200">
              <a:latin typeface="Calibri" panose="020F0502020204030204" pitchFamily="34" charset="0"/>
              <a:cs typeface="Calibri" panose="020F0502020204030204" pitchFamily="34" charset="0"/>
            </a:rPr>
            <a:t>03. Chạy tool báo cáo</a:t>
          </a:r>
          <a:endParaRPr lang="en-US" sz="1200">
            <a:latin typeface="Calibri" panose="020F0502020204030204" pitchFamily="34" charset="0"/>
            <a:cs typeface="Calibri" panose="020F0502020204030204" pitchFamily="34" charset="0"/>
          </a:endParaRPr>
        </a:p>
      </dgm:t>
    </dgm:pt>
    <dgm:pt modelId="{F65F5C62-F8BD-4200-BAE4-0EB0DE6E22B5}" type="parTrans" cxnId="{36779005-6143-486A-8817-9B954C03B4AE}">
      <dgm:prSet/>
      <dgm:spPr/>
      <dgm:t>
        <a:bodyPr/>
        <a:lstStyle/>
        <a:p>
          <a:endParaRPr lang="en-US"/>
        </a:p>
      </dgm:t>
    </dgm:pt>
    <dgm:pt modelId="{C60DFDCA-02AB-42E4-91CB-F4FC826908F2}" type="sibTrans" cxnId="{36779005-6143-486A-8817-9B954C03B4AE}">
      <dgm:prSet/>
      <dgm:spPr/>
      <dgm:t>
        <a:bodyPr/>
        <a:lstStyle/>
        <a:p>
          <a:endParaRPr lang="en-US"/>
        </a:p>
      </dgm:t>
    </dgm:pt>
    <dgm:pt modelId="{CB3BA616-40F7-4DBB-9817-5EFE6053702D}">
      <dgm:prSet phldrT="[Text]" custT="1"/>
      <dgm:spPr/>
      <dgm:t>
        <a:bodyPr/>
        <a:lstStyle/>
        <a:p>
          <a:r>
            <a:rPr lang="vi-VN" sz="1100" b="1">
              <a:latin typeface="Calibri" panose="020F0502020204030204" pitchFamily="34" charset="0"/>
              <a:cs typeface="Calibri" panose="020F0502020204030204" pitchFamily="34" charset="0"/>
            </a:rPr>
            <a:t>1 input </a:t>
          </a:r>
          <a:r>
            <a:rPr lang="en-US" sz="1100" b="1">
              <a:latin typeface="Calibri" panose="020F0502020204030204" pitchFamily="34" charset="0"/>
              <a:cs typeface="Calibri" panose="020F0502020204030204" pitchFamily="34" charset="0"/>
            </a:rPr>
            <a:t>Market </a:t>
          </a:r>
          <a:r>
            <a:rPr lang="vi-VN" sz="1100" b="1">
              <a:latin typeface="Calibri" panose="020F0502020204030204" pitchFamily="34" charset="0"/>
              <a:cs typeface="Calibri" panose="020F0502020204030204" pitchFamily="34" charset="0"/>
            </a:rPr>
            <a:t>từ HNX</a:t>
          </a:r>
          <a:r>
            <a:rPr lang="en-US" sz="1100">
              <a:latin typeface="Calibri" panose="020F0502020204030204" pitchFamily="34" charset="0"/>
              <a:cs typeface="Calibri" panose="020F0502020204030204" pitchFamily="34" charset="0"/>
            </a:rPr>
            <a:t>: chọn RptDate</a:t>
          </a:r>
        </a:p>
      </dgm:t>
    </dgm:pt>
    <dgm:pt modelId="{D0DBC3B9-72E0-4DBB-873C-FA27B48D2F8A}" type="parTrans" cxnId="{48FE44F5-0FC1-4950-A802-92F26E030D59}">
      <dgm:prSet/>
      <dgm:spPr/>
      <dgm:t>
        <a:bodyPr/>
        <a:lstStyle/>
        <a:p>
          <a:endParaRPr lang="en-US"/>
        </a:p>
      </dgm:t>
    </dgm:pt>
    <dgm:pt modelId="{D83562BE-FCAB-460A-A5A7-96FAC6C66854}" type="sibTrans" cxnId="{48FE44F5-0FC1-4950-A802-92F26E030D59}">
      <dgm:prSet/>
      <dgm:spPr/>
      <dgm:t>
        <a:bodyPr/>
        <a:lstStyle/>
        <a:p>
          <a:endParaRPr lang="en-US"/>
        </a:p>
      </dgm:t>
    </dgm:pt>
    <dgm:pt modelId="{51691A19-AE2F-4F81-8C53-F65BBF5D05FC}">
      <dgm:prSet phldrT="[Text]" custT="1"/>
      <dgm:spPr/>
      <dgm:t>
        <a:bodyPr/>
        <a:lstStyle/>
        <a:p>
          <a:r>
            <a:rPr lang="vi-VN" sz="1100">
              <a:latin typeface="Calibri" panose="020F0502020204030204" pitchFamily="34" charset="0"/>
              <a:cs typeface="Calibri" panose="020F0502020204030204" pitchFamily="34" charset="0"/>
            </a:rPr>
            <a:t>BO-GR-BK =&gt; </a:t>
          </a:r>
          <a:r>
            <a:rPr lang="en-US" sz="1100">
              <a:latin typeface="Calibri" panose="020F0502020204030204" pitchFamily="34" charset="0"/>
              <a:cs typeface="Calibri" panose="020F0502020204030204" pitchFamily="34" charset="0"/>
            </a:rPr>
            <a:t>RP_SEC_POS-BK.xlsx</a:t>
          </a:r>
        </a:p>
      </dgm:t>
    </dgm:pt>
    <dgm:pt modelId="{2363D11A-B6DE-440C-B7EC-5EFA1743CC36}" type="parTrans" cxnId="{EFA65483-CCBB-47BC-B1A1-3C7A92652B7C}">
      <dgm:prSet/>
      <dgm:spPr/>
      <dgm:t>
        <a:bodyPr/>
        <a:lstStyle/>
        <a:p>
          <a:endParaRPr lang="en-US"/>
        </a:p>
      </dgm:t>
    </dgm:pt>
    <dgm:pt modelId="{248151AB-4409-4ACE-BC41-0426460D14E1}" type="sibTrans" cxnId="{EFA65483-CCBB-47BC-B1A1-3C7A92652B7C}">
      <dgm:prSet/>
      <dgm:spPr/>
      <dgm:t>
        <a:bodyPr/>
        <a:lstStyle/>
        <a:p>
          <a:endParaRPr lang="en-US"/>
        </a:p>
      </dgm:t>
    </dgm:pt>
    <dgm:pt modelId="{5FD45FDF-A698-4EC3-9FFD-422A340CC7B8}">
      <dgm:prSet phldrT="[Text]" custT="1"/>
      <dgm:spPr/>
      <dgm:t>
        <a:bodyPr/>
        <a:lstStyle/>
        <a:p>
          <a:r>
            <a:rPr lang="vi-VN" sz="1100">
              <a:latin typeface="Calibri" panose="020F0502020204030204" pitchFamily="34" charset="0"/>
              <a:cs typeface="Calibri" panose="020F0502020204030204" pitchFamily="34" charset="0"/>
            </a:rPr>
            <a:t>BO-GR-TR =&gt;</a:t>
          </a:r>
          <a:r>
            <a:rPr lang="en-US" sz="1100">
              <a:latin typeface="Calibri" panose="020F0502020204030204" pitchFamily="34" charset="0"/>
              <a:cs typeface="Calibri" panose="020F0502020204030204" pitchFamily="34" charset="0"/>
            </a:rPr>
            <a:t> RP_SEC_POS_TB_SBV.xlsx</a:t>
          </a:r>
        </a:p>
      </dgm:t>
    </dgm:pt>
    <dgm:pt modelId="{1FCA4653-DF72-4946-AF5B-07CEDBE5A785}" type="parTrans" cxnId="{3613F1A8-F11E-44FB-9E61-386BDBA2CF0D}">
      <dgm:prSet/>
      <dgm:spPr/>
      <dgm:t>
        <a:bodyPr/>
        <a:lstStyle/>
        <a:p>
          <a:endParaRPr lang="en-US"/>
        </a:p>
      </dgm:t>
    </dgm:pt>
    <dgm:pt modelId="{A8A3B3A6-B4D9-414C-86BA-E0CA762A43F2}" type="sibTrans" cxnId="{3613F1A8-F11E-44FB-9E61-386BDBA2CF0D}">
      <dgm:prSet/>
      <dgm:spPr/>
      <dgm:t>
        <a:bodyPr/>
        <a:lstStyle/>
        <a:p>
          <a:endParaRPr lang="en-US"/>
        </a:p>
      </dgm:t>
    </dgm:pt>
    <dgm:pt modelId="{62E4585F-3833-44DF-AB84-CCE2D1FFD75D}">
      <dgm:prSet phldrT="[Text]" custT="1"/>
      <dgm:spPr/>
      <dgm:t>
        <a:bodyPr/>
        <a:lstStyle/>
        <a:p>
          <a:r>
            <a:rPr lang="vi-VN" sz="1100">
              <a:latin typeface="Calibri" panose="020F0502020204030204" pitchFamily="34" charset="0"/>
              <a:cs typeface="Calibri" panose="020F0502020204030204" pitchFamily="34" charset="0"/>
            </a:rPr>
            <a:t>BO-GR-BB</a:t>
          </a:r>
          <a:r>
            <a:rPr lang="en-US" sz="1100">
              <a:latin typeface="Calibri" panose="020F0502020204030204" pitchFamily="34" charset="0"/>
              <a:cs typeface="Calibri" panose="020F0502020204030204" pitchFamily="34" charset="0"/>
            </a:rPr>
            <a:t> =&gt; RP_SEC_POS_BK_SBV.xlsx</a:t>
          </a:r>
        </a:p>
      </dgm:t>
    </dgm:pt>
    <dgm:pt modelId="{2119A8A7-345B-49FC-B461-15AC564D1E77}" type="parTrans" cxnId="{61472C9B-9B7B-48DD-A266-8526F9744D17}">
      <dgm:prSet/>
      <dgm:spPr/>
      <dgm:t>
        <a:bodyPr/>
        <a:lstStyle/>
        <a:p>
          <a:endParaRPr lang="en-US"/>
        </a:p>
      </dgm:t>
    </dgm:pt>
    <dgm:pt modelId="{55965A0C-0E0E-47DD-9F73-1B588C367D79}" type="sibTrans" cxnId="{61472C9B-9B7B-48DD-A266-8526F9744D17}">
      <dgm:prSet/>
      <dgm:spPr/>
      <dgm:t>
        <a:bodyPr/>
        <a:lstStyle/>
        <a:p>
          <a:endParaRPr lang="en-US"/>
        </a:p>
      </dgm:t>
    </dgm:pt>
    <dgm:pt modelId="{046AA013-C455-4467-9F47-8395E0D8E8E3}">
      <dgm:prSet phldrT="[Text]" custT="1"/>
      <dgm:spPr/>
      <dgm:t>
        <a:bodyPr/>
        <a:lstStyle/>
        <a:p>
          <a:r>
            <a:rPr lang="en-US" sz="1100">
              <a:latin typeface="Calibri" panose="020F0502020204030204" pitchFamily="34" charset="0"/>
              <a:cs typeface="Calibri" panose="020F0502020204030204" pitchFamily="34" charset="0"/>
            </a:rPr>
            <a:t>Outright: Giao dịch Outright, </a:t>
          </a:r>
          <a:r>
            <a:rPr lang="en-US" sz="1100">
              <a:solidFill>
                <a:srgbClr val="00B0F0"/>
              </a:solidFill>
              <a:latin typeface="Calibri" panose="020F0502020204030204" pitchFamily="34" charset="0"/>
              <a:cs typeface="Calibri" panose="020F0502020204030204" pitchFamily="34" charset="0"/>
            </a:rPr>
            <a:t>link =&gt;</a:t>
          </a:r>
        </a:p>
      </dgm:t>
    </dgm:pt>
    <dgm:pt modelId="{2343F95E-7137-4039-8C9C-A461A5063F41}" type="parTrans" cxnId="{30DDF718-0FD6-4082-AD48-72B2D89C14F3}">
      <dgm:prSet/>
      <dgm:spPr/>
      <dgm:t>
        <a:bodyPr/>
        <a:lstStyle/>
        <a:p>
          <a:endParaRPr lang="en-US"/>
        </a:p>
      </dgm:t>
    </dgm:pt>
    <dgm:pt modelId="{28E6FD03-0612-444A-A7BA-67E5400B2113}" type="sibTrans" cxnId="{30DDF718-0FD6-4082-AD48-72B2D89C14F3}">
      <dgm:prSet/>
      <dgm:spPr/>
      <dgm:t>
        <a:bodyPr/>
        <a:lstStyle/>
        <a:p>
          <a:endParaRPr lang="en-US"/>
        </a:p>
      </dgm:t>
    </dgm:pt>
    <dgm:pt modelId="{11C2A4D7-C740-4D29-951D-72B8853B8014}">
      <dgm:prSet phldrT="[Text]" custT="1"/>
      <dgm:spPr/>
      <dgm:t>
        <a:bodyPr/>
        <a:lstStyle/>
        <a:p>
          <a:r>
            <a:rPr lang="en-US" sz="1100">
              <a:latin typeface="Calibri" panose="020F0502020204030204" pitchFamily="34" charset="0"/>
              <a:cs typeface="Calibri" panose="020F0502020204030204" pitchFamily="34" charset="0"/>
            </a:rPr>
            <a:t>Repos: Giao dịch mua bán lại, </a:t>
          </a:r>
          <a:r>
            <a:rPr lang="en-US" sz="1100">
              <a:solidFill>
                <a:srgbClr val="00B0F0"/>
              </a:solidFill>
              <a:latin typeface="Calibri" panose="020F0502020204030204" pitchFamily="34" charset="0"/>
              <a:cs typeface="Calibri" panose="020F0502020204030204" pitchFamily="34" charset="0"/>
            </a:rPr>
            <a:t>link =&gt;</a:t>
          </a:r>
        </a:p>
      </dgm:t>
    </dgm:pt>
    <dgm:pt modelId="{8AD5E1ED-833C-48C5-9D42-B3C8FBDCC60F}" type="parTrans" cxnId="{241F9B24-40C5-4E20-8685-ABE09C8E4F1D}">
      <dgm:prSet/>
      <dgm:spPr/>
      <dgm:t>
        <a:bodyPr/>
        <a:lstStyle/>
        <a:p>
          <a:endParaRPr lang="en-US"/>
        </a:p>
      </dgm:t>
    </dgm:pt>
    <dgm:pt modelId="{BDE097E6-0381-4E4B-8DB9-761693D8AEF8}" type="sibTrans" cxnId="{241F9B24-40C5-4E20-8685-ABE09C8E4F1D}">
      <dgm:prSet/>
      <dgm:spPr/>
      <dgm:t>
        <a:bodyPr/>
        <a:lstStyle/>
        <a:p>
          <a:endParaRPr lang="en-US"/>
        </a:p>
      </dgm:t>
    </dgm:pt>
    <dgm:pt modelId="{C178E64D-4C8F-406C-9251-E3472661E424}">
      <dgm:prSet phldrT="[Text]" custT="1"/>
      <dgm:spPr/>
      <dgm:t>
        <a:bodyPr/>
        <a:lstStyle/>
        <a:p>
          <a:r>
            <a:rPr lang="en-US" sz="1100">
              <a:latin typeface="Calibri" panose="020F0502020204030204" pitchFamily="34" charset="0"/>
              <a:cs typeface="Calibri" panose="020F0502020204030204" pitchFamily="34" charset="0"/>
            </a:rPr>
            <a:t>Auction: Thông báo kết quả đấu thầu, </a:t>
          </a:r>
          <a:r>
            <a:rPr lang="en-US" sz="1100">
              <a:solidFill>
                <a:srgbClr val="00B0F0"/>
              </a:solidFill>
              <a:latin typeface="Calibri" panose="020F0502020204030204" pitchFamily="34" charset="0"/>
              <a:cs typeface="Calibri" panose="020F0502020204030204" pitchFamily="34" charset="0"/>
            </a:rPr>
            <a:t>link =&gt;</a:t>
          </a:r>
        </a:p>
      </dgm:t>
    </dgm:pt>
    <dgm:pt modelId="{51C657D1-09C8-42C1-87D9-EBD632A41759}" type="parTrans" cxnId="{3B879F71-0D7A-47CC-A775-B8FDD38663E6}">
      <dgm:prSet/>
      <dgm:spPr/>
      <dgm:t>
        <a:bodyPr/>
        <a:lstStyle/>
        <a:p>
          <a:endParaRPr lang="en-US"/>
        </a:p>
      </dgm:t>
    </dgm:pt>
    <dgm:pt modelId="{F1BB61F1-C991-4051-9463-FF9FCD628852}" type="sibTrans" cxnId="{3B879F71-0D7A-47CC-A775-B8FDD38663E6}">
      <dgm:prSet/>
      <dgm:spPr/>
      <dgm:t>
        <a:bodyPr/>
        <a:lstStyle/>
        <a:p>
          <a:endParaRPr lang="en-US"/>
        </a:p>
      </dgm:t>
    </dgm:pt>
    <dgm:pt modelId="{880CDF2D-8B89-4095-BD9E-0BD2346A8D42}">
      <dgm:prSet phldrT="[Text]" custT="1"/>
      <dgm:spPr/>
      <dgm:t>
        <a:bodyPr/>
        <a:lstStyle/>
        <a:p>
          <a:r>
            <a:rPr lang="en-US" sz="1100"/>
            <a:t>1. Refresh data =&gt; Phân loại deal (cột z) =&gt;</a:t>
          </a:r>
        </a:p>
      </dgm:t>
    </dgm:pt>
    <dgm:pt modelId="{C43EFBAE-6AAF-40DA-9ABB-BE543A465B24}" type="parTrans" cxnId="{EAC30FF9-97F9-485C-AB75-0347ECE27296}">
      <dgm:prSet/>
      <dgm:spPr/>
      <dgm:t>
        <a:bodyPr/>
        <a:lstStyle/>
        <a:p>
          <a:endParaRPr lang="en-US"/>
        </a:p>
      </dgm:t>
    </dgm:pt>
    <dgm:pt modelId="{07D8211D-6E46-4172-BD02-CCE88E04E078}" type="sibTrans" cxnId="{EAC30FF9-97F9-485C-AB75-0347ECE27296}">
      <dgm:prSet/>
      <dgm:spPr/>
      <dgm:t>
        <a:bodyPr/>
        <a:lstStyle/>
        <a:p>
          <a:endParaRPr lang="en-US"/>
        </a:p>
      </dgm:t>
    </dgm:pt>
    <dgm:pt modelId="{B70E58BD-4A57-4D6F-BB54-6FF3CFC3BE8E}">
      <dgm:prSet phldrT="[Text]" custT="1"/>
      <dgm:spPr/>
      <dgm:t>
        <a:bodyPr/>
        <a:lstStyle/>
        <a:p>
          <a:r>
            <a:rPr lang="en-US" sz="1100"/>
            <a:t>2. Copy list lưu trữ - double check và note thông tin thị trường bất thường ở ô F40 màu xanh lá (nếu có)</a:t>
          </a:r>
        </a:p>
      </dgm:t>
    </dgm:pt>
    <dgm:pt modelId="{5D34C4B5-E3E3-4C84-AA35-C6F0AA18EB3F}" type="parTrans" cxnId="{F87AE2A2-2F3D-4E0D-835F-B7533EFD5AAA}">
      <dgm:prSet/>
      <dgm:spPr/>
      <dgm:t>
        <a:bodyPr/>
        <a:lstStyle/>
        <a:p>
          <a:endParaRPr lang="en-US"/>
        </a:p>
      </dgm:t>
    </dgm:pt>
    <dgm:pt modelId="{BB0A3E7E-99E4-4BDF-AA9D-5AF9004E3DA8}" type="sibTrans" cxnId="{F87AE2A2-2F3D-4E0D-835F-B7533EFD5AAA}">
      <dgm:prSet/>
      <dgm:spPr/>
      <dgm:t>
        <a:bodyPr/>
        <a:lstStyle/>
        <a:p>
          <a:endParaRPr lang="en-US"/>
        </a:p>
      </dgm:t>
    </dgm:pt>
    <dgm:pt modelId="{36604382-E6D7-48D2-B039-CDCAB1F74634}">
      <dgm:prSet phldrT="[Text]" custT="1"/>
      <dgm:spPr/>
      <dgm:t>
        <a:bodyPr/>
        <a:lstStyle/>
        <a:p>
          <a:r>
            <a:rPr lang="en-US" sz="1100"/>
            <a:t>4. Chạy tool tính vốn + Chạy tool phân tích PnL + Chạy tool FIBond</a:t>
          </a:r>
        </a:p>
      </dgm:t>
    </dgm:pt>
    <dgm:pt modelId="{4A2C0DD7-2402-4B34-9739-A74C7B899F7E}" type="parTrans" cxnId="{48AC6106-D93E-41AA-B1CB-5E2C9464FE74}">
      <dgm:prSet/>
      <dgm:spPr/>
      <dgm:t>
        <a:bodyPr/>
        <a:lstStyle/>
        <a:p>
          <a:endParaRPr lang="en-US"/>
        </a:p>
      </dgm:t>
    </dgm:pt>
    <dgm:pt modelId="{2056F805-B189-4F46-B307-52EB80CF9EAA}" type="sibTrans" cxnId="{48AC6106-D93E-41AA-B1CB-5E2C9464FE74}">
      <dgm:prSet/>
      <dgm:spPr/>
      <dgm:t>
        <a:bodyPr/>
        <a:lstStyle/>
        <a:p>
          <a:endParaRPr lang="en-US"/>
        </a:p>
      </dgm:t>
    </dgm:pt>
    <dgm:pt modelId="{BAB313E6-9299-4417-B1B7-9EBE8A8709A5}">
      <dgm:prSet phldrT="[Text]" custT="1"/>
      <dgm:spPr/>
      <dgm:t>
        <a:bodyPr/>
        <a:lstStyle/>
        <a:p>
          <a:r>
            <a:rPr lang="en-US" sz="1100"/>
            <a:t>3. Update 53</a:t>
          </a:r>
        </a:p>
      </dgm:t>
    </dgm:pt>
    <dgm:pt modelId="{23990F47-E142-4FAC-B8A1-2842ACFED841}" type="parTrans" cxnId="{09DD5674-FD34-4F08-AEE2-F8752F155964}">
      <dgm:prSet/>
      <dgm:spPr/>
      <dgm:t>
        <a:bodyPr/>
        <a:lstStyle/>
        <a:p>
          <a:endParaRPr lang="en-US"/>
        </a:p>
      </dgm:t>
    </dgm:pt>
    <dgm:pt modelId="{4E4A32B5-139E-41C4-84D8-2CD48C8E5504}" type="sibTrans" cxnId="{09DD5674-FD34-4F08-AEE2-F8752F155964}">
      <dgm:prSet/>
      <dgm:spPr/>
      <dgm:t>
        <a:bodyPr/>
        <a:lstStyle/>
        <a:p>
          <a:endParaRPr lang="en-US"/>
        </a:p>
      </dgm:t>
    </dgm:pt>
    <dgm:pt modelId="{E66AEC07-77CE-44C6-8D11-56C29D8C7632}">
      <dgm:prSet phldrT="[Text]" custT="1"/>
      <dgm:spPr/>
      <dgm:t>
        <a:bodyPr/>
        <a:lstStyle/>
        <a:p>
          <a:r>
            <a:rPr lang="en-US" sz="1100"/>
            <a:t>Comment</a:t>
          </a:r>
        </a:p>
      </dgm:t>
    </dgm:pt>
    <dgm:pt modelId="{3A3B8BA0-5D41-49DB-B890-44CDEAF6848E}" type="parTrans" cxnId="{02F09648-E7EC-45D0-9BE9-DF15E6EEE77D}">
      <dgm:prSet/>
      <dgm:spPr/>
      <dgm:t>
        <a:bodyPr/>
        <a:lstStyle/>
        <a:p>
          <a:endParaRPr lang="en-US"/>
        </a:p>
      </dgm:t>
    </dgm:pt>
    <dgm:pt modelId="{0F0CE170-E68C-40B2-8A20-831ABC4615ED}" type="sibTrans" cxnId="{02F09648-E7EC-45D0-9BE9-DF15E6EEE77D}">
      <dgm:prSet/>
      <dgm:spPr/>
      <dgm:t>
        <a:bodyPr/>
        <a:lstStyle/>
        <a:p>
          <a:endParaRPr lang="en-US"/>
        </a:p>
      </dgm:t>
    </dgm:pt>
    <dgm:pt modelId="{06CB6FDF-15FD-449F-AC19-16E58338581C}">
      <dgm:prSet phldrT="[Text]" custT="1"/>
      <dgm:spPr/>
      <dgm:t>
        <a:bodyPr/>
        <a:lstStyle/>
        <a:p>
          <a:r>
            <a:rPr lang="en-US" sz="1100">
              <a:latin typeface="Calibri" panose="020F0502020204030204" pitchFamily="34" charset="0"/>
              <a:cs typeface="Calibri" panose="020F0502020204030204" pitchFamily="34" charset="0"/>
            </a:rPr>
            <a:t>RP_SEC_POS =&gt; chọn folder</a:t>
          </a:r>
        </a:p>
      </dgm:t>
    </dgm:pt>
    <dgm:pt modelId="{B012863E-CA72-4FC3-8CC3-8EFB4D845E0E}" type="parTrans" cxnId="{5B3EE5F8-5FC6-40A1-A6CE-BF4002A5154F}">
      <dgm:prSet/>
      <dgm:spPr/>
      <dgm:t>
        <a:bodyPr/>
        <a:lstStyle/>
        <a:p>
          <a:endParaRPr lang="en-US"/>
        </a:p>
      </dgm:t>
    </dgm:pt>
    <dgm:pt modelId="{A9D1DD21-F280-4D9A-8E16-1DA581D7FECF}" type="sibTrans" cxnId="{5B3EE5F8-5FC6-40A1-A6CE-BF4002A5154F}">
      <dgm:prSet/>
      <dgm:spPr/>
      <dgm:t>
        <a:bodyPr/>
        <a:lstStyle/>
        <a:p>
          <a:endParaRPr lang="en-US"/>
        </a:p>
      </dgm:t>
    </dgm:pt>
    <dgm:pt modelId="{E0A8D403-0052-4A4C-8E71-286A7D939BB8}">
      <dgm:prSet phldrT="[Text]" custT="1"/>
      <dgm:spPr/>
      <dgm:t>
        <a:bodyPr/>
        <a:lstStyle/>
        <a:p>
          <a:r>
            <a:rPr lang="en-US" sz="1100">
              <a:latin typeface="Calibri" panose="020F0502020204030204" pitchFamily="34" charset="0"/>
              <a:cs typeface="Calibri" panose="020F0502020204030204" pitchFamily="34" charset="0"/>
            </a:rPr>
            <a:t>MSB_RP_DM: Chọn 1/1/25 - &gt; 1/1/29 chọn pvi ngày rộng để cover deal chưa valid</a:t>
          </a:r>
        </a:p>
      </dgm:t>
    </dgm:pt>
    <dgm:pt modelId="{703A13E7-7BDA-4AC5-923F-D416BBE2DD77}" type="parTrans" cxnId="{31E47DA3-95CA-43ED-9F7C-1402C500F959}">
      <dgm:prSet/>
      <dgm:spPr/>
      <dgm:t>
        <a:bodyPr/>
        <a:lstStyle/>
        <a:p>
          <a:endParaRPr lang="en-US"/>
        </a:p>
      </dgm:t>
    </dgm:pt>
    <dgm:pt modelId="{F583BA99-DE89-4E18-A588-AF1AD52CF4AF}" type="sibTrans" cxnId="{31E47DA3-95CA-43ED-9F7C-1402C500F959}">
      <dgm:prSet/>
      <dgm:spPr/>
      <dgm:t>
        <a:bodyPr/>
        <a:lstStyle/>
        <a:p>
          <a:endParaRPr lang="en-US"/>
        </a:p>
      </dgm:t>
    </dgm:pt>
    <dgm:pt modelId="{290A5B8B-B2BA-438A-846B-E51D31E4138A}">
      <dgm:prSet phldrT="[Text]" custT="1"/>
      <dgm:spPr/>
      <dgm:t>
        <a:bodyPr/>
        <a:lstStyle/>
        <a:p>
          <a:r>
            <a:rPr lang="en-US" sz="1100" b="1">
              <a:latin typeface="Calibri" panose="020F0502020204030204" pitchFamily="34" charset="0"/>
              <a:cs typeface="Calibri" panose="020F0502020204030204" pitchFamily="34" charset="0"/>
            </a:rPr>
            <a:t>Raw data</a:t>
          </a:r>
          <a:r>
            <a:rPr lang="en-US" sz="1100">
              <a:latin typeface="Calibri" panose="020F0502020204030204" pitchFamily="34" charset="0"/>
              <a:cs typeface="Calibri" panose="020F0502020204030204" pitchFamily="34" charset="0"/>
            </a:rPr>
            <a:t>: copy từ folder Theo dõi sang</a:t>
          </a:r>
        </a:p>
      </dgm:t>
    </dgm:pt>
    <dgm:pt modelId="{B2BA73F7-E2C1-4F61-9E9B-0826FF41667E}" type="parTrans" cxnId="{9B7C1E4C-6D95-4658-8DC7-1B7EF71DC2C2}">
      <dgm:prSet/>
      <dgm:spPr/>
      <dgm:t>
        <a:bodyPr/>
        <a:lstStyle/>
        <a:p>
          <a:endParaRPr lang="en-US"/>
        </a:p>
      </dgm:t>
    </dgm:pt>
    <dgm:pt modelId="{76AF3ED5-6EE0-4F10-B5E1-9A8681AE4DB1}" type="sibTrans" cxnId="{9B7C1E4C-6D95-4658-8DC7-1B7EF71DC2C2}">
      <dgm:prSet/>
      <dgm:spPr/>
      <dgm:t>
        <a:bodyPr/>
        <a:lstStyle/>
        <a:p>
          <a:endParaRPr lang="en-US"/>
        </a:p>
      </dgm:t>
    </dgm:pt>
    <dgm:pt modelId="{146363D5-1B27-474E-BB63-E8E69FA44564}">
      <dgm:prSet phldrT="[Text]" custT="1"/>
      <dgm:spPr/>
      <dgm:t>
        <a:bodyPr/>
        <a:lstStyle/>
        <a:p>
          <a:r>
            <a:rPr lang="en-US" sz="1100">
              <a:latin typeface="Calibri" panose="020F0502020204030204" pitchFamily="34" charset="0"/>
              <a:cs typeface="Calibri" panose="020F0502020204030204" pitchFamily="34" charset="0"/>
            </a:rPr>
            <a:t>RPBOD_B003: Chọn RptDate (</a:t>
          </a:r>
          <a:r>
            <a:rPr lang="en-US" sz="1100" i="1">
              <a:latin typeface="Calibri" panose="020F0502020204030204" pitchFamily="34" charset="0"/>
              <a:cs typeface="Calibri" panose="020F0502020204030204" pitchFamily="34" charset="0"/>
            </a:rPr>
            <a:t>để ra ngoài folder 00.Input do dùng chung với FIBond</a:t>
          </a:r>
          <a:r>
            <a:rPr lang="en-US" sz="1100">
              <a:latin typeface="Calibri" panose="020F0502020204030204" pitchFamily="34" charset="0"/>
              <a:cs typeface="Calibri" panose="020F0502020204030204" pitchFamily="34" charset="0"/>
            </a:rPr>
            <a:t>)</a:t>
          </a:r>
        </a:p>
      </dgm:t>
    </dgm:pt>
    <dgm:pt modelId="{3406D461-C43B-4655-B27C-B3F33CDD3134}" type="parTrans" cxnId="{531B0C63-CD8D-4DAA-B9A7-FC0C800C5501}">
      <dgm:prSet/>
      <dgm:spPr/>
      <dgm:t>
        <a:bodyPr/>
        <a:lstStyle/>
        <a:p>
          <a:endParaRPr lang="en-US"/>
        </a:p>
      </dgm:t>
    </dgm:pt>
    <dgm:pt modelId="{3FDDD364-30FD-40C8-B587-E3F0E96FD64F}" type="sibTrans" cxnId="{531B0C63-CD8D-4DAA-B9A7-FC0C800C5501}">
      <dgm:prSet/>
      <dgm:spPr/>
      <dgm:t>
        <a:bodyPr/>
        <a:lstStyle/>
        <a:p>
          <a:endParaRPr lang="en-US"/>
        </a:p>
      </dgm:t>
    </dgm:pt>
    <dgm:pt modelId="{6689D851-EFAC-412A-B041-43861882B20B}">
      <dgm:prSet phldrT="[Text]" custT="1"/>
      <dgm:spPr/>
      <dgm:t>
        <a:bodyPr/>
        <a:lstStyle/>
        <a:p>
          <a:r>
            <a:rPr lang="en-US" sz="1100"/>
            <a:t>Update chart</a:t>
          </a:r>
        </a:p>
      </dgm:t>
    </dgm:pt>
    <dgm:pt modelId="{4B4F6CB2-E614-40C7-9549-7077DEEF88F3}" type="parTrans" cxnId="{6E6A846A-EC30-4917-925E-A0544AC5EBA0}">
      <dgm:prSet/>
      <dgm:spPr/>
      <dgm:t>
        <a:bodyPr/>
        <a:lstStyle/>
        <a:p>
          <a:endParaRPr lang="en-US"/>
        </a:p>
      </dgm:t>
    </dgm:pt>
    <dgm:pt modelId="{A5CDE7E0-1747-4B8D-8E93-E30BE941D67A}" type="sibTrans" cxnId="{6E6A846A-EC30-4917-925E-A0544AC5EBA0}">
      <dgm:prSet/>
      <dgm:spPr/>
      <dgm:t>
        <a:bodyPr/>
        <a:lstStyle/>
        <a:p>
          <a:endParaRPr lang="en-US"/>
        </a:p>
      </dgm:t>
    </dgm:pt>
    <dgm:pt modelId="{10E63E36-5423-4D33-83E8-4707D2F146FE}">
      <dgm:prSet phldrT="[Text]" custT="1"/>
      <dgm:spPr/>
      <dgm:t>
        <a:bodyPr/>
        <a:lstStyle/>
        <a:p>
          <a:r>
            <a:rPr lang="en-US" sz="1200"/>
            <a:t>0. </a:t>
          </a:r>
          <a:r>
            <a:rPr lang="en-US" sz="1100"/>
            <a:t>Điền ngày báo cáo</a:t>
          </a:r>
        </a:p>
      </dgm:t>
    </dgm:pt>
    <dgm:pt modelId="{EADA1756-9FFA-4454-8DA4-9198DD75BAE3}" type="parTrans" cxnId="{6BF6EC8B-FAEA-48DB-9FD0-282C28FF4602}">
      <dgm:prSet/>
      <dgm:spPr/>
      <dgm:t>
        <a:bodyPr/>
        <a:lstStyle/>
        <a:p>
          <a:endParaRPr lang="en-US"/>
        </a:p>
      </dgm:t>
    </dgm:pt>
    <dgm:pt modelId="{4723E279-A802-43C3-8625-F59446C352E5}" type="sibTrans" cxnId="{6BF6EC8B-FAEA-48DB-9FD0-282C28FF4602}">
      <dgm:prSet/>
      <dgm:spPr/>
      <dgm:t>
        <a:bodyPr/>
        <a:lstStyle/>
        <a:p>
          <a:endParaRPr lang="en-US"/>
        </a:p>
      </dgm:t>
    </dgm:pt>
    <dgm:pt modelId="{B26B69EB-C8F2-4162-B111-FDC7F61DD111}">
      <dgm:prSet phldrT="[Text]" custT="1"/>
      <dgm:spPr/>
      <dgm:t>
        <a:bodyPr/>
        <a:lstStyle/>
        <a:p>
          <a:r>
            <a:rPr lang="en-US" sz="1100"/>
            <a:t>Điền ngày báo cáo</a:t>
          </a:r>
        </a:p>
      </dgm:t>
    </dgm:pt>
    <dgm:pt modelId="{F56760E0-68C0-4EE0-9889-6B9E3632F46C}" type="parTrans" cxnId="{3C81489C-37DA-4F48-9404-014FAEBD391E}">
      <dgm:prSet/>
      <dgm:spPr/>
      <dgm:t>
        <a:bodyPr/>
        <a:lstStyle/>
        <a:p>
          <a:endParaRPr lang="en-US"/>
        </a:p>
      </dgm:t>
    </dgm:pt>
    <dgm:pt modelId="{6B744934-7D15-4683-9C38-19EC367679AE}" type="sibTrans" cxnId="{3C81489C-37DA-4F48-9404-014FAEBD391E}">
      <dgm:prSet/>
      <dgm:spPr/>
      <dgm:t>
        <a:bodyPr/>
        <a:lstStyle/>
        <a:p>
          <a:endParaRPr lang="en-US"/>
        </a:p>
      </dgm:t>
    </dgm:pt>
    <dgm:pt modelId="{BD626779-F2EA-4BA9-A435-7911C8D02C0F}">
      <dgm:prSet phldrT="[Text]" custT="1"/>
      <dgm:spPr/>
      <dgm:t>
        <a:bodyPr/>
        <a:lstStyle/>
        <a:p>
          <a:r>
            <a:rPr lang="en-US" sz="1100" b="1">
              <a:latin typeface="Calibri" panose="020F0502020204030204" pitchFamily="34" charset="0"/>
              <a:cs typeface="Calibri" panose="020F0502020204030204" pitchFamily="34" charset="0"/>
            </a:rPr>
            <a:t>5</a:t>
          </a:r>
          <a:r>
            <a:rPr lang="vi-VN" sz="1100" b="1">
              <a:latin typeface="Calibri" panose="020F0502020204030204" pitchFamily="34" charset="0"/>
              <a:cs typeface="Calibri" panose="020F0502020204030204" pitchFamily="34" charset="0"/>
            </a:rPr>
            <a:t> input </a:t>
          </a:r>
          <a:r>
            <a:rPr lang="en-US" sz="1100" b="1">
              <a:latin typeface="Calibri" panose="020F0502020204030204" pitchFamily="34" charset="0"/>
              <a:cs typeface="Calibri" panose="020F0502020204030204" pitchFamily="34" charset="0"/>
            </a:rPr>
            <a:t>customized </a:t>
          </a:r>
          <a:r>
            <a:rPr lang="vi-VN" sz="1100" b="1">
              <a:latin typeface="Calibri" panose="020F0502020204030204" pitchFamily="34" charset="0"/>
              <a:cs typeface="Calibri" panose="020F0502020204030204" pitchFamily="34" charset="0"/>
            </a:rPr>
            <a:t>từ Kondor</a:t>
          </a:r>
          <a:r>
            <a:rPr lang="en-US" sz="1100" b="1">
              <a:latin typeface="Calibri" panose="020F0502020204030204" pitchFamily="34" charset="0"/>
              <a:cs typeface="Calibri" panose="020F0502020204030204" pitchFamily="34" charset="0"/>
            </a:rPr>
            <a:t> </a:t>
          </a:r>
        </a:p>
      </dgm:t>
    </dgm:pt>
    <dgm:pt modelId="{9BA28E0C-14F8-412B-B84B-9CC4B220B2B2}" type="sibTrans" cxnId="{342AC88D-C50F-42D8-9B34-192F3DB2584B}">
      <dgm:prSet/>
      <dgm:spPr/>
      <dgm:t>
        <a:bodyPr/>
        <a:lstStyle/>
        <a:p>
          <a:endParaRPr lang="en-US"/>
        </a:p>
      </dgm:t>
    </dgm:pt>
    <dgm:pt modelId="{8B9D157A-62C4-4A97-ABA6-6CCA42C79E8B}" type="parTrans" cxnId="{342AC88D-C50F-42D8-9B34-192F3DB2584B}">
      <dgm:prSet/>
      <dgm:spPr/>
      <dgm:t>
        <a:bodyPr/>
        <a:lstStyle/>
        <a:p>
          <a:endParaRPr lang="en-US"/>
        </a:p>
      </dgm:t>
    </dgm:pt>
    <dgm:pt modelId="{1773D085-0693-4988-A9A3-BC56F39894DD}">
      <dgm:prSet phldrT="[Text]" custT="1"/>
      <dgm:spPr/>
      <dgm:t>
        <a:bodyPr/>
        <a:lstStyle/>
        <a:p>
          <a:r>
            <a:rPr lang="en-US" sz="1100" b="1">
              <a:latin typeface="Calibri" panose="020F0502020204030204" pitchFamily="34" charset="0"/>
              <a:cs typeface="Calibri" panose="020F0502020204030204" pitchFamily="34" charset="0"/>
            </a:rPr>
            <a:t>Mail:</a:t>
          </a:r>
          <a:r>
            <a:rPr lang="en-US" sz="1100">
              <a:latin typeface="Calibri" panose="020F0502020204030204" pitchFamily="34" charset="0"/>
              <a:cs typeface="Calibri" panose="020F0502020204030204" pitchFamily="34" charset="0"/>
            </a:rPr>
            <a:t> Thông kê GD TPDN từ VBMA =&gt; Corporate bond trading xx-xx-xxxx.xlsx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r>
            <a:rPr lang="en-US" sz="1100">
              <a:latin typeface="Calibri" panose="020F0502020204030204" pitchFamily="34" charset="0"/>
              <a:cs typeface="Calibri" panose="020F0502020204030204" pitchFamily="34" charset="0"/>
            </a:rPr>
            <a:t>)</a:t>
          </a:r>
        </a:p>
      </dgm:t>
    </dgm:pt>
    <dgm:pt modelId="{DBF822B6-440B-46C8-A3F5-DDC912160A2A}" type="parTrans" cxnId="{9BE081B8-3E06-4317-95CD-CFDA91FD2799}">
      <dgm:prSet/>
      <dgm:spPr/>
      <dgm:t>
        <a:bodyPr/>
        <a:lstStyle/>
        <a:p>
          <a:endParaRPr lang="en-US"/>
        </a:p>
      </dgm:t>
    </dgm:pt>
    <dgm:pt modelId="{9548C64B-4DC1-4617-AE9E-EC23C4F434B5}" type="sibTrans" cxnId="{9BE081B8-3E06-4317-95CD-CFDA91FD2799}">
      <dgm:prSet/>
      <dgm:spPr/>
      <dgm:t>
        <a:bodyPr/>
        <a:lstStyle/>
        <a:p>
          <a:endParaRPr lang="en-US"/>
        </a:p>
      </dgm:t>
    </dgm:pt>
    <dgm:pt modelId="{97C6A3F2-0421-4362-B666-3B8365856C41}">
      <dgm:prSet phldrT="[Text]" custT="1"/>
      <dgm:spPr/>
      <dgm:t>
        <a:bodyPr/>
        <a:lstStyle/>
        <a:p>
          <a:r>
            <a:rPr lang="en-US" sz="1100" i="1">
              <a:latin typeface="Calibri" panose="020F0502020204030204" pitchFamily="34" charset="0"/>
              <a:cs typeface="Calibri" panose="020F0502020204030204" pitchFamily="34" charset="0"/>
            </a:rPr>
            <a:t>8 </a:t>
          </a:r>
          <a:r>
            <a:rPr lang="en-US" sz="1100" i="0">
              <a:latin typeface="Calibri" panose="020F0502020204030204" pitchFamily="34" charset="0"/>
              <a:cs typeface="Calibri" panose="020F0502020204030204" pitchFamily="34" charset="0"/>
            </a:rPr>
            <a:t>file</a:t>
          </a:r>
          <a:r>
            <a:rPr lang="en-US" sz="1100" i="1">
              <a:latin typeface="Calibri" panose="020F0502020204030204" pitchFamily="34" charset="0"/>
              <a:cs typeface="Calibri" panose="020F0502020204030204" pitchFamily="34" charset="0"/>
            </a:rPr>
            <a:t> để vào folder </a:t>
          </a:r>
          <a:r>
            <a:rPr lang="en-US" sz="1100" i="1">
              <a:solidFill>
                <a:srgbClr val="00B050"/>
              </a:solidFill>
              <a:latin typeface="Calibri" panose="020F0502020204030204" pitchFamily="34" charset="0"/>
              <a:cs typeface="Calibri" panose="020F0502020204030204" pitchFamily="34" charset="0"/>
            </a:rPr>
            <a:t>Input_GovBond</a:t>
          </a:r>
          <a:endParaRPr lang="en-US" sz="1100">
            <a:solidFill>
              <a:srgbClr val="00B050"/>
            </a:solidFill>
            <a:latin typeface="Calibri" panose="020F0502020204030204" pitchFamily="34" charset="0"/>
            <a:cs typeface="Calibri" panose="020F0502020204030204" pitchFamily="34" charset="0"/>
          </a:endParaRPr>
        </a:p>
      </dgm:t>
    </dgm:pt>
    <dgm:pt modelId="{B26FD3FC-5D8A-414E-9F3E-434B0E6EC14A}" type="parTrans" cxnId="{F9F208E8-9C6D-4E58-82B7-8F416C04E6FE}">
      <dgm:prSet/>
      <dgm:spPr/>
      <dgm:t>
        <a:bodyPr/>
        <a:lstStyle/>
        <a:p>
          <a:endParaRPr lang="en-US"/>
        </a:p>
      </dgm:t>
    </dgm:pt>
    <dgm:pt modelId="{C87B3F5C-95FA-40D6-92BB-66EE4D12FF9A}" type="sibTrans" cxnId="{F9F208E8-9C6D-4E58-82B7-8F416C04E6FE}">
      <dgm:prSet/>
      <dgm:spPr/>
      <dgm:t>
        <a:bodyPr/>
        <a:lstStyle/>
        <a:p>
          <a:endParaRPr lang="en-US"/>
        </a:p>
      </dgm:t>
    </dgm:pt>
    <dgm:pt modelId="{89FFBAEE-92D3-4E9C-A8B5-3508815A865D}">
      <dgm:prSet phldrT="[Text]" custT="1"/>
      <dgm:spPr/>
      <dgm:t>
        <a:bodyPr/>
        <a:lstStyle/>
        <a:p>
          <a:r>
            <a:rPr lang="en-US" sz="1100">
              <a:latin typeface="Calibri" panose="020F0502020204030204" pitchFamily="34" charset="0"/>
              <a:cs typeface="Calibri" panose="020F0502020204030204" pitchFamily="34" charset="0"/>
            </a:rPr>
            <a:t>2 file FI &amp; PPCD </a:t>
          </a:r>
          <a:r>
            <a:rPr lang="en-US" sz="1100" i="1">
              <a:latin typeface="Calibri" panose="020F0502020204030204" pitchFamily="34" charset="0"/>
              <a:cs typeface="Calibri" panose="020F0502020204030204" pitchFamily="34" charset="0"/>
            </a:rPr>
            <a:t>để vào folder </a:t>
          </a:r>
          <a:r>
            <a:rPr lang="en-US" sz="1100" i="1">
              <a:solidFill>
                <a:srgbClr val="FF0000"/>
              </a:solidFill>
              <a:latin typeface="Calibri" panose="020F0502020204030204" pitchFamily="34" charset="0"/>
              <a:cs typeface="Calibri" panose="020F0502020204030204" pitchFamily="34" charset="0"/>
            </a:rPr>
            <a:t>Input_FIBond</a:t>
          </a:r>
        </a:p>
      </dgm:t>
    </dgm:pt>
    <dgm:pt modelId="{AAB55589-9C08-4BED-B072-E617FA9A811B}" type="parTrans" cxnId="{6176CAC9-7028-4BD7-99F4-3042564248E1}">
      <dgm:prSet/>
      <dgm:spPr/>
      <dgm:t>
        <a:bodyPr/>
        <a:lstStyle/>
        <a:p>
          <a:endParaRPr lang="en-US"/>
        </a:p>
      </dgm:t>
    </dgm:pt>
    <dgm:pt modelId="{E83C4170-12DF-4338-9907-55B2634DA668}" type="sibTrans" cxnId="{6176CAC9-7028-4BD7-99F4-3042564248E1}">
      <dgm:prSet/>
      <dgm:spPr/>
      <dgm:t>
        <a:bodyPr/>
        <a:lstStyle/>
        <a:p>
          <a:endParaRPr lang="en-US"/>
        </a:p>
      </dgm:t>
    </dgm:pt>
    <dgm:pt modelId="{BEBFCF4B-0E2A-4CB6-87A8-50ECC3CD83E1}" type="pres">
      <dgm:prSet presAssocID="{79C9EA12-1B66-41EC-B6C8-842A4A7FD839}" presName="linear" presStyleCnt="0">
        <dgm:presLayoutVars>
          <dgm:animLvl val="lvl"/>
          <dgm:resizeHandles val="exact"/>
        </dgm:presLayoutVars>
      </dgm:prSet>
      <dgm:spPr/>
    </dgm:pt>
    <dgm:pt modelId="{57B51B9C-9019-4D00-8B3E-EDEEE5FAD74F}" type="pres">
      <dgm:prSet presAssocID="{2C72F0DA-2D7A-4524-97A8-42C925415415}" presName="parentText" presStyleLbl="node1" presStyleIdx="0" presStyleCnt="3">
        <dgm:presLayoutVars>
          <dgm:chMax val="0"/>
          <dgm:bulletEnabled val="1"/>
        </dgm:presLayoutVars>
      </dgm:prSet>
      <dgm:spPr/>
    </dgm:pt>
    <dgm:pt modelId="{BE3CB209-ACC1-4732-9A99-77567243A68B}" type="pres">
      <dgm:prSet presAssocID="{2C72F0DA-2D7A-4524-97A8-42C925415415}" presName="childText" presStyleLbl="revTx" presStyleIdx="0" presStyleCnt="3" custScaleY="99078">
        <dgm:presLayoutVars>
          <dgm:bulletEnabled val="1"/>
        </dgm:presLayoutVars>
      </dgm:prSet>
      <dgm:spPr/>
    </dgm:pt>
    <dgm:pt modelId="{82701B91-E06E-4094-8284-DB91ED2218AA}" type="pres">
      <dgm:prSet presAssocID="{41DD3164-D068-41BB-9355-4AB043B41ACD}" presName="parentText" presStyleLbl="node1" presStyleIdx="1" presStyleCnt="3" custLinFactNeighborX="239" custLinFactNeighborY="3547">
        <dgm:presLayoutVars>
          <dgm:chMax val="0"/>
          <dgm:bulletEnabled val="1"/>
        </dgm:presLayoutVars>
      </dgm:prSet>
      <dgm:spPr/>
    </dgm:pt>
    <dgm:pt modelId="{F45E7D5E-858A-4907-8523-62BCCFCD6824}" type="pres">
      <dgm:prSet presAssocID="{41DD3164-D068-41BB-9355-4AB043B41ACD}" presName="childText" presStyleLbl="revTx" presStyleIdx="1" presStyleCnt="3" custScaleY="100083">
        <dgm:presLayoutVars>
          <dgm:bulletEnabled val="1"/>
        </dgm:presLayoutVars>
      </dgm:prSet>
      <dgm:spPr/>
    </dgm:pt>
    <dgm:pt modelId="{C1C5DF5D-B87F-4947-ADC1-ADE5BEA9408B}" type="pres">
      <dgm:prSet presAssocID="{4A4F2DF0-8E22-4F00-BA80-205E816ACAA3}" presName="parentText" presStyleLbl="node1" presStyleIdx="2" presStyleCnt="3">
        <dgm:presLayoutVars>
          <dgm:chMax val="0"/>
          <dgm:bulletEnabled val="1"/>
        </dgm:presLayoutVars>
      </dgm:prSet>
      <dgm:spPr/>
    </dgm:pt>
    <dgm:pt modelId="{9EBD46E3-7C6C-4ABA-ACB4-155065879782}" type="pres">
      <dgm:prSet presAssocID="{4A4F2DF0-8E22-4F00-BA80-205E816ACAA3}" presName="childText" presStyleLbl="revTx" presStyleIdx="2" presStyleCnt="3">
        <dgm:presLayoutVars>
          <dgm:bulletEnabled val="1"/>
        </dgm:presLayoutVars>
      </dgm:prSet>
      <dgm:spPr/>
    </dgm:pt>
  </dgm:ptLst>
  <dgm:cxnLst>
    <dgm:cxn modelId="{52822002-911D-429F-9BCF-EF84786400C6}" type="presOf" srcId="{046AA013-C455-4467-9F47-8395E0D8E8E3}" destId="{BE3CB209-ACC1-4732-9A99-77567243A68B}" srcOrd="0" destOrd="11" presId="urn:microsoft.com/office/officeart/2005/8/layout/vList2"/>
    <dgm:cxn modelId="{F2BB5E03-4AF3-4412-AC01-7B23B0356D3A}" type="presOf" srcId="{B26B69EB-C8F2-4162-B111-FDC7F61DD111}" destId="{9EBD46E3-7C6C-4ABA-ACB4-155065879782}" srcOrd="0" destOrd="0" presId="urn:microsoft.com/office/officeart/2005/8/layout/vList2"/>
    <dgm:cxn modelId="{36779005-6143-486A-8817-9B954C03B4AE}" srcId="{79C9EA12-1B66-41EC-B6C8-842A4A7FD839}" destId="{4A4F2DF0-8E22-4F00-BA80-205E816ACAA3}" srcOrd="2" destOrd="0" parTransId="{F65F5C62-F8BD-4200-BAE4-0EB0DE6E22B5}" sibTransId="{C60DFDCA-02AB-42E4-91CB-F4FC826908F2}"/>
    <dgm:cxn modelId="{48AC6106-D93E-41AA-B1CB-5E2C9464FE74}" srcId="{41DD3164-D068-41BB-9355-4AB043B41ACD}" destId="{36604382-E6D7-48D2-B039-CDCAB1F74634}" srcOrd="4" destOrd="0" parTransId="{4A2C0DD7-2402-4B34-9739-A74C7B899F7E}" sibTransId="{2056F805-B189-4F46-B307-52EB80CF9EAA}"/>
    <dgm:cxn modelId="{1F06840B-83F5-4ABE-B796-B34429F3B801}" type="presOf" srcId="{10E63E36-5423-4D33-83E8-4707D2F146FE}" destId="{F45E7D5E-858A-4907-8523-62BCCFCD6824}" srcOrd="0" destOrd="0" presId="urn:microsoft.com/office/officeart/2005/8/layout/vList2"/>
    <dgm:cxn modelId="{758A6F10-365E-4D6A-AF64-4F71D3F584FC}" type="presOf" srcId="{290A5B8B-B2BA-438A-846B-E51D31E4138A}" destId="{BE3CB209-ACC1-4732-9A99-77567243A68B}" srcOrd="0" destOrd="14" presId="urn:microsoft.com/office/officeart/2005/8/layout/vList2"/>
    <dgm:cxn modelId="{4CD0DC14-5BE5-42EC-86FD-A523E105465D}" type="presOf" srcId="{B70E58BD-4A57-4D6F-BB54-6FF3CFC3BE8E}" destId="{F45E7D5E-858A-4907-8523-62BCCFCD6824}" srcOrd="0" destOrd="2" presId="urn:microsoft.com/office/officeart/2005/8/layout/vList2"/>
    <dgm:cxn modelId="{8CDDEB14-2AF2-46F1-9A37-7D748C228B23}" type="presOf" srcId="{146363D5-1B27-474E-BB63-E8E69FA44564}" destId="{BE3CB209-ACC1-4732-9A99-77567243A68B}" srcOrd="0" destOrd="9" presId="urn:microsoft.com/office/officeart/2005/8/layout/vList2"/>
    <dgm:cxn modelId="{D4711E15-465C-427F-AC93-86332C143A7A}" type="presOf" srcId="{62E4585F-3833-44DF-AB84-CCE2D1FFD75D}" destId="{BE3CB209-ACC1-4732-9A99-77567243A68B}" srcOrd="0" destOrd="7" presId="urn:microsoft.com/office/officeart/2005/8/layout/vList2"/>
    <dgm:cxn modelId="{30DDF718-0FD6-4082-AD48-72B2D89C14F3}" srcId="{CB3BA616-40F7-4DBB-9817-5EFE6053702D}" destId="{046AA013-C455-4467-9F47-8395E0D8E8E3}" srcOrd="0" destOrd="0" parTransId="{2343F95E-7137-4039-8C9C-A461A5063F41}" sibTransId="{28E6FD03-0612-444A-A7BA-67E5400B2113}"/>
    <dgm:cxn modelId="{6A10B01D-196C-4EB0-B9A1-06FFD315CB3B}" type="presOf" srcId="{BD626779-F2EA-4BA9-A435-7911C8D02C0F}" destId="{BE3CB209-ACC1-4732-9A99-77567243A68B}" srcOrd="0" destOrd="3" presId="urn:microsoft.com/office/officeart/2005/8/layout/vList2"/>
    <dgm:cxn modelId="{241F9B24-40C5-4E20-8685-ABE09C8E4F1D}" srcId="{CB3BA616-40F7-4DBB-9817-5EFE6053702D}" destId="{11C2A4D7-C740-4D29-951D-72B8853B8014}" srcOrd="1" destOrd="0" parTransId="{8AD5E1ED-833C-48C5-9D42-B3C8FBDCC60F}" sibTransId="{BDE097E6-0381-4E4B-8DB9-761693D8AEF8}"/>
    <dgm:cxn modelId="{7F8DC125-81E6-4946-8FFC-9E0E3646B060}" type="presOf" srcId="{4A4F2DF0-8E22-4F00-BA80-205E816ACAA3}" destId="{C1C5DF5D-B87F-4947-ADC1-ADE5BEA9408B}" srcOrd="0" destOrd="0" presId="urn:microsoft.com/office/officeart/2005/8/layout/vList2"/>
    <dgm:cxn modelId="{00AACF26-8DB4-4AD5-AEB8-0D1B93EFE2D0}" srcId="{2C72F0DA-2D7A-4524-97A8-42C925415415}" destId="{214CA4B6-2799-4E75-9A40-010AA8283A4B}" srcOrd="0" destOrd="0" parTransId="{380C0EF2-51E2-426F-B739-500D04504CF7}" sibTransId="{14785E19-90EE-4AEE-8369-7E2BBAEA6A88}"/>
    <dgm:cxn modelId="{C6F80F2F-8D70-4F58-9683-43D3F790D00A}" type="presOf" srcId="{2C72F0DA-2D7A-4524-97A8-42C925415415}" destId="{57B51B9C-9019-4D00-8B3E-EDEEE5FAD74F}" srcOrd="0" destOrd="0" presId="urn:microsoft.com/office/officeart/2005/8/layout/vList2"/>
    <dgm:cxn modelId="{B254ED3A-FF07-4622-B88B-9F7624F7D462}" type="presOf" srcId="{41DD3164-D068-41BB-9355-4AB043B41ACD}" destId="{82701B91-E06E-4094-8284-DB91ED2218AA}" srcOrd="0" destOrd="0" presId="urn:microsoft.com/office/officeart/2005/8/layout/vList2"/>
    <dgm:cxn modelId="{C782C040-3BC7-443D-9EB5-E6771464167A}" type="presOf" srcId="{5FD45FDF-A698-4EC3-9FFD-422A340CC7B8}" destId="{BE3CB209-ACC1-4732-9A99-77567243A68B}" srcOrd="0" destOrd="6" presId="urn:microsoft.com/office/officeart/2005/8/layout/vList2"/>
    <dgm:cxn modelId="{822E2361-869A-44A3-AB04-E23C1F9936C4}" type="presOf" srcId="{BAB313E6-9299-4417-B1B7-9EBE8A8709A5}" destId="{F45E7D5E-858A-4907-8523-62BCCFCD6824}" srcOrd="0" destOrd="3" presId="urn:microsoft.com/office/officeart/2005/8/layout/vList2"/>
    <dgm:cxn modelId="{531B0C63-CD8D-4DAA-B9A7-FC0C800C5501}" srcId="{BD626779-F2EA-4BA9-A435-7911C8D02C0F}" destId="{146363D5-1B27-474E-BB63-E8E69FA44564}" srcOrd="2" destOrd="0" parTransId="{3406D461-C43B-4655-B27C-B3F33CDD3134}" sibTransId="{3FDDD364-30FD-40C8-B587-E3F0E96FD64F}"/>
    <dgm:cxn modelId="{02F09648-E7EC-45D0-9BE9-DF15E6EEE77D}" srcId="{4A4F2DF0-8E22-4F00-BA80-205E816ACAA3}" destId="{E66AEC07-77CE-44C6-8D11-56C29D8C7632}" srcOrd="3" destOrd="0" parTransId="{3A3B8BA0-5D41-49DB-B890-44CDEAF6848E}" sibTransId="{0F0CE170-E68C-40B2-8A20-831ABC4615ED}"/>
    <dgm:cxn modelId="{6E6A846A-EC30-4917-925E-A0544AC5EBA0}" srcId="{4A4F2DF0-8E22-4F00-BA80-205E816ACAA3}" destId="{6689D851-EFAC-412A-B041-43861882B20B}" srcOrd="2" destOrd="0" parTransId="{4B4F6CB2-E614-40C7-9549-7077DEEF88F3}" sibTransId="{A5CDE7E0-1747-4B8D-8E93-E30BE941D67A}"/>
    <dgm:cxn modelId="{9B7C1E4C-6D95-4658-8DC7-1B7EF71DC2C2}" srcId="{2C72F0DA-2D7A-4524-97A8-42C925415415}" destId="{290A5B8B-B2BA-438A-846B-E51D31E4138A}" srcOrd="3" destOrd="0" parTransId="{B2BA73F7-E2C1-4F61-9E9B-0826FF41667E}" sibTransId="{76AF3ED5-6EE0-4F10-B5E1-9A8681AE4DB1}"/>
    <dgm:cxn modelId="{AC085C6C-DF0E-4292-B673-57288F509479}" type="presOf" srcId="{E0A8D403-0052-4A4C-8E71-286A7D939BB8}" destId="{BE3CB209-ACC1-4732-9A99-77567243A68B}" srcOrd="0" destOrd="8" presId="urn:microsoft.com/office/officeart/2005/8/layout/vList2"/>
    <dgm:cxn modelId="{F31E5D4C-FEB9-4938-B5E8-DEC2DB4DCF7B}" srcId="{79C9EA12-1B66-41EC-B6C8-842A4A7FD839}" destId="{2C72F0DA-2D7A-4524-97A8-42C925415415}" srcOrd="0" destOrd="0" parTransId="{1C857CA8-ABC0-4AD0-8C48-3106020F257E}" sibTransId="{5A5B14B6-4BDA-4586-9BD8-8A4E1F1030DC}"/>
    <dgm:cxn modelId="{91DBD34E-BAF1-4ACC-99A0-EF24EECE1C60}" srcId="{79C9EA12-1B66-41EC-B6C8-842A4A7FD839}" destId="{41DD3164-D068-41BB-9355-4AB043B41ACD}" srcOrd="1" destOrd="0" parTransId="{6250D4F4-9C4E-48EC-855A-4B1A1D906E7D}" sibTransId="{E7CB733D-ACDF-4D49-97CB-7D7B31800FD3}"/>
    <dgm:cxn modelId="{9DC66B51-1C12-47E6-B4A0-22A0E6064432}" type="presOf" srcId="{E66AEC07-77CE-44C6-8D11-56C29D8C7632}" destId="{9EBD46E3-7C6C-4ABA-ACB4-155065879782}" srcOrd="0" destOrd="3" presId="urn:microsoft.com/office/officeart/2005/8/layout/vList2"/>
    <dgm:cxn modelId="{3B879F71-0D7A-47CC-A775-B8FDD38663E6}" srcId="{CB3BA616-40F7-4DBB-9817-5EFE6053702D}" destId="{C178E64D-4C8F-406C-9251-E3472661E424}" srcOrd="2" destOrd="0" parTransId="{51C657D1-09C8-42C1-87D9-EBD632A41759}" sibTransId="{F1BB61F1-C991-4051-9463-FF9FCD628852}"/>
    <dgm:cxn modelId="{A8E3E352-F93A-414A-BC8B-7F3877D58D77}" type="presOf" srcId="{DC818516-F292-4141-84C1-5838AACA0E32}" destId="{9EBD46E3-7C6C-4ABA-ACB4-155065879782}" srcOrd="0" destOrd="1" presId="urn:microsoft.com/office/officeart/2005/8/layout/vList2"/>
    <dgm:cxn modelId="{09DD5674-FD34-4F08-AEE2-F8752F155964}" srcId="{41DD3164-D068-41BB-9355-4AB043B41ACD}" destId="{BAB313E6-9299-4417-B1B7-9EBE8A8709A5}" srcOrd="3" destOrd="0" parTransId="{23990F47-E142-4FAC-B8A1-2842ACFED841}" sibTransId="{4E4A32B5-139E-41C4-84D8-2CD48C8E5504}"/>
    <dgm:cxn modelId="{BB0BFC54-A0D0-4856-B2EF-1EACE62EC87C}" type="presOf" srcId="{214CA4B6-2799-4E75-9A40-010AA8283A4B}" destId="{BE3CB209-ACC1-4732-9A99-77567243A68B}" srcOrd="0" destOrd="0" presId="urn:microsoft.com/office/officeart/2005/8/layout/vList2"/>
    <dgm:cxn modelId="{436E3276-A0B6-4B69-99A1-5FE689C4586C}" type="presOf" srcId="{C178E64D-4C8F-406C-9251-E3472661E424}" destId="{BE3CB209-ACC1-4732-9A99-77567243A68B}" srcOrd="0" destOrd="13" presId="urn:microsoft.com/office/officeart/2005/8/layout/vList2"/>
    <dgm:cxn modelId="{EFA65483-CCBB-47BC-B1A1-3C7A92652B7C}" srcId="{06CB6FDF-15FD-449F-AC19-16E58338581C}" destId="{51691A19-AE2F-4F81-8C53-F65BBF5D05FC}" srcOrd="0" destOrd="0" parTransId="{2363D11A-B6DE-440C-B7EC-5EFA1743CC36}" sibTransId="{248151AB-4409-4ACE-BC41-0426460D14E1}"/>
    <dgm:cxn modelId="{546EBB85-979B-40D3-815A-F550C8D94EA9}" type="presOf" srcId="{880CDF2D-8B89-4095-BD9E-0BD2346A8D42}" destId="{F45E7D5E-858A-4907-8523-62BCCFCD6824}" srcOrd="0" destOrd="1" presId="urn:microsoft.com/office/officeart/2005/8/layout/vList2"/>
    <dgm:cxn modelId="{6BF6EC8B-FAEA-48DB-9FD0-282C28FF4602}" srcId="{41DD3164-D068-41BB-9355-4AB043B41ACD}" destId="{10E63E36-5423-4D33-83E8-4707D2F146FE}" srcOrd="0" destOrd="0" parTransId="{EADA1756-9FFA-4454-8DA4-9198DD75BAE3}" sibTransId="{4723E279-A802-43C3-8625-F59446C352E5}"/>
    <dgm:cxn modelId="{342AC88D-C50F-42D8-9B34-192F3DB2584B}" srcId="{2C72F0DA-2D7A-4524-97A8-42C925415415}" destId="{BD626779-F2EA-4BA9-A435-7911C8D02C0F}" srcOrd="1" destOrd="0" parTransId="{8B9D157A-62C4-4A97-ABA6-6CCA42C79E8B}" sibTransId="{9BA28E0C-14F8-412B-B84B-9CC4B220B2B2}"/>
    <dgm:cxn modelId="{B3EF998E-6A60-4A19-986F-B531391CC9FA}" type="presOf" srcId="{11C2A4D7-C740-4D29-951D-72B8853B8014}" destId="{BE3CB209-ACC1-4732-9A99-77567243A68B}" srcOrd="0" destOrd="12" presId="urn:microsoft.com/office/officeart/2005/8/layout/vList2"/>
    <dgm:cxn modelId="{61472C9B-9B7B-48DD-A266-8526F9744D17}" srcId="{06CB6FDF-15FD-449F-AC19-16E58338581C}" destId="{62E4585F-3833-44DF-AB84-CCE2D1FFD75D}" srcOrd="2" destOrd="0" parTransId="{2119A8A7-345B-49FC-B461-15AC564D1E77}" sibTransId="{55965A0C-0E0E-47DD-9F73-1B588C367D79}"/>
    <dgm:cxn modelId="{3C81489C-37DA-4F48-9404-014FAEBD391E}" srcId="{4A4F2DF0-8E22-4F00-BA80-205E816ACAA3}" destId="{B26B69EB-C8F2-4162-B111-FDC7F61DD111}" srcOrd="0" destOrd="0" parTransId="{F56760E0-68C0-4EE0-9889-6B9E3632F46C}" sibTransId="{6B744934-7D15-4683-9C38-19EC367679AE}"/>
    <dgm:cxn modelId="{F87AE2A2-2F3D-4E0D-835F-B7533EFD5AAA}" srcId="{41DD3164-D068-41BB-9355-4AB043B41ACD}" destId="{B70E58BD-4A57-4D6F-BB54-6FF3CFC3BE8E}" srcOrd="2" destOrd="0" parTransId="{5D34C4B5-E3E3-4C84-AA35-C6F0AA18EB3F}" sibTransId="{BB0A3E7E-99E4-4BDF-AA9D-5AF9004E3DA8}"/>
    <dgm:cxn modelId="{31E47DA3-95CA-43ED-9F7C-1402C500F959}" srcId="{BD626779-F2EA-4BA9-A435-7911C8D02C0F}" destId="{E0A8D403-0052-4A4C-8E71-286A7D939BB8}" srcOrd="1" destOrd="0" parTransId="{703A13E7-7BDA-4AC5-923F-D416BBE2DD77}" sibTransId="{F583BA99-DE89-4E18-A588-AF1AD52CF4AF}"/>
    <dgm:cxn modelId="{3613F1A8-F11E-44FB-9E61-386BDBA2CF0D}" srcId="{06CB6FDF-15FD-449F-AC19-16E58338581C}" destId="{5FD45FDF-A698-4EC3-9FFD-422A340CC7B8}" srcOrd="1" destOrd="0" parTransId="{1FCA4653-DF72-4946-AF5B-07CEDBE5A785}" sibTransId="{A8A3B3A6-B4D9-414C-86BA-E0CA762A43F2}"/>
    <dgm:cxn modelId="{DCDC9AAB-D60D-4450-A00C-7BAB92BF54DC}" type="presOf" srcId="{97C6A3F2-0421-4362-B666-3B8365856C41}" destId="{BE3CB209-ACC1-4732-9A99-77567243A68B}" srcOrd="0" destOrd="1" presId="urn:microsoft.com/office/officeart/2005/8/layout/vList2"/>
    <dgm:cxn modelId="{92384EAE-AA3A-4480-9E10-40CEFD8C866A}" type="presOf" srcId="{CB3BA616-40F7-4DBB-9817-5EFE6053702D}" destId="{BE3CB209-ACC1-4732-9A99-77567243A68B}" srcOrd="0" destOrd="10" presId="urn:microsoft.com/office/officeart/2005/8/layout/vList2"/>
    <dgm:cxn modelId="{604B04B7-C9DE-4211-8494-6D7BF28CD0FE}" type="presOf" srcId="{89FFBAEE-92D3-4E9C-A8B5-3508815A865D}" destId="{BE3CB209-ACC1-4732-9A99-77567243A68B}" srcOrd="0" destOrd="2" presId="urn:microsoft.com/office/officeart/2005/8/layout/vList2"/>
    <dgm:cxn modelId="{9BE081B8-3E06-4317-95CD-CFDA91FD2799}" srcId="{2C72F0DA-2D7A-4524-97A8-42C925415415}" destId="{1773D085-0693-4988-A9A3-BC56F39894DD}" srcOrd="4" destOrd="0" parTransId="{DBF822B6-440B-46C8-A3F5-DDC912160A2A}" sibTransId="{9548C64B-4DC1-4617-AE9E-EC23C4F434B5}"/>
    <dgm:cxn modelId="{18C7C3BB-D65A-425F-96FB-5F15640D73BF}" type="presOf" srcId="{06CB6FDF-15FD-449F-AC19-16E58338581C}" destId="{BE3CB209-ACC1-4732-9A99-77567243A68B}" srcOrd="0" destOrd="4" presId="urn:microsoft.com/office/officeart/2005/8/layout/vList2"/>
    <dgm:cxn modelId="{AE926FC1-A64A-4A76-96F2-F1C3623EB6E4}" type="presOf" srcId="{1773D085-0693-4988-A9A3-BC56F39894DD}" destId="{BE3CB209-ACC1-4732-9A99-77567243A68B}" srcOrd="0" destOrd="15" presId="urn:microsoft.com/office/officeart/2005/8/layout/vList2"/>
    <dgm:cxn modelId="{D2B1B7C7-6865-4D1E-BF97-BCF465B7AF14}" srcId="{4A4F2DF0-8E22-4F00-BA80-205E816ACAA3}" destId="{DC818516-F292-4141-84C1-5838AACA0E32}" srcOrd="1" destOrd="0" parTransId="{2C064E17-D49B-4881-B1A2-F81ED6517D8B}" sibTransId="{E9FC9951-C296-48CD-A0B6-86D37E073BEB}"/>
    <dgm:cxn modelId="{6176CAC9-7028-4BD7-99F4-3042564248E1}" srcId="{214CA4B6-2799-4E75-9A40-010AA8283A4B}" destId="{89FFBAEE-92D3-4E9C-A8B5-3508815A865D}" srcOrd="1" destOrd="0" parTransId="{AAB55589-9C08-4BED-B072-E617FA9A811B}" sibTransId="{E83C4170-12DF-4338-9907-55B2634DA668}"/>
    <dgm:cxn modelId="{F9F208E8-9C6D-4E58-82B7-8F416C04E6FE}" srcId="{214CA4B6-2799-4E75-9A40-010AA8283A4B}" destId="{97C6A3F2-0421-4362-B666-3B8365856C41}" srcOrd="0" destOrd="0" parTransId="{B26FD3FC-5D8A-414E-9F3E-434B0E6EC14A}" sibTransId="{C87B3F5C-95FA-40D6-92BB-66EE4D12FF9A}"/>
    <dgm:cxn modelId="{095F84EC-6F4D-43F3-95E7-826D5B03A80A}" type="presOf" srcId="{6689D851-EFAC-412A-B041-43861882B20B}" destId="{9EBD46E3-7C6C-4ABA-ACB4-155065879782}" srcOrd="0" destOrd="2" presId="urn:microsoft.com/office/officeart/2005/8/layout/vList2"/>
    <dgm:cxn modelId="{56CE09ED-AE90-4444-8E79-B571642C4DF5}" type="presOf" srcId="{79C9EA12-1B66-41EC-B6C8-842A4A7FD839}" destId="{BEBFCF4B-0E2A-4CB6-87A8-50ECC3CD83E1}" srcOrd="0" destOrd="0" presId="urn:microsoft.com/office/officeart/2005/8/layout/vList2"/>
    <dgm:cxn modelId="{9C9341ED-97E7-4D33-ACC2-09B6EFCC791D}" type="presOf" srcId="{51691A19-AE2F-4F81-8C53-F65BBF5D05FC}" destId="{BE3CB209-ACC1-4732-9A99-77567243A68B}" srcOrd="0" destOrd="5" presId="urn:microsoft.com/office/officeart/2005/8/layout/vList2"/>
    <dgm:cxn modelId="{170743EF-DC8A-47ED-9177-77073F296B3C}" type="presOf" srcId="{36604382-E6D7-48D2-B039-CDCAB1F74634}" destId="{F45E7D5E-858A-4907-8523-62BCCFCD6824}" srcOrd="0" destOrd="4" presId="urn:microsoft.com/office/officeart/2005/8/layout/vList2"/>
    <dgm:cxn modelId="{48FE44F5-0FC1-4950-A802-92F26E030D59}" srcId="{2C72F0DA-2D7A-4524-97A8-42C925415415}" destId="{CB3BA616-40F7-4DBB-9817-5EFE6053702D}" srcOrd="2" destOrd="0" parTransId="{D0DBC3B9-72E0-4DBB-873C-FA27B48D2F8A}" sibTransId="{D83562BE-FCAB-460A-A5A7-96FAC6C66854}"/>
    <dgm:cxn modelId="{5B3EE5F8-5FC6-40A1-A6CE-BF4002A5154F}" srcId="{BD626779-F2EA-4BA9-A435-7911C8D02C0F}" destId="{06CB6FDF-15FD-449F-AC19-16E58338581C}" srcOrd="0" destOrd="0" parTransId="{B012863E-CA72-4FC3-8CC3-8EFB4D845E0E}" sibTransId="{A9D1DD21-F280-4D9A-8E16-1DA581D7FECF}"/>
    <dgm:cxn modelId="{EAC30FF9-97F9-485C-AB75-0347ECE27296}" srcId="{41DD3164-D068-41BB-9355-4AB043B41ACD}" destId="{880CDF2D-8B89-4095-BD9E-0BD2346A8D42}" srcOrd="1" destOrd="0" parTransId="{C43EFBAE-6AAF-40DA-9ABB-BE543A465B24}" sibTransId="{07D8211D-6E46-4172-BD02-CCE88E04E078}"/>
    <dgm:cxn modelId="{E666F445-686E-4B8E-8155-63E642900121}" type="presParOf" srcId="{BEBFCF4B-0E2A-4CB6-87A8-50ECC3CD83E1}" destId="{57B51B9C-9019-4D00-8B3E-EDEEE5FAD74F}" srcOrd="0" destOrd="0" presId="urn:microsoft.com/office/officeart/2005/8/layout/vList2"/>
    <dgm:cxn modelId="{280B56F8-8251-4BF7-BE74-380425761188}" type="presParOf" srcId="{BEBFCF4B-0E2A-4CB6-87A8-50ECC3CD83E1}" destId="{BE3CB209-ACC1-4732-9A99-77567243A68B}" srcOrd="1" destOrd="0" presId="urn:microsoft.com/office/officeart/2005/8/layout/vList2"/>
    <dgm:cxn modelId="{B10AC538-2E12-4F86-8DD4-5AF6436AC0D9}" type="presParOf" srcId="{BEBFCF4B-0E2A-4CB6-87A8-50ECC3CD83E1}" destId="{82701B91-E06E-4094-8284-DB91ED2218AA}" srcOrd="2" destOrd="0" presId="urn:microsoft.com/office/officeart/2005/8/layout/vList2"/>
    <dgm:cxn modelId="{9C904629-C109-4FAE-8EEF-5113B68E924B}" type="presParOf" srcId="{BEBFCF4B-0E2A-4CB6-87A8-50ECC3CD83E1}" destId="{F45E7D5E-858A-4907-8523-62BCCFCD6824}" srcOrd="3" destOrd="0" presId="urn:microsoft.com/office/officeart/2005/8/layout/vList2"/>
    <dgm:cxn modelId="{2A5B2A3B-E58B-4717-B705-2C8A62FCB4AC}" type="presParOf" srcId="{BEBFCF4B-0E2A-4CB6-87A8-50ECC3CD83E1}" destId="{C1C5DF5D-B87F-4947-ADC1-ADE5BEA9408B}" srcOrd="4" destOrd="0" presId="urn:microsoft.com/office/officeart/2005/8/layout/vList2"/>
    <dgm:cxn modelId="{D8507F4C-9270-42A3-9B4B-56DE9F084500}" type="presParOf" srcId="{BEBFCF4B-0E2A-4CB6-87A8-50ECC3CD83E1}" destId="{9EBD46E3-7C6C-4ABA-ACB4-155065879782}" srcOrd="5" destOrd="0" presId="urn:microsoft.com/office/officeart/2005/8/layout/vList2"/>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88B704D5-E6B3-4FCF-A8ED-2FAD0831D3E2}" type="doc">
      <dgm:prSet loTypeId="urn:microsoft.com/office/officeart/2005/8/layout/hierarchy3" loCatId="list" qsTypeId="urn:microsoft.com/office/officeart/2005/8/quickstyle/simple1#3" qsCatId="simple" csTypeId="urn:microsoft.com/office/officeart/2005/8/colors/accent1_2#2" csCatId="accent1" phldr="1"/>
      <dgm:spPr/>
      <dgm:t>
        <a:bodyPr/>
        <a:lstStyle/>
        <a:p>
          <a:endParaRPr lang="en-US"/>
        </a:p>
      </dgm:t>
    </dgm:pt>
    <dgm:pt modelId="{4AE248EF-C770-492F-A9E9-79AC765C23DC}">
      <dgm:prSet/>
      <dgm:spPr/>
      <dgm:t>
        <a:bodyPr/>
        <a:lstStyle/>
        <a:p>
          <a:pPr>
            <a:buNone/>
          </a:pPr>
          <a:r>
            <a:rPr lang="en-US" b="0" i="0" u="none"/>
            <a:t>Log</a:t>
          </a:r>
          <a:endParaRPr lang="en-US"/>
        </a:p>
      </dgm:t>
      <dgm:extLst>
        <a:ext uri="{E40237B7-FDA0-4F09-8148-C483321AD2D9}">
          <dgm14:cNvPr xmlns:dgm14="http://schemas.microsoft.com/office/drawing/2010/diagram" id="0" name="">
            <a:hlinkClick xmlns:r="http://schemas.openxmlformats.org/officeDocument/2006/relationships" r:id="rId1"/>
          </dgm14:cNvPr>
        </a:ext>
      </dgm:extLst>
    </dgm:pt>
    <dgm:pt modelId="{5DE141D1-CD18-41A5-BED7-FAEC60785ADF}" type="parTrans" cxnId="{C659814F-C2FB-4D1C-AEB8-1E321E6FAE4D}">
      <dgm:prSet/>
      <dgm:spPr/>
      <dgm:t>
        <a:bodyPr/>
        <a:lstStyle/>
        <a:p>
          <a:endParaRPr lang="en-US"/>
        </a:p>
      </dgm:t>
    </dgm:pt>
    <dgm:pt modelId="{E640E80D-7A98-492E-A602-4E3A6ACD1788}" type="sibTrans" cxnId="{C659814F-C2FB-4D1C-AEB8-1E321E6FAE4D}">
      <dgm:prSet/>
      <dgm:spPr/>
      <dgm:t>
        <a:bodyPr/>
        <a:lstStyle/>
        <a:p>
          <a:endParaRPr lang="en-US"/>
        </a:p>
      </dgm:t>
    </dgm:pt>
    <dgm:pt modelId="{39ABD42E-01FC-4643-BE9D-C5D42A8D8204}">
      <dgm:prSet/>
      <dgm:spPr/>
      <dgm:t>
        <a:bodyPr/>
        <a:lstStyle/>
        <a:p>
          <a:pPr>
            <a:buNone/>
          </a:pPr>
          <a:r>
            <a:rPr lang="en-US" b="0" i="0" u="none"/>
            <a:t>Data flows</a:t>
          </a:r>
          <a:endParaRPr lang="en-US"/>
        </a:p>
      </dgm:t>
      <dgm:extLst>
        <a:ext uri="{E40237B7-FDA0-4F09-8148-C483321AD2D9}">
          <dgm14:cNvPr xmlns:dgm14="http://schemas.microsoft.com/office/drawing/2010/diagram" id="0" name="">
            <a:hlinkClick xmlns:r="http://schemas.openxmlformats.org/officeDocument/2006/relationships" r:id="rId2"/>
          </dgm14:cNvPr>
        </a:ext>
      </dgm:extLst>
    </dgm:pt>
    <dgm:pt modelId="{2C675E3B-1585-4E17-B32D-A7BBB3399A2B}" type="parTrans" cxnId="{05D0F3F5-3EFE-4896-8993-F8B5DE13D761}">
      <dgm:prSet/>
      <dgm:spPr/>
      <dgm:t>
        <a:bodyPr/>
        <a:lstStyle/>
        <a:p>
          <a:endParaRPr lang="en-US"/>
        </a:p>
      </dgm:t>
    </dgm:pt>
    <dgm:pt modelId="{C8EF3EC8-B5F7-44F2-96C6-A96F72A1A46A}" type="sibTrans" cxnId="{05D0F3F5-3EFE-4896-8993-F8B5DE13D761}">
      <dgm:prSet/>
      <dgm:spPr/>
      <dgm:t>
        <a:bodyPr/>
        <a:lstStyle/>
        <a:p>
          <a:endParaRPr lang="en-US"/>
        </a:p>
      </dgm:t>
    </dgm:pt>
    <dgm:pt modelId="{46F57BA5-9391-496F-85E7-57A349C67F34}">
      <dgm:prSet/>
      <dgm:spPr/>
      <dgm:t>
        <a:bodyPr/>
        <a:lstStyle/>
        <a:p>
          <a:pPr>
            <a:buNone/>
          </a:pPr>
          <a:r>
            <a:rPr lang="en-US"/>
            <a:t>Dictionary</a:t>
          </a:r>
        </a:p>
      </dgm:t>
      <dgm:extLst>
        <a:ext uri="{E40237B7-FDA0-4F09-8148-C483321AD2D9}">
          <dgm14:cNvPr xmlns:dgm14="http://schemas.microsoft.com/office/drawing/2010/diagram" id="0" name="">
            <a:hlinkClick xmlns:r="http://schemas.openxmlformats.org/officeDocument/2006/relationships" r:id="rId3"/>
          </dgm14:cNvPr>
        </a:ext>
      </dgm:extLst>
    </dgm:pt>
    <dgm:pt modelId="{15778953-4E75-40F8-BBFD-8E0B98F23B93}" type="parTrans" cxnId="{CAA36EBE-AF7A-4561-AC2B-CE9911CF96CB}">
      <dgm:prSet/>
      <dgm:spPr/>
      <dgm:t>
        <a:bodyPr/>
        <a:lstStyle/>
        <a:p>
          <a:endParaRPr lang="en-US"/>
        </a:p>
      </dgm:t>
    </dgm:pt>
    <dgm:pt modelId="{38DC4E7F-4C27-4A5F-B688-46A8E27AB97C}" type="sibTrans" cxnId="{CAA36EBE-AF7A-4561-AC2B-CE9911CF96CB}">
      <dgm:prSet/>
      <dgm:spPr/>
      <dgm:t>
        <a:bodyPr/>
        <a:lstStyle/>
        <a:p>
          <a:endParaRPr lang="en-US"/>
        </a:p>
      </dgm:t>
    </dgm:pt>
    <dgm:pt modelId="{3F956FD3-241F-4AED-A101-B2649C74D85D}">
      <dgm:prSet/>
      <dgm:spPr/>
      <dgm:t>
        <a:bodyPr/>
        <a:lstStyle/>
        <a:p>
          <a:pPr>
            <a:buNone/>
          </a:pPr>
          <a:r>
            <a:rPr lang="en-US" b="0" i="0" u="none"/>
            <a:t>Ref</a:t>
          </a:r>
          <a:endParaRPr lang="en-US"/>
        </a:p>
      </dgm:t>
      <dgm:extLst>
        <a:ext uri="{E40237B7-FDA0-4F09-8148-C483321AD2D9}">
          <dgm14:cNvPr xmlns:dgm14="http://schemas.microsoft.com/office/drawing/2010/diagram" id="0" name="">
            <a:hlinkClick xmlns:r="http://schemas.openxmlformats.org/officeDocument/2006/relationships" r:id="rId4"/>
          </dgm14:cNvPr>
        </a:ext>
      </dgm:extLst>
    </dgm:pt>
    <dgm:pt modelId="{3334EF45-A492-49FF-BE03-03B0B16FF5EF}" type="parTrans" cxnId="{D88A2FE6-B7B0-4AE5-9B14-3762DAE11314}">
      <dgm:prSet/>
      <dgm:spPr/>
      <dgm:t>
        <a:bodyPr/>
        <a:lstStyle/>
        <a:p>
          <a:endParaRPr lang="en-US"/>
        </a:p>
      </dgm:t>
    </dgm:pt>
    <dgm:pt modelId="{4F5F3A06-FDBC-4AD3-9D34-D25A6E583D2C}" type="sibTrans" cxnId="{D88A2FE6-B7B0-4AE5-9B14-3762DAE11314}">
      <dgm:prSet/>
      <dgm:spPr/>
      <dgm:t>
        <a:bodyPr/>
        <a:lstStyle/>
        <a:p>
          <a:endParaRPr lang="en-US"/>
        </a:p>
      </dgm:t>
    </dgm:pt>
    <dgm:pt modelId="{CB161982-C52F-4257-BEC8-84C90E0B4ADD}">
      <dgm:prSet/>
      <dgm:spPr>
        <a:solidFill>
          <a:srgbClr val="00B0F0">
            <a:alpha val="90000"/>
          </a:srgbClr>
        </a:solidFill>
        <a:ln>
          <a:solidFill>
            <a:schemeClr val="accent1"/>
          </a:solidFill>
        </a:ln>
      </dgm:spPr>
      <dgm:t>
        <a:bodyPr/>
        <a:lstStyle/>
        <a:p>
          <a:pPr>
            <a:buNone/>
          </a:pPr>
          <a:r>
            <a:rPr lang="en-US" b="0" i="0" u="none"/>
            <a:t>Runtool</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4B318F98-E3B3-4ADB-8E75-A976179B6FA0}" type="parTrans" cxnId="{E286D1D1-5373-4C99-AC2E-4F83EF7AAAAD}">
      <dgm:prSet/>
      <dgm:spPr/>
      <dgm:t>
        <a:bodyPr/>
        <a:lstStyle/>
        <a:p>
          <a:endParaRPr lang="en-US"/>
        </a:p>
      </dgm:t>
    </dgm:pt>
    <dgm:pt modelId="{47A03F70-4D37-4F75-9D6C-AA39000A3F0B}" type="sibTrans" cxnId="{E286D1D1-5373-4C99-AC2E-4F83EF7AAAAD}">
      <dgm:prSet/>
      <dgm:spPr/>
      <dgm:t>
        <a:bodyPr/>
        <a:lstStyle/>
        <a:p>
          <a:endParaRPr lang="en-US"/>
        </a:p>
      </dgm:t>
    </dgm:pt>
    <dgm:pt modelId="{0C92DB1B-212B-452C-B933-152538CE3CCB}">
      <dgm:prSet/>
      <dgm:spPr/>
      <dgm:t>
        <a:bodyPr/>
        <a:lstStyle/>
        <a:p>
          <a:pPr>
            <a:buNone/>
          </a:pPr>
          <a:r>
            <a:rPr lang="en-US" b="0" i="0" u="none"/>
            <a:t>Phan tich_TB</a:t>
          </a:r>
          <a:endParaRPr lang="en-US"/>
        </a:p>
      </dgm:t>
      <dgm:extLst>
        <a:ext uri="{E40237B7-FDA0-4F09-8148-C483321AD2D9}">
          <dgm14:cNvPr xmlns:dgm14="http://schemas.microsoft.com/office/drawing/2010/diagram" id="0" name="">
            <a:hlinkClick xmlns:r="http://schemas.openxmlformats.org/officeDocument/2006/relationships" r:id="rId6"/>
          </dgm14:cNvPr>
        </a:ext>
      </dgm:extLst>
    </dgm:pt>
    <dgm:pt modelId="{A6016A5B-1832-481D-B18C-2AC9F7A7F4CD}" type="parTrans" cxnId="{BFA253BD-3F8A-443C-8A99-6CC92EDC0FA4}">
      <dgm:prSet/>
      <dgm:spPr/>
      <dgm:t>
        <a:bodyPr/>
        <a:lstStyle/>
        <a:p>
          <a:endParaRPr lang="en-US"/>
        </a:p>
      </dgm:t>
    </dgm:pt>
    <dgm:pt modelId="{C91EAF32-4A36-44E5-AC55-2A137817C69C}" type="sibTrans" cxnId="{BFA253BD-3F8A-443C-8A99-6CC92EDC0FA4}">
      <dgm:prSet/>
      <dgm:spPr/>
      <dgm:t>
        <a:bodyPr/>
        <a:lstStyle/>
        <a:p>
          <a:endParaRPr lang="en-US"/>
        </a:p>
      </dgm:t>
    </dgm:pt>
    <dgm:pt modelId="{51E8C798-BB82-486F-BA81-D3FDA75234A2}">
      <dgm:prSet/>
      <dgm:spPr/>
      <dgm:t>
        <a:bodyPr/>
        <a:lstStyle/>
        <a:p>
          <a:pPr>
            <a:buNone/>
          </a:pPr>
          <a:r>
            <a:rPr lang="en-US" b="0" i="0" u="none"/>
            <a:t>Phan tich_BB</a:t>
          </a:r>
          <a:endParaRPr lang="en-US"/>
        </a:p>
      </dgm:t>
      <dgm:extLst>
        <a:ext uri="{E40237B7-FDA0-4F09-8148-C483321AD2D9}">
          <dgm14:cNvPr xmlns:dgm14="http://schemas.microsoft.com/office/drawing/2010/diagram" id="0" name="">
            <a:hlinkClick xmlns:r="http://schemas.openxmlformats.org/officeDocument/2006/relationships" r:id="rId7"/>
          </dgm14:cNvPr>
        </a:ext>
      </dgm:extLst>
    </dgm:pt>
    <dgm:pt modelId="{8684C4ED-A5EB-42C7-BE48-4D38E7A0BAD7}" type="parTrans" cxnId="{61232287-D85B-4139-A8CB-7C946958075B}">
      <dgm:prSet/>
      <dgm:spPr/>
      <dgm:t>
        <a:bodyPr/>
        <a:lstStyle/>
        <a:p>
          <a:endParaRPr lang="en-US"/>
        </a:p>
      </dgm:t>
    </dgm:pt>
    <dgm:pt modelId="{ED2ADDB3-C2FB-47E2-9900-3CA107C8F2CE}" type="sibTrans" cxnId="{61232287-D85B-4139-A8CB-7C946958075B}">
      <dgm:prSet/>
      <dgm:spPr/>
      <dgm:t>
        <a:bodyPr/>
        <a:lstStyle/>
        <a:p>
          <a:endParaRPr lang="en-US"/>
        </a:p>
      </dgm:t>
    </dgm:pt>
    <dgm:pt modelId="{9DDCBCD1-F65C-4FA2-B0D8-A959D4F86EB8}">
      <dgm:prSet/>
      <dgm:spPr>
        <a:solidFill>
          <a:srgbClr val="FFC000">
            <a:alpha val="90000"/>
          </a:srgbClr>
        </a:solidFill>
      </dgm:spPr>
      <dgm:t>
        <a:bodyPr/>
        <a:lstStyle/>
        <a:p>
          <a:pPr>
            <a:buNone/>
          </a:pPr>
          <a:r>
            <a:rPr lang="en-US" b="0" i="0" u="none"/>
            <a:t>Market</a:t>
          </a:r>
          <a:endParaRPr lang="en-US"/>
        </a:p>
      </dgm:t>
      <dgm:extLst>
        <a:ext uri="{E40237B7-FDA0-4F09-8148-C483321AD2D9}">
          <dgm14:cNvPr xmlns:dgm14="http://schemas.microsoft.com/office/drawing/2010/diagram" id="0" name="">
            <a:hlinkClick xmlns:r="http://schemas.openxmlformats.org/officeDocument/2006/relationships" r:id="rId8"/>
          </dgm14:cNvPr>
        </a:ext>
      </dgm:extLst>
    </dgm:pt>
    <dgm:pt modelId="{251ED32F-664C-49CC-BA39-35FAA5D37441}" type="parTrans" cxnId="{98AD1AEC-4731-4396-9547-9928C91AF386}">
      <dgm:prSet/>
      <dgm:spPr/>
      <dgm:t>
        <a:bodyPr/>
        <a:lstStyle/>
        <a:p>
          <a:endParaRPr lang="en-US"/>
        </a:p>
      </dgm:t>
    </dgm:pt>
    <dgm:pt modelId="{8C8016B0-82AC-46FB-9D5E-61180ABF9442}" type="sibTrans" cxnId="{98AD1AEC-4731-4396-9547-9928C91AF386}">
      <dgm:prSet/>
      <dgm:spPr/>
      <dgm:t>
        <a:bodyPr/>
        <a:lstStyle/>
        <a:p>
          <a:endParaRPr lang="en-US"/>
        </a:p>
      </dgm:t>
    </dgm:pt>
    <dgm:pt modelId="{7B4F8559-0035-41BB-A1D6-9C0F59C6F00B}">
      <dgm:prSet/>
      <dgm:spPr>
        <a:solidFill>
          <a:srgbClr val="FFC000">
            <a:alpha val="90000"/>
          </a:srgbClr>
        </a:solidFill>
      </dgm:spPr>
      <dgm:t>
        <a:bodyPr/>
        <a:lstStyle/>
        <a:p>
          <a:pPr>
            <a:buNone/>
          </a:pPr>
          <a:r>
            <a:rPr lang="en-US" b="0" i="0" u="none"/>
            <a:t>Deal ps</a:t>
          </a:r>
          <a:endParaRPr lang="en-US"/>
        </a:p>
      </dgm:t>
      <dgm:extLst>
        <a:ext uri="{E40237B7-FDA0-4F09-8148-C483321AD2D9}">
          <dgm14:cNvPr xmlns:dgm14="http://schemas.microsoft.com/office/drawing/2010/diagram" id="0" name="">
            <a:hlinkClick xmlns:r="http://schemas.openxmlformats.org/officeDocument/2006/relationships" r:id="rId9"/>
          </dgm14:cNvPr>
        </a:ext>
      </dgm:extLst>
    </dgm:pt>
    <dgm:pt modelId="{406F03F4-96C7-468F-A0E8-8A43100BFB94}" type="parTrans" cxnId="{DBE7005D-D862-4E5F-A84F-BD4611F440D8}">
      <dgm:prSet/>
      <dgm:spPr/>
      <dgm:t>
        <a:bodyPr/>
        <a:lstStyle/>
        <a:p>
          <a:endParaRPr lang="en-US"/>
        </a:p>
      </dgm:t>
    </dgm:pt>
    <dgm:pt modelId="{7734CF3E-D41C-4575-811D-74504BC718E9}" type="sibTrans" cxnId="{DBE7005D-D862-4E5F-A84F-BD4611F440D8}">
      <dgm:prSet/>
      <dgm:spPr/>
      <dgm:t>
        <a:bodyPr/>
        <a:lstStyle/>
        <a:p>
          <a:endParaRPr lang="en-US"/>
        </a:p>
      </dgm:t>
    </dgm:pt>
    <dgm:pt modelId="{161034D8-B2C6-476F-87A7-1B3D3F6EF6C5}">
      <dgm:prSet/>
      <dgm:spPr>
        <a:solidFill>
          <a:srgbClr val="FFC000">
            <a:alpha val="90000"/>
          </a:srgbClr>
        </a:solidFill>
      </dgm:spPr>
      <dgm:t>
        <a:bodyPr/>
        <a:lstStyle/>
        <a:p>
          <a:pPr>
            <a:buNone/>
          </a:pPr>
          <a:r>
            <a:rPr lang="en-US" b="0" i="0" u="none"/>
            <a:t>FNRP</a:t>
          </a:r>
          <a:endParaRPr lang="en-US"/>
        </a:p>
      </dgm:t>
      <dgm:extLst>
        <a:ext uri="{E40237B7-FDA0-4F09-8148-C483321AD2D9}">
          <dgm14:cNvPr xmlns:dgm14="http://schemas.microsoft.com/office/drawing/2010/diagram" id="0" name="">
            <a:hlinkClick xmlns:r="http://schemas.openxmlformats.org/officeDocument/2006/relationships" r:id="rId10"/>
          </dgm14:cNvPr>
        </a:ext>
      </dgm:extLst>
    </dgm:pt>
    <dgm:pt modelId="{7F09D06F-4EED-495D-B9B8-7BC30B048675}" type="parTrans" cxnId="{28AB38D6-F6E3-478F-9A51-05B9B5523C5E}">
      <dgm:prSet/>
      <dgm:spPr/>
      <dgm:t>
        <a:bodyPr/>
        <a:lstStyle/>
        <a:p>
          <a:endParaRPr lang="en-US"/>
        </a:p>
      </dgm:t>
    </dgm:pt>
    <dgm:pt modelId="{FCCE45A1-2DCA-4F08-8749-9342D7061779}" type="sibTrans" cxnId="{28AB38D6-F6E3-478F-9A51-05B9B5523C5E}">
      <dgm:prSet/>
      <dgm:spPr/>
      <dgm:t>
        <a:bodyPr/>
        <a:lstStyle/>
        <a:p>
          <a:endParaRPr lang="en-US"/>
        </a:p>
      </dgm:t>
    </dgm:pt>
    <dgm:pt modelId="{68B904B5-484E-4B3A-A452-F515CCFD94BE}">
      <dgm:prSet/>
      <dgm:spPr>
        <a:solidFill>
          <a:srgbClr val="FFC000">
            <a:alpha val="90000"/>
          </a:srgbClr>
        </a:solidFill>
      </dgm:spPr>
      <dgm:t>
        <a:bodyPr/>
        <a:lstStyle/>
        <a:p>
          <a:pPr>
            <a:buNone/>
          </a:pPr>
          <a:r>
            <a:rPr lang="en-US" b="0" i="0" u="none"/>
            <a:t>RP_SEC</a:t>
          </a:r>
          <a:endParaRPr lang="en-US"/>
        </a:p>
      </dgm:t>
      <dgm:extLst>
        <a:ext uri="{E40237B7-FDA0-4F09-8148-C483321AD2D9}">
          <dgm14:cNvPr xmlns:dgm14="http://schemas.microsoft.com/office/drawing/2010/diagram" id="0" name="">
            <a:hlinkClick xmlns:r="http://schemas.openxmlformats.org/officeDocument/2006/relationships" r:id="rId11"/>
          </dgm14:cNvPr>
        </a:ext>
      </dgm:extLst>
    </dgm:pt>
    <dgm:pt modelId="{3C6C9DC6-833E-4CFE-8DF9-FDD8CFAB0373}" type="parTrans" cxnId="{10839BB2-2D3B-4F57-97F4-B4A372D952B3}">
      <dgm:prSet/>
      <dgm:spPr/>
      <dgm:t>
        <a:bodyPr/>
        <a:lstStyle/>
        <a:p>
          <a:endParaRPr lang="en-US"/>
        </a:p>
      </dgm:t>
    </dgm:pt>
    <dgm:pt modelId="{5FCB63D6-CE14-41F1-9100-6C7392249232}" type="sibTrans" cxnId="{10839BB2-2D3B-4F57-97F4-B4A372D952B3}">
      <dgm:prSet/>
      <dgm:spPr/>
      <dgm:t>
        <a:bodyPr/>
        <a:lstStyle/>
        <a:p>
          <a:endParaRPr lang="en-US"/>
        </a:p>
      </dgm:t>
    </dgm:pt>
    <dgm:pt modelId="{F258856A-B3C9-451A-8A32-1B5A1A343FAC}">
      <dgm:prSet/>
      <dgm:spPr>
        <a:solidFill>
          <a:srgbClr val="FFC000">
            <a:alpha val="90000"/>
          </a:srgbClr>
        </a:solidFill>
      </dgm:spPr>
      <dgm:t>
        <a:bodyPr/>
        <a:lstStyle/>
        <a:p>
          <a:pPr>
            <a:buNone/>
          </a:pPr>
          <a:r>
            <a:rPr lang="en-US" b="0" i="0" u="none"/>
            <a:t>His53</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FF729064-C571-4914-9D01-2133C0AAFD4E}" type="parTrans" cxnId="{10DC5283-E66D-4EFE-A847-07F0ADD01E7F}">
      <dgm:prSet/>
      <dgm:spPr/>
      <dgm:t>
        <a:bodyPr/>
        <a:lstStyle/>
        <a:p>
          <a:endParaRPr lang="en-US"/>
        </a:p>
      </dgm:t>
    </dgm:pt>
    <dgm:pt modelId="{4807A85F-7DAC-4D9C-AB6E-2BAD240B7B0B}" type="sibTrans" cxnId="{10DC5283-E66D-4EFE-A847-07F0ADD01E7F}">
      <dgm:prSet/>
      <dgm:spPr/>
      <dgm:t>
        <a:bodyPr/>
        <a:lstStyle/>
        <a:p>
          <a:endParaRPr lang="en-US"/>
        </a:p>
      </dgm:t>
    </dgm:pt>
    <dgm:pt modelId="{CC55C4BD-0DC6-4470-A35A-1AD9D21474CE}">
      <dgm:prSet/>
      <dgm:spPr>
        <a:solidFill>
          <a:srgbClr val="92D050">
            <a:alpha val="90000"/>
          </a:srgbClr>
        </a:solidFill>
      </dgm:spPr>
      <dgm:t>
        <a:bodyPr/>
        <a:lstStyle/>
        <a:p>
          <a:pPr>
            <a:buNone/>
          </a:pPr>
          <a:r>
            <a:rPr lang="en-US" b="0" i="0" u="none"/>
            <a:t>His.DataTT</a:t>
          </a:r>
          <a:endParaRPr lang="en-US"/>
        </a:p>
      </dgm:t>
      <dgm:extLst>
        <a:ext uri="{E40237B7-FDA0-4F09-8148-C483321AD2D9}">
          <dgm14:cNvPr xmlns:dgm14="http://schemas.microsoft.com/office/drawing/2010/diagram" id="0" name="">
            <a:hlinkClick xmlns:r="http://schemas.openxmlformats.org/officeDocument/2006/relationships" r:id="rId13"/>
          </dgm14:cNvPr>
        </a:ext>
      </dgm:extLst>
    </dgm:pt>
    <dgm:pt modelId="{02B3328E-FF5A-497B-A49D-113743E7D3A2}" type="parTrans" cxnId="{C510EDDD-33B7-412C-9C9A-4DC8A6A69A50}">
      <dgm:prSet/>
      <dgm:spPr/>
      <dgm:t>
        <a:bodyPr/>
        <a:lstStyle/>
        <a:p>
          <a:endParaRPr lang="en-US"/>
        </a:p>
      </dgm:t>
    </dgm:pt>
    <dgm:pt modelId="{7DBB93E6-458E-4716-B27F-C5A2E9C71B1D}" type="sibTrans" cxnId="{C510EDDD-33B7-412C-9C9A-4DC8A6A69A50}">
      <dgm:prSet/>
      <dgm:spPr/>
      <dgm:t>
        <a:bodyPr/>
        <a:lstStyle/>
        <a:p>
          <a:endParaRPr lang="en-US"/>
        </a:p>
      </dgm:t>
    </dgm:pt>
    <dgm:pt modelId="{3C230F5E-FA8E-436E-9646-FB21382CED4E}">
      <dgm:prSet/>
      <dgm:spPr>
        <a:solidFill>
          <a:srgbClr val="92D050">
            <a:alpha val="90000"/>
          </a:srgbClr>
        </a:solidFill>
      </dgm:spPr>
      <dgm:t>
        <a:bodyPr/>
        <a:lstStyle/>
        <a:p>
          <a:pPr>
            <a:buNone/>
          </a:pPr>
          <a:r>
            <a:rPr lang="en-US" b="0" i="0" u="none"/>
            <a:t>His.TB</a:t>
          </a:r>
          <a:endParaRPr lang="en-US"/>
        </a:p>
      </dgm:t>
      <dgm:extLst>
        <a:ext uri="{E40237B7-FDA0-4F09-8148-C483321AD2D9}">
          <dgm14:cNvPr xmlns:dgm14="http://schemas.microsoft.com/office/drawing/2010/diagram" id="0" name="">
            <a:hlinkClick xmlns:r="http://schemas.openxmlformats.org/officeDocument/2006/relationships" r:id="rId14"/>
          </dgm14:cNvPr>
        </a:ext>
      </dgm:extLst>
    </dgm:pt>
    <dgm:pt modelId="{A037841A-7B08-49D8-AF10-D06BBEE28A55}" type="parTrans" cxnId="{855FD6F3-CFEC-4B37-A0A0-C5CF0838D3BC}">
      <dgm:prSet/>
      <dgm:spPr/>
      <dgm:t>
        <a:bodyPr/>
        <a:lstStyle/>
        <a:p>
          <a:endParaRPr lang="en-US"/>
        </a:p>
      </dgm:t>
    </dgm:pt>
    <dgm:pt modelId="{BCBC861C-5AEF-4CD0-A3F1-99C417C2F929}" type="sibTrans" cxnId="{855FD6F3-CFEC-4B37-A0A0-C5CF0838D3BC}">
      <dgm:prSet/>
      <dgm:spPr/>
      <dgm:t>
        <a:bodyPr/>
        <a:lstStyle/>
        <a:p>
          <a:endParaRPr lang="en-US"/>
        </a:p>
      </dgm:t>
    </dgm:pt>
    <dgm:pt modelId="{32A14AE6-01E8-4CEA-9DE8-70D4AFF67D08}">
      <dgm:prSet/>
      <dgm:spPr>
        <a:solidFill>
          <a:srgbClr val="92D050">
            <a:alpha val="90000"/>
          </a:srgbClr>
        </a:solidFill>
      </dgm:spPr>
      <dgm:t>
        <a:bodyPr/>
        <a:lstStyle/>
        <a:p>
          <a:pPr>
            <a:buNone/>
          </a:pPr>
          <a:r>
            <a:rPr lang="en-US" b="0" i="0" u="none"/>
            <a:t>His.BB</a:t>
          </a:r>
          <a:endParaRPr lang="en-US"/>
        </a:p>
      </dgm:t>
      <dgm:extLst>
        <a:ext uri="{E40237B7-FDA0-4F09-8148-C483321AD2D9}">
          <dgm14:cNvPr xmlns:dgm14="http://schemas.microsoft.com/office/drawing/2010/diagram" id="0" name="">
            <a:hlinkClick xmlns:r="http://schemas.openxmlformats.org/officeDocument/2006/relationships" r:id="rId15"/>
          </dgm14:cNvPr>
        </a:ext>
      </dgm:extLst>
    </dgm:pt>
    <dgm:pt modelId="{313DF924-7614-4784-BAE0-7646FE2E64F5}" type="parTrans" cxnId="{E2C6CB97-4810-420D-A5F8-2BCF22C7C16E}">
      <dgm:prSet/>
      <dgm:spPr/>
      <dgm:t>
        <a:bodyPr/>
        <a:lstStyle/>
        <a:p>
          <a:endParaRPr lang="en-US"/>
        </a:p>
      </dgm:t>
    </dgm:pt>
    <dgm:pt modelId="{227CF4DF-5A8B-4CFC-8506-54CA9D353756}" type="sibTrans" cxnId="{E2C6CB97-4810-420D-A5F8-2BCF22C7C16E}">
      <dgm:prSet/>
      <dgm:spPr/>
      <dgm:t>
        <a:bodyPr/>
        <a:lstStyle/>
        <a:p>
          <a:endParaRPr lang="en-US"/>
        </a:p>
      </dgm:t>
    </dgm:pt>
    <dgm:pt modelId="{711B31C1-6EE8-4A19-B1C5-3BD83506549D}">
      <dgm:prSet/>
      <dgm:spPr>
        <a:solidFill>
          <a:srgbClr val="92D050">
            <a:alpha val="90000"/>
          </a:srgbClr>
        </a:solidFill>
      </dgm:spPr>
      <dgm:t>
        <a:bodyPr/>
        <a:lstStyle/>
        <a:p>
          <a:pPr>
            <a:buNone/>
          </a:pPr>
          <a:r>
            <a:rPr lang="en-US" b="0" i="0" u="none"/>
            <a:t>His.TB.SBV</a:t>
          </a:r>
          <a:endParaRPr lang="en-US"/>
        </a:p>
      </dgm:t>
      <dgm:extLst>
        <a:ext uri="{E40237B7-FDA0-4F09-8148-C483321AD2D9}">
          <dgm14:cNvPr xmlns:dgm14="http://schemas.microsoft.com/office/drawing/2010/diagram" id="0" name="">
            <a:hlinkClick xmlns:r="http://schemas.openxmlformats.org/officeDocument/2006/relationships" r:id="rId16"/>
          </dgm14:cNvPr>
        </a:ext>
      </dgm:extLst>
    </dgm:pt>
    <dgm:pt modelId="{00DAF997-9D61-402D-B418-F4E7D420EFB2}" type="parTrans" cxnId="{80340EC5-8B56-4155-B6DC-C194B5D5D795}">
      <dgm:prSet/>
      <dgm:spPr/>
      <dgm:t>
        <a:bodyPr/>
        <a:lstStyle/>
        <a:p>
          <a:endParaRPr lang="en-US"/>
        </a:p>
      </dgm:t>
    </dgm:pt>
    <dgm:pt modelId="{81502CA0-5E95-4469-B114-834A9B5CE8AF}" type="sibTrans" cxnId="{80340EC5-8B56-4155-B6DC-C194B5D5D795}">
      <dgm:prSet/>
      <dgm:spPr/>
      <dgm:t>
        <a:bodyPr/>
        <a:lstStyle/>
        <a:p>
          <a:endParaRPr lang="en-US"/>
        </a:p>
      </dgm:t>
    </dgm:pt>
    <dgm:pt modelId="{D4822A9F-2C21-4C54-9E9A-A932CB5574CB}">
      <dgm:prSet/>
      <dgm:spPr>
        <a:solidFill>
          <a:srgbClr val="92D050">
            <a:alpha val="90000"/>
          </a:srgbClr>
        </a:solidFill>
      </dgm:spPr>
      <dgm:t>
        <a:bodyPr/>
        <a:lstStyle/>
        <a:p>
          <a:pPr>
            <a:buNone/>
          </a:pPr>
          <a:r>
            <a:rPr lang="en-US" b="0" i="0" u="none"/>
            <a:t>His.BB.SBV</a:t>
          </a:r>
          <a:endParaRPr lang="en-US"/>
        </a:p>
      </dgm:t>
      <dgm:extLst>
        <a:ext uri="{E40237B7-FDA0-4F09-8148-C483321AD2D9}">
          <dgm14:cNvPr xmlns:dgm14="http://schemas.microsoft.com/office/drawing/2010/diagram" id="0" name="">
            <a:hlinkClick xmlns:r="http://schemas.openxmlformats.org/officeDocument/2006/relationships" r:id="rId17"/>
          </dgm14:cNvPr>
        </a:ext>
      </dgm:extLst>
    </dgm:pt>
    <dgm:pt modelId="{EEB866F6-6585-49FC-B6A6-38DFFFCE5620}" type="parTrans" cxnId="{D47A931C-2A35-4D36-8C04-BEA2AF4958AB}">
      <dgm:prSet/>
      <dgm:spPr/>
      <dgm:t>
        <a:bodyPr/>
        <a:lstStyle/>
        <a:p>
          <a:endParaRPr lang="en-US"/>
        </a:p>
      </dgm:t>
    </dgm:pt>
    <dgm:pt modelId="{111AA134-38F0-4F97-AE7C-45BB85CC5F70}" type="sibTrans" cxnId="{D47A931C-2A35-4D36-8C04-BEA2AF4958AB}">
      <dgm:prSet/>
      <dgm:spPr/>
      <dgm:t>
        <a:bodyPr/>
        <a:lstStyle/>
        <a:p>
          <a:endParaRPr lang="en-US"/>
        </a:p>
      </dgm:t>
    </dgm:pt>
    <dgm:pt modelId="{56CE0A71-B477-4367-B82D-B1A2200334B9}">
      <dgm:prSet/>
      <dgm:spPr>
        <a:solidFill>
          <a:srgbClr val="92D050">
            <a:alpha val="90000"/>
          </a:srgbClr>
        </a:solidFill>
      </dgm:spPr>
      <dgm:t>
        <a:bodyPr/>
        <a:lstStyle/>
        <a:p>
          <a:pPr>
            <a:buNone/>
          </a:pPr>
          <a:r>
            <a:rPr lang="en-US" b="0" i="0" u="none"/>
            <a:t>His.Other</a:t>
          </a:r>
          <a:endParaRPr lang="en-US"/>
        </a:p>
      </dgm:t>
      <dgm:extLst>
        <a:ext uri="{E40237B7-FDA0-4F09-8148-C483321AD2D9}">
          <dgm14:cNvPr xmlns:dgm14="http://schemas.microsoft.com/office/drawing/2010/diagram" id="0" name="">
            <a:hlinkClick xmlns:r="http://schemas.openxmlformats.org/officeDocument/2006/relationships" r:id="rId18"/>
          </dgm14:cNvPr>
        </a:ext>
      </dgm:extLst>
    </dgm:pt>
    <dgm:pt modelId="{801B7875-3691-445E-99EA-FAFB3D134F1C}" type="parTrans" cxnId="{862AF39C-A0CE-401F-A7B9-FBF159990F2D}">
      <dgm:prSet/>
      <dgm:spPr/>
      <dgm:t>
        <a:bodyPr/>
        <a:lstStyle/>
        <a:p>
          <a:endParaRPr lang="en-US"/>
        </a:p>
      </dgm:t>
    </dgm:pt>
    <dgm:pt modelId="{F720BFBA-2EDD-447F-AAA7-7E428278458C}" type="sibTrans" cxnId="{862AF39C-A0CE-401F-A7B9-FBF159990F2D}">
      <dgm:prSet/>
      <dgm:spPr/>
      <dgm:t>
        <a:bodyPr/>
        <a:lstStyle/>
        <a:p>
          <a:endParaRPr lang="en-US"/>
        </a:p>
      </dgm:t>
    </dgm:pt>
    <dgm:pt modelId="{C5A92F8E-E367-43E5-A993-45F421AADA61}">
      <dgm:prSet/>
      <dgm:spPr>
        <a:solidFill>
          <a:srgbClr val="7030A0">
            <a:alpha val="90000"/>
          </a:srgbClr>
        </a:solidFill>
      </dgm:spPr>
      <dgm:t>
        <a:bodyPr/>
        <a:lstStyle/>
        <a:p>
          <a:pPr>
            <a:buNone/>
          </a:pPr>
          <a:r>
            <a:rPr lang="en-US" b="0" i="0" u="none"/>
            <a:t>No PT</a:t>
          </a:r>
          <a:endParaRPr lang="en-US"/>
        </a:p>
      </dgm:t>
      <dgm:extLst>
        <a:ext uri="{E40237B7-FDA0-4F09-8148-C483321AD2D9}">
          <dgm14:cNvPr xmlns:dgm14="http://schemas.microsoft.com/office/drawing/2010/diagram" id="0" name="">
            <a:hlinkClick xmlns:r="http://schemas.openxmlformats.org/officeDocument/2006/relationships" r:id="rId19"/>
          </dgm14:cNvPr>
        </a:ext>
      </dgm:extLst>
    </dgm:pt>
    <dgm:pt modelId="{2AE196B6-2AF6-4595-BFAF-23115B0345C0}" type="parTrans" cxnId="{0AF58F57-C485-4DFF-81AA-4576271BC1EE}">
      <dgm:prSet/>
      <dgm:spPr/>
      <dgm:t>
        <a:bodyPr/>
        <a:lstStyle/>
        <a:p>
          <a:endParaRPr lang="en-US"/>
        </a:p>
      </dgm:t>
    </dgm:pt>
    <dgm:pt modelId="{85EC58FD-32BA-4853-AA88-2B8B9A67F0DE}" type="sibTrans" cxnId="{0AF58F57-C485-4DFF-81AA-4576271BC1EE}">
      <dgm:prSet/>
      <dgm:spPr/>
      <dgm:t>
        <a:bodyPr/>
        <a:lstStyle/>
        <a:p>
          <a:endParaRPr lang="en-US"/>
        </a:p>
      </dgm:t>
    </dgm:pt>
    <dgm:pt modelId="{1B81FA70-0E7E-4B27-82BE-ED965EAE7D1E}">
      <dgm:prSet/>
      <dgm:spPr/>
      <dgm:t>
        <a:bodyPr/>
        <a:lstStyle/>
        <a:p>
          <a:pPr>
            <a:buNone/>
          </a:pPr>
          <a:r>
            <a:rPr lang="en-US"/>
            <a:t>Input</a:t>
          </a:r>
        </a:p>
      </dgm:t>
    </dgm:pt>
    <dgm:pt modelId="{4F1A7BC0-C0FF-459A-B1A5-F3465A2E25B1}" type="parTrans" cxnId="{5C62210B-10E2-4A6A-8BA7-DF7047743967}">
      <dgm:prSet/>
      <dgm:spPr/>
      <dgm:t>
        <a:bodyPr/>
        <a:lstStyle/>
        <a:p>
          <a:endParaRPr lang="en-US"/>
        </a:p>
      </dgm:t>
    </dgm:pt>
    <dgm:pt modelId="{CC47A4EB-DF64-4362-9CFC-5C295973DBC4}" type="sibTrans" cxnId="{5C62210B-10E2-4A6A-8BA7-DF7047743967}">
      <dgm:prSet/>
      <dgm:spPr/>
      <dgm:t>
        <a:bodyPr/>
        <a:lstStyle/>
        <a:p>
          <a:endParaRPr lang="en-US"/>
        </a:p>
      </dgm:t>
    </dgm:pt>
    <dgm:pt modelId="{C449E764-BE67-4AFD-98A5-0867AC77A9EE}">
      <dgm:prSet/>
      <dgm:spPr/>
      <dgm:t>
        <a:bodyPr/>
        <a:lstStyle/>
        <a:p>
          <a:pPr>
            <a:buNone/>
          </a:pPr>
          <a:r>
            <a:rPr lang="en-US"/>
            <a:t>Lưu DB 53</a:t>
          </a:r>
        </a:p>
      </dgm:t>
    </dgm:pt>
    <dgm:pt modelId="{FA9FFB99-8405-41B3-B8EF-52DA861F0FAB}" type="parTrans" cxnId="{71DF570F-FBC0-457D-BD1E-98761E1B8D5D}">
      <dgm:prSet/>
      <dgm:spPr/>
      <dgm:t>
        <a:bodyPr/>
        <a:lstStyle/>
        <a:p>
          <a:endParaRPr lang="en-US"/>
        </a:p>
      </dgm:t>
    </dgm:pt>
    <dgm:pt modelId="{163094D1-6814-4AB5-8172-CAD525A79E1E}" type="sibTrans" cxnId="{71DF570F-FBC0-457D-BD1E-98761E1B8D5D}">
      <dgm:prSet/>
      <dgm:spPr/>
      <dgm:t>
        <a:bodyPr/>
        <a:lstStyle/>
        <a:p>
          <a:endParaRPr lang="en-US"/>
        </a:p>
      </dgm:t>
    </dgm:pt>
    <dgm:pt modelId="{374EB698-C811-4789-8192-69E22BA5E726}">
      <dgm:prSet/>
      <dgm:spPr/>
      <dgm:t>
        <a:bodyPr/>
        <a:lstStyle/>
        <a:p>
          <a:pPr>
            <a:buNone/>
          </a:pPr>
          <a:r>
            <a:rPr lang="en-US"/>
            <a:t>Vận hành</a:t>
          </a:r>
        </a:p>
      </dgm:t>
    </dgm:pt>
    <dgm:pt modelId="{B84DBA4E-132C-4FF9-B9CE-AA47BE82BE26}" type="parTrans" cxnId="{9FEAD290-E0FA-418F-8A85-4D8E41C48B68}">
      <dgm:prSet/>
      <dgm:spPr/>
      <dgm:t>
        <a:bodyPr/>
        <a:lstStyle/>
        <a:p>
          <a:endParaRPr lang="en-US"/>
        </a:p>
      </dgm:t>
    </dgm:pt>
    <dgm:pt modelId="{C82D28FC-594B-4991-AD98-2BDCEA66BDA1}" type="sibTrans" cxnId="{9FEAD290-E0FA-418F-8A85-4D8E41C48B68}">
      <dgm:prSet/>
      <dgm:spPr/>
      <dgm:t>
        <a:bodyPr/>
        <a:lstStyle/>
        <a:p>
          <a:endParaRPr lang="en-US"/>
        </a:p>
      </dgm:t>
    </dgm:pt>
    <dgm:pt modelId="{1EBC937D-C43A-4C5D-B700-B9CB18E493BB}">
      <dgm:prSet/>
      <dgm:spPr/>
      <dgm:t>
        <a:bodyPr/>
        <a:lstStyle/>
        <a:p>
          <a:pPr>
            <a:buNone/>
          </a:pPr>
          <a:r>
            <a:rPr lang="en-US" b="0" i="0" u="none"/>
            <a:t>VaR senerio</a:t>
          </a:r>
          <a:endParaRPr lang="en-US"/>
        </a:p>
      </dgm:t>
      <dgm:extLst>
        <a:ext uri="{E40237B7-FDA0-4F09-8148-C483321AD2D9}">
          <dgm14:cNvPr xmlns:dgm14="http://schemas.microsoft.com/office/drawing/2010/diagram" id="0" name="">
            <a:hlinkClick xmlns:r="http://schemas.openxmlformats.org/officeDocument/2006/relationships" r:id="rId20"/>
          </dgm14:cNvPr>
        </a:ext>
      </dgm:extLst>
    </dgm:pt>
    <dgm:pt modelId="{520CBD0E-C051-4CE6-9131-0128C79E861E}" type="parTrans" cxnId="{152D636B-BB48-40D6-88C2-80BDFC996092}">
      <dgm:prSet/>
      <dgm:spPr/>
      <dgm:t>
        <a:bodyPr/>
        <a:lstStyle/>
        <a:p>
          <a:endParaRPr lang="en-US"/>
        </a:p>
      </dgm:t>
    </dgm:pt>
    <dgm:pt modelId="{1F29ED4D-7F38-4CEE-8647-3E08599C27D3}" type="sibTrans" cxnId="{152D636B-BB48-40D6-88C2-80BDFC996092}">
      <dgm:prSet/>
      <dgm:spPr/>
      <dgm:t>
        <a:bodyPr/>
        <a:lstStyle/>
        <a:p>
          <a:endParaRPr lang="en-US"/>
        </a:p>
      </dgm:t>
    </dgm:pt>
    <dgm:pt modelId="{45C2F229-ACBD-4EBD-9F3D-5C501CA4A59E}">
      <dgm:prSet/>
      <dgm:spPr/>
      <dgm:t>
        <a:bodyPr/>
        <a:lstStyle/>
        <a:p>
          <a:pPr>
            <a:buNone/>
          </a:pPr>
          <a:r>
            <a:rPr lang="en-US" b="0" i="0" u="none"/>
            <a:t>Yield 1Y</a:t>
          </a:r>
          <a:endParaRPr lang="en-US"/>
        </a:p>
      </dgm:t>
      <dgm:extLst>
        <a:ext uri="{E40237B7-FDA0-4F09-8148-C483321AD2D9}">
          <dgm14:cNvPr xmlns:dgm14="http://schemas.microsoft.com/office/drawing/2010/diagram" id="0" name="">
            <a:hlinkClick xmlns:r="http://schemas.openxmlformats.org/officeDocument/2006/relationships" r:id="rId21"/>
          </dgm14:cNvPr>
        </a:ext>
      </dgm:extLst>
    </dgm:pt>
    <dgm:pt modelId="{26431A40-0F68-4E3E-8031-386AC641C1CE}" type="parTrans" cxnId="{6BE057CE-5FFC-4F0A-9D1D-77782DBCF3BA}">
      <dgm:prSet/>
      <dgm:spPr/>
      <dgm:t>
        <a:bodyPr/>
        <a:lstStyle/>
        <a:p>
          <a:endParaRPr lang="en-US"/>
        </a:p>
      </dgm:t>
    </dgm:pt>
    <dgm:pt modelId="{797963A1-F99E-4CD3-AF86-AB2ABB7A1561}" type="sibTrans" cxnId="{6BE057CE-5FFC-4F0A-9D1D-77782DBCF3BA}">
      <dgm:prSet/>
      <dgm:spPr/>
      <dgm:t>
        <a:bodyPr/>
        <a:lstStyle/>
        <a:p>
          <a:endParaRPr lang="en-US"/>
        </a:p>
      </dgm:t>
    </dgm:pt>
    <dgm:pt modelId="{41B9F105-D670-40B8-85BD-EFEA3578FFDC}">
      <dgm:prSet/>
      <dgm:spPr/>
      <dgm:t>
        <a:bodyPr/>
        <a:lstStyle/>
        <a:p>
          <a:pPr>
            <a:buNone/>
          </a:pPr>
          <a:r>
            <a:rPr lang="en-US"/>
            <a:t>BS</a:t>
          </a:r>
        </a:p>
      </dgm:t>
      <dgm:extLst>
        <a:ext uri="{E40237B7-FDA0-4F09-8148-C483321AD2D9}">
          <dgm14:cNvPr xmlns:dgm14="http://schemas.microsoft.com/office/drawing/2010/diagram" id="0" name="">
            <a:hlinkClick xmlns:r="http://schemas.openxmlformats.org/officeDocument/2006/relationships" r:id="rId22"/>
          </dgm14:cNvPr>
        </a:ext>
      </dgm:extLst>
    </dgm:pt>
    <dgm:pt modelId="{E40BC173-B4F8-47C4-969E-2ED2C3544017}" type="parTrans" cxnId="{FFE9A5B0-6EF0-466F-952C-0CC6C84FB174}">
      <dgm:prSet/>
      <dgm:spPr/>
      <dgm:t>
        <a:bodyPr/>
        <a:lstStyle/>
        <a:p>
          <a:endParaRPr lang="en-US"/>
        </a:p>
      </dgm:t>
    </dgm:pt>
    <dgm:pt modelId="{A6C6E42B-C99F-4EB0-A2EB-34E79DBBB20E}" type="sibTrans" cxnId="{FFE9A5B0-6EF0-466F-952C-0CC6C84FB174}">
      <dgm:prSet/>
      <dgm:spPr/>
      <dgm:t>
        <a:bodyPr/>
        <a:lstStyle/>
        <a:p>
          <a:endParaRPr lang="en-US"/>
        </a:p>
      </dgm:t>
    </dgm:pt>
    <dgm:pt modelId="{D682876A-BE7B-437F-BF1E-D87A1092A030}">
      <dgm:prSet/>
      <dgm:spPr/>
      <dgm:t>
        <a:bodyPr/>
        <a:lstStyle/>
        <a:p>
          <a:pPr>
            <a:buNone/>
          </a:pPr>
          <a:r>
            <a:rPr lang="en-US"/>
            <a:t>Tính toán &amp; phân tích</a:t>
          </a:r>
        </a:p>
      </dgm:t>
    </dgm:pt>
    <dgm:pt modelId="{4BEEC0CE-D4F6-43EE-AB0D-BE4BC56515CF}" type="sibTrans" cxnId="{FAA6386F-550D-481D-8072-F1B270B70C0D}">
      <dgm:prSet/>
      <dgm:spPr/>
      <dgm:t>
        <a:bodyPr/>
        <a:lstStyle/>
        <a:p>
          <a:endParaRPr lang="en-US"/>
        </a:p>
      </dgm:t>
    </dgm:pt>
    <dgm:pt modelId="{5D885627-3ABC-4DDA-985C-38D8F18583D8}" type="parTrans" cxnId="{FAA6386F-550D-481D-8072-F1B270B70C0D}">
      <dgm:prSet/>
      <dgm:spPr/>
      <dgm:t>
        <a:bodyPr/>
        <a:lstStyle/>
        <a:p>
          <a:endParaRPr lang="en-US"/>
        </a:p>
      </dgm:t>
    </dgm:pt>
    <dgm:pt modelId="{65495768-CAF8-445F-BA45-A7E35A60201E}">
      <dgm:prSet/>
      <dgm:spPr/>
      <dgm:t>
        <a:bodyPr/>
        <a:lstStyle/>
        <a:p>
          <a:pPr>
            <a:buNone/>
          </a:pPr>
          <a:r>
            <a:rPr lang="en-US"/>
            <a:t>Scripts</a:t>
          </a:r>
        </a:p>
      </dgm:t>
      <dgm:extLst>
        <a:ext uri="{E40237B7-FDA0-4F09-8148-C483321AD2D9}">
          <dgm14:cNvPr xmlns:dgm14="http://schemas.microsoft.com/office/drawing/2010/diagram" id="0" name="">
            <a:hlinkClick xmlns:r="http://schemas.openxmlformats.org/officeDocument/2006/relationships" r:id="rId23"/>
          </dgm14:cNvPr>
        </a:ext>
      </dgm:extLst>
    </dgm:pt>
    <dgm:pt modelId="{5E96F9B6-9F9C-4652-BC82-08E4EC0BB6A2}" type="parTrans" cxnId="{9F413A24-5705-4947-9D36-0F769BEE0520}">
      <dgm:prSet/>
      <dgm:spPr/>
      <dgm:t>
        <a:bodyPr/>
        <a:lstStyle/>
        <a:p>
          <a:endParaRPr lang="en-US"/>
        </a:p>
      </dgm:t>
    </dgm:pt>
    <dgm:pt modelId="{96BF8E6F-9312-4A55-A153-2EF9A1F8D3D5}" type="sibTrans" cxnId="{9F413A24-5705-4947-9D36-0F769BEE0520}">
      <dgm:prSet/>
      <dgm:spPr/>
      <dgm:t>
        <a:bodyPr/>
        <a:lstStyle/>
        <a:p>
          <a:endParaRPr lang="en-US"/>
        </a:p>
      </dgm:t>
    </dgm:pt>
    <dgm:pt modelId="{30FEF70D-789A-4543-890E-4F2806270DD4}">
      <dgm:prSet/>
      <dgm:spPr>
        <a:solidFill>
          <a:srgbClr val="00B0F0">
            <a:alpha val="90000"/>
          </a:srgbClr>
        </a:solidFill>
      </dgm:spPr>
      <dgm:t>
        <a:bodyPr/>
        <a:lstStyle/>
        <a:p>
          <a:pPr>
            <a:buNone/>
          </a:pPr>
          <a:r>
            <a:rPr lang="en-US" b="0" i="0" u="none"/>
            <a:t>Double check</a:t>
          </a:r>
          <a:endParaRPr lang="en-US"/>
        </a:p>
      </dgm:t>
      <dgm:extLst>
        <a:ext uri="{E40237B7-FDA0-4F09-8148-C483321AD2D9}">
          <dgm14:cNvPr xmlns:dgm14="http://schemas.microsoft.com/office/drawing/2010/diagram" id="0" name="">
            <a:hlinkClick xmlns:r="http://schemas.openxmlformats.org/officeDocument/2006/relationships" r:id="rId5"/>
          </dgm14:cNvPr>
        </a:ext>
      </dgm:extLst>
    </dgm:pt>
    <dgm:pt modelId="{5B4369EF-EBB1-440A-8A69-C2FA6711804F}" type="parTrans" cxnId="{4FF7C0FB-4145-4A10-A81F-00A1A4C156FC}">
      <dgm:prSet/>
      <dgm:spPr/>
      <dgm:t>
        <a:bodyPr/>
        <a:lstStyle/>
        <a:p>
          <a:endParaRPr lang="en-US"/>
        </a:p>
      </dgm:t>
    </dgm:pt>
    <dgm:pt modelId="{74CB997E-B62F-46B8-9A14-C9C0BDF71069}" type="sibTrans" cxnId="{4FF7C0FB-4145-4A10-A81F-00A1A4C156FC}">
      <dgm:prSet/>
      <dgm:spPr/>
      <dgm:t>
        <a:bodyPr/>
        <a:lstStyle/>
        <a:p>
          <a:endParaRPr lang="en-US"/>
        </a:p>
      </dgm:t>
    </dgm:pt>
    <dgm:pt modelId="{1E3F0832-B66E-4870-B9F2-126F3D7C1575}">
      <dgm:prSet/>
      <dgm:spPr>
        <a:solidFill>
          <a:srgbClr val="FFC000">
            <a:alpha val="90000"/>
          </a:srgbClr>
        </a:solidFill>
      </dgm:spPr>
      <dgm:t>
        <a:bodyPr/>
        <a:lstStyle/>
        <a:p>
          <a:pPr>
            <a:buNone/>
          </a:pPr>
          <a:r>
            <a:rPr lang="en-US" b="0" i="0" u="none"/>
            <a:t>VaR</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5A3CBD24-EB72-49DB-AB4E-83950801DEEC}" type="parTrans" cxnId="{7625B923-DFF1-4B10-A3A0-BAA58D6922F3}">
      <dgm:prSet/>
      <dgm:spPr/>
      <dgm:t>
        <a:bodyPr/>
        <a:lstStyle/>
        <a:p>
          <a:endParaRPr lang="en-US"/>
        </a:p>
      </dgm:t>
    </dgm:pt>
    <dgm:pt modelId="{D30FC081-05DA-4081-9800-ACF6391E6B3C}" type="sibTrans" cxnId="{7625B923-DFF1-4B10-A3A0-BAA58D6922F3}">
      <dgm:prSet/>
      <dgm:spPr/>
      <dgm:t>
        <a:bodyPr/>
        <a:lstStyle/>
        <a:p>
          <a:endParaRPr lang="en-US"/>
        </a:p>
      </dgm:t>
    </dgm:pt>
    <dgm:pt modelId="{EC5AD486-DFD7-4EF8-8552-8C1C30391823}">
      <dgm:prSet/>
      <dgm:spPr>
        <a:solidFill>
          <a:srgbClr val="FFC000">
            <a:alpha val="90000"/>
          </a:srgbClr>
        </a:solidFill>
      </dgm:spPr>
      <dgm:t>
        <a:bodyPr/>
        <a:lstStyle/>
        <a:p>
          <a:pPr>
            <a:buNone/>
          </a:pPr>
          <a:r>
            <a:rPr lang="en-US" b="0" i="0" u="none"/>
            <a:t>Funding</a:t>
          </a:r>
          <a:endParaRPr lang="en-US"/>
        </a:p>
      </dgm:t>
      <dgm:extLst>
        <a:ext uri="{E40237B7-FDA0-4F09-8148-C483321AD2D9}">
          <dgm14:cNvPr xmlns:dgm14="http://schemas.microsoft.com/office/drawing/2010/diagram" id="0" name="">
            <a:hlinkClick xmlns:r="http://schemas.openxmlformats.org/officeDocument/2006/relationships" r:id="rId12"/>
          </dgm14:cNvPr>
        </a:ext>
      </dgm:extLst>
    </dgm:pt>
    <dgm:pt modelId="{425B6B2C-4192-43D6-A9E5-E0F348E27ED3}" type="parTrans" cxnId="{F1C64E13-C140-4A9B-9A41-DD71B220F481}">
      <dgm:prSet/>
      <dgm:spPr/>
      <dgm:t>
        <a:bodyPr/>
        <a:lstStyle/>
        <a:p>
          <a:endParaRPr lang="en-US"/>
        </a:p>
      </dgm:t>
    </dgm:pt>
    <dgm:pt modelId="{7CA4A9C6-4F68-40DA-897C-6423F9A9019F}" type="sibTrans" cxnId="{F1C64E13-C140-4A9B-9A41-DD71B220F481}">
      <dgm:prSet/>
      <dgm:spPr/>
      <dgm:t>
        <a:bodyPr/>
        <a:lstStyle/>
        <a:p>
          <a:endParaRPr lang="en-US"/>
        </a:p>
      </dgm:t>
    </dgm:pt>
    <dgm:pt modelId="{05D8A89F-F509-4A20-8AD6-550B4F3A72D6}">
      <dgm:prSet/>
      <dgm:spPr>
        <a:solidFill>
          <a:schemeClr val="bg1">
            <a:lumMod val="65000"/>
            <a:alpha val="90000"/>
          </a:schemeClr>
        </a:solidFill>
      </dgm:spPr>
      <dgm:t>
        <a:bodyPr/>
        <a:lstStyle/>
        <a:p>
          <a:pPr>
            <a:buNone/>
          </a:pPr>
          <a:r>
            <a:rPr lang="en-US"/>
            <a:t>Giám sát bất thường</a:t>
          </a:r>
        </a:p>
      </dgm:t>
      <dgm:extLst>
        <a:ext uri="{E40237B7-FDA0-4F09-8148-C483321AD2D9}">
          <dgm14:cNvPr xmlns:dgm14="http://schemas.microsoft.com/office/drawing/2010/diagram" id="0" name="">
            <a:hlinkClick xmlns:r="http://schemas.openxmlformats.org/officeDocument/2006/relationships" r:id="rId7"/>
          </dgm14:cNvPr>
        </a:ext>
      </dgm:extLst>
    </dgm:pt>
    <dgm:pt modelId="{9E93BA94-1383-47CF-99C3-75A3A68A7140}" type="parTrans" cxnId="{87715C04-F001-42E4-A9C4-05E6E8E09629}">
      <dgm:prSet/>
      <dgm:spPr/>
      <dgm:t>
        <a:bodyPr/>
        <a:lstStyle/>
        <a:p>
          <a:endParaRPr lang="en-US"/>
        </a:p>
      </dgm:t>
    </dgm:pt>
    <dgm:pt modelId="{3DB2E377-30D7-45CD-9AC1-B98351A7741B}" type="sibTrans" cxnId="{87715C04-F001-42E4-A9C4-05E6E8E09629}">
      <dgm:prSet/>
      <dgm:spPr/>
      <dgm:t>
        <a:bodyPr/>
        <a:lstStyle/>
        <a:p>
          <a:endParaRPr lang="en-US"/>
        </a:p>
      </dgm:t>
    </dgm:pt>
    <dgm:pt modelId="{DB288A6D-2E74-4061-B279-B30794FD705C}" type="pres">
      <dgm:prSet presAssocID="{88B704D5-E6B3-4FCF-A8ED-2FAD0831D3E2}" presName="diagram" presStyleCnt="0">
        <dgm:presLayoutVars>
          <dgm:chPref val="1"/>
          <dgm:dir/>
          <dgm:animOne val="branch"/>
          <dgm:animLvl val="lvl"/>
          <dgm:resizeHandles/>
        </dgm:presLayoutVars>
      </dgm:prSet>
      <dgm:spPr/>
    </dgm:pt>
    <dgm:pt modelId="{871E772D-E73C-4EDD-9900-302E6AD7466F}" type="pres">
      <dgm:prSet presAssocID="{374EB698-C811-4789-8192-69E22BA5E726}" presName="root" presStyleCnt="0"/>
      <dgm:spPr/>
    </dgm:pt>
    <dgm:pt modelId="{060A84A6-0AD5-4748-967A-20DBBB6CD887}" type="pres">
      <dgm:prSet presAssocID="{374EB698-C811-4789-8192-69E22BA5E726}" presName="rootComposite" presStyleCnt="0"/>
      <dgm:spPr/>
    </dgm:pt>
    <dgm:pt modelId="{2AD8B9CB-6CF6-45DE-BC18-7C634ACF71BF}" type="pres">
      <dgm:prSet presAssocID="{374EB698-C811-4789-8192-69E22BA5E726}" presName="rootText" presStyleLbl="node1" presStyleIdx="0" presStyleCnt="4"/>
      <dgm:spPr/>
    </dgm:pt>
    <dgm:pt modelId="{83BA1D82-4385-4302-A33F-28956D8CB1D5}" type="pres">
      <dgm:prSet presAssocID="{374EB698-C811-4789-8192-69E22BA5E726}" presName="rootConnector" presStyleLbl="node1" presStyleIdx="0" presStyleCnt="4"/>
      <dgm:spPr/>
    </dgm:pt>
    <dgm:pt modelId="{F296D1DC-58E2-46C2-8488-63AEA99FAAE8}" type="pres">
      <dgm:prSet presAssocID="{374EB698-C811-4789-8192-69E22BA5E726}" presName="childShape" presStyleCnt="0"/>
      <dgm:spPr/>
    </dgm:pt>
    <dgm:pt modelId="{0349519F-80A2-4CAE-B9C4-275E405C682B}" type="pres">
      <dgm:prSet presAssocID="{5DE141D1-CD18-41A5-BED7-FAEC60785ADF}" presName="Name13" presStyleLbl="parChTrans1D2" presStyleIdx="0" presStyleCnt="27"/>
      <dgm:spPr/>
    </dgm:pt>
    <dgm:pt modelId="{F69EAD72-388F-4D58-B743-5762A7C9C682}" type="pres">
      <dgm:prSet presAssocID="{4AE248EF-C770-492F-A9E9-79AC765C23DC}" presName="childText" presStyleLbl="bgAcc1" presStyleIdx="0" presStyleCnt="27">
        <dgm:presLayoutVars>
          <dgm:bulletEnabled val="1"/>
        </dgm:presLayoutVars>
      </dgm:prSet>
      <dgm:spPr/>
    </dgm:pt>
    <dgm:pt modelId="{F0DD93FA-1FA9-4E7C-B3C2-DA13854B631D}" type="pres">
      <dgm:prSet presAssocID="{2C675E3B-1585-4E17-B32D-A7BBB3399A2B}" presName="Name13" presStyleLbl="parChTrans1D2" presStyleIdx="1" presStyleCnt="27"/>
      <dgm:spPr/>
    </dgm:pt>
    <dgm:pt modelId="{0C4C0EAB-1812-4AED-A68B-3C167D0ABD24}" type="pres">
      <dgm:prSet presAssocID="{39ABD42E-01FC-4643-BE9D-C5D42A8D8204}" presName="childText" presStyleLbl="bgAcc1" presStyleIdx="1" presStyleCnt="27">
        <dgm:presLayoutVars>
          <dgm:bulletEnabled val="1"/>
        </dgm:presLayoutVars>
      </dgm:prSet>
      <dgm:spPr/>
    </dgm:pt>
    <dgm:pt modelId="{533318D9-3CC7-4350-AA2A-C2D2EC182E84}" type="pres">
      <dgm:prSet presAssocID="{15778953-4E75-40F8-BBFD-8E0B98F23B93}" presName="Name13" presStyleLbl="parChTrans1D2" presStyleIdx="2" presStyleCnt="27"/>
      <dgm:spPr/>
    </dgm:pt>
    <dgm:pt modelId="{87A2AE9D-DB43-4D3C-9192-DA1F99423210}" type="pres">
      <dgm:prSet presAssocID="{46F57BA5-9391-496F-85E7-57A349C67F34}" presName="childText" presStyleLbl="bgAcc1" presStyleIdx="2" presStyleCnt="27">
        <dgm:presLayoutVars>
          <dgm:bulletEnabled val="1"/>
        </dgm:presLayoutVars>
      </dgm:prSet>
      <dgm:spPr/>
    </dgm:pt>
    <dgm:pt modelId="{D68B4460-E469-4277-BCEC-0F0F40C5BC8D}" type="pres">
      <dgm:prSet presAssocID="{3334EF45-A492-49FF-BE03-03B0B16FF5EF}" presName="Name13" presStyleLbl="parChTrans1D2" presStyleIdx="3" presStyleCnt="27"/>
      <dgm:spPr/>
    </dgm:pt>
    <dgm:pt modelId="{FFEEAB04-4073-4F60-B495-3A9BB97ABF0C}" type="pres">
      <dgm:prSet presAssocID="{3F956FD3-241F-4AED-A101-B2649C74D85D}" presName="childText" presStyleLbl="bgAcc1" presStyleIdx="3" presStyleCnt="27">
        <dgm:presLayoutVars>
          <dgm:bulletEnabled val="1"/>
        </dgm:presLayoutVars>
      </dgm:prSet>
      <dgm:spPr/>
    </dgm:pt>
    <dgm:pt modelId="{877F3D60-270C-4FE9-84B3-DB90E93DA4B1}" type="pres">
      <dgm:prSet presAssocID="{5E96F9B6-9F9C-4652-BC82-08E4EC0BB6A2}" presName="Name13" presStyleLbl="parChTrans1D2" presStyleIdx="4" presStyleCnt="27"/>
      <dgm:spPr/>
    </dgm:pt>
    <dgm:pt modelId="{41912FCC-7D9B-42EC-AE74-60DE313DA241}" type="pres">
      <dgm:prSet presAssocID="{65495768-CAF8-445F-BA45-A7E35A60201E}" presName="childText" presStyleLbl="bgAcc1" presStyleIdx="4" presStyleCnt="27">
        <dgm:presLayoutVars>
          <dgm:bulletEnabled val="1"/>
        </dgm:presLayoutVars>
      </dgm:prSet>
      <dgm:spPr/>
    </dgm:pt>
    <dgm:pt modelId="{AAB96236-DBB8-4F89-B7F3-574B80603870}" type="pres">
      <dgm:prSet presAssocID="{4B318F98-E3B3-4ADB-8E75-A976179B6FA0}" presName="Name13" presStyleLbl="parChTrans1D2" presStyleIdx="5" presStyleCnt="27"/>
      <dgm:spPr/>
    </dgm:pt>
    <dgm:pt modelId="{FDCA1151-9290-4505-9158-0093A932E248}" type="pres">
      <dgm:prSet presAssocID="{CB161982-C52F-4257-BEC8-84C90E0B4ADD}" presName="childText" presStyleLbl="bgAcc1" presStyleIdx="5" presStyleCnt="27">
        <dgm:presLayoutVars>
          <dgm:bulletEnabled val="1"/>
        </dgm:presLayoutVars>
      </dgm:prSet>
      <dgm:spPr/>
    </dgm:pt>
    <dgm:pt modelId="{95A19D8E-0463-4AD1-96DF-6ED48126CCB6}" type="pres">
      <dgm:prSet presAssocID="{5B4369EF-EBB1-440A-8A69-C2FA6711804F}" presName="Name13" presStyleLbl="parChTrans1D2" presStyleIdx="6" presStyleCnt="27"/>
      <dgm:spPr/>
    </dgm:pt>
    <dgm:pt modelId="{7B7C720E-C4F9-46A9-8AA6-6230CAAEDCD5}" type="pres">
      <dgm:prSet presAssocID="{30FEF70D-789A-4543-890E-4F2806270DD4}" presName="childText" presStyleLbl="bgAcc1" presStyleIdx="6" presStyleCnt="27">
        <dgm:presLayoutVars>
          <dgm:bulletEnabled val="1"/>
        </dgm:presLayoutVars>
      </dgm:prSet>
      <dgm:spPr/>
    </dgm:pt>
    <dgm:pt modelId="{A74BE3B5-7CDC-4B2A-A4FD-23883C79F495}" type="pres">
      <dgm:prSet presAssocID="{D682876A-BE7B-437F-BF1E-D87A1092A030}" presName="root" presStyleCnt="0"/>
      <dgm:spPr/>
    </dgm:pt>
    <dgm:pt modelId="{269CBEBE-6199-4330-BB76-D4B78B18A9E3}" type="pres">
      <dgm:prSet presAssocID="{D682876A-BE7B-437F-BF1E-D87A1092A030}" presName="rootComposite" presStyleCnt="0"/>
      <dgm:spPr/>
    </dgm:pt>
    <dgm:pt modelId="{FB0F9757-5A0C-4F7E-9298-28E9E9369317}" type="pres">
      <dgm:prSet presAssocID="{D682876A-BE7B-437F-BF1E-D87A1092A030}" presName="rootText" presStyleLbl="node1" presStyleIdx="1" presStyleCnt="4"/>
      <dgm:spPr/>
    </dgm:pt>
    <dgm:pt modelId="{4D2DD371-D176-49D9-9E5F-DC80F79D1485}" type="pres">
      <dgm:prSet presAssocID="{D682876A-BE7B-437F-BF1E-D87A1092A030}" presName="rootConnector" presStyleLbl="node1" presStyleIdx="1" presStyleCnt="4"/>
      <dgm:spPr/>
    </dgm:pt>
    <dgm:pt modelId="{9150A741-D081-4AF8-8465-474FF7CA63CA}" type="pres">
      <dgm:prSet presAssocID="{D682876A-BE7B-437F-BF1E-D87A1092A030}" presName="childShape" presStyleCnt="0"/>
      <dgm:spPr/>
    </dgm:pt>
    <dgm:pt modelId="{C0E8CEA0-B08E-402D-A43B-787BF2D99547}" type="pres">
      <dgm:prSet presAssocID="{A6016A5B-1832-481D-B18C-2AC9F7A7F4CD}" presName="Name13" presStyleLbl="parChTrans1D2" presStyleIdx="7" presStyleCnt="27"/>
      <dgm:spPr/>
    </dgm:pt>
    <dgm:pt modelId="{4688E198-950A-49E6-9442-F062D1692144}" type="pres">
      <dgm:prSet presAssocID="{0C92DB1B-212B-452C-B933-152538CE3CCB}" presName="childText" presStyleLbl="bgAcc1" presStyleIdx="7" presStyleCnt="27">
        <dgm:presLayoutVars>
          <dgm:bulletEnabled val="1"/>
        </dgm:presLayoutVars>
      </dgm:prSet>
      <dgm:spPr/>
    </dgm:pt>
    <dgm:pt modelId="{688B5352-CC18-449F-9388-9E27CF345DC1}" type="pres">
      <dgm:prSet presAssocID="{8684C4ED-A5EB-42C7-BE48-4D38E7A0BAD7}" presName="Name13" presStyleLbl="parChTrans1D2" presStyleIdx="8" presStyleCnt="27"/>
      <dgm:spPr/>
    </dgm:pt>
    <dgm:pt modelId="{B892E0FB-6B30-45A7-8534-5FC7965919A3}" type="pres">
      <dgm:prSet presAssocID="{51E8C798-BB82-486F-BA81-D3FDA75234A2}" presName="childText" presStyleLbl="bgAcc1" presStyleIdx="8" presStyleCnt="27">
        <dgm:presLayoutVars>
          <dgm:bulletEnabled val="1"/>
        </dgm:presLayoutVars>
      </dgm:prSet>
      <dgm:spPr/>
    </dgm:pt>
    <dgm:pt modelId="{A941263F-F1B6-4288-8521-993595007103}" type="pres">
      <dgm:prSet presAssocID="{9E93BA94-1383-47CF-99C3-75A3A68A7140}" presName="Name13" presStyleLbl="parChTrans1D2" presStyleIdx="9" presStyleCnt="27"/>
      <dgm:spPr/>
    </dgm:pt>
    <dgm:pt modelId="{88DB9859-9844-4BB5-B779-C60BA16D9797}" type="pres">
      <dgm:prSet presAssocID="{05D8A89F-F509-4A20-8AD6-550B4F3A72D6}" presName="childText" presStyleLbl="bgAcc1" presStyleIdx="9" presStyleCnt="27">
        <dgm:presLayoutVars>
          <dgm:bulletEnabled val="1"/>
        </dgm:presLayoutVars>
      </dgm:prSet>
      <dgm:spPr/>
    </dgm:pt>
    <dgm:pt modelId="{D8B2848D-C40B-41A6-9C09-1B28AE1EA3DA}" type="pres">
      <dgm:prSet presAssocID="{520CBD0E-C051-4CE6-9131-0128C79E861E}" presName="Name13" presStyleLbl="parChTrans1D2" presStyleIdx="10" presStyleCnt="27"/>
      <dgm:spPr/>
    </dgm:pt>
    <dgm:pt modelId="{B2467833-6926-4479-86EA-0268ADDD0A90}" type="pres">
      <dgm:prSet presAssocID="{1EBC937D-C43A-4C5D-B700-B9CB18E493BB}" presName="childText" presStyleLbl="bgAcc1" presStyleIdx="10" presStyleCnt="27">
        <dgm:presLayoutVars>
          <dgm:bulletEnabled val="1"/>
        </dgm:presLayoutVars>
      </dgm:prSet>
      <dgm:spPr/>
    </dgm:pt>
    <dgm:pt modelId="{F7D99DDC-11E1-4237-B501-1E5920078BCE}" type="pres">
      <dgm:prSet presAssocID="{26431A40-0F68-4E3E-8031-386AC641C1CE}" presName="Name13" presStyleLbl="parChTrans1D2" presStyleIdx="11" presStyleCnt="27"/>
      <dgm:spPr/>
    </dgm:pt>
    <dgm:pt modelId="{56B74D18-E57B-4769-AD1D-A1C82D610BF0}" type="pres">
      <dgm:prSet presAssocID="{45C2F229-ACBD-4EBD-9F3D-5C501CA4A59E}" presName="childText" presStyleLbl="bgAcc1" presStyleIdx="11" presStyleCnt="27">
        <dgm:presLayoutVars>
          <dgm:bulletEnabled val="1"/>
        </dgm:presLayoutVars>
      </dgm:prSet>
      <dgm:spPr/>
    </dgm:pt>
    <dgm:pt modelId="{24EFCBCE-4686-4CBE-BA45-0A1E6E5BD000}" type="pres">
      <dgm:prSet presAssocID="{E40BC173-B4F8-47C4-969E-2ED2C3544017}" presName="Name13" presStyleLbl="parChTrans1D2" presStyleIdx="12" presStyleCnt="27"/>
      <dgm:spPr/>
    </dgm:pt>
    <dgm:pt modelId="{DE91FD7C-8BF0-4821-9BEF-5C423A12D2FC}" type="pres">
      <dgm:prSet presAssocID="{41B9F105-D670-40B8-85BD-EFEA3578FFDC}" presName="childText" presStyleLbl="bgAcc1" presStyleIdx="12" presStyleCnt="27">
        <dgm:presLayoutVars>
          <dgm:bulletEnabled val="1"/>
        </dgm:presLayoutVars>
      </dgm:prSet>
      <dgm:spPr/>
    </dgm:pt>
    <dgm:pt modelId="{C0E0270B-33D4-4D12-B8E3-0747936ABBA9}" type="pres">
      <dgm:prSet presAssocID="{1B81FA70-0E7E-4B27-82BE-ED965EAE7D1E}" presName="root" presStyleCnt="0"/>
      <dgm:spPr/>
    </dgm:pt>
    <dgm:pt modelId="{6E83BA4C-25BA-43B5-96E3-EA59FE712078}" type="pres">
      <dgm:prSet presAssocID="{1B81FA70-0E7E-4B27-82BE-ED965EAE7D1E}" presName="rootComposite" presStyleCnt="0"/>
      <dgm:spPr/>
    </dgm:pt>
    <dgm:pt modelId="{141CB503-BD0C-4FFF-B915-795E9B874FFF}" type="pres">
      <dgm:prSet presAssocID="{1B81FA70-0E7E-4B27-82BE-ED965EAE7D1E}" presName="rootText" presStyleLbl="node1" presStyleIdx="2" presStyleCnt="4"/>
      <dgm:spPr/>
    </dgm:pt>
    <dgm:pt modelId="{46B9799D-DFB4-4BB4-802E-B77EF659E197}" type="pres">
      <dgm:prSet presAssocID="{1B81FA70-0E7E-4B27-82BE-ED965EAE7D1E}" presName="rootConnector" presStyleLbl="node1" presStyleIdx="2" presStyleCnt="4"/>
      <dgm:spPr/>
    </dgm:pt>
    <dgm:pt modelId="{8556668C-4214-4580-83E3-5DEC264BB217}" type="pres">
      <dgm:prSet presAssocID="{1B81FA70-0E7E-4B27-82BE-ED965EAE7D1E}" presName="childShape" presStyleCnt="0"/>
      <dgm:spPr/>
    </dgm:pt>
    <dgm:pt modelId="{68EBDABD-FDC5-407A-89D5-C618ABF7114A}" type="pres">
      <dgm:prSet presAssocID="{251ED32F-664C-49CC-BA39-35FAA5D37441}" presName="Name13" presStyleLbl="parChTrans1D2" presStyleIdx="13" presStyleCnt="27"/>
      <dgm:spPr/>
    </dgm:pt>
    <dgm:pt modelId="{58C397AE-7149-436C-9B44-BE18F4169302}" type="pres">
      <dgm:prSet presAssocID="{9DDCBCD1-F65C-4FA2-B0D8-A959D4F86EB8}" presName="childText" presStyleLbl="bgAcc1" presStyleIdx="13" presStyleCnt="27">
        <dgm:presLayoutVars>
          <dgm:bulletEnabled val="1"/>
        </dgm:presLayoutVars>
      </dgm:prSet>
      <dgm:spPr/>
    </dgm:pt>
    <dgm:pt modelId="{CC0BF90B-89E8-4AC4-A4B7-97E0F1AABD5A}" type="pres">
      <dgm:prSet presAssocID="{406F03F4-96C7-468F-A0E8-8A43100BFB94}" presName="Name13" presStyleLbl="parChTrans1D2" presStyleIdx="14" presStyleCnt="27"/>
      <dgm:spPr/>
    </dgm:pt>
    <dgm:pt modelId="{2BF927CB-E882-4081-809B-358E5895B21B}" type="pres">
      <dgm:prSet presAssocID="{7B4F8559-0035-41BB-A1D6-9C0F59C6F00B}" presName="childText" presStyleLbl="bgAcc1" presStyleIdx="14" presStyleCnt="27">
        <dgm:presLayoutVars>
          <dgm:bulletEnabled val="1"/>
        </dgm:presLayoutVars>
      </dgm:prSet>
      <dgm:spPr/>
    </dgm:pt>
    <dgm:pt modelId="{D549ACF5-C596-4AED-9303-59528A87CA32}" type="pres">
      <dgm:prSet presAssocID="{7F09D06F-4EED-495D-B9B8-7BC30B048675}" presName="Name13" presStyleLbl="parChTrans1D2" presStyleIdx="15" presStyleCnt="27"/>
      <dgm:spPr/>
    </dgm:pt>
    <dgm:pt modelId="{1E72F548-C354-4016-BDD1-A67E376F5C81}" type="pres">
      <dgm:prSet presAssocID="{161034D8-B2C6-476F-87A7-1B3D3F6EF6C5}" presName="childText" presStyleLbl="bgAcc1" presStyleIdx="15" presStyleCnt="27">
        <dgm:presLayoutVars>
          <dgm:bulletEnabled val="1"/>
        </dgm:presLayoutVars>
      </dgm:prSet>
      <dgm:spPr/>
    </dgm:pt>
    <dgm:pt modelId="{D66D24A5-9FA8-4B9E-B39C-D7CD7F630A92}" type="pres">
      <dgm:prSet presAssocID="{3C6C9DC6-833E-4CFE-8DF9-FDD8CFAB0373}" presName="Name13" presStyleLbl="parChTrans1D2" presStyleIdx="16" presStyleCnt="27"/>
      <dgm:spPr/>
    </dgm:pt>
    <dgm:pt modelId="{07FE1731-318D-4444-AC53-EE91F5279001}" type="pres">
      <dgm:prSet presAssocID="{68B904B5-484E-4B3A-A452-F515CCFD94BE}" presName="childText" presStyleLbl="bgAcc1" presStyleIdx="16" presStyleCnt="27">
        <dgm:presLayoutVars>
          <dgm:bulletEnabled val="1"/>
        </dgm:presLayoutVars>
      </dgm:prSet>
      <dgm:spPr/>
    </dgm:pt>
    <dgm:pt modelId="{F9E9365F-079B-4740-8FCB-0F7400033DC4}" type="pres">
      <dgm:prSet presAssocID="{FF729064-C571-4914-9D01-2133C0AAFD4E}" presName="Name13" presStyleLbl="parChTrans1D2" presStyleIdx="17" presStyleCnt="27"/>
      <dgm:spPr/>
    </dgm:pt>
    <dgm:pt modelId="{EF32F9EE-A36A-4A2D-A82F-58BB1ADE2DD9}" type="pres">
      <dgm:prSet presAssocID="{F258856A-B3C9-451A-8A32-1B5A1A343FAC}" presName="childText" presStyleLbl="bgAcc1" presStyleIdx="17" presStyleCnt="27">
        <dgm:presLayoutVars>
          <dgm:bulletEnabled val="1"/>
        </dgm:presLayoutVars>
      </dgm:prSet>
      <dgm:spPr/>
    </dgm:pt>
    <dgm:pt modelId="{1B7170E8-BDB2-48FA-AC72-3B6CB3F91C0D}" type="pres">
      <dgm:prSet presAssocID="{5A3CBD24-EB72-49DB-AB4E-83950801DEEC}" presName="Name13" presStyleLbl="parChTrans1D2" presStyleIdx="18" presStyleCnt="27"/>
      <dgm:spPr/>
    </dgm:pt>
    <dgm:pt modelId="{241986E3-B4B2-4FDD-828E-11CE00685167}" type="pres">
      <dgm:prSet presAssocID="{1E3F0832-B66E-4870-B9F2-126F3D7C1575}" presName="childText" presStyleLbl="bgAcc1" presStyleIdx="18" presStyleCnt="27">
        <dgm:presLayoutVars>
          <dgm:bulletEnabled val="1"/>
        </dgm:presLayoutVars>
      </dgm:prSet>
      <dgm:spPr/>
    </dgm:pt>
    <dgm:pt modelId="{F6ED109A-389F-457F-A9BE-D1EFEABE08E8}" type="pres">
      <dgm:prSet presAssocID="{425B6B2C-4192-43D6-A9E5-E0F348E27ED3}" presName="Name13" presStyleLbl="parChTrans1D2" presStyleIdx="19" presStyleCnt="27"/>
      <dgm:spPr/>
    </dgm:pt>
    <dgm:pt modelId="{8BCDEF24-C870-44B0-826F-D916DAB2B8AB}" type="pres">
      <dgm:prSet presAssocID="{EC5AD486-DFD7-4EF8-8552-8C1C30391823}" presName="childText" presStyleLbl="bgAcc1" presStyleIdx="19" presStyleCnt="27">
        <dgm:presLayoutVars>
          <dgm:bulletEnabled val="1"/>
        </dgm:presLayoutVars>
      </dgm:prSet>
      <dgm:spPr/>
    </dgm:pt>
    <dgm:pt modelId="{265A13F7-7F08-4423-8309-AC36292C8777}" type="pres">
      <dgm:prSet presAssocID="{C449E764-BE67-4AFD-98A5-0867AC77A9EE}" presName="root" presStyleCnt="0"/>
      <dgm:spPr/>
    </dgm:pt>
    <dgm:pt modelId="{D430CE41-85E4-4AE7-9602-00A2740B76AD}" type="pres">
      <dgm:prSet presAssocID="{C449E764-BE67-4AFD-98A5-0867AC77A9EE}" presName="rootComposite" presStyleCnt="0"/>
      <dgm:spPr/>
    </dgm:pt>
    <dgm:pt modelId="{C8057152-C247-4656-AAF4-93C788DC587E}" type="pres">
      <dgm:prSet presAssocID="{C449E764-BE67-4AFD-98A5-0867AC77A9EE}" presName="rootText" presStyleLbl="node1" presStyleIdx="3" presStyleCnt="4"/>
      <dgm:spPr/>
    </dgm:pt>
    <dgm:pt modelId="{CA1A5D93-C26B-44A3-888C-BAEF4668CC71}" type="pres">
      <dgm:prSet presAssocID="{C449E764-BE67-4AFD-98A5-0867AC77A9EE}" presName="rootConnector" presStyleLbl="node1" presStyleIdx="3" presStyleCnt="4"/>
      <dgm:spPr/>
    </dgm:pt>
    <dgm:pt modelId="{A92D5A0E-F222-4538-8668-E298D72B6964}" type="pres">
      <dgm:prSet presAssocID="{C449E764-BE67-4AFD-98A5-0867AC77A9EE}" presName="childShape" presStyleCnt="0"/>
      <dgm:spPr/>
    </dgm:pt>
    <dgm:pt modelId="{77D42D4B-2542-4E3B-AE4F-55C818CDDC0E}" type="pres">
      <dgm:prSet presAssocID="{02B3328E-FF5A-497B-A49D-113743E7D3A2}" presName="Name13" presStyleLbl="parChTrans1D2" presStyleIdx="20" presStyleCnt="27"/>
      <dgm:spPr/>
    </dgm:pt>
    <dgm:pt modelId="{E5E4225F-A5D2-4A51-8D08-B39B85AA9AD3}" type="pres">
      <dgm:prSet presAssocID="{CC55C4BD-0DC6-4470-A35A-1AD9D21474CE}" presName="childText" presStyleLbl="bgAcc1" presStyleIdx="20" presStyleCnt="27">
        <dgm:presLayoutVars>
          <dgm:bulletEnabled val="1"/>
        </dgm:presLayoutVars>
      </dgm:prSet>
      <dgm:spPr/>
    </dgm:pt>
    <dgm:pt modelId="{03585700-04B1-46B8-8962-34776EDC31A8}" type="pres">
      <dgm:prSet presAssocID="{A037841A-7B08-49D8-AF10-D06BBEE28A55}" presName="Name13" presStyleLbl="parChTrans1D2" presStyleIdx="21" presStyleCnt="27"/>
      <dgm:spPr/>
    </dgm:pt>
    <dgm:pt modelId="{3CF4D88D-7BF9-4B2A-BC3C-F4D0C9E91E3C}" type="pres">
      <dgm:prSet presAssocID="{3C230F5E-FA8E-436E-9646-FB21382CED4E}" presName="childText" presStyleLbl="bgAcc1" presStyleIdx="21" presStyleCnt="27">
        <dgm:presLayoutVars>
          <dgm:bulletEnabled val="1"/>
        </dgm:presLayoutVars>
      </dgm:prSet>
      <dgm:spPr/>
    </dgm:pt>
    <dgm:pt modelId="{7D0CA10B-0765-4780-8D93-8CE705720246}" type="pres">
      <dgm:prSet presAssocID="{313DF924-7614-4784-BAE0-7646FE2E64F5}" presName="Name13" presStyleLbl="parChTrans1D2" presStyleIdx="22" presStyleCnt="27"/>
      <dgm:spPr/>
    </dgm:pt>
    <dgm:pt modelId="{BE36DC54-BCDF-4816-B50A-A06A97C41921}" type="pres">
      <dgm:prSet presAssocID="{32A14AE6-01E8-4CEA-9DE8-70D4AFF67D08}" presName="childText" presStyleLbl="bgAcc1" presStyleIdx="22" presStyleCnt="27">
        <dgm:presLayoutVars>
          <dgm:bulletEnabled val="1"/>
        </dgm:presLayoutVars>
      </dgm:prSet>
      <dgm:spPr/>
    </dgm:pt>
    <dgm:pt modelId="{6F3EAB11-F575-4AC6-AC7F-1F9B239A712A}" type="pres">
      <dgm:prSet presAssocID="{00DAF997-9D61-402D-B418-F4E7D420EFB2}" presName="Name13" presStyleLbl="parChTrans1D2" presStyleIdx="23" presStyleCnt="27"/>
      <dgm:spPr/>
    </dgm:pt>
    <dgm:pt modelId="{EA92BD11-172B-410D-981F-9FA4DF24BBF8}" type="pres">
      <dgm:prSet presAssocID="{711B31C1-6EE8-4A19-B1C5-3BD83506549D}" presName="childText" presStyleLbl="bgAcc1" presStyleIdx="23" presStyleCnt="27">
        <dgm:presLayoutVars>
          <dgm:bulletEnabled val="1"/>
        </dgm:presLayoutVars>
      </dgm:prSet>
      <dgm:spPr/>
    </dgm:pt>
    <dgm:pt modelId="{F77B71CE-9430-4AA1-89B7-65D0901313A5}" type="pres">
      <dgm:prSet presAssocID="{EEB866F6-6585-49FC-B6A6-38DFFFCE5620}" presName="Name13" presStyleLbl="parChTrans1D2" presStyleIdx="24" presStyleCnt="27"/>
      <dgm:spPr/>
    </dgm:pt>
    <dgm:pt modelId="{B58DAB17-70A4-46ED-A373-7FFC5CE239A2}" type="pres">
      <dgm:prSet presAssocID="{D4822A9F-2C21-4C54-9E9A-A932CB5574CB}" presName="childText" presStyleLbl="bgAcc1" presStyleIdx="24" presStyleCnt="27">
        <dgm:presLayoutVars>
          <dgm:bulletEnabled val="1"/>
        </dgm:presLayoutVars>
      </dgm:prSet>
      <dgm:spPr/>
    </dgm:pt>
    <dgm:pt modelId="{8CBA9DF9-9189-4D8E-985F-525BE6B7FAFF}" type="pres">
      <dgm:prSet presAssocID="{801B7875-3691-445E-99EA-FAFB3D134F1C}" presName="Name13" presStyleLbl="parChTrans1D2" presStyleIdx="25" presStyleCnt="27"/>
      <dgm:spPr/>
    </dgm:pt>
    <dgm:pt modelId="{F76D94E9-009E-4F51-AE0B-DA202BF25D85}" type="pres">
      <dgm:prSet presAssocID="{56CE0A71-B477-4367-B82D-B1A2200334B9}" presName="childText" presStyleLbl="bgAcc1" presStyleIdx="25" presStyleCnt="27">
        <dgm:presLayoutVars>
          <dgm:bulletEnabled val="1"/>
        </dgm:presLayoutVars>
      </dgm:prSet>
      <dgm:spPr/>
    </dgm:pt>
    <dgm:pt modelId="{4D8EC090-D9D4-4DC4-A8BF-8809C40636DC}" type="pres">
      <dgm:prSet presAssocID="{2AE196B6-2AF6-4595-BFAF-23115B0345C0}" presName="Name13" presStyleLbl="parChTrans1D2" presStyleIdx="26" presStyleCnt="27"/>
      <dgm:spPr/>
    </dgm:pt>
    <dgm:pt modelId="{2883B6AF-1F97-425B-A369-9FF73C1B91F8}" type="pres">
      <dgm:prSet presAssocID="{C5A92F8E-E367-43E5-A993-45F421AADA61}" presName="childText" presStyleLbl="bgAcc1" presStyleIdx="26" presStyleCnt="27">
        <dgm:presLayoutVars>
          <dgm:bulletEnabled val="1"/>
        </dgm:presLayoutVars>
      </dgm:prSet>
      <dgm:spPr/>
    </dgm:pt>
  </dgm:ptLst>
  <dgm:cxnLst>
    <dgm:cxn modelId="{74663B02-3364-479E-9FF6-31AEF9332DB5}" type="presOf" srcId="{5E96F9B6-9F9C-4652-BC82-08E4EC0BB6A2}" destId="{877F3D60-270C-4FE9-84B3-DB90E93DA4B1}" srcOrd="0" destOrd="0" presId="urn:microsoft.com/office/officeart/2005/8/layout/hierarchy3"/>
    <dgm:cxn modelId="{87715C04-F001-42E4-A9C4-05E6E8E09629}" srcId="{D682876A-BE7B-437F-BF1E-D87A1092A030}" destId="{05D8A89F-F509-4A20-8AD6-550B4F3A72D6}" srcOrd="2" destOrd="0" parTransId="{9E93BA94-1383-47CF-99C3-75A3A68A7140}" sibTransId="{3DB2E377-30D7-45CD-9AC1-B98351A7741B}"/>
    <dgm:cxn modelId="{3DD4E409-CDED-4BBC-AFF2-6D6E0B29245B}" type="presOf" srcId="{CB161982-C52F-4257-BEC8-84C90E0B4ADD}" destId="{FDCA1151-9290-4505-9158-0093A932E248}" srcOrd="0" destOrd="0" presId="urn:microsoft.com/office/officeart/2005/8/layout/hierarchy3"/>
    <dgm:cxn modelId="{5C62210B-10E2-4A6A-8BA7-DF7047743967}" srcId="{88B704D5-E6B3-4FCF-A8ED-2FAD0831D3E2}" destId="{1B81FA70-0E7E-4B27-82BE-ED965EAE7D1E}" srcOrd="2" destOrd="0" parTransId="{4F1A7BC0-C0FF-459A-B1A5-F3465A2E25B1}" sibTransId="{CC47A4EB-DF64-4362-9CFC-5C295973DBC4}"/>
    <dgm:cxn modelId="{DAA1B90E-9B3F-4C5B-B5CB-07DC80C046E2}" type="presOf" srcId="{15778953-4E75-40F8-BBFD-8E0B98F23B93}" destId="{533318D9-3CC7-4350-AA2A-C2D2EC182E84}" srcOrd="0" destOrd="0" presId="urn:microsoft.com/office/officeart/2005/8/layout/hierarchy3"/>
    <dgm:cxn modelId="{71DF570F-FBC0-457D-BD1E-98761E1B8D5D}" srcId="{88B704D5-E6B3-4FCF-A8ED-2FAD0831D3E2}" destId="{C449E764-BE67-4AFD-98A5-0867AC77A9EE}" srcOrd="3" destOrd="0" parTransId="{FA9FFB99-8405-41B3-B8EF-52DA861F0FAB}" sibTransId="{163094D1-6814-4AB5-8172-CAD525A79E1E}"/>
    <dgm:cxn modelId="{F1C64E13-C140-4A9B-9A41-DD71B220F481}" srcId="{1B81FA70-0E7E-4B27-82BE-ED965EAE7D1E}" destId="{EC5AD486-DFD7-4EF8-8552-8C1C30391823}" srcOrd="6" destOrd="0" parTransId="{425B6B2C-4192-43D6-A9E5-E0F348E27ED3}" sibTransId="{7CA4A9C6-4F68-40DA-897C-6423F9A9019F}"/>
    <dgm:cxn modelId="{AB84D613-0172-4567-8DB3-D01B6102F4D7}" type="presOf" srcId="{0C92DB1B-212B-452C-B933-152538CE3CCB}" destId="{4688E198-950A-49E6-9442-F062D1692144}" srcOrd="0" destOrd="0" presId="urn:microsoft.com/office/officeart/2005/8/layout/hierarchy3"/>
    <dgm:cxn modelId="{A6522719-A578-4F6A-8D22-96F53F798E3E}" type="presOf" srcId="{1EBC937D-C43A-4C5D-B700-B9CB18E493BB}" destId="{B2467833-6926-4479-86EA-0268ADDD0A90}" srcOrd="0" destOrd="0" presId="urn:microsoft.com/office/officeart/2005/8/layout/hierarchy3"/>
    <dgm:cxn modelId="{D47A931C-2A35-4D36-8C04-BEA2AF4958AB}" srcId="{C449E764-BE67-4AFD-98A5-0867AC77A9EE}" destId="{D4822A9F-2C21-4C54-9E9A-A932CB5574CB}" srcOrd="4" destOrd="0" parTransId="{EEB866F6-6585-49FC-B6A6-38DFFFCE5620}" sibTransId="{111AA134-38F0-4F97-AE7C-45BB85CC5F70}"/>
    <dgm:cxn modelId="{7625B923-DFF1-4B10-A3A0-BAA58D6922F3}" srcId="{1B81FA70-0E7E-4B27-82BE-ED965EAE7D1E}" destId="{1E3F0832-B66E-4870-B9F2-126F3D7C1575}" srcOrd="5" destOrd="0" parTransId="{5A3CBD24-EB72-49DB-AB4E-83950801DEEC}" sibTransId="{D30FC081-05DA-4081-9800-ACF6391E6B3C}"/>
    <dgm:cxn modelId="{9F413A24-5705-4947-9D36-0F769BEE0520}" srcId="{374EB698-C811-4789-8192-69E22BA5E726}" destId="{65495768-CAF8-445F-BA45-A7E35A60201E}" srcOrd="4" destOrd="0" parTransId="{5E96F9B6-9F9C-4652-BC82-08E4EC0BB6A2}" sibTransId="{96BF8E6F-9312-4A55-A153-2EF9A1F8D3D5}"/>
    <dgm:cxn modelId="{A932FB29-CF94-4624-9DBC-B7CC58E416FE}" type="presOf" srcId="{5B4369EF-EBB1-440A-8A69-C2FA6711804F}" destId="{95A19D8E-0463-4AD1-96DF-6ED48126CCB6}" srcOrd="0" destOrd="0" presId="urn:microsoft.com/office/officeart/2005/8/layout/hierarchy3"/>
    <dgm:cxn modelId="{5EAC5F2E-2C06-4B2D-8B51-3703817F6027}" type="presOf" srcId="{EC5AD486-DFD7-4EF8-8552-8C1C30391823}" destId="{8BCDEF24-C870-44B0-826F-D916DAB2B8AB}" srcOrd="0" destOrd="0" presId="urn:microsoft.com/office/officeart/2005/8/layout/hierarchy3"/>
    <dgm:cxn modelId="{B8D12433-CFA5-4F89-9CFB-F516B72EEA3B}" type="presOf" srcId="{3F956FD3-241F-4AED-A101-B2649C74D85D}" destId="{FFEEAB04-4073-4F60-B495-3A9BB97ABF0C}" srcOrd="0" destOrd="0" presId="urn:microsoft.com/office/officeart/2005/8/layout/hierarchy3"/>
    <dgm:cxn modelId="{3126A735-AC56-446E-874E-A8C7510AEADD}" type="presOf" srcId="{1E3F0832-B66E-4870-B9F2-126F3D7C1575}" destId="{241986E3-B4B2-4FDD-828E-11CE00685167}" srcOrd="0" destOrd="0" presId="urn:microsoft.com/office/officeart/2005/8/layout/hierarchy3"/>
    <dgm:cxn modelId="{7658E437-248B-4DDE-B391-4979FF770576}" type="presOf" srcId="{02B3328E-FF5A-497B-A49D-113743E7D3A2}" destId="{77D42D4B-2542-4E3B-AE4F-55C818CDDC0E}" srcOrd="0" destOrd="0" presId="urn:microsoft.com/office/officeart/2005/8/layout/hierarchy3"/>
    <dgm:cxn modelId="{24441539-9981-4262-B423-20E4BD4C397F}" type="presOf" srcId="{3334EF45-A492-49FF-BE03-03B0B16FF5EF}" destId="{D68B4460-E469-4277-BCEC-0F0F40C5BC8D}" srcOrd="0" destOrd="0" presId="urn:microsoft.com/office/officeart/2005/8/layout/hierarchy3"/>
    <dgm:cxn modelId="{DBE7005D-D862-4E5F-A84F-BD4611F440D8}" srcId="{1B81FA70-0E7E-4B27-82BE-ED965EAE7D1E}" destId="{7B4F8559-0035-41BB-A1D6-9C0F59C6F00B}" srcOrd="1" destOrd="0" parTransId="{406F03F4-96C7-468F-A0E8-8A43100BFB94}" sibTransId="{7734CF3E-D41C-4575-811D-74504BC718E9}"/>
    <dgm:cxn modelId="{152D636B-BB48-40D6-88C2-80BDFC996092}" srcId="{D682876A-BE7B-437F-BF1E-D87A1092A030}" destId="{1EBC937D-C43A-4C5D-B700-B9CB18E493BB}" srcOrd="3" destOrd="0" parTransId="{520CBD0E-C051-4CE6-9131-0128C79E861E}" sibTransId="{1F29ED4D-7F38-4CEE-8647-3E08599C27D3}"/>
    <dgm:cxn modelId="{A80F444C-1443-4CB0-8907-61ED90B96E4B}" type="presOf" srcId="{EEB866F6-6585-49FC-B6A6-38DFFFCE5620}" destId="{F77B71CE-9430-4AA1-89B7-65D0901313A5}" srcOrd="0" destOrd="0" presId="urn:microsoft.com/office/officeart/2005/8/layout/hierarchy3"/>
    <dgm:cxn modelId="{FAA6386F-550D-481D-8072-F1B270B70C0D}" srcId="{88B704D5-E6B3-4FCF-A8ED-2FAD0831D3E2}" destId="{D682876A-BE7B-437F-BF1E-D87A1092A030}" srcOrd="1" destOrd="0" parTransId="{5D885627-3ABC-4DDA-985C-38D8F18583D8}" sibTransId="{4BEEC0CE-D4F6-43EE-AB0D-BE4BC56515CF}"/>
    <dgm:cxn modelId="{C659814F-C2FB-4D1C-AEB8-1E321E6FAE4D}" srcId="{374EB698-C811-4789-8192-69E22BA5E726}" destId="{4AE248EF-C770-492F-A9E9-79AC765C23DC}" srcOrd="0" destOrd="0" parTransId="{5DE141D1-CD18-41A5-BED7-FAEC60785ADF}" sibTransId="{E640E80D-7A98-492E-A602-4E3A6ACD1788}"/>
    <dgm:cxn modelId="{A2C48471-9944-43DC-A9C8-554860BE6E10}" type="presOf" srcId="{00DAF997-9D61-402D-B418-F4E7D420EFB2}" destId="{6F3EAB11-F575-4AC6-AC7F-1F9B239A712A}" srcOrd="0" destOrd="0" presId="urn:microsoft.com/office/officeart/2005/8/layout/hierarchy3"/>
    <dgm:cxn modelId="{A28D7D74-246D-446E-885E-795E9E8D2AD4}" type="presOf" srcId="{5A3CBD24-EB72-49DB-AB4E-83950801DEEC}" destId="{1B7170E8-BDB2-48FA-AC72-3B6CB3F91C0D}" srcOrd="0" destOrd="0" presId="urn:microsoft.com/office/officeart/2005/8/layout/hierarchy3"/>
    <dgm:cxn modelId="{3F82B874-EF4E-4196-ABF8-F001A0DC59A2}" type="presOf" srcId="{26431A40-0F68-4E3E-8031-386AC641C1CE}" destId="{F7D99DDC-11E1-4237-B501-1E5920078BCE}" srcOrd="0" destOrd="0" presId="urn:microsoft.com/office/officeart/2005/8/layout/hierarchy3"/>
    <dgm:cxn modelId="{0AF58F57-C485-4DFF-81AA-4576271BC1EE}" srcId="{C449E764-BE67-4AFD-98A5-0867AC77A9EE}" destId="{C5A92F8E-E367-43E5-A993-45F421AADA61}" srcOrd="6" destOrd="0" parTransId="{2AE196B6-2AF6-4595-BFAF-23115B0345C0}" sibTransId="{85EC58FD-32BA-4853-AA88-2B8B9A67F0DE}"/>
    <dgm:cxn modelId="{4703A857-8D09-4D0C-A93F-06314CB3F6E2}" type="presOf" srcId="{251ED32F-664C-49CC-BA39-35FAA5D37441}" destId="{68EBDABD-FDC5-407A-89D5-C618ABF7114A}" srcOrd="0" destOrd="0" presId="urn:microsoft.com/office/officeart/2005/8/layout/hierarchy3"/>
    <dgm:cxn modelId="{F3036059-3A3A-432E-9022-19985CC2FDA3}" type="presOf" srcId="{C5A92F8E-E367-43E5-A993-45F421AADA61}" destId="{2883B6AF-1F97-425B-A369-9FF73C1B91F8}" srcOrd="0" destOrd="0" presId="urn:microsoft.com/office/officeart/2005/8/layout/hierarchy3"/>
    <dgm:cxn modelId="{7542417F-A921-470C-BD17-94BC59724475}" type="presOf" srcId="{7B4F8559-0035-41BB-A1D6-9C0F59C6F00B}" destId="{2BF927CB-E882-4081-809B-358E5895B21B}" srcOrd="0" destOrd="0" presId="urn:microsoft.com/office/officeart/2005/8/layout/hierarchy3"/>
    <dgm:cxn modelId="{48465A7F-584A-4E14-815B-0DD8CB987D83}" type="presOf" srcId="{32A14AE6-01E8-4CEA-9DE8-70D4AFF67D08}" destId="{BE36DC54-BCDF-4816-B50A-A06A97C41921}" srcOrd="0" destOrd="0" presId="urn:microsoft.com/office/officeart/2005/8/layout/hierarchy3"/>
    <dgm:cxn modelId="{A25EB180-C81E-4786-9C68-A3E0CB53E1CE}" type="presOf" srcId="{CC55C4BD-0DC6-4470-A35A-1AD9D21474CE}" destId="{E5E4225F-A5D2-4A51-8D08-B39B85AA9AD3}" srcOrd="0" destOrd="0" presId="urn:microsoft.com/office/officeart/2005/8/layout/hierarchy3"/>
    <dgm:cxn modelId="{F3EE2383-8506-4682-99BD-79E5B970FFA5}" type="presOf" srcId="{5DE141D1-CD18-41A5-BED7-FAEC60785ADF}" destId="{0349519F-80A2-4CAE-B9C4-275E405C682B}" srcOrd="0" destOrd="0" presId="urn:microsoft.com/office/officeart/2005/8/layout/hierarchy3"/>
    <dgm:cxn modelId="{10DC5283-E66D-4EFE-A847-07F0ADD01E7F}" srcId="{1B81FA70-0E7E-4B27-82BE-ED965EAE7D1E}" destId="{F258856A-B3C9-451A-8A32-1B5A1A343FAC}" srcOrd="4" destOrd="0" parTransId="{FF729064-C571-4914-9D01-2133C0AAFD4E}" sibTransId="{4807A85F-7DAC-4D9C-AB6E-2BAD240B7B0B}"/>
    <dgm:cxn modelId="{7B7AD783-23B2-4D5C-BA41-51339A3F2FB2}" type="presOf" srcId="{D682876A-BE7B-437F-BF1E-D87A1092A030}" destId="{FB0F9757-5A0C-4F7E-9298-28E9E9369317}" srcOrd="0" destOrd="0" presId="urn:microsoft.com/office/officeart/2005/8/layout/hierarchy3"/>
    <dgm:cxn modelId="{61232287-D85B-4139-A8CB-7C946958075B}" srcId="{D682876A-BE7B-437F-BF1E-D87A1092A030}" destId="{51E8C798-BB82-486F-BA81-D3FDA75234A2}" srcOrd="1" destOrd="0" parTransId="{8684C4ED-A5EB-42C7-BE48-4D38E7A0BAD7}" sibTransId="{ED2ADDB3-C2FB-47E2-9900-3CA107C8F2CE}"/>
    <dgm:cxn modelId="{92842D88-9A48-4CB3-9C8C-B652AB924930}" type="presOf" srcId="{05D8A89F-F509-4A20-8AD6-550B4F3A72D6}" destId="{88DB9859-9844-4BB5-B779-C60BA16D9797}" srcOrd="0" destOrd="0" presId="urn:microsoft.com/office/officeart/2005/8/layout/hierarchy3"/>
    <dgm:cxn modelId="{E3D99F8C-844A-4A44-8963-F50B0D409047}" type="presOf" srcId="{9E93BA94-1383-47CF-99C3-75A3A68A7140}" destId="{A941263F-F1B6-4288-8521-993595007103}" srcOrd="0" destOrd="0" presId="urn:microsoft.com/office/officeart/2005/8/layout/hierarchy3"/>
    <dgm:cxn modelId="{5907FD8D-0F6B-4E5E-AECB-FCD5BFBF6A3B}" type="presOf" srcId="{F258856A-B3C9-451A-8A32-1B5A1A343FAC}" destId="{EF32F9EE-A36A-4A2D-A82F-58BB1ADE2DD9}" srcOrd="0" destOrd="0" presId="urn:microsoft.com/office/officeart/2005/8/layout/hierarchy3"/>
    <dgm:cxn modelId="{8DE4588F-E318-4C98-A2C5-D8FE6E094180}" type="presOf" srcId="{313DF924-7614-4784-BAE0-7646FE2E64F5}" destId="{7D0CA10B-0765-4780-8D93-8CE705720246}" srcOrd="0" destOrd="0" presId="urn:microsoft.com/office/officeart/2005/8/layout/hierarchy3"/>
    <dgm:cxn modelId="{A9E47190-5CAD-4A11-9CBC-B692ECA8367D}" type="presOf" srcId="{801B7875-3691-445E-99EA-FAFB3D134F1C}" destId="{8CBA9DF9-9189-4D8E-985F-525BE6B7FAFF}" srcOrd="0" destOrd="0" presId="urn:microsoft.com/office/officeart/2005/8/layout/hierarchy3"/>
    <dgm:cxn modelId="{9FEAD290-E0FA-418F-8A85-4D8E41C48B68}" srcId="{88B704D5-E6B3-4FCF-A8ED-2FAD0831D3E2}" destId="{374EB698-C811-4789-8192-69E22BA5E726}" srcOrd="0" destOrd="0" parTransId="{B84DBA4E-132C-4FF9-B9CE-AA47BE82BE26}" sibTransId="{C82D28FC-594B-4991-AD98-2BDCEA66BDA1}"/>
    <dgm:cxn modelId="{CC005E92-E34A-4475-9D7C-BFE796211711}" type="presOf" srcId="{374EB698-C811-4789-8192-69E22BA5E726}" destId="{2AD8B9CB-6CF6-45DE-BC18-7C634ACF71BF}" srcOrd="0" destOrd="0" presId="urn:microsoft.com/office/officeart/2005/8/layout/hierarchy3"/>
    <dgm:cxn modelId="{E2C6CB97-4810-420D-A5F8-2BCF22C7C16E}" srcId="{C449E764-BE67-4AFD-98A5-0867AC77A9EE}" destId="{32A14AE6-01E8-4CEA-9DE8-70D4AFF67D08}" srcOrd="2" destOrd="0" parTransId="{313DF924-7614-4784-BAE0-7646FE2E64F5}" sibTransId="{227CF4DF-5A8B-4CFC-8506-54CA9D353756}"/>
    <dgm:cxn modelId="{8137D997-308A-4B5B-9D36-F81BD6F9BA6C}" type="presOf" srcId="{39ABD42E-01FC-4643-BE9D-C5D42A8D8204}" destId="{0C4C0EAB-1812-4AED-A68B-3C167D0ABD24}" srcOrd="0" destOrd="0" presId="urn:microsoft.com/office/officeart/2005/8/layout/hierarchy3"/>
    <dgm:cxn modelId="{96BF1A99-964E-4CE6-B174-7120CEB3B9FD}" type="presOf" srcId="{D4822A9F-2C21-4C54-9E9A-A932CB5574CB}" destId="{B58DAB17-70A4-46ED-A373-7FFC5CE239A2}" srcOrd="0" destOrd="0" presId="urn:microsoft.com/office/officeart/2005/8/layout/hierarchy3"/>
    <dgm:cxn modelId="{FDD3B79C-94D2-4CAE-8E30-A4F050EF0207}" type="presOf" srcId="{46F57BA5-9391-496F-85E7-57A349C67F34}" destId="{87A2AE9D-DB43-4D3C-9192-DA1F99423210}" srcOrd="0" destOrd="0" presId="urn:microsoft.com/office/officeart/2005/8/layout/hierarchy3"/>
    <dgm:cxn modelId="{862AF39C-A0CE-401F-A7B9-FBF159990F2D}" srcId="{C449E764-BE67-4AFD-98A5-0867AC77A9EE}" destId="{56CE0A71-B477-4367-B82D-B1A2200334B9}" srcOrd="5" destOrd="0" parTransId="{801B7875-3691-445E-99EA-FAFB3D134F1C}" sibTransId="{F720BFBA-2EDD-447F-AAA7-7E428278458C}"/>
    <dgm:cxn modelId="{B99EB8A0-B7EB-4968-89DB-B56A373E2FB1}" type="presOf" srcId="{E40BC173-B4F8-47C4-969E-2ED2C3544017}" destId="{24EFCBCE-4686-4CBE-BA45-0A1E6E5BD000}" srcOrd="0" destOrd="0" presId="urn:microsoft.com/office/officeart/2005/8/layout/hierarchy3"/>
    <dgm:cxn modelId="{916D25A6-A0B7-4056-8625-3549E306C63E}" type="presOf" srcId="{88B704D5-E6B3-4FCF-A8ED-2FAD0831D3E2}" destId="{DB288A6D-2E74-4061-B279-B30794FD705C}" srcOrd="0" destOrd="0" presId="urn:microsoft.com/office/officeart/2005/8/layout/hierarchy3"/>
    <dgm:cxn modelId="{261DB3AC-4010-4044-8547-561D14F0F199}" type="presOf" srcId="{A037841A-7B08-49D8-AF10-D06BBEE28A55}" destId="{03585700-04B1-46B8-8962-34776EDC31A8}" srcOrd="0" destOrd="0" presId="urn:microsoft.com/office/officeart/2005/8/layout/hierarchy3"/>
    <dgm:cxn modelId="{B61C02AF-8BDC-41F6-91BA-5CC18039FC3B}" type="presOf" srcId="{65495768-CAF8-445F-BA45-A7E35A60201E}" destId="{41912FCC-7D9B-42EC-AE74-60DE313DA241}" srcOrd="0" destOrd="0" presId="urn:microsoft.com/office/officeart/2005/8/layout/hierarchy3"/>
    <dgm:cxn modelId="{49280DB0-FA24-46A0-A3A0-7E254BA5AE6D}" type="presOf" srcId="{520CBD0E-C051-4CE6-9131-0128C79E861E}" destId="{D8B2848D-C40B-41A6-9C09-1B28AE1EA3DA}" srcOrd="0" destOrd="0" presId="urn:microsoft.com/office/officeart/2005/8/layout/hierarchy3"/>
    <dgm:cxn modelId="{FFE9A5B0-6EF0-466F-952C-0CC6C84FB174}" srcId="{D682876A-BE7B-437F-BF1E-D87A1092A030}" destId="{41B9F105-D670-40B8-85BD-EFEA3578FFDC}" srcOrd="5" destOrd="0" parTransId="{E40BC173-B4F8-47C4-969E-2ED2C3544017}" sibTransId="{A6C6E42B-C99F-4EB0-A2EB-34E79DBBB20E}"/>
    <dgm:cxn modelId="{10839BB2-2D3B-4F57-97F4-B4A372D952B3}" srcId="{1B81FA70-0E7E-4B27-82BE-ED965EAE7D1E}" destId="{68B904B5-484E-4B3A-A452-F515CCFD94BE}" srcOrd="3" destOrd="0" parTransId="{3C6C9DC6-833E-4CFE-8DF9-FDD8CFAB0373}" sibTransId="{5FCB63D6-CE14-41F1-9100-6C7392249232}"/>
    <dgm:cxn modelId="{138221B5-562F-4473-8CB6-70D28AB251C3}" type="presOf" srcId="{8684C4ED-A5EB-42C7-BE48-4D38E7A0BAD7}" destId="{688B5352-CC18-449F-9388-9E27CF345DC1}" srcOrd="0" destOrd="0" presId="urn:microsoft.com/office/officeart/2005/8/layout/hierarchy3"/>
    <dgm:cxn modelId="{BFA253BD-3F8A-443C-8A99-6CC92EDC0FA4}" srcId="{D682876A-BE7B-437F-BF1E-D87A1092A030}" destId="{0C92DB1B-212B-452C-B933-152538CE3CCB}" srcOrd="0" destOrd="0" parTransId="{A6016A5B-1832-481D-B18C-2AC9F7A7F4CD}" sibTransId="{C91EAF32-4A36-44E5-AC55-2A137817C69C}"/>
    <dgm:cxn modelId="{970B2FBE-0372-4724-8F40-695F009B19CD}" type="presOf" srcId="{51E8C798-BB82-486F-BA81-D3FDA75234A2}" destId="{B892E0FB-6B30-45A7-8534-5FC7965919A3}" srcOrd="0" destOrd="0" presId="urn:microsoft.com/office/officeart/2005/8/layout/hierarchy3"/>
    <dgm:cxn modelId="{CAA36EBE-AF7A-4561-AC2B-CE9911CF96CB}" srcId="{374EB698-C811-4789-8192-69E22BA5E726}" destId="{46F57BA5-9391-496F-85E7-57A349C67F34}" srcOrd="2" destOrd="0" parTransId="{15778953-4E75-40F8-BBFD-8E0B98F23B93}" sibTransId="{38DC4E7F-4C27-4A5F-B688-46A8E27AB97C}"/>
    <dgm:cxn modelId="{FA8B07BF-AEBF-43CD-B2A2-853DA3995553}" type="presOf" srcId="{D682876A-BE7B-437F-BF1E-D87A1092A030}" destId="{4D2DD371-D176-49D9-9E5F-DC80F79D1485}" srcOrd="1" destOrd="0" presId="urn:microsoft.com/office/officeart/2005/8/layout/hierarchy3"/>
    <dgm:cxn modelId="{051DA5BF-6950-4451-B812-82796F288F5C}" type="presOf" srcId="{4AE248EF-C770-492F-A9E9-79AC765C23DC}" destId="{F69EAD72-388F-4D58-B743-5762A7C9C682}" srcOrd="0" destOrd="0" presId="urn:microsoft.com/office/officeart/2005/8/layout/hierarchy3"/>
    <dgm:cxn modelId="{683652C0-76C1-456E-ADE4-0BDA5BCEA30A}" type="presOf" srcId="{41B9F105-D670-40B8-85BD-EFEA3578FFDC}" destId="{DE91FD7C-8BF0-4821-9BEF-5C423A12D2FC}" srcOrd="0" destOrd="0" presId="urn:microsoft.com/office/officeart/2005/8/layout/hierarchy3"/>
    <dgm:cxn modelId="{80340EC5-8B56-4155-B6DC-C194B5D5D795}" srcId="{C449E764-BE67-4AFD-98A5-0867AC77A9EE}" destId="{711B31C1-6EE8-4A19-B1C5-3BD83506549D}" srcOrd="3" destOrd="0" parTransId="{00DAF997-9D61-402D-B418-F4E7D420EFB2}" sibTransId="{81502CA0-5E95-4469-B114-834A9B5CE8AF}"/>
    <dgm:cxn modelId="{59BA27C5-5F05-4C49-A541-E3F6E9FE1431}" type="presOf" srcId="{1B81FA70-0E7E-4B27-82BE-ED965EAE7D1E}" destId="{46B9799D-DFB4-4BB4-802E-B77EF659E197}" srcOrd="1" destOrd="0" presId="urn:microsoft.com/office/officeart/2005/8/layout/hierarchy3"/>
    <dgm:cxn modelId="{72037AC5-962B-4739-A5E1-F31913E325F8}" type="presOf" srcId="{161034D8-B2C6-476F-87A7-1B3D3F6EF6C5}" destId="{1E72F548-C354-4016-BDD1-A67E376F5C81}" srcOrd="0" destOrd="0" presId="urn:microsoft.com/office/officeart/2005/8/layout/hierarchy3"/>
    <dgm:cxn modelId="{FE76EBC6-925C-497E-B9F1-32D6213473EA}" type="presOf" srcId="{374EB698-C811-4789-8192-69E22BA5E726}" destId="{83BA1D82-4385-4302-A33F-28956D8CB1D5}" srcOrd="1" destOrd="0" presId="urn:microsoft.com/office/officeart/2005/8/layout/hierarchy3"/>
    <dgm:cxn modelId="{C39768C7-952B-415B-97E7-66EB777E6F8C}" type="presOf" srcId="{7F09D06F-4EED-495D-B9B8-7BC30B048675}" destId="{D549ACF5-C596-4AED-9303-59528A87CA32}" srcOrd="0" destOrd="0" presId="urn:microsoft.com/office/officeart/2005/8/layout/hierarchy3"/>
    <dgm:cxn modelId="{0CA000C8-8FCF-4527-A40F-4CECD9A2FB2B}" type="presOf" srcId="{3C230F5E-FA8E-436E-9646-FB21382CED4E}" destId="{3CF4D88D-7BF9-4B2A-BC3C-F4D0C9E91E3C}" srcOrd="0" destOrd="0" presId="urn:microsoft.com/office/officeart/2005/8/layout/hierarchy3"/>
    <dgm:cxn modelId="{7DCDBFCB-10B1-4552-B3CF-BFC28581CF3A}" type="presOf" srcId="{9DDCBCD1-F65C-4FA2-B0D8-A959D4F86EB8}" destId="{58C397AE-7149-436C-9B44-BE18F4169302}" srcOrd="0" destOrd="0" presId="urn:microsoft.com/office/officeart/2005/8/layout/hierarchy3"/>
    <dgm:cxn modelId="{6BE057CE-5FFC-4F0A-9D1D-77782DBCF3BA}" srcId="{D682876A-BE7B-437F-BF1E-D87A1092A030}" destId="{45C2F229-ACBD-4EBD-9F3D-5C501CA4A59E}" srcOrd="4" destOrd="0" parTransId="{26431A40-0F68-4E3E-8031-386AC641C1CE}" sibTransId="{797963A1-F99E-4CD3-AF86-AB2ABB7A1561}"/>
    <dgm:cxn modelId="{E286D1D1-5373-4C99-AC2E-4F83EF7AAAAD}" srcId="{374EB698-C811-4789-8192-69E22BA5E726}" destId="{CB161982-C52F-4257-BEC8-84C90E0B4ADD}" srcOrd="5" destOrd="0" parTransId="{4B318F98-E3B3-4ADB-8E75-A976179B6FA0}" sibTransId="{47A03F70-4D37-4F75-9D6C-AA39000A3F0B}"/>
    <dgm:cxn modelId="{808842D2-8E79-444B-8992-8FCD81B26964}" type="presOf" srcId="{FF729064-C571-4914-9D01-2133C0AAFD4E}" destId="{F9E9365F-079B-4740-8FCB-0F7400033DC4}" srcOrd="0" destOrd="0" presId="urn:microsoft.com/office/officeart/2005/8/layout/hierarchy3"/>
    <dgm:cxn modelId="{28AB38D6-F6E3-478F-9A51-05B9B5523C5E}" srcId="{1B81FA70-0E7E-4B27-82BE-ED965EAE7D1E}" destId="{161034D8-B2C6-476F-87A7-1B3D3F6EF6C5}" srcOrd="2" destOrd="0" parTransId="{7F09D06F-4EED-495D-B9B8-7BC30B048675}" sibTransId="{FCCE45A1-2DCA-4F08-8749-9342D7061779}"/>
    <dgm:cxn modelId="{782E24D9-3C6C-4171-A30C-A5B5F3E46234}" type="presOf" srcId="{C449E764-BE67-4AFD-98A5-0867AC77A9EE}" destId="{C8057152-C247-4656-AAF4-93C788DC587E}" srcOrd="0" destOrd="0" presId="urn:microsoft.com/office/officeart/2005/8/layout/hierarchy3"/>
    <dgm:cxn modelId="{C510EDDD-33B7-412C-9C9A-4DC8A6A69A50}" srcId="{C449E764-BE67-4AFD-98A5-0867AC77A9EE}" destId="{CC55C4BD-0DC6-4470-A35A-1AD9D21474CE}" srcOrd="0" destOrd="0" parTransId="{02B3328E-FF5A-497B-A49D-113743E7D3A2}" sibTransId="{7DBB93E6-458E-4716-B27F-C5A2E9C71B1D}"/>
    <dgm:cxn modelId="{FAB47AE0-F96D-4F71-8EEB-6D00222C7295}" type="presOf" srcId="{45C2F229-ACBD-4EBD-9F3D-5C501CA4A59E}" destId="{56B74D18-E57B-4769-AD1D-A1C82D610BF0}" srcOrd="0" destOrd="0" presId="urn:microsoft.com/office/officeart/2005/8/layout/hierarchy3"/>
    <dgm:cxn modelId="{B4FF8EE0-A261-497D-828C-D258F17A545D}" type="presOf" srcId="{406F03F4-96C7-468F-A0E8-8A43100BFB94}" destId="{CC0BF90B-89E8-4AC4-A4B7-97E0F1AABD5A}" srcOrd="0" destOrd="0" presId="urn:microsoft.com/office/officeart/2005/8/layout/hierarchy3"/>
    <dgm:cxn modelId="{F33ECCE2-4C08-44D4-80A4-2DF885DD1CEF}" type="presOf" srcId="{2C675E3B-1585-4E17-B32D-A7BBB3399A2B}" destId="{F0DD93FA-1FA9-4E7C-B3C2-DA13854B631D}" srcOrd="0" destOrd="0" presId="urn:microsoft.com/office/officeart/2005/8/layout/hierarchy3"/>
    <dgm:cxn modelId="{DD8ACEE4-220B-425A-B67A-FEC6B9B8B369}" type="presOf" srcId="{68B904B5-484E-4B3A-A452-F515CCFD94BE}" destId="{07FE1731-318D-4444-AC53-EE91F5279001}" srcOrd="0" destOrd="0" presId="urn:microsoft.com/office/officeart/2005/8/layout/hierarchy3"/>
    <dgm:cxn modelId="{376BBCE5-3906-4C16-9D15-1D446A12FCC7}" type="presOf" srcId="{3C6C9DC6-833E-4CFE-8DF9-FDD8CFAB0373}" destId="{D66D24A5-9FA8-4B9E-B39C-D7CD7F630A92}" srcOrd="0" destOrd="0" presId="urn:microsoft.com/office/officeart/2005/8/layout/hierarchy3"/>
    <dgm:cxn modelId="{D88A2FE6-B7B0-4AE5-9B14-3762DAE11314}" srcId="{374EB698-C811-4789-8192-69E22BA5E726}" destId="{3F956FD3-241F-4AED-A101-B2649C74D85D}" srcOrd="3" destOrd="0" parTransId="{3334EF45-A492-49FF-BE03-03B0B16FF5EF}" sibTransId="{4F5F3A06-FDBC-4AD3-9D34-D25A6E583D2C}"/>
    <dgm:cxn modelId="{E25F12E7-E3BB-4DA9-91D2-283DCCA7227B}" type="presOf" srcId="{30FEF70D-789A-4543-890E-4F2806270DD4}" destId="{7B7C720E-C4F9-46A9-8AA6-6230CAAEDCD5}" srcOrd="0" destOrd="0" presId="urn:microsoft.com/office/officeart/2005/8/layout/hierarchy3"/>
    <dgm:cxn modelId="{61E1FCE9-A806-4D1A-8560-9138F425EF38}" type="presOf" srcId="{711B31C1-6EE8-4A19-B1C5-3BD83506549D}" destId="{EA92BD11-172B-410D-981F-9FA4DF24BBF8}" srcOrd="0" destOrd="0" presId="urn:microsoft.com/office/officeart/2005/8/layout/hierarchy3"/>
    <dgm:cxn modelId="{98AD1AEC-4731-4396-9547-9928C91AF386}" srcId="{1B81FA70-0E7E-4B27-82BE-ED965EAE7D1E}" destId="{9DDCBCD1-F65C-4FA2-B0D8-A959D4F86EB8}" srcOrd="0" destOrd="0" parTransId="{251ED32F-664C-49CC-BA39-35FAA5D37441}" sibTransId="{8C8016B0-82AC-46FB-9D5E-61180ABF9442}"/>
    <dgm:cxn modelId="{0E7915EE-7B03-45C1-A20D-D93BFBD35846}" type="presOf" srcId="{425B6B2C-4192-43D6-A9E5-E0F348E27ED3}" destId="{F6ED109A-389F-457F-A9BE-D1EFEABE08E8}" srcOrd="0" destOrd="0" presId="urn:microsoft.com/office/officeart/2005/8/layout/hierarchy3"/>
    <dgm:cxn modelId="{DB9609F3-D929-4586-AFF9-47AF9A9D3460}" type="presOf" srcId="{A6016A5B-1832-481D-B18C-2AC9F7A7F4CD}" destId="{C0E8CEA0-B08E-402D-A43B-787BF2D99547}" srcOrd="0" destOrd="0" presId="urn:microsoft.com/office/officeart/2005/8/layout/hierarchy3"/>
    <dgm:cxn modelId="{855FD6F3-CFEC-4B37-A0A0-C5CF0838D3BC}" srcId="{C449E764-BE67-4AFD-98A5-0867AC77A9EE}" destId="{3C230F5E-FA8E-436E-9646-FB21382CED4E}" srcOrd="1" destOrd="0" parTransId="{A037841A-7B08-49D8-AF10-D06BBEE28A55}" sibTransId="{BCBC861C-5AEF-4CD0-A3F1-99C417C2F929}"/>
    <dgm:cxn modelId="{05D0F3F5-3EFE-4896-8993-F8B5DE13D761}" srcId="{374EB698-C811-4789-8192-69E22BA5E726}" destId="{39ABD42E-01FC-4643-BE9D-C5D42A8D8204}" srcOrd="1" destOrd="0" parTransId="{2C675E3B-1585-4E17-B32D-A7BBB3399A2B}" sibTransId="{C8EF3EC8-B5F7-44F2-96C6-A96F72A1A46A}"/>
    <dgm:cxn modelId="{7AE4B9F6-61DD-46AE-84A9-F0DD71B71872}" type="presOf" srcId="{C449E764-BE67-4AFD-98A5-0867AC77A9EE}" destId="{CA1A5D93-C26B-44A3-888C-BAEF4668CC71}" srcOrd="1" destOrd="0" presId="urn:microsoft.com/office/officeart/2005/8/layout/hierarchy3"/>
    <dgm:cxn modelId="{FE42AEF7-2D77-4911-BEE5-D27F91526BE7}" type="presOf" srcId="{2AE196B6-2AF6-4595-BFAF-23115B0345C0}" destId="{4D8EC090-D9D4-4DC4-A8BF-8809C40636DC}" srcOrd="0" destOrd="0" presId="urn:microsoft.com/office/officeart/2005/8/layout/hierarchy3"/>
    <dgm:cxn modelId="{E27E97FA-8B75-4823-8D89-E6F257769ADD}" type="presOf" srcId="{56CE0A71-B477-4367-B82D-B1A2200334B9}" destId="{F76D94E9-009E-4F51-AE0B-DA202BF25D85}" srcOrd="0" destOrd="0" presId="urn:microsoft.com/office/officeart/2005/8/layout/hierarchy3"/>
    <dgm:cxn modelId="{4FF7C0FB-4145-4A10-A81F-00A1A4C156FC}" srcId="{374EB698-C811-4789-8192-69E22BA5E726}" destId="{30FEF70D-789A-4543-890E-4F2806270DD4}" srcOrd="6" destOrd="0" parTransId="{5B4369EF-EBB1-440A-8A69-C2FA6711804F}" sibTransId="{74CB997E-B62F-46B8-9A14-C9C0BDF71069}"/>
    <dgm:cxn modelId="{56BB00FD-2A68-4C06-A15D-1D3D2E044928}" type="presOf" srcId="{4B318F98-E3B3-4ADB-8E75-A976179B6FA0}" destId="{AAB96236-DBB8-4F89-B7F3-574B80603870}" srcOrd="0" destOrd="0" presId="urn:microsoft.com/office/officeart/2005/8/layout/hierarchy3"/>
    <dgm:cxn modelId="{E5BCEDFD-FE33-4775-BC2D-1A36E33748A7}" type="presOf" srcId="{1B81FA70-0E7E-4B27-82BE-ED965EAE7D1E}" destId="{141CB503-BD0C-4FFF-B915-795E9B874FFF}" srcOrd="0" destOrd="0" presId="urn:microsoft.com/office/officeart/2005/8/layout/hierarchy3"/>
    <dgm:cxn modelId="{4B50ED1C-049A-4614-B793-8EAFB3E05E4E}" type="presParOf" srcId="{DB288A6D-2E74-4061-B279-B30794FD705C}" destId="{871E772D-E73C-4EDD-9900-302E6AD7466F}" srcOrd="0" destOrd="0" presId="urn:microsoft.com/office/officeart/2005/8/layout/hierarchy3"/>
    <dgm:cxn modelId="{B76EE942-C0A1-43BA-B1F9-5AA640C29816}" type="presParOf" srcId="{871E772D-E73C-4EDD-9900-302E6AD7466F}" destId="{060A84A6-0AD5-4748-967A-20DBBB6CD887}" srcOrd="0" destOrd="0" presId="urn:microsoft.com/office/officeart/2005/8/layout/hierarchy3"/>
    <dgm:cxn modelId="{17F66645-DDB9-40D6-9E99-879F9E0143E5}" type="presParOf" srcId="{060A84A6-0AD5-4748-967A-20DBBB6CD887}" destId="{2AD8B9CB-6CF6-45DE-BC18-7C634ACF71BF}" srcOrd="0" destOrd="0" presId="urn:microsoft.com/office/officeart/2005/8/layout/hierarchy3"/>
    <dgm:cxn modelId="{AF61D6B9-6831-4591-BE31-AE424A50892A}" type="presParOf" srcId="{060A84A6-0AD5-4748-967A-20DBBB6CD887}" destId="{83BA1D82-4385-4302-A33F-28956D8CB1D5}" srcOrd="1" destOrd="0" presId="urn:microsoft.com/office/officeart/2005/8/layout/hierarchy3"/>
    <dgm:cxn modelId="{660B8C44-7D92-4D0C-B36A-CBD9A3DF304C}" type="presParOf" srcId="{871E772D-E73C-4EDD-9900-302E6AD7466F}" destId="{F296D1DC-58E2-46C2-8488-63AEA99FAAE8}" srcOrd="1" destOrd="0" presId="urn:microsoft.com/office/officeart/2005/8/layout/hierarchy3"/>
    <dgm:cxn modelId="{558F8ECE-C3E0-492D-BA99-E7723F186E72}" type="presParOf" srcId="{F296D1DC-58E2-46C2-8488-63AEA99FAAE8}" destId="{0349519F-80A2-4CAE-B9C4-275E405C682B}" srcOrd="0" destOrd="0" presId="urn:microsoft.com/office/officeart/2005/8/layout/hierarchy3"/>
    <dgm:cxn modelId="{6EFBE143-16E6-4371-B3E4-931188BC83A0}" type="presParOf" srcId="{F296D1DC-58E2-46C2-8488-63AEA99FAAE8}" destId="{F69EAD72-388F-4D58-B743-5762A7C9C682}" srcOrd="1" destOrd="0" presId="urn:microsoft.com/office/officeart/2005/8/layout/hierarchy3"/>
    <dgm:cxn modelId="{F6288A5A-E766-4B11-9931-6EB5546877EF}" type="presParOf" srcId="{F296D1DC-58E2-46C2-8488-63AEA99FAAE8}" destId="{F0DD93FA-1FA9-4E7C-B3C2-DA13854B631D}" srcOrd="2" destOrd="0" presId="urn:microsoft.com/office/officeart/2005/8/layout/hierarchy3"/>
    <dgm:cxn modelId="{E09E90AC-7B9F-4464-B0B4-59A3011109DA}" type="presParOf" srcId="{F296D1DC-58E2-46C2-8488-63AEA99FAAE8}" destId="{0C4C0EAB-1812-4AED-A68B-3C167D0ABD24}" srcOrd="3" destOrd="0" presId="urn:microsoft.com/office/officeart/2005/8/layout/hierarchy3"/>
    <dgm:cxn modelId="{D42FEACD-21FF-48D2-851C-759AE226F823}" type="presParOf" srcId="{F296D1DC-58E2-46C2-8488-63AEA99FAAE8}" destId="{533318D9-3CC7-4350-AA2A-C2D2EC182E84}" srcOrd="4" destOrd="0" presId="urn:microsoft.com/office/officeart/2005/8/layout/hierarchy3"/>
    <dgm:cxn modelId="{BAF57A8C-67BB-4360-8234-14647AEB7797}" type="presParOf" srcId="{F296D1DC-58E2-46C2-8488-63AEA99FAAE8}" destId="{87A2AE9D-DB43-4D3C-9192-DA1F99423210}" srcOrd="5" destOrd="0" presId="urn:microsoft.com/office/officeart/2005/8/layout/hierarchy3"/>
    <dgm:cxn modelId="{A6B9AD4D-C2BA-4BF1-A44C-05DCC298118A}" type="presParOf" srcId="{F296D1DC-58E2-46C2-8488-63AEA99FAAE8}" destId="{D68B4460-E469-4277-BCEC-0F0F40C5BC8D}" srcOrd="6" destOrd="0" presId="urn:microsoft.com/office/officeart/2005/8/layout/hierarchy3"/>
    <dgm:cxn modelId="{89D1293F-36C7-423A-9283-426B6A5397A1}" type="presParOf" srcId="{F296D1DC-58E2-46C2-8488-63AEA99FAAE8}" destId="{FFEEAB04-4073-4F60-B495-3A9BB97ABF0C}" srcOrd="7" destOrd="0" presId="urn:microsoft.com/office/officeart/2005/8/layout/hierarchy3"/>
    <dgm:cxn modelId="{F46050BA-0EB5-45A0-BC37-8DAF70BC2D6B}" type="presParOf" srcId="{F296D1DC-58E2-46C2-8488-63AEA99FAAE8}" destId="{877F3D60-270C-4FE9-84B3-DB90E93DA4B1}" srcOrd="8" destOrd="0" presId="urn:microsoft.com/office/officeart/2005/8/layout/hierarchy3"/>
    <dgm:cxn modelId="{97E7CE50-7DD6-4647-B807-2435FA4DCC23}" type="presParOf" srcId="{F296D1DC-58E2-46C2-8488-63AEA99FAAE8}" destId="{41912FCC-7D9B-42EC-AE74-60DE313DA241}" srcOrd="9" destOrd="0" presId="urn:microsoft.com/office/officeart/2005/8/layout/hierarchy3"/>
    <dgm:cxn modelId="{75CFB00C-42B2-4514-B998-B3980FD971CA}" type="presParOf" srcId="{F296D1DC-58E2-46C2-8488-63AEA99FAAE8}" destId="{AAB96236-DBB8-4F89-B7F3-574B80603870}" srcOrd="10" destOrd="0" presId="urn:microsoft.com/office/officeart/2005/8/layout/hierarchy3"/>
    <dgm:cxn modelId="{2D7D72BA-EDE0-43FF-AE5D-7EB9DF1D4CDE}" type="presParOf" srcId="{F296D1DC-58E2-46C2-8488-63AEA99FAAE8}" destId="{FDCA1151-9290-4505-9158-0093A932E248}" srcOrd="11" destOrd="0" presId="urn:microsoft.com/office/officeart/2005/8/layout/hierarchy3"/>
    <dgm:cxn modelId="{E68CF740-F823-42B9-B52D-F4062EBB9D7B}" type="presParOf" srcId="{F296D1DC-58E2-46C2-8488-63AEA99FAAE8}" destId="{95A19D8E-0463-4AD1-96DF-6ED48126CCB6}" srcOrd="12" destOrd="0" presId="urn:microsoft.com/office/officeart/2005/8/layout/hierarchy3"/>
    <dgm:cxn modelId="{8ABD3048-93DC-49D8-8A51-E89042D77898}" type="presParOf" srcId="{F296D1DC-58E2-46C2-8488-63AEA99FAAE8}" destId="{7B7C720E-C4F9-46A9-8AA6-6230CAAEDCD5}" srcOrd="13" destOrd="0" presId="urn:microsoft.com/office/officeart/2005/8/layout/hierarchy3"/>
    <dgm:cxn modelId="{B5EBCE10-39FE-4229-9B86-C61FDF62EEEA}" type="presParOf" srcId="{DB288A6D-2E74-4061-B279-B30794FD705C}" destId="{A74BE3B5-7CDC-4B2A-A4FD-23883C79F495}" srcOrd="1" destOrd="0" presId="urn:microsoft.com/office/officeart/2005/8/layout/hierarchy3"/>
    <dgm:cxn modelId="{CD78B523-A93A-466D-9695-97665EA0C3FB}" type="presParOf" srcId="{A74BE3B5-7CDC-4B2A-A4FD-23883C79F495}" destId="{269CBEBE-6199-4330-BB76-D4B78B18A9E3}" srcOrd="0" destOrd="0" presId="urn:microsoft.com/office/officeart/2005/8/layout/hierarchy3"/>
    <dgm:cxn modelId="{F715F288-FB73-457A-9928-1AC96F257780}" type="presParOf" srcId="{269CBEBE-6199-4330-BB76-D4B78B18A9E3}" destId="{FB0F9757-5A0C-4F7E-9298-28E9E9369317}" srcOrd="0" destOrd="0" presId="urn:microsoft.com/office/officeart/2005/8/layout/hierarchy3"/>
    <dgm:cxn modelId="{80982E1C-5C32-480C-A19B-4802D28C133F}" type="presParOf" srcId="{269CBEBE-6199-4330-BB76-D4B78B18A9E3}" destId="{4D2DD371-D176-49D9-9E5F-DC80F79D1485}" srcOrd="1" destOrd="0" presId="urn:microsoft.com/office/officeart/2005/8/layout/hierarchy3"/>
    <dgm:cxn modelId="{4EA4DBBD-60B8-4292-AB31-FB6E2AF1CF93}" type="presParOf" srcId="{A74BE3B5-7CDC-4B2A-A4FD-23883C79F495}" destId="{9150A741-D081-4AF8-8465-474FF7CA63CA}" srcOrd="1" destOrd="0" presId="urn:microsoft.com/office/officeart/2005/8/layout/hierarchy3"/>
    <dgm:cxn modelId="{8559D4E2-1291-4E00-A775-CBA9CDC5B36B}" type="presParOf" srcId="{9150A741-D081-4AF8-8465-474FF7CA63CA}" destId="{C0E8CEA0-B08E-402D-A43B-787BF2D99547}" srcOrd="0" destOrd="0" presId="urn:microsoft.com/office/officeart/2005/8/layout/hierarchy3"/>
    <dgm:cxn modelId="{1DFF5495-7B06-4507-A9AA-2A29CFE54092}" type="presParOf" srcId="{9150A741-D081-4AF8-8465-474FF7CA63CA}" destId="{4688E198-950A-49E6-9442-F062D1692144}" srcOrd="1" destOrd="0" presId="urn:microsoft.com/office/officeart/2005/8/layout/hierarchy3"/>
    <dgm:cxn modelId="{276BFEAA-4124-4754-930E-5DBBAD85FBA1}" type="presParOf" srcId="{9150A741-D081-4AF8-8465-474FF7CA63CA}" destId="{688B5352-CC18-449F-9388-9E27CF345DC1}" srcOrd="2" destOrd="0" presId="urn:microsoft.com/office/officeart/2005/8/layout/hierarchy3"/>
    <dgm:cxn modelId="{778D6234-132D-40C1-ADD8-1B85E1CE2D51}" type="presParOf" srcId="{9150A741-D081-4AF8-8465-474FF7CA63CA}" destId="{B892E0FB-6B30-45A7-8534-5FC7965919A3}" srcOrd="3" destOrd="0" presId="urn:microsoft.com/office/officeart/2005/8/layout/hierarchy3"/>
    <dgm:cxn modelId="{A25604A3-223B-46C6-9E66-B7564B0EE890}" type="presParOf" srcId="{9150A741-D081-4AF8-8465-474FF7CA63CA}" destId="{A941263F-F1B6-4288-8521-993595007103}" srcOrd="4" destOrd="0" presId="urn:microsoft.com/office/officeart/2005/8/layout/hierarchy3"/>
    <dgm:cxn modelId="{68D82C18-EC70-4F8C-8FD2-9117D021EA59}" type="presParOf" srcId="{9150A741-D081-4AF8-8465-474FF7CA63CA}" destId="{88DB9859-9844-4BB5-B779-C60BA16D9797}" srcOrd="5" destOrd="0" presId="urn:microsoft.com/office/officeart/2005/8/layout/hierarchy3"/>
    <dgm:cxn modelId="{82FB4435-E61C-4EA9-906D-E35CCF8AD50C}" type="presParOf" srcId="{9150A741-D081-4AF8-8465-474FF7CA63CA}" destId="{D8B2848D-C40B-41A6-9C09-1B28AE1EA3DA}" srcOrd="6" destOrd="0" presId="urn:microsoft.com/office/officeart/2005/8/layout/hierarchy3"/>
    <dgm:cxn modelId="{B5158E51-44BF-48F9-B187-9549A1935DB3}" type="presParOf" srcId="{9150A741-D081-4AF8-8465-474FF7CA63CA}" destId="{B2467833-6926-4479-86EA-0268ADDD0A90}" srcOrd="7" destOrd="0" presId="urn:microsoft.com/office/officeart/2005/8/layout/hierarchy3"/>
    <dgm:cxn modelId="{E2536C56-DEBD-4DD7-8E8A-84B53070A5C4}" type="presParOf" srcId="{9150A741-D081-4AF8-8465-474FF7CA63CA}" destId="{F7D99DDC-11E1-4237-B501-1E5920078BCE}" srcOrd="8" destOrd="0" presId="urn:microsoft.com/office/officeart/2005/8/layout/hierarchy3"/>
    <dgm:cxn modelId="{068CE5AE-365F-4D22-8469-9CF434085DB9}" type="presParOf" srcId="{9150A741-D081-4AF8-8465-474FF7CA63CA}" destId="{56B74D18-E57B-4769-AD1D-A1C82D610BF0}" srcOrd="9" destOrd="0" presId="urn:microsoft.com/office/officeart/2005/8/layout/hierarchy3"/>
    <dgm:cxn modelId="{8161A718-B898-4FB7-AF15-AB648C308950}" type="presParOf" srcId="{9150A741-D081-4AF8-8465-474FF7CA63CA}" destId="{24EFCBCE-4686-4CBE-BA45-0A1E6E5BD000}" srcOrd="10" destOrd="0" presId="urn:microsoft.com/office/officeart/2005/8/layout/hierarchy3"/>
    <dgm:cxn modelId="{D6762419-AB0E-4357-ABF9-577425758F95}" type="presParOf" srcId="{9150A741-D081-4AF8-8465-474FF7CA63CA}" destId="{DE91FD7C-8BF0-4821-9BEF-5C423A12D2FC}" srcOrd="11" destOrd="0" presId="urn:microsoft.com/office/officeart/2005/8/layout/hierarchy3"/>
    <dgm:cxn modelId="{916F2044-F52D-44AE-B832-CACDF8BCC17B}" type="presParOf" srcId="{DB288A6D-2E74-4061-B279-B30794FD705C}" destId="{C0E0270B-33D4-4D12-B8E3-0747936ABBA9}" srcOrd="2" destOrd="0" presId="urn:microsoft.com/office/officeart/2005/8/layout/hierarchy3"/>
    <dgm:cxn modelId="{7389AA2B-D166-4825-854F-361FA78DF83A}" type="presParOf" srcId="{C0E0270B-33D4-4D12-B8E3-0747936ABBA9}" destId="{6E83BA4C-25BA-43B5-96E3-EA59FE712078}" srcOrd="0" destOrd="0" presId="urn:microsoft.com/office/officeart/2005/8/layout/hierarchy3"/>
    <dgm:cxn modelId="{FE73C025-B274-4F92-AE2F-FC328E041580}" type="presParOf" srcId="{6E83BA4C-25BA-43B5-96E3-EA59FE712078}" destId="{141CB503-BD0C-4FFF-B915-795E9B874FFF}" srcOrd="0" destOrd="0" presId="urn:microsoft.com/office/officeart/2005/8/layout/hierarchy3"/>
    <dgm:cxn modelId="{B298D9B0-4A01-46ED-9E79-4A98734DD9A0}" type="presParOf" srcId="{6E83BA4C-25BA-43B5-96E3-EA59FE712078}" destId="{46B9799D-DFB4-4BB4-802E-B77EF659E197}" srcOrd="1" destOrd="0" presId="urn:microsoft.com/office/officeart/2005/8/layout/hierarchy3"/>
    <dgm:cxn modelId="{8FE99F4A-407F-4CF0-B985-9B6C96885FC7}" type="presParOf" srcId="{C0E0270B-33D4-4D12-B8E3-0747936ABBA9}" destId="{8556668C-4214-4580-83E3-5DEC264BB217}" srcOrd="1" destOrd="0" presId="urn:microsoft.com/office/officeart/2005/8/layout/hierarchy3"/>
    <dgm:cxn modelId="{DBF7D4C3-1810-4A81-ACC4-9E9BC501EBDF}" type="presParOf" srcId="{8556668C-4214-4580-83E3-5DEC264BB217}" destId="{68EBDABD-FDC5-407A-89D5-C618ABF7114A}" srcOrd="0" destOrd="0" presId="urn:microsoft.com/office/officeart/2005/8/layout/hierarchy3"/>
    <dgm:cxn modelId="{C526D45D-EF5E-4D13-BF08-38FC8824D00E}" type="presParOf" srcId="{8556668C-4214-4580-83E3-5DEC264BB217}" destId="{58C397AE-7149-436C-9B44-BE18F4169302}" srcOrd="1" destOrd="0" presId="urn:microsoft.com/office/officeart/2005/8/layout/hierarchy3"/>
    <dgm:cxn modelId="{63B46106-F4EC-45F4-8838-7B3A1DD35F04}" type="presParOf" srcId="{8556668C-4214-4580-83E3-5DEC264BB217}" destId="{CC0BF90B-89E8-4AC4-A4B7-97E0F1AABD5A}" srcOrd="2" destOrd="0" presId="urn:microsoft.com/office/officeart/2005/8/layout/hierarchy3"/>
    <dgm:cxn modelId="{33FBB2B6-A02F-4D74-9F15-7F096F4D873B}" type="presParOf" srcId="{8556668C-4214-4580-83E3-5DEC264BB217}" destId="{2BF927CB-E882-4081-809B-358E5895B21B}" srcOrd="3" destOrd="0" presId="urn:microsoft.com/office/officeart/2005/8/layout/hierarchy3"/>
    <dgm:cxn modelId="{AACC1285-70F9-4D3B-A707-C9BECD8B9A69}" type="presParOf" srcId="{8556668C-4214-4580-83E3-5DEC264BB217}" destId="{D549ACF5-C596-4AED-9303-59528A87CA32}" srcOrd="4" destOrd="0" presId="urn:microsoft.com/office/officeart/2005/8/layout/hierarchy3"/>
    <dgm:cxn modelId="{33BB0640-3BBF-4784-A61D-80A8555D1BCC}" type="presParOf" srcId="{8556668C-4214-4580-83E3-5DEC264BB217}" destId="{1E72F548-C354-4016-BDD1-A67E376F5C81}" srcOrd="5" destOrd="0" presId="urn:microsoft.com/office/officeart/2005/8/layout/hierarchy3"/>
    <dgm:cxn modelId="{D6AD98F0-0571-4B56-99FD-72EA12B50D5A}" type="presParOf" srcId="{8556668C-4214-4580-83E3-5DEC264BB217}" destId="{D66D24A5-9FA8-4B9E-B39C-D7CD7F630A92}" srcOrd="6" destOrd="0" presId="urn:microsoft.com/office/officeart/2005/8/layout/hierarchy3"/>
    <dgm:cxn modelId="{D0394005-32D0-4FC5-9855-2EBE608E7785}" type="presParOf" srcId="{8556668C-4214-4580-83E3-5DEC264BB217}" destId="{07FE1731-318D-4444-AC53-EE91F5279001}" srcOrd="7" destOrd="0" presId="urn:microsoft.com/office/officeart/2005/8/layout/hierarchy3"/>
    <dgm:cxn modelId="{BA100BEA-686B-4CE5-A9B8-9B4D9E585D68}" type="presParOf" srcId="{8556668C-4214-4580-83E3-5DEC264BB217}" destId="{F9E9365F-079B-4740-8FCB-0F7400033DC4}" srcOrd="8" destOrd="0" presId="urn:microsoft.com/office/officeart/2005/8/layout/hierarchy3"/>
    <dgm:cxn modelId="{D1D89432-30FE-4712-A099-6A72CD23E614}" type="presParOf" srcId="{8556668C-4214-4580-83E3-5DEC264BB217}" destId="{EF32F9EE-A36A-4A2D-A82F-58BB1ADE2DD9}" srcOrd="9" destOrd="0" presId="urn:microsoft.com/office/officeart/2005/8/layout/hierarchy3"/>
    <dgm:cxn modelId="{F8E21417-9C2D-4BEA-B838-E5C45C506125}" type="presParOf" srcId="{8556668C-4214-4580-83E3-5DEC264BB217}" destId="{1B7170E8-BDB2-48FA-AC72-3B6CB3F91C0D}" srcOrd="10" destOrd="0" presId="urn:microsoft.com/office/officeart/2005/8/layout/hierarchy3"/>
    <dgm:cxn modelId="{D79F5009-A8E4-4243-80C6-76E1CA0E7F81}" type="presParOf" srcId="{8556668C-4214-4580-83E3-5DEC264BB217}" destId="{241986E3-B4B2-4FDD-828E-11CE00685167}" srcOrd="11" destOrd="0" presId="urn:microsoft.com/office/officeart/2005/8/layout/hierarchy3"/>
    <dgm:cxn modelId="{CA1D8412-9EC3-4B67-8DAC-4E7CC6C8A358}" type="presParOf" srcId="{8556668C-4214-4580-83E3-5DEC264BB217}" destId="{F6ED109A-389F-457F-A9BE-D1EFEABE08E8}" srcOrd="12" destOrd="0" presId="urn:microsoft.com/office/officeart/2005/8/layout/hierarchy3"/>
    <dgm:cxn modelId="{25D0A138-A67E-4E2B-BC5C-BCC5FFB473DB}" type="presParOf" srcId="{8556668C-4214-4580-83E3-5DEC264BB217}" destId="{8BCDEF24-C870-44B0-826F-D916DAB2B8AB}" srcOrd="13" destOrd="0" presId="urn:microsoft.com/office/officeart/2005/8/layout/hierarchy3"/>
    <dgm:cxn modelId="{E92EFDE8-C2F7-4467-AFCB-0651512C9DA5}" type="presParOf" srcId="{DB288A6D-2E74-4061-B279-B30794FD705C}" destId="{265A13F7-7F08-4423-8309-AC36292C8777}" srcOrd="3" destOrd="0" presId="urn:microsoft.com/office/officeart/2005/8/layout/hierarchy3"/>
    <dgm:cxn modelId="{2383254E-9025-4FF3-97E6-4C1B3306782A}" type="presParOf" srcId="{265A13F7-7F08-4423-8309-AC36292C8777}" destId="{D430CE41-85E4-4AE7-9602-00A2740B76AD}" srcOrd="0" destOrd="0" presId="urn:microsoft.com/office/officeart/2005/8/layout/hierarchy3"/>
    <dgm:cxn modelId="{3A0244F2-1872-46B9-A6DB-470BAEA8B36B}" type="presParOf" srcId="{D430CE41-85E4-4AE7-9602-00A2740B76AD}" destId="{C8057152-C247-4656-AAF4-93C788DC587E}" srcOrd="0" destOrd="0" presId="urn:microsoft.com/office/officeart/2005/8/layout/hierarchy3"/>
    <dgm:cxn modelId="{F1F83323-64FF-4FFC-8BAE-D4412CC0AAA0}" type="presParOf" srcId="{D430CE41-85E4-4AE7-9602-00A2740B76AD}" destId="{CA1A5D93-C26B-44A3-888C-BAEF4668CC71}" srcOrd="1" destOrd="0" presId="urn:microsoft.com/office/officeart/2005/8/layout/hierarchy3"/>
    <dgm:cxn modelId="{BCD7D115-2DF0-403C-8E93-605DA853B4A3}" type="presParOf" srcId="{265A13F7-7F08-4423-8309-AC36292C8777}" destId="{A92D5A0E-F222-4538-8668-E298D72B6964}" srcOrd="1" destOrd="0" presId="urn:microsoft.com/office/officeart/2005/8/layout/hierarchy3"/>
    <dgm:cxn modelId="{E2577267-1D15-4326-975A-02DED905B5BD}" type="presParOf" srcId="{A92D5A0E-F222-4538-8668-E298D72B6964}" destId="{77D42D4B-2542-4E3B-AE4F-55C818CDDC0E}" srcOrd="0" destOrd="0" presId="urn:microsoft.com/office/officeart/2005/8/layout/hierarchy3"/>
    <dgm:cxn modelId="{133004FA-ECF0-4BC6-A384-09BD2BC64586}" type="presParOf" srcId="{A92D5A0E-F222-4538-8668-E298D72B6964}" destId="{E5E4225F-A5D2-4A51-8D08-B39B85AA9AD3}" srcOrd="1" destOrd="0" presId="urn:microsoft.com/office/officeart/2005/8/layout/hierarchy3"/>
    <dgm:cxn modelId="{23B8B0C6-0881-4805-A998-CA41DFA1134E}" type="presParOf" srcId="{A92D5A0E-F222-4538-8668-E298D72B6964}" destId="{03585700-04B1-46B8-8962-34776EDC31A8}" srcOrd="2" destOrd="0" presId="urn:microsoft.com/office/officeart/2005/8/layout/hierarchy3"/>
    <dgm:cxn modelId="{52315B94-5A18-4489-B558-B10C0D6A5B51}" type="presParOf" srcId="{A92D5A0E-F222-4538-8668-E298D72B6964}" destId="{3CF4D88D-7BF9-4B2A-BC3C-F4D0C9E91E3C}" srcOrd="3" destOrd="0" presId="urn:microsoft.com/office/officeart/2005/8/layout/hierarchy3"/>
    <dgm:cxn modelId="{B3633280-430E-47EF-9C8A-7CCBA625F69E}" type="presParOf" srcId="{A92D5A0E-F222-4538-8668-E298D72B6964}" destId="{7D0CA10B-0765-4780-8D93-8CE705720246}" srcOrd="4" destOrd="0" presId="urn:microsoft.com/office/officeart/2005/8/layout/hierarchy3"/>
    <dgm:cxn modelId="{8859107C-6E1A-457A-89A2-DFF9E469FFBB}" type="presParOf" srcId="{A92D5A0E-F222-4538-8668-E298D72B6964}" destId="{BE36DC54-BCDF-4816-B50A-A06A97C41921}" srcOrd="5" destOrd="0" presId="urn:microsoft.com/office/officeart/2005/8/layout/hierarchy3"/>
    <dgm:cxn modelId="{5C066B11-E4D6-440A-B16F-140D4A179ECB}" type="presParOf" srcId="{A92D5A0E-F222-4538-8668-E298D72B6964}" destId="{6F3EAB11-F575-4AC6-AC7F-1F9B239A712A}" srcOrd="6" destOrd="0" presId="urn:microsoft.com/office/officeart/2005/8/layout/hierarchy3"/>
    <dgm:cxn modelId="{8608773D-D2C4-48EA-9D22-61B5D0928328}" type="presParOf" srcId="{A92D5A0E-F222-4538-8668-E298D72B6964}" destId="{EA92BD11-172B-410D-981F-9FA4DF24BBF8}" srcOrd="7" destOrd="0" presId="urn:microsoft.com/office/officeart/2005/8/layout/hierarchy3"/>
    <dgm:cxn modelId="{CE0C1C78-CA75-4297-9EB4-4D7E04BCC89E}" type="presParOf" srcId="{A92D5A0E-F222-4538-8668-E298D72B6964}" destId="{F77B71CE-9430-4AA1-89B7-65D0901313A5}" srcOrd="8" destOrd="0" presId="urn:microsoft.com/office/officeart/2005/8/layout/hierarchy3"/>
    <dgm:cxn modelId="{F92536B4-F511-4FA7-9B22-82E34EA10573}" type="presParOf" srcId="{A92D5A0E-F222-4538-8668-E298D72B6964}" destId="{B58DAB17-70A4-46ED-A373-7FFC5CE239A2}" srcOrd="9" destOrd="0" presId="urn:microsoft.com/office/officeart/2005/8/layout/hierarchy3"/>
    <dgm:cxn modelId="{48AB765A-B3BA-43BE-BC64-23FA08808D4E}" type="presParOf" srcId="{A92D5A0E-F222-4538-8668-E298D72B6964}" destId="{8CBA9DF9-9189-4D8E-985F-525BE6B7FAFF}" srcOrd="10" destOrd="0" presId="urn:microsoft.com/office/officeart/2005/8/layout/hierarchy3"/>
    <dgm:cxn modelId="{28972B43-935C-49BF-9E16-0429EC03C203}" type="presParOf" srcId="{A92D5A0E-F222-4538-8668-E298D72B6964}" destId="{F76D94E9-009E-4F51-AE0B-DA202BF25D85}" srcOrd="11" destOrd="0" presId="urn:microsoft.com/office/officeart/2005/8/layout/hierarchy3"/>
    <dgm:cxn modelId="{C1D93932-0417-4540-BCE0-79C33E017BF6}" type="presParOf" srcId="{A92D5A0E-F222-4538-8668-E298D72B6964}" destId="{4D8EC090-D9D4-4DC4-A8BF-8809C40636DC}" srcOrd="12" destOrd="0" presId="urn:microsoft.com/office/officeart/2005/8/layout/hierarchy3"/>
    <dgm:cxn modelId="{3B2955EA-CCC4-4073-9EBF-6FF66585C271}" type="presParOf" srcId="{A92D5A0E-F222-4538-8668-E298D72B6964}" destId="{2883B6AF-1F97-425B-A369-9FF73C1B91F8}" srcOrd="13" destOrd="0" presId="urn:microsoft.com/office/officeart/2005/8/layout/hierarchy3"/>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7B51B9C-9019-4D00-8B3E-EDEEE5FAD74F}">
      <dsp:nvSpPr>
        <dsp:cNvPr id="0" name=""/>
        <dsp:cNvSpPr/>
      </dsp:nvSpPr>
      <dsp:spPr>
        <a:xfrm>
          <a:off x="0" y="2877"/>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01. Lấy input</a:t>
          </a:r>
          <a:endParaRPr lang="en-US" sz="1200" kern="1200">
            <a:latin typeface="Calibri" panose="020F0502020204030204" pitchFamily="34" charset="0"/>
            <a:cs typeface="Calibri" panose="020F0502020204030204" pitchFamily="34" charset="0"/>
          </a:endParaRPr>
        </a:p>
      </dsp:txBody>
      <dsp:txXfrm>
        <a:off x="13624" y="16501"/>
        <a:ext cx="5357749" cy="251839"/>
      </dsp:txXfrm>
    </dsp:sp>
    <dsp:sp modelId="{BE3CB209-ACC1-4732-9A99-77567243A68B}">
      <dsp:nvSpPr>
        <dsp:cNvPr id="0" name=""/>
        <dsp:cNvSpPr/>
      </dsp:nvSpPr>
      <dsp:spPr>
        <a:xfrm>
          <a:off x="0" y="281964"/>
          <a:ext cx="5384997" cy="305271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10</a:t>
          </a:r>
          <a:r>
            <a:rPr lang="vi-VN" sz="1100" b="1" kern="1200">
              <a:latin typeface="Calibri" panose="020F0502020204030204" pitchFamily="34" charset="0"/>
              <a:cs typeface="Calibri" panose="020F0502020204030204" pitchFamily="34" charset="0"/>
            </a:rPr>
            <a:t> input từ 53</a:t>
          </a:r>
          <a:endParaRPr lang="en-US" sz="1100" b="1" kern="1200">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i="1" kern="1200">
              <a:latin typeface="Calibri" panose="020F0502020204030204" pitchFamily="34" charset="0"/>
              <a:cs typeface="Calibri" panose="020F0502020204030204" pitchFamily="34" charset="0"/>
            </a:rPr>
            <a:t>8 </a:t>
          </a:r>
          <a:r>
            <a:rPr lang="en-US" sz="1100" i="0" kern="1200">
              <a:latin typeface="Calibri" panose="020F0502020204030204" pitchFamily="34" charset="0"/>
              <a:cs typeface="Calibri" panose="020F0502020204030204" pitchFamily="34" charset="0"/>
            </a:rPr>
            <a:t>file</a:t>
          </a:r>
          <a:r>
            <a:rPr lang="en-US" sz="1100" i="1" kern="1200">
              <a:latin typeface="Calibri" panose="020F0502020204030204" pitchFamily="34" charset="0"/>
              <a:cs typeface="Calibri" panose="020F0502020204030204" pitchFamily="34" charset="0"/>
            </a:rPr>
            <a:t> để vào folder </a:t>
          </a:r>
          <a:r>
            <a:rPr lang="en-US" sz="1100" i="1" kern="1200">
              <a:solidFill>
                <a:srgbClr val="00B050"/>
              </a:solidFill>
              <a:latin typeface="Calibri" panose="020F0502020204030204" pitchFamily="34" charset="0"/>
              <a:cs typeface="Calibri" panose="020F0502020204030204" pitchFamily="34" charset="0"/>
            </a:rPr>
            <a:t>Input_GovBond</a:t>
          </a:r>
          <a:endParaRPr lang="en-US" sz="1100" kern="1200">
            <a:solidFill>
              <a:srgbClr val="00B050"/>
            </a:solidFill>
            <a:latin typeface="Calibri" panose="020F0502020204030204" pitchFamily="34" charset="0"/>
            <a:cs typeface="Calibri" panose="020F0502020204030204" pitchFamily="34" charset="0"/>
          </a:endParaRP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2 file FI &amp; PPCD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5</a:t>
          </a:r>
          <a:r>
            <a:rPr lang="vi-VN" sz="1100" b="1" kern="1200">
              <a:latin typeface="Calibri" panose="020F0502020204030204" pitchFamily="34" charset="0"/>
              <a:cs typeface="Calibri" panose="020F0502020204030204" pitchFamily="34" charset="0"/>
            </a:rPr>
            <a:t> input </a:t>
          </a:r>
          <a:r>
            <a:rPr lang="en-US" sz="1100" b="1" kern="1200">
              <a:latin typeface="Calibri" panose="020F0502020204030204" pitchFamily="34" charset="0"/>
              <a:cs typeface="Calibri" panose="020F0502020204030204" pitchFamily="34" charset="0"/>
            </a:rPr>
            <a:t>customized </a:t>
          </a:r>
          <a:r>
            <a:rPr lang="vi-VN" sz="1100" b="1" kern="1200">
              <a:latin typeface="Calibri" panose="020F0502020204030204" pitchFamily="34" charset="0"/>
              <a:cs typeface="Calibri" panose="020F0502020204030204" pitchFamily="34" charset="0"/>
            </a:rPr>
            <a:t>từ Kondor</a:t>
          </a:r>
          <a:r>
            <a:rPr lang="en-US" sz="1100" b="1" kern="1200">
              <a:latin typeface="Calibri" panose="020F0502020204030204" pitchFamily="34" charset="0"/>
              <a:cs typeface="Calibri" panose="020F0502020204030204" pitchFamily="34" charset="0"/>
            </a:rPr>
            <a:t> </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RP_SEC_POS =&gt; chọn folder</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BO-GR-BK =&gt; </a:t>
          </a:r>
          <a:r>
            <a:rPr lang="en-US" sz="1100" kern="1200">
              <a:latin typeface="Calibri" panose="020F0502020204030204" pitchFamily="34" charset="0"/>
              <a:cs typeface="Calibri" panose="020F0502020204030204" pitchFamily="34" charset="0"/>
            </a:rPr>
            <a:t>RP_SEC_POS-BK.xlsx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BO-GR-TR =&gt;</a:t>
          </a:r>
          <a:r>
            <a:rPr lang="en-US" sz="1100" kern="1200">
              <a:latin typeface="Calibri" panose="020F0502020204030204" pitchFamily="34" charset="0"/>
              <a:cs typeface="Calibri" panose="020F0502020204030204" pitchFamily="34" charset="0"/>
            </a:rPr>
            <a:t> RP_SEC_POS_TB_SBV.xlsx</a:t>
          </a:r>
        </a:p>
        <a:p>
          <a:pPr marL="171450" lvl="3" indent="-57150" algn="l" defTabSz="488950">
            <a:lnSpc>
              <a:spcPct val="90000"/>
            </a:lnSpc>
            <a:spcBef>
              <a:spcPct val="0"/>
            </a:spcBef>
            <a:spcAft>
              <a:spcPct val="20000"/>
            </a:spcAft>
            <a:buChar char="•"/>
          </a:pPr>
          <a:r>
            <a:rPr lang="vi-VN" sz="1100" kern="1200">
              <a:latin typeface="Calibri" panose="020F0502020204030204" pitchFamily="34" charset="0"/>
              <a:cs typeface="Calibri" panose="020F0502020204030204" pitchFamily="34" charset="0"/>
            </a:rPr>
            <a:t>BO-GR-BB</a:t>
          </a:r>
          <a:r>
            <a:rPr lang="en-US" sz="1100" kern="1200">
              <a:latin typeface="Calibri" panose="020F0502020204030204" pitchFamily="34" charset="0"/>
              <a:cs typeface="Calibri" panose="020F0502020204030204" pitchFamily="34" charset="0"/>
            </a:rPr>
            <a:t> =&gt; RP_SEC_POS_BK_SBV.xlsx</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MSB_RP_DM: Chọn 1/1/25 - &gt; 1/1/29 chọn pvi ngày rộng để cover deal chưa valid</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RPBOD_B003: Chọn RptDate (</a:t>
          </a:r>
          <a:r>
            <a:rPr lang="en-US" sz="1100" i="1" kern="1200">
              <a:latin typeface="Calibri" panose="020F0502020204030204" pitchFamily="34" charset="0"/>
              <a:cs typeface="Calibri" panose="020F0502020204030204" pitchFamily="34" charset="0"/>
            </a:rPr>
            <a:t>để ra ngoài folder 00.Input do dùng chung với FIBond</a:t>
          </a:r>
          <a:r>
            <a:rPr lang="en-US" sz="1100" kern="1200">
              <a:latin typeface="Calibri" panose="020F0502020204030204" pitchFamily="34" charset="0"/>
              <a:cs typeface="Calibri" panose="020F0502020204030204" pitchFamily="34" charset="0"/>
            </a:rPr>
            <a:t>)</a:t>
          </a:r>
        </a:p>
        <a:p>
          <a:pPr marL="57150" lvl="1" indent="-57150" algn="l" defTabSz="488950">
            <a:lnSpc>
              <a:spcPct val="90000"/>
            </a:lnSpc>
            <a:spcBef>
              <a:spcPct val="0"/>
            </a:spcBef>
            <a:spcAft>
              <a:spcPct val="20000"/>
            </a:spcAft>
            <a:buChar char="•"/>
          </a:pPr>
          <a:r>
            <a:rPr lang="vi-VN" sz="1100" b="1" kern="1200">
              <a:latin typeface="Calibri" panose="020F0502020204030204" pitchFamily="34" charset="0"/>
              <a:cs typeface="Calibri" panose="020F0502020204030204" pitchFamily="34" charset="0"/>
            </a:rPr>
            <a:t>1 input </a:t>
          </a:r>
          <a:r>
            <a:rPr lang="en-US" sz="1100" b="1" kern="1200">
              <a:latin typeface="Calibri" panose="020F0502020204030204" pitchFamily="34" charset="0"/>
              <a:cs typeface="Calibri" panose="020F0502020204030204" pitchFamily="34" charset="0"/>
            </a:rPr>
            <a:t>Market </a:t>
          </a:r>
          <a:r>
            <a:rPr lang="vi-VN" sz="1100" b="1" kern="1200">
              <a:latin typeface="Calibri" panose="020F0502020204030204" pitchFamily="34" charset="0"/>
              <a:cs typeface="Calibri" panose="020F0502020204030204" pitchFamily="34" charset="0"/>
            </a:rPr>
            <a:t>từ HNX</a:t>
          </a:r>
          <a:r>
            <a:rPr lang="en-US" sz="1100" kern="1200">
              <a:latin typeface="Calibri" panose="020F0502020204030204" pitchFamily="34" charset="0"/>
              <a:cs typeface="Calibri" panose="020F0502020204030204" pitchFamily="34" charset="0"/>
            </a:rPr>
            <a:t>: chọn RptDate</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Outright: Giao dịch Outright,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Repos: Giao dịch mua bán lại, </a:t>
          </a:r>
          <a:r>
            <a:rPr lang="en-US" sz="1100" kern="1200">
              <a:solidFill>
                <a:srgbClr val="00B0F0"/>
              </a:solidFill>
              <a:latin typeface="Calibri" panose="020F0502020204030204" pitchFamily="34" charset="0"/>
              <a:cs typeface="Calibri" panose="020F0502020204030204" pitchFamily="34" charset="0"/>
            </a:rPr>
            <a:t>link =&gt;</a:t>
          </a:r>
        </a:p>
        <a:p>
          <a:pPr marL="114300" lvl="2" indent="-57150" algn="l" defTabSz="488950">
            <a:lnSpc>
              <a:spcPct val="90000"/>
            </a:lnSpc>
            <a:spcBef>
              <a:spcPct val="0"/>
            </a:spcBef>
            <a:spcAft>
              <a:spcPct val="20000"/>
            </a:spcAft>
            <a:buChar char="•"/>
          </a:pPr>
          <a:r>
            <a:rPr lang="en-US" sz="1100" kern="1200">
              <a:latin typeface="Calibri" panose="020F0502020204030204" pitchFamily="34" charset="0"/>
              <a:cs typeface="Calibri" panose="020F0502020204030204" pitchFamily="34" charset="0"/>
            </a:rPr>
            <a:t>Auction: Thông báo kết quả đấu thầu, </a:t>
          </a:r>
          <a:r>
            <a:rPr lang="en-US" sz="1100" kern="1200">
              <a:solidFill>
                <a:srgbClr val="00B0F0"/>
              </a:solidFill>
              <a:latin typeface="Calibri" panose="020F0502020204030204" pitchFamily="34" charset="0"/>
              <a:cs typeface="Calibri" panose="020F0502020204030204" pitchFamily="34" charset="0"/>
            </a:rPr>
            <a:t>link =&gt;</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Raw data</a:t>
          </a:r>
          <a:r>
            <a:rPr lang="en-US" sz="1100" kern="1200">
              <a:latin typeface="Calibri" panose="020F0502020204030204" pitchFamily="34" charset="0"/>
              <a:cs typeface="Calibri" panose="020F0502020204030204" pitchFamily="34" charset="0"/>
            </a:rPr>
            <a:t>: copy từ folder Theo dõi sang</a:t>
          </a:r>
        </a:p>
        <a:p>
          <a:pPr marL="57150" lvl="1" indent="-57150" algn="l" defTabSz="488950">
            <a:lnSpc>
              <a:spcPct val="90000"/>
            </a:lnSpc>
            <a:spcBef>
              <a:spcPct val="0"/>
            </a:spcBef>
            <a:spcAft>
              <a:spcPct val="20000"/>
            </a:spcAft>
            <a:buChar char="•"/>
          </a:pPr>
          <a:r>
            <a:rPr lang="en-US" sz="1100" b="1" kern="1200">
              <a:latin typeface="Calibri" panose="020F0502020204030204" pitchFamily="34" charset="0"/>
              <a:cs typeface="Calibri" panose="020F0502020204030204" pitchFamily="34" charset="0"/>
            </a:rPr>
            <a:t>Mail:</a:t>
          </a:r>
          <a:r>
            <a:rPr lang="en-US" sz="1100" kern="1200">
              <a:latin typeface="Calibri" panose="020F0502020204030204" pitchFamily="34" charset="0"/>
              <a:cs typeface="Calibri" panose="020F0502020204030204" pitchFamily="34" charset="0"/>
            </a:rPr>
            <a:t> Thông kê GD TPDN từ VBMA =&gt; Corporate bond trading xx-xx-xxxx.xlsx (</a:t>
          </a:r>
          <a:r>
            <a:rPr lang="en-US" sz="1100" i="1" kern="1200">
              <a:latin typeface="Calibri" panose="020F0502020204030204" pitchFamily="34" charset="0"/>
              <a:cs typeface="Calibri" panose="020F0502020204030204" pitchFamily="34" charset="0"/>
            </a:rPr>
            <a:t>để vào folder </a:t>
          </a:r>
          <a:r>
            <a:rPr lang="en-US" sz="1100" i="1" kern="1200">
              <a:solidFill>
                <a:srgbClr val="FF0000"/>
              </a:solidFill>
              <a:latin typeface="Calibri" panose="020F0502020204030204" pitchFamily="34" charset="0"/>
              <a:cs typeface="Calibri" panose="020F0502020204030204" pitchFamily="34" charset="0"/>
            </a:rPr>
            <a:t>Input_FIBond</a:t>
          </a:r>
          <a:r>
            <a:rPr lang="en-US" sz="1100" kern="1200">
              <a:latin typeface="Calibri" panose="020F0502020204030204" pitchFamily="34" charset="0"/>
              <a:cs typeface="Calibri" panose="020F0502020204030204" pitchFamily="34" charset="0"/>
            </a:rPr>
            <a:t>)</a:t>
          </a:r>
        </a:p>
      </dsp:txBody>
      <dsp:txXfrm>
        <a:off x="0" y="281964"/>
        <a:ext cx="5384997" cy="3052718"/>
      </dsp:txXfrm>
    </dsp:sp>
    <dsp:sp modelId="{82701B91-E06E-4094-8284-DB91ED2218AA}">
      <dsp:nvSpPr>
        <dsp:cNvPr id="0" name=""/>
        <dsp:cNvSpPr/>
      </dsp:nvSpPr>
      <dsp:spPr>
        <a:xfrm>
          <a:off x="0" y="3372513"/>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02. Chạy tool tính</a:t>
          </a:r>
          <a:endParaRPr lang="en-US" sz="1200" kern="1200">
            <a:latin typeface="Calibri" panose="020F0502020204030204" pitchFamily="34" charset="0"/>
            <a:cs typeface="Calibri" panose="020F0502020204030204" pitchFamily="34" charset="0"/>
          </a:endParaRPr>
        </a:p>
      </dsp:txBody>
      <dsp:txXfrm>
        <a:off x="13624" y="3386137"/>
        <a:ext cx="5357749" cy="251839"/>
      </dsp:txXfrm>
    </dsp:sp>
    <dsp:sp modelId="{F45E7D5E-858A-4907-8523-62BCCFCD6824}">
      <dsp:nvSpPr>
        <dsp:cNvPr id="0" name=""/>
        <dsp:cNvSpPr/>
      </dsp:nvSpPr>
      <dsp:spPr>
        <a:xfrm>
          <a:off x="0" y="3613770"/>
          <a:ext cx="5384997" cy="1067428"/>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5240" rIns="85344" bIns="15240" numCol="1" spcCol="1270" anchor="t" anchorCtr="0">
          <a:noAutofit/>
        </a:bodyPr>
        <a:lstStyle/>
        <a:p>
          <a:pPr marL="114300" lvl="1" indent="-114300" algn="l" defTabSz="533400">
            <a:lnSpc>
              <a:spcPct val="90000"/>
            </a:lnSpc>
            <a:spcBef>
              <a:spcPct val="0"/>
            </a:spcBef>
            <a:spcAft>
              <a:spcPct val="20000"/>
            </a:spcAft>
            <a:buChar char="•"/>
          </a:pPr>
          <a:r>
            <a:rPr lang="en-US" sz="1200" kern="1200"/>
            <a:t>0. </a:t>
          </a:r>
          <a:r>
            <a:rPr lang="en-US" sz="1100" kern="1200"/>
            <a:t>Điền ngày báo cáo</a:t>
          </a:r>
        </a:p>
        <a:p>
          <a:pPr marL="57150" lvl="1" indent="-57150" algn="l" defTabSz="488950">
            <a:lnSpc>
              <a:spcPct val="90000"/>
            </a:lnSpc>
            <a:spcBef>
              <a:spcPct val="0"/>
            </a:spcBef>
            <a:spcAft>
              <a:spcPct val="20000"/>
            </a:spcAft>
            <a:buChar char="•"/>
          </a:pPr>
          <a:r>
            <a:rPr lang="en-US" sz="1100" kern="1200"/>
            <a:t>1. Refresh data =&gt; Phân loại deal (cột z) =&gt;</a:t>
          </a:r>
        </a:p>
        <a:p>
          <a:pPr marL="57150" lvl="1" indent="-57150" algn="l" defTabSz="488950">
            <a:lnSpc>
              <a:spcPct val="90000"/>
            </a:lnSpc>
            <a:spcBef>
              <a:spcPct val="0"/>
            </a:spcBef>
            <a:spcAft>
              <a:spcPct val="20000"/>
            </a:spcAft>
            <a:buChar char="•"/>
          </a:pPr>
          <a:r>
            <a:rPr lang="en-US" sz="1100" kern="1200"/>
            <a:t>2. Copy list lưu trữ - double check và note thông tin thị trường bất thường ở ô F40 màu xanh lá (nếu có)</a:t>
          </a:r>
        </a:p>
        <a:p>
          <a:pPr marL="57150" lvl="1" indent="-57150" algn="l" defTabSz="488950">
            <a:lnSpc>
              <a:spcPct val="90000"/>
            </a:lnSpc>
            <a:spcBef>
              <a:spcPct val="0"/>
            </a:spcBef>
            <a:spcAft>
              <a:spcPct val="20000"/>
            </a:spcAft>
            <a:buChar char="•"/>
          </a:pPr>
          <a:r>
            <a:rPr lang="en-US" sz="1100" kern="1200"/>
            <a:t>3. Update 53</a:t>
          </a:r>
        </a:p>
        <a:p>
          <a:pPr marL="57150" lvl="1" indent="-57150" algn="l" defTabSz="488950">
            <a:lnSpc>
              <a:spcPct val="90000"/>
            </a:lnSpc>
            <a:spcBef>
              <a:spcPct val="0"/>
            </a:spcBef>
            <a:spcAft>
              <a:spcPct val="20000"/>
            </a:spcAft>
            <a:buChar char="•"/>
          </a:pPr>
          <a:r>
            <a:rPr lang="en-US" sz="1100" kern="1200"/>
            <a:t>4. Chạy tool tính vốn + Chạy tool phân tích PnL + Chạy tool FIBond</a:t>
          </a:r>
        </a:p>
      </dsp:txBody>
      <dsp:txXfrm>
        <a:off x="0" y="3613770"/>
        <a:ext cx="5384997" cy="1067428"/>
      </dsp:txXfrm>
    </dsp:sp>
    <dsp:sp modelId="{C1C5DF5D-B87F-4947-ADC1-ADE5BEA9408B}">
      <dsp:nvSpPr>
        <dsp:cNvPr id="0" name=""/>
        <dsp:cNvSpPr/>
      </dsp:nvSpPr>
      <dsp:spPr>
        <a:xfrm>
          <a:off x="0" y="4681199"/>
          <a:ext cx="5384997" cy="279087"/>
        </a:xfrm>
        <a:prstGeom prst="round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45720" tIns="45720" rIns="45720" bIns="45720" numCol="1" spcCol="1270" anchor="ctr" anchorCtr="0">
          <a:noAutofit/>
        </a:bodyPr>
        <a:lstStyle/>
        <a:p>
          <a:pPr marL="0" lvl="0" indent="0" algn="l" defTabSz="533400">
            <a:lnSpc>
              <a:spcPct val="90000"/>
            </a:lnSpc>
            <a:spcBef>
              <a:spcPct val="0"/>
            </a:spcBef>
            <a:spcAft>
              <a:spcPct val="35000"/>
            </a:spcAft>
            <a:buNone/>
          </a:pPr>
          <a:r>
            <a:rPr lang="vi-VN" sz="1200" kern="1200">
              <a:latin typeface="Calibri" panose="020F0502020204030204" pitchFamily="34" charset="0"/>
              <a:cs typeface="Calibri" panose="020F0502020204030204" pitchFamily="34" charset="0"/>
            </a:rPr>
            <a:t>03. Chạy tool báo cáo</a:t>
          </a:r>
          <a:endParaRPr lang="en-US" sz="1200" kern="1200">
            <a:latin typeface="Calibri" panose="020F0502020204030204" pitchFamily="34" charset="0"/>
            <a:cs typeface="Calibri" panose="020F0502020204030204" pitchFamily="34" charset="0"/>
          </a:endParaRPr>
        </a:p>
      </dsp:txBody>
      <dsp:txXfrm>
        <a:off x="13624" y="4694823"/>
        <a:ext cx="5357749" cy="251839"/>
      </dsp:txXfrm>
    </dsp:sp>
    <dsp:sp modelId="{9EBD46E3-7C6C-4ABA-ACB4-155065879782}">
      <dsp:nvSpPr>
        <dsp:cNvPr id="0" name=""/>
        <dsp:cNvSpPr/>
      </dsp:nvSpPr>
      <dsp:spPr>
        <a:xfrm>
          <a:off x="0" y="4960287"/>
          <a:ext cx="5384997" cy="711029"/>
        </a:xfrm>
        <a:prstGeom prst="rect">
          <a:avLst/>
        </a:prstGeom>
        <a:noFill/>
        <a:ln>
          <a:noFill/>
        </a:ln>
        <a:effectLst/>
      </dsp:spPr>
      <dsp:style>
        <a:lnRef idx="0">
          <a:scrgbClr r="0" g="0" b="0"/>
        </a:lnRef>
        <a:fillRef idx="0">
          <a:scrgbClr r="0" g="0" b="0"/>
        </a:fillRef>
        <a:effectRef idx="0">
          <a:scrgbClr r="0" g="0" b="0"/>
        </a:effectRef>
        <a:fontRef idx="minor"/>
      </dsp:style>
      <dsp:txBody>
        <a:bodyPr spcFirstLastPara="0" vert="horz" wrap="square" lIns="170974" tIns="13970" rIns="78232" bIns="13970" numCol="1" spcCol="1270" anchor="t" anchorCtr="0">
          <a:noAutofit/>
        </a:bodyPr>
        <a:lstStyle/>
        <a:p>
          <a:pPr marL="57150" lvl="1" indent="-57150" algn="l" defTabSz="488950">
            <a:lnSpc>
              <a:spcPct val="90000"/>
            </a:lnSpc>
            <a:spcBef>
              <a:spcPct val="0"/>
            </a:spcBef>
            <a:spcAft>
              <a:spcPct val="20000"/>
            </a:spcAft>
            <a:buChar char="•"/>
          </a:pPr>
          <a:r>
            <a:rPr lang="en-US" sz="1100" kern="1200"/>
            <a:t>Điền ngày báo cáo</a:t>
          </a:r>
        </a:p>
        <a:p>
          <a:pPr marL="57150" lvl="1" indent="-57150" algn="l" defTabSz="488950">
            <a:lnSpc>
              <a:spcPct val="90000"/>
            </a:lnSpc>
            <a:spcBef>
              <a:spcPct val="0"/>
            </a:spcBef>
            <a:spcAft>
              <a:spcPct val="20000"/>
            </a:spcAft>
            <a:buChar char="•"/>
          </a:pPr>
          <a:r>
            <a:rPr lang="en-US" sz="1100" kern="1200"/>
            <a:t>Refresh data</a:t>
          </a:r>
        </a:p>
        <a:p>
          <a:pPr marL="57150" lvl="1" indent="-57150" algn="l" defTabSz="488950">
            <a:lnSpc>
              <a:spcPct val="90000"/>
            </a:lnSpc>
            <a:spcBef>
              <a:spcPct val="0"/>
            </a:spcBef>
            <a:spcAft>
              <a:spcPct val="20000"/>
            </a:spcAft>
            <a:buChar char="•"/>
          </a:pPr>
          <a:r>
            <a:rPr lang="en-US" sz="1100" kern="1200"/>
            <a:t>Update chart</a:t>
          </a:r>
        </a:p>
        <a:p>
          <a:pPr marL="57150" lvl="1" indent="-57150" algn="l" defTabSz="488950">
            <a:lnSpc>
              <a:spcPct val="90000"/>
            </a:lnSpc>
            <a:spcBef>
              <a:spcPct val="0"/>
            </a:spcBef>
            <a:spcAft>
              <a:spcPct val="20000"/>
            </a:spcAft>
            <a:buChar char="•"/>
          </a:pPr>
          <a:r>
            <a:rPr lang="en-US" sz="1100" kern="1200"/>
            <a:t>Comment</a:t>
          </a:r>
        </a:p>
      </dsp:txBody>
      <dsp:txXfrm>
        <a:off x="0" y="4960287"/>
        <a:ext cx="5384997" cy="71102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2AD8B9CB-6CF6-45DE-BC18-7C634ACF71BF}">
      <dsp:nvSpPr>
        <dsp:cNvPr id="0" name=""/>
        <dsp:cNvSpPr/>
      </dsp:nvSpPr>
      <dsp:spPr>
        <a:xfrm>
          <a:off x="9520"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Vận hành</a:t>
          </a:r>
        </a:p>
      </dsp:txBody>
      <dsp:txXfrm>
        <a:off x="24728" y="15727"/>
        <a:ext cx="1008065" cy="488824"/>
      </dsp:txXfrm>
    </dsp:sp>
    <dsp:sp modelId="{0349519F-80A2-4CAE-B9C4-275E405C682B}">
      <dsp:nvSpPr>
        <dsp:cNvPr id="0" name=""/>
        <dsp:cNvSpPr/>
      </dsp:nvSpPr>
      <dsp:spPr>
        <a:xfrm>
          <a:off x="113368"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9EAD72-388F-4D58-B743-5762A7C9C682}">
      <dsp:nvSpPr>
        <dsp:cNvPr id="0" name=""/>
        <dsp:cNvSpPr/>
      </dsp:nvSpPr>
      <dsp:spPr>
        <a:xfrm>
          <a:off x="217216"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Log</a:t>
          </a:r>
          <a:endParaRPr lang="en-US" sz="1200" kern="1200"/>
        </a:p>
      </dsp:txBody>
      <dsp:txXfrm>
        <a:off x="232424" y="664778"/>
        <a:ext cx="800369" cy="488824"/>
      </dsp:txXfrm>
    </dsp:sp>
    <dsp:sp modelId="{F0DD93FA-1FA9-4E7C-B3C2-DA13854B631D}">
      <dsp:nvSpPr>
        <dsp:cNvPr id="0" name=""/>
        <dsp:cNvSpPr/>
      </dsp:nvSpPr>
      <dsp:spPr>
        <a:xfrm>
          <a:off x="113368"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C4C0EAB-1812-4AED-A68B-3C167D0ABD24}">
      <dsp:nvSpPr>
        <dsp:cNvPr id="0" name=""/>
        <dsp:cNvSpPr/>
      </dsp:nvSpPr>
      <dsp:spPr>
        <a:xfrm>
          <a:off x="217216"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Data flows</a:t>
          </a:r>
          <a:endParaRPr lang="en-US" sz="1200" kern="1200"/>
        </a:p>
      </dsp:txBody>
      <dsp:txXfrm>
        <a:off x="232424" y="1313829"/>
        <a:ext cx="800369" cy="488824"/>
      </dsp:txXfrm>
    </dsp:sp>
    <dsp:sp modelId="{533318D9-3CC7-4350-AA2A-C2D2EC182E84}">
      <dsp:nvSpPr>
        <dsp:cNvPr id="0" name=""/>
        <dsp:cNvSpPr/>
      </dsp:nvSpPr>
      <dsp:spPr>
        <a:xfrm>
          <a:off x="113368"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A2AE9D-DB43-4D3C-9192-DA1F99423210}">
      <dsp:nvSpPr>
        <dsp:cNvPr id="0" name=""/>
        <dsp:cNvSpPr/>
      </dsp:nvSpPr>
      <dsp:spPr>
        <a:xfrm>
          <a:off x="217216" y="1947672"/>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Dictionary</a:t>
          </a:r>
        </a:p>
      </dsp:txBody>
      <dsp:txXfrm>
        <a:off x="232424" y="1962880"/>
        <a:ext cx="800369" cy="488824"/>
      </dsp:txXfrm>
    </dsp:sp>
    <dsp:sp modelId="{D68B4460-E469-4277-BCEC-0F0F40C5BC8D}">
      <dsp:nvSpPr>
        <dsp:cNvPr id="0" name=""/>
        <dsp:cNvSpPr/>
      </dsp:nvSpPr>
      <dsp:spPr>
        <a:xfrm>
          <a:off x="113368"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FEEAB04-4073-4F60-B495-3A9BB97ABF0C}">
      <dsp:nvSpPr>
        <dsp:cNvPr id="0" name=""/>
        <dsp:cNvSpPr/>
      </dsp:nvSpPr>
      <dsp:spPr>
        <a:xfrm>
          <a:off x="217216"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Ref</a:t>
          </a:r>
          <a:endParaRPr lang="en-US" sz="1200" kern="1200"/>
        </a:p>
      </dsp:txBody>
      <dsp:txXfrm>
        <a:off x="232424" y="2611931"/>
        <a:ext cx="800369" cy="488824"/>
      </dsp:txXfrm>
    </dsp:sp>
    <dsp:sp modelId="{877F3D60-270C-4FE9-84B3-DB90E93DA4B1}">
      <dsp:nvSpPr>
        <dsp:cNvPr id="0" name=""/>
        <dsp:cNvSpPr/>
      </dsp:nvSpPr>
      <dsp:spPr>
        <a:xfrm>
          <a:off x="113368"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912FCC-7D9B-42EC-AE74-60DE313DA241}">
      <dsp:nvSpPr>
        <dsp:cNvPr id="0" name=""/>
        <dsp:cNvSpPr/>
      </dsp:nvSpPr>
      <dsp:spPr>
        <a:xfrm>
          <a:off x="217216"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Scripts</a:t>
          </a:r>
        </a:p>
      </dsp:txBody>
      <dsp:txXfrm>
        <a:off x="232424" y="3260982"/>
        <a:ext cx="800369" cy="488824"/>
      </dsp:txXfrm>
    </dsp:sp>
    <dsp:sp modelId="{AAB96236-DBB8-4F89-B7F3-574B80603870}">
      <dsp:nvSpPr>
        <dsp:cNvPr id="0" name=""/>
        <dsp:cNvSpPr/>
      </dsp:nvSpPr>
      <dsp:spPr>
        <a:xfrm>
          <a:off x="113368"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DCA1151-9290-4505-9158-0093A932E248}">
      <dsp:nvSpPr>
        <dsp:cNvPr id="0" name=""/>
        <dsp:cNvSpPr/>
      </dsp:nvSpPr>
      <dsp:spPr>
        <a:xfrm>
          <a:off x="217216" y="3894825"/>
          <a:ext cx="830785" cy="519240"/>
        </a:xfrm>
        <a:prstGeom prst="roundRect">
          <a:avLst>
            <a:gd name="adj" fmla="val 10000"/>
          </a:avLst>
        </a:prstGeom>
        <a:solidFill>
          <a:srgbClr val="00B0F0">
            <a:alpha val="90000"/>
          </a:srgbClr>
        </a:solidFill>
        <a:ln w="12700" cap="flat" cmpd="sng" algn="ctr">
          <a:solidFill>
            <a:schemeClr val="accent1"/>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Runtool</a:t>
          </a:r>
          <a:endParaRPr lang="en-US" sz="1200" kern="1200"/>
        </a:p>
      </dsp:txBody>
      <dsp:txXfrm>
        <a:off x="232424" y="3910033"/>
        <a:ext cx="800369" cy="488824"/>
      </dsp:txXfrm>
    </dsp:sp>
    <dsp:sp modelId="{95A19D8E-0463-4AD1-96DF-6ED48126CCB6}">
      <dsp:nvSpPr>
        <dsp:cNvPr id="0" name=""/>
        <dsp:cNvSpPr/>
      </dsp:nvSpPr>
      <dsp:spPr>
        <a:xfrm>
          <a:off x="113368"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7C720E-C4F9-46A9-8AA6-6230CAAEDCD5}">
      <dsp:nvSpPr>
        <dsp:cNvPr id="0" name=""/>
        <dsp:cNvSpPr/>
      </dsp:nvSpPr>
      <dsp:spPr>
        <a:xfrm>
          <a:off x="217216" y="4543876"/>
          <a:ext cx="830785" cy="519240"/>
        </a:xfrm>
        <a:prstGeom prst="roundRect">
          <a:avLst>
            <a:gd name="adj" fmla="val 10000"/>
          </a:avLst>
        </a:prstGeom>
        <a:solidFill>
          <a:srgbClr val="00B0F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Double check</a:t>
          </a:r>
          <a:endParaRPr lang="en-US" sz="1200" kern="1200"/>
        </a:p>
      </dsp:txBody>
      <dsp:txXfrm>
        <a:off x="232424" y="4559084"/>
        <a:ext cx="800369" cy="488824"/>
      </dsp:txXfrm>
    </dsp:sp>
    <dsp:sp modelId="{FB0F9757-5A0C-4F7E-9298-28E9E9369317}">
      <dsp:nvSpPr>
        <dsp:cNvPr id="0" name=""/>
        <dsp:cNvSpPr/>
      </dsp:nvSpPr>
      <dsp:spPr>
        <a:xfrm>
          <a:off x="1307622"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Tính toán &amp; phân tích</a:t>
          </a:r>
        </a:p>
      </dsp:txBody>
      <dsp:txXfrm>
        <a:off x="1322830" y="15727"/>
        <a:ext cx="1008065" cy="488824"/>
      </dsp:txXfrm>
    </dsp:sp>
    <dsp:sp modelId="{C0E8CEA0-B08E-402D-A43B-787BF2D99547}">
      <dsp:nvSpPr>
        <dsp:cNvPr id="0" name=""/>
        <dsp:cNvSpPr/>
      </dsp:nvSpPr>
      <dsp:spPr>
        <a:xfrm>
          <a:off x="1411470"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688E198-950A-49E6-9442-F062D1692144}">
      <dsp:nvSpPr>
        <dsp:cNvPr id="0" name=""/>
        <dsp:cNvSpPr/>
      </dsp:nvSpPr>
      <dsp:spPr>
        <a:xfrm>
          <a:off x="1515318" y="649570"/>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tich_TB</a:t>
          </a:r>
          <a:endParaRPr lang="en-US" sz="1200" kern="1200"/>
        </a:p>
      </dsp:txBody>
      <dsp:txXfrm>
        <a:off x="1530526" y="664778"/>
        <a:ext cx="800369" cy="488824"/>
      </dsp:txXfrm>
    </dsp:sp>
    <dsp:sp modelId="{688B5352-CC18-449F-9388-9E27CF345DC1}">
      <dsp:nvSpPr>
        <dsp:cNvPr id="0" name=""/>
        <dsp:cNvSpPr/>
      </dsp:nvSpPr>
      <dsp:spPr>
        <a:xfrm>
          <a:off x="1411470"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892E0FB-6B30-45A7-8534-5FC7965919A3}">
      <dsp:nvSpPr>
        <dsp:cNvPr id="0" name=""/>
        <dsp:cNvSpPr/>
      </dsp:nvSpPr>
      <dsp:spPr>
        <a:xfrm>
          <a:off x="1515318" y="1298621"/>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Phan tich_BB</a:t>
          </a:r>
          <a:endParaRPr lang="en-US" sz="1200" kern="1200"/>
        </a:p>
      </dsp:txBody>
      <dsp:txXfrm>
        <a:off x="1530526" y="1313829"/>
        <a:ext cx="800369" cy="488824"/>
      </dsp:txXfrm>
    </dsp:sp>
    <dsp:sp modelId="{A941263F-F1B6-4288-8521-993595007103}">
      <dsp:nvSpPr>
        <dsp:cNvPr id="0" name=""/>
        <dsp:cNvSpPr/>
      </dsp:nvSpPr>
      <dsp:spPr>
        <a:xfrm>
          <a:off x="1411470"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DB9859-9844-4BB5-B779-C60BA16D9797}">
      <dsp:nvSpPr>
        <dsp:cNvPr id="0" name=""/>
        <dsp:cNvSpPr/>
      </dsp:nvSpPr>
      <dsp:spPr>
        <a:xfrm>
          <a:off x="1515318" y="1947672"/>
          <a:ext cx="830785" cy="519240"/>
        </a:xfrm>
        <a:prstGeom prst="roundRect">
          <a:avLst>
            <a:gd name="adj" fmla="val 10000"/>
          </a:avLst>
        </a:prstGeom>
        <a:solidFill>
          <a:schemeClr val="bg1">
            <a:lumMod val="65000"/>
            <a:alpha val="9000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Giám sát bất thường</a:t>
          </a:r>
        </a:p>
      </dsp:txBody>
      <dsp:txXfrm>
        <a:off x="1530526" y="1962880"/>
        <a:ext cx="800369" cy="488824"/>
      </dsp:txXfrm>
    </dsp:sp>
    <dsp:sp modelId="{D8B2848D-C40B-41A6-9C09-1B28AE1EA3DA}">
      <dsp:nvSpPr>
        <dsp:cNvPr id="0" name=""/>
        <dsp:cNvSpPr/>
      </dsp:nvSpPr>
      <dsp:spPr>
        <a:xfrm>
          <a:off x="1411470"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467833-6926-4479-86EA-0268ADDD0A90}">
      <dsp:nvSpPr>
        <dsp:cNvPr id="0" name=""/>
        <dsp:cNvSpPr/>
      </dsp:nvSpPr>
      <dsp:spPr>
        <a:xfrm>
          <a:off x="1515318" y="2596723"/>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 senerio</a:t>
          </a:r>
          <a:endParaRPr lang="en-US" sz="1200" kern="1200"/>
        </a:p>
      </dsp:txBody>
      <dsp:txXfrm>
        <a:off x="1530526" y="2611931"/>
        <a:ext cx="800369" cy="488824"/>
      </dsp:txXfrm>
    </dsp:sp>
    <dsp:sp modelId="{F7D99DDC-11E1-4237-B501-1E5920078BCE}">
      <dsp:nvSpPr>
        <dsp:cNvPr id="0" name=""/>
        <dsp:cNvSpPr/>
      </dsp:nvSpPr>
      <dsp:spPr>
        <a:xfrm>
          <a:off x="1411470"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6B74D18-E57B-4769-AD1D-A1C82D610BF0}">
      <dsp:nvSpPr>
        <dsp:cNvPr id="0" name=""/>
        <dsp:cNvSpPr/>
      </dsp:nvSpPr>
      <dsp:spPr>
        <a:xfrm>
          <a:off x="1515318" y="3245774"/>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Yield 1Y</a:t>
          </a:r>
          <a:endParaRPr lang="en-US" sz="1200" kern="1200"/>
        </a:p>
      </dsp:txBody>
      <dsp:txXfrm>
        <a:off x="1530526" y="3260982"/>
        <a:ext cx="800369" cy="488824"/>
      </dsp:txXfrm>
    </dsp:sp>
    <dsp:sp modelId="{24EFCBCE-4686-4CBE-BA45-0A1E6E5BD000}">
      <dsp:nvSpPr>
        <dsp:cNvPr id="0" name=""/>
        <dsp:cNvSpPr/>
      </dsp:nvSpPr>
      <dsp:spPr>
        <a:xfrm>
          <a:off x="1411470"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E91FD7C-8BF0-4821-9BEF-5C423A12D2FC}">
      <dsp:nvSpPr>
        <dsp:cNvPr id="0" name=""/>
        <dsp:cNvSpPr/>
      </dsp:nvSpPr>
      <dsp:spPr>
        <a:xfrm>
          <a:off x="1515318" y="3894825"/>
          <a:ext cx="830785" cy="519240"/>
        </a:xfrm>
        <a:prstGeom prst="roundRect">
          <a:avLst>
            <a:gd name="adj" fmla="val 10000"/>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kern="1200"/>
            <a:t>BS</a:t>
          </a:r>
        </a:p>
      </dsp:txBody>
      <dsp:txXfrm>
        <a:off x="1530526" y="3910033"/>
        <a:ext cx="800369" cy="488824"/>
      </dsp:txXfrm>
    </dsp:sp>
    <dsp:sp modelId="{141CB503-BD0C-4FFF-B915-795E9B874FFF}">
      <dsp:nvSpPr>
        <dsp:cNvPr id="0" name=""/>
        <dsp:cNvSpPr/>
      </dsp:nvSpPr>
      <dsp:spPr>
        <a:xfrm>
          <a:off x="2605724"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Input</a:t>
          </a:r>
        </a:p>
      </dsp:txBody>
      <dsp:txXfrm>
        <a:off x="2620932" y="15727"/>
        <a:ext cx="1008065" cy="488824"/>
      </dsp:txXfrm>
    </dsp:sp>
    <dsp:sp modelId="{68EBDABD-FDC5-407A-89D5-C618ABF7114A}">
      <dsp:nvSpPr>
        <dsp:cNvPr id="0" name=""/>
        <dsp:cNvSpPr/>
      </dsp:nvSpPr>
      <dsp:spPr>
        <a:xfrm>
          <a:off x="2709572"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C397AE-7149-436C-9B44-BE18F4169302}">
      <dsp:nvSpPr>
        <dsp:cNvPr id="0" name=""/>
        <dsp:cNvSpPr/>
      </dsp:nvSpPr>
      <dsp:spPr>
        <a:xfrm>
          <a:off x="2813420" y="649570"/>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Market</a:t>
          </a:r>
          <a:endParaRPr lang="en-US" sz="1200" kern="1200"/>
        </a:p>
      </dsp:txBody>
      <dsp:txXfrm>
        <a:off x="2828628" y="664778"/>
        <a:ext cx="800369" cy="488824"/>
      </dsp:txXfrm>
    </dsp:sp>
    <dsp:sp modelId="{CC0BF90B-89E8-4AC4-A4B7-97E0F1AABD5A}">
      <dsp:nvSpPr>
        <dsp:cNvPr id="0" name=""/>
        <dsp:cNvSpPr/>
      </dsp:nvSpPr>
      <dsp:spPr>
        <a:xfrm>
          <a:off x="2709572"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BF927CB-E882-4081-809B-358E5895B21B}">
      <dsp:nvSpPr>
        <dsp:cNvPr id="0" name=""/>
        <dsp:cNvSpPr/>
      </dsp:nvSpPr>
      <dsp:spPr>
        <a:xfrm>
          <a:off x="2813420" y="1298621"/>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Deal ps</a:t>
          </a:r>
          <a:endParaRPr lang="en-US" sz="1200" kern="1200"/>
        </a:p>
      </dsp:txBody>
      <dsp:txXfrm>
        <a:off x="2828628" y="1313829"/>
        <a:ext cx="800369" cy="488824"/>
      </dsp:txXfrm>
    </dsp:sp>
    <dsp:sp modelId="{D549ACF5-C596-4AED-9303-59528A87CA32}">
      <dsp:nvSpPr>
        <dsp:cNvPr id="0" name=""/>
        <dsp:cNvSpPr/>
      </dsp:nvSpPr>
      <dsp:spPr>
        <a:xfrm>
          <a:off x="2709572"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E72F548-C354-4016-BDD1-A67E376F5C81}">
      <dsp:nvSpPr>
        <dsp:cNvPr id="0" name=""/>
        <dsp:cNvSpPr/>
      </dsp:nvSpPr>
      <dsp:spPr>
        <a:xfrm>
          <a:off x="2813420" y="1947672"/>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FNRP</a:t>
          </a:r>
          <a:endParaRPr lang="en-US" sz="1200" kern="1200"/>
        </a:p>
      </dsp:txBody>
      <dsp:txXfrm>
        <a:off x="2828628" y="1962880"/>
        <a:ext cx="800369" cy="488824"/>
      </dsp:txXfrm>
    </dsp:sp>
    <dsp:sp modelId="{D66D24A5-9FA8-4B9E-B39C-D7CD7F630A92}">
      <dsp:nvSpPr>
        <dsp:cNvPr id="0" name=""/>
        <dsp:cNvSpPr/>
      </dsp:nvSpPr>
      <dsp:spPr>
        <a:xfrm>
          <a:off x="2709572"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7FE1731-318D-4444-AC53-EE91F5279001}">
      <dsp:nvSpPr>
        <dsp:cNvPr id="0" name=""/>
        <dsp:cNvSpPr/>
      </dsp:nvSpPr>
      <dsp:spPr>
        <a:xfrm>
          <a:off x="2813420" y="2596723"/>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RP_SEC</a:t>
          </a:r>
          <a:endParaRPr lang="en-US" sz="1200" kern="1200"/>
        </a:p>
      </dsp:txBody>
      <dsp:txXfrm>
        <a:off x="2828628" y="2611931"/>
        <a:ext cx="800369" cy="488824"/>
      </dsp:txXfrm>
    </dsp:sp>
    <dsp:sp modelId="{F9E9365F-079B-4740-8FCB-0F7400033DC4}">
      <dsp:nvSpPr>
        <dsp:cNvPr id="0" name=""/>
        <dsp:cNvSpPr/>
      </dsp:nvSpPr>
      <dsp:spPr>
        <a:xfrm>
          <a:off x="2709572"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32F9EE-A36A-4A2D-A82F-58BB1ADE2DD9}">
      <dsp:nvSpPr>
        <dsp:cNvPr id="0" name=""/>
        <dsp:cNvSpPr/>
      </dsp:nvSpPr>
      <dsp:spPr>
        <a:xfrm>
          <a:off x="2813420" y="3245774"/>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His53</a:t>
          </a:r>
          <a:endParaRPr lang="en-US" sz="1200" kern="1200"/>
        </a:p>
      </dsp:txBody>
      <dsp:txXfrm>
        <a:off x="2828628" y="3260982"/>
        <a:ext cx="800369" cy="488824"/>
      </dsp:txXfrm>
    </dsp:sp>
    <dsp:sp modelId="{1B7170E8-BDB2-48FA-AC72-3B6CB3F91C0D}">
      <dsp:nvSpPr>
        <dsp:cNvPr id="0" name=""/>
        <dsp:cNvSpPr/>
      </dsp:nvSpPr>
      <dsp:spPr>
        <a:xfrm>
          <a:off x="2709572"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41986E3-B4B2-4FDD-828E-11CE00685167}">
      <dsp:nvSpPr>
        <dsp:cNvPr id="0" name=""/>
        <dsp:cNvSpPr/>
      </dsp:nvSpPr>
      <dsp:spPr>
        <a:xfrm>
          <a:off x="2813420" y="3894825"/>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VaR</a:t>
          </a:r>
          <a:endParaRPr lang="en-US" sz="1200" kern="1200"/>
        </a:p>
      </dsp:txBody>
      <dsp:txXfrm>
        <a:off x="2828628" y="3910033"/>
        <a:ext cx="800369" cy="488824"/>
      </dsp:txXfrm>
    </dsp:sp>
    <dsp:sp modelId="{F6ED109A-389F-457F-A9BE-D1EFEABE08E8}">
      <dsp:nvSpPr>
        <dsp:cNvPr id="0" name=""/>
        <dsp:cNvSpPr/>
      </dsp:nvSpPr>
      <dsp:spPr>
        <a:xfrm>
          <a:off x="2709572"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CDEF24-C870-44B0-826F-D916DAB2B8AB}">
      <dsp:nvSpPr>
        <dsp:cNvPr id="0" name=""/>
        <dsp:cNvSpPr/>
      </dsp:nvSpPr>
      <dsp:spPr>
        <a:xfrm>
          <a:off x="2813420" y="4543876"/>
          <a:ext cx="830785" cy="519240"/>
        </a:xfrm>
        <a:prstGeom prst="roundRect">
          <a:avLst>
            <a:gd name="adj" fmla="val 10000"/>
          </a:avLst>
        </a:prstGeom>
        <a:solidFill>
          <a:srgbClr val="FFC00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Funding</a:t>
          </a:r>
          <a:endParaRPr lang="en-US" sz="1200" kern="1200"/>
        </a:p>
      </dsp:txBody>
      <dsp:txXfrm>
        <a:off x="2828628" y="4559084"/>
        <a:ext cx="800369" cy="488824"/>
      </dsp:txXfrm>
    </dsp:sp>
    <dsp:sp modelId="{C8057152-C247-4656-AAF4-93C788DC587E}">
      <dsp:nvSpPr>
        <dsp:cNvPr id="0" name=""/>
        <dsp:cNvSpPr/>
      </dsp:nvSpPr>
      <dsp:spPr>
        <a:xfrm>
          <a:off x="3903826" y="519"/>
          <a:ext cx="1038481" cy="519240"/>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t>Lưu DB 53</a:t>
          </a:r>
        </a:p>
      </dsp:txBody>
      <dsp:txXfrm>
        <a:off x="3919034" y="15727"/>
        <a:ext cx="1008065" cy="488824"/>
      </dsp:txXfrm>
    </dsp:sp>
    <dsp:sp modelId="{77D42D4B-2542-4E3B-AE4F-55C818CDDC0E}">
      <dsp:nvSpPr>
        <dsp:cNvPr id="0" name=""/>
        <dsp:cNvSpPr/>
      </dsp:nvSpPr>
      <dsp:spPr>
        <a:xfrm>
          <a:off x="4007674" y="519760"/>
          <a:ext cx="103848" cy="389430"/>
        </a:xfrm>
        <a:custGeom>
          <a:avLst/>
          <a:gdLst/>
          <a:ahLst/>
          <a:cxnLst/>
          <a:rect l="0" t="0" r="0" b="0"/>
          <a:pathLst>
            <a:path>
              <a:moveTo>
                <a:pt x="0" y="0"/>
              </a:moveTo>
              <a:lnTo>
                <a:pt x="0" y="389430"/>
              </a:lnTo>
              <a:lnTo>
                <a:pt x="103848" y="38943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E4225F-A5D2-4A51-8D08-B39B85AA9AD3}">
      <dsp:nvSpPr>
        <dsp:cNvPr id="0" name=""/>
        <dsp:cNvSpPr/>
      </dsp:nvSpPr>
      <dsp:spPr>
        <a:xfrm>
          <a:off x="4111522" y="649570"/>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His.DataTT</a:t>
          </a:r>
          <a:endParaRPr lang="en-US" sz="1200" kern="1200"/>
        </a:p>
      </dsp:txBody>
      <dsp:txXfrm>
        <a:off x="4126730" y="664778"/>
        <a:ext cx="800369" cy="488824"/>
      </dsp:txXfrm>
    </dsp:sp>
    <dsp:sp modelId="{03585700-04B1-46B8-8962-34776EDC31A8}">
      <dsp:nvSpPr>
        <dsp:cNvPr id="0" name=""/>
        <dsp:cNvSpPr/>
      </dsp:nvSpPr>
      <dsp:spPr>
        <a:xfrm>
          <a:off x="4007674" y="519760"/>
          <a:ext cx="103848" cy="1038481"/>
        </a:xfrm>
        <a:custGeom>
          <a:avLst/>
          <a:gdLst/>
          <a:ahLst/>
          <a:cxnLst/>
          <a:rect l="0" t="0" r="0" b="0"/>
          <a:pathLst>
            <a:path>
              <a:moveTo>
                <a:pt x="0" y="0"/>
              </a:moveTo>
              <a:lnTo>
                <a:pt x="0" y="1038481"/>
              </a:lnTo>
              <a:lnTo>
                <a:pt x="103848" y="1038481"/>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CF4D88D-7BF9-4B2A-BC3C-F4D0C9E91E3C}">
      <dsp:nvSpPr>
        <dsp:cNvPr id="0" name=""/>
        <dsp:cNvSpPr/>
      </dsp:nvSpPr>
      <dsp:spPr>
        <a:xfrm>
          <a:off x="4111522" y="1298621"/>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a:t>
          </a:r>
          <a:endParaRPr lang="en-US" sz="1200" kern="1200"/>
        </a:p>
      </dsp:txBody>
      <dsp:txXfrm>
        <a:off x="4126730" y="1313829"/>
        <a:ext cx="800369" cy="488824"/>
      </dsp:txXfrm>
    </dsp:sp>
    <dsp:sp modelId="{7D0CA10B-0765-4780-8D93-8CE705720246}">
      <dsp:nvSpPr>
        <dsp:cNvPr id="0" name=""/>
        <dsp:cNvSpPr/>
      </dsp:nvSpPr>
      <dsp:spPr>
        <a:xfrm>
          <a:off x="4007674" y="519760"/>
          <a:ext cx="103848" cy="1687532"/>
        </a:xfrm>
        <a:custGeom>
          <a:avLst/>
          <a:gdLst/>
          <a:ahLst/>
          <a:cxnLst/>
          <a:rect l="0" t="0" r="0" b="0"/>
          <a:pathLst>
            <a:path>
              <a:moveTo>
                <a:pt x="0" y="0"/>
              </a:moveTo>
              <a:lnTo>
                <a:pt x="0" y="1687532"/>
              </a:lnTo>
              <a:lnTo>
                <a:pt x="103848" y="1687532"/>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E36DC54-BCDF-4816-B50A-A06A97C41921}">
      <dsp:nvSpPr>
        <dsp:cNvPr id="0" name=""/>
        <dsp:cNvSpPr/>
      </dsp:nvSpPr>
      <dsp:spPr>
        <a:xfrm>
          <a:off x="4111522" y="1947672"/>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a:t>
          </a:r>
          <a:endParaRPr lang="en-US" sz="1200" kern="1200"/>
        </a:p>
      </dsp:txBody>
      <dsp:txXfrm>
        <a:off x="4126730" y="1962880"/>
        <a:ext cx="800369" cy="488824"/>
      </dsp:txXfrm>
    </dsp:sp>
    <dsp:sp modelId="{6F3EAB11-F575-4AC6-AC7F-1F9B239A712A}">
      <dsp:nvSpPr>
        <dsp:cNvPr id="0" name=""/>
        <dsp:cNvSpPr/>
      </dsp:nvSpPr>
      <dsp:spPr>
        <a:xfrm>
          <a:off x="4007674" y="519760"/>
          <a:ext cx="103848" cy="2336583"/>
        </a:xfrm>
        <a:custGeom>
          <a:avLst/>
          <a:gdLst/>
          <a:ahLst/>
          <a:cxnLst/>
          <a:rect l="0" t="0" r="0" b="0"/>
          <a:pathLst>
            <a:path>
              <a:moveTo>
                <a:pt x="0" y="0"/>
              </a:moveTo>
              <a:lnTo>
                <a:pt x="0" y="2336583"/>
              </a:lnTo>
              <a:lnTo>
                <a:pt x="103848" y="2336583"/>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A92BD11-172B-410D-981F-9FA4DF24BBF8}">
      <dsp:nvSpPr>
        <dsp:cNvPr id="0" name=""/>
        <dsp:cNvSpPr/>
      </dsp:nvSpPr>
      <dsp:spPr>
        <a:xfrm>
          <a:off x="4111522" y="2596723"/>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His.TB.SBV</a:t>
          </a:r>
          <a:endParaRPr lang="en-US" sz="1200" kern="1200"/>
        </a:p>
      </dsp:txBody>
      <dsp:txXfrm>
        <a:off x="4126730" y="2611931"/>
        <a:ext cx="800369" cy="488824"/>
      </dsp:txXfrm>
    </dsp:sp>
    <dsp:sp modelId="{F77B71CE-9430-4AA1-89B7-65D0901313A5}">
      <dsp:nvSpPr>
        <dsp:cNvPr id="0" name=""/>
        <dsp:cNvSpPr/>
      </dsp:nvSpPr>
      <dsp:spPr>
        <a:xfrm>
          <a:off x="4007674" y="519760"/>
          <a:ext cx="103848" cy="2985634"/>
        </a:xfrm>
        <a:custGeom>
          <a:avLst/>
          <a:gdLst/>
          <a:ahLst/>
          <a:cxnLst/>
          <a:rect l="0" t="0" r="0" b="0"/>
          <a:pathLst>
            <a:path>
              <a:moveTo>
                <a:pt x="0" y="0"/>
              </a:moveTo>
              <a:lnTo>
                <a:pt x="0" y="2985634"/>
              </a:lnTo>
              <a:lnTo>
                <a:pt x="103848" y="298563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8DAB17-70A4-46ED-A373-7FFC5CE239A2}">
      <dsp:nvSpPr>
        <dsp:cNvPr id="0" name=""/>
        <dsp:cNvSpPr/>
      </dsp:nvSpPr>
      <dsp:spPr>
        <a:xfrm>
          <a:off x="4111522" y="3245774"/>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His.BB.SBV</a:t>
          </a:r>
          <a:endParaRPr lang="en-US" sz="1200" kern="1200"/>
        </a:p>
      </dsp:txBody>
      <dsp:txXfrm>
        <a:off x="4126730" y="3260982"/>
        <a:ext cx="800369" cy="488824"/>
      </dsp:txXfrm>
    </dsp:sp>
    <dsp:sp modelId="{8CBA9DF9-9189-4D8E-985F-525BE6B7FAFF}">
      <dsp:nvSpPr>
        <dsp:cNvPr id="0" name=""/>
        <dsp:cNvSpPr/>
      </dsp:nvSpPr>
      <dsp:spPr>
        <a:xfrm>
          <a:off x="4007674" y="519760"/>
          <a:ext cx="103848" cy="3634685"/>
        </a:xfrm>
        <a:custGeom>
          <a:avLst/>
          <a:gdLst/>
          <a:ahLst/>
          <a:cxnLst/>
          <a:rect l="0" t="0" r="0" b="0"/>
          <a:pathLst>
            <a:path>
              <a:moveTo>
                <a:pt x="0" y="0"/>
              </a:moveTo>
              <a:lnTo>
                <a:pt x="0" y="3634685"/>
              </a:lnTo>
              <a:lnTo>
                <a:pt x="103848" y="3634685"/>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6D94E9-009E-4F51-AE0B-DA202BF25D85}">
      <dsp:nvSpPr>
        <dsp:cNvPr id="0" name=""/>
        <dsp:cNvSpPr/>
      </dsp:nvSpPr>
      <dsp:spPr>
        <a:xfrm>
          <a:off x="4111522" y="3894825"/>
          <a:ext cx="830785" cy="519240"/>
        </a:xfrm>
        <a:prstGeom prst="roundRect">
          <a:avLst>
            <a:gd name="adj" fmla="val 10000"/>
          </a:avLst>
        </a:prstGeom>
        <a:solidFill>
          <a:srgbClr val="92D05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His.Other</a:t>
          </a:r>
          <a:endParaRPr lang="en-US" sz="1200" kern="1200"/>
        </a:p>
      </dsp:txBody>
      <dsp:txXfrm>
        <a:off x="4126730" y="3910033"/>
        <a:ext cx="800369" cy="488824"/>
      </dsp:txXfrm>
    </dsp:sp>
    <dsp:sp modelId="{4D8EC090-D9D4-4DC4-A8BF-8809C40636DC}">
      <dsp:nvSpPr>
        <dsp:cNvPr id="0" name=""/>
        <dsp:cNvSpPr/>
      </dsp:nvSpPr>
      <dsp:spPr>
        <a:xfrm>
          <a:off x="4007674" y="519760"/>
          <a:ext cx="103848" cy="4283736"/>
        </a:xfrm>
        <a:custGeom>
          <a:avLst/>
          <a:gdLst/>
          <a:ahLst/>
          <a:cxnLst/>
          <a:rect l="0" t="0" r="0" b="0"/>
          <a:pathLst>
            <a:path>
              <a:moveTo>
                <a:pt x="0" y="0"/>
              </a:moveTo>
              <a:lnTo>
                <a:pt x="0" y="4283736"/>
              </a:lnTo>
              <a:lnTo>
                <a:pt x="103848" y="428373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83B6AF-1F97-425B-A369-9FF73C1B91F8}">
      <dsp:nvSpPr>
        <dsp:cNvPr id="0" name=""/>
        <dsp:cNvSpPr/>
      </dsp:nvSpPr>
      <dsp:spPr>
        <a:xfrm>
          <a:off x="4111522" y="4543876"/>
          <a:ext cx="830785" cy="519240"/>
        </a:xfrm>
        <a:prstGeom prst="roundRect">
          <a:avLst>
            <a:gd name="adj" fmla="val 10000"/>
          </a:avLst>
        </a:prstGeom>
        <a:solidFill>
          <a:srgbClr val="7030A0">
            <a:alpha val="90000"/>
          </a:srgb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15240" rIns="22860" bIns="15240" numCol="1" spcCol="1270" anchor="ctr" anchorCtr="0">
          <a:noAutofit/>
        </a:bodyPr>
        <a:lstStyle/>
        <a:p>
          <a:pPr marL="0" lvl="0" indent="0" algn="ctr" defTabSz="533400">
            <a:lnSpc>
              <a:spcPct val="90000"/>
            </a:lnSpc>
            <a:spcBef>
              <a:spcPct val="0"/>
            </a:spcBef>
            <a:spcAft>
              <a:spcPct val="35000"/>
            </a:spcAft>
            <a:buNone/>
          </a:pPr>
          <a:r>
            <a:rPr lang="en-US" sz="1200" b="0" i="0" u="none" kern="1200"/>
            <a:t>No PT</a:t>
          </a:r>
          <a:endParaRPr lang="en-US" sz="1200" kern="1200"/>
        </a:p>
      </dsp:txBody>
      <dsp:txXfrm>
        <a:off x="4126730" y="4559084"/>
        <a:ext cx="800369" cy="488824"/>
      </dsp:txXfrm>
    </dsp:sp>
  </dsp:spTree>
</dsp:drawing>
</file>

<file path=xl/diagrams/layout1.xml><?xml version="1.0" encoding="utf-8"?>
<dgm:layoutDef xmlns:dgm="http://schemas.openxmlformats.org/drawingml/2006/diagram" xmlns:a="http://schemas.openxmlformats.org/drawingml/2006/main" uniqueId="urn:microsoft.com/office/officeart/2005/8/layout/vList2">
  <dgm:title val=""/>
  <dgm:desc val=""/>
  <dgm:catLst>
    <dgm:cat type="list" pri="3000"/>
    <dgm:cat type="convert" pri="1000"/>
  </dgm:catLst>
  <dgm:sampData>
    <dgm:dataModel>
      <dgm:ptLst>
        <dgm:pt modelId="0" type="doc"/>
        <dgm:pt modelId="1">
          <dgm:prSet phldr="1"/>
        </dgm:pt>
        <dgm:pt modelId="11">
          <dgm:prSet phldr="1"/>
        </dgm:pt>
        <dgm:pt modelId="2">
          <dgm:prSet phldr="1"/>
        </dgm:pt>
        <dgm:pt modelId="21">
          <dgm:prSet phldr="1"/>
        </dgm:pt>
      </dgm:ptLst>
      <dgm:cxnLst>
        <dgm:cxn modelId="4" srcId="0" destId="1" srcOrd="0" destOrd="0"/>
        <dgm:cxn modelId="5" srcId="0" destId="2" srcOrd="1" destOrd="0"/>
        <dgm:cxn modelId="12" srcId="1" destId="11" srcOrd="0" destOrd="0"/>
        <dgm:cxn modelId="23" srcId="2" destId="21" srcOrd="0"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linear">
    <dgm:varLst>
      <dgm:animLvl val="lvl"/>
      <dgm:resizeHandles val="exact"/>
    </dgm:varLst>
    <dgm:alg type="lin">
      <dgm:param type="linDir" val="fromT"/>
      <dgm:param type="vertAlign" val="mid"/>
    </dgm:alg>
    <dgm:shape xmlns:r="http://schemas.openxmlformats.org/officeDocument/2006/relationships" r:blip="">
      <dgm:adjLst/>
    </dgm:shape>
    <dgm:presOf/>
    <dgm:constrLst>
      <dgm:constr type="w" for="ch" forName="parentText" refType="w"/>
      <dgm:constr type="h" for="ch" forName="parentText" refType="primFontSz" refFor="ch" refForName="parentText" fact="0.52"/>
      <dgm:constr type="w" for="ch" forName="childText" refType="w"/>
      <dgm:constr type="h" for="ch" forName="childText" refType="primFontSz" refFor="ch" refForName="parentText" fact="0.46"/>
      <dgm:constr type="h" for="ch" forName="parentText" op="equ"/>
      <dgm:constr type="primFontSz" for="ch" forName="parentText" op="equ" val="65"/>
      <dgm:constr type="primFontSz" for="ch" forName="childText" refType="primFontSz" refFor="ch" refForName="parentText" op="equ"/>
      <dgm:constr type="h" for="ch" forName="spacer" refType="primFontSz" refFor="ch" refForName="parentText" fact="0.08"/>
    </dgm:constrLst>
    <dgm:ruleLst>
      <dgm:rule type="primFontSz" for="ch" forName="parentText" val="5" fact="NaN" max="NaN"/>
    </dgm:ruleLst>
    <dgm:forEach name="Name0" axis="ch" ptType="node">
      <dgm:layoutNode name="parentText" styleLbl="node1">
        <dgm:varLst>
          <dgm:chMax val="0"/>
          <dgm:bulletEnabled val="1"/>
        </dgm:varLst>
        <dgm:alg type="tx">
          <dgm:param type="parTxLTRAlign" val="l"/>
          <dgm:param type="parTxRTLAlign" val="r"/>
        </dgm:alg>
        <dgm:shape xmlns:r="http://schemas.openxmlformats.org/officeDocument/2006/relationships" type="roundRect" r:blip="">
          <dgm:adjLst/>
        </dgm:shape>
        <dgm:presOf axis="self"/>
        <dgm:constrLst>
          <dgm:constr type="tMarg" refType="primFontSz" fact="0.3"/>
          <dgm:constr type="bMarg" refType="primFontSz" fact="0.3"/>
          <dgm:constr type="lMarg" refType="primFontSz" fact="0.3"/>
          <dgm:constr type="rMarg" refType="primFontSz" fact="0.3"/>
        </dgm:constrLst>
        <dgm:ruleLst>
          <dgm:rule type="h" val="INF" fact="NaN" max="NaN"/>
        </dgm:ruleLst>
      </dgm:layoutNode>
      <dgm:choose name="Name1">
        <dgm:if name="Name2" axis="ch" ptType="node" func="cnt" op="gte" val="1">
          <dgm:layoutNode name="childText" styleLbl="revTx">
            <dgm:varLst>
              <dgm:bulletEnabled val="1"/>
            </dgm:varLst>
            <dgm:alg type="tx">
              <dgm:param type="stBulletLvl" val="1"/>
              <dgm:param type="lnSpAfChP" val="20"/>
            </dgm:alg>
            <dgm:shape xmlns:r="http://schemas.openxmlformats.org/officeDocument/2006/relationships" type="rect" r:blip="">
              <dgm:adjLst/>
            </dgm:shape>
            <dgm:presOf axis="des" ptType="node"/>
            <dgm:constrLst>
              <dgm:constr type="tMarg" refType="primFontSz" fact="0.1"/>
              <dgm:constr type="bMarg" refType="primFontSz" fact="0.1"/>
              <dgm:constr type="lMarg" refType="w" fact="0.09"/>
            </dgm:constrLst>
            <dgm:ruleLst>
              <dgm:rule type="h" val="INF" fact="NaN" max="NaN"/>
            </dgm:ruleLst>
          </dgm:layoutNode>
        </dgm:if>
        <dgm:else name="Name3">
          <dgm:choose name="Name4">
            <dgm:if name="Name5" axis="par ch" ptType="doc node" func="cnt" op="gte" val="2">
              <dgm:forEach name="Name6" axis="followSib" ptType="sibTrans" cnt="1">
                <dgm:layoutNode name="spacer">
                  <dgm:alg type="sp"/>
                  <dgm:shape xmlns:r="http://schemas.openxmlformats.org/officeDocument/2006/relationships" r:blip="">
                    <dgm:adjLst/>
                  </dgm:shape>
                  <dgm:presOf/>
                  <dgm:constrLst/>
                  <dgm:ruleLst/>
                </dgm:layoutNode>
              </dgm:forEach>
            </dgm:if>
            <dgm:else name="Name7"/>
          </dgm:choose>
        </dgm:else>
      </dgm:choose>
    </dgm:forEach>
  </dgm:layoutNode>
</dgm:layoutDef>
</file>

<file path=xl/diagrams/layout2.xml><?xml version="1.0" encoding="utf-8"?>
<dgm:layoutDef xmlns:dgm="http://schemas.openxmlformats.org/drawingml/2006/diagram" xmlns:a="http://schemas.openxmlformats.org/drawingml/2006/main" uniqueId="urn:microsoft.com/office/officeart/2005/8/layout/hierarchy3">
  <dgm:title val=""/>
  <dgm:desc val=""/>
  <dgm:catLst>
    <dgm:cat type="hierarchy" pri="7000"/>
    <dgm:cat type="list" pri="23000"/>
    <dgm:cat type="relationship" pri="15000"/>
    <dgm:cat type="convert" pri="7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Lst>
      <dgm:cxnLst>
        <dgm:cxn modelId="4" srcId="0" destId="1" srcOrd="0" destOrd="0"/>
        <dgm:cxn modelId="5" srcId="1" destId="11" srcOrd="0" destOrd="0"/>
        <dgm:cxn modelId="6" srcId="1" destId="12" srcOrd="1" destOrd="0"/>
        <dgm:cxn modelId="7" srcId="0" destId="2" srcOrd="1" destOrd="0"/>
        <dgm:cxn modelId="8" srcId="2" destId="21" srcOrd="0" destOrd="0"/>
        <dgm:cxn modelId="9" srcId="2" destId="2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diagram">
    <dgm:varLst>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primFontSz" for="des" forName="rootText" op="equ" val="65"/>
      <dgm:constr type="primFontSz" for="des" forName="childText" op="equ" val="65"/>
      <dgm:constr type="w" for="des" forName="rootComposite" refType="w"/>
      <dgm:constr type="h" for="des" forName="rootComposite" refType="w" fact="0.5"/>
      <dgm:constr type="w" for="des" forName="childText" refType="w" refFor="des" refForName="rootComposite" fact="0.8"/>
      <dgm:constr type="h" for="des" forName="childText" refType="h" refFor="des" refForName="rootComposite"/>
      <dgm:constr type="sibSp" refType="w" refFor="des" refForName="rootComposite" fact="0.25"/>
      <dgm:constr type="sibSp" for="des" forName="childShape" refType="h" refFor="des" refForName="childText" fact="0.25"/>
      <dgm:constr type="sp" for="des" forName="root" refType="h" refFor="des" refForName="childText" fact="0.25"/>
    </dgm:constrLst>
    <dgm:ruleLst/>
    <dgm:forEach name="Name3" axis="ch">
      <dgm:forEach name="Name4" axis="self" ptType="node" cnt="1">
        <dgm:layoutNode name="root">
          <dgm:choose name="Name5">
            <dgm:if name="Name6" func="var" arg="dir" op="equ" val="norm">
              <dgm:alg type="hierRoot">
                <dgm:param type="hierAlign" val="tL"/>
              </dgm:alg>
            </dgm:if>
            <dgm:else name="Name7">
              <dgm:alg type="hierRoot">
                <dgm:param type="hierAlign" val="tR"/>
              </dgm:alg>
            </dgm:else>
          </dgm:choose>
          <dgm:shape xmlns:r="http://schemas.openxmlformats.org/officeDocument/2006/relationships" r:blip="">
            <dgm:adjLst/>
          </dgm:shape>
          <dgm:presOf/>
          <dgm:constrLst>
            <dgm:constr type="alignOff" val="0.2"/>
          </dgm:constrLst>
          <dgm:ruleLst/>
          <dgm:layoutNode name="rootComposite">
            <dgm:alg type="composite"/>
            <dgm:shape xmlns:r="http://schemas.openxmlformats.org/officeDocument/2006/relationships" r:blip="">
              <dgm:adjLst/>
            </dgm:shape>
            <dgm:presOf axis="self" ptType="node" cnt="1"/>
            <dgm:choose name="Name8">
              <dgm:if name="Name9" func="var" arg="dir" op="equ" val="norm">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10">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alg type="tx"/>
              <dgm:shape xmlns:r="http://schemas.openxmlformats.org/officeDocument/2006/relationships" type="roundRect" r:blip="">
                <dgm:adjLst>
                  <dgm:adj idx="1" val="0.1"/>
                </dgm:adjLst>
              </dgm:shape>
              <dgm:presOf axis="self" ptType="node" cnt="1"/>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rootConnector" moveWith="rootText">
              <dgm:alg type="sp"/>
              <dgm:shape xmlns:r="http://schemas.openxmlformats.org/officeDocument/2006/relationships" type="roundRect" r:blip="" hideGeom="1">
                <dgm:adjLst>
                  <dgm:adj idx="1" val="0.1"/>
                </dgm:adjLst>
              </dgm:shape>
              <dgm:presOf axis="self" ptType="node" cnt="1"/>
              <dgm:constrLst/>
              <dgm:ruleLst/>
            </dgm:layoutNode>
          </dgm:layoutNode>
          <dgm:layoutNode name="childShape">
            <dgm:alg type="hierChild">
              <dgm:param type="chAlign" val="l"/>
              <dgm:param type="linDir" val="fromT"/>
            </dgm:alg>
            <dgm:shape xmlns:r="http://schemas.openxmlformats.org/officeDocument/2006/relationships" r:blip="">
              <dgm:adjLst/>
            </dgm:shape>
            <dgm:presOf/>
            <dgm:constrLst/>
            <dgm:ruleLst/>
            <dgm:forEach name="Name11" axis="ch">
              <dgm:forEach name="Name12" axis="self" ptType="parTrans" cnt="1">
                <dgm:layoutNode name="Name13">
                  <dgm:choose name="Name14">
                    <dgm:if name="Name15" func="var" arg="dir" op="equ" val="norm">
                      <dgm:alg type="conn">
                        <dgm:param type="dim" val="1D"/>
                        <dgm:param type="endSty" val="noArr"/>
                        <dgm:param type="connRout" val="bend"/>
                        <dgm:param type="srcNode" val="rootConnector"/>
                        <dgm:param type="begPts" val="bCtr"/>
                        <dgm:param type="endPts" val="midL"/>
                      </dgm:alg>
                    </dgm:if>
                    <dgm:else name="Name16">
                      <dgm:alg type="conn">
                        <dgm:param type="dim" val="1D"/>
                        <dgm:param type="endSty" val="noArr"/>
                        <dgm:param type="connRout" val="bend"/>
                        <dgm:param type="srcNode" val="rootConnector"/>
                        <dgm:param type="begPts" val="bCtr"/>
                        <dgm:param type="endPts" val="midR"/>
                      </dgm:alg>
                    </dgm:else>
                  </dgm:choose>
                  <dgm:shape xmlns:r="http://schemas.openxmlformats.org/officeDocument/2006/relationships" type="conn" r:blip="">
                    <dgm:adjLst/>
                  </dgm:shape>
                  <dgm:presOf axis="self"/>
                  <dgm:constrLst>
                    <dgm:constr type="begPad"/>
                    <dgm:constr type="endPad"/>
                  </dgm:constrLst>
                  <dgm:ruleLst/>
                </dgm:layoutNode>
              </dgm:forEach>
              <dgm:forEach name="Name17" axis="self" ptType="node">
                <dgm:layoutNode name="childText" styleLbl="bgAcc1">
                  <dgm:varLst>
                    <dgm:bulletEnabled val="1"/>
                  </dgm:varLst>
                  <dgm:alg type="tx"/>
                  <dgm:shape xmlns:r="http://schemas.openxmlformats.org/officeDocument/2006/relationships" type="roundRect" r:blip="">
                    <dgm:adjLst>
                      <dgm:adj idx="1" val="0.1"/>
                    </dgm:adjLst>
                  </dgm:shape>
                  <dgm:presOf axis="self desOrSelf" ptType="node node" st="1 1" cnt="1 0"/>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forEach>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2">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3">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QuickStyle" Target="../diagrams/quickStyle2.xml"/><Relationship Id="rId3" Type="http://schemas.openxmlformats.org/officeDocument/2006/relationships/diagramQuickStyle" Target="../diagrams/quickStyle1.xml"/><Relationship Id="rId7" Type="http://schemas.openxmlformats.org/officeDocument/2006/relationships/diagramLayout" Target="../diagrams/layout2.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5" Type="http://schemas.microsoft.com/office/2007/relationships/diagramDrawing" Target="../diagrams/drawing1.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s>
</file>

<file path=xl/drawings/_rels/drawing2.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drawing1.xml><?xml version="1.0" encoding="utf-8"?>
<xdr:wsDr xmlns:xdr="http://schemas.openxmlformats.org/drawingml/2006/spreadsheetDrawing" xmlns:a="http://schemas.openxmlformats.org/drawingml/2006/main">
  <xdr:twoCellAnchor>
    <xdr:from>
      <xdr:col>0</xdr:col>
      <xdr:colOff>57148</xdr:colOff>
      <xdr:row>1</xdr:row>
      <xdr:rowOff>4758</xdr:rowOff>
    </xdr:from>
    <xdr:to>
      <xdr:col>6</xdr:col>
      <xdr:colOff>19050</xdr:colOff>
      <xdr:row>31</xdr:row>
      <xdr:rowOff>171450</xdr:rowOff>
    </xdr:to>
    <xdr:graphicFrame macro="">
      <xdr:nvGraphicFramePr>
        <xdr:cNvPr id="2" name="Diagram 1">
          <a:extLst>
            <a:ext uri="{FF2B5EF4-FFF2-40B4-BE49-F238E27FC236}">
              <a16:creationId xmlns:a16="http://schemas.microsoft.com/office/drawing/2014/main" id="{C79BCF7C-73D5-9016-2A65-D84CCA78402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11</xdr:col>
      <xdr:colOff>0</xdr:colOff>
      <xdr:row>1</xdr:row>
      <xdr:rowOff>28575</xdr:rowOff>
    </xdr:from>
    <xdr:to>
      <xdr:col>19</xdr:col>
      <xdr:colOff>1</xdr:colOff>
      <xdr:row>28</xdr:row>
      <xdr:rowOff>133350</xdr:rowOff>
    </xdr:to>
    <xdr:graphicFrame macro="">
      <xdr:nvGraphicFramePr>
        <xdr:cNvPr id="4" name="Diagram 3">
          <a:extLst>
            <a:ext uri="{FF2B5EF4-FFF2-40B4-BE49-F238E27FC236}">
              <a16:creationId xmlns:a16="http://schemas.microsoft.com/office/drawing/2014/main" id="{5ACC6A57-6F19-482A-BE19-DFC97AB05D2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4</xdr:row>
      <xdr:rowOff>38100</xdr:rowOff>
    </xdr:from>
    <xdr:to>
      <xdr:col>2</xdr:col>
      <xdr:colOff>1611815</xdr:colOff>
      <xdr:row>16</xdr:row>
      <xdr:rowOff>19944</xdr:rowOff>
    </xdr:to>
    <xdr:pic>
      <xdr:nvPicPr>
        <xdr:cNvPr id="2" name="Picture 1" descr="Screen Clipping">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1450" y="914400"/>
          <a:ext cx="2943634" cy="2391109"/>
        </a:xfrm>
        <a:prstGeom prst="rect">
          <a:avLst/>
        </a:prstGeom>
      </xdr:spPr>
    </xdr:pic>
    <xdr:clientData/>
  </xdr:twoCellAnchor>
  <xdr:twoCellAnchor editAs="oneCell">
    <xdr:from>
      <xdr:col>2</xdr:col>
      <xdr:colOff>1683327</xdr:colOff>
      <xdr:row>3</xdr:row>
      <xdr:rowOff>95251</xdr:rowOff>
    </xdr:from>
    <xdr:to>
      <xdr:col>3</xdr:col>
      <xdr:colOff>2145327</xdr:colOff>
      <xdr:row>16</xdr:row>
      <xdr:rowOff>14827</xdr:rowOff>
    </xdr:to>
    <xdr:pic>
      <xdr:nvPicPr>
        <xdr:cNvPr id="43" name="Picture 42" descr="Screen Clipping">
          <a:extLst>
            <a:ext uri="{FF2B5EF4-FFF2-40B4-BE49-F238E27FC236}">
              <a16:creationId xmlns:a16="http://schemas.microsoft.com/office/drawing/2014/main" id="{00000000-0008-0000-0700-00002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84915" y="801222"/>
          <a:ext cx="4798677" cy="25305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114300</xdr:colOff>
      <xdr:row>12</xdr:row>
      <xdr:rowOff>111124</xdr:rowOff>
    </xdr:from>
    <xdr:to>
      <xdr:col>6</xdr:col>
      <xdr:colOff>609600</xdr:colOff>
      <xdr:row>14</xdr:row>
      <xdr:rowOff>187324</xdr:rowOff>
    </xdr:to>
    <xdr:sp macro="[0]!LuuCSDL" textlink="">
      <xdr:nvSpPr>
        <xdr:cNvPr id="6" name="Rectangle 5">
          <a:extLst>
            <a:ext uri="{FF2B5EF4-FFF2-40B4-BE49-F238E27FC236}">
              <a16:creationId xmlns:a16="http://schemas.microsoft.com/office/drawing/2014/main" id="{00000000-0008-0000-0900-000006000000}"/>
            </a:ext>
          </a:extLst>
        </xdr:cNvPr>
        <xdr:cNvSpPr/>
      </xdr:nvSpPr>
      <xdr:spPr>
        <a:xfrm>
          <a:off x="3943350" y="22256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3.</a:t>
          </a:r>
          <a:r>
            <a:rPr lang="en-US" sz="1100" b="1" baseline="0">
              <a:latin typeface="Arial" panose="020B0604020202020204" pitchFamily="34" charset="0"/>
              <a:cs typeface="Arial" panose="020B0604020202020204" pitchFamily="34" charset="0"/>
            </a:rPr>
            <a:t> Upload 53</a:t>
          </a:r>
          <a:endParaRPr lang="en-US" sz="1100" b="1">
            <a:latin typeface="Arial" panose="020B0604020202020204" pitchFamily="34" charset="0"/>
            <a:cs typeface="Arial" panose="020B0604020202020204" pitchFamily="34" charset="0"/>
          </a:endParaRPr>
        </a:p>
      </xdr:txBody>
    </xdr:sp>
    <xdr:clientData/>
  </xdr:twoCellAnchor>
  <xdr:twoCellAnchor>
    <xdr:from>
      <xdr:col>4</xdr:col>
      <xdr:colOff>114300</xdr:colOff>
      <xdr:row>8</xdr:row>
      <xdr:rowOff>98424</xdr:rowOff>
    </xdr:from>
    <xdr:to>
      <xdr:col>6</xdr:col>
      <xdr:colOff>609600</xdr:colOff>
      <xdr:row>10</xdr:row>
      <xdr:rowOff>174624</xdr:rowOff>
    </xdr:to>
    <xdr:sp macro="[0]!Copy_to_listdeal" textlink="">
      <xdr:nvSpPr>
        <xdr:cNvPr id="8" name="Rectangle 7">
          <a:extLst>
            <a:ext uri="{FF2B5EF4-FFF2-40B4-BE49-F238E27FC236}">
              <a16:creationId xmlns:a16="http://schemas.microsoft.com/office/drawing/2014/main" id="{00000000-0008-0000-0900-000008000000}"/>
            </a:ext>
          </a:extLst>
        </xdr:cNvPr>
        <xdr:cNvSpPr/>
      </xdr:nvSpPr>
      <xdr:spPr>
        <a:xfrm>
          <a:off x="3943350" y="14509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2.</a:t>
          </a:r>
          <a:r>
            <a:rPr lang="en-US" sz="1100" b="1" baseline="0">
              <a:latin typeface="Arial" panose="020B0604020202020204" pitchFamily="34" charset="0"/>
              <a:cs typeface="Arial" panose="020B0604020202020204" pitchFamily="34" charset="0"/>
            </a:rPr>
            <a:t> Copy Deal - Check</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12</xdr:row>
      <xdr:rowOff>111124</xdr:rowOff>
    </xdr:from>
    <xdr:to>
      <xdr:col>10</xdr:col>
      <xdr:colOff>66675</xdr:colOff>
      <xdr:row>14</xdr:row>
      <xdr:rowOff>187324</xdr:rowOff>
    </xdr:to>
    <xdr:sp macro="[0]!Open_Report" textlink="">
      <xdr:nvSpPr>
        <xdr:cNvPr id="10" name="Rectangle 9">
          <a:extLst>
            <a:ext uri="{FF2B5EF4-FFF2-40B4-BE49-F238E27FC236}">
              <a16:creationId xmlns:a16="http://schemas.microsoft.com/office/drawing/2014/main" id="{00000000-0008-0000-0900-00000A000000}"/>
            </a:ext>
          </a:extLst>
        </xdr:cNvPr>
        <xdr:cNvSpPr/>
      </xdr:nvSpPr>
      <xdr:spPr>
        <a:xfrm>
          <a:off x="6134100" y="22256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6.</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Report</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123825</xdr:colOff>
      <xdr:row>4</xdr:row>
      <xdr:rowOff>28574</xdr:rowOff>
    </xdr:from>
    <xdr:to>
      <xdr:col>10</xdr:col>
      <xdr:colOff>57150</xdr:colOff>
      <xdr:row>6</xdr:row>
      <xdr:rowOff>161924</xdr:rowOff>
    </xdr:to>
    <xdr:sp macro="[0]!Open_ToolPnL" textlink="">
      <xdr:nvSpPr>
        <xdr:cNvPr id="11" name="Rectangle 10">
          <a:extLst>
            <a:ext uri="{FF2B5EF4-FFF2-40B4-BE49-F238E27FC236}">
              <a16:creationId xmlns:a16="http://schemas.microsoft.com/office/drawing/2014/main" id="{145333DC-C9AA-4F86-8C6D-223A0F06D2D3}"/>
            </a:ext>
          </a:extLst>
        </xdr:cNvPr>
        <xdr:cNvSpPr/>
      </xdr:nvSpPr>
      <xdr:spPr>
        <a:xfrm>
          <a:off x="6124575" y="6762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4.</a:t>
          </a:r>
          <a:r>
            <a:rPr lang="en-US" sz="1100" b="1" baseline="0">
              <a:latin typeface="Arial" panose="020B0604020202020204" pitchFamily="34" charset="0"/>
              <a:cs typeface="Arial" panose="020B0604020202020204" pitchFamily="34" charset="0"/>
            </a:rPr>
            <a:t> T</a:t>
          </a:r>
          <a:r>
            <a:rPr lang="en-US" sz="1100" b="1">
              <a:latin typeface="Arial" panose="020B0604020202020204" pitchFamily="34" charset="0"/>
              <a:cs typeface="Arial" panose="020B0604020202020204" pitchFamily="34" charset="0"/>
            </a:rPr>
            <a:t>ool</a:t>
          </a:r>
          <a:r>
            <a:rPr lang="en-US" sz="1100" b="1" baseline="0">
              <a:latin typeface="Arial" panose="020B0604020202020204" pitchFamily="34" charset="0"/>
              <a:cs typeface="Arial" panose="020B0604020202020204" pitchFamily="34" charset="0"/>
            </a:rPr>
            <a:t> Phân tích PnL</a:t>
          </a:r>
          <a:endParaRPr lang="en-US" sz="1100" b="1">
            <a:latin typeface="Arial" panose="020B0604020202020204" pitchFamily="34" charset="0"/>
            <a:cs typeface="Arial" panose="020B0604020202020204" pitchFamily="34" charset="0"/>
          </a:endParaRPr>
        </a:p>
      </xdr:txBody>
    </xdr:sp>
    <xdr:clientData/>
  </xdr:twoCellAnchor>
  <xdr:twoCellAnchor editAs="oneCell">
    <xdr:from>
      <xdr:col>4</xdr:col>
      <xdr:colOff>114300</xdr:colOff>
      <xdr:row>4</xdr:row>
      <xdr:rowOff>28574</xdr:rowOff>
    </xdr:from>
    <xdr:to>
      <xdr:col>6</xdr:col>
      <xdr:colOff>609600</xdr:colOff>
      <xdr:row>6</xdr:row>
      <xdr:rowOff>161924</xdr:rowOff>
    </xdr:to>
    <xdr:sp macro="[0]!Refresh_data" textlink="">
      <xdr:nvSpPr>
        <xdr:cNvPr id="4" name="Rectangle 3">
          <a:extLst>
            <a:ext uri="{FF2B5EF4-FFF2-40B4-BE49-F238E27FC236}">
              <a16:creationId xmlns:a16="http://schemas.microsoft.com/office/drawing/2014/main" id="{51CD7D0A-89E1-4FF9-AA8E-FB1A2F6294D9}"/>
            </a:ext>
          </a:extLst>
        </xdr:cNvPr>
        <xdr:cNvSpPr/>
      </xdr:nvSpPr>
      <xdr:spPr>
        <a:xfrm>
          <a:off x="3943350" y="676274"/>
          <a:ext cx="1828800" cy="457200"/>
        </a:xfrm>
        <a:prstGeom prst="rect">
          <a:avLst/>
        </a:prstGeom>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1. Refresh</a:t>
          </a:r>
          <a:r>
            <a:rPr lang="en-US" sz="1100" b="1" baseline="0">
              <a:latin typeface="Arial" panose="020B0604020202020204" pitchFamily="34" charset="0"/>
              <a:cs typeface="Arial" panose="020B0604020202020204" pitchFamily="34" charset="0"/>
            </a:rPr>
            <a:t> Data</a:t>
          </a:r>
          <a:endParaRPr lang="en-US" sz="1100" b="1">
            <a:latin typeface="Arial" panose="020B0604020202020204" pitchFamily="34" charset="0"/>
            <a:cs typeface="Arial" panose="020B0604020202020204" pitchFamily="34" charset="0"/>
          </a:endParaRPr>
        </a:p>
      </xdr:txBody>
    </xdr:sp>
    <xdr:clientData/>
  </xdr:twoCellAnchor>
  <xdr:twoCellAnchor>
    <xdr:from>
      <xdr:col>7</xdr:col>
      <xdr:colOff>133350</xdr:colOff>
      <xdr:row>8</xdr:row>
      <xdr:rowOff>98424</xdr:rowOff>
    </xdr:from>
    <xdr:to>
      <xdr:col>10</xdr:col>
      <xdr:colOff>66675</xdr:colOff>
      <xdr:row>10</xdr:row>
      <xdr:rowOff>174624</xdr:rowOff>
    </xdr:to>
    <xdr:sp macro="[0]!Open_ToolFIBond" textlink="">
      <xdr:nvSpPr>
        <xdr:cNvPr id="5" name="Rectangle 4">
          <a:extLst>
            <a:ext uri="{FF2B5EF4-FFF2-40B4-BE49-F238E27FC236}">
              <a16:creationId xmlns:a16="http://schemas.microsoft.com/office/drawing/2014/main" id="{36BEF723-C1F3-4D7C-9827-FCC6BB2DFB5A}"/>
            </a:ext>
          </a:extLst>
        </xdr:cNvPr>
        <xdr:cNvSpPr/>
      </xdr:nvSpPr>
      <xdr:spPr>
        <a:xfrm>
          <a:off x="6134100" y="1450974"/>
          <a:ext cx="1838325" cy="457200"/>
        </a:xfrm>
        <a:prstGeom prst="rect">
          <a:avLst/>
        </a:prstGeom>
        <a:solidFill>
          <a:schemeClr val="accent2"/>
        </a:solidFill>
        <a:ln>
          <a:noFill/>
        </a:ln>
        <a:effectLst>
          <a:outerShdw blurRad="149987" dist="250190" dir="8460000" algn="ctr">
            <a:srgbClr val="000000">
              <a:alpha val="0"/>
            </a:srgbClr>
          </a:outerShdw>
        </a:effectLst>
        <a:scene3d>
          <a:camera prst="orthographicFront">
            <a:rot lat="0" lon="0" rev="0"/>
          </a:camera>
          <a:lightRig rig="contrasting" dir="t">
            <a:rot lat="0" lon="0" rev="1500000"/>
          </a:lightRig>
        </a:scene3d>
        <a:sp3d prstMaterial="plastic">
          <a:bevelT/>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l"/>
          <a:r>
            <a:rPr lang="en-US" sz="1100" b="1">
              <a:latin typeface="Arial" panose="020B0604020202020204" pitchFamily="34" charset="0"/>
              <a:cs typeface="Arial" panose="020B0604020202020204" pitchFamily="34" charset="0"/>
            </a:rPr>
            <a:t>5.</a:t>
          </a:r>
          <a:r>
            <a:rPr lang="en-US" sz="1100" b="1" baseline="0">
              <a:latin typeface="Arial" panose="020B0604020202020204" pitchFamily="34" charset="0"/>
              <a:cs typeface="Arial" panose="020B0604020202020204" pitchFamily="34" charset="0"/>
            </a:rPr>
            <a:t> Tool FI Bond</a:t>
          </a:r>
        </a:p>
        <a:p>
          <a:pPr algn="l"/>
          <a:r>
            <a:rPr lang="en-US" sz="1100" b="0" i="1" baseline="0">
              <a:latin typeface="Arial" panose="020B0604020202020204" pitchFamily="34" charset="0"/>
              <a:cs typeface="Arial" panose="020B0604020202020204" pitchFamily="34" charset="0"/>
            </a:rPr>
            <a:t>(gửi BC if today = thứ 2)</a:t>
          </a:r>
          <a:endParaRPr lang="en-US" sz="1100" b="0" i="1">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03.Phong%20QLRRTK/Daily%20Report/His_2026/2026.07/LR_2026.07.0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1/Input%20Data/GL/B&#7843;ng%20c&#226;n%20&#273;&#7889;i%20t&#224;i%20s&#7843;n%20(quy%20&#273;&#7893;i)%20-%20B&#225;o%20c&#225;o%20ng&#224;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03.Phong%20QLRRTK/Daily%20Report/His_2026/2026.07/LR_2026.07.0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2/Input%20Data/GL/B&#7843;ng%20c&#226;n%20&#273;&#7889;i%20t&#224;i%20s&#7843;n%20(quy%20&#273;&#7893;i)%20-%20B&#225;o%20c&#225;o%20ng&#224;y.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03.Phong%20QLRRTK/Daily%20Report/His_2026/2026.07/LR_2026.07.0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3/Input%20Data/GL/B&#7843;ng%20c&#226;n%20&#273;&#7889;i%20t&#224;i%20s&#7843;n%20(quy%20&#273;&#7893;i)%20-%20B&#225;o%20c&#225;o%20ng&#224;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03.Phong%20QLRRTK/Daily%20Report/His_2026/2026.07/LR_2026.07.0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5/Input%20Data/GL/B&#7843;ng%20c&#226;n%20&#273;&#7889;i%20t&#224;i%20s&#7843;n%20(quy%20&#273;&#7893;i)%20-%20B&#225;o%20c&#225;o%20ng&#224;y.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03.Phong%20QLRRTK/Daily%20Report/His_2026/2026.07/LR_2026.07.0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6/Input%20Data/GL/B&#7843;ng%20c&#226;n%20&#273;&#7889;i%20t&#224;i%20s&#7843;n%20(quy%20&#273;&#7893;i)%20-%20B&#225;o%20c&#225;o%20ng&#224;y.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03.Phong%20QLRRTK/Daily%20Report/His_2026/2026.07/LR_2026.07.0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7/Input%20Data/GL/B&#7843;ng%20c&#226;n%20&#273;&#7889;i%20t&#224;i%20s&#7843;n%20(quy%20&#273;&#7893;i)%20-%20B&#225;o%20c&#225;o%20ng&#224;y.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03.Phong%20QLRRTK/Daily%20Report/His_2026/2026.07/LR_2026.07.08/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8/Input%20Data/GL/B&#7843;ng%20c&#226;n%20&#273;&#7889;i%20t&#224;i%20s&#7843;n%20(quy%20&#273;&#7893;i)%20-%20B&#225;o%20c&#225;o%20ng&#224;y.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03.Phong%20QLRRTK/Daily%20Report/His_2026/2026.07/LR_2026.07.0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09/Input%20Data/GL/B&#7843;ng%20c&#226;n%20&#273;&#7889;i%20t&#224;i%20s&#7843;n%20(quy%20&#273;&#7893;i)%20-%20B&#225;o%20c&#225;o%20ng&#224;y.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03.Phong%20QLRRTK/Daily%20Report/His_2026/2026.07/LR_2026.07.1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0/Input%20Data/GL/B&#7843;ng%20c&#226;n%20&#273;&#7889;i%20t&#224;i%20s&#7843;n%20(quy%20&#273;&#7893;i)%20-%20B&#225;o%20c&#225;o%20ng&#224;y.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03.Phong%20QLRRTK/Daily%20Report/His_2026/2026.07/LR_2026.07.1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2/Input%20Data/GL/B&#7843;ng%20c&#226;n%20&#273;&#7889;i%20t&#224;i%20s&#7843;n%20(quy%20&#273;&#7893;i)%20-%20B&#225;o%20c&#225;o%20ng&#224;y.xlsx" TargetMode="External"/></Relationships>
</file>

<file path=xl/externalLinks/_rels/externalLink11.xml.rels><?xml version="1.0" encoding="UTF-8" standalone="yes"?>
<Relationships xmlns="http://schemas.openxmlformats.org/package/2006/relationships"><Relationship Id="rId2" Type="http://schemas.openxmlformats.org/officeDocument/2006/relationships/externalLinkPath" Target="../../../../../../03.Phong%20QLRRTK/Daily%20Report/His_2026/2026.07/LR_2026.07.1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3/Input%20Data/GL/B&#7843;ng%20c&#226;n%20&#273;&#7889;i%20t&#224;i%20s&#7843;n%20(quy%20&#273;&#7893;i)%20-%20B&#225;o%20c&#225;o%20ng&#224;y.xlsx" TargetMode="External"/></Relationships>
</file>

<file path=xl/externalLinks/_rels/externalLink12.xml.rels><?xml version="1.0" encoding="UTF-8" standalone="yes"?>
<Relationships xmlns="http://schemas.openxmlformats.org/package/2006/relationships"><Relationship Id="rId2" Type="http://schemas.openxmlformats.org/officeDocument/2006/relationships/externalLinkPath" Target="../../../../../../03.Phong%20QLRRTK/Daily%20Report/His_2026/2026.07/LR_2026.07.1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4/Input%20Data/GL/B&#7843;ng%20c&#226;n%20&#273;&#7889;i%20t&#224;i%20s&#7843;n%20(quy%20&#273;&#7893;i)%20-%20B&#225;o%20c&#225;o%20ng&#224;y.xlsx" TargetMode="External"/></Relationships>
</file>

<file path=xl/externalLinks/_rels/externalLink13.xml.rels><?xml version="1.0" encoding="UTF-8" standalone="yes"?>
<Relationships xmlns="http://schemas.openxmlformats.org/package/2006/relationships"><Relationship Id="rId2" Type="http://schemas.openxmlformats.org/officeDocument/2006/relationships/externalLinkPath" Target="../../../../../../03.Phong%20QLRRTK/Daily%20Report/His_2026/2026.07/LR_2026.07.15/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5/Input%20Data/GL/B&#7843;ng%20c&#226;n%20&#273;&#7889;i%20t&#224;i%20s&#7843;n%20(quy%20&#273;&#7893;i)%20-%20B&#225;o%20c&#225;o%20ng&#224;y.xlsx" TargetMode="External"/></Relationships>
</file>

<file path=xl/externalLinks/_rels/externalLink14.xml.rels><?xml version="1.0" encoding="UTF-8" standalone="yes"?>
<Relationships xmlns="http://schemas.openxmlformats.org/package/2006/relationships"><Relationship Id="rId2" Type="http://schemas.openxmlformats.org/officeDocument/2006/relationships/externalLinkPath" Target="../../../../../../03.Phong%20QLRRTK/Daily%20Report/His_2026/2026.07/LR_2026.07.1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6/Input%20Data/GL/B&#7843;ng%20c&#226;n%20&#273;&#7889;i%20t&#224;i%20s&#7843;n%20(quy%20&#273;&#7893;i)%20-%20B&#225;o%20c&#225;o%20ng&#224;y.xlsx" TargetMode="External"/></Relationships>
</file>

<file path=xl/externalLinks/_rels/externalLink15.xml.rels><?xml version="1.0" encoding="UTF-8" standalone="yes"?>
<Relationships xmlns="http://schemas.openxmlformats.org/package/2006/relationships"><Relationship Id="rId2" Type="http://schemas.openxmlformats.org/officeDocument/2006/relationships/externalLinkPath" Target="../../../../../../03.Phong%20QLRRTK/Daily%20Report/His_2026/2026.07/LR_2026.07.1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7/Input%20Data/GL/B&#7843;ng%20c&#226;n%20&#273;&#7889;i%20t&#224;i%20s&#7843;n%20(quy%20&#273;&#7893;i)%20-%20B&#225;o%20c&#225;o%20ng&#224;y.xlsx" TargetMode="External"/></Relationships>
</file>

<file path=xl/externalLinks/_rels/externalLink16.xml.rels><?xml version="1.0" encoding="UTF-8" standalone="yes"?>
<Relationships xmlns="http://schemas.openxmlformats.org/package/2006/relationships"><Relationship Id="rId2" Type="http://schemas.openxmlformats.org/officeDocument/2006/relationships/externalLinkPath" Target="../../../../../../03.Phong%20QLRRTK/Daily%20Report/His_2026/2026.07/LR_2026.07.1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19/Input%20Data/GL/B&#7843;ng%20c&#226;n%20&#273;&#7889;i%20t&#224;i%20s&#7843;n%20(quy%20&#273;&#7893;i)%20-%20B&#225;o%20c&#225;o%20ng&#224;y.xlsx" TargetMode="External"/></Relationships>
</file>

<file path=xl/externalLinks/_rels/externalLink17.xml.rels><?xml version="1.0" encoding="UTF-8" standalone="yes"?>
<Relationships xmlns="http://schemas.openxmlformats.org/package/2006/relationships"><Relationship Id="rId2" Type="http://schemas.openxmlformats.org/officeDocument/2006/relationships/externalLinkPath" Target="../../../../../../03.Phong%20QLRRTK/Daily%20Report/His_2026/2026.07/LR_2026.07.2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0/Input%20Data/GL/B&#7843;ng%20c&#226;n%20&#273;&#7889;i%20t&#224;i%20s&#7843;n%20(quy%20&#273;&#7893;i)%20-%20B&#225;o%20c&#225;o%20ng&#224;y.xlsx" TargetMode="External"/></Relationships>
</file>

<file path=xl/externalLinks/_rels/externalLink18.xml.rels><?xml version="1.0" encoding="UTF-8" standalone="yes"?>
<Relationships xmlns="http://schemas.openxmlformats.org/package/2006/relationships"><Relationship Id="rId2" Type="http://schemas.openxmlformats.org/officeDocument/2006/relationships/externalLinkPath" Target="../../../../../../03.Phong%20QLRRTK/Daily%20Report/His_2026/2026.07/LR_2026.07.2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1/Input%20Data/GL/B&#7843;ng%20c&#226;n%20&#273;&#7889;i%20t&#224;i%20s&#7843;n%20(quy%20&#273;&#7893;i)%20-%20B&#225;o%20c&#225;o%20ng&#224;y.xlsx" TargetMode="External"/></Relationships>
</file>

<file path=xl/externalLinks/_rels/externalLink19.xml.rels><?xml version="1.0" encoding="UTF-8" standalone="yes"?>
<Relationships xmlns="http://schemas.openxmlformats.org/package/2006/relationships"><Relationship Id="rId2" Type="http://schemas.openxmlformats.org/officeDocument/2006/relationships/externalLinkPath" Target="../../../../../../03.Phong%20QLRRTK/Daily%20Report/His_2026/2026.07/LR_2026.07.22/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2/Input%20Data/GL/B&#7843;ng%20c&#226;n%20&#273;&#7889;i%20t&#224;i%20s&#7843;n%20(quy%20&#273;&#7893;i)%20-%20B&#225;o%20c&#225;o%20ng&#224;y.xlsx" TargetMode="External"/></Relationships>
</file>

<file path=xl/externalLinks/_rels/externalLink20.xml.rels><?xml version="1.0" encoding="UTF-8" standalone="yes"?>
<Relationships xmlns="http://schemas.openxmlformats.org/package/2006/relationships"><Relationship Id="rId2" Type="http://schemas.openxmlformats.org/officeDocument/2006/relationships/externalLinkPath" Target="../../../../../../03.Phong%20QLRRTK/Daily%20Report/His_2026/2026.07/LR_2026.07.23/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3/Input%20Data/GL/B&#7843;ng%20c&#226;n%20&#273;&#7889;i%20t&#224;i%20s&#7843;n%20(quy%20&#273;&#7893;i)%20-%20B&#225;o%20c&#225;o%20ng&#224;y.xlsx" TargetMode="External"/></Relationships>
</file>

<file path=xl/externalLinks/_rels/externalLink21.xml.rels><?xml version="1.0" encoding="UTF-8" standalone="yes"?>
<Relationships xmlns="http://schemas.openxmlformats.org/package/2006/relationships"><Relationship Id="rId2" Type="http://schemas.openxmlformats.org/officeDocument/2006/relationships/externalLinkPath" Target="../../../../../../03.Phong%20QLRRTK/Daily%20Report/His_2026/2026.07/LR_2026.07.24/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4/Input%20Data/GL/B&#7843;ng%20c&#226;n%20&#273;&#7889;i%20t&#224;i%20s&#7843;n%20(quy%20&#273;&#7893;i)%20-%20B&#225;o%20c&#225;o%20ng&#224;y.xlsx" TargetMode="External"/></Relationships>
</file>

<file path=xl/externalLinks/_rels/externalLink22.xml.rels><?xml version="1.0" encoding="UTF-8" standalone="yes"?>
<Relationships xmlns="http://schemas.openxmlformats.org/package/2006/relationships"><Relationship Id="rId2" Type="http://schemas.openxmlformats.org/officeDocument/2006/relationships/externalLinkPath" Target="../../../../../../03.Phong%20QLRRTK/Daily%20Report/His_2026/2026.07/LR_2026.07.26/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6/Input%20Data/GL/B&#7843;ng%20c&#226;n%20&#273;&#7889;i%20t&#224;i%20s&#7843;n%20(quy%20&#273;&#7893;i)%20-%20B&#225;o%20c&#225;o%20ng&#224;y.xlsx" TargetMode="External"/></Relationships>
</file>

<file path=xl/externalLinks/_rels/externalLink23.xml.rels><?xml version="1.0" encoding="UTF-8" standalone="yes"?>
<Relationships xmlns="http://schemas.openxmlformats.org/package/2006/relationships"><Relationship Id="rId2" Type="http://schemas.openxmlformats.org/officeDocument/2006/relationships/externalLinkPath" Target="../../../../../../03.Phong%20QLRRTK/Daily%20Report/His_2026/2026.07/LR_2026.07.27/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7/Input%20Data/GL/B&#7843;ng%20c&#226;n%20&#273;&#7889;i%20t&#224;i%20s&#7843;n%20(quy%20&#273;&#7893;i)%20-%20B&#225;o%20c&#225;o%20ng&#224;y.xlsx" TargetMode="External"/></Relationships>
</file>

<file path=xl/externalLinks/_rels/externalLink24.xml.rels><?xml version="1.0" encoding="UTF-8" standalone="yes"?>
<Relationships xmlns="http://schemas.openxmlformats.org/package/2006/relationships"><Relationship Id="rId2" Type="http://schemas.openxmlformats.org/officeDocument/2006/relationships/externalLinkPath" Target="../../../../../../03.Phong%20QLRRTK/Daily%20Report/His_2026/2026.07/LR_2026.07.28/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8/Input%20Data/GL/B&#7843;ng%20c&#226;n%20&#273;&#7889;i%20t&#224;i%20s&#7843;n%20(quy%20&#273;&#7893;i)%20-%20B&#225;o%20c&#225;o%20ng&#224;y.xlsx" TargetMode="External"/></Relationships>
</file>

<file path=xl/externalLinks/_rels/externalLink25.xml.rels><?xml version="1.0" encoding="UTF-8" standalone="yes"?>
<Relationships xmlns="http://schemas.openxmlformats.org/package/2006/relationships"><Relationship Id="rId2" Type="http://schemas.openxmlformats.org/officeDocument/2006/relationships/externalLinkPath" Target="../../../../../../03.Phong%20QLRRTK/Daily%20Report/His_2026/2026.07/LR_2026.07.29/Input%20Data/GL/B&#7843;ng%20c&#226;n%20&#273;&#7889;i%20t&#224;i%20s&#7843;n%20(quy%20&#273;&#7893;i)%20-%20B&#225;o%20c&#225;o%20ng&#224;y.xlsx" TargetMode="External"/><Relationship Id="rId1" Type="http://schemas.openxmlformats.org/officeDocument/2006/relationships/externalLinkPath" Target="/02.Trung%20Tam%20QLRR%20Thi%20Truong/03.Phong%20QLRRTK/Daily%20Report/His_2026/2026.07/LR_2026.07.29/Input%20Data/GL/B&#7843;ng%20c&#226;n%20&#273;&#7889;i%20t&#224;i%20s&#7843;n%20(quy%20&#273;&#7893;i)%20-%20B&#225;o%20c&#225;o%20ng&#224;y.xlsx" TargetMode="External"/></Relationships>
</file>

<file path=xl/externalLinks/_rels/externalLink26.xml.rels><?xml version="1.0" encoding="UTF-8" standalone="yes"?>
<Relationships xmlns="http://schemas.openxmlformats.org/package/2006/relationships"><Relationship Id="rId2" Type="http://schemas.openxmlformats.org/officeDocument/2006/relationships/externalLinkPath" Target="../../../../../../03.Phong%20QLRRTK/Daily%20Report/LR_2026.07.30/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7.30/Input%20Data/GL/B&#7843;ng%20c&#226;n%20&#273;&#7889;i%20t&#224;i%20s&#7843;n%20(quy%20&#273;&#7893;i)%20-%20B&#225;o%20c&#225;o%20ng&#224;y.xlsx" TargetMode="External"/></Relationships>
</file>

<file path=xl/externalLinks/_rels/externalLink27.xml.rels><?xml version="1.0" encoding="UTF-8" standalone="yes"?>
<Relationships xmlns="http://schemas.openxmlformats.org/package/2006/relationships"><Relationship Id="rId2" Type="http://schemas.openxmlformats.org/officeDocument/2006/relationships/externalLinkPath" Target="../../../../../../03.Phong%20QLRRTK/Daily%20Report/LR_2026.07.31/Input%20Data/GL/B&#7843;ng%20c&#226;n%20&#273;&#7889;i%20t&#224;i%20s&#7843;n%20(quy%20&#273;&#7893;i)%20-%20B&#225;o%20c&#225;o%20ng&#224;y.xlsx" TargetMode="External"/><Relationship Id="rId1" Type="http://schemas.openxmlformats.org/officeDocument/2006/relationships/externalLinkPath" Target="/02.Trung%20Tam%20QLRR%20Thi%20Truong/03.Phong%20QLRRTK/Daily%20Report/LR_2026.07.31/Input%20Data/GL/B&#7843;ng%20c&#226;n%20&#273;&#7889;i%20t&#224;i%20s&#7843;n%20(quy%20&#273;&#7893;i)%20-%20B&#225;o%20c&#225;o%20ng&#224;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372969036813100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380578206148654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370801985980958</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378725360389611</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371227577188607</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366033370510303</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367026976240733</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366977564174626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365649492497878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363348017019069</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367771147462836</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363963654296371</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364332890155563</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371584817387934</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360299298862085</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363700381412286</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369239436392319</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375471702564424</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375546098019338</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382071445054361</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369640417399237</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371560378733890</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371412473206662</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370393914217972</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Bang can doi tai san (quy doi)"/>
    </sheetNames>
    <sheetDataSet>
      <sheetData sheetId="0">
        <row r="87">
          <cell r="C87">
            <v>378732379401530</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53.392803587965" createdVersion="8" refreshedVersion="8" minRefreshableVersion="3" recordCount="58" xr:uid="{63B6A21D-1907-4987-8261-F6F679F62552}">
  <cacheSource type="worksheet">
    <worksheetSource name="Outright"/>
  </cacheSource>
  <cacheFields count="9">
    <cacheField name="Ngày" numFmtId="180">
      <sharedItems containsSemiMixedTypes="0" containsNonDate="0" containsDate="1" containsString="0" minDate="2026-08-18T00:00:00" maxDate="2026-08-19T00:00:00"/>
    </cacheField>
    <cacheField name="KHCL" numFmtId="0">
      <sharedItems/>
    </cacheField>
    <cacheField name="Mã TP" numFmtId="0">
      <sharedItems/>
    </cacheField>
    <cacheField name="Loại tiền tệ" numFmtId="0">
      <sharedItems/>
    </cacheField>
    <cacheField name="Clean price" numFmtId="165">
      <sharedItems containsSemiMixedTypes="0" containsString="0" containsNumber="1" containsInteger="1" minValue="75174" maxValue="144454"/>
    </cacheField>
    <cacheField name="YTM" numFmtId="174">
      <sharedItems containsSemiMixedTypes="0" containsString="0" containsNumber="1" minValue="2.2338" maxValue="4.7840999999999996"/>
    </cacheField>
    <cacheField name="KLGD" numFmtId="165">
      <sharedItems containsSemiMixedTypes="0" containsString="0" containsNumber="1" containsInteger="1" minValue="150000" maxValue="8200000"/>
    </cacheField>
    <cacheField name="GTGD" numFmtId="165">
      <sharedItems containsSemiMixedTypes="0" containsString="0" containsNumber="1" containsInteger="1" minValue="4167450000" maxValue="810315800000"/>
    </cacheField>
    <cacheField name="Tenor" numFmtId="165">
      <sharedItems containsBlank="1" count="9">
        <s v="5-7Y"/>
        <s v="&lt;=5Y"/>
        <s v="&gt;=20Y"/>
        <s v="7-10Y"/>
        <s v="10-20Y"/>
        <m u="1"/>
        <s v="&lt;=1Y" u="1"/>
        <e v="#N/A" u="1"/>
        <e v="#REF!"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m Pham Duc (QLRR - QLRRTTTK RRTT&amp;LSSNH)" refreshedDate="46253.392804282405" createdVersion="8" refreshedVersion="8" minRefreshableVersion="3" recordCount="2750" xr:uid="{EA658431-3F9E-4A0D-811D-C8763430BF67}">
  <cacheSource type="worksheet">
    <worksheetSource name="Yield_1Y"/>
  </cacheSource>
  <cacheFields count="6">
    <cacheField name="RptDate" numFmtId="14">
      <sharedItems containsSemiMixedTypes="0" containsNonDate="0" containsDate="1" containsString="0" minDate="2025-07-14T00:00:00" maxDate="2026-08-19T00:00:00" count="275">
        <d v="2025-07-14T00:00:00"/>
        <d v="2025-07-15T00:00:00"/>
        <d v="2025-07-16T00:00:00"/>
        <d v="2025-07-17T00:00:00"/>
        <d v="2025-07-18T00:00:00"/>
        <d v="2025-07-21T00:00:00"/>
        <d v="2025-07-22T00:00:00"/>
        <d v="2025-07-23T00:00:00"/>
        <d v="2025-07-24T00:00:00"/>
        <d v="2025-07-25T00:00:00"/>
        <d v="2025-07-28T00:00:00"/>
        <d v="2025-07-29T00:00:00"/>
        <d v="2025-07-30T00:00:00"/>
        <d v="2025-07-31T00:00:00"/>
        <d v="2025-08-01T00:00:00"/>
        <d v="2025-08-04T00:00:00"/>
        <d v="2025-08-05T00:00:00"/>
        <d v="2025-08-06T00:00:00"/>
        <d v="2025-08-07T00:00:00"/>
        <d v="2025-08-08T00:00:00"/>
        <d v="2025-08-11T00:00:00"/>
        <d v="2025-08-12T00:00:00"/>
        <d v="2025-08-13T00:00:00"/>
        <d v="2025-08-14T00:00:00"/>
        <d v="2025-08-15T00:00:00"/>
        <d v="2025-08-18T00:00:00"/>
        <d v="2025-08-19T00:00:00"/>
        <d v="2025-08-20T00:00:00"/>
        <d v="2025-08-21T00:00:00"/>
        <d v="2025-08-22T00:00:00"/>
        <d v="2025-08-25T00:00:00"/>
        <d v="2025-08-26T00:00:00"/>
        <d v="2025-08-27T00:00:00"/>
        <d v="2025-08-28T00:00:00"/>
        <d v="2025-08-29T00:00:00"/>
        <d v="2025-09-03T00:00:00"/>
        <d v="2025-09-04T00:00:00"/>
        <d v="2025-09-05T00:00:00"/>
        <d v="2025-09-08T00:00:00"/>
        <d v="2025-09-09T00:00:00"/>
        <d v="2025-09-10T00:00:00"/>
        <d v="2025-09-11T00:00:00"/>
        <d v="2025-09-12T00:00:00"/>
        <d v="2025-09-15T00:00:00"/>
        <d v="2025-09-16T00:00:00"/>
        <d v="2025-09-17T00:00:00"/>
        <d v="2025-09-18T00:00:00"/>
        <d v="2025-09-19T00:00:00"/>
        <d v="2025-09-22T00:00:00"/>
        <d v="2025-09-23T00:00:00"/>
        <d v="2025-09-24T00:00:00"/>
        <d v="2025-09-25T00:00:00"/>
        <d v="2025-09-26T00:00:00"/>
        <d v="2025-09-29T00:00:00"/>
        <d v="2025-09-30T00:00:00"/>
        <d v="2025-10-01T00:00:00"/>
        <d v="2025-10-02T00:00:00"/>
        <d v="2025-10-03T00:00:00"/>
        <d v="2025-10-06T00:00:00"/>
        <d v="2025-10-07T00:00:00"/>
        <d v="2025-10-08T00:00:00"/>
        <d v="2025-10-09T00:00:00"/>
        <d v="2025-10-10T00:00:00"/>
        <d v="2025-10-13T00:00:00"/>
        <d v="2025-10-14T00:00:00"/>
        <d v="2025-10-15T00:00:00"/>
        <d v="2025-10-16T00:00:00"/>
        <d v="2025-10-17T00:00:00"/>
        <d v="2025-10-20T00:00:00"/>
        <d v="2025-10-21T00:00:00"/>
        <d v="2025-10-22T00:00:00"/>
        <d v="2025-10-23T00:00:00"/>
        <d v="2025-10-24T00:00:00"/>
        <d v="2025-10-27T00:00:00"/>
        <d v="2025-10-28T00:00:00"/>
        <d v="2025-10-29T00:00:00"/>
        <d v="2025-10-30T00:00:00"/>
        <d v="2025-10-31T00:00:00"/>
        <d v="2025-11-03T00:00:00"/>
        <d v="2025-11-04T00:00:00"/>
        <d v="2025-11-05T00:00:00"/>
        <d v="2025-11-06T00:00:00"/>
        <d v="2025-11-07T00:00:00"/>
        <d v="2025-11-10T00:00:00"/>
        <d v="2025-11-11T00:00:00"/>
        <d v="2025-11-12T00:00:00"/>
        <d v="2025-11-13T00:00:00"/>
        <d v="2025-11-14T00:00:00"/>
        <d v="2025-11-17T00:00:00"/>
        <d v="2025-11-18T00:00:00"/>
        <d v="2025-11-19T00:00:00"/>
        <d v="2025-11-20T00:00:00"/>
        <d v="2025-11-21T00:00:00"/>
        <d v="2025-11-24T00:00:00"/>
        <d v="2025-11-25T00:00:00"/>
        <d v="2025-11-26T00:00:00"/>
        <d v="2025-11-27T00:00:00"/>
        <d v="2025-11-28T00:00:00"/>
        <d v="2025-12-01T00:00:00"/>
        <d v="2025-12-02T00:00:00"/>
        <d v="2025-12-03T00:00:00"/>
        <d v="2025-12-04T00:00:00"/>
        <d v="2025-12-05T00:00:00"/>
        <d v="2025-12-08T00:00:00"/>
        <d v="2025-12-09T00:00:00"/>
        <d v="2025-12-10T00:00:00"/>
        <d v="2025-12-11T00:00:00"/>
        <d v="2025-12-12T00:00:00"/>
        <d v="2025-12-15T00:00:00"/>
        <d v="2025-12-16T00:00:00"/>
        <d v="2025-12-17T00:00:00"/>
        <d v="2025-12-18T00:00:00"/>
        <d v="2025-12-19T00:00:00"/>
        <d v="2025-12-22T00:00:00"/>
        <d v="2025-12-23T00:00:00"/>
        <d v="2025-12-24T00:00:00"/>
        <d v="2025-12-25T00:00:00"/>
        <d v="2025-12-26T00:00:00"/>
        <d v="2025-12-29T00:00:00"/>
        <d v="2025-12-30T00:00:00"/>
        <d v="2025-12-31T00:00:00"/>
        <d v="2026-01-05T00:00:00"/>
        <d v="2026-01-06T00:00:00"/>
        <d v="2026-01-07T00:00:00"/>
        <d v="2026-01-08T00:00:00"/>
        <d v="2026-01-09T00:00:00"/>
        <d v="2026-01-12T00:00:00"/>
        <d v="2026-01-13T00:00:00"/>
        <d v="2026-01-14T00:00:00"/>
        <d v="2026-01-15T00:00:00"/>
        <d v="2026-01-16T00:00:00"/>
        <d v="2026-01-19T00:00:00"/>
        <d v="2026-01-20T00:00:00"/>
        <d v="2026-01-21T00:00:00"/>
        <d v="2026-01-22T00:00:00"/>
        <d v="2026-01-23T00:00:00"/>
        <d v="2026-01-26T00:00:00"/>
        <d v="2026-01-27T00:00:00"/>
        <d v="2026-01-28T00:00:00"/>
        <d v="2026-01-29T00:00:00"/>
        <d v="2026-01-30T00:00:00"/>
        <d v="2026-02-02T00:00:00"/>
        <d v="2026-02-03T00:00:00"/>
        <d v="2026-02-04T00:00:00"/>
        <d v="2026-02-05T00:00:00"/>
        <d v="2026-02-06T00:00:00"/>
        <d v="2026-02-09T00:00:00"/>
        <d v="2026-02-10T00:00:00"/>
        <d v="2026-02-11T00:00:00"/>
        <d v="2026-02-12T00:00:00"/>
        <d v="2026-02-13T00:00:00"/>
        <d v="2026-02-23T00:00:00"/>
        <d v="2026-02-24T00:00:00"/>
        <d v="2026-02-25T00:00:00"/>
        <d v="2026-02-26T00:00:00"/>
        <d v="2026-02-27T00:00:00"/>
        <d v="2026-03-02T00:00:00"/>
        <d v="2026-03-03T00:00:00"/>
        <d v="2026-03-04T00:00:00"/>
        <d v="2026-03-05T00:00:00"/>
        <d v="2026-03-06T00:00:00"/>
        <d v="2026-03-09T00:00:00"/>
        <d v="2026-03-10T00:00:00"/>
        <d v="2026-03-11T00:00:00"/>
        <d v="2026-03-12T00:00:00"/>
        <d v="2026-03-13T00:00:00"/>
        <d v="2026-03-16T00:00:00"/>
        <d v="2026-03-17T00:00:00"/>
        <d v="2026-03-18T00:00:00"/>
        <d v="2026-03-19T00:00:00"/>
        <d v="2026-03-20T00:00:00"/>
        <d v="2026-03-23T00:00:00"/>
        <d v="2026-03-24T00:00:00"/>
        <d v="2026-03-25T00:00:00"/>
        <d v="2026-03-26T00:00:00"/>
        <d v="2026-03-27T00:00:00"/>
        <d v="2026-03-30T00:00:00"/>
        <d v="2026-03-31T00:00:00"/>
        <d v="2026-04-01T00:00:00"/>
        <d v="2026-04-02T00:00:00"/>
        <d v="2026-04-03T00:00:00"/>
        <d v="2026-04-06T00:00:00"/>
        <d v="2026-04-07T00:00:00"/>
        <d v="2026-04-08T00:00:00"/>
        <d v="2026-04-09T00:00:00"/>
        <d v="2026-04-10T00:00:00"/>
        <d v="2026-04-13T00:00:00"/>
        <d v="2026-04-14T00:00:00"/>
        <d v="2026-04-15T00:00:00"/>
        <d v="2026-04-16T00:00:00"/>
        <d v="2026-04-17T00:00:00"/>
        <d v="2026-04-20T00:00:00"/>
        <d v="2026-04-21T00:00:00"/>
        <d v="2026-04-22T00:00:00"/>
        <d v="2026-04-23T00:00:00"/>
        <d v="2026-04-24T00:00:00"/>
        <d v="2026-04-28T00:00:00"/>
        <d v="2026-04-29T00:00:00"/>
        <d v="2026-05-04T00:00:00"/>
        <d v="2026-05-05T00:00:00"/>
        <d v="2026-05-06T00:00:00"/>
        <d v="2026-05-07T00:00:00"/>
        <d v="2026-05-08T00:00:00"/>
        <d v="2026-05-11T00:00:00"/>
        <d v="2026-05-12T00:00:00"/>
        <d v="2026-05-13T00:00:00"/>
        <d v="2026-05-14T00:00:00"/>
        <d v="2026-05-15T00:00:00"/>
        <d v="2026-05-18T00:00:00"/>
        <d v="2026-05-19T00:00:00"/>
        <d v="2026-05-20T00:00:00"/>
        <d v="2026-05-21T00:00:00"/>
        <d v="2026-05-22T00:00:00"/>
        <d v="2026-05-25T00:00:00"/>
        <d v="2026-05-26T00:00:00"/>
        <d v="2026-05-27T00:00:00"/>
        <d v="2026-05-28T00:00:00"/>
        <d v="2026-05-29T00:00:00"/>
        <d v="2026-06-01T00:00:00"/>
        <d v="2026-06-02T00:00:00"/>
        <d v="2026-06-03T00:00:00"/>
        <d v="2026-06-04T00:00:00"/>
        <d v="2026-06-05T00:00:00"/>
        <d v="2026-06-08T00:00:00"/>
        <d v="2026-06-09T00:00:00"/>
        <d v="2026-06-10T00:00:00"/>
        <d v="2026-06-11T00:00:00"/>
        <d v="2026-06-12T00:00:00"/>
        <d v="2026-06-15T00:00:00"/>
        <d v="2026-06-16T00:00:00"/>
        <d v="2026-06-17T00:00:00"/>
        <d v="2026-06-18T00:00:00"/>
        <d v="2026-06-19T00:00:00"/>
        <d v="2026-06-22T00:00:00"/>
        <d v="2026-06-23T00:00:00"/>
        <d v="2026-06-24T00:00:00"/>
        <d v="2026-06-25T00:00:00"/>
        <d v="2026-06-26T00:00:00"/>
        <d v="2026-06-29T00:00:00"/>
        <d v="2026-06-30T00:00:00"/>
        <d v="2026-07-01T00:00:00"/>
        <d v="2026-07-02T00:00:00"/>
        <d v="2026-07-03T00:00:00"/>
        <d v="2026-07-06T00:00:00"/>
        <d v="2026-07-07T00:00:00"/>
        <d v="2026-07-08T00:00:00"/>
        <d v="2026-07-09T00:00:00"/>
        <d v="2026-07-10T00:00:00"/>
        <d v="2026-07-13T00:00:00"/>
        <d v="2026-07-14T00:00:00"/>
        <d v="2026-07-15T00:00:00"/>
        <d v="2026-07-16T00:00:00"/>
        <d v="2026-07-17T00:00:00"/>
        <d v="2026-07-20T00:00:00"/>
        <d v="2026-07-21T00:00:00"/>
        <d v="2026-07-22T00:00:00"/>
        <d v="2026-07-23T00:00:00"/>
        <d v="2026-07-24T00:00:00"/>
        <d v="2026-07-27T00:00:00"/>
        <d v="2026-07-28T00:00:00"/>
        <d v="2026-07-29T00:00:00"/>
        <d v="2026-07-30T00:00:00"/>
        <d v="2026-07-31T00:00:00"/>
        <d v="2026-08-03T00:00:00"/>
        <d v="2026-08-04T00:00:00"/>
        <d v="2026-08-05T00:00:00"/>
        <d v="2026-08-06T00:00:00"/>
        <d v="2026-08-07T00:00:00"/>
        <d v="2026-08-10T00:00:00"/>
        <d v="2026-08-11T00:00:00"/>
        <d v="2026-08-12T00:00:00"/>
        <d v="2026-08-13T00:00:00"/>
        <d v="2026-08-14T00:00:00"/>
        <d v="2026-08-17T00:00:00"/>
        <d v="2026-08-18T00:00:00"/>
      </sharedItems>
      <fieldGroup par="5"/>
    </cacheField>
    <cacheField name="Tenor" numFmtId="0">
      <sharedItems count="10">
        <s v="10Y"/>
        <s v="15Y"/>
        <s v="1Y"/>
        <s v="20Y"/>
        <s v="2Y"/>
        <s v="30Y"/>
        <s v="3Y"/>
        <s v="4Y"/>
        <s v="5Y"/>
        <s v="7Y"/>
      </sharedItems>
    </cacheField>
    <cacheField name="Average" numFmtId="0">
      <sharedItems containsSemiMixedTypes="0" containsString="0" containsNumber="1" minValue="2.2040000000000002" maxValue="4.7329999999999997"/>
    </cacheField>
    <cacheField name="Months (RptDate)" numFmtId="0" databaseField="0">
      <fieldGroup base="0">
        <rangePr groupBy="months" startDate="2025-07-14T00:00:00" endDate="2026-08-19T00:00:00"/>
        <groupItems count="14">
          <s v="&lt;14/7/2025"/>
          <s v="Jan"/>
          <s v="Feb"/>
          <s v="Mar"/>
          <s v="Apr"/>
          <s v="May"/>
          <s v="Jun"/>
          <s v="Jul"/>
          <s v="Aug"/>
          <s v="Sep"/>
          <s v="Oct"/>
          <s v="Nov"/>
          <s v="Dec"/>
          <s v="&gt;19/8/2026"/>
        </groupItems>
      </fieldGroup>
    </cacheField>
    <cacheField name="Quarters (RptDate)" numFmtId="0" databaseField="0">
      <fieldGroup base="0">
        <rangePr groupBy="quarters" startDate="2025-07-14T00:00:00" endDate="2026-08-19T00:00:00"/>
        <groupItems count="6">
          <s v="&lt;14/7/2025"/>
          <s v="Qtr1"/>
          <s v="Qtr2"/>
          <s v="Qtr3"/>
          <s v="Qtr4"/>
          <s v="&gt;19/8/2026"/>
        </groupItems>
      </fieldGroup>
    </cacheField>
    <cacheField name="Years (RptDate)" numFmtId="0" databaseField="0">
      <fieldGroup base="0">
        <rangePr groupBy="years" startDate="2025-07-14T00:00:00" endDate="2026-08-19T00:00:00"/>
        <groupItems count="4">
          <s v="&lt;14/7/2025"/>
          <s v="2025"/>
          <s v="2026"/>
          <s v="&gt;19/8/2026"/>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
  <r>
    <d v="2026-08-18T00:00:00"/>
    <s v="5 năm"/>
    <s v="BVDB17317"/>
    <s v="VND"/>
    <n v="124082"/>
    <n v="2.8014999999999999"/>
    <n v="500000"/>
    <n v="63977500000"/>
    <x v="0"/>
  </r>
  <r>
    <d v="2026-08-18T00:00:00"/>
    <s v="2 năm"/>
    <s v="TB1328154"/>
    <s v="VND"/>
    <n v="111816"/>
    <n v="2.2338"/>
    <n v="703000"/>
    <n v="79463605000"/>
    <x v="1"/>
  </r>
  <r>
    <d v="2026-08-18T00:00:00"/>
    <s v="3 - 5 năm"/>
    <s v="TD1530287"/>
    <s v="VND"/>
    <n v="111639"/>
    <n v="3.8950999999999998"/>
    <n v="500000"/>
    <n v="57586500000"/>
    <x v="1"/>
  </r>
  <r>
    <d v="2026-08-18T00:00:00"/>
    <s v="3 - 5 năm"/>
    <s v="TD1530288"/>
    <s v="VND"/>
    <n v="115973"/>
    <n v="2.4645999999999999"/>
    <n v="335000"/>
    <n v="4167450000"/>
    <x v="1"/>
  </r>
  <r>
    <d v="2026-08-18T00:00:00"/>
    <s v="3 - 5 năm"/>
    <s v="TD1530288"/>
    <s v="VND"/>
    <n v="115973"/>
    <n v="2.4645999999999999"/>
    <n v="842000"/>
    <n v="100256940000"/>
    <x v="1"/>
  </r>
  <r>
    <d v="2026-08-18T00:00:00"/>
    <s v="3 - 5 năm"/>
    <s v="TD1631461"/>
    <s v="VND"/>
    <n v="114239"/>
    <n v="3.9885000000000002"/>
    <n v="850000"/>
    <n v="101067550000"/>
    <x v="1"/>
  </r>
  <r>
    <d v="2026-08-18T00:00:00"/>
    <s v="3 - 5 năm"/>
    <s v="TD1631461"/>
    <s v="VND"/>
    <n v="114239"/>
    <n v="3.9885000000000002"/>
    <n v="150000"/>
    <n v="17835450000"/>
    <x v="1"/>
  </r>
  <r>
    <d v="2026-08-18T00:00:00"/>
    <s v="5 năm"/>
    <s v="TD1631462"/>
    <s v="VND"/>
    <n v="113741"/>
    <n v="4.4272"/>
    <n v="1800000"/>
    <n v="209493000000"/>
    <x v="0"/>
  </r>
  <r>
    <d v="2026-08-18T00:00:00"/>
    <s v="5 năm"/>
    <s v="TD1631465"/>
    <s v="VND"/>
    <n v="119845"/>
    <n v="3.11"/>
    <n v="1000000"/>
    <n v="126698000000"/>
    <x v="0"/>
  </r>
  <r>
    <d v="2026-08-18T00:00:00"/>
    <s v="5 năm"/>
    <s v="TD1631465"/>
    <s v="VND"/>
    <n v="114106"/>
    <n v="4.2485999999999997"/>
    <n v="1000000"/>
    <n v="120959000000"/>
    <x v="0"/>
  </r>
  <r>
    <d v="2026-08-18T00:00:00"/>
    <s v="20 năm"/>
    <s v="TD1747410"/>
    <s v="VND"/>
    <n v="144248"/>
    <n v="4.5416999999999996"/>
    <n v="2700000"/>
    <n v="401537280000"/>
    <x v="2"/>
  </r>
  <r>
    <d v="2026-08-18T00:00:00"/>
    <s v="20 năm"/>
    <s v="TD1747410"/>
    <s v="VND"/>
    <n v="144277"/>
    <n v="4.54"/>
    <n v="750000"/>
    <n v="110739750000"/>
    <x v="2"/>
  </r>
  <r>
    <d v="2026-08-18T00:00:00"/>
    <s v="20 năm"/>
    <s v="TD1747410"/>
    <s v="VND"/>
    <n v="144454"/>
    <n v="4.5297000000000001"/>
    <n v="910000"/>
    <n v="134525300000"/>
    <x v="2"/>
  </r>
  <r>
    <d v="2026-08-18T00:00:00"/>
    <s v="20 năm"/>
    <s v="TD1747410"/>
    <s v="VND"/>
    <n v="144277"/>
    <n v="4.54"/>
    <n v="5300000"/>
    <n v="791420080000"/>
    <x v="2"/>
  </r>
  <r>
    <d v="2026-08-18T00:00:00"/>
    <s v="20 năm"/>
    <s v="TD1747410"/>
    <s v="VND"/>
    <n v="144227"/>
    <n v="4.4542999999999999"/>
    <n v="1300000"/>
    <n v="200740080000"/>
    <x v="2"/>
  </r>
  <r>
    <d v="2026-08-18T00:00:00"/>
    <s v="20 năm"/>
    <s v="TD1747410"/>
    <s v="VND"/>
    <n v="144278"/>
    <n v="4.54"/>
    <n v="1300000"/>
    <n v="200809440000"/>
    <x v="2"/>
  </r>
  <r>
    <d v="2026-08-18T00:00:00"/>
    <s v="2 năm"/>
    <s v="TD1929175"/>
    <s v="VND"/>
    <n v="101199"/>
    <n v="4.5438999999999998"/>
    <n v="500000"/>
    <n v="52192500000"/>
    <x v="1"/>
  </r>
  <r>
    <d v="2026-08-18T00:00:00"/>
    <s v="3 năm"/>
    <s v="TD1929176"/>
    <s v="VND"/>
    <n v="101754"/>
    <n v="3.9531999999999998"/>
    <n v="2000000"/>
    <n v="207758000000"/>
    <x v="1"/>
  </r>
  <r>
    <d v="2026-08-18T00:00:00"/>
    <s v="3 năm"/>
    <s v="TD1929179"/>
    <s v="VND"/>
    <n v="101784"/>
    <n v="3.7444000000000002"/>
    <n v="500000"/>
    <n v="51042500000"/>
    <x v="1"/>
  </r>
  <r>
    <d v="2026-08-18T00:00:00"/>
    <s v="20 - 25 năm"/>
    <s v="TD1949205"/>
    <s v="VND"/>
    <n v="117316"/>
    <n v="4.55"/>
    <n v="1000000"/>
    <n v="123017100000"/>
    <x v="2"/>
  </r>
  <r>
    <d v="2026-08-18T00:00:00"/>
    <s v="20 - 25 năm"/>
    <s v="TD1949205"/>
    <s v="VND"/>
    <n v="117283"/>
    <n v="4.5521000000000003"/>
    <n v="830000"/>
    <n v="100074760000"/>
    <x v="2"/>
  </r>
  <r>
    <d v="2026-08-18T00:00:00"/>
    <s v="3 - 5 năm"/>
    <s v="TD2030135"/>
    <s v="VND"/>
    <n v="92532"/>
    <n v="4.2209000000000003"/>
    <n v="1000000"/>
    <n v="94076000000"/>
    <x v="1"/>
  </r>
  <r>
    <d v="2026-08-18T00:00:00"/>
    <s v="3 - 5 năm"/>
    <s v="TD2030135"/>
    <s v="VND"/>
    <n v="92981"/>
    <n v="4.0998999999999999"/>
    <n v="900000"/>
    <n v="85072500000"/>
    <x v="1"/>
  </r>
  <r>
    <d v="2026-08-18T00:00:00"/>
    <s v="3 - 5 năm"/>
    <s v="TD2030135"/>
    <s v="VND"/>
    <n v="92981"/>
    <n v="4.0998999999999999"/>
    <n v="1100000"/>
    <n v="103977500000"/>
    <x v="1"/>
  </r>
  <r>
    <d v="2026-08-18T00:00:00"/>
    <s v="3 - 5 năm"/>
    <s v="TD2131012"/>
    <s v="VND"/>
    <n v="92471"/>
    <n v="4.0999999999999996"/>
    <n v="1200000"/>
    <n v="117223750000"/>
    <x v="1"/>
  </r>
  <r>
    <d v="2026-08-18T00:00:00"/>
    <s v="3 - 5 năm"/>
    <s v="TD2131012"/>
    <s v="VND"/>
    <n v="92471"/>
    <n v="4.0999999999999996"/>
    <n v="2100000"/>
    <n v="201624850000"/>
    <x v="1"/>
  </r>
  <r>
    <d v="2026-08-18T00:00:00"/>
    <s v="5 năm"/>
    <s v="TD2131016"/>
    <s v="VND"/>
    <n v="92250"/>
    <n v="4.0023"/>
    <n v="500000"/>
    <n v="46336000000"/>
    <x v="0"/>
  </r>
  <r>
    <d v="2026-08-18T00:00:00"/>
    <s v="5 năm"/>
    <s v="TD2131018"/>
    <s v="VND"/>
    <n v="95312"/>
    <n v="3.1046999999999998"/>
    <n v="1500000"/>
    <n v="145755000000"/>
    <x v="0"/>
  </r>
  <r>
    <d v="2026-08-18T00:00:00"/>
    <s v="5 - 7 năm"/>
    <s v="TD2333116"/>
    <s v="VND"/>
    <n v="101074"/>
    <n v="4.2999000000000001"/>
    <n v="1000000"/>
    <n v="103860000000"/>
    <x v="0"/>
  </r>
  <r>
    <d v="2026-08-18T00:00:00"/>
    <s v="5 - 7 năm"/>
    <s v="TD2333117"/>
    <s v="VND"/>
    <n v="99162"/>
    <n v="4.3476999999999997"/>
    <n v="1000000"/>
    <n v="101440000000"/>
    <x v="0"/>
  </r>
  <r>
    <d v="2026-08-18T00:00:00"/>
    <s v="7 năm"/>
    <s v="TD2333121"/>
    <s v="VND"/>
    <n v="87855"/>
    <n v="4.33"/>
    <n v="1000000"/>
    <n v="89991000000"/>
    <x v="3"/>
  </r>
  <r>
    <d v="2026-08-18T00:00:00"/>
    <s v="25 - 30 năm"/>
    <s v="TD2353151"/>
    <s v="VND"/>
    <n v="93840"/>
    <n v="4.6048999999999998"/>
    <n v="6500000"/>
    <n v="621107500000"/>
    <x v="2"/>
  </r>
  <r>
    <d v="2026-08-18T00:00:00"/>
    <s v="25 - 30 năm"/>
    <s v="TD2353151"/>
    <s v="VND"/>
    <n v="93843"/>
    <n v="4.6047000000000002"/>
    <n v="6500000"/>
    <n v="621127000000"/>
    <x v="2"/>
  </r>
  <r>
    <d v="2026-08-18T00:00:00"/>
    <s v="7 - 10 năm"/>
    <s v="TD2434022"/>
    <s v="VND"/>
    <n v="98471"/>
    <n v="2.9203000000000001"/>
    <n v="1000000"/>
    <n v="98915000000"/>
    <x v="3"/>
  </r>
  <r>
    <d v="2026-08-18T00:00:00"/>
    <s v="7 - 10 năm"/>
    <s v="TD2434023"/>
    <s v="VND"/>
    <n v="86582"/>
    <n v="4.7840999999999996"/>
    <n v="500000"/>
    <n v="43461000000"/>
    <x v="3"/>
  </r>
  <r>
    <d v="2026-08-18T00:00:00"/>
    <s v="7 - 10 năm"/>
    <s v="TD2434024"/>
    <s v="VND"/>
    <n v="97637"/>
    <n v="3.04"/>
    <n v="1200000"/>
    <n v="124985098000"/>
    <x v="3"/>
  </r>
  <r>
    <d v="2026-08-18T00:00:00"/>
    <s v="7 - 10 năm"/>
    <s v="TD2434024"/>
    <s v="VND"/>
    <n v="96752"/>
    <n v="3.17"/>
    <n v="1000000"/>
    <n v="96989000000"/>
    <x v="3"/>
  </r>
  <r>
    <d v="2026-08-18T00:00:00"/>
    <s v="7 - 10 năm"/>
    <s v="TD2434024"/>
    <s v="VND"/>
    <n v="97637"/>
    <n v="3.04"/>
    <n v="680000"/>
    <n v="66554320000"/>
    <x v="3"/>
  </r>
  <r>
    <d v="2026-08-18T00:00:00"/>
    <s v="7 - 10 năm"/>
    <s v="TD2434025"/>
    <s v="VND"/>
    <n v="96727"/>
    <n v="3.1701000000000001"/>
    <n v="1500000"/>
    <n v="145135500000"/>
    <x v="3"/>
  </r>
  <r>
    <d v="2026-08-18T00:00:00"/>
    <s v="7 - 10 năm"/>
    <s v="TD2434025"/>
    <s v="VND"/>
    <n v="96758"/>
    <n v="3.1655000000000002"/>
    <n v="2000000"/>
    <n v="193576000000"/>
    <x v="3"/>
  </r>
  <r>
    <d v="2026-08-18T00:00:00"/>
    <s v="7 - 10 năm"/>
    <s v="TD2434026"/>
    <s v="VND"/>
    <n v="95910"/>
    <n v="3.1798999999999999"/>
    <n v="3000000"/>
    <n v="294717000000"/>
    <x v="3"/>
  </r>
  <r>
    <d v="2026-08-18T00:00:00"/>
    <s v="7 - 10 năm"/>
    <s v="TD2434026"/>
    <s v="VND"/>
    <n v="95910"/>
    <n v="3.1798999999999999"/>
    <n v="500000"/>
    <n v="49119500000"/>
    <x v="3"/>
  </r>
  <r>
    <d v="2026-08-18T00:00:00"/>
    <s v="7 - 10 năm"/>
    <s v="TD2434026"/>
    <s v="VND"/>
    <n v="95910"/>
    <n v="3.1798999999999999"/>
    <n v="500000"/>
    <n v="49119500000"/>
    <x v="3"/>
  </r>
  <r>
    <d v="2026-08-18T00:00:00"/>
    <s v="7 - 10 năm"/>
    <s v="TD2434026"/>
    <s v="VND"/>
    <n v="95910"/>
    <n v="3.1798999999999999"/>
    <n v="3000000"/>
    <n v="294717000000"/>
    <x v="3"/>
  </r>
  <r>
    <d v="2026-08-18T00:00:00"/>
    <s v="7 - 10 năm"/>
    <s v="TD2434026"/>
    <s v="VND"/>
    <n v="95910"/>
    <n v="3.1798999999999999"/>
    <n v="1000000"/>
    <n v="98239000000"/>
    <x v="3"/>
  </r>
  <r>
    <d v="2026-08-18T00:00:00"/>
    <s v="7 - 10 năm"/>
    <s v="TD2434026"/>
    <s v="VND"/>
    <n v="95910"/>
    <n v="3.1798999999999999"/>
    <n v="1000000"/>
    <n v="98239000000"/>
    <x v="3"/>
  </r>
  <r>
    <d v="2026-08-18T00:00:00"/>
    <s v="7 - 10 năm"/>
    <s v="TD2434026"/>
    <s v="VND"/>
    <n v="96808"/>
    <n v="3.05"/>
    <n v="1300000"/>
    <n v="132843580000"/>
    <x v="3"/>
  </r>
  <r>
    <d v="2026-08-18T00:00:00"/>
    <s v="25 - 30 năm"/>
    <s v="TD2454046"/>
    <s v="VND"/>
    <n v="75174"/>
    <n v="4.7206999999999999"/>
    <n v="3800000"/>
    <n v="287823400000"/>
    <x v="2"/>
  </r>
  <r>
    <d v="2026-08-18T00:00:00"/>
    <s v="3 - 5 năm"/>
    <s v="TD2530010"/>
    <s v="VND"/>
    <n v="98330"/>
    <n v="3.3157999999999999"/>
    <n v="2000000"/>
    <n v="197044000000"/>
    <x v="1"/>
  </r>
  <r>
    <d v="2026-08-18T00:00:00"/>
    <s v="7 - 10 năm"/>
    <s v="TD2535023"/>
    <s v="VND"/>
    <n v="93885"/>
    <n v="3.7492999999999999"/>
    <n v="1600000"/>
    <n v="152416000000"/>
    <x v="3"/>
  </r>
  <r>
    <d v="2026-08-18T00:00:00"/>
    <s v="3 - 5 năm"/>
    <s v="TD2631008"/>
    <s v="VND"/>
    <n v="96929"/>
    <n v="4.0678000000000001"/>
    <n v="8200000"/>
    <n v="810315800000"/>
    <x v="1"/>
  </r>
  <r>
    <d v="2026-08-18T00:00:00"/>
    <s v="5 năm"/>
    <s v="TD2631010"/>
    <s v="VND"/>
    <n v="99471"/>
    <n v="4.22"/>
    <n v="2000000"/>
    <n v="199864000000"/>
    <x v="0"/>
  </r>
  <r>
    <d v="2026-08-18T00:00:00"/>
    <s v="10 năm"/>
    <s v="TD2636021"/>
    <s v="VND"/>
    <n v="104941"/>
    <n v="3.3752"/>
    <n v="1000000"/>
    <n v="107385000000"/>
    <x v="4"/>
  </r>
  <r>
    <d v="2026-08-18T00:00:00"/>
    <s v="10 năm"/>
    <s v="TD2636023"/>
    <s v="VND"/>
    <n v="100507"/>
    <n v="4.0335000000000001"/>
    <n v="2000000"/>
    <n v="203664000000"/>
    <x v="4"/>
  </r>
  <r>
    <d v="2026-08-18T00:00:00"/>
    <s v="10 năm"/>
    <s v="TL1535302"/>
    <s v="VND"/>
    <n v="124482"/>
    <n v="4.4447999999999999"/>
    <n v="1000000"/>
    <n v="130724000000"/>
    <x v="4"/>
  </r>
  <r>
    <d v="2026-08-18T00:00:00"/>
    <s v="10 năm"/>
    <s v="TL1535302"/>
    <s v="VND"/>
    <n v="124523"/>
    <n v="4.4400000000000004"/>
    <n v="900000"/>
    <n v="117688500000"/>
    <x v="4"/>
  </r>
  <r>
    <d v="2026-08-18T00:00:00"/>
    <s v="10 năm"/>
    <s v="TL1535302"/>
    <s v="VND"/>
    <n v="124523"/>
    <n v="4.4400000000000004"/>
    <n v="1400000"/>
    <n v="183071000000"/>
    <x v="4"/>
  </r>
  <r>
    <d v="2026-08-18T00:00:00"/>
    <s v="10 năm"/>
    <s v="TL1535302"/>
    <s v="VND"/>
    <n v="124482"/>
    <n v="4.4447999999999999"/>
    <n v="1100000"/>
    <n v="143796400000"/>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50">
  <r>
    <x v="0"/>
    <x v="0"/>
    <n v="3.2280000000000002"/>
  </r>
  <r>
    <x v="1"/>
    <x v="0"/>
    <n v="3.234"/>
  </r>
  <r>
    <x v="2"/>
    <x v="0"/>
    <n v="3.24"/>
  </r>
  <r>
    <x v="3"/>
    <x v="0"/>
    <n v="3.28"/>
  </r>
  <r>
    <x v="4"/>
    <x v="0"/>
    <n v="3.2810000000000001"/>
  </r>
  <r>
    <x v="5"/>
    <x v="0"/>
    <n v="3.2839999999999998"/>
  </r>
  <r>
    <x v="6"/>
    <x v="0"/>
    <n v="3.2850000000000001"/>
  </r>
  <r>
    <x v="7"/>
    <x v="0"/>
    <n v="3.3050000000000002"/>
  </r>
  <r>
    <x v="8"/>
    <x v="0"/>
    <n v="3.3239999999999998"/>
  </r>
  <r>
    <x v="9"/>
    <x v="0"/>
    <n v="3.3149999999999999"/>
  </r>
  <r>
    <x v="10"/>
    <x v="0"/>
    <n v="3.31"/>
  </r>
  <r>
    <x v="11"/>
    <x v="0"/>
    <n v="3.31"/>
  </r>
  <r>
    <x v="12"/>
    <x v="0"/>
    <n v="3.323"/>
  </r>
  <r>
    <x v="13"/>
    <x v="0"/>
    <n v="3.3359999999999999"/>
  </r>
  <r>
    <x v="14"/>
    <x v="0"/>
    <n v="3.335"/>
  </r>
  <r>
    <x v="15"/>
    <x v="0"/>
    <n v="3.335"/>
  </r>
  <r>
    <x v="16"/>
    <x v="0"/>
    <n v="3.3380000000000001"/>
  </r>
  <r>
    <x v="17"/>
    <x v="0"/>
    <n v="3.3380000000000001"/>
  </r>
  <r>
    <x v="18"/>
    <x v="0"/>
    <n v="3.371"/>
  </r>
  <r>
    <x v="19"/>
    <x v="0"/>
    <n v="3.3679999999999999"/>
  </r>
  <r>
    <x v="20"/>
    <x v="0"/>
    <n v="3.37"/>
  </r>
  <r>
    <x v="21"/>
    <x v="0"/>
    <n v="3.371"/>
  </r>
  <r>
    <x v="22"/>
    <x v="0"/>
    <n v="3.3769999999999998"/>
  </r>
  <r>
    <x v="23"/>
    <x v="0"/>
    <n v="3.4180000000000001"/>
  </r>
  <r>
    <x v="24"/>
    <x v="0"/>
    <n v="3.4279999999999999"/>
  </r>
  <r>
    <x v="25"/>
    <x v="0"/>
    <n v="3.4249999999999998"/>
  </r>
  <r>
    <x v="26"/>
    <x v="0"/>
    <n v="3.4329999999999998"/>
  </r>
  <r>
    <x v="27"/>
    <x v="0"/>
    <n v="3.4319999999999999"/>
  </r>
  <r>
    <x v="28"/>
    <x v="0"/>
    <n v="3.49"/>
  </r>
  <r>
    <x v="29"/>
    <x v="0"/>
    <n v="3.5350000000000001"/>
  </r>
  <r>
    <x v="30"/>
    <x v="0"/>
    <n v="3.5350000000000001"/>
  </r>
  <r>
    <x v="31"/>
    <x v="0"/>
    <n v="3.544"/>
  </r>
  <r>
    <x v="32"/>
    <x v="0"/>
    <n v="3.544"/>
  </r>
  <r>
    <x v="33"/>
    <x v="0"/>
    <n v="3.5459999999999998"/>
  </r>
  <r>
    <x v="34"/>
    <x v="0"/>
    <n v="3.55"/>
  </r>
  <r>
    <x v="35"/>
    <x v="0"/>
    <n v="3.548"/>
  </r>
  <r>
    <x v="36"/>
    <x v="0"/>
    <n v="3.55"/>
  </r>
  <r>
    <x v="37"/>
    <x v="0"/>
    <n v="3.5379999999999998"/>
  </r>
  <r>
    <x v="38"/>
    <x v="0"/>
    <n v="3.54"/>
  </r>
  <r>
    <x v="39"/>
    <x v="0"/>
    <n v="3.5419999999999998"/>
  </r>
  <r>
    <x v="40"/>
    <x v="0"/>
    <n v="3.544"/>
  </r>
  <r>
    <x v="41"/>
    <x v="0"/>
    <n v="3.5590000000000002"/>
  </r>
  <r>
    <x v="42"/>
    <x v="0"/>
    <n v="3.5640000000000001"/>
  </r>
  <r>
    <x v="43"/>
    <x v="0"/>
    <n v="3.5590000000000002"/>
  </r>
  <r>
    <x v="44"/>
    <x v="0"/>
    <n v="3.5569999999999999"/>
  </r>
  <r>
    <x v="45"/>
    <x v="0"/>
    <n v="3.5579999999999998"/>
  </r>
  <r>
    <x v="46"/>
    <x v="0"/>
    <n v="3.569"/>
  </r>
  <r>
    <x v="47"/>
    <x v="0"/>
    <n v="3.5720000000000001"/>
  </r>
  <r>
    <x v="48"/>
    <x v="0"/>
    <n v="3.5779999999999998"/>
  </r>
  <r>
    <x v="49"/>
    <x v="0"/>
    <n v="3.5779999999999998"/>
  </r>
  <r>
    <x v="50"/>
    <x v="0"/>
    <n v="3.5779999999999998"/>
  </r>
  <r>
    <x v="51"/>
    <x v="0"/>
    <n v="3.6150000000000002"/>
  </r>
  <r>
    <x v="52"/>
    <x v="0"/>
    <n v="3.6219999999999999"/>
  </r>
  <r>
    <x v="53"/>
    <x v="0"/>
    <n v="3.6230000000000002"/>
  </r>
  <r>
    <x v="54"/>
    <x v="0"/>
    <n v="3.6230000000000002"/>
  </r>
  <r>
    <x v="55"/>
    <x v="0"/>
    <n v="3.6259999999999999"/>
  </r>
  <r>
    <x v="56"/>
    <x v="0"/>
    <n v="3.6720000000000002"/>
  </r>
  <r>
    <x v="57"/>
    <x v="0"/>
    <n v="3.66"/>
  </r>
  <r>
    <x v="58"/>
    <x v="0"/>
    <n v="3.6789999999999998"/>
  </r>
  <r>
    <x v="59"/>
    <x v="0"/>
    <n v="3.6739999999999999"/>
  </r>
  <r>
    <x v="60"/>
    <x v="0"/>
    <n v="3.665"/>
  </r>
  <r>
    <x v="61"/>
    <x v="0"/>
    <n v="3.7050000000000001"/>
  </r>
  <r>
    <x v="62"/>
    <x v="0"/>
    <n v="3.7189999999999999"/>
  </r>
  <r>
    <x v="63"/>
    <x v="0"/>
    <n v="3.7269999999999999"/>
  </r>
  <r>
    <x v="64"/>
    <x v="0"/>
    <n v="3.726"/>
  </r>
  <r>
    <x v="65"/>
    <x v="0"/>
    <n v="3.7269999999999999"/>
  </r>
  <r>
    <x v="66"/>
    <x v="0"/>
    <n v="3.746"/>
  </r>
  <r>
    <x v="67"/>
    <x v="0"/>
    <n v="3.762"/>
  </r>
  <r>
    <x v="68"/>
    <x v="0"/>
    <n v="3.758"/>
  </r>
  <r>
    <x v="69"/>
    <x v="0"/>
    <n v="3.762"/>
  </r>
  <r>
    <x v="70"/>
    <x v="0"/>
    <n v="3.77"/>
  </r>
  <r>
    <x v="71"/>
    <x v="0"/>
    <n v="3.7970000000000002"/>
  </r>
  <r>
    <x v="72"/>
    <x v="0"/>
    <n v="3.7930000000000001"/>
  </r>
  <r>
    <x v="73"/>
    <x v="0"/>
    <n v="3.7869999999999999"/>
  </r>
  <r>
    <x v="74"/>
    <x v="0"/>
    <n v="3.7850000000000001"/>
  </r>
  <r>
    <x v="75"/>
    <x v="0"/>
    <n v="3.7879999999999998"/>
  </r>
  <r>
    <x v="76"/>
    <x v="0"/>
    <n v="3.81"/>
  </r>
  <r>
    <x v="77"/>
    <x v="0"/>
    <n v="3.82"/>
  </r>
  <r>
    <x v="78"/>
    <x v="0"/>
    <n v="3.8220000000000001"/>
  </r>
  <r>
    <x v="79"/>
    <x v="0"/>
    <n v="3.827"/>
  </r>
  <r>
    <x v="80"/>
    <x v="0"/>
    <n v="3.831"/>
  </r>
  <r>
    <x v="81"/>
    <x v="0"/>
    <n v="3.8380000000000001"/>
  </r>
  <r>
    <x v="82"/>
    <x v="0"/>
    <n v="3.839"/>
  </r>
  <r>
    <x v="83"/>
    <x v="0"/>
    <n v="3.8479999999999999"/>
  </r>
  <r>
    <x v="84"/>
    <x v="0"/>
    <n v="3.8420000000000001"/>
  </r>
  <r>
    <x v="85"/>
    <x v="0"/>
    <n v="3.8530000000000002"/>
  </r>
  <r>
    <x v="86"/>
    <x v="0"/>
    <n v="3.8580000000000001"/>
  </r>
  <r>
    <x v="87"/>
    <x v="0"/>
    <n v="3.8580000000000001"/>
  </r>
  <r>
    <x v="88"/>
    <x v="0"/>
    <n v="3.86"/>
  </r>
  <r>
    <x v="89"/>
    <x v="0"/>
    <n v="3.86"/>
  </r>
  <r>
    <x v="90"/>
    <x v="0"/>
    <n v="3.86"/>
  </r>
  <r>
    <x v="91"/>
    <x v="0"/>
    <n v="3.8780000000000001"/>
  </r>
  <r>
    <x v="92"/>
    <x v="0"/>
    <n v="3.86"/>
  </r>
  <r>
    <x v="93"/>
    <x v="0"/>
    <n v="3.8780000000000001"/>
  </r>
  <r>
    <x v="94"/>
    <x v="0"/>
    <n v="3.8759999999999999"/>
  </r>
  <r>
    <x v="95"/>
    <x v="0"/>
    <n v="3.8650000000000002"/>
  </r>
  <r>
    <x v="96"/>
    <x v="0"/>
    <n v="3.8959999999999999"/>
  </r>
  <r>
    <x v="97"/>
    <x v="0"/>
    <n v="3.8919999999999999"/>
  </r>
  <r>
    <x v="98"/>
    <x v="0"/>
    <n v="3.911"/>
  </r>
  <r>
    <x v="99"/>
    <x v="0"/>
    <n v="3.9260000000000002"/>
  </r>
  <r>
    <x v="100"/>
    <x v="0"/>
    <n v="3.9449999999999998"/>
  </r>
  <r>
    <x v="101"/>
    <x v="0"/>
    <n v="3.9369999999999998"/>
  </r>
  <r>
    <x v="102"/>
    <x v="0"/>
    <n v="3.9540000000000002"/>
  </r>
  <r>
    <x v="103"/>
    <x v="0"/>
    <n v="3.956"/>
  </r>
  <r>
    <x v="104"/>
    <x v="0"/>
    <n v="3.956"/>
  </r>
  <r>
    <x v="105"/>
    <x v="0"/>
    <n v="3.956"/>
  </r>
  <r>
    <x v="106"/>
    <x v="0"/>
    <n v="3.9830000000000001"/>
  </r>
  <r>
    <x v="107"/>
    <x v="0"/>
    <n v="3.98"/>
  </r>
  <r>
    <x v="108"/>
    <x v="0"/>
    <n v="3.9830000000000001"/>
  </r>
  <r>
    <x v="109"/>
    <x v="0"/>
    <n v="3.9870000000000001"/>
  </r>
  <r>
    <x v="110"/>
    <x v="0"/>
    <n v="3.9849999999999999"/>
  </r>
  <r>
    <x v="111"/>
    <x v="0"/>
    <n v="4.0019999999999998"/>
  </r>
  <r>
    <x v="112"/>
    <x v="0"/>
    <n v="4.008"/>
  </r>
  <r>
    <x v="113"/>
    <x v="0"/>
    <n v="4.0119999999999996"/>
  </r>
  <r>
    <x v="114"/>
    <x v="0"/>
    <n v="4.0129999999999999"/>
  </r>
  <r>
    <x v="115"/>
    <x v="0"/>
    <n v="4.0129999999999999"/>
  </r>
  <r>
    <x v="116"/>
    <x v="0"/>
    <n v="4.032"/>
  </r>
  <r>
    <x v="117"/>
    <x v="0"/>
    <n v="4.032"/>
  </r>
  <r>
    <x v="118"/>
    <x v="0"/>
    <n v="4.0359999999999996"/>
  </r>
  <r>
    <x v="119"/>
    <x v="0"/>
    <n v="4.0359999999999996"/>
  </r>
  <r>
    <x v="120"/>
    <x v="0"/>
    <n v="4.04"/>
  </r>
  <r>
    <x v="121"/>
    <x v="0"/>
    <n v="4.0439999999999996"/>
  </r>
  <r>
    <x v="122"/>
    <x v="0"/>
    <n v="4.05"/>
  </r>
  <r>
    <x v="123"/>
    <x v="0"/>
    <n v="4.09"/>
  </r>
  <r>
    <x v="124"/>
    <x v="0"/>
    <n v="4.1689999999999996"/>
  </r>
  <r>
    <x v="125"/>
    <x v="0"/>
    <n v="4.1520000000000001"/>
  </r>
  <r>
    <x v="126"/>
    <x v="0"/>
    <n v="4.1509999999999998"/>
  </r>
  <r>
    <x v="127"/>
    <x v="0"/>
    <n v="4.1399999999999997"/>
  </r>
  <r>
    <x v="128"/>
    <x v="0"/>
    <n v="4.1399999999999997"/>
  </r>
  <r>
    <x v="129"/>
    <x v="0"/>
    <n v="4.141"/>
  </r>
  <r>
    <x v="130"/>
    <x v="0"/>
    <n v="4.1399999999999997"/>
  </r>
  <r>
    <x v="131"/>
    <x v="0"/>
    <n v="4.1399999999999997"/>
  </r>
  <r>
    <x v="132"/>
    <x v="0"/>
    <n v="4.056"/>
  </r>
  <r>
    <x v="133"/>
    <x v="0"/>
    <n v="4.04"/>
  </r>
  <r>
    <x v="134"/>
    <x v="0"/>
    <n v="4.0609999999999999"/>
  </r>
  <r>
    <x v="135"/>
    <x v="0"/>
    <n v="4.0579999999999998"/>
  </r>
  <r>
    <x v="136"/>
    <x v="0"/>
    <n v="4.0629999999999997"/>
  </r>
  <r>
    <x v="137"/>
    <x v="0"/>
    <n v="4.0629999999999997"/>
  </r>
  <r>
    <x v="138"/>
    <x v="0"/>
    <n v="4.0599999999999996"/>
  </r>
  <r>
    <x v="139"/>
    <x v="0"/>
    <n v="4.0650000000000004"/>
  </r>
  <r>
    <x v="140"/>
    <x v="0"/>
    <n v="4.0609999999999999"/>
  </r>
  <r>
    <x v="141"/>
    <x v="0"/>
    <n v="4.0730000000000004"/>
  </r>
  <r>
    <x v="142"/>
    <x v="0"/>
    <n v="4.0730000000000004"/>
  </r>
  <r>
    <x v="143"/>
    <x v="0"/>
    <n v="4.0880000000000001"/>
  </r>
  <r>
    <x v="144"/>
    <x v="0"/>
    <n v="4.0880000000000001"/>
  </r>
  <r>
    <x v="145"/>
    <x v="0"/>
    <n v="4.0910000000000002"/>
  </r>
  <r>
    <x v="146"/>
    <x v="0"/>
    <n v="4.1100000000000003"/>
  </r>
  <r>
    <x v="147"/>
    <x v="0"/>
    <n v="4.1100000000000003"/>
  </r>
  <r>
    <x v="148"/>
    <x v="0"/>
    <n v="4.1130000000000004"/>
  </r>
  <r>
    <x v="149"/>
    <x v="0"/>
    <n v="4.1130000000000004"/>
  </r>
  <r>
    <x v="150"/>
    <x v="0"/>
    <n v="4.1130000000000004"/>
  </r>
  <r>
    <x v="151"/>
    <x v="0"/>
    <n v="4.1139999999999999"/>
  </r>
  <r>
    <x v="152"/>
    <x v="0"/>
    <n v="4.1159999999999997"/>
  </r>
  <r>
    <x v="153"/>
    <x v="0"/>
    <n v="4.1159999999999997"/>
  </r>
  <r>
    <x v="154"/>
    <x v="0"/>
    <n v="4.1189999999999998"/>
  </r>
  <r>
    <x v="155"/>
    <x v="0"/>
    <n v="4.1189999999999998"/>
  </r>
  <r>
    <x v="156"/>
    <x v="0"/>
    <n v="4.157"/>
  </r>
  <r>
    <x v="157"/>
    <x v="0"/>
    <n v="4.1619999999999999"/>
  </r>
  <r>
    <x v="158"/>
    <x v="0"/>
    <n v="4.1660000000000004"/>
  </r>
  <r>
    <x v="159"/>
    <x v="0"/>
    <n v="4.165"/>
  </r>
  <r>
    <x v="160"/>
    <x v="0"/>
    <n v="4.1669999999999998"/>
  </r>
  <r>
    <x v="161"/>
    <x v="0"/>
    <n v="4.1779999999999999"/>
  </r>
  <r>
    <x v="162"/>
    <x v="0"/>
    <n v="4.1870000000000003"/>
  </r>
  <r>
    <x v="163"/>
    <x v="0"/>
    <n v="4.1890000000000001"/>
  </r>
  <r>
    <x v="164"/>
    <x v="0"/>
    <n v="4.2"/>
  </r>
  <r>
    <x v="165"/>
    <x v="0"/>
    <n v="4.1929999999999996"/>
  </r>
  <r>
    <x v="166"/>
    <x v="0"/>
    <n v="4.1980000000000004"/>
  </r>
  <r>
    <x v="167"/>
    <x v="0"/>
    <n v="4.1950000000000003"/>
  </r>
  <r>
    <x v="168"/>
    <x v="0"/>
    <n v="4.1980000000000004"/>
  </r>
  <r>
    <x v="169"/>
    <x v="0"/>
    <n v="4.1950000000000003"/>
  </r>
  <r>
    <x v="170"/>
    <x v="0"/>
    <n v="4.2039999999999997"/>
  </r>
  <r>
    <x v="171"/>
    <x v="0"/>
    <n v="4.1980000000000004"/>
  </r>
  <r>
    <x v="172"/>
    <x v="0"/>
    <n v="4.2060000000000004"/>
  </r>
  <r>
    <x v="173"/>
    <x v="0"/>
    <n v="4.2"/>
  </r>
  <r>
    <x v="174"/>
    <x v="0"/>
    <n v="4.2009999999999996"/>
  </r>
  <r>
    <x v="175"/>
    <x v="0"/>
    <n v="4.2130000000000001"/>
  </r>
  <r>
    <x v="176"/>
    <x v="0"/>
    <n v="4.2080000000000002"/>
  </r>
  <r>
    <x v="177"/>
    <x v="0"/>
    <n v="4.2130000000000001"/>
  </r>
  <r>
    <x v="178"/>
    <x v="0"/>
    <n v="4.2160000000000002"/>
  </r>
  <r>
    <x v="179"/>
    <x v="0"/>
    <n v="4.2130000000000001"/>
  </r>
  <r>
    <x v="180"/>
    <x v="0"/>
    <n v="4.218"/>
  </r>
  <r>
    <x v="181"/>
    <x v="0"/>
    <n v="4.2249999999999996"/>
  </r>
  <r>
    <x v="182"/>
    <x v="0"/>
    <n v="4.2240000000000002"/>
  </r>
  <r>
    <x v="183"/>
    <x v="0"/>
    <n v="4.2249999999999996"/>
  </r>
  <r>
    <x v="184"/>
    <x v="0"/>
    <n v="4.226"/>
  </r>
  <r>
    <x v="185"/>
    <x v="0"/>
    <n v="4.2329999999999997"/>
  </r>
  <r>
    <x v="186"/>
    <x v="0"/>
    <n v="4.2300000000000004"/>
  </r>
  <r>
    <x v="187"/>
    <x v="0"/>
    <n v="4.2279999999999998"/>
  </r>
  <r>
    <x v="188"/>
    <x v="0"/>
    <n v="4.2210000000000001"/>
  </r>
  <r>
    <x v="189"/>
    <x v="0"/>
    <n v="4.2240000000000002"/>
  </r>
  <r>
    <x v="190"/>
    <x v="0"/>
    <n v="4.2249999999999996"/>
  </r>
  <r>
    <x v="191"/>
    <x v="0"/>
    <n v="4.2350000000000003"/>
  </r>
  <r>
    <x v="192"/>
    <x v="0"/>
    <n v="4.2350000000000003"/>
  </r>
  <r>
    <x v="193"/>
    <x v="0"/>
    <n v="4.2300000000000004"/>
  </r>
  <r>
    <x v="194"/>
    <x v="0"/>
    <n v="4.2329999999999997"/>
  </r>
  <r>
    <x v="195"/>
    <x v="0"/>
    <n v="4.2329999999999997"/>
  </r>
  <r>
    <x v="196"/>
    <x v="0"/>
    <n v="4.2329999999999997"/>
  </r>
  <r>
    <x v="197"/>
    <x v="0"/>
    <n v="4.2359999999999998"/>
  </r>
  <r>
    <x v="198"/>
    <x v="0"/>
    <n v="4.226"/>
  </r>
  <r>
    <x v="199"/>
    <x v="0"/>
    <n v="4.2320000000000002"/>
  </r>
  <r>
    <x v="200"/>
    <x v="0"/>
    <n v="4.2350000000000003"/>
  </r>
  <r>
    <x v="201"/>
    <x v="0"/>
    <n v="4.2350000000000003"/>
  </r>
  <r>
    <x v="202"/>
    <x v="0"/>
    <n v="4.2350000000000003"/>
  </r>
  <r>
    <x v="203"/>
    <x v="0"/>
    <n v="4.2350000000000003"/>
  </r>
  <r>
    <x v="204"/>
    <x v="0"/>
    <n v="4.2359999999999998"/>
  </r>
  <r>
    <x v="205"/>
    <x v="0"/>
    <n v="4.2380000000000004"/>
  </r>
  <r>
    <x v="206"/>
    <x v="0"/>
    <n v="4.2430000000000003"/>
  </r>
  <r>
    <x v="207"/>
    <x v="0"/>
    <n v="4.24"/>
  </r>
  <r>
    <x v="208"/>
    <x v="0"/>
    <n v="4.2439999999999998"/>
  </r>
  <r>
    <x v="209"/>
    <x v="0"/>
    <n v="4.24"/>
  </r>
  <r>
    <x v="210"/>
    <x v="0"/>
    <n v="4.2439999999999998"/>
  </r>
  <r>
    <x v="211"/>
    <x v="0"/>
    <n v="4.2510000000000003"/>
  </r>
  <r>
    <x v="212"/>
    <x v="0"/>
    <n v="4.2530000000000001"/>
  </r>
  <r>
    <x v="213"/>
    <x v="0"/>
    <n v="4.25"/>
  </r>
  <r>
    <x v="214"/>
    <x v="0"/>
    <n v="4.25"/>
  </r>
  <r>
    <x v="215"/>
    <x v="0"/>
    <n v="4.2519999999999998"/>
  </r>
  <r>
    <x v="216"/>
    <x v="0"/>
    <n v="4.3259999999999996"/>
  </r>
  <r>
    <x v="217"/>
    <x v="0"/>
    <n v="4.3209999999999997"/>
  </r>
  <r>
    <x v="218"/>
    <x v="0"/>
    <n v="4.33"/>
  </r>
  <r>
    <x v="219"/>
    <x v="0"/>
    <n v="4.3280000000000003"/>
  </r>
  <r>
    <x v="220"/>
    <x v="0"/>
    <n v="4.3289999999999997"/>
  </r>
  <r>
    <x v="221"/>
    <x v="0"/>
    <n v="4.3339999999999996"/>
  </r>
  <r>
    <x v="222"/>
    <x v="0"/>
    <n v="4.3339999999999996"/>
  </r>
  <r>
    <x v="223"/>
    <x v="0"/>
    <n v="4.335"/>
  </r>
  <r>
    <x v="224"/>
    <x v="0"/>
    <n v="4.3390000000000004"/>
  </r>
  <r>
    <x v="225"/>
    <x v="0"/>
    <n v="4.34"/>
  </r>
  <r>
    <x v="226"/>
    <x v="0"/>
    <n v="4.3470000000000004"/>
  </r>
  <r>
    <x v="227"/>
    <x v="0"/>
    <n v="4.3470000000000004"/>
  </r>
  <r>
    <x v="228"/>
    <x v="0"/>
    <n v="4.3499999999999996"/>
  </r>
  <r>
    <x v="229"/>
    <x v="0"/>
    <n v="4.3499999999999996"/>
  </r>
  <r>
    <x v="230"/>
    <x v="0"/>
    <n v="4.3520000000000003"/>
  </r>
  <r>
    <x v="231"/>
    <x v="0"/>
    <n v="4.3849999999999998"/>
  </r>
  <r>
    <x v="232"/>
    <x v="0"/>
    <n v="4.3899999999999997"/>
  </r>
  <r>
    <x v="233"/>
    <x v="0"/>
    <n v="4.3970000000000002"/>
  </r>
  <r>
    <x v="234"/>
    <x v="0"/>
    <n v="4.3940000000000001"/>
  </r>
  <r>
    <x v="235"/>
    <x v="0"/>
    <n v="4.3959999999999999"/>
  </r>
  <r>
    <x v="236"/>
    <x v="0"/>
    <n v="4.3970000000000002"/>
  </r>
  <r>
    <x v="237"/>
    <x v="0"/>
    <n v="4.3959999999999999"/>
  </r>
  <r>
    <x v="238"/>
    <x v="0"/>
    <n v="4.399"/>
  </r>
  <r>
    <x v="239"/>
    <x v="0"/>
    <n v="4.3949999999999996"/>
  </r>
  <r>
    <x v="240"/>
    <x v="0"/>
    <n v="4.3979999999999997"/>
  </r>
  <r>
    <x v="241"/>
    <x v="0"/>
    <n v="4.399"/>
  </r>
  <r>
    <x v="242"/>
    <x v="0"/>
    <n v="4.3959999999999999"/>
  </r>
  <r>
    <x v="243"/>
    <x v="0"/>
    <n v="4.3970000000000002"/>
  </r>
  <r>
    <x v="244"/>
    <x v="0"/>
    <n v="4.399"/>
  </r>
  <r>
    <x v="245"/>
    <x v="0"/>
    <n v="4.399"/>
  </r>
  <r>
    <x v="246"/>
    <x v="0"/>
    <n v="4.3970000000000002"/>
  </r>
  <r>
    <x v="247"/>
    <x v="0"/>
    <n v="4.3979999999999997"/>
  </r>
  <r>
    <x v="248"/>
    <x v="0"/>
    <n v="4.3979999999999997"/>
  </r>
  <r>
    <x v="249"/>
    <x v="0"/>
    <n v="4.3979999999999997"/>
  </r>
  <r>
    <x v="250"/>
    <x v="0"/>
    <n v="4.4000000000000004"/>
  </r>
  <r>
    <x v="251"/>
    <x v="0"/>
    <n v="4.4020000000000001"/>
  </r>
  <r>
    <x v="252"/>
    <x v="0"/>
    <n v="4.4050000000000002"/>
  </r>
  <r>
    <x v="253"/>
    <x v="0"/>
    <n v="4.4020000000000001"/>
  </r>
  <r>
    <x v="254"/>
    <x v="0"/>
    <n v="4.4080000000000004"/>
  </r>
  <r>
    <x v="255"/>
    <x v="0"/>
    <n v="4.407"/>
  </r>
  <r>
    <x v="256"/>
    <x v="0"/>
    <n v="4.4089999999999998"/>
  </r>
  <r>
    <x v="257"/>
    <x v="0"/>
    <n v="4.4050000000000002"/>
  </r>
  <r>
    <x v="258"/>
    <x v="0"/>
    <n v="4.4080000000000004"/>
  </r>
  <r>
    <x v="259"/>
    <x v="0"/>
    <n v="4.4080000000000004"/>
  </r>
  <r>
    <x v="260"/>
    <x v="0"/>
    <n v="4.4089999999999998"/>
  </r>
  <r>
    <x v="261"/>
    <x v="0"/>
    <n v="4.4119999999999999"/>
  </r>
  <r>
    <x v="262"/>
    <x v="0"/>
    <n v="4.41"/>
  </r>
  <r>
    <x v="263"/>
    <x v="0"/>
    <n v="4.41"/>
  </r>
  <r>
    <x v="264"/>
    <x v="0"/>
    <n v="4.4119999999999999"/>
  </r>
  <r>
    <x v="265"/>
    <x v="0"/>
    <n v="4.4080000000000004"/>
  </r>
  <r>
    <x v="266"/>
    <x v="0"/>
    <n v="4.4119999999999999"/>
  </r>
  <r>
    <x v="267"/>
    <x v="0"/>
    <n v="4.415"/>
  </r>
  <r>
    <x v="268"/>
    <x v="0"/>
    <n v="4.4160000000000004"/>
  </r>
  <r>
    <x v="269"/>
    <x v="0"/>
    <n v="4.4180000000000001"/>
  </r>
  <r>
    <x v="270"/>
    <x v="0"/>
    <n v="4.423"/>
  </r>
  <r>
    <x v="271"/>
    <x v="0"/>
    <n v="4.423"/>
  </r>
  <r>
    <x v="272"/>
    <x v="0"/>
    <n v="4.4240000000000004"/>
  </r>
  <r>
    <x v="273"/>
    <x v="0"/>
    <n v="4.4530000000000003"/>
  </r>
  <r>
    <x v="274"/>
    <x v="0"/>
    <n v="4.4480000000000004"/>
  </r>
  <r>
    <x v="0"/>
    <x v="1"/>
    <n v="3.3450000000000002"/>
  </r>
  <r>
    <x v="1"/>
    <x v="1"/>
    <n v="3.3580000000000001"/>
  </r>
  <r>
    <x v="2"/>
    <x v="1"/>
    <n v="3.363"/>
  </r>
  <r>
    <x v="3"/>
    <x v="1"/>
    <n v="3.3849999999999998"/>
  </r>
  <r>
    <x v="4"/>
    <x v="1"/>
    <n v="3.391"/>
  </r>
  <r>
    <x v="5"/>
    <x v="1"/>
    <n v="3.395"/>
  </r>
  <r>
    <x v="6"/>
    <x v="1"/>
    <n v="3.3929999999999998"/>
  </r>
  <r>
    <x v="7"/>
    <x v="1"/>
    <n v="3.407"/>
  </r>
  <r>
    <x v="8"/>
    <x v="1"/>
    <n v="3.4319999999999999"/>
  </r>
  <r>
    <x v="9"/>
    <x v="1"/>
    <n v="3.4289999999999998"/>
  </r>
  <r>
    <x v="10"/>
    <x v="1"/>
    <n v="3.4289999999999998"/>
  </r>
  <r>
    <x v="11"/>
    <x v="1"/>
    <n v="3.4289999999999998"/>
  </r>
  <r>
    <x v="12"/>
    <x v="1"/>
    <n v="3.431"/>
  </r>
  <r>
    <x v="13"/>
    <x v="1"/>
    <n v="3.44"/>
  </r>
  <r>
    <x v="14"/>
    <x v="1"/>
    <n v="3.44"/>
  </r>
  <r>
    <x v="15"/>
    <x v="1"/>
    <n v="3.4409999999999998"/>
  </r>
  <r>
    <x v="16"/>
    <x v="1"/>
    <n v="3.44"/>
  </r>
  <r>
    <x v="17"/>
    <x v="1"/>
    <n v="3.4449999999999998"/>
  </r>
  <r>
    <x v="18"/>
    <x v="1"/>
    <n v="3.4660000000000002"/>
  </r>
  <r>
    <x v="19"/>
    <x v="1"/>
    <n v="3.4689999999999999"/>
  </r>
  <r>
    <x v="20"/>
    <x v="1"/>
    <n v="3.47"/>
  </r>
  <r>
    <x v="21"/>
    <x v="1"/>
    <n v="3.4729999999999999"/>
  </r>
  <r>
    <x v="22"/>
    <x v="1"/>
    <n v="3.47"/>
  </r>
  <r>
    <x v="23"/>
    <x v="1"/>
    <n v="3.5150000000000001"/>
  </r>
  <r>
    <x v="24"/>
    <x v="1"/>
    <n v="3.5169999999999999"/>
  </r>
  <r>
    <x v="25"/>
    <x v="1"/>
    <n v="3.52"/>
  </r>
  <r>
    <x v="26"/>
    <x v="1"/>
    <n v="3.5230000000000001"/>
  </r>
  <r>
    <x v="27"/>
    <x v="1"/>
    <n v="3.5230000000000001"/>
  </r>
  <r>
    <x v="28"/>
    <x v="1"/>
    <n v="3.5680000000000001"/>
  </r>
  <r>
    <x v="29"/>
    <x v="1"/>
    <n v="3.5979999999999999"/>
  </r>
  <r>
    <x v="30"/>
    <x v="1"/>
    <n v="3.5979999999999999"/>
  </r>
  <r>
    <x v="31"/>
    <x v="1"/>
    <n v="3.6080000000000001"/>
  </r>
  <r>
    <x v="32"/>
    <x v="1"/>
    <n v="3.621"/>
  </r>
  <r>
    <x v="33"/>
    <x v="1"/>
    <n v="3.621"/>
  </r>
  <r>
    <x v="34"/>
    <x v="1"/>
    <n v="3.6150000000000002"/>
  </r>
  <r>
    <x v="35"/>
    <x v="1"/>
    <n v="3.6150000000000002"/>
  </r>
  <r>
    <x v="36"/>
    <x v="1"/>
    <n v="3.62"/>
  </r>
  <r>
    <x v="37"/>
    <x v="1"/>
    <n v="3.62"/>
  </r>
  <r>
    <x v="38"/>
    <x v="1"/>
    <n v="3.62"/>
  </r>
  <r>
    <x v="39"/>
    <x v="1"/>
    <n v="3.621"/>
  </r>
  <r>
    <x v="40"/>
    <x v="1"/>
    <n v="3.6230000000000002"/>
  </r>
  <r>
    <x v="41"/>
    <x v="1"/>
    <n v="3.637"/>
  </r>
  <r>
    <x v="42"/>
    <x v="1"/>
    <n v="3.64"/>
  </r>
  <r>
    <x v="43"/>
    <x v="1"/>
    <n v="3.6429999999999998"/>
  </r>
  <r>
    <x v="44"/>
    <x v="1"/>
    <n v="3.6429999999999998"/>
  </r>
  <r>
    <x v="45"/>
    <x v="1"/>
    <n v="3.6429999999999998"/>
  </r>
  <r>
    <x v="46"/>
    <x v="1"/>
    <n v="3.6509999999999998"/>
  </r>
  <r>
    <x v="47"/>
    <x v="1"/>
    <n v="3.6509999999999998"/>
  </r>
  <r>
    <x v="48"/>
    <x v="1"/>
    <n v="3.6560000000000001"/>
  </r>
  <r>
    <x v="49"/>
    <x v="1"/>
    <n v="3.661"/>
  </r>
  <r>
    <x v="50"/>
    <x v="1"/>
    <n v="3.6640000000000001"/>
  </r>
  <r>
    <x v="51"/>
    <x v="1"/>
    <n v="3.6949999999999998"/>
  </r>
  <r>
    <x v="52"/>
    <x v="1"/>
    <n v="3.7010000000000001"/>
  </r>
  <r>
    <x v="53"/>
    <x v="1"/>
    <n v="3.7029999999999998"/>
  </r>
  <r>
    <x v="54"/>
    <x v="1"/>
    <n v="3.7080000000000002"/>
  </r>
  <r>
    <x v="55"/>
    <x v="1"/>
    <n v="3.7130000000000001"/>
  </r>
  <r>
    <x v="56"/>
    <x v="1"/>
    <n v="3.7450000000000001"/>
  </r>
  <r>
    <x v="57"/>
    <x v="1"/>
    <n v="3.75"/>
  </r>
  <r>
    <x v="58"/>
    <x v="1"/>
    <n v="3.75"/>
  </r>
  <r>
    <x v="59"/>
    <x v="1"/>
    <n v="3.75"/>
  </r>
  <r>
    <x v="60"/>
    <x v="1"/>
    <n v="3.7549999999999999"/>
  </r>
  <r>
    <x v="61"/>
    <x v="1"/>
    <n v="3.7759999999999998"/>
  </r>
  <r>
    <x v="62"/>
    <x v="1"/>
    <n v="3.7879999999999998"/>
  </r>
  <r>
    <x v="63"/>
    <x v="1"/>
    <n v="3.7879999999999998"/>
  </r>
  <r>
    <x v="64"/>
    <x v="1"/>
    <n v="3.7930000000000001"/>
  </r>
  <r>
    <x v="65"/>
    <x v="1"/>
    <n v="3.798"/>
  </r>
  <r>
    <x v="66"/>
    <x v="1"/>
    <n v="3.8149999999999999"/>
  </r>
  <r>
    <x v="67"/>
    <x v="1"/>
    <n v="3.82"/>
  </r>
  <r>
    <x v="68"/>
    <x v="1"/>
    <n v="3.8250000000000002"/>
  </r>
  <r>
    <x v="69"/>
    <x v="1"/>
    <n v="3.8250000000000002"/>
  </r>
  <r>
    <x v="70"/>
    <x v="1"/>
    <n v="3.835"/>
  </r>
  <r>
    <x v="71"/>
    <x v="1"/>
    <n v="3.8650000000000002"/>
  </r>
  <r>
    <x v="72"/>
    <x v="1"/>
    <n v="3.8650000000000002"/>
  </r>
  <r>
    <x v="73"/>
    <x v="1"/>
    <n v="3.87"/>
  </r>
  <r>
    <x v="74"/>
    <x v="1"/>
    <n v="3.87"/>
  </r>
  <r>
    <x v="75"/>
    <x v="1"/>
    <n v="3.871"/>
  </r>
  <r>
    <x v="76"/>
    <x v="1"/>
    <n v="3.8809999999999998"/>
  </r>
  <r>
    <x v="77"/>
    <x v="1"/>
    <n v="3.8929999999999998"/>
  </r>
  <r>
    <x v="78"/>
    <x v="1"/>
    <n v="3.8929999999999998"/>
  </r>
  <r>
    <x v="79"/>
    <x v="1"/>
    <n v="3.895"/>
  </r>
  <r>
    <x v="80"/>
    <x v="1"/>
    <n v="3.9"/>
  </r>
  <r>
    <x v="81"/>
    <x v="1"/>
    <n v="3.9079999999999999"/>
  </r>
  <r>
    <x v="82"/>
    <x v="1"/>
    <n v="3.91"/>
  </r>
  <r>
    <x v="83"/>
    <x v="1"/>
    <n v="3.923"/>
  </r>
  <r>
    <x v="84"/>
    <x v="1"/>
    <n v="3.923"/>
  </r>
  <r>
    <x v="85"/>
    <x v="1"/>
    <n v="3.9279999999999999"/>
  </r>
  <r>
    <x v="86"/>
    <x v="1"/>
    <n v="3.9380000000000002"/>
  </r>
  <r>
    <x v="87"/>
    <x v="1"/>
    <n v="3.9380000000000002"/>
  </r>
  <r>
    <x v="88"/>
    <x v="1"/>
    <n v="3.9430000000000001"/>
  </r>
  <r>
    <x v="89"/>
    <x v="1"/>
    <n v="3.948"/>
  </r>
  <r>
    <x v="90"/>
    <x v="1"/>
    <n v="3.948"/>
  </r>
  <r>
    <x v="91"/>
    <x v="1"/>
    <n v="3.9470000000000001"/>
  </r>
  <r>
    <x v="92"/>
    <x v="1"/>
    <n v="3.9489999999999998"/>
  </r>
  <r>
    <x v="93"/>
    <x v="1"/>
    <n v="3.9489999999999998"/>
  </r>
  <r>
    <x v="94"/>
    <x v="1"/>
    <n v="3.9489999999999998"/>
  </r>
  <r>
    <x v="95"/>
    <x v="1"/>
    <n v="3.9489999999999998"/>
  </r>
  <r>
    <x v="96"/>
    <x v="1"/>
    <n v="3.9540000000000002"/>
  </r>
  <r>
    <x v="97"/>
    <x v="1"/>
    <n v="3.9670000000000001"/>
  </r>
  <r>
    <x v="98"/>
    <x v="1"/>
    <n v="3.9780000000000002"/>
  </r>
  <r>
    <x v="99"/>
    <x v="1"/>
    <n v="3.9830000000000001"/>
  </r>
  <r>
    <x v="100"/>
    <x v="1"/>
    <n v="3.9980000000000002"/>
  </r>
  <r>
    <x v="101"/>
    <x v="1"/>
    <n v="4.0030000000000001"/>
  </r>
  <r>
    <x v="102"/>
    <x v="1"/>
    <n v="4.0199999999999996"/>
  </r>
  <r>
    <x v="103"/>
    <x v="1"/>
    <n v="4.0250000000000004"/>
  </r>
  <r>
    <x v="104"/>
    <x v="1"/>
    <n v="4.03"/>
  </r>
  <r>
    <x v="105"/>
    <x v="1"/>
    <n v="4.03"/>
  </r>
  <r>
    <x v="106"/>
    <x v="1"/>
    <n v="4.0519999999999996"/>
  </r>
  <r>
    <x v="107"/>
    <x v="1"/>
    <n v="4.0570000000000004"/>
  </r>
  <r>
    <x v="108"/>
    <x v="1"/>
    <n v="4.0570000000000004"/>
  </r>
  <r>
    <x v="109"/>
    <x v="1"/>
    <n v="4.0570000000000004"/>
  </r>
  <r>
    <x v="110"/>
    <x v="1"/>
    <n v="4.0570000000000004"/>
  </r>
  <r>
    <x v="111"/>
    <x v="1"/>
    <n v="4.0759999999999996"/>
  </r>
  <r>
    <x v="112"/>
    <x v="1"/>
    <n v="4.0730000000000004"/>
  </r>
  <r>
    <x v="113"/>
    <x v="1"/>
    <n v="4.0759999999999996"/>
  </r>
  <r>
    <x v="114"/>
    <x v="1"/>
    <n v="4.0759999999999996"/>
  </r>
  <r>
    <x v="115"/>
    <x v="1"/>
    <n v="4.0759999999999996"/>
  </r>
  <r>
    <x v="116"/>
    <x v="1"/>
    <n v="4.0979999999999999"/>
  </r>
  <r>
    <x v="117"/>
    <x v="1"/>
    <n v="4.0979999999999999"/>
  </r>
  <r>
    <x v="118"/>
    <x v="1"/>
    <n v="4.1029999999999998"/>
  </r>
  <r>
    <x v="119"/>
    <x v="1"/>
    <n v="4.1029999999999998"/>
  </r>
  <r>
    <x v="120"/>
    <x v="1"/>
    <n v="4.1079999999999997"/>
  </r>
  <r>
    <x v="121"/>
    <x v="1"/>
    <n v="4.1120000000000001"/>
  </r>
  <r>
    <x v="122"/>
    <x v="1"/>
    <n v="4.1120000000000001"/>
  </r>
  <r>
    <x v="123"/>
    <x v="1"/>
    <n v="4.1719999999999997"/>
  </r>
  <r>
    <x v="124"/>
    <x v="1"/>
    <n v="4.2249999999999996"/>
  </r>
  <r>
    <x v="125"/>
    <x v="1"/>
    <n v="4.2350000000000003"/>
  </r>
  <r>
    <x v="126"/>
    <x v="1"/>
    <n v="4.2430000000000003"/>
  </r>
  <r>
    <x v="127"/>
    <x v="1"/>
    <n v="4.2320000000000002"/>
  </r>
  <r>
    <x v="128"/>
    <x v="1"/>
    <n v="4.2450000000000001"/>
  </r>
  <r>
    <x v="129"/>
    <x v="1"/>
    <n v="4.2450000000000001"/>
  </r>
  <r>
    <x v="130"/>
    <x v="1"/>
    <n v="4.2450000000000001"/>
  </r>
  <r>
    <x v="131"/>
    <x v="1"/>
    <n v="4.2450000000000001"/>
  </r>
  <r>
    <x v="132"/>
    <x v="1"/>
    <n v="4.202"/>
  </r>
  <r>
    <x v="133"/>
    <x v="1"/>
    <n v="4.1719999999999997"/>
  </r>
  <r>
    <x v="134"/>
    <x v="1"/>
    <n v="4.1790000000000003"/>
  </r>
  <r>
    <x v="135"/>
    <x v="1"/>
    <n v="4.1840000000000002"/>
  </r>
  <r>
    <x v="136"/>
    <x v="1"/>
    <n v="4.1870000000000003"/>
  </r>
  <r>
    <x v="137"/>
    <x v="1"/>
    <n v="4.1870000000000003"/>
  </r>
  <r>
    <x v="138"/>
    <x v="1"/>
    <n v="4.1870000000000003"/>
  </r>
  <r>
    <x v="139"/>
    <x v="1"/>
    <n v="4.1870000000000003"/>
  </r>
  <r>
    <x v="140"/>
    <x v="1"/>
    <n v="4.1870000000000003"/>
  </r>
  <r>
    <x v="141"/>
    <x v="1"/>
    <n v="4.1920000000000002"/>
  </r>
  <r>
    <x v="142"/>
    <x v="1"/>
    <n v="4.1890000000000001"/>
  </r>
  <r>
    <x v="143"/>
    <x v="1"/>
    <n v="4.194"/>
  </r>
  <r>
    <x v="144"/>
    <x v="1"/>
    <n v="4.1950000000000003"/>
  </r>
  <r>
    <x v="145"/>
    <x v="1"/>
    <n v="4.1950000000000003"/>
  </r>
  <r>
    <x v="146"/>
    <x v="1"/>
    <n v="4.1950000000000003"/>
  </r>
  <r>
    <x v="147"/>
    <x v="1"/>
    <n v="4.1980000000000004"/>
  </r>
  <r>
    <x v="148"/>
    <x v="1"/>
    <n v="4.2030000000000003"/>
  </r>
  <r>
    <x v="149"/>
    <x v="1"/>
    <n v="4.2030000000000003"/>
  </r>
  <r>
    <x v="150"/>
    <x v="1"/>
    <n v="4.2030000000000003"/>
  </r>
  <r>
    <x v="151"/>
    <x v="1"/>
    <n v="4.2030000000000003"/>
  </r>
  <r>
    <x v="152"/>
    <x v="1"/>
    <n v="4.2030000000000003"/>
  </r>
  <r>
    <x v="153"/>
    <x v="1"/>
    <n v="4.2030000000000003"/>
  </r>
  <r>
    <x v="154"/>
    <x v="1"/>
    <n v="4.21"/>
  </r>
  <r>
    <x v="155"/>
    <x v="1"/>
    <n v="4.21"/>
  </r>
  <r>
    <x v="156"/>
    <x v="1"/>
    <n v="4.2229999999999999"/>
  </r>
  <r>
    <x v="157"/>
    <x v="1"/>
    <n v="4.2279999999999998"/>
  </r>
  <r>
    <x v="158"/>
    <x v="1"/>
    <n v="4.2279999999999998"/>
  </r>
  <r>
    <x v="159"/>
    <x v="1"/>
    <n v="4.2300000000000004"/>
  </r>
  <r>
    <x v="160"/>
    <x v="1"/>
    <n v="4.2300000000000004"/>
  </r>
  <r>
    <x v="161"/>
    <x v="1"/>
    <n v="4.2530000000000001"/>
  </r>
  <r>
    <x v="162"/>
    <x v="1"/>
    <n v="4.258"/>
  </r>
  <r>
    <x v="163"/>
    <x v="1"/>
    <n v="4.2880000000000003"/>
  </r>
  <r>
    <x v="164"/>
    <x v="1"/>
    <n v="4.298"/>
  </r>
  <r>
    <x v="165"/>
    <x v="1"/>
    <n v="4.3049999999999997"/>
  </r>
  <r>
    <x v="166"/>
    <x v="1"/>
    <n v="4.3049999999999997"/>
  </r>
  <r>
    <x v="167"/>
    <x v="1"/>
    <n v="4.3049999999999997"/>
  </r>
  <r>
    <x v="168"/>
    <x v="1"/>
    <n v="4.3049999999999997"/>
  </r>
  <r>
    <x v="169"/>
    <x v="1"/>
    <n v="4.3049999999999997"/>
  </r>
  <r>
    <x v="170"/>
    <x v="1"/>
    <n v="4.3049999999999997"/>
  </r>
  <r>
    <x v="171"/>
    <x v="1"/>
    <n v="4.3049999999999997"/>
  </r>
  <r>
    <x v="172"/>
    <x v="1"/>
    <n v="4.3049999999999997"/>
  </r>
  <r>
    <x v="173"/>
    <x v="1"/>
    <n v="4.3049999999999997"/>
  </r>
  <r>
    <x v="174"/>
    <x v="1"/>
    <n v="4.3049999999999997"/>
  </r>
  <r>
    <x v="175"/>
    <x v="1"/>
    <n v="4.3049999999999997"/>
  </r>
  <r>
    <x v="176"/>
    <x v="1"/>
    <n v="4.3049999999999997"/>
  </r>
  <r>
    <x v="177"/>
    <x v="1"/>
    <n v="4.3049999999999997"/>
  </r>
  <r>
    <x v="178"/>
    <x v="1"/>
    <n v="4.3049999999999997"/>
  </r>
  <r>
    <x v="179"/>
    <x v="1"/>
    <n v="4.3049999999999997"/>
  </r>
  <r>
    <x v="180"/>
    <x v="1"/>
    <n v="4.3049999999999997"/>
  </r>
  <r>
    <x v="181"/>
    <x v="1"/>
    <n v="4.3140000000000001"/>
  </r>
  <r>
    <x v="182"/>
    <x v="1"/>
    <n v="4.3170000000000002"/>
  </r>
  <r>
    <x v="183"/>
    <x v="1"/>
    <n v="4.3220000000000001"/>
  </r>
  <r>
    <x v="184"/>
    <x v="1"/>
    <n v="4.3220000000000001"/>
  </r>
  <r>
    <x v="185"/>
    <x v="1"/>
    <n v="4.3220000000000001"/>
  </r>
  <r>
    <x v="186"/>
    <x v="1"/>
    <n v="4.3220000000000001"/>
  </r>
  <r>
    <x v="187"/>
    <x v="1"/>
    <n v="4.3220000000000001"/>
  </r>
  <r>
    <x v="188"/>
    <x v="1"/>
    <n v="4.319"/>
  </r>
  <r>
    <x v="189"/>
    <x v="1"/>
    <n v="4.3250000000000002"/>
  </r>
  <r>
    <x v="190"/>
    <x v="1"/>
    <n v="4.327"/>
  </r>
  <r>
    <x v="191"/>
    <x v="1"/>
    <n v="4.33"/>
  </r>
  <r>
    <x v="192"/>
    <x v="1"/>
    <n v="4.3330000000000002"/>
  </r>
  <r>
    <x v="193"/>
    <x v="1"/>
    <n v="4.3330000000000002"/>
  </r>
  <r>
    <x v="194"/>
    <x v="1"/>
    <n v="4.3330000000000002"/>
  </r>
  <r>
    <x v="195"/>
    <x v="1"/>
    <n v="4.3339999999999996"/>
  </r>
  <r>
    <x v="196"/>
    <x v="1"/>
    <n v="4.3339999999999996"/>
  </r>
  <r>
    <x v="197"/>
    <x v="1"/>
    <n v="4.335"/>
  </r>
  <r>
    <x v="198"/>
    <x v="1"/>
    <n v="4.335"/>
  </r>
  <r>
    <x v="199"/>
    <x v="1"/>
    <n v="4.335"/>
  </r>
  <r>
    <x v="200"/>
    <x v="1"/>
    <n v="4.335"/>
  </r>
  <r>
    <x v="201"/>
    <x v="1"/>
    <n v="4.3369999999999997"/>
  </r>
  <r>
    <x v="202"/>
    <x v="1"/>
    <n v="4.3460000000000001"/>
  </r>
  <r>
    <x v="203"/>
    <x v="1"/>
    <n v="4.3460000000000001"/>
  </r>
  <r>
    <x v="204"/>
    <x v="1"/>
    <n v="4.3460000000000001"/>
  </r>
  <r>
    <x v="205"/>
    <x v="1"/>
    <n v="4.3479999999999999"/>
  </r>
  <r>
    <x v="206"/>
    <x v="1"/>
    <n v="4.3499999999999996"/>
  </r>
  <r>
    <x v="207"/>
    <x v="1"/>
    <n v="4.3499999999999996"/>
  </r>
  <r>
    <x v="208"/>
    <x v="1"/>
    <n v="4.351"/>
  </r>
  <r>
    <x v="209"/>
    <x v="1"/>
    <n v="4.3559999999999999"/>
  </r>
  <r>
    <x v="210"/>
    <x v="1"/>
    <n v="4.367"/>
  </r>
  <r>
    <x v="211"/>
    <x v="1"/>
    <n v="4.37"/>
  </r>
  <r>
    <x v="212"/>
    <x v="1"/>
    <n v="4.3769999999999998"/>
  </r>
  <r>
    <x v="213"/>
    <x v="1"/>
    <n v="4.3769999999999998"/>
  </r>
  <r>
    <x v="214"/>
    <x v="1"/>
    <n v="4.3769999999999998"/>
  </r>
  <r>
    <x v="215"/>
    <x v="1"/>
    <n v="4.3769999999999998"/>
  </r>
  <r>
    <x v="216"/>
    <x v="1"/>
    <n v="4.5019999999999998"/>
  </r>
  <r>
    <x v="217"/>
    <x v="1"/>
    <n v="4.4980000000000002"/>
  </r>
  <r>
    <x v="218"/>
    <x v="1"/>
    <n v="4.5049999999999999"/>
  </r>
  <r>
    <x v="219"/>
    <x v="1"/>
    <n v="4.5049999999999999"/>
  </r>
  <r>
    <x v="220"/>
    <x v="1"/>
    <n v="4.5049999999999999"/>
  </r>
  <r>
    <x v="221"/>
    <x v="1"/>
    <n v="4.5170000000000003"/>
  </r>
  <r>
    <x v="222"/>
    <x v="1"/>
    <n v="4.5170000000000003"/>
  </r>
  <r>
    <x v="223"/>
    <x v="1"/>
    <n v="4.5199999999999996"/>
  </r>
  <r>
    <x v="224"/>
    <x v="1"/>
    <n v="4.5229999999999997"/>
  </r>
  <r>
    <x v="225"/>
    <x v="1"/>
    <n v="4.5380000000000003"/>
  </r>
  <r>
    <x v="226"/>
    <x v="1"/>
    <n v="4.5389999999999997"/>
  </r>
  <r>
    <x v="227"/>
    <x v="1"/>
    <n v="4.5419999999999998"/>
  </r>
  <r>
    <x v="228"/>
    <x v="1"/>
    <n v="4.5430000000000001"/>
  </r>
  <r>
    <x v="229"/>
    <x v="1"/>
    <n v="4.5430000000000001"/>
  </r>
  <r>
    <x v="230"/>
    <x v="1"/>
    <n v="4.5430000000000001"/>
  </r>
  <r>
    <x v="231"/>
    <x v="1"/>
    <n v="4.5599999999999996"/>
  </r>
  <r>
    <x v="232"/>
    <x v="1"/>
    <n v="4.5659999999999998"/>
  </r>
  <r>
    <x v="233"/>
    <x v="1"/>
    <n v="4.569"/>
  </r>
  <r>
    <x v="234"/>
    <x v="1"/>
    <n v="4.5670000000000002"/>
  </r>
  <r>
    <x v="235"/>
    <x v="1"/>
    <n v="4.5709999999999997"/>
  </r>
  <r>
    <x v="236"/>
    <x v="1"/>
    <n v="4.5730000000000004"/>
  </r>
  <r>
    <x v="237"/>
    <x v="1"/>
    <n v="4.5709999999999997"/>
  </r>
  <r>
    <x v="238"/>
    <x v="1"/>
    <n v="4.5759999999999996"/>
  </r>
  <r>
    <x v="239"/>
    <x v="1"/>
    <n v="4.569"/>
  </r>
  <r>
    <x v="240"/>
    <x v="1"/>
    <n v="4.5739999999999998"/>
  </r>
  <r>
    <x v="241"/>
    <x v="1"/>
    <n v="4.5739999999999998"/>
  </r>
  <r>
    <x v="242"/>
    <x v="1"/>
    <n v="4.5720000000000001"/>
  </r>
  <r>
    <x v="243"/>
    <x v="1"/>
    <n v="4.5720000000000001"/>
  </r>
  <r>
    <x v="244"/>
    <x v="1"/>
    <n v="4.5739999999999998"/>
  </r>
  <r>
    <x v="245"/>
    <x v="1"/>
    <n v="4.5739999999999998"/>
  </r>
  <r>
    <x v="246"/>
    <x v="1"/>
    <n v="4.5659999999999998"/>
  </r>
  <r>
    <x v="247"/>
    <x v="1"/>
    <n v="4.5739999999999998"/>
  </r>
  <r>
    <x v="248"/>
    <x v="1"/>
    <n v="4.5739999999999998"/>
  </r>
  <r>
    <x v="249"/>
    <x v="1"/>
    <n v="4.5739999999999998"/>
  </r>
  <r>
    <x v="250"/>
    <x v="1"/>
    <n v="4.5739999999999998"/>
  </r>
  <r>
    <x v="251"/>
    <x v="1"/>
    <n v="4.5780000000000003"/>
  </r>
  <r>
    <x v="252"/>
    <x v="1"/>
    <n v="4.5810000000000004"/>
  </r>
  <r>
    <x v="253"/>
    <x v="1"/>
    <n v="4.5780000000000003"/>
  </r>
  <r>
    <x v="254"/>
    <x v="1"/>
    <n v="4.5780000000000003"/>
  </r>
  <r>
    <x v="255"/>
    <x v="1"/>
    <n v="4.5780000000000003"/>
  </r>
  <r>
    <x v="256"/>
    <x v="1"/>
    <n v="4.5780000000000003"/>
  </r>
  <r>
    <x v="257"/>
    <x v="1"/>
    <n v="4.5780000000000003"/>
  </r>
  <r>
    <x v="258"/>
    <x v="1"/>
    <n v="4.5739999999999998"/>
  </r>
  <r>
    <x v="259"/>
    <x v="1"/>
    <n v="4.5739999999999998"/>
  </r>
  <r>
    <x v="260"/>
    <x v="1"/>
    <n v="4.5739999999999998"/>
  </r>
  <r>
    <x v="261"/>
    <x v="1"/>
    <n v="4.5739999999999998"/>
  </r>
  <r>
    <x v="262"/>
    <x v="1"/>
    <n v="4.5780000000000003"/>
  </r>
  <r>
    <x v="263"/>
    <x v="1"/>
    <n v="4.5739999999999998"/>
  </r>
  <r>
    <x v="264"/>
    <x v="1"/>
    <n v="4.5739999999999998"/>
  </r>
  <r>
    <x v="265"/>
    <x v="1"/>
    <n v="4.5739999999999998"/>
  </r>
  <r>
    <x v="266"/>
    <x v="1"/>
    <n v="4.5739999999999998"/>
  </r>
  <r>
    <x v="267"/>
    <x v="1"/>
    <n v="4.5739999999999998"/>
  </r>
  <r>
    <x v="268"/>
    <x v="1"/>
    <n v="4.5739999999999998"/>
  </r>
  <r>
    <x v="269"/>
    <x v="1"/>
    <n v="4.5739999999999998"/>
  </r>
  <r>
    <x v="270"/>
    <x v="1"/>
    <n v="4.5739999999999998"/>
  </r>
  <r>
    <x v="271"/>
    <x v="1"/>
    <n v="4.5739999999999998"/>
  </r>
  <r>
    <x v="272"/>
    <x v="1"/>
    <n v="4.5739999999999998"/>
  </r>
  <r>
    <x v="273"/>
    <x v="1"/>
    <n v="4.5780000000000003"/>
  </r>
  <r>
    <x v="274"/>
    <x v="1"/>
    <n v="4.5780000000000003"/>
  </r>
  <r>
    <x v="0"/>
    <x v="2"/>
    <n v="2.2040000000000002"/>
  </r>
  <r>
    <x v="1"/>
    <x v="2"/>
    <n v="2.2040000000000002"/>
  </r>
  <r>
    <x v="2"/>
    <x v="2"/>
    <n v="2.206"/>
  </r>
  <r>
    <x v="3"/>
    <x v="2"/>
    <n v="2.2690000000000001"/>
  </r>
  <r>
    <x v="4"/>
    <x v="2"/>
    <n v="2.2690000000000001"/>
  </r>
  <r>
    <x v="5"/>
    <x v="2"/>
    <n v="2.2690000000000001"/>
  </r>
  <r>
    <x v="6"/>
    <x v="2"/>
    <n v="2.2690000000000001"/>
  </r>
  <r>
    <x v="7"/>
    <x v="2"/>
    <n v="2.2709999999999999"/>
  </r>
  <r>
    <x v="8"/>
    <x v="2"/>
    <n v="2.3039999999999998"/>
  </r>
  <r>
    <x v="9"/>
    <x v="2"/>
    <n v="2.3210000000000002"/>
  </r>
  <r>
    <x v="10"/>
    <x v="2"/>
    <n v="2.3210000000000002"/>
  </r>
  <r>
    <x v="11"/>
    <x v="2"/>
    <n v="2.34"/>
  </r>
  <r>
    <x v="12"/>
    <x v="2"/>
    <n v="2.34"/>
  </r>
  <r>
    <x v="13"/>
    <x v="2"/>
    <n v="2.3439999999999999"/>
  </r>
  <r>
    <x v="14"/>
    <x v="2"/>
    <n v="2.3479999999999999"/>
  </r>
  <r>
    <x v="15"/>
    <x v="2"/>
    <n v="2.3479999999999999"/>
  </r>
  <r>
    <x v="16"/>
    <x v="2"/>
    <n v="2.3479999999999999"/>
  </r>
  <r>
    <x v="17"/>
    <x v="2"/>
    <n v="2.3479999999999999"/>
  </r>
  <r>
    <x v="18"/>
    <x v="2"/>
    <n v="2.4020000000000001"/>
  </r>
  <r>
    <x v="19"/>
    <x v="2"/>
    <n v="2.4060000000000001"/>
  </r>
  <r>
    <x v="20"/>
    <x v="2"/>
    <n v="2.3980000000000001"/>
  </r>
  <r>
    <x v="21"/>
    <x v="2"/>
    <n v="2.39"/>
  </r>
  <r>
    <x v="22"/>
    <x v="2"/>
    <n v="2.41"/>
  </r>
  <r>
    <x v="23"/>
    <x v="2"/>
    <n v="2.4580000000000002"/>
  </r>
  <r>
    <x v="24"/>
    <x v="2"/>
    <n v="2.4830000000000001"/>
  </r>
  <r>
    <x v="25"/>
    <x v="2"/>
    <n v="2.492"/>
  </r>
  <r>
    <x v="26"/>
    <x v="2"/>
    <n v="2.496"/>
  </r>
  <r>
    <x v="27"/>
    <x v="2"/>
    <n v="2.504"/>
  </r>
  <r>
    <x v="28"/>
    <x v="2"/>
    <n v="2.5379999999999998"/>
  </r>
  <r>
    <x v="29"/>
    <x v="2"/>
    <n v="2.5379999999999998"/>
  </r>
  <r>
    <x v="30"/>
    <x v="2"/>
    <n v="2.5710000000000002"/>
  </r>
  <r>
    <x v="31"/>
    <x v="2"/>
    <n v="2.6080000000000001"/>
  </r>
  <r>
    <x v="32"/>
    <x v="2"/>
    <n v="2.613"/>
  </r>
  <r>
    <x v="33"/>
    <x v="2"/>
    <n v="2.621"/>
  </r>
  <r>
    <x v="34"/>
    <x v="2"/>
    <n v="2.6309999999999998"/>
  </r>
  <r>
    <x v="35"/>
    <x v="2"/>
    <n v="2.6309999999999998"/>
  </r>
  <r>
    <x v="36"/>
    <x v="2"/>
    <n v="2.6480000000000001"/>
  </r>
  <r>
    <x v="37"/>
    <x v="2"/>
    <n v="2.6480000000000001"/>
  </r>
  <r>
    <x v="38"/>
    <x v="2"/>
    <n v="2.6480000000000001"/>
  </r>
  <r>
    <x v="39"/>
    <x v="2"/>
    <n v="2.6560000000000001"/>
  </r>
  <r>
    <x v="40"/>
    <x v="2"/>
    <n v="2.6560000000000001"/>
  </r>
  <r>
    <x v="41"/>
    <x v="2"/>
    <n v="2.66"/>
  </r>
  <r>
    <x v="42"/>
    <x v="2"/>
    <n v="2.66"/>
  </r>
  <r>
    <x v="43"/>
    <x v="2"/>
    <n v="2.6640000000000001"/>
  </r>
  <r>
    <x v="44"/>
    <x v="2"/>
    <n v="2.6629999999999998"/>
  </r>
  <r>
    <x v="45"/>
    <x v="2"/>
    <n v="2.6629999999999998"/>
  </r>
  <r>
    <x v="46"/>
    <x v="2"/>
    <n v="2.669"/>
  </r>
  <r>
    <x v="47"/>
    <x v="2"/>
    <n v="2.669"/>
  </r>
  <r>
    <x v="48"/>
    <x v="2"/>
    <n v="2.681"/>
  </r>
  <r>
    <x v="49"/>
    <x v="2"/>
    <n v="2.681"/>
  </r>
  <r>
    <x v="50"/>
    <x v="2"/>
    <n v="2.681"/>
  </r>
  <r>
    <x v="51"/>
    <x v="2"/>
    <n v="2.6920000000000002"/>
  </r>
  <r>
    <x v="52"/>
    <x v="2"/>
    <n v="2.6920000000000002"/>
  </r>
  <r>
    <x v="53"/>
    <x v="2"/>
    <n v="2.6920000000000002"/>
  </r>
  <r>
    <x v="54"/>
    <x v="2"/>
    <n v="2.6920000000000002"/>
  </r>
  <r>
    <x v="55"/>
    <x v="2"/>
    <n v="2.6920000000000002"/>
  </r>
  <r>
    <x v="56"/>
    <x v="2"/>
    <n v="2.7130000000000001"/>
  </r>
  <r>
    <x v="57"/>
    <x v="2"/>
    <n v="2.7130000000000001"/>
  </r>
  <r>
    <x v="58"/>
    <x v="2"/>
    <n v="2.7130000000000001"/>
  </r>
  <r>
    <x v="59"/>
    <x v="2"/>
    <n v="2.7130000000000001"/>
  </r>
  <r>
    <x v="60"/>
    <x v="2"/>
    <n v="2.7130000000000001"/>
  </r>
  <r>
    <x v="61"/>
    <x v="2"/>
    <n v="2.7269999999999999"/>
  </r>
  <r>
    <x v="62"/>
    <x v="2"/>
    <n v="2.7269999999999999"/>
  </r>
  <r>
    <x v="63"/>
    <x v="2"/>
    <n v="2.7269999999999999"/>
  </r>
  <r>
    <x v="64"/>
    <x v="2"/>
    <n v="2.7269999999999999"/>
  </r>
  <r>
    <x v="65"/>
    <x v="2"/>
    <n v="2.7269999999999999"/>
  </r>
  <r>
    <x v="66"/>
    <x v="2"/>
    <n v="2.7440000000000002"/>
  </r>
  <r>
    <x v="67"/>
    <x v="2"/>
    <n v="2.75"/>
  </r>
  <r>
    <x v="68"/>
    <x v="2"/>
    <n v="2.7669999999999999"/>
  </r>
  <r>
    <x v="69"/>
    <x v="2"/>
    <n v="2.7669999999999999"/>
  </r>
  <r>
    <x v="70"/>
    <x v="2"/>
    <n v="2.7829999999999999"/>
  </r>
  <r>
    <x v="71"/>
    <x v="2"/>
    <n v="2.7829999999999999"/>
  </r>
  <r>
    <x v="72"/>
    <x v="2"/>
    <n v="2.7919999999999998"/>
  </r>
  <r>
    <x v="73"/>
    <x v="2"/>
    <n v="2.7919999999999998"/>
  </r>
  <r>
    <x v="74"/>
    <x v="2"/>
    <n v="2.7919999999999998"/>
  </r>
  <r>
    <x v="75"/>
    <x v="2"/>
    <n v="2.7919999999999998"/>
  </r>
  <r>
    <x v="76"/>
    <x v="2"/>
    <n v="2.7919999999999998"/>
  </r>
  <r>
    <x v="77"/>
    <x v="2"/>
    <n v="2.7919999999999998"/>
  </r>
  <r>
    <x v="78"/>
    <x v="2"/>
    <n v="2.7919999999999998"/>
  </r>
  <r>
    <x v="79"/>
    <x v="2"/>
    <n v="2.7919999999999998"/>
  </r>
  <r>
    <x v="80"/>
    <x v="2"/>
    <n v="2.7919999999999998"/>
  </r>
  <r>
    <x v="81"/>
    <x v="2"/>
    <n v="2.7919999999999998"/>
  </r>
  <r>
    <x v="82"/>
    <x v="2"/>
    <n v="2.794"/>
  </r>
  <r>
    <x v="83"/>
    <x v="2"/>
    <n v="2.835"/>
  </r>
  <r>
    <x v="84"/>
    <x v="2"/>
    <n v="2.835"/>
  </r>
  <r>
    <x v="85"/>
    <x v="2"/>
    <n v="2.835"/>
  </r>
  <r>
    <x v="86"/>
    <x v="2"/>
    <n v="2.84"/>
  </r>
  <r>
    <x v="87"/>
    <x v="2"/>
    <n v="2.84"/>
  </r>
  <r>
    <x v="88"/>
    <x v="2"/>
    <n v="2.84"/>
  </r>
  <r>
    <x v="89"/>
    <x v="2"/>
    <n v="2.84"/>
  </r>
  <r>
    <x v="90"/>
    <x v="2"/>
    <n v="2.84"/>
  </r>
  <r>
    <x v="91"/>
    <x v="2"/>
    <n v="2.8559999999999999"/>
  </r>
  <r>
    <x v="92"/>
    <x v="2"/>
    <n v="2.86"/>
  </r>
  <r>
    <x v="93"/>
    <x v="2"/>
    <n v="2.86"/>
  </r>
  <r>
    <x v="94"/>
    <x v="2"/>
    <n v="2.86"/>
  </r>
  <r>
    <x v="95"/>
    <x v="2"/>
    <n v="2.86"/>
  </r>
  <r>
    <x v="96"/>
    <x v="2"/>
    <n v="2.86"/>
  </r>
  <r>
    <x v="97"/>
    <x v="2"/>
    <n v="2.86"/>
  </r>
  <r>
    <x v="98"/>
    <x v="2"/>
    <n v="2.8650000000000002"/>
  </r>
  <r>
    <x v="99"/>
    <x v="2"/>
    <n v="2.8730000000000002"/>
  </r>
  <r>
    <x v="100"/>
    <x v="2"/>
    <n v="2.8769999999999998"/>
  </r>
  <r>
    <x v="101"/>
    <x v="2"/>
    <n v="2.8809999999999998"/>
  </r>
  <r>
    <x v="102"/>
    <x v="2"/>
    <n v="2.8980000000000001"/>
  </r>
  <r>
    <x v="103"/>
    <x v="2"/>
    <n v="2.9079999999999999"/>
  </r>
  <r>
    <x v="104"/>
    <x v="2"/>
    <n v="2.9079999999999999"/>
  </r>
  <r>
    <x v="105"/>
    <x v="2"/>
    <n v="2.9079999999999999"/>
  </r>
  <r>
    <x v="106"/>
    <x v="2"/>
    <n v="2.9079999999999999"/>
  </r>
  <r>
    <x v="107"/>
    <x v="2"/>
    <n v="2.9079999999999999"/>
  </r>
  <r>
    <x v="108"/>
    <x v="2"/>
    <n v="2.9039999999999999"/>
  </r>
  <r>
    <x v="109"/>
    <x v="2"/>
    <n v="2.9129999999999998"/>
  </r>
  <r>
    <x v="110"/>
    <x v="2"/>
    <n v="2.9129999999999998"/>
  </r>
  <r>
    <x v="111"/>
    <x v="2"/>
    <n v="2.9129999999999998"/>
  </r>
  <r>
    <x v="112"/>
    <x v="2"/>
    <n v="2.9169999999999998"/>
  </r>
  <r>
    <x v="113"/>
    <x v="2"/>
    <n v="2.9169999999999998"/>
  </r>
  <r>
    <x v="114"/>
    <x v="2"/>
    <n v="2.9169999999999998"/>
  </r>
  <r>
    <x v="115"/>
    <x v="2"/>
    <n v="2.9169999999999998"/>
  </r>
  <r>
    <x v="116"/>
    <x v="2"/>
    <n v="2.9169999999999998"/>
  </r>
  <r>
    <x v="117"/>
    <x v="2"/>
    <n v="2.9129999999999998"/>
  </r>
  <r>
    <x v="118"/>
    <x v="2"/>
    <n v="2.9169999999999998"/>
  </r>
  <r>
    <x v="119"/>
    <x v="2"/>
    <n v="2.9169999999999998"/>
  </r>
  <r>
    <x v="120"/>
    <x v="2"/>
    <n v="2.9169999999999998"/>
  </r>
  <r>
    <x v="121"/>
    <x v="2"/>
    <n v="2.9380000000000002"/>
  </r>
  <r>
    <x v="122"/>
    <x v="2"/>
    <n v="2.9380000000000002"/>
  </r>
  <r>
    <x v="123"/>
    <x v="2"/>
    <n v="2.9380000000000002"/>
  </r>
  <r>
    <x v="124"/>
    <x v="2"/>
    <n v="2.992"/>
  </r>
  <r>
    <x v="125"/>
    <x v="2"/>
    <n v="3.048"/>
  </r>
  <r>
    <x v="126"/>
    <x v="2"/>
    <n v="3.0310000000000001"/>
  </r>
  <r>
    <x v="127"/>
    <x v="2"/>
    <n v="2.9980000000000002"/>
  </r>
  <r>
    <x v="128"/>
    <x v="2"/>
    <n v="3.0230000000000001"/>
  </r>
  <r>
    <x v="129"/>
    <x v="2"/>
    <n v="2.996"/>
  </r>
  <r>
    <x v="130"/>
    <x v="2"/>
    <n v="3"/>
  </r>
  <r>
    <x v="131"/>
    <x v="2"/>
    <n v="3"/>
  </r>
  <r>
    <x v="132"/>
    <x v="2"/>
    <n v="2.9830000000000001"/>
  </r>
  <r>
    <x v="133"/>
    <x v="2"/>
    <n v="2.9830000000000001"/>
  </r>
  <r>
    <x v="134"/>
    <x v="2"/>
    <n v="2.9830000000000001"/>
  </r>
  <r>
    <x v="135"/>
    <x v="2"/>
    <n v="2.9830000000000001"/>
  </r>
  <r>
    <x v="136"/>
    <x v="2"/>
    <n v="2.9830000000000001"/>
  </r>
  <r>
    <x v="137"/>
    <x v="2"/>
    <n v="2.9830000000000001"/>
  </r>
  <r>
    <x v="138"/>
    <x v="2"/>
    <n v="2.992"/>
  </r>
  <r>
    <x v="139"/>
    <x v="2"/>
    <n v="2.996"/>
  </r>
  <r>
    <x v="140"/>
    <x v="2"/>
    <n v="2.996"/>
  </r>
  <r>
    <x v="141"/>
    <x v="2"/>
    <n v="3.0049999999999999"/>
  </r>
  <r>
    <x v="142"/>
    <x v="2"/>
    <n v="2.996"/>
  </r>
  <r>
    <x v="143"/>
    <x v="2"/>
    <n v="3.0139999999999998"/>
  </r>
  <r>
    <x v="144"/>
    <x v="2"/>
    <n v="3.004"/>
  </r>
  <r>
    <x v="145"/>
    <x v="2"/>
    <n v="3.004"/>
  </r>
  <r>
    <x v="146"/>
    <x v="2"/>
    <n v="3.004"/>
  </r>
  <r>
    <x v="147"/>
    <x v="2"/>
    <n v="3.0329999999999999"/>
  </r>
  <r>
    <x v="148"/>
    <x v="2"/>
    <n v="3.004"/>
  </r>
  <r>
    <x v="149"/>
    <x v="2"/>
    <n v="3.004"/>
  </r>
  <r>
    <x v="150"/>
    <x v="2"/>
    <n v="3.004"/>
  </r>
  <r>
    <x v="151"/>
    <x v="2"/>
    <n v="3.004"/>
  </r>
  <r>
    <x v="152"/>
    <x v="2"/>
    <n v="3.0059999999999998"/>
  </r>
  <r>
    <x v="153"/>
    <x v="2"/>
    <n v="3.0059999999999998"/>
  </r>
  <r>
    <x v="154"/>
    <x v="2"/>
    <n v="3.0419999999999998"/>
  </r>
  <r>
    <x v="155"/>
    <x v="2"/>
    <n v="3.0419999999999998"/>
  </r>
  <r>
    <x v="156"/>
    <x v="2"/>
    <n v="3.0459999999999998"/>
  </r>
  <r>
    <x v="157"/>
    <x v="2"/>
    <n v="3.0579999999999998"/>
  </r>
  <r>
    <x v="158"/>
    <x v="2"/>
    <n v="3.0579999999999998"/>
  </r>
  <r>
    <x v="159"/>
    <x v="2"/>
    <n v="3.0579999999999998"/>
  </r>
  <r>
    <x v="160"/>
    <x v="2"/>
    <n v="3.0579999999999998"/>
  </r>
  <r>
    <x v="161"/>
    <x v="2"/>
    <n v="3.0750000000000002"/>
  </r>
  <r>
    <x v="162"/>
    <x v="2"/>
    <n v="3.0960000000000001"/>
  </r>
  <r>
    <x v="163"/>
    <x v="2"/>
    <n v="3.0960000000000001"/>
  </r>
  <r>
    <x v="164"/>
    <x v="2"/>
    <n v="3.117"/>
  </r>
  <r>
    <x v="165"/>
    <x v="2"/>
    <n v="3.1379999999999999"/>
  </r>
  <r>
    <x v="166"/>
    <x v="2"/>
    <n v="3.1379999999999999"/>
  </r>
  <r>
    <x v="167"/>
    <x v="2"/>
    <n v="3.1880000000000002"/>
  </r>
  <r>
    <x v="168"/>
    <x v="2"/>
    <n v="3.1880000000000002"/>
  </r>
  <r>
    <x v="169"/>
    <x v="2"/>
    <n v="3.1880000000000002"/>
  </r>
  <r>
    <x v="170"/>
    <x v="2"/>
    <n v="3.1880000000000002"/>
  </r>
  <r>
    <x v="171"/>
    <x v="2"/>
    <n v="3.1920000000000002"/>
  </r>
  <r>
    <x v="172"/>
    <x v="2"/>
    <n v="3.2040000000000002"/>
  </r>
  <r>
    <x v="173"/>
    <x v="2"/>
    <n v="3.2040000000000002"/>
  </r>
  <r>
    <x v="174"/>
    <x v="2"/>
    <n v="3.2040000000000002"/>
  </r>
  <r>
    <x v="175"/>
    <x v="2"/>
    <n v="3.2040000000000002"/>
  </r>
  <r>
    <x v="176"/>
    <x v="2"/>
    <n v="3.2040000000000002"/>
  </r>
  <r>
    <x v="177"/>
    <x v="2"/>
    <n v="3.2040000000000002"/>
  </r>
  <r>
    <x v="178"/>
    <x v="2"/>
    <n v="3.2040000000000002"/>
  </r>
  <r>
    <x v="179"/>
    <x v="2"/>
    <n v="3.2040000000000002"/>
  </r>
  <r>
    <x v="180"/>
    <x v="2"/>
    <n v="3.2040000000000002"/>
  </r>
  <r>
    <x v="181"/>
    <x v="2"/>
    <n v="3.2130000000000001"/>
  </r>
  <r>
    <x v="182"/>
    <x v="2"/>
    <n v="3.2130000000000001"/>
  </r>
  <r>
    <x v="183"/>
    <x v="2"/>
    <n v="3.2130000000000001"/>
  </r>
  <r>
    <x v="184"/>
    <x v="2"/>
    <n v="3.2130000000000001"/>
  </r>
  <r>
    <x v="185"/>
    <x v="2"/>
    <n v="3.2130000000000001"/>
  </r>
  <r>
    <x v="186"/>
    <x v="2"/>
    <n v="3.2130000000000001"/>
  </r>
  <r>
    <x v="187"/>
    <x v="2"/>
    <n v="3.2130000000000001"/>
  </r>
  <r>
    <x v="188"/>
    <x v="2"/>
    <n v="3.2130000000000001"/>
  </r>
  <r>
    <x v="189"/>
    <x v="2"/>
    <n v="3.2170000000000001"/>
  </r>
  <r>
    <x v="190"/>
    <x v="2"/>
    <n v="3.2170000000000001"/>
  </r>
  <r>
    <x v="191"/>
    <x v="2"/>
    <n v="3.258"/>
  </r>
  <r>
    <x v="192"/>
    <x v="2"/>
    <n v="3.2170000000000001"/>
  </r>
  <r>
    <x v="193"/>
    <x v="2"/>
    <n v="3.258"/>
  </r>
  <r>
    <x v="194"/>
    <x v="2"/>
    <n v="3.2629999999999999"/>
  </r>
  <r>
    <x v="195"/>
    <x v="2"/>
    <n v="3.2629999999999999"/>
  </r>
  <r>
    <x v="196"/>
    <x v="2"/>
    <n v="3.2629999999999999"/>
  </r>
  <r>
    <x v="197"/>
    <x v="2"/>
    <n v="3.2629999999999999"/>
  </r>
  <r>
    <x v="198"/>
    <x v="2"/>
    <n v="3.2629999999999999"/>
  </r>
  <r>
    <x v="199"/>
    <x v="2"/>
    <n v="3.2709999999999999"/>
  </r>
  <r>
    <x v="200"/>
    <x v="2"/>
    <n v="3.2709999999999999"/>
  </r>
  <r>
    <x v="201"/>
    <x v="2"/>
    <n v="3.2709999999999999"/>
  </r>
  <r>
    <x v="202"/>
    <x v="2"/>
    <n v="3.2730000000000001"/>
  </r>
  <r>
    <x v="203"/>
    <x v="2"/>
    <n v="3.2730000000000001"/>
  </r>
  <r>
    <x v="204"/>
    <x v="2"/>
    <n v="3.2730000000000001"/>
  </r>
  <r>
    <x v="205"/>
    <x v="2"/>
    <n v="3.2730000000000001"/>
  </r>
  <r>
    <x v="206"/>
    <x v="2"/>
    <n v="3.2730000000000001"/>
  </r>
  <r>
    <x v="207"/>
    <x v="2"/>
    <n v="3.2730000000000001"/>
  </r>
  <r>
    <x v="208"/>
    <x v="2"/>
    <n v="3.2730000000000001"/>
  </r>
  <r>
    <x v="209"/>
    <x v="2"/>
    <n v="3.2730000000000001"/>
  </r>
  <r>
    <x v="210"/>
    <x v="2"/>
    <n v="3.2730000000000001"/>
  </r>
  <r>
    <x v="211"/>
    <x v="2"/>
    <n v="3.2730000000000001"/>
  </r>
  <r>
    <x v="212"/>
    <x v="2"/>
    <n v="3.2730000000000001"/>
  </r>
  <r>
    <x v="213"/>
    <x v="2"/>
    <n v="3.2730000000000001"/>
  </r>
  <r>
    <x v="214"/>
    <x v="2"/>
    <n v="3.2730000000000001"/>
  </r>
  <r>
    <x v="215"/>
    <x v="2"/>
    <n v="3.2730000000000001"/>
  </r>
  <r>
    <x v="216"/>
    <x v="2"/>
    <n v="3.2810000000000001"/>
  </r>
  <r>
    <x v="217"/>
    <x v="2"/>
    <n v="3.294"/>
  </r>
  <r>
    <x v="218"/>
    <x v="2"/>
    <n v="3.294"/>
  </r>
  <r>
    <x v="219"/>
    <x v="2"/>
    <n v="3.31"/>
  </r>
  <r>
    <x v="220"/>
    <x v="2"/>
    <n v="3.327"/>
  </r>
  <r>
    <x v="221"/>
    <x v="2"/>
    <n v="3.335"/>
  </r>
  <r>
    <x v="222"/>
    <x v="2"/>
    <n v="3.34"/>
  </r>
  <r>
    <x v="223"/>
    <x v="2"/>
    <n v="3.3439999999999999"/>
  </r>
  <r>
    <x v="224"/>
    <x v="2"/>
    <n v="3.3439999999999999"/>
  </r>
  <r>
    <x v="225"/>
    <x v="2"/>
    <n v="3.3460000000000001"/>
  </r>
  <r>
    <x v="226"/>
    <x v="2"/>
    <n v="3.3580000000000001"/>
  </r>
  <r>
    <x v="227"/>
    <x v="2"/>
    <n v="3.363"/>
  </r>
  <r>
    <x v="228"/>
    <x v="2"/>
    <n v="3.363"/>
  </r>
  <r>
    <x v="229"/>
    <x v="2"/>
    <n v="3.363"/>
  </r>
  <r>
    <x v="230"/>
    <x v="2"/>
    <n v="3.363"/>
  </r>
  <r>
    <x v="231"/>
    <x v="2"/>
    <n v="3.371"/>
  </r>
  <r>
    <x v="232"/>
    <x v="2"/>
    <n v="3.375"/>
  </r>
  <r>
    <x v="233"/>
    <x v="2"/>
    <n v="3.375"/>
  </r>
  <r>
    <x v="234"/>
    <x v="2"/>
    <n v="3.375"/>
  </r>
  <r>
    <x v="235"/>
    <x v="2"/>
    <n v="3.375"/>
  </r>
  <r>
    <x v="236"/>
    <x v="2"/>
    <n v="3.375"/>
  </r>
  <r>
    <x v="237"/>
    <x v="2"/>
    <n v="3.3919999999999999"/>
  </r>
  <r>
    <x v="238"/>
    <x v="2"/>
    <n v="3.3919999999999999"/>
  </r>
  <r>
    <x v="239"/>
    <x v="2"/>
    <n v="3.3959999999999999"/>
  </r>
  <r>
    <x v="240"/>
    <x v="2"/>
    <n v="3.3959999999999999"/>
  </r>
  <r>
    <x v="241"/>
    <x v="2"/>
    <n v="3.3959999999999999"/>
  </r>
  <r>
    <x v="242"/>
    <x v="2"/>
    <n v="3.3959999999999999"/>
  </r>
  <r>
    <x v="243"/>
    <x v="2"/>
    <n v="3.3959999999999999"/>
  </r>
  <r>
    <x v="244"/>
    <x v="2"/>
    <n v="3.3959999999999999"/>
  </r>
  <r>
    <x v="245"/>
    <x v="2"/>
    <n v="3.3959999999999999"/>
  </r>
  <r>
    <x v="246"/>
    <x v="2"/>
    <n v="3.3959999999999999"/>
  </r>
  <r>
    <x v="247"/>
    <x v="2"/>
    <n v="3.3959999999999999"/>
  </r>
  <r>
    <x v="248"/>
    <x v="2"/>
    <n v="3.3959999999999999"/>
  </r>
  <r>
    <x v="249"/>
    <x v="2"/>
    <n v="3.3959999999999999"/>
  </r>
  <r>
    <x v="250"/>
    <x v="2"/>
    <n v="3.3959999999999999"/>
  </r>
  <r>
    <x v="251"/>
    <x v="2"/>
    <n v="3.3959999999999999"/>
  </r>
  <r>
    <x v="252"/>
    <x v="2"/>
    <n v="3.4129999999999998"/>
  </r>
  <r>
    <x v="253"/>
    <x v="2"/>
    <n v="3.4129999999999998"/>
  </r>
  <r>
    <x v="254"/>
    <x v="2"/>
    <n v="3.45"/>
  </r>
  <r>
    <x v="255"/>
    <x v="2"/>
    <n v="3.4670000000000001"/>
  </r>
  <r>
    <x v="256"/>
    <x v="2"/>
    <n v="3.4670000000000001"/>
  </r>
  <r>
    <x v="257"/>
    <x v="2"/>
    <n v="3.4670000000000001"/>
  </r>
  <r>
    <x v="258"/>
    <x v="2"/>
    <n v="3.4670000000000001"/>
  </r>
  <r>
    <x v="259"/>
    <x v="2"/>
    <n v="3.4670000000000001"/>
  </r>
  <r>
    <x v="260"/>
    <x v="2"/>
    <n v="3.4670000000000001"/>
  </r>
  <r>
    <x v="261"/>
    <x v="2"/>
    <n v="3.4670000000000001"/>
  </r>
  <r>
    <x v="262"/>
    <x v="2"/>
    <n v="3.4670000000000001"/>
  </r>
  <r>
    <x v="263"/>
    <x v="2"/>
    <n v="3.508"/>
  </r>
  <r>
    <x v="264"/>
    <x v="2"/>
    <n v="3.508"/>
  </r>
  <r>
    <x v="265"/>
    <x v="2"/>
    <n v="3.508"/>
  </r>
  <r>
    <x v="266"/>
    <x v="2"/>
    <n v="3.5169999999999999"/>
  </r>
  <r>
    <x v="267"/>
    <x v="2"/>
    <n v="3.5169999999999999"/>
  </r>
  <r>
    <x v="268"/>
    <x v="2"/>
    <n v="3.5169999999999999"/>
  </r>
  <r>
    <x v="269"/>
    <x v="2"/>
    <n v="3.5169999999999999"/>
  </r>
  <r>
    <x v="270"/>
    <x v="2"/>
    <n v="3.5289999999999999"/>
  </r>
  <r>
    <x v="271"/>
    <x v="2"/>
    <n v="3.5289999999999999"/>
  </r>
  <r>
    <x v="272"/>
    <x v="2"/>
    <n v="3.5289999999999999"/>
  </r>
  <r>
    <x v="273"/>
    <x v="2"/>
    <n v="3.5289999999999999"/>
  </r>
  <r>
    <x v="274"/>
    <x v="2"/>
    <n v="3.5289999999999999"/>
  </r>
  <r>
    <x v="0"/>
    <x v="3"/>
    <n v="3.4079999999999999"/>
  </r>
  <r>
    <x v="1"/>
    <x v="3"/>
    <n v="3.4169999999999998"/>
  </r>
  <r>
    <x v="2"/>
    <x v="3"/>
    <n v="3.4169999999999998"/>
  </r>
  <r>
    <x v="3"/>
    <x v="3"/>
    <n v="3.423"/>
  </r>
  <r>
    <x v="4"/>
    <x v="3"/>
    <n v="3.4329999999999998"/>
  </r>
  <r>
    <x v="5"/>
    <x v="3"/>
    <n v="3.4329999999999998"/>
  </r>
  <r>
    <x v="6"/>
    <x v="3"/>
    <n v="3.4329999999999998"/>
  </r>
  <r>
    <x v="7"/>
    <x v="3"/>
    <n v="3.4420000000000002"/>
  </r>
  <r>
    <x v="8"/>
    <x v="3"/>
    <n v="3.4769999999999999"/>
  </r>
  <r>
    <x v="9"/>
    <x v="3"/>
    <n v="3.49"/>
  </r>
  <r>
    <x v="10"/>
    <x v="3"/>
    <n v="3.49"/>
  </r>
  <r>
    <x v="11"/>
    <x v="3"/>
    <n v="3.4940000000000002"/>
  </r>
  <r>
    <x v="12"/>
    <x v="3"/>
    <n v="3.4940000000000002"/>
  </r>
  <r>
    <x v="13"/>
    <x v="3"/>
    <n v="3.5019999999999998"/>
  </r>
  <r>
    <x v="14"/>
    <x v="3"/>
    <n v="3.5019999999999998"/>
  </r>
  <r>
    <x v="15"/>
    <x v="3"/>
    <n v="3.5019999999999998"/>
  </r>
  <r>
    <x v="16"/>
    <x v="3"/>
    <n v="3.5019999999999998"/>
  </r>
  <r>
    <x v="17"/>
    <x v="3"/>
    <n v="3.508"/>
  </r>
  <r>
    <x v="18"/>
    <x v="3"/>
    <n v="3.5329999999999999"/>
  </r>
  <r>
    <x v="19"/>
    <x v="3"/>
    <n v="3.5329999999999999"/>
  </r>
  <r>
    <x v="20"/>
    <x v="3"/>
    <n v="3.5329999999999999"/>
  </r>
  <r>
    <x v="21"/>
    <x v="3"/>
    <n v="3.5379999999999998"/>
  </r>
  <r>
    <x v="22"/>
    <x v="3"/>
    <n v="3.5329999999999999"/>
  </r>
  <r>
    <x v="23"/>
    <x v="3"/>
    <n v="3.5710000000000002"/>
  </r>
  <r>
    <x v="24"/>
    <x v="3"/>
    <n v="3.5790000000000002"/>
  </r>
  <r>
    <x v="25"/>
    <x v="3"/>
    <n v="3.5880000000000001"/>
  </r>
  <r>
    <x v="26"/>
    <x v="3"/>
    <n v="3.5880000000000001"/>
  </r>
  <r>
    <x v="27"/>
    <x v="3"/>
    <n v="3.5880000000000001"/>
  </r>
  <r>
    <x v="28"/>
    <x v="3"/>
    <n v="3.629"/>
  </r>
  <r>
    <x v="29"/>
    <x v="3"/>
    <n v="3.6379999999999999"/>
  </r>
  <r>
    <x v="30"/>
    <x v="3"/>
    <n v="3.6480000000000001"/>
  </r>
  <r>
    <x v="31"/>
    <x v="3"/>
    <n v="3.669"/>
  </r>
  <r>
    <x v="32"/>
    <x v="3"/>
    <n v="3.673"/>
  </r>
  <r>
    <x v="33"/>
    <x v="3"/>
    <n v="3.6709999999999998"/>
  </r>
  <r>
    <x v="34"/>
    <x v="3"/>
    <n v="3.677"/>
  </r>
  <r>
    <x v="35"/>
    <x v="3"/>
    <n v="3.677"/>
  </r>
  <r>
    <x v="36"/>
    <x v="3"/>
    <n v="3.677"/>
  </r>
  <r>
    <x v="37"/>
    <x v="3"/>
    <n v="3.677"/>
  </r>
  <r>
    <x v="38"/>
    <x v="3"/>
    <n v="3.677"/>
  </r>
  <r>
    <x v="39"/>
    <x v="3"/>
    <n v="3.677"/>
  </r>
  <r>
    <x v="40"/>
    <x v="3"/>
    <n v="3.677"/>
  </r>
  <r>
    <x v="41"/>
    <x v="3"/>
    <n v="3.681"/>
  </r>
  <r>
    <x v="42"/>
    <x v="3"/>
    <n v="3.681"/>
  </r>
  <r>
    <x v="43"/>
    <x v="3"/>
    <n v="3.6840000000000002"/>
  </r>
  <r>
    <x v="44"/>
    <x v="3"/>
    <n v="3.6850000000000001"/>
  </r>
  <r>
    <x v="45"/>
    <x v="3"/>
    <n v="3.6850000000000001"/>
  </r>
  <r>
    <x v="46"/>
    <x v="3"/>
    <n v="3.694"/>
  </r>
  <r>
    <x v="47"/>
    <x v="3"/>
    <n v="3.694"/>
  </r>
  <r>
    <x v="48"/>
    <x v="3"/>
    <n v="3.694"/>
  </r>
  <r>
    <x v="49"/>
    <x v="3"/>
    <n v="3.694"/>
  </r>
  <r>
    <x v="50"/>
    <x v="3"/>
    <n v="3.694"/>
  </r>
  <r>
    <x v="51"/>
    <x v="3"/>
    <n v="3.7290000000000001"/>
  </r>
  <r>
    <x v="52"/>
    <x v="3"/>
    <n v="3.7309999999999999"/>
  </r>
  <r>
    <x v="53"/>
    <x v="3"/>
    <n v="3.7309999999999999"/>
  </r>
  <r>
    <x v="54"/>
    <x v="3"/>
    <n v="3.7309999999999999"/>
  </r>
  <r>
    <x v="55"/>
    <x v="3"/>
    <n v="3.7309999999999999"/>
  </r>
  <r>
    <x v="56"/>
    <x v="3"/>
    <n v="3.7570000000000001"/>
  </r>
  <r>
    <x v="57"/>
    <x v="3"/>
    <n v="3.7570000000000001"/>
  </r>
  <r>
    <x v="58"/>
    <x v="3"/>
    <n v="3.7570000000000001"/>
  </r>
  <r>
    <x v="59"/>
    <x v="3"/>
    <n v="3.7570000000000001"/>
  </r>
  <r>
    <x v="60"/>
    <x v="3"/>
    <n v="3.7610000000000001"/>
  </r>
  <r>
    <x v="61"/>
    <x v="3"/>
    <n v="3.786"/>
  </r>
  <r>
    <x v="62"/>
    <x v="3"/>
    <n v="3.798"/>
  </r>
  <r>
    <x v="63"/>
    <x v="3"/>
    <n v="3.8029999999999999"/>
  </r>
  <r>
    <x v="64"/>
    <x v="3"/>
    <n v="3.8109999999999999"/>
  </r>
  <r>
    <x v="65"/>
    <x v="3"/>
    <n v="3.8109999999999999"/>
  </r>
  <r>
    <x v="66"/>
    <x v="3"/>
    <n v="3.8279999999999998"/>
  </r>
  <r>
    <x v="67"/>
    <x v="3"/>
    <n v="3.8279999999999998"/>
  </r>
  <r>
    <x v="68"/>
    <x v="3"/>
    <n v="3.8439999999999999"/>
  </r>
  <r>
    <x v="69"/>
    <x v="3"/>
    <n v="3.8439999999999999"/>
  </r>
  <r>
    <x v="70"/>
    <x v="3"/>
    <n v="3.8439999999999999"/>
  </r>
  <r>
    <x v="71"/>
    <x v="3"/>
    <n v="3.8530000000000002"/>
  </r>
  <r>
    <x v="72"/>
    <x v="3"/>
    <n v="3.8530000000000002"/>
  </r>
  <r>
    <x v="73"/>
    <x v="3"/>
    <n v="3.8530000000000002"/>
  </r>
  <r>
    <x v="74"/>
    <x v="3"/>
    <n v="3.8650000000000002"/>
  </r>
  <r>
    <x v="75"/>
    <x v="3"/>
    <n v="3.8650000000000002"/>
  </r>
  <r>
    <x v="76"/>
    <x v="3"/>
    <n v="3.8849999999999998"/>
  </r>
  <r>
    <x v="77"/>
    <x v="3"/>
    <n v="3.895"/>
  </r>
  <r>
    <x v="78"/>
    <x v="3"/>
    <n v="3.895"/>
  </r>
  <r>
    <x v="79"/>
    <x v="3"/>
    <n v="3.8980000000000001"/>
  </r>
  <r>
    <x v="80"/>
    <x v="3"/>
    <n v="3.9020000000000001"/>
  </r>
  <r>
    <x v="81"/>
    <x v="3"/>
    <n v="3.9060000000000001"/>
  </r>
  <r>
    <x v="82"/>
    <x v="3"/>
    <n v="3.9060000000000001"/>
  </r>
  <r>
    <x v="83"/>
    <x v="3"/>
    <n v="3.948"/>
  </r>
  <r>
    <x v="84"/>
    <x v="3"/>
    <n v="3.948"/>
  </r>
  <r>
    <x v="85"/>
    <x v="3"/>
    <n v="3.956"/>
  </r>
  <r>
    <x v="86"/>
    <x v="3"/>
    <n v="3.968"/>
  </r>
  <r>
    <x v="87"/>
    <x v="3"/>
    <n v="3.9729999999999999"/>
  </r>
  <r>
    <x v="88"/>
    <x v="3"/>
    <n v="3.9729999999999999"/>
  </r>
  <r>
    <x v="89"/>
    <x v="3"/>
    <n v="3.9769999999999999"/>
  </r>
  <r>
    <x v="90"/>
    <x v="3"/>
    <n v="3.9769999999999999"/>
  </r>
  <r>
    <x v="91"/>
    <x v="3"/>
    <n v="3.9780000000000002"/>
  </r>
  <r>
    <x v="92"/>
    <x v="3"/>
    <n v="3.9830000000000001"/>
  </r>
  <r>
    <x v="93"/>
    <x v="3"/>
    <n v="3.9830000000000001"/>
  </r>
  <r>
    <x v="94"/>
    <x v="3"/>
    <n v="3.9830000000000001"/>
  </r>
  <r>
    <x v="95"/>
    <x v="3"/>
    <n v="3.9830000000000001"/>
  </r>
  <r>
    <x v="96"/>
    <x v="3"/>
    <n v="3.9830000000000001"/>
  </r>
  <r>
    <x v="97"/>
    <x v="3"/>
    <n v="3.9830000000000001"/>
  </r>
  <r>
    <x v="98"/>
    <x v="3"/>
    <n v="3.9929999999999999"/>
  </r>
  <r>
    <x v="99"/>
    <x v="3"/>
    <n v="3.9980000000000002"/>
  </r>
  <r>
    <x v="100"/>
    <x v="3"/>
    <n v="4.01"/>
  </r>
  <r>
    <x v="101"/>
    <x v="3"/>
    <n v="4.0289999999999999"/>
  </r>
  <r>
    <x v="102"/>
    <x v="3"/>
    <n v="4.0330000000000004"/>
  </r>
  <r>
    <x v="103"/>
    <x v="3"/>
    <n v="4.0410000000000004"/>
  </r>
  <r>
    <x v="104"/>
    <x v="3"/>
    <n v="4.048"/>
  </r>
  <r>
    <x v="105"/>
    <x v="3"/>
    <n v="4.0519999999999996"/>
  </r>
  <r>
    <x v="106"/>
    <x v="3"/>
    <n v="4.0640000000000001"/>
  </r>
  <r>
    <x v="107"/>
    <x v="3"/>
    <n v="4.077"/>
  </r>
  <r>
    <x v="108"/>
    <x v="3"/>
    <n v="4.077"/>
  </r>
  <r>
    <x v="109"/>
    <x v="3"/>
    <n v="4.077"/>
  </r>
  <r>
    <x v="110"/>
    <x v="3"/>
    <n v="4.077"/>
  </r>
  <r>
    <x v="111"/>
    <x v="3"/>
    <n v="4.077"/>
  </r>
  <r>
    <x v="112"/>
    <x v="3"/>
    <n v="4.0830000000000002"/>
  </r>
  <r>
    <x v="113"/>
    <x v="3"/>
    <n v="4.0830000000000002"/>
  </r>
  <r>
    <x v="114"/>
    <x v="3"/>
    <n v="4.0830000000000002"/>
  </r>
  <r>
    <x v="115"/>
    <x v="3"/>
    <n v="4.0830000000000002"/>
  </r>
  <r>
    <x v="116"/>
    <x v="3"/>
    <n v="4.0919999999999996"/>
  </r>
  <r>
    <x v="117"/>
    <x v="3"/>
    <n v="4.0999999999999996"/>
  </r>
  <r>
    <x v="118"/>
    <x v="3"/>
    <n v="4.1079999999999997"/>
  </r>
  <r>
    <x v="119"/>
    <x v="3"/>
    <n v="4.1130000000000004"/>
  </r>
  <r>
    <x v="120"/>
    <x v="3"/>
    <n v="4.1130000000000004"/>
  </r>
  <r>
    <x v="121"/>
    <x v="3"/>
    <n v="4.1130000000000004"/>
  </r>
  <r>
    <x v="122"/>
    <x v="3"/>
    <n v="4.1189999999999998"/>
  </r>
  <r>
    <x v="123"/>
    <x v="3"/>
    <n v="4.1189999999999998"/>
  </r>
  <r>
    <x v="124"/>
    <x v="3"/>
    <n v="4.2210000000000001"/>
  </r>
  <r>
    <x v="125"/>
    <x v="3"/>
    <n v="4.2629999999999999"/>
  </r>
  <r>
    <x v="126"/>
    <x v="3"/>
    <n v="4.2670000000000003"/>
  </r>
  <r>
    <x v="127"/>
    <x v="3"/>
    <n v="4.2880000000000003"/>
  </r>
  <r>
    <x v="128"/>
    <x v="3"/>
    <n v="4.2919999999999998"/>
  </r>
  <r>
    <x v="129"/>
    <x v="3"/>
    <n v="4.3040000000000003"/>
  </r>
  <r>
    <x v="130"/>
    <x v="3"/>
    <n v="4.3040000000000003"/>
  </r>
  <r>
    <x v="131"/>
    <x v="3"/>
    <n v="4.3040000000000003"/>
  </r>
  <r>
    <x v="132"/>
    <x v="3"/>
    <n v="4.3040000000000003"/>
  </r>
  <r>
    <x v="133"/>
    <x v="3"/>
    <n v="4.2919999999999998"/>
  </r>
  <r>
    <x v="134"/>
    <x v="3"/>
    <n v="4.2919999999999998"/>
  </r>
  <r>
    <x v="135"/>
    <x v="3"/>
    <n v="4.2919999999999998"/>
  </r>
  <r>
    <x v="136"/>
    <x v="3"/>
    <n v="4.2919999999999998"/>
  </r>
  <r>
    <x v="137"/>
    <x v="3"/>
    <n v="4.2919999999999998"/>
  </r>
  <r>
    <x v="138"/>
    <x v="3"/>
    <n v="4.2919999999999998"/>
  </r>
  <r>
    <x v="139"/>
    <x v="3"/>
    <n v="4.2960000000000003"/>
  </r>
  <r>
    <x v="140"/>
    <x v="3"/>
    <n v="4.2960000000000003"/>
  </r>
  <r>
    <x v="141"/>
    <x v="3"/>
    <n v="4.2949999999999999"/>
  </r>
  <r>
    <x v="142"/>
    <x v="3"/>
    <n v="4.2960000000000003"/>
  </r>
  <r>
    <x v="143"/>
    <x v="3"/>
    <n v="4.2949999999999999"/>
  </r>
  <r>
    <x v="144"/>
    <x v="3"/>
    <n v="4.2919999999999998"/>
  </r>
  <r>
    <x v="145"/>
    <x v="3"/>
    <n v="4.2919999999999998"/>
  </r>
  <r>
    <x v="146"/>
    <x v="3"/>
    <n v="4.2919999999999998"/>
  </r>
  <r>
    <x v="147"/>
    <x v="3"/>
    <n v="4.2919999999999998"/>
  </r>
  <r>
    <x v="148"/>
    <x v="3"/>
    <n v="4.2919999999999998"/>
  </r>
  <r>
    <x v="149"/>
    <x v="3"/>
    <n v="4.2919999999999998"/>
  </r>
  <r>
    <x v="150"/>
    <x v="3"/>
    <n v="4.2919999999999998"/>
  </r>
  <r>
    <x v="151"/>
    <x v="3"/>
    <n v="4.2919999999999998"/>
  </r>
  <r>
    <x v="152"/>
    <x v="3"/>
    <n v="4.2919999999999998"/>
  </r>
  <r>
    <x v="153"/>
    <x v="3"/>
    <n v="4.2919999999999998"/>
  </r>
  <r>
    <x v="154"/>
    <x v="3"/>
    <n v="4.2919999999999998"/>
  </r>
  <r>
    <x v="155"/>
    <x v="3"/>
    <n v="4.2919999999999998"/>
  </r>
  <r>
    <x v="156"/>
    <x v="3"/>
    <n v="4.2960000000000003"/>
  </r>
  <r>
    <x v="157"/>
    <x v="3"/>
    <n v="4.3499999999999996"/>
  </r>
  <r>
    <x v="158"/>
    <x v="3"/>
    <n v="4.3499999999999996"/>
  </r>
  <r>
    <x v="159"/>
    <x v="3"/>
    <n v="4.3499999999999996"/>
  </r>
  <r>
    <x v="160"/>
    <x v="3"/>
    <n v="4.3499999999999996"/>
  </r>
  <r>
    <x v="161"/>
    <x v="3"/>
    <n v="4.3419999999999996"/>
  </r>
  <r>
    <x v="162"/>
    <x v="3"/>
    <n v="4.3460000000000001"/>
  </r>
  <r>
    <x v="163"/>
    <x v="3"/>
    <n v="4.3460000000000001"/>
  </r>
  <r>
    <x v="164"/>
    <x v="3"/>
    <n v="4.3789999999999996"/>
  </r>
  <r>
    <x v="165"/>
    <x v="3"/>
    <n v="4.383"/>
  </r>
  <r>
    <x v="166"/>
    <x v="3"/>
    <n v="4.383"/>
  </r>
  <r>
    <x v="167"/>
    <x v="3"/>
    <n v="4.383"/>
  </r>
  <r>
    <x v="168"/>
    <x v="3"/>
    <n v="4.383"/>
  </r>
  <r>
    <x v="169"/>
    <x v="3"/>
    <n v="4.383"/>
  </r>
  <r>
    <x v="170"/>
    <x v="3"/>
    <n v="4.383"/>
  </r>
  <r>
    <x v="171"/>
    <x v="3"/>
    <n v="4.383"/>
  </r>
  <r>
    <x v="172"/>
    <x v="3"/>
    <n v="4.383"/>
  </r>
  <r>
    <x v="173"/>
    <x v="3"/>
    <n v="4.383"/>
  </r>
  <r>
    <x v="174"/>
    <x v="3"/>
    <n v="4.383"/>
  </r>
  <r>
    <x v="175"/>
    <x v="3"/>
    <n v="4.383"/>
  </r>
  <r>
    <x v="176"/>
    <x v="3"/>
    <n v="4.383"/>
  </r>
  <r>
    <x v="177"/>
    <x v="3"/>
    <n v="4.383"/>
  </r>
  <r>
    <x v="178"/>
    <x v="3"/>
    <n v="4.383"/>
  </r>
  <r>
    <x v="179"/>
    <x v="3"/>
    <n v="4.383"/>
  </r>
  <r>
    <x v="180"/>
    <x v="3"/>
    <n v="4.383"/>
  </r>
  <r>
    <x v="181"/>
    <x v="3"/>
    <n v="4.383"/>
  </r>
  <r>
    <x v="182"/>
    <x v="3"/>
    <n v="4.383"/>
  </r>
  <r>
    <x v="183"/>
    <x v="3"/>
    <n v="4.383"/>
  </r>
  <r>
    <x v="184"/>
    <x v="3"/>
    <n v="4.383"/>
  </r>
  <r>
    <x v="185"/>
    <x v="3"/>
    <n v="4.383"/>
  </r>
  <r>
    <x v="186"/>
    <x v="3"/>
    <n v="4.383"/>
  </r>
  <r>
    <x v="187"/>
    <x v="3"/>
    <n v="4.383"/>
  </r>
  <r>
    <x v="188"/>
    <x v="3"/>
    <n v="4.3879999999999999"/>
  </r>
  <r>
    <x v="189"/>
    <x v="3"/>
    <n v="4.3879999999999999"/>
  </r>
  <r>
    <x v="190"/>
    <x v="3"/>
    <n v="4.3890000000000002"/>
  </r>
  <r>
    <x v="191"/>
    <x v="3"/>
    <n v="4.3929999999999998"/>
  </r>
  <r>
    <x v="192"/>
    <x v="3"/>
    <n v="4.3890000000000002"/>
  </r>
  <r>
    <x v="193"/>
    <x v="3"/>
    <n v="4.3929999999999998"/>
  </r>
  <r>
    <x v="194"/>
    <x v="3"/>
    <n v="4.3929999999999998"/>
  </r>
  <r>
    <x v="195"/>
    <x v="3"/>
    <n v="4.3929999999999998"/>
  </r>
  <r>
    <x v="196"/>
    <x v="3"/>
    <n v="4.3929999999999998"/>
  </r>
  <r>
    <x v="197"/>
    <x v="3"/>
    <n v="4.3929999999999998"/>
  </r>
  <r>
    <x v="198"/>
    <x v="3"/>
    <n v="4.3929999999999998"/>
  </r>
  <r>
    <x v="199"/>
    <x v="3"/>
    <n v="4.3929999999999998"/>
  </r>
  <r>
    <x v="200"/>
    <x v="3"/>
    <n v="4.3929999999999998"/>
  </r>
  <r>
    <x v="201"/>
    <x v="3"/>
    <n v="4.3929999999999998"/>
  </r>
  <r>
    <x v="202"/>
    <x v="3"/>
    <n v="4.3979999999999997"/>
  </r>
  <r>
    <x v="203"/>
    <x v="3"/>
    <n v="4.3979999999999997"/>
  </r>
  <r>
    <x v="204"/>
    <x v="3"/>
    <n v="4.3979999999999997"/>
  </r>
  <r>
    <x v="205"/>
    <x v="3"/>
    <n v="4.3979999999999997"/>
  </r>
  <r>
    <x v="206"/>
    <x v="3"/>
    <n v="4.4029999999999996"/>
  </r>
  <r>
    <x v="207"/>
    <x v="3"/>
    <n v="4.4029999999999996"/>
  </r>
  <r>
    <x v="208"/>
    <x v="3"/>
    <n v="4.4029999999999996"/>
  </r>
  <r>
    <x v="209"/>
    <x v="3"/>
    <n v="4.4029999999999996"/>
  </r>
  <r>
    <x v="210"/>
    <x v="3"/>
    <n v="4.42"/>
  </r>
  <r>
    <x v="211"/>
    <x v="3"/>
    <n v="4.4240000000000004"/>
  </r>
  <r>
    <x v="212"/>
    <x v="3"/>
    <n v="4.4240000000000004"/>
  </r>
  <r>
    <x v="213"/>
    <x v="3"/>
    <n v="4.4279999999999999"/>
  </r>
  <r>
    <x v="214"/>
    <x v="3"/>
    <n v="4.4279999999999999"/>
  </r>
  <r>
    <x v="215"/>
    <x v="3"/>
    <n v="4.4279999999999999"/>
  </r>
  <r>
    <x v="216"/>
    <x v="3"/>
    <n v="4.4379999999999997"/>
  </r>
  <r>
    <x v="217"/>
    <x v="3"/>
    <n v="4.4820000000000002"/>
  </r>
  <r>
    <x v="218"/>
    <x v="3"/>
    <n v="4.5"/>
  </r>
  <r>
    <x v="219"/>
    <x v="3"/>
    <n v="4.5229999999999997"/>
  </r>
  <r>
    <x v="220"/>
    <x v="3"/>
    <n v="4.577"/>
  </r>
  <r>
    <x v="221"/>
    <x v="3"/>
    <n v="4.577"/>
  </r>
  <r>
    <x v="222"/>
    <x v="3"/>
    <n v="4.577"/>
  </r>
  <r>
    <x v="223"/>
    <x v="3"/>
    <n v="4.5810000000000004"/>
  </r>
  <r>
    <x v="224"/>
    <x v="3"/>
    <n v="4.585"/>
  </r>
  <r>
    <x v="225"/>
    <x v="3"/>
    <n v="4.5839999999999996"/>
  </r>
  <r>
    <x v="226"/>
    <x v="3"/>
    <n v="4.59"/>
  </r>
  <r>
    <x v="227"/>
    <x v="3"/>
    <n v="4.5940000000000003"/>
  </r>
  <r>
    <x v="228"/>
    <x v="3"/>
    <n v="4.5940000000000003"/>
  </r>
  <r>
    <x v="229"/>
    <x v="3"/>
    <n v="4.5810000000000004"/>
  </r>
  <r>
    <x v="230"/>
    <x v="3"/>
    <n v="4.6020000000000003"/>
  </r>
  <r>
    <x v="231"/>
    <x v="3"/>
    <n v="4.6079999999999997"/>
  </r>
  <r>
    <x v="232"/>
    <x v="3"/>
    <n v="4.62"/>
  </r>
  <r>
    <x v="233"/>
    <x v="3"/>
    <n v="4.62"/>
  </r>
  <r>
    <x v="234"/>
    <x v="3"/>
    <n v="4.62"/>
  </r>
  <r>
    <x v="235"/>
    <x v="3"/>
    <n v="4.62"/>
  </r>
  <r>
    <x v="236"/>
    <x v="3"/>
    <n v="4.62"/>
  </r>
  <r>
    <x v="237"/>
    <x v="3"/>
    <n v="4.62"/>
  </r>
  <r>
    <x v="238"/>
    <x v="3"/>
    <n v="4.62"/>
  </r>
  <r>
    <x v="239"/>
    <x v="3"/>
    <n v="4.6369999999999996"/>
  </r>
  <r>
    <x v="240"/>
    <x v="3"/>
    <n v="4.641"/>
  </r>
  <r>
    <x v="241"/>
    <x v="3"/>
    <n v="4.641"/>
  </r>
  <r>
    <x v="242"/>
    <x v="3"/>
    <n v="4.641"/>
  </r>
  <r>
    <x v="243"/>
    <x v="3"/>
    <n v="4.641"/>
  </r>
  <r>
    <x v="244"/>
    <x v="3"/>
    <n v="4.641"/>
  </r>
  <r>
    <x v="245"/>
    <x v="3"/>
    <n v="4.641"/>
  </r>
  <r>
    <x v="246"/>
    <x v="3"/>
    <n v="4.6159999999999997"/>
  </r>
  <r>
    <x v="247"/>
    <x v="3"/>
    <n v="4.641"/>
  </r>
  <r>
    <x v="248"/>
    <x v="3"/>
    <n v="4.641"/>
  </r>
  <r>
    <x v="249"/>
    <x v="3"/>
    <n v="4.641"/>
  </r>
  <r>
    <x v="250"/>
    <x v="3"/>
    <n v="4.6449999999999996"/>
  </r>
  <r>
    <x v="251"/>
    <x v="3"/>
    <n v="4.6449999999999996"/>
  </r>
  <r>
    <x v="252"/>
    <x v="3"/>
    <n v="4.6580000000000004"/>
  </r>
  <r>
    <x v="253"/>
    <x v="3"/>
    <n v="4.6580000000000004"/>
  </r>
  <r>
    <x v="254"/>
    <x v="3"/>
    <n v="4.6580000000000004"/>
  </r>
  <r>
    <x v="255"/>
    <x v="3"/>
    <n v="4.6580000000000004"/>
  </r>
  <r>
    <x v="256"/>
    <x v="3"/>
    <n v="4.6580000000000004"/>
  </r>
  <r>
    <x v="257"/>
    <x v="3"/>
    <n v="4.6580000000000004"/>
  </r>
  <r>
    <x v="258"/>
    <x v="3"/>
    <n v="4.6580000000000004"/>
  </r>
  <r>
    <x v="259"/>
    <x v="3"/>
    <n v="4.6580000000000004"/>
  </r>
  <r>
    <x v="260"/>
    <x v="3"/>
    <n v="4.6580000000000004"/>
  </r>
  <r>
    <x v="261"/>
    <x v="3"/>
    <n v="4.6580000000000004"/>
  </r>
  <r>
    <x v="262"/>
    <x v="3"/>
    <n v="4.6580000000000004"/>
  </r>
  <r>
    <x v="263"/>
    <x v="3"/>
    <n v="4.6580000000000004"/>
  </r>
  <r>
    <x v="264"/>
    <x v="3"/>
    <n v="4.6580000000000004"/>
  </r>
  <r>
    <x v="265"/>
    <x v="3"/>
    <n v="4.6580000000000004"/>
  </r>
  <r>
    <x v="266"/>
    <x v="3"/>
    <n v="4.6619999999999999"/>
  </r>
  <r>
    <x v="267"/>
    <x v="3"/>
    <n v="4.6660000000000004"/>
  </r>
  <r>
    <x v="268"/>
    <x v="3"/>
    <n v="4.6660000000000004"/>
  </r>
  <r>
    <x v="269"/>
    <x v="3"/>
    <n v="4.6660000000000004"/>
  </r>
  <r>
    <x v="270"/>
    <x v="3"/>
    <n v="4.6660000000000004"/>
  </r>
  <r>
    <x v="271"/>
    <x v="3"/>
    <n v="4.6660000000000004"/>
  </r>
  <r>
    <x v="272"/>
    <x v="3"/>
    <n v="4.6660000000000004"/>
  </r>
  <r>
    <x v="273"/>
    <x v="3"/>
    <n v="4.6660000000000004"/>
  </r>
  <r>
    <x v="274"/>
    <x v="3"/>
    <n v="4.6660000000000004"/>
  </r>
  <r>
    <x v="0"/>
    <x v="4"/>
    <n v="2.254"/>
  </r>
  <r>
    <x v="1"/>
    <x v="4"/>
    <n v="2.254"/>
  </r>
  <r>
    <x v="2"/>
    <x v="4"/>
    <n v="2.2559999999999998"/>
  </r>
  <r>
    <x v="3"/>
    <x v="4"/>
    <n v="2.302"/>
  </r>
  <r>
    <x v="4"/>
    <x v="4"/>
    <n v="2.302"/>
  </r>
  <r>
    <x v="5"/>
    <x v="4"/>
    <n v="2.302"/>
  </r>
  <r>
    <x v="6"/>
    <x v="4"/>
    <n v="2.302"/>
  </r>
  <r>
    <x v="7"/>
    <x v="4"/>
    <n v="2.302"/>
  </r>
  <r>
    <x v="8"/>
    <x v="4"/>
    <n v="2.3439999999999999"/>
  </r>
  <r>
    <x v="9"/>
    <x v="4"/>
    <n v="2.36"/>
  </r>
  <r>
    <x v="10"/>
    <x v="4"/>
    <n v="2.36"/>
  </r>
  <r>
    <x v="11"/>
    <x v="4"/>
    <n v="2.383"/>
  </r>
  <r>
    <x v="12"/>
    <x v="4"/>
    <n v="2.383"/>
  </r>
  <r>
    <x v="13"/>
    <x v="4"/>
    <n v="2.3849999999999998"/>
  </r>
  <r>
    <x v="14"/>
    <x v="4"/>
    <n v="2.39"/>
  </r>
  <r>
    <x v="15"/>
    <x v="4"/>
    <n v="2.39"/>
  </r>
  <r>
    <x v="16"/>
    <x v="4"/>
    <n v="2.39"/>
  </r>
  <r>
    <x v="17"/>
    <x v="4"/>
    <n v="2.39"/>
  </r>
  <r>
    <x v="18"/>
    <x v="4"/>
    <n v="2.448"/>
  </r>
  <r>
    <x v="19"/>
    <x v="4"/>
    <n v="2.448"/>
  </r>
  <r>
    <x v="20"/>
    <x v="4"/>
    <n v="2.44"/>
  </r>
  <r>
    <x v="21"/>
    <x v="4"/>
    <n v="2.44"/>
  </r>
  <r>
    <x v="22"/>
    <x v="4"/>
    <n v="2.46"/>
  </r>
  <r>
    <x v="23"/>
    <x v="4"/>
    <n v="2.504"/>
  </r>
  <r>
    <x v="24"/>
    <x v="4"/>
    <n v="2.5289999999999999"/>
  </r>
  <r>
    <x v="25"/>
    <x v="4"/>
    <n v="2.5379999999999998"/>
  </r>
  <r>
    <x v="26"/>
    <x v="4"/>
    <n v="2.5419999999999998"/>
  </r>
  <r>
    <x v="27"/>
    <x v="4"/>
    <n v="2.5499999999999998"/>
  </r>
  <r>
    <x v="28"/>
    <x v="4"/>
    <n v="2.5830000000000002"/>
  </r>
  <r>
    <x v="29"/>
    <x v="4"/>
    <n v="2.5830000000000002"/>
  </r>
  <r>
    <x v="30"/>
    <x v="4"/>
    <n v="2.621"/>
  </r>
  <r>
    <x v="31"/>
    <x v="4"/>
    <n v="2.65"/>
  </r>
  <r>
    <x v="32"/>
    <x v="4"/>
    <n v="2.6539999999999999"/>
  </r>
  <r>
    <x v="33"/>
    <x v="4"/>
    <n v="2.6629999999999998"/>
  </r>
  <r>
    <x v="34"/>
    <x v="4"/>
    <n v="2.673"/>
  </r>
  <r>
    <x v="35"/>
    <x v="4"/>
    <n v="2.673"/>
  </r>
  <r>
    <x v="36"/>
    <x v="4"/>
    <n v="2.69"/>
  </r>
  <r>
    <x v="37"/>
    <x v="4"/>
    <n v="2.69"/>
  </r>
  <r>
    <x v="38"/>
    <x v="4"/>
    <n v="2.69"/>
  </r>
  <r>
    <x v="39"/>
    <x v="4"/>
    <n v="2.698"/>
  </r>
  <r>
    <x v="40"/>
    <x v="4"/>
    <n v="2.698"/>
  </r>
  <r>
    <x v="41"/>
    <x v="4"/>
    <n v="2.702"/>
  </r>
  <r>
    <x v="42"/>
    <x v="4"/>
    <n v="2.702"/>
  </r>
  <r>
    <x v="43"/>
    <x v="4"/>
    <n v="2.7090000000000001"/>
  </r>
  <r>
    <x v="44"/>
    <x v="4"/>
    <n v="2.7040000000000002"/>
  </r>
  <r>
    <x v="45"/>
    <x v="4"/>
    <n v="2.7040000000000002"/>
  </r>
  <r>
    <x v="46"/>
    <x v="4"/>
    <n v="2.71"/>
  </r>
  <r>
    <x v="47"/>
    <x v="4"/>
    <n v="2.71"/>
  </r>
  <r>
    <x v="48"/>
    <x v="4"/>
    <n v="2.7229999999999999"/>
  </r>
  <r>
    <x v="49"/>
    <x v="4"/>
    <n v="2.7229999999999999"/>
  </r>
  <r>
    <x v="50"/>
    <x v="4"/>
    <n v="2.7229999999999999"/>
  </r>
  <r>
    <x v="51"/>
    <x v="4"/>
    <n v="2.738"/>
  </r>
  <r>
    <x v="52"/>
    <x v="4"/>
    <n v="2.738"/>
  </r>
  <r>
    <x v="53"/>
    <x v="4"/>
    <n v="2.738"/>
  </r>
  <r>
    <x v="54"/>
    <x v="4"/>
    <n v="2.738"/>
  </r>
  <r>
    <x v="55"/>
    <x v="4"/>
    <n v="2.738"/>
  </r>
  <r>
    <x v="56"/>
    <x v="4"/>
    <n v="2.7629999999999999"/>
  </r>
  <r>
    <x v="57"/>
    <x v="4"/>
    <n v="2.7629999999999999"/>
  </r>
  <r>
    <x v="58"/>
    <x v="4"/>
    <n v="2.7629999999999999"/>
  </r>
  <r>
    <x v="59"/>
    <x v="4"/>
    <n v="2.7749999999999999"/>
  </r>
  <r>
    <x v="60"/>
    <x v="4"/>
    <n v="2.7629999999999999"/>
  </r>
  <r>
    <x v="61"/>
    <x v="4"/>
    <n v="2.7730000000000001"/>
  </r>
  <r>
    <x v="62"/>
    <x v="4"/>
    <n v="2.7730000000000001"/>
  </r>
  <r>
    <x v="63"/>
    <x v="4"/>
    <n v="2.7730000000000001"/>
  </r>
  <r>
    <x v="64"/>
    <x v="4"/>
    <n v="2.7730000000000001"/>
  </r>
  <r>
    <x v="65"/>
    <x v="4"/>
    <n v="2.7730000000000001"/>
  </r>
  <r>
    <x v="66"/>
    <x v="4"/>
    <n v="2.79"/>
  </r>
  <r>
    <x v="67"/>
    <x v="4"/>
    <n v="2.7959999999999998"/>
  </r>
  <r>
    <x v="68"/>
    <x v="4"/>
    <n v="2.8130000000000002"/>
  </r>
  <r>
    <x v="69"/>
    <x v="4"/>
    <n v="2.8130000000000002"/>
  </r>
  <r>
    <x v="70"/>
    <x v="4"/>
    <n v="2.8290000000000002"/>
  </r>
  <r>
    <x v="71"/>
    <x v="4"/>
    <n v="2.8290000000000002"/>
  </r>
  <r>
    <x v="72"/>
    <x v="4"/>
    <n v="2.8380000000000001"/>
  </r>
  <r>
    <x v="73"/>
    <x v="4"/>
    <n v="2.8380000000000001"/>
  </r>
  <r>
    <x v="74"/>
    <x v="4"/>
    <n v="2.8380000000000001"/>
  </r>
  <r>
    <x v="75"/>
    <x v="4"/>
    <n v="2.8380000000000001"/>
  </r>
  <r>
    <x v="76"/>
    <x v="4"/>
    <n v="2.8380000000000001"/>
  </r>
  <r>
    <x v="77"/>
    <x v="4"/>
    <n v="2.8380000000000001"/>
  </r>
  <r>
    <x v="78"/>
    <x v="4"/>
    <n v="2.8380000000000001"/>
  </r>
  <r>
    <x v="79"/>
    <x v="4"/>
    <n v="2.8380000000000001"/>
  </r>
  <r>
    <x v="80"/>
    <x v="4"/>
    <n v="2.8380000000000001"/>
  </r>
  <r>
    <x v="81"/>
    <x v="4"/>
    <n v="2.8380000000000001"/>
  </r>
  <r>
    <x v="82"/>
    <x v="4"/>
    <n v="2.84"/>
  </r>
  <r>
    <x v="83"/>
    <x v="4"/>
    <n v="2.8730000000000002"/>
  </r>
  <r>
    <x v="84"/>
    <x v="4"/>
    <n v="2.8730000000000002"/>
  </r>
  <r>
    <x v="85"/>
    <x v="4"/>
    <n v="2.8730000000000002"/>
  </r>
  <r>
    <x v="86"/>
    <x v="4"/>
    <n v="2.8769999999999998"/>
  </r>
  <r>
    <x v="87"/>
    <x v="4"/>
    <n v="2.8769999999999998"/>
  </r>
  <r>
    <x v="88"/>
    <x v="4"/>
    <n v="2.8769999999999998"/>
  </r>
  <r>
    <x v="89"/>
    <x v="4"/>
    <n v="2.8769999999999998"/>
  </r>
  <r>
    <x v="90"/>
    <x v="4"/>
    <n v="2.8769999999999998"/>
  </r>
  <r>
    <x v="91"/>
    <x v="4"/>
    <n v="2.8940000000000001"/>
  </r>
  <r>
    <x v="92"/>
    <x v="4"/>
    <n v="2.8980000000000001"/>
  </r>
  <r>
    <x v="93"/>
    <x v="4"/>
    <n v="2.8980000000000001"/>
  </r>
  <r>
    <x v="94"/>
    <x v="4"/>
    <n v="2.8980000000000001"/>
  </r>
  <r>
    <x v="95"/>
    <x v="4"/>
    <n v="2.8980000000000001"/>
  </r>
  <r>
    <x v="96"/>
    <x v="4"/>
    <n v="2.8980000000000001"/>
  </r>
  <r>
    <x v="97"/>
    <x v="4"/>
    <n v="2.8980000000000001"/>
  </r>
  <r>
    <x v="98"/>
    <x v="4"/>
    <n v="2.9020000000000001"/>
  </r>
  <r>
    <x v="99"/>
    <x v="4"/>
    <n v="2.91"/>
  </r>
  <r>
    <x v="100"/>
    <x v="4"/>
    <n v="2.915"/>
  </r>
  <r>
    <x v="101"/>
    <x v="4"/>
    <n v="2.923"/>
  </r>
  <r>
    <x v="102"/>
    <x v="4"/>
    <n v="2.948"/>
  </r>
  <r>
    <x v="103"/>
    <x v="4"/>
    <n v="2.9580000000000002"/>
  </r>
  <r>
    <x v="104"/>
    <x v="4"/>
    <n v="2.9580000000000002"/>
  </r>
  <r>
    <x v="105"/>
    <x v="4"/>
    <n v="2.9580000000000002"/>
  </r>
  <r>
    <x v="106"/>
    <x v="4"/>
    <n v="2.9580000000000002"/>
  </r>
  <r>
    <x v="107"/>
    <x v="4"/>
    <n v="2.9580000000000002"/>
  </r>
  <r>
    <x v="108"/>
    <x v="4"/>
    <n v="2.95"/>
  </r>
  <r>
    <x v="109"/>
    <x v="4"/>
    <n v="2.9580000000000002"/>
  </r>
  <r>
    <x v="110"/>
    <x v="4"/>
    <n v="2.9580000000000002"/>
  </r>
  <r>
    <x v="111"/>
    <x v="4"/>
    <n v="2.9670000000000001"/>
  </r>
  <r>
    <x v="112"/>
    <x v="4"/>
    <n v="2.9710000000000001"/>
  </r>
  <r>
    <x v="113"/>
    <x v="4"/>
    <n v="2.9710000000000001"/>
  </r>
  <r>
    <x v="114"/>
    <x v="4"/>
    <n v="2.9710000000000001"/>
  </r>
  <r>
    <x v="115"/>
    <x v="4"/>
    <n v="2.9710000000000001"/>
  </r>
  <r>
    <x v="116"/>
    <x v="4"/>
    <n v="2.9710000000000001"/>
  </r>
  <r>
    <x v="117"/>
    <x v="4"/>
    <n v="2.9670000000000001"/>
  </r>
  <r>
    <x v="118"/>
    <x v="4"/>
    <n v="2.9710000000000001"/>
  </r>
  <r>
    <x v="119"/>
    <x v="4"/>
    <n v="2.9710000000000001"/>
  </r>
  <r>
    <x v="120"/>
    <x v="4"/>
    <n v="2.9710000000000001"/>
  </r>
  <r>
    <x v="121"/>
    <x v="4"/>
    <n v="2.996"/>
  </r>
  <r>
    <x v="122"/>
    <x v="4"/>
    <n v="2.996"/>
  </r>
  <r>
    <x v="123"/>
    <x v="4"/>
    <n v="2.996"/>
  </r>
  <r>
    <x v="124"/>
    <x v="4"/>
    <n v="3.0539999999999998"/>
  </r>
  <r>
    <x v="125"/>
    <x v="4"/>
    <n v="3.11"/>
  </r>
  <r>
    <x v="126"/>
    <x v="4"/>
    <n v="3.085"/>
  </r>
  <r>
    <x v="127"/>
    <x v="4"/>
    <n v="3.077"/>
  </r>
  <r>
    <x v="128"/>
    <x v="4"/>
    <n v="3.0960000000000001"/>
  </r>
  <r>
    <x v="129"/>
    <x v="4"/>
    <n v="3.129"/>
  </r>
  <r>
    <x v="130"/>
    <x v="4"/>
    <n v="3.1040000000000001"/>
  </r>
  <r>
    <x v="131"/>
    <x v="4"/>
    <n v="3.1040000000000001"/>
  </r>
  <r>
    <x v="132"/>
    <x v="4"/>
    <n v="3.11"/>
  </r>
  <r>
    <x v="133"/>
    <x v="4"/>
    <n v="3.11"/>
  </r>
  <r>
    <x v="134"/>
    <x v="4"/>
    <n v="3.11"/>
  </r>
  <r>
    <x v="135"/>
    <x v="4"/>
    <n v="3.11"/>
  </r>
  <r>
    <x v="136"/>
    <x v="4"/>
    <n v="3.11"/>
  </r>
  <r>
    <x v="137"/>
    <x v="4"/>
    <n v="3.11"/>
  </r>
  <r>
    <x v="138"/>
    <x v="4"/>
    <n v="3.1190000000000002"/>
  </r>
  <r>
    <x v="139"/>
    <x v="4"/>
    <n v="3.1190000000000002"/>
  </r>
  <r>
    <x v="140"/>
    <x v="4"/>
    <n v="3.1190000000000002"/>
  </r>
  <r>
    <x v="141"/>
    <x v="4"/>
    <n v="3.1339999999999999"/>
  </r>
  <r>
    <x v="142"/>
    <x v="4"/>
    <n v="3.1190000000000002"/>
  </r>
  <r>
    <x v="143"/>
    <x v="4"/>
    <n v="3.1429999999999998"/>
  </r>
  <r>
    <x v="144"/>
    <x v="4"/>
    <n v="3.1269999999999998"/>
  </r>
  <r>
    <x v="145"/>
    <x v="4"/>
    <n v="3.1269999999999998"/>
  </r>
  <r>
    <x v="146"/>
    <x v="4"/>
    <n v="3.1269999999999998"/>
  </r>
  <r>
    <x v="147"/>
    <x v="4"/>
    <n v="3.1480000000000001"/>
  </r>
  <r>
    <x v="148"/>
    <x v="4"/>
    <n v="3.1480000000000001"/>
  </r>
  <r>
    <x v="149"/>
    <x v="4"/>
    <n v="3.1480000000000001"/>
  </r>
  <r>
    <x v="150"/>
    <x v="4"/>
    <n v="3.1480000000000001"/>
  </r>
  <r>
    <x v="151"/>
    <x v="4"/>
    <n v="3.1480000000000001"/>
  </r>
  <r>
    <x v="152"/>
    <x v="4"/>
    <n v="3.15"/>
  </r>
  <r>
    <x v="153"/>
    <x v="4"/>
    <n v="3.15"/>
  </r>
  <r>
    <x v="154"/>
    <x v="4"/>
    <n v="3.15"/>
  </r>
  <r>
    <x v="155"/>
    <x v="4"/>
    <n v="3.15"/>
  </r>
  <r>
    <x v="156"/>
    <x v="4"/>
    <n v="3.1579999999999999"/>
  </r>
  <r>
    <x v="157"/>
    <x v="4"/>
    <n v="3.1709999999999998"/>
  </r>
  <r>
    <x v="158"/>
    <x v="4"/>
    <n v="3.1709999999999998"/>
  </r>
  <r>
    <x v="159"/>
    <x v="4"/>
    <n v="3.1709999999999998"/>
  </r>
  <r>
    <x v="160"/>
    <x v="4"/>
    <n v="3.1709999999999998"/>
  </r>
  <r>
    <x v="161"/>
    <x v="4"/>
    <n v="3.1880000000000002"/>
  </r>
  <r>
    <x v="162"/>
    <x v="4"/>
    <n v="3.2"/>
  </r>
  <r>
    <x v="163"/>
    <x v="4"/>
    <n v="3.2"/>
  </r>
  <r>
    <x v="164"/>
    <x v="4"/>
    <n v="3.2210000000000001"/>
  </r>
  <r>
    <x v="165"/>
    <x v="4"/>
    <n v="3.242"/>
  </r>
  <r>
    <x v="166"/>
    <x v="4"/>
    <n v="3.242"/>
  </r>
  <r>
    <x v="167"/>
    <x v="4"/>
    <n v="3.2829999999999999"/>
  </r>
  <r>
    <x v="168"/>
    <x v="4"/>
    <n v="3.2829999999999999"/>
  </r>
  <r>
    <x v="169"/>
    <x v="4"/>
    <n v="3.2829999999999999"/>
  </r>
  <r>
    <x v="170"/>
    <x v="4"/>
    <n v="3.2829999999999999"/>
  </r>
  <r>
    <x v="171"/>
    <x v="4"/>
    <n v="3.2879999999999998"/>
  </r>
  <r>
    <x v="172"/>
    <x v="4"/>
    <n v="3.3"/>
  </r>
  <r>
    <x v="173"/>
    <x v="4"/>
    <n v="3.3"/>
  </r>
  <r>
    <x v="174"/>
    <x v="4"/>
    <n v="3.3"/>
  </r>
  <r>
    <x v="175"/>
    <x v="4"/>
    <n v="3.3"/>
  </r>
  <r>
    <x v="176"/>
    <x v="4"/>
    <n v="3.3"/>
  </r>
  <r>
    <x v="177"/>
    <x v="4"/>
    <n v="3.3"/>
  </r>
  <r>
    <x v="178"/>
    <x v="4"/>
    <n v="3.3"/>
  </r>
  <r>
    <x v="179"/>
    <x v="4"/>
    <n v="3.3"/>
  </r>
  <r>
    <x v="180"/>
    <x v="4"/>
    <n v="3.3"/>
  </r>
  <r>
    <x v="181"/>
    <x v="4"/>
    <n v="3.3079999999999998"/>
  </r>
  <r>
    <x v="182"/>
    <x v="4"/>
    <n v="3.3079999999999998"/>
  </r>
  <r>
    <x v="183"/>
    <x v="4"/>
    <n v="3.3079999999999998"/>
  </r>
  <r>
    <x v="184"/>
    <x v="4"/>
    <n v="3.3079999999999998"/>
  </r>
  <r>
    <x v="185"/>
    <x v="4"/>
    <n v="3.3079999999999998"/>
  </r>
  <r>
    <x v="186"/>
    <x v="4"/>
    <n v="3.3079999999999998"/>
  </r>
  <r>
    <x v="187"/>
    <x v="4"/>
    <n v="3.3079999999999998"/>
  </r>
  <r>
    <x v="188"/>
    <x v="4"/>
    <n v="3.3079999999999998"/>
  </r>
  <r>
    <x v="189"/>
    <x v="4"/>
    <n v="3.3130000000000002"/>
  </r>
  <r>
    <x v="190"/>
    <x v="4"/>
    <n v="3.3130000000000002"/>
  </r>
  <r>
    <x v="191"/>
    <x v="4"/>
    <n v="3.3540000000000001"/>
  </r>
  <r>
    <x v="192"/>
    <x v="4"/>
    <n v="3.3130000000000002"/>
  </r>
  <r>
    <x v="193"/>
    <x v="4"/>
    <n v="3.3540000000000001"/>
  </r>
  <r>
    <x v="194"/>
    <x v="4"/>
    <n v="3.3580000000000001"/>
  </r>
  <r>
    <x v="195"/>
    <x v="4"/>
    <n v="3.3580000000000001"/>
  </r>
  <r>
    <x v="196"/>
    <x v="4"/>
    <n v="3.3580000000000001"/>
  </r>
  <r>
    <x v="197"/>
    <x v="4"/>
    <n v="3.3580000000000001"/>
  </r>
  <r>
    <x v="198"/>
    <x v="4"/>
    <n v="3.3580000000000001"/>
  </r>
  <r>
    <x v="199"/>
    <x v="4"/>
    <n v="3.367"/>
  </r>
  <r>
    <x v="200"/>
    <x v="4"/>
    <n v="3.367"/>
  </r>
  <r>
    <x v="201"/>
    <x v="4"/>
    <n v="3.367"/>
  </r>
  <r>
    <x v="202"/>
    <x v="4"/>
    <n v="3.3690000000000002"/>
  </r>
  <r>
    <x v="203"/>
    <x v="4"/>
    <n v="3.3690000000000002"/>
  </r>
  <r>
    <x v="204"/>
    <x v="4"/>
    <n v="3.3690000000000002"/>
  </r>
  <r>
    <x v="205"/>
    <x v="4"/>
    <n v="3.3690000000000002"/>
  </r>
  <r>
    <x v="206"/>
    <x v="4"/>
    <n v="3.3690000000000002"/>
  </r>
  <r>
    <x v="207"/>
    <x v="4"/>
    <n v="3.3690000000000002"/>
  </r>
  <r>
    <x v="208"/>
    <x v="4"/>
    <n v="3.3690000000000002"/>
  </r>
  <r>
    <x v="209"/>
    <x v="4"/>
    <n v="3.3690000000000002"/>
  </r>
  <r>
    <x v="210"/>
    <x v="4"/>
    <n v="3.3690000000000002"/>
  </r>
  <r>
    <x v="211"/>
    <x v="4"/>
    <n v="3.3690000000000002"/>
  </r>
  <r>
    <x v="212"/>
    <x v="4"/>
    <n v="3.3690000000000002"/>
  </r>
  <r>
    <x v="213"/>
    <x v="4"/>
    <n v="3.3690000000000002"/>
  </r>
  <r>
    <x v="214"/>
    <x v="4"/>
    <n v="3.3690000000000002"/>
  </r>
  <r>
    <x v="215"/>
    <x v="4"/>
    <n v="3.3690000000000002"/>
  </r>
  <r>
    <x v="216"/>
    <x v="4"/>
    <n v="3.3849999999999998"/>
  </r>
  <r>
    <x v="217"/>
    <x v="4"/>
    <n v="3.3980000000000001"/>
  </r>
  <r>
    <x v="218"/>
    <x v="4"/>
    <n v="3.3980000000000001"/>
  </r>
  <r>
    <x v="219"/>
    <x v="4"/>
    <n v="3.4060000000000001"/>
  </r>
  <r>
    <x v="220"/>
    <x v="4"/>
    <n v="3.423"/>
  </r>
  <r>
    <x v="221"/>
    <x v="4"/>
    <n v="3.431"/>
  </r>
  <r>
    <x v="222"/>
    <x v="4"/>
    <n v="3.4350000000000001"/>
  </r>
  <r>
    <x v="223"/>
    <x v="4"/>
    <n v="3.44"/>
  </r>
  <r>
    <x v="224"/>
    <x v="4"/>
    <n v="3.44"/>
  </r>
  <r>
    <x v="225"/>
    <x v="4"/>
    <n v="3.4420000000000002"/>
  </r>
  <r>
    <x v="226"/>
    <x v="4"/>
    <n v="3.4540000000000002"/>
  </r>
  <r>
    <x v="227"/>
    <x v="4"/>
    <n v="3.4580000000000002"/>
  </r>
  <r>
    <x v="228"/>
    <x v="4"/>
    <n v="3.4580000000000002"/>
  </r>
  <r>
    <x v="229"/>
    <x v="4"/>
    <n v="3.45"/>
  </r>
  <r>
    <x v="230"/>
    <x v="4"/>
    <n v="3.4580000000000002"/>
  </r>
  <r>
    <x v="231"/>
    <x v="4"/>
    <n v="3.4670000000000001"/>
  </r>
  <r>
    <x v="232"/>
    <x v="4"/>
    <n v="3.4710000000000001"/>
  </r>
  <r>
    <x v="233"/>
    <x v="4"/>
    <n v="3.4710000000000001"/>
  </r>
  <r>
    <x v="234"/>
    <x v="4"/>
    <n v="3.4710000000000001"/>
  </r>
  <r>
    <x v="235"/>
    <x v="4"/>
    <n v="3.4710000000000001"/>
  </r>
  <r>
    <x v="236"/>
    <x v="4"/>
    <n v="3.4710000000000001"/>
  </r>
  <r>
    <x v="237"/>
    <x v="4"/>
    <n v="3.496"/>
  </r>
  <r>
    <x v="238"/>
    <x v="4"/>
    <n v="3.496"/>
  </r>
  <r>
    <x v="239"/>
    <x v="4"/>
    <n v="3.5"/>
  </r>
  <r>
    <x v="240"/>
    <x v="4"/>
    <n v="3.5"/>
  </r>
  <r>
    <x v="241"/>
    <x v="4"/>
    <n v="3.5"/>
  </r>
  <r>
    <x v="242"/>
    <x v="4"/>
    <n v="3.5"/>
  </r>
  <r>
    <x v="243"/>
    <x v="4"/>
    <n v="3.5"/>
  </r>
  <r>
    <x v="244"/>
    <x v="4"/>
    <n v="3.5"/>
  </r>
  <r>
    <x v="245"/>
    <x v="4"/>
    <n v="3.5"/>
  </r>
  <r>
    <x v="246"/>
    <x v="4"/>
    <n v="3.5"/>
  </r>
  <r>
    <x v="247"/>
    <x v="4"/>
    <n v="3.5"/>
  </r>
  <r>
    <x v="248"/>
    <x v="4"/>
    <n v="3.5"/>
  </r>
  <r>
    <x v="249"/>
    <x v="4"/>
    <n v="3.5"/>
  </r>
  <r>
    <x v="250"/>
    <x v="4"/>
    <n v="3.5"/>
  </r>
  <r>
    <x v="251"/>
    <x v="4"/>
    <n v="3.5"/>
  </r>
  <r>
    <x v="252"/>
    <x v="4"/>
    <n v="3.508"/>
  </r>
  <r>
    <x v="253"/>
    <x v="4"/>
    <n v="3.508"/>
  </r>
  <r>
    <x v="254"/>
    <x v="4"/>
    <n v="3.5379999999999998"/>
  </r>
  <r>
    <x v="255"/>
    <x v="4"/>
    <n v="3.5710000000000002"/>
  </r>
  <r>
    <x v="256"/>
    <x v="4"/>
    <n v="3.5710000000000002"/>
  </r>
  <r>
    <x v="257"/>
    <x v="4"/>
    <n v="3.5710000000000002"/>
  </r>
  <r>
    <x v="258"/>
    <x v="4"/>
    <n v="3.5710000000000002"/>
  </r>
  <r>
    <x v="259"/>
    <x v="4"/>
    <n v="3.5710000000000002"/>
  </r>
  <r>
    <x v="260"/>
    <x v="4"/>
    <n v="3.5710000000000002"/>
  </r>
  <r>
    <x v="261"/>
    <x v="4"/>
    <n v="3.5710000000000002"/>
  </r>
  <r>
    <x v="262"/>
    <x v="4"/>
    <n v="3.5710000000000002"/>
  </r>
  <r>
    <x v="263"/>
    <x v="4"/>
    <n v="3.613"/>
  </r>
  <r>
    <x v="264"/>
    <x v="4"/>
    <n v="3.613"/>
  </r>
  <r>
    <x v="265"/>
    <x v="4"/>
    <n v="3.613"/>
  </r>
  <r>
    <x v="266"/>
    <x v="4"/>
    <n v="3.621"/>
  </r>
  <r>
    <x v="267"/>
    <x v="4"/>
    <n v="3.621"/>
  </r>
  <r>
    <x v="268"/>
    <x v="4"/>
    <n v="3.621"/>
  </r>
  <r>
    <x v="269"/>
    <x v="4"/>
    <n v="3.621"/>
  </r>
  <r>
    <x v="270"/>
    <x v="4"/>
    <n v="3.633"/>
  </r>
  <r>
    <x v="271"/>
    <x v="4"/>
    <n v="3.633"/>
  </r>
  <r>
    <x v="272"/>
    <x v="4"/>
    <n v="3.633"/>
  </r>
  <r>
    <x v="273"/>
    <x v="4"/>
    <n v="3.633"/>
  </r>
  <r>
    <x v="274"/>
    <x v="4"/>
    <n v="3.633"/>
  </r>
  <r>
    <x v="0"/>
    <x v="5"/>
    <n v="3.5"/>
  </r>
  <r>
    <x v="1"/>
    <x v="5"/>
    <n v="3.508"/>
  </r>
  <r>
    <x v="2"/>
    <x v="5"/>
    <n v="3.508"/>
  </r>
  <r>
    <x v="3"/>
    <x v="5"/>
    <n v="3.5129999999999999"/>
  </r>
  <r>
    <x v="4"/>
    <x v="5"/>
    <n v="3.5169999999999999"/>
  </r>
  <r>
    <x v="5"/>
    <x v="5"/>
    <n v="3.5169999999999999"/>
  </r>
  <r>
    <x v="6"/>
    <x v="5"/>
    <n v="3.5169999999999999"/>
  </r>
  <r>
    <x v="7"/>
    <x v="5"/>
    <n v="3.5169999999999999"/>
  </r>
  <r>
    <x v="8"/>
    <x v="5"/>
    <n v="3.55"/>
  </r>
  <r>
    <x v="9"/>
    <x v="5"/>
    <n v="3.5579999999999998"/>
  </r>
  <r>
    <x v="10"/>
    <x v="5"/>
    <n v="3.5579999999999998"/>
  </r>
  <r>
    <x v="11"/>
    <x v="5"/>
    <n v="3.5670000000000002"/>
  </r>
  <r>
    <x v="12"/>
    <x v="5"/>
    <n v="3.5670000000000002"/>
  </r>
  <r>
    <x v="13"/>
    <x v="5"/>
    <n v="3.5750000000000002"/>
  </r>
  <r>
    <x v="14"/>
    <x v="5"/>
    <n v="3.5750000000000002"/>
  </r>
  <r>
    <x v="15"/>
    <x v="5"/>
    <n v="3.5750000000000002"/>
  </r>
  <r>
    <x v="16"/>
    <x v="5"/>
    <n v="3.59"/>
  </r>
  <r>
    <x v="17"/>
    <x v="5"/>
    <n v="3.581"/>
  </r>
  <r>
    <x v="18"/>
    <x v="5"/>
    <n v="3.6040000000000001"/>
  </r>
  <r>
    <x v="19"/>
    <x v="5"/>
    <n v="3.613"/>
  </r>
  <r>
    <x v="20"/>
    <x v="5"/>
    <n v="3.613"/>
  </r>
  <r>
    <x v="21"/>
    <x v="5"/>
    <n v="3.617"/>
  </r>
  <r>
    <x v="22"/>
    <x v="5"/>
    <n v="3.617"/>
  </r>
  <r>
    <x v="23"/>
    <x v="5"/>
    <n v="3.6480000000000001"/>
  </r>
  <r>
    <x v="24"/>
    <x v="5"/>
    <n v="3.6560000000000001"/>
  </r>
  <r>
    <x v="25"/>
    <x v="5"/>
    <n v="3.665"/>
  </r>
  <r>
    <x v="26"/>
    <x v="5"/>
    <n v="3.6669999999999998"/>
  </r>
  <r>
    <x v="27"/>
    <x v="5"/>
    <n v="3.6669999999999998"/>
  </r>
  <r>
    <x v="28"/>
    <x v="5"/>
    <n v="3.7130000000000001"/>
  </r>
  <r>
    <x v="29"/>
    <x v="5"/>
    <n v="3.7189999999999999"/>
  </r>
  <r>
    <x v="30"/>
    <x v="5"/>
    <n v="3.7349999999999999"/>
  </r>
  <r>
    <x v="31"/>
    <x v="5"/>
    <n v="3.7519999999999998"/>
  </r>
  <r>
    <x v="32"/>
    <x v="5"/>
    <n v="3.76"/>
  </r>
  <r>
    <x v="33"/>
    <x v="5"/>
    <n v="3.76"/>
  </r>
  <r>
    <x v="34"/>
    <x v="5"/>
    <n v="3.7650000000000001"/>
  </r>
  <r>
    <x v="35"/>
    <x v="5"/>
    <n v="3.7650000000000001"/>
  </r>
  <r>
    <x v="36"/>
    <x v="5"/>
    <n v="3.7730000000000001"/>
  </r>
  <r>
    <x v="37"/>
    <x v="5"/>
    <n v="3.7730000000000001"/>
  </r>
  <r>
    <x v="38"/>
    <x v="5"/>
    <n v="3.7730000000000001"/>
  </r>
  <r>
    <x v="39"/>
    <x v="5"/>
    <n v="3.7730000000000001"/>
  </r>
  <r>
    <x v="40"/>
    <x v="5"/>
    <n v="3.7730000000000001"/>
  </r>
  <r>
    <x v="41"/>
    <x v="5"/>
    <n v="3.7770000000000001"/>
  </r>
  <r>
    <x v="42"/>
    <x v="5"/>
    <n v="3.7810000000000001"/>
  </r>
  <r>
    <x v="43"/>
    <x v="5"/>
    <n v="3.786"/>
  </r>
  <r>
    <x v="44"/>
    <x v="5"/>
    <n v="3.7879999999999998"/>
  </r>
  <r>
    <x v="45"/>
    <x v="5"/>
    <n v="3.7879999999999998"/>
  </r>
  <r>
    <x v="46"/>
    <x v="5"/>
    <n v="3.7919999999999998"/>
  </r>
  <r>
    <x v="47"/>
    <x v="5"/>
    <n v="3.7919999999999998"/>
  </r>
  <r>
    <x v="48"/>
    <x v="5"/>
    <n v="3.7919999999999998"/>
  </r>
  <r>
    <x v="49"/>
    <x v="5"/>
    <n v="3.7919999999999998"/>
  </r>
  <r>
    <x v="50"/>
    <x v="5"/>
    <n v="3.7919999999999998"/>
  </r>
  <r>
    <x v="51"/>
    <x v="5"/>
    <n v="3.8170000000000002"/>
  </r>
  <r>
    <x v="52"/>
    <x v="5"/>
    <n v="3.8170000000000002"/>
  </r>
  <r>
    <x v="53"/>
    <x v="5"/>
    <n v="3.8170000000000002"/>
  </r>
  <r>
    <x v="54"/>
    <x v="5"/>
    <n v="3.8170000000000002"/>
  </r>
  <r>
    <x v="55"/>
    <x v="5"/>
    <n v="3.8170000000000002"/>
  </r>
  <r>
    <x v="56"/>
    <x v="5"/>
    <n v="3.827"/>
  </r>
  <r>
    <x v="57"/>
    <x v="5"/>
    <n v="3.827"/>
  </r>
  <r>
    <x v="58"/>
    <x v="5"/>
    <n v="3.827"/>
  </r>
  <r>
    <x v="59"/>
    <x v="5"/>
    <n v="3.827"/>
  </r>
  <r>
    <x v="60"/>
    <x v="5"/>
    <n v="3.827"/>
  </r>
  <r>
    <x v="61"/>
    <x v="5"/>
    <n v="3.8450000000000002"/>
  </r>
  <r>
    <x v="62"/>
    <x v="5"/>
    <n v="3.8580000000000001"/>
  </r>
  <r>
    <x v="63"/>
    <x v="5"/>
    <n v="3.8620000000000001"/>
  </r>
  <r>
    <x v="64"/>
    <x v="5"/>
    <n v="3.87"/>
  </r>
  <r>
    <x v="65"/>
    <x v="5"/>
    <n v="3.87"/>
  </r>
  <r>
    <x v="66"/>
    <x v="5"/>
    <n v="3.891"/>
  </r>
  <r>
    <x v="67"/>
    <x v="5"/>
    <n v="3.891"/>
  </r>
  <r>
    <x v="68"/>
    <x v="5"/>
    <n v="3.9039999999999999"/>
  </r>
  <r>
    <x v="69"/>
    <x v="5"/>
    <n v="3.9079999999999999"/>
  </r>
  <r>
    <x v="70"/>
    <x v="5"/>
    <n v="3.9079999999999999"/>
  </r>
  <r>
    <x v="71"/>
    <x v="5"/>
    <n v="3.9119999999999999"/>
  </r>
  <r>
    <x v="72"/>
    <x v="5"/>
    <n v="3.9159999999999999"/>
  </r>
  <r>
    <x v="73"/>
    <x v="5"/>
    <n v="3.9159999999999999"/>
  </r>
  <r>
    <x v="74"/>
    <x v="5"/>
    <n v="3.9289999999999998"/>
  </r>
  <r>
    <x v="75"/>
    <x v="5"/>
    <n v="3.9289999999999998"/>
  </r>
  <r>
    <x v="76"/>
    <x v="5"/>
    <n v="3.95"/>
  </r>
  <r>
    <x v="77"/>
    <x v="5"/>
    <n v="3.9620000000000002"/>
  </r>
  <r>
    <x v="78"/>
    <x v="5"/>
    <n v="3.9620000000000002"/>
  </r>
  <r>
    <x v="79"/>
    <x v="5"/>
    <n v="3.9660000000000002"/>
  </r>
  <r>
    <x v="80"/>
    <x v="5"/>
    <n v="3.97"/>
  </r>
  <r>
    <x v="81"/>
    <x v="5"/>
    <n v="3.9750000000000001"/>
  </r>
  <r>
    <x v="82"/>
    <x v="5"/>
    <n v="3.9750000000000001"/>
  </r>
  <r>
    <x v="83"/>
    <x v="5"/>
    <n v="4.0119999999999996"/>
  </r>
  <r>
    <x v="84"/>
    <x v="5"/>
    <n v="4.0119999999999996"/>
  </r>
  <r>
    <x v="85"/>
    <x v="5"/>
    <n v="4.0199999999999996"/>
  </r>
  <r>
    <x v="86"/>
    <x v="5"/>
    <n v="4.0289999999999999"/>
  </r>
  <r>
    <x v="87"/>
    <x v="5"/>
    <n v="4.0330000000000004"/>
  </r>
  <r>
    <x v="88"/>
    <x v="5"/>
    <n v="4.0330000000000004"/>
  </r>
  <r>
    <x v="89"/>
    <x v="5"/>
    <n v="4.0350000000000001"/>
  </r>
  <r>
    <x v="90"/>
    <x v="5"/>
    <n v="4.0350000000000001"/>
  </r>
  <r>
    <x v="91"/>
    <x v="5"/>
    <n v="4.0369999999999999"/>
  </r>
  <r>
    <x v="92"/>
    <x v="5"/>
    <n v="4.0410000000000004"/>
  </r>
  <r>
    <x v="93"/>
    <x v="5"/>
    <n v="4.0410000000000004"/>
  </r>
  <r>
    <x v="94"/>
    <x v="5"/>
    <n v="4.0410000000000004"/>
  </r>
  <r>
    <x v="95"/>
    <x v="5"/>
    <n v="4.0410000000000004"/>
  </r>
  <r>
    <x v="96"/>
    <x v="5"/>
    <n v="4.0410000000000004"/>
  </r>
  <r>
    <x v="97"/>
    <x v="5"/>
    <n v="4.0410000000000004"/>
  </r>
  <r>
    <x v="98"/>
    <x v="5"/>
    <n v="4.0510000000000002"/>
  </r>
  <r>
    <x v="99"/>
    <x v="5"/>
    <n v="4.0590000000000002"/>
  </r>
  <r>
    <x v="100"/>
    <x v="5"/>
    <n v="4.0720000000000001"/>
  </r>
  <r>
    <x v="101"/>
    <x v="5"/>
    <n v="4.0860000000000003"/>
  </r>
  <r>
    <x v="102"/>
    <x v="5"/>
    <n v="4.09"/>
  </r>
  <r>
    <x v="103"/>
    <x v="5"/>
    <n v="4.0949999999999998"/>
  </r>
  <r>
    <x v="104"/>
    <x v="5"/>
    <n v="4.101"/>
  </r>
  <r>
    <x v="105"/>
    <x v="5"/>
    <n v="4.1050000000000004"/>
  </r>
  <r>
    <x v="106"/>
    <x v="5"/>
    <n v="4.1180000000000003"/>
  </r>
  <r>
    <x v="107"/>
    <x v="5"/>
    <n v="4.13"/>
  </r>
  <r>
    <x v="108"/>
    <x v="5"/>
    <n v="4.1340000000000003"/>
  </r>
  <r>
    <x v="109"/>
    <x v="5"/>
    <n v="4.1340000000000003"/>
  </r>
  <r>
    <x v="110"/>
    <x v="5"/>
    <n v="4.1340000000000003"/>
  </r>
  <r>
    <x v="111"/>
    <x v="5"/>
    <n v="4.1340000000000003"/>
  </r>
  <r>
    <x v="112"/>
    <x v="5"/>
    <n v="4.1379999999999999"/>
  </r>
  <r>
    <x v="113"/>
    <x v="5"/>
    <n v="4.1379999999999999"/>
  </r>
  <r>
    <x v="114"/>
    <x v="5"/>
    <n v="4.1379999999999999"/>
  </r>
  <r>
    <x v="115"/>
    <x v="5"/>
    <n v="4.1379999999999999"/>
  </r>
  <r>
    <x v="116"/>
    <x v="5"/>
    <n v="4.1500000000000004"/>
  </r>
  <r>
    <x v="117"/>
    <x v="5"/>
    <n v="4.1539999999999999"/>
  </r>
  <r>
    <x v="118"/>
    <x v="5"/>
    <n v="4.1630000000000003"/>
  </r>
  <r>
    <x v="119"/>
    <x v="5"/>
    <n v="4.1710000000000003"/>
  </r>
  <r>
    <x v="120"/>
    <x v="5"/>
    <n v="4.1710000000000003"/>
  </r>
  <r>
    <x v="121"/>
    <x v="5"/>
    <n v="4.1710000000000003"/>
  </r>
  <r>
    <x v="122"/>
    <x v="5"/>
    <n v="4.1749999999999998"/>
  </r>
  <r>
    <x v="123"/>
    <x v="5"/>
    <n v="4.1749999999999998"/>
  </r>
  <r>
    <x v="124"/>
    <x v="5"/>
    <n v="4.2750000000000004"/>
  </r>
  <r>
    <x v="125"/>
    <x v="5"/>
    <n v="4.3079999999999998"/>
  </r>
  <r>
    <x v="126"/>
    <x v="5"/>
    <n v="4.3129999999999997"/>
  </r>
  <r>
    <x v="127"/>
    <x v="5"/>
    <n v="4.3330000000000002"/>
  </r>
  <r>
    <x v="128"/>
    <x v="5"/>
    <n v="4.3380000000000001"/>
  </r>
  <r>
    <x v="129"/>
    <x v="5"/>
    <n v="4.3499999999999996"/>
  </r>
  <r>
    <x v="130"/>
    <x v="5"/>
    <n v="4.3499999999999996"/>
  </r>
  <r>
    <x v="131"/>
    <x v="5"/>
    <n v="4.3499999999999996"/>
  </r>
  <r>
    <x v="132"/>
    <x v="5"/>
    <n v="4.3499999999999996"/>
  </r>
  <r>
    <x v="133"/>
    <x v="5"/>
    <n v="4.3380000000000001"/>
  </r>
  <r>
    <x v="134"/>
    <x v="5"/>
    <n v="4.3460000000000001"/>
  </r>
  <r>
    <x v="135"/>
    <x v="5"/>
    <n v="4.3380000000000001"/>
  </r>
  <r>
    <x v="136"/>
    <x v="5"/>
    <n v="4.3380000000000001"/>
  </r>
  <r>
    <x v="137"/>
    <x v="5"/>
    <n v="4.3380000000000001"/>
  </r>
  <r>
    <x v="138"/>
    <x v="5"/>
    <n v="4.3380000000000001"/>
  </r>
  <r>
    <x v="139"/>
    <x v="5"/>
    <n v="4.3419999999999996"/>
  </r>
  <r>
    <x v="140"/>
    <x v="5"/>
    <n v="4.3419999999999996"/>
  </r>
  <r>
    <x v="141"/>
    <x v="5"/>
    <n v="4.3410000000000002"/>
  </r>
  <r>
    <x v="142"/>
    <x v="5"/>
    <n v="4.3419999999999996"/>
  </r>
  <r>
    <x v="143"/>
    <x v="5"/>
    <n v="4.3410000000000002"/>
  </r>
  <r>
    <x v="144"/>
    <x v="5"/>
    <n v="4.3419999999999996"/>
  </r>
  <r>
    <x v="145"/>
    <x v="5"/>
    <n v="4.3419999999999996"/>
  </r>
  <r>
    <x v="146"/>
    <x v="5"/>
    <n v="4.3419999999999996"/>
  </r>
  <r>
    <x v="147"/>
    <x v="5"/>
    <n v="4.3419999999999996"/>
  </r>
  <r>
    <x v="148"/>
    <x v="5"/>
    <n v="4.3419999999999996"/>
  </r>
  <r>
    <x v="149"/>
    <x v="5"/>
    <n v="4.3419999999999996"/>
  </r>
  <r>
    <x v="150"/>
    <x v="5"/>
    <n v="4.3419999999999996"/>
  </r>
  <r>
    <x v="151"/>
    <x v="5"/>
    <n v="4.3419999999999996"/>
  </r>
  <r>
    <x v="152"/>
    <x v="5"/>
    <n v="4.3419999999999996"/>
  </r>
  <r>
    <x v="153"/>
    <x v="5"/>
    <n v="4.3419999999999996"/>
  </r>
  <r>
    <x v="154"/>
    <x v="5"/>
    <n v="4.3419999999999996"/>
  </r>
  <r>
    <x v="155"/>
    <x v="5"/>
    <n v="4.3419999999999996"/>
  </r>
  <r>
    <x v="156"/>
    <x v="5"/>
    <n v="4.3460000000000001"/>
  </r>
  <r>
    <x v="157"/>
    <x v="5"/>
    <n v="4.4000000000000004"/>
  </r>
  <r>
    <x v="158"/>
    <x v="5"/>
    <n v="4.4000000000000004"/>
  </r>
  <r>
    <x v="159"/>
    <x v="5"/>
    <n v="4.4000000000000004"/>
  </r>
  <r>
    <x v="160"/>
    <x v="5"/>
    <n v="4.4000000000000004"/>
  </r>
  <r>
    <x v="161"/>
    <x v="5"/>
    <n v="4.4000000000000004"/>
  </r>
  <r>
    <x v="162"/>
    <x v="5"/>
    <n v="4.4039999999999999"/>
  </r>
  <r>
    <x v="163"/>
    <x v="5"/>
    <n v="4.4039999999999999"/>
  </r>
  <r>
    <x v="164"/>
    <x v="5"/>
    <n v="4.4379999999999997"/>
  </r>
  <r>
    <x v="165"/>
    <x v="5"/>
    <n v="4.4379999999999997"/>
  </r>
  <r>
    <x v="166"/>
    <x v="5"/>
    <n v="4.4379999999999997"/>
  </r>
  <r>
    <x v="167"/>
    <x v="5"/>
    <n v="4.4379999999999997"/>
  </r>
  <r>
    <x v="168"/>
    <x v="5"/>
    <n v="4.4379999999999997"/>
  </r>
  <r>
    <x v="169"/>
    <x v="5"/>
    <n v="4.4379999999999997"/>
  </r>
  <r>
    <x v="170"/>
    <x v="5"/>
    <n v="4.4379999999999997"/>
  </r>
  <r>
    <x v="171"/>
    <x v="5"/>
    <n v="4.4379999999999997"/>
  </r>
  <r>
    <x v="172"/>
    <x v="5"/>
    <n v="4.4379999999999997"/>
  </r>
  <r>
    <x v="173"/>
    <x v="5"/>
    <n v="4.4379999999999997"/>
  </r>
  <r>
    <x v="174"/>
    <x v="5"/>
    <n v="4.4630000000000001"/>
  </r>
  <r>
    <x v="175"/>
    <x v="5"/>
    <n v="4.4669999999999996"/>
  </r>
  <r>
    <x v="176"/>
    <x v="5"/>
    <n v="4.4669999999999996"/>
  </r>
  <r>
    <x v="177"/>
    <x v="5"/>
    <n v="4.4669999999999996"/>
  </r>
  <r>
    <x v="178"/>
    <x v="5"/>
    <n v="4.4669999999999996"/>
  </r>
  <r>
    <x v="179"/>
    <x v="5"/>
    <n v="4.4669999999999996"/>
  </r>
  <r>
    <x v="180"/>
    <x v="5"/>
    <n v="4.4669999999999996"/>
  </r>
  <r>
    <x v="181"/>
    <x v="5"/>
    <n v="4.4669999999999996"/>
  </r>
  <r>
    <x v="182"/>
    <x v="5"/>
    <n v="4.4669999999999996"/>
  </r>
  <r>
    <x v="183"/>
    <x v="5"/>
    <n v="4.4669999999999996"/>
  </r>
  <r>
    <x v="184"/>
    <x v="5"/>
    <n v="4.4669999999999996"/>
  </r>
  <r>
    <x v="185"/>
    <x v="5"/>
    <n v="4.4669999999999996"/>
  </r>
  <r>
    <x v="186"/>
    <x v="5"/>
    <n v="4.4669999999999996"/>
  </r>
  <r>
    <x v="187"/>
    <x v="5"/>
    <n v="4.4669999999999996"/>
  </r>
  <r>
    <x v="188"/>
    <x v="5"/>
    <n v="4.4630000000000001"/>
  </r>
  <r>
    <x v="189"/>
    <x v="5"/>
    <n v="4.4630000000000001"/>
  </r>
  <r>
    <x v="190"/>
    <x v="5"/>
    <n v="4.4640000000000004"/>
  </r>
  <r>
    <x v="191"/>
    <x v="5"/>
    <n v="4.468"/>
  </r>
  <r>
    <x v="192"/>
    <x v="5"/>
    <n v="4.4560000000000004"/>
  </r>
  <r>
    <x v="193"/>
    <x v="5"/>
    <n v="4.468"/>
  </r>
  <r>
    <x v="194"/>
    <x v="5"/>
    <n v="4.468"/>
  </r>
  <r>
    <x v="195"/>
    <x v="5"/>
    <n v="4.468"/>
  </r>
  <r>
    <x v="196"/>
    <x v="5"/>
    <n v="4.468"/>
  </r>
  <r>
    <x v="197"/>
    <x v="5"/>
    <n v="4.468"/>
  </r>
  <r>
    <x v="198"/>
    <x v="5"/>
    <n v="4.468"/>
  </r>
  <r>
    <x v="199"/>
    <x v="5"/>
    <n v="4.4560000000000004"/>
  </r>
  <r>
    <x v="200"/>
    <x v="5"/>
    <n v="4.4560000000000004"/>
  </r>
  <r>
    <x v="201"/>
    <x v="5"/>
    <n v="4.4560000000000004"/>
  </r>
  <r>
    <x v="202"/>
    <x v="5"/>
    <n v="4.46"/>
  </r>
  <r>
    <x v="203"/>
    <x v="5"/>
    <n v="4.46"/>
  </r>
  <r>
    <x v="204"/>
    <x v="5"/>
    <n v="4.46"/>
  </r>
  <r>
    <x v="205"/>
    <x v="5"/>
    <n v="4.46"/>
  </r>
  <r>
    <x v="206"/>
    <x v="5"/>
    <n v="4.4660000000000002"/>
  </r>
  <r>
    <x v="207"/>
    <x v="5"/>
    <n v="4.4660000000000002"/>
  </r>
  <r>
    <x v="208"/>
    <x v="5"/>
    <n v="4.4660000000000002"/>
  </r>
  <r>
    <x v="209"/>
    <x v="5"/>
    <n v="4.4660000000000002"/>
  </r>
  <r>
    <x v="210"/>
    <x v="5"/>
    <n v="4.4829999999999997"/>
  </r>
  <r>
    <x v="211"/>
    <x v="5"/>
    <n v="4.4870000000000001"/>
  </r>
  <r>
    <x v="212"/>
    <x v="5"/>
    <n v="4.4870000000000001"/>
  </r>
  <r>
    <x v="213"/>
    <x v="5"/>
    <n v="4.4909999999999997"/>
  </r>
  <r>
    <x v="214"/>
    <x v="5"/>
    <n v="4.4909999999999997"/>
  </r>
  <r>
    <x v="215"/>
    <x v="5"/>
    <n v="4.4909999999999997"/>
  </r>
  <r>
    <x v="216"/>
    <x v="5"/>
    <n v="4.5049999999999999"/>
  </r>
  <r>
    <x v="217"/>
    <x v="5"/>
    <n v="4.55"/>
  </r>
  <r>
    <x v="218"/>
    <x v="5"/>
    <n v="4.5709999999999997"/>
  </r>
  <r>
    <x v="219"/>
    <x v="5"/>
    <n v="4.5880000000000001"/>
  </r>
  <r>
    <x v="220"/>
    <x v="5"/>
    <n v="4.6420000000000003"/>
  </r>
  <r>
    <x v="221"/>
    <x v="5"/>
    <n v="4.6420000000000003"/>
  </r>
  <r>
    <x v="222"/>
    <x v="5"/>
    <n v="4.6420000000000003"/>
  </r>
  <r>
    <x v="223"/>
    <x v="5"/>
    <n v="4.6459999999999999"/>
  </r>
  <r>
    <x v="224"/>
    <x v="5"/>
    <n v="4.6459999999999999"/>
  </r>
  <r>
    <x v="225"/>
    <x v="5"/>
    <n v="4.6449999999999996"/>
  </r>
  <r>
    <x v="226"/>
    <x v="5"/>
    <n v="4.6539999999999999"/>
  </r>
  <r>
    <x v="227"/>
    <x v="5"/>
    <n v="4.6710000000000003"/>
  </r>
  <r>
    <x v="228"/>
    <x v="5"/>
    <n v="4.6710000000000003"/>
  </r>
  <r>
    <x v="229"/>
    <x v="5"/>
    <n v="4.6580000000000004"/>
  </r>
  <r>
    <x v="230"/>
    <x v="5"/>
    <n v="4.6790000000000003"/>
  </r>
  <r>
    <x v="231"/>
    <x v="5"/>
    <n v="4.6829999999999998"/>
  </r>
  <r>
    <x v="232"/>
    <x v="5"/>
    <n v="4.6909999999999998"/>
  </r>
  <r>
    <x v="233"/>
    <x v="5"/>
    <n v="4.6909999999999998"/>
  </r>
  <r>
    <x v="234"/>
    <x v="5"/>
    <n v="4.6909999999999998"/>
  </r>
  <r>
    <x v="235"/>
    <x v="5"/>
    <n v="4.6909999999999998"/>
  </r>
  <r>
    <x v="236"/>
    <x v="5"/>
    <n v="4.6909999999999998"/>
  </r>
  <r>
    <x v="237"/>
    <x v="5"/>
    <n v="4.6909999999999998"/>
  </r>
  <r>
    <x v="238"/>
    <x v="5"/>
    <n v="4.6909999999999998"/>
  </r>
  <r>
    <x v="239"/>
    <x v="5"/>
    <n v="4.71"/>
  </r>
  <r>
    <x v="240"/>
    <x v="5"/>
    <n v="4.7119999999999997"/>
  </r>
  <r>
    <x v="241"/>
    <x v="5"/>
    <n v="4.7119999999999997"/>
  </r>
  <r>
    <x v="242"/>
    <x v="5"/>
    <n v="4.7119999999999997"/>
  </r>
  <r>
    <x v="243"/>
    <x v="5"/>
    <n v="4.7119999999999997"/>
  </r>
  <r>
    <x v="244"/>
    <x v="5"/>
    <n v="4.7119999999999997"/>
  </r>
  <r>
    <x v="245"/>
    <x v="5"/>
    <n v="4.7119999999999997"/>
  </r>
  <r>
    <x v="246"/>
    <x v="5"/>
    <n v="4.6950000000000003"/>
  </r>
  <r>
    <x v="247"/>
    <x v="5"/>
    <n v="4.7119999999999997"/>
  </r>
  <r>
    <x v="248"/>
    <x v="5"/>
    <n v="4.7119999999999997"/>
  </r>
  <r>
    <x v="249"/>
    <x v="5"/>
    <n v="4.7119999999999997"/>
  </r>
  <r>
    <x v="250"/>
    <x v="5"/>
    <n v="4.7119999999999997"/>
  </r>
  <r>
    <x v="251"/>
    <x v="5"/>
    <n v="4.7119999999999997"/>
  </r>
  <r>
    <x v="252"/>
    <x v="5"/>
    <n v="4.7240000000000002"/>
  </r>
  <r>
    <x v="253"/>
    <x v="5"/>
    <n v="4.7240000000000002"/>
  </r>
  <r>
    <x v="254"/>
    <x v="5"/>
    <n v="4.7240000000000002"/>
  </r>
  <r>
    <x v="255"/>
    <x v="5"/>
    <n v="4.7240000000000002"/>
  </r>
  <r>
    <x v="256"/>
    <x v="5"/>
    <n v="4.7240000000000002"/>
  </r>
  <r>
    <x v="257"/>
    <x v="5"/>
    <n v="4.7240000000000002"/>
  </r>
  <r>
    <x v="258"/>
    <x v="5"/>
    <n v="4.7240000000000002"/>
  </r>
  <r>
    <x v="259"/>
    <x v="5"/>
    <n v="4.7240000000000002"/>
  </r>
  <r>
    <x v="260"/>
    <x v="5"/>
    <n v="4.7240000000000002"/>
  </r>
  <r>
    <x v="261"/>
    <x v="5"/>
    <n v="4.7240000000000002"/>
  </r>
  <r>
    <x v="262"/>
    <x v="5"/>
    <n v="4.7240000000000002"/>
  </r>
  <r>
    <x v="263"/>
    <x v="5"/>
    <n v="4.7240000000000002"/>
  </r>
  <r>
    <x v="264"/>
    <x v="5"/>
    <n v="4.7240000000000002"/>
  </r>
  <r>
    <x v="265"/>
    <x v="5"/>
    <n v="4.7240000000000002"/>
  </r>
  <r>
    <x v="266"/>
    <x v="5"/>
    <n v="4.7279999999999998"/>
  </r>
  <r>
    <x v="267"/>
    <x v="5"/>
    <n v="4.7329999999999997"/>
  </r>
  <r>
    <x v="268"/>
    <x v="5"/>
    <n v="4.7329999999999997"/>
  </r>
  <r>
    <x v="269"/>
    <x v="5"/>
    <n v="4.7329999999999997"/>
  </r>
  <r>
    <x v="270"/>
    <x v="5"/>
    <n v="4.7329999999999997"/>
  </r>
  <r>
    <x v="271"/>
    <x v="5"/>
    <n v="4.7329999999999997"/>
  </r>
  <r>
    <x v="272"/>
    <x v="5"/>
    <n v="4.7329999999999997"/>
  </r>
  <r>
    <x v="273"/>
    <x v="5"/>
    <n v="4.7329999999999997"/>
  </r>
  <r>
    <x v="274"/>
    <x v="5"/>
    <n v="4.7329999999999997"/>
  </r>
  <r>
    <x v="0"/>
    <x v="6"/>
    <n v="2.3250000000000002"/>
  </r>
  <r>
    <x v="1"/>
    <x v="6"/>
    <n v="2.3250000000000002"/>
  </r>
  <r>
    <x v="2"/>
    <x v="6"/>
    <n v="2.327"/>
  </r>
  <r>
    <x v="3"/>
    <x v="6"/>
    <n v="2.3690000000000002"/>
  </r>
  <r>
    <x v="4"/>
    <x v="6"/>
    <n v="2.3690000000000002"/>
  </r>
  <r>
    <x v="5"/>
    <x v="6"/>
    <n v="2.3690000000000002"/>
  </r>
  <r>
    <x v="6"/>
    <x v="6"/>
    <n v="2.3690000000000002"/>
  </r>
  <r>
    <x v="7"/>
    <x v="6"/>
    <n v="2.3730000000000002"/>
  </r>
  <r>
    <x v="8"/>
    <x v="6"/>
    <n v="2.4249999999999998"/>
  </r>
  <r>
    <x v="9"/>
    <x v="6"/>
    <n v="2.4329999999999998"/>
  </r>
  <r>
    <x v="10"/>
    <x v="6"/>
    <n v="2.4329999999999998"/>
  </r>
  <r>
    <x v="11"/>
    <x v="6"/>
    <n v="2.4540000000000002"/>
  </r>
  <r>
    <x v="12"/>
    <x v="6"/>
    <n v="2.4540000000000002"/>
  </r>
  <r>
    <x v="13"/>
    <x v="6"/>
    <n v="2.4540000000000002"/>
  </r>
  <r>
    <x v="14"/>
    <x v="6"/>
    <n v="2.4630000000000001"/>
  </r>
  <r>
    <x v="15"/>
    <x v="6"/>
    <n v="2.4630000000000001"/>
  </r>
  <r>
    <x v="16"/>
    <x v="6"/>
    <n v="2.4710000000000001"/>
  </r>
  <r>
    <x v="17"/>
    <x v="6"/>
    <n v="2.4710000000000001"/>
  </r>
  <r>
    <x v="18"/>
    <x v="6"/>
    <n v="2.5249999999999999"/>
  </r>
  <r>
    <x v="19"/>
    <x v="6"/>
    <n v="2.5329999999999999"/>
  </r>
  <r>
    <x v="20"/>
    <x v="6"/>
    <n v="2.5249999999999999"/>
  </r>
  <r>
    <x v="21"/>
    <x v="6"/>
    <n v="2.5419999999999998"/>
  </r>
  <r>
    <x v="22"/>
    <x v="6"/>
    <n v="2.5459999999999998"/>
  </r>
  <r>
    <x v="23"/>
    <x v="6"/>
    <n v="2.5710000000000002"/>
  </r>
  <r>
    <x v="24"/>
    <x v="6"/>
    <n v="2.5920000000000001"/>
  </r>
  <r>
    <x v="25"/>
    <x v="6"/>
    <n v="2.6"/>
  </r>
  <r>
    <x v="26"/>
    <x v="6"/>
    <n v="2.6080000000000001"/>
  </r>
  <r>
    <x v="27"/>
    <x v="6"/>
    <n v="2.613"/>
  </r>
  <r>
    <x v="28"/>
    <x v="6"/>
    <n v="2.6419999999999999"/>
  </r>
  <r>
    <x v="29"/>
    <x v="6"/>
    <n v="2.6419999999999999"/>
  </r>
  <r>
    <x v="30"/>
    <x v="6"/>
    <n v="2.6829999999999998"/>
  </r>
  <r>
    <x v="31"/>
    <x v="6"/>
    <n v="2.7080000000000002"/>
  </r>
  <r>
    <x v="32"/>
    <x v="6"/>
    <n v="2.7170000000000001"/>
  </r>
  <r>
    <x v="33"/>
    <x v="6"/>
    <n v="2.7250000000000001"/>
  </r>
  <r>
    <x v="34"/>
    <x v="6"/>
    <n v="2.7349999999999999"/>
  </r>
  <r>
    <x v="35"/>
    <x v="6"/>
    <n v="2.7349999999999999"/>
  </r>
  <r>
    <x v="36"/>
    <x v="6"/>
    <n v="2.7519999999999998"/>
  </r>
  <r>
    <x v="37"/>
    <x v="6"/>
    <n v="2.7519999999999998"/>
  </r>
  <r>
    <x v="38"/>
    <x v="6"/>
    <n v="2.7519999999999998"/>
  </r>
  <r>
    <x v="39"/>
    <x v="6"/>
    <n v="2.76"/>
  </r>
  <r>
    <x v="40"/>
    <x v="6"/>
    <n v="2.76"/>
  </r>
  <r>
    <x v="41"/>
    <x v="6"/>
    <n v="2.7650000000000001"/>
  </r>
  <r>
    <x v="42"/>
    <x v="6"/>
    <n v="2.7650000000000001"/>
  </r>
  <r>
    <x v="43"/>
    <x v="6"/>
    <n v="2.7679999999999998"/>
  </r>
  <r>
    <x v="44"/>
    <x v="6"/>
    <n v="2.7669999999999999"/>
  </r>
  <r>
    <x v="45"/>
    <x v="6"/>
    <n v="2.7669999999999999"/>
  </r>
  <r>
    <x v="46"/>
    <x v="6"/>
    <n v="2.7730000000000001"/>
  </r>
  <r>
    <x v="47"/>
    <x v="6"/>
    <n v="2.7730000000000001"/>
  </r>
  <r>
    <x v="48"/>
    <x v="6"/>
    <n v="2.7850000000000001"/>
  </r>
  <r>
    <x v="49"/>
    <x v="6"/>
    <n v="2.7850000000000001"/>
  </r>
  <r>
    <x v="50"/>
    <x v="6"/>
    <n v="2.7850000000000001"/>
  </r>
  <r>
    <x v="51"/>
    <x v="6"/>
    <n v="2.794"/>
  </r>
  <r>
    <x v="52"/>
    <x v="6"/>
    <n v="2.794"/>
  </r>
  <r>
    <x v="53"/>
    <x v="6"/>
    <n v="2.794"/>
  </r>
  <r>
    <x v="54"/>
    <x v="6"/>
    <n v="2.794"/>
  </r>
  <r>
    <x v="55"/>
    <x v="6"/>
    <n v="2.794"/>
  </r>
  <r>
    <x v="56"/>
    <x v="6"/>
    <n v="2.8210000000000002"/>
  </r>
  <r>
    <x v="57"/>
    <x v="6"/>
    <n v="2.8210000000000002"/>
  </r>
  <r>
    <x v="58"/>
    <x v="6"/>
    <n v="2.8210000000000002"/>
  </r>
  <r>
    <x v="59"/>
    <x v="6"/>
    <n v="2.8210000000000002"/>
  </r>
  <r>
    <x v="60"/>
    <x v="6"/>
    <n v="2.8210000000000002"/>
  </r>
  <r>
    <x v="61"/>
    <x v="6"/>
    <n v="2.835"/>
  </r>
  <r>
    <x v="62"/>
    <x v="6"/>
    <n v="2.835"/>
  </r>
  <r>
    <x v="63"/>
    <x v="6"/>
    <n v="2.835"/>
  </r>
  <r>
    <x v="64"/>
    <x v="6"/>
    <n v="2.835"/>
  </r>
  <r>
    <x v="65"/>
    <x v="6"/>
    <n v="2.835"/>
  </r>
  <r>
    <x v="66"/>
    <x v="6"/>
    <n v="2.86"/>
  </r>
  <r>
    <x v="67"/>
    <x v="6"/>
    <n v="2.867"/>
  </r>
  <r>
    <x v="68"/>
    <x v="6"/>
    <n v="2.883"/>
  </r>
  <r>
    <x v="69"/>
    <x v="6"/>
    <n v="2.883"/>
  </r>
  <r>
    <x v="70"/>
    <x v="6"/>
    <n v="2.9"/>
  </r>
  <r>
    <x v="71"/>
    <x v="6"/>
    <n v="2.9"/>
  </r>
  <r>
    <x v="72"/>
    <x v="6"/>
    <n v="2.9079999999999999"/>
  </r>
  <r>
    <x v="73"/>
    <x v="6"/>
    <n v="2.9079999999999999"/>
  </r>
  <r>
    <x v="74"/>
    <x v="6"/>
    <n v="2.9079999999999999"/>
  </r>
  <r>
    <x v="75"/>
    <x v="6"/>
    <n v="2.9079999999999999"/>
  </r>
  <r>
    <x v="76"/>
    <x v="6"/>
    <n v="2.9079999999999999"/>
  </r>
  <r>
    <x v="77"/>
    <x v="6"/>
    <n v="2.9079999999999999"/>
  </r>
  <r>
    <x v="78"/>
    <x v="6"/>
    <n v="2.9079999999999999"/>
  </r>
  <r>
    <x v="79"/>
    <x v="6"/>
    <n v="2.9079999999999999"/>
  </r>
  <r>
    <x v="80"/>
    <x v="6"/>
    <n v="2.9079999999999999"/>
  </r>
  <r>
    <x v="81"/>
    <x v="6"/>
    <n v="2.9079999999999999"/>
  </r>
  <r>
    <x v="82"/>
    <x v="6"/>
    <n v="2.91"/>
  </r>
  <r>
    <x v="83"/>
    <x v="6"/>
    <n v="2.931"/>
  </r>
  <r>
    <x v="84"/>
    <x v="6"/>
    <n v="2.931"/>
  </r>
  <r>
    <x v="85"/>
    <x v="6"/>
    <n v="2.931"/>
  </r>
  <r>
    <x v="86"/>
    <x v="6"/>
    <n v="2.9329999999999998"/>
  </r>
  <r>
    <x v="87"/>
    <x v="6"/>
    <n v="2.9329999999999998"/>
  </r>
  <r>
    <x v="88"/>
    <x v="6"/>
    <n v="2.9329999999999998"/>
  </r>
  <r>
    <x v="89"/>
    <x v="6"/>
    <n v="2.9329999999999998"/>
  </r>
  <r>
    <x v="90"/>
    <x v="6"/>
    <n v="2.9329999999999998"/>
  </r>
  <r>
    <x v="91"/>
    <x v="6"/>
    <n v="2.9670000000000001"/>
  </r>
  <r>
    <x v="92"/>
    <x v="6"/>
    <n v="2.9710000000000001"/>
  </r>
  <r>
    <x v="93"/>
    <x v="6"/>
    <n v="2.9710000000000001"/>
  </r>
  <r>
    <x v="94"/>
    <x v="6"/>
    <n v="2.9710000000000001"/>
  </r>
  <r>
    <x v="95"/>
    <x v="6"/>
    <n v="2.9710000000000001"/>
  </r>
  <r>
    <x v="96"/>
    <x v="6"/>
    <n v="2.9710000000000001"/>
  </r>
  <r>
    <x v="97"/>
    <x v="6"/>
    <n v="2.9710000000000001"/>
  </r>
  <r>
    <x v="98"/>
    <x v="6"/>
    <n v="2.9750000000000001"/>
  </r>
  <r>
    <x v="99"/>
    <x v="6"/>
    <n v="2.9830000000000001"/>
  </r>
  <r>
    <x v="100"/>
    <x v="6"/>
    <n v="2.988"/>
  </r>
  <r>
    <x v="101"/>
    <x v="6"/>
    <n v="2.996"/>
  </r>
  <r>
    <x v="102"/>
    <x v="6"/>
    <n v="3.0129999999999999"/>
  </r>
  <r>
    <x v="103"/>
    <x v="6"/>
    <n v="3.0230000000000001"/>
  </r>
  <r>
    <x v="104"/>
    <x v="6"/>
    <n v="3.0230000000000001"/>
  </r>
  <r>
    <x v="105"/>
    <x v="6"/>
    <n v="3.0230000000000001"/>
  </r>
  <r>
    <x v="106"/>
    <x v="6"/>
    <n v="3.0230000000000001"/>
  </r>
  <r>
    <x v="107"/>
    <x v="6"/>
    <n v="3.0230000000000001"/>
  </r>
  <r>
    <x v="108"/>
    <x v="6"/>
    <n v="3.0150000000000001"/>
  </r>
  <r>
    <x v="109"/>
    <x v="6"/>
    <n v="3.0150000000000001"/>
  </r>
  <r>
    <x v="110"/>
    <x v="6"/>
    <n v="3.0150000000000001"/>
  </r>
  <r>
    <x v="111"/>
    <x v="6"/>
    <n v="3.0230000000000001"/>
  </r>
  <r>
    <x v="112"/>
    <x v="6"/>
    <n v="3.0270000000000001"/>
  </r>
  <r>
    <x v="113"/>
    <x v="6"/>
    <n v="3.0270000000000001"/>
  </r>
  <r>
    <x v="114"/>
    <x v="6"/>
    <n v="3.0270000000000001"/>
  </r>
  <r>
    <x v="115"/>
    <x v="6"/>
    <n v="3.0270000000000001"/>
  </r>
  <r>
    <x v="116"/>
    <x v="6"/>
    <n v="3.0270000000000001"/>
  </r>
  <r>
    <x v="117"/>
    <x v="6"/>
    <n v="3.0230000000000001"/>
  </r>
  <r>
    <x v="118"/>
    <x v="6"/>
    <n v="3.0270000000000001"/>
  </r>
  <r>
    <x v="119"/>
    <x v="6"/>
    <n v="3.0270000000000001"/>
  </r>
  <r>
    <x v="120"/>
    <x v="6"/>
    <n v="3.0270000000000001"/>
  </r>
  <r>
    <x v="121"/>
    <x v="6"/>
    <n v="3.056"/>
  </r>
  <r>
    <x v="122"/>
    <x v="6"/>
    <n v="3.056"/>
  </r>
  <r>
    <x v="123"/>
    <x v="6"/>
    <n v="3.0649999999999999"/>
  </r>
  <r>
    <x v="124"/>
    <x v="6"/>
    <n v="3.113"/>
  </r>
  <r>
    <x v="125"/>
    <x v="6"/>
    <n v="3.1480000000000001"/>
  </r>
  <r>
    <x v="126"/>
    <x v="6"/>
    <n v="3.1230000000000002"/>
  </r>
  <r>
    <x v="127"/>
    <x v="6"/>
    <n v="3.1230000000000002"/>
  </r>
  <r>
    <x v="128"/>
    <x v="6"/>
    <n v="3.1419999999999999"/>
  </r>
  <r>
    <x v="129"/>
    <x v="6"/>
    <n v="3.1709999999999998"/>
  </r>
  <r>
    <x v="130"/>
    <x v="6"/>
    <n v="3.15"/>
  </r>
  <r>
    <x v="131"/>
    <x v="6"/>
    <n v="3.15"/>
  </r>
  <r>
    <x v="132"/>
    <x v="6"/>
    <n v="3.1560000000000001"/>
  </r>
  <r>
    <x v="133"/>
    <x v="6"/>
    <n v="3.1560000000000001"/>
  </r>
  <r>
    <x v="134"/>
    <x v="6"/>
    <n v="3.1560000000000001"/>
  </r>
  <r>
    <x v="135"/>
    <x v="6"/>
    <n v="3.1560000000000001"/>
  </r>
  <r>
    <x v="136"/>
    <x v="6"/>
    <n v="3.1560000000000001"/>
  </r>
  <r>
    <x v="137"/>
    <x v="6"/>
    <n v="3.1560000000000001"/>
  </r>
  <r>
    <x v="138"/>
    <x v="6"/>
    <n v="3.165"/>
  </r>
  <r>
    <x v="139"/>
    <x v="6"/>
    <n v="3.165"/>
  </r>
  <r>
    <x v="140"/>
    <x v="6"/>
    <n v="3.165"/>
  </r>
  <r>
    <x v="141"/>
    <x v="6"/>
    <n v="3.1749999999999998"/>
  </r>
  <r>
    <x v="142"/>
    <x v="6"/>
    <n v="3.165"/>
  </r>
  <r>
    <x v="143"/>
    <x v="6"/>
    <n v="3.1840000000000002"/>
  </r>
  <r>
    <x v="144"/>
    <x v="6"/>
    <n v="3.173"/>
  </r>
  <r>
    <x v="145"/>
    <x v="6"/>
    <n v="3.173"/>
  </r>
  <r>
    <x v="146"/>
    <x v="6"/>
    <n v="3.173"/>
  </r>
  <r>
    <x v="147"/>
    <x v="6"/>
    <n v="3.198"/>
  </r>
  <r>
    <x v="148"/>
    <x v="6"/>
    <n v="3.202"/>
  </r>
  <r>
    <x v="149"/>
    <x v="6"/>
    <n v="3.202"/>
  </r>
  <r>
    <x v="150"/>
    <x v="6"/>
    <n v="3.202"/>
  </r>
  <r>
    <x v="151"/>
    <x v="6"/>
    <n v="3.202"/>
  </r>
  <r>
    <x v="152"/>
    <x v="6"/>
    <n v="3.2040000000000002"/>
  </r>
  <r>
    <x v="153"/>
    <x v="6"/>
    <n v="3.2040000000000002"/>
  </r>
  <r>
    <x v="154"/>
    <x v="6"/>
    <n v="3.2040000000000002"/>
  </r>
  <r>
    <x v="155"/>
    <x v="6"/>
    <n v="3.2040000000000002"/>
  </r>
  <r>
    <x v="156"/>
    <x v="6"/>
    <n v="3.2130000000000001"/>
  </r>
  <r>
    <x v="157"/>
    <x v="6"/>
    <n v="3.2290000000000001"/>
  </r>
  <r>
    <x v="158"/>
    <x v="6"/>
    <n v="3.2290000000000001"/>
  </r>
  <r>
    <x v="159"/>
    <x v="6"/>
    <n v="3.2290000000000001"/>
  </r>
  <r>
    <x v="160"/>
    <x v="6"/>
    <n v="3.2290000000000001"/>
  </r>
  <r>
    <x v="161"/>
    <x v="6"/>
    <n v="3.246"/>
  </r>
  <r>
    <x v="162"/>
    <x v="6"/>
    <n v="3.2669999999999999"/>
  </r>
  <r>
    <x v="163"/>
    <x v="6"/>
    <n v="3.2669999999999999"/>
  </r>
  <r>
    <x v="164"/>
    <x v="6"/>
    <n v="3.3"/>
  </r>
  <r>
    <x v="165"/>
    <x v="6"/>
    <n v="3.3250000000000002"/>
  </r>
  <r>
    <x v="166"/>
    <x v="6"/>
    <n v="3.3250000000000002"/>
  </r>
  <r>
    <x v="167"/>
    <x v="6"/>
    <n v="3.367"/>
  </r>
  <r>
    <x v="168"/>
    <x v="6"/>
    <n v="3.367"/>
  </r>
  <r>
    <x v="169"/>
    <x v="6"/>
    <n v="3.367"/>
  </r>
  <r>
    <x v="170"/>
    <x v="6"/>
    <n v="3.367"/>
  </r>
  <r>
    <x v="171"/>
    <x v="6"/>
    <n v="3.3690000000000002"/>
  </r>
  <r>
    <x v="172"/>
    <x v="6"/>
    <n v="3.3849999999999998"/>
  </r>
  <r>
    <x v="173"/>
    <x v="6"/>
    <n v="3.3879999999999999"/>
  </r>
  <r>
    <x v="174"/>
    <x v="6"/>
    <n v="3.3879999999999999"/>
  </r>
  <r>
    <x v="175"/>
    <x v="6"/>
    <n v="3.3879999999999999"/>
  </r>
  <r>
    <x v="176"/>
    <x v="6"/>
    <n v="3.3879999999999999"/>
  </r>
  <r>
    <x v="177"/>
    <x v="6"/>
    <n v="3.3879999999999999"/>
  </r>
  <r>
    <x v="178"/>
    <x v="6"/>
    <n v="3.3879999999999999"/>
  </r>
  <r>
    <x v="179"/>
    <x v="6"/>
    <n v="3.3879999999999999"/>
  </r>
  <r>
    <x v="180"/>
    <x v="6"/>
    <n v="3.3879999999999999"/>
  </r>
  <r>
    <x v="181"/>
    <x v="6"/>
    <n v="3.3959999999999999"/>
  </r>
  <r>
    <x v="182"/>
    <x v="6"/>
    <n v="3.3959999999999999"/>
  </r>
  <r>
    <x v="183"/>
    <x v="6"/>
    <n v="3.3959999999999999"/>
  </r>
  <r>
    <x v="184"/>
    <x v="6"/>
    <n v="3.3959999999999999"/>
  </r>
  <r>
    <x v="185"/>
    <x v="6"/>
    <n v="3.3959999999999999"/>
  </r>
  <r>
    <x v="186"/>
    <x v="6"/>
    <n v="3.3959999999999999"/>
  </r>
  <r>
    <x v="187"/>
    <x v="6"/>
    <n v="3.3959999999999999"/>
  </r>
  <r>
    <x v="188"/>
    <x v="6"/>
    <n v="3.3959999999999999"/>
  </r>
  <r>
    <x v="189"/>
    <x v="6"/>
    <n v="3.3959999999999999"/>
  </r>
  <r>
    <x v="190"/>
    <x v="6"/>
    <n v="3.3959999999999999"/>
  </r>
  <r>
    <x v="191"/>
    <x v="6"/>
    <n v="3.4380000000000002"/>
  </r>
  <r>
    <x v="192"/>
    <x v="6"/>
    <n v="3.3959999999999999"/>
  </r>
  <r>
    <x v="193"/>
    <x v="6"/>
    <n v="3.4380000000000002"/>
  </r>
  <r>
    <x v="194"/>
    <x v="6"/>
    <n v="3.4420000000000002"/>
  </r>
  <r>
    <x v="195"/>
    <x v="6"/>
    <n v="3.4420000000000002"/>
  </r>
  <r>
    <x v="196"/>
    <x v="6"/>
    <n v="3.4420000000000002"/>
  </r>
  <r>
    <x v="197"/>
    <x v="6"/>
    <n v="3.4670000000000001"/>
  </r>
  <r>
    <x v="198"/>
    <x v="6"/>
    <n v="3.4670000000000001"/>
  </r>
  <r>
    <x v="199"/>
    <x v="6"/>
    <n v="3.45"/>
  </r>
  <r>
    <x v="200"/>
    <x v="6"/>
    <n v="3.45"/>
  </r>
  <r>
    <x v="201"/>
    <x v="6"/>
    <n v="3.45"/>
  </r>
  <r>
    <x v="202"/>
    <x v="6"/>
    <n v="3.45"/>
  </r>
  <r>
    <x v="203"/>
    <x v="6"/>
    <n v="3.45"/>
  </r>
  <r>
    <x v="204"/>
    <x v="6"/>
    <n v="3.45"/>
  </r>
  <r>
    <x v="205"/>
    <x v="6"/>
    <n v="3.45"/>
  </r>
  <r>
    <x v="206"/>
    <x v="6"/>
    <n v="3.45"/>
  </r>
  <r>
    <x v="207"/>
    <x v="6"/>
    <n v="3.45"/>
  </r>
  <r>
    <x v="208"/>
    <x v="6"/>
    <n v="3.45"/>
  </r>
  <r>
    <x v="209"/>
    <x v="6"/>
    <n v="3.45"/>
  </r>
  <r>
    <x v="210"/>
    <x v="6"/>
    <n v="3.45"/>
  </r>
  <r>
    <x v="211"/>
    <x v="6"/>
    <n v="3.45"/>
  </r>
  <r>
    <x v="212"/>
    <x v="6"/>
    <n v="3.45"/>
  </r>
  <r>
    <x v="213"/>
    <x v="6"/>
    <n v="3.45"/>
  </r>
  <r>
    <x v="214"/>
    <x v="6"/>
    <n v="3.45"/>
  </r>
  <r>
    <x v="215"/>
    <x v="6"/>
    <n v="3.45"/>
  </r>
  <r>
    <x v="216"/>
    <x v="6"/>
    <n v="3.4580000000000002"/>
  </r>
  <r>
    <x v="217"/>
    <x v="6"/>
    <n v="3.4689999999999999"/>
  </r>
  <r>
    <x v="218"/>
    <x v="6"/>
    <n v="3.4689999999999999"/>
  </r>
  <r>
    <x v="219"/>
    <x v="6"/>
    <n v="3.49"/>
  </r>
  <r>
    <x v="220"/>
    <x v="6"/>
    <n v="3.5059999999999998"/>
  </r>
  <r>
    <x v="221"/>
    <x v="6"/>
    <n v="3.5150000000000001"/>
  </r>
  <r>
    <x v="222"/>
    <x v="6"/>
    <n v="3.5190000000000001"/>
  </r>
  <r>
    <x v="223"/>
    <x v="6"/>
    <n v="3.5230000000000001"/>
  </r>
  <r>
    <x v="224"/>
    <x v="6"/>
    <n v="3.5230000000000001"/>
  </r>
  <r>
    <x v="225"/>
    <x v="6"/>
    <n v="3.5249999999999999"/>
  </r>
  <r>
    <x v="226"/>
    <x v="6"/>
    <n v="3.5379999999999998"/>
  </r>
  <r>
    <x v="227"/>
    <x v="6"/>
    <n v="3.5419999999999998"/>
  </r>
  <r>
    <x v="228"/>
    <x v="6"/>
    <n v="3.5419999999999998"/>
  </r>
  <r>
    <x v="229"/>
    <x v="6"/>
    <n v="3.5419999999999998"/>
  </r>
  <r>
    <x v="230"/>
    <x v="6"/>
    <n v="3.5419999999999998"/>
  </r>
  <r>
    <x v="231"/>
    <x v="6"/>
    <n v="3.55"/>
  </r>
  <r>
    <x v="232"/>
    <x v="6"/>
    <n v="3.5539999999999998"/>
  </r>
  <r>
    <x v="233"/>
    <x v="6"/>
    <n v="3.5539999999999998"/>
  </r>
  <r>
    <x v="234"/>
    <x v="6"/>
    <n v="3.5539999999999998"/>
  </r>
  <r>
    <x v="235"/>
    <x v="6"/>
    <n v="3.5539999999999998"/>
  </r>
  <r>
    <x v="236"/>
    <x v="6"/>
    <n v="3.5539999999999998"/>
  </r>
  <r>
    <x v="237"/>
    <x v="6"/>
    <n v="3.5670000000000002"/>
  </r>
  <r>
    <x v="238"/>
    <x v="6"/>
    <n v="3.5670000000000002"/>
  </r>
  <r>
    <x v="239"/>
    <x v="6"/>
    <n v="3.5710000000000002"/>
  </r>
  <r>
    <x v="240"/>
    <x v="6"/>
    <n v="3.5710000000000002"/>
  </r>
  <r>
    <x v="241"/>
    <x v="6"/>
    <n v="3.5710000000000002"/>
  </r>
  <r>
    <x v="242"/>
    <x v="6"/>
    <n v="3.5710000000000002"/>
  </r>
  <r>
    <x v="243"/>
    <x v="6"/>
    <n v="3.5710000000000002"/>
  </r>
  <r>
    <x v="244"/>
    <x v="6"/>
    <n v="3.5710000000000002"/>
  </r>
  <r>
    <x v="245"/>
    <x v="6"/>
    <n v="3.5710000000000002"/>
  </r>
  <r>
    <x v="246"/>
    <x v="6"/>
    <n v="3.5710000000000002"/>
  </r>
  <r>
    <x v="247"/>
    <x v="6"/>
    <n v="3.5710000000000002"/>
  </r>
  <r>
    <x v="248"/>
    <x v="6"/>
    <n v="3.5710000000000002"/>
  </r>
  <r>
    <x v="249"/>
    <x v="6"/>
    <n v="3.5710000000000002"/>
  </r>
  <r>
    <x v="250"/>
    <x v="6"/>
    <n v="3.5710000000000002"/>
  </r>
  <r>
    <x v="251"/>
    <x v="6"/>
    <n v="3.5710000000000002"/>
  </r>
  <r>
    <x v="252"/>
    <x v="6"/>
    <n v="3.5790000000000002"/>
  </r>
  <r>
    <x v="253"/>
    <x v="6"/>
    <n v="3.5790000000000002"/>
  </r>
  <r>
    <x v="254"/>
    <x v="6"/>
    <n v="3.5920000000000001"/>
  </r>
  <r>
    <x v="255"/>
    <x v="6"/>
    <n v="3.625"/>
  </r>
  <r>
    <x v="256"/>
    <x v="6"/>
    <n v="3.625"/>
  </r>
  <r>
    <x v="257"/>
    <x v="6"/>
    <n v="3.625"/>
  </r>
  <r>
    <x v="258"/>
    <x v="6"/>
    <n v="3.6419999999999999"/>
  </r>
  <r>
    <x v="259"/>
    <x v="6"/>
    <n v="3.6419999999999999"/>
  </r>
  <r>
    <x v="260"/>
    <x v="6"/>
    <n v="3.6419999999999999"/>
  </r>
  <r>
    <x v="261"/>
    <x v="6"/>
    <n v="3.6419999999999999"/>
  </r>
  <r>
    <x v="262"/>
    <x v="6"/>
    <n v="3.6419999999999999"/>
  </r>
  <r>
    <x v="263"/>
    <x v="6"/>
    <n v="3.6829999999999998"/>
  </r>
  <r>
    <x v="264"/>
    <x v="6"/>
    <n v="3.6829999999999998"/>
  </r>
  <r>
    <x v="265"/>
    <x v="6"/>
    <n v="3.6829999999999998"/>
  </r>
  <r>
    <x v="266"/>
    <x v="6"/>
    <n v="3.6920000000000002"/>
  </r>
  <r>
    <x v="267"/>
    <x v="6"/>
    <n v="3.6920000000000002"/>
  </r>
  <r>
    <x v="268"/>
    <x v="6"/>
    <n v="3.6920000000000002"/>
  </r>
  <r>
    <x v="269"/>
    <x v="6"/>
    <n v="3.6920000000000002"/>
  </r>
  <r>
    <x v="270"/>
    <x v="6"/>
    <n v="3.7040000000000002"/>
  </r>
  <r>
    <x v="271"/>
    <x v="6"/>
    <n v="3.7040000000000002"/>
  </r>
  <r>
    <x v="272"/>
    <x v="6"/>
    <n v="3.7040000000000002"/>
  </r>
  <r>
    <x v="273"/>
    <x v="6"/>
    <n v="3.7040000000000002"/>
  </r>
  <r>
    <x v="274"/>
    <x v="6"/>
    <n v="3.7040000000000002"/>
  </r>
  <r>
    <x v="0"/>
    <x v="7"/>
    <n v="2.4969999999999999"/>
  </r>
  <r>
    <x v="1"/>
    <x v="7"/>
    <n v="2.4969999999999999"/>
  </r>
  <r>
    <x v="2"/>
    <x v="7"/>
    <n v="2.5"/>
  </r>
  <r>
    <x v="3"/>
    <x v="7"/>
    <n v="2.5209999999999999"/>
  </r>
  <r>
    <x v="4"/>
    <x v="7"/>
    <n v="2.5259999999999998"/>
  </r>
  <r>
    <x v="5"/>
    <x v="7"/>
    <n v="2.5299999999999998"/>
  </r>
  <r>
    <x v="6"/>
    <x v="7"/>
    <n v="2.5289999999999999"/>
  </r>
  <r>
    <x v="7"/>
    <x v="7"/>
    <n v="2.5419999999999998"/>
  </r>
  <r>
    <x v="8"/>
    <x v="7"/>
    <n v="2.5790000000000002"/>
  </r>
  <r>
    <x v="9"/>
    <x v="7"/>
    <n v="2.5840000000000001"/>
  </r>
  <r>
    <x v="10"/>
    <x v="7"/>
    <n v="2.5840000000000001"/>
  </r>
  <r>
    <x v="11"/>
    <x v="7"/>
    <n v="2.5979999999999999"/>
  </r>
  <r>
    <x v="12"/>
    <x v="7"/>
    <n v="2.5990000000000002"/>
  </r>
  <r>
    <x v="13"/>
    <x v="7"/>
    <n v="2.6019999999999999"/>
  </r>
  <r>
    <x v="14"/>
    <x v="7"/>
    <n v="2.6110000000000002"/>
  </r>
  <r>
    <x v="15"/>
    <x v="7"/>
    <n v="2.6110000000000002"/>
  </r>
  <r>
    <x v="16"/>
    <x v="7"/>
    <n v="2.617"/>
  </r>
  <r>
    <x v="17"/>
    <x v="7"/>
    <n v="2.617"/>
  </r>
  <r>
    <x v="18"/>
    <x v="7"/>
    <n v="2.6469999999999998"/>
  </r>
  <r>
    <x v="19"/>
    <x v="7"/>
    <n v="2.653"/>
  </r>
  <r>
    <x v="20"/>
    <x v="7"/>
    <n v="2.649"/>
  </r>
  <r>
    <x v="21"/>
    <x v="7"/>
    <n v="2.6589999999999998"/>
  </r>
  <r>
    <x v="22"/>
    <x v="7"/>
    <n v="2.6629999999999998"/>
  </r>
  <r>
    <x v="23"/>
    <x v="7"/>
    <n v="2.6970000000000001"/>
  </r>
  <r>
    <x v="24"/>
    <x v="7"/>
    <n v="2.714"/>
  </r>
  <r>
    <x v="25"/>
    <x v="7"/>
    <n v="2.7149999999999999"/>
  </r>
  <r>
    <x v="26"/>
    <x v="7"/>
    <n v="2.7160000000000002"/>
  </r>
  <r>
    <x v="27"/>
    <x v="7"/>
    <n v="2.722"/>
  </r>
  <r>
    <x v="28"/>
    <x v="7"/>
    <n v="2.7480000000000002"/>
  </r>
  <r>
    <x v="29"/>
    <x v="7"/>
    <n v="2.7850000000000001"/>
  </r>
  <r>
    <x v="30"/>
    <x v="7"/>
    <n v="2.84"/>
  </r>
  <r>
    <x v="31"/>
    <x v="7"/>
    <n v="2.859"/>
  </r>
  <r>
    <x v="32"/>
    <x v="7"/>
    <n v="2.8650000000000002"/>
  </r>
  <r>
    <x v="33"/>
    <x v="7"/>
    <n v="2.8679999999999999"/>
  </r>
  <r>
    <x v="34"/>
    <x v="7"/>
    <n v="2.8730000000000002"/>
  </r>
  <r>
    <x v="35"/>
    <x v="7"/>
    <n v="2.871"/>
  </r>
  <r>
    <x v="36"/>
    <x v="7"/>
    <n v="2.88"/>
  </r>
  <r>
    <x v="37"/>
    <x v="7"/>
    <n v="2.88"/>
  </r>
  <r>
    <x v="38"/>
    <x v="7"/>
    <n v="2.88"/>
  </r>
  <r>
    <x v="39"/>
    <x v="7"/>
    <n v="2.8839999999999999"/>
  </r>
  <r>
    <x v="40"/>
    <x v="7"/>
    <n v="2.8889999999999998"/>
  </r>
  <r>
    <x v="41"/>
    <x v="7"/>
    <n v="2.887"/>
  </r>
  <r>
    <x v="42"/>
    <x v="7"/>
    <n v="2.891"/>
  </r>
  <r>
    <x v="43"/>
    <x v="7"/>
    <n v="2.8940000000000001"/>
  </r>
  <r>
    <x v="44"/>
    <x v="7"/>
    <n v="2.887"/>
  </r>
  <r>
    <x v="45"/>
    <x v="7"/>
    <n v="2.887"/>
  </r>
  <r>
    <x v="46"/>
    <x v="7"/>
    <n v="2.895"/>
  </r>
  <r>
    <x v="47"/>
    <x v="7"/>
    <n v="2.899"/>
  </r>
  <r>
    <x v="48"/>
    <x v="7"/>
    <n v="2.9049999999999998"/>
  </r>
  <r>
    <x v="49"/>
    <x v="7"/>
    <n v="2.9079999999999999"/>
  </r>
  <r>
    <x v="50"/>
    <x v="7"/>
    <n v="2.9119999999999999"/>
  </r>
  <r>
    <x v="51"/>
    <x v="7"/>
    <n v="2.915"/>
  </r>
  <r>
    <x v="52"/>
    <x v="7"/>
    <n v="2.927"/>
  </r>
  <r>
    <x v="53"/>
    <x v="7"/>
    <n v="2.927"/>
  </r>
  <r>
    <x v="54"/>
    <x v="7"/>
    <n v="2.9249999999999998"/>
  </r>
  <r>
    <x v="55"/>
    <x v="7"/>
    <n v="2.927"/>
  </r>
  <r>
    <x v="56"/>
    <x v="7"/>
    <n v="2.9529999999999998"/>
  </r>
  <r>
    <x v="57"/>
    <x v="7"/>
    <n v="2.9529999999999998"/>
  </r>
  <r>
    <x v="58"/>
    <x v="7"/>
    <n v="2.9529999999999998"/>
  </r>
  <r>
    <x v="59"/>
    <x v="7"/>
    <n v="2.9550000000000001"/>
  </r>
  <r>
    <x v="60"/>
    <x v="7"/>
    <n v="2.9529999999999998"/>
  </r>
  <r>
    <x v="61"/>
    <x v="7"/>
    <n v="2.98"/>
  </r>
  <r>
    <x v="62"/>
    <x v="7"/>
    <n v="2.9820000000000002"/>
  </r>
  <r>
    <x v="63"/>
    <x v="7"/>
    <n v="2.9820000000000002"/>
  </r>
  <r>
    <x v="64"/>
    <x v="7"/>
    <n v="2.9820000000000002"/>
  </r>
  <r>
    <x v="65"/>
    <x v="7"/>
    <n v="2.9820000000000002"/>
  </r>
  <r>
    <x v="66"/>
    <x v="7"/>
    <n v="3.0059999999999998"/>
  </r>
  <r>
    <x v="67"/>
    <x v="7"/>
    <n v="3.0089999999999999"/>
  </r>
  <r>
    <x v="68"/>
    <x v="7"/>
    <n v="3.0169999999999999"/>
  </r>
  <r>
    <x v="69"/>
    <x v="7"/>
    <n v="3.0169999999999999"/>
  </r>
  <r>
    <x v="70"/>
    <x v="7"/>
    <n v="3.03"/>
  </r>
  <r>
    <x v="71"/>
    <x v="7"/>
    <n v="3.03"/>
  </r>
  <r>
    <x v="72"/>
    <x v="7"/>
    <n v="3.036"/>
  </r>
  <r>
    <x v="73"/>
    <x v="7"/>
    <n v="3.036"/>
  </r>
  <r>
    <x v="74"/>
    <x v="7"/>
    <n v="3.036"/>
  </r>
  <r>
    <x v="75"/>
    <x v="7"/>
    <n v="3.036"/>
  </r>
  <r>
    <x v="76"/>
    <x v="7"/>
    <n v="3.036"/>
  </r>
  <r>
    <x v="77"/>
    <x v="7"/>
    <n v="3.036"/>
  </r>
  <r>
    <x v="78"/>
    <x v="7"/>
    <n v="3.036"/>
  </r>
  <r>
    <x v="79"/>
    <x v="7"/>
    <n v="3.036"/>
  </r>
  <r>
    <x v="80"/>
    <x v="7"/>
    <n v="3.036"/>
  </r>
  <r>
    <x v="81"/>
    <x v="7"/>
    <n v="3.0379999999999998"/>
  </r>
  <r>
    <x v="82"/>
    <x v="7"/>
    <n v="3.0390000000000001"/>
  </r>
  <r>
    <x v="83"/>
    <x v="7"/>
    <n v="3.052"/>
  </r>
  <r>
    <x v="84"/>
    <x v="7"/>
    <n v="3.0539999999999998"/>
  </r>
  <r>
    <x v="85"/>
    <x v="7"/>
    <n v="3.0539999999999998"/>
  </r>
  <r>
    <x v="86"/>
    <x v="7"/>
    <n v="3.0569999999999999"/>
  </r>
  <r>
    <x v="87"/>
    <x v="7"/>
    <n v="3.0569999999999999"/>
  </r>
  <r>
    <x v="88"/>
    <x v="7"/>
    <n v="3.0579999999999998"/>
  </r>
  <r>
    <x v="89"/>
    <x v="7"/>
    <n v="3.0579999999999998"/>
  </r>
  <r>
    <x v="90"/>
    <x v="7"/>
    <n v="3.0579999999999998"/>
  </r>
  <r>
    <x v="91"/>
    <x v="7"/>
    <n v="3.0760000000000001"/>
  </r>
  <r>
    <x v="92"/>
    <x v="7"/>
    <n v="3.0779999999999998"/>
  </r>
  <r>
    <x v="93"/>
    <x v="7"/>
    <n v="3.0779999999999998"/>
  </r>
  <r>
    <x v="94"/>
    <x v="7"/>
    <n v="3.0779999999999998"/>
  </r>
  <r>
    <x v="95"/>
    <x v="7"/>
    <n v="3.0779999999999998"/>
  </r>
  <r>
    <x v="96"/>
    <x v="7"/>
    <n v="3.0779999999999998"/>
  </r>
  <r>
    <x v="97"/>
    <x v="7"/>
    <n v="3.0779999999999998"/>
  </r>
  <r>
    <x v="98"/>
    <x v="7"/>
    <n v="3.08"/>
  </r>
  <r>
    <x v="99"/>
    <x v="7"/>
    <n v="3.0880000000000001"/>
  </r>
  <r>
    <x v="100"/>
    <x v="7"/>
    <n v="3.09"/>
  </r>
  <r>
    <x v="101"/>
    <x v="7"/>
    <n v="3.0979999999999999"/>
  </r>
  <r>
    <x v="102"/>
    <x v="7"/>
    <n v="3.1059999999999999"/>
  </r>
  <r>
    <x v="103"/>
    <x v="7"/>
    <n v="3.113"/>
  </r>
  <r>
    <x v="104"/>
    <x v="7"/>
    <n v="3.113"/>
  </r>
  <r>
    <x v="105"/>
    <x v="7"/>
    <n v="3.113"/>
  </r>
  <r>
    <x v="106"/>
    <x v="7"/>
    <n v="3.1179999999999999"/>
  </r>
  <r>
    <x v="107"/>
    <x v="7"/>
    <n v="3.1179999999999999"/>
  </r>
  <r>
    <x v="108"/>
    <x v="7"/>
    <n v="3.1139999999999999"/>
  </r>
  <r>
    <x v="109"/>
    <x v="7"/>
    <n v="3.121"/>
  </r>
  <r>
    <x v="110"/>
    <x v="7"/>
    <n v="3.1179999999999999"/>
  </r>
  <r>
    <x v="111"/>
    <x v="7"/>
    <n v="3.1219999999999999"/>
  </r>
  <r>
    <x v="112"/>
    <x v="7"/>
    <n v="3.1269999999999998"/>
  </r>
  <r>
    <x v="113"/>
    <x v="7"/>
    <n v="3.1269999999999998"/>
  </r>
  <r>
    <x v="114"/>
    <x v="7"/>
    <n v="3.1309999999999998"/>
  </r>
  <r>
    <x v="115"/>
    <x v="7"/>
    <n v="3.1309999999999998"/>
  </r>
  <r>
    <x v="116"/>
    <x v="7"/>
    <n v="3.1309999999999998"/>
  </r>
  <r>
    <x v="117"/>
    <x v="7"/>
    <n v="3.1309999999999998"/>
  </r>
  <r>
    <x v="118"/>
    <x v="7"/>
    <n v="3.1360000000000001"/>
  </r>
  <r>
    <x v="119"/>
    <x v="7"/>
    <n v="3.1360000000000001"/>
  </r>
  <r>
    <x v="120"/>
    <x v="7"/>
    <n v="3.141"/>
  </r>
  <r>
    <x v="121"/>
    <x v="7"/>
    <n v="3.153"/>
  </r>
  <r>
    <x v="122"/>
    <x v="7"/>
    <n v="3.153"/>
  </r>
  <r>
    <x v="123"/>
    <x v="7"/>
    <n v="3.1949999999999998"/>
  </r>
  <r>
    <x v="124"/>
    <x v="7"/>
    <n v="3.29"/>
  </r>
  <r>
    <x v="125"/>
    <x v="7"/>
    <n v="3.3420000000000001"/>
  </r>
  <r>
    <x v="126"/>
    <x v="7"/>
    <n v="3.331"/>
  </r>
  <r>
    <x v="127"/>
    <x v="7"/>
    <n v="3.335"/>
  </r>
  <r>
    <x v="128"/>
    <x v="7"/>
    <n v="3.3740000000000001"/>
  </r>
  <r>
    <x v="129"/>
    <x v="7"/>
    <n v="3.387"/>
  </r>
  <r>
    <x v="130"/>
    <x v="7"/>
    <n v="3.375"/>
  </r>
  <r>
    <x v="131"/>
    <x v="7"/>
    <n v="3.3959999999999999"/>
  </r>
  <r>
    <x v="132"/>
    <x v="7"/>
    <n v="3.387"/>
  </r>
  <r>
    <x v="133"/>
    <x v="7"/>
    <n v="3.3809999999999998"/>
  </r>
  <r>
    <x v="134"/>
    <x v="7"/>
    <n v="3.383"/>
  </r>
  <r>
    <x v="135"/>
    <x v="7"/>
    <n v="3.3849999999999998"/>
  </r>
  <r>
    <x v="136"/>
    <x v="7"/>
    <n v="3.3879999999999999"/>
  </r>
  <r>
    <x v="137"/>
    <x v="7"/>
    <n v="3.3860000000000001"/>
  </r>
  <r>
    <x v="138"/>
    <x v="7"/>
    <n v="3.391"/>
  </r>
  <r>
    <x v="139"/>
    <x v="7"/>
    <n v="3.3860000000000001"/>
  </r>
  <r>
    <x v="140"/>
    <x v="7"/>
    <n v="3.3879999999999999"/>
  </r>
  <r>
    <x v="141"/>
    <x v="7"/>
    <n v="3.4079999999999999"/>
  </r>
  <r>
    <x v="142"/>
    <x v="7"/>
    <n v="3.4039999999999999"/>
  </r>
  <r>
    <x v="143"/>
    <x v="7"/>
    <n v="3.4260000000000002"/>
  </r>
  <r>
    <x v="144"/>
    <x v="7"/>
    <n v="3.419"/>
  </r>
  <r>
    <x v="145"/>
    <x v="7"/>
    <n v="3.4209999999999998"/>
  </r>
  <r>
    <x v="146"/>
    <x v="7"/>
    <n v="3.4449999999999998"/>
  </r>
  <r>
    <x v="147"/>
    <x v="7"/>
    <n v="3.4729999999999999"/>
  </r>
  <r>
    <x v="148"/>
    <x v="7"/>
    <n v="3.476"/>
  </r>
  <r>
    <x v="149"/>
    <x v="7"/>
    <n v="3.48"/>
  </r>
  <r>
    <x v="150"/>
    <x v="7"/>
    <n v="3.4780000000000002"/>
  </r>
  <r>
    <x v="151"/>
    <x v="7"/>
    <n v="3.4780000000000002"/>
  </r>
  <r>
    <x v="152"/>
    <x v="7"/>
    <n v="3.4769999999999999"/>
  </r>
  <r>
    <x v="153"/>
    <x v="7"/>
    <n v="3.4750000000000001"/>
  </r>
  <r>
    <x v="154"/>
    <x v="7"/>
    <n v="3.4790000000000001"/>
  </r>
  <r>
    <x v="155"/>
    <x v="7"/>
    <n v="3.4790000000000001"/>
  </r>
  <r>
    <x v="156"/>
    <x v="7"/>
    <n v="3.5169999999999999"/>
  </r>
  <r>
    <x v="157"/>
    <x v="7"/>
    <n v="3.52"/>
  </r>
  <r>
    <x v="158"/>
    <x v="7"/>
    <n v="3.52"/>
  </r>
  <r>
    <x v="159"/>
    <x v="7"/>
    <n v="3.5259999999999998"/>
  </r>
  <r>
    <x v="160"/>
    <x v="7"/>
    <n v="3.5259999999999998"/>
  </r>
  <r>
    <x v="161"/>
    <x v="7"/>
    <n v="3.5390000000000001"/>
  </r>
  <r>
    <x v="162"/>
    <x v="7"/>
    <n v="3.5579999999999998"/>
  </r>
  <r>
    <x v="163"/>
    <x v="7"/>
    <n v="3.56"/>
  </r>
  <r>
    <x v="164"/>
    <x v="7"/>
    <n v="3.6520000000000001"/>
  </r>
  <r>
    <x v="165"/>
    <x v="7"/>
    <n v="3.677"/>
  </r>
  <r>
    <x v="166"/>
    <x v="7"/>
    <n v="3.6840000000000002"/>
  </r>
  <r>
    <x v="167"/>
    <x v="7"/>
    <n v="3.7080000000000002"/>
  </r>
  <r>
    <x v="168"/>
    <x v="7"/>
    <n v="3.71"/>
  </r>
  <r>
    <x v="169"/>
    <x v="7"/>
    <n v="3.7069999999999999"/>
  </r>
  <r>
    <x v="170"/>
    <x v="7"/>
    <n v="3.7040000000000002"/>
  </r>
  <r>
    <x v="171"/>
    <x v="7"/>
    <n v="3.7080000000000002"/>
  </r>
  <r>
    <x v="172"/>
    <x v="7"/>
    <n v="3.7189999999999999"/>
  </r>
  <r>
    <x v="173"/>
    <x v="7"/>
    <n v="3.7240000000000002"/>
  </r>
  <r>
    <x v="174"/>
    <x v="7"/>
    <n v="3.7290000000000001"/>
  </r>
  <r>
    <x v="175"/>
    <x v="7"/>
    <n v="3.726"/>
  </r>
  <r>
    <x v="176"/>
    <x v="7"/>
    <n v="3.726"/>
  </r>
  <r>
    <x v="177"/>
    <x v="7"/>
    <n v="3.7240000000000002"/>
  </r>
  <r>
    <x v="178"/>
    <x v="7"/>
    <n v="3.722"/>
  </r>
  <r>
    <x v="179"/>
    <x v="7"/>
    <n v="3.726"/>
  </r>
  <r>
    <x v="180"/>
    <x v="7"/>
    <n v="3.726"/>
  </r>
  <r>
    <x v="181"/>
    <x v="7"/>
    <n v="3.73"/>
  </r>
  <r>
    <x v="182"/>
    <x v="7"/>
    <n v="3.7320000000000002"/>
  </r>
  <r>
    <x v="183"/>
    <x v="7"/>
    <n v="3.73"/>
  </r>
  <r>
    <x v="184"/>
    <x v="7"/>
    <n v="3.734"/>
  </r>
  <r>
    <x v="185"/>
    <x v="7"/>
    <n v="3.7349999999999999"/>
  </r>
  <r>
    <x v="186"/>
    <x v="7"/>
    <n v="3.7309999999999999"/>
  </r>
  <r>
    <x v="187"/>
    <x v="7"/>
    <n v="3.7330000000000001"/>
  </r>
  <r>
    <x v="188"/>
    <x v="7"/>
    <n v="3.7309999999999999"/>
  </r>
  <r>
    <x v="189"/>
    <x v="7"/>
    <n v="3.726"/>
  </r>
  <r>
    <x v="190"/>
    <x v="7"/>
    <n v="3.7330000000000001"/>
  </r>
  <r>
    <x v="191"/>
    <x v="7"/>
    <n v="3.754"/>
  </r>
  <r>
    <x v="192"/>
    <x v="7"/>
    <n v="3.73"/>
  </r>
  <r>
    <x v="193"/>
    <x v="7"/>
    <n v="3.7480000000000002"/>
  </r>
  <r>
    <x v="194"/>
    <x v="7"/>
    <n v="3.7509999999999999"/>
  </r>
  <r>
    <x v="195"/>
    <x v="7"/>
    <n v="3.7490000000000001"/>
  </r>
  <r>
    <x v="196"/>
    <x v="7"/>
    <n v="3.7490000000000001"/>
  </r>
  <r>
    <x v="197"/>
    <x v="7"/>
    <n v="3.762"/>
  </r>
  <r>
    <x v="198"/>
    <x v="7"/>
    <n v="3.76"/>
  </r>
  <r>
    <x v="199"/>
    <x v="7"/>
    <n v="3.75"/>
  </r>
  <r>
    <x v="200"/>
    <x v="7"/>
    <n v="3.754"/>
  </r>
  <r>
    <x v="201"/>
    <x v="7"/>
    <n v="3.75"/>
  </r>
  <r>
    <x v="202"/>
    <x v="7"/>
    <n v="3.75"/>
  </r>
  <r>
    <x v="203"/>
    <x v="7"/>
    <n v="3.7480000000000002"/>
  </r>
  <r>
    <x v="204"/>
    <x v="7"/>
    <n v="3.75"/>
  </r>
  <r>
    <x v="205"/>
    <x v="7"/>
    <n v="3.746"/>
  </r>
  <r>
    <x v="206"/>
    <x v="7"/>
    <n v="3.7469999999999999"/>
  </r>
  <r>
    <x v="207"/>
    <x v="7"/>
    <n v="3.75"/>
  </r>
  <r>
    <x v="208"/>
    <x v="7"/>
    <n v="3.7480000000000002"/>
  </r>
  <r>
    <x v="209"/>
    <x v="7"/>
    <n v="3.75"/>
  </r>
  <r>
    <x v="210"/>
    <x v="7"/>
    <n v="3.7549999999999999"/>
  </r>
  <r>
    <x v="211"/>
    <x v="7"/>
    <n v="3.7559999999999998"/>
  </r>
  <r>
    <x v="212"/>
    <x v="7"/>
    <n v="3.7559999999999998"/>
  </r>
  <r>
    <x v="213"/>
    <x v="7"/>
    <n v="3.758"/>
  </r>
  <r>
    <x v="214"/>
    <x v="7"/>
    <n v="3.758"/>
  </r>
  <r>
    <x v="215"/>
    <x v="7"/>
    <n v="3.76"/>
  </r>
  <r>
    <x v="216"/>
    <x v="7"/>
    <n v="3.7930000000000001"/>
  </r>
  <r>
    <x v="217"/>
    <x v="7"/>
    <n v="3.7949999999999999"/>
  </r>
  <r>
    <x v="218"/>
    <x v="7"/>
    <n v="3.7959999999999998"/>
  </r>
  <r>
    <x v="219"/>
    <x v="7"/>
    <n v="3.8069999999999999"/>
  </r>
  <r>
    <x v="220"/>
    <x v="7"/>
    <n v="3.8159999999999998"/>
  </r>
  <r>
    <x v="221"/>
    <x v="7"/>
    <n v="3.8210000000000002"/>
  </r>
  <r>
    <x v="222"/>
    <x v="7"/>
    <n v="3.823"/>
  </r>
  <r>
    <x v="223"/>
    <x v="7"/>
    <n v="3.8260000000000001"/>
  </r>
  <r>
    <x v="224"/>
    <x v="7"/>
    <n v="3.8260000000000001"/>
  </r>
  <r>
    <x v="225"/>
    <x v="7"/>
    <n v="3.827"/>
  </r>
  <r>
    <x v="226"/>
    <x v="7"/>
    <n v="3.8420000000000001"/>
  </r>
  <r>
    <x v="227"/>
    <x v="7"/>
    <n v="3.8439999999999999"/>
  </r>
  <r>
    <x v="228"/>
    <x v="7"/>
    <n v="3.8439999999999999"/>
  </r>
  <r>
    <x v="229"/>
    <x v="7"/>
    <n v="3.8479999999999999"/>
  </r>
  <r>
    <x v="230"/>
    <x v="7"/>
    <n v="3.8479999999999999"/>
  </r>
  <r>
    <x v="231"/>
    <x v="7"/>
    <n v="3.8660000000000001"/>
  </r>
  <r>
    <x v="232"/>
    <x v="7"/>
    <n v="3.871"/>
  </r>
  <r>
    <x v="233"/>
    <x v="7"/>
    <n v="3.8660000000000001"/>
  </r>
  <r>
    <x v="234"/>
    <x v="7"/>
    <n v="3.87"/>
  </r>
  <r>
    <x v="235"/>
    <x v="7"/>
    <n v="3.87"/>
  </r>
  <r>
    <x v="236"/>
    <x v="7"/>
    <n v="3.87"/>
  </r>
  <r>
    <x v="237"/>
    <x v="7"/>
    <n v="3.879"/>
  </r>
  <r>
    <x v="238"/>
    <x v="7"/>
    <n v="3.88"/>
  </r>
  <r>
    <x v="239"/>
    <x v="7"/>
    <n v="3.8839999999999999"/>
  </r>
  <r>
    <x v="240"/>
    <x v="7"/>
    <n v="3.8860000000000001"/>
  </r>
  <r>
    <x v="241"/>
    <x v="7"/>
    <n v="3.8839999999999999"/>
  </r>
  <r>
    <x v="242"/>
    <x v="7"/>
    <n v="3.8839999999999999"/>
  </r>
  <r>
    <x v="243"/>
    <x v="7"/>
    <n v="3.8839999999999999"/>
  </r>
  <r>
    <x v="244"/>
    <x v="7"/>
    <n v="3.8839999999999999"/>
  </r>
  <r>
    <x v="245"/>
    <x v="7"/>
    <n v="3.8849999999999998"/>
  </r>
  <r>
    <x v="246"/>
    <x v="7"/>
    <n v="3.8879999999999999"/>
  </r>
  <r>
    <x v="247"/>
    <x v="7"/>
    <n v="3.8879999999999999"/>
  </r>
  <r>
    <x v="248"/>
    <x v="7"/>
    <n v="3.8879999999999999"/>
  </r>
  <r>
    <x v="249"/>
    <x v="7"/>
    <n v="3.8879999999999999"/>
  </r>
  <r>
    <x v="250"/>
    <x v="7"/>
    <n v="3.89"/>
  </r>
  <r>
    <x v="251"/>
    <x v="7"/>
    <n v="3.8929999999999998"/>
  </r>
  <r>
    <x v="252"/>
    <x v="7"/>
    <n v="3.8929999999999998"/>
  </r>
  <r>
    <x v="253"/>
    <x v="7"/>
    <n v="3.8940000000000001"/>
  </r>
  <r>
    <x v="254"/>
    <x v="7"/>
    <n v="3.9009999999999998"/>
  </r>
  <r>
    <x v="255"/>
    <x v="7"/>
    <n v="3.919"/>
  </r>
  <r>
    <x v="256"/>
    <x v="7"/>
    <n v="3.9180000000000001"/>
  </r>
  <r>
    <x v="257"/>
    <x v="7"/>
    <n v="3.9169999999999998"/>
  </r>
  <r>
    <x v="258"/>
    <x v="7"/>
    <n v="3.927"/>
  </r>
  <r>
    <x v="259"/>
    <x v="7"/>
    <n v="3.9260000000000002"/>
  </r>
  <r>
    <x v="260"/>
    <x v="7"/>
    <n v="3.9279999999999999"/>
  </r>
  <r>
    <x v="261"/>
    <x v="7"/>
    <n v="3.93"/>
  </r>
  <r>
    <x v="262"/>
    <x v="7"/>
    <n v="3.9279999999999999"/>
  </r>
  <r>
    <x v="263"/>
    <x v="7"/>
    <n v="3.95"/>
  </r>
  <r>
    <x v="264"/>
    <x v="7"/>
    <n v="3.9529999999999998"/>
  </r>
  <r>
    <x v="265"/>
    <x v="7"/>
    <n v="3.95"/>
  </r>
  <r>
    <x v="266"/>
    <x v="7"/>
    <n v="3.956"/>
  </r>
  <r>
    <x v="267"/>
    <x v="7"/>
    <n v="3.9569999999999999"/>
  </r>
  <r>
    <x v="268"/>
    <x v="7"/>
    <n v="3.9620000000000002"/>
  </r>
  <r>
    <x v="269"/>
    <x v="7"/>
    <n v="3.9620000000000002"/>
  </r>
  <r>
    <x v="270"/>
    <x v="7"/>
    <n v="3.9689999999999999"/>
  </r>
  <r>
    <x v="271"/>
    <x v="7"/>
    <n v="3.976"/>
  </r>
  <r>
    <x v="272"/>
    <x v="7"/>
    <n v="3.9710000000000001"/>
  </r>
  <r>
    <x v="273"/>
    <x v="7"/>
    <n v="3.976"/>
  </r>
  <r>
    <x v="274"/>
    <x v="7"/>
    <n v="3.9710000000000001"/>
  </r>
  <r>
    <x v="0"/>
    <x v="8"/>
    <n v="2.669"/>
  </r>
  <r>
    <x v="1"/>
    <x v="8"/>
    <n v="2.669"/>
  </r>
  <r>
    <x v="2"/>
    <x v="8"/>
    <n v="2.6739999999999999"/>
  </r>
  <r>
    <x v="3"/>
    <x v="8"/>
    <n v="2.6739999999999999"/>
  </r>
  <r>
    <x v="4"/>
    <x v="8"/>
    <n v="2.6840000000000002"/>
  </r>
  <r>
    <x v="5"/>
    <x v="8"/>
    <n v="2.6909999999999998"/>
  </r>
  <r>
    <x v="6"/>
    <x v="8"/>
    <n v="2.69"/>
  </r>
  <r>
    <x v="7"/>
    <x v="8"/>
    <n v="2.7109999999999999"/>
  </r>
  <r>
    <x v="8"/>
    <x v="8"/>
    <n v="2.7320000000000002"/>
  </r>
  <r>
    <x v="9"/>
    <x v="8"/>
    <n v="2.734"/>
  </r>
  <r>
    <x v="10"/>
    <x v="8"/>
    <n v="2.734"/>
  </r>
  <r>
    <x v="11"/>
    <x v="8"/>
    <n v="2.7410000000000001"/>
  </r>
  <r>
    <x v="12"/>
    <x v="8"/>
    <n v="2.7429999999999999"/>
  </r>
  <r>
    <x v="13"/>
    <x v="8"/>
    <n v="2.7490000000000001"/>
  </r>
  <r>
    <x v="14"/>
    <x v="8"/>
    <n v="2.7589999999999999"/>
  </r>
  <r>
    <x v="15"/>
    <x v="8"/>
    <n v="2.7589999999999999"/>
  </r>
  <r>
    <x v="16"/>
    <x v="8"/>
    <n v="2.7629999999999999"/>
  </r>
  <r>
    <x v="17"/>
    <x v="8"/>
    <n v="2.7639999999999998"/>
  </r>
  <r>
    <x v="18"/>
    <x v="8"/>
    <n v="2.7690000000000001"/>
  </r>
  <r>
    <x v="19"/>
    <x v="8"/>
    <n v="2.7719999999999998"/>
  </r>
  <r>
    <x v="20"/>
    <x v="8"/>
    <n v="2.7719999999999998"/>
  </r>
  <r>
    <x v="21"/>
    <x v="8"/>
    <n v="2.7759999999999998"/>
  </r>
  <r>
    <x v="22"/>
    <x v="8"/>
    <n v="2.7789999999999999"/>
  </r>
  <r>
    <x v="23"/>
    <x v="8"/>
    <n v="2.823"/>
  </r>
  <r>
    <x v="24"/>
    <x v="8"/>
    <n v="2.8370000000000002"/>
  </r>
  <r>
    <x v="25"/>
    <x v="8"/>
    <n v="2.83"/>
  </r>
  <r>
    <x v="26"/>
    <x v="8"/>
    <n v="2.823"/>
  </r>
  <r>
    <x v="27"/>
    <x v="8"/>
    <n v="2.831"/>
  </r>
  <r>
    <x v="28"/>
    <x v="8"/>
    <n v="2.855"/>
  </r>
  <r>
    <x v="29"/>
    <x v="8"/>
    <n v="2.9289999999999998"/>
  </r>
  <r>
    <x v="30"/>
    <x v="8"/>
    <n v="2.996"/>
  </r>
  <r>
    <x v="31"/>
    <x v="8"/>
    <n v="3.01"/>
  </r>
  <r>
    <x v="32"/>
    <x v="8"/>
    <n v="3.0139999999999998"/>
  </r>
  <r>
    <x v="33"/>
    <x v="8"/>
    <n v="3.01"/>
  </r>
  <r>
    <x v="34"/>
    <x v="8"/>
    <n v="3.01"/>
  </r>
  <r>
    <x v="35"/>
    <x v="8"/>
    <n v="3.0070000000000001"/>
  </r>
  <r>
    <x v="36"/>
    <x v="8"/>
    <n v="3.0070000000000001"/>
  </r>
  <r>
    <x v="37"/>
    <x v="8"/>
    <n v="3.0070000000000001"/>
  </r>
  <r>
    <x v="38"/>
    <x v="8"/>
    <n v="3.0070000000000001"/>
  </r>
  <r>
    <x v="39"/>
    <x v="8"/>
    <n v="3.0070000000000001"/>
  </r>
  <r>
    <x v="40"/>
    <x v="8"/>
    <n v="3.0179999999999998"/>
  </r>
  <r>
    <x v="41"/>
    <x v="8"/>
    <n v="3.01"/>
  </r>
  <r>
    <x v="42"/>
    <x v="8"/>
    <n v="3.0169999999999999"/>
  </r>
  <r>
    <x v="43"/>
    <x v="8"/>
    <n v="3.0209999999999999"/>
  </r>
  <r>
    <x v="44"/>
    <x v="8"/>
    <n v="3.0059999999999998"/>
  </r>
  <r>
    <x v="45"/>
    <x v="8"/>
    <n v="3.0059999999999998"/>
  </r>
  <r>
    <x v="46"/>
    <x v="8"/>
    <n v="3.0169999999999999"/>
  </r>
  <r>
    <x v="47"/>
    <x v="8"/>
    <n v="3.024"/>
  </r>
  <r>
    <x v="48"/>
    <x v="8"/>
    <n v="3.024"/>
  </r>
  <r>
    <x v="49"/>
    <x v="8"/>
    <n v="3.0310000000000001"/>
  </r>
  <r>
    <x v="50"/>
    <x v="8"/>
    <n v="3.0390000000000001"/>
  </r>
  <r>
    <x v="51"/>
    <x v="8"/>
    <n v="3.036"/>
  </r>
  <r>
    <x v="52"/>
    <x v="8"/>
    <n v="3.0590000000000002"/>
  </r>
  <r>
    <x v="53"/>
    <x v="8"/>
    <n v="3.0590000000000002"/>
  </r>
  <r>
    <x v="54"/>
    <x v="8"/>
    <n v="3.0569999999999999"/>
  </r>
  <r>
    <x v="55"/>
    <x v="8"/>
    <n v="3.0609999999999999"/>
  </r>
  <r>
    <x v="56"/>
    <x v="8"/>
    <n v="3.0859999999999999"/>
  </r>
  <r>
    <x v="57"/>
    <x v="8"/>
    <n v="3.0859999999999999"/>
  </r>
  <r>
    <x v="58"/>
    <x v="8"/>
    <n v="3.0859999999999999"/>
  </r>
  <r>
    <x v="59"/>
    <x v="8"/>
    <n v="3.09"/>
  </r>
  <r>
    <x v="60"/>
    <x v="8"/>
    <n v="3.0859999999999999"/>
  </r>
  <r>
    <x v="61"/>
    <x v="8"/>
    <n v="3.1240000000000001"/>
  </r>
  <r>
    <x v="62"/>
    <x v="8"/>
    <n v="3.129"/>
  </r>
  <r>
    <x v="63"/>
    <x v="8"/>
    <n v="3.129"/>
  </r>
  <r>
    <x v="64"/>
    <x v="8"/>
    <n v="3.129"/>
  </r>
  <r>
    <x v="65"/>
    <x v="8"/>
    <n v="3.129"/>
  </r>
  <r>
    <x v="66"/>
    <x v="8"/>
    <n v="3.1509999999999998"/>
  </r>
  <r>
    <x v="67"/>
    <x v="8"/>
    <n v="3.1509999999999998"/>
  </r>
  <r>
    <x v="68"/>
    <x v="8"/>
    <n v="3.1509999999999998"/>
  </r>
  <r>
    <x v="69"/>
    <x v="8"/>
    <n v="3.1509999999999998"/>
  </r>
  <r>
    <x v="70"/>
    <x v="8"/>
    <n v="3.16"/>
  </r>
  <r>
    <x v="71"/>
    <x v="8"/>
    <n v="3.16"/>
  </r>
  <r>
    <x v="72"/>
    <x v="8"/>
    <n v="3.1640000000000001"/>
  </r>
  <r>
    <x v="73"/>
    <x v="8"/>
    <n v="3.1640000000000001"/>
  </r>
  <r>
    <x v="74"/>
    <x v="8"/>
    <n v="3.1640000000000001"/>
  </r>
  <r>
    <x v="75"/>
    <x v="8"/>
    <n v="3.1640000000000001"/>
  </r>
  <r>
    <x v="76"/>
    <x v="8"/>
    <n v="3.1640000000000001"/>
  </r>
  <r>
    <x v="77"/>
    <x v="8"/>
    <n v="3.1640000000000001"/>
  </r>
  <r>
    <x v="78"/>
    <x v="8"/>
    <n v="3.1640000000000001"/>
  </r>
  <r>
    <x v="79"/>
    <x v="8"/>
    <n v="3.1640000000000001"/>
  </r>
  <r>
    <x v="80"/>
    <x v="8"/>
    <n v="3.1640000000000001"/>
  </r>
  <r>
    <x v="81"/>
    <x v="8"/>
    <n v="3.1680000000000001"/>
  </r>
  <r>
    <x v="82"/>
    <x v="8"/>
    <n v="3.1680000000000001"/>
  </r>
  <r>
    <x v="83"/>
    <x v="8"/>
    <n v="3.1720000000000002"/>
  </r>
  <r>
    <x v="84"/>
    <x v="8"/>
    <n v="3.1760000000000002"/>
  </r>
  <r>
    <x v="85"/>
    <x v="8"/>
    <n v="3.1760000000000002"/>
  </r>
  <r>
    <x v="86"/>
    <x v="8"/>
    <n v="3.18"/>
  </r>
  <r>
    <x v="87"/>
    <x v="8"/>
    <n v="3.18"/>
  </r>
  <r>
    <x v="88"/>
    <x v="8"/>
    <n v="3.1829999999999998"/>
  </r>
  <r>
    <x v="89"/>
    <x v="8"/>
    <n v="3.1829999999999998"/>
  </r>
  <r>
    <x v="90"/>
    <x v="8"/>
    <n v="3.1829999999999998"/>
  </r>
  <r>
    <x v="91"/>
    <x v="8"/>
    <n v="3.1859999999999999"/>
  </r>
  <r>
    <x v="92"/>
    <x v="8"/>
    <n v="3.1859999999999999"/>
  </r>
  <r>
    <x v="93"/>
    <x v="8"/>
    <n v="3.1859999999999999"/>
  </r>
  <r>
    <x v="94"/>
    <x v="8"/>
    <n v="3.1859999999999999"/>
  </r>
  <r>
    <x v="95"/>
    <x v="8"/>
    <n v="3.1859999999999999"/>
  </r>
  <r>
    <x v="96"/>
    <x v="8"/>
    <n v="3.1859999999999999"/>
  </r>
  <r>
    <x v="97"/>
    <x v="8"/>
    <n v="3.1859999999999999"/>
  </r>
  <r>
    <x v="98"/>
    <x v="8"/>
    <n v="3.1859999999999999"/>
  </r>
  <r>
    <x v="99"/>
    <x v="8"/>
    <n v="3.1930000000000001"/>
  </r>
  <r>
    <x v="100"/>
    <x v="8"/>
    <n v="3.1930000000000001"/>
  </r>
  <r>
    <x v="101"/>
    <x v="8"/>
    <n v="3.2"/>
  </r>
  <r>
    <x v="102"/>
    <x v="8"/>
    <n v="3.2"/>
  </r>
  <r>
    <x v="103"/>
    <x v="8"/>
    <n v="3.2040000000000002"/>
  </r>
  <r>
    <x v="104"/>
    <x v="8"/>
    <n v="3.2040000000000002"/>
  </r>
  <r>
    <x v="105"/>
    <x v="8"/>
    <n v="3.2040000000000002"/>
  </r>
  <r>
    <x v="106"/>
    <x v="8"/>
    <n v="3.214"/>
  </r>
  <r>
    <x v="107"/>
    <x v="8"/>
    <n v="3.214"/>
  </r>
  <r>
    <x v="108"/>
    <x v="8"/>
    <n v="3.214"/>
  </r>
  <r>
    <x v="109"/>
    <x v="8"/>
    <n v="3.2280000000000002"/>
  </r>
  <r>
    <x v="110"/>
    <x v="8"/>
    <n v="3.2210000000000001"/>
  </r>
  <r>
    <x v="111"/>
    <x v="8"/>
    <n v="3.2210000000000001"/>
  </r>
  <r>
    <x v="112"/>
    <x v="8"/>
    <n v="3.2280000000000002"/>
  </r>
  <r>
    <x v="113"/>
    <x v="8"/>
    <n v="3.2280000000000002"/>
  </r>
  <r>
    <x v="114"/>
    <x v="8"/>
    <n v="3.2349999999999999"/>
  </r>
  <r>
    <x v="115"/>
    <x v="8"/>
    <n v="3.2349999999999999"/>
  </r>
  <r>
    <x v="116"/>
    <x v="8"/>
    <n v="3.2349999999999999"/>
  </r>
  <r>
    <x v="117"/>
    <x v="8"/>
    <n v="3.2389999999999999"/>
  </r>
  <r>
    <x v="118"/>
    <x v="8"/>
    <n v="3.246"/>
  </r>
  <r>
    <x v="119"/>
    <x v="8"/>
    <n v="3.246"/>
  </r>
  <r>
    <x v="120"/>
    <x v="8"/>
    <n v="3.254"/>
  </r>
  <r>
    <x v="121"/>
    <x v="8"/>
    <n v="3.2509999999999999"/>
  </r>
  <r>
    <x v="122"/>
    <x v="8"/>
    <n v="3.2509999999999999"/>
  </r>
  <r>
    <x v="123"/>
    <x v="8"/>
    <n v="3.3260000000000001"/>
  </r>
  <r>
    <x v="124"/>
    <x v="8"/>
    <n v="3.468"/>
  </r>
  <r>
    <x v="125"/>
    <x v="8"/>
    <n v="3.536"/>
  </r>
  <r>
    <x v="126"/>
    <x v="8"/>
    <n v="3.5390000000000001"/>
  </r>
  <r>
    <x v="127"/>
    <x v="8"/>
    <n v="3.5470000000000002"/>
  </r>
  <r>
    <x v="128"/>
    <x v="8"/>
    <n v="3.6070000000000002"/>
  </r>
  <r>
    <x v="129"/>
    <x v="8"/>
    <n v="3.6040000000000001"/>
  </r>
  <r>
    <x v="130"/>
    <x v="8"/>
    <n v="3.6"/>
  </r>
  <r>
    <x v="131"/>
    <x v="8"/>
    <n v="3.6429999999999998"/>
  </r>
  <r>
    <x v="132"/>
    <x v="8"/>
    <n v="3.6179999999999999"/>
  </r>
  <r>
    <x v="133"/>
    <x v="8"/>
    <n v="3.6059999999999999"/>
  </r>
  <r>
    <x v="134"/>
    <x v="8"/>
    <n v="3.6110000000000002"/>
  </r>
  <r>
    <x v="135"/>
    <x v="8"/>
    <n v="3.6139999999999999"/>
  </r>
  <r>
    <x v="136"/>
    <x v="8"/>
    <n v="3.6190000000000002"/>
  </r>
  <r>
    <x v="137"/>
    <x v="8"/>
    <n v="3.6160000000000001"/>
  </r>
  <r>
    <x v="138"/>
    <x v="8"/>
    <n v="3.6179999999999999"/>
  </r>
  <r>
    <x v="139"/>
    <x v="8"/>
    <n v="3.6070000000000002"/>
  </r>
  <r>
    <x v="140"/>
    <x v="8"/>
    <n v="3.6110000000000002"/>
  </r>
  <r>
    <x v="141"/>
    <x v="8"/>
    <n v="3.641"/>
  </r>
  <r>
    <x v="142"/>
    <x v="8"/>
    <n v="3.6429999999999998"/>
  </r>
  <r>
    <x v="143"/>
    <x v="8"/>
    <n v="3.6680000000000001"/>
  </r>
  <r>
    <x v="144"/>
    <x v="8"/>
    <n v="3.665"/>
  </r>
  <r>
    <x v="145"/>
    <x v="8"/>
    <n v="3.669"/>
  </r>
  <r>
    <x v="146"/>
    <x v="8"/>
    <n v="3.718"/>
  </r>
  <r>
    <x v="147"/>
    <x v="8"/>
    <n v="3.7469999999999999"/>
  </r>
  <r>
    <x v="148"/>
    <x v="8"/>
    <n v="3.7509999999999999"/>
  </r>
  <r>
    <x v="149"/>
    <x v="8"/>
    <n v="3.758"/>
  </r>
  <r>
    <x v="150"/>
    <x v="8"/>
    <n v="3.754"/>
  </r>
  <r>
    <x v="151"/>
    <x v="8"/>
    <n v="3.754"/>
  </r>
  <r>
    <x v="152"/>
    <x v="8"/>
    <n v="3.75"/>
  </r>
  <r>
    <x v="153"/>
    <x v="8"/>
    <n v="3.746"/>
  </r>
  <r>
    <x v="154"/>
    <x v="8"/>
    <n v="3.754"/>
  </r>
  <r>
    <x v="155"/>
    <x v="8"/>
    <n v="3.754"/>
  </r>
  <r>
    <x v="156"/>
    <x v="8"/>
    <n v="3.8210000000000002"/>
  </r>
  <r>
    <x v="157"/>
    <x v="8"/>
    <n v="3.8109999999999999"/>
  </r>
  <r>
    <x v="158"/>
    <x v="8"/>
    <n v="3.8109999999999999"/>
  </r>
  <r>
    <x v="159"/>
    <x v="8"/>
    <n v="3.8220000000000001"/>
  </r>
  <r>
    <x v="160"/>
    <x v="8"/>
    <n v="3.8220000000000001"/>
  </r>
  <r>
    <x v="161"/>
    <x v="8"/>
    <n v="3.8319999999999999"/>
  </r>
  <r>
    <x v="162"/>
    <x v="8"/>
    <n v="3.85"/>
  </r>
  <r>
    <x v="163"/>
    <x v="8"/>
    <n v="3.8540000000000001"/>
  </r>
  <r>
    <x v="164"/>
    <x v="8"/>
    <n v="4.0039999999999996"/>
  </r>
  <r>
    <x v="165"/>
    <x v="8"/>
    <n v="4.0289999999999999"/>
  </r>
  <r>
    <x v="166"/>
    <x v="8"/>
    <n v="4.0430000000000001"/>
  </r>
  <r>
    <x v="167"/>
    <x v="8"/>
    <n v="4.05"/>
  </r>
  <r>
    <x v="168"/>
    <x v="8"/>
    <n v="4.0540000000000003"/>
  </r>
  <r>
    <x v="169"/>
    <x v="8"/>
    <n v="4.0460000000000003"/>
  </r>
  <r>
    <x v="170"/>
    <x v="8"/>
    <n v="4.0410000000000004"/>
  </r>
  <r>
    <x v="171"/>
    <x v="8"/>
    <n v="4.0460000000000003"/>
  </r>
  <r>
    <x v="172"/>
    <x v="8"/>
    <n v="4.0540000000000003"/>
  </r>
  <r>
    <x v="173"/>
    <x v="8"/>
    <n v="4.0609999999999999"/>
  </r>
  <r>
    <x v="174"/>
    <x v="8"/>
    <n v="4.0709999999999997"/>
  </r>
  <r>
    <x v="175"/>
    <x v="8"/>
    <n v="4.0640000000000001"/>
  </r>
  <r>
    <x v="176"/>
    <x v="8"/>
    <n v="4.0640000000000001"/>
  </r>
  <r>
    <x v="177"/>
    <x v="8"/>
    <n v="4.0609999999999999"/>
  </r>
  <r>
    <x v="178"/>
    <x v="8"/>
    <n v="4.0570000000000004"/>
  </r>
  <r>
    <x v="179"/>
    <x v="8"/>
    <n v="4.0640000000000001"/>
  </r>
  <r>
    <x v="180"/>
    <x v="8"/>
    <n v="4.0640000000000001"/>
  </r>
  <r>
    <x v="181"/>
    <x v="8"/>
    <n v="4.0640000000000001"/>
  </r>
  <r>
    <x v="182"/>
    <x v="8"/>
    <n v="4.0679999999999996"/>
  </r>
  <r>
    <x v="183"/>
    <x v="8"/>
    <n v="4.0640000000000001"/>
  </r>
  <r>
    <x v="184"/>
    <x v="8"/>
    <n v="4.0709999999999997"/>
  </r>
  <r>
    <x v="185"/>
    <x v="8"/>
    <n v="4.0750000000000002"/>
  </r>
  <r>
    <x v="186"/>
    <x v="8"/>
    <n v="4.0670000000000002"/>
  </r>
  <r>
    <x v="187"/>
    <x v="8"/>
    <n v="4.069"/>
  </r>
  <r>
    <x v="188"/>
    <x v="8"/>
    <n v="4.0670000000000002"/>
  </r>
  <r>
    <x v="189"/>
    <x v="8"/>
    <n v="4.0570000000000004"/>
  </r>
  <r>
    <x v="190"/>
    <x v="8"/>
    <n v="4.069"/>
  </r>
  <r>
    <x v="191"/>
    <x v="8"/>
    <n v="4.0709999999999997"/>
  </r>
  <r>
    <x v="192"/>
    <x v="8"/>
    <n v="4.0640000000000001"/>
  </r>
  <r>
    <x v="193"/>
    <x v="8"/>
    <n v="4.0590000000000002"/>
  </r>
  <r>
    <x v="194"/>
    <x v="8"/>
    <n v="4.0609999999999999"/>
  </r>
  <r>
    <x v="195"/>
    <x v="8"/>
    <n v="4.0570000000000004"/>
  </r>
  <r>
    <x v="196"/>
    <x v="8"/>
    <n v="4.0570000000000004"/>
  </r>
  <r>
    <x v="197"/>
    <x v="8"/>
    <n v="4.0570000000000004"/>
  </r>
  <r>
    <x v="198"/>
    <x v="8"/>
    <n v="4.0540000000000003"/>
  </r>
  <r>
    <x v="199"/>
    <x v="8"/>
    <n v="4.05"/>
  </r>
  <r>
    <x v="200"/>
    <x v="8"/>
    <n v="4.0570000000000004"/>
  </r>
  <r>
    <x v="201"/>
    <x v="8"/>
    <n v="4.05"/>
  </r>
  <r>
    <x v="202"/>
    <x v="8"/>
    <n v="4.05"/>
  </r>
  <r>
    <x v="203"/>
    <x v="8"/>
    <n v="4.0460000000000003"/>
  </r>
  <r>
    <x v="204"/>
    <x v="8"/>
    <n v="4.05"/>
  </r>
  <r>
    <x v="205"/>
    <x v="8"/>
    <n v="4.0430000000000001"/>
  </r>
  <r>
    <x v="206"/>
    <x v="8"/>
    <n v="4.0439999999999996"/>
  </r>
  <r>
    <x v="207"/>
    <x v="8"/>
    <n v="4.05"/>
  </r>
  <r>
    <x v="208"/>
    <x v="8"/>
    <n v="4.0460000000000003"/>
  </r>
  <r>
    <x v="209"/>
    <x v="8"/>
    <n v="4.05"/>
  </r>
  <r>
    <x v="210"/>
    <x v="8"/>
    <n v="4.0590000000000002"/>
  </r>
  <r>
    <x v="211"/>
    <x v="8"/>
    <n v="4.0609999999999999"/>
  </r>
  <r>
    <x v="212"/>
    <x v="8"/>
    <n v="4.0609999999999999"/>
  </r>
  <r>
    <x v="213"/>
    <x v="8"/>
    <n v="4.0659999999999998"/>
  </r>
  <r>
    <x v="214"/>
    <x v="8"/>
    <n v="4.0659999999999998"/>
  </r>
  <r>
    <x v="215"/>
    <x v="8"/>
    <n v="4.07"/>
  </r>
  <r>
    <x v="216"/>
    <x v="8"/>
    <n v="4.1280000000000001"/>
  </r>
  <r>
    <x v="217"/>
    <x v="8"/>
    <n v="4.1219999999999999"/>
  </r>
  <r>
    <x v="218"/>
    <x v="8"/>
    <n v="4.1239999999999997"/>
  </r>
  <r>
    <x v="219"/>
    <x v="8"/>
    <n v="4.125"/>
  </r>
  <r>
    <x v="220"/>
    <x v="8"/>
    <n v="4.125"/>
  </r>
  <r>
    <x v="221"/>
    <x v="8"/>
    <n v="4.1280000000000001"/>
  </r>
  <r>
    <x v="222"/>
    <x v="8"/>
    <n v="4.1280000000000001"/>
  </r>
  <r>
    <x v="223"/>
    <x v="8"/>
    <n v="4.1289999999999996"/>
  </r>
  <r>
    <x v="224"/>
    <x v="8"/>
    <n v="4.1289999999999996"/>
  </r>
  <r>
    <x v="225"/>
    <x v="8"/>
    <n v="4.1289999999999996"/>
  </r>
  <r>
    <x v="226"/>
    <x v="8"/>
    <n v="4.1459999999999999"/>
  </r>
  <r>
    <x v="227"/>
    <x v="8"/>
    <n v="4.1459999999999999"/>
  </r>
  <r>
    <x v="228"/>
    <x v="8"/>
    <n v="4.1459999999999999"/>
  </r>
  <r>
    <x v="229"/>
    <x v="8"/>
    <n v="4.1539999999999999"/>
  </r>
  <r>
    <x v="230"/>
    <x v="8"/>
    <n v="4.1539999999999999"/>
  </r>
  <r>
    <x v="231"/>
    <x v="8"/>
    <n v="4.1820000000000004"/>
  </r>
  <r>
    <x v="232"/>
    <x v="8"/>
    <n v="4.1890000000000001"/>
  </r>
  <r>
    <x v="233"/>
    <x v="8"/>
    <n v="4.1779999999999999"/>
  </r>
  <r>
    <x v="234"/>
    <x v="8"/>
    <n v="4.1849999999999996"/>
  </r>
  <r>
    <x v="235"/>
    <x v="8"/>
    <n v="4.1849999999999996"/>
  </r>
  <r>
    <x v="236"/>
    <x v="8"/>
    <n v="4.1849999999999996"/>
  </r>
  <r>
    <x v="237"/>
    <x v="8"/>
    <n v="4.1920000000000002"/>
  </r>
  <r>
    <x v="238"/>
    <x v="8"/>
    <n v="4.1929999999999996"/>
  </r>
  <r>
    <x v="239"/>
    <x v="8"/>
    <n v="4.1980000000000004"/>
  </r>
  <r>
    <x v="240"/>
    <x v="8"/>
    <n v="4.2009999999999996"/>
  </r>
  <r>
    <x v="241"/>
    <x v="8"/>
    <n v="4.1970000000000001"/>
  </r>
  <r>
    <x v="242"/>
    <x v="8"/>
    <n v="4.1970000000000001"/>
  </r>
  <r>
    <x v="243"/>
    <x v="8"/>
    <n v="4.1970000000000001"/>
  </r>
  <r>
    <x v="244"/>
    <x v="8"/>
    <n v="4.1970000000000001"/>
  </r>
  <r>
    <x v="245"/>
    <x v="8"/>
    <n v="4.1989999999999998"/>
  </r>
  <r>
    <x v="246"/>
    <x v="8"/>
    <n v="4.2060000000000004"/>
  </r>
  <r>
    <x v="247"/>
    <x v="8"/>
    <n v="4.2060000000000004"/>
  </r>
  <r>
    <x v="248"/>
    <x v="8"/>
    <n v="4.2060000000000004"/>
  </r>
  <r>
    <x v="249"/>
    <x v="8"/>
    <n v="4.2060000000000004"/>
  </r>
  <r>
    <x v="250"/>
    <x v="8"/>
    <n v="4.2089999999999996"/>
  </r>
  <r>
    <x v="251"/>
    <x v="8"/>
    <n v="4.2149999999999999"/>
  </r>
  <r>
    <x v="252"/>
    <x v="8"/>
    <n v="4.2069999999999999"/>
  </r>
  <r>
    <x v="253"/>
    <x v="8"/>
    <n v="4.2089999999999996"/>
  </r>
  <r>
    <x v="254"/>
    <x v="8"/>
    <n v="4.2110000000000003"/>
  </r>
  <r>
    <x v="255"/>
    <x v="8"/>
    <n v="4.2140000000000004"/>
  </r>
  <r>
    <x v="256"/>
    <x v="8"/>
    <n v="4.2110000000000003"/>
  </r>
  <r>
    <x v="257"/>
    <x v="8"/>
    <n v="4.2089999999999996"/>
  </r>
  <r>
    <x v="258"/>
    <x v="8"/>
    <n v="4.2130000000000001"/>
  </r>
  <r>
    <x v="259"/>
    <x v="8"/>
    <n v="4.2110000000000003"/>
  </r>
  <r>
    <x v="260"/>
    <x v="8"/>
    <n v="4.2140000000000004"/>
  </r>
  <r>
    <x v="261"/>
    <x v="8"/>
    <n v="4.218"/>
  </r>
  <r>
    <x v="262"/>
    <x v="8"/>
    <n v="4.2140000000000004"/>
  </r>
  <r>
    <x v="263"/>
    <x v="8"/>
    <n v="4.2169999999999996"/>
  </r>
  <r>
    <x v="264"/>
    <x v="8"/>
    <n v="4.2220000000000004"/>
  </r>
  <r>
    <x v="265"/>
    <x v="8"/>
    <n v="4.218"/>
  </r>
  <r>
    <x v="266"/>
    <x v="8"/>
    <n v="4.22"/>
  </r>
  <r>
    <x v="267"/>
    <x v="8"/>
    <n v="4.2229999999999999"/>
  </r>
  <r>
    <x v="268"/>
    <x v="8"/>
    <n v="4.2329999999999997"/>
  </r>
  <r>
    <x v="269"/>
    <x v="8"/>
    <n v="4.2329999999999997"/>
  </r>
  <r>
    <x v="270"/>
    <x v="8"/>
    <n v="4.234"/>
  </r>
  <r>
    <x v="271"/>
    <x v="8"/>
    <n v="4.2480000000000002"/>
  </r>
  <r>
    <x v="272"/>
    <x v="8"/>
    <n v="4.2370000000000001"/>
  </r>
  <r>
    <x v="273"/>
    <x v="8"/>
    <n v="4.2480000000000002"/>
  </r>
  <r>
    <x v="274"/>
    <x v="8"/>
    <n v="4.2380000000000004"/>
  </r>
  <r>
    <x v="0"/>
    <x v="9"/>
    <n v="3.0110000000000001"/>
  </r>
  <r>
    <x v="1"/>
    <x v="9"/>
    <n v="3.012"/>
  </r>
  <r>
    <x v="2"/>
    <x v="9"/>
    <n v="3.0110000000000001"/>
  </r>
  <r>
    <x v="3"/>
    <x v="9"/>
    <n v="3.0129999999999999"/>
  </r>
  <r>
    <x v="4"/>
    <x v="9"/>
    <n v="3.0259999999999998"/>
  </r>
  <r>
    <x v="5"/>
    <x v="9"/>
    <n v="3.028"/>
  </r>
  <r>
    <x v="6"/>
    <x v="9"/>
    <n v="3.028"/>
  </r>
  <r>
    <x v="7"/>
    <x v="9"/>
    <n v="3.0310000000000001"/>
  </r>
  <r>
    <x v="8"/>
    <x v="9"/>
    <n v="3.0569999999999999"/>
  </r>
  <r>
    <x v="9"/>
    <x v="9"/>
    <n v="3.0649999999999999"/>
  </r>
  <r>
    <x v="10"/>
    <x v="9"/>
    <n v="3.0640000000000001"/>
  </r>
  <r>
    <x v="11"/>
    <x v="9"/>
    <n v="3.0649999999999999"/>
  </r>
  <r>
    <x v="12"/>
    <x v="9"/>
    <n v="3.0659999999999998"/>
  </r>
  <r>
    <x v="13"/>
    <x v="9"/>
    <n v="3.0659999999999998"/>
  </r>
  <r>
    <x v="14"/>
    <x v="9"/>
    <n v="3.0710000000000002"/>
  </r>
  <r>
    <x v="15"/>
    <x v="9"/>
    <n v="3.0720000000000001"/>
  </r>
  <r>
    <x v="16"/>
    <x v="9"/>
    <n v="3.073"/>
  </r>
  <r>
    <x v="17"/>
    <x v="9"/>
    <n v="3.0760000000000001"/>
  </r>
  <r>
    <x v="18"/>
    <x v="9"/>
    <n v="3.08"/>
  </r>
  <r>
    <x v="19"/>
    <x v="9"/>
    <n v="3.0819999999999999"/>
  </r>
  <r>
    <x v="20"/>
    <x v="9"/>
    <n v="3.0870000000000002"/>
  </r>
  <r>
    <x v="21"/>
    <x v="9"/>
    <n v="3.08"/>
  </r>
  <r>
    <x v="22"/>
    <x v="9"/>
    <n v="3.0910000000000002"/>
  </r>
  <r>
    <x v="23"/>
    <x v="9"/>
    <n v="3.105"/>
  </r>
  <r>
    <x v="24"/>
    <x v="9"/>
    <n v="3.1139999999999999"/>
  </r>
  <r>
    <x v="25"/>
    <x v="9"/>
    <n v="3.11"/>
  </r>
  <r>
    <x v="26"/>
    <x v="9"/>
    <n v="3.1030000000000002"/>
  </r>
  <r>
    <x v="27"/>
    <x v="9"/>
    <n v="3.113"/>
  </r>
  <r>
    <x v="28"/>
    <x v="9"/>
    <n v="3.1480000000000001"/>
  </r>
  <r>
    <x v="29"/>
    <x v="9"/>
    <n v="3.2530000000000001"/>
  </r>
  <r>
    <x v="30"/>
    <x v="9"/>
    <n v="3.3359999999999999"/>
  </r>
  <r>
    <x v="31"/>
    <x v="9"/>
    <n v="3.3780000000000001"/>
  </r>
  <r>
    <x v="32"/>
    <x v="9"/>
    <n v="3.383"/>
  </r>
  <r>
    <x v="33"/>
    <x v="9"/>
    <n v="3.383"/>
  </r>
  <r>
    <x v="34"/>
    <x v="9"/>
    <n v="3.3919999999999999"/>
  </r>
  <r>
    <x v="35"/>
    <x v="9"/>
    <n v="3.3860000000000001"/>
  </r>
  <r>
    <x v="36"/>
    <x v="9"/>
    <n v="3.3780000000000001"/>
  </r>
  <r>
    <x v="37"/>
    <x v="9"/>
    <n v="3.3610000000000002"/>
  </r>
  <r>
    <x v="38"/>
    <x v="9"/>
    <n v="3.3620000000000001"/>
  </r>
  <r>
    <x v="39"/>
    <x v="9"/>
    <n v="3.3610000000000002"/>
  </r>
  <r>
    <x v="40"/>
    <x v="9"/>
    <n v="3.3620000000000001"/>
  </r>
  <r>
    <x v="41"/>
    <x v="9"/>
    <n v="3.3690000000000002"/>
  </r>
  <r>
    <x v="42"/>
    <x v="9"/>
    <n v="3.3719999999999999"/>
  </r>
  <r>
    <x v="43"/>
    <x v="9"/>
    <n v="3.3610000000000002"/>
  </r>
  <r>
    <x v="44"/>
    <x v="9"/>
    <n v="3.3580000000000001"/>
  </r>
  <r>
    <x v="45"/>
    <x v="9"/>
    <n v="3.3580000000000001"/>
  </r>
  <r>
    <x v="46"/>
    <x v="9"/>
    <n v="3.367"/>
  </r>
  <r>
    <x v="47"/>
    <x v="9"/>
    <n v="3.3639999999999999"/>
  </r>
  <r>
    <x v="48"/>
    <x v="9"/>
    <n v="3.3690000000000002"/>
  </r>
  <r>
    <x v="49"/>
    <x v="9"/>
    <n v="3.3690000000000002"/>
  </r>
  <r>
    <x v="50"/>
    <x v="9"/>
    <n v="3.3690000000000002"/>
  </r>
  <r>
    <x v="51"/>
    <x v="9"/>
    <n v="3.375"/>
  </r>
  <r>
    <x v="52"/>
    <x v="9"/>
    <n v="3.3740000000000001"/>
  </r>
  <r>
    <x v="53"/>
    <x v="9"/>
    <n v="3.3740000000000001"/>
  </r>
  <r>
    <x v="54"/>
    <x v="9"/>
    <n v="3.3740000000000001"/>
  </r>
  <r>
    <x v="55"/>
    <x v="9"/>
    <n v="3.379"/>
  </r>
  <r>
    <x v="56"/>
    <x v="9"/>
    <n v="3.4"/>
  </r>
  <r>
    <x v="57"/>
    <x v="9"/>
    <n v="3.4020000000000001"/>
  </r>
  <r>
    <x v="58"/>
    <x v="9"/>
    <n v="3.395"/>
  </r>
  <r>
    <x v="59"/>
    <x v="9"/>
    <n v="3.3929999999999998"/>
  </r>
  <r>
    <x v="60"/>
    <x v="9"/>
    <n v="3.395"/>
  </r>
  <r>
    <x v="61"/>
    <x v="9"/>
    <n v="3.4089999999999998"/>
  </r>
  <r>
    <x v="62"/>
    <x v="9"/>
    <n v="3.4369999999999998"/>
  </r>
  <r>
    <x v="63"/>
    <x v="9"/>
    <n v="3.4060000000000001"/>
  </r>
  <r>
    <x v="64"/>
    <x v="9"/>
    <n v="3.4020000000000001"/>
  </r>
  <r>
    <x v="65"/>
    <x v="9"/>
    <n v="3.403"/>
  </r>
  <r>
    <x v="66"/>
    <x v="9"/>
    <n v="3.4279999999999999"/>
  </r>
  <r>
    <x v="67"/>
    <x v="9"/>
    <n v="3.4249999999999998"/>
  </r>
  <r>
    <x v="68"/>
    <x v="9"/>
    <n v="3.4279999999999999"/>
  </r>
  <r>
    <x v="69"/>
    <x v="9"/>
    <n v="3.4249999999999998"/>
  </r>
  <r>
    <x v="70"/>
    <x v="9"/>
    <n v="3.4260000000000002"/>
  </r>
  <r>
    <x v="71"/>
    <x v="9"/>
    <n v="3.4239999999999999"/>
  </r>
  <r>
    <x v="72"/>
    <x v="9"/>
    <n v="3.4220000000000002"/>
  </r>
  <r>
    <x v="73"/>
    <x v="9"/>
    <n v="3.4249999999999998"/>
  </r>
  <r>
    <x v="74"/>
    <x v="9"/>
    <n v="3.423"/>
  </r>
  <r>
    <x v="75"/>
    <x v="9"/>
    <n v="3.423"/>
  </r>
  <r>
    <x v="76"/>
    <x v="9"/>
    <n v="3.423"/>
  </r>
  <r>
    <x v="77"/>
    <x v="9"/>
    <n v="3.423"/>
  </r>
  <r>
    <x v="78"/>
    <x v="9"/>
    <n v="3.423"/>
  </r>
  <r>
    <x v="79"/>
    <x v="9"/>
    <n v="3.423"/>
  </r>
  <r>
    <x v="80"/>
    <x v="9"/>
    <n v="3.423"/>
  </r>
  <r>
    <x v="81"/>
    <x v="9"/>
    <n v="3.4279999999999999"/>
  </r>
  <r>
    <x v="82"/>
    <x v="9"/>
    <n v="3.4340000000000002"/>
  </r>
  <r>
    <x v="83"/>
    <x v="9"/>
    <n v="3.4390000000000001"/>
  </r>
  <r>
    <x v="84"/>
    <x v="9"/>
    <n v="3.4390000000000001"/>
  </r>
  <r>
    <x v="85"/>
    <x v="9"/>
    <n v="3.4390000000000001"/>
  </r>
  <r>
    <x v="86"/>
    <x v="9"/>
    <n v="3.4390000000000001"/>
  </r>
  <r>
    <x v="87"/>
    <x v="9"/>
    <n v="3.4390000000000001"/>
  </r>
  <r>
    <x v="88"/>
    <x v="9"/>
    <n v="3.4390000000000001"/>
  </r>
  <r>
    <x v="89"/>
    <x v="9"/>
    <n v="3.4390000000000001"/>
  </r>
  <r>
    <x v="90"/>
    <x v="9"/>
    <n v="3.4390000000000001"/>
  </r>
  <r>
    <x v="91"/>
    <x v="9"/>
    <n v="3.4359999999999999"/>
  </r>
  <r>
    <x v="92"/>
    <x v="9"/>
    <n v="3.4359999999999999"/>
  </r>
  <r>
    <x v="93"/>
    <x v="9"/>
    <n v="3.4359999999999999"/>
  </r>
  <r>
    <x v="94"/>
    <x v="9"/>
    <n v="3.4359999999999999"/>
  </r>
  <r>
    <x v="95"/>
    <x v="9"/>
    <n v="3.4359999999999999"/>
  </r>
  <r>
    <x v="96"/>
    <x v="9"/>
    <n v="3.4359999999999999"/>
  </r>
  <r>
    <x v="97"/>
    <x v="9"/>
    <n v="3.4359999999999999"/>
  </r>
  <r>
    <x v="98"/>
    <x v="9"/>
    <n v="3.4420000000000002"/>
  </r>
  <r>
    <x v="99"/>
    <x v="9"/>
    <n v="3.4420000000000002"/>
  </r>
  <r>
    <x v="100"/>
    <x v="9"/>
    <n v="3.4449999999999998"/>
  </r>
  <r>
    <x v="101"/>
    <x v="9"/>
    <n v="3.4449999999999998"/>
  </r>
  <r>
    <x v="102"/>
    <x v="9"/>
    <n v="3.464"/>
  </r>
  <r>
    <x v="103"/>
    <x v="9"/>
    <n v="3.4660000000000002"/>
  </r>
  <r>
    <x v="104"/>
    <x v="9"/>
    <n v="3.4660000000000002"/>
  </r>
  <r>
    <x v="105"/>
    <x v="9"/>
    <n v="3.4660000000000002"/>
  </r>
  <r>
    <x v="106"/>
    <x v="9"/>
    <n v="3.472"/>
  </r>
  <r>
    <x v="107"/>
    <x v="9"/>
    <n v="3.4740000000000002"/>
  </r>
  <r>
    <x v="108"/>
    <x v="9"/>
    <n v="3.4790000000000001"/>
  </r>
  <r>
    <x v="109"/>
    <x v="9"/>
    <n v="3.4849999999999999"/>
  </r>
  <r>
    <x v="110"/>
    <x v="9"/>
    <n v="3.4809999999999999"/>
  </r>
  <r>
    <x v="111"/>
    <x v="9"/>
    <n v="3.4860000000000002"/>
  </r>
  <r>
    <x v="112"/>
    <x v="9"/>
    <n v="3.492"/>
  </r>
  <r>
    <x v="113"/>
    <x v="9"/>
    <n v="3.492"/>
  </r>
  <r>
    <x v="114"/>
    <x v="9"/>
    <n v="3.492"/>
  </r>
  <r>
    <x v="115"/>
    <x v="9"/>
    <n v="3.492"/>
  </r>
  <r>
    <x v="116"/>
    <x v="9"/>
    <n v="3.4950000000000001"/>
  </r>
  <r>
    <x v="117"/>
    <x v="9"/>
    <n v="3.4950000000000001"/>
  </r>
  <r>
    <x v="118"/>
    <x v="9"/>
    <n v="3.4950000000000001"/>
  </r>
  <r>
    <x v="119"/>
    <x v="9"/>
    <n v="3.4950000000000001"/>
  </r>
  <r>
    <x v="120"/>
    <x v="9"/>
    <n v="3.4950000000000001"/>
  </r>
  <r>
    <x v="121"/>
    <x v="9"/>
    <n v="3.492"/>
  </r>
  <r>
    <x v="122"/>
    <x v="9"/>
    <n v="3.492"/>
  </r>
  <r>
    <x v="123"/>
    <x v="9"/>
    <n v="3.5310000000000001"/>
  </r>
  <r>
    <x v="124"/>
    <x v="9"/>
    <n v="3.6030000000000002"/>
  </r>
  <r>
    <x v="125"/>
    <x v="9"/>
    <n v="3.6219999999999999"/>
  </r>
  <r>
    <x v="126"/>
    <x v="9"/>
    <n v="3.6280000000000001"/>
  </r>
  <r>
    <x v="127"/>
    <x v="9"/>
    <n v="3.6280000000000001"/>
  </r>
  <r>
    <x v="128"/>
    <x v="9"/>
    <n v="3.65"/>
  </r>
  <r>
    <x v="129"/>
    <x v="9"/>
    <n v="3.6669999999999998"/>
  </r>
  <r>
    <x v="130"/>
    <x v="9"/>
    <n v="3.6749999999999998"/>
  </r>
  <r>
    <x v="131"/>
    <x v="9"/>
    <n v="3.75"/>
  </r>
  <r>
    <x v="132"/>
    <x v="9"/>
    <n v="3.669"/>
  </r>
  <r>
    <x v="133"/>
    <x v="9"/>
    <n v="3.6920000000000002"/>
  </r>
  <r>
    <x v="134"/>
    <x v="9"/>
    <n v="3.6970000000000001"/>
  </r>
  <r>
    <x v="135"/>
    <x v="9"/>
    <n v="3.7080000000000002"/>
  </r>
  <r>
    <x v="136"/>
    <x v="9"/>
    <n v="3.7029999999999998"/>
  </r>
  <r>
    <x v="137"/>
    <x v="9"/>
    <n v="3.7029999999999998"/>
  </r>
  <r>
    <x v="138"/>
    <x v="9"/>
    <n v="3.7029999999999998"/>
  </r>
  <r>
    <x v="139"/>
    <x v="9"/>
    <n v="3.7029999999999998"/>
  </r>
  <r>
    <x v="140"/>
    <x v="9"/>
    <n v="3.7029999999999998"/>
  </r>
  <r>
    <x v="141"/>
    <x v="9"/>
    <n v="3.7469999999999999"/>
  </r>
  <r>
    <x v="142"/>
    <x v="9"/>
    <n v="3.75"/>
  </r>
  <r>
    <x v="143"/>
    <x v="9"/>
    <n v="3.75"/>
  </r>
  <r>
    <x v="144"/>
    <x v="9"/>
    <n v="3.75"/>
  </r>
  <r>
    <x v="145"/>
    <x v="9"/>
    <n v="3.75"/>
  </r>
  <r>
    <x v="146"/>
    <x v="9"/>
    <n v="3.794"/>
  </r>
  <r>
    <x v="147"/>
    <x v="9"/>
    <n v="3.7970000000000002"/>
  </r>
  <r>
    <x v="148"/>
    <x v="9"/>
    <n v="3.8079999999999998"/>
  </r>
  <r>
    <x v="149"/>
    <x v="9"/>
    <n v="3.8079999999999998"/>
  </r>
  <r>
    <x v="150"/>
    <x v="9"/>
    <n v="3.8079999999999998"/>
  </r>
  <r>
    <x v="151"/>
    <x v="9"/>
    <n v="3.8079999999999998"/>
  </r>
  <r>
    <x v="152"/>
    <x v="9"/>
    <n v="3.8079999999999998"/>
  </r>
  <r>
    <x v="153"/>
    <x v="9"/>
    <n v="3.8079999999999998"/>
  </r>
  <r>
    <x v="154"/>
    <x v="9"/>
    <n v="3.8119999999999998"/>
  </r>
  <r>
    <x v="155"/>
    <x v="9"/>
    <n v="3.8149999999999999"/>
  </r>
  <r>
    <x v="156"/>
    <x v="9"/>
    <n v="3.8450000000000002"/>
  </r>
  <r>
    <x v="157"/>
    <x v="9"/>
    <n v="3.8450000000000002"/>
  </r>
  <r>
    <x v="158"/>
    <x v="9"/>
    <n v="3.8450000000000002"/>
  </r>
  <r>
    <x v="159"/>
    <x v="9"/>
    <n v="3.847"/>
  </r>
  <r>
    <x v="160"/>
    <x v="9"/>
    <n v="3.847"/>
  </r>
  <r>
    <x v="161"/>
    <x v="9"/>
    <n v="3.8690000000000002"/>
  </r>
  <r>
    <x v="162"/>
    <x v="9"/>
    <n v="3.8690000000000002"/>
  </r>
  <r>
    <x v="163"/>
    <x v="9"/>
    <n v="3.9390000000000001"/>
  </r>
  <r>
    <x v="164"/>
    <x v="9"/>
    <n v="4.0609999999999999"/>
  </r>
  <r>
    <x v="165"/>
    <x v="9"/>
    <n v="4.0750000000000002"/>
  </r>
  <r>
    <x v="166"/>
    <x v="9"/>
    <n v="4.0730000000000004"/>
  </r>
  <r>
    <x v="167"/>
    <x v="9"/>
    <n v="4.0730000000000004"/>
  </r>
  <r>
    <x v="168"/>
    <x v="9"/>
    <n v="4.0730000000000004"/>
  </r>
  <r>
    <x v="169"/>
    <x v="9"/>
    <n v="4.0730000000000004"/>
  </r>
  <r>
    <x v="170"/>
    <x v="9"/>
    <n v="4.0780000000000003"/>
  </r>
  <r>
    <x v="171"/>
    <x v="9"/>
    <n v="4.0890000000000004"/>
  </r>
  <r>
    <x v="172"/>
    <x v="9"/>
    <n v="4.0919999999999996"/>
  </r>
  <r>
    <x v="173"/>
    <x v="9"/>
    <n v="4.0919999999999996"/>
  </r>
  <r>
    <x v="174"/>
    <x v="9"/>
    <n v="4.117"/>
  </r>
  <r>
    <x v="175"/>
    <x v="9"/>
    <n v="4.117"/>
  </r>
  <r>
    <x v="176"/>
    <x v="9"/>
    <n v="4.117"/>
  </r>
  <r>
    <x v="177"/>
    <x v="9"/>
    <n v="4.117"/>
  </r>
  <r>
    <x v="178"/>
    <x v="9"/>
    <n v="4.117"/>
  </r>
  <r>
    <x v="179"/>
    <x v="9"/>
    <n v="4.117"/>
  </r>
  <r>
    <x v="180"/>
    <x v="9"/>
    <n v="4.1219999999999999"/>
  </r>
  <r>
    <x v="181"/>
    <x v="9"/>
    <n v="4.1219999999999999"/>
  </r>
  <r>
    <x v="182"/>
    <x v="9"/>
    <n v="4.1219999999999999"/>
  </r>
  <r>
    <x v="183"/>
    <x v="9"/>
    <n v="4.1260000000000003"/>
  </r>
  <r>
    <x v="184"/>
    <x v="9"/>
    <n v="4.1289999999999996"/>
  </r>
  <r>
    <x v="185"/>
    <x v="9"/>
    <n v="4.1280000000000001"/>
  </r>
  <r>
    <x v="186"/>
    <x v="9"/>
    <n v="4.1280000000000001"/>
  </r>
  <r>
    <x v="187"/>
    <x v="9"/>
    <n v="4.125"/>
  </r>
  <r>
    <x v="188"/>
    <x v="9"/>
    <n v="4.1219999999999999"/>
  </r>
  <r>
    <x v="189"/>
    <x v="9"/>
    <n v="4.125"/>
  </r>
  <r>
    <x v="190"/>
    <x v="9"/>
    <n v="4.125"/>
  </r>
  <r>
    <x v="191"/>
    <x v="9"/>
    <n v="4.1310000000000002"/>
  </r>
  <r>
    <x v="192"/>
    <x v="9"/>
    <n v="4.133"/>
  </r>
  <r>
    <x v="193"/>
    <x v="9"/>
    <n v="4.133"/>
  </r>
  <r>
    <x v="194"/>
    <x v="9"/>
    <n v="4.13"/>
  </r>
  <r>
    <x v="195"/>
    <x v="9"/>
    <n v="4.13"/>
  </r>
  <r>
    <x v="196"/>
    <x v="9"/>
    <n v="4.13"/>
  </r>
  <r>
    <x v="197"/>
    <x v="9"/>
    <n v="4.13"/>
  </r>
  <r>
    <x v="198"/>
    <x v="9"/>
    <n v="4.13"/>
  </r>
  <r>
    <x v="199"/>
    <x v="9"/>
    <n v="4.1289999999999996"/>
  </r>
  <r>
    <x v="200"/>
    <x v="9"/>
    <n v="4.1289999999999996"/>
  </r>
  <r>
    <x v="201"/>
    <x v="9"/>
    <n v="4.1289999999999996"/>
  </r>
  <r>
    <x v="202"/>
    <x v="9"/>
    <n v="4.1289999999999996"/>
  </r>
  <r>
    <x v="203"/>
    <x v="9"/>
    <n v="4.1289999999999996"/>
  </r>
  <r>
    <x v="204"/>
    <x v="9"/>
    <n v="4.1289999999999996"/>
  </r>
  <r>
    <x v="205"/>
    <x v="9"/>
    <n v="4.1289999999999996"/>
  </r>
  <r>
    <x v="206"/>
    <x v="9"/>
    <n v="4.1319999999999997"/>
  </r>
  <r>
    <x v="207"/>
    <x v="9"/>
    <n v="4.1319999999999997"/>
  </r>
  <r>
    <x v="208"/>
    <x v="9"/>
    <n v="4.1319999999999997"/>
  </r>
  <r>
    <x v="209"/>
    <x v="9"/>
    <n v="4.1319999999999997"/>
  </r>
  <r>
    <x v="210"/>
    <x v="9"/>
    <n v="4.133"/>
  </r>
  <r>
    <x v="211"/>
    <x v="9"/>
    <n v="4.133"/>
  </r>
  <r>
    <x v="212"/>
    <x v="9"/>
    <n v="4.133"/>
  </r>
  <r>
    <x v="213"/>
    <x v="9"/>
    <n v="4.133"/>
  </r>
  <r>
    <x v="214"/>
    <x v="9"/>
    <n v="4.133"/>
  </r>
  <r>
    <x v="215"/>
    <x v="9"/>
    <n v="4.1360000000000001"/>
  </r>
  <r>
    <x v="216"/>
    <x v="9"/>
    <n v="4.1580000000000004"/>
  </r>
  <r>
    <x v="217"/>
    <x v="9"/>
    <n v="4.1719999999999997"/>
  </r>
  <r>
    <x v="218"/>
    <x v="9"/>
    <n v="4.1719999999999997"/>
  </r>
  <r>
    <x v="219"/>
    <x v="9"/>
    <n v="4.1719999999999997"/>
  </r>
  <r>
    <x v="220"/>
    <x v="9"/>
    <n v="4.1719999999999997"/>
  </r>
  <r>
    <x v="221"/>
    <x v="9"/>
    <n v="4.1740000000000004"/>
  </r>
  <r>
    <x v="222"/>
    <x v="9"/>
    <n v="4.1740000000000004"/>
  </r>
  <r>
    <x v="223"/>
    <x v="9"/>
    <n v="4.1740000000000004"/>
  </r>
  <r>
    <x v="224"/>
    <x v="9"/>
    <n v="4.1740000000000004"/>
  </r>
  <r>
    <x v="225"/>
    <x v="9"/>
    <n v="4.1790000000000003"/>
  </r>
  <r>
    <x v="226"/>
    <x v="9"/>
    <n v="4.1929999999999996"/>
  </r>
  <r>
    <x v="227"/>
    <x v="9"/>
    <n v="4.1929999999999996"/>
  </r>
  <r>
    <x v="228"/>
    <x v="9"/>
    <n v="4.1929999999999996"/>
  </r>
  <r>
    <x v="229"/>
    <x v="9"/>
    <n v="4.1989999999999998"/>
  </r>
  <r>
    <x v="230"/>
    <x v="9"/>
    <n v="4.1989999999999998"/>
  </r>
  <r>
    <x v="231"/>
    <x v="9"/>
    <n v="4.2350000000000003"/>
  </r>
  <r>
    <x v="232"/>
    <x v="9"/>
    <n v="4.2460000000000004"/>
  </r>
  <r>
    <x v="233"/>
    <x v="9"/>
    <n v="4.2460000000000004"/>
  </r>
  <r>
    <x v="234"/>
    <x v="9"/>
    <n v="4.2460000000000004"/>
  </r>
  <r>
    <x v="235"/>
    <x v="9"/>
    <n v="4.2460000000000004"/>
  </r>
  <r>
    <x v="236"/>
    <x v="9"/>
    <n v="4.2460000000000004"/>
  </r>
  <r>
    <x v="237"/>
    <x v="9"/>
    <n v="4.2469999999999999"/>
  </r>
  <r>
    <x v="238"/>
    <x v="9"/>
    <n v="4.2469999999999999"/>
  </r>
  <r>
    <x v="239"/>
    <x v="9"/>
    <n v="4.2560000000000002"/>
  </r>
  <r>
    <x v="240"/>
    <x v="9"/>
    <n v="4.2610000000000001"/>
  </r>
  <r>
    <x v="241"/>
    <x v="9"/>
    <n v="4.258"/>
  </r>
  <r>
    <x v="242"/>
    <x v="9"/>
    <n v="4.258"/>
  </r>
  <r>
    <x v="243"/>
    <x v="9"/>
    <n v="4.258"/>
  </r>
  <r>
    <x v="244"/>
    <x v="9"/>
    <n v="4.258"/>
  </r>
  <r>
    <x v="245"/>
    <x v="9"/>
    <n v="4.2590000000000003"/>
  </r>
  <r>
    <x v="246"/>
    <x v="9"/>
    <n v="4.2640000000000002"/>
  </r>
  <r>
    <x v="247"/>
    <x v="9"/>
    <n v="4.2640000000000002"/>
  </r>
  <r>
    <x v="248"/>
    <x v="9"/>
    <n v="4.266"/>
  </r>
  <r>
    <x v="249"/>
    <x v="9"/>
    <n v="4.266"/>
  </r>
  <r>
    <x v="250"/>
    <x v="9"/>
    <n v="4.2640000000000002"/>
  </r>
  <r>
    <x v="251"/>
    <x v="9"/>
    <n v="4.2679999999999998"/>
  </r>
  <r>
    <x v="252"/>
    <x v="9"/>
    <n v="4.2670000000000003"/>
  </r>
  <r>
    <x v="253"/>
    <x v="9"/>
    <n v="4.266"/>
  </r>
  <r>
    <x v="254"/>
    <x v="9"/>
    <n v="4.2690000000000001"/>
  </r>
  <r>
    <x v="255"/>
    <x v="9"/>
    <n v="4.2699999999999996"/>
  </r>
  <r>
    <x v="256"/>
    <x v="9"/>
    <n v="4.2690000000000001"/>
  </r>
  <r>
    <x v="257"/>
    <x v="9"/>
    <n v="4.2699999999999996"/>
  </r>
  <r>
    <x v="258"/>
    <x v="9"/>
    <n v="4.2690000000000001"/>
  </r>
  <r>
    <x v="259"/>
    <x v="9"/>
    <n v="4.2690000000000001"/>
  </r>
  <r>
    <x v="260"/>
    <x v="9"/>
    <n v="4.2720000000000002"/>
  </r>
  <r>
    <x v="261"/>
    <x v="9"/>
    <n v="4.2690000000000001"/>
  </r>
  <r>
    <x v="262"/>
    <x v="9"/>
    <n v="4.2690000000000001"/>
  </r>
  <r>
    <x v="263"/>
    <x v="9"/>
    <n v="4.2709999999999999"/>
  </r>
  <r>
    <x v="264"/>
    <x v="9"/>
    <n v="4.2789999999999999"/>
  </r>
  <r>
    <x v="265"/>
    <x v="9"/>
    <n v="4.2789999999999999"/>
  </r>
  <r>
    <x v="266"/>
    <x v="9"/>
    <n v="4.2859999999999996"/>
  </r>
  <r>
    <x v="267"/>
    <x v="9"/>
    <n v="4.2930000000000001"/>
  </r>
  <r>
    <x v="268"/>
    <x v="9"/>
    <n v="4.2949999999999999"/>
  </r>
  <r>
    <x v="269"/>
    <x v="9"/>
    <n v="4.298"/>
  </r>
  <r>
    <x v="270"/>
    <x v="9"/>
    <n v="4.298"/>
  </r>
  <r>
    <x v="271"/>
    <x v="9"/>
    <n v="4.306"/>
  </r>
  <r>
    <x v="272"/>
    <x v="9"/>
    <n v="4.3029999999999999"/>
  </r>
  <r>
    <x v="273"/>
    <x v="9"/>
    <n v="4.3109999999999999"/>
  </r>
  <r>
    <x v="274"/>
    <x v="9"/>
    <n v="4.30900000000000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9DC4E6-A4D9-4D00-A2E9-727524857FBD}" name="PivotTable2" cacheId="1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olHeaderCaption="Yield">
  <location ref="G1:Q277" firstHeaderRow="1" firstDataRow="2" firstDataCol="1"/>
  <pivotFields count="6">
    <pivotField axis="axisRow" numFmtId="14" showAll="0" sortType="descending" defaultSubtotal="0">
      <items count="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s>
    </pivotField>
    <pivotField axis="axisCol" showAll="0" sortType="ascending" defaultSubtotal="0">
      <items count="10">
        <item x="0"/>
        <item x="1"/>
        <item x="2"/>
        <item x="3"/>
        <item x="4"/>
        <item x="5"/>
        <item x="6"/>
        <item x="7"/>
        <item x="8"/>
        <item x="9"/>
      </items>
    </pivotField>
    <pivotField dataField="1" showAll="0" defaultSubtota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x="2"/>
        <item x="0"/>
        <item x="3"/>
      </items>
    </pivotField>
  </pivotFields>
  <rowFields count="1">
    <field x="0"/>
  </rowFields>
  <rowItems count="2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rowItems>
  <colFields count="1">
    <field x="1"/>
  </colFields>
  <colItems count="10">
    <i>
      <x/>
    </i>
    <i>
      <x v="1"/>
    </i>
    <i>
      <x v="2"/>
    </i>
    <i>
      <x v="3"/>
    </i>
    <i>
      <x v="4"/>
    </i>
    <i>
      <x v="5"/>
    </i>
    <i>
      <x v="6"/>
    </i>
    <i>
      <x v="7"/>
    </i>
    <i>
      <x v="8"/>
    </i>
    <i>
      <x v="9"/>
    </i>
  </colItems>
  <dataFields count="1">
    <dataField name="Sum of Averag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1C7C17-F928-48B7-AFB1-6C3B32C694C4}" name="PivotTable1"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1:N7" firstHeaderRow="1" firstDataRow="1" firstDataCol="1"/>
  <pivotFields count="9">
    <pivotField numFmtId="14" showAll="0"/>
    <pivotField showAll="0"/>
    <pivotField showAll="0"/>
    <pivotField showAll="0"/>
    <pivotField numFmtId="165" showAll="0"/>
    <pivotField numFmtId="174" showAll="0"/>
    <pivotField dataField="1" numFmtId="165" showAll="0"/>
    <pivotField numFmtId="165" showAll="0"/>
    <pivotField axis="axisRow" showAll="0">
      <items count="10">
        <item x="1"/>
        <item x="2"/>
        <item x="4"/>
        <item x="0"/>
        <item x="3"/>
        <item m="1" x="8"/>
        <item m="1" x="5"/>
        <item m="1" x="7"/>
        <item m="1" x="6"/>
        <item t="default"/>
      </items>
    </pivotField>
  </pivotFields>
  <rowFields count="1">
    <field x="8"/>
  </rowFields>
  <rowItems count="6">
    <i>
      <x/>
    </i>
    <i>
      <x v="1"/>
    </i>
    <i>
      <x v="2"/>
    </i>
    <i>
      <x v="3"/>
    </i>
    <i>
      <x v="4"/>
    </i>
    <i t="grand">
      <x/>
    </i>
  </rowItems>
  <colItems count="1">
    <i/>
  </colItems>
  <dataFields count="1">
    <dataField name="Sum of KLGD" fld="6"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1" xr16:uid="{5FE157E2-FC8E-49A9-96F0-E09E370290BD}" autoFormatId="16" applyNumberFormats="0" applyBorderFormats="0" applyFontFormats="1" applyPatternFormats="1" applyAlignmentFormats="0" applyWidthHeightFormats="0">
  <queryTableRefresh preserveSortFilterLayout="0" nextId="16" unboundColumnsRight="6">
    <queryTableFields count="15">
      <queryTableField id="1" name="DEAL_ID" tableColumnId="16"/>
      <queryTableField id="2" name="BOND_CODE" tableColumnId="17"/>
      <queryTableField id="3" name="FOLDERS_CODE" tableColumnId="18"/>
      <queryTableField id="4" name="TRANSACTION_STATUS" tableColumnId="19"/>
      <queryTableField id="5" name="CAPTURE_DATE" tableColumnId="20"/>
      <queryTableField id="6" name="VALUE_DATE" tableColumnId="21"/>
      <queryTableField id="7" name="PRICE" tableColumnId="22"/>
      <queryTableField id="8" name="DEAL_BUY_ID" tableColumnId="23"/>
      <queryTableField id="9" name="QUANTITY" tableColumnId="24"/>
      <queryTableField id="10" dataBound="0" tableColumnId="25"/>
      <queryTableField id="11" dataBound="0" tableColumnId="26"/>
      <queryTableField id="12" dataBound="0" tableColumnId="27"/>
      <queryTableField id="13" dataBound="0" tableColumnId="28"/>
      <queryTableField id="14" dataBound="0" tableColumnId="29"/>
      <queryTableField id="15" dataBound="0" tableColumnId="3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9" adjustColumnWidth="0" connectionId="6" xr16:uid="{B1B6D88C-9FEB-4D52-BE5C-296D6A593BEF}" autoFormatId="16" applyNumberFormats="0" applyBorderFormats="0" applyFontFormats="1" applyPatternFormats="1" applyAlignmentFormats="0" applyWidthHeightFormats="0">
  <queryTableRefresh preserveSortFilterLayout="0" nextId="13" unboundColumnsRight="4">
    <queryTableFields count="12">
      <queryTableField id="1" name="DEAL_BUY_ID" tableColumnId="13"/>
      <queryTableField id="2" name="BOND_CODE" tableColumnId="14"/>
      <queryTableField id="3" name="FOLDERS_CODE" tableColumnId="15"/>
      <queryTableField id="4" name="TRANSACTION_STATUS" tableColumnId="16"/>
      <queryTableField id="5" name="CAPTURE_DATE" tableColumnId="17"/>
      <queryTableField id="6" name="VALUE_DATE" tableColumnId="18"/>
      <queryTableField id="7" name="QUANTITY" tableColumnId="19"/>
      <queryTableField id="8" name="PRICE" tableColumnId="20"/>
      <queryTableField id="9" dataBound="0" tableColumnId="21"/>
      <queryTableField id="10" dataBound="0" tableColumnId="22"/>
      <queryTableField id="11" dataBound="0" tableColumnId="23"/>
      <queryTableField id="12" dataBound="0" tableColumnId="2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1" connectionId="12" xr16:uid="{2053FFA8-7BF1-4BB4-9749-91424E768F5E}" autoFormatId="16" applyNumberFormats="0" applyBorderFormats="0" applyFontFormats="0" applyPatternFormats="0" applyAlignmentFormats="0" applyWidthHeightFormats="0">
  <queryTableRefresh nextId="10" unboundColumnsRight="2">
    <queryTableFields count="7">
      <queryTableField id="1" name="DEAL_ID" tableColumnId="1"/>
      <queryTableField id="2" name="VALUE_DATE" tableColumnId="2"/>
      <queryTableField id="3" name="DEAL_BUY_ID" tableColumnId="3"/>
      <queryTableField id="4" name="Note" tableColumnId="4"/>
      <queryTableField id="5" name="QUANT" tableColumnId="5"/>
      <queryTableField id="8" dataBound="0" tableColumnId="8"/>
      <queryTableField id="9" dataBound="0"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2" adjustColumnWidth="0" connectionId="15" xr16:uid="{456843BC-5FDE-4045-8E48-191BACDD0858}" autoFormatId="16" applyNumberFormats="0" applyBorderFormats="0" applyFontFormats="0" applyPatternFormats="0" applyAlignmentFormats="0" applyWidthHeightFormats="0">
  <queryTableRefresh nextId="102">
    <queryTableFields count="7">
      <queryTableField id="100" name="17/08/2026" tableColumnId="1"/>
      <queryTableField id="2" name="ItD_x000a_đã điều chỉnh (1)" tableColumnId="2"/>
      <queryTableField id="3" name="Điều chỉnh công nợ, PTCK đã phân bổ (2)" tableColumnId="3"/>
      <queryTableField id="4" name="ItD trước khi điều chỉnh (3) = (1) + (2)" tableColumnId="4"/>
      <queryTableField id="5" name="Điều chỉnh ItD của deal bán chưa valid (4)" tableColumnId="5"/>
      <queryTableField id="6" name="Tác động ItD của deal mua chưa valid (5)" tableColumnId="6"/>
      <queryTableField id="7" name="ItD điều chỉnh deal gửi giá và bán chưa valid (6) = (1) + (4)"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9" xr16:uid="{00000000-0016-0000-1900-000016000000}" autoFormatId="0" applyNumberFormats="0" applyBorderFormats="0" applyFontFormats="1" applyPatternFormats="1" applyAlignmentFormats="0" applyWidthHeightFormats="0">
  <queryTableRefresh preserveSortFilterLayout="0" nextId="10" unboundColumnsRight="2">
    <queryTableFields count="9">
      <queryTableField id="1" name="POSTED_DT" tableColumnId="28"/>
      <queryTableField id="2" name="BOND_CODE" tableColumnId="29"/>
      <queryTableField id="3" name="BOOK_FLAG" tableColumnId="30"/>
      <queryTableField id="4" name="BALANCE" tableColumnId="31"/>
      <queryTableField id="5" name="CLEAN_PRICE" tableColumnId="32"/>
      <queryTableField id="6" name="MARKET_VALUE" tableColumnId="33"/>
      <queryTableField id="7" name="BAL" tableColumnId="34"/>
      <queryTableField id="8" dataBound="0" tableColumnId="35"/>
      <queryTableField id="9" dataBound="0" tableColumnId="3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37" xr16:uid="{00000000-0016-0000-1900-000017000000}" autoFormatId="0" applyNumberFormats="0" applyBorderFormats="0" applyFontFormats="1" applyPatternFormats="1" applyAlignmentFormats="0" applyWidthHeightFormats="0">
  <queryTableRefresh preserveSortFilterLayout="0" nextId="4">
    <queryTableFields count="3">
      <queryTableField id="1" name="GL_CODE" tableColumnId="7"/>
      <queryTableField id="2" name="GL_CODE_NAME" tableColumnId="8"/>
      <queryTableField id="3" name="POSITION" tableColumnId="9"/>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adjustColumnWidth="0" connectionId="36" xr16:uid="{A2FCE677-5374-49BD-8488-B0D1FBB7BAB9}" autoFormatId="16" applyNumberFormats="0" applyBorderFormats="0" applyFontFormats="0" applyPatternFormats="0" applyAlignmentFormats="0" applyWidthHeightFormats="0">
  <queryTableRefresh nextId="39" unboundColumnsRight="5">
    <queryTableFields count="19">
      <queryTableField id="1" name="POSTED_DT" tableColumnId="1"/>
      <queryTableField id="2" name="DEAL_ID" tableColumnId="2"/>
      <queryTableField id="3" name="BOND_CODE" tableColumnId="3"/>
      <queryTableField id="37" name="FOLDERS_CODE" tableColumnId="13"/>
      <queryTableField id="6" name="QUANTITY" tableColumnId="6"/>
      <queryTableField id="7" name="PRICE" tableColumnId="7"/>
      <queryTableField id="13" name="TRADING_DATE" tableColumnId="10"/>
      <queryTableField id="14" name="VALUE_DATE" tableColumnId="11"/>
      <queryTableField id="15" name="MATURITY_DATE" tableColumnId="12"/>
      <queryTableField id="11" name="GROSS_AMOUNT" tableColumnId="4"/>
      <queryTableField id="12" name="COUPON_RATE" tableColumnId="8"/>
      <queryTableField id="31" name="YIELD" tableColumnId="5"/>
      <queryTableField id="9" name="BS" tableColumnId="9"/>
      <queryTableField id="27" name="Book" tableColumnId="18"/>
      <queryTableField id="23" dataBound="0" tableColumnId="14"/>
      <queryTableField id="24" dataBound="0" tableColumnId="15"/>
      <queryTableField id="25" dataBound="0" tableColumnId="16"/>
      <queryTableField id="30" dataBound="0" tableColumnId="20"/>
      <queryTableField id="26" dataBound="0" tableColumnId="1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40" xr16:uid="{FC9C1691-0003-4505-881F-E186CE2F7CB4}" autoFormatId="16" applyNumberFormats="0" applyBorderFormats="0" applyFontFormats="0" applyPatternFormats="0" applyAlignmentFormats="0" applyWidthHeightFormats="0">
  <queryTableRefresh nextId="16" unboundColumnsRight="1">
    <queryTableFields count="12">
      <queryTableField id="1" name="BondsDeals_Id" tableColumnId="1"/>
      <queryTableField id="2" name="Bonds_ShortName" tableColumnId="2"/>
      <queryTableField id="14" name="ThisCouponRate" tableColumnId="12"/>
      <queryTableField id="3" name="Issuer" tableColumnId="3"/>
      <queryTableField id="4" name="Folder" tableColumnId="4"/>
      <queryTableField id="5" name="Quantity" tableColumnId="5"/>
      <queryTableField id="6" name="PTCK_Remain" tableColumnId="6"/>
      <queryTableField id="7" name="Clean price" tableColumnId="7"/>
      <queryTableField id="8" name="Dirty price" tableColumnId="8"/>
      <queryTableField id="12" name="Yield" tableColumnId="11"/>
      <queryTableField id="9" name="Gross amt" tableColumnId="9"/>
      <queryTableField id="10" dataBound="0" tableColumnId="10"/>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48" xr16:uid="{8FFA0994-2A7B-423C-ACE9-1E68AD90458B}" autoFormatId="16" applyNumberFormats="0" applyBorderFormats="0" applyFontFormats="0" applyPatternFormats="0" applyAlignmentFormats="0" applyWidthHeightFormats="0">
  <queryTableRefresh nextId="4">
    <queryTableFields count="3">
      <queryTableField id="1" name="RptDate" tableColumnId="1"/>
      <queryTableField id="2" name="Tenor" tableColumnId="2"/>
      <queryTableField id="3" name="Average"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0" xr16:uid="{770D9B96-A70F-40AE-AF27-B4C6B7BFB693}" autoFormatId="16" applyNumberFormats="0" applyBorderFormats="0" applyFontFormats="0" applyPatternFormats="0" applyAlignmentFormats="0" applyWidthHeightFormats="0">
  <queryTableRefresh nextId="12" unboundColumnsRight="1">
    <queryTableFields count="9">
      <queryTableField id="1" name="Ngày" tableColumnId="1"/>
      <queryTableField id="2" name="KHCL" tableColumnId="2"/>
      <queryTableField id="3" name="Mã TP" tableColumnId="3"/>
      <queryTableField id="4" name="Loại tiền tệ" tableColumnId="4"/>
      <queryTableField id="5" name="Clean price" tableColumnId="5"/>
      <queryTableField id="6" name="YTM" tableColumnId="6"/>
      <queryTableField id="7" name="KLGD" tableColumnId="7"/>
      <queryTableField id="8" name="GTGD" tableColumnId="8"/>
      <queryTableField id="11"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8" xr16:uid="{BA4347F5-E034-415C-9061-C66A4BE14D4F}" autoFormatId="16" applyNumberFormats="0" applyBorderFormats="0" applyFontFormats="0" applyPatternFormats="0" applyAlignmentFormats="0" applyWidthHeightFormats="0">
  <queryTableRefresh nextId="8">
    <queryTableFields count="7">
      <queryTableField id="1" name="Ngày" tableColumnId="1"/>
      <queryTableField id="2" name="Kỳ hạn MBL" tableColumnId="2"/>
      <queryTableField id="3" name="Tiền tệ" tableColumnId="3"/>
      <queryTableField id="4" name="Lãi suất MBL" tableColumnId="4"/>
      <queryTableField id="5" name="GTGD" tableColumnId="5"/>
      <queryTableField id="6" name="GTTT" tableColumnId="6"/>
      <queryTableField id="7" name="Ngày TT lần 1" tableColumnId="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 xr16:uid="{A26F3006-67CF-4E4B-935C-11615FB6D240}" autoFormatId="16" applyNumberFormats="0" applyBorderFormats="0" applyFontFormats="0" applyPatternFormats="0" applyAlignmentFormats="0" applyWidthHeightFormats="0">
  <queryTableRefresh nextId="23" unboundColumnsRight="1">
    <queryTableFields count="22">
      <queryTableField id="1" name="STT" tableColumnId="1"/>
      <queryTableField id="2" name="Đợt đấu thầu" tableColumnId="2"/>
      <queryTableField id="3" name="Mã trái phiếu" tableColumnId="3"/>
      <queryTableField id="4" name="Tên TCPH" tableColumnId="4"/>
      <queryTableField id="5" name="Loại tiền tệ" tableColumnId="5"/>
      <queryTableField id="6" name="Kỳ hạn" tableColumnId="6"/>
      <queryTableField id="7" name="Ngày TCPH ▼" tableColumnId="7"/>
      <queryTableField id="8" name="Ngày phát hành" tableColumnId="8"/>
      <queryTableField id="9" name="Phương thức phát hành" tableColumnId="9"/>
      <queryTableField id="10" name="GT gọi thầu" tableColumnId="10"/>
      <queryTableField id="11" name="GT đặt thầu" tableColumnId="11"/>
      <queryTableField id="12" name="GT trúng thầu" tableColumnId="12"/>
      <queryTableField id="13" name="Số tiền thanh toán trái phiếu trúng thầu" tableColumnId="13"/>
      <queryTableField id="14" name="GT gọi thầu phát hành thêm" tableColumnId="14"/>
      <queryTableField id="15" name="GT đặt thầu phát hành thêm" tableColumnId="15"/>
      <queryTableField id="16" name="GT trúng thầu phát hành thêm" tableColumnId="16"/>
      <queryTableField id="17" name="Số tiền thanh toán trái phiếu phát hành thêm" tableColumnId="17"/>
      <queryTableField id="18" name="Lãi suất danh nghĩa (%/Năm)" tableColumnId="18"/>
      <queryTableField id="19" name="Lãi suất trúng thầu (%/Năm)" tableColumnId="19"/>
      <queryTableField id="20" name="LS đăng ký thấp nhất (%/Năm)" tableColumnId="20"/>
      <queryTableField id="21" name="LS đăng ký cao nhất (%/Năm)" tableColumnId="21"/>
      <queryTableField id="22" dataBound="0" tableColumnId="2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00000000-0016-0000-1000-000003000000}" autoFormatId="16" applyNumberFormats="0" applyBorderFormats="0" applyFontFormats="1" applyPatternFormats="1" applyAlignmentFormats="0" applyWidthHeightFormats="0">
  <queryTableRefresh preserveSortFilterLayout="0" nextId="42" unboundColumnsRight="16">
    <queryTableFields count="41">
      <queryTableField id="1" name="BondsDeals_Id" tableColumnId="83"/>
      <queryTableField id="2" name="TradeDate" tableColumnId="84"/>
      <queryTableField id="3" name="SettlementDate" tableColumnId="85"/>
      <queryTableField id="4" name="DealType" tableColumnId="86"/>
      <queryTableField id="5" name="Bonds_ShortName" tableColumnId="87"/>
      <queryTableField id="6" name="Cpty_ShortName" tableColumnId="88"/>
      <queryTableField id="7" name="Issuer Counterparty" tableColumnId="89"/>
      <queryTableField id="8" name="CouponRate" tableColumnId="90"/>
      <queryTableField id="9" name="Yield" tableColumnId="91"/>
      <queryTableField id="10" name="IssueDate" tableColumnId="92"/>
      <queryTableField id="11" name="MaturityDate" tableColumnId="93"/>
      <queryTableField id="12" name="Quantity" tableColumnId="94"/>
      <queryTableField id="13" name="FaceValue" tableColumnId="95"/>
      <queryTableField id="14" name="Price" tableColumnId="96"/>
      <queryTableField id="15" name="Accural" tableColumnId="97"/>
      <queryTableField id="16" name="GrossAmount" tableColumnId="98"/>
      <queryTableField id="17" name="ClearingModes_ShortName" tableColumnId="99"/>
      <queryTableField id="18" name="OurCorres" tableColumnId="100"/>
      <queryTableField id="19" name="Column19" tableColumnId="101"/>
      <queryTableField id="20" name="Column20" tableColumnId="102"/>
      <queryTableField id="21" name="CaptureDate" tableColumnId="103"/>
      <queryTableField id="22" name="Folders_ShortName" tableColumnId="104"/>
      <queryTableField id="23" name="BOCaptureDate" tableColumnId="105"/>
      <queryTableField id="24" name="LegalStatus_Id" tableColumnId="106"/>
      <queryTableField id="25" name="NoExDividendDays" tableColumnId="107"/>
      <queryTableField id="26" dataBound="0" tableColumnId="108"/>
      <queryTableField id="27" dataBound="0" tableColumnId="109"/>
      <queryTableField id="28" dataBound="0" tableColumnId="110"/>
      <queryTableField id="29" dataBound="0" tableColumnId="111"/>
      <queryTableField id="30" dataBound="0" tableColumnId="112"/>
      <queryTableField id="31" dataBound="0" tableColumnId="113"/>
      <queryTableField id="32" dataBound="0" tableColumnId="114"/>
      <queryTableField id="33" dataBound="0" tableColumnId="115"/>
      <queryTableField id="34" dataBound="0" tableColumnId="116"/>
      <queryTableField id="35" dataBound="0" tableColumnId="117"/>
      <queryTableField id="36" dataBound="0" tableColumnId="118"/>
      <queryTableField id="37" dataBound="0" tableColumnId="119"/>
      <queryTableField id="38" dataBound="0" tableColumnId="120"/>
      <queryTableField id="39" dataBound="0" tableColumnId="121"/>
      <queryTableField id="40" dataBound="0" tableColumnId="122"/>
      <queryTableField id="41" dataBound="0" tableColumnId="12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9" xr16:uid="{6F915F0E-C98A-4E00-BF27-31175F00E9BF}" autoFormatId="16" applyNumberFormats="0" applyBorderFormats="0" applyFontFormats="0" applyPatternFormats="0" applyAlignmentFormats="0" applyWidthHeightFormats="0">
  <queryTableRefresh nextId="10" unboundColumnsRight="2">
    <queryTableFields count="8">
      <queryTableField id="1" name="POSTED_DT" tableColumnId="1"/>
      <queryTableField id="2" name="DEAL_ID" tableColumnId="2"/>
      <queryTableField id="3" name="BOND_CODE" tableColumnId="3"/>
      <queryTableField id="4" name="DEAL_TYPE" tableColumnId="4"/>
      <queryTableField id="5" name="QUANTITY" tableColumnId="5"/>
      <queryTableField id="6" name="FOLDERS_CODE" tableColumnId="6"/>
      <queryTableField id="7" dataBound="0" tableColumnId="7"/>
      <queryTableField id="9" dataBound="0" tableColumnId="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adjustColumnWidth="0" connectionId="24" xr16:uid="{CB77208F-A01D-4130-9817-B1E4A3BD6B21}" autoFormatId="16" applyNumberFormats="0" applyBorderFormats="0" applyFontFormats="0" applyPatternFormats="0" applyAlignmentFormats="0" applyWidthHeightFormats="0">
  <queryTableRefresh nextId="50">
    <queryTableFields count="10">
      <queryTableField id="1" name="Ma Bond" tableColumnId="1"/>
      <queryTableField id="2" name="Deal Sell Id" tableColumnId="2"/>
      <queryTableField id="3" name="So luong Deal Sell" tableColumnId="3"/>
      <queryTableField id="4" name="Ngay den han deal Sell" tableColumnId="4"/>
      <queryTableField id="5" name="Deal Buy ID" tableColumnId="5"/>
      <queryTableField id="6" name="So luong Map" tableColumnId="6"/>
      <queryTableField id="7" name="So luong chua map" tableColumnId="7"/>
      <queryTableField id="8" name="Ngay Value Deal buy" tableColumnId="8"/>
      <queryTableField id="9" name="Ngay thuc hien map" tableColumnId="9"/>
      <queryTableField id="10" name="Nguoi thuc hien map" tableColumnId="10"/>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10" xr16:uid="{073C2857-C6E9-4485-853E-6EC378EB9576}" autoFormatId="16" applyNumberFormats="0" applyBorderFormats="0" applyFontFormats="0" applyPatternFormats="0" applyAlignmentFormats="0" applyWidthHeightFormats="0">
  <queryTableRefresh nextId="15" unboundColumnsRight="2">
    <queryTableFields count="14">
      <queryTableField id="1" name="POSTED_DT" tableColumnId="1"/>
      <queryTableField id="2" name="DEAL_ID" tableColumnId="2"/>
      <queryTableField id="3" name="BOND_CODE" tableColumnId="3"/>
      <queryTableField id="4" name="PRODUCT_CODE" tableColumnId="4"/>
      <queryTableField id="5" name="FOLDERS_CODE" tableColumnId="5"/>
      <queryTableField id="6" name="DEAL_TYPE" tableColumnId="6"/>
      <queryTableField id="7" name="VALUE_DATE_RPT" tableColumnId="7"/>
      <queryTableField id="8" name="VALUE_DATE_YESTERDAY" tableColumnId="8"/>
      <queryTableField id="9" name="YIELD_RPT" tableColumnId="9"/>
      <queryTableField id="10" name="YIELD_YESTERDAY" tableColumnId="10"/>
      <queryTableField id="11" name="AMOUNT_RPT" tableColumnId="11"/>
      <queryTableField id="12" name="AMOUNT_YESTERDAY" tableColumnId="12"/>
      <queryTableField id="13" dataBound="0" tableColumnId="13"/>
      <queryTableField id="14" dataBound="0"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1100-000005000000}" autoFormatId="0" applyNumberFormats="0" applyBorderFormats="0" applyFontFormats="1" applyPatternFormats="1" applyAlignmentFormats="0" applyWidthHeightFormats="0">
  <queryTableRefresh preserveSortFilterLayout="0" nextId="43" unboundColumnsRight="11">
    <queryTableFields count="42">
      <queryTableField id="1" name="Currency" tableColumnId="85"/>
      <queryTableField id="2" name="Duration_range" tableColumnId="86"/>
      <queryTableField id="3" name="Security Name" tableColumnId="87"/>
      <queryTableField id="4" name="Type of Instr." tableColumnId="88"/>
      <queryTableField id="5" name="Mat. Date" tableColumnId="89"/>
      <queryTableField id="6" name="Open Pos" tableColumnId="90"/>
      <queryTableField id="7" name="Price" tableColumnId="91"/>
      <queryTableField id="8" name="Clean Price" tableColumnId="92"/>
      <queryTableField id="9" name="QUANTITY" tableColumnId="93"/>
      <queryTableField id="10" name="Nominal" tableColumnId="94"/>
      <queryTableField id="11" name="Avg Price" tableColumnId="95"/>
      <queryTableField id="12" name="MARKET_VALUE" tableColumnId="96"/>
      <queryTableField id="13" name="Cpn Rate" tableColumnId="97"/>
      <queryTableField id="14" name="Accr Int" tableColumnId="98"/>
      <queryTableField id="15" name="Cpn Cumul" tableColumnId="99"/>
      <queryTableField id="16" name="Cpn Reinvested" tableColumnId="100"/>
      <queryTableField id="17" name="Cost of Carry" tableColumnId="101"/>
      <queryTableField id="18" name="Yield Mat" tableColumnId="102"/>
      <queryTableField id="19" name="Mod Dur" tableColumnId="103"/>
      <queryTableField id="20" name="DURATION" tableColumnId="104"/>
      <queryTableField id="21" name="Cnvx." tableColumnId="105"/>
      <queryTableField id="22" name="Cnvx. Value" tableColumnId="106"/>
      <queryTableField id="23" name="BPV (K)" tableColumnId="107"/>
      <queryTableField id="24" name="Theta (K)" tableColumnId="108"/>
      <queryTableField id="25" name="REALIZED_CUR" tableColumnId="109"/>
      <queryTableField id="26" name="UNREALIZED_CUR" tableColumnId="110"/>
      <queryTableField id="27" name="P/L Clean Price" tableColumnId="111"/>
      <queryTableField id="28" name="P/L Currency" tableColumnId="112"/>
      <queryTableField id="29" name="P/L Local" tableColumnId="113"/>
      <queryTableField id="30" name="P/L Report" tableColumnId="114"/>
      <queryTableField id="31" name="avg yield" tableColumnId="115"/>
      <queryTableField id="32" dataBound="0" tableColumnId="116"/>
      <queryTableField id="33" dataBound="0" tableColumnId="117"/>
      <queryTableField id="34" dataBound="0" tableColumnId="118"/>
      <queryTableField id="35" dataBound="0" tableColumnId="119"/>
      <queryTableField id="36" dataBound="0" tableColumnId="120"/>
      <queryTableField id="37" dataBound="0" tableColumnId="121"/>
      <queryTableField id="38" dataBound="0" tableColumnId="122"/>
      <queryTableField id="39" dataBound="0" tableColumnId="123"/>
      <queryTableField id="40" dataBound="0" tableColumnId="124"/>
      <queryTableField id="41" dataBound="0" tableColumnId="125"/>
      <queryTableField id="42" dataBound="0" tableColumnId="126"/>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connectionId="43" xr16:uid="{00000000-0016-0000-1100-000006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83"/>
      <queryTableField id="2" name="Duration_range" tableColumnId="84"/>
      <queryTableField id="3" name="Security Name" tableColumnId="85"/>
      <queryTableField id="4" name="Type of Instr." tableColumnId="86"/>
      <queryTableField id="5" name="Mat. Date" tableColumnId="87"/>
      <queryTableField id="6" name="Open Pos" tableColumnId="88"/>
      <queryTableField id="7" name="Price" tableColumnId="89"/>
      <queryTableField id="8" name="Clean Price" tableColumnId="90"/>
      <queryTableField id="9" name="QUANTITY" tableColumnId="91"/>
      <queryTableField id="10" name="Nominal" tableColumnId="92"/>
      <queryTableField id="11" name="Avg Price" tableColumnId="93"/>
      <queryTableField id="12" name="MARKET_VALUE" tableColumnId="94"/>
      <queryTableField id="13" name="Cpn Rate" tableColumnId="95"/>
      <queryTableField id="14" name="Accr Int" tableColumnId="96"/>
      <queryTableField id="15" name="Cpn Cumul" tableColumnId="97"/>
      <queryTableField id="16" name="Cpn Reinvested" tableColumnId="98"/>
      <queryTableField id="17" name="Cost of Carry" tableColumnId="99"/>
      <queryTableField id="18" name="Yield Mat" tableColumnId="100"/>
      <queryTableField id="19" name="Mod Dur" tableColumnId="101"/>
      <queryTableField id="20" name="DURATION" tableColumnId="102"/>
      <queryTableField id="21" name="Cnvx." tableColumnId="103"/>
      <queryTableField id="22" name="Cnvx. Value" tableColumnId="104"/>
      <queryTableField id="23" name="BPV (K)" tableColumnId="105"/>
      <queryTableField id="24" name="Theta (K)" tableColumnId="106"/>
      <queryTableField id="25" name="REALIZED_CUR" tableColumnId="107"/>
      <queryTableField id="26" name="UNREALIZED_CUR" tableColumnId="108"/>
      <queryTableField id="27" name="P/L Clean Price" tableColumnId="109"/>
      <queryTableField id="28" name="P/L Currency" tableColumnId="110"/>
      <queryTableField id="29" name="P/L Local" tableColumnId="111"/>
      <queryTableField id="30" name="P/L Report" tableColumnId="112"/>
      <queryTableField id="31" dataBound="0" tableColumnId="113"/>
      <queryTableField id="32" dataBound="0" tableColumnId="114"/>
      <queryTableField id="33" dataBound="0" tableColumnId="115"/>
      <queryTableField id="34" dataBound="0" tableColumnId="116"/>
      <queryTableField id="35" dataBound="0" tableColumnId="117"/>
      <queryTableField id="36" dataBound="0" tableColumnId="118"/>
      <queryTableField id="37" dataBound="0" tableColumnId="119"/>
      <queryTableField id="38" dataBound="0" tableColumnId="120"/>
      <queryTableField id="39" dataBound="0" tableColumnId="121"/>
      <queryTableField id="40" dataBound="0" tableColumnId="122"/>
      <queryTableField id="41" dataBound="0" tableColumnId="123"/>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 xr16:uid="{00000000-0016-0000-1100-000007000000}" autoFormatId="0" applyNumberFormats="0" applyBorderFormats="0" applyFontFormats="1" applyPatternFormats="1" applyAlignmentFormats="0" applyWidthHeightFormats="0">
  <queryTableRefresh preserveSortFilterLayout="0" nextId="42" unboundColumnsRight="11">
    <queryTableFields count="41">
      <queryTableField id="1" name="Currency" tableColumnId="124"/>
      <queryTableField id="2" name="Duration_range" tableColumnId="125"/>
      <queryTableField id="3" name="Security Name" tableColumnId="126"/>
      <queryTableField id="4" name="Type of Instr." tableColumnId="127"/>
      <queryTableField id="5" name="Mat. Date" tableColumnId="128"/>
      <queryTableField id="6" name="Open Pos" tableColumnId="129"/>
      <queryTableField id="7" name="Price" tableColumnId="130"/>
      <queryTableField id="8" name="Clean Price" tableColumnId="131"/>
      <queryTableField id="9" name="QUANTITY" tableColumnId="132"/>
      <queryTableField id="10" name="Nominal" tableColumnId="133"/>
      <queryTableField id="11" name="Avg Price" tableColumnId="134"/>
      <queryTableField id="12" name="MARKET_VALUE" tableColumnId="135"/>
      <queryTableField id="13" name="Cpn Rate" tableColumnId="136"/>
      <queryTableField id="14" name="Accr Int" tableColumnId="137"/>
      <queryTableField id="15" name="Cpn Cumul" tableColumnId="138"/>
      <queryTableField id="16" name="Cpn Reinvested" tableColumnId="139"/>
      <queryTableField id="17" name="Cost of Carry" tableColumnId="140"/>
      <queryTableField id="18" name="Yield Mat" tableColumnId="141"/>
      <queryTableField id="19" name="Mod Dur" tableColumnId="142"/>
      <queryTableField id="20" name="DURATION" tableColumnId="143"/>
      <queryTableField id="21" name="Cnvx." tableColumnId="144"/>
      <queryTableField id="22" name="Cnvx. Value" tableColumnId="145"/>
      <queryTableField id="23" name="BPV (K)" tableColumnId="146"/>
      <queryTableField id="24" name="Theta (K)" tableColumnId="147"/>
      <queryTableField id="25" name="REALIZED_CUR" tableColumnId="148"/>
      <queryTableField id="26" name="UNREALIZED_CUR" tableColumnId="149"/>
      <queryTableField id="27" name="P/L Clean Price" tableColumnId="150"/>
      <queryTableField id="28" name="P/L Currency" tableColumnId="151"/>
      <queryTableField id="29" name="P/L Local" tableColumnId="152"/>
      <queryTableField id="30" name="P/L Report" tableColumnId="153"/>
      <queryTableField id="31" dataBound="0" tableColumnId="154"/>
      <queryTableField id="32" dataBound="0" tableColumnId="155"/>
      <queryTableField id="33" dataBound="0" tableColumnId="156"/>
      <queryTableField id="34" dataBound="0" tableColumnId="157"/>
      <queryTableField id="35" dataBound="0" tableColumnId="158"/>
      <queryTableField id="36" dataBound="0" tableColumnId="159"/>
      <queryTableField id="37" dataBound="0" tableColumnId="160"/>
      <queryTableField id="38" dataBound="0" tableColumnId="161"/>
      <queryTableField id="39" dataBound="0" tableColumnId="162"/>
      <queryTableField id="40" dataBound="0" tableColumnId="163"/>
      <queryTableField id="41" dataBound="0" tableColumnId="16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8" connectionId="13" xr16:uid="{00000000-0016-0000-1100-00000B000000}" autoFormatId="0" applyNumberFormats="0" applyBorderFormats="0" applyFontFormats="1" applyPatternFormats="1" applyAlignmentFormats="0" applyWidthHeightFormats="0">
  <queryTableRefresh preserveSortFilterLayout="0" nextId="32" unboundColumnsRight="4">
    <queryTableFields count="31">
      <queryTableField id="1" name="Short Name" tableColumnId="63"/>
      <queryTableField id="2" name="Security Name" tableColumnId="64"/>
      <queryTableField id="3" name="Maturity" tableColumnId="65"/>
      <queryTableField id="4" name="Open Pos" tableColumnId="66"/>
      <queryTableField id="5" name="Price" tableColumnId="67"/>
      <queryTableField id="6" name="Point Price" tableColumnId="68"/>
      <queryTableField id="7" name="Point AvgPrice" tableColumnId="69"/>
      <queryTableField id="8" name="Theor. Price" tableColumnId="70"/>
      <queryTableField id="9" name="Avg Price" tableColumnId="71"/>
      <queryTableField id="10" name="Yield" tableColumnId="72"/>
      <queryTableField id="11" name="Theor. Yield" tableColumnId="73"/>
      <queryTableField id="12" name="Avg Yield" tableColumnId="74"/>
      <queryTableField id="13" name="Cost of Carry" tableColumnId="75"/>
      <queryTableField id="14" name="Quantity" tableColumnId="76"/>
      <queryTableField id="15" name="Mod Dur" tableColumnId="77"/>
      <queryTableField id="16" name="Dur." tableColumnId="78"/>
      <queryTableField id="17" name="Cnvx" tableColumnId="79"/>
      <queryTableField id="18" name="BPV (K)" tableColumnId="80"/>
      <queryTableField id="19" name="Forex BPV (K)" tableColumnId="81"/>
      <queryTableField id="20" name="Cnvx. Value" tableColumnId="82"/>
      <queryTableField id="21" name="Eq Future" tableColumnId="83"/>
      <queryTableField id="22" name="Realized Cur" tableColumnId="84"/>
      <queryTableField id="23" name="Unrealized Cur" tableColumnId="85"/>
      <queryTableField id="24" name="Brokerage" tableColumnId="86"/>
      <queryTableField id="25" name="P/L Currency" tableColumnId="87"/>
      <queryTableField id="26" name="P/L Total" tableColumnId="88"/>
      <queryTableField id="27" name="P/L Report" tableColumnId="89"/>
      <queryTableField id="28" dataBound="0" tableColumnId="90"/>
      <queryTableField id="29" dataBound="0" tableColumnId="91"/>
      <queryTableField id="30" dataBound="0" tableColumnId="92"/>
      <queryTableField id="31" dataBound="0" tableColumnId="9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9" connectionId="42" xr16:uid="{51F0EC70-B0BD-4ECD-8008-B670F9B804D3}" autoFormatId="16" applyNumberFormats="0" applyBorderFormats="0" applyFontFormats="0" applyPatternFormats="0" applyAlignmentFormats="0" applyWidthHeightFormats="0">
  <queryTableRefresh nextId="48" unboundColumnsRight="11">
    <queryTableFields count="42">
      <queryTableField id="1" name="Currency" tableColumnId="1"/>
      <queryTableField id="2" name="Duration_range" tableColumnId="2"/>
      <queryTableField id="3" name="Security Name" tableColumnId="3"/>
      <queryTableField id="4" name="Type of Instr." tableColumnId="4"/>
      <queryTableField id="5" name="Mat. Date" tableColumnId="5"/>
      <queryTableField id="6" name="Open Pos" tableColumnId="6"/>
      <queryTableField id="7" name="Price" tableColumnId="7"/>
      <queryTableField id="8" name="Clean Price" tableColumnId="8"/>
      <queryTableField id="9" name="QUANTITY" tableColumnId="9"/>
      <queryTableField id="10" name="Nominal" tableColumnId="10"/>
      <queryTableField id="11" name="Avg Price" tableColumnId="11"/>
      <queryTableField id="12" name="MARKET_VALUE" tableColumnId="12"/>
      <queryTableField id="13" name="Cpn Rate" tableColumnId="13"/>
      <queryTableField id="14" name="Accr Int" tableColumnId="14"/>
      <queryTableField id="15" name="Cpn Cumul" tableColumnId="15"/>
      <queryTableField id="16" name="Cpn Reinvested" tableColumnId="16"/>
      <queryTableField id="17" name="Cost of Carry" tableColumnId="17"/>
      <queryTableField id="18" name="Yield Mat" tableColumnId="18"/>
      <queryTableField id="19" name="Mod Dur" tableColumnId="19"/>
      <queryTableField id="20" name="DURATION" tableColumnId="20"/>
      <queryTableField id="21" name="Cnvx." tableColumnId="21"/>
      <queryTableField id="22" name="Cnvx. Value" tableColumnId="22"/>
      <queryTableField id="23" name="BPV (K)" tableColumnId="23"/>
      <queryTableField id="24" name="Theta (K)" tableColumnId="24"/>
      <queryTableField id="25" name="REALIZED_CUR" tableColumnId="25"/>
      <queryTableField id="26" name="UNREALIZED_CUR" tableColumnId="26"/>
      <queryTableField id="27" name="P/L Clean Price" tableColumnId="27"/>
      <queryTableField id="28" name="P/L Currency" tableColumnId="28"/>
      <queryTableField id="29" name="P/L Local" tableColumnId="29"/>
      <queryTableField id="30" name="P/L Report" tableColumnId="30"/>
      <queryTableField id="31" name="avg yield"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0" connectionId="14" xr16:uid="{EBD0D0DC-85E6-4C78-A1ED-BEDF5E329954}" autoFormatId="16" applyNumberFormats="0" applyBorderFormats="0" applyFontFormats="0" applyPatternFormats="0" applyAlignmentFormats="0" applyWidthHeightFormats="0">
  <queryTableRefresh nextId="33" unboundColumnsRight="3">
    <queryTableFields count="32">
      <queryTableField id="1" name="Currency" tableColumnId="1"/>
      <queryTableField id="2" name="Bonds" tableColumnId="2"/>
      <queryTableField id="3" name="Deal Id" tableColumnId="3"/>
      <queryTableField id="4" name="Block Number" tableColumnId="4"/>
      <queryTableField id="5" name="Trade Date" tableColumnId="5"/>
      <queryTableField id="6" name="Folder" tableColumnId="6"/>
      <queryTableField id="7" name="Cpty" tableColumnId="7"/>
      <queryTableField id="8" name="Counterparty Name" tableColumnId="8"/>
      <queryTableField id="9" name="Type of Instr." tableColumnId="9"/>
      <queryTableField id="10" name="Security Name" tableColumnId="10"/>
      <queryTableField id="11" name="Notional" tableColumnId="11"/>
      <queryTableField id="12" name="Haircut" tableColumnId="12"/>
      <queryTableField id="13" name="Value Date" tableColumnId="13"/>
      <queryTableField id="14" name="Mat. Date" tableColumnId="14"/>
      <queryTableField id="15" name="Rate" tableColumnId="15"/>
      <queryTableField id="16" name="Deal Type" tableColumnId="16"/>
      <queryTableField id="17" name="Cpn Cumul" tableColumnId="17"/>
      <queryTableField id="18" name="Cpn Reinvested" tableColumnId="18"/>
      <queryTableField id="19" name="Cost of Carry" tableColumnId="19"/>
      <queryTableField id="20" name="Accrued" tableColumnId="20"/>
      <queryTableField id="21" name="Collateral" tableColumnId="21"/>
      <queryTableField id="22" name="Current Haircut" tableColumnId="22"/>
      <queryTableField id="23" name="Dur." tableColumnId="23"/>
      <queryTableField id="24" name="Cnvx." tableColumnId="24"/>
      <queryTableField id="25" name="YTM" tableColumnId="25"/>
      <queryTableField id="26" name="NPV" tableColumnId="26"/>
      <queryTableField id="27" name="P/L Currency" tableColumnId="27"/>
      <queryTableField id="28" name="P/L Local" tableColumnId="28"/>
      <queryTableField id="29" name="P/L Report" tableColumnId="29"/>
      <queryTableField id="30" dataBound="0" tableColumnId="30"/>
      <queryTableField id="31" dataBound="0" tableColumnId="31"/>
      <queryTableField id="32" dataBound="0" tableColumnId="3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3" xr16:uid="{00000000-0016-0000-1200-00000C000000}" autoFormatId="16" applyNumberFormats="0" applyBorderFormats="0" applyFontFormats="1" applyPatternFormats="1" applyAlignmentFormats="0" applyWidthHeightFormats="0">
  <queryTableRefresh preserveSortFilterLayout="0" nextId="25" unboundColumnsRight="7">
    <queryTableFields count="24">
      <queryTableField id="1" name="DEAL_BUY_ID" tableColumnId="49"/>
      <queryTableField id="2" name="VALUE_DATE" tableColumnId="50"/>
      <queryTableField id="3" name="Bonds_ShortName" tableColumnId="51"/>
      <queryTableField id="4" name="FOLDERS_CODE" tableColumnId="52"/>
      <queryTableField id="5" name="Issuer" tableColumnId="53"/>
      <queryTableField id="6" name="Amt" tableColumnId="54"/>
      <queryTableField id="7" name="Total Rate" tableColumnId="55"/>
      <queryTableField id="8" name="Mature Date" tableColumnId="56"/>
      <queryTableField id="9" name="Yield" tableColumnId="57"/>
      <queryTableField id="10" name="Tenor left" tableColumnId="58"/>
      <queryTableField id="11" name="Std Tenor" tableColumnId="59"/>
      <queryTableField id="12" name="Market Yield" tableColumnId="60"/>
      <queryTableField id="13" name="UnrealizedPnL" tableColumnId="61"/>
      <queryTableField id="14" name="MDuration" tableColumnId="62"/>
      <queryTableField id="15" name="PV01" tableColumnId="63"/>
      <queryTableField id="16" name="Accr" tableColumnId="64"/>
      <queryTableField id="17" name="Convexity" tableColumnId="65"/>
      <queryTableField id="18" dataBound="0" tableColumnId="66"/>
      <queryTableField id="19" dataBound="0" tableColumnId="67"/>
      <queryTableField id="20" dataBound="0" tableColumnId="68"/>
      <queryTableField id="21" dataBound="0" tableColumnId="69"/>
      <queryTableField id="22" dataBound="0" tableColumnId="70"/>
      <queryTableField id="23" dataBound="0" tableColumnId="71"/>
      <queryTableField id="24" dataBound="0" tableColumnId="7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31" xr16:uid="{2EDC5766-F3D5-4227-836D-968D1431479B}" autoFormatId="16" applyNumberFormats="0" applyBorderFormats="0" applyFontFormats="1" applyPatternFormats="1" applyAlignmentFormats="0" applyWidthHeightFormats="0">
  <queryTableRefresh preserveSortFilterLayout="0" nextId="25" unboundColumnsRight="7">
    <queryTableFields count="24">
      <queryTableField id="1" name="BondsDeals_Id" tableColumnId="25"/>
      <queryTableField id="2" name="Value Date" tableColumnId="26"/>
      <queryTableField id="3" name="Bonds_ShortName" tableColumnId="27"/>
      <queryTableField id="4" name="Folders_ShortName" tableColumnId="28"/>
      <queryTableField id="5" name="Issuer" tableColumnId="29"/>
      <queryTableField id="6" name="Amt" tableColumnId="30"/>
      <queryTableField id="7" name="Total Rate" tableColumnId="31"/>
      <queryTableField id="8" name="Mature Date" tableColumnId="32"/>
      <queryTableField id="9" name="Yield" tableColumnId="33"/>
      <queryTableField id="10" name="Tenor left" tableColumnId="34"/>
      <queryTableField id="11" name="Std Tenor" tableColumnId="35"/>
      <queryTableField id="12" name="Market Yield" tableColumnId="36"/>
      <queryTableField id="13" name="UnrealizedPnL" tableColumnId="37"/>
      <queryTableField id="14" name="MDuration" tableColumnId="38"/>
      <queryTableField id="15" name="PV01" tableColumnId="39"/>
      <queryTableField id="16" name="Accr" tableColumnId="40"/>
      <queryTableField id="17" name="Convexity" tableColumnId="41"/>
      <queryTableField id="18" dataBound="0" tableColumnId="42"/>
      <queryTableField id="19" dataBound="0" tableColumnId="43"/>
      <queryTableField id="20" dataBound="0" tableColumnId="44"/>
      <queryTableField id="21" dataBound="0" tableColumnId="45"/>
      <queryTableField id="22" dataBound="0" tableColumnId="46"/>
      <queryTableField id="23" dataBound="0" tableColumnId="47"/>
      <queryTableField id="24" dataBound="0" tableColumnId="48"/>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34" xr16:uid="{00000000-0016-0000-1400-000013000000}" autoFormatId="16" applyNumberFormats="0" applyBorderFormats="0" applyFontFormats="1" applyPatternFormats="1" applyAlignmentFormats="0" applyWidthHeightFormats="0">
  <queryTableRefresh preserveSortFilterLayout="0" nextId="21" unboundColumnsRight="3">
    <queryTableFields count="20">
      <queryTableField id="1" name="BondsDeals_Id" tableColumnId="21"/>
      <queryTableField id="2" name="Value Date" tableColumnId="22"/>
      <queryTableField id="3" name="Bonds_ShortName" tableColumnId="23"/>
      <queryTableField id="4" name="Folders_ShortName" tableColumnId="24"/>
      <queryTableField id="5" name="Issuer" tableColumnId="25"/>
      <queryTableField id="6" name="Amt" tableColumnId="26"/>
      <queryTableField id="7" name="Total Rate" tableColumnId="27"/>
      <queryTableField id="8" name="Mature Date" tableColumnId="28"/>
      <queryTableField id="9" name="Yield" tableColumnId="29"/>
      <queryTableField id="10" name="Tenor left" tableColumnId="30"/>
      <queryTableField id="11" name="Std Tenor" tableColumnId="31"/>
      <queryTableField id="12" name="Market Yield" tableColumnId="32"/>
      <queryTableField id="13" name="UnrealizedPnL" tableColumnId="33"/>
      <queryTableField id="14" name="MDuration" tableColumnId="34"/>
      <queryTableField id="15" name="PV01" tableColumnId="35"/>
      <queryTableField id="16" name="Accr" tableColumnId="36"/>
      <queryTableField id="17" name="Convexity" tableColumnId="37"/>
      <queryTableField id="18" dataBound="0" tableColumnId="38"/>
      <queryTableField id="19" dataBound="0" tableColumnId="39"/>
      <queryTableField id="20" dataBound="0" tableColumnId="4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8" connectionId="32" xr16:uid="{CDE24C46-B6BE-4726-97DD-89E80313112F}" autoFormatId="16" applyNumberFormats="0" applyBorderFormats="0" applyFontFormats="0" applyPatternFormats="0" applyAlignmentFormats="0" applyWidthHeightFormats="0">
  <queryTableRefresh nextId="23" unboundColumnsRight="3">
    <queryTableFields count="20">
      <queryTableField id="1" name="BondsDeals_Id" tableColumnId="1"/>
      <queryTableField id="2" name="Value Date" tableColumnId="2"/>
      <queryTableField id="3" name="Bonds_ShortName" tableColumnId="3"/>
      <queryTableField id="4" name="Folders_ShortName" tableColumnId="4"/>
      <queryTableField id="5" name="Issuer" tableColumnId="5"/>
      <queryTableField id="6" name="Amt" tableColumnId="6"/>
      <queryTableField id="7" name="Total Rate" tableColumnId="7"/>
      <queryTableField id="8" name="Mature Date" tableColumnId="8"/>
      <queryTableField id="9" name="Yield" tableColumnId="9"/>
      <queryTableField id="10" name="Tenor left" tableColumnId="10"/>
      <queryTableField id="11" name="Std Tenor" tableColumnId="11"/>
      <queryTableField id="12" name="Market Yield" tableColumnId="12"/>
      <queryTableField id="13" name="UnrealizedPnL" tableColumnId="13"/>
      <queryTableField id="14" name="MDuration" tableColumnId="14"/>
      <queryTableField id="15" name="PV01" tableColumnId="15"/>
      <queryTableField id="16" name="Accr" tableColumnId="16"/>
      <queryTableField id="17" name="Convexity" tableColumnId="17"/>
      <queryTableField id="18" dataBound="0" tableColumnId="18"/>
      <queryTableField id="19" dataBound="0" tableColumnId="19"/>
      <queryTableField id="20" dataBound="0" tableColumnId="20"/>
    </queryTableFields>
    <queryTableDeletedFields count="1">
      <deletedField name="Column18"/>
    </queryTableDeleted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9" connectionId="4" xr16:uid="{EE54D59E-1CFA-4736-B911-A43B695EB9DF}" autoFormatId="16" applyNumberFormats="0" applyBorderFormats="0" applyFontFormats="0" applyPatternFormats="0" applyAlignmentFormats="0" applyWidthHeightFormats="0">
  <queryTableRefresh nextId="9">
    <queryTableFields count="2">
      <queryTableField id="7" name="BOND_CODE" tableColumnId="4"/>
      <queryTableField id="8" name="Last TradingDate"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2" connectionId="47" xr16:uid="{00000000-0016-0000-1D00-000019000000}" autoFormatId="0" applyNumberFormats="0" applyBorderFormats="0" applyFontFormats="1" applyPatternFormats="1" applyAlignmentFormats="0" applyWidthHeightFormats="0">
  <queryTableRefresh preserveSortFilterLayout="0" nextId="4">
    <queryTableFields count="3">
      <queryTableField id="1" name="RptDate" tableColumnId="7"/>
      <queryTableField id="2" name="Tenor" tableColumnId="8"/>
      <queryTableField id="3" name="Average" tableColumnId="9"/>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3" connectionId="51" xr16:uid="{00000000-0016-0000-1D00-00001A000000}" autoFormatId="0" applyNumberFormats="0" applyBorderFormats="0" applyFontFormats="1" applyPatternFormats="1" applyAlignmentFormats="0" applyWidthHeightFormats="0">
  <queryTableRefresh preserveSortFilterLayout="0" nextId="4">
    <queryTableFields count="3">
      <queryTableField id="1" name="RptDate" tableColumnId="7"/>
      <queryTableField id="2" name="Tenor" tableColumnId="8"/>
      <queryTableField id="3" name="Average" tableColumnId="9"/>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4" connectionId="49" xr16:uid="{00000000-0016-0000-1D00-00001B000000}" autoFormatId="0" applyNumberFormats="0" applyBorderFormats="0" applyFontFormats="1" applyPatternFormats="1" applyAlignmentFormats="0" applyWidthHeightFormats="0">
  <queryTableRefresh preserveSortFilterLayout="0" nextId="4">
    <queryTableFields count="3">
      <queryTableField id="1" name="RptDate" tableColumnId="7"/>
      <queryTableField id="2" name="Tenor" tableColumnId="8"/>
      <queryTableField id="3" name="Average" tableColumnId="9"/>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5" connectionId="50" xr16:uid="{00000000-0016-0000-1D00-00001C000000}" autoFormatId="0" applyNumberFormats="0" applyBorderFormats="0" applyFontFormats="1" applyPatternFormats="1" applyAlignmentFormats="0" applyWidthHeightFormats="0">
  <queryTableRefresh preserveSortFilterLayout="0" nextId="4">
    <queryTableFields count="3">
      <queryTableField id="1" name="RptDate" tableColumnId="7"/>
      <queryTableField id="2" name="Tenor" tableColumnId="8"/>
      <queryTableField id="3" name="Average" tableColumnId="9"/>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6" adjustColumnWidth="0" connectionId="46" xr16:uid="{00000000-0016-0000-1D00-00001D000000}" autoFormatId="16" applyNumberFormats="0" applyBorderFormats="0" applyFontFormats="1" applyPatternFormats="1" applyAlignmentFormats="0" applyWidthHeightFormats="0">
  <queryTableRefresh preserveSortFilterLayout="0" nextId="4">
    <queryTableFields count="3">
      <queryTableField id="1" name="RptDate" tableColumnId="7"/>
      <queryTableField id="2" name="Indicators" tableColumnId="8"/>
      <queryTableField id="3" name="Actual" tableColumnId="9"/>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connectionId="7" xr16:uid="{00000000-0016-0000-1D00-00001F000000}" autoFormatId="0" applyNumberFormats="0" applyBorderFormats="0" applyFontFormats="1" applyPatternFormats="1" applyAlignmentFormats="0" applyWidthHeightFormats="0">
  <queryTableRefresh preserveSortFilterLayout="0" nextId="9">
    <queryTableFields count="8">
      <queryTableField id="1" name="STT" tableColumnId="17"/>
      <queryTableField id="2" name="RptDate" tableColumnId="18"/>
      <queryTableField id="3" name="Indicators" tableColumnId="19"/>
      <queryTableField id="4" name="Input_data" tableColumnId="20"/>
      <queryTableField id="5" name="Class" tableColumnId="21"/>
      <queryTableField id="6" name="Rpt_Grp" tableColumnId="22"/>
      <queryTableField id="7" name="Actual" tableColumnId="23"/>
      <queryTableField id="8" name="Unit" tableColumnId="24"/>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connectionId="21" xr16:uid="{00000000-0016-0000-1D00-000020000000}" autoFormatId="0" applyNumberFormats="0" applyBorderFormats="0" applyFontFormats="1" applyPatternFormats="1" applyAlignmentFormats="0" applyWidthHeightFormats="0">
  <queryTableRefresh preserveSortFilterLayout="0" nextId="9">
    <queryTableFields count="8">
      <queryTableField id="1" name="STT" tableColumnId="17"/>
      <queryTableField id="2" name="RptDate" tableColumnId="18"/>
      <queryTableField id="3" name="Indicators" tableColumnId="19"/>
      <queryTableField id="4" name="Input_data" tableColumnId="20"/>
      <queryTableField id="5" name="Class" tableColumnId="21"/>
      <queryTableField id="6" name="Rpt_Grp" tableColumnId="22"/>
      <queryTableField id="7" name="Actual" tableColumnId="23"/>
      <queryTableField id="8" name="Unit" tableColumnId="24"/>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connectionId="23" xr16:uid="{00000000-0016-0000-1D00-000021000000}" autoFormatId="0" applyNumberFormats="0" applyBorderFormats="0" applyFontFormats="1" applyPatternFormats="1" applyAlignmentFormats="0" applyWidthHeightFormats="0">
  <queryTableRefresh preserveSortFilterLayout="0" nextId="9">
    <queryTableFields count="8">
      <queryTableField id="1" name="STT" tableColumnId="17"/>
      <queryTableField id="2" name="RptDate" tableColumnId="18"/>
      <queryTableField id="3" name="Indicators" tableColumnId="19"/>
      <queryTableField id="4" name="Input_data" tableColumnId="20"/>
      <queryTableField id="5" name="Class" tableColumnId="21"/>
      <queryTableField id="6" name="Rpt_Grp" tableColumnId="22"/>
      <queryTableField id="7" name="Actual" tableColumnId="23"/>
      <queryTableField id="8" name="Unit" tableColumnId="24"/>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connectionId="22" xr16:uid="{00000000-0016-0000-1D00-000022000000}" autoFormatId="0" applyNumberFormats="0" applyBorderFormats="0" applyFontFormats="1" applyPatternFormats="1" applyAlignmentFormats="0" applyWidthHeightFormats="0">
  <queryTableRefresh preserveSortFilterLayout="0" nextId="9">
    <queryTableFields count="8">
      <queryTableField id="1" name="STT" tableColumnId="17"/>
      <queryTableField id="2" name="RptDate" tableColumnId="18"/>
      <queryTableField id="3" name="Indicators" tableColumnId="19"/>
      <queryTableField id="4" name="Input_data" tableColumnId="20"/>
      <queryTableField id="5" name="Class" tableColumnId="21"/>
      <queryTableField id="6" name="Rpt_Grp" tableColumnId="22"/>
      <queryTableField id="7" name="Actual" tableColumnId="23"/>
      <queryTableField id="8" name="Unit" tableColumnId="24"/>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connectionId="8" xr16:uid="{00000000-0016-0000-1D00-000023000000}" autoFormatId="0" applyNumberFormats="0" applyBorderFormats="0" applyFontFormats="1" applyPatternFormats="1" applyAlignmentFormats="0" applyWidthHeightFormats="0">
  <queryTableRefresh preserveSortFilterLayout="0" nextId="9">
    <queryTableFields count="8">
      <queryTableField id="1" name="STT" tableColumnId="17"/>
      <queryTableField id="2" name="RptDate" tableColumnId="18"/>
      <queryTableField id="3" name="Indicators" tableColumnId="19"/>
      <queryTableField id="4" name="Input_data" tableColumnId="20"/>
      <queryTableField id="5" name="Class" tableColumnId="21"/>
      <queryTableField id="6" name="Tenor_Value" tableColumnId="22"/>
      <queryTableField id="7" name="Actual" tableColumnId="23"/>
      <queryTableField id="8" name="Unit" tableColumnId="24"/>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adjustColumnWidth="0" connectionId="18" xr16:uid="{00000000-0016-0000-1D00-000024000000}"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adjustColumnWidth="0" connectionId="19" xr16:uid="{6CA93FA2-483D-4FA8-ADDB-D7FDB2369F41}" autoFormatId="16" applyNumberFormats="0" applyBorderFormats="0" applyFontFormats="0" applyPatternFormats="0" applyAlignmentFormats="0" applyWidthHeightFormats="0">
  <queryTableRefresh nextId="9">
    <queryTableFields count="8">
      <queryTableField id="1" name="STT" tableColumnId="1"/>
      <queryTableField id="2" name="RptDate" tableColumnId="2"/>
      <queryTableField id="3" name="Indicators" tableColumnId="3"/>
      <queryTableField id="4" name="Input_data" tableColumnId="4"/>
      <queryTableField id="5" name="Class" tableColumnId="5"/>
      <queryTableField id="6" name="Rpt_Grp" tableColumnId="6"/>
      <queryTableField id="7" name="Actual" tableColumnId="7"/>
      <queryTableField id="8" name="Unit" tableColumnId="8"/>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connectionId="17" xr16:uid="{960499B4-D765-4A11-BA5C-724C3BB7CC89}" autoFormatId="16" applyNumberFormats="0" applyBorderFormats="0" applyFontFormats="0" applyPatternFormats="0" applyAlignmentFormats="0" applyWidthHeightFormats="0">
  <queryTableRefresh nextId="8">
    <queryTableFields count="2">
      <queryTableField id="5" name="RptDate" tableColumnId="1"/>
      <queryTableField id="6" name="Actual" tableColumnId="2"/>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7" connectionId="16" xr16:uid="{317863AB-1BD9-4D0C-8B8B-1D6242AA2429}" autoFormatId="16" applyNumberFormats="0" applyBorderFormats="0" applyFontFormats="0" applyPatternFormats="0" applyAlignmentFormats="0" applyWidthHeightFormats="0">
  <queryTableRefresh nextId="13">
    <queryTableFields count="4">
      <queryTableField id="1" name="RptDate" tableColumnId="1"/>
      <queryTableField id="3" name="Input_data" tableColumnId="3"/>
      <queryTableField id="5" name="Global amount" tableColumnId="5"/>
      <queryTableField id="6" name="Weighted rate" tableColumnId="6"/>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8" adjustColumnWidth="0" connectionId="20" xr16:uid="{A10E5ECE-CEF4-4645-8B93-6925B2270EFA}" autoFormatId="16" applyNumberFormats="0" applyBorderFormats="0" applyFontFormats="0" applyPatternFormats="0" applyAlignmentFormats="0" applyWidthHeightFormats="0">
  <queryTableRefresh nextId="4">
    <queryTableFields count="3">
      <queryTableField id="1" name="RptDate" tableColumnId="1"/>
      <queryTableField id="2" name="ON BS" tableColumnId="2"/>
      <queryTableField id="3" name="YTM_ON BS" tableColumnId="3"/>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 connectionId="45" xr16:uid="{00000000-0016-0000-1700-000015000000}" autoFormatId="0" applyNumberFormats="0" applyBorderFormats="0" applyFontFormats="1" applyPatternFormats="1" applyAlignmentFormats="0" applyWidthHeightFormats="0">
  <queryTableRefresh preserveSortFilterLayout="0" nextId="4">
    <queryTableFields count="3">
      <queryTableField id="1" name="RptDate" tableColumnId="7"/>
      <queryTableField id="2" name="Indicators" tableColumnId="8"/>
      <queryTableField id="3" name="Actual" tableColumnId="9"/>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2" connectionId="44" xr16:uid="{2C696349-6333-45F2-96CC-FDCAF890A051}" autoFormatId="16" applyNumberFormats="0" applyBorderFormats="0" applyFontFormats="0" applyPatternFormats="0" applyAlignmentFormats="0" applyWidthHeightFormats="0">
  <queryTableRefresh nextId="7">
    <queryTableFields count="6">
      <queryTableField id="1" name="Bộ" tableColumnId="1"/>
      <queryTableField id="2" name="Book" tableColumnId="2"/>
      <queryTableField id="3" name="Horizon" tableColumnId="3"/>
      <queryTableField id="4" name="POSTED_DT" tableColumnId="4"/>
      <queryTableField id="5" name="KB" tableColumnId="5"/>
      <queryTableField id="6" name="Value" tableColumnId="6"/>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9" xr16:uid="{D241D1A6-BC2C-48DC-AFD6-940F2143BF2E}" autoFormatId="16" applyNumberFormats="0" applyBorderFormats="0" applyFontFormats="0" applyPatternFormats="0" applyAlignmentFormats="0" applyWidthHeightFormats="0">
  <queryTableRefresh nextId="23" unboundColumnsRight="3">
    <queryTableFields count="17">
      <queryTableField id="1" name="POSTED_DT" tableColumnId="1"/>
      <queryTableField id="2" name="DEAL_ID" tableColumnId="2"/>
      <queryTableField id="3" name="BOND_CODE" tableColumnId="3"/>
      <queryTableField id="4" name="DEAL_TYPE" tableColumnId="4"/>
      <queryTableField id="5" name="FOLDERS_CODE" tableColumnId="5"/>
      <queryTableField id="6" name="CPTY_CODE" tableColumnId="6"/>
      <queryTableField id="7" name="CAPTURE_DATE" tableColumnId="7"/>
      <queryTableField id="8" name="TRADING_DATE" tableColumnId="8"/>
      <queryTableField id="9" name="VALUE_DATE" tableColumnId="9"/>
      <queryTableField id="10" name="MATURITY_DATE" tableColumnId="10"/>
      <queryTableField id="11" name="FACE_AMOUNT" tableColumnId="11"/>
      <queryTableField id="12" name="GLOBAL_AMOUNT" tableColumnId="12"/>
      <queryTableField id="13" name="FORWARD_AMOUNT" tableColumnId="13"/>
      <queryTableField id="14" name="FIXED_RATE" tableColumnId="14"/>
      <queryTableField id="18" dataBound="0" tableColumnId="15"/>
      <queryTableField id="20" dataBound="0" tableColumnId="17"/>
      <queryTableField id="22" dataBound="0" tableColumnId="16"/>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 adjustColumnWidth="0" connectionId="28" xr16:uid="{E7BA8F79-0565-499A-BB1C-28F3BFAECD96}" autoFormatId="16" applyNumberFormats="0" applyBorderFormats="0" applyFontFormats="0" applyPatternFormats="0" applyAlignmentFormats="0" applyWidthHeightFormats="0">
  <queryTableRefresh nextId="22" unboundColumnsRight="3">
    <queryTableFields count="20">
      <queryTableField id="1" name="POSTED_DT" tableColumnId="1"/>
      <queryTableField id="2" name="DEAL_ID" tableColumnId="2"/>
      <queryTableField id="3" name="BOND_CODE" tableColumnId="3"/>
      <queryTableField id="4" name="DEAL_TYPE" tableColumnId="4"/>
      <queryTableField id="5" name="PRODUCT_CODE" tableColumnId="5"/>
      <queryTableField id="6" name="FOLDERS_CODE" tableColumnId="6"/>
      <queryTableField id="7" name="CPTY_CODE" tableColumnId="7"/>
      <queryTableField id="8" name="BOOK_FLAG" tableColumnId="8"/>
      <queryTableField id="9" name="CAPTURE_DATE" tableColumnId="9"/>
      <queryTableField id="10" name="TRADING_DATE" tableColumnId="10"/>
      <queryTableField id="11" name="VALUE_DATE" tableColumnId="11"/>
      <queryTableField id="12" name="MATURITY_DATE" tableColumnId="12"/>
      <queryTableField id="13" name="FACE_AMOUNT" tableColumnId="13"/>
      <queryTableField id="14" name="GLOBAL_AMOUNT" tableColumnId="14"/>
      <queryTableField id="15" name="FORWARD_AMOUNT" tableColumnId="15"/>
      <queryTableField id="16" name="FIXED_RATE" tableColumnId="16"/>
      <queryTableField id="17" name="COMMENTS" tableColumnId="17"/>
      <queryTableField id="18" dataBound="0" tableColumnId="18"/>
      <queryTableField id="19" dataBound="0" tableColumnId="19"/>
      <queryTableField id="21" dataBound="0" tableColumnId="20"/>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3" connectionId="26" xr16:uid="{4CF65D97-6B3B-4A11-AB52-67BCA463645C}" autoFormatId="16" applyNumberFormats="0" applyBorderFormats="0" applyFontFormats="0" applyPatternFormats="0" applyAlignmentFormats="0" applyWidthHeightFormats="0">
  <queryTableRefresh nextId="13">
    <queryTableFields count="12">
      <queryTableField id="1" name="POSTED_DT" tableColumnId="1"/>
      <queryTableField id="2" name="BLOCK_NUMBER" tableColumnId="2"/>
      <queryTableField id="3" name="DEAL_ID" tableColumnId="3"/>
      <queryTableField id="4" name="DEAL_TYPE" tableColumnId="4"/>
      <queryTableField id="5" name="FOLDERS_CODE" tableColumnId="5"/>
      <queryTableField id="6" name="CPTY_CODE" tableColumnId="6"/>
      <queryTableField id="7" name="CURRENCY_CODE" tableColumnId="7"/>
      <queryTableField id="8" name="AMOUNT" tableColumnId="8"/>
      <queryTableField id="9" name="FIXED_RATE" tableColumnId="9"/>
      <queryTableField id="10" name="CAPTURE_DATE" tableColumnId="10"/>
      <queryTableField id="11" name="VALUE_DATE" tableColumnId="11"/>
      <queryTableField id="12" name="MATURITY_DATE" tableColumnId="12"/>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put" displayName="Input" ref="A1:C42" totalsRowShown="0" headerRowDxfId="522" dataDxfId="521" tableBorderDxfId="520">
  <tableColumns count="3">
    <tableColumn id="1" xr3:uid="{00000000-0010-0000-0000-000001000000}" name="STT" dataDxfId="519"/>
    <tableColumn id="3" xr3:uid="{00000000-0010-0000-0000-000003000000}" name="Indicators" dataDxfId="518"/>
    <tableColumn id="2" xr3:uid="{00000000-0010-0000-0000-000002000000}" name="Values" dataDxfId="517"/>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Counterparty_listdeal" displayName="Counterparty_listdeal" ref="AE1:AF12" totalsRowShown="0" headerRowDxfId="516" dataDxfId="515" dataCellStyle="Comma">
  <autoFilter ref="AE1:AF12" xr:uid="{00000000-000C-0000-FFFF-FFFF01000000}"/>
  <tableColumns count="2">
    <tableColumn id="3" xr3:uid="{2A1BF476-F5B9-463F-AB80-6E50328AA1C7}" name="CTPT" dataDxfId="514" dataCellStyle="Comma"/>
    <tableColumn id="4" xr3:uid="{264424A3-0EC8-46B1-BBAF-B7543CC921C3}" name="Sum of Quantity" dataDxfId="513" dataCellStyle="Comma"/>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Issuer_listdeal" displayName="Issuer_listdeal" ref="AL1:AO8" totalsRowShown="0" headerRowDxfId="512" dataDxfId="511" dataCellStyle="Comma">
  <autoFilter ref="AL1:AO8" xr:uid="{00000000-000C-0000-FFFF-FFFF02000000}"/>
  <tableColumns count="4">
    <tableColumn id="5" xr3:uid="{57BE4E32-806C-4DED-96AD-02D3B6EA0E00}" name="Indicators" dataDxfId="510" dataCellStyle="Comma"/>
    <tableColumn id="6" xr3:uid="{03A6015D-E75D-43AB-89DE-F2FC52E5C3B6}" name="Issuer" dataDxfId="509" dataCellStyle="Comma"/>
    <tableColumn id="7" xr3:uid="{FD3BABE0-97EB-47CD-989B-56B19DC61C15}" name="Tenor_Value" dataDxfId="508" dataCellStyle="Comma"/>
    <tableColumn id="8" xr3:uid="{55530114-660E-45F6-94B9-9A15A0ED4D93}" name="Actual" dataDxfId="507" dataCellStyle="Comma"/>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0012AB4-CA96-4896-96E9-502CFE423D17}" name="Sell_unvalid" displayName="Sell_unvalid" ref="AO1:BC247" tableType="queryTable" totalsRowShown="0" headerRowDxfId="506" dataDxfId="505">
  <sortState xmlns:xlrd2="http://schemas.microsoft.com/office/spreadsheetml/2017/richdata2" ref="AO2:BC247">
    <sortCondition ref="AO1:AO247"/>
  </sortState>
  <tableColumns count="15">
    <tableColumn id="16" xr3:uid="{F2EF151A-3AE8-4911-A357-DE601DD50281}" uniqueName="16" name="DEAL_ID" queryTableFieldId="1" dataDxfId="72"/>
    <tableColumn id="17" xr3:uid="{F14577CB-428B-4485-B007-AE1F51316905}" uniqueName="17" name="BOND_CODE" queryTableFieldId="2" dataDxfId="71"/>
    <tableColumn id="18" xr3:uid="{F63A0833-B573-409C-9ABF-E1BC6C761F66}" uniqueName="18" name="FOLDERS_CODE" queryTableFieldId="3" dataDxfId="70"/>
    <tableColumn id="19" xr3:uid="{2AB37179-C9B0-422E-9858-3B87402AF1BD}" uniqueName="19" name="TRANSACTION_STATUS" queryTableFieldId="4" dataDxfId="69"/>
    <tableColumn id="20" xr3:uid="{1D852370-3A19-4ADC-A172-1F52CC2F6736}" uniqueName="20" name="CAPTURE_DATE" queryTableFieldId="5" dataDxfId="68"/>
    <tableColumn id="21" xr3:uid="{DFA99ACE-2E42-4F4A-BB99-2F15F7D4525C}" uniqueName="21" name="VALUE_DATE" queryTableFieldId="6" dataDxfId="67"/>
    <tableColumn id="22" xr3:uid="{A9783324-A81E-4D58-9A91-7C690AF6EE8C}" uniqueName="22" name="PRICE" queryTableFieldId="7" dataDxfId="66"/>
    <tableColumn id="23" xr3:uid="{99E8C5A6-DF9B-4B45-B707-C62D7AB96B6C}" uniqueName="23" name="DEAL_BUY_ID" queryTableFieldId="8" dataDxfId="65"/>
    <tableColumn id="24" xr3:uid="{3F51A2F1-E477-4CB4-895F-BE3F708822AA}" uniqueName="24" name="QUANTITY" queryTableFieldId="9" dataDxfId="64"/>
    <tableColumn id="25" xr3:uid="{51330C57-9102-4CD6-90C6-F32B6F2214F2}" uniqueName="25" name="Clean price" queryTableFieldId="10" dataDxfId="63" dataCellStyle="Comma [0]">
      <calculatedColumnFormula>_xlfn.XLOOKUP(Sell_unvalid[[#This Row],[DEAL_BUY_ID]],BS!BA:BA,BS!BE:BE,,0)</calculatedColumnFormula>
    </tableColumn>
    <tableColumn id="26" xr3:uid="{16BB3428-E917-4160-AAE0-5107F73957C2}" uniqueName="26" name="Giá MtM" queryTableFieldId="11" dataDxfId="62" dataCellStyle="Comma [0]">
      <calculatedColumnFormula>_xlfn.XLOOKUP(Sell_unvalid[[#This Row],[BOND_CODE]],FNRP!D:D,FNRP!I:I,_xlfn.XLOOKUP(Sell_unvalid[[#This Row],[BOND_CODE]],FNRP!AV:AV,FNRP!BA:BA,,0),0)</calculatedColumnFormula>
    </tableColumn>
    <tableColumn id="27" xr3:uid="{74DE7E4F-583C-4193-8670-5194CE311E8B}" uniqueName="27" name="PTCK remain" queryTableFieldId="12" dataDxfId="61" dataCellStyle="Comma [0]">
      <calculatedColumnFormula>_xlfn.XLOOKUP(Sell_unvalid[[#This Row],[DEAL_BUY_ID]],BS!BA:BA,BS!BQ:BQ,,0)*Sell_unvalid[[#This Row],[QUANTITY]]</calculatedColumnFormula>
    </tableColumn>
    <tableColumn id="28" xr3:uid="{E381F10D-9A35-4956-B4BB-F3B7FC81CE84}" uniqueName="28" name="Tác động ItD" queryTableFieldId="13" dataDxfId="60" dataCellStyle="Comma [0]">
      <calculatedColumnFormula>(Sell_unvalid[[#This Row],[Giá MtM]]-10^5)*Sell_unvalid[[#This Row],[QUANTITY]]-Sell_unvalid[[#This Row],[PTCK remain]]</calculatedColumnFormula>
    </tableColumn>
    <tableColumn id="29" xr3:uid="{667621A7-28B0-4995-89AA-9CDB9BD6223E}" uniqueName="29" name="Tác động Realized" queryTableFieldId="14" dataDxfId="59" dataCellStyle="Comma [0]">
      <calculatedColumnFormula>(Sell_unvalid[[#This Row],[PRICE]]-10^5)*Sell_unvalid[[#This Row],[QUANTITY]]-Sell_unvalid[[#This Row],[PTCK remain]]</calculatedColumnFormula>
    </tableColumn>
    <tableColumn id="30" xr3:uid="{B9C23C3D-E210-4FE8-86CF-E3F79FB1137C}" uniqueName="30" name="Check" queryTableFieldId="15" dataDxfId="58" dataCellStyle="Comma [0]">
      <calculatedColumnFormula>IF(AND(Sell_unvalid[[#This Row],[VALUE_DATE]]&lt;=RPT,Sell_unvalid[[#This Row],[TRANSACTION_STATUS]]="N"),"Check","Ok")</calculatedColumnFormula>
    </tableColumn>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4B29E6F-1F2F-4F23-9C09-DB28BB2379A2}" name="Buy_unvalid" displayName="Buy_unvalid" ref="BF1:BQ124" tableType="queryTable" totalsRowShown="0" headerRowDxfId="504" dataDxfId="503">
  <sortState xmlns:xlrd2="http://schemas.microsoft.com/office/spreadsheetml/2017/richdata2" ref="BF2:BQ124">
    <sortCondition ref="BF1:BF124"/>
  </sortState>
  <tableColumns count="12">
    <tableColumn id="13" xr3:uid="{D264EAA8-FE64-4388-9EF9-B55D037B4FE1}" uniqueName="13" name="DEAL_BUY_ID" queryTableFieldId="1" dataDxfId="57"/>
    <tableColumn id="14" xr3:uid="{606E4C3E-D37A-4D2A-9C20-7A989DBFEB93}" uniqueName="14" name="BOND_CODE" queryTableFieldId="2" dataDxfId="56"/>
    <tableColumn id="15" xr3:uid="{9776B273-6787-4AEA-8E5C-ABD91E68F834}" uniqueName="15" name="FOLDERS_CODE" queryTableFieldId="3" dataDxfId="55"/>
    <tableColumn id="16" xr3:uid="{AE773768-E8F2-4BD4-A448-8A8D61D98A50}" uniqueName="16" name="TRANSACTION_STATUS" queryTableFieldId="4" dataDxfId="54"/>
    <tableColumn id="17" xr3:uid="{1AE9BACF-F2EF-48D1-8303-6D26D995DD5B}" uniqueName="17" name="CAPTURE_DATE" queryTableFieldId="5" dataDxfId="53"/>
    <tableColumn id="18" xr3:uid="{FB0D1B5B-DE43-4CF0-976B-0DEF30DE58DD}" uniqueName="18" name="VALUE_DATE" queryTableFieldId="6" dataDxfId="52"/>
    <tableColumn id="19" xr3:uid="{F4497CC3-6DA5-4C2E-8E1C-8F6B3D0A4E2D}" uniqueName="19" name="QUANTITY" queryTableFieldId="7" dataDxfId="51"/>
    <tableColumn id="20" xr3:uid="{8C8AB680-C8A0-4063-97E1-8893A3EE2B04}" uniqueName="20" name="PRICE" queryTableFieldId="8" dataDxfId="50"/>
    <tableColumn id="21" xr3:uid="{7D74D162-0C35-4759-A3AE-96E0D47A5693}" uniqueName="21" name="Giá MtM" queryTableFieldId="9" dataDxfId="49">
      <calculatedColumnFormula>_xlfn.XLOOKUP(Buy_unvalid[[#This Row],[BOND_CODE]],FNRP!D:D,FNRP!I:I,,0)</calculatedColumnFormula>
    </tableColumn>
    <tableColumn id="22" xr3:uid="{91E39974-6324-46EE-BDB6-0CC556B84DAD}" uniqueName="22" name="PTCK remain" queryTableFieldId="10" dataDxfId="48">
      <calculatedColumnFormula>_xlfn.XLOOKUP(Buy_unvalid[[#This Row],[DEAL_BUY_ID]],BS!BA:BA,BS!BQ:BQ,_xlfn.XLOOKUP(Buy_unvalid[[#This Row],[DEAL_BUY_ID]],BS!AL:AL,BS!AR:AR,,0),0)*Buy_unvalid[[#This Row],[QUANTITY]]</calculatedColumnFormula>
    </tableColumn>
    <tableColumn id="23" xr3:uid="{9D40FA46-107B-4D68-8269-28E1E042AF1D}" uniqueName="23" name="Tác động ItD" queryTableFieldId="11" dataDxfId="47">
      <calculatedColumnFormula>(Buy_unvalid[[#This Row],[Giá MtM]]-10^5)*Buy_unvalid[[#This Row],[QUANTITY]]-Buy_unvalid[[#This Row],[PTCK remain]]</calculatedColumnFormula>
    </tableColumn>
    <tableColumn id="24" xr3:uid="{973593D7-CC85-468F-9549-AB134D505F2E}" uniqueName="24" name="Check" queryTableFieldId="12" dataDxfId="46">
      <calculatedColumnFormula>IF(AND(Buy_unvalid[[#This Row],[VALUE_DATE]]&lt;=RPT,Buy_unvalid[[#This Row],[TRANSACTION_STATUS]]="N"),"Check","Ok")</calculatedColumnFormula>
    </tableColumn>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BAA6342-D32D-4A02-BEBF-35CF474EA4BC}" name="Est_NIM" displayName="Est_NIM" ref="BT1:BZ251" tableType="queryTable" totalsRowShown="0" headerRowDxfId="502" dataDxfId="501">
  <tableColumns count="7">
    <tableColumn id="1" xr3:uid="{80690621-6FDF-4544-BFCC-5BDDC75D4884}" uniqueName="1" name="DEAL_ID" queryTableFieldId="1" dataDxfId="45"/>
    <tableColumn id="2" xr3:uid="{C6AC3F0A-88BA-4141-8FDA-BCEF9770A5E1}" uniqueName="2" name="VALUE_DATE" queryTableFieldId="2" dataDxfId="44"/>
    <tableColumn id="3" xr3:uid="{CC9B2BF5-06FD-44DE-8D55-BAA94E9B291C}" uniqueName="3" name="DEAL_BUY_ID" queryTableFieldId="3" dataDxfId="43"/>
    <tableColumn id="4" xr3:uid="{D4BF70D9-8CB7-4FE9-8F50-F6679DB67765}" uniqueName="4" name="Note" queryTableFieldId="4" dataDxfId="42"/>
    <tableColumn id="5" xr3:uid="{575A182B-555B-4F95-BDEE-D1EAEFD81848}" uniqueName="5" name="QUANT" queryTableFieldId="5" dataDxfId="41" dataCellStyle="Comma [0]"/>
    <tableColumn id="8" xr3:uid="{4023F98F-0F30-4D34-8619-7E834C96BF63}" uniqueName="8" name="YIELD" queryTableFieldId="8" dataDxfId="40" dataCellStyle="Comma [0]">
      <calculatedColumnFormula>_xlfn.XLOOKUP(Est_NIM[[#This Row],[DEAL_BUY_ID]],BS!AL:AL,BS!AU:AU,_xlfn.XLOOKUP(Est_NIM[[#This Row],[DEAL_BUY_ID]],BS!BA:BA,BS!BJ:BJ,,0),0)</calculatedColumnFormula>
    </tableColumn>
    <tableColumn id="9" xr3:uid="{075277FF-C500-4DEA-A45E-50866C277705}" uniqueName="9" name="QUANT*YIELD" queryTableFieldId="9" dataDxfId="39" dataCellStyle="Comma [0]">
      <calculatedColumnFormula>Est_NIM[[#This Row],[QUANT]]*Est_NIM[[#This Row],[YIELD]]</calculatedColumnFormula>
    </tableColumn>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C36E517-8592-487E-A9D7-A8C3C634E61C}" name="Giam_sat_yesterday" displayName="Giam_sat_yesterday" ref="CC1:CI251" tableType="queryTable" totalsRowShown="0" headerRowDxfId="500" dataDxfId="499">
  <autoFilter ref="CC1:CI251" xr:uid="{DC36E517-8592-487E-A9D7-A8C3C634E61C}"/>
  <tableColumns count="7">
    <tableColumn id="1" xr3:uid="{059D81D9-C7EF-4305-8060-A449A1351701}" uniqueName="1" name="17/08/2026" queryTableFieldId="100"/>
    <tableColumn id="2" xr3:uid="{930D9FD4-C951-42EF-A706-530179075F19}" uniqueName="2" name="ItD_x000a_đã điều chỉnh (1)" queryTableFieldId="2" dataDxfId="498"/>
    <tableColumn id="3" xr3:uid="{1FB15DC2-31E5-48D7-B775-B13F256A99BC}" uniqueName="3" name="Điều chỉnh công nợ, PTCK đã phân bổ (2)" queryTableFieldId="3" dataDxfId="497"/>
    <tableColumn id="4" xr3:uid="{D565682E-8BB5-4948-8447-73D5791ABF66}" uniqueName="4" name="ItD trước khi điều chỉnh (3) = (1) + (2)" queryTableFieldId="4" dataDxfId="496"/>
    <tableColumn id="5" xr3:uid="{7AB0489E-5784-438B-8F89-3115988591E5}" uniqueName="5" name="Điều chỉnh ItD của deal bán chưa valid (4)" queryTableFieldId="5" dataDxfId="495"/>
    <tableColumn id="6" xr3:uid="{B2A3B163-279A-47B4-8F5D-55BF8014714A}" uniqueName="6" name="Tác động ItD của deal mua chưa valid (5)" queryTableFieldId="6" dataDxfId="494"/>
    <tableColumn id="7" xr3:uid="{EE9A12EE-5804-4B34-9647-C3A8C50E0D66}" uniqueName="7" name="ItD điều chỉnh deal gửi giá và bán chưa valid (6) = (1) + (4)" queryTableFieldId="7" dataDxfId="493"/>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58D1BDB5-487E-41EE-A91C-9BCE9CDD0858}" name="EstonBS" displayName="EstonBS" ref="AF11:AL24" totalsRowShown="0" headerRowDxfId="492" headerRowBorderDxfId="491" tableBorderDxfId="490" totalsRowBorderDxfId="489">
  <tableColumns count="7">
    <tableColumn id="1" xr3:uid="{99D18A62-4FC1-49C3-B74A-6688F71AC306}" name="số tháng tiếp" dataDxfId="488"/>
    <tableColumn id="2" xr3:uid="{00004642-BE52-4B33-B376-DF00B4A9F9A6}" name="date" dataDxfId="487">
      <calculatedColumnFormula>EOMONTH(RPT,AF12)</calculatedColumnFormula>
    </tableColumn>
    <tableColumn id="3" xr3:uid="{6B0159C4-D087-414C-B905-8CC740AAD59B}" name="valid trong tháng" dataDxfId="486" dataCellStyle="Comma [0]">
      <calculatedColumnFormula>-SUMIFS(BX:BX,BU:BU,"&lt;="&amp;AG12,BU:BU,"&gt;"&amp;AG11,BW:BW,"&lt;&gt;rp_sec")/10^4</calculatedColumnFormula>
    </tableColumn>
    <tableColumn id="4" xr3:uid="{A3CB93BB-821D-49EC-A291-9DA1FC4C638C}" name="outs on BS" dataDxfId="485" dataCellStyle="Comma [0]">
      <calculatedColumnFormula>AI11+AH12</calculatedColumnFormula>
    </tableColumn>
    <tableColumn id="5" xr3:uid="{A7E59465-C52D-4171-A06E-D1859CCF5B02}" name="yield bq" dataDxfId="484" dataCellStyle="Comma [0]">
      <calculatedColumnFormula>(SUMIFS(BZ:BZ,BU:BU,"&gt;"&amp;AG12)+SUMIFS(BZ:BZ,BW:BW,"rp_sec"))/10^4/AI12</calculatedColumnFormula>
    </tableColumn>
    <tableColumn id="6" xr3:uid="{AFC63265-081C-41DA-88A2-D054D2E27354}" name="Indicator 1" dataDxfId="483" dataCellStyle="Comma [0]">
      <calculatedColumnFormula>IF(YEAR(AG12)=YEAR(RPT),"Est YTM T"&amp;MONTH(AG12),"")</calculatedColumnFormula>
    </tableColumn>
    <tableColumn id="7" xr3:uid="{488EC931-DE56-4D07-AF55-36983E94DB13}" name="Indicator 2" dataDxfId="482" dataCellStyle="Comma [0]">
      <calculatedColumnFormula>IF(YEAR(AG12)=YEAR(RPT),"Est Posi OnBS T"&amp;MONTH(AG12),"")</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8000000}" name="BS" displayName="BS" ref="U2:AC147" tableType="queryTable" totalsRowShown="0" headerRowDxfId="481" dataDxfId="480">
  <sortState xmlns:xlrd2="http://schemas.microsoft.com/office/spreadsheetml/2017/richdata2" ref="U3:AC147">
    <sortCondition ref="V2:V147"/>
  </sortState>
  <tableColumns count="9">
    <tableColumn id="28" xr3:uid="{D8CEC328-015F-4DB2-B5F8-5FE47A8AD303}" uniqueName="28" name="POSTED_DT" queryTableFieldId="1" dataDxfId="222"/>
    <tableColumn id="29" xr3:uid="{E7FF84E4-0FF8-42B2-9B64-DD8C464BA536}" uniqueName="29" name="BOND_CODE" queryTableFieldId="2" dataDxfId="221"/>
    <tableColumn id="30" xr3:uid="{3C52A7C3-D8EC-4A2C-BFE2-29EB28A83BAC}" uniqueName="30" name="BOOK_FLAG" queryTableFieldId="3" dataDxfId="220"/>
    <tableColumn id="31" xr3:uid="{CD8A86C6-8528-41C0-946F-FEEEC51F14D6}" uniqueName="31" name="BALANCE" queryTableFieldId="4" dataDxfId="219"/>
    <tableColumn id="32" xr3:uid="{802EF0D7-E6A7-40CC-A234-69BB7E3A20D8}" uniqueName="32" name="CLEAN_PRICE" queryTableFieldId="5" dataDxfId="218"/>
    <tableColumn id="33" xr3:uid="{34AC0DEA-E5AF-43CB-9AB7-22E3FCD8ECA1}" uniqueName="33" name="MARKET_VALUE" queryTableFieldId="6" dataDxfId="217"/>
    <tableColumn id="34" xr3:uid="{081A5C77-440D-452F-A358-6FF774DC132B}" uniqueName="34" name="BAL" queryTableFieldId="7" dataDxfId="216"/>
    <tableColumn id="35" xr3:uid="{4E7A503F-9F51-448B-8A2A-4AEE81A1A8F2}" uniqueName="35" name="CLEAN PRICE" queryTableFieldId="8" dataDxfId="215">
      <calculatedColumnFormula>_xlfn.IFNA(VLOOKUP(BS[[#This Row],[BOND_CODE]],FNRP!D:I,6,0),VLOOKUP(BS[[#This Row],[BOND_CODE]],FNRP!AV:BA,6,0))</calculatedColumnFormula>
    </tableColumn>
    <tableColumn id="36" xr3:uid="{D56C2C1A-8366-4B8D-A24B-519B05C68704}" uniqueName="36" name="MARKET VALUE" queryTableFieldId="9" dataDxfId="214" dataCellStyle="Comma">
      <calculatedColumnFormula>BS[[#This Row],[CLEAN PRICE]]*BS[[#This Row],[BALANCE]]/100000</calculatedColumnFormula>
    </tableColumn>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9000000}" name="GL" displayName="GL" ref="AG2:AI6" tableType="queryTable" totalsRowShown="0" headerRowDxfId="479" dataDxfId="478" dataCellStyle="Comma">
  <tableColumns count="3">
    <tableColumn id="7" xr3:uid="{93A73B89-C91F-424A-BE6C-2E994160D152}" uniqueName="7" name="GL_CODE" queryTableFieldId="1" dataDxfId="213" dataCellStyle="Comma"/>
    <tableColumn id="8" xr3:uid="{7BD41A37-336C-4800-B477-F394A0274CAA}" uniqueName="8" name="GL_CODE_NAME" queryTableFieldId="2" dataDxfId="212" dataCellStyle="Comma"/>
    <tableColumn id="9" xr3:uid="{59ACB4C1-BB9E-45D6-B87E-E470C3F3FD5C}" uniqueName="9" name="POSITION" queryTableFieldId="3" dataDxfId="211" dataCellStyle="Comma"/>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AF8B29E-848D-489D-98B1-DAED899A4432}" name="PTCK_offBS" displayName="PTCK_offBS" ref="AZ2:BR231" tableType="queryTable" totalsRowShown="0" headerRowDxfId="477" dataDxfId="476" headerRowCellStyle="Comma" dataCellStyle="Comma">
  <tableColumns count="19">
    <tableColumn id="1" xr3:uid="{125F4C61-17C3-4A9E-A1D3-9A931BFD9E02}" uniqueName="1" name="POSTED_DT" queryTableFieldId="1" dataDxfId="198"/>
    <tableColumn id="2" xr3:uid="{E31DAEBF-A5FB-4788-98A1-294827D6EAC3}" uniqueName="2" name="DEAL_ID" queryTableFieldId="2" dataDxfId="197"/>
    <tableColumn id="3" xr3:uid="{178102C7-6AB5-46BE-8286-95AA3F86C4F1}" uniqueName="3" name="BOND_CODE" queryTableFieldId="3" dataDxfId="196"/>
    <tableColumn id="13" xr3:uid="{82E2BA95-1210-4EF1-BA4A-AEBE96012CD5}" uniqueName="13" name="FOLDERS_CODE" queryTableFieldId="37" dataDxfId="195" dataCellStyle="Comma"/>
    <tableColumn id="6" xr3:uid="{156E7E4C-6C5E-4567-9360-CFC4CC0E8C6E}" uniqueName="6" name="QUANTITY" queryTableFieldId="6" dataDxfId="194" dataCellStyle="Comma [0]"/>
    <tableColumn id="7" xr3:uid="{D0DF1362-CD78-4F07-AA97-BAAC5D8FB08F}" uniqueName="7" name="PRICE" queryTableFieldId="7" dataDxfId="193" dataCellStyle="Comma [0]"/>
    <tableColumn id="10" xr3:uid="{559C4801-FE19-43C0-89D5-E92D2AB1E7AA}" uniqueName="10" name="TRADING_DATE" queryTableFieldId="13" dataDxfId="192" dataCellStyle="Comma"/>
    <tableColumn id="11" xr3:uid="{13F5AC7F-B176-4222-B228-6BCE07772606}" uniqueName="11" name="VALUE_DATE" queryTableFieldId="14" dataDxfId="191" dataCellStyle="Comma"/>
    <tableColumn id="12" xr3:uid="{D5DF01F0-3244-4836-819A-5E2429E00041}" uniqueName="12" name="MATURITY_DATE" queryTableFieldId="15" dataDxfId="190" dataCellStyle="Comma"/>
    <tableColumn id="4" xr3:uid="{25464AD8-6F60-4861-88C8-75BCADDC8E66}" uniqueName="4" name="GROSS_AMOUNT" queryTableFieldId="11" dataDxfId="189" dataCellStyle="Comma [0]"/>
    <tableColumn id="8" xr3:uid="{644A9755-F7CE-45EA-B85B-46D64F3223AF}" uniqueName="8" name="COUPON_RATE" queryTableFieldId="12" dataDxfId="188" dataCellStyle="Comma"/>
    <tableColumn id="5" xr3:uid="{B3815CE2-4559-4917-BA65-0DA9DE6FEBF6}" uniqueName="5" name="YIELD" queryTableFieldId="31" dataDxfId="187" dataCellStyle="Comma"/>
    <tableColumn id="9" xr3:uid="{59C72A28-D5FF-47FE-8E39-4DB576BDDB59}" uniqueName="9" name="BS" queryTableFieldId="9" dataDxfId="186" dataCellStyle="Comma"/>
    <tableColumn id="18" xr3:uid="{CD36E2F6-0B9D-4434-8936-0C8DF1CCB27E}" uniqueName="18" name="Book" queryTableFieldId="27" dataDxfId="185" dataCellStyle="Comma"/>
    <tableColumn id="14" xr3:uid="{58A8392D-AA98-4B4C-A98B-8A4D4E96078B}" uniqueName="14" name="LAST_PMT" queryTableFieldId="23" dataDxfId="184" dataCellStyle="Comma">
      <calculatedColumnFormula>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calculatedColumnFormula>
    </tableColumn>
    <tableColumn id="15" xr3:uid="{756611D2-5B83-4BD0-9445-1CD9691112C7}" uniqueName="15" name="START_ACC" queryTableFieldId="24" dataDxfId="183" dataCellStyle="Comma">
      <calculatedColumnFormula>(PTCK_offBS[[#This Row],[VALUE_DATE]]-PTCK_offBS[[#This Row],[LAST_PMT]])*PTCK_offBS[[#This Row],[COUPON_RATE]]*1000/(DATE(YEAR(PTCK_offBS[[#This Row],[LAST_PMT]])+1,MONTH(PTCK_offBS[[#This Row],[LAST_PMT]]),DAY(PTCK_offBS[[#This Row],[LAST_PMT]]))-PTCK_offBS[[#This Row],[LAST_PMT]])</calculatedColumnFormula>
    </tableColumn>
    <tableColumn id="16" xr3:uid="{BDACFEDF-3782-4C04-8443-BF5B51836B5F}" uniqueName="16" name="PTCK" queryTableFieldId="25" dataDxfId="182" dataCellStyle="Comma">
      <calculatedColumnFormula>PTCK_offBS[[#This Row],[GROSS_AMOUNT]]/PTCK_offBS[[#This Row],[QUANTITY]]-PTCK_offBS[[#This Row],[START_ACC]]-10^5</calculatedColumnFormula>
    </tableColumn>
    <tableColumn id="20" xr3:uid="{AD55CAC3-B4CD-4981-9617-B8E86347A1B8}" uniqueName="20" name="PTCK remain" queryTableFieldId="30" dataDxfId="0" dataCellStyle="Comma">
      <calculatedColumnFormula>IF(PTCK_offBS[[#This Row],[BS]]="Others",PTCK_offBS[[#This Row],[PTCK]]*(PTCK_offBS[[#This Row],[MATURITY_DATE]]-PTCK_offBS[[#This Row],[POSTED_DT]]-1)/(PTCK_offBS[[#This Row],[MATURITY_DATE]]-PTCK_offBS[[#This Row],[VALUE_DATE]]),PTCK_offBS[[#This Row],[PTCK]])</calculatedColumnFormula>
    </tableColumn>
    <tableColumn id="17" xr3:uid="{A59FE656-3BB9-456B-A6D1-1A513A50C682}" uniqueName="17" name="tổng PTCK remain" queryTableFieldId="26" dataDxfId="181" dataCellStyle="Comma">
      <calculatedColumnFormula>PTCK_offBS[[#This Row],[PTCK remain]]*PTCK_offBS[[#This Row],[QUANTITY]]</calculatedColumnFormula>
    </tableColumn>
  </tableColumns>
  <tableStyleInfo name="TableStyleLight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F1852D9-8CAE-429E-980F-2F41432C438A}" name="RPBOD3" displayName="RPBOD3" ref="AL2:AW263" tableType="queryTable" totalsRowShown="0" headerRowDxfId="475" dataDxfId="474" headerRowCellStyle="Comma [0]" dataCellStyle="Comma [0]">
  <tableColumns count="12">
    <tableColumn id="1" xr3:uid="{638E2FB9-D3E2-4521-8C17-06661DE0AD59}" uniqueName="1" name="BondsDeals_Id" queryTableFieldId="1" dataDxfId="210"/>
    <tableColumn id="2" xr3:uid="{A46D7168-3149-431B-BF74-7ABAC13E65E4}" uniqueName="2" name="Bonds_ShortName" queryTableFieldId="2" dataDxfId="209"/>
    <tableColumn id="12" xr3:uid="{1804AFB3-3AC5-49FB-92EF-B8EA14489C37}" uniqueName="12" name="ThisCouponRate" queryTableFieldId="14" dataDxfId="208" dataCellStyle="Comma [0]"/>
    <tableColumn id="3" xr3:uid="{84A811B5-9B60-4A5E-B37F-2C135DC920AB}" uniqueName="3" name="Issuer" queryTableFieldId="3" dataDxfId="207"/>
    <tableColumn id="4" xr3:uid="{CB2C1C07-9ADB-43E8-9FB9-572877B4044D}" uniqueName="4" name="Folder" queryTableFieldId="4" dataDxfId="206" dataCellStyle="Comma"/>
    <tableColumn id="5" xr3:uid="{E5CE8D6E-C4C7-4136-B6CD-BF64522EF683}" uniqueName="5" name="Quantity" queryTableFieldId="5" dataDxfId="205" dataCellStyle="Comma [0]"/>
    <tableColumn id="6" xr3:uid="{82ACAC0B-4C14-4DE7-B767-A534F178C556}" uniqueName="6" name="PTCK_Remain" queryTableFieldId="6" dataDxfId="204" dataCellStyle="Comma [0]"/>
    <tableColumn id="7" xr3:uid="{243387B2-3AA5-4BA4-B03E-33A024C8D537}" uniqueName="7" name="Clean price" queryTableFieldId="7" dataDxfId="203" dataCellStyle="Comma [0]"/>
    <tableColumn id="8" xr3:uid="{4DC5F5BB-1888-453D-988F-39976639290E}" uniqueName="8" name="Dirty price" queryTableFieldId="8" dataDxfId="202" dataCellStyle="Comma [0]"/>
    <tableColumn id="11" xr3:uid="{6401FD17-2846-4341-B919-C5BCE345902E}" uniqueName="11" name="Yield" queryTableFieldId="12" dataDxfId="201" dataCellStyle="Comma [0]"/>
    <tableColumn id="9" xr3:uid="{818B086F-032D-4C22-AC34-BE7653863837}" uniqueName="9" name="Gross amt" queryTableFieldId="9" dataDxfId="200" dataCellStyle="Comma [0]"/>
    <tableColumn id="10" xr3:uid="{19A17AC9-8CAC-4C4A-A3C8-30E52058055F}" uniqueName="10" name="ItD adj" queryTableFieldId="10" dataDxfId="199" dataCellStyle="Comma [0]">
      <calculatedColumnFormula>(_xlfn.XLOOKUP(RPBOD3[[#This Row],[Bonds_ShortName]],FNRP!D:D,FNRP!H:H,_xlfn.XLOOKUP(RPBOD3[[#This Row],[Bonds_ShortName]],FNRP!AV:AV,FNRP!AZ:AZ,,0),0)-RPBOD3[[#This Row],[PTCK_Remain]]-10^5)*RPBOD3[[#This Row],[Quantity]]</calculatedColumnFormula>
    </tableColumn>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0BB1E49-1CFF-4318-AC27-8EA6CBD99410}" name="Yield_1Y" displayName="Yield_1Y" ref="A1:C2751" tableType="queryTable" totalsRowShown="0">
  <autoFilter ref="A1:C2751" xr:uid="{80BB1E49-1CFF-4318-AC27-8EA6CBD99410}"/>
  <sortState xmlns:xlrd2="http://schemas.microsoft.com/office/spreadsheetml/2017/richdata2" ref="A2:C2751">
    <sortCondition ref="B1:B2751"/>
  </sortState>
  <tableColumns count="3">
    <tableColumn id="1" xr3:uid="{3C9791E5-8AB1-4EEA-88CC-C1257B1C431E}" uniqueName="1" name="RptDate" queryTableFieldId="1" dataDxfId="37"/>
    <tableColumn id="2" xr3:uid="{9506BD8B-56BD-4ABE-A5CD-8BAF072AF276}" uniqueName="2" name="Tenor" queryTableFieldId="2" dataDxfId="38"/>
    <tableColumn id="3" xr3:uid="{CFA99D8A-0EB8-4185-802F-162689303057}" uniqueName="3" name="Average"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356309AD-BEB9-44B2-867F-51FD151C2219}" name="Outright" displayName="Outright" ref="B1:J59" tableType="queryTable" totalsRowShown="0">
  <tableColumns count="9">
    <tableColumn id="1" xr3:uid="{7E60CBEE-9559-4212-AC42-BB286986EB67}" uniqueName="1" name="Ngày" queryTableFieldId="1" dataDxfId="266"/>
    <tableColumn id="2" xr3:uid="{29C7D8D6-DAA7-4CD6-9AF7-080498225154}" uniqueName="2" name="KHCL" queryTableFieldId="2"/>
    <tableColumn id="3" xr3:uid="{BAD1FE7E-C6E9-4498-A948-AEE62A5AB336}" uniqueName="3" name="Mã TP" queryTableFieldId="3"/>
    <tableColumn id="4" xr3:uid="{BFABAF34-6636-4A73-AC00-A8EC84E766DC}" uniqueName="4" name="Loại tiền tệ" queryTableFieldId="4"/>
    <tableColumn id="5" xr3:uid="{55DD8F08-E825-4210-B9FC-7C9AB0630C84}" uniqueName="5" name="Clean price" queryTableFieldId="5" dataDxfId="265" dataCellStyle="Comma"/>
    <tableColumn id="6" xr3:uid="{50EDB835-22A7-4BA2-B3C0-87BE2B60F04B}" uniqueName="6" name="YTM" queryTableFieldId="6" dataDxfId="264" dataCellStyle="Comma"/>
    <tableColumn id="7" xr3:uid="{ACFD6FFC-2A92-4A70-ADDB-F64F82303299}" uniqueName="7" name="KLGD" queryTableFieldId="7" dataDxfId="263" dataCellStyle="Comma"/>
    <tableColumn id="8" xr3:uid="{82081307-31FD-4C02-92E4-9A6BC2A28332}" uniqueName="8" name="GTGD" queryTableFieldId="8" dataDxfId="262" dataCellStyle="Comma"/>
    <tableColumn id="9" xr3:uid="{D3EA3CA1-CB94-4F02-903F-81382E691A0D}" uniqueName="9" name="Tenor" queryTableFieldId="11" dataDxfId="261" dataCellStyle="Comma">
      <calculatedColumnFormula>VLOOKUP(Outright[[#This Row],[KHCL]],Ref!AT:AU,2,0)</calculatedColumnFormula>
    </tableColumn>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466EA81-3A7D-4AE2-91F4-5D230FDAE656}" name="Repo" displayName="Repo" ref="M1:S12" tableType="queryTable" totalsRowShown="0">
  <autoFilter ref="M1:S12" xr:uid="{F466EA81-3A7D-4AE2-91F4-5D230FDAE656}"/>
  <tableColumns count="7">
    <tableColumn id="1" xr3:uid="{E6035A34-9075-476E-9471-A2A451D5DD44}" uniqueName="1" name="Ngày" queryTableFieldId="1" dataDxfId="260"/>
    <tableColumn id="2" xr3:uid="{BC2266CB-0173-438C-AFCF-DE6988F67E65}" uniqueName="2" name="Kỳ hạn MBL" queryTableFieldId="2"/>
    <tableColumn id="3" xr3:uid="{F7944575-1292-43C6-B868-A2B63F9DFFAB}" uniqueName="3" name="Tiền tệ" queryTableFieldId="3"/>
    <tableColumn id="4" xr3:uid="{6D20B8EF-5DA1-45F8-8818-037EDA1A90F7}" uniqueName="4" name="Lãi suất MBL" queryTableFieldId="4" dataDxfId="259" dataCellStyle="Comma"/>
    <tableColumn id="5" xr3:uid="{C826409C-89B7-4F5B-B84A-E4419371392F}" uniqueName="5" name="GTGD" queryTableFieldId="5" dataDxfId="258" dataCellStyle="Comma"/>
    <tableColumn id="6" xr3:uid="{B0E2D633-DB34-46BC-AD7B-902A8AA08900}" uniqueName="6" name="GTTT" queryTableFieldId="6" dataDxfId="257" dataCellStyle="Comma"/>
    <tableColumn id="7" xr3:uid="{20352C91-AADF-4D86-B3EC-20460A5362DC}" uniqueName="7" name="Ngày TT lần 1" queryTableFieldId="7" dataDxfId="256"/>
  </tableColumns>
  <tableStyleInfo name="TableStyleLight1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C5F9EA3-7C93-4A97-88A9-EDC83AFEC6A3}" name="Aution" displayName="Aution" ref="V1:AQ2" tableType="queryTable" insertRow="1" totalsRowShown="0">
  <autoFilter ref="V1:AQ2" xr:uid="{2C5F9EA3-7C93-4A97-88A9-EDC83AFEC6A3}"/>
  <tableColumns count="22">
    <tableColumn id="1" xr3:uid="{8EF25A7C-C5B5-4B81-B4E0-53202D8219CD}" uniqueName="1" name="STT" queryTableFieldId="1"/>
    <tableColumn id="2" xr3:uid="{A1C5FBA1-6ADB-465F-95B2-208008CDDEE4}" uniqueName="2" name="Đợt đấu thầu" queryTableFieldId="2"/>
    <tableColumn id="3" xr3:uid="{418E50A7-9BAA-4556-B68D-16EFD141D421}" uniqueName="3" name="Mã trái phiếu" queryTableFieldId="3"/>
    <tableColumn id="4" xr3:uid="{A5E88D64-474A-4814-B302-0D82EC1523D7}" uniqueName="4" name="Tên TCPH" queryTableFieldId="4"/>
    <tableColumn id="5" xr3:uid="{8571B061-A30E-47A6-AAE0-94FA1264E83D}" uniqueName="5" name="Loại tiền tệ" queryTableFieldId="5"/>
    <tableColumn id="6" xr3:uid="{5B5DC132-6FCB-497B-9D6C-C86F215AC0C4}" uniqueName="6" name="Kỳ hạn" queryTableFieldId="6"/>
    <tableColumn id="7" xr3:uid="{57A4C76D-EEB1-49C5-855F-9545549438BA}" uniqueName="7" name="Ngày TCPH ▼" queryTableFieldId="7" dataDxfId="255"/>
    <tableColumn id="8" xr3:uid="{169724E3-042C-43D9-8EBA-12F6C0E02BB4}" uniqueName="8" name="Ngày phát hành" queryTableFieldId="8" dataDxfId="254"/>
    <tableColumn id="9" xr3:uid="{86C4F545-CB51-4C50-BD87-2FD26FE949CF}" uniqueName="9" name="Phương thức phát hành" queryTableFieldId="9"/>
    <tableColumn id="10" xr3:uid="{A056FE4A-7ED8-41A0-808E-66292703B386}" uniqueName="10" name="GT gọi thầu" queryTableFieldId="10" dataDxfId="253" dataCellStyle="Comma"/>
    <tableColumn id="11" xr3:uid="{8B7B0D1F-A51E-43EE-9D56-88A9C8802873}" uniqueName="11" name="GT đặt thầu" queryTableFieldId="11" dataDxfId="252" dataCellStyle="Comma"/>
    <tableColumn id="12" xr3:uid="{727E486D-D06A-445D-85AE-D273778E0721}" uniqueName="12" name="GT trúng thầu" queryTableFieldId="12" dataDxfId="251" dataCellStyle="Comma"/>
    <tableColumn id="13" xr3:uid="{58CA5AC1-9D22-4260-8F11-C33ABAC37C2B}" uniqueName="13" name="Số tiền thanh toán trái phiếu trúng thầu" queryTableFieldId="13" dataDxfId="250" dataCellStyle="Comma"/>
    <tableColumn id="14" xr3:uid="{3ECBFEBB-10BF-4CA9-9829-1A42C7A23F90}" uniqueName="14" name="GT gọi thầu phát hành thêm" queryTableFieldId="14" dataDxfId="249" dataCellStyle="Comma"/>
    <tableColumn id="15" xr3:uid="{EBAAB101-F154-46BB-8DC6-225FBE3FD879}" uniqueName="15" name="GT đặt thầu phát hành thêm" queryTableFieldId="15" dataDxfId="248" dataCellStyle="Comma"/>
    <tableColumn id="16" xr3:uid="{6CBB5A91-F574-47B7-A150-16D742A031A9}" uniqueName="16" name="GT trúng thầu phát hành thêm" queryTableFieldId="16" dataDxfId="247" dataCellStyle="Comma"/>
    <tableColumn id="17" xr3:uid="{DE5BF7A2-9DB2-4354-8F42-3D4B4752158B}" uniqueName="17" name="Số tiền thanh toán trái phiếu phát hành thêm" queryTableFieldId="17" dataDxfId="246" dataCellStyle="Comma"/>
    <tableColumn id="18" xr3:uid="{8A078CF5-1F31-45F5-9934-129F25A412E1}" uniqueName="18" name="Lãi suất danh nghĩa (%/Năm)" queryTableFieldId="18" dataDxfId="245" dataCellStyle="Comma"/>
    <tableColumn id="19" xr3:uid="{0BC2C8EE-F21B-41E9-A7B8-FABF9B177EB5}" uniqueName="19" name="Lãi suất trúng thầu (%/Năm)" queryTableFieldId="19" dataDxfId="244" dataCellStyle="Comma"/>
    <tableColumn id="20" xr3:uid="{10ADA7E7-9B4D-4F05-99C8-7AFE3DF5C517}" uniqueName="20" name="LS đăng ký thấp nhất (%/Năm)" queryTableFieldId="20" dataDxfId="243" dataCellStyle="Comma"/>
    <tableColumn id="21" xr3:uid="{0BB67CBF-ADCF-48D4-9683-06482D3E0990}" uniqueName="21" name="LS đăng ký cao nhất (%/Năm)" queryTableFieldId="21" dataDxfId="242" dataCellStyle="Comma"/>
    <tableColumn id="22" xr3:uid="{4981904B-CA6B-4F2A-A34E-FDD955F099C8}" uniqueName="22" name="TLTT" queryTableFieldId="22" dataDxfId="241" dataCellStyle="Percent">
      <calculatedColumnFormula>SUM(AG:AG,AK:AK)/SUM(AE:AE,AI:AI)</calculatedColumnFormula>
    </tableColumn>
  </tableColumns>
  <tableStyleInfo name="TableStyleLight1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Newdeals" displayName="Newdeals" ref="A1:AO15" tableType="queryTable" totalsRowShown="0" headerRowDxfId="473" dataDxfId="472">
  <sortState xmlns:xlrd2="http://schemas.microsoft.com/office/spreadsheetml/2017/richdata2" ref="A2:AO15">
    <sortCondition ref="A1:A15"/>
  </sortState>
  <tableColumns count="41">
    <tableColumn id="83" xr3:uid="{A0BDAD5E-D6FF-46E7-969A-51430B5DBF8F}" uniqueName="83" name="BondsDeals_Id" queryTableFieldId="1" dataDxfId="36"/>
    <tableColumn id="84" xr3:uid="{12EA3DD6-B5E1-4FAD-A1CF-074A8F840221}" uniqueName="84" name="TradeDate" queryTableFieldId="2" dataDxfId="35"/>
    <tableColumn id="85" xr3:uid="{36E351AA-0423-41DE-AA98-DB334789AC89}" uniqueName="85" name="SettlementDate" queryTableFieldId="3" dataDxfId="33"/>
    <tableColumn id="86" xr3:uid="{C9D398F3-0CC4-439E-A3AB-79EE2CB57C8C}" uniqueName="86" name="DealType" queryTableFieldId="4" dataDxfId="34"/>
    <tableColumn id="87" xr3:uid="{51E14545-774D-4BFA-8A4F-D95946D85801}" uniqueName="87" name="Bonds_ShortName" queryTableFieldId="5" dataDxfId="118"/>
    <tableColumn id="88" xr3:uid="{92C25F55-661E-40C6-A8E1-509DB695F944}" uniqueName="88" name="Cpty_ShortName" queryTableFieldId="6" dataDxfId="117"/>
    <tableColumn id="89" xr3:uid="{4F14370A-36E9-430A-9A52-B7930C10593D}" uniqueName="89" name="Issuer Counterparty" queryTableFieldId="7" dataDxfId="116"/>
    <tableColumn id="90" xr3:uid="{70B2C969-C03A-4E59-A83E-11368DB06B58}" uniqueName="90" name="CouponRate" queryTableFieldId="8" dataDxfId="115"/>
    <tableColumn id="91" xr3:uid="{202EC5AF-2449-48AE-A54E-0F5A1CE67D3B}" uniqueName="91" name="Yield" queryTableFieldId="9" dataDxfId="32"/>
    <tableColumn id="92" xr3:uid="{68DC9DA4-C3D2-4A42-8150-6D272246A385}" uniqueName="92" name="IssueDate" queryTableFieldId="10" dataDxfId="31"/>
    <tableColumn id="93" xr3:uid="{5983A4BB-A9B0-4C49-87F1-DE79D9B4BF93}" uniqueName="93" name="MaturityDate" queryTableFieldId="11" dataDxfId="29"/>
    <tableColumn id="94" xr3:uid="{FC16A11A-6CD0-4C61-986C-4C021ED4138D}" uniqueName="94" name="Quantity" queryTableFieldId="12" dataDxfId="30"/>
    <tableColumn id="95" xr3:uid="{80AE2207-627A-41E7-8631-9BDD6829D5D0}" uniqueName="95" name="FaceValue" queryTableFieldId="13" dataDxfId="114"/>
    <tableColumn id="96" xr3:uid="{4E8A7668-7091-41FB-824E-B14FA095847C}" uniqueName="96" name="Price" queryTableFieldId="14" dataDxfId="113"/>
    <tableColumn id="97" xr3:uid="{57033CF0-E0CE-4D93-A8DA-447E82E4A1C1}" uniqueName="97" name="Accural" queryTableFieldId="15" dataDxfId="112"/>
    <tableColumn id="98" xr3:uid="{B0EFE9AE-F4E8-4AE6-AE66-B39372443297}" uniqueName="98" name="GrossAmount" queryTableFieldId="16" dataDxfId="111"/>
    <tableColumn id="99" xr3:uid="{C5A90852-6668-4F27-A1A7-35B4DE896256}" uniqueName="99" name="ClearingModes_ShortName" queryTableFieldId="17" dataDxfId="110"/>
    <tableColumn id="100" xr3:uid="{0F2421CC-584E-4D2A-B01B-8D3F194ECB04}" uniqueName="100" name="OurCorres" queryTableFieldId="18" dataDxfId="109"/>
    <tableColumn id="101" xr3:uid="{8AC8DE87-8600-4376-AEB6-4A3AC10212C3}" uniqueName="101" name="Column19" queryTableFieldId="19" dataDxfId="108"/>
    <tableColumn id="102" xr3:uid="{E7E82F7F-6B9F-48A4-8DB7-49266DA85A31}" uniqueName="102" name="Column20" queryTableFieldId="20" dataDxfId="107"/>
    <tableColumn id="103" xr3:uid="{336FD2CC-9556-45F5-9CEB-B8BC87710E85}" uniqueName="103" name="CaptureDate" queryTableFieldId="21" dataDxfId="106"/>
    <tableColumn id="104" xr3:uid="{E95FDC95-677E-43E6-81ED-FA780BD05CDB}" uniqueName="104" name="Folders_ShortName" queryTableFieldId="22" dataDxfId="105"/>
    <tableColumn id="105" xr3:uid="{2D7EB252-0C89-49E9-9235-6020C5C9A4E2}" uniqueName="105" name="BOCaptureDate" queryTableFieldId="23" dataDxfId="104"/>
    <tableColumn id="106" xr3:uid="{63B50D8C-2EBC-438D-8557-5A98483110D8}" uniqueName="106" name="LegalStatus_Id" queryTableFieldId="24" dataDxfId="103"/>
    <tableColumn id="107" xr3:uid="{40DC219E-B88D-45E6-B3DC-C182E62715E9}" uniqueName="107" name="NoExDividendDays" queryTableFieldId="25" dataDxfId="102"/>
    <tableColumn id="108" xr3:uid="{E7F8EAD1-5636-4C6F-BB59-DD93E4481915}" uniqueName="108" name="Outright/ Outright Repo                                                                                                             " queryTableFieldId="26" dataDxfId="101"/>
    <tableColumn id="109" xr3:uid="{2AD1A652-2D56-45BC-BC52-1C2118F69365}" uniqueName="109" name="Days" queryTableFieldId="27" dataDxfId="99">
      <calculatedColumnFormula>Newdeals[[#This Row],[MaturityDate]]-RPT</calculatedColumnFormula>
    </tableColumn>
    <tableColumn id="110" xr3:uid="{681D727B-4EC2-45C6-8F0D-D820C3EBDA27}" uniqueName="110" name="Days (year)" queryTableFieldId="28" dataDxfId="98">
      <calculatedColumnFormula>IF(Newdeals[[#This Row],[Days]]&lt;=0,0,YEARFRAC(RPT,Newdeals[[#This Row],[MaturityDate]],1))</calculatedColumnFormula>
    </tableColumn>
    <tableColumn id="111" xr3:uid="{EC5C6842-9DE8-45D2-A9FB-B9D23A091E0F}" uniqueName="111" name="Term" queryTableFieldId="29" dataDxfId="97">
      <calculatedColumnFormula>INDEX(Ref!$K$1:$K$13,MATCH(Newdeals[[#This Row],[Days (year)]],Ref!$I$1:$I$13,1))</calculatedColumnFormula>
    </tableColumn>
    <tableColumn id="112" xr3:uid="{4AE2CD0B-E4EF-45A7-B18B-088C28FF1B95}" uniqueName="112" name="Book MSB" queryTableFieldId="30" dataDxfId="96">
      <calculatedColumnFormula>IFERROR(VLOOKUP(Newdeals[[#This Row],[Folders_ShortName]],Ref!AC:AD,2,0),"")</calculatedColumnFormula>
    </tableColumn>
    <tableColumn id="113" xr3:uid="{A14E9D81-7F4F-4093-82D0-C1F8DE1ACDE1}" uniqueName="113" name="Book SBV" queryTableFieldId="31" dataDxfId="95">
      <calculatedColumnFormula>IFERROR(VLOOKUP(Newdeals[[#This Row],[Folders_ShortName]],Ref!AC:AE,3,0),"")</calculatedColumnFormula>
    </tableColumn>
    <tableColumn id="114" xr3:uid="{F9EABCD5-6C61-4FAE-8BDE-68D523CF6112}" uniqueName="114" name="Sơ cấp/thứ cấp" queryTableFieldId="32" dataDxfId="94">
      <calculatedColumnFormula>IF(Newdeals[[#This Row],[Cpty_ShortName]]="","",IF(OR(F2="KBNN-HN",F2="KBNN",F2="VDB",F2="VBS",F2="CSXH",F2="NHPT",F2="HIFU",F2="DNGTP"),"Primary_Market", "Secondary_Market"))</calculatedColumnFormula>
    </tableColumn>
    <tableColumn id="115" xr3:uid="{8800F03A-E28A-48BE-892A-D2425531445A}" uniqueName="115" name="Loại TP" queryTableFieldId="33" dataDxfId="93">
      <calculatedColumnFormula>IFERROR(VLOOKUP(Newdeals[[#This Row],[Issuer Counterparty]],Ref!$A$1:$B$30,2,0),"")</calculatedColumnFormula>
    </tableColumn>
    <tableColumn id="116" xr3:uid="{FF59CA4D-3A12-4972-B067-8379D8E5B427}" uniqueName="116" name="Yield MtM" queryTableFieldId="34" dataDxfId="92">
      <calculatedColumnFormula>IFERROR(VLOOKUP(Newdeals[[#This Row],[Bonds_ShortName]],Tradingbook_MSB[[#All],[Security Name]:[Yield Mat]],16,0),"")</calculatedColumnFormula>
    </tableColumn>
    <tableColumn id="117" xr3:uid="{C22A958D-1E0B-43CE-980A-4FFF9E23AAA8}" uniqueName="117" name="yield done deal" queryTableFieldId="35" dataDxfId="91">
      <calculatedColumnFormula>Newdeals[[#This Row],[Yield]]</calculatedColumnFormula>
    </tableColumn>
    <tableColumn id="118" xr3:uid="{B6B5ECE1-8A19-49BE-A145-27E60D7C6EFF}" uniqueName="118" name="Chênh (points)" queryTableFieldId="36" dataDxfId="90" dataCellStyle="Comma">
      <calculatedColumnFormula>IF(Newdeals[[#This Row],[Yield MtM]]="","",(Newdeals[[#This Row],[yield done deal]]-Newdeals[[#This Row],[Yield MtM]])*100)</calculatedColumnFormula>
    </tableColumn>
    <tableColumn id="119" xr3:uid="{6AB06FEF-DAF1-48F6-A190-740696F9BACE}" uniqueName="119" name="Check/ok" queryTableFieldId="37" dataDxfId="89">
      <calculatedColumnFormula>IF(Newdeals[[#This Row],[Chênh (points)]]="","",IF(ABS(Newdeals[[#This Row],[Chênh (points)]])&gt;=Ref!$AG$2,"check","OK"))</calculatedColumnFormula>
    </tableColumn>
    <tableColumn id="120" xr3:uid="{8FA47B4D-B2AB-4D23-84EE-DC0234DEC7D9}" uniqueName="120" name="gr tenor" queryTableFieldId="38" dataDxfId="88">
      <calculatedColumnFormula>IF(AC2="7Y","7Y",IF(AC2="10Y","10Y",IF(AC2="15Y","15Y",IF(OR(AC2="20Y",AC2="30Y"),"&gt;=20Y","&lt;=5Y"))))</calculatedColumnFormula>
    </tableColumn>
    <tableColumn id="121" xr3:uid="{99D9C4B7-8A43-4035-A65D-2847A71F15D8}" uniqueName="121" name="Value chênh với MtM" queryTableFieldId="39" dataDxfId="87" dataCellStyle="Comma">
      <calculatedColumnFormula>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calculatedColumnFormula>
    </tableColumn>
    <tableColumn id="122" xr3:uid="{FC4F9CB4-4238-466C-8220-B7DB598DB81E}" uniqueName="122" name="Tác động ItD" queryTableFieldId="40" dataDxfId="86" dataCellStyle="Comma">
      <calculatedColumnFormula>IF(Newdeals[[#This Row],[Book MSB]]="",0,IF(Newdeals[[#This Row],[DealType]]="B",Newdeals[[#This Row],[Value chênh với MtM]],-SUMIFS('Giam sat'!R:R,'Giam sat'!E:E,Newdeals[[#This Row],[BondsDeals_Id]])))</calculatedColumnFormula>
    </tableColumn>
    <tableColumn id="123" xr3:uid="{2CA246A4-37E7-44EA-9B48-1F8461A68340}" uniqueName="123" name="Nối" queryTableFieldId="41" dataDxfId="100"/>
  </tableColumns>
  <tableStyleInfo name="TableStyleLight1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0C93368-190B-42A6-9D96-6002AC5DB348}" name="Deal_delete" displayName="Deal_delete" ref="AR1:AY2" tableType="queryTable" insertRow="1" totalsRowShown="0" headerRowDxfId="471" dataDxfId="470" tableBorderDxfId="469">
  <tableColumns count="8">
    <tableColumn id="1" xr3:uid="{989F94A3-B052-4BB8-AEAA-7A342A2C13A2}" uniqueName="1" name="POSTED_DT" queryTableFieldId="1" dataDxfId="122"/>
    <tableColumn id="2" xr3:uid="{A49D071B-B75F-4810-B3AD-886E46F853F4}" uniqueName="2" name="DEAL_ID" queryTableFieldId="2"/>
    <tableColumn id="3" xr3:uid="{5A7A2BE0-160E-406E-BFB9-C202E46D7E6B}" uniqueName="3" name="BOND_CODE" queryTableFieldId="3"/>
    <tableColumn id="4" xr3:uid="{31AA1B3C-0598-4710-8F40-219BE0403493}" uniqueName="4" name="DEAL_TYPE" queryTableFieldId="4"/>
    <tableColumn id="5" xr3:uid="{65ED1D64-D7AC-4242-AF7B-86A2B3367444}" uniqueName="5" name="QUANTITY" queryTableFieldId="5" dataDxfId="121" dataCellStyle="Comma"/>
    <tableColumn id="6" xr3:uid="{677F772D-671B-43F3-844A-C795D3A68BD6}" uniqueName="6" name="FOLDERS_CODE" queryTableFieldId="6"/>
    <tableColumn id="7" xr3:uid="{ED00B705-3F38-4027-A132-0CE144081CCE}" uniqueName="7" name="Book" queryTableFieldId="7" dataDxfId="120">
      <calculatedColumnFormula>_xlfn.IFNA(VLOOKUP(Deal_delete[[#This Row],[FOLDERS_CODE]],Ref!AC:AD,2,0),"")</calculatedColumnFormula>
    </tableColumn>
    <tableColumn id="8" xr3:uid="{7D2C5783-A954-4203-A387-6AE2CF0ACF2B}" uniqueName="8" name="Thay đổi pos" queryTableFieldId="9" dataDxfId="119">
      <calculatedColumnFormula>IF(Deal_delete[[#This Row],[DEAL_TYPE]]="S",Deal_delete[[#This Row],[QUANTITY]],-Deal_delete[[#This Row],[QUANTITY]])/10^4</calculatedColumnFormula>
    </tableColumn>
  </tableColumns>
  <tableStyleInfo name="TableStyleLight1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81DBF19-653D-4F0A-A5E3-F2B8618DA889}" name="Mapping_deal" displayName="Mapping_deal" ref="BR1:CA5" tableType="queryTable" totalsRowShown="0">
  <tableColumns count="10">
    <tableColumn id="1" xr3:uid="{DAAF9FCF-5436-4597-B080-DF7954C64B60}" uniqueName="1" name="Ma Bond" queryTableFieldId="1"/>
    <tableColumn id="2" xr3:uid="{BE672DC2-AB89-41D3-97DB-2D1EC3F12470}" uniqueName="2" name="Deal Sell Id" queryTableFieldId="2"/>
    <tableColumn id="3" xr3:uid="{482F12F5-AF11-4AA1-9BE5-501BF5AE05A5}" uniqueName="3" name="So luong Deal Sell" queryTableFieldId="3" dataDxfId="85" dataCellStyle="Comma"/>
    <tableColumn id="4" xr3:uid="{A5EC7699-5159-418B-8C14-A1B55C78CF0D}" uniqueName="4" name="Ngay den han deal Sell" queryTableFieldId="4" dataDxfId="84"/>
    <tableColumn id="5" xr3:uid="{CCC01757-2BB7-45AC-A0FF-57600CAA163D}" uniqueName="5" name="Deal Buy ID" queryTableFieldId="5"/>
    <tableColumn id="6" xr3:uid="{9B25028F-88FE-4318-A626-009CD4D9BD5C}" uniqueName="6" name="So luong Map" queryTableFieldId="6" dataDxfId="83" dataCellStyle="Comma"/>
    <tableColumn id="7" xr3:uid="{5153283E-2C26-40F0-8B35-E9CABB8861D4}" uniqueName="7" name="So luong chua map" queryTableFieldId="7" dataDxfId="82" dataCellStyle="Comma"/>
    <tableColumn id="8" xr3:uid="{2359A3AB-4C34-4054-B148-569E64A3F1A6}" uniqueName="8" name="Ngay Value Deal buy" queryTableFieldId="8" dataDxfId="81"/>
    <tableColumn id="9" xr3:uid="{F67F9A5D-F760-4891-B0FE-C9CC1A947E52}" uniqueName="9" name="Ngay thuc hien map" queryTableFieldId="9" dataDxfId="80"/>
    <tableColumn id="10" xr3:uid="{4740C7B1-77DE-44A1-9480-327072166AD5}" uniqueName="10" name="Nguoi thuc hien map" queryTableFieldId="10"/>
  </tableColumns>
  <tableStyleInfo name="TableStyleLight1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5D59FCD-2320-4E89-962D-6BE4F893EF7A}" name="Deal_fix" displayName="Deal_fix" ref="BB1:BO2" tableType="queryTable" totalsRowShown="0">
  <tableColumns count="14">
    <tableColumn id="1" xr3:uid="{B1E605B6-64E8-4111-8066-09D2C4A4756A}" uniqueName="1" name="POSTED_DT" queryTableFieldId="1" dataDxfId="79"/>
    <tableColumn id="2" xr3:uid="{13FBF453-4410-498A-A70E-AB427ED22D80}" uniqueName="2" name="DEAL_ID" queryTableFieldId="2"/>
    <tableColumn id="3" xr3:uid="{DE44AFCA-C326-4D41-B3BC-40EA3C71BD82}" uniqueName="3" name="BOND_CODE" queryTableFieldId="3"/>
    <tableColumn id="4" xr3:uid="{0A1FD7BB-73F7-4125-ACDB-A561FA06FB15}" uniqueName="4" name="PRODUCT_CODE" queryTableFieldId="4"/>
    <tableColumn id="5" xr3:uid="{2D4D4F4A-978F-46FF-A7C4-BE4730F16C87}" uniqueName="5" name="FOLDERS_CODE" queryTableFieldId="5"/>
    <tableColumn id="6" xr3:uid="{10DA8015-523F-43E3-8F89-56DF8EAB48FC}" uniqueName="6" name="DEAL_TYPE" queryTableFieldId="6"/>
    <tableColumn id="7" xr3:uid="{86967041-FBC5-493B-A93C-281E157C59A7}" uniqueName="7" name="VALUE_DATE_RPT" queryTableFieldId="7" dataDxfId="78"/>
    <tableColumn id="8" xr3:uid="{D9A6DE83-15EB-428E-9264-08F2E9F09BC7}" uniqueName="8" name="VALUE_DATE_YESTERDAY" queryTableFieldId="8" dataDxfId="77"/>
    <tableColumn id="9" xr3:uid="{0020E879-0F9A-4440-AA35-E6D815AA8373}" uniqueName="9" name="YIELD_RPT" queryTableFieldId="9"/>
    <tableColumn id="10" xr3:uid="{F2CABEDC-627D-4A8E-8917-67CAFBEBD88E}" uniqueName="10" name="YIELD_YESTERDAY" queryTableFieldId="10"/>
    <tableColumn id="11" xr3:uid="{DBC463E8-32C5-415E-8F1B-2B74E346A7F0}" uniqueName="11" name="AMOUNT_RPT" queryTableFieldId="11" dataDxfId="76" dataCellStyle="Comma [0]"/>
    <tableColumn id="12" xr3:uid="{FD1089E6-A70A-46A8-A8D9-56C30ED94667}" uniqueName="12" name="AMOUNT_YESTERDAY" queryTableFieldId="12" dataDxfId="75" dataCellStyle="Comma [0]"/>
    <tableColumn id="13" xr3:uid="{FA805AE1-45F0-4ACC-B7F4-D4B7976D256D}" uniqueName="13" name="Book" queryTableFieldId="13" dataDxfId="74">
      <calculatedColumnFormula>_xlfn.IFNA(VLOOKUP(Deal_fix[[#This Row],[FOLDERS_CODE]],Ref!AC:AD,2,0),"")</calculatedColumnFormula>
    </tableColumn>
    <tableColumn id="14" xr3:uid="{4CB9ABE0-AE00-4DD4-A836-F7C7A5A2D81D}" uniqueName="14" name="Thay đổi pos" queryTableFieldId="14" dataDxfId="73" dataCellStyle="Comma">
      <calculatedColumnFormula>IF(Deal_fix[[#This Row],[DEAL_TYPE]]="B",Deal_fix[[#This Row],[AMOUNT_RPT]]-Deal_fix[[#This Row],[AMOUNT_YESTERDAY]],-(Deal_fix[[#This Row],[AMOUNT_RPT]]-Deal_fix[[#This Row],[AMOUNT_YESTERDAY]]))/10^9</calculatedColumnFormula>
    </tableColumn>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Bankingbook_MSB" displayName="Bankingbook_MSB" ref="AT1:CI215" tableType="queryTable" totalsRowShown="0" headerRowDxfId="468">
  <tableColumns count="42">
    <tableColumn id="85" xr3:uid="{1DA5E04F-B024-4A48-AB76-4B202274F6A6}" uniqueName="85" name="Currency" queryTableFieldId="1"/>
    <tableColumn id="86" xr3:uid="{4863EA42-7878-464D-A42D-25C3178AAFB6}" uniqueName="86" name="Duration_range" queryTableFieldId="2"/>
    <tableColumn id="87" xr3:uid="{30DB65E6-0531-48D5-9119-934F57715630}" uniqueName="87" name="Security Name" queryTableFieldId="3"/>
    <tableColumn id="88" xr3:uid="{A1C7F981-A0EA-4E37-A059-E2EAFF17F2B7}" uniqueName="88" name="Type of Instr." queryTableFieldId="4"/>
    <tableColumn id="89" xr3:uid="{766BB86B-22B8-4204-9D1B-84AB0822DE7E}" uniqueName="89" name="Mat. Date" queryTableFieldId="5"/>
    <tableColumn id="90" xr3:uid="{6E0C6FE7-554A-4E52-8CA1-51E4EE3DA0D0}" uniqueName="90" name="Open Pos" queryTableFieldId="6"/>
    <tableColumn id="91" xr3:uid="{1C9C13D1-07AE-4D30-97EF-4CBCAB7D198A}" uniqueName="91" name="Price" queryTableFieldId="7"/>
    <tableColumn id="92" xr3:uid="{E15A0B17-D8BF-4307-AE3C-00109A577CE6}" uniqueName="92" name="Clean Price" queryTableFieldId="8"/>
    <tableColumn id="93" xr3:uid="{984A97E4-F256-41D6-9CBF-CB24EDE5500F}" uniqueName="93" name="QUANTITY" queryTableFieldId="9"/>
    <tableColumn id="94" xr3:uid="{07A37D98-35E6-441A-8612-B98632059C17}" uniqueName="94" name="Nominal" queryTableFieldId="10"/>
    <tableColumn id="95" xr3:uid="{FA55F335-5B2E-43E1-BB0E-123B5BD51F57}" uniqueName="95" name="Avg Price" queryTableFieldId="11"/>
    <tableColumn id="96" xr3:uid="{6A1DE2FB-9A8B-4680-9D3C-BB251F80636D}" uniqueName="96" name="MARKET_VALUE" queryTableFieldId="12"/>
    <tableColumn id="97" xr3:uid="{B4E08AFB-3A59-4E56-BB13-68F874742397}" uniqueName="97" name="Cpn Rate" queryTableFieldId="13"/>
    <tableColumn id="98" xr3:uid="{8750030A-7F7D-4E96-86A8-E19F6C25D1D3}" uniqueName="98" name="Accr Int" queryTableFieldId="14"/>
    <tableColumn id="99" xr3:uid="{11735ACE-8945-4D62-AEEA-6AA82E699A0E}" uniqueName="99" name="Cpn Cumul" queryTableFieldId="15"/>
    <tableColumn id="100" xr3:uid="{C11D5F0F-6826-47BA-97A3-CD0E77C67768}" uniqueName="100" name="Cpn Reinvested" queryTableFieldId="16"/>
    <tableColumn id="101" xr3:uid="{116FDB0B-BADC-47F7-B5C6-126583526796}" uniqueName="101" name="Cost of Carry" queryTableFieldId="17"/>
    <tableColumn id="102" xr3:uid="{12A8FECA-A199-4FF3-833B-2D57CFAD2FB4}" uniqueName="102" name="Yield Mat" queryTableFieldId="18"/>
    <tableColumn id="103" xr3:uid="{9296202C-2EA1-4820-A715-5C6A92CB0054}" uniqueName="103" name="Mod Dur" queryTableFieldId="19"/>
    <tableColumn id="104" xr3:uid="{5F25303E-2D19-443F-9D02-DA565BF27826}" uniqueName="104" name="DURATION" queryTableFieldId="20"/>
    <tableColumn id="105" xr3:uid="{94A9352B-A1E5-46BD-8181-AE867072C17A}" uniqueName="105" name="Cnvx." queryTableFieldId="21"/>
    <tableColumn id="106" xr3:uid="{B630D851-FC98-4AE7-97FF-AF7CE5D36C9B}" uniqueName="106" name="Cnvx. Value" queryTableFieldId="22"/>
    <tableColumn id="107" xr3:uid="{A76728A6-5F67-4D76-80AD-6F43B12A73BE}" uniqueName="107" name="BPV (K)" queryTableFieldId="23"/>
    <tableColumn id="108" xr3:uid="{EE177C10-7D17-4E0A-902E-F76AC26F4E43}" uniqueName="108" name="Theta (K)" queryTableFieldId="24"/>
    <tableColumn id="109" xr3:uid="{724E6E0B-7BD3-40FD-A34B-F2656482305D}" uniqueName="109" name="REALIZED_CUR" queryTableFieldId="25"/>
    <tableColumn id="110" xr3:uid="{5AF2DC66-2224-4D98-AB34-D7CE36F3310D}" uniqueName="110" name="UNREALIZED_CUR" queryTableFieldId="26"/>
    <tableColumn id="111" xr3:uid="{24DD971F-40EF-4A6B-9E53-1F27E116FBDE}" uniqueName="111" name="P/L Clean Price" queryTableFieldId="27"/>
    <tableColumn id="112" xr3:uid="{68307279-861C-48C3-9149-AA0B08E86850}" uniqueName="112" name="P/L Currency" queryTableFieldId="28"/>
    <tableColumn id="113" xr3:uid="{D4CC8330-B727-4BCA-920C-79ADC3388852}" uniqueName="113" name="P/L Local" queryTableFieldId="29"/>
    <tableColumn id="114" xr3:uid="{79A04D94-C187-47D5-976E-6342D66BAA4B}" uniqueName="114" name="P/L Report" queryTableFieldId="30"/>
    <tableColumn id="115" xr3:uid="{A32996FF-AEBC-4E91-97C7-49AB9F186F56}" uniqueName="115" name="avg yield" queryTableFieldId="31"/>
    <tableColumn id="116" xr3:uid="{791BC623-2F43-4DD6-9A41-B8B54870F8F3}" uniqueName="116" name="Days" queryTableFieldId="32" dataDxfId="311">
      <calculatedColumnFormula>Bankingbook_MSB[[#This Row],[Mat. Date]]-RPT</calculatedColumnFormula>
    </tableColumn>
    <tableColumn id="117" xr3:uid="{12DA7A57-3172-4EFD-A709-C4666F66D96D}" uniqueName="117" name="Days (year)" queryTableFieldId="33" dataDxfId="310" dataCellStyle="Comma">
      <calculatedColumnFormula>IF(Bankingbook_MSB[[#This Row],[Days]]&lt;=0,0,YEARFRAC(RPT,Bankingbook_MSB[[#This Row],[Mat. Date]],3))</calculatedColumnFormula>
    </tableColumn>
    <tableColumn id="118" xr3:uid="{01BB1F16-A99F-4D9C-B21F-568D8B2788CC}" uniqueName="118" name="Tenor" queryTableFieldId="34" dataDxfId="309" dataCellStyle="Comma">
      <calculatedColumnFormula>IF(Bankingbook_MSB[[#This Row],[Days (year)]]=0,0,INDEX(Ref!$K$2:$K$13,MATCH(Bankingbook_MSB[[#This Row],[Days (year)]],Ref!$I$2:$I$13,1)))</calculatedColumnFormula>
    </tableColumn>
    <tableColumn id="119" xr3:uid="{3DFE216E-32D0-45BF-AD9B-DB0FC65B6269}" uniqueName="119" name="Type" queryTableFieldId="35" dataDxfId="308">
      <calculatedColumnFormula>VLOOKUP(Bankingbook_MSB[[#This Row],[Security Name]],Ref!X:Z,3,0)</calculatedColumnFormula>
    </tableColumn>
    <tableColumn id="120" xr3:uid="{8DB789BD-1AE2-40FA-9628-A33A53BF34B8}" uniqueName="120" name="Issuer" queryTableFieldId="36" dataDxfId="307">
      <calculatedColumnFormula>VLOOKUP(Bankingbook_MSB[[#This Row],[Security Name]],Ref!X:Y,2,0)</calculatedColumnFormula>
    </tableColumn>
    <tableColumn id="121" xr3:uid="{11E61737-D39F-442E-AAC0-930ACB9B3F63}" uniqueName="121" name="Quantity_edited" queryTableFieldId="37" dataDxfId="306" dataCellStyle="Comma">
      <calculatedColumnFormula>IF((Bankingbook_MSB[[#This Row],[Mat. Date]]-RPT)&lt;=0,0,Bankingbook_MSB[[#This Row],[QUANTITY]])</calculatedColumnFormula>
    </tableColumn>
    <tableColumn id="122" xr3:uid="{7866F615-6B05-4DED-B3DF-247718EE38CC}" uniqueName="122" name="Duration_edited" queryTableFieldId="38" dataDxfId="305" dataCellStyle="Comma">
      <calculatedColumnFormula>IF(Bankingbook_MSB[[#This Row],[Quantity_edited]]=0,0,Bankingbook_MSB[[#This Row],[DURATION]])</calculatedColumnFormula>
    </tableColumn>
    <tableColumn id="123" xr3:uid="{2EF45388-1638-4C1B-9F53-B3B8E6EFB2D4}" uniqueName="123" name="Modified Duration" queryTableFieldId="39" dataDxfId="304" dataCellStyle="Comma">
      <calculatedColumnFormula>IF(Bankingbook_MSB[[#This Row],[Quantity_edited]]=0,0,Bankingbook_MSB[[#This Row],[Mod Dur]])</calculatedColumnFormula>
    </tableColumn>
    <tableColumn id="124" xr3:uid="{2DC273C2-C2EC-454B-B7CB-501763AD89FA}" uniqueName="124" name="Conv" queryTableFieldId="40" dataDxfId="303" dataCellStyle="Comma">
      <calculatedColumnFormula>IF(Bankingbook_MSB[[#This Row],[Quantity_edited]]=0,0,Bankingbook_MSB[[#This Row],[Cnvx.]])</calculatedColumnFormula>
    </tableColumn>
    <tableColumn id="125" xr3:uid="{ADD7DD51-1393-40C2-A69F-2AC7234B3761}" uniqueName="125" name="BPV_edited" queryTableFieldId="41" dataDxfId="302" dataCellStyle="Comma">
      <calculatedColumnFormula>(Bankingbook_MSB[[#This Row],[MARKET_VALUE]]+Bankingbook_MSB[[#This Row],[Accr Int]]*Bankingbook_MSB[[#This Row],[Quantity_edited]])*(-Bankingbook_MSB[[#This Row],[Modified Duration]]*0.0001+0.5*Bankingbook_MSB[[#This Row],[Conv]]*(0.0001^2))</calculatedColumnFormula>
    </tableColumn>
    <tableColumn id="126" xr3:uid="{9E03B2CA-AEE2-4F78-89B2-D86C4BBF0337}" uniqueName="126" name="PV100" queryTableFieldId="42" dataDxfId="301" dataCellStyle="Comma">
      <calculatedColumnFormula>(Bankingbook_MSB[[#This Row],[MARKET_VALUE]]+Bankingbook_MSB[[#This Row],[Accr Int]]*Bankingbook_MSB[[#This Row],[Quantity_edited]])*(-Bankingbook_MSB[[#This Row],[Modified Duration]]*0.01+0.5*Bankingbook_MSB[[#This Row],[Conv]]*(0.01^2))</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radingbook_SBV" displayName="Tradingbook_SBV" ref="CL1:DZ547" tableType="queryTable" totalsRowShown="0" headerRowDxfId="467">
  <tableColumns count="41">
    <tableColumn id="83" xr3:uid="{A466410D-CDF1-4166-BC8A-F560A55B0441}" uniqueName="83" name="Currency" queryTableFieldId="1"/>
    <tableColumn id="84" xr3:uid="{F926E41A-DCBD-4C07-B80F-40A6CB136B5F}" uniqueName="84" name="Duration_range" queryTableFieldId="2"/>
    <tableColumn id="85" xr3:uid="{A385448A-B606-4C79-8649-B33BC3832BE0}" uniqueName="85" name="Security Name" queryTableFieldId="3"/>
    <tableColumn id="86" xr3:uid="{5F5E5A2D-2A6F-4621-A719-EE86556E34AB}" uniqueName="86" name="Type of Instr." queryTableFieldId="4"/>
    <tableColumn id="87" xr3:uid="{06BC6FE7-2BC7-4F2A-ABB6-B0A4573E0BDA}" uniqueName="87" name="Mat. Date" queryTableFieldId="5"/>
    <tableColumn id="88" xr3:uid="{AC1D85F1-2108-4993-B83F-3DD20FEA3653}" uniqueName="88" name="Open Pos" queryTableFieldId="6"/>
    <tableColumn id="89" xr3:uid="{14FB5F56-C280-4654-89DC-E6ACE6925FF7}" uniqueName="89" name="Price" queryTableFieldId="7"/>
    <tableColumn id="90" xr3:uid="{EB9425EA-3EC6-45A5-8962-E74FA65CC06A}" uniqueName="90" name="Clean Price" queryTableFieldId="8"/>
    <tableColumn id="91" xr3:uid="{5E2C117C-7F67-4F80-AF63-52FD1C16898A}" uniqueName="91" name="QUANTITY" queryTableFieldId="9"/>
    <tableColumn id="92" xr3:uid="{E92BADD6-B060-4847-94B1-B26E9C60CEEC}" uniqueName="92" name="Nominal" queryTableFieldId="10"/>
    <tableColumn id="93" xr3:uid="{708F2972-52C0-45C8-9B25-89BE26E1C65A}" uniqueName="93" name="Avg Price" queryTableFieldId="11"/>
    <tableColumn id="94" xr3:uid="{E71918AB-C0F3-42C8-B6BF-F26F0296CE09}" uniqueName="94" name="MARKET_VALUE" queryTableFieldId="12"/>
    <tableColumn id="95" xr3:uid="{7BD20A0D-573D-4C2B-B82F-EFF8FAACD496}" uniqueName="95" name="Cpn Rate" queryTableFieldId="13"/>
    <tableColumn id="96" xr3:uid="{8C311BD9-0E57-402B-AEDC-24B5C45B9770}" uniqueName="96" name="Accr Int" queryTableFieldId="14"/>
    <tableColumn id="97" xr3:uid="{FE84EE42-1D8E-40B1-9592-3DCA1732B820}" uniqueName="97" name="Cpn Cumul" queryTableFieldId="15"/>
    <tableColumn id="98" xr3:uid="{9DCE3234-2009-488E-8898-566CF1C65427}" uniqueName="98" name="Cpn Reinvested" queryTableFieldId="16"/>
    <tableColumn id="99" xr3:uid="{1B0F9BE6-A398-4C69-AA17-B0C6AE5E5A2B}" uniqueName="99" name="Cost of Carry" queryTableFieldId="17"/>
    <tableColumn id="100" xr3:uid="{E05DE930-3A61-488D-95EC-8630B78946E1}" uniqueName="100" name="Yield Mat" queryTableFieldId="18"/>
    <tableColumn id="101" xr3:uid="{245C8321-A44C-49D9-ABA0-B4D50F6C48DB}" uniqueName="101" name="Mod Dur" queryTableFieldId="19"/>
    <tableColumn id="102" xr3:uid="{6DCBC10D-0195-48DB-891B-D673F9423F14}" uniqueName="102" name="DURATION" queryTableFieldId="20"/>
    <tableColumn id="103" xr3:uid="{46592596-329F-4245-B530-C348DAEEB64E}" uniqueName="103" name="Cnvx." queryTableFieldId="21"/>
    <tableColumn id="104" xr3:uid="{E20CCE93-8F14-4C78-B7C6-839F692AF735}" uniqueName="104" name="Cnvx. Value" queryTableFieldId="22"/>
    <tableColumn id="105" xr3:uid="{5BAF12F1-0018-47F7-8226-40C38C5739FD}" uniqueName="105" name="BPV (K)" queryTableFieldId="23"/>
    <tableColumn id="106" xr3:uid="{651BA931-DB97-44DD-AF91-DE61E4C40D8D}" uniqueName="106" name="Theta (K)" queryTableFieldId="24"/>
    <tableColumn id="107" xr3:uid="{5130FA8C-3FB6-4598-9552-C4D38470C42C}" uniqueName="107" name="REALIZED_CUR" queryTableFieldId="25"/>
    <tableColumn id="108" xr3:uid="{AD1CCE23-5AFD-4893-9ABB-BC3B92E5A99B}" uniqueName="108" name="UNREALIZED_CUR" queryTableFieldId="26"/>
    <tableColumn id="109" xr3:uid="{C6F586E8-7FBA-4F7D-834D-819205D45457}" uniqueName="109" name="P/L Clean Price" queryTableFieldId="27"/>
    <tableColumn id="110" xr3:uid="{DE48BCC1-6B36-4BA7-8B41-5F6D4C776715}" uniqueName="110" name="P/L Currency" queryTableFieldId="28"/>
    <tableColumn id="111" xr3:uid="{2B4A6ED6-DB85-43CC-BC29-967C560CF4B2}" uniqueName="111" name="P/L Local" queryTableFieldId="29"/>
    <tableColumn id="112" xr3:uid="{49ABEF0C-F5D3-4725-8160-C2EC0E491D55}" uniqueName="112" name="P/L Report" queryTableFieldId="30"/>
    <tableColumn id="113" xr3:uid="{B838AC55-AA77-414E-B8EE-C680C49B0A63}" uniqueName="113" name="Days" queryTableFieldId="31" dataDxfId="300">
      <calculatedColumnFormula>Tradingbook_SBV[[#This Row],[Mat. Date]]-RPT</calculatedColumnFormula>
    </tableColumn>
    <tableColumn id="114" xr3:uid="{491A377C-3F5B-4698-A2CC-2C7C3C03BC36}" uniqueName="114" name="Days (year)" queryTableFieldId="32" dataDxfId="299">
      <calculatedColumnFormula>IF(Tradingbook_SBV[[#This Row],[Days]]&lt;=0,0,YEARFRAC(RPT,Tradingbook_SBV[[#This Row],[Mat. Date]],3))</calculatedColumnFormula>
    </tableColumn>
    <tableColumn id="115" xr3:uid="{C028793B-B07E-480A-9C65-3C027241A6C2}" uniqueName="115" name="Tenor" queryTableFieldId="33" dataDxfId="298">
      <calculatedColumnFormula>IF(Tradingbook_SBV[[#This Row],[Days (year)]]=0,0,INDEX(Ref!$K$2:$K$13,MATCH(Tradingbook_SBV[[#This Row],[Days (year)]],Ref!$I$2:$I$13,1)))</calculatedColumnFormula>
    </tableColumn>
    <tableColumn id="116" xr3:uid="{47FB4F45-676E-453E-AB6C-6A6E4AFB5234}" uniqueName="116" name="Type" queryTableFieldId="34" dataDxfId="297">
      <calculatedColumnFormula>VLOOKUP(Tradingbook_SBV[[#This Row],[Security Name]],Ref!X:Z,3,0)</calculatedColumnFormula>
    </tableColumn>
    <tableColumn id="117" xr3:uid="{7DA503E3-F242-4C49-8754-D5C8AB91143B}" uniqueName="117" name="Issuer" queryTableFieldId="35" dataDxfId="296">
      <calculatedColumnFormula>VLOOKUP(Tradingbook_SBV[[#This Row],[Security Name]],Ref!X:Y,2,0)</calculatedColumnFormula>
    </tableColumn>
    <tableColumn id="118" xr3:uid="{EA5023C2-32D7-4E18-A258-A71D43B71A51}" uniqueName="118" name="Quantity_edited" queryTableFieldId="36" dataDxfId="295" dataCellStyle="Comma">
      <calculatedColumnFormula>IF((Tradingbook_SBV[[#This Row],[Mat. Date]]-RPT)&lt;=0,0,Tradingbook_SBV[[#This Row],[QUANTITY]])</calculatedColumnFormula>
    </tableColumn>
    <tableColumn id="119" xr3:uid="{C65DC55C-E3E5-4C42-B775-489887706427}" uniqueName="119" name="Duration_edited" queryTableFieldId="37" dataDxfId="294" dataCellStyle="Comma">
      <calculatedColumnFormula>IF(Tradingbook_SBV[[#This Row],[Quantity_edited]]=0,0,Tradingbook_SBV[[#This Row],[DURATION]])</calculatedColumnFormula>
    </tableColumn>
    <tableColumn id="120" xr3:uid="{2641BF3A-BAAA-4DBC-8922-F3D60DDE5698}" uniqueName="120" name="Modified Duration" queryTableFieldId="38" dataDxfId="293" dataCellStyle="Comma">
      <calculatedColumnFormula>IF(Tradingbook_SBV[[#This Row],[Quantity_edited]]=0,0,Tradingbook_SBV[[#This Row],[Mod Dur]])</calculatedColumnFormula>
    </tableColumn>
    <tableColumn id="121" xr3:uid="{2D937DE7-473B-465E-8A3B-AAF22B101F88}" uniqueName="121" name="Conv" queryTableFieldId="39" dataDxfId="292" dataCellStyle="Comma">
      <calculatedColumnFormula>IF(Tradingbook_SBV[[#This Row],[Quantity_edited]]=0,0,Tradingbook_SBV[[#This Row],[Cnvx.]])</calculatedColumnFormula>
    </tableColumn>
    <tableColumn id="122" xr3:uid="{F44AA90D-1025-4F2E-8446-25568B44CBE0}" uniqueName="122" name="BPV_edited" queryTableFieldId="40" dataDxfId="291" dataCellStyle="Comma">
      <calculatedColumnFormula>(Tradingbook_SBV[[#This Row],[MARKET_VALUE]]+Tradingbook_SBV[[#This Row],[Accr Int]]*Tradingbook_SBV[[#This Row],[Quantity_edited]])*(-Tradingbook_SBV[[#This Row],[Modified Duration]]*0.0001+0.5*Tradingbook_SBV[[#This Row],[Conv]]*(0.0001^2))</calculatedColumnFormula>
    </tableColumn>
    <tableColumn id="123" xr3:uid="{3ECEDEBE-F43F-4B63-ABAA-007A4D18DA2E}" uniqueName="123" name="PV100" queryTableFieldId="41" dataDxfId="290" dataCellStyle="Comma">
      <calculatedColumnFormula>(Tradingbook_SBV[[#This Row],[MARKET_VALUE]]+Tradingbook_SBV[[#This Row],[Accr Int]]*Tradingbook_SBV[[#This Row],[Quantity_edited]])*(-Tradingbook_SBV[[#This Row],[Modified Duration]]*0.01+0.5*Tradingbook_SBV[[#This Row],[Conv]]*(0.01^2))</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Bankingbook_SBV" displayName="Bankingbook_SBV" ref="EC1:FQ373" tableType="queryTable" totalsRowShown="0" headerRowDxfId="466">
  <sortState xmlns:xlrd2="http://schemas.microsoft.com/office/spreadsheetml/2017/richdata2" ref="EC2:FQ305">
    <sortCondition descending="1" ref="EG1:EG371"/>
  </sortState>
  <tableColumns count="41">
    <tableColumn id="124" xr3:uid="{2F588F0F-F58B-49A5-86B2-C828F93839E3}" uniqueName="124" name="Currency" queryTableFieldId="1"/>
    <tableColumn id="125" xr3:uid="{3D94F5BC-9D1F-4348-A31F-F7F288550445}" uniqueName="125" name="Duration_range" queryTableFieldId="2"/>
    <tableColumn id="126" xr3:uid="{B634C992-F4C5-4674-9322-224CA7258008}" uniqueName="126" name="Security Name" queryTableFieldId="3"/>
    <tableColumn id="127" xr3:uid="{64233F98-25F0-42E2-88F3-E01783A71893}" uniqueName="127" name="Type of Instr." queryTableFieldId="4"/>
    <tableColumn id="128" xr3:uid="{B961D284-6185-4802-BC12-0EE384460278}" uniqueName="128" name="Mat. Date" queryTableFieldId="5" dataDxfId="289"/>
    <tableColumn id="129" xr3:uid="{DB3EB5FE-B10C-412D-A003-509049781634}" uniqueName="129" name="Open Pos" queryTableFieldId="6"/>
    <tableColumn id="130" xr3:uid="{EBB8464C-5D30-475E-BBA8-090C6264E914}" uniqueName="130" name="Price" queryTableFieldId="7" dataDxfId="288" dataCellStyle="Comma [0]"/>
    <tableColumn id="131" xr3:uid="{DC4F7DC7-569B-43AF-8F50-B0C506230A54}" uniqueName="131" name="Clean Price" queryTableFieldId="8" dataDxfId="287" dataCellStyle="Comma [0]"/>
    <tableColumn id="132" xr3:uid="{8E6330A7-49F1-4B38-A60D-333878ABFD29}" uniqueName="132" name="QUANTITY" queryTableFieldId="9" dataDxfId="286" dataCellStyle="Comma [0]"/>
    <tableColumn id="133" xr3:uid="{D3340908-9C62-4776-A6EA-5827CE05B032}" uniqueName="133" name="Nominal" queryTableFieldId="10" dataDxfId="285" dataCellStyle="Comma [0]"/>
    <tableColumn id="134" xr3:uid="{ED28245B-5F65-4DBB-B438-F1B396DB1346}" uniqueName="134" name="Avg Price" queryTableFieldId="11" dataDxfId="284" dataCellStyle="Comma [0]"/>
    <tableColumn id="135" xr3:uid="{91A473E7-FF65-41E9-B7BA-8BD401B2A032}" uniqueName="135" name="MARKET_VALUE" queryTableFieldId="12" dataDxfId="283" dataCellStyle="Comma [0]"/>
    <tableColumn id="136" xr3:uid="{398BA848-BFD0-4CBF-BE13-7C5875A2FF88}" uniqueName="136" name="Cpn Rate" queryTableFieldId="13"/>
    <tableColumn id="137" xr3:uid="{A860CCE0-B744-4285-A803-9B39BDB3FA17}" uniqueName="137" name="Accr Int" queryTableFieldId="14"/>
    <tableColumn id="138" xr3:uid="{FE59C553-1CDB-41B1-BE58-130629FF9BA6}" uniqueName="138" name="Cpn Cumul" queryTableFieldId="15"/>
    <tableColumn id="139" xr3:uid="{88CA3924-6839-43E3-949B-983C72CDD33F}" uniqueName="139" name="Cpn Reinvested" queryTableFieldId="16"/>
    <tableColumn id="140" xr3:uid="{D8E8C14E-E537-4949-9C66-E78E5E6A2BAF}" uniqueName="140" name="Cost of Carry" queryTableFieldId="17"/>
    <tableColumn id="141" xr3:uid="{0D92A4BB-A6DA-44E2-8CB9-97D961826FA7}" uniqueName="141" name="Yield Mat" queryTableFieldId="18"/>
    <tableColumn id="142" xr3:uid="{932C3E6D-5E10-45AE-B0AD-964844A42B3C}" uniqueName="142" name="Mod Dur" queryTableFieldId="19"/>
    <tableColumn id="143" xr3:uid="{0666F044-2C33-456B-8E14-200526FEB54A}" uniqueName="143" name="DURATION" queryTableFieldId="20"/>
    <tableColumn id="144" xr3:uid="{63D43E51-6DD4-47D7-B66F-56AA10AA97EA}" uniqueName="144" name="Cnvx." queryTableFieldId="21"/>
    <tableColumn id="145" xr3:uid="{7D1C4458-8377-433C-9C6B-47F2F54F7103}" uniqueName="145" name="Cnvx. Value" queryTableFieldId="22"/>
    <tableColumn id="146" xr3:uid="{7041BBC3-8291-4DCF-930C-A29C336E6DF5}" uniqueName="146" name="BPV (K)" queryTableFieldId="23"/>
    <tableColumn id="147" xr3:uid="{EAC4F9AA-6A98-42AA-91EB-E1C998022849}" uniqueName="147" name="Theta (K)" queryTableFieldId="24"/>
    <tableColumn id="148" xr3:uid="{747E7814-554F-4B43-9C37-A8FA38FBC3B4}" uniqueName="148" name="REALIZED_CUR" queryTableFieldId="25"/>
    <tableColumn id="149" xr3:uid="{9D13F2AF-ACF4-41E5-861A-92444FCD619E}" uniqueName="149" name="UNREALIZED_CUR" queryTableFieldId="26"/>
    <tableColumn id="150" xr3:uid="{39C1BEA1-202F-4C74-BAE7-6BC9042EA930}" uniqueName="150" name="P/L Clean Price" queryTableFieldId="27"/>
    <tableColumn id="151" xr3:uid="{0B34EADC-DE82-4E67-8BE1-1BAD3D2F81AF}" uniqueName="151" name="P/L Currency" queryTableFieldId="28"/>
    <tableColumn id="152" xr3:uid="{0B29CDC4-E2D1-42D5-AAC6-CA65F674D434}" uniqueName="152" name="P/L Local" queryTableFieldId="29"/>
    <tableColumn id="153" xr3:uid="{0ADDC893-7F0D-4274-836D-0442068F2AA6}" uniqueName="153" name="P/L Report" queryTableFieldId="30"/>
    <tableColumn id="154" xr3:uid="{92FE5B37-D34F-4006-8C1E-59C36AC34602}" uniqueName="154" name="Days" queryTableFieldId="31" dataDxfId="282">
      <calculatedColumnFormula>Bankingbook_SBV[[#This Row],[Mat. Date]]-RPT</calculatedColumnFormula>
    </tableColumn>
    <tableColumn id="155" xr3:uid="{65F58376-6C83-4BF1-8881-BDBCFE91D571}" uniqueName="155" name="Days (year)" queryTableFieldId="32" dataDxfId="281">
      <calculatedColumnFormula>IF(Bankingbook_SBV[[#This Row],[Days]]&lt;=0,0,YEARFRAC(RPT,Bankingbook_SBV[[#This Row],[Mat. Date]],3))</calculatedColumnFormula>
    </tableColumn>
    <tableColumn id="156" xr3:uid="{D997BA10-B90C-45E2-A268-862E7A23F16E}" uniqueName="156" name="Tenor" queryTableFieldId="33" dataDxfId="280">
      <calculatedColumnFormula>IF(Bankingbook_SBV[[#This Row],[Days (year)]]=0,0,INDEX(Ref!$K$2:$K$13,MATCH(Bankingbook_SBV[[#This Row],[Days (year)]],Ref!$I$2:$I$13,1)))</calculatedColumnFormula>
    </tableColumn>
    <tableColumn id="157" xr3:uid="{0FD7D4C5-47FB-4DA5-8EEF-9B2C562336E3}" uniqueName="157" name="Type" queryTableFieldId="34" dataDxfId="279">
      <calculatedColumnFormula>VLOOKUP(Bankingbook_SBV[[#This Row],[Security Name]],Ref!X:Z,3,0)</calculatedColumnFormula>
    </tableColumn>
    <tableColumn id="158" xr3:uid="{76E5D8FA-E571-494A-B0A5-D2B59C2665B0}" uniqueName="158" name="Issuer" queryTableFieldId="35" dataDxfId="278">
      <calculatedColumnFormula>VLOOKUP(Bankingbook_SBV[[#This Row],[Security Name]],Ref!X:Y,2,0)</calculatedColumnFormula>
    </tableColumn>
    <tableColumn id="159" xr3:uid="{FBE8BC8B-1DC7-4EAF-8298-68A2A89C9941}" uniqueName="159" name="Quantity_edited" queryTableFieldId="36" dataDxfId="277" dataCellStyle="Comma">
      <calculatedColumnFormula>IF((Bankingbook_SBV[[#This Row],[Mat. Date]]-RPT)&lt;=0,0,Bankingbook_SBV[[#This Row],[QUANTITY]])</calculatedColumnFormula>
    </tableColumn>
    <tableColumn id="160" xr3:uid="{4B224BD1-D978-421E-B0B1-13FB49B59792}" uniqueName="160" name="Duration_edited" queryTableFieldId="37" dataDxfId="276">
      <calculatedColumnFormula>IF(Bankingbook_SBV[[#This Row],[Quantity_edited]]=0,0,Bankingbook_SBV[[#This Row],[DURATION]])</calculatedColumnFormula>
    </tableColumn>
    <tableColumn id="161" xr3:uid="{651B6D03-2E14-45A5-86EF-FCD08C2CB878}" uniqueName="161" name="Modified Duration" queryTableFieldId="38" dataDxfId="275">
      <calculatedColumnFormula>IF(Bankingbook_SBV[[#This Row],[Quantity_edited]]=0,0,Bankingbook_SBV[[#This Row],[Mod Dur]])</calculatedColumnFormula>
    </tableColumn>
    <tableColumn id="162" xr3:uid="{908B00F8-CD2E-45F2-90D7-F8B713B0DCFE}" uniqueName="162" name="Conv" queryTableFieldId="39" dataDxfId="274">
      <calculatedColumnFormula>IF(Bankingbook_SBV[[#This Row],[Quantity_edited]]=0,0,Bankingbook_SBV[[#This Row],[Cnvx.]])</calculatedColumnFormula>
    </tableColumn>
    <tableColumn id="163" xr3:uid="{5DF2B54F-F385-429E-BCF5-3AB5C1BCC039}" uniqueName="163" name="BPV_edited" queryTableFieldId="40" dataDxfId="273">
      <calculatedColumnFormula>(Bankingbook_SBV[[#This Row],[MARKET_VALUE]]+Bankingbook_SBV[[#This Row],[Accr Int]]*Bankingbook_SBV[[#This Row],[Quantity_edited]])*(-Bankingbook_SBV[[#This Row],[Modified Duration]]*0.0001+0.5*Bankingbook_SBV[[#This Row],[Conv]]*(0.0001^2))</calculatedColumnFormula>
    </tableColumn>
    <tableColumn id="164" xr3:uid="{6C23A1EB-9D8B-4F13-ACC6-C2ED6DE65246}" uniqueName="164" name="PV100" queryTableFieldId="41" dataDxfId="272">
      <calculatedColumnFormula>(Bankingbook_SBV[[#This Row],[MARKET_VALUE]]+Bankingbook_SBV[[#This Row],[Accr Int]]*Bankingbook_SBV[[#This Row],[Quantity_edited]])*(-Bankingbook_SBV[[#This Row],[Modified Duration]]*0.01+0.5*Bankingbook_SBV[[#This Row],[Conv]]*(0.01^2))</calculatedColumnFormula>
    </tableColumn>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C000000}" name="FNRP_Future" displayName="FNRP_Future" ref="HB1:IF7" tableType="queryTable" totalsRowShown="0" headerRowDxfId="465">
  <tableColumns count="31">
    <tableColumn id="63" xr3:uid="{128B3A2C-D993-494A-852C-663304EA93DC}" uniqueName="63" name="Short Name" queryTableFieldId="1"/>
    <tableColumn id="64" xr3:uid="{A7849EB8-8A72-44F4-9C42-1386C9973E8C}" uniqueName="64" name="Security Name" queryTableFieldId="2"/>
    <tableColumn id="65" xr3:uid="{17081531-2B31-4EE9-A957-72078E8DCC5C}" uniqueName="65" name="Maturity" queryTableFieldId="3" dataDxfId="271"/>
    <tableColumn id="66" xr3:uid="{CC4C1AA1-C70E-4D04-80C0-35D45D070AF6}" uniqueName="66" name="Open Pos" queryTableFieldId="4"/>
    <tableColumn id="67" xr3:uid="{8F59CD18-F04B-4757-B9F9-41A11E4C918D}" uniqueName="67" name="Price" queryTableFieldId="5"/>
    <tableColumn id="68" xr3:uid="{C90DAE77-DDED-4065-BC31-BFA13ED08DF7}" uniqueName="68" name="Point Price" queryTableFieldId="6"/>
    <tableColumn id="69" xr3:uid="{037A824A-DDCD-43D6-A3AF-C6E583EB274C}" uniqueName="69" name="Point AvgPrice" queryTableFieldId="7"/>
    <tableColumn id="70" xr3:uid="{E58F23F0-4BE0-4009-AB56-C5F9CC444A8E}" uniqueName="70" name="Theor. Price" queryTableFieldId="8"/>
    <tableColumn id="71" xr3:uid="{75C29B17-7990-4D6B-981D-ED07E3501CC6}" uniqueName="71" name="Avg Price" queryTableFieldId="9"/>
    <tableColumn id="72" xr3:uid="{C4604E7C-F82F-491C-A384-D44AEBD35082}" uniqueName="72" name="Yield" queryTableFieldId="10"/>
    <tableColumn id="73" xr3:uid="{DBEF0F78-FCB1-442A-8A8E-EA6D5226B9A7}" uniqueName="73" name="Theor. Yield" queryTableFieldId="11"/>
    <tableColumn id="74" xr3:uid="{AC9E3178-267A-47F8-BC08-2DFAA779ABF2}" uniqueName="74" name="Avg Yield" queryTableFieldId="12"/>
    <tableColumn id="75" xr3:uid="{311E4524-381A-460F-99A5-898801C07693}" uniqueName="75" name="Cost of Carry" queryTableFieldId="13"/>
    <tableColumn id="76" xr3:uid="{153CDFAC-6EBA-42A7-8BF2-68ADE5BBD3F8}" uniqueName="76" name="Quantity" queryTableFieldId="14"/>
    <tableColumn id="77" xr3:uid="{4105A4AE-B11F-4C24-9873-B78B7FD79146}" uniqueName="77" name="Mod Dur" queryTableFieldId="15"/>
    <tableColumn id="78" xr3:uid="{3CAEEFE0-E271-4BFA-9666-8B6A3C2ECAE3}" uniqueName="78" name="Dur." queryTableFieldId="16"/>
    <tableColumn id="79" xr3:uid="{778B2679-8652-4FE5-AE82-14F397252D4A}" uniqueName="79" name="Cnvx" queryTableFieldId="17"/>
    <tableColumn id="80" xr3:uid="{EBAE47EF-424C-484F-B533-3BAE988AFFF8}" uniqueName="80" name="BPV (K)" queryTableFieldId="18"/>
    <tableColumn id="81" xr3:uid="{54A428E3-7233-427A-A463-0122274A113B}" uniqueName="81" name="Forex BPV (K)" queryTableFieldId="19"/>
    <tableColumn id="82" xr3:uid="{98BAA1AD-FB1D-4D14-A776-D8FF5A275F6F}" uniqueName="82" name="Cnvx. Value" queryTableFieldId="20"/>
    <tableColumn id="83" xr3:uid="{351484B6-0270-496F-8F2C-795F28E3048E}" uniqueName="83" name="Eq Future" queryTableFieldId="21"/>
    <tableColumn id="84" xr3:uid="{A4914BF7-94DD-4671-841B-B7BD90E2F43E}" uniqueName="84" name="Realized Cur" queryTableFieldId="22"/>
    <tableColumn id="85" xr3:uid="{010FD4D0-C7F2-438F-B818-4F7EC969B3C3}" uniqueName="85" name="Unrealized Cur" queryTableFieldId="23"/>
    <tableColumn id="86" xr3:uid="{BCE0621F-1447-4ED7-BDC2-C3BB9299C0BD}" uniqueName="86" name="Brokerage" queryTableFieldId="24"/>
    <tableColumn id="87" xr3:uid="{EE230FF5-EA8E-4103-8D33-4967DCFEE877}" uniqueName="87" name="P/L Currency" queryTableFieldId="25"/>
    <tableColumn id="88" xr3:uid="{67BBE124-FA3B-487F-97C4-1BF300DF6EB9}" uniqueName="88" name="P/L Total" queryTableFieldId="26"/>
    <tableColumn id="89" xr3:uid="{62D54E21-B4AC-4EC8-9D16-789125C33D37}" uniqueName="89" name="P/L Report" queryTableFieldId="27"/>
    <tableColumn id="90" xr3:uid="{C23C3411-F5CB-4B05-B0DC-2075CFFC9ED1}" uniqueName="90" name="tenor" queryTableFieldId="28" dataDxfId="270" dataCellStyle="Comma">
      <calculatedColumnFormula>IF(FNRP_Future[[#This Row],[Maturity]]&lt;RPT,0,YEARFRAC(RPT,FNRP_Future[[#This Row],[Maturity]],3))</calculatedColumnFormula>
    </tableColumn>
    <tableColumn id="91" xr3:uid="{4EC6AA30-18F4-4246-A41F-44D7BCD45E33}" uniqueName="91" name="Term" queryTableFieldId="29" dataDxfId="269">
      <calculatedColumnFormula>IF(FNRP_Future[[#This Row],[tenor]]=0,0,INDEX(Ref!$K$1:$K$13,MATCH(FNRP_Future[[#This Row],[tenor]],Ref!$I$1:$I$13,1)))</calculatedColumnFormula>
    </tableColumn>
    <tableColumn id="92" xr3:uid="{A82DDCEF-6042-42EF-B191-46A66B6E79DC}" uniqueName="92" name="Out amount" queryTableFieldId="30" dataDxfId="268" dataCellStyle="Comma"/>
    <tableColumn id="93" xr3:uid="{BDCBAC30-7E10-4A19-A07A-94564FE8A642}" uniqueName="93" name="Abs amount" queryTableFieldId="31" dataDxfId="267"/>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C11A5C-CD68-4308-B908-23477A3D9A70}" name="Tradingbook_MSB" displayName="Tradingbook_MSB" ref="B1:AQ594" tableType="queryTable" totalsRowShown="0" headerRowDxfId="464" headerRowCellStyle="Comma">
  <tableColumns count="42">
    <tableColumn id="1" xr3:uid="{5357B643-CF20-4EE3-9290-6936CB2210DA}" uniqueName="1" name="Currency" queryTableFieldId="1" dataDxfId="463"/>
    <tableColumn id="2" xr3:uid="{8BDDD2EF-81F8-4B0F-9F3B-79671FF49830}" uniqueName="2" name="Duration_range" queryTableFieldId="2" dataDxfId="462"/>
    <tableColumn id="3" xr3:uid="{0D816F84-49EA-438A-8BFE-4F95981F7288}" uniqueName="3" name="Security Name" queryTableFieldId="3" dataDxfId="461"/>
    <tableColumn id="4" xr3:uid="{958BEC73-C566-4128-ABF9-693799EA3355}" uniqueName="4" name="Type of Instr." queryTableFieldId="4" dataDxfId="460"/>
    <tableColumn id="5" xr3:uid="{14A17245-28CF-46AB-9D93-8FF7504C069E}" uniqueName="5" name="Mat. Date" queryTableFieldId="5" dataDxfId="336"/>
    <tableColumn id="6" xr3:uid="{2BD346A2-E21F-4817-B4CE-FA0BCA9C8692}" uniqueName="6" name="Open Pos" queryTableFieldId="6" dataDxfId="459"/>
    <tableColumn id="7" xr3:uid="{340657AA-8E87-4A2F-87C9-9E832890CE6C}" uniqueName="7" name="Price" queryTableFieldId="7"/>
    <tableColumn id="8" xr3:uid="{3A306AC3-7D9B-4828-9E81-C0A88932DB17}" uniqueName="8" name="Clean Price" queryTableFieldId="8"/>
    <tableColumn id="9" xr3:uid="{B68F3670-8174-4F5D-B142-34E5AAB8702F}" uniqueName="9" name="QUANTITY" queryTableFieldId="9" dataDxfId="335"/>
    <tableColumn id="10" xr3:uid="{0FEA4799-B438-484B-B984-C604A2933551}" uniqueName="10" name="Nominal" queryTableFieldId="10"/>
    <tableColumn id="11" xr3:uid="{73D11997-F6AA-44D8-8C4F-68C857B5FB9C}" uniqueName="11" name="Avg Price" queryTableFieldId="11"/>
    <tableColumn id="12" xr3:uid="{38D87F10-4856-469A-A0F4-5D092E819BE8}" uniqueName="12" name="MARKET_VALUE" queryTableFieldId="12" dataDxfId="334"/>
    <tableColumn id="13" xr3:uid="{CF147AFB-E30A-4E25-A4A0-D92E0B09FE5A}" uniqueName="13" name="Cpn Rate" queryTableFieldId="13"/>
    <tableColumn id="14" xr3:uid="{E495354C-8219-4893-A923-672D0CB09F1E}" uniqueName="14" name="Accr Int" queryTableFieldId="14"/>
    <tableColumn id="15" xr3:uid="{CDD098B1-0509-4935-98B8-95B0E2287D26}" uniqueName="15" name="Cpn Cumul" queryTableFieldId="15" dataDxfId="333" dataCellStyle="Comma"/>
    <tableColumn id="16" xr3:uid="{B1E4BCFC-EE2B-4ED4-9D6C-2FDB35EDF865}" uniqueName="16" name="Cpn Reinvested" queryTableFieldId="16" dataDxfId="332" dataCellStyle="Comma"/>
    <tableColumn id="17" xr3:uid="{305C14F2-22B1-4FF2-B77A-BE083F9CC846}" uniqueName="17" name="Cost of Carry" queryTableFieldId="17" dataDxfId="331" dataCellStyle="Comma"/>
    <tableColumn id="18" xr3:uid="{BD1813F3-0283-4671-8884-CA30361A135A}" uniqueName="18" name="Yield Mat" queryTableFieldId="18"/>
    <tableColumn id="19" xr3:uid="{569310AD-77B5-4789-AF0C-8D031585385D}" uniqueName="19" name="Mod Dur" queryTableFieldId="19" dataDxfId="330"/>
    <tableColumn id="20" xr3:uid="{425FBFC9-E656-4ACA-8062-DF64B58657A2}" uniqueName="20" name="DURATION" queryTableFieldId="20"/>
    <tableColumn id="21" xr3:uid="{1B6257A2-C1BB-45E6-9A62-9EB88DBF043A}" uniqueName="21" name="Cnvx." queryTableFieldId="21"/>
    <tableColumn id="22" xr3:uid="{137E22AF-DE9F-4C38-89C2-AF9BFD34F5E6}" uniqueName="22" name="Cnvx. Value" queryTableFieldId="22"/>
    <tableColumn id="23" xr3:uid="{7FDEB488-6A30-419F-AA65-1F5BAAE96555}" uniqueName="23" name="BPV (K)" queryTableFieldId="23" dataDxfId="329"/>
    <tableColumn id="24" xr3:uid="{4A3113CC-77D7-49F5-964D-0F954FBBCFE9}" uniqueName="24" name="Theta (K)" queryTableFieldId="24"/>
    <tableColumn id="25" xr3:uid="{8893CB43-00F8-4378-A700-5E3C5EC2B3E3}" uniqueName="25" name="REALIZED_CUR" queryTableFieldId="25" dataDxfId="328"/>
    <tableColumn id="26" xr3:uid="{E49A1CDB-4068-4F76-BA96-0DA864D1A059}" uniqueName="26" name="UNREALIZED_CUR" queryTableFieldId="26" dataDxfId="327"/>
    <tableColumn id="27" xr3:uid="{76219FCD-D003-4321-B285-8F19C2381085}" uniqueName="27" name="P/L Clean Price" queryTableFieldId="27" dataDxfId="326"/>
    <tableColumn id="28" xr3:uid="{BEBDA2C6-BD74-4B65-9EE5-036B98FAA536}" uniqueName="28" name="P/L Currency" queryTableFieldId="28" dataDxfId="325"/>
    <tableColumn id="29" xr3:uid="{568CC31F-443E-4E12-8947-2E5C285B4103}" uniqueName="29" name="P/L Local" queryTableFieldId="29" dataDxfId="324"/>
    <tableColumn id="30" xr3:uid="{FAFBA88A-CF4F-42B1-B807-92FE19BEC9B0}" uniqueName="30" name="P/L Report" queryTableFieldId="30" dataDxfId="323"/>
    <tableColumn id="31" xr3:uid="{AEDD4FBA-5E18-448B-A316-9880CAE79CAA}" uniqueName="31" name="avg yield" queryTableFieldId="31"/>
    <tableColumn id="32" xr3:uid="{61C4F75A-851F-43E7-ADDF-D33D120392E1}" uniqueName="32" name="Days" queryTableFieldId="32" dataDxfId="322" dataCellStyle="Comma">
      <calculatedColumnFormula>Tradingbook_MSB[[#This Row],[Mat. Date]]-RPT</calculatedColumnFormula>
    </tableColumn>
    <tableColumn id="33" xr3:uid="{C8B033E2-DC31-4102-9C1E-1CBFEF2D720B}" uniqueName="33" name="Days (year)" queryTableFieldId="33" dataDxfId="321" dataCellStyle="Comma">
      <calculatedColumnFormula>IF(Tradingbook_MSB[[#This Row],[Days]]&lt;=0,0,YEARFRAC(RPT,Tradingbook_MSB[[#This Row],[Mat. Date]],3))</calculatedColumnFormula>
    </tableColumn>
    <tableColumn id="34" xr3:uid="{584CC716-E3C4-4CBA-806B-D0F333DA68A6}" uniqueName="34" name="Tenor" queryTableFieldId="34" dataDxfId="320" dataCellStyle="Comma">
      <calculatedColumnFormula>IF(Tradingbook_MSB[[#This Row],[Days (year)]]=0,0,INDEX(Ref!$K$2:$K$13,MATCH(Tradingbook_MSB[[#This Row],[Days (year)]],Ref!$I$2:$I$13,1)))</calculatedColumnFormula>
    </tableColumn>
    <tableColumn id="35" xr3:uid="{2FD6E546-E2DF-45E3-8B45-57CA33ACD360}" uniqueName="35" name="Type" queryTableFieldId="35" dataDxfId="319">
      <calculatedColumnFormula>VLOOKUP(Tradingbook_MSB[[#This Row],[Security Name]],Ref!X:Z,3,0)</calculatedColumnFormula>
    </tableColumn>
    <tableColumn id="36" xr3:uid="{BDCB9046-A052-4891-9393-33188B9FED29}" uniqueName="36" name="Issuer" queryTableFieldId="36" dataDxfId="318">
      <calculatedColumnFormula>VLOOKUP(Tradingbook_MSB[[#This Row],[Security Name]],Ref!X:Y,2,0)</calculatedColumnFormula>
    </tableColumn>
    <tableColumn id="37" xr3:uid="{4EBDE1B8-D359-4B80-A2D2-E5E89EF62069}" uniqueName="37" name="Quantity_edited" queryTableFieldId="37" dataDxfId="317" dataCellStyle="Comma">
      <calculatedColumnFormula>IF((Tradingbook_MSB[[#This Row],[Mat. Date]]-RPT)&lt;=0,0,Tradingbook_MSB[[#This Row],[QUANTITY]])</calculatedColumnFormula>
    </tableColumn>
    <tableColumn id="38" xr3:uid="{968B5B7E-0CDF-46A7-A02C-A051CA74C064}" uniqueName="38" name="Duration_edited" queryTableFieldId="38" dataDxfId="316" dataCellStyle="Comma">
      <calculatedColumnFormula>IF(Tradingbook_MSB[[#This Row],[Quantity_edited]]=0,0,Tradingbook_MSB[[#This Row],[DURATION]])</calculatedColumnFormula>
    </tableColumn>
    <tableColumn id="39" xr3:uid="{1E2927CC-D958-4B6E-B1FA-A399100F820E}" uniqueName="39" name="Modified Duration" queryTableFieldId="39" dataDxfId="315" dataCellStyle="Comma">
      <calculatedColumnFormula>IF(Tradingbook_MSB[[#This Row],[Quantity_edited]]=0,0,Tradingbook_MSB[[#This Row],[Mod Dur]])</calculatedColumnFormula>
    </tableColumn>
    <tableColumn id="40" xr3:uid="{F5F590E3-B579-47FF-96AE-31F8D83E0764}" uniqueName="40" name="Conv" queryTableFieldId="40" dataDxfId="314" dataCellStyle="Comma">
      <calculatedColumnFormula>IF(Tradingbook_MSB[[#This Row],[Quantity_edited]]=0,0,Tradingbook_MSB[[#This Row],[Cnvx.]])</calculatedColumnFormula>
    </tableColumn>
    <tableColumn id="41" xr3:uid="{F78175F3-2921-4CAF-85DC-B36FF1F3290D}" uniqueName="41" name="BPV_edited" queryTableFieldId="41" dataDxfId="313" dataCellStyle="Comma">
      <calculatedColumnFormula>(Tradingbook_MSB[[#This Row],[MARKET_VALUE]]+Tradingbook_MSB[[#This Row],[Accr Int]]*Tradingbook_MSB[[#This Row],[Quantity_edited]])*(-Tradingbook_MSB[[#This Row],[Modified Duration]]*0.0001+0.5*Tradingbook_MSB[[#This Row],[Conv]]*(0.0001^2))</calculatedColumnFormula>
    </tableColumn>
    <tableColumn id="42" xr3:uid="{2A83EFFD-A946-45A5-AD31-0F32F80A22FB}" uniqueName="42" name="PV100" queryTableFieldId="42" dataDxfId="312" dataCellStyle="Comma">
      <calculatedColumnFormula>(Tradingbook_MSB[[#This Row],[MARKET_VALUE]]+Tradingbook_MSB[[#This Row],[Accr Int]]*Tradingbook_MSB[[#This Row],[Quantity_edited]])*(-Tradingbook_MSB[[#This Row],[Modified Duration]]*0.01+0.5*Tradingbook_MSB[[#This Row],[Conv]]*(0.01^2))</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25839D-222C-4299-AAF8-CF03D030DE9A}" name="FNRP_Repo" displayName="FNRP_Repo" ref="FT1:GY79" tableType="queryTable" totalsRowShown="0" headerRowDxfId="458">
  <sortState xmlns:xlrd2="http://schemas.microsoft.com/office/spreadsheetml/2017/richdata2" ref="FT2:GY79">
    <sortCondition ref="GG1:GG79"/>
  </sortState>
  <tableColumns count="32">
    <tableColumn id="1" xr3:uid="{46C1356B-9639-4231-89F8-F59BC531BA21}" uniqueName="1" name="Currency" queryTableFieldId="1" dataDxfId="457"/>
    <tableColumn id="2" xr3:uid="{76448174-BEC5-43DE-BC3F-D4638A9318EC}" uniqueName="2" name="Bonds" queryTableFieldId="2" dataDxfId="456"/>
    <tableColumn id="3" xr3:uid="{37DD5CA2-5FC1-4E58-A13B-66C48D56A9AD}" uniqueName="3" name="Deal Id" queryTableFieldId="3" dataDxfId="455"/>
    <tableColumn id="4" xr3:uid="{1D6CFC7E-978C-41C9-945D-6D9A2C68713E}" uniqueName="4" name="Block Number" queryTableFieldId="4"/>
    <tableColumn id="5" xr3:uid="{57F22762-DC22-45D5-8A23-818A0B36A73F}" uniqueName="5" name="Trade Date" queryTableFieldId="5" dataDxfId="343"/>
    <tableColumn id="6" xr3:uid="{3A8CCE88-3654-46A3-9962-DF5060D912FE}" uniqueName="6" name="Folder" queryTableFieldId="6" dataDxfId="454"/>
    <tableColumn id="7" xr3:uid="{FA3BB1DF-CEC0-45A0-A44B-47F0DF453736}" uniqueName="7" name="Cpty" queryTableFieldId="7" dataDxfId="453"/>
    <tableColumn id="8" xr3:uid="{7A640A2F-2FFD-4F83-BBA0-C14FA1EDB0A0}" uniqueName="8" name="Counterparty Name" queryTableFieldId="8" dataDxfId="452"/>
    <tableColumn id="9" xr3:uid="{C71F20BE-D8A6-495F-84C4-BC27B8BB17B2}" uniqueName="9" name="Type of Instr." queryTableFieldId="9" dataDxfId="451"/>
    <tableColumn id="10" xr3:uid="{B8E72C72-8986-472E-A8B4-F1C793109098}" uniqueName="10" name="Security Name" queryTableFieldId="10" dataDxfId="450"/>
    <tableColumn id="11" xr3:uid="{8E89BF1D-6ECB-4DCF-A58A-E206949F1858}" uniqueName="11" name="Notional" queryTableFieldId="11" dataDxfId="342" dataCellStyle="Comma [0]"/>
    <tableColumn id="12" xr3:uid="{104E23FA-9F8B-4ABF-BABD-E2B6EBF09E2C}" uniqueName="12" name="Haircut" queryTableFieldId="12"/>
    <tableColumn id="13" xr3:uid="{84ACBB31-E578-4E5B-9D02-C5A16876B665}" uniqueName="13" name="Value Date" queryTableFieldId="13" dataDxfId="341"/>
    <tableColumn id="14" xr3:uid="{FB0A91BD-DA9D-49F8-9339-94073F036317}" uniqueName="14" name="Mat. Date" queryTableFieldId="14" dataDxfId="340"/>
    <tableColumn id="15" xr3:uid="{85CBF24B-F093-45EC-8653-7FC099FD9A4C}" uniqueName="15" name="Rate" queryTableFieldId="15"/>
    <tableColumn id="16" xr3:uid="{994CBBFC-2AFC-417C-A940-9D109F99EBF1}" uniqueName="16" name="Deal Type" queryTableFieldId="16" dataDxfId="449"/>
    <tableColumn id="17" xr3:uid="{DA963A80-C55D-4FA2-BA4C-313CFB7A0726}" uniqueName="17" name="Cpn Cumul" queryTableFieldId="17" dataDxfId="448"/>
    <tableColumn id="18" xr3:uid="{675F75C2-8490-4878-AC37-E7B04E0AD357}" uniqueName="18" name="Cpn Reinvested" queryTableFieldId="18" dataDxfId="447"/>
    <tableColumn id="19" xr3:uid="{5845339F-5A3D-4CB5-BF85-4A05DA66910B}" uniqueName="19" name="Cost of Carry" queryTableFieldId="19"/>
    <tableColumn id="20" xr3:uid="{AC5FF103-41B7-4D74-8597-6321E7445DFE}" uniqueName="20" name="Accrued" queryTableFieldId="20"/>
    <tableColumn id="21" xr3:uid="{33FD2624-BD82-4DFB-8D48-FFA9FEF8D15E}" uniqueName="21" name="Collateral" queryTableFieldId="21"/>
    <tableColumn id="22" xr3:uid="{ADE855A9-E42F-4DE7-8BBA-CC50754DA3FE}" uniqueName="22" name="Current Haircut" queryTableFieldId="22"/>
    <tableColumn id="23" xr3:uid="{FD3D4F71-76DE-454F-ABBA-9D05841656C7}" uniqueName="23" name="Dur." queryTableFieldId="23"/>
    <tableColumn id="24" xr3:uid="{567FF6EF-7297-4B68-8B22-9EF9E49359C8}" uniqueName="24" name="Cnvx." queryTableFieldId="24"/>
    <tableColumn id="25" xr3:uid="{DC60F581-5D8F-4A74-8BDF-4806E20DB147}" uniqueName="25" name="YTM" queryTableFieldId="25"/>
    <tableColumn id="26" xr3:uid="{A17FF2C7-9D62-48D0-BE52-0B53CC0A94FB}" uniqueName="26" name="NPV" queryTableFieldId="26"/>
    <tableColumn id="27" xr3:uid="{89F46C1D-421F-4104-9904-F4C7BB11FBE0}" uniqueName="27" name="P/L Currency" queryTableFieldId="27"/>
    <tableColumn id="28" xr3:uid="{2B12432C-4171-48AC-87A1-D1D291DE5047}" uniqueName="28" name="P/L Local" queryTableFieldId="28" dataDxfId="446"/>
    <tableColumn id="29" xr3:uid="{6263E3AC-72B1-4764-9D09-487F764C26E4}" uniqueName="29" name="P/L Report" queryTableFieldId="29" dataDxfId="445"/>
    <tableColumn id="30" xr3:uid="{8B76F9A4-4DFE-4C37-A153-97598D6F6B1B}" uniqueName="30" name="Days" queryTableFieldId="30" dataDxfId="339" dataCellStyle="Comma">
      <calculatedColumnFormula>FNRP_Repo[[#This Row],[Mat. Date]]-RPT</calculatedColumnFormula>
    </tableColumn>
    <tableColumn id="31" xr3:uid="{290E9A2B-8452-4F32-AD01-C3213750562C}" uniqueName="31" name="Term" queryTableFieldId="31" dataDxfId="338">
      <calculatedColumnFormula>IF(FNRP_Repo[[#This Row],[Days]]&lt;=0,"Mat",INDEX(Ref!U:U,MATCH(FNRP_Repo[[#This Row],[Days]],Ref!S:S,1)))</calculatedColumnFormula>
    </tableColumn>
    <tableColumn id="32" xr3:uid="{7C1A2D3F-EA7C-46FA-851D-E288F10DBA98}" uniqueName="32" name="Deal" queryTableFieldId="32" dataDxfId="337" dataCellStyle="Comma">
      <calculatedColumnFormula>RIGHT(FNRP_Repo[[#This Row],[Deal Id]],5)+0</calculatedColumnFormula>
    </tableColumn>
  </tableColumns>
  <tableStyleInfo name="TableStyleLight14"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6FAA047-CFFD-4EE9-A038-2F018BE151B9}" name="BB_MSB_ITB" displayName="BB_MSB_ITB" ref="II1:JX2" totalsRowShown="0">
  <tableColumns count="42">
    <tableColumn id="1" xr3:uid="{90B6C579-97C0-40A3-B8AF-13AFA3A3F912}" name="Currency" dataDxfId="444"/>
    <tableColumn id="2" xr3:uid="{8213D1C7-79AA-4CB8-8C60-15E917AD176F}" name="Duration_range" dataDxfId="443"/>
    <tableColumn id="3" xr3:uid="{93E36D6F-BFC4-4F9D-85E6-4DADFB2E0690}" name="Security Name" dataDxfId="442"/>
    <tableColumn id="4" xr3:uid="{F3E7FC11-D925-41AB-9332-D27F280A32F8}" name="Type of Instr." dataDxfId="441"/>
    <tableColumn id="5" xr3:uid="{1D359C92-1588-4832-99CA-B8116967C491}" name="Mat. Date" dataDxfId="440"/>
    <tableColumn id="6" xr3:uid="{0894A839-A34C-4F24-B6DA-781FA5DC198A}" name="Open Pos" dataDxfId="439"/>
    <tableColumn id="7" xr3:uid="{5664847F-4F0C-490C-8579-46AC28C611F1}" name="Price"/>
    <tableColumn id="8" xr3:uid="{B86C6E63-35D4-4E52-A95E-2DC22C4BA639}" name="Clean Price"/>
    <tableColumn id="9" xr3:uid="{3172F5AC-97FF-467C-87E8-90957D23F9D1}" name="QUANTITY"/>
    <tableColumn id="10" xr3:uid="{528AD732-6292-4EF2-816E-6A98838B8B68}" name="Nominal"/>
    <tableColumn id="11" xr3:uid="{8A9C99A5-390B-456B-B4C1-FD0D9C9B4947}" name="Avg Price"/>
    <tableColumn id="12" xr3:uid="{71C52109-1CB3-460D-A0CD-C80EDC2CF508}" name="MARKET_VALUE"/>
    <tableColumn id="13" xr3:uid="{CB7EF16C-A570-442A-A9F5-8F467936AA7B}" name="Cpn Rate"/>
    <tableColumn id="14" xr3:uid="{8E91BD80-D02A-4DCA-845B-0FEF95450A89}" name="Accr Int"/>
    <tableColumn id="15" xr3:uid="{06E85BF4-0C4C-4D2C-B70D-CD133B28E2E6}" name="Cpn Cumul"/>
    <tableColumn id="16" xr3:uid="{0497CEF0-F5C0-4BD0-A806-64EC82F90210}" name="Cpn Reinvested"/>
    <tableColumn id="17" xr3:uid="{B8B99E86-430C-4616-8BF8-06F65BF21368}" name="Cost of Carry"/>
    <tableColumn id="18" xr3:uid="{07CF8816-D003-421B-BA62-C33A0181D523}" name="Yield Mat"/>
    <tableColumn id="19" xr3:uid="{EA112ECC-5C13-4C12-ACF8-3C8494E00496}" name="Mod Dur"/>
    <tableColumn id="20" xr3:uid="{DA49F008-1EAA-4AA5-8D72-640440552B22}" name="DURATION"/>
    <tableColumn id="21" xr3:uid="{F03ADEAE-0092-4F28-818B-6FBFDA6F830B}" name="Cnvx."/>
    <tableColumn id="22" xr3:uid="{34AB357F-7592-48E2-A834-F3F3305A0654}" name="Cnvx. Value"/>
    <tableColumn id="23" xr3:uid="{4508A780-156B-43EE-85DE-CC275BD96424}" name="BPV (K)"/>
    <tableColumn id="24" xr3:uid="{EB084832-4F1F-4AFE-84D1-09D87D47DB5D}" name="Theta (K)"/>
    <tableColumn id="25" xr3:uid="{0527DBD3-86AA-472F-9C8E-B3247F2E3DA6}" name="REALIZED_CUR"/>
    <tableColumn id="26" xr3:uid="{7E000495-73D1-4944-AD8C-8CE5DD3728F5}" name="UNREALIZED_CUR"/>
    <tableColumn id="27" xr3:uid="{EFC16D03-BC5B-4CF9-A20D-BE0F505BB319}" name="P/L Clean Price"/>
    <tableColumn id="28" xr3:uid="{02FA8360-4719-403C-879F-27FF32B76415}" name="P/L Currency"/>
    <tableColumn id="29" xr3:uid="{E2811560-A958-4D56-8C77-DABA32C76A55}" name="P/L Local"/>
    <tableColumn id="30" xr3:uid="{5F714E85-4E1E-4A1E-9C53-79F23FB0BA7B}" name="P/L Report"/>
    <tableColumn id="31" xr3:uid="{2A38D253-936B-4038-83C3-813D58443920}" name="avg yield"/>
    <tableColumn id="32" xr3:uid="{631A4EC7-31BC-4B70-ABEA-C547CF28D740}" name="Days" dataDxfId="438">
      <calculatedColumnFormula>BB_MSB_ITB[[#This Row],[Mat. Date]]-RPT</calculatedColumnFormula>
    </tableColumn>
    <tableColumn id="33" xr3:uid="{125E2BAD-D3D5-446C-B27E-A1F43945CA2D}" name="Days (year)" dataDxfId="437" dataCellStyle="Comma">
      <calculatedColumnFormula>IF(BB_MSB_ITB[[#This Row],[Days]]&lt;=0,0,YEARFRAC(RPT,BB_MSB_ITB[[#This Row],[Mat. Date]],3))</calculatedColumnFormula>
    </tableColumn>
    <tableColumn id="34" xr3:uid="{7EA32663-1869-44A3-8498-137FEAA88F98}" name="Tenor" dataDxfId="436" dataCellStyle="Comma"/>
    <tableColumn id="35" xr3:uid="{C34DFC3C-1D18-454A-B1CA-A4F31D343EE4}" name="Type" dataDxfId="435"/>
    <tableColumn id="36" xr3:uid="{8266C980-4408-480C-B082-EF294477BBB6}" name="Issuer" dataDxfId="434"/>
    <tableColumn id="37" xr3:uid="{1790BDBD-734D-4D36-BA96-63BA39CD6318}" name="Quantity_edited" dataDxfId="433" dataCellStyle="Comma"/>
    <tableColumn id="38" xr3:uid="{E9D504D4-B80E-4F68-8D43-5D7267C0B30F}" name="Duration_edited" dataDxfId="432" dataCellStyle="Comma"/>
    <tableColumn id="39" xr3:uid="{C9D5DCAC-1EC5-4E51-BE07-7AEB2AC0B035}" name="Modified Duration" dataDxfId="431" dataCellStyle="Comma"/>
    <tableColumn id="40" xr3:uid="{3684C8F1-27E5-4269-83BF-9A5CF3CA2452}" name="Conv" dataDxfId="430" dataCellStyle="Comma"/>
    <tableColumn id="41" xr3:uid="{BDB19862-01B2-469A-BC97-E993D129C395}" name="BPV_edited" dataDxfId="429" dataCellStyle="Comma"/>
    <tableColumn id="42" xr3:uid="{6ABE5AB5-EB59-48D6-86B0-EC0246891490}" name="PV100" dataDxfId="428" dataCellStyle="Comma"/>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1347A7DC-6C16-46D4-AA24-2BD25A261E04}" name="BB_SBV_ITB" displayName="BB_SBV_ITB" ref="KA1:LO2" totalsRowShown="0" tableBorderDxfId="427">
  <tableColumns count="41">
    <tableColumn id="1" xr3:uid="{5A910354-43EE-4EE6-B8AC-9ADFBF2FA858}" name="Currency" dataDxfId="426"/>
    <tableColumn id="2" xr3:uid="{3C269310-9179-4816-9F5C-CD8820A7B188}" name="Duration_range" dataDxfId="425"/>
    <tableColumn id="3" xr3:uid="{2E780D39-0EEB-4E76-A0B0-D2F7EC2AACAB}" name="Security Name" dataDxfId="424"/>
    <tableColumn id="4" xr3:uid="{8FDB459E-C332-430A-8191-28A597D6BA25}" name="Type of Instr." dataDxfId="423"/>
    <tableColumn id="5" xr3:uid="{89A821FA-B5B6-4EA9-A3EC-6FF1F3E10FAE}" name="Mat. Date" dataDxfId="422"/>
    <tableColumn id="6" xr3:uid="{47CDFBE0-3A24-42FD-BED2-EAF144DD9826}" name="Open Pos" dataDxfId="421"/>
    <tableColumn id="7" xr3:uid="{311A6E3E-E544-45C1-877C-3571748CFCD8}" name="Price"/>
    <tableColumn id="8" xr3:uid="{F26E64CB-D003-4237-9CB0-84F7CF497D87}" name="Clean Price"/>
    <tableColumn id="9" xr3:uid="{D8C06EA8-E1F1-474F-B620-38C82F8C55EC}" name="QUANTITY"/>
    <tableColumn id="10" xr3:uid="{9CF7B4F7-2231-4587-A4A9-901670DC291E}" name="Nominal"/>
    <tableColumn id="11" xr3:uid="{F0475598-3A31-45EC-8B47-AEC78A41915E}" name="Avg Price"/>
    <tableColumn id="12" xr3:uid="{CD084F8F-0918-4198-A9A6-E6D815B5BF6E}" name="MARKET_VALUE"/>
    <tableColumn id="13" xr3:uid="{EC9DAFC6-1C48-4291-AAB3-D7E415C55BCC}" name="Cpn Rate"/>
    <tableColumn id="14" xr3:uid="{F10FB5D1-69F3-4526-8470-FD1679FC9C81}" name="Accr Int"/>
    <tableColumn id="15" xr3:uid="{9D2A561E-11BD-489B-A8C2-0E9D6296E167}" name="Cpn Cumul"/>
    <tableColumn id="16" xr3:uid="{5AA2608C-1C17-4C0B-99C7-630964F42430}" name="Cpn Reinvested"/>
    <tableColumn id="17" xr3:uid="{5825624E-1D7D-4940-AD76-8C35EF3C8C50}" name="Cost of Carry"/>
    <tableColumn id="18" xr3:uid="{FD2FC01D-383B-4290-B3DC-C9A310C5FF20}" name="Yield Mat"/>
    <tableColumn id="19" xr3:uid="{D638469A-0A63-404B-8A67-20D6CBA47781}" name="Mod Dur"/>
    <tableColumn id="20" xr3:uid="{7E97FD8B-1D22-48CB-B56A-CEACAF21A553}" name="DURATION"/>
    <tableColumn id="21" xr3:uid="{9835CD25-3853-4EA7-B4E1-2F09697FEE02}" name="Cnvx."/>
    <tableColumn id="22" xr3:uid="{CAB74C69-5825-43FE-8A43-E785F033E463}" name="Cnvx. Value"/>
    <tableColumn id="23" xr3:uid="{CEE81B86-6D0C-492A-974A-6C2019F05A82}" name="BPV (K)"/>
    <tableColumn id="24" xr3:uid="{6C492656-EE8D-4B8C-8FB1-F28250FD342D}" name="Theta (K)"/>
    <tableColumn id="25" xr3:uid="{5436B81D-B389-4BC6-98E2-EED15CE91AB3}" name="REALIZED_CUR"/>
    <tableColumn id="26" xr3:uid="{7CA977D0-40D5-4378-A84E-DE0084554A3E}" name="UNREALIZED_CUR"/>
    <tableColumn id="27" xr3:uid="{B30836BA-E78F-48EA-83E5-98EE005B5BB3}" name="P/L Clean Price"/>
    <tableColumn id="28" xr3:uid="{48552866-D9DF-4C7A-8B77-4A2A2174E751}" name="P/L Currency"/>
    <tableColumn id="29" xr3:uid="{A219C93C-E816-465F-8905-5E4F005BA805}" name="P/L Local"/>
    <tableColumn id="30" xr3:uid="{9FD1A797-47F9-4BBE-8ED8-EC464AD13373}" name="P/L Report"/>
    <tableColumn id="31" xr3:uid="{72B175B0-EC53-46B8-8421-59CAE361303E}" name="Days" dataDxfId="420"/>
    <tableColumn id="32" xr3:uid="{339BCB15-1304-4107-A4B2-68C963B648CF}" name="Days (year)" dataDxfId="419" dataCellStyle="Comma"/>
    <tableColumn id="33" xr3:uid="{F5FCFE7F-6B10-40BD-B8B2-9DDA42993F75}" name="Tenor" dataDxfId="418" dataCellStyle="Comma"/>
    <tableColumn id="34" xr3:uid="{D8C6AC77-C965-4D17-8FA8-20C327ED938A}" name="Type" dataDxfId="417"/>
    <tableColumn id="35" xr3:uid="{DFD910DC-3C92-43A9-9A2B-C5A9A0A6F17D}" name="Issuer" dataDxfId="416"/>
    <tableColumn id="36" xr3:uid="{CB8A2C26-E7EE-4E2A-B4ED-069041B649F5}" name="Quantity_edited" dataDxfId="415" dataCellStyle="Comma"/>
    <tableColumn id="37" xr3:uid="{74B887BF-1074-42F7-BB0C-043E894DEBC7}" name="Duration_edited" dataDxfId="414" dataCellStyle="Comma"/>
    <tableColumn id="38" xr3:uid="{355EFFAE-7432-4D59-B303-94265C8A8EB1}" name="Modified Duration" dataDxfId="413" dataCellStyle="Comma"/>
    <tableColumn id="39" xr3:uid="{E58B3BFF-9667-4070-AFDE-C5F4BFFBAE61}" name="Conv" dataDxfId="412" dataCellStyle="Comma"/>
    <tableColumn id="40" xr3:uid="{1094F348-0E5F-4B0A-AB47-AEE961736543}" name="BPV_edited" dataDxfId="411" dataCellStyle="Comma"/>
    <tableColumn id="41" xr3:uid="{A6EEF3A7-6E04-4050-929F-D7D9C91A665E}" name="PV100" dataDxfId="410" dataCellStyle="Comma"/>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D000000}" name="Outstanding_pos_TB_MSB" displayName="Outstanding_pos_TB_MSB" ref="B1:Y93" tableType="queryTable" totalsRowCount="1">
  <sortState xmlns:xlrd2="http://schemas.microsoft.com/office/spreadsheetml/2017/richdata2" ref="B2:X51">
    <sortCondition ref="B1:B51"/>
  </sortState>
  <tableColumns count="24">
    <tableColumn id="49" xr3:uid="{1737D5B8-30C4-46EA-98D0-A9365D847D16}" uniqueName="49" name="DEAL_BUY_ID" totalsRowLabel="Total" queryTableFieldId="1"/>
    <tableColumn id="50" xr3:uid="{F5D5008A-F7C7-4D18-BF04-33D927DF996A}" uniqueName="50" name="VALUE_DATE" queryTableFieldId="2"/>
    <tableColumn id="51" xr3:uid="{384D5311-51E6-4D3F-AD6A-DC7EC4516E60}" uniqueName="51" name="Bonds_ShortName" queryTableFieldId="3"/>
    <tableColumn id="52" xr3:uid="{73A9A829-976B-48D5-85A5-2E15851A81BD}" uniqueName="52" name="FOLDERS_CODE" queryTableFieldId="4"/>
    <tableColumn id="53" xr3:uid="{4E528788-E72A-4F90-B459-B387D202EAC4}" uniqueName="53" name="Issuer" queryTableFieldId="5"/>
    <tableColumn id="54" xr3:uid="{7B0D28E7-3AB4-4E97-A5AA-6C29B8853BB1}" uniqueName="54" name="Amt" queryTableFieldId="6"/>
    <tableColumn id="55" xr3:uid="{58FEE8A9-1517-4B6A-8D83-992ABA4F0B28}" uniqueName="55" name="Total Rate" queryTableFieldId="7"/>
    <tableColumn id="56" xr3:uid="{76236388-4946-418A-9EFD-717220E212F0}" uniqueName="56" name="Mature Date" queryTableFieldId="8"/>
    <tableColumn id="57" xr3:uid="{086A6D98-021F-440C-9D8A-9FD2ABFDD6DF}" uniqueName="57" name="Yield" queryTableFieldId="9"/>
    <tableColumn id="58" xr3:uid="{E58F82A3-7B1E-4B5E-BCEE-FF3125D67312}" uniqueName="58" name="Tenor left" queryTableFieldId="10"/>
    <tableColumn id="59" xr3:uid="{49808DF8-1A96-422A-8AD7-04D76C18D486}" uniqueName="59" name="Std Tenor" queryTableFieldId="11"/>
    <tableColumn id="60" xr3:uid="{DEF32534-B9E3-4CF5-BD27-1DB0CAFF12A6}" uniqueName="60" name="Market Yield" queryTableFieldId="12"/>
    <tableColumn id="61" xr3:uid="{255A9759-F8BF-4510-98D3-CBB4F67D59D3}" uniqueName="61" name="UnrealizedPnL" queryTableFieldId="13"/>
    <tableColumn id="62" xr3:uid="{4E2A88A6-5764-4567-8EAB-1064AABD27FD}" uniqueName="62" name="MDuration" queryTableFieldId="14"/>
    <tableColumn id="63" xr3:uid="{7F07E9F4-4ABB-445B-89AD-C59E2F96C149}" uniqueName="63" name="PV01" queryTableFieldId="15"/>
    <tableColumn id="64" xr3:uid="{E2DD74EA-EA93-4CA9-9F57-32BD98569C8A}" uniqueName="64" name="Accr" queryTableFieldId="16"/>
    <tableColumn id="65" xr3:uid="{4DA3A0CA-FEAD-49D2-B78A-D9B162085AF0}" uniqueName="65" name="Convexity" queryTableFieldId="17"/>
    <tableColumn id="66" xr3:uid="{B2203471-4FC7-423A-B921-27BF9FA92C94}" uniqueName="66" name="ItD adj" queryTableFieldId="18" dataDxfId="180" dataCellStyle="Comma">
      <calculatedColumnFormula>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calculatedColumnFormula>
    </tableColumn>
    <tableColumn id="67" xr3:uid="{1855B275-373C-44D3-9AA4-FCB36A0EDAE8}" uniqueName="67" name="Quantity FNRP" queryTableFieldId="19" dataDxfId="179" dataCellStyle="Comma">
      <calculatedColumnFormula>VLOOKUP(Outstanding_pos_TB_MSB[[#This Row],[Bonds_ShortName]],FNRP!D:J,7,0)</calculatedColumnFormula>
    </tableColumn>
    <tableColumn id="68" xr3:uid="{AADDCE7F-D16C-441F-A785-1B70B203B42E}" uniqueName="68" name="Check FNRP" queryTableFieldId="20" dataDxfId="178" dataCellStyle="Comma">
      <calculatedColumnFormula>SUMIFS(Outstanding_pos_TB_MSB[Amt],Outstanding_pos_TB_MSB[Bonds_ShortName],Outstanding_pos_TB_MSB[[#This Row],[Bonds_ShortName]])/100000-Outstanding_pos_TB_MSB[[#This Row],[Quantity FNRP]]</calculatedColumnFormula>
    </tableColumn>
    <tableColumn id="69" xr3:uid="{7317F9EA-D62B-4026-9B92-005BD19D2135}" uniqueName="69" name="Tenor" queryTableFieldId="21" dataDxfId="177" dataCellStyle="Comma">
      <calculatedColumnFormula>INDEX(Ref!$I$1:$K$13,MATCH(Outstanding_pos_TB_MSB[[#This Row],[Tenor left]],Ref!$I$1:$I$13,1),3)</calculatedColumnFormula>
    </tableColumn>
    <tableColumn id="70" xr3:uid="{AB3C76BC-0256-45CA-B4E9-B97D2398581A}" uniqueName="70" name="Time hold/BondID" queryTableFieldId="22" dataDxfId="176" dataCellStyle="Comma">
      <calculatedColumnFormula>IF(RPT-VLOOKUP(Outstanding_pos_TB_MSB[[#This Row],[Bonds_ShortName]],CT:CU,2,0)&lt;=0,0,RPT-VLOOKUP(Outstanding_pos_TB_MSB[[#This Row],[Bonds_ShortName]],CT:CU,2,0))</calculatedColumnFormula>
    </tableColumn>
    <tableColumn id="71" xr3:uid="{CBBC14C2-EB15-45BC-8603-706A56A4D149}" uniqueName="71" name="Time hold/Deal" queryTableFieldId="23" dataDxfId="175" dataCellStyle="Comma">
      <calculatedColumnFormula>IF(RPT-Outstanding_pos_TB_MSB[[#This Row],[VALUE_DATE]]&lt;=0,0,RPT-Outstanding_pos_TB_MSB[[#This Row],[VALUE_DATE]])</calculatedColumnFormula>
    </tableColumn>
    <tableColumn id="72" xr3:uid="{69CC5251-E14F-4E89-AD3D-17A748316040}" uniqueName="72" name="Time hold (tenor)" totalsRowFunction="count" queryTableFieldId="24" dataDxfId="174" dataCellStyle="Comma">
      <calculatedColumnFormula>_xlfn.XLOOKUP(Outstanding_pos_TB_MSB[[#This Row],[Time hold/Deal]],Ref!S:S,Ref!U:U,,-1)</calculatedColumnFormula>
    </tableColumn>
  </tableColumns>
  <tableStyleInfo name="TableStyleLight14"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A91145-2C8D-424D-BF32-630FEDD0B75E}" name="Outstanding_pos_BB_MSB" displayName="Outstanding_pos_BB_MSB" ref="AB1:AY103" tableType="queryTable" totalsRowShown="0">
  <sortState xmlns:xlrd2="http://schemas.microsoft.com/office/spreadsheetml/2017/richdata2" ref="AB2:AY103">
    <sortCondition ref="AB1:AB103"/>
  </sortState>
  <tableColumns count="24">
    <tableColumn id="25" xr3:uid="{C0A3CFCD-6B23-4852-810E-38EC4EFA2856}" uniqueName="25" name="BondsDeals_Id" queryTableFieldId="1"/>
    <tableColumn id="26" xr3:uid="{EAB02807-C672-4F35-8A74-925AC4380D6D}" uniqueName="26" name="Value Date" queryTableFieldId="2" dataDxfId="173"/>
    <tableColumn id="27" xr3:uid="{D8395E60-BE15-4F4B-BCF8-517EE43D6292}" uniqueName="27" name="Bonds_ShortName" queryTableFieldId="3"/>
    <tableColumn id="28" xr3:uid="{1332BCF5-C416-4EAA-A1CD-B305242D8418}" uniqueName="28" name="Folders_ShortName" queryTableFieldId="4"/>
    <tableColumn id="29" xr3:uid="{0B2AED2B-ACE6-4AAD-8130-2986B1ABADC4}" uniqueName="29" name="Issuer" queryTableFieldId="5"/>
    <tableColumn id="30" xr3:uid="{5CB331B3-8770-4E3B-899A-48AE60EBA2CD}" uniqueName="30" name="Amt" queryTableFieldId="6" dataDxfId="172" dataCellStyle="Comma [0]"/>
    <tableColumn id="31" xr3:uid="{6773976F-01AD-4A2D-8111-846A6329B26E}" uniqueName="31" name="Total Rate" queryTableFieldId="7"/>
    <tableColumn id="32" xr3:uid="{1BB1E904-07D3-4F2A-8985-A2321EFADAAF}" uniqueName="32" name="Mature Date" queryTableFieldId="8"/>
    <tableColumn id="33" xr3:uid="{395FE635-8174-45DA-BEF4-680AC399B494}" uniqueName="33" name="Yield" queryTableFieldId="9"/>
    <tableColumn id="34" xr3:uid="{5DE1AA5F-9E3D-410E-919C-3C23EDB46444}" uniqueName="34" name="Tenor left" queryTableFieldId="10"/>
    <tableColumn id="35" xr3:uid="{05DB8496-7126-481D-8C69-A36379FF2253}" uniqueName="35" name="Std Tenor" queryTableFieldId="11" dataDxfId="171" dataCellStyle="Comma [0]"/>
    <tableColumn id="36" xr3:uid="{70E796E2-7B64-40DB-99AF-5B2CEFEBBFAD}" uniqueName="36" name="Market Yield" queryTableFieldId="12"/>
    <tableColumn id="37" xr3:uid="{729C3527-2A1F-4125-8564-6C6AF96785F1}" uniqueName="37" name="UnrealizedPnL" queryTableFieldId="13" dataDxfId="170" dataCellStyle="Comma [0]"/>
    <tableColumn id="38" xr3:uid="{0179F432-8F4E-433E-8236-1F8EF5DEA152}" uniqueName="38" name="MDuration" queryTableFieldId="14"/>
    <tableColumn id="39" xr3:uid="{674C85EB-4265-4AAD-B80D-B50082A571D5}" uniqueName="39" name="PV01" queryTableFieldId="15"/>
    <tableColumn id="40" xr3:uid="{EAD9D8A0-6A0D-4ADD-BF82-1E032B69E60B}" uniqueName="40" name="Accr" queryTableFieldId="16"/>
    <tableColumn id="41" xr3:uid="{611D8E0A-778D-449C-AE27-5AB33C399B2B}" uniqueName="41" name="Convexity" queryTableFieldId="17"/>
    <tableColumn id="42" xr3:uid="{BCC79DD3-1860-42D4-9378-110BA1DD8A56}" uniqueName="42" name="Market value" queryTableFieldId="18" dataDxfId="169" dataCellStyle="Comma">
      <calculatedColumnFormula>SUM(_xlfn.IFNA(VLOOKUP(Outstanding_pos_BB_MSB[[#This Row],[Bonds_ShortName]],FNRP!AV:BA,6,0)*Outstanding_pos_BB_MSB[[#This Row],[Amt]]/10^4,0),_xlfn.IFNA((VLOOKUP(Outstanding_pos_BB_MSB[[#This Row],[Bonds_ShortName]],FNRP!IK:IP,6,0)*Outstanding_pos_BB_MSB[[#This Row],[Amt]]/10^4),0))</calculatedColumnFormula>
    </tableColumn>
    <tableColumn id="43" xr3:uid="{3D59C68D-CC14-4AB4-BFA0-4F6627D174AC}" uniqueName="43" name="ItD adj" queryTableFieldId="19" dataDxfId="168" dataCellStyle="Comma">
      <calculatedColumnFormula>(_xlfn.XLOOKUP(Outstanding_pos_BB_MSB[[#This Row],[Bonds_ShortName]],FNRP!AV:AV,FNRP!BA:BA,,0)
-_xlfn.XLOOKUP(Outstanding_pos_BB_MSB[[#This Row],[BondsDeals_Id]],BS!AL:AL,BS!AR:AR,_xlfn.XLOOKUP(Outstanding_pos_BB_MSB[[#This Row],[BondsDeals_Id]],BS!BA:BA,BS!BQ:BQ,,0),0)-10^5)
*Outstanding_pos_BB_MSB[[#This Row],[Amt]]/10^5</calculatedColumnFormula>
    </tableColumn>
    <tableColumn id="44" xr3:uid="{D87EA902-EC84-46BC-9FDC-DC6C0B28B60D}" uniqueName="44" name="Quantity FNRP" queryTableFieldId="20" dataDxfId="167" dataCellStyle="Comma">
      <calculatedColumnFormula>VLOOKUP(Outstanding_pos_BB_MSB[[#This Row],[Bonds_ShortName]],FNRP!AV:CD,35,0)</calculatedColumnFormula>
    </tableColumn>
    <tableColumn id="45" xr3:uid="{F161F054-815B-428C-AC5D-175C0D6065F8}" uniqueName="45" name="Check FNRP" queryTableFieldId="21" dataDxfId="166">
      <calculatedColumnFormula>SUMIFS(AG$1:AG$103,AD$1:AD$103,Outstanding_pos_BB_MSB[[#This Row],[Bonds_ShortName]])/10^5-Outstanding_pos_BB_MSB[[#This Row],[Quantity FNRP]]</calculatedColumnFormula>
    </tableColumn>
    <tableColumn id="46" xr3:uid="{07ECACA0-AAF0-4387-A9F1-E822857F8E6B}" uniqueName="46" name="Time hold/Deal" queryTableFieldId="22" dataDxfId="165" dataCellStyle="Comma">
      <calculatedColumnFormula>IF(RPT-Outstanding_pos_BB_MSB[[#This Row],[Value Date]]&lt;=0,0,RPT-Outstanding_pos_BB_MSB[[#This Row],[Value Date]])</calculatedColumnFormula>
    </tableColumn>
    <tableColumn id="47" xr3:uid="{FBD8116A-7942-433F-94CB-5FC4642FA529}" uniqueName="47" name="Tenor" queryTableFieldId="23" dataDxfId="164">
      <calculatedColumnFormula>INDEX(Ref!$I$1:$K$13,MATCH(Outstanding_pos_BB_MSB[[#This Row],[Tenor left]],Ref!$I$1:$I$13,1),3)</calculatedColumnFormula>
    </tableColumn>
    <tableColumn id="48" xr3:uid="{06900051-B3BD-446D-80EC-55B9C6F13EDB}" uniqueName="48" name="Time hold (Tenor)" queryTableFieldId="24" dataDxfId="163" dataCellStyle="Comma">
      <calculatedColumnFormula>_xlfn.XLOOKUP(Outstanding_pos_BB_MSB[[#This Row],[Time hold/Deal]],Ref!S:S,Ref!U:U,,-1)</calculatedColumnFormula>
    </tableColumn>
  </tableColumns>
  <tableStyleInfo name="TableStyleLight14"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4000000}" name="Outstanding_pos_TB_SBV" displayName="Outstanding_pos_TB_SBV" ref="BB1:BU13" tableType="queryTable" totalsRowShown="0">
  <sortState xmlns:xlrd2="http://schemas.microsoft.com/office/spreadsheetml/2017/richdata2" ref="BB2:BU9">
    <sortCondition ref="BB1:BB9"/>
  </sortState>
  <tableColumns count="20">
    <tableColumn id="21" xr3:uid="{AEACC31B-B487-49DB-9C73-0F1E0D502AD1}" uniqueName="21" name="BondsDeals_Id" queryTableFieldId="1"/>
    <tableColumn id="22" xr3:uid="{F4B52B80-D8A1-4C12-B198-DFC933F1C4C7}" uniqueName="22" name="Value Date" queryTableFieldId="2"/>
    <tableColumn id="23" xr3:uid="{17B7468E-4A7A-4669-AA5D-20D0BC08A022}" uniqueName="23" name="Bonds_ShortName" queryTableFieldId="3"/>
    <tableColumn id="24" xr3:uid="{11445482-78D3-4841-8EB1-8F552466EB99}" uniqueName="24" name="Folders_ShortName" queryTableFieldId="4"/>
    <tableColumn id="25" xr3:uid="{87678FDC-EE16-44C0-946C-6A96033E6484}" uniqueName="25" name="Issuer" queryTableFieldId="5"/>
    <tableColumn id="26" xr3:uid="{C20B5E62-8CA7-46A0-BC71-561DBF5E3B18}" uniqueName="26" name="Amt" queryTableFieldId="6"/>
    <tableColumn id="27" xr3:uid="{DAAA852E-FAAC-4C1D-BAE7-DE51A74A611E}" uniqueName="27" name="Total Rate" queryTableFieldId="7"/>
    <tableColumn id="28" xr3:uid="{C919AF2B-13D2-4842-8FD0-C8A6F274CD89}" uniqueName="28" name="Mature Date" queryTableFieldId="8"/>
    <tableColumn id="29" xr3:uid="{38BA0980-918C-4C99-8C86-49BD4B22EB28}" uniqueName="29" name="Yield" queryTableFieldId="9"/>
    <tableColumn id="30" xr3:uid="{4BF41CE1-9CE2-4638-A738-4C67A4F9AE3A}" uniqueName="30" name="Tenor left" queryTableFieldId="10"/>
    <tableColumn id="31" xr3:uid="{8C6D5CFB-EA9E-45FD-B99C-1E875E293745}" uniqueName="31" name="Std Tenor" queryTableFieldId="11"/>
    <tableColumn id="32" xr3:uid="{1FC4D586-7C6F-4F97-943D-4C3E50B9A6F8}" uniqueName="32" name="Market Yield" queryTableFieldId="12"/>
    <tableColumn id="33" xr3:uid="{ED279715-36CD-4EE6-9351-7AA56A7AD8CE}" uniqueName="33" name="UnrealizedPnL" queryTableFieldId="13"/>
    <tableColumn id="34" xr3:uid="{2950C195-BEAA-4F80-AE85-89CE5A6CA064}" uniqueName="34" name="MDuration" queryTableFieldId="14"/>
    <tableColumn id="35" xr3:uid="{76EC2882-ED67-45DA-A45B-CDD5A778D7AB}" uniqueName="35" name="PV01" queryTableFieldId="15"/>
    <tableColumn id="36" xr3:uid="{1BE83707-857F-4BAB-A45F-661BD5E2DFD3}" uniqueName="36" name="Accr" queryTableFieldId="16"/>
    <tableColumn id="37" xr3:uid="{CBAF2CEB-D63F-43A3-AFB5-E3E934A241ED}" uniqueName="37" name="Convexity" queryTableFieldId="17"/>
    <tableColumn id="38" xr3:uid="{1A7BF411-2A76-400A-AD3E-41B46CBFD838}" uniqueName="38" name="ItD adj_công nợ" queryTableFieldId="18" dataDxfId="162" dataCellStyle="Comma">
      <calculatedColumnFormula>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calculatedColumnFormula>
    </tableColumn>
    <tableColumn id="39" xr3:uid="{A358AED3-7DBB-4D68-803D-885DCC2B2CA1}" uniqueName="39" name="Days" queryTableFieldId="19" dataDxfId="161" dataCellStyle="Comma">
      <calculatedColumnFormula>RPT-VLOOKUP(Outstanding_pos_TB_SBV[[#This Row],[Bonds_ShortName]],RP_SEC!CT:CU,2,0)</calculatedColumnFormula>
    </tableColumn>
    <tableColumn id="40" xr3:uid="{513E060D-5721-4126-8703-D3C4E84C2F8A}" uniqueName="40" name="Check FNRP" queryTableFieldId="20" dataDxfId="160">
      <calculatedColumnFormula>SUMIFS(BG:BG,BD:BD,Outstanding_pos_TB_SBV[[#This Row],[Bonds_ShortName]])/10^5-VLOOKUP(Outstanding_pos_TB_SBV[[#This Row],[Bonds_ShortName]],FNRP!$CN:$DU,34,0)</calculatedColumnFormula>
    </tableColumn>
  </tableColumns>
  <tableStyleInfo name="TableStyleLight1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AD85AB-80BD-4410-98E8-1FA2FE46D059}" name="Outstanding_pos_BB_SBV" displayName="Outstanding_pos_BB_SBV" ref="BX1:CQ182" tableType="queryTable" totalsRowShown="0" headerRowDxfId="409" headerRowCellStyle="Comma">
  <sortState xmlns:xlrd2="http://schemas.microsoft.com/office/spreadsheetml/2017/richdata2" ref="BX2:CQ182">
    <sortCondition ref="BX1:BX149"/>
  </sortState>
  <tableColumns count="20">
    <tableColumn id="1" xr3:uid="{8291A48A-AD2D-4BE7-98D5-EC34B7BE4C69}" uniqueName="1" name="BondsDeals_Id" queryTableFieldId="1"/>
    <tableColumn id="2" xr3:uid="{84B52A87-60F1-4CF9-A043-1097CBEBA2B4}" uniqueName="2" name="Value Date" queryTableFieldId="2" dataDxfId="159"/>
    <tableColumn id="3" xr3:uid="{726FFF5F-8FC4-4232-A2F7-125C932C3D1A}" uniqueName="3" name="Bonds_ShortName" queryTableFieldId="3" dataDxfId="408"/>
    <tableColumn id="4" xr3:uid="{6C1E0976-DC5B-43A1-92AB-E09332E37442}" uniqueName="4" name="Folders_ShortName" queryTableFieldId="4" dataDxfId="407"/>
    <tableColumn id="5" xr3:uid="{AE327EB6-9547-49AE-A159-DA484FEBC942}" uniqueName="5" name="Issuer" queryTableFieldId="5" dataDxfId="406"/>
    <tableColumn id="6" xr3:uid="{31DDE596-2519-437E-88A6-734B27FFB0AB}" uniqueName="6" name="Amt" queryTableFieldId="6" dataDxfId="158" dataCellStyle="Comma [0]"/>
    <tableColumn id="7" xr3:uid="{19E6D5FC-58C9-4352-B9F0-FC7BAF8A4BE6}" uniqueName="7" name="Total Rate" queryTableFieldId="7"/>
    <tableColumn id="8" xr3:uid="{290DB4F9-3370-4250-8C8B-061E34096E8D}" uniqueName="8" name="Mature Date" queryTableFieldId="8" dataDxfId="157"/>
    <tableColumn id="9" xr3:uid="{75A51073-6F42-4D2C-8CC9-3449955E821B}" uniqueName="9" name="Yield" queryTableFieldId="9"/>
    <tableColumn id="10" xr3:uid="{52D98EB8-D3BF-401B-93D0-DD48905FDE5C}" uniqueName="10" name="Tenor left" queryTableFieldId="10"/>
    <tableColumn id="11" xr3:uid="{D23F648A-8821-4882-89E3-09470FCB7C49}" uniqueName="11" name="Std Tenor" queryTableFieldId="11" dataDxfId="405"/>
    <tableColumn id="12" xr3:uid="{E4D2BED0-E207-4E21-8E86-C5607CC5F2A2}" uniqueName="12" name="Market Yield" queryTableFieldId="12"/>
    <tableColumn id="13" xr3:uid="{74B8A107-08A7-4777-B626-20A2AF305E4D}" uniqueName="13" name="UnrealizedPnL" queryTableFieldId="13" dataDxfId="156" dataCellStyle="Comma [0]"/>
    <tableColumn id="14" xr3:uid="{65F8C4FE-4707-49AD-B36C-7BEDC316820A}" uniqueName="14" name="MDuration" queryTableFieldId="14"/>
    <tableColumn id="15" xr3:uid="{BE816DEA-A8BB-4190-A9CC-43564965D6D6}" uniqueName="15" name="PV01" queryTableFieldId="15" dataDxfId="155" dataCellStyle="Comma [0]"/>
    <tableColumn id="16" xr3:uid="{478AC985-BEA1-4175-A7B7-F9C9E68A6FDF}" uniqueName="16" name="Accr" queryTableFieldId="16" dataDxfId="154" dataCellStyle="Comma [0]"/>
    <tableColumn id="17" xr3:uid="{7C87ABBE-7080-4220-B27E-8C9DF9AD3A6F}" uniqueName="17" name="Convexity" queryTableFieldId="17"/>
    <tableColumn id="18" xr3:uid="{704EDE47-0381-4BE9-9775-170E6E11E4D9}" uniqueName="18" name="ItD adj_Công nợ" queryTableFieldId="18" dataDxfId="153" dataCellStyle="Comma">
      <calculatedColumnFormula>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calculatedColumnFormula>
    </tableColumn>
    <tableColumn id="19" xr3:uid="{F50C3051-C186-4614-9A43-AF1058A95600}" uniqueName="19" name="Days" queryTableFieldId="19" dataDxfId="152" dataCellStyle="Comma">
      <calculatedColumnFormula>RPT-VLOOKUP(Outstanding_pos_BB_SBV[[#This Row],[Bonds_ShortName]],CT:CU,2,0)</calculatedColumnFormula>
    </tableColumn>
    <tableColumn id="20" xr3:uid="{00723CFA-36F7-4427-B8ED-038474F4D0BD}" uniqueName="20" name="Check FNRP" queryTableFieldId="20" dataDxfId="151">
      <calculatedColumnFormula>SUMIFS(CC:CC,BZ:BZ,Outstanding_pos_BB_SBV[[#This Row],[Bonds_ShortName]])/10^5-VLOOKUP(Outstanding_pos_BB_SBV[[#This Row],[Bonds_ShortName]],FNRP!EE:FL,34,0)</calculatedColumnFormula>
    </tableColumn>
  </tableColumns>
  <tableStyleInfo name="TableStyleLight1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D24C090-BF95-4C1D-A52C-83CFB1D1344D}" name="Bond_Last_Tradingdate" displayName="Bond_Last_Tradingdate" ref="CT1:CU164" tableType="queryTable" totalsRowShown="0">
  <autoFilter ref="CT1:CU164" xr:uid="{0D24C090-BF95-4C1D-A52C-83CFB1D1344D}"/>
  <tableColumns count="2">
    <tableColumn id="4" xr3:uid="{DF04DDE9-F895-489E-AC8C-707349FEB145}" uniqueName="4" name="BOND_CODE" queryTableFieldId="7" dataDxfId="404"/>
    <tableColumn id="5" xr3:uid="{B6A9020D-8C08-4895-B2B9-54278D70B27C}" uniqueName="5" name="Last TradingDate" queryTableFieldId="8" dataDxfId="150"/>
  </tableColumns>
  <tableStyleInfo name="TableStyleLight1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A29A66F6-6152-4F5B-BB63-2668996FBB24}" name="TB_HTM" displayName="TB_HTM" ref="CX1:DV27" totalsRowShown="0">
  <tableColumns count="25">
    <tableColumn id="1" xr3:uid="{BE95E7CB-701F-43B1-BC6F-B0866D9FE83E}" name="Deal ID" dataDxfId="403"/>
    <tableColumn id="2" xr3:uid="{2A215B8D-1579-4353-9B08-18690E3F8948}" name="Bond code" dataDxfId="402"/>
    <tableColumn id="3" xr3:uid="{9CDCD496-F1A3-4C55-8445-3AEAC77D8C74}" name="Folder" dataDxfId="401"/>
    <tableColumn id="4" xr3:uid="{50AD9F52-B758-4ECE-8195-5F75A0BEBEF0}" name="Amt" dataDxfId="400" dataCellStyle="Comma"/>
    <tableColumn id="5" xr3:uid="{4BA4E3FF-9CE1-44FB-9F10-1719B6B2B896}" name="Tenor left" dataDxfId="399"/>
    <tableColumn id="6" xr3:uid="{BB343751-C8B5-4E33-99C1-628C4248DB10}" name="Yield" dataDxfId="398" dataCellStyle="Comma"/>
    <tableColumn id="7" xr3:uid="{BBEAA0F1-F05A-49D8-BE11-D9C1F2DFB871}" name="ItD" dataDxfId="397" dataCellStyle="Comma">
      <calculatedColumnFormula>_xlfn.XLOOKUP(CX2,Outstanding_pos_BB_MSB[BondsDeals_Id],Outstanding_pos_BB_MSB[ItD adj])</calculatedColumnFormula>
    </tableColumn>
    <tableColumn id="8" xr3:uid="{A899C709-4FF5-4C21-BDF3-8D953EFA2604}" name="Yield RP SEC2" dataDxfId="396">
      <calculatedColumnFormula>_xlfn.XLOOKUP(CX2,Outstanding_pos_BB_MSB[BondsDeals_Id],Outstanding_pos_BB_MSB[Yield])</calculatedColumnFormula>
    </tableColumn>
    <tableColumn id="11" xr3:uid="{0CD37AF2-5051-4707-B4E8-040CE614FEFA}" name="Coupon Rate" dataDxfId="395">
      <calculatedColumnFormula>_xlfn.XLOOKUP(TB_HTM[[#This Row],[Deal ID]],Outstanding_pos_BB_MSB[BondsDeals_Id],Outstanding_pos_BB_MSB[Total Rate])</calculatedColumnFormula>
    </tableColumn>
    <tableColumn id="9" xr3:uid="{F253B32F-32A2-41A2-A399-188B1071E482}" name="Đáo hạn" dataDxfId="394">
      <calculatedColumnFormula>_xlfn.XLOOKUP(CX2,Outstanding_pos_BB_MSB[BondsDeals_Id],Outstanding_pos_BB_MSB[Mature Date])</calculatedColumnFormula>
    </tableColumn>
    <tableColumn id="12" xr3:uid="{62D68435-5976-4957-8548-39DF49160B17}" name="% amt FNRP" dataDxfId="393" dataCellStyle="Percent">
      <calculatedColumnFormula>(TB_HTM[[#This Row],[Amt]]/10^9)/(_xlfn.XLOOKUP(TB_HTM[[#This Row],[Bond code]],Bankingbook_MSB[Security Name],Bankingbook_MSB[QUANTITY])/10^4)</calculatedColumnFormula>
    </tableColumn>
    <tableColumn id="10" xr3:uid="{EB032DE2-E44A-4795-9F04-E176694B1173}" name="Market Value FNRP" dataDxfId="392" dataCellStyle="Comma">
      <calculatedColumnFormula>_xlfn.XLOOKUP(TB_HTM[[#This Row],[Bond code]],Bankingbook_MSB[Security Name],Bankingbook_MSB[MARKET_VALUE])*TB_HTM[[#This Row],[% amt FNRP]]</calculatedColumnFormula>
    </tableColumn>
    <tableColumn id="13" xr3:uid="{36AB408C-38F7-482B-A111-D2B1A52363AE}" name="PV01" dataDxfId="391" dataCellStyle="Comma">
      <calculatedColumnFormula>_xlfn.XLOOKUP(TB_HTM[[#This Row],[Bond code]],Bankingbook_MSB[Security Name],Bankingbook_MSB[BPV_edited])
/10^9*TB_HTM[[#This Row],[% amt FNRP]]</calculatedColumnFormula>
    </tableColumn>
    <tableColumn id="14" xr3:uid="{F7499A05-C15E-4E46-96C1-5BE81F4DD43A}" name="Quant*Yield" dataDxfId="390" dataCellStyle="Comma">
      <calculatedColumnFormula>TB_HTM[[#This Row],[Amt]]*TB_HTM[[#This Row],[Yield]]/10^5</calculatedColumnFormula>
    </tableColumn>
    <tableColumn id="15" xr3:uid="{510F10BA-EE46-48A6-B0C0-135913EDE000}" name="Type" dataDxfId="389" dataCellStyle="Comma">
      <calculatedColumnFormula>_xlfn.XLOOKUP(TB_HTM[[#This Row],[Bond code]],Bankingbook_MSB[Security Name],Bankingbook_MSB[Type])</calculatedColumnFormula>
    </tableColumn>
    <tableColumn id="16" xr3:uid="{F9B205F0-A3DE-440A-A10C-2CFE8CE9FAAB}" name="Issuer" dataDxfId="388" dataCellStyle="Comma">
      <calculatedColumnFormula>_xlfn.XLOOKUP(TB_HTM[[#This Row],[Bond code]],Bankingbook_MSB[Security Name],Bankingbook_MSB[Issuer])</calculatedColumnFormula>
    </tableColumn>
    <tableColumn id="17" xr3:uid="{E68A256A-A940-4DF9-B4AA-5E9DE17F322D}" name="Tenor" dataDxfId="387" dataCellStyle="Comma">
      <calculatedColumnFormula>_xlfn.XLOOKUP(TB_HTM[[#This Row],[Bond code]],Bankingbook_MSB[Security Name],Bankingbook_MSB[Tenor])</calculatedColumnFormula>
    </tableColumn>
    <tableColumn id="18" xr3:uid="{F63C28AF-EFE3-4A1A-81C5-A2C573FACEF1}" name="Market Value" dataDxfId="386" dataCellStyle="Comma">
      <calculatedColumnFormula>SUMIFS(BS[MARKET VALUE],BS[BOND_CODE],TB_HTM[[#This Row],[Bond code]],BS[BOOK_FLAG],"B",BS[BAL],BS!$C$2)/10^9*TB_HTM[[#This Row],[% amt FNRP]]</calculatedColumnFormula>
    </tableColumn>
    <tableColumn id="19" xr3:uid="{463F8A93-29DB-4FC7-AAF8-85481BAB242F}" name="PTCK" dataDxfId="385" dataCellStyle="Comma">
      <calculatedColumnFormula array="1">_xlfn.IFNA(_xlfn.XLOOKUP(TB_HTM[[#This Row],[Deal ID]],RPBOD3[BondsDeals_Id],RPBOD3[PTCK_Remain]*RPBOD3[Quantity])/10^9,"N/A")</calculatedColumnFormula>
    </tableColumn>
    <tableColumn id="20" xr3:uid="{4761C0D3-D10C-4AA0-8284-E012D18DA6F8}" name="Duration" dataDxfId="384" dataCellStyle="Comma">
      <calculatedColumnFormula>_xlfn.XLOOKUP(TB_HTM[[#This Row],[Bond code]],Bankingbook_MSB[Security Name],Bankingbook_MSB[Duration_edited])</calculatedColumnFormula>
    </tableColumn>
    <tableColumn id="21" xr3:uid="{90804D4C-2316-4664-BD35-BD1C396A3A8E}" name="Modified Duration" dataDxfId="383" dataCellStyle="Comma">
      <calculatedColumnFormula>_xlfn.XLOOKUP(TB_HTM[[#This Row],[Bond code]],Bankingbook_MSB[Security Name],Bankingbook_MSB[Modified Duration])</calculatedColumnFormula>
    </tableColumn>
    <tableColumn id="22" xr3:uid="{722DD1F6-2F32-4319-9876-6024ADE3C66A}" name="Dur*MV" dataDxfId="382" dataCellStyle="Comma">
      <calculatedColumnFormula>TB_HTM[[#This Row],[Duration]]*TB_HTM[[#This Row],[Market Value FNRP]]</calculatedColumnFormula>
    </tableColumn>
    <tableColumn id="23" xr3:uid="{7522A2A2-10A2-4D14-A084-46DB65B624F4}" name="MDur*MV" dataDxfId="381" dataCellStyle="Comma">
      <calculatedColumnFormula>TB_HTM[[#This Row],[Modified Duration]]*TB_HTM[[#This Row],[Market Value FNRP]]</calculatedColumnFormula>
    </tableColumn>
    <tableColumn id="24" xr3:uid="{4D625E12-01F2-41B9-A906-7F669252A161}" name="Time hold/Deal" dataDxfId="380" dataCellStyle="Comma">
      <calculatedColumnFormula>_xlfn.XLOOKUP(TB_HTM[[#This Row],[Deal ID]],Outstanding_pos_BB_MSB[BondsDeals_Id],Outstanding_pos_BB_MSB[Time hold/Deal])</calculatedColumnFormula>
    </tableColumn>
    <tableColumn id="25" xr3:uid="{3F634158-0A44-415B-BDE6-DCB9A88EEC5D}" name="Time hold (tenor)" dataDxfId="379" dataCellStyle="Comma">
      <calculatedColumnFormula>_xlfn.XLOOKUP(TB_HTM[[#This Row],[Deal ID]],Outstanding_pos_BB_MSB[BondsDeals_Id],Outstanding_pos_BB_MSB[Time hold (Tenor)])</calculatedColumnFormula>
    </tableColumn>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2F5E17-0092-4470-BBB6-E4D7C45BE5F3}" name="BB_tufund" displayName="BB_tufund" ref="DY1:EK77" totalsRowShown="0">
  <tableColumns count="13">
    <tableColumn id="1" xr3:uid="{9F696A60-1048-4346-955B-03D1BA915CE0}" name="Deal ID" dataDxfId="378"/>
    <tableColumn id="2" xr3:uid="{A620BB39-E3DF-4418-A8F8-F0656B80EA19}" name="Bond code" dataDxfId="377"/>
    <tableColumn id="3" xr3:uid="{28CB09C6-1FB5-4D48-865C-D512A421FA41}" name="Folder" dataDxfId="376"/>
    <tableColumn id="4" xr3:uid="{C0090C65-6B5E-48C8-95A8-67F482E5BB74}" name="Amt" dataDxfId="375" dataCellStyle="Comma"/>
    <tableColumn id="5" xr3:uid="{764B5E97-CA76-4D10-B203-B4001C297801}" name="Tenor left" dataDxfId="374"/>
    <tableColumn id="6" xr3:uid="{26FE4C0E-6C28-4CF5-8A93-1EAA753D733A}" name="Yield" dataDxfId="373"/>
    <tableColumn id="7" xr3:uid="{0EBF25EF-DAA6-4357-80F0-5E8A6431D3A2}" name="ItD" dataDxfId="372" dataCellStyle="Comma">
      <calculatedColumnFormula>_xlfn.XLOOKUP(DY2,Outstanding_pos_BB_MSB[BondsDeals_Id],Outstanding_pos_BB_MSB[ItD adj])</calculatedColumnFormula>
    </tableColumn>
    <tableColumn id="8" xr3:uid="{E67F1201-D404-444D-9088-7421C0A69F2F}" name="Yield RP SEC" dataDxfId="371">
      <calculatedColumnFormula>_xlfn.XLOOKUP(DY2,Outstanding_pos_BB_MSB[BondsDeals_Id],Outstanding_pos_BB_MSB[Yield])</calculatedColumnFormula>
    </tableColumn>
    <tableColumn id="13" xr3:uid="{BB71B888-61AA-4F53-94FD-FAD251B208D5}" name="Coupon Rate" dataDxfId="370" dataCellStyle="Comma">
      <calculatedColumnFormula>_xlfn.XLOOKUP(BB_tufund[[#This Row],[Deal ID]],Outstanding_pos_BB_MSB[BondsDeals_Id],Outstanding_pos_BB_MSB[Total Rate])</calculatedColumnFormula>
    </tableColumn>
    <tableColumn id="9" xr3:uid="{6EC3B3D4-5336-4D17-AD43-3FBADF33926B}" name="Đáo hạn" dataDxfId="369">
      <calculatedColumnFormula>_xlfn.XLOOKUP(DY2,Outstanding_pos_BB_MSB[BondsDeals_Id],Outstanding_pos_BB_MSB[Mature Date])</calculatedColumnFormula>
    </tableColumn>
    <tableColumn id="11" xr3:uid="{5284D29A-3B8C-458F-AB5B-19EEE0EB31B9}" name="% amt FNRP" dataDxfId="368">
      <calculatedColumnFormula>(BB_tufund[[#This Row],[Amt]]/10^9)/(_xlfn.XLOOKUP(BB_tufund[[#This Row],[Bond code]],Bankingbook_MSB[Security Name],Bankingbook_MSB[QUANTITY])/10^4)</calculatedColumnFormula>
    </tableColumn>
    <tableColumn id="10" xr3:uid="{0D5EC171-7D6D-4C9D-B36E-CD0AFB0A00E4}" name="Market Value FNRP" dataDxfId="367" dataCellStyle="Comma">
      <calculatedColumnFormula>_xlfn.XLOOKUP(BB_tufund[[#This Row],[Bond code]],Bankingbook_MSB[Security Name],Bankingbook_MSB[MARKET_VALUE])*BB_tufund[[#This Row],[% amt FNRP]]</calculatedColumnFormula>
    </tableColumn>
    <tableColumn id="12" xr3:uid="{49D4EEC3-CA19-4204-BFEA-55A237F3BD06}" name="PV01" dataDxfId="366" dataCellStyle="Comma">
      <calculatedColumnFormula>_xlfn.XLOOKUP(BB_tufund[[#This Row],[Bond code]],Bankingbook_MSB[Security Name],Bankingbook_MSB[BPV_edited])
/10^9*BB_tufund[[#This Row],[% amt FNRP]]</calculatedColumnFormula>
    </tableColumn>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C000000}" name="Yield" displayName="Yield" ref="M1:O14" tableType="queryTable" totalsRowShown="0">
  <autoFilter ref="M1:O14" xr:uid="{00000000-000C-0000-FFFF-FFFF1C000000}"/>
  <tableColumns count="3">
    <tableColumn id="7" xr3:uid="{9F8B16EF-A5B0-4073-8A7B-499F484947D0}" uniqueName="7" name="RptDate" queryTableFieldId="1"/>
    <tableColumn id="8" xr3:uid="{FE112AD3-2742-4763-A9AA-69A310EEEA89}" uniqueName="8" name="Tenor" queryTableFieldId="2"/>
    <tableColumn id="9" xr3:uid="{97BBE710-FCD3-410E-A114-3A70E4D798DC}" uniqueName="9" name="Average" queryTableFieldId="3"/>
  </tableColumns>
  <tableStyleInfo name="TableStyleLight14"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D000000}" name="Yield_yesterday" displayName="Yield_yesterday" ref="M19:O32" tableType="queryTable" totalsRowShown="0">
  <autoFilter ref="M19:O32" xr:uid="{00000000-000C-0000-FFFF-FFFF1D000000}"/>
  <tableColumns count="3">
    <tableColumn id="7" xr3:uid="{EC3D27EE-2C2A-4263-A094-8C97EBBCDA37}" uniqueName="7" name="RptDate" queryTableFieldId="1"/>
    <tableColumn id="8" xr3:uid="{4924F4FB-F192-446D-A339-B47F4525923E}" uniqueName="8" name="Tenor" queryTableFieldId="2"/>
    <tableColumn id="9" xr3:uid="{74E0FE8F-C0A9-4D3F-A763-0B40896C4867}" uniqueName="9" name="Average" queryTableFieldId="3"/>
  </tableColumns>
  <tableStyleInfo name="TableStyleLight14"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E000000}" name="Yield_lastmonth" displayName="Yield_lastmonth" ref="M37:O50" tableType="queryTable" totalsRowShown="0">
  <autoFilter ref="M37:O50" xr:uid="{00000000-000C-0000-FFFF-FFFF1E000000}"/>
  <tableColumns count="3">
    <tableColumn id="7" xr3:uid="{5EA8860E-44E9-41E0-BCB5-643E02D79AE3}" uniqueName="7" name="RptDate" queryTableFieldId="1"/>
    <tableColumn id="8" xr3:uid="{396049EB-B4C6-410F-A8BE-F05EE1BC5386}" uniqueName="8" name="Tenor" queryTableFieldId="2"/>
    <tableColumn id="9" xr3:uid="{E2513C01-87E7-444C-84D0-87284E1F7189}" uniqueName="9" name="Average" queryTableFieldId="3"/>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F000000}" name="Yield_lastyear" displayName="Yield_lastyear" ref="M55:O68" tableType="queryTable" totalsRowShown="0">
  <autoFilter ref="M55:O68" xr:uid="{00000000-000C-0000-FFFF-FFFF1F000000}"/>
  <tableColumns count="3">
    <tableColumn id="7" xr3:uid="{DE77EFCA-8919-4A0C-9E7D-C09C61EE6D9C}" uniqueName="7" name="RptDate" queryTableFieldId="1" dataDxfId="237"/>
    <tableColumn id="8" xr3:uid="{615F834E-DE7C-431C-A185-182872430FDC}" uniqueName="8" name="Tenor" queryTableFieldId="2"/>
    <tableColumn id="9" xr3:uid="{4D807CB6-1EC4-4F48-9A53-9A73BB64F23B}" uniqueName="9" name="Average" queryTableFieldId="3"/>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0000000}" name="VaR_yesterday" displayName="VaR_yesterday" ref="R1:T3" tableType="queryTable" totalsRowShown="0">
  <autoFilter ref="R1:T3" xr:uid="{00000000-000C-0000-FFFF-FFFF20000000}"/>
  <tableColumns count="3">
    <tableColumn id="7" xr3:uid="{A90CFF21-B686-4174-9BCA-68BF6C1A7E7C}" uniqueName="7" name="RptDate" queryTableFieldId="1"/>
    <tableColumn id="8" xr3:uid="{AB8F82ED-E03A-4768-8EF0-C1505E8E91CC}" uniqueName="8" name="Indicators" queryTableFieldId="2"/>
    <tableColumn id="9" xr3:uid="{B5F09201-4D2D-4996-95E1-4A441364E420}" uniqueName="9" name="Actual" queryTableFieldId="3" dataDxfId="236" dataCellStyle="Comma [0]"/>
  </tableColumns>
  <tableStyleInfo name="TableStyleLight14"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2000000}" name="Data53_PnL" displayName="Data53_PnL" ref="W1:AD9" tableType="queryTable" totalsRowShown="0">
  <autoFilter ref="W1:AD9" xr:uid="{00000000-000C-0000-FFFF-FFFF22000000}"/>
  <tableColumns count="8">
    <tableColumn id="17" xr3:uid="{AC6D1C38-B7DB-4094-B378-E6A319D60721}" uniqueName="17" name="STT" queryTableFieldId="1"/>
    <tableColumn id="18" xr3:uid="{A10B13D9-6E74-4929-8A65-E0DF8308CE9B}" uniqueName="18" name="RptDate" queryTableFieldId="2" dataDxfId="235"/>
    <tableColumn id="19" xr3:uid="{58EEFDD8-44ED-478B-A31D-4447CDB21882}" uniqueName="19" name="Indicators" queryTableFieldId="3"/>
    <tableColumn id="20" xr3:uid="{71462FA3-CB32-478B-AFD9-C020C6B08E29}" uniqueName="20" name="Input_data" queryTableFieldId="4"/>
    <tableColumn id="21" xr3:uid="{33231B6D-2E93-463A-8B15-FE2BE7FB1770}" uniqueName="21" name="Class" queryTableFieldId="5"/>
    <tableColumn id="22" xr3:uid="{67D0EA17-6E36-4CE1-B388-CFFF2999A490}" uniqueName="22" name="Rpt_Grp" queryTableFieldId="6"/>
    <tableColumn id="23" xr3:uid="{0AAFA505-C866-4D95-B1B0-8A820000C433}" uniqueName="23" name="Actual" queryTableFieldId="7"/>
    <tableColumn id="24" xr3:uid="{32970327-91EA-456A-9C42-8201C362C4E8}" uniqueName="24" name="Unit" queryTableFieldId="8"/>
  </tableColumns>
  <tableStyleInfo name="TableStyleLight14"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23000000}" name="His53_BB_MSB" displayName="His53_BB_MSB" ref="AG1:AN9" tableType="queryTable" totalsRowShown="0">
  <autoFilter ref="AG1:AN9" xr:uid="{00000000-000C-0000-FFFF-FFFF23000000}"/>
  <tableColumns count="8">
    <tableColumn id="17" xr3:uid="{B3255A9F-B2DB-4184-BB67-82449CFF001A}" uniqueName="17" name="STT" queryTableFieldId="1"/>
    <tableColumn id="18" xr3:uid="{B032C1D4-F3D8-4859-960A-482C45D5EDF6}" uniqueName="18" name="RptDate" queryTableFieldId="2"/>
    <tableColumn id="19" xr3:uid="{1177F73C-2BCA-414D-AC3B-B04D533D28EA}" uniqueName="19" name="Indicators" queryTableFieldId="3"/>
    <tableColumn id="20" xr3:uid="{464A925F-E888-41C0-884F-2F2A9AB42845}" uniqueName="20" name="Input_data" queryTableFieldId="4"/>
    <tableColumn id="21" xr3:uid="{7B9D55AE-D3B5-40EE-AD00-62DE231136CE}" uniqueName="21" name="Class" queryTableFieldId="5"/>
    <tableColumn id="22" xr3:uid="{A8248590-EDA4-45E6-9F49-0B721438EB99}" uniqueName="22" name="Rpt_Grp" queryTableFieldId="6"/>
    <tableColumn id="23" xr3:uid="{840B7D4C-7A93-4D08-9D4F-7EB158025C1E}" uniqueName="23" name="Actual" queryTableFieldId="7"/>
    <tableColumn id="24" xr3:uid="{A3DF279B-F419-493B-BEAF-0D52E2D07C0D}" uniqueName="24" name="Unit" queryTableFieldId="8"/>
  </tableColumns>
  <tableStyleInfo name="TableStyleLight14"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His53_TB_SBV" displayName="His53_TB_SBV" ref="AQ1:AX7" tableType="queryTable" totalsRowShown="0">
  <autoFilter ref="AQ1:AX7" xr:uid="{00000000-000C-0000-FFFF-FFFF24000000}"/>
  <tableColumns count="8">
    <tableColumn id="17" xr3:uid="{FD53A250-23C3-4D86-B6D3-5A18A1E1AC48}" uniqueName="17" name="STT" queryTableFieldId="1"/>
    <tableColumn id="18" xr3:uid="{AD0FCF36-49C6-4731-80F0-25AB10999853}" uniqueName="18" name="RptDate" queryTableFieldId="2"/>
    <tableColumn id="19" xr3:uid="{1E86501D-2225-49A3-94E4-C8D800634406}" uniqueName="19" name="Indicators" queryTableFieldId="3"/>
    <tableColumn id="20" xr3:uid="{99EF6064-55C8-46EE-A9CA-A53593BEF326}" uniqueName="20" name="Input_data" queryTableFieldId="4"/>
    <tableColumn id="21" xr3:uid="{60F4EFE9-067E-4172-AE63-BAFC2BF2E9ED}" uniqueName="21" name="Class" queryTableFieldId="5"/>
    <tableColumn id="22" xr3:uid="{CD14F54F-3518-4123-BAC6-67BEA789E3A3}" uniqueName="22" name="Rpt_Grp" queryTableFieldId="6"/>
    <tableColumn id="23" xr3:uid="{7A63B3EC-E4CA-4FDF-9D63-FB907B61C158}" uniqueName="23" name="Actual" queryTableFieldId="7"/>
    <tableColumn id="24" xr3:uid="{E0B64215-7406-4B35-9689-D8455B048A3E}" uniqueName="24" name="Unit" queryTableFieldId="8"/>
  </tableColumns>
  <tableStyleInfo name="TableStyleLight14"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His53_BB_SBV" displayName="His53_BB_SBV" ref="BA1:BH7" tableType="queryTable" totalsRowShown="0">
  <autoFilter ref="BA1:BH7" xr:uid="{00000000-000C-0000-FFFF-FFFF25000000}"/>
  <tableColumns count="8">
    <tableColumn id="17" xr3:uid="{187B8AD2-CA5A-43C1-B1FD-DE09CE2C8A6B}" uniqueName="17" name="STT" queryTableFieldId="1"/>
    <tableColumn id="18" xr3:uid="{6C3BB489-01E0-4650-BC0B-C3041E717237}" uniqueName="18" name="RptDate" queryTableFieldId="2"/>
    <tableColumn id="19" xr3:uid="{352F2CF9-6A49-4C92-A90C-EA7455CA3016}" uniqueName="19" name="Indicators" queryTableFieldId="3"/>
    <tableColumn id="20" xr3:uid="{208B1524-CC7F-4ED0-BFF4-D25131062693}" uniqueName="20" name="Input_data" queryTableFieldId="4"/>
    <tableColumn id="21" xr3:uid="{EABDFE90-CCC0-461A-801A-FDA31EBCF8E3}" uniqueName="21" name="Class" queryTableFieldId="5"/>
    <tableColumn id="22" xr3:uid="{C5B1DD7A-0D80-438B-8161-C973A43958E3}" uniqueName="22" name="Rpt_Grp" queryTableFieldId="6"/>
    <tableColumn id="23" xr3:uid="{99ADF466-3CF8-47C1-A7D0-36C4C33A9069}" uniqueName="23" name="Actual" queryTableFieldId="7"/>
    <tableColumn id="24" xr3:uid="{35F50FDA-B5C5-4EB2-A6D0-1B32D05C1E98}" uniqueName="24" name="Unit" queryTableFieldId="8"/>
  </tableColumns>
  <tableStyleInfo name="TableStyleLight14"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Data53_PV01" displayName="Data53_PV01" ref="W14:AD62" tableType="queryTable" totalsRowShown="0">
  <autoFilter ref="W14:AD62" xr:uid="{00000000-000C-0000-FFFF-FFFF26000000}"/>
  <tableColumns count="8">
    <tableColumn id="17" xr3:uid="{3D74F8DC-A7E4-451A-9050-AF7990ECD1E6}" uniqueName="17" name="STT" queryTableFieldId="1"/>
    <tableColumn id="18" xr3:uid="{86107E16-1E38-4257-BD5F-D24A96335AD7}" uniqueName="18" name="RptDate" queryTableFieldId="2"/>
    <tableColumn id="19" xr3:uid="{900134F9-A412-4E2B-AA32-34E60A72219E}" uniqueName="19" name="Indicators" queryTableFieldId="3"/>
    <tableColumn id="20" xr3:uid="{62105EC5-592A-4C5D-B5FF-AF545F55D3BA}" uniqueName="20" name="Input_data" queryTableFieldId="4"/>
    <tableColumn id="21" xr3:uid="{74006383-5EA0-4036-BD46-BA054052437D}" uniqueName="21" name="Class" queryTableFieldId="5"/>
    <tableColumn id="22" xr3:uid="{FB7E6F7F-A34A-417D-B1AC-C227F5BB335B}" uniqueName="22" name="Tenor_Value" queryTableFieldId="6"/>
    <tableColumn id="23" xr3:uid="{A11EED64-3BB3-4852-8EB1-C77009B90E29}" uniqueName="23" name="Actual" queryTableFieldId="7"/>
    <tableColumn id="24" xr3:uid="{E05A5172-8339-4AA3-A6EE-1C5DDBA9404B}" uniqueName="24" name="Unit" queryTableFieldId="8"/>
  </tableColumns>
  <tableStyleInfo name="TableStyleLight14"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His_pos" displayName="His_pos" ref="C1:J5" tableType="queryTable" totalsRowShown="0">
  <tableColumns count="8">
    <tableColumn id="1" xr3:uid="{00000000-0010-0000-2700-000001000000}" uniqueName="1" name="STT" queryTableFieldId="1" dataDxfId="365"/>
    <tableColumn id="2" xr3:uid="{00000000-0010-0000-2700-000002000000}" uniqueName="2" name="RptDate" queryTableFieldId="2" dataDxfId="234"/>
    <tableColumn id="3" xr3:uid="{00000000-0010-0000-2700-000003000000}" uniqueName="3" name="Indicators" queryTableFieldId="3" dataDxfId="364"/>
    <tableColumn id="4" xr3:uid="{00000000-0010-0000-2700-000004000000}" uniqueName="4" name="Input_data" queryTableFieldId="4" dataDxfId="363"/>
    <tableColumn id="5" xr3:uid="{00000000-0010-0000-2700-000005000000}" uniqueName="5" name="Class" queryTableFieldId="5" dataDxfId="362"/>
    <tableColumn id="6" xr3:uid="{00000000-0010-0000-2700-000006000000}" uniqueName="6" name="Rpt_Grp" queryTableFieldId="6" dataDxfId="361"/>
    <tableColumn id="7" xr3:uid="{00000000-0010-0000-2700-000007000000}" uniqueName="7" name="Actual" queryTableFieldId="7" dataDxfId="233" dataCellStyle="Comma"/>
    <tableColumn id="8" xr3:uid="{00000000-0010-0000-2700-000008000000}" uniqueName="8" name="Unit" queryTableFieldId="8" dataDxfId="360"/>
  </tableColumns>
  <tableStyleInfo name="TableStyleLight14"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355DB6-2828-44B6-AB5D-C1BA2E6D4E71}" name="His_posBB" displayName="His_posBB" ref="C9:J13" tableType="queryTable" totalsRowShown="0">
  <autoFilter ref="C9:J13" xr:uid="{D7355DB6-2828-44B6-AB5D-C1BA2E6D4E71}"/>
  <tableColumns count="8">
    <tableColumn id="1" xr3:uid="{3C3F985B-BE91-4D1C-8B60-0836D381089F}" uniqueName="1" name="STT" queryTableFieldId="1" dataDxfId="359"/>
    <tableColumn id="2" xr3:uid="{1E3327E4-8051-4FB5-8021-2415A5B21B8F}" uniqueName="2" name="RptDate" queryTableFieldId="2" dataDxfId="232"/>
    <tableColumn id="3" xr3:uid="{F3C1B33F-938A-4F62-A3BA-B5530B8AA7B4}" uniqueName="3" name="Indicators" queryTableFieldId="3" dataDxfId="358"/>
    <tableColumn id="4" xr3:uid="{BE125600-E96A-40FB-BCFA-C50A5F1B56A3}" uniqueName="4" name="Input_data" queryTableFieldId="4" dataDxfId="357"/>
    <tableColumn id="5" xr3:uid="{3C218AB6-4A79-4CD1-8304-D9394B4B3F3F}" uniqueName="5" name="Class" queryTableFieldId="5" dataDxfId="356"/>
    <tableColumn id="6" xr3:uid="{EE8038BB-D829-4365-9677-C85246D1A3E2}" uniqueName="6" name="Rpt_Grp" queryTableFieldId="6" dataDxfId="355"/>
    <tableColumn id="7" xr3:uid="{24084713-2932-467E-9159-52808321A926}" uniqueName="7" name="Actual" queryTableFieldId="7" dataDxfId="231" dataCellStyle="Comma"/>
    <tableColumn id="8" xr3:uid="{F39351DF-6984-41A3-BBA7-7AC0D9D412FD}" uniqueName="8" name="Unit" queryTableFieldId="8" dataDxfId="354"/>
  </tableColumns>
  <tableStyleInfo name="TableStyleLight14"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1454AB3-BF47-41AA-9C34-83338030AE6C}" name="His_NPT" displayName="His_NPT" ref="BK1:BL32" tableType="queryTable" totalsRowShown="0">
  <sortState xmlns:xlrd2="http://schemas.microsoft.com/office/spreadsheetml/2017/richdata2" ref="BK2:BL32">
    <sortCondition ref="BK1:BK32"/>
  </sortState>
  <tableColumns count="2">
    <tableColumn id="1" xr3:uid="{26685794-03CF-41A7-84EA-06D7CAA3DC52}" uniqueName="1" name="RptDate" queryTableFieldId="5" dataDxfId="230"/>
    <tableColumn id="2" xr3:uid="{9C5261CC-A35D-4861-9677-ADFDEE0F4C05}" uniqueName="2" name="Actual" queryTableFieldId="6"/>
  </tableColumns>
  <tableStyleInfo name="TableStyleLight14"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C0F504E-BB5F-410C-BEE4-DD6507A7BEFE}" name="His_funding_cost" displayName="His_funding_cost" ref="BO1:BR69" tableType="queryTable" totalsRowShown="0">
  <tableColumns count="4">
    <tableColumn id="1" xr3:uid="{84E5069D-C8E5-42BC-9A43-8520B99E0B60}" uniqueName="1" name="RptDate" queryTableFieldId="1" dataDxfId="226" dataCellStyle="Comma"/>
    <tableColumn id="3" xr3:uid="{6F27E0BC-67F9-4F78-85A4-B435FE834863}" uniqueName="3" name="Input_data" queryTableFieldId="3" dataDxfId="225"/>
    <tableColumn id="5" xr3:uid="{3705335E-A129-4267-AF3E-BB14F6F5EEBB}" uniqueName="5" name="Global amount" queryTableFieldId="5" dataDxfId="224" dataCellStyle="Comma [0]"/>
    <tableColumn id="6" xr3:uid="{B0559B9A-A0EF-4ECB-A689-51D7B5F5C240}" uniqueName="6" name="Weighted rate" queryTableFieldId="6" dataDxfId="223" dataCellStyle="Comma [0]"/>
  </tableColumns>
  <tableStyleInfo name="TableStyleLight14"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078033D-01EA-4999-A035-5101E7FFDCCC}" name="His_yield_bq" displayName="His_yield_bq" ref="R6:T40" tableType="queryTable" totalsRowShown="0">
  <autoFilter ref="R6:T40" xr:uid="{7078033D-01EA-4999-A035-5101E7FFDCCC}"/>
  <tableColumns count="3">
    <tableColumn id="1" xr3:uid="{12CB2D8F-46C5-484C-B5D4-09857BA3909A}" uniqueName="1" name="RptDate" queryTableFieldId="1" dataDxfId="229"/>
    <tableColumn id="2" xr3:uid="{F6660ACC-14C6-4C98-89E3-714FF5E6426A}" uniqueName="2" name="ON BS" queryTableFieldId="2" dataDxfId="228" dataCellStyle="Comma [0]"/>
    <tableColumn id="3" xr3:uid="{1D140398-356E-49C7-99AD-9A3ECBE60FF1}" uniqueName="3" name="YTM_ON BS" queryTableFieldId="3" dataDxfId="227" dataCellStyle="Comma [0]"/>
  </tableColumns>
  <tableStyleInfo name="TableStyleLight14"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6000000}" name="VaR_series" displayName="VaR_series" ref="N1:P9" tableType="queryTable" totalsRowShown="0">
  <autoFilter ref="N1:P9" xr:uid="{00000000-000C-0000-FFFF-FFFF16000000}"/>
  <tableColumns count="3">
    <tableColumn id="7" xr3:uid="{C8AB034B-A986-495C-8EAD-37EE5EA373BA}" uniqueName="7" name="RptDate" queryTableFieldId="1" dataDxfId="240"/>
    <tableColumn id="8" xr3:uid="{5BCA4693-6F48-436F-A8D9-14FD6856B82A}" uniqueName="8" name="Indicators" queryTableFieldId="2"/>
    <tableColumn id="9" xr3:uid="{A557D7F7-4E92-4EDB-92CD-299FD989BEA1}" uniqueName="9" name="Actual" queryTableFieldId="3"/>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7000000}" name="VaR_table" displayName="VaR_table" ref="A1:C9" totalsRowShown="0">
  <autoFilter ref="A1:C9" xr:uid="{00000000-0009-0000-0100-00000D000000}"/>
  <tableColumns count="3">
    <tableColumn id="1" xr3:uid="{00000000-0010-0000-1700-000001000000}" name="Type" dataDxfId="353"/>
    <tableColumn id="2" xr3:uid="{00000000-0010-0000-1700-000002000000}" name="IR" dataDxfId="352" dataCellStyle="Comma"/>
    <tableColumn id="3" xr3:uid="{00000000-0010-0000-1700-000003000000}" name="Total" dataDxfId="351" dataCellStyle="Comma"/>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414089-3C8B-416A-846D-D3BAECC2A13B}" name="VaR_Bond_MHCC" displayName="VaR_Bond_MHCC" ref="F1:K193" tableType="queryTable" totalsRowShown="0">
  <autoFilter ref="F1:K193" xr:uid="{7D414089-3C8B-416A-846D-D3BAECC2A13B}"/>
  <tableColumns count="6">
    <tableColumn id="1" xr3:uid="{CDE0C85F-7789-4EA5-958B-B0D8CA583833}" uniqueName="1" name="Bộ" queryTableFieldId="1" dataDxfId="350"/>
    <tableColumn id="2" xr3:uid="{26A2A977-1AA9-4851-8D5E-AFF36185F213}" uniqueName="2" name="Book" queryTableFieldId="2" dataDxfId="349"/>
    <tableColumn id="3" xr3:uid="{73792FDF-B7EF-474C-BF7E-D5E42928570F}" uniqueName="3" name="Horizon" queryTableFieldId="3" dataDxfId="348"/>
    <tableColumn id="4" xr3:uid="{9B6711F3-FF67-4B58-B0A3-665618A243EB}" uniqueName="4" name="POSTED_DT" queryTableFieldId="4" dataDxfId="239"/>
    <tableColumn id="5" xr3:uid="{77AB60F2-7998-42BA-A755-B192801FA0EE}" uniqueName="5" name="KB" queryTableFieldId="5"/>
    <tableColumn id="6" xr3:uid="{5B8989A5-5FDA-4B7F-9467-67E3D4756BAF}" uniqueName="6" name="Value" queryTableFieldId="6" dataDxfId="238" dataCellStyle="Comma [0]"/>
  </tableColumns>
  <tableStyleInfo name="TableStyleLight10"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CDC9A8C-469C-40BE-8505-4D814E676742}" name="Repo_TD" displayName="Repo_TD" ref="B1:R79" tableType="queryTable" totalsRowShown="0">
  <tableColumns count="17">
    <tableColumn id="1" xr3:uid="{F5ABAC21-1DF2-4C00-BD70-3FF8A306FE19}" uniqueName="1" name="POSTED_DT" queryTableFieldId="1" dataDxfId="149"/>
    <tableColumn id="2" xr3:uid="{C475DB1A-B748-4DCF-8F7C-D3BC7A3CCE1D}" uniqueName="2" name="DEAL_ID" queryTableFieldId="2"/>
    <tableColumn id="3" xr3:uid="{25D05701-254B-4DC3-BBF7-1F340F556751}" uniqueName="3" name="BOND_CODE" queryTableFieldId="3" dataDxfId="347"/>
    <tableColumn id="4" xr3:uid="{4705236B-C975-4432-B5C6-9EBC2E69DC3F}" uniqueName="4" name="DEAL_TYPE" queryTableFieldId="4" dataDxfId="346"/>
    <tableColumn id="5" xr3:uid="{BC1FA470-E517-4361-81FD-F5B289935789}" uniqueName="5" name="FOLDERS_CODE" queryTableFieldId="5" dataDxfId="345"/>
    <tableColumn id="6" xr3:uid="{3B6A446C-08B4-4AEC-B8C0-5EBEE7F1B0F9}" uniqueName="6" name="CPTY_CODE" queryTableFieldId="6" dataDxfId="344"/>
    <tableColumn id="7" xr3:uid="{9B669C8E-3CA7-4355-89D2-3D1C7081D9BB}" uniqueName="7" name="CAPTURE_DATE" queryTableFieldId="7" dataDxfId="148"/>
    <tableColumn id="8" xr3:uid="{256A1F31-C43A-450C-BDEC-B27078D43E77}" uniqueName="8" name="TRADING_DATE" queryTableFieldId="8" dataDxfId="147"/>
    <tableColumn id="9" xr3:uid="{D3F74E8A-D9C0-4C7C-B9E1-3CFC091B6C10}" uniqueName="9" name="VALUE_DATE" queryTableFieldId="9" dataDxfId="146"/>
    <tableColumn id="10" xr3:uid="{DFABC40C-BD6E-4E7D-A16B-CD5369A07C9E}" uniqueName="10" name="MATURITY_DATE" queryTableFieldId="10" dataDxfId="145"/>
    <tableColumn id="11" xr3:uid="{1088D4CE-3FCB-4589-806C-B74872F11199}" uniqueName="11" name="FACE_AMOUNT" queryTableFieldId="11" dataDxfId="144" dataCellStyle="Comma"/>
    <tableColumn id="12" xr3:uid="{E08EE45B-CAA4-4DE3-9815-9FBA6DF48045}" uniqueName="12" name="GLOBAL_AMOUNT" queryTableFieldId="12" dataDxfId="143" dataCellStyle="Comma"/>
    <tableColumn id="13" xr3:uid="{F27A5FFF-A67C-494A-B192-6F90E18B5615}" uniqueName="13" name="FORWARD_AMOUNT" queryTableFieldId="13" dataDxfId="142" dataCellStyle="Comma"/>
    <tableColumn id="14" xr3:uid="{0ABD6860-C5FE-49B4-A1A6-8ABDDECCF1C1}" uniqueName="14" name="FIXED_RATE" queryTableFieldId="14"/>
    <tableColumn id="15" xr3:uid="{C1CDDDD4-626F-4419-B0DF-009BFB715A78}" uniqueName="15" name="Tenor" queryTableFieldId="18" dataDxfId="141" dataCellStyle="Comma">
      <calculatedColumnFormula>INDEX(Ref!U:U,MATCH(Repo_TD[[#This Row],[MATURITY_DATE]]-RPT,Ref!S:S,1))</calculatedColumnFormula>
    </tableColumn>
    <tableColumn id="17" xr3:uid="{36D3824D-BD23-4194-9275-4526A7587929}" uniqueName="17" name="Term" queryTableFieldId="20" dataDxfId="140" dataCellStyle="Comma">
      <calculatedColumnFormula>INDEX(Ref!U:U,MATCH(Repo_TD[[#This Row],[MATURITY_DATE]]-Repo_TD[[#This Row],[VALUE_DATE]],Ref!S:S,1))</calculatedColumnFormula>
    </tableColumn>
    <tableColumn id="16" xr3:uid="{E8FA272F-6155-4F8F-8C77-C0CD4ABF83FA}" uniqueName="16" name="Chi phí lãi 1 ngày" queryTableFieldId="22" dataDxfId="139" dataCellStyle="Comma [0]">
      <calculatedColumnFormula>Repo_TD[[#This Row],[FIXED_RATE]]%*Repo_TD[[#This Row],[GLOBAL_AMOUNT]]/365/10^9</calculatedColumnFormula>
    </tableColumn>
  </tableColumns>
  <tableStyleInfo name="TableStyleLight14"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8EEC2C9-6A2D-4F8A-99BF-24D71557E5FA}" name="OMO" displayName="OMO" ref="U1:AN67" tableType="queryTable" totalsRowShown="0">
  <sortState xmlns:xlrd2="http://schemas.microsoft.com/office/spreadsheetml/2017/richdata2" ref="U2:AN67">
    <sortCondition ref="AC1:AC67"/>
  </sortState>
  <tableColumns count="20">
    <tableColumn id="1" xr3:uid="{400F21A7-1423-45E6-ACC0-EF16525F0FEA}" uniqueName="1" name="POSTED_DT" queryTableFieldId="1" dataDxfId="138"/>
    <tableColumn id="2" xr3:uid="{1321CB09-D36E-41F1-A347-47C074619098}" uniqueName="2" name="DEAL_ID" queryTableFieldId="2"/>
    <tableColumn id="3" xr3:uid="{BEDED62E-F7A5-4BDB-9D26-B0CF66B090F6}" uniqueName="3" name="BOND_CODE" queryTableFieldId="3"/>
    <tableColumn id="4" xr3:uid="{F7BE6987-A902-432B-9199-1F0DC55E5BC5}" uniqueName="4" name="DEAL_TYPE" queryTableFieldId="4"/>
    <tableColumn id="5" xr3:uid="{ACF1626F-0199-48B7-A83B-94EF7875D4EC}" uniqueName="5" name="PRODUCT_CODE" queryTableFieldId="5"/>
    <tableColumn id="6" xr3:uid="{07719C4C-089D-452D-8C99-AB6A8DD1A6F4}" uniqueName="6" name="FOLDERS_CODE" queryTableFieldId="6"/>
    <tableColumn id="7" xr3:uid="{C11A4944-6CED-4B2E-9EFA-B6F985FB3A13}" uniqueName="7" name="CPTY_CODE" queryTableFieldId="7"/>
    <tableColumn id="8" xr3:uid="{7F6BCD35-9D41-4BED-87A8-650B0AE44420}" uniqueName="8" name="BOOK_FLAG" queryTableFieldId="8"/>
    <tableColumn id="9" xr3:uid="{D210681B-7AF6-4DEF-9D67-169D662D731A}" uniqueName="9" name="CAPTURE_DATE" queryTableFieldId="9" dataDxfId="137"/>
    <tableColumn id="10" xr3:uid="{274CFAEE-7129-4527-8AB7-BC75F92241F1}" uniqueName="10" name="TRADING_DATE" queryTableFieldId="10" dataDxfId="136"/>
    <tableColumn id="11" xr3:uid="{B957C27F-0659-4127-B937-16110E2A1319}" uniqueName="11" name="VALUE_DATE" queryTableFieldId="11" dataDxfId="135"/>
    <tableColumn id="12" xr3:uid="{DEE07465-2BB5-4930-9732-113A07C21633}" uniqueName="12" name="MATURITY_DATE" queryTableFieldId="12" dataDxfId="134"/>
    <tableColumn id="13" xr3:uid="{AE1C189D-E895-42CB-89E7-B3743B203845}" uniqueName="13" name="FACE_AMOUNT" queryTableFieldId="13" dataDxfId="133" dataCellStyle="Comma"/>
    <tableColumn id="14" xr3:uid="{BAD0C5D5-1318-4892-B589-1C0D19F87213}" uniqueName="14" name="GLOBAL_AMOUNT" queryTableFieldId="14" dataDxfId="132" dataCellStyle="Comma"/>
    <tableColumn id="15" xr3:uid="{EBFB353F-FF1F-43A5-85B3-7EC2D41CCB8A}" uniqueName="15" name="FORWARD_AMOUNT" queryTableFieldId="15" dataDxfId="131" dataCellStyle="Comma"/>
    <tableColumn id="16" xr3:uid="{6C2D2863-5DC6-4E30-985C-EF73DF9A63B5}" uniqueName="16" name="FIXED_RATE" queryTableFieldId="16"/>
    <tableColumn id="17" xr3:uid="{9C02646E-8D54-4626-8EFD-488B6E037CBA}" uniqueName="17" name="COMMENTS" queryTableFieldId="17"/>
    <tableColumn id="18" xr3:uid="{7F5CE8EA-A512-44A8-B4C4-AD2BE95B7038}" uniqueName="18" name="Tenor" queryTableFieldId="18" dataDxfId="130" dataCellStyle="Comma">
      <calculatedColumnFormula>INDEX(Ref!U:U,MATCH(OMO[[#This Row],[MATURITY_DATE]]-RPT,Ref!S:S,1))</calculatedColumnFormula>
    </tableColumn>
    <tableColumn id="19" xr3:uid="{AE7D9DCB-7948-4996-B220-6C2F2F0B7E73}" uniqueName="19" name="Term" queryTableFieldId="19" dataDxfId="129" dataCellStyle="Comma">
      <calculatedColumnFormula>INDEX(Ref!U:U,MATCH(OMO[[#This Row],[MATURITY_DATE]]-OMO[[#This Row],[VALUE_DATE]],Ref!S:S,1))</calculatedColumnFormula>
    </tableColumn>
    <tableColumn id="20" xr3:uid="{82FB44CB-989D-464F-A50E-B8D1E7E33B39}" uniqueName="20" name="Chi phí lãi 1 ngày" queryTableFieldId="21" dataDxfId="128" dataCellStyle="Comma">
      <calculatedColumnFormula>OMO[[#This Row],[FIXED_RATE]]%*OMO[[#This Row],[GLOBAL_AMOUNT]]/365/10^9</calculatedColumnFormula>
    </tableColumn>
  </tableColumns>
  <tableStyleInfo name="TableStyleLight14"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30AAECC-E2E3-48A2-974F-65D711474235}" name="MM" displayName="MM" ref="AQ1:BB16" tableType="queryTable" totalsRowShown="0">
  <autoFilter ref="AQ1:BB16" xr:uid="{530AAECC-E2E3-48A2-974F-65D711474235}"/>
  <sortState xmlns:xlrd2="http://schemas.microsoft.com/office/spreadsheetml/2017/richdata2" ref="AQ2:BB16">
    <sortCondition ref="AZ1:AZ16"/>
  </sortState>
  <tableColumns count="12">
    <tableColumn id="1" xr3:uid="{89C795E6-0D67-4471-90AF-65AAA45C77E6}" uniqueName="1" name="POSTED_DT" queryTableFieldId="1" dataDxfId="127"/>
    <tableColumn id="2" xr3:uid="{9CA9144B-077F-4594-8207-C9189C05A8CE}" uniqueName="2" name="BLOCK_NUMBER" queryTableFieldId="2"/>
    <tableColumn id="3" xr3:uid="{D3556BBA-01CA-4DA5-B275-193FA7831B2F}" uniqueName="3" name="DEAL_ID" queryTableFieldId="3"/>
    <tableColumn id="4" xr3:uid="{7AD12E34-3EF2-4A1B-989F-BA2CA7C973B9}" uniqueName="4" name="DEAL_TYPE" queryTableFieldId="4"/>
    <tableColumn id="5" xr3:uid="{696F6003-0677-45D0-8981-2D054E26013A}" uniqueName="5" name="FOLDERS_CODE" queryTableFieldId="5"/>
    <tableColumn id="6" xr3:uid="{CB50504E-7984-47E3-96B2-74DAF3BE0E40}" uniqueName="6" name="CPTY_CODE" queryTableFieldId="6"/>
    <tableColumn id="7" xr3:uid="{01B7DA3D-87AC-43B4-953E-4A074EFBBF97}" uniqueName="7" name="CURRENCY_CODE" queryTableFieldId="7"/>
    <tableColumn id="8" xr3:uid="{3DDD3A82-9BCB-4865-947A-A69992F59887}" uniqueName="8" name="AMOUNT" queryTableFieldId="8" dataDxfId="126" dataCellStyle="Comma"/>
    <tableColumn id="9" xr3:uid="{85D0DC88-0B10-4FFA-8431-A567AA30121C}" uniqueName="9" name="FIXED_RATE" queryTableFieldId="9"/>
    <tableColumn id="10" xr3:uid="{13441499-5A54-46A4-8D44-68A81D611917}" uniqueName="10" name="CAPTURE_DATE" queryTableFieldId="10" dataDxfId="125"/>
    <tableColumn id="11" xr3:uid="{EA813555-8CF3-4B9B-A9C5-F3C6884EBD1A}" uniqueName="11" name="VALUE_DATE" queryTableFieldId="11" dataDxfId="124"/>
    <tableColumn id="12" xr3:uid="{2771B94C-EFCD-486C-BD49-4AF531BD497D}" uniqueName="12" name="MATURITY_DATE" queryTableFieldId="12" dataDxfId="123"/>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file:///\\qlrr-qlrr02\mrm_data\Giam%20sat%20RRTT\2.%20Bao%20cao%20RRTT\2.1.%20Quan%20tri%20viec%20thuc%20hien%20bao%20cao\IPV%202018\Email"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hnx.vn/vi-vn/trai-phieu/ket-qua-gd-trong-ngay.html?site=in" TargetMode="External"/><Relationship Id="rId2" Type="http://schemas.openxmlformats.org/officeDocument/2006/relationships/hyperlink" Target="https://www.hnx.vn/trai-phieu/ket-qua-dau-thau.html" TargetMode="External"/><Relationship Id="rId1" Type="http://schemas.openxmlformats.org/officeDocument/2006/relationships/hyperlink" Target="https://www.hnx.vn/vi-vn/trai-phieu/ket-qua-gd-trong-ngay.html?site=in"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dwhs.msb.com.vn/cgi-bin/cognosisapi.dll?b_action=xts.run&amp;m=portal/cc.xts&amp;gohom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file:///C:\Users\lampd3\AppData\Roaming\Microsoft\AppData\Roaming\lampd3\AppData\Roaming\Microsoft\AppData\Roaming\Microsoft\AppData\Roaming\Microsoft\Excel\Input_data\RPBOD_B003.xlsx" TargetMode="External"/><Relationship Id="rId13" Type="http://schemas.openxmlformats.org/officeDocument/2006/relationships/drawing" Target="../drawings/drawing3.xml"/><Relationship Id="rId3" Type="http://schemas.openxmlformats.org/officeDocument/2006/relationships/hyperlink" Target="file:///C:\Users\lampd3\AppData\Roaming\Microsoft\AppData\Roaming\lampd3\AppData\Roaming\Microsoft\AppData\Roaming\Microsoft\AppData\Roaming\Microsoft\Excel\Input_data\RPBOD_B003.xlsx" TargetMode="External"/><Relationship Id="rId7"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2" Type="http://schemas.openxmlformats.org/officeDocument/2006/relationships/printerSettings" Target="../printerSettings/printerSettings8.bin"/><Relationship Id="rId2" Type="http://schemas.openxmlformats.org/officeDocument/2006/relationships/hyperlink" Target="file:///C:\Users\lampd3\AppData\Roaming\Microsoft\AppData\Roaming\lampd3\AppData\Roaming\Microsoft\AppData\Roaming\Microsoft\AppData\Roaming\Microsoft\Excel\Input_data\RP_SEC_POS_BK_SBV.xlsx" TargetMode="External"/><Relationship Id="rId1" Type="http://schemas.openxmlformats.org/officeDocument/2006/relationships/hyperlink" Target="file:///C:\Users\lampd3\AppData\Roaming\Microsoft\AppData\Roaming\lampd3\AppData\Roaming\Microsoft\AppData\Roaming\Microsoft\AppData\Roaming\Microsoft\Excel\Input_data\RP_SEC_POS_TB_SBV.xlsx" TargetMode="External"/><Relationship Id="rId6" Type="http://schemas.openxmlformats.org/officeDocument/2006/relationships/hyperlink" Target="file:///C:\Users\lampd3\AppData\Roaming\Microsoft\AppData\Roaming\lampd3\AppData\Roaming\Microsoft\AppData\Roaming\Microsoft\AppData\Roaming\Microsoft\Excel\Phan%20tich%20kich%20ban%20PnL.xlsb" TargetMode="External"/><Relationship Id="rId11" Type="http://schemas.openxmlformats.org/officeDocument/2006/relationships/hyperlink" Target="file:///C:\Users\lampd3\AppData\02.His%20Market%20info\HNX_Outright_Repo.xlsm" TargetMode="External"/><Relationship Id="rId5" Type="http://schemas.openxmlformats.org/officeDocument/2006/relationships/hyperlink" Target="file:///C:\Users\lampd3\AppData\Roaming\Microsoft\AppData\Roaming\lampd3\AppData\Roaming\Microsoft\AppData\Roaming\Microsoft\AppData\Roaming\Microsoft\Excel\00.Input_data\Market.xlsx" TargetMode="External"/><Relationship Id="rId10" Type="http://schemas.openxmlformats.org/officeDocument/2006/relationships/hyperlink" Target="file:///C:\Users\lampd3\AppData\02.His%20Market%20info\HNX_DS%20NY.xlsm" TargetMode="External"/><Relationship Id="rId4" Type="http://schemas.openxmlformats.org/officeDocument/2006/relationships/hyperlink" Target="file:///C:\Users\lampd3\AppData\Roaming\Microsoft\AppData\Roaming\lampd3\AppData\Roaming\Microsoft\AppData\Roaming\Microsoft\AppData\Roaming\Microsoft\Excel\Input_data\MSB_RP_DM.xlsx" TargetMode="External"/><Relationship Id="rId9" Type="http://schemas.openxmlformats.org/officeDocument/2006/relationships/hyperlink" Target="file:///C:\Users\lampd3\AppData\Roaming\Microsoft\AppData\HisRpt_Before042026\BOND\01.GovBond_Backup\List_Deals\MSB%20DealPs\List%20deal%20ps%202016_2024.xlsx" TargetMode="External"/><Relationship Id="rId14" Type="http://schemas.openxmlformats.org/officeDocument/2006/relationships/table" Target="../tables/table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vmlDrawing" Target="../drawings/vmlDrawing6.vml"/><Relationship Id="rId1" Type="http://schemas.openxmlformats.org/officeDocument/2006/relationships/printerSettings" Target="../printerSettings/printerSettings1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3.bin"/><Relationship Id="rId5" Type="http://schemas.openxmlformats.org/officeDocument/2006/relationships/table" Target="../tables/table12.xml"/><Relationship Id="rId4"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14.bin"/><Relationship Id="rId5" Type="http://schemas.openxmlformats.org/officeDocument/2006/relationships/table" Target="../tables/table20.xml"/><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table" Target="../tables/table21.xml"/><Relationship Id="rId1" Type="http://schemas.openxmlformats.org/officeDocument/2006/relationships/printerSettings" Target="../printerSettings/printerSettings15.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 Id="rId9" Type="http://schemas.openxmlformats.org/officeDocument/2006/relationships/table" Target="../tables/table28.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table" Target="../tables/table29.xml"/><Relationship Id="rId7" Type="http://schemas.openxmlformats.org/officeDocument/2006/relationships/table" Target="../tables/table33.xml"/><Relationship Id="rId2" Type="http://schemas.openxmlformats.org/officeDocument/2006/relationships/vmlDrawing" Target="../drawings/vmlDrawing7.vml"/><Relationship Id="rId1" Type="http://schemas.openxmlformats.org/officeDocument/2006/relationships/printerSettings" Target="../printerSettings/printerSettings16.bin"/><Relationship Id="rId6" Type="http://schemas.openxmlformats.org/officeDocument/2006/relationships/table" Target="../tables/table32.xml"/><Relationship Id="rId5" Type="http://schemas.openxmlformats.org/officeDocument/2006/relationships/table" Target="../tables/table31.xml"/><Relationship Id="rId10" Type="http://schemas.openxmlformats.org/officeDocument/2006/relationships/comments" Target="../comments7.xml"/><Relationship Id="rId4" Type="http://schemas.openxmlformats.org/officeDocument/2006/relationships/table" Target="../tables/table30.xml"/><Relationship Id="rId9" Type="http://schemas.openxmlformats.org/officeDocument/2006/relationships/table" Target="../tables/table3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42.xml"/><Relationship Id="rId13" Type="http://schemas.openxmlformats.org/officeDocument/2006/relationships/table" Target="../tables/table47.xml"/><Relationship Id="rId3" Type="http://schemas.openxmlformats.org/officeDocument/2006/relationships/table" Target="../tables/table37.xml"/><Relationship Id="rId7" Type="http://schemas.openxmlformats.org/officeDocument/2006/relationships/table" Target="../tables/table41.xml"/><Relationship Id="rId12" Type="http://schemas.openxmlformats.org/officeDocument/2006/relationships/table" Target="../tables/table46.xml"/><Relationship Id="rId2" Type="http://schemas.openxmlformats.org/officeDocument/2006/relationships/table" Target="../tables/table36.xml"/><Relationship Id="rId16" Type="http://schemas.openxmlformats.org/officeDocument/2006/relationships/table" Target="../tables/table50.xml"/><Relationship Id="rId1" Type="http://schemas.openxmlformats.org/officeDocument/2006/relationships/printerSettings" Target="../printerSettings/printerSettings17.bin"/><Relationship Id="rId6" Type="http://schemas.openxmlformats.org/officeDocument/2006/relationships/table" Target="../tables/table40.xml"/><Relationship Id="rId11" Type="http://schemas.openxmlformats.org/officeDocument/2006/relationships/table" Target="../tables/table45.xml"/><Relationship Id="rId5" Type="http://schemas.openxmlformats.org/officeDocument/2006/relationships/table" Target="../tables/table39.xml"/><Relationship Id="rId15" Type="http://schemas.openxmlformats.org/officeDocument/2006/relationships/table" Target="../tables/table49.xml"/><Relationship Id="rId10" Type="http://schemas.openxmlformats.org/officeDocument/2006/relationships/table" Target="../tables/table44.xml"/><Relationship Id="rId4" Type="http://schemas.openxmlformats.org/officeDocument/2006/relationships/table" Target="../tables/table38.xml"/><Relationship Id="rId9" Type="http://schemas.openxmlformats.org/officeDocument/2006/relationships/table" Target="../tables/table43.xml"/><Relationship Id="rId14" Type="http://schemas.openxmlformats.org/officeDocument/2006/relationships/table" Target="../tables/table48.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18.bin"/><Relationship Id="rId4" Type="http://schemas.openxmlformats.org/officeDocument/2006/relationships/table" Target="../tables/table53.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printerSettings" Target="../printerSettings/printerSettings19.bin"/><Relationship Id="rId4" Type="http://schemas.openxmlformats.org/officeDocument/2006/relationships/table" Target="../tables/table56.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7"/>
  <dimension ref="A1:J263"/>
  <sheetViews>
    <sheetView topLeftCell="B1" workbookViewId="0">
      <pane ySplit="3" topLeftCell="A258" activePane="bottomLeft" state="frozen"/>
      <selection activeCell="AE36" sqref="AE36"/>
      <selection pane="bottomLeft" activeCell="B263" sqref="B263"/>
    </sheetView>
  </sheetViews>
  <sheetFormatPr defaultColWidth="9.09765625" defaultRowHeight="22.85" customHeight="1" x14ac:dyDescent="0.3"/>
  <cols>
    <col min="1" max="1" width="13.69921875" style="145" customWidth="1"/>
    <col min="2" max="2" width="11.3984375" style="130" customWidth="1"/>
    <col min="3" max="3" width="10.59765625" style="130" hidden="1" customWidth="1"/>
    <col min="4" max="4" width="15.296875" style="130" hidden="1" customWidth="1"/>
    <col min="5" max="5" width="11.09765625" style="130" customWidth="1"/>
    <col min="6" max="6" width="11.8984375" style="130" customWidth="1"/>
    <col min="7" max="7" width="84.8984375" style="130" bestFit="1" customWidth="1"/>
    <col min="8" max="8" width="35.59765625" style="130" bestFit="1" customWidth="1"/>
    <col min="9" max="10" width="9.09765625" style="130"/>
    <col min="11" max="16384" width="9.09765625" style="12"/>
  </cols>
  <sheetData>
    <row r="1" spans="1:10" ht="22.85" customHeight="1" x14ac:dyDescent="0.3">
      <c r="A1" s="201" t="s">
        <v>2721</v>
      </c>
      <c r="B1" s="135"/>
      <c r="E1" s="135"/>
      <c r="F1" s="135"/>
      <c r="G1" s="135"/>
      <c r="H1" s="135"/>
      <c r="I1" s="136"/>
    </row>
    <row r="2" spans="1:10" ht="22.85" customHeight="1" x14ac:dyDescent="0.3">
      <c r="A2" s="202" t="s">
        <v>2505</v>
      </c>
      <c r="B2" s="137"/>
      <c r="E2" s="137"/>
      <c r="F2" s="137"/>
      <c r="G2" s="137"/>
      <c r="H2" s="137"/>
      <c r="I2" s="137"/>
    </row>
    <row r="3" spans="1:10" ht="28.8" x14ac:dyDescent="0.3">
      <c r="A3" s="203" t="s">
        <v>2506</v>
      </c>
      <c r="B3" s="138" t="s">
        <v>2507</v>
      </c>
      <c r="C3" s="138" t="s">
        <v>2508</v>
      </c>
      <c r="D3" s="138" t="s">
        <v>2509</v>
      </c>
      <c r="E3" s="138" t="s">
        <v>2726</v>
      </c>
      <c r="F3" s="138" t="s">
        <v>2510</v>
      </c>
      <c r="G3" s="138" t="s">
        <v>2511</v>
      </c>
      <c r="H3" s="138" t="s">
        <v>2512</v>
      </c>
      <c r="I3" s="138" t="s">
        <v>2513</v>
      </c>
      <c r="J3" s="138" t="s">
        <v>2514</v>
      </c>
    </row>
    <row r="4" spans="1:10" ht="28.8" x14ac:dyDescent="0.3">
      <c r="A4" s="145">
        <v>41039</v>
      </c>
      <c r="B4" s="130" t="s">
        <v>2515</v>
      </c>
      <c r="D4" s="139">
        <v>41039</v>
      </c>
      <c r="E4" s="130" t="s">
        <v>2516</v>
      </c>
      <c r="F4" s="130" t="s">
        <v>2517</v>
      </c>
      <c r="I4" s="136"/>
    </row>
    <row r="5" spans="1:10" ht="43.2" x14ac:dyDescent="0.3">
      <c r="A5" s="145">
        <v>41043</v>
      </c>
      <c r="B5" s="130" t="s">
        <v>2518</v>
      </c>
      <c r="C5" s="139">
        <v>41040</v>
      </c>
      <c r="D5" s="139">
        <v>41043</v>
      </c>
      <c r="E5" s="130" t="s">
        <v>2516</v>
      </c>
      <c r="F5" s="130" t="s">
        <v>2517</v>
      </c>
      <c r="G5" s="130" t="s">
        <v>2519</v>
      </c>
      <c r="I5" s="136"/>
    </row>
    <row r="6" spans="1:10" ht="43.2" x14ac:dyDescent="0.3">
      <c r="A6" s="145">
        <v>41044</v>
      </c>
      <c r="B6" s="130" t="s">
        <v>2520</v>
      </c>
      <c r="C6" s="139">
        <v>41044</v>
      </c>
      <c r="D6" s="139">
        <v>41044</v>
      </c>
      <c r="E6" s="130" t="s">
        <v>2516</v>
      </c>
      <c r="F6" s="130" t="s">
        <v>2517</v>
      </c>
      <c r="G6" s="130" t="s">
        <v>2521</v>
      </c>
      <c r="I6" s="136"/>
    </row>
    <row r="7" spans="1:10" ht="72" x14ac:dyDescent="0.3">
      <c r="A7" s="145">
        <v>41051</v>
      </c>
      <c r="B7" s="130" t="s">
        <v>2522</v>
      </c>
      <c r="C7" s="139">
        <v>41044</v>
      </c>
      <c r="D7" s="139">
        <v>41051</v>
      </c>
      <c r="E7" s="130" t="s">
        <v>2516</v>
      </c>
      <c r="F7" s="130" t="s">
        <v>2517</v>
      </c>
      <c r="G7" s="130" t="s">
        <v>2523</v>
      </c>
      <c r="I7" s="136"/>
    </row>
    <row r="8" spans="1:10" ht="100.8" x14ac:dyDescent="0.3">
      <c r="A8" s="145">
        <v>41061</v>
      </c>
      <c r="B8" s="130" t="s">
        <v>2524</v>
      </c>
      <c r="C8" s="139">
        <v>41051</v>
      </c>
      <c r="D8" s="139">
        <v>41061</v>
      </c>
      <c r="E8" s="130" t="s">
        <v>2516</v>
      </c>
      <c r="F8" s="130" t="s">
        <v>2517</v>
      </c>
      <c r="G8" s="130" t="s">
        <v>2525</v>
      </c>
      <c r="I8" s="136"/>
    </row>
    <row r="9" spans="1:10" ht="28.8" x14ac:dyDescent="0.3">
      <c r="A9" s="145">
        <v>41065</v>
      </c>
      <c r="B9" s="130" t="s">
        <v>2526</v>
      </c>
      <c r="C9" s="139">
        <v>41061</v>
      </c>
      <c r="D9" s="139">
        <v>41065</v>
      </c>
      <c r="E9" s="130" t="s">
        <v>2516</v>
      </c>
      <c r="F9" s="130" t="s">
        <v>2517</v>
      </c>
      <c r="G9" s="130" t="s">
        <v>2527</v>
      </c>
      <c r="I9" s="136"/>
    </row>
    <row r="10" spans="1:10" ht="43.2" x14ac:dyDescent="0.3">
      <c r="A10" s="145">
        <v>41078</v>
      </c>
      <c r="B10" s="130" t="s">
        <v>2528</v>
      </c>
      <c r="C10" s="139">
        <v>41066</v>
      </c>
      <c r="D10" s="139">
        <v>41078</v>
      </c>
      <c r="E10" s="130" t="s">
        <v>2516</v>
      </c>
      <c r="F10" s="130" t="s">
        <v>2517</v>
      </c>
      <c r="G10" s="130" t="s">
        <v>2529</v>
      </c>
      <c r="I10" s="136"/>
    </row>
    <row r="11" spans="1:10" ht="28.8" x14ac:dyDescent="0.3">
      <c r="A11" s="145">
        <v>41081</v>
      </c>
      <c r="B11" s="130" t="s">
        <v>2530</v>
      </c>
      <c r="C11" s="139">
        <v>41078</v>
      </c>
      <c r="D11" s="139">
        <v>41081</v>
      </c>
      <c r="E11" s="130" t="s">
        <v>2516</v>
      </c>
      <c r="F11" s="130" t="s">
        <v>2517</v>
      </c>
      <c r="G11" s="130" t="s">
        <v>2531</v>
      </c>
      <c r="I11" s="136"/>
    </row>
    <row r="12" spans="1:10" ht="72" x14ac:dyDescent="0.3">
      <c r="A12" s="145">
        <v>41088</v>
      </c>
      <c r="B12" s="130" t="s">
        <v>2532</v>
      </c>
      <c r="C12" s="139">
        <v>41081</v>
      </c>
      <c r="D12" s="139">
        <v>41088</v>
      </c>
      <c r="E12" s="130" t="s">
        <v>2516</v>
      </c>
      <c r="F12" s="130" t="s">
        <v>2308</v>
      </c>
      <c r="G12" s="130" t="s">
        <v>2533</v>
      </c>
      <c r="I12" s="136"/>
    </row>
    <row r="13" spans="1:10" ht="57.6" x14ac:dyDescent="0.3">
      <c r="A13" s="145">
        <v>41102</v>
      </c>
      <c r="B13" s="130" t="s">
        <v>2534</v>
      </c>
      <c r="C13" s="139">
        <v>41088</v>
      </c>
      <c r="D13" s="139">
        <v>41102</v>
      </c>
      <c r="E13" s="130" t="s">
        <v>2516</v>
      </c>
      <c r="F13" s="130" t="s">
        <v>2308</v>
      </c>
      <c r="G13" s="130" t="s">
        <v>2535</v>
      </c>
      <c r="I13" s="136"/>
    </row>
    <row r="14" spans="1:10" ht="72" x14ac:dyDescent="0.3">
      <c r="A14" s="145">
        <v>41201</v>
      </c>
      <c r="B14" s="130" t="s">
        <v>2536</v>
      </c>
      <c r="C14" s="139">
        <v>41102</v>
      </c>
      <c r="D14" s="139">
        <v>41201</v>
      </c>
      <c r="E14" s="130" t="s">
        <v>2516</v>
      </c>
      <c r="F14" s="130" t="s">
        <v>2517</v>
      </c>
      <c r="G14" s="130" t="s">
        <v>2537</v>
      </c>
      <c r="I14" s="136"/>
    </row>
    <row r="15" spans="1:10" ht="28.8" x14ac:dyDescent="0.3">
      <c r="A15" s="145">
        <v>41305</v>
      </c>
      <c r="B15" s="130" t="s">
        <v>2538</v>
      </c>
      <c r="C15" s="139">
        <v>41204</v>
      </c>
      <c r="D15" s="140">
        <v>41305</v>
      </c>
      <c r="E15" s="130" t="s">
        <v>2516</v>
      </c>
      <c r="F15" s="130" t="s">
        <v>2517</v>
      </c>
      <c r="G15" s="130" t="s">
        <v>2539</v>
      </c>
      <c r="I15" s="136"/>
    </row>
    <row r="16" spans="1:10" ht="28.8" x14ac:dyDescent="0.3">
      <c r="A16" s="145">
        <v>41262</v>
      </c>
      <c r="C16" s="134">
        <v>41262</v>
      </c>
      <c r="E16" s="130" t="s">
        <v>2516</v>
      </c>
      <c r="F16" s="130" t="s">
        <v>2308</v>
      </c>
      <c r="G16" s="130" t="s">
        <v>2540</v>
      </c>
      <c r="I16" s="136"/>
    </row>
    <row r="17" spans="1:9" ht="28.8" x14ac:dyDescent="0.3">
      <c r="A17" s="145">
        <v>41329</v>
      </c>
      <c r="B17" s="130" t="s">
        <v>2541</v>
      </c>
      <c r="C17" s="134">
        <v>41306</v>
      </c>
      <c r="D17" s="134">
        <v>41329</v>
      </c>
      <c r="E17" s="130" t="s">
        <v>2516</v>
      </c>
      <c r="F17" s="130" t="s">
        <v>2308</v>
      </c>
      <c r="G17" s="130" t="s">
        <v>2542</v>
      </c>
      <c r="I17" s="136"/>
    </row>
    <row r="18" spans="1:9" ht="28.8" x14ac:dyDescent="0.3">
      <c r="A18" s="145">
        <v>41327</v>
      </c>
      <c r="B18" s="130" t="s">
        <v>2543</v>
      </c>
      <c r="C18" s="134">
        <v>41310</v>
      </c>
      <c r="D18" s="134">
        <v>41327</v>
      </c>
      <c r="E18" s="130" t="s">
        <v>2516</v>
      </c>
      <c r="F18" s="130" t="s">
        <v>2308</v>
      </c>
      <c r="G18" s="130" t="s">
        <v>2544</v>
      </c>
      <c r="I18" s="136"/>
    </row>
    <row r="19" spans="1:9" ht="28.8" x14ac:dyDescent="0.3">
      <c r="A19" s="145">
        <v>41330</v>
      </c>
      <c r="B19" s="130" t="s">
        <v>2545</v>
      </c>
      <c r="C19" s="141">
        <v>41330</v>
      </c>
      <c r="D19" s="133"/>
      <c r="E19" s="130" t="s">
        <v>2516</v>
      </c>
      <c r="F19" s="130" t="s">
        <v>2308</v>
      </c>
      <c r="G19" s="133" t="s">
        <v>2546</v>
      </c>
      <c r="I19" s="136"/>
    </row>
    <row r="20" spans="1:9" ht="43.2" x14ac:dyDescent="0.3">
      <c r="A20" s="145">
        <v>41353</v>
      </c>
      <c r="C20" s="134">
        <v>41353</v>
      </c>
      <c r="D20" s="134"/>
      <c r="E20" s="130" t="s">
        <v>2516</v>
      </c>
      <c r="F20" s="130" t="s">
        <v>2308</v>
      </c>
      <c r="G20" s="130" t="s">
        <v>2547</v>
      </c>
      <c r="I20" s="136"/>
    </row>
    <row r="21" spans="1:9" ht="14.4" x14ac:dyDescent="0.3">
      <c r="A21" s="145">
        <v>41366</v>
      </c>
      <c r="C21" s="134">
        <v>41366</v>
      </c>
      <c r="D21" s="134"/>
      <c r="E21" s="130" t="s">
        <v>2516</v>
      </c>
      <c r="F21" s="130" t="s">
        <v>2308</v>
      </c>
      <c r="G21" s="130" t="s">
        <v>2548</v>
      </c>
      <c r="I21" s="136"/>
    </row>
    <row r="22" spans="1:9" ht="28.8" x14ac:dyDescent="0.3">
      <c r="A22" s="145">
        <v>41514</v>
      </c>
      <c r="C22" s="141">
        <v>41514</v>
      </c>
      <c r="D22" s="141"/>
      <c r="E22" s="130" t="s">
        <v>2516</v>
      </c>
      <c r="F22" s="130" t="s">
        <v>2308</v>
      </c>
      <c r="G22" s="133" t="s">
        <v>2549</v>
      </c>
      <c r="I22" s="136"/>
    </row>
    <row r="23" spans="1:9" ht="43.2" x14ac:dyDescent="0.3">
      <c r="A23" s="145">
        <v>41533</v>
      </c>
      <c r="C23" s="134">
        <v>41533</v>
      </c>
      <c r="D23" s="134"/>
      <c r="E23" s="130" t="s">
        <v>2516</v>
      </c>
      <c r="F23" s="130" t="s">
        <v>2308</v>
      </c>
      <c r="G23" s="130" t="s">
        <v>2550</v>
      </c>
      <c r="I23" s="136" t="s">
        <v>2551</v>
      </c>
    </row>
    <row r="24" spans="1:9" ht="14.4" x14ac:dyDescent="0.3">
      <c r="A24" s="145">
        <v>41564</v>
      </c>
      <c r="C24" s="134">
        <v>41564</v>
      </c>
      <c r="D24" s="134"/>
      <c r="E24" s="130" t="s">
        <v>2516</v>
      </c>
      <c r="F24" s="130" t="s">
        <v>2308</v>
      </c>
      <c r="G24" s="130" t="s">
        <v>2552</v>
      </c>
      <c r="I24" s="136" t="s">
        <v>2553</v>
      </c>
    </row>
    <row r="25" spans="1:9" ht="100.8" x14ac:dyDescent="0.3">
      <c r="A25" s="145">
        <v>41592</v>
      </c>
      <c r="C25" s="134">
        <v>41592</v>
      </c>
      <c r="D25" s="134"/>
      <c r="E25" s="130" t="s">
        <v>2516</v>
      </c>
      <c r="F25" s="130" t="s">
        <v>2308</v>
      </c>
      <c r="G25" s="130" t="s">
        <v>2722</v>
      </c>
      <c r="I25" s="136" t="s">
        <v>2553</v>
      </c>
    </row>
    <row r="26" spans="1:9" ht="115.2" x14ac:dyDescent="0.3">
      <c r="A26" s="145">
        <v>41387</v>
      </c>
      <c r="E26" s="130" t="s">
        <v>2516</v>
      </c>
      <c r="F26" s="130" t="s">
        <v>2517</v>
      </c>
      <c r="G26" s="131" t="s">
        <v>2727</v>
      </c>
    </row>
    <row r="27" spans="1:9" ht="187.2" x14ac:dyDescent="0.3">
      <c r="A27" s="145">
        <v>41540</v>
      </c>
      <c r="E27" s="130" t="s">
        <v>2516</v>
      </c>
      <c r="F27" s="130" t="s">
        <v>2308</v>
      </c>
      <c r="G27" s="131" t="s">
        <v>2554</v>
      </c>
    </row>
    <row r="28" spans="1:9" ht="28.8" x14ac:dyDescent="0.3">
      <c r="A28" s="145">
        <v>41640</v>
      </c>
      <c r="C28" s="134">
        <v>41640</v>
      </c>
      <c r="D28" s="134"/>
      <c r="E28" s="130" t="s">
        <v>2516</v>
      </c>
      <c r="F28" s="130" t="s">
        <v>2517</v>
      </c>
      <c r="G28" s="130" t="s">
        <v>2555</v>
      </c>
      <c r="I28" s="136" t="s">
        <v>2553</v>
      </c>
    </row>
    <row r="29" spans="1:9" ht="86.4" x14ac:dyDescent="0.3">
      <c r="A29" s="145">
        <v>41703</v>
      </c>
      <c r="C29" s="134">
        <v>41703</v>
      </c>
      <c r="D29" s="134"/>
      <c r="E29" s="130" t="s">
        <v>2516</v>
      </c>
      <c r="F29" s="130" t="s">
        <v>2308</v>
      </c>
      <c r="G29" s="131" t="s">
        <v>2556</v>
      </c>
      <c r="I29" s="136" t="s">
        <v>2553</v>
      </c>
    </row>
    <row r="30" spans="1:9" ht="28.8" x14ac:dyDescent="0.3">
      <c r="A30" s="145">
        <v>41807</v>
      </c>
      <c r="C30" s="134">
        <v>41781</v>
      </c>
      <c r="D30" s="134">
        <v>41807</v>
      </c>
      <c r="E30" s="130" t="s">
        <v>2516</v>
      </c>
      <c r="F30" s="130" t="s">
        <v>2517</v>
      </c>
      <c r="G30" s="131" t="s">
        <v>2557</v>
      </c>
      <c r="I30" s="136" t="s">
        <v>2553</v>
      </c>
    </row>
    <row r="31" spans="1:9" ht="100.8" x14ac:dyDescent="0.3">
      <c r="A31" s="145">
        <v>41808</v>
      </c>
      <c r="B31" s="130" t="s">
        <v>2558</v>
      </c>
      <c r="C31" s="134">
        <v>41808</v>
      </c>
      <c r="D31" s="134"/>
      <c r="E31" s="130" t="s">
        <v>2516</v>
      </c>
      <c r="F31" s="130" t="s">
        <v>2517</v>
      </c>
      <c r="G31" s="131" t="s">
        <v>2559</v>
      </c>
      <c r="I31" s="136" t="s">
        <v>2553</v>
      </c>
    </row>
    <row r="32" spans="1:9" ht="28.8" x14ac:dyDescent="0.3">
      <c r="A32" s="145">
        <v>41814</v>
      </c>
      <c r="C32" s="134">
        <v>41814</v>
      </c>
      <c r="D32" s="134"/>
      <c r="E32" s="130" t="s">
        <v>2516</v>
      </c>
      <c r="F32" s="130" t="s">
        <v>2517</v>
      </c>
      <c r="G32" s="130" t="s">
        <v>2560</v>
      </c>
      <c r="I32" s="136" t="s">
        <v>2553</v>
      </c>
    </row>
    <row r="33" spans="1:9" ht="28.8" x14ac:dyDescent="0.3">
      <c r="A33" s="145">
        <v>41836</v>
      </c>
      <c r="C33" s="134">
        <v>41836</v>
      </c>
      <c r="D33" s="134"/>
      <c r="E33" s="130" t="s">
        <v>2516</v>
      </c>
      <c r="F33" s="130" t="s">
        <v>2517</v>
      </c>
      <c r="G33" s="130" t="s">
        <v>2561</v>
      </c>
      <c r="I33" s="136" t="s">
        <v>2553</v>
      </c>
    </row>
    <row r="34" spans="1:9" ht="28.8" x14ac:dyDescent="0.3">
      <c r="A34" s="145">
        <v>41871</v>
      </c>
      <c r="C34" s="134">
        <v>41871</v>
      </c>
      <c r="D34" s="134"/>
      <c r="E34" s="130" t="s">
        <v>2516</v>
      </c>
      <c r="F34" s="130" t="s">
        <v>2517</v>
      </c>
      <c r="G34" s="130" t="s">
        <v>2562</v>
      </c>
      <c r="I34" s="136" t="s">
        <v>2553</v>
      </c>
    </row>
    <row r="35" spans="1:9" ht="14.4" x14ac:dyDescent="0.3">
      <c r="A35" s="145">
        <v>41934</v>
      </c>
      <c r="C35" s="134">
        <v>41934</v>
      </c>
      <c r="D35" s="134"/>
      <c r="E35" s="130" t="s">
        <v>2516</v>
      </c>
      <c r="F35" s="130" t="s">
        <v>2517</v>
      </c>
      <c r="G35" s="130" t="s">
        <v>2563</v>
      </c>
      <c r="I35" s="136" t="s">
        <v>2553</v>
      </c>
    </row>
    <row r="36" spans="1:9" ht="28.8" x14ac:dyDescent="0.3">
      <c r="A36" s="145">
        <v>41948</v>
      </c>
      <c r="C36" s="134">
        <v>41948</v>
      </c>
      <c r="D36" s="134"/>
      <c r="E36" s="130" t="s">
        <v>2516</v>
      </c>
      <c r="F36" s="130" t="s">
        <v>2517</v>
      </c>
      <c r="G36" s="130" t="s">
        <v>2564</v>
      </c>
      <c r="I36" s="136" t="s">
        <v>2553</v>
      </c>
    </row>
    <row r="37" spans="1:9" ht="28.8" x14ac:dyDescent="0.3">
      <c r="A37" s="145">
        <v>42089</v>
      </c>
      <c r="C37" s="134">
        <v>42089</v>
      </c>
      <c r="D37" s="134"/>
      <c r="E37" s="130" t="s">
        <v>2516</v>
      </c>
      <c r="F37" s="130" t="s">
        <v>2517</v>
      </c>
      <c r="G37" s="130" t="s">
        <v>2565</v>
      </c>
      <c r="I37" s="136" t="s">
        <v>2553</v>
      </c>
    </row>
    <row r="38" spans="1:9" ht="28.8" x14ac:dyDescent="0.3">
      <c r="A38" s="145">
        <v>42230</v>
      </c>
      <c r="C38" s="134">
        <v>42230</v>
      </c>
      <c r="D38" s="134"/>
      <c r="E38" s="130" t="s">
        <v>2516</v>
      </c>
      <c r="F38" s="130" t="s">
        <v>2517</v>
      </c>
      <c r="G38" s="130" t="s">
        <v>2566</v>
      </c>
      <c r="I38" s="136" t="s">
        <v>2567</v>
      </c>
    </row>
    <row r="39" spans="1:9" ht="43.2" x14ac:dyDescent="0.3">
      <c r="A39" s="145">
        <v>42241</v>
      </c>
      <c r="C39" s="134">
        <v>42241</v>
      </c>
      <c r="D39" s="134"/>
      <c r="E39" s="130" t="s">
        <v>2516</v>
      </c>
      <c r="F39" s="130" t="s">
        <v>2517</v>
      </c>
      <c r="G39" s="130" t="s">
        <v>2568</v>
      </c>
      <c r="I39" s="136" t="s">
        <v>2569</v>
      </c>
    </row>
    <row r="40" spans="1:9" ht="72" x14ac:dyDescent="0.3">
      <c r="A40" s="145">
        <v>42248</v>
      </c>
      <c r="B40" s="130" t="s">
        <v>2570</v>
      </c>
      <c r="C40" s="134">
        <v>42248</v>
      </c>
      <c r="D40" s="134"/>
      <c r="E40" s="130" t="s">
        <v>2516</v>
      </c>
      <c r="F40" s="130" t="s">
        <v>2517</v>
      </c>
      <c r="G40" s="131" t="s">
        <v>2571</v>
      </c>
      <c r="I40" s="136" t="s">
        <v>2567</v>
      </c>
    </row>
    <row r="41" spans="1:9" ht="28.8" x14ac:dyDescent="0.3">
      <c r="A41" s="145">
        <v>42292</v>
      </c>
      <c r="C41" s="134">
        <v>42292</v>
      </c>
      <c r="D41" s="134"/>
      <c r="E41" s="130" t="s">
        <v>2516</v>
      </c>
      <c r="F41" s="130" t="s">
        <v>2517</v>
      </c>
      <c r="G41" s="131" t="s">
        <v>2572</v>
      </c>
      <c r="I41" s="136" t="s">
        <v>2567</v>
      </c>
    </row>
    <row r="42" spans="1:9" ht="28.8" x14ac:dyDescent="0.3">
      <c r="A42" s="145">
        <v>42377</v>
      </c>
      <c r="B42" s="130" t="s">
        <v>2573</v>
      </c>
      <c r="C42" s="134">
        <v>42377</v>
      </c>
      <c r="D42" s="134"/>
      <c r="E42" s="130" t="s">
        <v>2516</v>
      </c>
      <c r="F42" s="130" t="s">
        <v>2517</v>
      </c>
      <c r="G42" s="131" t="s">
        <v>2574</v>
      </c>
      <c r="I42" s="136" t="s">
        <v>2567</v>
      </c>
    </row>
    <row r="43" spans="1:9" ht="14.4" x14ac:dyDescent="0.3">
      <c r="A43" s="145">
        <v>42452</v>
      </c>
      <c r="C43" s="134">
        <v>42452</v>
      </c>
      <c r="D43" s="134"/>
      <c r="E43" s="130" t="s">
        <v>2516</v>
      </c>
      <c r="F43" s="130" t="s">
        <v>2517</v>
      </c>
      <c r="G43" s="131" t="s">
        <v>2575</v>
      </c>
      <c r="I43" s="136" t="s">
        <v>2567</v>
      </c>
    </row>
    <row r="44" spans="1:9" ht="158.4" x14ac:dyDescent="0.3">
      <c r="A44" s="145">
        <v>42481</v>
      </c>
      <c r="C44" s="134">
        <v>42481</v>
      </c>
      <c r="D44" s="134"/>
      <c r="E44" s="130" t="s">
        <v>2516</v>
      </c>
      <c r="F44" s="130" t="s">
        <v>2517</v>
      </c>
      <c r="G44" s="131" t="s">
        <v>2576</v>
      </c>
      <c r="I44" s="136" t="s">
        <v>2567</v>
      </c>
    </row>
    <row r="45" spans="1:9" ht="43.2" x14ac:dyDescent="0.3">
      <c r="A45" s="145">
        <v>42552</v>
      </c>
      <c r="B45" s="134" t="s">
        <v>2577</v>
      </c>
      <c r="C45" s="134">
        <v>42552</v>
      </c>
      <c r="D45" s="134"/>
      <c r="E45" s="130" t="s">
        <v>2516</v>
      </c>
      <c r="F45" s="130" t="s">
        <v>2517</v>
      </c>
      <c r="G45" s="130" t="s">
        <v>2578</v>
      </c>
      <c r="I45" s="136" t="s">
        <v>2567</v>
      </c>
    </row>
    <row r="46" spans="1:9" ht="403.2" x14ac:dyDescent="0.3">
      <c r="A46" s="145">
        <v>42562</v>
      </c>
      <c r="B46" s="134" t="s">
        <v>2577</v>
      </c>
      <c r="C46" s="134">
        <v>42562</v>
      </c>
      <c r="D46" s="134"/>
      <c r="E46" s="130" t="s">
        <v>2516</v>
      </c>
      <c r="F46" s="130" t="s">
        <v>2517</v>
      </c>
      <c r="G46" s="131" t="s">
        <v>2723</v>
      </c>
      <c r="I46" s="136" t="s">
        <v>2569</v>
      </c>
    </row>
    <row r="47" spans="1:9" ht="129.6" x14ac:dyDescent="0.3">
      <c r="A47" s="145">
        <v>42562</v>
      </c>
      <c r="B47" s="134" t="s">
        <v>2579</v>
      </c>
      <c r="C47" s="134">
        <v>42562</v>
      </c>
      <c r="D47" s="134"/>
      <c r="E47" s="130" t="s">
        <v>2516</v>
      </c>
      <c r="F47" s="130" t="s">
        <v>2517</v>
      </c>
      <c r="G47" s="142" t="s">
        <v>2724</v>
      </c>
      <c r="I47" s="136" t="s">
        <v>2569</v>
      </c>
    </row>
    <row r="48" spans="1:9" ht="43.2" x14ac:dyDescent="0.3">
      <c r="A48" s="145">
        <v>42562</v>
      </c>
      <c r="B48" s="134" t="s">
        <v>2580</v>
      </c>
      <c r="C48" s="134">
        <v>42562</v>
      </c>
      <c r="D48" s="134"/>
      <c r="E48" s="130" t="s">
        <v>2516</v>
      </c>
      <c r="F48" s="130" t="s">
        <v>2517</v>
      </c>
      <c r="G48" s="143" t="s">
        <v>2581</v>
      </c>
      <c r="I48" s="136" t="s">
        <v>2569</v>
      </c>
    </row>
    <row r="49" spans="1:10" ht="57.6" x14ac:dyDescent="0.3">
      <c r="A49" s="145">
        <v>42569</v>
      </c>
      <c r="C49" s="134">
        <v>42569</v>
      </c>
      <c r="D49" s="134"/>
      <c r="E49" s="130" t="s">
        <v>2516</v>
      </c>
      <c r="F49" s="130" t="s">
        <v>2517</v>
      </c>
      <c r="G49" s="130" t="s">
        <v>2582</v>
      </c>
      <c r="I49" s="136"/>
    </row>
    <row r="50" spans="1:10" ht="14.4" x14ac:dyDescent="0.3">
      <c r="A50" s="145">
        <v>42563</v>
      </c>
      <c r="C50" s="134">
        <v>42563</v>
      </c>
      <c r="D50" s="134"/>
      <c r="E50" s="130" t="s">
        <v>2516</v>
      </c>
      <c r="F50" s="130" t="s">
        <v>2517</v>
      </c>
      <c r="G50" s="130" t="s">
        <v>2583</v>
      </c>
      <c r="I50" s="136" t="s">
        <v>2584</v>
      </c>
    </row>
    <row r="51" spans="1:10" ht="115.2" x14ac:dyDescent="0.3">
      <c r="A51" s="145">
        <v>42563</v>
      </c>
      <c r="C51" s="134">
        <v>42563</v>
      </c>
      <c r="D51" s="134"/>
      <c r="E51" s="130" t="s">
        <v>2516</v>
      </c>
      <c r="F51" s="130" t="s">
        <v>2517</v>
      </c>
      <c r="G51" s="130" t="s">
        <v>2585</v>
      </c>
      <c r="I51" s="136" t="s">
        <v>2584</v>
      </c>
    </row>
    <row r="52" spans="1:10" ht="14.4" x14ac:dyDescent="0.3">
      <c r="A52" s="145">
        <v>42586</v>
      </c>
      <c r="C52" s="134">
        <v>42586</v>
      </c>
      <c r="D52" s="134"/>
      <c r="E52" s="130" t="s">
        <v>2516</v>
      </c>
      <c r="F52" s="130" t="s">
        <v>2517</v>
      </c>
      <c r="G52" s="130" t="s">
        <v>2586</v>
      </c>
      <c r="I52" s="136" t="s">
        <v>2584</v>
      </c>
    </row>
    <row r="53" spans="1:10" ht="14.4" x14ac:dyDescent="0.3">
      <c r="A53" s="145">
        <v>42713</v>
      </c>
      <c r="C53" s="134">
        <v>42713</v>
      </c>
      <c r="D53" s="134"/>
      <c r="E53" s="130" t="s">
        <v>2516</v>
      </c>
      <c r="F53" s="130" t="s">
        <v>2517</v>
      </c>
      <c r="G53" s="130" t="s">
        <v>2587</v>
      </c>
      <c r="I53" s="136" t="s">
        <v>2584</v>
      </c>
    </row>
    <row r="54" spans="1:10" ht="57.6" x14ac:dyDescent="0.3">
      <c r="A54" s="145">
        <v>42716</v>
      </c>
      <c r="C54" s="134">
        <v>42716</v>
      </c>
      <c r="D54" s="134"/>
      <c r="E54" s="130" t="s">
        <v>2516</v>
      </c>
      <c r="F54" s="130" t="s">
        <v>2517</v>
      </c>
      <c r="G54" s="130" t="s">
        <v>2588</v>
      </c>
      <c r="I54" s="136" t="s">
        <v>2584</v>
      </c>
    </row>
    <row r="55" spans="1:10" ht="43.2" x14ac:dyDescent="0.3">
      <c r="A55" s="201">
        <v>43353</v>
      </c>
      <c r="B55" s="144"/>
      <c r="E55" s="135" t="s">
        <v>2516</v>
      </c>
      <c r="F55" s="135" t="s">
        <v>2517</v>
      </c>
      <c r="G55" s="130" t="s">
        <v>2589</v>
      </c>
      <c r="H55" s="130" t="s">
        <v>2590</v>
      </c>
      <c r="I55" s="136" t="s">
        <v>2567</v>
      </c>
    </row>
    <row r="56" spans="1:10" ht="43.2" x14ac:dyDescent="0.3">
      <c r="A56" s="201">
        <v>43378</v>
      </c>
      <c r="B56" s="144"/>
      <c r="E56" s="135" t="s">
        <v>2516</v>
      </c>
      <c r="F56" s="135" t="s">
        <v>2517</v>
      </c>
      <c r="G56" s="130" t="s">
        <v>2591</v>
      </c>
      <c r="I56" s="136"/>
      <c r="J56" s="130" t="s">
        <v>2592</v>
      </c>
    </row>
    <row r="57" spans="1:10" ht="28.8" x14ac:dyDescent="0.3">
      <c r="A57" s="201">
        <v>43405</v>
      </c>
      <c r="B57" s="144"/>
      <c r="E57" s="135" t="s">
        <v>2516</v>
      </c>
      <c r="F57" s="135" t="s">
        <v>2517</v>
      </c>
      <c r="G57" s="130" t="s">
        <v>2593</v>
      </c>
      <c r="H57" s="130" t="s">
        <v>2594</v>
      </c>
      <c r="I57" s="136" t="s">
        <v>2595</v>
      </c>
    </row>
    <row r="58" spans="1:10" ht="14.4" x14ac:dyDescent="0.3">
      <c r="A58" s="201">
        <v>43418</v>
      </c>
      <c r="B58" s="144"/>
      <c r="E58" s="135" t="s">
        <v>2516</v>
      </c>
      <c r="F58" s="135" t="s">
        <v>2517</v>
      </c>
      <c r="G58" s="130" t="s">
        <v>2596</v>
      </c>
      <c r="H58" s="135"/>
      <c r="I58" s="136" t="s">
        <v>2595</v>
      </c>
    </row>
    <row r="59" spans="1:10" ht="72" x14ac:dyDescent="0.3">
      <c r="A59" s="201">
        <v>43419</v>
      </c>
      <c r="B59" s="144"/>
      <c r="E59" s="135" t="s">
        <v>2516</v>
      </c>
      <c r="F59" s="135" t="s">
        <v>2308</v>
      </c>
      <c r="G59" s="137" t="s">
        <v>2597</v>
      </c>
      <c r="H59" s="135"/>
      <c r="I59" s="136" t="s">
        <v>2595</v>
      </c>
    </row>
    <row r="60" spans="1:10" ht="57.6" x14ac:dyDescent="0.3">
      <c r="A60" s="145">
        <v>43420</v>
      </c>
      <c r="B60" s="134"/>
      <c r="E60" s="135" t="s">
        <v>2516</v>
      </c>
      <c r="F60" s="135" t="s">
        <v>2517</v>
      </c>
      <c r="G60" s="130" t="s">
        <v>2598</v>
      </c>
      <c r="H60" s="130" t="s">
        <v>2599</v>
      </c>
      <c r="I60" s="136" t="s">
        <v>2595</v>
      </c>
    </row>
    <row r="61" spans="1:10" ht="72" x14ac:dyDescent="0.3">
      <c r="A61" s="201">
        <v>43420</v>
      </c>
      <c r="B61" s="144"/>
      <c r="E61" s="135" t="s">
        <v>2516</v>
      </c>
      <c r="F61" s="135" t="s">
        <v>2517</v>
      </c>
      <c r="G61" s="130" t="s">
        <v>2600</v>
      </c>
      <c r="H61" s="130" t="s">
        <v>2601</v>
      </c>
      <c r="I61" s="136" t="s">
        <v>2595</v>
      </c>
    </row>
    <row r="62" spans="1:10" ht="172.8" x14ac:dyDescent="0.3">
      <c r="A62" s="201">
        <v>43420</v>
      </c>
      <c r="B62" s="144"/>
      <c r="E62" s="135" t="s">
        <v>2516</v>
      </c>
      <c r="F62" s="135" t="s">
        <v>2308</v>
      </c>
      <c r="G62" s="130" t="s">
        <v>2602</v>
      </c>
      <c r="H62" s="130" t="s">
        <v>2603</v>
      </c>
      <c r="I62" s="136" t="s">
        <v>2595</v>
      </c>
    </row>
    <row r="63" spans="1:10" ht="28.8" x14ac:dyDescent="0.3">
      <c r="A63" s="201">
        <v>43437</v>
      </c>
      <c r="B63" s="144"/>
      <c r="E63" s="135" t="s">
        <v>2516</v>
      </c>
      <c r="F63" s="135" t="s">
        <v>2517</v>
      </c>
      <c r="G63" s="137" t="s">
        <v>2604</v>
      </c>
      <c r="H63" s="135"/>
      <c r="I63" s="136" t="s">
        <v>2595</v>
      </c>
    </row>
    <row r="64" spans="1:10" ht="57.6" x14ac:dyDescent="0.3">
      <c r="A64" s="201">
        <v>43439</v>
      </c>
      <c r="B64" s="144"/>
      <c r="E64" s="135" t="s">
        <v>2516</v>
      </c>
      <c r="F64" s="135" t="s">
        <v>2308</v>
      </c>
      <c r="G64" s="137" t="s">
        <v>2605</v>
      </c>
      <c r="H64" s="132" t="s">
        <v>2606</v>
      </c>
      <c r="I64" s="136" t="s">
        <v>2595</v>
      </c>
    </row>
    <row r="65" spans="1:9" ht="43.2" x14ac:dyDescent="0.3">
      <c r="A65" s="201">
        <v>43441</v>
      </c>
      <c r="B65" s="144"/>
      <c r="E65" s="135" t="s">
        <v>2516</v>
      </c>
      <c r="F65" s="135" t="s">
        <v>2308</v>
      </c>
      <c r="G65" s="137" t="s">
        <v>2607</v>
      </c>
      <c r="H65" s="135"/>
      <c r="I65" s="136" t="s">
        <v>2595</v>
      </c>
    </row>
    <row r="66" spans="1:9" ht="100.8" x14ac:dyDescent="0.3">
      <c r="A66" s="201">
        <v>43446</v>
      </c>
      <c r="B66" s="144"/>
      <c r="E66" s="135" t="s">
        <v>1047</v>
      </c>
      <c r="F66" s="135" t="s">
        <v>2608</v>
      </c>
      <c r="G66" s="137" t="s">
        <v>2609</v>
      </c>
      <c r="H66" s="135"/>
      <c r="I66" s="136" t="s">
        <v>2595</v>
      </c>
    </row>
    <row r="67" spans="1:9" ht="57.6" x14ac:dyDescent="0.3">
      <c r="A67" s="201">
        <v>43447</v>
      </c>
      <c r="B67" s="144"/>
      <c r="E67" s="135" t="s">
        <v>1047</v>
      </c>
      <c r="F67" s="135" t="s">
        <v>2610</v>
      </c>
      <c r="G67" s="137" t="s">
        <v>2611</v>
      </c>
      <c r="H67" s="135"/>
      <c r="I67" s="136" t="s">
        <v>2595</v>
      </c>
    </row>
    <row r="68" spans="1:9" ht="144" x14ac:dyDescent="0.3">
      <c r="A68" s="201">
        <v>43454</v>
      </c>
      <c r="B68" s="144"/>
      <c r="E68" s="135" t="s">
        <v>2516</v>
      </c>
      <c r="F68" s="135" t="s">
        <v>2308</v>
      </c>
      <c r="G68" s="137" t="s">
        <v>2612</v>
      </c>
      <c r="H68" s="130" t="s">
        <v>2725</v>
      </c>
      <c r="I68" s="136" t="s">
        <v>2595</v>
      </c>
    </row>
    <row r="69" spans="1:9" ht="86.4" x14ac:dyDescent="0.3">
      <c r="A69" s="201">
        <v>43454</v>
      </c>
      <c r="B69" s="144"/>
      <c r="E69" s="135" t="s">
        <v>2516</v>
      </c>
      <c r="F69" s="135" t="s">
        <v>2308</v>
      </c>
      <c r="G69" s="137" t="s">
        <v>2613</v>
      </c>
      <c r="H69" s="135"/>
      <c r="I69" s="136" t="s">
        <v>2595</v>
      </c>
    </row>
    <row r="70" spans="1:9" ht="129.6" x14ac:dyDescent="0.3">
      <c r="A70" s="201">
        <v>43465</v>
      </c>
      <c r="B70" s="144"/>
      <c r="E70" s="135" t="s">
        <v>1047</v>
      </c>
      <c r="F70" s="135" t="s">
        <v>2610</v>
      </c>
      <c r="G70" s="137" t="s">
        <v>2614</v>
      </c>
      <c r="H70" s="135"/>
      <c r="I70" s="136" t="s">
        <v>2595</v>
      </c>
    </row>
    <row r="71" spans="1:9" ht="86.4" x14ac:dyDescent="0.3">
      <c r="A71" s="201">
        <v>43465</v>
      </c>
      <c r="B71" s="144"/>
      <c r="E71" s="135" t="s">
        <v>2516</v>
      </c>
      <c r="F71" s="135" t="s">
        <v>2517</v>
      </c>
      <c r="G71" s="137" t="s">
        <v>2615</v>
      </c>
      <c r="H71" s="135"/>
      <c r="I71" s="136" t="s">
        <v>2595</v>
      </c>
    </row>
    <row r="72" spans="1:9" ht="57.6" x14ac:dyDescent="0.3">
      <c r="A72" s="201">
        <v>43465</v>
      </c>
      <c r="B72" s="144"/>
      <c r="E72" s="135" t="s">
        <v>2516</v>
      </c>
      <c r="F72" s="135" t="s">
        <v>2517</v>
      </c>
      <c r="G72" s="137" t="s">
        <v>2616</v>
      </c>
      <c r="H72" s="135"/>
      <c r="I72" s="136" t="s">
        <v>2595</v>
      </c>
    </row>
    <row r="73" spans="1:9" ht="100.8" x14ac:dyDescent="0.3">
      <c r="A73" s="201">
        <v>43467</v>
      </c>
      <c r="B73" s="144"/>
      <c r="E73" s="135" t="s">
        <v>2516</v>
      </c>
      <c r="F73" s="135" t="s">
        <v>2517</v>
      </c>
      <c r="G73" s="137" t="s">
        <v>2617</v>
      </c>
      <c r="H73" s="135"/>
      <c r="I73" s="136" t="s">
        <v>2595</v>
      </c>
    </row>
    <row r="74" spans="1:9" ht="72" x14ac:dyDescent="0.3">
      <c r="A74" s="201">
        <v>43470</v>
      </c>
      <c r="B74" s="144"/>
      <c r="E74" s="135" t="s">
        <v>2516</v>
      </c>
      <c r="F74" s="135" t="s">
        <v>2308</v>
      </c>
      <c r="G74" s="137" t="s">
        <v>2618</v>
      </c>
      <c r="H74" s="130" t="s">
        <v>2619</v>
      </c>
      <c r="I74" s="136" t="s">
        <v>2595</v>
      </c>
    </row>
    <row r="75" spans="1:9" ht="57.6" x14ac:dyDescent="0.3">
      <c r="A75" s="201">
        <v>43494</v>
      </c>
      <c r="B75" s="144"/>
      <c r="E75" s="135" t="s">
        <v>1047</v>
      </c>
      <c r="F75" s="135" t="s">
        <v>2610</v>
      </c>
      <c r="G75" s="137" t="s">
        <v>2620</v>
      </c>
      <c r="I75" s="136" t="s">
        <v>2595</v>
      </c>
    </row>
    <row r="76" spans="1:9" ht="28.8" x14ac:dyDescent="0.3">
      <c r="A76" s="201">
        <v>43630</v>
      </c>
      <c r="B76" s="144"/>
      <c r="E76" s="135" t="s">
        <v>1047</v>
      </c>
      <c r="F76" s="135" t="s">
        <v>2610</v>
      </c>
      <c r="G76" s="137" t="s">
        <v>2621</v>
      </c>
      <c r="I76" s="136" t="s">
        <v>2595</v>
      </c>
    </row>
    <row r="77" spans="1:9" ht="57.6" x14ac:dyDescent="0.3">
      <c r="A77" s="201">
        <v>43725</v>
      </c>
      <c r="B77" s="144"/>
      <c r="E77" s="135" t="s">
        <v>1047</v>
      </c>
      <c r="F77" s="135" t="s">
        <v>2610</v>
      </c>
      <c r="G77" s="137" t="s">
        <v>2622</v>
      </c>
      <c r="I77" s="136" t="s">
        <v>2595</v>
      </c>
    </row>
    <row r="78" spans="1:9" ht="115.2" x14ac:dyDescent="0.3">
      <c r="A78" s="201">
        <v>43780</v>
      </c>
      <c r="B78" s="144"/>
      <c r="E78" s="135" t="s">
        <v>2516</v>
      </c>
      <c r="F78" s="135" t="s">
        <v>2308</v>
      </c>
      <c r="G78" s="137" t="s">
        <v>2623</v>
      </c>
      <c r="I78" s="136" t="s">
        <v>2595</v>
      </c>
    </row>
    <row r="79" spans="1:9" ht="28.8" x14ac:dyDescent="0.3">
      <c r="A79" s="201">
        <v>43789</v>
      </c>
      <c r="B79" s="144"/>
      <c r="E79" s="135" t="s">
        <v>2624</v>
      </c>
      <c r="F79" s="135" t="s">
        <v>2610</v>
      </c>
      <c r="G79" s="137" t="s">
        <v>2625</v>
      </c>
      <c r="I79" s="136" t="s">
        <v>2626</v>
      </c>
    </row>
    <row r="80" spans="1:9" ht="14.4" x14ac:dyDescent="0.3">
      <c r="A80" s="201">
        <v>43891</v>
      </c>
      <c r="B80" s="144"/>
      <c r="E80" s="135" t="s">
        <v>2516</v>
      </c>
      <c r="F80" s="135" t="s">
        <v>2517</v>
      </c>
      <c r="G80" s="137" t="s">
        <v>2627</v>
      </c>
      <c r="I80" s="130" t="s">
        <v>2628</v>
      </c>
    </row>
    <row r="81" spans="1:10" ht="28.8" x14ac:dyDescent="0.3">
      <c r="A81" s="201">
        <v>43891</v>
      </c>
      <c r="B81" s="144"/>
      <c r="E81" s="135" t="s">
        <v>2516</v>
      </c>
      <c r="F81" s="135" t="s">
        <v>2517</v>
      </c>
      <c r="G81" s="137" t="s">
        <v>2629</v>
      </c>
      <c r="I81" s="130" t="s">
        <v>2628</v>
      </c>
    </row>
    <row r="82" spans="1:10" ht="43.2" x14ac:dyDescent="0.3">
      <c r="A82" s="201">
        <v>43891</v>
      </c>
      <c r="B82" s="144"/>
      <c r="E82" s="135" t="s">
        <v>2516</v>
      </c>
      <c r="F82" s="135" t="s">
        <v>2517</v>
      </c>
      <c r="G82" s="137" t="s">
        <v>2630</v>
      </c>
      <c r="I82" s="130" t="s">
        <v>2628</v>
      </c>
    </row>
    <row r="83" spans="1:10" ht="28.8" x14ac:dyDescent="0.3">
      <c r="A83" s="201">
        <v>43891</v>
      </c>
      <c r="B83" s="144"/>
      <c r="E83" s="135" t="s">
        <v>2516</v>
      </c>
      <c r="F83" s="135" t="s">
        <v>2517</v>
      </c>
      <c r="G83" s="137" t="s">
        <v>2631</v>
      </c>
      <c r="I83" s="130" t="s">
        <v>2628</v>
      </c>
    </row>
    <row r="84" spans="1:10" ht="43.2" x14ac:dyDescent="0.3">
      <c r="A84" s="201">
        <v>43891</v>
      </c>
      <c r="B84" s="144"/>
      <c r="E84" s="135" t="s">
        <v>2516</v>
      </c>
      <c r="F84" s="135" t="s">
        <v>2517</v>
      </c>
      <c r="G84" s="137" t="s">
        <v>2632</v>
      </c>
      <c r="I84" s="130" t="s">
        <v>2628</v>
      </c>
    </row>
    <row r="85" spans="1:10" ht="57.6" x14ac:dyDescent="0.3">
      <c r="A85" s="145">
        <v>44050</v>
      </c>
      <c r="B85" s="145"/>
      <c r="E85" s="135" t="s">
        <v>2516</v>
      </c>
      <c r="F85" s="135" t="s">
        <v>2308</v>
      </c>
      <c r="G85" s="130" t="s">
        <v>2633</v>
      </c>
      <c r="H85" s="131" t="s">
        <v>807</v>
      </c>
      <c r="I85" s="130" t="s">
        <v>2628</v>
      </c>
    </row>
    <row r="86" spans="1:10" ht="72" x14ac:dyDescent="0.3">
      <c r="A86" s="145">
        <v>44105</v>
      </c>
      <c r="B86" s="145"/>
      <c r="E86" s="135" t="s">
        <v>2516</v>
      </c>
      <c r="F86" s="135" t="s">
        <v>2308</v>
      </c>
      <c r="G86" s="130" t="s">
        <v>2634</v>
      </c>
      <c r="H86" s="131"/>
    </row>
    <row r="87" spans="1:10" ht="28.8" x14ac:dyDescent="0.3">
      <c r="A87" s="145">
        <v>44116</v>
      </c>
      <c r="B87" s="145"/>
      <c r="E87" s="135" t="s">
        <v>2516</v>
      </c>
      <c r="F87" s="135" t="s">
        <v>2517</v>
      </c>
      <c r="G87" s="130" t="s">
        <v>2635</v>
      </c>
      <c r="H87" s="131"/>
      <c r="J87" s="130" t="s">
        <v>2592</v>
      </c>
    </row>
    <row r="88" spans="1:10" ht="28.8" x14ac:dyDescent="0.3">
      <c r="A88" s="145">
        <v>44223</v>
      </c>
      <c r="B88" s="145"/>
      <c r="E88" s="135" t="s">
        <v>2516</v>
      </c>
      <c r="F88" s="135" t="s">
        <v>2517</v>
      </c>
      <c r="G88" s="130" t="s">
        <v>2636</v>
      </c>
      <c r="H88" s="131"/>
      <c r="I88" s="130" t="s">
        <v>2637</v>
      </c>
    </row>
    <row r="89" spans="1:10" ht="43.2" x14ac:dyDescent="0.3">
      <c r="A89" s="145">
        <v>44223</v>
      </c>
      <c r="B89" s="145"/>
      <c r="E89" s="135" t="s">
        <v>2516</v>
      </c>
      <c r="F89" s="135" t="s">
        <v>2517</v>
      </c>
      <c r="G89" s="130" t="s">
        <v>2638</v>
      </c>
      <c r="H89" s="131" t="s">
        <v>2639</v>
      </c>
      <c r="I89" s="130" t="s">
        <v>2637</v>
      </c>
    </row>
    <row r="90" spans="1:10" ht="14.4" x14ac:dyDescent="0.3">
      <c r="A90" s="145">
        <v>44223</v>
      </c>
      <c r="B90" s="145"/>
      <c r="E90" s="135" t="s">
        <v>2516</v>
      </c>
      <c r="F90" s="135" t="s">
        <v>2517</v>
      </c>
      <c r="G90" s="130" t="s">
        <v>2640</v>
      </c>
      <c r="H90" s="131" t="s">
        <v>2641</v>
      </c>
      <c r="I90" s="130" t="s">
        <v>2637</v>
      </c>
    </row>
    <row r="91" spans="1:10" ht="14.4" x14ac:dyDescent="0.3">
      <c r="A91" s="145">
        <v>44223</v>
      </c>
      <c r="B91" s="145"/>
      <c r="E91" s="135" t="s">
        <v>2516</v>
      </c>
      <c r="F91" s="135" t="s">
        <v>2517</v>
      </c>
      <c r="G91" s="130" t="s">
        <v>2642</v>
      </c>
      <c r="H91" s="131" t="s">
        <v>2641</v>
      </c>
      <c r="I91" s="130" t="s">
        <v>2637</v>
      </c>
    </row>
    <row r="92" spans="1:10" ht="14.4" x14ac:dyDescent="0.3">
      <c r="A92" s="145">
        <v>44223</v>
      </c>
      <c r="B92" s="145"/>
      <c r="E92" s="135" t="s">
        <v>2516</v>
      </c>
      <c r="F92" s="135" t="s">
        <v>2517</v>
      </c>
      <c r="G92" s="130" t="s">
        <v>2643</v>
      </c>
      <c r="H92" s="131" t="s">
        <v>2641</v>
      </c>
      <c r="I92" s="130" t="s">
        <v>2637</v>
      </c>
    </row>
    <row r="93" spans="1:10" ht="129.6" x14ac:dyDescent="0.3">
      <c r="A93" s="145">
        <v>44223</v>
      </c>
      <c r="B93" s="145"/>
      <c r="E93" s="135" t="s">
        <v>2516</v>
      </c>
      <c r="F93" s="135" t="s">
        <v>2308</v>
      </c>
      <c r="G93" s="130" t="s">
        <v>2644</v>
      </c>
      <c r="H93" s="131" t="s">
        <v>2645</v>
      </c>
      <c r="I93" s="130" t="s">
        <v>2646</v>
      </c>
      <c r="J93" s="130" t="s">
        <v>2641</v>
      </c>
    </row>
    <row r="94" spans="1:10" s="129" customFormat="1" ht="43.2" x14ac:dyDescent="0.3">
      <c r="A94" s="146">
        <v>44223</v>
      </c>
      <c r="B94" s="146"/>
      <c r="C94" s="133"/>
      <c r="D94" s="133"/>
      <c r="E94" s="147" t="s">
        <v>2516</v>
      </c>
      <c r="F94" s="147" t="s">
        <v>2308</v>
      </c>
      <c r="G94" s="133" t="s">
        <v>2647</v>
      </c>
      <c r="H94" s="148" t="s">
        <v>2648</v>
      </c>
      <c r="I94" s="133" t="s">
        <v>2649</v>
      </c>
      <c r="J94" s="133" t="s">
        <v>2592</v>
      </c>
    </row>
    <row r="95" spans="1:10" ht="360" x14ac:dyDescent="0.3">
      <c r="A95" s="145">
        <v>44223</v>
      </c>
      <c r="B95" s="145"/>
      <c r="E95" s="135" t="s">
        <v>2516</v>
      </c>
      <c r="F95" s="135" t="s">
        <v>2308</v>
      </c>
      <c r="G95" s="130" t="s">
        <v>2650</v>
      </c>
      <c r="H95" s="131" t="s">
        <v>2651</v>
      </c>
      <c r="I95" s="130" t="s">
        <v>2646</v>
      </c>
      <c r="J95" s="130" t="s">
        <v>2641</v>
      </c>
    </row>
    <row r="96" spans="1:10" ht="28.8" x14ac:dyDescent="0.3">
      <c r="A96" s="145">
        <v>44223</v>
      </c>
      <c r="B96" s="145"/>
      <c r="E96" s="135" t="s">
        <v>2516</v>
      </c>
      <c r="F96" s="135" t="s">
        <v>2517</v>
      </c>
      <c r="G96" s="130" t="s">
        <v>2652</v>
      </c>
      <c r="H96" s="131" t="s">
        <v>2641</v>
      </c>
      <c r="I96" s="130" t="s">
        <v>2637</v>
      </c>
    </row>
    <row r="97" spans="1:10" ht="28.8" x14ac:dyDescent="0.3">
      <c r="A97" s="145">
        <v>44224</v>
      </c>
      <c r="B97" s="145"/>
      <c r="E97" s="135" t="s">
        <v>2516</v>
      </c>
      <c r="F97" s="135" t="s">
        <v>2517</v>
      </c>
      <c r="G97" s="130" t="s">
        <v>2653</v>
      </c>
      <c r="H97" s="131" t="s">
        <v>2641</v>
      </c>
      <c r="I97" s="130" t="s">
        <v>2637</v>
      </c>
    </row>
    <row r="98" spans="1:10" ht="14.4" x14ac:dyDescent="0.3">
      <c r="A98" s="145">
        <v>44224</v>
      </c>
      <c r="B98" s="145"/>
      <c r="E98" s="135" t="s">
        <v>2516</v>
      </c>
      <c r="F98" s="135" t="s">
        <v>2517</v>
      </c>
      <c r="G98" s="130" t="s">
        <v>2654</v>
      </c>
      <c r="H98" s="131" t="s">
        <v>2641</v>
      </c>
      <c r="I98" s="130" t="s">
        <v>2637</v>
      </c>
    </row>
    <row r="99" spans="1:10" ht="43.2" x14ac:dyDescent="0.3">
      <c r="A99" s="145">
        <v>44224</v>
      </c>
      <c r="B99" s="145"/>
      <c r="E99" s="135" t="s">
        <v>2516</v>
      </c>
      <c r="F99" s="135" t="s">
        <v>2517</v>
      </c>
      <c r="G99" s="130" t="s">
        <v>2655</v>
      </c>
      <c r="H99" s="131" t="s">
        <v>2641</v>
      </c>
      <c r="I99" s="130" t="s">
        <v>2637</v>
      </c>
    </row>
    <row r="100" spans="1:10" ht="28.8" x14ac:dyDescent="0.3">
      <c r="A100" s="145">
        <v>44224</v>
      </c>
      <c r="B100" s="145"/>
      <c r="E100" s="135" t="s">
        <v>2516</v>
      </c>
      <c r="F100" s="135" t="s">
        <v>2517</v>
      </c>
      <c r="G100" s="130" t="s">
        <v>2656</v>
      </c>
      <c r="H100" s="131" t="s">
        <v>2641</v>
      </c>
      <c r="I100" s="130" t="s">
        <v>2637</v>
      </c>
    </row>
    <row r="101" spans="1:10" ht="172.8" x14ac:dyDescent="0.3">
      <c r="A101" s="145">
        <v>44224</v>
      </c>
      <c r="B101" s="145"/>
      <c r="E101" s="135" t="s">
        <v>2516</v>
      </c>
      <c r="F101" s="135" t="s">
        <v>2308</v>
      </c>
      <c r="G101" s="130" t="s">
        <v>2657</v>
      </c>
      <c r="H101" s="131" t="s">
        <v>2658</v>
      </c>
      <c r="I101" s="130" t="s">
        <v>2646</v>
      </c>
      <c r="J101" s="130" t="s">
        <v>2641</v>
      </c>
    </row>
    <row r="102" spans="1:10" ht="28.8" x14ac:dyDescent="0.3">
      <c r="A102" s="145">
        <v>44230</v>
      </c>
      <c r="B102" s="145"/>
      <c r="E102" s="135" t="s">
        <v>2516</v>
      </c>
      <c r="F102" s="135" t="s">
        <v>2517</v>
      </c>
      <c r="G102" s="130" t="s">
        <v>2659</v>
      </c>
      <c r="H102" s="131" t="s">
        <v>2641</v>
      </c>
      <c r="I102" s="130" t="s">
        <v>2637</v>
      </c>
    </row>
    <row r="103" spans="1:10" ht="57.6" x14ac:dyDescent="0.3">
      <c r="A103" s="145">
        <v>44230</v>
      </c>
      <c r="B103" s="145"/>
      <c r="E103" s="135" t="s">
        <v>2516</v>
      </c>
      <c r="F103" s="135" t="s">
        <v>2517</v>
      </c>
      <c r="G103" s="130" t="s">
        <v>2660</v>
      </c>
      <c r="H103" s="131" t="s">
        <v>2661</v>
      </c>
      <c r="I103" s="130" t="s">
        <v>2646</v>
      </c>
      <c r="J103" s="130" t="s">
        <v>2641</v>
      </c>
    </row>
    <row r="104" spans="1:10" ht="28.8" x14ac:dyDescent="0.3">
      <c r="A104" s="145">
        <v>44445</v>
      </c>
      <c r="B104" s="145"/>
      <c r="E104" s="135" t="s">
        <v>2516</v>
      </c>
      <c r="F104" s="135" t="s">
        <v>2517</v>
      </c>
      <c r="G104" s="130" t="s">
        <v>2662</v>
      </c>
      <c r="H104" s="131" t="s">
        <v>2641</v>
      </c>
      <c r="I104" s="130" t="s">
        <v>2646</v>
      </c>
    </row>
    <row r="105" spans="1:10" ht="28.8" x14ac:dyDescent="0.3">
      <c r="A105" s="145">
        <v>44445</v>
      </c>
      <c r="B105" s="145"/>
      <c r="E105" s="135" t="s">
        <v>2516</v>
      </c>
      <c r="F105" s="135" t="s">
        <v>2517</v>
      </c>
      <c r="G105" s="130" t="s">
        <v>2663</v>
      </c>
      <c r="H105" s="131" t="s">
        <v>2641</v>
      </c>
      <c r="I105" s="130" t="s">
        <v>2646</v>
      </c>
    </row>
    <row r="106" spans="1:10" ht="57.6" x14ac:dyDescent="0.3">
      <c r="A106" s="145">
        <v>44461</v>
      </c>
      <c r="B106" s="145"/>
      <c r="E106" s="135" t="s">
        <v>2516</v>
      </c>
      <c r="F106" s="135" t="s">
        <v>2517</v>
      </c>
      <c r="G106" s="131" t="s">
        <v>2664</v>
      </c>
      <c r="H106" s="131" t="s">
        <v>2641</v>
      </c>
      <c r="I106" s="130" t="s">
        <v>2646</v>
      </c>
    </row>
    <row r="107" spans="1:10" ht="72" x14ac:dyDescent="0.3">
      <c r="A107" s="145">
        <v>44480</v>
      </c>
      <c r="B107" s="134"/>
      <c r="E107" s="130" t="s">
        <v>1047</v>
      </c>
      <c r="G107" s="130" t="s">
        <v>2665</v>
      </c>
      <c r="H107" s="131" t="s">
        <v>2666</v>
      </c>
      <c r="I107" s="130" t="s">
        <v>2646</v>
      </c>
      <c r="J107" s="130" t="s">
        <v>2641</v>
      </c>
    </row>
    <row r="108" spans="1:10" ht="86.4" x14ac:dyDescent="0.3">
      <c r="A108" s="145">
        <v>44480</v>
      </c>
      <c r="B108" s="134"/>
      <c r="E108" s="130" t="s">
        <v>2516</v>
      </c>
      <c r="F108" s="130" t="s">
        <v>2517</v>
      </c>
      <c r="G108" s="130" t="s">
        <v>2667</v>
      </c>
      <c r="H108" s="130" t="s">
        <v>2668</v>
      </c>
      <c r="I108" s="130" t="s">
        <v>2646</v>
      </c>
      <c r="J108" s="130" t="s">
        <v>2641</v>
      </c>
    </row>
    <row r="109" spans="1:10" ht="28.8" x14ac:dyDescent="0.3">
      <c r="A109" s="145">
        <v>44480</v>
      </c>
      <c r="B109" s="134"/>
      <c r="E109" s="130" t="s">
        <v>2516</v>
      </c>
      <c r="G109" s="130" t="s">
        <v>2669</v>
      </c>
      <c r="H109" s="130" t="s">
        <v>2670</v>
      </c>
      <c r="I109" s="130" t="s">
        <v>2646</v>
      </c>
      <c r="J109" s="130" t="s">
        <v>2641</v>
      </c>
    </row>
    <row r="110" spans="1:10" ht="14.4" x14ac:dyDescent="0.3">
      <c r="A110" s="145">
        <v>44480</v>
      </c>
      <c r="B110" s="134"/>
      <c r="E110" s="130" t="s">
        <v>2516</v>
      </c>
      <c r="G110" s="130" t="s">
        <v>2671</v>
      </c>
      <c r="H110" s="130" t="s">
        <v>2672</v>
      </c>
      <c r="I110" s="130" t="s">
        <v>2646</v>
      </c>
      <c r="J110" s="130" t="s">
        <v>2641</v>
      </c>
    </row>
    <row r="111" spans="1:10" ht="115.2" x14ac:dyDescent="0.3">
      <c r="A111" s="145">
        <v>44480</v>
      </c>
      <c r="B111" s="134"/>
      <c r="E111" s="130" t="s">
        <v>1047</v>
      </c>
      <c r="G111" s="130" t="s">
        <v>2673</v>
      </c>
      <c r="H111" s="130" t="s">
        <v>2674</v>
      </c>
      <c r="I111" s="130" t="s">
        <v>2646</v>
      </c>
      <c r="J111" s="130" t="s">
        <v>2675</v>
      </c>
    </row>
    <row r="112" spans="1:10" ht="115.2" x14ac:dyDescent="0.3">
      <c r="A112" s="145">
        <v>44480</v>
      </c>
      <c r="B112" s="134"/>
      <c r="E112" s="130" t="s">
        <v>1047</v>
      </c>
      <c r="G112" s="130" t="s">
        <v>2676</v>
      </c>
      <c r="H112" s="130" t="s">
        <v>2677</v>
      </c>
      <c r="I112" s="130" t="s">
        <v>2646</v>
      </c>
      <c r="J112" s="130" t="s">
        <v>2641</v>
      </c>
    </row>
    <row r="113" spans="1:10" ht="43.2" x14ac:dyDescent="0.3">
      <c r="A113" s="145">
        <v>44502</v>
      </c>
      <c r="B113" s="134"/>
      <c r="E113" s="130" t="s">
        <v>1047</v>
      </c>
      <c r="G113" s="130" t="s">
        <v>2678</v>
      </c>
      <c r="I113" s="130" t="s">
        <v>2646</v>
      </c>
    </row>
    <row r="114" spans="1:10" ht="72" x14ac:dyDescent="0.3">
      <c r="A114" s="145">
        <v>44502</v>
      </c>
      <c r="B114" s="134" t="s">
        <v>2679</v>
      </c>
      <c r="E114" s="130" t="s">
        <v>1047</v>
      </c>
      <c r="G114" s="130" t="s">
        <v>2680</v>
      </c>
      <c r="H114" s="130" t="s">
        <v>2681</v>
      </c>
      <c r="I114" s="130" t="s">
        <v>2646</v>
      </c>
      <c r="J114" s="130" t="s">
        <v>2641</v>
      </c>
    </row>
    <row r="115" spans="1:10" ht="187.2" x14ac:dyDescent="0.3">
      <c r="A115" s="145">
        <v>44502</v>
      </c>
      <c r="B115" s="134" t="s">
        <v>2679</v>
      </c>
      <c r="E115" s="130" t="s">
        <v>1047</v>
      </c>
      <c r="G115" s="130" t="s">
        <v>2682</v>
      </c>
      <c r="H115" s="130" t="s">
        <v>2683</v>
      </c>
      <c r="I115" s="130" t="s">
        <v>2646</v>
      </c>
      <c r="J115" s="130" t="s">
        <v>2641</v>
      </c>
    </row>
    <row r="116" spans="1:10" ht="28.8" x14ac:dyDescent="0.3">
      <c r="A116" s="145">
        <v>44509</v>
      </c>
      <c r="B116" s="134" t="s">
        <v>2684</v>
      </c>
      <c r="E116" s="130" t="s">
        <v>1047</v>
      </c>
      <c r="F116" s="130" t="s">
        <v>2517</v>
      </c>
      <c r="G116" s="130" t="s">
        <v>2685</v>
      </c>
      <c r="I116" s="130" t="s">
        <v>2646</v>
      </c>
      <c r="J116" s="130" t="s">
        <v>2641</v>
      </c>
    </row>
    <row r="117" spans="1:10" ht="43.2" x14ac:dyDescent="0.3">
      <c r="A117" s="145">
        <v>44509</v>
      </c>
      <c r="B117" s="134" t="s">
        <v>2684</v>
      </c>
      <c r="E117" s="130" t="s">
        <v>1047</v>
      </c>
      <c r="F117" s="130" t="s">
        <v>2517</v>
      </c>
      <c r="G117" s="130" t="s">
        <v>2686</v>
      </c>
      <c r="H117" s="130" t="s">
        <v>2687</v>
      </c>
      <c r="I117" s="130" t="s">
        <v>2646</v>
      </c>
      <c r="J117" s="130" t="s">
        <v>2592</v>
      </c>
    </row>
    <row r="118" spans="1:10" ht="43.2" x14ac:dyDescent="0.3">
      <c r="A118" s="145">
        <v>44511</v>
      </c>
      <c r="E118" s="130" t="s">
        <v>2516</v>
      </c>
      <c r="F118" s="130" t="s">
        <v>2308</v>
      </c>
      <c r="G118" s="130" t="s">
        <v>2688</v>
      </c>
      <c r="H118" s="130" t="s">
        <v>2592</v>
      </c>
      <c r="I118" s="130" t="s">
        <v>2689</v>
      </c>
      <c r="J118" s="130" t="s">
        <v>2592</v>
      </c>
    </row>
    <row r="119" spans="1:10" ht="28.8" x14ac:dyDescent="0.3">
      <c r="A119" s="145">
        <v>44527</v>
      </c>
      <c r="E119" s="130" t="s">
        <v>2516</v>
      </c>
      <c r="F119" s="130" t="s">
        <v>2308</v>
      </c>
      <c r="G119" s="130" t="s">
        <v>2690</v>
      </c>
      <c r="I119" s="130" t="s">
        <v>2689</v>
      </c>
    </row>
    <row r="120" spans="1:10" ht="28.8" x14ac:dyDescent="0.3">
      <c r="A120" s="145">
        <v>44543</v>
      </c>
      <c r="E120" s="130" t="s">
        <v>2516</v>
      </c>
      <c r="F120" s="130" t="s">
        <v>2517</v>
      </c>
      <c r="G120" s="130" t="s">
        <v>2691</v>
      </c>
      <c r="I120" s="130" t="s">
        <v>2689</v>
      </c>
    </row>
    <row r="121" spans="1:10" ht="86.4" x14ac:dyDescent="0.3">
      <c r="A121" s="145">
        <v>44548</v>
      </c>
      <c r="B121" s="130" t="s">
        <v>2692</v>
      </c>
      <c r="E121" s="130" t="s">
        <v>2516</v>
      </c>
      <c r="F121" s="130" t="s">
        <v>2517</v>
      </c>
      <c r="G121" s="130" t="s">
        <v>2693</v>
      </c>
      <c r="H121" s="130" t="s">
        <v>2694</v>
      </c>
      <c r="I121" s="130" t="s">
        <v>2695</v>
      </c>
      <c r="J121" s="130" t="s">
        <v>2641</v>
      </c>
    </row>
    <row r="122" spans="1:10" ht="86.4" x14ac:dyDescent="0.3">
      <c r="A122" s="145">
        <v>44548</v>
      </c>
      <c r="B122" s="130" t="s">
        <v>2692</v>
      </c>
      <c r="E122" s="130" t="s">
        <v>2516</v>
      </c>
      <c r="F122" s="130" t="s">
        <v>2517</v>
      </c>
      <c r="G122" s="130" t="s">
        <v>2693</v>
      </c>
      <c r="H122" s="130" t="s">
        <v>2694</v>
      </c>
      <c r="I122" s="130" t="s">
        <v>2695</v>
      </c>
      <c r="J122" s="130" t="s">
        <v>2641</v>
      </c>
    </row>
    <row r="123" spans="1:10" ht="14.4" x14ac:dyDescent="0.3">
      <c r="A123" s="145">
        <v>44202</v>
      </c>
      <c r="B123" s="130" t="s">
        <v>2692</v>
      </c>
      <c r="E123" s="130" t="s">
        <v>2516</v>
      </c>
      <c r="F123" s="130" t="s">
        <v>2517</v>
      </c>
      <c r="G123" s="130" t="s">
        <v>2696</v>
      </c>
    </row>
    <row r="124" spans="1:10" ht="28.8" x14ac:dyDescent="0.3">
      <c r="A124" s="145">
        <v>44243</v>
      </c>
      <c r="B124" s="130" t="s">
        <v>2692</v>
      </c>
      <c r="E124" s="130" t="s">
        <v>2516</v>
      </c>
      <c r="F124" s="130" t="s">
        <v>2517</v>
      </c>
      <c r="G124" s="130" t="s">
        <v>2697</v>
      </c>
      <c r="J124" s="130" t="s">
        <v>2592</v>
      </c>
    </row>
    <row r="125" spans="1:10" ht="28.8" x14ac:dyDescent="0.3">
      <c r="A125" s="145">
        <v>44243</v>
      </c>
      <c r="B125" s="130" t="s">
        <v>2692</v>
      </c>
      <c r="E125" s="130" t="s">
        <v>1047</v>
      </c>
      <c r="F125" s="130" t="s">
        <v>2517</v>
      </c>
      <c r="G125" s="130" t="s">
        <v>2698</v>
      </c>
      <c r="J125" s="130" t="s">
        <v>2641</v>
      </c>
    </row>
    <row r="126" spans="1:10" ht="28.8" x14ac:dyDescent="0.3">
      <c r="A126" s="145">
        <v>44235</v>
      </c>
      <c r="B126" s="130" t="s">
        <v>2692</v>
      </c>
      <c r="E126" s="130" t="s">
        <v>1047</v>
      </c>
      <c r="F126" s="130" t="s">
        <v>2517</v>
      </c>
      <c r="G126" s="130" t="s">
        <v>2699</v>
      </c>
      <c r="J126" s="130" t="s">
        <v>2641</v>
      </c>
    </row>
    <row r="127" spans="1:10" ht="14.4" x14ac:dyDescent="0.3">
      <c r="A127" s="145">
        <v>44649</v>
      </c>
      <c r="B127" s="130" t="s">
        <v>2692</v>
      </c>
      <c r="E127" s="130" t="s">
        <v>1047</v>
      </c>
      <c r="F127" s="130" t="s">
        <v>2517</v>
      </c>
      <c r="G127" s="130" t="s">
        <v>2700</v>
      </c>
      <c r="J127" s="130" t="s">
        <v>2641</v>
      </c>
    </row>
    <row r="128" spans="1:10" ht="14.4" x14ac:dyDescent="0.3">
      <c r="A128" s="145">
        <v>44669</v>
      </c>
      <c r="B128" s="130" t="s">
        <v>2692</v>
      </c>
      <c r="E128" s="130" t="s">
        <v>1047</v>
      </c>
      <c r="F128" s="130" t="s">
        <v>2517</v>
      </c>
      <c r="G128" s="130" t="s">
        <v>2701</v>
      </c>
      <c r="J128" s="130" t="s">
        <v>2641</v>
      </c>
    </row>
    <row r="129" spans="1:10" ht="28.8" x14ac:dyDescent="0.3">
      <c r="A129" s="145">
        <v>44659</v>
      </c>
      <c r="B129" s="130" t="s">
        <v>2692</v>
      </c>
      <c r="E129" s="130" t="s">
        <v>1047</v>
      </c>
      <c r="F129" s="130" t="s">
        <v>2517</v>
      </c>
      <c r="G129" s="130" t="s">
        <v>2702</v>
      </c>
      <c r="J129" s="130" t="s">
        <v>2641</v>
      </c>
    </row>
    <row r="130" spans="1:10" ht="14.4" x14ac:dyDescent="0.3">
      <c r="A130" s="145">
        <v>44692</v>
      </c>
      <c r="B130" s="130" t="s">
        <v>2692</v>
      </c>
      <c r="E130" s="130" t="s">
        <v>2516</v>
      </c>
      <c r="F130" s="130" t="s">
        <v>2517</v>
      </c>
      <c r="G130" s="130" t="s">
        <v>2703</v>
      </c>
    </row>
    <row r="131" spans="1:10" ht="28.8" x14ac:dyDescent="0.3">
      <c r="A131" s="145">
        <v>44719</v>
      </c>
      <c r="B131" s="130" t="s">
        <v>2692</v>
      </c>
      <c r="E131" s="130" t="s">
        <v>2516</v>
      </c>
      <c r="F131" s="130" t="s">
        <v>2704</v>
      </c>
      <c r="G131" s="130" t="s">
        <v>2705</v>
      </c>
      <c r="I131" s="130" t="s">
        <v>2706</v>
      </c>
      <c r="J131" s="130" t="s">
        <v>2641</v>
      </c>
    </row>
    <row r="132" spans="1:10" ht="14.4" x14ac:dyDescent="0.3">
      <c r="A132" s="145">
        <v>44721</v>
      </c>
      <c r="B132" s="130" t="s">
        <v>2692</v>
      </c>
      <c r="E132" s="130" t="s">
        <v>2516</v>
      </c>
      <c r="F132" s="130" t="s">
        <v>2704</v>
      </c>
      <c r="G132" s="130" t="s">
        <v>2707</v>
      </c>
      <c r="I132" s="130" t="s">
        <v>2706</v>
      </c>
      <c r="J132" s="130" t="s">
        <v>2641</v>
      </c>
    </row>
    <row r="133" spans="1:10" ht="28.8" x14ac:dyDescent="0.3">
      <c r="B133" s="130" t="s">
        <v>2692</v>
      </c>
      <c r="E133" s="130" t="s">
        <v>2516</v>
      </c>
      <c r="F133" s="130" t="s">
        <v>2708</v>
      </c>
      <c r="G133" s="130" t="s">
        <v>2709</v>
      </c>
      <c r="I133" s="130" t="s">
        <v>2706</v>
      </c>
    </row>
    <row r="134" spans="1:10" ht="43.2" x14ac:dyDescent="0.3">
      <c r="A134" s="145">
        <v>44725</v>
      </c>
      <c r="B134" s="130" t="s">
        <v>2692</v>
      </c>
      <c r="E134" s="130" t="s">
        <v>2516</v>
      </c>
      <c r="G134" s="130" t="s">
        <v>2710</v>
      </c>
      <c r="I134" s="130" t="s">
        <v>2711</v>
      </c>
      <c r="J134" s="130" t="s">
        <v>2641</v>
      </c>
    </row>
    <row r="135" spans="1:10" ht="43.2" x14ac:dyDescent="0.3">
      <c r="A135" s="145">
        <v>44760</v>
      </c>
      <c r="B135" s="130" t="s">
        <v>2692</v>
      </c>
      <c r="E135" s="130" t="s">
        <v>2516</v>
      </c>
      <c r="G135" s="130" t="s">
        <v>2712</v>
      </c>
      <c r="I135" s="130" t="s">
        <v>2713</v>
      </c>
      <c r="J135" s="130" t="s">
        <v>2641</v>
      </c>
    </row>
    <row r="136" spans="1:10" ht="86.4" x14ac:dyDescent="0.3">
      <c r="A136" s="145">
        <v>44854</v>
      </c>
      <c r="B136" s="130" t="s">
        <v>2692</v>
      </c>
      <c r="E136" s="130" t="s">
        <v>2516</v>
      </c>
      <c r="G136" s="130" t="s">
        <v>2714</v>
      </c>
      <c r="I136" s="130" t="s">
        <v>2713</v>
      </c>
    </row>
    <row r="137" spans="1:10" ht="28.8" x14ac:dyDescent="0.3">
      <c r="A137" s="145">
        <v>44889</v>
      </c>
      <c r="B137" s="130" t="s">
        <v>2692</v>
      </c>
      <c r="E137" s="130" t="s">
        <v>2516</v>
      </c>
      <c r="G137" s="130" t="s">
        <v>2715</v>
      </c>
      <c r="I137" s="130" t="s">
        <v>2713</v>
      </c>
      <c r="J137" s="130" t="s">
        <v>2641</v>
      </c>
    </row>
    <row r="138" spans="1:10" ht="28.8" x14ac:dyDescent="0.3">
      <c r="A138" s="145">
        <v>44890</v>
      </c>
      <c r="B138" s="130" t="s">
        <v>2692</v>
      </c>
      <c r="E138" s="130" t="s">
        <v>2516</v>
      </c>
      <c r="G138" s="130" t="s">
        <v>2716</v>
      </c>
      <c r="I138" s="130" t="s">
        <v>2713</v>
      </c>
      <c r="J138" s="130" t="s">
        <v>2641</v>
      </c>
    </row>
    <row r="139" spans="1:10" ht="43.2" x14ac:dyDescent="0.3">
      <c r="A139" s="145">
        <v>44897</v>
      </c>
      <c r="B139" s="130" t="s">
        <v>2692</v>
      </c>
      <c r="E139" s="130" t="s">
        <v>2516</v>
      </c>
      <c r="G139" s="130" t="s">
        <v>2717</v>
      </c>
      <c r="I139" s="130" t="s">
        <v>2713</v>
      </c>
      <c r="J139" s="130" t="s">
        <v>2641</v>
      </c>
    </row>
    <row r="140" spans="1:10" ht="57.6" x14ac:dyDescent="0.3">
      <c r="A140" s="145">
        <v>44900</v>
      </c>
      <c r="B140" s="130" t="s">
        <v>2692</v>
      </c>
      <c r="E140" s="130" t="s">
        <v>2516</v>
      </c>
      <c r="G140" s="130" t="s">
        <v>2718</v>
      </c>
      <c r="I140" s="130" t="s">
        <v>2713</v>
      </c>
      <c r="J140" s="130" t="s">
        <v>2641</v>
      </c>
    </row>
    <row r="141" spans="1:10" ht="129.6" x14ac:dyDescent="0.3">
      <c r="A141" s="145">
        <v>44900</v>
      </c>
      <c r="B141" s="130" t="s">
        <v>2692</v>
      </c>
      <c r="E141" s="130" t="s">
        <v>2516</v>
      </c>
      <c r="G141" s="130" t="s">
        <v>2719</v>
      </c>
      <c r="I141" s="130" t="s">
        <v>2713</v>
      </c>
      <c r="J141" s="130" t="s">
        <v>2641</v>
      </c>
    </row>
    <row r="142" spans="1:10" ht="72" x14ac:dyDescent="0.3">
      <c r="A142" s="145">
        <v>44921</v>
      </c>
      <c r="B142" s="130" t="s">
        <v>2692</v>
      </c>
      <c r="E142" s="130" t="s">
        <v>2516</v>
      </c>
      <c r="G142" s="131" t="s">
        <v>2720</v>
      </c>
      <c r="I142" s="130" t="s">
        <v>2713</v>
      </c>
      <c r="J142" s="130" t="s">
        <v>2641</v>
      </c>
    </row>
    <row r="143" spans="1:10" ht="86.4" x14ac:dyDescent="0.3">
      <c r="A143" s="145">
        <v>45128</v>
      </c>
      <c r="B143" s="130" t="s">
        <v>2692</v>
      </c>
      <c r="E143" s="130" t="s">
        <v>1047</v>
      </c>
      <c r="G143" s="130" t="s">
        <v>2759</v>
      </c>
      <c r="I143" s="130" t="s">
        <v>2754</v>
      </c>
      <c r="J143" s="130" t="s">
        <v>2641</v>
      </c>
    </row>
    <row r="144" spans="1:10" ht="28.8" x14ac:dyDescent="0.3">
      <c r="A144" s="145">
        <v>45076</v>
      </c>
      <c r="B144" s="130" t="s">
        <v>2692</v>
      </c>
      <c r="E144" s="130" t="s">
        <v>2516</v>
      </c>
      <c r="G144" s="130" t="s">
        <v>2758</v>
      </c>
      <c r="I144" s="130" t="s">
        <v>2754</v>
      </c>
      <c r="J144" s="130" t="s">
        <v>2641</v>
      </c>
    </row>
    <row r="145" spans="1:10" ht="57.6" x14ac:dyDescent="0.3">
      <c r="A145" s="145">
        <v>45133</v>
      </c>
      <c r="B145" s="130" t="s">
        <v>2692</v>
      </c>
      <c r="E145" s="130" t="s">
        <v>1047</v>
      </c>
      <c r="G145" s="130" t="s">
        <v>2760</v>
      </c>
      <c r="I145" s="130" t="s">
        <v>2754</v>
      </c>
      <c r="J145" s="130" t="s">
        <v>2641</v>
      </c>
    </row>
    <row r="146" spans="1:10" ht="72" x14ac:dyDescent="0.3">
      <c r="A146" s="145">
        <v>45141</v>
      </c>
      <c r="B146" s="130" t="s">
        <v>2692</v>
      </c>
      <c r="E146" s="130" t="s">
        <v>1047</v>
      </c>
      <c r="G146" s="130" t="s">
        <v>2763</v>
      </c>
      <c r="I146" s="130" t="s">
        <v>2754</v>
      </c>
      <c r="J146" s="130" t="s">
        <v>2641</v>
      </c>
    </row>
    <row r="147" spans="1:10" ht="43.2" x14ac:dyDescent="0.3">
      <c r="A147" s="145">
        <v>45141</v>
      </c>
      <c r="B147" s="130" t="s">
        <v>2692</v>
      </c>
      <c r="E147" s="130" t="s">
        <v>1047</v>
      </c>
      <c r="G147" s="130" t="s">
        <v>2764</v>
      </c>
      <c r="I147" s="130" t="s">
        <v>2754</v>
      </c>
      <c r="J147" s="130" t="s">
        <v>2641</v>
      </c>
    </row>
    <row r="148" spans="1:10" ht="14.4" x14ac:dyDescent="0.3">
      <c r="A148" s="145">
        <v>45146</v>
      </c>
      <c r="B148" s="130" t="s">
        <v>2692</v>
      </c>
      <c r="E148" s="130" t="s">
        <v>2516</v>
      </c>
      <c r="F148" s="130" t="s">
        <v>2765</v>
      </c>
      <c r="G148" s="130" t="s">
        <v>2766</v>
      </c>
      <c r="I148" s="130" t="s">
        <v>2754</v>
      </c>
      <c r="J148" s="130" t="s">
        <v>2641</v>
      </c>
    </row>
    <row r="149" spans="1:10" ht="14.4" x14ac:dyDescent="0.3">
      <c r="A149" s="145">
        <v>45154</v>
      </c>
      <c r="B149" s="130" t="s">
        <v>2692</v>
      </c>
      <c r="E149" s="130" t="s">
        <v>2516</v>
      </c>
      <c r="G149" s="130" t="s">
        <v>2768</v>
      </c>
      <c r="I149" s="130" t="s">
        <v>2754</v>
      </c>
      <c r="J149" s="130" t="s">
        <v>2641</v>
      </c>
    </row>
    <row r="150" spans="1:10" ht="14.4" x14ac:dyDescent="0.3">
      <c r="A150" s="145">
        <v>45236</v>
      </c>
      <c r="B150" s="130" t="s">
        <v>2692</v>
      </c>
      <c r="E150" s="130" t="s">
        <v>2516</v>
      </c>
      <c r="F150" s="130" t="s">
        <v>2704</v>
      </c>
      <c r="G150" s="130" t="s">
        <v>2791</v>
      </c>
      <c r="I150" s="130" t="s">
        <v>2790</v>
      </c>
      <c r="J150" s="130" t="s">
        <v>2641</v>
      </c>
    </row>
    <row r="151" spans="1:10" ht="14.4" x14ac:dyDescent="0.3">
      <c r="A151" s="145">
        <v>45244</v>
      </c>
      <c r="B151" s="130" t="s">
        <v>2692</v>
      </c>
      <c r="E151" s="130" t="s">
        <v>2516</v>
      </c>
      <c r="F151" s="130" t="s">
        <v>2704</v>
      </c>
      <c r="G151" s="130" t="s">
        <v>2792</v>
      </c>
      <c r="I151" s="130" t="s">
        <v>2790</v>
      </c>
      <c r="J151" s="130" t="s">
        <v>2641</v>
      </c>
    </row>
    <row r="152" spans="1:10" ht="14.4" x14ac:dyDescent="0.3">
      <c r="A152" s="145">
        <v>45246</v>
      </c>
      <c r="B152" s="130" t="s">
        <v>2692</v>
      </c>
      <c r="E152" s="130" t="s">
        <v>2516</v>
      </c>
      <c r="F152" s="130" t="s">
        <v>2704</v>
      </c>
      <c r="G152" s="130" t="s">
        <v>2789</v>
      </c>
      <c r="I152" s="130" t="s">
        <v>2790</v>
      </c>
      <c r="J152" s="130" t="s">
        <v>2641</v>
      </c>
    </row>
    <row r="153" spans="1:10" ht="43.2" x14ac:dyDescent="0.3">
      <c r="A153" s="145">
        <v>45274</v>
      </c>
      <c r="B153" s="130" t="s">
        <v>2692</v>
      </c>
      <c r="E153" s="130" t="s">
        <v>1047</v>
      </c>
      <c r="G153" s="130" t="s">
        <v>2793</v>
      </c>
      <c r="I153" s="130" t="s">
        <v>2790</v>
      </c>
      <c r="J153" s="130" t="s">
        <v>2641</v>
      </c>
    </row>
    <row r="154" spans="1:10" ht="14.4" x14ac:dyDescent="0.3">
      <c r="A154" s="145">
        <v>45287</v>
      </c>
      <c r="B154" s="130" t="s">
        <v>2692</v>
      </c>
      <c r="E154" s="130" t="s">
        <v>2516</v>
      </c>
      <c r="G154" s="130" t="s">
        <v>2797</v>
      </c>
      <c r="I154" s="130" t="s">
        <v>2790</v>
      </c>
      <c r="J154" s="130" t="s">
        <v>2641</v>
      </c>
    </row>
    <row r="155" spans="1:10" ht="14.4" x14ac:dyDescent="0.3">
      <c r="A155" s="145">
        <v>45313</v>
      </c>
      <c r="B155" s="130" t="s">
        <v>2692</v>
      </c>
      <c r="E155" s="130" t="s">
        <v>2516</v>
      </c>
      <c r="G155" s="130" t="s">
        <v>2811</v>
      </c>
      <c r="I155" s="130" t="s">
        <v>2790</v>
      </c>
      <c r="J155" s="130" t="s">
        <v>2641</v>
      </c>
    </row>
    <row r="156" spans="1:10" ht="14.4" x14ac:dyDescent="0.3">
      <c r="A156" s="145">
        <v>45503</v>
      </c>
      <c r="B156" s="130" t="s">
        <v>2692</v>
      </c>
      <c r="E156" s="130" t="s">
        <v>1047</v>
      </c>
      <c r="G156" s="130" t="s">
        <v>2837</v>
      </c>
      <c r="I156" s="130" t="s">
        <v>2790</v>
      </c>
      <c r="J156" s="130" t="s">
        <v>2641</v>
      </c>
    </row>
    <row r="157" spans="1:10" ht="28.8" x14ac:dyDescent="0.3">
      <c r="A157" s="145">
        <v>45517</v>
      </c>
      <c r="B157" s="130" t="s">
        <v>2692</v>
      </c>
      <c r="E157" s="130" t="s">
        <v>1047</v>
      </c>
      <c r="G157" s="130" t="s">
        <v>2838</v>
      </c>
      <c r="I157" s="130" t="s">
        <v>2790</v>
      </c>
      <c r="J157" s="130" t="s">
        <v>2641</v>
      </c>
    </row>
    <row r="158" spans="1:10" ht="14.4" x14ac:dyDescent="0.3">
      <c r="A158" s="145">
        <v>45530</v>
      </c>
      <c r="B158" s="130" t="s">
        <v>2692</v>
      </c>
      <c r="E158" s="130" t="s">
        <v>1047</v>
      </c>
      <c r="G158" s="130" t="s">
        <v>2841</v>
      </c>
      <c r="I158" s="130" t="s">
        <v>2790</v>
      </c>
      <c r="J158" s="130" t="s">
        <v>2641</v>
      </c>
    </row>
    <row r="159" spans="1:10" ht="14.4" x14ac:dyDescent="0.3">
      <c r="A159" s="145">
        <v>45545</v>
      </c>
      <c r="B159" s="130" t="s">
        <v>2692</v>
      </c>
      <c r="E159" s="130" t="s">
        <v>2516</v>
      </c>
      <c r="G159" s="130" t="s">
        <v>2851</v>
      </c>
      <c r="I159" s="130" t="s">
        <v>2790</v>
      </c>
      <c r="J159" s="130" t="s">
        <v>2641</v>
      </c>
    </row>
    <row r="160" spans="1:10" ht="14.4" x14ac:dyDescent="0.3">
      <c r="A160" s="145">
        <v>45559</v>
      </c>
      <c r="B160" s="130" t="s">
        <v>2692</v>
      </c>
      <c r="E160" s="130" t="s">
        <v>2516</v>
      </c>
      <c r="G160" s="130" t="s">
        <v>2863</v>
      </c>
      <c r="I160" s="130" t="s">
        <v>2790</v>
      </c>
      <c r="J160" s="130" t="s">
        <v>2641</v>
      </c>
    </row>
    <row r="161" spans="1:10" ht="43.2" x14ac:dyDescent="0.3">
      <c r="A161" s="145">
        <v>45572</v>
      </c>
      <c r="B161" s="130" t="s">
        <v>2692</v>
      </c>
      <c r="E161" s="130" t="s">
        <v>1047</v>
      </c>
      <c r="G161" s="130" t="s">
        <v>2871</v>
      </c>
      <c r="I161" s="130" t="s">
        <v>2790</v>
      </c>
      <c r="J161" s="130" t="s">
        <v>2641</v>
      </c>
    </row>
    <row r="162" spans="1:10" ht="57.6" x14ac:dyDescent="0.3">
      <c r="A162" s="145">
        <v>45572</v>
      </c>
      <c r="B162" s="130" t="s">
        <v>2692</v>
      </c>
      <c r="E162" s="130" t="s">
        <v>2870</v>
      </c>
      <c r="G162" s="131" t="s">
        <v>2872</v>
      </c>
      <c r="I162" s="130" t="s">
        <v>2790</v>
      </c>
      <c r="J162" s="130" t="s">
        <v>2641</v>
      </c>
    </row>
    <row r="163" spans="1:10" ht="28.8" x14ac:dyDescent="0.3">
      <c r="A163" s="145">
        <v>45602</v>
      </c>
      <c r="B163" s="130" t="s">
        <v>2692</v>
      </c>
      <c r="E163" s="130" t="s">
        <v>2516</v>
      </c>
      <c r="G163" s="131" t="s">
        <v>2881</v>
      </c>
      <c r="I163" s="130" t="s">
        <v>2875</v>
      </c>
      <c r="J163" s="130" t="s">
        <v>2641</v>
      </c>
    </row>
    <row r="164" spans="1:10" ht="28.8" x14ac:dyDescent="0.3">
      <c r="A164" s="145">
        <v>45616</v>
      </c>
      <c r="B164" s="130" t="s">
        <v>2692</v>
      </c>
      <c r="E164" s="130" t="s">
        <v>2516</v>
      </c>
      <c r="G164" s="130" t="s">
        <v>2885</v>
      </c>
      <c r="I164" s="130" t="s">
        <v>2875</v>
      </c>
      <c r="J164" s="130" t="s">
        <v>2641</v>
      </c>
    </row>
    <row r="165" spans="1:10" ht="14.4" x14ac:dyDescent="0.3">
      <c r="A165" s="145">
        <v>45624</v>
      </c>
      <c r="B165" s="130" t="s">
        <v>2692</v>
      </c>
      <c r="E165" s="130" t="s">
        <v>2516</v>
      </c>
      <c r="G165" s="130" t="s">
        <v>2889</v>
      </c>
      <c r="I165" s="130" t="s">
        <v>2875</v>
      </c>
      <c r="J165" s="130" t="s">
        <v>2641</v>
      </c>
    </row>
    <row r="166" spans="1:10" ht="43.2" x14ac:dyDescent="0.3">
      <c r="A166" s="145">
        <v>45629</v>
      </c>
      <c r="B166" s="130" t="s">
        <v>2692</v>
      </c>
      <c r="E166" s="130" t="s">
        <v>2516</v>
      </c>
      <c r="G166" s="130" t="s">
        <v>2897</v>
      </c>
      <c r="I166" s="130" t="s">
        <v>2875</v>
      </c>
      <c r="J166" s="130" t="s">
        <v>2641</v>
      </c>
    </row>
    <row r="167" spans="1:10" ht="72" x14ac:dyDescent="0.3">
      <c r="A167" s="145">
        <v>45639</v>
      </c>
      <c r="B167" s="130" t="s">
        <v>2692</v>
      </c>
      <c r="E167" s="130" t="s">
        <v>2516</v>
      </c>
      <c r="G167" s="130" t="s">
        <v>2898</v>
      </c>
      <c r="I167" s="130" t="s">
        <v>2875</v>
      </c>
      <c r="J167" s="130" t="s">
        <v>2641</v>
      </c>
    </row>
    <row r="168" spans="1:10" ht="43.2" x14ac:dyDescent="0.3">
      <c r="A168" s="145">
        <v>45643</v>
      </c>
      <c r="B168" s="130" t="s">
        <v>2692</v>
      </c>
      <c r="E168" s="130" t="s">
        <v>2516</v>
      </c>
      <c r="G168" s="130" t="s">
        <v>2899</v>
      </c>
      <c r="I168" s="130" t="s">
        <v>2875</v>
      </c>
      <c r="J168" s="130" t="s">
        <v>2641</v>
      </c>
    </row>
    <row r="169" spans="1:10" ht="57.6" x14ac:dyDescent="0.3">
      <c r="A169" s="145">
        <v>45645</v>
      </c>
      <c r="B169" s="130" t="s">
        <v>2692</v>
      </c>
      <c r="E169" s="130" t="s">
        <v>2516</v>
      </c>
      <c r="G169" s="130" t="s">
        <v>2900</v>
      </c>
      <c r="I169" s="130" t="s">
        <v>2875</v>
      </c>
      <c r="J169" s="130" t="s">
        <v>2641</v>
      </c>
    </row>
    <row r="170" spans="1:10" ht="57.6" x14ac:dyDescent="0.3">
      <c r="A170" s="145">
        <v>45650</v>
      </c>
      <c r="B170" s="130" t="s">
        <v>2692</v>
      </c>
      <c r="E170" s="130" t="s">
        <v>2516</v>
      </c>
      <c r="G170" s="130" t="s">
        <v>2903</v>
      </c>
      <c r="I170" s="130" t="s">
        <v>2875</v>
      </c>
      <c r="J170" s="130" t="s">
        <v>2641</v>
      </c>
    </row>
    <row r="171" spans="1:10" ht="28.8" x14ac:dyDescent="0.3">
      <c r="A171" s="145">
        <v>45670</v>
      </c>
      <c r="B171" s="130" t="s">
        <v>2692</v>
      </c>
      <c r="E171" s="130" t="s">
        <v>2516</v>
      </c>
      <c r="G171" s="207" t="s">
        <v>2921</v>
      </c>
      <c r="I171" s="130" t="s">
        <v>2875</v>
      </c>
      <c r="J171" s="130" t="s">
        <v>2641</v>
      </c>
    </row>
    <row r="172" spans="1:10" ht="22.85" customHeight="1" x14ac:dyDescent="0.3">
      <c r="A172" s="145">
        <v>45672</v>
      </c>
      <c r="B172" s="130" t="s">
        <v>2692</v>
      </c>
      <c r="E172" s="130" t="s">
        <v>2516</v>
      </c>
      <c r="G172" s="130" t="s">
        <v>2923</v>
      </c>
      <c r="I172" s="130" t="s">
        <v>2875</v>
      </c>
      <c r="J172" s="130" t="s">
        <v>2641</v>
      </c>
    </row>
    <row r="173" spans="1:10" ht="28.8" x14ac:dyDescent="0.3">
      <c r="A173" s="145">
        <v>45673</v>
      </c>
      <c r="B173" s="130" t="s">
        <v>2692</v>
      </c>
      <c r="E173" s="130" t="s">
        <v>2516</v>
      </c>
      <c r="G173" s="130" t="s">
        <v>2932</v>
      </c>
      <c r="I173" s="130" t="s">
        <v>2875</v>
      </c>
      <c r="J173" s="130" t="s">
        <v>2641</v>
      </c>
    </row>
    <row r="174" spans="1:10" ht="93.05" customHeight="1" x14ac:dyDescent="0.3">
      <c r="A174" s="145">
        <v>45692</v>
      </c>
      <c r="B174" s="130" t="s">
        <v>2692</v>
      </c>
      <c r="E174" s="130" t="s">
        <v>2516</v>
      </c>
      <c r="G174" s="130" t="s">
        <v>2940</v>
      </c>
      <c r="I174" s="130" t="s">
        <v>2875</v>
      </c>
      <c r="J174" s="130" t="s">
        <v>2641</v>
      </c>
    </row>
    <row r="175" spans="1:10" ht="22.85" customHeight="1" x14ac:dyDescent="0.3">
      <c r="A175" s="145">
        <v>45694</v>
      </c>
      <c r="B175" s="130" t="s">
        <v>2692</v>
      </c>
      <c r="E175" s="130" t="s">
        <v>2516</v>
      </c>
      <c r="G175" s="130" t="s">
        <v>2942</v>
      </c>
      <c r="I175" s="130" t="s">
        <v>2875</v>
      </c>
      <c r="J175" s="130" t="s">
        <v>2641</v>
      </c>
    </row>
    <row r="176" spans="1:10" ht="43.2" x14ac:dyDescent="0.3">
      <c r="A176" s="145">
        <v>45698</v>
      </c>
      <c r="B176" s="130" t="s">
        <v>2692</v>
      </c>
      <c r="E176" s="130" t="s">
        <v>2516</v>
      </c>
      <c r="G176" s="130" t="s">
        <v>3019</v>
      </c>
      <c r="I176" s="130" t="s">
        <v>2875</v>
      </c>
      <c r="J176" s="130" t="s">
        <v>2641</v>
      </c>
    </row>
    <row r="177" spans="1:10" ht="14.4" x14ac:dyDescent="0.3">
      <c r="A177" s="145">
        <v>45698</v>
      </c>
      <c r="B177" s="130" t="s">
        <v>2692</v>
      </c>
      <c r="E177" s="130" t="s">
        <v>2516</v>
      </c>
      <c r="G177" s="130" t="s">
        <v>3018</v>
      </c>
      <c r="I177" s="130" t="s">
        <v>2875</v>
      </c>
      <c r="J177" s="130" t="s">
        <v>2641</v>
      </c>
    </row>
    <row r="178" spans="1:10" ht="22.85" customHeight="1" x14ac:dyDescent="0.3">
      <c r="A178" s="145">
        <v>45698</v>
      </c>
      <c r="B178" s="130" t="s">
        <v>2692</v>
      </c>
      <c r="E178" s="130" t="s">
        <v>2516</v>
      </c>
      <c r="G178" s="130" t="s">
        <v>3020</v>
      </c>
      <c r="I178" s="130" t="s">
        <v>2875</v>
      </c>
      <c r="J178" s="130" t="s">
        <v>2641</v>
      </c>
    </row>
    <row r="179" spans="1:10" ht="22.85" customHeight="1" x14ac:dyDescent="0.3">
      <c r="A179" s="145">
        <v>45707</v>
      </c>
      <c r="B179" s="130" t="s">
        <v>2692</v>
      </c>
      <c r="E179" s="130" t="s">
        <v>2516</v>
      </c>
      <c r="G179" s="130" t="s">
        <v>3024</v>
      </c>
      <c r="I179" s="130" t="s">
        <v>2875</v>
      </c>
      <c r="J179" s="130" t="s">
        <v>2592</v>
      </c>
    </row>
    <row r="180" spans="1:10" ht="43.2" x14ac:dyDescent="0.3">
      <c r="A180" s="145">
        <v>45707</v>
      </c>
      <c r="B180" s="130" t="s">
        <v>2692</v>
      </c>
      <c r="E180" s="130" t="s">
        <v>2516</v>
      </c>
      <c r="G180" s="130" t="s">
        <v>3025</v>
      </c>
      <c r="I180" s="130" t="s">
        <v>2875</v>
      </c>
      <c r="J180" s="130" t="s">
        <v>2641</v>
      </c>
    </row>
    <row r="181" spans="1:10" ht="14.4" x14ac:dyDescent="0.3">
      <c r="A181" s="145">
        <v>45715</v>
      </c>
      <c r="B181" s="130" t="s">
        <v>2692</v>
      </c>
      <c r="E181" s="130" t="s">
        <v>2516</v>
      </c>
      <c r="G181" s="130" t="s">
        <v>3101</v>
      </c>
      <c r="I181" s="130" t="s">
        <v>2875</v>
      </c>
      <c r="J181" s="130" t="s">
        <v>2641</v>
      </c>
    </row>
    <row r="182" spans="1:10" ht="22.85" customHeight="1" x14ac:dyDescent="0.3">
      <c r="A182" s="145">
        <v>45721</v>
      </c>
      <c r="B182" s="130" t="s">
        <v>2692</v>
      </c>
      <c r="E182" s="130" t="s">
        <v>2516</v>
      </c>
      <c r="G182" s="130" t="s">
        <v>3054</v>
      </c>
      <c r="I182" s="130" t="s">
        <v>2875</v>
      </c>
      <c r="J182" s="130" t="s">
        <v>2641</v>
      </c>
    </row>
    <row r="183" spans="1:10" ht="22.85" customHeight="1" x14ac:dyDescent="0.3">
      <c r="A183" s="145">
        <v>45721</v>
      </c>
      <c r="B183" s="130" t="s">
        <v>2692</v>
      </c>
      <c r="E183" s="130" t="s">
        <v>2516</v>
      </c>
      <c r="G183" s="130" t="s">
        <v>3052</v>
      </c>
      <c r="I183" s="130" t="s">
        <v>2875</v>
      </c>
      <c r="J183" s="130" t="s">
        <v>2641</v>
      </c>
    </row>
    <row r="184" spans="1:10" ht="57.6" x14ac:dyDescent="0.3">
      <c r="A184" s="145">
        <v>45722</v>
      </c>
      <c r="B184" s="130" t="s">
        <v>2692</v>
      </c>
      <c r="E184" s="130" t="s">
        <v>2516</v>
      </c>
      <c r="G184" s="130" t="s">
        <v>3139</v>
      </c>
      <c r="I184" s="130" t="s">
        <v>2875</v>
      </c>
      <c r="J184" s="133" t="s">
        <v>2592</v>
      </c>
    </row>
    <row r="185" spans="1:10" ht="22.85" customHeight="1" x14ac:dyDescent="0.3">
      <c r="A185" s="145">
        <v>45722</v>
      </c>
      <c r="B185" s="130" t="s">
        <v>2692</v>
      </c>
      <c r="E185" s="130" t="s">
        <v>2516</v>
      </c>
      <c r="G185" s="130" t="s">
        <v>3053</v>
      </c>
      <c r="I185" s="130" t="s">
        <v>2875</v>
      </c>
      <c r="J185" s="133" t="s">
        <v>2592</v>
      </c>
    </row>
    <row r="186" spans="1:10" ht="14.4" x14ac:dyDescent="0.3">
      <c r="A186" s="145">
        <v>45733</v>
      </c>
      <c r="B186" s="130" t="s">
        <v>2692</v>
      </c>
      <c r="E186" s="130" t="s">
        <v>2516</v>
      </c>
      <c r="G186" s="130" t="s">
        <v>3096</v>
      </c>
      <c r="I186" s="130" t="s">
        <v>2875</v>
      </c>
      <c r="J186" s="130" t="s">
        <v>2641</v>
      </c>
    </row>
    <row r="187" spans="1:10" ht="28.8" x14ac:dyDescent="0.3">
      <c r="A187" s="145">
        <v>45747</v>
      </c>
      <c r="B187" s="130" t="s">
        <v>2692</v>
      </c>
      <c r="E187" s="130" t="s">
        <v>2516</v>
      </c>
      <c r="G187" s="130" t="s">
        <v>3100</v>
      </c>
      <c r="I187" s="130" t="s">
        <v>2875</v>
      </c>
      <c r="J187" s="130" t="s">
        <v>2641</v>
      </c>
    </row>
    <row r="188" spans="1:10" ht="22.85" customHeight="1" x14ac:dyDescent="0.3">
      <c r="A188" s="145">
        <v>45749</v>
      </c>
      <c r="B188" s="130" t="s">
        <v>2692</v>
      </c>
      <c r="E188" s="130" t="s">
        <v>2516</v>
      </c>
      <c r="G188" s="130" t="s">
        <v>3120</v>
      </c>
      <c r="I188" s="130" t="s">
        <v>2875</v>
      </c>
      <c r="J188" s="130" t="s">
        <v>2641</v>
      </c>
    </row>
    <row r="189" spans="1:10" ht="57.6" x14ac:dyDescent="0.3">
      <c r="A189" s="145">
        <v>45750</v>
      </c>
      <c r="B189" s="130" t="s">
        <v>2692</v>
      </c>
      <c r="E189" s="130" t="s">
        <v>2516</v>
      </c>
      <c r="G189" s="130" t="s">
        <v>3121</v>
      </c>
      <c r="I189" s="130" t="s">
        <v>2875</v>
      </c>
      <c r="J189" s="130" t="s">
        <v>2641</v>
      </c>
    </row>
    <row r="190" spans="1:10" ht="14.4" x14ac:dyDescent="0.3">
      <c r="A190" s="145">
        <v>45757</v>
      </c>
      <c r="B190" s="130" t="s">
        <v>2692</v>
      </c>
      <c r="E190" s="130" t="s">
        <v>2516</v>
      </c>
      <c r="G190" s="130" t="s">
        <v>3124</v>
      </c>
      <c r="I190" s="130" t="s">
        <v>2875</v>
      </c>
      <c r="J190" s="130" t="s">
        <v>2641</v>
      </c>
    </row>
    <row r="191" spans="1:10" ht="28.8" x14ac:dyDescent="0.3">
      <c r="A191" s="145">
        <v>45761</v>
      </c>
      <c r="B191" s="130" t="s">
        <v>2692</v>
      </c>
      <c r="E191" s="130" t="s">
        <v>2516</v>
      </c>
      <c r="G191" s="130" t="s">
        <v>3125</v>
      </c>
      <c r="I191" s="130" t="s">
        <v>2875</v>
      </c>
      <c r="J191" s="130" t="s">
        <v>2641</v>
      </c>
    </row>
    <row r="192" spans="1:10" ht="43.2" x14ac:dyDescent="0.3">
      <c r="A192" s="145">
        <v>45761</v>
      </c>
      <c r="B192" s="130" t="s">
        <v>2692</v>
      </c>
      <c r="E192" s="130" t="s">
        <v>2516</v>
      </c>
      <c r="G192" s="130" t="s">
        <v>3133</v>
      </c>
      <c r="I192" s="130" t="s">
        <v>2875</v>
      </c>
      <c r="J192" s="130" t="s">
        <v>2641</v>
      </c>
    </row>
    <row r="193" spans="1:10" ht="43.2" x14ac:dyDescent="0.3">
      <c r="A193" s="145">
        <v>45763</v>
      </c>
      <c r="B193" s="130" t="s">
        <v>2692</v>
      </c>
      <c r="E193" s="130" t="s">
        <v>2516</v>
      </c>
      <c r="G193" s="130" t="s">
        <v>3152</v>
      </c>
      <c r="I193" s="130" t="s">
        <v>2875</v>
      </c>
      <c r="J193" s="130" t="s">
        <v>2641</v>
      </c>
    </row>
    <row r="194" spans="1:10" ht="43.2" x14ac:dyDescent="0.3">
      <c r="A194" s="145">
        <v>45771</v>
      </c>
      <c r="B194" s="130" t="s">
        <v>2692</v>
      </c>
      <c r="E194" s="130" t="s">
        <v>2516</v>
      </c>
      <c r="G194" s="130" t="s">
        <v>3157</v>
      </c>
      <c r="I194" s="130" t="s">
        <v>2875</v>
      </c>
      <c r="J194" s="130" t="s">
        <v>2641</v>
      </c>
    </row>
    <row r="195" spans="1:10" ht="14.4" x14ac:dyDescent="0.3">
      <c r="A195" s="145">
        <v>45772</v>
      </c>
      <c r="B195" s="130" t="s">
        <v>2692</v>
      </c>
      <c r="E195" s="130" t="s">
        <v>2516</v>
      </c>
      <c r="G195" s="130" t="s">
        <v>3158</v>
      </c>
      <c r="I195" s="130" t="s">
        <v>2875</v>
      </c>
      <c r="J195" s="130" t="s">
        <v>2641</v>
      </c>
    </row>
    <row r="196" spans="1:10" ht="22.85" customHeight="1" x14ac:dyDescent="0.3">
      <c r="A196" s="145">
        <v>45776</v>
      </c>
      <c r="B196" s="130" t="s">
        <v>2692</v>
      </c>
      <c r="E196" s="130" t="s">
        <v>2516</v>
      </c>
      <c r="G196" s="130" t="s">
        <v>3161</v>
      </c>
      <c r="I196" s="130" t="s">
        <v>2875</v>
      </c>
      <c r="J196" s="130" t="s">
        <v>2641</v>
      </c>
    </row>
    <row r="197" spans="1:10" ht="28.8" x14ac:dyDescent="0.3">
      <c r="A197" s="145">
        <v>45784</v>
      </c>
      <c r="B197" s="130" t="s">
        <v>2692</v>
      </c>
      <c r="E197" s="130" t="s">
        <v>2516</v>
      </c>
      <c r="G197" s="130" t="s">
        <v>3162</v>
      </c>
      <c r="I197" s="130" t="s">
        <v>2875</v>
      </c>
      <c r="J197" s="130" t="s">
        <v>2641</v>
      </c>
    </row>
    <row r="198" spans="1:10" ht="14.95" customHeight="1" x14ac:dyDescent="0.3">
      <c r="A198" s="145">
        <v>45784</v>
      </c>
      <c r="B198" s="130" t="s">
        <v>2692</v>
      </c>
      <c r="E198" s="130" t="s">
        <v>2516</v>
      </c>
      <c r="G198" s="130" t="s">
        <v>3166</v>
      </c>
      <c r="I198" s="130" t="s">
        <v>2875</v>
      </c>
      <c r="J198" s="130" t="s">
        <v>2641</v>
      </c>
    </row>
    <row r="199" spans="1:10" ht="28.8" x14ac:dyDescent="0.3">
      <c r="A199" s="145">
        <v>45790</v>
      </c>
      <c r="B199" s="130" t="s">
        <v>2692</v>
      </c>
      <c r="E199" s="130" t="s">
        <v>2516</v>
      </c>
      <c r="G199" s="130" t="s">
        <v>3179</v>
      </c>
      <c r="I199" s="130" t="s">
        <v>2875</v>
      </c>
      <c r="J199" s="130" t="s">
        <v>2641</v>
      </c>
    </row>
    <row r="200" spans="1:10" ht="22.85" customHeight="1" x14ac:dyDescent="0.3">
      <c r="A200" s="145">
        <v>45796</v>
      </c>
      <c r="B200" s="130" t="s">
        <v>2692</v>
      </c>
      <c r="E200" s="130" t="s">
        <v>2516</v>
      </c>
      <c r="G200" s="130" t="s">
        <v>3190</v>
      </c>
      <c r="I200" s="130" t="s">
        <v>2875</v>
      </c>
      <c r="J200" s="130" t="s">
        <v>2641</v>
      </c>
    </row>
    <row r="201" spans="1:10" ht="100.8" x14ac:dyDescent="0.3">
      <c r="A201" s="145">
        <v>45797</v>
      </c>
      <c r="B201" s="130" t="s">
        <v>2692</v>
      </c>
      <c r="E201" s="130" t="s">
        <v>2516</v>
      </c>
      <c r="G201" s="130" t="s">
        <v>3191</v>
      </c>
      <c r="I201" s="130" t="s">
        <v>2875</v>
      </c>
      <c r="J201" s="130" t="s">
        <v>2641</v>
      </c>
    </row>
    <row r="202" spans="1:10" ht="76.849999999999994" customHeight="1" x14ac:dyDescent="0.3">
      <c r="A202" s="145">
        <v>45798</v>
      </c>
      <c r="B202" s="130" t="s">
        <v>2692</v>
      </c>
      <c r="E202" s="130" t="s">
        <v>2516</v>
      </c>
      <c r="G202" s="130" t="s">
        <v>3192</v>
      </c>
      <c r="I202" s="130" t="s">
        <v>2875</v>
      </c>
      <c r="J202" s="130" t="s">
        <v>2641</v>
      </c>
    </row>
    <row r="203" spans="1:10" ht="108" customHeight="1" x14ac:dyDescent="0.3">
      <c r="A203" s="145">
        <v>45800</v>
      </c>
      <c r="B203" s="130" t="s">
        <v>2692</v>
      </c>
      <c r="E203" s="130" t="s">
        <v>2516</v>
      </c>
      <c r="G203" s="130" t="s">
        <v>3193</v>
      </c>
      <c r="I203" s="130" t="s">
        <v>2875</v>
      </c>
      <c r="J203" s="130" t="s">
        <v>2641</v>
      </c>
    </row>
    <row r="204" spans="1:10" ht="109.55" customHeight="1" x14ac:dyDescent="0.3">
      <c r="A204" s="145">
        <v>45799</v>
      </c>
      <c r="B204" s="130" t="s">
        <v>2692</v>
      </c>
      <c r="E204" s="130" t="s">
        <v>2516</v>
      </c>
      <c r="G204" s="130" t="s">
        <v>3194</v>
      </c>
      <c r="I204" s="130" t="s">
        <v>2875</v>
      </c>
      <c r="J204" s="130" t="s">
        <v>2641</v>
      </c>
    </row>
    <row r="205" spans="1:10" ht="129.6" x14ac:dyDescent="0.3">
      <c r="A205" s="145">
        <v>45804</v>
      </c>
      <c r="B205" s="130" t="s">
        <v>2692</v>
      </c>
      <c r="E205" s="130" t="s">
        <v>2516</v>
      </c>
      <c r="G205" s="130" t="s">
        <v>3196</v>
      </c>
      <c r="I205" s="130" t="s">
        <v>2875</v>
      </c>
      <c r="J205" s="130" t="s">
        <v>2641</v>
      </c>
    </row>
    <row r="206" spans="1:10" ht="14.4" x14ac:dyDescent="0.3">
      <c r="A206" s="145">
        <v>45805</v>
      </c>
      <c r="B206" s="130" t="s">
        <v>2692</v>
      </c>
      <c r="E206" s="130" t="s">
        <v>2516</v>
      </c>
      <c r="G206" s="130" t="s">
        <v>3197</v>
      </c>
      <c r="I206" s="130" t="s">
        <v>2875</v>
      </c>
      <c r="J206" s="130" t="s">
        <v>2641</v>
      </c>
    </row>
    <row r="207" spans="1:10" ht="22.85" customHeight="1" x14ac:dyDescent="0.3">
      <c r="A207" s="145">
        <v>45807</v>
      </c>
      <c r="B207" s="130" t="s">
        <v>2692</v>
      </c>
      <c r="E207" s="130" t="s">
        <v>2516</v>
      </c>
      <c r="G207" s="130" t="s">
        <v>3198</v>
      </c>
      <c r="I207" s="130" t="s">
        <v>2875</v>
      </c>
      <c r="J207" s="130" t="s">
        <v>2641</v>
      </c>
    </row>
    <row r="208" spans="1:10" ht="72" x14ac:dyDescent="0.3">
      <c r="A208" s="145">
        <v>45811</v>
      </c>
      <c r="B208" s="130" t="s">
        <v>2692</v>
      </c>
      <c r="E208" s="130" t="s">
        <v>2516</v>
      </c>
      <c r="G208" s="130" t="s">
        <v>3201</v>
      </c>
      <c r="I208" s="130" t="s">
        <v>2875</v>
      </c>
      <c r="J208" s="130" t="s">
        <v>2641</v>
      </c>
    </row>
    <row r="209" spans="1:10" ht="28.8" x14ac:dyDescent="0.3">
      <c r="A209" s="145">
        <v>45817</v>
      </c>
      <c r="B209" s="130" t="s">
        <v>2692</v>
      </c>
      <c r="E209" s="130" t="s">
        <v>2516</v>
      </c>
      <c r="G209" s="130" t="s">
        <v>3251</v>
      </c>
      <c r="I209" s="130" t="s">
        <v>2875</v>
      </c>
      <c r="J209" s="130" t="s">
        <v>2641</v>
      </c>
    </row>
    <row r="210" spans="1:10" ht="72" x14ac:dyDescent="0.3">
      <c r="A210" s="145">
        <v>45817</v>
      </c>
      <c r="B210" s="130" t="s">
        <v>2692</v>
      </c>
      <c r="E210" s="130" t="s">
        <v>2516</v>
      </c>
      <c r="G210" s="130" t="s">
        <v>3222</v>
      </c>
      <c r="I210" s="130" t="s">
        <v>2875</v>
      </c>
      <c r="J210" s="130" t="s">
        <v>2641</v>
      </c>
    </row>
    <row r="211" spans="1:10" ht="14.95" customHeight="1" x14ac:dyDescent="0.3">
      <c r="A211" s="145">
        <v>45820</v>
      </c>
      <c r="B211" s="130" t="s">
        <v>2692</v>
      </c>
      <c r="E211" s="130" t="s">
        <v>2516</v>
      </c>
      <c r="G211" s="130" t="s">
        <v>3262</v>
      </c>
      <c r="I211" s="130" t="s">
        <v>2875</v>
      </c>
      <c r="J211" s="130" t="s">
        <v>2641</v>
      </c>
    </row>
    <row r="212" spans="1:10" ht="22.85" customHeight="1" x14ac:dyDescent="0.3">
      <c r="A212" s="145">
        <v>45825</v>
      </c>
      <c r="B212" s="130" t="s">
        <v>2692</v>
      </c>
      <c r="E212" s="130" t="s">
        <v>2516</v>
      </c>
      <c r="G212" s="130" t="s">
        <v>3267</v>
      </c>
      <c r="I212" s="130" t="s">
        <v>3268</v>
      </c>
      <c r="J212" s="130" t="s">
        <v>2641</v>
      </c>
    </row>
    <row r="213" spans="1:10" ht="158.4" x14ac:dyDescent="0.3">
      <c r="A213" s="145">
        <v>45826</v>
      </c>
      <c r="B213" s="130" t="s">
        <v>2692</v>
      </c>
      <c r="E213" s="130" t="s">
        <v>2516</v>
      </c>
      <c r="G213" s="130" t="s">
        <v>3270</v>
      </c>
      <c r="I213" s="130" t="s">
        <v>2875</v>
      </c>
      <c r="J213" s="130" t="s">
        <v>2641</v>
      </c>
    </row>
    <row r="214" spans="1:10" ht="43.2" x14ac:dyDescent="0.3">
      <c r="A214" s="145">
        <v>45827</v>
      </c>
      <c r="B214" s="130" t="s">
        <v>2692</v>
      </c>
      <c r="E214" s="130" t="s">
        <v>2516</v>
      </c>
      <c r="F214" s="130" t="s">
        <v>2765</v>
      </c>
      <c r="G214" s="130" t="s">
        <v>3271</v>
      </c>
      <c r="I214" s="130" t="s">
        <v>3268</v>
      </c>
      <c r="J214" s="130" t="s">
        <v>2641</v>
      </c>
    </row>
    <row r="215" spans="1:10" ht="22.85" customHeight="1" x14ac:dyDescent="0.3">
      <c r="A215" s="145">
        <v>45831</v>
      </c>
      <c r="B215" s="130" t="s">
        <v>2692</v>
      </c>
      <c r="E215" s="130" t="s">
        <v>2516</v>
      </c>
      <c r="F215" s="130" t="s">
        <v>2765</v>
      </c>
      <c r="G215" s="130" t="s">
        <v>3275</v>
      </c>
      <c r="I215" s="130" t="s">
        <v>2875</v>
      </c>
      <c r="J215" s="130" t="s">
        <v>2641</v>
      </c>
    </row>
    <row r="216" spans="1:10" ht="14.4" x14ac:dyDescent="0.3">
      <c r="A216" s="145">
        <v>45831</v>
      </c>
      <c r="B216" s="130" t="s">
        <v>2692</v>
      </c>
      <c r="E216" s="130" t="s">
        <v>2516</v>
      </c>
      <c r="F216" s="130" t="s">
        <v>2765</v>
      </c>
      <c r="G216" s="130" t="s">
        <v>3276</v>
      </c>
      <c r="I216" s="130" t="s">
        <v>2875</v>
      </c>
      <c r="J216" s="130" t="s">
        <v>2641</v>
      </c>
    </row>
    <row r="217" spans="1:10" ht="14.4" x14ac:dyDescent="0.3">
      <c r="A217" s="145">
        <v>45831</v>
      </c>
      <c r="B217" s="130" t="s">
        <v>2692</v>
      </c>
      <c r="E217" s="130" t="s">
        <v>2516</v>
      </c>
      <c r="F217" s="130" t="s">
        <v>2765</v>
      </c>
      <c r="G217" s="130" t="s">
        <v>3277</v>
      </c>
      <c r="I217" s="130" t="s">
        <v>2875</v>
      </c>
      <c r="J217" s="130" t="s">
        <v>2641</v>
      </c>
    </row>
    <row r="218" spans="1:10" ht="86.4" x14ac:dyDescent="0.3">
      <c r="A218" s="145">
        <v>45832</v>
      </c>
      <c r="B218" s="130" t="s">
        <v>2692</v>
      </c>
      <c r="E218" s="130" t="s">
        <v>2516</v>
      </c>
      <c r="F218" s="130" t="s">
        <v>2765</v>
      </c>
      <c r="G218" s="130" t="s">
        <v>3279</v>
      </c>
      <c r="I218" s="130" t="s">
        <v>2875</v>
      </c>
      <c r="J218" s="130" t="s">
        <v>2641</v>
      </c>
    </row>
    <row r="219" spans="1:10" ht="43.2" x14ac:dyDescent="0.3">
      <c r="A219" s="145">
        <v>45833</v>
      </c>
      <c r="B219" s="130" t="s">
        <v>2692</v>
      </c>
      <c r="E219" s="130" t="s">
        <v>2516</v>
      </c>
      <c r="F219" s="130" t="s">
        <v>2765</v>
      </c>
      <c r="G219" s="130" t="s">
        <v>3281</v>
      </c>
      <c r="I219" s="130" t="s">
        <v>2875</v>
      </c>
      <c r="J219" s="130" t="s">
        <v>2641</v>
      </c>
    </row>
    <row r="220" spans="1:10" ht="64.55" customHeight="1" x14ac:dyDescent="0.3">
      <c r="A220" s="145">
        <v>45835</v>
      </c>
      <c r="B220" s="130" t="s">
        <v>2692</v>
      </c>
      <c r="E220" s="130" t="s">
        <v>2516</v>
      </c>
      <c r="F220" s="130" t="s">
        <v>2765</v>
      </c>
      <c r="G220" s="130" t="s">
        <v>3282</v>
      </c>
      <c r="I220" s="130" t="s">
        <v>2875</v>
      </c>
      <c r="J220" s="130" t="s">
        <v>2641</v>
      </c>
    </row>
    <row r="221" spans="1:10" ht="22.85" customHeight="1" x14ac:dyDescent="0.3">
      <c r="A221" s="145">
        <v>45841</v>
      </c>
      <c r="B221" s="130" t="s">
        <v>2692</v>
      </c>
      <c r="E221" s="130" t="s">
        <v>2516</v>
      </c>
      <c r="F221" s="130" t="s">
        <v>2765</v>
      </c>
      <c r="G221" s="130" t="s">
        <v>3284</v>
      </c>
      <c r="I221" s="130" t="s">
        <v>2875</v>
      </c>
      <c r="J221" s="130" t="s">
        <v>2641</v>
      </c>
    </row>
    <row r="222" spans="1:10" ht="14.4" x14ac:dyDescent="0.3">
      <c r="A222" s="145">
        <v>45842</v>
      </c>
      <c r="B222" s="130" t="s">
        <v>2692</v>
      </c>
      <c r="E222" s="130" t="s">
        <v>2516</v>
      </c>
      <c r="F222" s="130" t="s">
        <v>2765</v>
      </c>
      <c r="G222" s="130" t="s">
        <v>3285</v>
      </c>
      <c r="I222" s="130" t="s">
        <v>2875</v>
      </c>
      <c r="J222" s="130" t="s">
        <v>2641</v>
      </c>
    </row>
    <row r="223" spans="1:10" ht="14.4" x14ac:dyDescent="0.3">
      <c r="A223" s="145">
        <v>45842</v>
      </c>
      <c r="B223" s="130" t="s">
        <v>2692</v>
      </c>
      <c r="E223" s="130" t="s">
        <v>2516</v>
      </c>
      <c r="F223" s="130" t="s">
        <v>2765</v>
      </c>
      <c r="G223" s="130" t="s">
        <v>3286</v>
      </c>
      <c r="I223" s="130" t="s">
        <v>2875</v>
      </c>
      <c r="J223" s="130" t="s">
        <v>2641</v>
      </c>
    </row>
    <row r="224" spans="1:10" ht="14.95" customHeight="1" x14ac:dyDescent="0.3">
      <c r="A224" s="145">
        <v>45845</v>
      </c>
      <c r="B224" s="130" t="s">
        <v>2692</v>
      </c>
      <c r="E224" s="130" t="s">
        <v>2516</v>
      </c>
      <c r="F224" s="130" t="s">
        <v>2765</v>
      </c>
      <c r="G224" s="130" t="s">
        <v>3287</v>
      </c>
      <c r="I224" s="130" t="s">
        <v>2875</v>
      </c>
      <c r="J224" s="130" t="s">
        <v>2641</v>
      </c>
    </row>
    <row r="225" spans="1:10" ht="22.85" customHeight="1" x14ac:dyDescent="0.3">
      <c r="A225" s="145">
        <v>45855</v>
      </c>
      <c r="B225" s="130" t="s">
        <v>2692</v>
      </c>
      <c r="E225" s="130" t="s">
        <v>2516</v>
      </c>
      <c r="F225" s="130" t="s">
        <v>2765</v>
      </c>
      <c r="G225" s="130" t="s">
        <v>3290</v>
      </c>
      <c r="I225" s="130" t="s">
        <v>2875</v>
      </c>
      <c r="J225" s="130" t="s">
        <v>2641</v>
      </c>
    </row>
    <row r="226" spans="1:10" ht="14.4" x14ac:dyDescent="0.3">
      <c r="A226" s="145">
        <v>45859</v>
      </c>
      <c r="B226" s="130" t="s">
        <v>2692</v>
      </c>
      <c r="E226" s="130" t="s">
        <v>2516</v>
      </c>
      <c r="F226" s="130" t="s">
        <v>2765</v>
      </c>
      <c r="G226" s="130" t="s">
        <v>3292</v>
      </c>
      <c r="I226" s="130" t="s">
        <v>2875</v>
      </c>
      <c r="J226" s="130" t="s">
        <v>2641</v>
      </c>
    </row>
    <row r="227" spans="1:10" ht="14.4" x14ac:dyDescent="0.3">
      <c r="A227" s="145">
        <v>45862</v>
      </c>
      <c r="B227" s="130" t="s">
        <v>2692</v>
      </c>
      <c r="E227" s="130" t="s">
        <v>2516</v>
      </c>
      <c r="F227" s="130" t="s">
        <v>2765</v>
      </c>
      <c r="G227" s="130" t="s">
        <v>3293</v>
      </c>
      <c r="I227" s="130" t="s">
        <v>2875</v>
      </c>
      <c r="J227" s="130" t="s">
        <v>2641</v>
      </c>
    </row>
    <row r="228" spans="1:10" ht="22.85" customHeight="1" x14ac:dyDescent="0.3">
      <c r="G228" s="130" t="s">
        <v>3298</v>
      </c>
      <c r="I228" s="130" t="s">
        <v>2875</v>
      </c>
      <c r="J228" s="130" t="s">
        <v>2641</v>
      </c>
    </row>
    <row r="229" spans="1:10" ht="28.8" x14ac:dyDescent="0.3">
      <c r="A229" s="145">
        <v>45866</v>
      </c>
      <c r="B229" s="130" t="s">
        <v>2692</v>
      </c>
      <c r="E229" s="130" t="s">
        <v>2516</v>
      </c>
      <c r="F229" s="130" t="s">
        <v>2765</v>
      </c>
      <c r="G229" s="130" t="s">
        <v>3304</v>
      </c>
      <c r="I229" s="130" t="s">
        <v>2875</v>
      </c>
      <c r="J229" s="130" t="s">
        <v>2641</v>
      </c>
    </row>
    <row r="230" spans="1:10" ht="22.85" customHeight="1" x14ac:dyDescent="0.3">
      <c r="A230" s="145">
        <v>45869</v>
      </c>
      <c r="B230" s="130" t="s">
        <v>2692</v>
      </c>
      <c r="E230" s="130" t="s">
        <v>2516</v>
      </c>
      <c r="F230" s="130" t="s">
        <v>2765</v>
      </c>
      <c r="G230" s="130" t="s">
        <v>3305</v>
      </c>
      <c r="I230" s="130" t="s">
        <v>2875</v>
      </c>
      <c r="J230" s="130" t="s">
        <v>2641</v>
      </c>
    </row>
    <row r="231" spans="1:10" ht="22.85" customHeight="1" x14ac:dyDescent="0.3">
      <c r="A231" s="145">
        <v>45883</v>
      </c>
      <c r="B231" s="130" t="s">
        <v>2692</v>
      </c>
      <c r="E231" s="130" t="s">
        <v>2516</v>
      </c>
      <c r="F231" s="130" t="s">
        <v>2765</v>
      </c>
      <c r="G231" s="130" t="s">
        <v>3315</v>
      </c>
      <c r="I231" s="130" t="s">
        <v>2875</v>
      </c>
      <c r="J231" s="130" t="s">
        <v>2641</v>
      </c>
    </row>
    <row r="232" spans="1:10" ht="22.85" customHeight="1" x14ac:dyDescent="0.3">
      <c r="A232" s="145">
        <v>45884</v>
      </c>
      <c r="B232" s="130" t="s">
        <v>2692</v>
      </c>
      <c r="E232" s="130" t="s">
        <v>2516</v>
      </c>
      <c r="F232" s="130" t="s">
        <v>26</v>
      </c>
      <c r="G232" s="130" t="s">
        <v>3316</v>
      </c>
      <c r="I232" s="130" t="s">
        <v>3268</v>
      </c>
      <c r="J232" s="130" t="s">
        <v>2641</v>
      </c>
    </row>
    <row r="233" spans="1:10" ht="43.2" x14ac:dyDescent="0.3">
      <c r="A233" s="145">
        <v>45896</v>
      </c>
      <c r="B233" s="130" t="s">
        <v>2692</v>
      </c>
      <c r="E233" s="130" t="s">
        <v>2516</v>
      </c>
      <c r="F233" s="130" t="s">
        <v>26</v>
      </c>
      <c r="G233" s="130" t="s">
        <v>3509</v>
      </c>
      <c r="I233" s="130" t="s">
        <v>2875</v>
      </c>
      <c r="J233" s="130" t="s">
        <v>2641</v>
      </c>
    </row>
    <row r="234" spans="1:10" ht="22.85" customHeight="1" x14ac:dyDescent="0.3">
      <c r="A234" s="145">
        <v>45925</v>
      </c>
      <c r="B234" s="130" t="s">
        <v>2692</v>
      </c>
      <c r="E234" s="130" t="s">
        <v>2516</v>
      </c>
      <c r="F234" s="130" t="s">
        <v>26</v>
      </c>
      <c r="G234" s="130" t="s">
        <v>3513</v>
      </c>
      <c r="I234" s="130" t="s">
        <v>2875</v>
      </c>
      <c r="J234" s="130" t="s">
        <v>2641</v>
      </c>
    </row>
    <row r="235" spans="1:10" ht="28.8" x14ac:dyDescent="0.3">
      <c r="A235" s="145">
        <v>45925</v>
      </c>
      <c r="B235" s="130" t="s">
        <v>2692</v>
      </c>
      <c r="E235" s="130" t="s">
        <v>2516</v>
      </c>
      <c r="F235" s="130" t="s">
        <v>26</v>
      </c>
      <c r="G235" s="130" t="s">
        <v>3514</v>
      </c>
      <c r="I235" s="130" t="s">
        <v>2875</v>
      </c>
      <c r="J235" s="130" t="s">
        <v>2641</v>
      </c>
    </row>
    <row r="236" spans="1:10" ht="22.85" customHeight="1" x14ac:dyDescent="0.3">
      <c r="A236" s="145">
        <v>45929</v>
      </c>
      <c r="B236" s="130" t="s">
        <v>2692</v>
      </c>
      <c r="E236" s="130" t="s">
        <v>2516</v>
      </c>
      <c r="F236" s="130" t="s">
        <v>2765</v>
      </c>
      <c r="G236" s="130" t="s">
        <v>3515</v>
      </c>
      <c r="I236" s="130" t="s">
        <v>3268</v>
      </c>
      <c r="J236" s="130" t="s">
        <v>2641</v>
      </c>
    </row>
    <row r="237" spans="1:10" ht="22.85" customHeight="1" x14ac:dyDescent="0.3">
      <c r="A237" s="145">
        <v>45968</v>
      </c>
      <c r="B237" s="130" t="s">
        <v>2692</v>
      </c>
      <c r="E237" s="130" t="s">
        <v>2516</v>
      </c>
      <c r="F237" s="130" t="s">
        <v>26</v>
      </c>
      <c r="G237" s="130" t="s">
        <v>3535</v>
      </c>
      <c r="I237" s="130" t="s">
        <v>2875</v>
      </c>
      <c r="J237" s="130" t="s">
        <v>2641</v>
      </c>
    </row>
    <row r="238" spans="1:10" ht="22.85" customHeight="1" x14ac:dyDescent="0.3">
      <c r="A238" s="145">
        <v>45972</v>
      </c>
      <c r="B238" s="130" t="s">
        <v>2692</v>
      </c>
      <c r="E238" s="130" t="s">
        <v>2516</v>
      </c>
      <c r="F238" s="130" t="s">
        <v>26</v>
      </c>
      <c r="G238" s="130" t="s">
        <v>3540</v>
      </c>
      <c r="I238" s="130" t="s">
        <v>2875</v>
      </c>
      <c r="J238" s="130" t="s">
        <v>2641</v>
      </c>
    </row>
    <row r="239" spans="1:10" ht="22.85" customHeight="1" x14ac:dyDescent="0.3">
      <c r="A239" s="145">
        <v>45979</v>
      </c>
      <c r="B239" s="130" t="s">
        <v>2692</v>
      </c>
      <c r="E239" s="130" t="s">
        <v>2516</v>
      </c>
      <c r="F239" s="130" t="s">
        <v>26</v>
      </c>
      <c r="G239" s="130" t="s">
        <v>3557</v>
      </c>
      <c r="I239" s="130" t="s">
        <v>2875</v>
      </c>
      <c r="J239" s="130" t="s">
        <v>2641</v>
      </c>
    </row>
    <row r="240" spans="1:10" ht="43.2" x14ac:dyDescent="0.3">
      <c r="A240" s="145">
        <v>45985</v>
      </c>
      <c r="B240" s="130" t="s">
        <v>2692</v>
      </c>
      <c r="E240" s="130" t="s">
        <v>2516</v>
      </c>
      <c r="F240" s="130" t="s">
        <v>26</v>
      </c>
      <c r="G240" s="130" t="s">
        <v>3569</v>
      </c>
      <c r="I240" s="130" t="s">
        <v>2875</v>
      </c>
      <c r="J240" s="130" t="s">
        <v>2641</v>
      </c>
    </row>
    <row r="241" spans="1:10" ht="22.85" customHeight="1" x14ac:dyDescent="0.3">
      <c r="A241" s="145">
        <v>45994</v>
      </c>
      <c r="B241" s="130" t="s">
        <v>2692</v>
      </c>
      <c r="E241" s="130" t="s">
        <v>2516</v>
      </c>
      <c r="F241" s="130" t="s">
        <v>26</v>
      </c>
      <c r="G241" s="130" t="s">
        <v>3584</v>
      </c>
      <c r="I241" s="130" t="s">
        <v>2875</v>
      </c>
      <c r="J241" s="130" t="s">
        <v>2641</v>
      </c>
    </row>
    <row r="242" spans="1:10" ht="22.85" customHeight="1" x14ac:dyDescent="0.3">
      <c r="A242" s="145">
        <v>45999</v>
      </c>
      <c r="B242" s="130" t="s">
        <v>2692</v>
      </c>
      <c r="E242" s="130" t="s">
        <v>2516</v>
      </c>
      <c r="F242" s="130" t="s">
        <v>26</v>
      </c>
      <c r="G242" s="130" t="s">
        <v>3590</v>
      </c>
      <c r="I242" s="130" t="s">
        <v>2875</v>
      </c>
      <c r="J242" s="130" t="s">
        <v>2641</v>
      </c>
    </row>
    <row r="243" spans="1:10" ht="22.85" customHeight="1" x14ac:dyDescent="0.3">
      <c r="A243" s="145">
        <v>46006</v>
      </c>
      <c r="B243" s="130" t="s">
        <v>2692</v>
      </c>
      <c r="E243" s="130" t="s">
        <v>2516</v>
      </c>
      <c r="F243" s="130" t="s">
        <v>26</v>
      </c>
      <c r="G243" s="130" t="s">
        <v>3595</v>
      </c>
      <c r="I243" s="130" t="s">
        <v>2875</v>
      </c>
      <c r="J243" s="130" t="s">
        <v>2641</v>
      </c>
    </row>
    <row r="244" spans="1:10" ht="28.8" x14ac:dyDescent="0.3">
      <c r="A244" s="145">
        <v>46007</v>
      </c>
      <c r="B244" s="130" t="s">
        <v>2692</v>
      </c>
      <c r="E244" s="130" t="s">
        <v>2516</v>
      </c>
      <c r="F244" s="130" t="s">
        <v>26</v>
      </c>
      <c r="G244" s="130" t="s">
        <v>3611</v>
      </c>
      <c r="I244" s="130" t="s">
        <v>2875</v>
      </c>
      <c r="J244" s="130" t="s">
        <v>2641</v>
      </c>
    </row>
    <row r="245" spans="1:10" ht="22.85" customHeight="1" x14ac:dyDescent="0.3">
      <c r="A245" s="145">
        <v>46020</v>
      </c>
      <c r="B245" s="130" t="s">
        <v>2692</v>
      </c>
      <c r="E245" s="130" t="s">
        <v>2516</v>
      </c>
      <c r="F245" s="130" t="s">
        <v>26</v>
      </c>
      <c r="G245" s="130" t="s">
        <v>3616</v>
      </c>
      <c r="I245" s="130" t="s">
        <v>2875</v>
      </c>
      <c r="J245" s="130" t="s">
        <v>2641</v>
      </c>
    </row>
    <row r="246" spans="1:10" ht="22.85" customHeight="1" x14ac:dyDescent="0.3">
      <c r="A246" s="145">
        <v>46037</v>
      </c>
      <c r="B246" s="130" t="s">
        <v>2692</v>
      </c>
      <c r="E246" s="130" t="s">
        <v>2516</v>
      </c>
      <c r="F246" s="130" t="s">
        <v>26</v>
      </c>
      <c r="G246" s="130" t="s">
        <v>3639</v>
      </c>
      <c r="I246" s="130" t="s">
        <v>2875</v>
      </c>
      <c r="J246" s="130" t="s">
        <v>2641</v>
      </c>
    </row>
    <row r="247" spans="1:10" ht="22.85" customHeight="1" x14ac:dyDescent="0.3">
      <c r="A247" s="145">
        <v>46037</v>
      </c>
      <c r="B247" s="130" t="s">
        <v>2692</v>
      </c>
      <c r="E247" s="130" t="s">
        <v>2516</v>
      </c>
      <c r="F247" s="130" t="s">
        <v>26</v>
      </c>
      <c r="G247" s="130" t="s">
        <v>3640</v>
      </c>
      <c r="I247" s="130" t="s">
        <v>2875</v>
      </c>
      <c r="J247" s="130" t="s">
        <v>2641</v>
      </c>
    </row>
    <row r="248" spans="1:10" ht="43.2" x14ac:dyDescent="0.3">
      <c r="A248" s="145">
        <v>46052</v>
      </c>
      <c r="B248" s="130" t="s">
        <v>2692</v>
      </c>
      <c r="E248" s="130" t="s">
        <v>2516</v>
      </c>
      <c r="F248" s="130" t="s">
        <v>26</v>
      </c>
      <c r="G248" s="130" t="s">
        <v>3649</v>
      </c>
      <c r="I248" s="130" t="s">
        <v>2875</v>
      </c>
      <c r="J248" s="130" t="s">
        <v>2641</v>
      </c>
    </row>
    <row r="249" spans="1:10" ht="28.8" x14ac:dyDescent="0.3">
      <c r="A249" s="145">
        <v>46055</v>
      </c>
      <c r="B249" s="130" t="s">
        <v>2692</v>
      </c>
      <c r="E249" s="130" t="s">
        <v>2516</v>
      </c>
      <c r="F249" s="130" t="s">
        <v>26</v>
      </c>
      <c r="G249" s="130" t="s">
        <v>3653</v>
      </c>
      <c r="H249" s="142" t="s">
        <v>3652</v>
      </c>
      <c r="I249" s="130" t="s">
        <v>2875</v>
      </c>
      <c r="J249" s="130" t="s">
        <v>2641</v>
      </c>
    </row>
    <row r="250" spans="1:10" ht="22.85" customHeight="1" x14ac:dyDescent="0.3">
      <c r="A250" s="145">
        <v>46058</v>
      </c>
      <c r="B250" s="130" t="s">
        <v>2692</v>
      </c>
      <c r="E250" s="130" t="s">
        <v>2516</v>
      </c>
      <c r="F250" s="130" t="s">
        <v>26</v>
      </c>
      <c r="G250" s="130" t="s">
        <v>3658</v>
      </c>
      <c r="I250" s="130" t="s">
        <v>2875</v>
      </c>
      <c r="J250" s="130" t="s">
        <v>2641</v>
      </c>
    </row>
    <row r="251" spans="1:10" ht="22.85" customHeight="1" x14ac:dyDescent="0.3">
      <c r="A251" s="145">
        <v>46064</v>
      </c>
      <c r="B251" s="130" t="s">
        <v>2692</v>
      </c>
      <c r="E251" s="130" t="s">
        <v>2516</v>
      </c>
      <c r="F251" s="130" t="s">
        <v>26</v>
      </c>
      <c r="G251" s="130" t="s">
        <v>3666</v>
      </c>
      <c r="I251" s="130" t="s">
        <v>2875</v>
      </c>
      <c r="J251" s="130" t="s">
        <v>2641</v>
      </c>
    </row>
    <row r="252" spans="1:10" ht="72" x14ac:dyDescent="0.3">
      <c r="A252" s="145">
        <v>46085</v>
      </c>
      <c r="B252" s="130" t="s">
        <v>2692</v>
      </c>
      <c r="E252" s="130" t="s">
        <v>2516</v>
      </c>
      <c r="F252" s="130" t="s">
        <v>26</v>
      </c>
      <c r="G252" s="131" t="s">
        <v>3670</v>
      </c>
      <c r="H252" s="130" t="s">
        <v>3668</v>
      </c>
      <c r="I252" s="130" t="s">
        <v>3669</v>
      </c>
      <c r="J252" s="130" t="s">
        <v>2641</v>
      </c>
    </row>
    <row r="253" spans="1:10" ht="22.85" customHeight="1" x14ac:dyDescent="0.3">
      <c r="A253" s="145">
        <v>46090</v>
      </c>
      <c r="B253" s="130" t="s">
        <v>2692</v>
      </c>
      <c r="E253" s="130" t="s">
        <v>2516</v>
      </c>
      <c r="F253" s="130" t="s">
        <v>26</v>
      </c>
      <c r="G253" s="130" t="s">
        <v>3676</v>
      </c>
      <c r="I253" s="130" t="s">
        <v>2875</v>
      </c>
      <c r="J253" s="130" t="s">
        <v>2641</v>
      </c>
    </row>
    <row r="254" spans="1:10" ht="22.85" customHeight="1" x14ac:dyDescent="0.3">
      <c r="A254" s="145">
        <v>46090</v>
      </c>
      <c r="B254" s="130" t="s">
        <v>2692</v>
      </c>
      <c r="E254" s="130" t="s">
        <v>2516</v>
      </c>
      <c r="F254" s="130" t="s">
        <v>26</v>
      </c>
      <c r="G254" s="130" t="s">
        <v>3677</v>
      </c>
      <c r="H254" s="130" t="s">
        <v>3678</v>
      </c>
      <c r="I254" s="130" t="s">
        <v>2875</v>
      </c>
      <c r="J254" s="130" t="s">
        <v>2592</v>
      </c>
    </row>
    <row r="255" spans="1:10" ht="22.85" customHeight="1" x14ac:dyDescent="0.3">
      <c r="A255" s="145">
        <v>46121</v>
      </c>
      <c r="B255" s="130" t="s">
        <v>2692</v>
      </c>
      <c r="E255" s="130" t="s">
        <v>2516</v>
      </c>
      <c r="F255" s="130" t="s">
        <v>26</v>
      </c>
      <c r="G255" s="130" t="s">
        <v>3695</v>
      </c>
      <c r="I255" s="130" t="s">
        <v>2875</v>
      </c>
      <c r="J255" s="130" t="s">
        <v>2641</v>
      </c>
    </row>
    <row r="256" spans="1:10" ht="22.85" customHeight="1" x14ac:dyDescent="0.3">
      <c r="A256" s="145">
        <v>46122</v>
      </c>
      <c r="B256" s="130" t="s">
        <v>2692</v>
      </c>
      <c r="E256" s="130" t="s">
        <v>2516</v>
      </c>
      <c r="F256" s="130" t="s">
        <v>26</v>
      </c>
      <c r="G256" s="130" t="s">
        <v>3703</v>
      </c>
      <c r="I256" s="130" t="s">
        <v>2875</v>
      </c>
      <c r="J256" s="130" t="s">
        <v>2641</v>
      </c>
    </row>
    <row r="257" spans="1:10" ht="100.8" x14ac:dyDescent="0.3">
      <c r="A257" s="145">
        <v>46126</v>
      </c>
      <c r="B257" s="130" t="s">
        <v>2692</v>
      </c>
      <c r="E257" s="130" t="s">
        <v>2516</v>
      </c>
      <c r="F257" s="130" t="s">
        <v>26</v>
      </c>
      <c r="G257" s="130" t="s">
        <v>3723</v>
      </c>
      <c r="H257" s="130" t="s">
        <v>3869</v>
      </c>
      <c r="I257" s="130" t="s">
        <v>2875</v>
      </c>
      <c r="J257" s="130" t="s">
        <v>2641</v>
      </c>
    </row>
    <row r="258" spans="1:10" ht="57.6" x14ac:dyDescent="0.3">
      <c r="A258" s="145">
        <v>46130</v>
      </c>
      <c r="B258" s="130" t="s">
        <v>2692</v>
      </c>
      <c r="E258" s="130" t="s">
        <v>2516</v>
      </c>
      <c r="F258" s="130" t="s">
        <v>26</v>
      </c>
      <c r="G258" s="130" t="s">
        <v>3895</v>
      </c>
      <c r="I258" s="130" t="s">
        <v>3669</v>
      </c>
      <c r="J258" s="130" t="s">
        <v>2641</v>
      </c>
    </row>
    <row r="259" spans="1:10" ht="22.85" customHeight="1" x14ac:dyDescent="0.3">
      <c r="A259" s="145">
        <v>46162</v>
      </c>
      <c r="B259" s="130" t="s">
        <v>2692</v>
      </c>
      <c r="E259" s="130" t="s">
        <v>2516</v>
      </c>
      <c r="F259" s="130" t="s">
        <v>26</v>
      </c>
      <c r="G259" s="130" t="s">
        <v>3868</v>
      </c>
      <c r="I259" s="130" t="s">
        <v>2875</v>
      </c>
      <c r="J259" s="130" t="s">
        <v>2641</v>
      </c>
    </row>
    <row r="260" spans="1:10" ht="22.85" customHeight="1" x14ac:dyDescent="0.3">
      <c r="A260" s="145">
        <v>46195</v>
      </c>
      <c r="B260" s="130" t="s">
        <v>2692</v>
      </c>
      <c r="E260" s="130" t="s">
        <v>2516</v>
      </c>
      <c r="F260" s="130" t="s">
        <v>26</v>
      </c>
      <c r="G260" s="130" t="s">
        <v>3969</v>
      </c>
      <c r="I260" s="130" t="s">
        <v>2875</v>
      </c>
      <c r="J260" s="130" t="s">
        <v>2641</v>
      </c>
    </row>
    <row r="261" spans="1:10" ht="22.85" customHeight="1" x14ac:dyDescent="0.3">
      <c r="A261" s="145">
        <v>46213</v>
      </c>
      <c r="B261" s="130" t="s">
        <v>2692</v>
      </c>
      <c r="E261" s="130" t="s">
        <v>2516</v>
      </c>
      <c r="F261" s="130" t="s">
        <v>3129</v>
      </c>
      <c r="G261" s="130" t="s">
        <v>3987</v>
      </c>
      <c r="I261" s="130" t="s">
        <v>3669</v>
      </c>
      <c r="J261" s="130" t="s">
        <v>2641</v>
      </c>
    </row>
    <row r="262" spans="1:10" ht="22.85" customHeight="1" x14ac:dyDescent="0.3">
      <c r="A262" s="145">
        <v>46219</v>
      </c>
      <c r="B262" s="130" t="s">
        <v>2692</v>
      </c>
      <c r="E262" s="130" t="s">
        <v>2516</v>
      </c>
      <c r="F262" s="130" t="s">
        <v>4015</v>
      </c>
      <c r="G262" s="130" t="s">
        <v>4017</v>
      </c>
      <c r="I262" s="130" t="s">
        <v>3669</v>
      </c>
      <c r="J262" s="130" t="s">
        <v>2641</v>
      </c>
    </row>
    <row r="263" spans="1:10" ht="22.85" customHeight="1" x14ac:dyDescent="0.3">
      <c r="A263" s="145">
        <v>46219</v>
      </c>
      <c r="B263" s="130" t="s">
        <v>2692</v>
      </c>
      <c r="E263" s="130" t="s">
        <v>2516</v>
      </c>
      <c r="F263" s="130" t="s">
        <v>4015</v>
      </c>
      <c r="G263" s="130" t="s">
        <v>4016</v>
      </c>
      <c r="I263" s="130" t="s">
        <v>3669</v>
      </c>
      <c r="J263" s="130" t="s">
        <v>2641</v>
      </c>
    </row>
  </sheetData>
  <hyperlinks>
    <hyperlink ref="H64" r:id="rId1" display="\\qlrr-qlrr02\mrm_data\Giam sat RRTT\2. Bao cao RRTT\2.1. Quan tri viec thuc hien bao cao\IPV 2018\Email" xr:uid="{00000000-0004-0000-0100-000000000000}"/>
  </hyperlink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8"/>
  <sheetViews>
    <sheetView showGridLines="0" topLeftCell="D1" zoomScaleNormal="100" workbookViewId="0">
      <selection activeCell="H6" sqref="H6"/>
    </sheetView>
  </sheetViews>
  <sheetFormatPr defaultRowHeight="14.4" x14ac:dyDescent="0.3"/>
  <cols>
    <col min="6" max="6" width="33.09765625" customWidth="1"/>
    <col min="8" max="8" width="14.09765625" customWidth="1"/>
    <col min="20" max="20" width="9.09765625" customWidth="1"/>
  </cols>
  <sheetData>
    <row r="1" spans="1:13" x14ac:dyDescent="0.3">
      <c r="A1" s="8" t="s">
        <v>3021</v>
      </c>
      <c r="H1" s="315" t="s">
        <v>3524</v>
      </c>
      <c r="M1" s="8" t="s">
        <v>3149</v>
      </c>
    </row>
    <row r="2" spans="1:13" x14ac:dyDescent="0.3">
      <c r="H2" t="s">
        <v>3525</v>
      </c>
    </row>
    <row r="3" spans="1:13" x14ac:dyDescent="0.3">
      <c r="H3" s="528" t="s">
        <v>3526</v>
      </c>
    </row>
    <row r="4" spans="1:13" x14ac:dyDescent="0.3">
      <c r="H4" s="528" t="s">
        <v>3528</v>
      </c>
    </row>
    <row r="5" spans="1:13" x14ac:dyDescent="0.3">
      <c r="H5" s="529" t="s">
        <v>3533</v>
      </c>
    </row>
    <row r="6" spans="1:13" x14ac:dyDescent="0.3">
      <c r="H6" s="74" t="s">
        <v>3534</v>
      </c>
    </row>
    <row r="7" spans="1:13" x14ac:dyDescent="0.3">
      <c r="H7" s="529" t="s">
        <v>3529</v>
      </c>
      <c r="I7" s="529"/>
      <c r="J7" s="529"/>
      <c r="K7" s="529"/>
    </row>
    <row r="8" spans="1:13" x14ac:dyDescent="0.3">
      <c r="H8" s="529" t="s">
        <v>3527</v>
      </c>
      <c r="I8" s="529"/>
      <c r="J8" s="529"/>
      <c r="K8" s="529"/>
    </row>
    <row r="9" spans="1:13" x14ac:dyDescent="0.3">
      <c r="H9" t="s">
        <v>3530</v>
      </c>
    </row>
    <row r="10" spans="1:13" x14ac:dyDescent="0.3">
      <c r="H10" t="s">
        <v>3531</v>
      </c>
    </row>
    <row r="11" spans="1:13" x14ac:dyDescent="0.3">
      <c r="H11" s="29"/>
      <c r="I11" s="29"/>
      <c r="J11" s="29"/>
    </row>
    <row r="12" spans="1:13" x14ac:dyDescent="0.3">
      <c r="H12" s="29"/>
      <c r="I12" s="498"/>
      <c r="J12" s="29"/>
    </row>
    <row r="13" spans="1:13" x14ac:dyDescent="0.3">
      <c r="H13" s="29"/>
      <c r="I13" s="29"/>
      <c r="J13" s="29"/>
    </row>
    <row r="14" spans="1:13" x14ac:dyDescent="0.3">
      <c r="G14" s="29" t="s">
        <v>3023</v>
      </c>
    </row>
    <row r="15" spans="1:13" ht="14.95" customHeight="1" x14ac:dyDescent="0.3">
      <c r="G15" s="29" t="s">
        <v>3023</v>
      </c>
    </row>
    <row r="16" spans="1:13" ht="14.95" customHeight="1" x14ac:dyDescent="0.3">
      <c r="G16" s="29" t="s">
        <v>3022</v>
      </c>
    </row>
    <row r="20" spans="7:11" ht="14.95" customHeight="1" x14ac:dyDescent="0.3"/>
    <row r="21" spans="7:11" x14ac:dyDescent="0.3">
      <c r="G21" s="820" t="s">
        <v>3536</v>
      </c>
      <c r="H21" s="820"/>
      <c r="I21" s="820"/>
      <c r="J21" s="820"/>
      <c r="K21" s="820"/>
    </row>
    <row r="22" spans="7:11" x14ac:dyDescent="0.3">
      <c r="G22" s="820"/>
      <c r="H22" s="820"/>
      <c r="I22" s="820"/>
      <c r="J22" s="820"/>
      <c r="K22" s="820"/>
    </row>
    <row r="23" spans="7:11" x14ac:dyDescent="0.3">
      <c r="G23" s="820"/>
      <c r="H23" s="820"/>
      <c r="I23" s="820"/>
      <c r="J23" s="820"/>
      <c r="K23" s="820"/>
    </row>
    <row r="24" spans="7:11" x14ac:dyDescent="0.3">
      <c r="G24" s="820"/>
      <c r="H24" s="820"/>
      <c r="I24" s="820"/>
      <c r="J24" s="820"/>
      <c r="K24" s="820"/>
    </row>
    <row r="25" spans="7:11" x14ac:dyDescent="0.3">
      <c r="G25" s="820"/>
      <c r="H25" s="820"/>
      <c r="I25" s="820"/>
      <c r="J25" s="820"/>
      <c r="K25" s="820"/>
    </row>
    <row r="26" spans="7:11" x14ac:dyDescent="0.3">
      <c r="G26" s="820"/>
      <c r="H26" s="820"/>
      <c r="I26" s="820"/>
      <c r="J26" s="820"/>
      <c r="K26" s="820"/>
    </row>
    <row r="28" spans="7:11" x14ac:dyDescent="0.3">
      <c r="G28" s="74" t="s">
        <v>3116</v>
      </c>
    </row>
  </sheetData>
  <mergeCells count="1">
    <mergeCell ref="G21:K26"/>
  </mergeCells>
  <hyperlinks>
    <hyperlink ref="G14" r:id="rId1" display="https://www.hnx.vn/vi-vn/trai-phieu/ket-qua-gd-trong-ngay.html?site=in" xr:uid="{2D6CB288-FE66-44F2-BB73-994EA2F1FA9B}"/>
    <hyperlink ref="G16" r:id="rId2" display="https://www.hnx.vn/trai-phieu/ket-qua-dau-thau.html" xr:uid="{1B5ACCCD-30D2-4141-9093-C205999B47B2}"/>
    <hyperlink ref="G15" r:id="rId3" display="https://www.hnx.vn/vi-vn/trai-phieu/ket-qua-gd-trong-ngay.html?site=in" xr:uid="{AAC86C9D-078C-4D6F-991C-35C3E692117E}"/>
    <hyperlink ref="G28" location="'No PT'!Y1" display="'No PT'!Y1" xr:uid="{AE573C2C-A98C-44F4-B5DA-F23ED271117E}"/>
    <hyperlink ref="H6" r:id="rId4" display="- Không có ở input LR thì vào DWH" xr:uid="{787D9A3A-DA32-4EC9-9449-588F9CD56F2A}"/>
  </hyperlinks>
  <pageMargins left="0.7" right="0.7" top="0.75" bottom="0.75" header="0.3" footer="0.3"/>
  <pageSetup orientation="portrait"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dimension ref="A1:E35"/>
  <sheetViews>
    <sheetView topLeftCell="A13" workbookViewId="0"/>
  </sheetViews>
  <sheetFormatPr defaultColWidth="9.09765625" defaultRowHeight="12.75" x14ac:dyDescent="0.3"/>
  <cols>
    <col min="1" max="1" width="9.09765625" style="54"/>
    <col min="2" max="2" width="17.59765625" style="55" bestFit="1" customWidth="1"/>
    <col min="3" max="3" width="61.296875" style="54" customWidth="1"/>
    <col min="4" max="4" width="12.59765625" style="54" customWidth="1"/>
    <col min="5" max="5" width="14.8984375" style="54" bestFit="1" customWidth="1"/>
    <col min="6" max="16384" width="9.09765625" style="54"/>
  </cols>
  <sheetData>
    <row r="1" spans="1:5" x14ac:dyDescent="0.3">
      <c r="A1" s="27" t="s">
        <v>0</v>
      </c>
      <c r="B1" s="53" t="s">
        <v>11</v>
      </c>
      <c r="C1" s="28" t="s">
        <v>1005</v>
      </c>
      <c r="D1" s="28" t="s">
        <v>9</v>
      </c>
      <c r="E1" s="28" t="s">
        <v>1019</v>
      </c>
    </row>
    <row r="2" spans="1:5" ht="101.95" hidden="1" x14ac:dyDescent="0.3">
      <c r="A2" s="4">
        <v>28</v>
      </c>
      <c r="B2" s="20" t="s">
        <v>1030</v>
      </c>
      <c r="C2" s="17" t="s">
        <v>1026</v>
      </c>
      <c r="D2" s="5" t="s">
        <v>1044</v>
      </c>
      <c r="E2" s="16" t="s">
        <v>1018</v>
      </c>
    </row>
    <row r="3" spans="1:5" ht="38.25" hidden="1" x14ac:dyDescent="0.3">
      <c r="A3" s="4">
        <v>24</v>
      </c>
      <c r="B3" s="20" t="s">
        <v>83</v>
      </c>
      <c r="C3" s="17" t="s">
        <v>84</v>
      </c>
      <c r="D3" s="5" t="s">
        <v>1044</v>
      </c>
      <c r="E3" s="16" t="s">
        <v>1018</v>
      </c>
    </row>
    <row r="4" spans="1:5" ht="242.45" hidden="1" customHeight="1" x14ac:dyDescent="0.3">
      <c r="A4" s="4">
        <v>16</v>
      </c>
      <c r="B4" s="16" t="s">
        <v>17</v>
      </c>
      <c r="C4" s="16" t="s">
        <v>1010</v>
      </c>
      <c r="D4" s="5" t="s">
        <v>153</v>
      </c>
      <c r="E4" s="5" t="s">
        <v>1018</v>
      </c>
    </row>
    <row r="5" spans="1:5" ht="38.25" hidden="1" x14ac:dyDescent="0.3">
      <c r="A5" s="4">
        <v>26</v>
      </c>
      <c r="B5" s="20" t="s">
        <v>83</v>
      </c>
      <c r="C5" s="17" t="s">
        <v>84</v>
      </c>
      <c r="D5" s="5" t="s">
        <v>1044</v>
      </c>
      <c r="E5" s="5" t="s">
        <v>1018</v>
      </c>
    </row>
    <row r="6" spans="1:5" ht="125.45" hidden="1" customHeight="1" x14ac:dyDescent="0.3">
      <c r="A6" s="4">
        <v>33</v>
      </c>
      <c r="B6" s="20" t="s">
        <v>143</v>
      </c>
      <c r="C6" s="24" t="s">
        <v>144</v>
      </c>
      <c r="D6" s="5" t="s">
        <v>1044</v>
      </c>
      <c r="E6" s="16" t="s">
        <v>1018</v>
      </c>
    </row>
    <row r="7" spans="1:5" ht="38.25" hidden="1" x14ac:dyDescent="0.3">
      <c r="A7" s="4">
        <v>3</v>
      </c>
      <c r="B7" s="20" t="s">
        <v>87</v>
      </c>
      <c r="C7" s="16" t="s">
        <v>1012</v>
      </c>
      <c r="D7" s="16" t="s">
        <v>1029</v>
      </c>
      <c r="E7" s="16" t="s">
        <v>1018</v>
      </c>
    </row>
    <row r="8" spans="1:5" ht="63.7" hidden="1" x14ac:dyDescent="0.3">
      <c r="A8" s="4">
        <v>4</v>
      </c>
      <c r="B8" s="20" t="s">
        <v>87</v>
      </c>
      <c r="C8" s="16" t="s">
        <v>997</v>
      </c>
      <c r="D8" s="16" t="s">
        <v>1045</v>
      </c>
      <c r="E8" s="16" t="s">
        <v>1018</v>
      </c>
    </row>
    <row r="9" spans="1:5" ht="305.75" x14ac:dyDescent="0.3">
      <c r="A9" s="4">
        <v>27</v>
      </c>
      <c r="B9" s="20" t="s">
        <v>87</v>
      </c>
      <c r="C9" s="17" t="s">
        <v>1046</v>
      </c>
      <c r="D9" s="5" t="s">
        <v>989</v>
      </c>
      <c r="E9" s="16" t="s">
        <v>1018</v>
      </c>
    </row>
    <row r="10" spans="1:5" ht="25.5" x14ac:dyDescent="0.3">
      <c r="A10" s="4">
        <v>17</v>
      </c>
      <c r="B10" s="16" t="s">
        <v>17</v>
      </c>
      <c r="C10" s="16" t="s">
        <v>1008</v>
      </c>
      <c r="D10" s="5" t="s">
        <v>989</v>
      </c>
      <c r="E10" s="16" t="s">
        <v>1018</v>
      </c>
    </row>
    <row r="11" spans="1:5" ht="127.4" x14ac:dyDescent="0.3">
      <c r="A11" s="4">
        <v>5</v>
      </c>
      <c r="B11" s="20" t="s">
        <v>993</v>
      </c>
      <c r="C11" s="17" t="s">
        <v>1000</v>
      </c>
      <c r="D11" s="16" t="s">
        <v>989</v>
      </c>
      <c r="E11" s="5" t="s">
        <v>1018</v>
      </c>
    </row>
    <row r="12" spans="1:5" ht="63.7" hidden="1" x14ac:dyDescent="0.3">
      <c r="A12" s="4">
        <v>7</v>
      </c>
      <c r="B12" s="20" t="s">
        <v>994</v>
      </c>
      <c r="C12" s="16" t="s">
        <v>999</v>
      </c>
      <c r="D12" s="16" t="s">
        <v>153</v>
      </c>
      <c r="E12" s="16" t="s">
        <v>1018</v>
      </c>
    </row>
    <row r="13" spans="1:5" ht="127.4" x14ac:dyDescent="0.3">
      <c r="A13" s="4">
        <v>22</v>
      </c>
      <c r="B13" s="20" t="s">
        <v>60</v>
      </c>
      <c r="C13" s="17" t="s">
        <v>61</v>
      </c>
      <c r="D13" s="5" t="s">
        <v>989</v>
      </c>
      <c r="E13" s="16" t="s">
        <v>1018</v>
      </c>
    </row>
    <row r="14" spans="1:5" ht="101.95" x14ac:dyDescent="0.3">
      <c r="A14" s="4">
        <v>23</v>
      </c>
      <c r="B14" s="15" t="s">
        <v>66</v>
      </c>
      <c r="C14" s="17" t="s">
        <v>67</v>
      </c>
      <c r="D14" s="5" t="s">
        <v>989</v>
      </c>
      <c r="E14" s="16" t="s">
        <v>1018</v>
      </c>
    </row>
    <row r="15" spans="1:5" ht="76.45" x14ac:dyDescent="0.3">
      <c r="A15" s="4">
        <v>1</v>
      </c>
      <c r="B15" s="20" t="s">
        <v>151</v>
      </c>
      <c r="C15" s="16" t="s">
        <v>995</v>
      </c>
      <c r="D15" s="16" t="s">
        <v>989</v>
      </c>
      <c r="E15" s="5" t="s">
        <v>1018</v>
      </c>
    </row>
    <row r="16" spans="1:5" ht="127.4" hidden="1" x14ac:dyDescent="0.3">
      <c r="A16" s="4">
        <v>13</v>
      </c>
      <c r="B16" s="20" t="s">
        <v>14</v>
      </c>
      <c r="C16" s="17" t="s">
        <v>1007</v>
      </c>
      <c r="D16" s="16" t="s">
        <v>153</v>
      </c>
      <c r="E16" s="16" t="s">
        <v>1018</v>
      </c>
    </row>
    <row r="17" spans="1:5" ht="243.7" customHeight="1" x14ac:dyDescent="0.3">
      <c r="A17" s="4">
        <v>2</v>
      </c>
      <c r="B17" s="20" t="s">
        <v>151</v>
      </c>
      <c r="C17" s="16" t="s">
        <v>996</v>
      </c>
      <c r="D17" s="16" t="s">
        <v>1011</v>
      </c>
      <c r="E17" s="16" t="s">
        <v>1018</v>
      </c>
    </row>
    <row r="18" spans="1:5" ht="25.5" x14ac:dyDescent="0.3">
      <c r="A18" s="4">
        <v>6</v>
      </c>
      <c r="B18" s="20" t="s">
        <v>151</v>
      </c>
      <c r="C18" s="16" t="s">
        <v>998</v>
      </c>
      <c r="D18" s="16" t="s">
        <v>989</v>
      </c>
      <c r="E18" s="16" t="s">
        <v>1018</v>
      </c>
    </row>
    <row r="19" spans="1:5" ht="89.2" x14ac:dyDescent="0.3">
      <c r="A19" s="4">
        <v>12</v>
      </c>
      <c r="B19" s="20" t="s">
        <v>151</v>
      </c>
      <c r="C19" s="16" t="s">
        <v>1004</v>
      </c>
      <c r="D19" s="16" t="s">
        <v>989</v>
      </c>
      <c r="E19" s="16" t="s">
        <v>1018</v>
      </c>
    </row>
    <row r="20" spans="1:5" ht="38.25" x14ac:dyDescent="0.3">
      <c r="A20" s="4">
        <v>14</v>
      </c>
      <c r="B20" s="16" t="s">
        <v>13</v>
      </c>
      <c r="C20" s="16" t="s">
        <v>1006</v>
      </c>
      <c r="D20" s="5" t="s">
        <v>989</v>
      </c>
      <c r="E20" s="17" t="s">
        <v>1017</v>
      </c>
    </row>
    <row r="21" spans="1:5" ht="38.25" x14ac:dyDescent="0.3">
      <c r="A21" s="4">
        <v>32</v>
      </c>
      <c r="B21" s="20" t="s">
        <v>137</v>
      </c>
      <c r="C21" s="16" t="s">
        <v>141</v>
      </c>
      <c r="D21" s="5" t="s">
        <v>989</v>
      </c>
      <c r="E21" s="17" t="s">
        <v>1017</v>
      </c>
    </row>
    <row r="22" spans="1:5" ht="50.95" x14ac:dyDescent="0.3">
      <c r="A22" s="4">
        <v>20</v>
      </c>
      <c r="B22" s="20" t="s">
        <v>40</v>
      </c>
      <c r="C22" s="17" t="s">
        <v>1023</v>
      </c>
      <c r="D22" s="17" t="s">
        <v>989</v>
      </c>
      <c r="E22" s="17" t="s">
        <v>1017</v>
      </c>
    </row>
    <row r="23" spans="1:5" ht="127.4" x14ac:dyDescent="0.3">
      <c r="A23" s="4">
        <v>25</v>
      </c>
      <c r="B23" s="20" t="s">
        <v>78</v>
      </c>
      <c r="C23" s="17" t="s">
        <v>79</v>
      </c>
      <c r="D23" s="5" t="s">
        <v>989</v>
      </c>
      <c r="E23" s="17" t="s">
        <v>1017</v>
      </c>
    </row>
    <row r="24" spans="1:5" ht="38.25" x14ac:dyDescent="0.3">
      <c r="A24" s="4">
        <v>19</v>
      </c>
      <c r="B24" s="20" t="s">
        <v>36</v>
      </c>
      <c r="C24" s="17" t="s">
        <v>1022</v>
      </c>
      <c r="D24" s="17" t="s">
        <v>989</v>
      </c>
      <c r="E24" s="17" t="s">
        <v>1017</v>
      </c>
    </row>
    <row r="25" spans="1:5" ht="50.95" x14ac:dyDescent="0.3">
      <c r="A25" s="4">
        <v>9</v>
      </c>
      <c r="B25" s="20" t="s">
        <v>992</v>
      </c>
      <c r="C25" s="16" t="s">
        <v>991</v>
      </c>
      <c r="D25" s="16" t="s">
        <v>989</v>
      </c>
      <c r="E25" s="17" t="s">
        <v>1017</v>
      </c>
    </row>
    <row r="26" spans="1:5" ht="50.95" x14ac:dyDescent="0.3">
      <c r="A26" s="4">
        <v>18</v>
      </c>
      <c r="B26" s="16" t="s">
        <v>18</v>
      </c>
      <c r="C26" s="16" t="s">
        <v>19</v>
      </c>
      <c r="D26" s="16" t="s">
        <v>1009</v>
      </c>
      <c r="E26" s="17" t="s">
        <v>1017</v>
      </c>
    </row>
    <row r="27" spans="1:5" ht="101.95" x14ac:dyDescent="0.3">
      <c r="A27" s="4">
        <v>21</v>
      </c>
      <c r="B27" s="20" t="s">
        <v>56</v>
      </c>
      <c r="C27" s="16" t="s">
        <v>1025</v>
      </c>
      <c r="D27" s="5" t="s">
        <v>989</v>
      </c>
      <c r="E27" s="17" t="s">
        <v>1017</v>
      </c>
    </row>
    <row r="28" spans="1:5" ht="25.5" x14ac:dyDescent="0.3">
      <c r="A28" s="4">
        <v>15</v>
      </c>
      <c r="B28" s="16" t="s">
        <v>15</v>
      </c>
      <c r="C28" s="17" t="s">
        <v>16</v>
      </c>
      <c r="D28" s="5" t="s">
        <v>989</v>
      </c>
      <c r="E28" s="17" t="s">
        <v>1017</v>
      </c>
    </row>
    <row r="29" spans="1:5" ht="89.2" x14ac:dyDescent="0.3">
      <c r="A29" s="4">
        <v>10</v>
      </c>
      <c r="B29" s="20" t="s">
        <v>8</v>
      </c>
      <c r="C29" s="16" t="s">
        <v>1002</v>
      </c>
      <c r="D29" s="16" t="s">
        <v>989</v>
      </c>
      <c r="E29" s="17" t="s">
        <v>1017</v>
      </c>
    </row>
    <row r="30" spans="1:5" ht="63.7" x14ac:dyDescent="0.3">
      <c r="A30" s="4">
        <v>11</v>
      </c>
      <c r="B30" s="20" t="s">
        <v>8</v>
      </c>
      <c r="C30" s="17" t="s">
        <v>1003</v>
      </c>
      <c r="D30" s="16" t="s">
        <v>989</v>
      </c>
      <c r="E30" s="17" t="s">
        <v>1017</v>
      </c>
    </row>
    <row r="31" spans="1:5" ht="38.25" x14ac:dyDescent="0.3">
      <c r="A31" s="4">
        <v>30</v>
      </c>
      <c r="B31" s="20" t="s">
        <v>122</v>
      </c>
      <c r="C31" s="16" t="s">
        <v>123</v>
      </c>
      <c r="D31" s="5" t="s">
        <v>989</v>
      </c>
      <c r="E31" s="17" t="s">
        <v>1017</v>
      </c>
    </row>
    <row r="32" spans="1:5" ht="38.25" x14ac:dyDescent="0.3">
      <c r="A32" s="4">
        <v>31</v>
      </c>
      <c r="B32" s="20" t="s">
        <v>122</v>
      </c>
      <c r="C32" s="16" t="s">
        <v>123</v>
      </c>
      <c r="D32" s="5" t="s">
        <v>989</v>
      </c>
      <c r="E32" s="17" t="s">
        <v>1017</v>
      </c>
    </row>
    <row r="33" spans="1:5" ht="76.45" x14ac:dyDescent="0.3">
      <c r="A33" s="4">
        <v>29</v>
      </c>
      <c r="B33" s="20" t="s">
        <v>117</v>
      </c>
      <c r="C33" s="16" t="s">
        <v>118</v>
      </c>
      <c r="D33" s="5" t="s">
        <v>989</v>
      </c>
      <c r="E33" s="17" t="s">
        <v>1017</v>
      </c>
    </row>
    <row r="34" spans="1:5" ht="50.95" x14ac:dyDescent="0.3">
      <c r="A34" s="4">
        <v>8</v>
      </c>
      <c r="B34" s="20"/>
      <c r="C34" s="16" t="s">
        <v>1001</v>
      </c>
      <c r="D34" s="16" t="s">
        <v>990</v>
      </c>
      <c r="E34" s="17" t="s">
        <v>1017</v>
      </c>
    </row>
    <row r="35" spans="1:5" x14ac:dyDescent="0.3">
      <c r="C35" s="54" t="s">
        <v>2235</v>
      </c>
    </row>
  </sheetData>
  <autoFilter ref="A1:D34" xr:uid="{00000000-0009-0000-0000-000004000000}">
    <filterColumn colId="3">
      <filters>
        <filter val="Cân nhắc bổ sung dần"/>
        <filter val="Cân nhắc sau"/>
        <filter val="cân nhắc, vì phải sửa CSDL"/>
        <filter val="urgent"/>
      </filters>
    </filterColumn>
    <sortState xmlns:xlrd2="http://schemas.microsoft.com/office/spreadsheetml/2017/richdata2" ref="A2:D34">
      <sortCondition ref="B1:B34"/>
    </sortState>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31"/>
  <sheetViews>
    <sheetView workbookViewId="0"/>
  </sheetViews>
  <sheetFormatPr defaultColWidth="9.09765625" defaultRowHeight="55.55" customHeight="1" x14ac:dyDescent="0.3"/>
  <cols>
    <col min="1" max="1" width="4.3984375" style="18" bestFit="1" customWidth="1"/>
    <col min="2" max="2" width="11.8984375" style="18" customWidth="1"/>
    <col min="3" max="3" width="20.59765625" style="26" customWidth="1"/>
    <col min="4" max="4" width="49.3984375" style="18" customWidth="1"/>
    <col min="5" max="5" width="30.296875" style="18" customWidth="1"/>
    <col min="6" max="6" width="21.8984375" style="18" customWidth="1"/>
    <col min="7" max="7" width="12.09765625" style="18" customWidth="1"/>
    <col min="8" max="8" width="11.59765625" style="18" customWidth="1"/>
    <col min="9" max="9" width="21.59765625" style="18" customWidth="1"/>
    <col min="10" max="10" width="27.8984375" style="18" customWidth="1"/>
    <col min="11" max="13" width="9.09765625" style="18" customWidth="1"/>
    <col min="14" max="16384" width="9.09765625" style="18"/>
  </cols>
  <sheetData>
    <row r="1" spans="1:10" s="14" customFormat="1" ht="31.85" customHeight="1" x14ac:dyDescent="0.3">
      <c r="A1" s="19" t="s">
        <v>0</v>
      </c>
      <c r="B1" s="19" t="s">
        <v>20</v>
      </c>
      <c r="C1" s="19" t="s">
        <v>21</v>
      </c>
      <c r="D1" s="19" t="s">
        <v>22</v>
      </c>
      <c r="E1" s="19" t="s">
        <v>23</v>
      </c>
      <c r="F1" s="19" t="s">
        <v>24</v>
      </c>
      <c r="G1" s="19" t="s">
        <v>25</v>
      </c>
      <c r="H1" s="19" t="s">
        <v>12</v>
      </c>
      <c r="I1" s="13" t="s">
        <v>1013</v>
      </c>
      <c r="J1" s="13" t="s">
        <v>150</v>
      </c>
    </row>
    <row r="2" spans="1:10" ht="55.55" customHeight="1" x14ac:dyDescent="0.3">
      <c r="A2" s="15">
        <v>1</v>
      </c>
      <c r="B2" s="15" t="s">
        <v>26</v>
      </c>
      <c r="C2" s="20" t="s">
        <v>27</v>
      </c>
      <c r="D2" s="16" t="s">
        <v>28</v>
      </c>
      <c r="E2" s="17" t="s">
        <v>29</v>
      </c>
      <c r="F2" s="16"/>
      <c r="G2" s="16"/>
      <c r="H2" s="16"/>
      <c r="I2" s="17" t="s">
        <v>1014</v>
      </c>
      <c r="J2" s="17" t="s">
        <v>153</v>
      </c>
    </row>
    <row r="3" spans="1:10" ht="55.55" customHeight="1" x14ac:dyDescent="0.3">
      <c r="A3" s="15">
        <v>2</v>
      </c>
      <c r="B3" s="15" t="s">
        <v>26</v>
      </c>
      <c r="C3" s="20" t="s">
        <v>27</v>
      </c>
      <c r="D3" s="21" t="s">
        <v>30</v>
      </c>
      <c r="E3" s="22"/>
      <c r="F3" s="22"/>
      <c r="G3" s="22"/>
      <c r="H3" s="22"/>
      <c r="I3" s="22" t="s">
        <v>1015</v>
      </c>
      <c r="J3" s="22" t="s">
        <v>153</v>
      </c>
    </row>
    <row r="4" spans="1:10" ht="55.55" customHeight="1" x14ac:dyDescent="0.3">
      <c r="A4" s="15">
        <v>3</v>
      </c>
      <c r="B4" s="15" t="s">
        <v>26</v>
      </c>
      <c r="C4" s="20" t="s">
        <v>31</v>
      </c>
      <c r="D4" s="17" t="s">
        <v>32</v>
      </c>
      <c r="E4" s="17" t="s">
        <v>1020</v>
      </c>
      <c r="F4" s="17" t="s">
        <v>33</v>
      </c>
      <c r="G4" s="17" t="s">
        <v>34</v>
      </c>
      <c r="H4" s="17" t="s">
        <v>35</v>
      </c>
      <c r="I4" s="17" t="s">
        <v>1016</v>
      </c>
      <c r="J4" s="17" t="s">
        <v>153</v>
      </c>
    </row>
    <row r="5" spans="1:10" ht="55.55" customHeight="1" x14ac:dyDescent="0.3">
      <c r="A5" s="15">
        <v>4</v>
      </c>
      <c r="B5" s="15" t="s">
        <v>26</v>
      </c>
      <c r="C5" s="20" t="s">
        <v>36</v>
      </c>
      <c r="D5" s="17" t="s">
        <v>37</v>
      </c>
      <c r="E5" s="17" t="s">
        <v>1021</v>
      </c>
      <c r="F5" s="17" t="s">
        <v>38</v>
      </c>
      <c r="G5" s="17"/>
      <c r="H5" s="16"/>
      <c r="I5" s="17" t="s">
        <v>39</v>
      </c>
      <c r="J5" s="17" t="s">
        <v>153</v>
      </c>
    </row>
    <row r="6" spans="1:10" ht="65.25" customHeight="1" x14ac:dyDescent="0.3">
      <c r="A6" s="15">
        <v>5</v>
      </c>
      <c r="B6" s="15" t="s">
        <v>26</v>
      </c>
      <c r="C6" s="20" t="s">
        <v>40</v>
      </c>
      <c r="D6" s="17" t="s">
        <v>41</v>
      </c>
      <c r="E6" s="17" t="s">
        <v>42</v>
      </c>
      <c r="F6" s="17" t="s">
        <v>1024</v>
      </c>
      <c r="G6" s="17"/>
      <c r="H6" s="16"/>
      <c r="I6" s="17" t="s">
        <v>43</v>
      </c>
      <c r="J6" s="17" t="s">
        <v>153</v>
      </c>
    </row>
    <row r="7" spans="1:10" ht="55.55" customHeight="1" x14ac:dyDescent="0.3">
      <c r="A7" s="15">
        <v>6</v>
      </c>
      <c r="B7" s="15" t="s">
        <v>26</v>
      </c>
      <c r="C7" s="20" t="s">
        <v>44</v>
      </c>
      <c r="D7" s="17" t="s">
        <v>45</v>
      </c>
      <c r="E7" s="17" t="s">
        <v>46</v>
      </c>
      <c r="F7" s="17" t="s">
        <v>47</v>
      </c>
      <c r="G7" s="17" t="s">
        <v>48</v>
      </c>
      <c r="H7" s="16"/>
      <c r="I7" s="17" t="s">
        <v>49</v>
      </c>
      <c r="J7" s="17" t="s">
        <v>153</v>
      </c>
    </row>
    <row r="8" spans="1:10" ht="55.55" customHeight="1" x14ac:dyDescent="0.3">
      <c r="A8" s="15">
        <v>7</v>
      </c>
      <c r="B8" s="15" t="s">
        <v>26</v>
      </c>
      <c r="C8" s="20" t="s">
        <v>50</v>
      </c>
      <c r="D8" s="17" t="s">
        <v>51</v>
      </c>
      <c r="E8" s="17" t="s">
        <v>52</v>
      </c>
      <c r="F8" s="17" t="s">
        <v>53</v>
      </c>
      <c r="G8" s="17" t="s">
        <v>54</v>
      </c>
      <c r="H8" s="16"/>
      <c r="I8" s="17" t="s">
        <v>152</v>
      </c>
      <c r="J8" s="17" t="s">
        <v>153</v>
      </c>
    </row>
    <row r="9" spans="1:10" ht="86.95" customHeight="1" x14ac:dyDescent="0.3">
      <c r="A9" s="15">
        <v>8</v>
      </c>
      <c r="B9" s="15" t="s">
        <v>26</v>
      </c>
      <c r="C9" s="20" t="s">
        <v>56</v>
      </c>
      <c r="D9" s="16" t="s">
        <v>57</v>
      </c>
      <c r="E9" s="16"/>
      <c r="F9" s="16" t="s">
        <v>58</v>
      </c>
      <c r="G9" s="16"/>
      <c r="H9" s="16"/>
      <c r="I9" s="17" t="s">
        <v>59</v>
      </c>
      <c r="J9" s="17" t="s">
        <v>153</v>
      </c>
    </row>
    <row r="10" spans="1:10" ht="89.45" customHeight="1" x14ac:dyDescent="0.3">
      <c r="A10" s="15">
        <v>9</v>
      </c>
      <c r="B10" s="15" t="s">
        <v>60</v>
      </c>
      <c r="C10" s="20" t="s">
        <v>60</v>
      </c>
      <c r="D10" s="17" t="s">
        <v>61</v>
      </c>
      <c r="E10" s="17" t="s">
        <v>62</v>
      </c>
      <c r="F10" s="17" t="s">
        <v>63</v>
      </c>
      <c r="G10" s="17"/>
      <c r="H10" s="17" t="s">
        <v>64</v>
      </c>
      <c r="I10" s="17" t="s">
        <v>65</v>
      </c>
      <c r="J10" s="17" t="s">
        <v>153</v>
      </c>
    </row>
    <row r="11" spans="1:10" ht="55.55" customHeight="1" x14ac:dyDescent="0.3">
      <c r="A11" s="15">
        <v>10</v>
      </c>
      <c r="B11" s="15" t="s">
        <v>66</v>
      </c>
      <c r="C11" s="20"/>
      <c r="D11" s="17" t="s">
        <v>67</v>
      </c>
      <c r="E11" s="16" t="str">
        <f>D11</f>
        <v>1. Sheet:
+  All input để gần nhau, fill cùng màu để dễ nhận diện
+ Output tương tự (Summary, Double check, phân tích, Historical)
+ Các sheet mang tính hỗ trợ không fill màu (guide, log, note, …)
2. Ô:
+ Các ô chứa công thức -&gt; để chữ đỏ
+ Các ô chứa giá trị value nhưng auto update -&gt; để chữ đen
+ Các ô cần nhập giá trị manual -&gt; bôi màu vàng + chữ đen</v>
      </c>
      <c r="F11" s="17" t="s">
        <v>68</v>
      </c>
      <c r="G11" s="16"/>
      <c r="H11" s="16"/>
      <c r="I11" s="17" t="s">
        <v>69</v>
      </c>
      <c r="J11" s="17" t="s">
        <v>153</v>
      </c>
    </row>
    <row r="12" spans="1:10" ht="76.849999999999994" customHeight="1" x14ac:dyDescent="0.3">
      <c r="A12" s="15">
        <v>11</v>
      </c>
      <c r="B12" s="15" t="s">
        <v>66</v>
      </c>
      <c r="C12" s="20" t="s">
        <v>70</v>
      </c>
      <c r="D12" s="23" t="s">
        <v>71</v>
      </c>
      <c r="E12" s="17" t="s">
        <v>72</v>
      </c>
      <c r="F12" s="16" t="s">
        <v>73</v>
      </c>
      <c r="G12" s="16" t="s">
        <v>74</v>
      </c>
      <c r="H12" s="16"/>
      <c r="I12" s="16" t="s">
        <v>55</v>
      </c>
      <c r="J12" s="17" t="s">
        <v>153</v>
      </c>
    </row>
    <row r="13" spans="1:10" ht="55.55" customHeight="1" x14ac:dyDescent="0.3">
      <c r="A13" s="15">
        <v>12</v>
      </c>
      <c r="B13" s="15" t="s">
        <v>11</v>
      </c>
      <c r="C13" s="20" t="s">
        <v>75</v>
      </c>
      <c r="D13" s="17" t="s">
        <v>76</v>
      </c>
      <c r="E13" s="16"/>
      <c r="F13" s="16"/>
      <c r="G13" s="16"/>
      <c r="H13" s="16"/>
      <c r="I13" s="17" t="s">
        <v>77</v>
      </c>
      <c r="J13" s="17" t="s">
        <v>153</v>
      </c>
    </row>
    <row r="14" spans="1:10" ht="64.55" customHeight="1" x14ac:dyDescent="0.3">
      <c r="A14" s="15">
        <v>13</v>
      </c>
      <c r="B14" s="15" t="s">
        <v>11</v>
      </c>
      <c r="C14" s="20" t="s">
        <v>78</v>
      </c>
      <c r="D14" s="17" t="s">
        <v>79</v>
      </c>
      <c r="E14" s="17" t="s">
        <v>80</v>
      </c>
      <c r="F14" s="17" t="s">
        <v>81</v>
      </c>
      <c r="G14" s="16"/>
      <c r="H14" s="16"/>
      <c r="I14" s="17" t="s">
        <v>82</v>
      </c>
      <c r="J14" s="17" t="s">
        <v>153</v>
      </c>
    </row>
    <row r="15" spans="1:10" ht="55.55" customHeight="1" x14ac:dyDescent="0.3">
      <c r="A15" s="15">
        <v>14</v>
      </c>
      <c r="B15" s="15" t="s">
        <v>11</v>
      </c>
      <c r="C15" s="20" t="s">
        <v>83</v>
      </c>
      <c r="D15" s="17" t="s">
        <v>84</v>
      </c>
      <c r="E15" s="17" t="s">
        <v>85</v>
      </c>
      <c r="F15" s="17" t="s">
        <v>86</v>
      </c>
      <c r="G15" s="16"/>
      <c r="H15" s="16"/>
      <c r="I15" s="17" t="s">
        <v>59</v>
      </c>
      <c r="J15" s="17" t="s">
        <v>153</v>
      </c>
    </row>
    <row r="16" spans="1:10" ht="55.55" customHeight="1" x14ac:dyDescent="0.3">
      <c r="A16" s="15">
        <v>15</v>
      </c>
      <c r="B16" s="15" t="s">
        <v>11</v>
      </c>
      <c r="C16" s="20" t="s">
        <v>87</v>
      </c>
      <c r="D16" s="17" t="s">
        <v>88</v>
      </c>
      <c r="E16" s="17" t="s">
        <v>89</v>
      </c>
      <c r="F16" s="17" t="s">
        <v>90</v>
      </c>
      <c r="G16" s="17" t="s">
        <v>91</v>
      </c>
      <c r="H16" s="16" t="s">
        <v>92</v>
      </c>
      <c r="I16" s="17" t="s">
        <v>93</v>
      </c>
      <c r="J16" s="17" t="s">
        <v>153</v>
      </c>
    </row>
    <row r="17" spans="1:10" ht="55.55" customHeight="1" x14ac:dyDescent="0.3">
      <c r="A17" s="15">
        <v>16</v>
      </c>
      <c r="B17" s="15" t="s">
        <v>6</v>
      </c>
      <c r="C17" s="20" t="s">
        <v>94</v>
      </c>
      <c r="D17" s="23" t="s">
        <v>95</v>
      </c>
      <c r="E17" s="17" t="s">
        <v>96</v>
      </c>
      <c r="F17" s="17" t="s">
        <v>97</v>
      </c>
      <c r="G17" s="17" t="s">
        <v>98</v>
      </c>
      <c r="H17" s="16"/>
      <c r="I17" s="16" t="s">
        <v>99</v>
      </c>
      <c r="J17" s="16" t="s">
        <v>153</v>
      </c>
    </row>
    <row r="18" spans="1:10" ht="55.55" customHeight="1" x14ac:dyDescent="0.3">
      <c r="A18" s="15">
        <v>17</v>
      </c>
      <c r="B18" s="15" t="s">
        <v>100</v>
      </c>
      <c r="C18" s="20" t="s">
        <v>101</v>
      </c>
      <c r="D18" s="24" t="s">
        <v>102</v>
      </c>
      <c r="E18" s="16" t="s">
        <v>103</v>
      </c>
      <c r="F18" s="16" t="s">
        <v>104</v>
      </c>
      <c r="G18" s="16"/>
      <c r="H18" s="25" t="s">
        <v>105</v>
      </c>
      <c r="I18" s="17" t="s">
        <v>106</v>
      </c>
      <c r="J18" s="17" t="s">
        <v>153</v>
      </c>
    </row>
    <row r="19" spans="1:10" ht="55.55" customHeight="1" x14ac:dyDescent="0.3">
      <c r="A19" s="15">
        <v>18</v>
      </c>
      <c r="B19" s="15" t="s">
        <v>100</v>
      </c>
      <c r="C19" s="20" t="s">
        <v>108</v>
      </c>
      <c r="D19" s="16" t="s">
        <v>109</v>
      </c>
      <c r="E19" s="16" t="s">
        <v>110</v>
      </c>
      <c r="F19" s="16" t="s">
        <v>111</v>
      </c>
      <c r="G19" s="17" t="s">
        <v>112</v>
      </c>
      <c r="H19" s="16"/>
      <c r="I19" s="16" t="s">
        <v>107</v>
      </c>
      <c r="J19" s="16" t="s">
        <v>153</v>
      </c>
    </row>
    <row r="20" spans="1:10" ht="63.7" x14ac:dyDescent="0.3">
      <c r="A20" s="15">
        <v>19</v>
      </c>
      <c r="B20" s="15" t="s">
        <v>100</v>
      </c>
      <c r="C20" s="20" t="s">
        <v>108</v>
      </c>
      <c r="D20" s="16" t="s">
        <v>113</v>
      </c>
      <c r="E20" s="16" t="s">
        <v>114</v>
      </c>
      <c r="F20" s="16" t="s">
        <v>115</v>
      </c>
      <c r="G20" s="16"/>
      <c r="H20" s="16"/>
      <c r="I20" s="16" t="s">
        <v>1027</v>
      </c>
      <c r="J20" s="16" t="s">
        <v>153</v>
      </c>
    </row>
    <row r="21" spans="1:10" ht="55.55" customHeight="1" x14ac:dyDescent="0.3">
      <c r="A21" s="15">
        <v>20</v>
      </c>
      <c r="B21" s="15" t="s">
        <v>100</v>
      </c>
      <c r="C21" s="20" t="s">
        <v>117</v>
      </c>
      <c r="D21" s="16" t="s">
        <v>118</v>
      </c>
      <c r="E21" s="16" t="s">
        <v>119</v>
      </c>
      <c r="F21" s="16" t="s">
        <v>120</v>
      </c>
      <c r="G21" s="16" t="s">
        <v>121</v>
      </c>
      <c r="H21" s="16"/>
      <c r="I21" s="16" t="s">
        <v>154</v>
      </c>
      <c r="J21" s="16" t="s">
        <v>153</v>
      </c>
    </row>
    <row r="22" spans="1:10" ht="55.55" customHeight="1" x14ac:dyDescent="0.3">
      <c r="A22" s="15">
        <v>21</v>
      </c>
      <c r="B22" s="15" t="s">
        <v>100</v>
      </c>
      <c r="C22" s="20" t="s">
        <v>122</v>
      </c>
      <c r="D22" s="16" t="s">
        <v>123</v>
      </c>
      <c r="E22" s="16" t="s">
        <v>114</v>
      </c>
      <c r="F22" s="16" t="s">
        <v>124</v>
      </c>
      <c r="G22" s="16"/>
      <c r="H22" s="17" t="s">
        <v>125</v>
      </c>
      <c r="I22" s="16" t="s">
        <v>116</v>
      </c>
      <c r="J22" s="16" t="s">
        <v>153</v>
      </c>
    </row>
    <row r="23" spans="1:10" ht="55.55" customHeight="1" x14ac:dyDescent="0.3">
      <c r="A23" s="15">
        <v>22</v>
      </c>
      <c r="B23" s="15" t="s">
        <v>100</v>
      </c>
      <c r="C23" s="20" t="s">
        <v>126</v>
      </c>
      <c r="D23" s="17" t="s">
        <v>127</v>
      </c>
      <c r="E23" s="17" t="s">
        <v>128</v>
      </c>
      <c r="F23" s="17" t="s">
        <v>129</v>
      </c>
      <c r="G23" s="16"/>
      <c r="H23" s="16"/>
      <c r="I23" s="17" t="s">
        <v>130</v>
      </c>
      <c r="J23" s="16" t="s">
        <v>153</v>
      </c>
    </row>
    <row r="24" spans="1:10" ht="55.55" customHeight="1" x14ac:dyDescent="0.3">
      <c r="A24" s="15">
        <v>23</v>
      </c>
      <c r="B24" s="15" t="s">
        <v>100</v>
      </c>
      <c r="C24" s="20" t="s">
        <v>131</v>
      </c>
      <c r="D24" s="24" t="s">
        <v>132</v>
      </c>
      <c r="E24" s="16"/>
      <c r="F24" s="16"/>
      <c r="G24" s="16"/>
      <c r="H24" s="16"/>
      <c r="I24" s="16" t="s">
        <v>155</v>
      </c>
      <c r="J24" s="16" t="s">
        <v>153</v>
      </c>
    </row>
    <row r="25" spans="1:10" ht="55.55" customHeight="1" x14ac:dyDescent="0.3">
      <c r="A25" s="15">
        <v>24</v>
      </c>
      <c r="B25" s="15" t="s">
        <v>100</v>
      </c>
      <c r="C25" s="20" t="s">
        <v>133</v>
      </c>
      <c r="D25" s="24" t="s">
        <v>134</v>
      </c>
      <c r="E25" s="16"/>
      <c r="F25" s="16"/>
      <c r="G25" s="16"/>
      <c r="H25" s="16"/>
      <c r="I25" s="16"/>
      <c r="J25" s="16" t="s">
        <v>1028</v>
      </c>
    </row>
    <row r="26" spans="1:10" ht="55.55" customHeight="1" x14ac:dyDescent="0.3">
      <c r="A26" s="15">
        <v>25</v>
      </c>
      <c r="B26" s="15" t="s">
        <v>100</v>
      </c>
      <c r="C26" s="20" t="s">
        <v>31</v>
      </c>
      <c r="D26" s="24" t="s">
        <v>135</v>
      </c>
      <c r="E26" s="16"/>
      <c r="F26" s="16"/>
      <c r="G26" s="16"/>
      <c r="H26" s="16"/>
      <c r="I26" s="16"/>
      <c r="J26" s="16" t="s">
        <v>1028</v>
      </c>
    </row>
    <row r="27" spans="1:10" ht="55.55" customHeight="1" x14ac:dyDescent="0.3">
      <c r="A27" s="15">
        <v>26</v>
      </c>
      <c r="B27" s="15" t="s">
        <v>136</v>
      </c>
      <c r="C27" s="20" t="s">
        <v>137</v>
      </c>
      <c r="D27" s="17" t="s">
        <v>138</v>
      </c>
      <c r="E27" s="16"/>
      <c r="F27" s="16"/>
      <c r="G27" s="16"/>
      <c r="H27" s="16" t="s">
        <v>139</v>
      </c>
      <c r="I27" s="15" t="s">
        <v>140</v>
      </c>
      <c r="J27" s="20" t="s">
        <v>157</v>
      </c>
    </row>
    <row r="28" spans="1:10" ht="55.55" customHeight="1" x14ac:dyDescent="0.3">
      <c r="A28" s="15">
        <v>27</v>
      </c>
      <c r="B28" s="15" t="s">
        <v>136</v>
      </c>
      <c r="C28" s="20" t="s">
        <v>137</v>
      </c>
      <c r="D28" s="16" t="s">
        <v>141</v>
      </c>
      <c r="E28" s="16"/>
      <c r="F28" s="16"/>
      <c r="G28" s="16"/>
      <c r="H28" s="16"/>
      <c r="I28" s="16" t="s">
        <v>142</v>
      </c>
      <c r="J28" s="16" t="s">
        <v>153</v>
      </c>
    </row>
    <row r="29" spans="1:10" ht="55.55" customHeight="1" x14ac:dyDescent="0.3">
      <c r="A29" s="15">
        <v>28</v>
      </c>
      <c r="B29" s="15" t="s">
        <v>136</v>
      </c>
      <c r="C29" s="20" t="s">
        <v>143</v>
      </c>
      <c r="D29" s="24" t="s">
        <v>144</v>
      </c>
      <c r="E29" s="16"/>
      <c r="F29" s="16" t="s">
        <v>145</v>
      </c>
      <c r="G29" s="16"/>
      <c r="H29" s="16"/>
      <c r="I29" s="16" t="s">
        <v>146</v>
      </c>
      <c r="J29" s="16" t="s">
        <v>153</v>
      </c>
    </row>
    <row r="30" spans="1:10" ht="55.55" customHeight="1" x14ac:dyDescent="0.3">
      <c r="A30" s="15">
        <v>29</v>
      </c>
      <c r="B30" s="15" t="s">
        <v>100</v>
      </c>
      <c r="C30" s="20" t="s">
        <v>101</v>
      </c>
      <c r="D30" s="21" t="s">
        <v>147</v>
      </c>
      <c r="E30" s="22"/>
      <c r="F30" s="22" t="s">
        <v>148</v>
      </c>
      <c r="G30" s="22"/>
      <c r="H30" s="22"/>
      <c r="I30" s="22"/>
      <c r="J30" s="16" t="s">
        <v>153</v>
      </c>
    </row>
    <row r="31" spans="1:10" ht="55.55" customHeight="1" x14ac:dyDescent="0.3">
      <c r="A31" s="15">
        <v>30</v>
      </c>
      <c r="B31" s="15" t="s">
        <v>26</v>
      </c>
      <c r="C31" s="20" t="s">
        <v>31</v>
      </c>
      <c r="D31" s="21" t="s">
        <v>149</v>
      </c>
      <c r="E31" s="22"/>
      <c r="F31" s="22"/>
      <c r="G31" s="22"/>
      <c r="H31" s="22"/>
      <c r="I31" s="22" t="s">
        <v>156</v>
      </c>
      <c r="J31" s="16" t="s">
        <v>153</v>
      </c>
    </row>
  </sheetData>
  <autoFilter ref="A1:J31" xr:uid="{00000000-0009-0000-0000-000005000000}"/>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9"/>
  <dimension ref="A1:P52"/>
  <sheetViews>
    <sheetView showGridLines="0" zoomScaleNormal="100" workbookViewId="0">
      <pane ySplit="1" topLeftCell="A31" activePane="bottomLeft" state="frozen"/>
      <selection pane="bottomLeft" activeCell="A4" sqref="A4"/>
    </sheetView>
  </sheetViews>
  <sheetFormatPr defaultColWidth="9.09765625" defaultRowHeight="15.55" x14ac:dyDescent="0.3"/>
  <cols>
    <col min="1" max="1" width="5.3984375" style="150" customWidth="1"/>
    <col min="2" max="2" width="17.09765625" style="150" customWidth="1"/>
    <col min="3" max="3" width="65" style="150" customWidth="1"/>
    <col min="4" max="4" width="33.3984375" style="150" customWidth="1"/>
    <col min="5" max="5" width="1.3984375" style="111" customWidth="1"/>
    <col min="6" max="16384" width="9.09765625" style="111"/>
  </cols>
  <sheetData>
    <row r="1" spans="1:6" x14ac:dyDescent="0.3">
      <c r="A1" s="149" t="s">
        <v>2307</v>
      </c>
      <c r="E1" s="112"/>
      <c r="F1" s="611"/>
    </row>
    <row r="2" spans="1:6" x14ac:dyDescent="0.3">
      <c r="A2" s="151"/>
      <c r="E2" s="112" t="s">
        <v>7</v>
      </c>
    </row>
    <row r="3" spans="1:6" ht="23.95" customHeight="1" x14ac:dyDescent="0.3">
      <c r="A3" s="151"/>
      <c r="C3" s="152" t="s">
        <v>2308</v>
      </c>
      <c r="E3" s="112"/>
    </row>
    <row r="4" spans="1:6" x14ac:dyDescent="0.3">
      <c r="A4" s="149" t="s">
        <v>2309</v>
      </c>
      <c r="D4" s="149"/>
      <c r="E4" s="112"/>
    </row>
    <row r="5" spans="1:6" x14ac:dyDescent="0.3">
      <c r="E5" s="112"/>
    </row>
    <row r="6" spans="1:6" x14ac:dyDescent="0.3">
      <c r="D6" s="153"/>
      <c r="E6" s="112"/>
    </row>
    <row r="7" spans="1:6" x14ac:dyDescent="0.3">
      <c r="E7" s="112"/>
    </row>
    <row r="8" spans="1:6" x14ac:dyDescent="0.3">
      <c r="E8" s="112"/>
    </row>
    <row r="9" spans="1:6" x14ac:dyDescent="0.3">
      <c r="D9" s="153"/>
      <c r="E9" s="112"/>
    </row>
    <row r="10" spans="1:6" x14ac:dyDescent="0.3">
      <c r="D10" s="153"/>
      <c r="E10" s="112"/>
    </row>
    <row r="11" spans="1:6" x14ac:dyDescent="0.3">
      <c r="D11" s="153"/>
      <c r="E11" s="112"/>
    </row>
    <row r="12" spans="1:6" x14ac:dyDescent="0.3">
      <c r="E12" s="112"/>
    </row>
    <row r="13" spans="1:6" x14ac:dyDescent="0.3">
      <c r="D13" s="153"/>
      <c r="E13" s="112"/>
    </row>
    <row r="14" spans="1:6" x14ac:dyDescent="0.3">
      <c r="D14" s="153"/>
      <c r="E14" s="112"/>
    </row>
    <row r="15" spans="1:6" x14ac:dyDescent="0.3">
      <c r="D15" s="153"/>
      <c r="E15" s="112"/>
    </row>
    <row r="16" spans="1:6" ht="14.95" customHeight="1" x14ac:dyDescent="0.3">
      <c r="E16" s="112"/>
    </row>
    <row r="17" spans="1:16" x14ac:dyDescent="0.3">
      <c r="E17" s="112"/>
    </row>
    <row r="18" spans="1:16" x14ac:dyDescent="0.3">
      <c r="A18" s="150" t="s">
        <v>2310</v>
      </c>
      <c r="E18" s="112"/>
    </row>
    <row r="19" spans="1:16" x14ac:dyDescent="0.3">
      <c r="E19" s="112"/>
      <c r="F19"/>
      <c r="G19"/>
      <c r="H19"/>
      <c r="I19"/>
      <c r="J19"/>
      <c r="K19"/>
      <c r="L19"/>
      <c r="M19"/>
      <c r="N19"/>
      <c r="O19"/>
      <c r="P19"/>
    </row>
    <row r="20" spans="1:16" x14ac:dyDescent="0.3">
      <c r="A20" s="149" t="s">
        <v>2311</v>
      </c>
      <c r="E20" s="112"/>
    </row>
    <row r="21" spans="1:16" x14ac:dyDescent="0.3">
      <c r="A21" s="150" t="s">
        <v>2312</v>
      </c>
      <c r="E21" s="112"/>
    </row>
    <row r="22" spans="1:16" x14ac:dyDescent="0.3">
      <c r="A22" s="150" t="s">
        <v>2313</v>
      </c>
      <c r="E22" s="112"/>
    </row>
    <row r="23" spans="1:16" x14ac:dyDescent="0.3">
      <c r="A23" s="153" t="s">
        <v>2314</v>
      </c>
      <c r="E23" s="112"/>
    </row>
    <row r="24" spans="1:16" x14ac:dyDescent="0.3">
      <c r="A24" s="153" t="s">
        <v>2315</v>
      </c>
      <c r="E24" s="112"/>
    </row>
    <row r="25" spans="1:16" x14ac:dyDescent="0.3">
      <c r="A25" s="153" t="s">
        <v>2316</v>
      </c>
      <c r="E25" s="112"/>
    </row>
    <row r="26" spans="1:16" x14ac:dyDescent="0.3">
      <c r="A26" s="150" t="s">
        <v>2317</v>
      </c>
      <c r="E26" s="112"/>
    </row>
    <row r="27" spans="1:16" x14ac:dyDescent="0.3">
      <c r="A27" s="153" t="s">
        <v>2318</v>
      </c>
      <c r="E27" s="112"/>
    </row>
    <row r="28" spans="1:16" x14ac:dyDescent="0.3">
      <c r="A28" s="153" t="s">
        <v>2319</v>
      </c>
      <c r="E28" s="112"/>
    </row>
    <row r="29" spans="1:16" x14ac:dyDescent="0.3">
      <c r="A29" s="153" t="s">
        <v>2320</v>
      </c>
      <c r="E29" s="112"/>
    </row>
    <row r="30" spans="1:16" x14ac:dyDescent="0.3">
      <c r="A30" s="153"/>
      <c r="E30" s="112"/>
    </row>
    <row r="31" spans="1:16" ht="31.05" x14ac:dyDescent="0.3">
      <c r="A31" s="303" t="s">
        <v>0</v>
      </c>
      <c r="B31" s="303" t="s">
        <v>2321</v>
      </c>
      <c r="C31" s="303" t="s">
        <v>2196</v>
      </c>
      <c r="D31" s="303" t="s">
        <v>12</v>
      </c>
      <c r="E31" s="112"/>
    </row>
    <row r="32" spans="1:16" ht="31.05" x14ac:dyDescent="0.3">
      <c r="A32" s="304">
        <v>1</v>
      </c>
      <c r="B32" s="305" t="s">
        <v>740</v>
      </c>
      <c r="C32" s="822" t="s">
        <v>2322</v>
      </c>
      <c r="D32" s="305" t="s">
        <v>2323</v>
      </c>
      <c r="E32" s="112"/>
    </row>
    <row r="33" spans="1:5" x14ac:dyDescent="0.3">
      <c r="A33" s="304">
        <v>2</v>
      </c>
      <c r="B33" s="305" t="s">
        <v>741</v>
      </c>
      <c r="C33" s="821"/>
      <c r="D33" s="305"/>
      <c r="E33" s="112"/>
    </row>
    <row r="34" spans="1:5" ht="46.55" x14ac:dyDescent="0.3">
      <c r="A34" s="304">
        <v>3</v>
      </c>
      <c r="B34" s="305" t="s">
        <v>763</v>
      </c>
      <c r="C34" s="307" t="s">
        <v>2324</v>
      </c>
      <c r="D34" s="305"/>
      <c r="E34" s="112"/>
    </row>
    <row r="35" spans="1:5" ht="46.55" x14ac:dyDescent="0.3">
      <c r="A35" s="304">
        <v>4</v>
      </c>
      <c r="B35" s="305" t="s">
        <v>2325</v>
      </c>
      <c r="C35" s="307" t="s">
        <v>2326</v>
      </c>
      <c r="D35" s="305"/>
      <c r="E35" s="112"/>
    </row>
    <row r="36" spans="1:5" ht="46.55" x14ac:dyDescent="0.3">
      <c r="A36" s="304">
        <v>5</v>
      </c>
      <c r="B36" s="305" t="s">
        <v>757</v>
      </c>
      <c r="C36" s="307" t="s">
        <v>2327</v>
      </c>
      <c r="D36" s="305"/>
      <c r="E36" s="112"/>
    </row>
    <row r="37" spans="1:5" x14ac:dyDescent="0.3">
      <c r="A37" s="304">
        <v>6</v>
      </c>
      <c r="B37" s="305" t="s">
        <v>817</v>
      </c>
      <c r="C37" s="307" t="s">
        <v>2328</v>
      </c>
      <c r="D37" s="307"/>
      <c r="E37" s="112"/>
    </row>
    <row r="38" spans="1:5" x14ac:dyDescent="0.3">
      <c r="A38" s="304">
        <v>7</v>
      </c>
      <c r="B38" s="305" t="s">
        <v>744</v>
      </c>
      <c r="C38" s="307" t="s">
        <v>2329</v>
      </c>
      <c r="D38" s="305"/>
      <c r="E38" s="112"/>
    </row>
    <row r="39" spans="1:5" ht="64.55" customHeight="1" x14ac:dyDescent="0.3">
      <c r="A39" s="304">
        <v>8</v>
      </c>
      <c r="B39" s="305" t="s">
        <v>745</v>
      </c>
      <c r="C39" s="307" t="s">
        <v>2330</v>
      </c>
      <c r="D39" s="307" t="s">
        <v>2331</v>
      </c>
      <c r="E39" s="112"/>
    </row>
    <row r="40" spans="1:5" x14ac:dyDescent="0.3">
      <c r="A40" s="304">
        <v>9</v>
      </c>
      <c r="B40" s="305" t="s">
        <v>746</v>
      </c>
      <c r="C40" s="307" t="s">
        <v>2332</v>
      </c>
      <c r="D40" s="305"/>
      <c r="E40" s="112"/>
    </row>
    <row r="41" spans="1:5" x14ac:dyDescent="0.3">
      <c r="A41" s="304">
        <v>10</v>
      </c>
      <c r="B41" s="305" t="s">
        <v>747</v>
      </c>
      <c r="C41" s="307" t="s">
        <v>2333</v>
      </c>
      <c r="D41" s="305"/>
      <c r="E41" s="112"/>
    </row>
    <row r="42" spans="1:5" ht="31.05" x14ac:dyDescent="0.3">
      <c r="A42" s="304">
        <v>11</v>
      </c>
      <c r="B42" s="305" t="s">
        <v>748</v>
      </c>
      <c r="C42" s="307" t="s">
        <v>2334</v>
      </c>
      <c r="D42" s="305"/>
      <c r="E42" s="112"/>
    </row>
    <row r="43" spans="1:5" ht="14.4" customHeight="1" x14ac:dyDescent="0.3">
      <c r="A43" s="304">
        <v>12</v>
      </c>
      <c r="B43" s="305" t="s">
        <v>764</v>
      </c>
      <c r="C43" s="306" t="s">
        <v>2335</v>
      </c>
      <c r="D43" s="305"/>
      <c r="E43" s="112"/>
    </row>
    <row r="44" spans="1:5" ht="62.05" x14ac:dyDescent="0.3">
      <c r="A44" s="304">
        <v>13</v>
      </c>
      <c r="B44" s="305" t="s">
        <v>818</v>
      </c>
      <c r="C44" s="307" t="s">
        <v>2336</v>
      </c>
      <c r="D44" s="305"/>
      <c r="E44" s="112"/>
    </row>
    <row r="45" spans="1:5" ht="62.05" x14ac:dyDescent="0.3">
      <c r="A45" s="304">
        <v>14</v>
      </c>
      <c r="B45" s="305" t="s">
        <v>819</v>
      </c>
      <c r="C45" s="307" t="s">
        <v>2733</v>
      </c>
      <c r="D45" s="308" t="s">
        <v>2738</v>
      </c>
      <c r="E45" s="112"/>
    </row>
    <row r="46" spans="1:5" x14ac:dyDescent="0.3">
      <c r="A46" s="304">
        <v>15</v>
      </c>
      <c r="B46" s="305" t="s">
        <v>767</v>
      </c>
      <c r="C46" s="307" t="s">
        <v>2337</v>
      </c>
      <c r="D46" s="305"/>
      <c r="E46" s="112"/>
    </row>
    <row r="47" spans="1:5" ht="31.05" x14ac:dyDescent="0.3">
      <c r="A47" s="304">
        <v>16</v>
      </c>
      <c r="B47" s="305" t="s">
        <v>754</v>
      </c>
      <c r="C47" s="307" t="s">
        <v>2338</v>
      </c>
      <c r="D47" s="305"/>
      <c r="E47" s="112"/>
    </row>
    <row r="48" spans="1:5" ht="14.4" customHeight="1" x14ac:dyDescent="0.3">
      <c r="A48" s="304">
        <v>17</v>
      </c>
      <c r="B48" s="305" t="s">
        <v>755</v>
      </c>
      <c r="C48" s="821" t="s">
        <v>2339</v>
      </c>
      <c r="D48" s="305"/>
      <c r="E48" s="112"/>
    </row>
    <row r="49" spans="1:4" x14ac:dyDescent="0.3">
      <c r="A49" s="304">
        <v>18</v>
      </c>
      <c r="B49" s="305" t="s">
        <v>756</v>
      </c>
      <c r="C49" s="821"/>
      <c r="D49" s="305"/>
    </row>
    <row r="50" spans="1:4" ht="62.05" x14ac:dyDescent="0.3">
      <c r="A50" s="304">
        <v>19</v>
      </c>
      <c r="B50" s="305" t="s">
        <v>2340</v>
      </c>
      <c r="C50" s="306" t="s">
        <v>2341</v>
      </c>
      <c r="D50" s="305"/>
    </row>
    <row r="51" spans="1:4" ht="46.55" x14ac:dyDescent="0.3">
      <c r="A51" s="304">
        <v>20</v>
      </c>
      <c r="B51" s="305" t="s">
        <v>2342</v>
      </c>
      <c r="C51" s="307" t="s">
        <v>2343</v>
      </c>
      <c r="D51" s="305"/>
    </row>
    <row r="52" spans="1:4" ht="201.6" x14ac:dyDescent="0.3">
      <c r="A52" s="305">
        <v>21</v>
      </c>
      <c r="B52" s="305" t="s">
        <v>2732</v>
      </c>
      <c r="C52" s="307" t="s">
        <v>3698</v>
      </c>
      <c r="D52" s="309" t="s">
        <v>3696</v>
      </c>
    </row>
  </sheetData>
  <mergeCells count="2">
    <mergeCell ref="C48:C49"/>
    <mergeCell ref="C32:C3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A1:DA1855"/>
  <sheetViews>
    <sheetView topLeftCell="AW1" workbookViewId="0">
      <pane ySplit="1" topLeftCell="A2" activePane="bottomLeft" state="frozen"/>
      <selection pane="bottomLeft" activeCell="BH7" sqref="BF2:BH7"/>
    </sheetView>
  </sheetViews>
  <sheetFormatPr defaultRowHeight="14.4" x14ac:dyDescent="0.3"/>
  <cols>
    <col min="1" max="1" width="16.296875" bestFit="1" customWidth="1"/>
    <col min="2" max="2" width="12.59765625" bestFit="1" customWidth="1"/>
    <col min="3" max="3" width="10.296875" customWidth="1"/>
    <col min="4" max="4" width="9.296875" bestFit="1" customWidth="1"/>
    <col min="5" max="5" width="9.8984375" bestFit="1" customWidth="1"/>
    <col min="6" max="8" width="10.296875" customWidth="1"/>
    <col min="9" max="9" width="9" bestFit="1" customWidth="1"/>
    <col min="10" max="10" width="9.59765625" bestFit="1" customWidth="1"/>
    <col min="11" max="11" width="11.09765625" bestFit="1" customWidth="1"/>
    <col min="12" max="12" width="12.69921875" bestFit="1" customWidth="1"/>
    <col min="15" max="15" width="6" bestFit="1" customWidth="1"/>
    <col min="16" max="16" width="10.69921875" bestFit="1" customWidth="1"/>
    <col min="18" max="18" width="12.69921875" bestFit="1" customWidth="1"/>
    <col min="19" max="20" width="9.09765625" style="575"/>
    <col min="21" max="21" width="5.69921875" style="575" bestFit="1" customWidth="1"/>
    <col min="23" max="23" width="14" customWidth="1"/>
    <col min="24" max="24" width="12.8984375" bestFit="1" customWidth="1"/>
    <col min="26" max="26" width="12.09765625" bestFit="1" customWidth="1"/>
    <col min="28" max="28" width="14.3984375" customWidth="1"/>
    <col min="29" max="29" width="12.8984375" bestFit="1" customWidth="1"/>
    <col min="30" max="30" width="9.8984375" bestFit="1" customWidth="1"/>
    <col min="31" max="31" width="9.296875" bestFit="1" customWidth="1"/>
    <col min="32" max="32" width="12.09765625" bestFit="1" customWidth="1"/>
    <col min="33" max="33" width="12.8984375" bestFit="1" customWidth="1"/>
    <col min="35" max="35" width="12.09765625" bestFit="1" customWidth="1"/>
    <col min="36" max="36" width="12.8984375" bestFit="1" customWidth="1"/>
    <col min="37" max="37" width="11.3984375" customWidth="1"/>
    <col min="38" max="38" width="10.8984375" bestFit="1" customWidth="1"/>
    <col min="39" max="39" width="15.69921875" bestFit="1" customWidth="1"/>
    <col min="41" max="41" width="13.69921875" bestFit="1" customWidth="1"/>
    <col min="42" max="42" width="13.296875" bestFit="1" customWidth="1"/>
    <col min="45" max="45" width="13.59765625" customWidth="1"/>
    <col min="46" max="46" width="10.8984375" bestFit="1" customWidth="1"/>
    <col min="54" max="54" width="13.09765625" style="508" bestFit="1" customWidth="1"/>
    <col min="55" max="55" width="10.69921875" style="649" bestFit="1" customWidth="1"/>
    <col min="56" max="56" width="9.69921875" bestFit="1" customWidth="1"/>
    <col min="57" max="57" width="13.3984375" bestFit="1" customWidth="1"/>
    <col min="58" max="58" width="13.296875" bestFit="1" customWidth="1"/>
    <col min="59" max="59" width="19.09765625" bestFit="1" customWidth="1"/>
    <col min="60" max="60" width="16.296875" style="501" bestFit="1" customWidth="1"/>
    <col min="64" max="64" width="10.296875" bestFit="1" customWidth="1"/>
  </cols>
  <sheetData>
    <row r="1" spans="1:65" ht="14.95" customHeight="1" x14ac:dyDescent="0.3">
      <c r="A1" s="45" t="s">
        <v>892</v>
      </c>
      <c r="B1" s="45" t="s">
        <v>842</v>
      </c>
      <c r="D1" s="45" t="s">
        <v>946</v>
      </c>
      <c r="E1" s="45" t="s">
        <v>947</v>
      </c>
      <c r="F1" s="45" t="s">
        <v>911</v>
      </c>
      <c r="G1" s="45" t="s">
        <v>876</v>
      </c>
      <c r="I1" s="45" t="s">
        <v>948</v>
      </c>
      <c r="J1" s="45" t="s">
        <v>949</v>
      </c>
      <c r="K1" s="45" t="s">
        <v>912</v>
      </c>
      <c r="L1" s="45" t="s">
        <v>913</v>
      </c>
      <c r="N1" s="50" t="s">
        <v>1048</v>
      </c>
      <c r="O1" s="51" t="s">
        <v>876</v>
      </c>
      <c r="P1" s="51" t="s">
        <v>979</v>
      </c>
      <c r="R1" s="50" t="s">
        <v>3131</v>
      </c>
      <c r="S1" s="51" t="s">
        <v>2286</v>
      </c>
      <c r="T1" s="51" t="s">
        <v>2287</v>
      </c>
      <c r="U1" s="51" t="s">
        <v>876</v>
      </c>
      <c r="W1" s="406" t="s">
        <v>2173</v>
      </c>
      <c r="X1" s="247" t="s">
        <v>1213</v>
      </c>
      <c r="Y1" s="247" t="s">
        <v>842</v>
      </c>
      <c r="Z1" s="247" t="s">
        <v>1091</v>
      </c>
      <c r="AB1" s="8" t="s">
        <v>2183</v>
      </c>
      <c r="AC1" s="90" t="s">
        <v>794</v>
      </c>
      <c r="AD1" s="90" t="s">
        <v>840</v>
      </c>
      <c r="AE1" s="90" t="s">
        <v>841</v>
      </c>
      <c r="AG1" s="75" t="s">
        <v>2190</v>
      </c>
      <c r="AI1" s="50" t="s">
        <v>2191</v>
      </c>
      <c r="AK1" s="8" t="s">
        <v>2230</v>
      </c>
      <c r="AL1" s="30" t="s">
        <v>2228</v>
      </c>
      <c r="AM1" s="30" t="s">
        <v>2229</v>
      </c>
      <c r="AO1" s="8" t="s">
        <v>2864</v>
      </c>
      <c r="AP1" s="180" t="s">
        <v>2865</v>
      </c>
      <c r="AQ1" s="180" t="s">
        <v>2866</v>
      </c>
      <c r="AR1" s="42"/>
      <c r="AS1" s="279" t="s">
        <v>3007</v>
      </c>
      <c r="AT1" s="91" t="s">
        <v>2944</v>
      </c>
      <c r="AU1" s="91" t="s">
        <v>876</v>
      </c>
      <c r="AW1" s="8" t="s">
        <v>3153</v>
      </c>
      <c r="AX1" s="398" t="s">
        <v>3102</v>
      </c>
      <c r="AY1" s="398" t="s">
        <v>3103</v>
      </c>
      <c r="BA1" s="8" t="s">
        <v>3272</v>
      </c>
      <c r="BB1" s="650" t="s">
        <v>3273</v>
      </c>
      <c r="BC1" s="648" t="s">
        <v>3274</v>
      </c>
      <c r="BE1" t="s">
        <v>3503</v>
      </c>
      <c r="BF1" s="340" t="s">
        <v>3501</v>
      </c>
      <c r="BG1" s="340" t="s">
        <v>3502</v>
      </c>
      <c r="BH1" s="340" t="s">
        <v>2806</v>
      </c>
    </row>
    <row r="2" spans="1:65" ht="15.55" x14ac:dyDescent="0.3">
      <c r="A2" s="43" t="s">
        <v>893</v>
      </c>
      <c r="B2" s="44" t="s">
        <v>894</v>
      </c>
      <c r="D2" s="310">
        <v>1</v>
      </c>
      <c r="E2" s="311">
        <v>30</v>
      </c>
      <c r="F2" s="312" t="s">
        <v>914</v>
      </c>
      <c r="G2" s="311" t="s">
        <v>877</v>
      </c>
      <c r="I2" s="47">
        <v>0</v>
      </c>
      <c r="J2" s="47">
        <v>0.4</v>
      </c>
      <c r="K2" s="47" t="s">
        <v>915</v>
      </c>
      <c r="L2" s="52">
        <v>90</v>
      </c>
      <c r="O2" s="33" t="s">
        <v>951</v>
      </c>
      <c r="P2" s="33" t="s">
        <v>952</v>
      </c>
      <c r="S2" s="574">
        <v>0</v>
      </c>
      <c r="T2" s="574">
        <v>7</v>
      </c>
      <c r="U2" s="574" t="s">
        <v>3132</v>
      </c>
      <c r="W2" s="32" t="s">
        <v>2294</v>
      </c>
      <c r="X2" s="248" t="s">
        <v>1214</v>
      </c>
      <c r="Y2" s="249" t="s">
        <v>905</v>
      </c>
      <c r="Z2" s="250" t="s">
        <v>906</v>
      </c>
      <c r="AB2" s="32" t="s">
        <v>2293</v>
      </c>
      <c r="AC2" s="259" t="s">
        <v>824</v>
      </c>
      <c r="AD2" s="91" t="s">
        <v>2174</v>
      </c>
      <c r="AE2" s="91" t="s">
        <v>2175</v>
      </c>
      <c r="AG2" s="76">
        <v>40</v>
      </c>
      <c r="AI2" s="74" t="s">
        <v>2192</v>
      </c>
      <c r="AL2" s="6" t="s">
        <v>2211</v>
      </c>
      <c r="AM2" s="88">
        <v>43817</v>
      </c>
      <c r="AP2" s="91" t="s">
        <v>2186</v>
      </c>
      <c r="AQ2" s="102" t="s">
        <v>2867</v>
      </c>
      <c r="AR2" s="10"/>
      <c r="AT2" s="91" t="s">
        <v>2957</v>
      </c>
      <c r="AU2" s="91" t="s">
        <v>2976</v>
      </c>
      <c r="AX2" s="236">
        <f>1</f>
        <v>1</v>
      </c>
      <c r="AY2" s="236" t="s">
        <v>3104</v>
      </c>
      <c r="BB2" s="508">
        <v>45989</v>
      </c>
      <c r="BC2" s="649">
        <f>BB3-BB2</f>
        <v>3</v>
      </c>
      <c r="BF2" s="513"/>
      <c r="BG2" s="484"/>
      <c r="BH2" s="484"/>
      <c r="BJ2">
        <v>47328</v>
      </c>
      <c r="BK2" t="s">
        <v>2728</v>
      </c>
      <c r="BL2" t="s">
        <v>2785</v>
      </c>
      <c r="BM2">
        <v>2000000</v>
      </c>
    </row>
    <row r="3" spans="1:65" ht="15.55" x14ac:dyDescent="0.3">
      <c r="A3" s="43" t="s">
        <v>895</v>
      </c>
      <c r="B3" s="44" t="s">
        <v>894</v>
      </c>
      <c r="D3" s="310">
        <v>31</v>
      </c>
      <c r="E3" s="311">
        <v>60</v>
      </c>
      <c r="F3" s="312" t="s">
        <v>916</v>
      </c>
      <c r="G3" s="311" t="s">
        <v>877</v>
      </c>
      <c r="I3" s="47">
        <v>0.4</v>
      </c>
      <c r="J3" s="47">
        <v>0.75</v>
      </c>
      <c r="K3" s="47" t="s">
        <v>917</v>
      </c>
      <c r="L3" s="47">
        <v>180</v>
      </c>
      <c r="O3" s="33" t="s">
        <v>953</v>
      </c>
      <c r="P3" s="33" t="s">
        <v>954</v>
      </c>
      <c r="S3" s="574">
        <v>8</v>
      </c>
      <c r="T3" s="574">
        <v>14</v>
      </c>
      <c r="U3" s="574" t="s">
        <v>2878</v>
      </c>
      <c r="X3" s="251" t="s">
        <v>1215</v>
      </c>
      <c r="Y3" s="252" t="s">
        <v>905</v>
      </c>
      <c r="Z3" s="250" t="s">
        <v>906</v>
      </c>
      <c r="AC3" s="259" t="s">
        <v>2176</v>
      </c>
      <c r="AD3" s="91" t="s">
        <v>2174</v>
      </c>
      <c r="AE3" s="91" t="s">
        <v>2174</v>
      </c>
      <c r="AG3" s="9"/>
      <c r="AL3" s="6" t="s">
        <v>2212</v>
      </c>
      <c r="AM3" s="88">
        <v>43908</v>
      </c>
      <c r="AP3" s="91" t="s">
        <v>2184</v>
      </c>
      <c r="AQ3" s="102" t="s">
        <v>2867</v>
      </c>
      <c r="AR3" s="10"/>
      <c r="AT3" s="91" t="s">
        <v>2959</v>
      </c>
      <c r="AU3" s="91" t="s">
        <v>2976</v>
      </c>
      <c r="AX3" s="236">
        <v>2</v>
      </c>
      <c r="AY3" s="236" t="s">
        <v>3105</v>
      </c>
      <c r="BB3" s="508">
        <v>45992</v>
      </c>
      <c r="BC3" s="649">
        <f>BB4-BB3</f>
        <v>1</v>
      </c>
      <c r="BF3" s="356"/>
      <c r="BG3" s="484"/>
      <c r="BH3" s="484"/>
      <c r="BJ3">
        <v>47492</v>
      </c>
      <c r="BK3" t="s">
        <v>822</v>
      </c>
      <c r="BL3" t="s">
        <v>2785</v>
      </c>
      <c r="BM3">
        <v>1000000</v>
      </c>
    </row>
    <row r="4" spans="1:65" ht="15.55" x14ac:dyDescent="0.3">
      <c r="A4" s="43" t="s">
        <v>896</v>
      </c>
      <c r="B4" s="44" t="s">
        <v>894</v>
      </c>
      <c r="D4" s="310">
        <v>61</v>
      </c>
      <c r="E4" s="311">
        <v>91</v>
      </c>
      <c r="F4" s="312" t="s">
        <v>918</v>
      </c>
      <c r="G4" s="311" t="s">
        <v>877</v>
      </c>
      <c r="I4" s="47">
        <v>0.75</v>
      </c>
      <c r="J4" s="47">
        <v>1.5</v>
      </c>
      <c r="K4" s="47" t="s">
        <v>877</v>
      </c>
      <c r="L4" s="47">
        <v>365</v>
      </c>
      <c r="O4" s="33" t="s">
        <v>955</v>
      </c>
      <c r="P4" s="33" t="s">
        <v>956</v>
      </c>
      <c r="S4" s="574">
        <v>15</v>
      </c>
      <c r="T4" s="574">
        <v>21</v>
      </c>
      <c r="U4" s="574" t="s">
        <v>2879</v>
      </c>
      <c r="X4" s="248" t="s">
        <v>1216</v>
      </c>
      <c r="Y4" s="249" t="s">
        <v>905</v>
      </c>
      <c r="Z4" s="250" t="s">
        <v>906</v>
      </c>
      <c r="AC4" s="259" t="s">
        <v>2179</v>
      </c>
      <c r="AD4" s="91" t="s">
        <v>2174</v>
      </c>
      <c r="AE4" s="91" t="s">
        <v>2174</v>
      </c>
      <c r="AG4" s="9"/>
      <c r="AL4" s="6" t="s">
        <v>2210</v>
      </c>
      <c r="AM4" s="88">
        <v>43726</v>
      </c>
      <c r="AP4" s="91" t="s">
        <v>2187</v>
      </c>
      <c r="AQ4" s="102" t="s">
        <v>2770</v>
      </c>
      <c r="AR4" s="10"/>
      <c r="AT4" s="91" t="s">
        <v>2956</v>
      </c>
      <c r="AU4" s="91" t="s">
        <v>2976</v>
      </c>
      <c r="AX4" s="236">
        <v>3</v>
      </c>
      <c r="AY4" s="236" t="s">
        <v>3106</v>
      </c>
      <c r="BB4" s="508">
        <v>45993</v>
      </c>
      <c r="BC4" s="649">
        <f>BB5-BB4</f>
        <v>1</v>
      </c>
      <c r="BF4" s="356"/>
      <c r="BG4" s="484"/>
      <c r="BH4" s="484"/>
      <c r="BJ4">
        <v>47491</v>
      </c>
      <c r="BK4" t="s">
        <v>2728</v>
      </c>
      <c r="BL4" t="s">
        <v>2785</v>
      </c>
      <c r="BM4">
        <v>1000000</v>
      </c>
    </row>
    <row r="5" spans="1:65" ht="15.55" x14ac:dyDescent="0.3">
      <c r="A5" s="43" t="s">
        <v>897</v>
      </c>
      <c r="B5" s="44" t="s">
        <v>894</v>
      </c>
      <c r="D5" s="310">
        <v>92</v>
      </c>
      <c r="E5" s="311">
        <v>182</v>
      </c>
      <c r="F5" s="312" t="s">
        <v>919</v>
      </c>
      <c r="G5" s="311" t="s">
        <v>877</v>
      </c>
      <c r="I5" s="47">
        <f>J4</f>
        <v>1.5</v>
      </c>
      <c r="J5" s="47">
        <f>J4+1</f>
        <v>2.5</v>
      </c>
      <c r="K5" s="47" t="s">
        <v>878</v>
      </c>
      <c r="L5" s="47">
        <v>730</v>
      </c>
      <c r="O5" s="33" t="s">
        <v>957</v>
      </c>
      <c r="P5" s="33" t="s">
        <v>958</v>
      </c>
      <c r="S5" s="574">
        <v>22</v>
      </c>
      <c r="T5" s="574">
        <v>30</v>
      </c>
      <c r="U5" s="574" t="s">
        <v>984</v>
      </c>
      <c r="X5" s="251" t="s">
        <v>1217</v>
      </c>
      <c r="Y5" s="252" t="s">
        <v>905</v>
      </c>
      <c r="Z5" s="250" t="s">
        <v>906</v>
      </c>
      <c r="AC5" s="259" t="s">
        <v>825</v>
      </c>
      <c r="AD5" s="91" t="s">
        <v>2174</v>
      </c>
      <c r="AE5" s="91" t="s">
        <v>2174</v>
      </c>
      <c r="AG5" s="9"/>
      <c r="AL5" s="6" t="s">
        <v>2213</v>
      </c>
      <c r="AM5" s="88">
        <v>44092</v>
      </c>
      <c r="AP5" s="91" t="s">
        <v>2185</v>
      </c>
      <c r="AQ5" s="102" t="s">
        <v>2770</v>
      </c>
      <c r="AR5" s="10"/>
      <c r="AT5" s="91" t="s">
        <v>2952</v>
      </c>
      <c r="AU5" s="91" t="s">
        <v>2977</v>
      </c>
      <c r="AX5" s="236">
        <v>4</v>
      </c>
      <c r="AY5" s="236" t="s">
        <v>3107</v>
      </c>
      <c r="BB5" s="508">
        <v>45994</v>
      </c>
      <c r="BC5" s="649">
        <f>BB6-BB5</f>
        <v>1</v>
      </c>
      <c r="BF5" s="356"/>
      <c r="BG5" s="484"/>
      <c r="BH5" s="484"/>
      <c r="BJ5">
        <v>47482</v>
      </c>
      <c r="BK5" t="s">
        <v>822</v>
      </c>
      <c r="BL5" t="s">
        <v>2785</v>
      </c>
      <c r="BM5">
        <v>2000000</v>
      </c>
    </row>
    <row r="6" spans="1:65" ht="15.55" x14ac:dyDescent="0.3">
      <c r="A6" s="43" t="s">
        <v>823</v>
      </c>
      <c r="B6" s="44" t="s">
        <v>898</v>
      </c>
      <c r="D6" s="310">
        <v>183</v>
      </c>
      <c r="E6" s="311">
        <v>273</v>
      </c>
      <c r="F6" s="312" t="s">
        <v>920</v>
      </c>
      <c r="G6" s="311" t="s">
        <v>877</v>
      </c>
      <c r="I6" s="47">
        <f t="shared" ref="I6:I13" si="0">J5</f>
        <v>2.5</v>
      </c>
      <c r="J6" s="47">
        <f>J5+1</f>
        <v>3.5</v>
      </c>
      <c r="K6" s="47" t="s">
        <v>879</v>
      </c>
      <c r="L6" s="47">
        <v>1095</v>
      </c>
      <c r="O6" s="33" t="s">
        <v>959</v>
      </c>
      <c r="P6" s="33" t="s">
        <v>960</v>
      </c>
      <c r="S6" s="574">
        <v>31</v>
      </c>
      <c r="T6" s="574">
        <v>60</v>
      </c>
      <c r="U6" s="574" t="s">
        <v>2880</v>
      </c>
      <c r="X6" s="248" t="s">
        <v>1218</v>
      </c>
      <c r="Y6" s="249" t="s">
        <v>905</v>
      </c>
      <c r="Z6" s="250" t="s">
        <v>906</v>
      </c>
      <c r="AC6" s="259" t="s">
        <v>2180</v>
      </c>
      <c r="AD6" s="91" t="s">
        <v>2175</v>
      </c>
      <c r="AE6" s="91" t="s">
        <v>2175</v>
      </c>
      <c r="AG6" s="9"/>
      <c r="AL6" s="6" t="s">
        <v>2215</v>
      </c>
      <c r="AM6" s="88">
        <v>44468</v>
      </c>
      <c r="AT6" s="91" t="s">
        <v>2958</v>
      </c>
      <c r="AU6" s="91" t="s">
        <v>2977</v>
      </c>
      <c r="AX6" s="236">
        <v>5</v>
      </c>
      <c r="AY6" s="236" t="s">
        <v>3108</v>
      </c>
      <c r="BB6" s="508">
        <v>45995</v>
      </c>
      <c r="BC6" s="649">
        <f>BB7-BB6</f>
        <v>1</v>
      </c>
      <c r="BF6" s="356"/>
      <c r="BG6" s="484"/>
      <c r="BH6" s="484"/>
      <c r="BJ6">
        <v>47490</v>
      </c>
      <c r="BK6" t="s">
        <v>822</v>
      </c>
      <c r="BL6" t="s">
        <v>3317</v>
      </c>
      <c r="BM6">
        <v>4000000</v>
      </c>
    </row>
    <row r="7" spans="1:65" ht="15.55" x14ac:dyDescent="0.3">
      <c r="A7" s="43" t="s">
        <v>899</v>
      </c>
      <c r="B7" s="44" t="s">
        <v>894</v>
      </c>
      <c r="D7" s="310">
        <v>274</v>
      </c>
      <c r="E7" s="311">
        <v>547</v>
      </c>
      <c r="F7" s="312" t="s">
        <v>921</v>
      </c>
      <c r="G7" s="311" t="s">
        <v>877</v>
      </c>
      <c r="I7" s="47">
        <f t="shared" si="0"/>
        <v>3.5</v>
      </c>
      <c r="J7" s="47">
        <f>J6+1</f>
        <v>4.5</v>
      </c>
      <c r="K7" s="47" t="s">
        <v>880</v>
      </c>
      <c r="L7" s="47">
        <v>1460</v>
      </c>
      <c r="O7" s="33" t="s">
        <v>961</v>
      </c>
      <c r="P7" s="33" t="s">
        <v>962</v>
      </c>
      <c r="S7" s="574">
        <v>61</v>
      </c>
      <c r="T7" s="574">
        <v>91</v>
      </c>
      <c r="U7" s="574" t="s">
        <v>915</v>
      </c>
      <c r="X7" s="251" t="s">
        <v>341</v>
      </c>
      <c r="Y7" s="252" t="s">
        <v>905</v>
      </c>
      <c r="Z7" s="250" t="s">
        <v>906</v>
      </c>
      <c r="AC7" s="496" t="s">
        <v>2177</v>
      </c>
      <c r="AD7" s="497" t="s">
        <v>2174</v>
      </c>
      <c r="AE7" s="497" t="s">
        <v>2174</v>
      </c>
      <c r="AG7" s="9"/>
      <c r="AL7" s="6" t="s">
        <v>2217</v>
      </c>
      <c r="AM7" s="88">
        <v>44732</v>
      </c>
      <c r="AT7" s="91" t="s">
        <v>2999</v>
      </c>
      <c r="AU7" s="91" t="s">
        <v>2977</v>
      </c>
      <c r="AX7" s="236">
        <v>6</v>
      </c>
      <c r="AY7" s="236" t="s">
        <v>3109</v>
      </c>
      <c r="BB7" s="508">
        <v>45996</v>
      </c>
      <c r="BC7" s="649">
        <v>1</v>
      </c>
      <c r="BF7" s="356"/>
      <c r="BG7" s="484"/>
      <c r="BH7" s="484"/>
      <c r="BJ7">
        <v>47489</v>
      </c>
      <c r="BK7" t="s">
        <v>2728</v>
      </c>
      <c r="BL7" t="s">
        <v>3317</v>
      </c>
      <c r="BM7">
        <v>4000000</v>
      </c>
    </row>
    <row r="8" spans="1:65" ht="15.55" x14ac:dyDescent="0.3">
      <c r="A8" s="43" t="s">
        <v>900</v>
      </c>
      <c r="B8" s="44" t="s">
        <v>894</v>
      </c>
      <c r="D8" s="310">
        <v>548</v>
      </c>
      <c r="E8" s="311">
        <v>912</v>
      </c>
      <c r="F8" s="312" t="s">
        <v>922</v>
      </c>
      <c r="G8" s="311" t="s">
        <v>878</v>
      </c>
      <c r="I8" s="47">
        <f t="shared" si="0"/>
        <v>4.5</v>
      </c>
      <c r="J8" s="47">
        <f>J7+1</f>
        <v>5.5</v>
      </c>
      <c r="K8" s="47" t="s">
        <v>881</v>
      </c>
      <c r="L8" s="47">
        <v>1825</v>
      </c>
      <c r="O8" s="33" t="s">
        <v>963</v>
      </c>
      <c r="P8" s="33" t="s">
        <v>964</v>
      </c>
      <c r="S8" s="574">
        <v>92</v>
      </c>
      <c r="T8" s="574">
        <v>182</v>
      </c>
      <c r="U8" s="574" t="s">
        <v>917</v>
      </c>
      <c r="X8" s="248" t="s">
        <v>1219</v>
      </c>
      <c r="Y8" s="249" t="s">
        <v>905</v>
      </c>
      <c r="Z8" s="250" t="s">
        <v>906</v>
      </c>
      <c r="AC8" s="496" t="s">
        <v>2178</v>
      </c>
      <c r="AD8" s="497" t="s">
        <v>2174</v>
      </c>
      <c r="AE8" s="497" t="s">
        <v>2174</v>
      </c>
      <c r="AG8" s="9"/>
      <c r="AT8" s="91" t="s">
        <v>2949</v>
      </c>
      <c r="AU8" s="91" t="s">
        <v>2975</v>
      </c>
      <c r="AX8" s="236">
        <v>7</v>
      </c>
      <c r="AY8" s="236" t="s">
        <v>3110</v>
      </c>
      <c r="BB8" s="508">
        <v>45999</v>
      </c>
      <c r="BC8" s="649">
        <f t="shared" ref="BC8:BC32" si="1">BB9-BB8</f>
        <v>1</v>
      </c>
      <c r="BH8" s="500"/>
    </row>
    <row r="9" spans="1:65" ht="15.55" x14ac:dyDescent="0.3">
      <c r="A9" s="43" t="s">
        <v>901</v>
      </c>
      <c r="B9" s="44" t="s">
        <v>894</v>
      </c>
      <c r="D9" s="310">
        <v>913</v>
      </c>
      <c r="E9" s="311">
        <v>1277</v>
      </c>
      <c r="F9" s="312" t="s">
        <v>923</v>
      </c>
      <c r="G9" s="311" t="s">
        <v>879</v>
      </c>
      <c r="I9" s="47">
        <f t="shared" si="0"/>
        <v>5.5</v>
      </c>
      <c r="J9" s="47">
        <f>J8+2</f>
        <v>7.5</v>
      </c>
      <c r="K9" s="47" t="s">
        <v>882</v>
      </c>
      <c r="L9" s="47">
        <v>2555</v>
      </c>
      <c r="O9" s="33" t="s">
        <v>965</v>
      </c>
      <c r="P9" s="33" t="s">
        <v>966</v>
      </c>
      <c r="S9" s="576">
        <v>183</v>
      </c>
      <c r="T9" s="576">
        <v>273</v>
      </c>
      <c r="U9" s="576" t="s">
        <v>983</v>
      </c>
      <c r="X9" s="251" t="s">
        <v>1220</v>
      </c>
      <c r="Y9" s="252" t="s">
        <v>905</v>
      </c>
      <c r="Z9" s="250" t="s">
        <v>906</v>
      </c>
      <c r="AC9" s="496" t="s">
        <v>809</v>
      </c>
      <c r="AD9" s="497" t="s">
        <v>2175</v>
      </c>
      <c r="AE9" s="497" t="s">
        <v>2174</v>
      </c>
      <c r="AG9" s="9"/>
      <c r="AT9" s="91" t="s">
        <v>2951</v>
      </c>
      <c r="AU9" s="91" t="s">
        <v>928</v>
      </c>
      <c r="BB9" s="508">
        <v>46000</v>
      </c>
      <c r="BC9" s="649">
        <f t="shared" si="1"/>
        <v>1</v>
      </c>
      <c r="BH9" s="500"/>
    </row>
    <row r="10" spans="1:65" ht="15.55" x14ac:dyDescent="0.3">
      <c r="A10" s="43" t="s">
        <v>902</v>
      </c>
      <c r="B10" s="44" t="s">
        <v>894</v>
      </c>
      <c r="D10" s="310">
        <v>1278</v>
      </c>
      <c r="E10" s="311">
        <v>1642</v>
      </c>
      <c r="F10" s="312" t="s">
        <v>924</v>
      </c>
      <c r="G10" s="311" t="s">
        <v>925</v>
      </c>
      <c r="I10" s="47">
        <f t="shared" si="0"/>
        <v>7.5</v>
      </c>
      <c r="J10" s="47">
        <f>J9+3</f>
        <v>10.5</v>
      </c>
      <c r="K10" s="47" t="s">
        <v>883</v>
      </c>
      <c r="L10" s="47">
        <v>3650</v>
      </c>
      <c r="O10" s="33" t="s">
        <v>967</v>
      </c>
      <c r="P10" s="33" t="s">
        <v>968</v>
      </c>
      <c r="S10" s="574">
        <v>274</v>
      </c>
      <c r="T10" s="574">
        <v>574</v>
      </c>
      <c r="U10" s="574" t="s">
        <v>877</v>
      </c>
      <c r="X10" s="248" t="s">
        <v>1221</v>
      </c>
      <c r="Y10" s="249" t="s">
        <v>905</v>
      </c>
      <c r="Z10" s="250" t="s">
        <v>906</v>
      </c>
      <c r="AC10" s="496" t="s">
        <v>2181</v>
      </c>
      <c r="AD10" s="497" t="s">
        <v>2174</v>
      </c>
      <c r="AE10" s="497" t="s">
        <v>2174</v>
      </c>
      <c r="AG10" s="9"/>
      <c r="AT10" s="91" t="s">
        <v>2955</v>
      </c>
      <c r="AU10" s="91" t="s">
        <v>928</v>
      </c>
      <c r="BB10" s="508">
        <v>46001</v>
      </c>
      <c r="BC10" s="649">
        <f t="shared" si="1"/>
        <v>1</v>
      </c>
      <c r="BH10" s="500"/>
    </row>
    <row r="11" spans="1:65" ht="15.55" x14ac:dyDescent="0.3">
      <c r="A11" s="43" t="s">
        <v>903</v>
      </c>
      <c r="B11" s="44" t="s">
        <v>894</v>
      </c>
      <c r="D11" s="310">
        <v>1643</v>
      </c>
      <c r="E11" s="311">
        <v>2007</v>
      </c>
      <c r="F11" s="312" t="s">
        <v>926</v>
      </c>
      <c r="G11" s="311" t="s">
        <v>881</v>
      </c>
      <c r="I11" s="47">
        <f t="shared" si="0"/>
        <v>10.5</v>
      </c>
      <c r="J11" s="47">
        <f>J10+5</f>
        <v>15.5</v>
      </c>
      <c r="K11" s="47" t="s">
        <v>884</v>
      </c>
      <c r="L11" s="47">
        <v>5475</v>
      </c>
      <c r="O11" s="33" t="s">
        <v>969</v>
      </c>
      <c r="P11" s="33" t="s">
        <v>970</v>
      </c>
      <c r="S11" s="574">
        <v>548</v>
      </c>
      <c r="T11" s="574">
        <v>912</v>
      </c>
      <c r="U11" s="574" t="s">
        <v>878</v>
      </c>
      <c r="X11" s="251" t="s">
        <v>1222</v>
      </c>
      <c r="Y11" s="252" t="s">
        <v>905</v>
      </c>
      <c r="Z11" s="250" t="s">
        <v>906</v>
      </c>
      <c r="AC11" s="496" t="s">
        <v>2119</v>
      </c>
      <c r="AD11" s="497" t="s">
        <v>2174</v>
      </c>
      <c r="AE11" s="497" t="s">
        <v>2174</v>
      </c>
      <c r="AG11" s="9"/>
      <c r="AT11" s="91" t="s">
        <v>2954</v>
      </c>
      <c r="AU11" s="91" t="s">
        <v>931</v>
      </c>
      <c r="BB11" s="508">
        <v>46002</v>
      </c>
      <c r="BC11" s="649">
        <f t="shared" si="1"/>
        <v>1</v>
      </c>
      <c r="BH11" s="500"/>
    </row>
    <row r="12" spans="1:65" ht="15.55" x14ac:dyDescent="0.3">
      <c r="A12" s="43" t="s">
        <v>904</v>
      </c>
      <c r="B12" s="44" t="s">
        <v>894</v>
      </c>
      <c r="D12" s="310">
        <v>2008</v>
      </c>
      <c r="E12" s="311">
        <v>2372</v>
      </c>
      <c r="F12" s="312" t="s">
        <v>927</v>
      </c>
      <c r="G12" s="311" t="s">
        <v>928</v>
      </c>
      <c r="I12" s="47">
        <f t="shared" si="0"/>
        <v>15.5</v>
      </c>
      <c r="J12" s="47">
        <f>J11+5</f>
        <v>20.5</v>
      </c>
      <c r="K12" s="47" t="s">
        <v>885</v>
      </c>
      <c r="L12" s="47">
        <v>7300</v>
      </c>
      <c r="O12" s="33" t="s">
        <v>971</v>
      </c>
      <c r="P12" s="33" t="s">
        <v>972</v>
      </c>
      <c r="S12" s="574">
        <v>913</v>
      </c>
      <c r="T12" s="574">
        <v>1277</v>
      </c>
      <c r="U12" s="574" t="s">
        <v>879</v>
      </c>
      <c r="X12" s="248" t="s">
        <v>1223</v>
      </c>
      <c r="Y12" s="249" t="s">
        <v>905</v>
      </c>
      <c r="Z12" s="250" t="s">
        <v>906</v>
      </c>
      <c r="AC12" s="496" t="s">
        <v>2182</v>
      </c>
      <c r="AD12" s="497" t="s">
        <v>2174</v>
      </c>
      <c r="AE12" s="497" t="s">
        <v>2174</v>
      </c>
      <c r="AG12" s="9"/>
      <c r="AT12" s="91" t="s">
        <v>2953</v>
      </c>
      <c r="AU12" s="91" t="s">
        <v>931</v>
      </c>
      <c r="BB12" s="508">
        <v>46003</v>
      </c>
      <c r="BC12" s="649">
        <f t="shared" si="1"/>
        <v>3</v>
      </c>
      <c r="BH12" s="500"/>
    </row>
    <row r="13" spans="1:65" ht="15.55" x14ac:dyDescent="0.3">
      <c r="A13" s="43" t="s">
        <v>905</v>
      </c>
      <c r="B13" s="44" t="s">
        <v>906</v>
      </c>
      <c r="D13" s="310">
        <v>2373</v>
      </c>
      <c r="E13" s="311">
        <v>2740</v>
      </c>
      <c r="F13" s="312" t="s">
        <v>929</v>
      </c>
      <c r="G13" s="311" t="s">
        <v>882</v>
      </c>
      <c r="I13" s="47">
        <f t="shared" si="0"/>
        <v>20.5</v>
      </c>
      <c r="J13" s="47">
        <f>J12+20</f>
        <v>40.5</v>
      </c>
      <c r="K13" s="47" t="s">
        <v>886</v>
      </c>
      <c r="L13" s="47">
        <v>10955</v>
      </c>
      <c r="O13" s="33" t="s">
        <v>973</v>
      </c>
      <c r="P13" s="33" t="s">
        <v>974</v>
      </c>
      <c r="X13" s="251" t="s">
        <v>1224</v>
      </c>
      <c r="Y13" s="252" t="s">
        <v>905</v>
      </c>
      <c r="Z13" s="250" t="s">
        <v>906</v>
      </c>
      <c r="AC13" s="259" t="s">
        <v>3986</v>
      </c>
      <c r="AD13" s="91" t="s">
        <v>2175</v>
      </c>
      <c r="AE13" s="91" t="s">
        <v>2175</v>
      </c>
      <c r="AG13" s="9"/>
      <c r="AT13" s="91" t="s">
        <v>3000</v>
      </c>
      <c r="AU13" s="91" t="s">
        <v>2975</v>
      </c>
      <c r="BB13" s="508">
        <v>46006</v>
      </c>
      <c r="BC13" s="649">
        <f t="shared" si="1"/>
        <v>1</v>
      </c>
      <c r="BH13" s="500"/>
    </row>
    <row r="14" spans="1:65" ht="15.55" x14ac:dyDescent="0.3">
      <c r="A14" s="43" t="s">
        <v>907</v>
      </c>
      <c r="B14" s="44" t="s">
        <v>906</v>
      </c>
      <c r="D14" s="310">
        <v>2741</v>
      </c>
      <c r="E14" s="311">
        <v>3287</v>
      </c>
      <c r="F14" s="312" t="s">
        <v>930</v>
      </c>
      <c r="G14" s="311" t="s">
        <v>931</v>
      </c>
      <c r="H14" s="48"/>
      <c r="I14" s="46"/>
      <c r="J14" s="46"/>
      <c r="K14" s="46"/>
      <c r="L14" s="46"/>
      <c r="O14" s="33" t="s">
        <v>975</v>
      </c>
      <c r="P14" s="33" t="s">
        <v>976</v>
      </c>
      <c r="X14" s="248" t="s">
        <v>1225</v>
      </c>
      <c r="Y14" s="249" t="s">
        <v>905</v>
      </c>
      <c r="Z14" s="250" t="s">
        <v>906</v>
      </c>
      <c r="AC14" s="809" t="s">
        <v>4054</v>
      </c>
      <c r="AD14" s="810" t="s">
        <v>2174</v>
      </c>
      <c r="AE14" s="810" t="s">
        <v>2175</v>
      </c>
      <c r="AG14" s="9"/>
      <c r="AT14" s="91" t="s">
        <v>3001</v>
      </c>
      <c r="AU14" s="91" t="s">
        <v>2975</v>
      </c>
      <c r="BB14" s="508">
        <v>46007</v>
      </c>
      <c r="BC14" s="649">
        <f t="shared" si="1"/>
        <v>1</v>
      </c>
      <c r="BH14" s="500"/>
    </row>
    <row r="15" spans="1:65" ht="15.55" x14ac:dyDescent="0.3">
      <c r="A15" s="43" t="s">
        <v>908</v>
      </c>
      <c r="B15" s="44" t="s">
        <v>906</v>
      </c>
      <c r="D15" s="310">
        <v>3288</v>
      </c>
      <c r="E15" s="311">
        <v>4015</v>
      </c>
      <c r="F15" s="312" t="s">
        <v>932</v>
      </c>
      <c r="G15" s="311" t="s">
        <v>883</v>
      </c>
      <c r="H15" s="48"/>
      <c r="I15" s="46"/>
      <c r="J15" s="46"/>
      <c r="K15" s="46"/>
      <c r="L15" s="46"/>
      <c r="O15" s="33" t="s">
        <v>977</v>
      </c>
      <c r="P15" s="33" t="s">
        <v>978</v>
      </c>
      <c r="X15" s="251" t="s">
        <v>1226</v>
      </c>
      <c r="Y15" s="252" t="s">
        <v>905</v>
      </c>
      <c r="Z15" s="250" t="s">
        <v>906</v>
      </c>
      <c r="AG15" s="9"/>
      <c r="AT15" s="91" t="s">
        <v>3002</v>
      </c>
      <c r="AU15" s="91" t="s">
        <v>2975</v>
      </c>
      <c r="BB15" s="508">
        <v>46008</v>
      </c>
      <c r="BC15" s="649">
        <f t="shared" si="1"/>
        <v>1</v>
      </c>
      <c r="BH15" s="500"/>
    </row>
    <row r="16" spans="1:65" x14ac:dyDescent="0.3">
      <c r="A16" s="43" t="s">
        <v>821</v>
      </c>
      <c r="B16" s="44" t="s">
        <v>906</v>
      </c>
      <c r="D16" s="310">
        <v>4016</v>
      </c>
      <c r="E16" s="311">
        <v>5119</v>
      </c>
      <c r="F16" s="312" t="s">
        <v>933</v>
      </c>
      <c r="G16" s="311" t="s">
        <v>934</v>
      </c>
      <c r="H16" s="48"/>
      <c r="I16" s="46"/>
      <c r="J16" s="46"/>
      <c r="K16" s="46"/>
      <c r="L16" s="46"/>
      <c r="X16" s="248" t="s">
        <v>1227</v>
      </c>
      <c r="Y16" s="249" t="s">
        <v>905</v>
      </c>
      <c r="Z16" s="250" t="s">
        <v>906</v>
      </c>
      <c r="AG16" s="9"/>
      <c r="AT16" s="91" t="s">
        <v>3003</v>
      </c>
      <c r="AU16" s="91" t="s">
        <v>2975</v>
      </c>
      <c r="BB16" s="508">
        <v>46009</v>
      </c>
      <c r="BC16" s="649">
        <f t="shared" si="1"/>
        <v>1</v>
      </c>
      <c r="BH16" s="500"/>
    </row>
    <row r="17" spans="1:60" x14ac:dyDescent="0.3">
      <c r="A17" s="43" t="s">
        <v>909</v>
      </c>
      <c r="B17" s="44" t="s">
        <v>906</v>
      </c>
      <c r="D17" s="310">
        <v>5120</v>
      </c>
      <c r="E17" s="311">
        <v>5840</v>
      </c>
      <c r="F17" s="312" t="s">
        <v>935</v>
      </c>
      <c r="G17" s="311" t="s">
        <v>884</v>
      </c>
      <c r="H17" s="48"/>
      <c r="I17" s="46"/>
      <c r="J17" s="46"/>
      <c r="K17" s="46"/>
      <c r="L17" s="46"/>
      <c r="X17" s="251" t="s">
        <v>1228</v>
      </c>
      <c r="Y17" s="252" t="s">
        <v>905</v>
      </c>
      <c r="Z17" s="250" t="s">
        <v>906</v>
      </c>
      <c r="AG17" s="9"/>
      <c r="AT17" s="91" t="s">
        <v>3004</v>
      </c>
      <c r="AU17" s="91" t="s">
        <v>2976</v>
      </c>
      <c r="BB17" s="508">
        <v>46010</v>
      </c>
      <c r="BC17" s="649">
        <f t="shared" si="1"/>
        <v>3</v>
      </c>
      <c r="BH17" s="500"/>
    </row>
    <row r="18" spans="1:60" x14ac:dyDescent="0.3">
      <c r="A18" s="43" t="s">
        <v>910</v>
      </c>
      <c r="B18" s="44" t="s">
        <v>894</v>
      </c>
      <c r="D18" s="310">
        <v>5841</v>
      </c>
      <c r="E18" s="311">
        <v>6945</v>
      </c>
      <c r="F18" s="312" t="s">
        <v>936</v>
      </c>
      <c r="G18" s="311" t="s">
        <v>937</v>
      </c>
      <c r="H18" s="48"/>
      <c r="I18" s="46"/>
      <c r="J18" s="46"/>
      <c r="K18" s="46"/>
      <c r="L18" s="46"/>
      <c r="X18" s="248" t="s">
        <v>1229</v>
      </c>
      <c r="Y18" s="249" t="s">
        <v>905</v>
      </c>
      <c r="Z18" s="250" t="s">
        <v>906</v>
      </c>
      <c r="AG18" s="9"/>
      <c r="AT18" s="91" t="s">
        <v>2950</v>
      </c>
      <c r="AU18" s="91" t="s">
        <v>2975</v>
      </c>
      <c r="BB18" s="508">
        <v>46013</v>
      </c>
      <c r="BC18" s="649">
        <f t="shared" si="1"/>
        <v>1</v>
      </c>
      <c r="BH18" s="500"/>
    </row>
    <row r="19" spans="1:60" x14ac:dyDescent="0.3">
      <c r="A19" s="43" t="s">
        <v>3985</v>
      </c>
      <c r="B19" s="44" t="s">
        <v>3992</v>
      </c>
      <c r="D19" s="310">
        <v>6946</v>
      </c>
      <c r="E19" s="311">
        <v>7665</v>
      </c>
      <c r="F19" s="312" t="s">
        <v>938</v>
      </c>
      <c r="G19" s="311" t="s">
        <v>885</v>
      </c>
      <c r="H19" s="48"/>
      <c r="I19" s="46"/>
      <c r="J19" s="46"/>
      <c r="K19" s="46"/>
      <c r="L19" s="46"/>
      <c r="X19" s="251" t="s">
        <v>1230</v>
      </c>
      <c r="Y19" s="252" t="s">
        <v>905</v>
      </c>
      <c r="Z19" s="250" t="s">
        <v>906</v>
      </c>
      <c r="AG19" s="9"/>
      <c r="AT19" s="91" t="s">
        <v>3005</v>
      </c>
      <c r="AU19" s="91" t="s">
        <v>2977</v>
      </c>
      <c r="BB19" s="508">
        <v>46014</v>
      </c>
      <c r="BC19" s="649">
        <f t="shared" si="1"/>
        <v>1</v>
      </c>
      <c r="BH19" s="500"/>
    </row>
    <row r="20" spans="1:60" x14ac:dyDescent="0.3">
      <c r="D20" s="310">
        <v>7666</v>
      </c>
      <c r="E20" s="311">
        <v>8766</v>
      </c>
      <c r="F20" s="312" t="s">
        <v>939</v>
      </c>
      <c r="G20" s="311" t="s">
        <v>940</v>
      </c>
      <c r="H20" s="48"/>
      <c r="I20" s="46"/>
      <c r="J20" s="46"/>
      <c r="K20" s="46"/>
      <c r="L20" s="46"/>
      <c r="X20" s="248" t="s">
        <v>1231</v>
      </c>
      <c r="Y20" s="249" t="s">
        <v>905</v>
      </c>
      <c r="Z20" s="250" t="s">
        <v>906</v>
      </c>
      <c r="AG20" s="9"/>
      <c r="AT20" s="91" t="s">
        <v>3006</v>
      </c>
      <c r="AU20" s="91" t="s">
        <v>2977</v>
      </c>
      <c r="BB20" s="508">
        <v>46015</v>
      </c>
      <c r="BC20" s="649">
        <f t="shared" si="1"/>
        <v>1</v>
      </c>
      <c r="BH20" s="500"/>
    </row>
    <row r="21" spans="1:60" x14ac:dyDescent="0.3">
      <c r="D21" s="310">
        <v>8767</v>
      </c>
      <c r="E21" s="311">
        <v>9490</v>
      </c>
      <c r="F21" s="312" t="s">
        <v>941</v>
      </c>
      <c r="G21" s="311" t="s">
        <v>942</v>
      </c>
      <c r="H21" s="48"/>
      <c r="I21" s="46"/>
      <c r="J21" s="46"/>
      <c r="K21" s="46"/>
      <c r="L21" s="46"/>
      <c r="X21" s="251" t="s">
        <v>295</v>
      </c>
      <c r="Y21" s="252" t="s">
        <v>905</v>
      </c>
      <c r="Z21" s="250" t="s">
        <v>906</v>
      </c>
      <c r="AG21" s="9"/>
      <c r="AT21" s="91" t="s">
        <v>3516</v>
      </c>
      <c r="AU21" s="91" t="s">
        <v>2975</v>
      </c>
      <c r="BB21" s="508">
        <v>46016</v>
      </c>
      <c r="BC21" s="649">
        <f t="shared" si="1"/>
        <v>1</v>
      </c>
      <c r="BH21" s="500"/>
    </row>
    <row r="22" spans="1:60" x14ac:dyDescent="0.3">
      <c r="D22" s="310">
        <v>9491</v>
      </c>
      <c r="E22" s="311">
        <v>10592</v>
      </c>
      <c r="F22" s="312" t="s">
        <v>943</v>
      </c>
      <c r="G22" s="311" t="s">
        <v>944</v>
      </c>
      <c r="H22" s="48"/>
      <c r="I22" s="46"/>
      <c r="J22" s="46"/>
      <c r="K22" s="46"/>
      <c r="L22" s="46"/>
      <c r="X22" s="248" t="s">
        <v>1232</v>
      </c>
      <c r="Y22" s="249" t="s">
        <v>905</v>
      </c>
      <c r="Z22" s="250" t="s">
        <v>906</v>
      </c>
      <c r="AG22" s="9"/>
      <c r="BB22" s="508">
        <v>46017</v>
      </c>
      <c r="BC22" s="649">
        <f t="shared" si="1"/>
        <v>3</v>
      </c>
      <c r="BH22" s="500"/>
    </row>
    <row r="23" spans="1:60" x14ac:dyDescent="0.3">
      <c r="D23" s="310">
        <v>10593</v>
      </c>
      <c r="E23" s="311">
        <v>11315</v>
      </c>
      <c r="F23" s="312" t="s">
        <v>945</v>
      </c>
      <c r="G23" s="311" t="s">
        <v>886</v>
      </c>
      <c r="H23" s="48"/>
      <c r="I23" s="46"/>
      <c r="J23" s="46"/>
      <c r="K23" s="46"/>
      <c r="L23" s="46"/>
      <c r="X23" s="251" t="s">
        <v>1233</v>
      </c>
      <c r="Y23" s="252" t="s">
        <v>905</v>
      </c>
      <c r="Z23" s="250" t="s">
        <v>906</v>
      </c>
      <c r="AG23" s="9"/>
      <c r="BB23" s="508">
        <v>46020</v>
      </c>
      <c r="BC23" s="649">
        <f t="shared" si="1"/>
        <v>1</v>
      </c>
      <c r="BH23" s="500"/>
    </row>
    <row r="24" spans="1:60" x14ac:dyDescent="0.3">
      <c r="X24" s="248" t="s">
        <v>1234</v>
      </c>
      <c r="Y24" s="249" t="s">
        <v>905</v>
      </c>
      <c r="Z24" s="250" t="s">
        <v>906</v>
      </c>
      <c r="AG24" s="9"/>
      <c r="BB24" s="508">
        <v>46021</v>
      </c>
      <c r="BC24" s="649">
        <f t="shared" si="1"/>
        <v>1</v>
      </c>
      <c r="BH24" s="500"/>
    </row>
    <row r="25" spans="1:60" x14ac:dyDescent="0.3">
      <c r="X25" s="251" t="s">
        <v>1235</v>
      </c>
      <c r="Y25" s="252" t="s">
        <v>905</v>
      </c>
      <c r="Z25" s="250" t="s">
        <v>906</v>
      </c>
      <c r="AG25" s="9"/>
      <c r="BB25" s="508">
        <v>46022</v>
      </c>
      <c r="BC25" s="649">
        <f t="shared" si="1"/>
        <v>5</v>
      </c>
      <c r="BH25" s="500"/>
    </row>
    <row r="26" spans="1:60" x14ac:dyDescent="0.3">
      <c r="X26" s="248" t="s">
        <v>1236</v>
      </c>
      <c r="Y26" s="249" t="s">
        <v>905</v>
      </c>
      <c r="Z26" s="250" t="s">
        <v>906</v>
      </c>
      <c r="AG26" s="9"/>
      <c r="BB26" s="508">
        <v>46027</v>
      </c>
      <c r="BC26" s="649">
        <f t="shared" si="1"/>
        <v>1</v>
      </c>
      <c r="BH26" s="500"/>
    </row>
    <row r="27" spans="1:60" x14ac:dyDescent="0.3">
      <c r="X27" s="251" t="s">
        <v>1237</v>
      </c>
      <c r="Y27" s="252" t="s">
        <v>905</v>
      </c>
      <c r="Z27" s="250" t="s">
        <v>906</v>
      </c>
      <c r="AG27" s="9"/>
      <c r="BB27" s="508">
        <v>46028</v>
      </c>
      <c r="BC27" s="649">
        <f t="shared" si="1"/>
        <v>1</v>
      </c>
      <c r="BH27" s="500"/>
    </row>
    <row r="28" spans="1:60" x14ac:dyDescent="0.3">
      <c r="X28" s="248" t="s">
        <v>1238</v>
      </c>
      <c r="Y28" s="249" t="s">
        <v>905</v>
      </c>
      <c r="Z28" s="250" t="s">
        <v>906</v>
      </c>
      <c r="AG28" s="9"/>
      <c r="BB28" s="508">
        <v>46029</v>
      </c>
      <c r="BC28" s="649">
        <f t="shared" si="1"/>
        <v>1</v>
      </c>
      <c r="BH28" s="500"/>
    </row>
    <row r="29" spans="1:60" x14ac:dyDescent="0.3">
      <c r="X29" s="251" t="s">
        <v>1239</v>
      </c>
      <c r="Y29" s="252" t="s">
        <v>905</v>
      </c>
      <c r="Z29" s="250" t="s">
        <v>906</v>
      </c>
      <c r="AG29" s="9"/>
      <c r="BB29" s="508">
        <v>46030</v>
      </c>
      <c r="BC29" s="649">
        <f t="shared" si="1"/>
        <v>1</v>
      </c>
      <c r="BH29" s="500"/>
    </row>
    <row r="30" spans="1:60" x14ac:dyDescent="0.3">
      <c r="X30" s="248" t="s">
        <v>1240</v>
      </c>
      <c r="Y30" s="249" t="s">
        <v>905</v>
      </c>
      <c r="Z30" s="250" t="s">
        <v>906</v>
      </c>
      <c r="AG30" s="9"/>
      <c r="BB30" s="508">
        <v>46031</v>
      </c>
      <c r="BC30" s="649">
        <f t="shared" si="1"/>
        <v>3</v>
      </c>
      <c r="BH30" s="500"/>
    </row>
    <row r="31" spans="1:60" x14ac:dyDescent="0.3">
      <c r="X31" s="251" t="s">
        <v>1241</v>
      </c>
      <c r="Y31" s="252" t="s">
        <v>905</v>
      </c>
      <c r="Z31" s="250" t="s">
        <v>906</v>
      </c>
      <c r="AG31" s="9"/>
      <c r="BB31" s="508">
        <v>46034</v>
      </c>
      <c r="BC31" s="649">
        <f t="shared" si="1"/>
        <v>1</v>
      </c>
      <c r="BH31" s="500"/>
    </row>
    <row r="32" spans="1:60" x14ac:dyDescent="0.3">
      <c r="X32" s="248" t="s">
        <v>1242</v>
      </c>
      <c r="Y32" s="249" t="s">
        <v>905</v>
      </c>
      <c r="Z32" s="250" t="s">
        <v>906</v>
      </c>
      <c r="AG32" s="9"/>
      <c r="BB32" s="508">
        <v>46035</v>
      </c>
      <c r="BC32" s="649">
        <f t="shared" si="1"/>
        <v>1</v>
      </c>
      <c r="BH32" s="500"/>
    </row>
    <row r="33" spans="24:60" x14ac:dyDescent="0.3">
      <c r="X33" s="251" t="s">
        <v>1243</v>
      </c>
      <c r="Y33" s="252" t="s">
        <v>905</v>
      </c>
      <c r="Z33" s="250" t="s">
        <v>906</v>
      </c>
      <c r="AG33" s="9"/>
      <c r="BB33" s="508">
        <v>46036</v>
      </c>
      <c r="BC33" s="649">
        <f t="shared" ref="BC33:BC96" si="2">BB34-BB33</f>
        <v>1</v>
      </c>
      <c r="BH33" s="500"/>
    </row>
    <row r="34" spans="24:60" x14ac:dyDescent="0.3">
      <c r="X34" s="248" t="s">
        <v>1244</v>
      </c>
      <c r="Y34" s="249" t="s">
        <v>905</v>
      </c>
      <c r="Z34" s="250" t="s">
        <v>906</v>
      </c>
      <c r="AG34" s="9"/>
      <c r="BB34" s="508">
        <v>46037</v>
      </c>
      <c r="BC34" s="649">
        <f t="shared" si="2"/>
        <v>1</v>
      </c>
      <c r="BH34" s="500"/>
    </row>
    <row r="35" spans="24:60" x14ac:dyDescent="0.3">
      <c r="X35" s="251" t="s">
        <v>1245</v>
      </c>
      <c r="Y35" s="252" t="s">
        <v>905</v>
      </c>
      <c r="Z35" s="250" t="s">
        <v>906</v>
      </c>
      <c r="AG35" s="9"/>
      <c r="BB35" s="508">
        <v>46038</v>
      </c>
      <c r="BC35" s="649">
        <f t="shared" si="2"/>
        <v>3</v>
      </c>
      <c r="BH35" s="500"/>
    </row>
    <row r="36" spans="24:60" x14ac:dyDescent="0.3">
      <c r="X36" s="248" t="s">
        <v>1246</v>
      </c>
      <c r="Y36" s="249" t="s">
        <v>905</v>
      </c>
      <c r="Z36" s="250" t="s">
        <v>906</v>
      </c>
      <c r="AG36" s="9"/>
      <c r="BB36" s="508">
        <v>46041</v>
      </c>
      <c r="BC36" s="649">
        <f t="shared" si="2"/>
        <v>1</v>
      </c>
      <c r="BH36" s="500"/>
    </row>
    <row r="37" spans="24:60" x14ac:dyDescent="0.3">
      <c r="X37" s="251" t="s">
        <v>1247</v>
      </c>
      <c r="Y37" s="252" t="s">
        <v>905</v>
      </c>
      <c r="Z37" s="250" t="s">
        <v>906</v>
      </c>
      <c r="AG37" s="9"/>
      <c r="BB37" s="508">
        <v>46042</v>
      </c>
      <c r="BC37" s="649">
        <f t="shared" si="2"/>
        <v>1</v>
      </c>
      <c r="BH37" s="500"/>
    </row>
    <row r="38" spans="24:60" x14ac:dyDescent="0.3">
      <c r="X38" s="248" t="s">
        <v>1248</v>
      </c>
      <c r="Y38" s="249" t="s">
        <v>905</v>
      </c>
      <c r="Z38" s="250" t="s">
        <v>906</v>
      </c>
      <c r="AG38" s="9"/>
      <c r="BB38" s="508">
        <v>46043</v>
      </c>
      <c r="BC38" s="649">
        <f t="shared" si="2"/>
        <v>1</v>
      </c>
      <c r="BH38" s="500"/>
    </row>
    <row r="39" spans="24:60" x14ac:dyDescent="0.3">
      <c r="X39" s="251" t="s">
        <v>1249</v>
      </c>
      <c r="Y39" s="252" t="s">
        <v>905</v>
      </c>
      <c r="Z39" s="250" t="s">
        <v>906</v>
      </c>
      <c r="AG39" s="9"/>
      <c r="BB39" s="508">
        <v>46044</v>
      </c>
      <c r="BC39" s="649">
        <f t="shared" si="2"/>
        <v>1</v>
      </c>
      <c r="BH39" s="500"/>
    </row>
    <row r="40" spans="24:60" x14ac:dyDescent="0.3">
      <c r="X40" s="248" t="s">
        <v>1250</v>
      </c>
      <c r="Y40" s="249" t="s">
        <v>905</v>
      </c>
      <c r="Z40" s="250" t="s">
        <v>906</v>
      </c>
      <c r="AG40" s="9"/>
      <c r="BB40" s="508">
        <v>46045</v>
      </c>
      <c r="BC40" s="649">
        <f t="shared" si="2"/>
        <v>3</v>
      </c>
      <c r="BH40" s="500"/>
    </row>
    <row r="41" spans="24:60" x14ac:dyDescent="0.3">
      <c r="X41" s="251" t="s">
        <v>1251</v>
      </c>
      <c r="Y41" s="252" t="s">
        <v>905</v>
      </c>
      <c r="Z41" s="250" t="s">
        <v>906</v>
      </c>
      <c r="AG41" s="9"/>
      <c r="BB41" s="508">
        <v>46048</v>
      </c>
      <c r="BC41" s="649">
        <f t="shared" si="2"/>
        <v>1</v>
      </c>
      <c r="BH41" s="500"/>
    </row>
    <row r="42" spans="24:60" x14ac:dyDescent="0.3">
      <c r="X42" s="248" t="s">
        <v>1252</v>
      </c>
      <c r="Y42" s="249" t="s">
        <v>905</v>
      </c>
      <c r="Z42" s="250" t="s">
        <v>906</v>
      </c>
      <c r="AG42" s="9"/>
      <c r="BB42" s="508">
        <v>46049</v>
      </c>
      <c r="BC42" s="649">
        <f t="shared" si="2"/>
        <v>1</v>
      </c>
      <c r="BH42" s="500"/>
    </row>
    <row r="43" spans="24:60" x14ac:dyDescent="0.3">
      <c r="X43" s="251" t="s">
        <v>1253</v>
      </c>
      <c r="Y43" s="252" t="s">
        <v>905</v>
      </c>
      <c r="Z43" s="250" t="s">
        <v>906</v>
      </c>
      <c r="AG43" s="9"/>
      <c r="BB43" s="508">
        <v>46050</v>
      </c>
      <c r="BC43" s="649">
        <f t="shared" si="2"/>
        <v>1</v>
      </c>
      <c r="BH43" s="500"/>
    </row>
    <row r="44" spans="24:60" x14ac:dyDescent="0.3">
      <c r="X44" s="248" t="s">
        <v>336</v>
      </c>
      <c r="Y44" s="249" t="s">
        <v>905</v>
      </c>
      <c r="Z44" s="250" t="s">
        <v>906</v>
      </c>
      <c r="AG44" s="9"/>
      <c r="BB44" s="508">
        <v>46051</v>
      </c>
      <c r="BC44" s="649">
        <f t="shared" si="2"/>
        <v>1</v>
      </c>
      <c r="BH44" s="500"/>
    </row>
    <row r="45" spans="24:60" x14ac:dyDescent="0.3">
      <c r="X45" s="251" t="s">
        <v>1254</v>
      </c>
      <c r="Y45" s="252" t="s">
        <v>905</v>
      </c>
      <c r="Z45" s="250" t="s">
        <v>906</v>
      </c>
      <c r="AG45" s="9"/>
      <c r="BB45" s="508">
        <v>46052</v>
      </c>
      <c r="BC45" s="649">
        <f t="shared" si="2"/>
        <v>3</v>
      </c>
      <c r="BH45" s="500"/>
    </row>
    <row r="46" spans="24:60" x14ac:dyDescent="0.3">
      <c r="X46" s="248" t="s">
        <v>1255</v>
      </c>
      <c r="Y46" s="249" t="s">
        <v>905</v>
      </c>
      <c r="Z46" s="250" t="s">
        <v>906</v>
      </c>
      <c r="AG46" s="9"/>
      <c r="BB46" s="508">
        <v>46055</v>
      </c>
      <c r="BC46" s="649">
        <f t="shared" si="2"/>
        <v>1</v>
      </c>
      <c r="BH46" s="500"/>
    </row>
    <row r="47" spans="24:60" x14ac:dyDescent="0.3">
      <c r="X47" s="251" t="s">
        <v>1256</v>
      </c>
      <c r="Y47" s="252" t="s">
        <v>905</v>
      </c>
      <c r="Z47" s="250" t="s">
        <v>906</v>
      </c>
      <c r="AG47" s="9"/>
      <c r="BB47" s="508">
        <v>46056</v>
      </c>
      <c r="BC47" s="649">
        <f t="shared" si="2"/>
        <v>1</v>
      </c>
      <c r="BH47" s="500"/>
    </row>
    <row r="48" spans="24:60" x14ac:dyDescent="0.3">
      <c r="X48" s="248" t="s">
        <v>1257</v>
      </c>
      <c r="Y48" s="249" t="s">
        <v>905</v>
      </c>
      <c r="Z48" s="250" t="s">
        <v>906</v>
      </c>
      <c r="AG48" s="9"/>
      <c r="BB48" s="508">
        <v>46057</v>
      </c>
      <c r="BC48" s="649">
        <f t="shared" si="2"/>
        <v>1</v>
      </c>
      <c r="BH48" s="500"/>
    </row>
    <row r="49" spans="24:60" x14ac:dyDescent="0.3">
      <c r="X49" s="251" t="s">
        <v>1258</v>
      </c>
      <c r="Y49" s="252" t="s">
        <v>905</v>
      </c>
      <c r="Z49" s="250" t="s">
        <v>906</v>
      </c>
      <c r="AG49" s="9"/>
      <c r="BB49" s="508">
        <v>46058</v>
      </c>
      <c r="BC49" s="649">
        <f t="shared" si="2"/>
        <v>1</v>
      </c>
      <c r="BH49" s="500"/>
    </row>
    <row r="50" spans="24:60" x14ac:dyDescent="0.3">
      <c r="X50" s="248" t="s">
        <v>1259</v>
      </c>
      <c r="Y50" s="249" t="s">
        <v>905</v>
      </c>
      <c r="Z50" s="250" t="s">
        <v>906</v>
      </c>
      <c r="AG50" s="9"/>
      <c r="BB50" s="508">
        <v>46059</v>
      </c>
      <c r="BC50" s="649">
        <f t="shared" si="2"/>
        <v>3</v>
      </c>
      <c r="BH50" s="500"/>
    </row>
    <row r="51" spans="24:60" x14ac:dyDescent="0.3">
      <c r="X51" s="251" t="s">
        <v>1260</v>
      </c>
      <c r="Y51" s="252" t="s">
        <v>905</v>
      </c>
      <c r="Z51" s="250" t="s">
        <v>906</v>
      </c>
      <c r="AG51" s="9"/>
      <c r="BB51" s="508">
        <v>46062</v>
      </c>
      <c r="BC51" s="649">
        <f t="shared" si="2"/>
        <v>1</v>
      </c>
      <c r="BH51" s="500"/>
    </row>
    <row r="52" spans="24:60" x14ac:dyDescent="0.3">
      <c r="X52" s="248" t="s">
        <v>1261</v>
      </c>
      <c r="Y52" s="249" t="s">
        <v>905</v>
      </c>
      <c r="Z52" s="250" t="s">
        <v>906</v>
      </c>
      <c r="AG52" s="9"/>
      <c r="BB52" s="508">
        <v>46063</v>
      </c>
      <c r="BC52" s="649">
        <f t="shared" si="2"/>
        <v>1</v>
      </c>
      <c r="BH52" s="500"/>
    </row>
    <row r="53" spans="24:60" x14ac:dyDescent="0.3">
      <c r="X53" s="251" t="s">
        <v>1262</v>
      </c>
      <c r="Y53" s="252" t="s">
        <v>905</v>
      </c>
      <c r="Z53" s="250" t="s">
        <v>906</v>
      </c>
      <c r="AG53" s="9"/>
      <c r="BB53" s="508">
        <v>46064</v>
      </c>
      <c r="BC53" s="649">
        <f t="shared" si="2"/>
        <v>1</v>
      </c>
      <c r="BH53" s="500"/>
    </row>
    <row r="54" spans="24:60" x14ac:dyDescent="0.3">
      <c r="X54" s="248" t="s">
        <v>1263</v>
      </c>
      <c r="Y54" s="249" t="s">
        <v>905</v>
      </c>
      <c r="Z54" s="250" t="s">
        <v>906</v>
      </c>
      <c r="AG54" s="9"/>
      <c r="BB54" s="508">
        <v>46065</v>
      </c>
      <c r="BC54" s="649">
        <f t="shared" si="2"/>
        <v>1</v>
      </c>
      <c r="BH54" s="500"/>
    </row>
    <row r="55" spans="24:60" x14ac:dyDescent="0.3">
      <c r="X55" s="251" t="s">
        <v>1264</v>
      </c>
      <c r="Y55" s="252" t="s">
        <v>905</v>
      </c>
      <c r="Z55" s="250" t="s">
        <v>906</v>
      </c>
      <c r="AG55" s="9"/>
      <c r="BB55" s="508">
        <v>46066</v>
      </c>
      <c r="BC55" s="649">
        <v>10</v>
      </c>
      <c r="BH55" s="500"/>
    </row>
    <row r="56" spans="24:60" x14ac:dyDescent="0.3">
      <c r="X56" s="248" t="s">
        <v>1092</v>
      </c>
      <c r="Y56" s="249" t="s">
        <v>905</v>
      </c>
      <c r="Z56" s="250" t="s">
        <v>906</v>
      </c>
      <c r="AG56" s="9"/>
      <c r="BB56" s="508">
        <v>46076</v>
      </c>
      <c r="BC56" s="649">
        <f t="shared" si="2"/>
        <v>1</v>
      </c>
      <c r="BH56" s="500"/>
    </row>
    <row r="57" spans="24:60" x14ac:dyDescent="0.3">
      <c r="X57" s="251" t="s">
        <v>1265</v>
      </c>
      <c r="Y57" s="252" t="s">
        <v>905</v>
      </c>
      <c r="Z57" s="250" t="s">
        <v>906</v>
      </c>
      <c r="AG57" s="9"/>
      <c r="BB57" s="508">
        <v>46077</v>
      </c>
      <c r="BC57" s="649">
        <f t="shared" si="2"/>
        <v>1</v>
      </c>
      <c r="BH57" s="500"/>
    </row>
    <row r="58" spans="24:60" x14ac:dyDescent="0.3">
      <c r="X58" s="248" t="s">
        <v>1266</v>
      </c>
      <c r="Y58" s="249" t="s">
        <v>905</v>
      </c>
      <c r="Z58" s="250" t="s">
        <v>906</v>
      </c>
      <c r="AG58" s="9"/>
      <c r="BB58" s="508">
        <v>46078</v>
      </c>
      <c r="BC58" s="649">
        <f t="shared" si="2"/>
        <v>1</v>
      </c>
      <c r="BH58" s="500"/>
    </row>
    <row r="59" spans="24:60" x14ac:dyDescent="0.3">
      <c r="X59" s="251" t="s">
        <v>1267</v>
      </c>
      <c r="Y59" s="252" t="s">
        <v>905</v>
      </c>
      <c r="Z59" s="250" t="s">
        <v>906</v>
      </c>
      <c r="AG59" s="9"/>
      <c r="BB59" s="508">
        <v>46079</v>
      </c>
      <c r="BC59" s="649">
        <f t="shared" si="2"/>
        <v>1</v>
      </c>
      <c r="BH59" s="500"/>
    </row>
    <row r="60" spans="24:60" x14ac:dyDescent="0.3">
      <c r="X60" s="248" t="s">
        <v>1268</v>
      </c>
      <c r="Y60" s="249" t="s">
        <v>905</v>
      </c>
      <c r="Z60" s="250" t="s">
        <v>906</v>
      </c>
      <c r="AG60" s="9"/>
      <c r="BB60" s="508">
        <v>46080</v>
      </c>
      <c r="BC60" s="649">
        <f t="shared" si="2"/>
        <v>3</v>
      </c>
      <c r="BH60" s="500"/>
    </row>
    <row r="61" spans="24:60" x14ac:dyDescent="0.3">
      <c r="X61" s="251" t="s">
        <v>1269</v>
      </c>
      <c r="Y61" s="252" t="s">
        <v>905</v>
      </c>
      <c r="Z61" s="250" t="s">
        <v>906</v>
      </c>
      <c r="AG61" s="9"/>
      <c r="BB61" s="508">
        <v>46083</v>
      </c>
      <c r="BC61" s="649">
        <f t="shared" si="2"/>
        <v>1</v>
      </c>
      <c r="BH61" s="500"/>
    </row>
    <row r="62" spans="24:60" x14ac:dyDescent="0.3">
      <c r="X62" s="248" t="s">
        <v>1270</v>
      </c>
      <c r="Y62" s="249" t="s">
        <v>905</v>
      </c>
      <c r="Z62" s="250" t="s">
        <v>906</v>
      </c>
      <c r="AG62" s="9"/>
      <c r="BB62" s="508">
        <v>46084</v>
      </c>
      <c r="BC62" s="649">
        <f t="shared" si="2"/>
        <v>1</v>
      </c>
      <c r="BH62" s="500"/>
    </row>
    <row r="63" spans="24:60" x14ac:dyDescent="0.3">
      <c r="X63" s="251" t="s">
        <v>1271</v>
      </c>
      <c r="Y63" s="252" t="s">
        <v>905</v>
      </c>
      <c r="Z63" s="250" t="s">
        <v>906</v>
      </c>
      <c r="AG63" s="9"/>
      <c r="BB63" s="508">
        <v>46085</v>
      </c>
      <c r="BC63" s="649">
        <f t="shared" si="2"/>
        <v>1</v>
      </c>
      <c r="BH63" s="500"/>
    </row>
    <row r="64" spans="24:60" x14ac:dyDescent="0.3">
      <c r="X64" s="248" t="s">
        <v>1272</v>
      </c>
      <c r="Y64" s="249" t="s">
        <v>905</v>
      </c>
      <c r="Z64" s="250" t="s">
        <v>906</v>
      </c>
      <c r="AG64" s="9"/>
      <c r="BB64" s="508">
        <v>46086</v>
      </c>
      <c r="BC64" s="649">
        <f t="shared" si="2"/>
        <v>1</v>
      </c>
      <c r="BH64" s="500"/>
    </row>
    <row r="65" spans="24:60" x14ac:dyDescent="0.3">
      <c r="X65" s="251" t="s">
        <v>1273</v>
      </c>
      <c r="Y65" s="252" t="s">
        <v>905</v>
      </c>
      <c r="Z65" s="250" t="s">
        <v>906</v>
      </c>
      <c r="AG65" s="9"/>
      <c r="BB65" s="508">
        <v>46087</v>
      </c>
      <c r="BC65" s="649">
        <v>1</v>
      </c>
      <c r="BH65" s="500"/>
    </row>
    <row r="66" spans="24:60" x14ac:dyDescent="0.3">
      <c r="X66" s="248" t="s">
        <v>1274</v>
      </c>
      <c r="Y66" s="249" t="s">
        <v>905</v>
      </c>
      <c r="Z66" s="250" t="s">
        <v>906</v>
      </c>
      <c r="AG66" s="9"/>
      <c r="BB66" s="508">
        <v>46090</v>
      </c>
      <c r="BC66" s="649">
        <f t="shared" si="2"/>
        <v>1</v>
      </c>
      <c r="BH66" s="500"/>
    </row>
    <row r="67" spans="24:60" x14ac:dyDescent="0.3">
      <c r="X67" s="251" t="s">
        <v>1275</v>
      </c>
      <c r="Y67" s="252" t="s">
        <v>905</v>
      </c>
      <c r="Z67" s="250" t="s">
        <v>906</v>
      </c>
      <c r="AG67" s="9"/>
      <c r="BB67" s="508">
        <v>46091</v>
      </c>
      <c r="BC67" s="649">
        <f t="shared" si="2"/>
        <v>1</v>
      </c>
      <c r="BH67" s="500"/>
    </row>
    <row r="68" spans="24:60" x14ac:dyDescent="0.3">
      <c r="X68" s="248" t="s">
        <v>1276</v>
      </c>
      <c r="Y68" s="249" t="s">
        <v>905</v>
      </c>
      <c r="Z68" s="250" t="s">
        <v>906</v>
      </c>
      <c r="AG68" s="9"/>
      <c r="BB68" s="508">
        <v>46092</v>
      </c>
      <c r="BC68" s="649">
        <f t="shared" si="2"/>
        <v>1</v>
      </c>
      <c r="BH68" s="500"/>
    </row>
    <row r="69" spans="24:60" x14ac:dyDescent="0.3">
      <c r="X69" s="251" t="s">
        <v>1277</v>
      </c>
      <c r="Y69" s="252" t="s">
        <v>905</v>
      </c>
      <c r="Z69" s="250" t="s">
        <v>906</v>
      </c>
      <c r="AG69" s="9"/>
      <c r="BB69" s="508">
        <v>46093</v>
      </c>
      <c r="BC69" s="649">
        <f t="shared" si="2"/>
        <v>1</v>
      </c>
      <c r="BH69" s="500"/>
    </row>
    <row r="70" spans="24:60" x14ac:dyDescent="0.3">
      <c r="X70" s="248" t="s">
        <v>1278</v>
      </c>
      <c r="Y70" s="249" t="s">
        <v>905</v>
      </c>
      <c r="Z70" s="250" t="s">
        <v>906</v>
      </c>
      <c r="AG70" s="9"/>
      <c r="BB70" s="508">
        <v>46094</v>
      </c>
      <c r="BC70" s="649">
        <f t="shared" si="2"/>
        <v>3</v>
      </c>
      <c r="BH70" s="500"/>
    </row>
    <row r="71" spans="24:60" x14ac:dyDescent="0.3">
      <c r="X71" s="251" t="s">
        <v>1279</v>
      </c>
      <c r="Y71" s="252" t="s">
        <v>905</v>
      </c>
      <c r="Z71" s="250" t="s">
        <v>906</v>
      </c>
      <c r="AG71" s="9"/>
      <c r="BB71" s="508">
        <v>46097</v>
      </c>
      <c r="BC71" s="649">
        <f t="shared" si="2"/>
        <v>1</v>
      </c>
      <c r="BH71" s="500"/>
    </row>
    <row r="72" spans="24:60" x14ac:dyDescent="0.3">
      <c r="X72" s="248" t="s">
        <v>1280</v>
      </c>
      <c r="Y72" s="249" t="s">
        <v>905</v>
      </c>
      <c r="Z72" s="250" t="s">
        <v>906</v>
      </c>
      <c r="AG72" s="9"/>
      <c r="BB72" s="508">
        <v>46098</v>
      </c>
      <c r="BC72" s="649">
        <f t="shared" si="2"/>
        <v>1</v>
      </c>
      <c r="BH72" s="500"/>
    </row>
    <row r="73" spans="24:60" x14ac:dyDescent="0.3">
      <c r="X73" s="251" t="s">
        <v>1281</v>
      </c>
      <c r="Y73" s="252" t="s">
        <v>905</v>
      </c>
      <c r="Z73" s="250" t="s">
        <v>906</v>
      </c>
      <c r="AG73" s="9"/>
      <c r="BB73" s="508">
        <v>46099</v>
      </c>
      <c r="BC73" s="649">
        <f t="shared" si="2"/>
        <v>1</v>
      </c>
      <c r="BH73" s="500"/>
    </row>
    <row r="74" spans="24:60" x14ac:dyDescent="0.3">
      <c r="X74" s="248" t="s">
        <v>1282</v>
      </c>
      <c r="Y74" s="249" t="s">
        <v>905</v>
      </c>
      <c r="Z74" s="250" t="s">
        <v>906</v>
      </c>
      <c r="AG74" s="9"/>
      <c r="BB74" s="508">
        <v>46100</v>
      </c>
      <c r="BC74" s="649">
        <f t="shared" si="2"/>
        <v>1</v>
      </c>
      <c r="BH74" s="500"/>
    </row>
    <row r="75" spans="24:60" x14ac:dyDescent="0.3">
      <c r="X75" s="251" t="s">
        <v>1283</v>
      </c>
      <c r="Y75" s="252" t="s">
        <v>905</v>
      </c>
      <c r="Z75" s="250" t="s">
        <v>906</v>
      </c>
      <c r="AG75" s="9"/>
      <c r="BB75" s="508">
        <v>46101</v>
      </c>
      <c r="BC75" s="649">
        <f t="shared" si="2"/>
        <v>3</v>
      </c>
      <c r="BH75" s="500"/>
    </row>
    <row r="76" spans="24:60" x14ac:dyDescent="0.3">
      <c r="X76" s="248" t="s">
        <v>1284</v>
      </c>
      <c r="Y76" s="249" t="s">
        <v>905</v>
      </c>
      <c r="Z76" s="250" t="s">
        <v>906</v>
      </c>
      <c r="AG76" s="9"/>
      <c r="BB76" s="508">
        <v>46104</v>
      </c>
      <c r="BC76" s="649">
        <f t="shared" si="2"/>
        <v>1</v>
      </c>
      <c r="BH76" s="500"/>
    </row>
    <row r="77" spans="24:60" x14ac:dyDescent="0.3">
      <c r="X77" s="251" t="s">
        <v>1285</v>
      </c>
      <c r="Y77" s="252" t="s">
        <v>905</v>
      </c>
      <c r="Z77" s="250" t="s">
        <v>906</v>
      </c>
      <c r="AG77" s="9"/>
      <c r="BB77" s="508">
        <v>46105</v>
      </c>
      <c r="BC77" s="649">
        <f t="shared" si="2"/>
        <v>1</v>
      </c>
      <c r="BH77" s="500"/>
    </row>
    <row r="78" spans="24:60" x14ac:dyDescent="0.3">
      <c r="X78" s="248" t="s">
        <v>1286</v>
      </c>
      <c r="Y78" s="249" t="s">
        <v>905</v>
      </c>
      <c r="Z78" s="250" t="s">
        <v>906</v>
      </c>
      <c r="AG78" s="9"/>
      <c r="BB78" s="508">
        <v>46106</v>
      </c>
      <c r="BC78" s="649">
        <f t="shared" si="2"/>
        <v>1</v>
      </c>
      <c r="BH78" s="500"/>
    </row>
    <row r="79" spans="24:60" x14ac:dyDescent="0.3">
      <c r="X79" s="251" t="s">
        <v>1287</v>
      </c>
      <c r="Y79" s="252" t="s">
        <v>905</v>
      </c>
      <c r="Z79" s="250" t="s">
        <v>906</v>
      </c>
      <c r="AG79" s="9"/>
      <c r="BB79" s="508">
        <v>46107</v>
      </c>
      <c r="BC79" s="649">
        <f t="shared" si="2"/>
        <v>1</v>
      </c>
      <c r="BH79" s="500"/>
    </row>
    <row r="80" spans="24:60" x14ac:dyDescent="0.3">
      <c r="X80" s="248" t="s">
        <v>1288</v>
      </c>
      <c r="Y80" s="249" t="s">
        <v>905</v>
      </c>
      <c r="Z80" s="250" t="s">
        <v>906</v>
      </c>
      <c r="AG80" s="9"/>
      <c r="BB80" s="508">
        <v>46108</v>
      </c>
      <c r="BC80" s="649">
        <f t="shared" si="2"/>
        <v>3</v>
      </c>
      <c r="BH80" s="500"/>
    </row>
    <row r="81" spans="24:60" x14ac:dyDescent="0.3">
      <c r="X81" s="251" t="s">
        <v>1289</v>
      </c>
      <c r="Y81" s="252" t="s">
        <v>905</v>
      </c>
      <c r="Z81" s="250" t="s">
        <v>906</v>
      </c>
      <c r="AG81" s="9"/>
      <c r="BB81" s="651">
        <v>46111</v>
      </c>
      <c r="BC81" s="649">
        <f t="shared" si="2"/>
        <v>1</v>
      </c>
      <c r="BH81" s="500"/>
    </row>
    <row r="82" spans="24:60" x14ac:dyDescent="0.3">
      <c r="X82" s="248" t="s">
        <v>1290</v>
      </c>
      <c r="Y82" s="249" t="s">
        <v>905</v>
      </c>
      <c r="Z82" s="250" t="s">
        <v>906</v>
      </c>
      <c r="AG82" s="9"/>
      <c r="BB82" s="651">
        <v>46112</v>
      </c>
      <c r="BC82" s="649">
        <f t="shared" si="2"/>
        <v>1</v>
      </c>
      <c r="BH82" s="500"/>
    </row>
    <row r="83" spans="24:60" x14ac:dyDescent="0.3">
      <c r="X83" s="251" t="s">
        <v>1291</v>
      </c>
      <c r="Y83" s="252" t="s">
        <v>905</v>
      </c>
      <c r="Z83" s="250" t="s">
        <v>906</v>
      </c>
      <c r="AG83" s="9"/>
      <c r="BB83" s="651">
        <v>46113</v>
      </c>
      <c r="BC83" s="649">
        <f t="shared" si="2"/>
        <v>1</v>
      </c>
      <c r="BH83" s="500"/>
    </row>
    <row r="84" spans="24:60" x14ac:dyDescent="0.3">
      <c r="X84" s="248" t="s">
        <v>1292</v>
      </c>
      <c r="Y84" s="249" t="s">
        <v>905</v>
      </c>
      <c r="Z84" s="250" t="s">
        <v>906</v>
      </c>
      <c r="AG84" s="9"/>
      <c r="BB84" s="651">
        <v>46114</v>
      </c>
      <c r="BC84" s="649">
        <f t="shared" si="2"/>
        <v>1</v>
      </c>
      <c r="BH84" s="500"/>
    </row>
    <row r="85" spans="24:60" x14ac:dyDescent="0.3">
      <c r="X85" s="251" t="s">
        <v>1293</v>
      </c>
      <c r="Y85" s="252" t="s">
        <v>905</v>
      </c>
      <c r="Z85" s="250" t="s">
        <v>906</v>
      </c>
      <c r="AG85" s="9"/>
      <c r="BB85" s="508">
        <v>46115</v>
      </c>
      <c r="BC85" s="649">
        <f t="shared" si="2"/>
        <v>3</v>
      </c>
      <c r="BH85" s="500"/>
    </row>
    <row r="86" spans="24:60" x14ac:dyDescent="0.3">
      <c r="X86" s="248" t="s">
        <v>1294</v>
      </c>
      <c r="Y86" s="249" t="s">
        <v>905</v>
      </c>
      <c r="Z86" s="250" t="s">
        <v>906</v>
      </c>
      <c r="AG86" s="9"/>
      <c r="BB86" s="508">
        <v>46118</v>
      </c>
      <c r="BC86" s="649">
        <f t="shared" si="2"/>
        <v>1</v>
      </c>
      <c r="BH86" s="500"/>
    </row>
    <row r="87" spans="24:60" x14ac:dyDescent="0.3">
      <c r="X87" s="251" t="s">
        <v>1295</v>
      </c>
      <c r="Y87" s="252" t="s">
        <v>905</v>
      </c>
      <c r="Z87" s="250" t="s">
        <v>906</v>
      </c>
      <c r="AG87" s="9"/>
      <c r="BB87" s="508">
        <v>46119</v>
      </c>
      <c r="BC87" s="649">
        <f t="shared" si="2"/>
        <v>1</v>
      </c>
      <c r="BH87" s="500"/>
    </row>
    <row r="88" spans="24:60" x14ac:dyDescent="0.3">
      <c r="X88" s="248" t="s">
        <v>1296</v>
      </c>
      <c r="Y88" s="249" t="s">
        <v>905</v>
      </c>
      <c r="Z88" s="250" t="s">
        <v>906</v>
      </c>
      <c r="AG88" s="9"/>
      <c r="BB88" s="508">
        <v>46120</v>
      </c>
      <c r="BC88" s="649">
        <f t="shared" si="2"/>
        <v>1</v>
      </c>
      <c r="BH88" s="500"/>
    </row>
    <row r="89" spans="24:60" x14ac:dyDescent="0.3">
      <c r="X89" s="251" t="s">
        <v>1297</v>
      </c>
      <c r="Y89" s="252" t="s">
        <v>905</v>
      </c>
      <c r="Z89" s="250" t="s">
        <v>906</v>
      </c>
      <c r="AG89" s="9"/>
      <c r="BB89" s="508">
        <v>46121</v>
      </c>
      <c r="BC89" s="649">
        <f t="shared" si="2"/>
        <v>1</v>
      </c>
      <c r="BH89" s="500"/>
    </row>
    <row r="90" spans="24:60" x14ac:dyDescent="0.3">
      <c r="X90" s="248" t="s">
        <v>1298</v>
      </c>
      <c r="Y90" s="249" t="s">
        <v>905</v>
      </c>
      <c r="Z90" s="250" t="s">
        <v>906</v>
      </c>
      <c r="AG90" s="9"/>
      <c r="BB90" s="508">
        <v>46122</v>
      </c>
      <c r="BC90" s="649">
        <f t="shared" si="2"/>
        <v>3</v>
      </c>
      <c r="BH90" s="500"/>
    </row>
    <row r="91" spans="24:60" x14ac:dyDescent="0.3">
      <c r="X91" s="251" t="s">
        <v>1299</v>
      </c>
      <c r="Y91" s="252" t="s">
        <v>905</v>
      </c>
      <c r="Z91" s="250" t="s">
        <v>906</v>
      </c>
      <c r="AG91" s="9"/>
      <c r="BB91" s="508">
        <v>46125</v>
      </c>
      <c r="BC91" s="649">
        <f t="shared" si="2"/>
        <v>1</v>
      </c>
      <c r="BH91" s="500"/>
    </row>
    <row r="92" spans="24:60" x14ac:dyDescent="0.3">
      <c r="X92" s="248" t="s">
        <v>1300</v>
      </c>
      <c r="Y92" s="249" t="s">
        <v>905</v>
      </c>
      <c r="Z92" s="250" t="s">
        <v>906</v>
      </c>
      <c r="AG92" s="9"/>
      <c r="BB92" s="508">
        <v>46126</v>
      </c>
      <c r="BC92" s="649">
        <f t="shared" si="2"/>
        <v>1</v>
      </c>
      <c r="BH92" s="500"/>
    </row>
    <row r="93" spans="24:60" x14ac:dyDescent="0.3">
      <c r="X93" s="251" t="s">
        <v>1301</v>
      </c>
      <c r="Y93" s="252" t="s">
        <v>905</v>
      </c>
      <c r="Z93" s="250" t="s">
        <v>906</v>
      </c>
      <c r="AG93" s="9"/>
      <c r="BB93" s="508">
        <v>46127</v>
      </c>
      <c r="BC93" s="649">
        <f t="shared" si="2"/>
        <v>1</v>
      </c>
      <c r="BH93" s="500"/>
    </row>
    <row r="94" spans="24:60" x14ac:dyDescent="0.3">
      <c r="X94" s="248" t="s">
        <v>1302</v>
      </c>
      <c r="Y94" s="249" t="s">
        <v>905</v>
      </c>
      <c r="Z94" s="250" t="s">
        <v>906</v>
      </c>
      <c r="AG94" s="9"/>
      <c r="BB94" s="508">
        <v>46128</v>
      </c>
      <c r="BC94" s="649">
        <f t="shared" si="2"/>
        <v>1</v>
      </c>
      <c r="BH94" s="500"/>
    </row>
    <row r="95" spans="24:60" x14ac:dyDescent="0.3">
      <c r="X95" s="251" t="s">
        <v>1093</v>
      </c>
      <c r="Y95" s="252" t="s">
        <v>905</v>
      </c>
      <c r="Z95" s="250" t="s">
        <v>906</v>
      </c>
      <c r="AG95" s="9"/>
      <c r="BB95" s="508">
        <v>46129</v>
      </c>
      <c r="BC95" s="649">
        <f t="shared" si="2"/>
        <v>3</v>
      </c>
      <c r="BH95" s="500"/>
    </row>
    <row r="96" spans="24:60" x14ac:dyDescent="0.3">
      <c r="X96" s="248" t="s">
        <v>1094</v>
      </c>
      <c r="Y96" s="249" t="s">
        <v>905</v>
      </c>
      <c r="Z96" s="250" t="s">
        <v>906</v>
      </c>
      <c r="AG96" s="9"/>
      <c r="BB96" s="508">
        <v>46132</v>
      </c>
      <c r="BC96" s="649">
        <f t="shared" si="2"/>
        <v>1</v>
      </c>
      <c r="BH96" s="500"/>
    </row>
    <row r="97" spans="24:60" x14ac:dyDescent="0.3">
      <c r="X97" s="251" t="s">
        <v>1095</v>
      </c>
      <c r="Y97" s="252" t="s">
        <v>905</v>
      </c>
      <c r="Z97" s="250" t="s">
        <v>906</v>
      </c>
      <c r="AG97" s="9"/>
      <c r="BB97" s="508">
        <v>46133</v>
      </c>
      <c r="BC97" s="649">
        <f t="shared" ref="BC97:BC160" si="3">BB98-BB97</f>
        <v>1</v>
      </c>
      <c r="BH97" s="500"/>
    </row>
    <row r="98" spans="24:60" x14ac:dyDescent="0.3">
      <c r="X98" s="248" t="s">
        <v>1096</v>
      </c>
      <c r="Y98" s="249" t="s">
        <v>905</v>
      </c>
      <c r="Z98" s="250" t="s">
        <v>906</v>
      </c>
      <c r="AG98" s="9"/>
      <c r="BB98" s="508">
        <v>46134</v>
      </c>
      <c r="BC98" s="649">
        <f t="shared" si="3"/>
        <v>1</v>
      </c>
      <c r="BH98" s="500"/>
    </row>
    <row r="99" spans="24:60" x14ac:dyDescent="0.3">
      <c r="X99" s="251" t="s">
        <v>1097</v>
      </c>
      <c r="Y99" s="252" t="s">
        <v>905</v>
      </c>
      <c r="Z99" s="250" t="s">
        <v>906</v>
      </c>
      <c r="AG99" s="9"/>
      <c r="BB99" s="508">
        <v>46135</v>
      </c>
      <c r="BC99" s="649">
        <f t="shared" si="3"/>
        <v>1</v>
      </c>
      <c r="BH99" s="500"/>
    </row>
    <row r="100" spans="24:60" x14ac:dyDescent="0.3">
      <c r="X100" s="248" t="s">
        <v>1098</v>
      </c>
      <c r="Y100" s="249" t="s">
        <v>905</v>
      </c>
      <c r="Z100" s="250" t="s">
        <v>906</v>
      </c>
      <c r="AG100" s="9"/>
      <c r="BB100" s="508">
        <v>46136</v>
      </c>
      <c r="BC100" s="649">
        <f t="shared" si="3"/>
        <v>4</v>
      </c>
      <c r="BH100" s="500"/>
    </row>
    <row r="101" spans="24:60" x14ac:dyDescent="0.3">
      <c r="X101" s="251" t="s">
        <v>1099</v>
      </c>
      <c r="Y101" s="252" t="s">
        <v>905</v>
      </c>
      <c r="Z101" s="250" t="s">
        <v>906</v>
      </c>
      <c r="AG101" s="9"/>
      <c r="BB101" s="508">
        <v>46140</v>
      </c>
      <c r="BC101" s="649">
        <f t="shared" si="3"/>
        <v>1</v>
      </c>
      <c r="BH101" s="500"/>
    </row>
    <row r="102" spans="24:60" x14ac:dyDescent="0.3">
      <c r="X102" s="248" t="s">
        <v>1100</v>
      </c>
      <c r="Y102" s="249" t="s">
        <v>905</v>
      </c>
      <c r="Z102" s="250" t="s">
        <v>906</v>
      </c>
      <c r="AG102" s="9"/>
      <c r="BB102" s="508">
        <v>46141</v>
      </c>
      <c r="BC102" s="649">
        <f t="shared" si="3"/>
        <v>5</v>
      </c>
      <c r="BH102" s="500"/>
    </row>
    <row r="103" spans="24:60" x14ac:dyDescent="0.3">
      <c r="X103" s="251" t="s">
        <v>1101</v>
      </c>
      <c r="Y103" s="252" t="s">
        <v>905</v>
      </c>
      <c r="Z103" s="250" t="s">
        <v>906</v>
      </c>
      <c r="AG103" s="9"/>
      <c r="BB103" s="508">
        <v>46146</v>
      </c>
      <c r="BC103" s="649">
        <f t="shared" si="3"/>
        <v>1</v>
      </c>
      <c r="BH103" s="500"/>
    </row>
    <row r="104" spans="24:60" x14ac:dyDescent="0.3">
      <c r="X104" s="248" t="s">
        <v>1102</v>
      </c>
      <c r="Y104" s="249" t="s">
        <v>905</v>
      </c>
      <c r="Z104" s="250" t="s">
        <v>906</v>
      </c>
      <c r="AG104" s="9"/>
      <c r="BB104" s="508">
        <v>46147</v>
      </c>
      <c r="BC104" s="649">
        <f t="shared" si="3"/>
        <v>1</v>
      </c>
      <c r="BH104" s="500"/>
    </row>
    <row r="105" spans="24:60" x14ac:dyDescent="0.3">
      <c r="X105" s="251" t="s">
        <v>1103</v>
      </c>
      <c r="Y105" s="252" t="s">
        <v>905</v>
      </c>
      <c r="Z105" s="250" t="s">
        <v>906</v>
      </c>
      <c r="AG105" s="9"/>
      <c r="BB105" s="508">
        <v>46148</v>
      </c>
      <c r="BC105" s="649">
        <f t="shared" si="3"/>
        <v>1</v>
      </c>
      <c r="BH105" s="500"/>
    </row>
    <row r="106" spans="24:60" x14ac:dyDescent="0.3">
      <c r="X106" s="248" t="s">
        <v>1104</v>
      </c>
      <c r="Y106" s="249" t="s">
        <v>905</v>
      </c>
      <c r="Z106" s="250" t="s">
        <v>906</v>
      </c>
      <c r="AG106" s="9"/>
      <c r="BB106" s="508">
        <v>46149</v>
      </c>
      <c r="BC106" s="649">
        <f t="shared" si="3"/>
        <v>1</v>
      </c>
      <c r="BH106" s="500"/>
    </row>
    <row r="107" spans="24:60" x14ac:dyDescent="0.3">
      <c r="X107" s="251" t="s">
        <v>1105</v>
      </c>
      <c r="Y107" s="252" t="s">
        <v>905</v>
      </c>
      <c r="Z107" s="250" t="s">
        <v>906</v>
      </c>
      <c r="AG107" s="9"/>
      <c r="BB107" s="508">
        <v>46150</v>
      </c>
      <c r="BC107" s="649">
        <f t="shared" si="3"/>
        <v>3</v>
      </c>
      <c r="BH107" s="500"/>
    </row>
    <row r="108" spans="24:60" x14ac:dyDescent="0.3">
      <c r="X108" s="248" t="s">
        <v>1303</v>
      </c>
      <c r="Y108" s="249" t="s">
        <v>905</v>
      </c>
      <c r="Z108" s="250" t="s">
        <v>906</v>
      </c>
      <c r="AG108" s="9"/>
      <c r="BB108" s="508">
        <v>46153</v>
      </c>
      <c r="BC108" s="649">
        <f t="shared" si="3"/>
        <v>1</v>
      </c>
      <c r="BH108" s="500"/>
    </row>
    <row r="109" spans="24:60" x14ac:dyDescent="0.3">
      <c r="X109" s="251" t="s">
        <v>1308</v>
      </c>
      <c r="Y109" s="252" t="s">
        <v>905</v>
      </c>
      <c r="Z109" s="250" t="s">
        <v>906</v>
      </c>
      <c r="AG109" s="9"/>
      <c r="BB109" s="508">
        <v>46154</v>
      </c>
      <c r="BC109" s="649">
        <f t="shared" si="3"/>
        <v>1</v>
      </c>
      <c r="BH109" s="500"/>
    </row>
    <row r="110" spans="24:60" x14ac:dyDescent="0.3">
      <c r="X110" s="248" t="s">
        <v>1332</v>
      </c>
      <c r="Y110" s="249" t="s">
        <v>821</v>
      </c>
      <c r="Z110" s="250" t="s">
        <v>906</v>
      </c>
      <c r="AG110" s="9"/>
      <c r="BB110" s="508">
        <v>46155</v>
      </c>
      <c r="BC110" s="649">
        <f t="shared" si="3"/>
        <v>1</v>
      </c>
      <c r="BH110" s="500"/>
    </row>
    <row r="111" spans="24:60" x14ac:dyDescent="0.3">
      <c r="X111" s="251" t="s">
        <v>773</v>
      </c>
      <c r="Y111" s="252" t="s">
        <v>821</v>
      </c>
      <c r="Z111" s="250" t="s">
        <v>906</v>
      </c>
      <c r="AG111" s="9"/>
      <c r="BB111" s="508">
        <v>46156</v>
      </c>
      <c r="BC111" s="649">
        <f t="shared" si="3"/>
        <v>1</v>
      </c>
      <c r="BH111" s="500"/>
    </row>
    <row r="112" spans="24:60" x14ac:dyDescent="0.3">
      <c r="X112" s="248" t="s">
        <v>247</v>
      </c>
      <c r="Y112" s="249" t="s">
        <v>821</v>
      </c>
      <c r="Z112" s="250" t="s">
        <v>906</v>
      </c>
      <c r="AG112" s="9"/>
      <c r="BB112" s="508">
        <v>46157</v>
      </c>
      <c r="BC112" s="649">
        <f t="shared" si="3"/>
        <v>3</v>
      </c>
      <c r="BH112" s="500"/>
    </row>
    <row r="113" spans="24:60" x14ac:dyDescent="0.3">
      <c r="X113" s="251" t="s">
        <v>1333</v>
      </c>
      <c r="Y113" s="252" t="s">
        <v>821</v>
      </c>
      <c r="Z113" s="250" t="s">
        <v>906</v>
      </c>
      <c r="AG113" s="9"/>
      <c r="BB113" s="508">
        <v>46160</v>
      </c>
      <c r="BC113" s="649">
        <f t="shared" si="3"/>
        <v>1</v>
      </c>
      <c r="BH113" s="500"/>
    </row>
    <row r="114" spans="24:60" x14ac:dyDescent="0.3">
      <c r="X114" s="248" t="s">
        <v>1334</v>
      </c>
      <c r="Y114" s="249" t="s">
        <v>821</v>
      </c>
      <c r="Z114" s="250" t="s">
        <v>906</v>
      </c>
      <c r="AG114" s="9"/>
      <c r="BB114" s="508">
        <v>46161</v>
      </c>
      <c r="BC114" s="649">
        <f t="shared" si="3"/>
        <v>1</v>
      </c>
      <c r="BH114" s="500"/>
    </row>
    <row r="115" spans="24:60" x14ac:dyDescent="0.3">
      <c r="X115" s="251" t="s">
        <v>1335</v>
      </c>
      <c r="Y115" s="252" t="s">
        <v>821</v>
      </c>
      <c r="Z115" s="250" t="s">
        <v>906</v>
      </c>
      <c r="AG115" s="9"/>
      <c r="BB115" s="508">
        <v>46162</v>
      </c>
      <c r="BC115" s="649">
        <f t="shared" si="3"/>
        <v>1</v>
      </c>
      <c r="BH115" s="500"/>
    </row>
    <row r="116" spans="24:60" x14ac:dyDescent="0.3">
      <c r="X116" s="248" t="s">
        <v>197</v>
      </c>
      <c r="Y116" s="249" t="s">
        <v>821</v>
      </c>
      <c r="Z116" s="250" t="s">
        <v>906</v>
      </c>
      <c r="AG116" s="9"/>
      <c r="BB116" s="508">
        <v>46163</v>
      </c>
      <c r="BC116" s="649">
        <f t="shared" si="3"/>
        <v>1</v>
      </c>
      <c r="BH116" s="500"/>
    </row>
    <row r="117" spans="24:60" x14ac:dyDescent="0.3">
      <c r="X117" s="251" t="s">
        <v>1336</v>
      </c>
      <c r="Y117" s="252" t="s">
        <v>821</v>
      </c>
      <c r="Z117" s="250" t="s">
        <v>906</v>
      </c>
      <c r="AG117" s="9"/>
      <c r="BB117" s="508">
        <v>46164</v>
      </c>
      <c r="BC117" s="649">
        <f t="shared" si="3"/>
        <v>3</v>
      </c>
      <c r="BH117" s="500"/>
    </row>
    <row r="118" spans="24:60" x14ac:dyDescent="0.3">
      <c r="X118" s="248" t="s">
        <v>339</v>
      </c>
      <c r="Y118" s="249" t="s">
        <v>821</v>
      </c>
      <c r="Z118" s="250" t="s">
        <v>906</v>
      </c>
      <c r="AG118" s="9"/>
      <c r="BB118" s="508">
        <v>46167</v>
      </c>
      <c r="BC118" s="649">
        <f t="shared" si="3"/>
        <v>1</v>
      </c>
      <c r="BH118" s="500"/>
    </row>
    <row r="119" spans="24:60" x14ac:dyDescent="0.3">
      <c r="X119" s="251" t="s">
        <v>198</v>
      </c>
      <c r="Y119" s="252" t="s">
        <v>821</v>
      </c>
      <c r="Z119" s="250" t="s">
        <v>906</v>
      </c>
      <c r="AG119" s="9"/>
      <c r="BB119" s="508">
        <v>46168</v>
      </c>
      <c r="BC119" s="649">
        <f t="shared" si="3"/>
        <v>1</v>
      </c>
      <c r="BH119" s="500"/>
    </row>
    <row r="120" spans="24:60" x14ac:dyDescent="0.3">
      <c r="X120" s="248" t="s">
        <v>200</v>
      </c>
      <c r="Y120" s="249" t="s">
        <v>821</v>
      </c>
      <c r="Z120" s="250" t="s">
        <v>906</v>
      </c>
      <c r="AG120" s="9"/>
      <c r="BB120" s="508">
        <v>46169</v>
      </c>
      <c r="BC120" s="649">
        <f t="shared" si="3"/>
        <v>1</v>
      </c>
      <c r="BH120" s="500"/>
    </row>
    <row r="121" spans="24:60" x14ac:dyDescent="0.3">
      <c r="X121" s="251" t="s">
        <v>1337</v>
      </c>
      <c r="Y121" s="252" t="s">
        <v>821</v>
      </c>
      <c r="Z121" s="250" t="s">
        <v>906</v>
      </c>
      <c r="AG121" s="9"/>
      <c r="BB121" s="508">
        <v>46170</v>
      </c>
      <c r="BC121" s="649">
        <f t="shared" si="3"/>
        <v>1</v>
      </c>
      <c r="BH121" s="500"/>
    </row>
    <row r="122" spans="24:60" x14ac:dyDescent="0.3">
      <c r="X122" s="248" t="s">
        <v>1338</v>
      </c>
      <c r="Y122" s="249" t="s">
        <v>821</v>
      </c>
      <c r="Z122" s="250" t="s">
        <v>906</v>
      </c>
      <c r="AG122" s="9"/>
      <c r="BB122" s="508">
        <v>46171</v>
      </c>
      <c r="BC122" s="649">
        <f t="shared" si="3"/>
        <v>3</v>
      </c>
      <c r="BH122" s="500"/>
    </row>
    <row r="123" spans="24:60" x14ac:dyDescent="0.3">
      <c r="X123" s="251" t="s">
        <v>260</v>
      </c>
      <c r="Y123" s="252" t="s">
        <v>821</v>
      </c>
      <c r="Z123" s="250" t="s">
        <v>906</v>
      </c>
      <c r="AG123" s="9"/>
      <c r="BB123" s="508">
        <v>46174</v>
      </c>
      <c r="BC123" s="649">
        <f t="shared" si="3"/>
        <v>1</v>
      </c>
      <c r="BH123" s="500"/>
    </row>
    <row r="124" spans="24:60" x14ac:dyDescent="0.3">
      <c r="X124" s="248" t="s">
        <v>1339</v>
      </c>
      <c r="Y124" s="249" t="s">
        <v>821</v>
      </c>
      <c r="Z124" s="250" t="s">
        <v>906</v>
      </c>
      <c r="AG124" s="9"/>
      <c r="BB124" s="508">
        <v>46175</v>
      </c>
      <c r="BC124" s="649">
        <f t="shared" si="3"/>
        <v>1</v>
      </c>
      <c r="BH124" s="500"/>
    </row>
    <row r="125" spans="24:60" x14ac:dyDescent="0.3">
      <c r="X125" s="251" t="s">
        <v>268</v>
      </c>
      <c r="Y125" s="252" t="s">
        <v>821</v>
      </c>
      <c r="Z125" s="250" t="s">
        <v>906</v>
      </c>
      <c r="AG125" s="9"/>
      <c r="BB125" s="508">
        <v>46176</v>
      </c>
      <c r="BC125" s="649">
        <f t="shared" si="3"/>
        <v>1</v>
      </c>
      <c r="BH125" s="500"/>
    </row>
    <row r="126" spans="24:60" x14ac:dyDescent="0.3">
      <c r="X126" s="248" t="s">
        <v>1340</v>
      </c>
      <c r="Y126" s="249" t="s">
        <v>821</v>
      </c>
      <c r="Z126" s="250" t="s">
        <v>906</v>
      </c>
      <c r="AG126" s="9"/>
      <c r="BB126" s="508">
        <v>46177</v>
      </c>
      <c r="BC126" s="649">
        <f t="shared" si="3"/>
        <v>1</v>
      </c>
      <c r="BH126" s="500"/>
    </row>
    <row r="127" spans="24:60" x14ac:dyDescent="0.3">
      <c r="X127" s="251" t="s">
        <v>1341</v>
      </c>
      <c r="Y127" s="252" t="s">
        <v>821</v>
      </c>
      <c r="Z127" s="250" t="s">
        <v>906</v>
      </c>
      <c r="AG127" s="9"/>
      <c r="BB127" s="508">
        <v>46178</v>
      </c>
      <c r="BC127" s="649">
        <f t="shared" si="3"/>
        <v>3</v>
      </c>
      <c r="BH127" s="500"/>
    </row>
    <row r="128" spans="24:60" x14ac:dyDescent="0.3">
      <c r="X128" s="248" t="s">
        <v>1342</v>
      </c>
      <c r="Y128" s="249" t="s">
        <v>821</v>
      </c>
      <c r="Z128" s="250" t="s">
        <v>906</v>
      </c>
      <c r="AG128" s="9"/>
      <c r="BB128" s="508">
        <v>46181</v>
      </c>
      <c r="BC128" s="649">
        <f t="shared" si="3"/>
        <v>1</v>
      </c>
      <c r="BH128" s="500"/>
    </row>
    <row r="129" spans="24:60" x14ac:dyDescent="0.3">
      <c r="X129" s="251" t="s">
        <v>201</v>
      </c>
      <c r="Y129" s="252" t="s">
        <v>821</v>
      </c>
      <c r="Z129" s="250" t="s">
        <v>906</v>
      </c>
      <c r="AG129" s="9"/>
      <c r="BB129" s="508">
        <v>46182</v>
      </c>
      <c r="BC129" s="649">
        <f t="shared" si="3"/>
        <v>1</v>
      </c>
      <c r="BH129" s="500"/>
    </row>
    <row r="130" spans="24:60" x14ac:dyDescent="0.3">
      <c r="X130" s="248" t="s">
        <v>1343</v>
      </c>
      <c r="Y130" s="249" t="s">
        <v>821</v>
      </c>
      <c r="Z130" s="250" t="s">
        <v>906</v>
      </c>
      <c r="AG130" s="9"/>
      <c r="BB130" s="508">
        <v>46183</v>
      </c>
      <c r="BC130" s="649">
        <f t="shared" si="3"/>
        <v>1</v>
      </c>
      <c r="BH130" s="500"/>
    </row>
    <row r="131" spans="24:60" x14ac:dyDescent="0.3">
      <c r="X131" s="251" t="s">
        <v>204</v>
      </c>
      <c r="Y131" s="252" t="s">
        <v>821</v>
      </c>
      <c r="Z131" s="250" t="s">
        <v>906</v>
      </c>
      <c r="AG131" s="9"/>
      <c r="BB131" s="508">
        <v>46184</v>
      </c>
      <c r="BC131" s="649">
        <f t="shared" si="3"/>
        <v>1</v>
      </c>
      <c r="BH131" s="500"/>
    </row>
    <row r="132" spans="24:60" x14ac:dyDescent="0.3">
      <c r="X132" s="248" t="s">
        <v>1344</v>
      </c>
      <c r="Y132" s="249" t="s">
        <v>821</v>
      </c>
      <c r="Z132" s="250" t="s">
        <v>906</v>
      </c>
      <c r="AG132" s="9"/>
      <c r="BB132" s="508">
        <v>46185</v>
      </c>
      <c r="BC132" s="649">
        <f t="shared" si="3"/>
        <v>3</v>
      </c>
      <c r="BH132" s="500"/>
    </row>
    <row r="133" spans="24:60" x14ac:dyDescent="0.3">
      <c r="X133" s="251" t="s">
        <v>1345</v>
      </c>
      <c r="Y133" s="252" t="s">
        <v>821</v>
      </c>
      <c r="Z133" s="250" t="s">
        <v>906</v>
      </c>
      <c r="AG133" s="9"/>
      <c r="BB133" s="508">
        <v>46188</v>
      </c>
      <c r="BC133" s="649">
        <f t="shared" si="3"/>
        <v>1</v>
      </c>
      <c r="BH133" s="500"/>
    </row>
    <row r="134" spans="24:60" x14ac:dyDescent="0.3">
      <c r="X134" s="248" t="s">
        <v>269</v>
      </c>
      <c r="Y134" s="249" t="s">
        <v>821</v>
      </c>
      <c r="Z134" s="250" t="s">
        <v>906</v>
      </c>
      <c r="AG134" s="9"/>
      <c r="BB134" s="508">
        <v>46189</v>
      </c>
      <c r="BC134" s="649">
        <f t="shared" si="3"/>
        <v>1</v>
      </c>
      <c r="BH134" s="500"/>
    </row>
    <row r="135" spans="24:60" x14ac:dyDescent="0.3">
      <c r="X135" s="251" t="s">
        <v>345</v>
      </c>
      <c r="Y135" s="252" t="s">
        <v>821</v>
      </c>
      <c r="Z135" s="250" t="s">
        <v>906</v>
      </c>
      <c r="AG135" s="9"/>
      <c r="BB135" s="508">
        <v>46190</v>
      </c>
      <c r="BC135" s="649">
        <f t="shared" si="3"/>
        <v>1</v>
      </c>
      <c r="BH135" s="500"/>
    </row>
    <row r="136" spans="24:60" x14ac:dyDescent="0.3">
      <c r="X136" s="248" t="s">
        <v>1346</v>
      </c>
      <c r="Y136" s="249" t="s">
        <v>821</v>
      </c>
      <c r="Z136" s="250" t="s">
        <v>906</v>
      </c>
      <c r="AG136" s="9"/>
      <c r="BB136" s="508">
        <v>46191</v>
      </c>
      <c r="BC136" s="649">
        <f t="shared" si="3"/>
        <v>1</v>
      </c>
      <c r="BH136" s="500"/>
    </row>
    <row r="137" spans="24:60" x14ac:dyDescent="0.3">
      <c r="X137" s="251" t="s">
        <v>1347</v>
      </c>
      <c r="Y137" s="252" t="s">
        <v>821</v>
      </c>
      <c r="Z137" s="250" t="s">
        <v>906</v>
      </c>
      <c r="AG137" s="9"/>
      <c r="BB137" s="508">
        <v>46192</v>
      </c>
      <c r="BC137" s="649">
        <f t="shared" si="3"/>
        <v>3</v>
      </c>
      <c r="BH137" s="500"/>
    </row>
    <row r="138" spans="24:60" x14ac:dyDescent="0.3">
      <c r="X138" s="248" t="s">
        <v>215</v>
      </c>
      <c r="Y138" s="249" t="s">
        <v>821</v>
      </c>
      <c r="Z138" s="250" t="s">
        <v>906</v>
      </c>
      <c r="AG138" s="9"/>
      <c r="BB138" s="508">
        <v>46195</v>
      </c>
      <c r="BC138" s="649">
        <f t="shared" si="3"/>
        <v>1</v>
      </c>
      <c r="BH138" s="500"/>
    </row>
    <row r="139" spans="24:60" x14ac:dyDescent="0.3">
      <c r="X139" s="251" t="s">
        <v>217</v>
      </c>
      <c r="Y139" s="252" t="s">
        <v>821</v>
      </c>
      <c r="Z139" s="250" t="s">
        <v>906</v>
      </c>
      <c r="AG139" s="9"/>
      <c r="BB139" s="508">
        <v>46196</v>
      </c>
      <c r="BC139" s="649">
        <f t="shared" si="3"/>
        <v>1</v>
      </c>
      <c r="BH139" s="500"/>
    </row>
    <row r="140" spans="24:60" x14ac:dyDescent="0.3">
      <c r="X140" s="248" t="s">
        <v>1348</v>
      </c>
      <c r="Y140" s="249" t="s">
        <v>821</v>
      </c>
      <c r="Z140" s="250" t="s">
        <v>906</v>
      </c>
      <c r="AG140" s="9"/>
      <c r="BB140" s="508">
        <v>46197</v>
      </c>
      <c r="BC140" s="649">
        <f t="shared" si="3"/>
        <v>1</v>
      </c>
      <c r="BH140" s="500"/>
    </row>
    <row r="141" spans="24:60" x14ac:dyDescent="0.3">
      <c r="X141" s="251" t="s">
        <v>220</v>
      </c>
      <c r="Y141" s="252" t="s">
        <v>821</v>
      </c>
      <c r="Z141" s="250" t="s">
        <v>906</v>
      </c>
      <c r="AG141" s="9"/>
      <c r="BB141" s="508">
        <v>46198</v>
      </c>
      <c r="BC141" s="649">
        <f t="shared" si="3"/>
        <v>1</v>
      </c>
      <c r="BH141" s="500"/>
    </row>
    <row r="142" spans="24:60" x14ac:dyDescent="0.3">
      <c r="X142" s="248" t="s">
        <v>221</v>
      </c>
      <c r="Y142" s="249" t="s">
        <v>821</v>
      </c>
      <c r="Z142" s="250" t="s">
        <v>906</v>
      </c>
      <c r="AG142" s="9"/>
      <c r="BB142" s="508">
        <v>46199</v>
      </c>
      <c r="BC142" s="649">
        <f t="shared" si="3"/>
        <v>3</v>
      </c>
      <c r="BH142" s="500"/>
    </row>
    <row r="143" spans="24:60" x14ac:dyDescent="0.3">
      <c r="X143" s="251" t="s">
        <v>1349</v>
      </c>
      <c r="Y143" s="252" t="s">
        <v>821</v>
      </c>
      <c r="Z143" s="250" t="s">
        <v>906</v>
      </c>
      <c r="AG143" s="9"/>
      <c r="BB143" s="508">
        <v>46202</v>
      </c>
      <c r="BC143" s="649">
        <f t="shared" si="3"/>
        <v>1</v>
      </c>
      <c r="BH143" s="500"/>
    </row>
    <row r="144" spans="24:60" x14ac:dyDescent="0.3">
      <c r="X144" s="248" t="s">
        <v>1350</v>
      </c>
      <c r="Y144" s="249" t="s">
        <v>821</v>
      </c>
      <c r="Z144" s="250" t="s">
        <v>906</v>
      </c>
      <c r="AG144" s="9"/>
      <c r="BB144" s="508">
        <v>46203</v>
      </c>
      <c r="BC144" s="649">
        <f t="shared" si="3"/>
        <v>1</v>
      </c>
      <c r="BH144" s="500"/>
    </row>
    <row r="145" spans="24:60" x14ac:dyDescent="0.3">
      <c r="X145" s="251" t="s">
        <v>286</v>
      </c>
      <c r="Y145" s="252" t="s">
        <v>821</v>
      </c>
      <c r="Z145" s="250" t="s">
        <v>906</v>
      </c>
      <c r="AG145" s="9"/>
      <c r="BB145" s="508">
        <v>46204</v>
      </c>
      <c r="BC145" s="649">
        <f t="shared" si="3"/>
        <v>1</v>
      </c>
      <c r="BH145" s="500"/>
    </row>
    <row r="146" spans="24:60" x14ac:dyDescent="0.3">
      <c r="X146" s="248" t="s">
        <v>287</v>
      </c>
      <c r="Y146" s="249" t="s">
        <v>821</v>
      </c>
      <c r="Z146" s="250" t="s">
        <v>906</v>
      </c>
      <c r="AG146" s="9"/>
      <c r="BB146" s="508">
        <v>46205</v>
      </c>
      <c r="BC146" s="649">
        <f t="shared" si="3"/>
        <v>1</v>
      </c>
      <c r="BH146" s="500"/>
    </row>
    <row r="147" spans="24:60" x14ac:dyDescent="0.3">
      <c r="X147" s="251" t="s">
        <v>1351</v>
      </c>
      <c r="Y147" s="252" t="s">
        <v>821</v>
      </c>
      <c r="Z147" s="250" t="s">
        <v>906</v>
      </c>
      <c r="AG147" s="9"/>
      <c r="BB147" s="508">
        <v>46206</v>
      </c>
      <c r="BC147" s="649">
        <f t="shared" si="3"/>
        <v>3</v>
      </c>
      <c r="BH147" s="500"/>
    </row>
    <row r="148" spans="24:60" x14ac:dyDescent="0.3">
      <c r="X148" s="248" t="s">
        <v>1352</v>
      </c>
      <c r="Y148" s="249" t="s">
        <v>821</v>
      </c>
      <c r="Z148" s="250" t="s">
        <v>906</v>
      </c>
      <c r="AG148" s="9"/>
      <c r="BB148" s="508">
        <v>46209</v>
      </c>
      <c r="BC148" s="649">
        <f t="shared" si="3"/>
        <v>1</v>
      </c>
      <c r="BH148" s="500"/>
    </row>
    <row r="149" spans="24:60" x14ac:dyDescent="0.3">
      <c r="X149" s="251" t="s">
        <v>1353</v>
      </c>
      <c r="Y149" s="252" t="s">
        <v>821</v>
      </c>
      <c r="Z149" s="250" t="s">
        <v>906</v>
      </c>
      <c r="AG149" s="9"/>
      <c r="BB149" s="508">
        <v>46210</v>
      </c>
      <c r="BC149" s="649">
        <f t="shared" si="3"/>
        <v>1</v>
      </c>
      <c r="BH149" s="500"/>
    </row>
    <row r="150" spans="24:60" x14ac:dyDescent="0.3">
      <c r="X150" s="248" t="s">
        <v>1354</v>
      </c>
      <c r="Y150" s="249" t="s">
        <v>821</v>
      </c>
      <c r="Z150" s="250" t="s">
        <v>906</v>
      </c>
      <c r="AG150" s="9"/>
      <c r="BB150" s="508">
        <v>46211</v>
      </c>
      <c r="BC150" s="649">
        <f t="shared" si="3"/>
        <v>1</v>
      </c>
      <c r="BH150" s="500"/>
    </row>
    <row r="151" spans="24:60" x14ac:dyDescent="0.3">
      <c r="X151" s="251" t="s">
        <v>1355</v>
      </c>
      <c r="Y151" s="252" t="s">
        <v>821</v>
      </c>
      <c r="Z151" s="250" t="s">
        <v>906</v>
      </c>
      <c r="AG151" s="9"/>
      <c r="BB151" s="508">
        <v>46212</v>
      </c>
      <c r="BC151" s="649">
        <f t="shared" si="3"/>
        <v>1</v>
      </c>
      <c r="BH151" s="500"/>
    </row>
    <row r="152" spans="24:60" x14ac:dyDescent="0.3">
      <c r="X152" s="248" t="s">
        <v>352</v>
      </c>
      <c r="Y152" s="249" t="s">
        <v>821</v>
      </c>
      <c r="Z152" s="250" t="s">
        <v>906</v>
      </c>
      <c r="AG152" s="9"/>
      <c r="BB152" s="508">
        <v>46213</v>
      </c>
      <c r="BC152" s="649">
        <f t="shared" si="3"/>
        <v>3</v>
      </c>
      <c r="BH152" s="500"/>
    </row>
    <row r="153" spans="24:60" x14ac:dyDescent="0.3">
      <c r="X153" s="251" t="s">
        <v>1356</v>
      </c>
      <c r="Y153" s="252" t="s">
        <v>821</v>
      </c>
      <c r="Z153" s="250" t="s">
        <v>906</v>
      </c>
      <c r="AG153" s="9"/>
      <c r="BB153" s="508">
        <v>46216</v>
      </c>
      <c r="BC153" s="649">
        <f t="shared" si="3"/>
        <v>1</v>
      </c>
      <c r="BH153" s="500"/>
    </row>
    <row r="154" spans="24:60" x14ac:dyDescent="0.3">
      <c r="X154" s="248" t="s">
        <v>514</v>
      </c>
      <c r="Y154" s="249" t="s">
        <v>821</v>
      </c>
      <c r="Z154" s="250" t="s">
        <v>906</v>
      </c>
      <c r="AG154" s="9"/>
      <c r="BB154" s="508">
        <v>46217</v>
      </c>
      <c r="BC154" s="649">
        <f t="shared" si="3"/>
        <v>1</v>
      </c>
      <c r="BH154" s="500"/>
    </row>
    <row r="155" spans="24:60" x14ac:dyDescent="0.3">
      <c r="X155" s="251" t="s">
        <v>1152</v>
      </c>
      <c r="Y155" s="252" t="s">
        <v>821</v>
      </c>
      <c r="Z155" s="250" t="s">
        <v>906</v>
      </c>
      <c r="AG155" s="9"/>
      <c r="BB155" s="508">
        <v>46218</v>
      </c>
      <c r="BC155" s="649">
        <f t="shared" si="3"/>
        <v>1</v>
      </c>
      <c r="BH155" s="500"/>
    </row>
    <row r="156" spans="24:60" x14ac:dyDescent="0.3">
      <c r="X156" s="248" t="s">
        <v>516</v>
      </c>
      <c r="Y156" s="249" t="s">
        <v>821</v>
      </c>
      <c r="Z156" s="250" t="s">
        <v>906</v>
      </c>
      <c r="AG156" s="9"/>
      <c r="BB156" s="508">
        <v>46219</v>
      </c>
      <c r="BC156" s="649">
        <f t="shared" si="3"/>
        <v>1</v>
      </c>
      <c r="BH156" s="500"/>
    </row>
    <row r="157" spans="24:60" x14ac:dyDescent="0.3">
      <c r="X157" s="251" t="s">
        <v>1153</v>
      </c>
      <c r="Y157" s="252" t="s">
        <v>821</v>
      </c>
      <c r="Z157" s="250" t="s">
        <v>906</v>
      </c>
      <c r="AG157" s="9"/>
      <c r="BB157" s="508">
        <v>46220</v>
      </c>
      <c r="BC157" s="649">
        <f t="shared" si="3"/>
        <v>3</v>
      </c>
      <c r="BH157" s="500"/>
    </row>
    <row r="158" spans="24:60" x14ac:dyDescent="0.3">
      <c r="X158" s="248" t="s">
        <v>517</v>
      </c>
      <c r="Y158" s="249" t="s">
        <v>821</v>
      </c>
      <c r="Z158" s="250" t="s">
        <v>906</v>
      </c>
      <c r="AG158" s="9"/>
      <c r="BB158" s="508">
        <v>46223</v>
      </c>
      <c r="BC158" s="649">
        <f t="shared" si="3"/>
        <v>1</v>
      </c>
      <c r="BH158" s="500"/>
    </row>
    <row r="159" spans="24:60" x14ac:dyDescent="0.3">
      <c r="X159" s="251" t="s">
        <v>1154</v>
      </c>
      <c r="Y159" s="252" t="s">
        <v>821</v>
      </c>
      <c r="Z159" s="250" t="s">
        <v>906</v>
      </c>
      <c r="AG159" s="9"/>
      <c r="BB159" s="508">
        <v>46224</v>
      </c>
      <c r="BC159" s="649">
        <f t="shared" si="3"/>
        <v>1</v>
      </c>
      <c r="BH159" s="500"/>
    </row>
    <row r="160" spans="24:60" x14ac:dyDescent="0.3">
      <c r="X160" s="248" t="s">
        <v>1155</v>
      </c>
      <c r="Y160" s="249" t="s">
        <v>821</v>
      </c>
      <c r="Z160" s="250" t="s">
        <v>906</v>
      </c>
      <c r="AG160" s="9"/>
      <c r="BB160" s="508">
        <v>46225</v>
      </c>
      <c r="BC160" s="649">
        <f t="shared" si="3"/>
        <v>1</v>
      </c>
      <c r="BH160" s="500"/>
    </row>
    <row r="161" spans="24:60" x14ac:dyDescent="0.3">
      <c r="X161" s="251" t="s">
        <v>225</v>
      </c>
      <c r="Y161" s="252" t="s">
        <v>821</v>
      </c>
      <c r="Z161" s="250" t="s">
        <v>906</v>
      </c>
      <c r="AG161" s="9"/>
      <c r="BB161" s="508">
        <v>46226</v>
      </c>
      <c r="BC161" s="649">
        <f t="shared" ref="BC161:BC224" si="4">BB162-BB161</f>
        <v>1</v>
      </c>
      <c r="BH161" s="500"/>
    </row>
    <row r="162" spans="24:60" x14ac:dyDescent="0.3">
      <c r="X162" s="248" t="s">
        <v>228</v>
      </c>
      <c r="Y162" s="249" t="s">
        <v>821</v>
      </c>
      <c r="Z162" s="250" t="s">
        <v>906</v>
      </c>
      <c r="AG162" s="9"/>
      <c r="BB162" s="508">
        <v>46227</v>
      </c>
      <c r="BC162" s="649">
        <f t="shared" si="4"/>
        <v>3</v>
      </c>
      <c r="BH162" s="500"/>
    </row>
    <row r="163" spans="24:60" x14ac:dyDescent="0.3">
      <c r="X163" s="251" t="s">
        <v>231</v>
      </c>
      <c r="Y163" s="252" t="s">
        <v>821</v>
      </c>
      <c r="Z163" s="250" t="s">
        <v>906</v>
      </c>
      <c r="AG163" s="9"/>
      <c r="BB163" s="508">
        <v>46230</v>
      </c>
      <c r="BC163" s="649">
        <f t="shared" si="4"/>
        <v>1</v>
      </c>
      <c r="BH163" s="500"/>
    </row>
    <row r="164" spans="24:60" x14ac:dyDescent="0.3">
      <c r="X164" s="248" t="s">
        <v>1357</v>
      </c>
      <c r="Y164" s="249" t="s">
        <v>821</v>
      </c>
      <c r="Z164" s="250" t="s">
        <v>906</v>
      </c>
      <c r="AG164" s="9"/>
      <c r="BB164" s="508">
        <v>46231</v>
      </c>
      <c r="BC164" s="649">
        <f t="shared" si="4"/>
        <v>1</v>
      </c>
      <c r="BH164" s="500"/>
    </row>
    <row r="165" spans="24:60" x14ac:dyDescent="0.3">
      <c r="X165" s="251" t="s">
        <v>244</v>
      </c>
      <c r="Y165" s="252" t="s">
        <v>821</v>
      </c>
      <c r="Z165" s="250" t="s">
        <v>906</v>
      </c>
      <c r="AG165" s="9"/>
      <c r="BB165" s="508">
        <v>46232</v>
      </c>
      <c r="BC165" s="649">
        <f t="shared" si="4"/>
        <v>1</v>
      </c>
      <c r="BH165" s="500"/>
    </row>
    <row r="166" spans="24:60" x14ac:dyDescent="0.3">
      <c r="X166" s="248" t="s">
        <v>1358</v>
      </c>
      <c r="Y166" s="249" t="s">
        <v>821</v>
      </c>
      <c r="Z166" s="250" t="s">
        <v>906</v>
      </c>
      <c r="AG166" s="9"/>
      <c r="BB166" s="508">
        <v>46233</v>
      </c>
      <c r="BC166" s="649">
        <f t="shared" si="4"/>
        <v>1</v>
      </c>
      <c r="BH166" s="500"/>
    </row>
    <row r="167" spans="24:60" x14ac:dyDescent="0.3">
      <c r="X167" s="251" t="s">
        <v>293</v>
      </c>
      <c r="Y167" s="252" t="s">
        <v>821</v>
      </c>
      <c r="Z167" s="250" t="s">
        <v>906</v>
      </c>
      <c r="AG167" s="9"/>
      <c r="BB167" s="508">
        <v>46234</v>
      </c>
      <c r="BC167" s="649">
        <v>3</v>
      </c>
      <c r="BH167" s="500"/>
    </row>
    <row r="168" spans="24:60" x14ac:dyDescent="0.3">
      <c r="X168" s="248" t="s">
        <v>294</v>
      </c>
      <c r="Y168" s="249" t="s">
        <v>821</v>
      </c>
      <c r="Z168" s="250" t="s">
        <v>906</v>
      </c>
      <c r="AG168" s="9"/>
      <c r="BB168" s="508">
        <v>46237</v>
      </c>
      <c r="BC168" s="649">
        <v>1</v>
      </c>
      <c r="BH168" s="500"/>
    </row>
    <row r="169" spans="24:60" x14ac:dyDescent="0.3">
      <c r="X169" s="251" t="s">
        <v>302</v>
      </c>
      <c r="Y169" s="252" t="s">
        <v>821</v>
      </c>
      <c r="Z169" s="250" t="s">
        <v>906</v>
      </c>
      <c r="AG169" s="9"/>
      <c r="BB169" s="508">
        <v>46238</v>
      </c>
      <c r="BC169" s="649">
        <f t="shared" si="4"/>
        <v>1</v>
      </c>
      <c r="BH169" s="500"/>
    </row>
    <row r="170" spans="24:60" x14ac:dyDescent="0.3">
      <c r="X170" s="248" t="s">
        <v>1359</v>
      </c>
      <c r="Y170" s="249" t="s">
        <v>821</v>
      </c>
      <c r="Z170" s="250" t="s">
        <v>906</v>
      </c>
      <c r="AG170" s="9"/>
      <c r="BB170" s="508">
        <v>46239</v>
      </c>
      <c r="BC170" s="649">
        <f t="shared" si="4"/>
        <v>1</v>
      </c>
      <c r="BH170" s="500"/>
    </row>
    <row r="171" spans="24:60" x14ac:dyDescent="0.3">
      <c r="X171" s="251" t="s">
        <v>1360</v>
      </c>
      <c r="Y171" s="252" t="s">
        <v>821</v>
      </c>
      <c r="Z171" s="250" t="s">
        <v>906</v>
      </c>
      <c r="AG171" s="9"/>
      <c r="BB171" s="508">
        <v>46240</v>
      </c>
      <c r="BC171" s="649">
        <f t="shared" si="4"/>
        <v>1</v>
      </c>
      <c r="BH171" s="500"/>
    </row>
    <row r="172" spans="24:60" x14ac:dyDescent="0.3">
      <c r="X172" s="248" t="s">
        <v>355</v>
      </c>
      <c r="Y172" s="249" t="s">
        <v>821</v>
      </c>
      <c r="Z172" s="250" t="s">
        <v>906</v>
      </c>
      <c r="AG172" s="9"/>
      <c r="BB172" s="508">
        <v>46241</v>
      </c>
      <c r="BC172" s="649">
        <f t="shared" si="4"/>
        <v>3</v>
      </c>
      <c r="BH172" s="500"/>
    </row>
    <row r="173" spans="24:60" x14ac:dyDescent="0.3">
      <c r="X173" s="251" t="s">
        <v>1361</v>
      </c>
      <c r="Y173" s="252" t="s">
        <v>821</v>
      </c>
      <c r="Z173" s="250" t="s">
        <v>906</v>
      </c>
      <c r="AG173" s="9"/>
      <c r="BB173" s="508">
        <v>46244</v>
      </c>
      <c r="BC173" s="649">
        <f t="shared" si="4"/>
        <v>1</v>
      </c>
      <c r="BH173" s="500"/>
    </row>
    <row r="174" spans="24:60" x14ac:dyDescent="0.3">
      <c r="X174" s="248" t="s">
        <v>1362</v>
      </c>
      <c r="Y174" s="249" t="s">
        <v>821</v>
      </c>
      <c r="Z174" s="250" t="s">
        <v>906</v>
      </c>
      <c r="AG174" s="9"/>
      <c r="BB174" s="508">
        <v>46245</v>
      </c>
      <c r="BC174" s="649">
        <f t="shared" si="4"/>
        <v>1</v>
      </c>
      <c r="BH174" s="500"/>
    </row>
    <row r="175" spans="24:60" x14ac:dyDescent="0.3">
      <c r="X175" s="251" t="s">
        <v>1363</v>
      </c>
      <c r="Y175" s="252" t="s">
        <v>821</v>
      </c>
      <c r="Z175" s="250" t="s">
        <v>906</v>
      </c>
      <c r="AG175" s="9"/>
      <c r="BB175" s="508">
        <v>46246</v>
      </c>
      <c r="BC175" s="649">
        <f t="shared" si="4"/>
        <v>1</v>
      </c>
      <c r="BH175" s="500"/>
    </row>
    <row r="176" spans="24:60" x14ac:dyDescent="0.3">
      <c r="X176" s="248" t="s">
        <v>1364</v>
      </c>
      <c r="Y176" s="249" t="s">
        <v>821</v>
      </c>
      <c r="Z176" s="250" t="s">
        <v>906</v>
      </c>
      <c r="AG176" s="9"/>
      <c r="BB176" s="508">
        <v>46247</v>
      </c>
      <c r="BC176" s="649">
        <f t="shared" si="4"/>
        <v>1</v>
      </c>
      <c r="BH176" s="500"/>
    </row>
    <row r="177" spans="24:60" x14ac:dyDescent="0.3">
      <c r="X177" s="251" t="s">
        <v>1365</v>
      </c>
      <c r="Y177" s="252" t="s">
        <v>821</v>
      </c>
      <c r="Z177" s="250" t="s">
        <v>906</v>
      </c>
      <c r="AG177" s="9"/>
      <c r="BB177" s="508">
        <v>46248</v>
      </c>
      <c r="BC177" s="649">
        <f t="shared" si="4"/>
        <v>3</v>
      </c>
      <c r="BH177" s="500"/>
    </row>
    <row r="178" spans="24:60" x14ac:dyDescent="0.3">
      <c r="X178" s="248" t="s">
        <v>364</v>
      </c>
      <c r="Y178" s="249" t="s">
        <v>821</v>
      </c>
      <c r="Z178" s="250" t="s">
        <v>906</v>
      </c>
      <c r="AG178" s="9"/>
      <c r="BB178" s="508">
        <v>46251</v>
      </c>
      <c r="BC178" s="649">
        <f t="shared" si="4"/>
        <v>1</v>
      </c>
      <c r="BH178" s="500"/>
    </row>
    <row r="179" spans="24:60" x14ac:dyDescent="0.3">
      <c r="X179" s="251" t="s">
        <v>1156</v>
      </c>
      <c r="Y179" s="252" t="s">
        <v>821</v>
      </c>
      <c r="Z179" s="250" t="s">
        <v>906</v>
      </c>
      <c r="AG179" s="9"/>
      <c r="BB179" s="508">
        <v>46252</v>
      </c>
      <c r="BC179" s="649">
        <f t="shared" si="4"/>
        <v>1</v>
      </c>
      <c r="BH179" s="500"/>
    </row>
    <row r="180" spans="24:60" x14ac:dyDescent="0.3">
      <c r="X180" s="248" t="s">
        <v>250</v>
      </c>
      <c r="Y180" s="249" t="s">
        <v>821</v>
      </c>
      <c r="Z180" s="250" t="s">
        <v>906</v>
      </c>
      <c r="AG180" s="9"/>
      <c r="BB180" s="508">
        <v>46253</v>
      </c>
      <c r="BC180" s="649">
        <f t="shared" si="4"/>
        <v>1</v>
      </c>
      <c r="BH180" s="500"/>
    </row>
    <row r="181" spans="24:60" x14ac:dyDescent="0.3">
      <c r="X181" s="251" t="s">
        <v>1366</v>
      </c>
      <c r="Y181" s="252" t="s">
        <v>821</v>
      </c>
      <c r="Z181" s="250" t="s">
        <v>906</v>
      </c>
      <c r="AG181" s="9"/>
      <c r="BB181" s="508">
        <v>46254</v>
      </c>
      <c r="BC181" s="649">
        <f t="shared" si="4"/>
        <v>1</v>
      </c>
      <c r="BH181" s="500"/>
    </row>
    <row r="182" spans="24:60" x14ac:dyDescent="0.3">
      <c r="X182" s="248" t="s">
        <v>251</v>
      </c>
      <c r="Y182" s="249" t="s">
        <v>821</v>
      </c>
      <c r="Z182" s="250" t="s">
        <v>906</v>
      </c>
      <c r="AG182" s="9"/>
      <c r="BB182" s="508">
        <v>46255</v>
      </c>
      <c r="BC182" s="649">
        <f t="shared" si="4"/>
        <v>3</v>
      </c>
      <c r="BH182" s="500"/>
    </row>
    <row r="183" spans="24:60" x14ac:dyDescent="0.3">
      <c r="X183" s="251" t="s">
        <v>253</v>
      </c>
      <c r="Y183" s="252" t="s">
        <v>821</v>
      </c>
      <c r="Z183" s="250" t="s">
        <v>906</v>
      </c>
      <c r="AG183" s="9"/>
      <c r="BB183" s="508">
        <v>46258</v>
      </c>
      <c r="BC183" s="649">
        <f t="shared" si="4"/>
        <v>1</v>
      </c>
      <c r="BH183" s="500"/>
    </row>
    <row r="184" spans="24:60" x14ac:dyDescent="0.3">
      <c r="X184" s="248" t="s">
        <v>1367</v>
      </c>
      <c r="Y184" s="249" t="s">
        <v>821</v>
      </c>
      <c r="Z184" s="250" t="s">
        <v>906</v>
      </c>
      <c r="AG184" s="9"/>
      <c r="BB184" s="508">
        <v>46259</v>
      </c>
      <c r="BC184" s="649">
        <f t="shared" si="4"/>
        <v>1</v>
      </c>
      <c r="BH184" s="500"/>
    </row>
    <row r="185" spans="24:60" x14ac:dyDescent="0.3">
      <c r="X185" s="251" t="s">
        <v>1368</v>
      </c>
      <c r="Y185" s="252" t="s">
        <v>821</v>
      </c>
      <c r="Z185" s="250" t="s">
        <v>906</v>
      </c>
      <c r="AG185" s="9"/>
      <c r="BB185" s="508">
        <v>46260</v>
      </c>
      <c r="BC185" s="649">
        <f t="shared" si="4"/>
        <v>1</v>
      </c>
      <c r="BH185" s="500"/>
    </row>
    <row r="186" spans="24:60" x14ac:dyDescent="0.3">
      <c r="X186" s="248" t="s">
        <v>256</v>
      </c>
      <c r="Y186" s="249" t="s">
        <v>821</v>
      </c>
      <c r="Z186" s="250" t="s">
        <v>906</v>
      </c>
      <c r="AG186" s="9"/>
      <c r="BB186" s="508">
        <v>46261</v>
      </c>
      <c r="BC186" s="649">
        <f t="shared" si="4"/>
        <v>1</v>
      </c>
      <c r="BH186" s="500"/>
    </row>
    <row r="187" spans="24:60" x14ac:dyDescent="0.3">
      <c r="X187" s="251" t="s">
        <v>1369</v>
      </c>
      <c r="Y187" s="252" t="s">
        <v>821</v>
      </c>
      <c r="Z187" s="250" t="s">
        <v>906</v>
      </c>
      <c r="AG187" s="9"/>
      <c r="BB187" s="508">
        <v>46262</v>
      </c>
      <c r="BC187" s="649">
        <f t="shared" si="4"/>
        <v>3</v>
      </c>
      <c r="BH187" s="500"/>
    </row>
    <row r="188" spans="24:60" x14ac:dyDescent="0.3">
      <c r="X188" s="248" t="s">
        <v>305</v>
      </c>
      <c r="Y188" s="249" t="s">
        <v>821</v>
      </c>
      <c r="Z188" s="250" t="s">
        <v>906</v>
      </c>
      <c r="AG188" s="9"/>
      <c r="BB188" s="508">
        <v>46265</v>
      </c>
      <c r="BC188" s="649">
        <f t="shared" si="4"/>
        <v>1</v>
      </c>
      <c r="BH188" s="500"/>
    </row>
    <row r="189" spans="24:60" x14ac:dyDescent="0.3">
      <c r="X189" s="251" t="s">
        <v>307</v>
      </c>
      <c r="Y189" s="252" t="s">
        <v>821</v>
      </c>
      <c r="Z189" s="250" t="s">
        <v>906</v>
      </c>
      <c r="AG189" s="9"/>
      <c r="BB189" s="508">
        <v>46266</v>
      </c>
      <c r="BC189" s="649">
        <f t="shared" si="4"/>
        <v>2</v>
      </c>
      <c r="BH189" s="500"/>
    </row>
    <row r="190" spans="24:60" x14ac:dyDescent="0.3">
      <c r="X190" s="248" t="s">
        <v>1370</v>
      </c>
      <c r="Y190" s="249" t="s">
        <v>821</v>
      </c>
      <c r="Z190" s="250" t="s">
        <v>906</v>
      </c>
      <c r="AG190" s="9"/>
      <c r="BB190" s="508">
        <v>46268</v>
      </c>
      <c r="BC190" s="649">
        <f t="shared" si="4"/>
        <v>1</v>
      </c>
      <c r="BH190" s="500"/>
    </row>
    <row r="191" spans="24:60" x14ac:dyDescent="0.3">
      <c r="X191" s="251" t="s">
        <v>1371</v>
      </c>
      <c r="Y191" s="252" t="s">
        <v>821</v>
      </c>
      <c r="Z191" s="250" t="s">
        <v>906</v>
      </c>
      <c r="AG191" s="9"/>
      <c r="BB191" s="508">
        <v>46269</v>
      </c>
      <c r="BC191" s="649">
        <f t="shared" si="4"/>
        <v>3</v>
      </c>
      <c r="BH191" s="500"/>
    </row>
    <row r="192" spans="24:60" x14ac:dyDescent="0.3">
      <c r="X192" s="248" t="s">
        <v>1372</v>
      </c>
      <c r="Y192" s="249" t="s">
        <v>821</v>
      </c>
      <c r="Z192" s="250" t="s">
        <v>906</v>
      </c>
      <c r="AG192" s="9"/>
      <c r="BB192" s="508">
        <v>46272</v>
      </c>
      <c r="BC192" s="649">
        <f t="shared" si="4"/>
        <v>1</v>
      </c>
      <c r="BH192" s="500"/>
    </row>
    <row r="193" spans="24:60" x14ac:dyDescent="0.3">
      <c r="X193" s="251" t="s">
        <v>1373</v>
      </c>
      <c r="Y193" s="252" t="s">
        <v>821</v>
      </c>
      <c r="Z193" s="250" t="s">
        <v>906</v>
      </c>
      <c r="AG193" s="9"/>
      <c r="BB193" s="508">
        <v>46273</v>
      </c>
      <c r="BC193" s="649">
        <f t="shared" si="4"/>
        <v>1</v>
      </c>
      <c r="BH193" s="500"/>
    </row>
    <row r="194" spans="24:60" x14ac:dyDescent="0.3">
      <c r="X194" s="248" t="s">
        <v>1374</v>
      </c>
      <c r="Y194" s="249" t="s">
        <v>821</v>
      </c>
      <c r="Z194" s="250" t="s">
        <v>906</v>
      </c>
      <c r="AG194" s="9"/>
      <c r="BB194" s="508">
        <v>46274</v>
      </c>
      <c r="BC194" s="649">
        <f t="shared" si="4"/>
        <v>1</v>
      </c>
      <c r="BH194" s="500"/>
    </row>
    <row r="195" spans="24:60" x14ac:dyDescent="0.3">
      <c r="X195" s="251" t="s">
        <v>1375</v>
      </c>
      <c r="Y195" s="252" t="s">
        <v>821</v>
      </c>
      <c r="Z195" s="250" t="s">
        <v>906</v>
      </c>
      <c r="AG195" s="9"/>
      <c r="BB195" s="508">
        <v>46275</v>
      </c>
      <c r="BC195" s="649">
        <f t="shared" si="4"/>
        <v>1</v>
      </c>
      <c r="BH195" s="500"/>
    </row>
    <row r="196" spans="24:60" x14ac:dyDescent="0.3">
      <c r="X196" s="248" t="s">
        <v>1157</v>
      </c>
      <c r="Y196" s="249" t="s">
        <v>821</v>
      </c>
      <c r="Z196" s="250" t="s">
        <v>906</v>
      </c>
      <c r="AG196" s="9"/>
      <c r="BB196" s="508">
        <v>46276</v>
      </c>
      <c r="BC196" s="649">
        <f t="shared" si="4"/>
        <v>3</v>
      </c>
      <c r="BH196" s="500"/>
    </row>
    <row r="197" spans="24:60" x14ac:dyDescent="0.3">
      <c r="X197" s="251" t="s">
        <v>1376</v>
      </c>
      <c r="Y197" s="252" t="s">
        <v>821</v>
      </c>
      <c r="Z197" s="250" t="s">
        <v>906</v>
      </c>
      <c r="AG197" s="9"/>
      <c r="BB197" s="508">
        <v>46279</v>
      </c>
      <c r="BC197" s="649">
        <f t="shared" si="4"/>
        <v>1</v>
      </c>
      <c r="BH197" s="500"/>
    </row>
    <row r="198" spans="24:60" x14ac:dyDescent="0.3">
      <c r="X198" s="248" t="s">
        <v>259</v>
      </c>
      <c r="Y198" s="249" t="s">
        <v>821</v>
      </c>
      <c r="Z198" s="250" t="s">
        <v>906</v>
      </c>
      <c r="AG198" s="9"/>
      <c r="BB198" s="508">
        <v>46280</v>
      </c>
      <c r="BC198" s="649">
        <f t="shared" si="4"/>
        <v>1</v>
      </c>
      <c r="BH198" s="500"/>
    </row>
    <row r="199" spans="24:60" x14ac:dyDescent="0.3">
      <c r="X199" s="251" t="s">
        <v>262</v>
      </c>
      <c r="Y199" s="252" t="s">
        <v>821</v>
      </c>
      <c r="Z199" s="250" t="s">
        <v>906</v>
      </c>
      <c r="AG199" s="9"/>
      <c r="BB199" s="508">
        <v>46281</v>
      </c>
      <c r="BC199" s="649">
        <f t="shared" si="4"/>
        <v>1</v>
      </c>
      <c r="BH199" s="500"/>
    </row>
    <row r="200" spans="24:60" x14ac:dyDescent="0.3">
      <c r="X200" s="248" t="s">
        <v>265</v>
      </c>
      <c r="Y200" s="249" t="s">
        <v>821</v>
      </c>
      <c r="Z200" s="250" t="s">
        <v>906</v>
      </c>
      <c r="AG200" s="9"/>
      <c r="BB200" s="508">
        <v>46282</v>
      </c>
      <c r="BC200" s="649">
        <f t="shared" si="4"/>
        <v>1</v>
      </c>
      <c r="BH200" s="500"/>
    </row>
    <row r="201" spans="24:60" x14ac:dyDescent="0.3">
      <c r="X201" s="251" t="s">
        <v>266</v>
      </c>
      <c r="Y201" s="252" t="s">
        <v>821</v>
      </c>
      <c r="Z201" s="250" t="s">
        <v>906</v>
      </c>
      <c r="AG201" s="9"/>
      <c r="BB201" s="508">
        <v>46283</v>
      </c>
      <c r="BC201" s="649">
        <f t="shared" si="4"/>
        <v>3</v>
      </c>
      <c r="BH201" s="500"/>
    </row>
    <row r="202" spans="24:60" x14ac:dyDescent="0.3">
      <c r="X202" s="248" t="s">
        <v>267</v>
      </c>
      <c r="Y202" s="249" t="s">
        <v>821</v>
      </c>
      <c r="Z202" s="250" t="s">
        <v>906</v>
      </c>
      <c r="AG202" s="9"/>
      <c r="BB202" s="508">
        <v>46286</v>
      </c>
      <c r="BC202" s="649">
        <f t="shared" si="4"/>
        <v>1</v>
      </c>
      <c r="BH202" s="500"/>
    </row>
    <row r="203" spans="24:60" x14ac:dyDescent="0.3">
      <c r="X203" s="251" t="s">
        <v>1377</v>
      </c>
      <c r="Y203" s="252" t="s">
        <v>821</v>
      </c>
      <c r="Z203" s="250" t="s">
        <v>906</v>
      </c>
      <c r="AG203" s="9"/>
      <c r="BB203" s="508">
        <v>46287</v>
      </c>
      <c r="BC203" s="649">
        <f t="shared" si="4"/>
        <v>1</v>
      </c>
      <c r="BH203" s="500"/>
    </row>
    <row r="204" spans="24:60" x14ac:dyDescent="0.3">
      <c r="X204" s="248" t="s">
        <v>371</v>
      </c>
      <c r="Y204" s="249" t="s">
        <v>821</v>
      </c>
      <c r="Z204" s="250" t="s">
        <v>906</v>
      </c>
      <c r="AG204" s="9"/>
      <c r="BB204" s="508">
        <v>46288</v>
      </c>
      <c r="BC204" s="649">
        <f t="shared" si="4"/>
        <v>1</v>
      </c>
      <c r="BH204" s="500"/>
    </row>
    <row r="205" spans="24:60" x14ac:dyDescent="0.3">
      <c r="X205" s="251" t="s">
        <v>1378</v>
      </c>
      <c r="Y205" s="252" t="s">
        <v>821</v>
      </c>
      <c r="Z205" s="250" t="s">
        <v>906</v>
      </c>
      <c r="AG205" s="9"/>
      <c r="BB205" s="508">
        <v>46289</v>
      </c>
      <c r="BC205" s="649">
        <f t="shared" si="4"/>
        <v>1</v>
      </c>
      <c r="BH205" s="500"/>
    </row>
    <row r="206" spans="24:60" x14ac:dyDescent="0.3">
      <c r="X206" s="248" t="s">
        <v>1379</v>
      </c>
      <c r="Y206" s="249" t="s">
        <v>821</v>
      </c>
      <c r="Z206" s="250" t="s">
        <v>906</v>
      </c>
      <c r="AG206" s="9"/>
      <c r="BB206" s="508">
        <v>46290</v>
      </c>
      <c r="BC206" s="649">
        <f t="shared" si="4"/>
        <v>3</v>
      </c>
      <c r="BH206" s="500"/>
    </row>
    <row r="207" spans="24:60" x14ac:dyDescent="0.3">
      <c r="X207" s="251" t="s">
        <v>375</v>
      </c>
      <c r="Y207" s="252" t="s">
        <v>821</v>
      </c>
      <c r="Z207" s="250" t="s">
        <v>906</v>
      </c>
      <c r="AG207" s="9"/>
      <c r="BB207" s="508">
        <v>46293</v>
      </c>
      <c r="BC207" s="649">
        <f t="shared" si="4"/>
        <v>1</v>
      </c>
      <c r="BH207" s="500"/>
    </row>
    <row r="208" spans="24:60" x14ac:dyDescent="0.3">
      <c r="X208" s="248" t="s">
        <v>377</v>
      </c>
      <c r="Y208" s="249" t="s">
        <v>821</v>
      </c>
      <c r="Z208" s="250" t="s">
        <v>906</v>
      </c>
      <c r="AG208" s="9"/>
      <c r="BB208" s="508">
        <v>46294</v>
      </c>
      <c r="BC208" s="649">
        <f t="shared" si="4"/>
        <v>1</v>
      </c>
      <c r="BH208" s="500"/>
    </row>
    <row r="209" spans="24:60" x14ac:dyDescent="0.3">
      <c r="X209" s="251" t="s">
        <v>1380</v>
      </c>
      <c r="Y209" s="252" t="s">
        <v>821</v>
      </c>
      <c r="Z209" s="250" t="s">
        <v>906</v>
      </c>
      <c r="AG209" s="9"/>
      <c r="BB209" s="508">
        <v>46295</v>
      </c>
      <c r="BC209" s="649">
        <f t="shared" si="4"/>
        <v>1</v>
      </c>
      <c r="BH209" s="500"/>
    </row>
    <row r="210" spans="24:60" x14ac:dyDescent="0.3">
      <c r="X210" s="248" t="s">
        <v>381</v>
      </c>
      <c r="Y210" s="249" t="s">
        <v>821</v>
      </c>
      <c r="Z210" s="250" t="s">
        <v>906</v>
      </c>
      <c r="AG210" s="9"/>
      <c r="BB210" s="508">
        <v>46296</v>
      </c>
      <c r="BC210" s="649">
        <f t="shared" si="4"/>
        <v>1</v>
      </c>
      <c r="BH210" s="500"/>
    </row>
    <row r="211" spans="24:60" x14ac:dyDescent="0.3">
      <c r="X211" s="251" t="s">
        <v>272</v>
      </c>
      <c r="Y211" s="252" t="s">
        <v>821</v>
      </c>
      <c r="Z211" s="250" t="s">
        <v>906</v>
      </c>
      <c r="AG211" s="9"/>
      <c r="BB211" s="508">
        <v>46297</v>
      </c>
      <c r="BC211" s="649">
        <f t="shared" si="4"/>
        <v>3</v>
      </c>
      <c r="BH211" s="500"/>
    </row>
    <row r="212" spans="24:60" x14ac:dyDescent="0.3">
      <c r="X212" s="248" t="s">
        <v>275</v>
      </c>
      <c r="Y212" s="249" t="s">
        <v>821</v>
      </c>
      <c r="Z212" s="250" t="s">
        <v>906</v>
      </c>
      <c r="AG212" s="9"/>
      <c r="BB212" s="508">
        <v>46300</v>
      </c>
      <c r="BC212" s="649">
        <f t="shared" si="4"/>
        <v>1</v>
      </c>
      <c r="BH212" s="500"/>
    </row>
    <row r="213" spans="24:60" x14ac:dyDescent="0.3">
      <c r="X213" s="251" t="s">
        <v>277</v>
      </c>
      <c r="Y213" s="252" t="s">
        <v>821</v>
      </c>
      <c r="Z213" s="250" t="s">
        <v>906</v>
      </c>
      <c r="AG213" s="9"/>
      <c r="BB213" s="508">
        <v>46301</v>
      </c>
      <c r="BC213" s="649">
        <f t="shared" si="4"/>
        <v>1</v>
      </c>
      <c r="BH213" s="500"/>
    </row>
    <row r="214" spans="24:60" x14ac:dyDescent="0.3">
      <c r="X214" s="248" t="s">
        <v>314</v>
      </c>
      <c r="Y214" s="249" t="s">
        <v>821</v>
      </c>
      <c r="Z214" s="250" t="s">
        <v>906</v>
      </c>
      <c r="AG214" s="9"/>
      <c r="BB214" s="508">
        <v>46302</v>
      </c>
      <c r="BC214" s="649">
        <f t="shared" si="4"/>
        <v>1</v>
      </c>
      <c r="BH214" s="500"/>
    </row>
    <row r="215" spans="24:60" x14ac:dyDescent="0.3">
      <c r="X215" s="251" t="s">
        <v>1381</v>
      </c>
      <c r="Y215" s="252" t="s">
        <v>821</v>
      </c>
      <c r="Z215" s="250" t="s">
        <v>906</v>
      </c>
      <c r="AG215" s="9"/>
      <c r="BB215" s="508">
        <v>46303</v>
      </c>
      <c r="BC215" s="649">
        <f t="shared" si="4"/>
        <v>1</v>
      </c>
      <c r="BH215" s="500"/>
    </row>
    <row r="216" spans="24:60" x14ac:dyDescent="0.3">
      <c r="X216" s="248" t="s">
        <v>317</v>
      </c>
      <c r="Y216" s="249" t="s">
        <v>821</v>
      </c>
      <c r="Z216" s="250" t="s">
        <v>906</v>
      </c>
      <c r="AG216" s="9"/>
      <c r="BB216" s="508">
        <v>46304</v>
      </c>
      <c r="BC216" s="649">
        <f t="shared" si="4"/>
        <v>3</v>
      </c>
      <c r="BH216" s="500"/>
    </row>
    <row r="217" spans="24:60" x14ac:dyDescent="0.3">
      <c r="X217" s="251" t="s">
        <v>1382</v>
      </c>
      <c r="Y217" s="252" t="s">
        <v>821</v>
      </c>
      <c r="Z217" s="250" t="s">
        <v>906</v>
      </c>
      <c r="AG217" s="9"/>
      <c r="BB217" s="508">
        <v>46307</v>
      </c>
      <c r="BC217" s="649">
        <f t="shared" si="4"/>
        <v>1</v>
      </c>
      <c r="BH217" s="500"/>
    </row>
    <row r="218" spans="24:60" x14ac:dyDescent="0.3">
      <c r="X218" s="248" t="s">
        <v>342</v>
      </c>
      <c r="Y218" s="249" t="s">
        <v>821</v>
      </c>
      <c r="Z218" s="250" t="s">
        <v>906</v>
      </c>
      <c r="AG218" s="9"/>
      <c r="BB218" s="508">
        <v>46308</v>
      </c>
      <c r="BC218" s="649">
        <f t="shared" si="4"/>
        <v>1</v>
      </c>
      <c r="BH218" s="500"/>
    </row>
    <row r="219" spans="24:60" x14ac:dyDescent="0.3">
      <c r="X219" s="251" t="s">
        <v>344</v>
      </c>
      <c r="Y219" s="252" t="s">
        <v>821</v>
      </c>
      <c r="Z219" s="250" t="s">
        <v>906</v>
      </c>
      <c r="AG219" s="9"/>
      <c r="BB219" s="508">
        <v>46309</v>
      </c>
      <c r="BC219" s="649">
        <f t="shared" si="4"/>
        <v>1</v>
      </c>
      <c r="BH219" s="500"/>
    </row>
    <row r="220" spans="24:60" x14ac:dyDescent="0.3">
      <c r="X220" s="248" t="s">
        <v>347</v>
      </c>
      <c r="Y220" s="249" t="s">
        <v>821</v>
      </c>
      <c r="Z220" s="250" t="s">
        <v>906</v>
      </c>
      <c r="AG220" s="9"/>
      <c r="BB220" s="508">
        <v>46310</v>
      </c>
      <c r="BC220" s="649">
        <f t="shared" si="4"/>
        <v>1</v>
      </c>
      <c r="BH220" s="500"/>
    </row>
    <row r="221" spans="24:60" x14ac:dyDescent="0.3">
      <c r="X221" s="251" t="s">
        <v>348</v>
      </c>
      <c r="Y221" s="252" t="s">
        <v>821</v>
      </c>
      <c r="Z221" s="250" t="s">
        <v>906</v>
      </c>
      <c r="AG221" s="9"/>
      <c r="BB221" s="508">
        <v>46311</v>
      </c>
      <c r="BC221" s="649">
        <f t="shared" si="4"/>
        <v>3</v>
      </c>
      <c r="BH221" s="500"/>
    </row>
    <row r="222" spans="24:60" x14ac:dyDescent="0.3">
      <c r="X222" s="248" t="s">
        <v>388</v>
      </c>
      <c r="Y222" s="249" t="s">
        <v>821</v>
      </c>
      <c r="Z222" s="250" t="s">
        <v>906</v>
      </c>
      <c r="AG222" s="9"/>
      <c r="BB222" s="508">
        <v>46314</v>
      </c>
      <c r="BC222" s="649">
        <f t="shared" si="4"/>
        <v>1</v>
      </c>
      <c r="BH222" s="500"/>
    </row>
    <row r="223" spans="24:60" x14ac:dyDescent="0.3">
      <c r="X223" s="251" t="s">
        <v>390</v>
      </c>
      <c r="Y223" s="252" t="s">
        <v>821</v>
      </c>
      <c r="Z223" s="250" t="s">
        <v>906</v>
      </c>
      <c r="AG223" s="9"/>
      <c r="BB223" s="508">
        <v>46315</v>
      </c>
      <c r="BC223" s="649">
        <f t="shared" si="4"/>
        <v>1</v>
      </c>
      <c r="BH223" s="500"/>
    </row>
    <row r="224" spans="24:60" x14ac:dyDescent="0.3">
      <c r="X224" s="248" t="s">
        <v>391</v>
      </c>
      <c r="Y224" s="249" t="s">
        <v>821</v>
      </c>
      <c r="Z224" s="250" t="s">
        <v>906</v>
      </c>
      <c r="AG224" s="9"/>
      <c r="BB224" s="508">
        <v>46316</v>
      </c>
      <c r="BC224" s="649">
        <f t="shared" si="4"/>
        <v>1</v>
      </c>
      <c r="BH224" s="500"/>
    </row>
    <row r="225" spans="24:60" x14ac:dyDescent="0.3">
      <c r="X225" s="251" t="s">
        <v>1383</v>
      </c>
      <c r="Y225" s="252" t="s">
        <v>821</v>
      </c>
      <c r="Z225" s="250" t="s">
        <v>906</v>
      </c>
      <c r="AG225" s="9"/>
      <c r="BB225" s="508">
        <v>46317</v>
      </c>
      <c r="BC225" s="649">
        <f t="shared" ref="BC225:BC256" si="5">BB226-BB225</f>
        <v>1</v>
      </c>
      <c r="BH225" s="500"/>
    </row>
    <row r="226" spans="24:60" x14ac:dyDescent="0.3">
      <c r="X226" s="248" t="s">
        <v>1384</v>
      </c>
      <c r="Y226" s="249" t="s">
        <v>821</v>
      </c>
      <c r="Z226" s="250" t="s">
        <v>906</v>
      </c>
      <c r="AG226" s="9"/>
      <c r="BB226" s="508">
        <v>46318</v>
      </c>
      <c r="BC226" s="649">
        <f t="shared" si="5"/>
        <v>3</v>
      </c>
      <c r="BH226" s="500"/>
    </row>
    <row r="227" spans="24:60" x14ac:dyDescent="0.3">
      <c r="X227" s="251" t="s">
        <v>419</v>
      </c>
      <c r="Y227" s="252" t="s">
        <v>821</v>
      </c>
      <c r="Z227" s="250" t="s">
        <v>906</v>
      </c>
      <c r="AG227" s="9"/>
      <c r="BB227" s="508">
        <v>46321</v>
      </c>
      <c r="BC227" s="649">
        <f t="shared" si="5"/>
        <v>1</v>
      </c>
      <c r="BH227" s="500"/>
    </row>
    <row r="228" spans="24:60" x14ac:dyDescent="0.3">
      <c r="X228" s="248" t="s">
        <v>420</v>
      </c>
      <c r="Y228" s="249" t="s">
        <v>821</v>
      </c>
      <c r="Z228" s="250" t="s">
        <v>906</v>
      </c>
      <c r="AG228" s="9"/>
      <c r="BB228" s="508">
        <v>46322</v>
      </c>
      <c r="BC228" s="649">
        <f t="shared" si="5"/>
        <v>1</v>
      </c>
      <c r="BH228" s="500"/>
    </row>
    <row r="229" spans="24:60" x14ac:dyDescent="0.3">
      <c r="X229" s="251" t="s">
        <v>1385</v>
      </c>
      <c r="Y229" s="252" t="s">
        <v>821</v>
      </c>
      <c r="Z229" s="250" t="s">
        <v>906</v>
      </c>
      <c r="AG229" s="9"/>
      <c r="BB229" s="508">
        <v>46323</v>
      </c>
      <c r="BC229" s="649">
        <f t="shared" si="5"/>
        <v>1</v>
      </c>
      <c r="BH229" s="500"/>
    </row>
    <row r="230" spans="24:60" x14ac:dyDescent="0.3">
      <c r="X230" s="248" t="s">
        <v>421</v>
      </c>
      <c r="Y230" s="249" t="s">
        <v>821</v>
      </c>
      <c r="Z230" s="250" t="s">
        <v>906</v>
      </c>
      <c r="AG230" s="9"/>
      <c r="BB230" s="508">
        <v>46324</v>
      </c>
      <c r="BC230" s="649">
        <f t="shared" si="5"/>
        <v>1</v>
      </c>
      <c r="BH230" s="500"/>
    </row>
    <row r="231" spans="24:60" x14ac:dyDescent="0.3">
      <c r="X231" s="251" t="s">
        <v>1158</v>
      </c>
      <c r="Y231" s="252" t="s">
        <v>821</v>
      </c>
      <c r="Z231" s="250" t="s">
        <v>906</v>
      </c>
      <c r="AG231" s="9"/>
      <c r="BB231" s="508">
        <v>46325</v>
      </c>
      <c r="BC231" s="649">
        <f t="shared" si="5"/>
        <v>3</v>
      </c>
      <c r="BH231" s="500"/>
    </row>
    <row r="232" spans="24:60" x14ac:dyDescent="0.3">
      <c r="X232" s="248" t="s">
        <v>350</v>
      </c>
      <c r="Y232" s="249" t="s">
        <v>821</v>
      </c>
      <c r="Z232" s="250" t="s">
        <v>906</v>
      </c>
      <c r="AG232" s="9"/>
      <c r="BB232" s="508">
        <v>46328</v>
      </c>
      <c r="BC232" s="649">
        <f t="shared" si="5"/>
        <v>1</v>
      </c>
      <c r="BH232" s="500"/>
    </row>
    <row r="233" spans="24:60" x14ac:dyDescent="0.3">
      <c r="X233" s="251" t="s">
        <v>361</v>
      </c>
      <c r="Y233" s="252" t="s">
        <v>821</v>
      </c>
      <c r="Z233" s="250" t="s">
        <v>906</v>
      </c>
      <c r="AG233" s="9"/>
      <c r="BB233" s="508">
        <v>46329</v>
      </c>
      <c r="BC233" s="649">
        <f t="shared" si="5"/>
        <v>1</v>
      </c>
      <c r="BH233" s="500"/>
    </row>
    <row r="234" spans="24:60" x14ac:dyDescent="0.3">
      <c r="X234" s="248" t="s">
        <v>366</v>
      </c>
      <c r="Y234" s="249" t="s">
        <v>821</v>
      </c>
      <c r="Z234" s="250" t="s">
        <v>906</v>
      </c>
      <c r="AG234" s="9"/>
      <c r="BB234" s="508">
        <v>46330</v>
      </c>
      <c r="BC234" s="649">
        <f t="shared" si="5"/>
        <v>1</v>
      </c>
      <c r="BH234" s="500"/>
    </row>
    <row r="235" spans="24:60" x14ac:dyDescent="0.3">
      <c r="X235" s="251" t="s">
        <v>367</v>
      </c>
      <c r="Y235" s="252" t="s">
        <v>821</v>
      </c>
      <c r="Z235" s="250" t="s">
        <v>906</v>
      </c>
      <c r="AG235" s="9"/>
      <c r="BB235" s="508">
        <v>46331</v>
      </c>
      <c r="BC235" s="649">
        <f t="shared" si="5"/>
        <v>1</v>
      </c>
      <c r="BH235" s="500"/>
    </row>
    <row r="236" spans="24:60" x14ac:dyDescent="0.3">
      <c r="X236" s="248" t="s">
        <v>368</v>
      </c>
      <c r="Y236" s="249" t="s">
        <v>821</v>
      </c>
      <c r="Z236" s="250" t="s">
        <v>906</v>
      </c>
      <c r="AG236" s="9"/>
      <c r="BB236" s="508">
        <v>46332</v>
      </c>
      <c r="BC236" s="649">
        <f t="shared" si="5"/>
        <v>3</v>
      </c>
      <c r="BH236" s="500"/>
    </row>
    <row r="237" spans="24:60" x14ac:dyDescent="0.3">
      <c r="X237" s="251" t="s">
        <v>369</v>
      </c>
      <c r="Y237" s="252" t="s">
        <v>821</v>
      </c>
      <c r="Z237" s="250" t="s">
        <v>906</v>
      </c>
      <c r="AG237" s="9"/>
      <c r="BB237" s="508">
        <v>46335</v>
      </c>
      <c r="BC237" s="649">
        <f t="shared" si="5"/>
        <v>1</v>
      </c>
      <c r="BH237" s="500"/>
    </row>
    <row r="238" spans="24:60" x14ac:dyDescent="0.3">
      <c r="X238" s="248" t="s">
        <v>1386</v>
      </c>
      <c r="Y238" s="249" t="s">
        <v>821</v>
      </c>
      <c r="Z238" s="250" t="s">
        <v>906</v>
      </c>
      <c r="AG238" s="9"/>
      <c r="BB238" s="508">
        <v>46336</v>
      </c>
      <c r="BC238" s="649">
        <f t="shared" si="5"/>
        <v>1</v>
      </c>
      <c r="BH238" s="500"/>
    </row>
    <row r="239" spans="24:60" x14ac:dyDescent="0.3">
      <c r="X239" s="251" t="s">
        <v>1387</v>
      </c>
      <c r="Y239" s="252" t="s">
        <v>821</v>
      </c>
      <c r="Z239" s="250" t="s">
        <v>906</v>
      </c>
      <c r="AG239" s="9"/>
      <c r="BB239" s="508">
        <v>46337</v>
      </c>
      <c r="BC239" s="649">
        <f t="shared" si="5"/>
        <v>1</v>
      </c>
      <c r="BH239" s="500"/>
    </row>
    <row r="240" spans="24:60" x14ac:dyDescent="0.3">
      <c r="X240" s="248" t="s">
        <v>423</v>
      </c>
      <c r="Y240" s="249" t="s">
        <v>821</v>
      </c>
      <c r="Z240" s="250" t="s">
        <v>906</v>
      </c>
      <c r="AG240" s="9"/>
      <c r="BB240" s="508">
        <v>46338</v>
      </c>
      <c r="BC240" s="649">
        <f t="shared" si="5"/>
        <v>1</v>
      </c>
      <c r="BH240" s="500"/>
    </row>
    <row r="241" spans="24:60" x14ac:dyDescent="0.3">
      <c r="X241" s="251" t="s">
        <v>424</v>
      </c>
      <c r="Y241" s="252" t="s">
        <v>821</v>
      </c>
      <c r="Z241" s="250" t="s">
        <v>906</v>
      </c>
      <c r="AG241" s="9"/>
      <c r="BB241" s="508">
        <v>46339</v>
      </c>
      <c r="BC241" s="649">
        <f t="shared" si="5"/>
        <v>3</v>
      </c>
      <c r="BH241" s="500"/>
    </row>
    <row r="242" spans="24:60" x14ac:dyDescent="0.3">
      <c r="X242" s="248" t="s">
        <v>426</v>
      </c>
      <c r="Y242" s="249" t="s">
        <v>821</v>
      </c>
      <c r="Z242" s="250" t="s">
        <v>906</v>
      </c>
      <c r="AG242" s="9"/>
      <c r="BB242" s="508">
        <v>46342</v>
      </c>
      <c r="BC242" s="649">
        <f t="shared" si="5"/>
        <v>1</v>
      </c>
      <c r="BH242" s="500"/>
    </row>
    <row r="243" spans="24:60" x14ac:dyDescent="0.3">
      <c r="X243" s="251" t="s">
        <v>1388</v>
      </c>
      <c r="Y243" s="252" t="s">
        <v>821</v>
      </c>
      <c r="Z243" s="250" t="s">
        <v>906</v>
      </c>
      <c r="AG243" s="9"/>
      <c r="BB243" s="508">
        <v>46343</v>
      </c>
      <c r="BC243" s="649">
        <f t="shared" si="5"/>
        <v>1</v>
      </c>
      <c r="BH243" s="500"/>
    </row>
    <row r="244" spans="24:60" x14ac:dyDescent="0.3">
      <c r="X244" s="248" t="s">
        <v>443</v>
      </c>
      <c r="Y244" s="249" t="s">
        <v>821</v>
      </c>
      <c r="Z244" s="250" t="s">
        <v>906</v>
      </c>
      <c r="AG244" s="9"/>
      <c r="BB244" s="508">
        <v>46344</v>
      </c>
      <c r="BC244" s="649">
        <f t="shared" si="5"/>
        <v>1</v>
      </c>
      <c r="BH244" s="500"/>
    </row>
    <row r="245" spans="24:60" x14ac:dyDescent="0.3">
      <c r="X245" s="251" t="s">
        <v>444</v>
      </c>
      <c r="Y245" s="252" t="s">
        <v>821</v>
      </c>
      <c r="Z245" s="250" t="s">
        <v>906</v>
      </c>
      <c r="AG245" s="9"/>
      <c r="BB245" s="508">
        <v>46345</v>
      </c>
      <c r="BC245" s="649">
        <f t="shared" si="5"/>
        <v>1</v>
      </c>
      <c r="BH245" s="500"/>
    </row>
    <row r="246" spans="24:60" x14ac:dyDescent="0.3">
      <c r="X246" s="248" t="s">
        <v>447</v>
      </c>
      <c r="Y246" s="249" t="s">
        <v>821</v>
      </c>
      <c r="Z246" s="250" t="s">
        <v>906</v>
      </c>
      <c r="AG246" s="9"/>
      <c r="BB246" s="508">
        <v>46346</v>
      </c>
      <c r="BC246" s="649">
        <f t="shared" si="5"/>
        <v>3</v>
      </c>
      <c r="BH246" s="500"/>
    </row>
    <row r="247" spans="24:60" x14ac:dyDescent="0.3">
      <c r="X247" s="251" t="s">
        <v>451</v>
      </c>
      <c r="Y247" s="252" t="s">
        <v>821</v>
      </c>
      <c r="Z247" s="250" t="s">
        <v>906</v>
      </c>
      <c r="AG247" s="9"/>
      <c r="BB247" s="508">
        <v>46349</v>
      </c>
      <c r="BC247" s="649">
        <f t="shared" si="5"/>
        <v>1</v>
      </c>
      <c r="BH247" s="500"/>
    </row>
    <row r="248" spans="24:60" x14ac:dyDescent="0.3">
      <c r="X248" s="248" t="s">
        <v>1159</v>
      </c>
      <c r="Y248" s="249" t="s">
        <v>821</v>
      </c>
      <c r="Z248" s="250" t="s">
        <v>906</v>
      </c>
      <c r="AG248" s="9"/>
      <c r="BB248" s="508">
        <v>46350</v>
      </c>
      <c r="BC248" s="649">
        <f t="shared" si="5"/>
        <v>1</v>
      </c>
      <c r="BH248" s="500"/>
    </row>
    <row r="249" spans="24:60" x14ac:dyDescent="0.3">
      <c r="X249" s="251" t="s">
        <v>1160</v>
      </c>
      <c r="Y249" s="252" t="s">
        <v>821</v>
      </c>
      <c r="Z249" s="250" t="s">
        <v>906</v>
      </c>
      <c r="AG249" s="9"/>
      <c r="BB249" s="508">
        <v>46351</v>
      </c>
      <c r="BC249" s="649">
        <f t="shared" si="5"/>
        <v>1</v>
      </c>
      <c r="BH249" s="500"/>
    </row>
    <row r="250" spans="24:60" x14ac:dyDescent="0.3">
      <c r="X250" s="248" t="s">
        <v>1161</v>
      </c>
      <c r="Y250" s="249" t="s">
        <v>821</v>
      </c>
      <c r="Z250" s="250" t="s">
        <v>906</v>
      </c>
      <c r="AG250" s="9"/>
      <c r="BB250" s="508">
        <v>46352</v>
      </c>
      <c r="BC250" s="649">
        <f t="shared" si="5"/>
        <v>1</v>
      </c>
      <c r="BH250" s="500"/>
    </row>
    <row r="251" spans="24:60" x14ac:dyDescent="0.3">
      <c r="X251" s="251" t="s">
        <v>1162</v>
      </c>
      <c r="Y251" s="252" t="s">
        <v>821</v>
      </c>
      <c r="Z251" s="250" t="s">
        <v>906</v>
      </c>
      <c r="AG251" s="9"/>
      <c r="BB251" s="508">
        <v>46353</v>
      </c>
      <c r="BC251" s="649">
        <f t="shared" si="5"/>
        <v>3</v>
      </c>
      <c r="BH251" s="500"/>
    </row>
    <row r="252" spans="24:60" x14ac:dyDescent="0.3">
      <c r="X252" s="248" t="s">
        <v>1163</v>
      </c>
      <c r="Y252" s="249" t="s">
        <v>821</v>
      </c>
      <c r="Z252" s="250" t="s">
        <v>906</v>
      </c>
      <c r="AG252" s="9"/>
      <c r="BB252" s="508">
        <v>46356</v>
      </c>
      <c r="BC252" s="649">
        <f t="shared" si="5"/>
        <v>1</v>
      </c>
      <c r="BD252" s="35"/>
      <c r="BE252" s="35"/>
      <c r="BF252" s="35"/>
      <c r="BG252" s="35"/>
      <c r="BH252" s="500"/>
    </row>
    <row r="253" spans="24:60" x14ac:dyDescent="0.3">
      <c r="X253" s="251" t="s">
        <v>1164</v>
      </c>
      <c r="Y253" s="252" t="s">
        <v>821</v>
      </c>
      <c r="Z253" s="250" t="s">
        <v>906</v>
      </c>
      <c r="AG253" s="9"/>
      <c r="BB253" s="508">
        <v>46357</v>
      </c>
      <c r="BC253" s="649">
        <f t="shared" si="5"/>
        <v>1</v>
      </c>
      <c r="BD253" s="646"/>
      <c r="BE253" s="646"/>
      <c r="BF253" s="646"/>
      <c r="BG253" s="647"/>
      <c r="BH253" s="647"/>
    </row>
    <row r="254" spans="24:60" x14ac:dyDescent="0.3">
      <c r="X254" s="248" t="s">
        <v>1165</v>
      </c>
      <c r="Y254" s="249" t="s">
        <v>821</v>
      </c>
      <c r="Z254" s="250" t="s">
        <v>906</v>
      </c>
      <c r="AG254" s="9"/>
      <c r="BB254" s="508">
        <v>46358</v>
      </c>
      <c r="BC254" s="649">
        <f t="shared" si="5"/>
        <v>1</v>
      </c>
      <c r="BD254" s="35"/>
      <c r="BE254" s="35"/>
      <c r="BF254" s="35"/>
      <c r="BG254" s="35"/>
      <c r="BH254" s="35"/>
    </row>
    <row r="255" spans="24:60" x14ac:dyDescent="0.3">
      <c r="X255" s="251" t="s">
        <v>1389</v>
      </c>
      <c r="Y255" s="252" t="s">
        <v>821</v>
      </c>
      <c r="Z255" s="250" t="s">
        <v>906</v>
      </c>
      <c r="AG255" s="9"/>
      <c r="BB255" s="508">
        <v>46359</v>
      </c>
      <c r="BC255" s="649">
        <f t="shared" si="5"/>
        <v>1</v>
      </c>
      <c r="BD255" s="35"/>
      <c r="BE255" s="35"/>
      <c r="BF255" s="35"/>
      <c r="BG255" s="35"/>
      <c r="BH255" s="35"/>
    </row>
    <row r="256" spans="24:60" x14ac:dyDescent="0.3">
      <c r="X256" s="248" t="s">
        <v>452</v>
      </c>
      <c r="Y256" s="249" t="s">
        <v>821</v>
      </c>
      <c r="Z256" s="250" t="s">
        <v>906</v>
      </c>
      <c r="AG256" s="9"/>
      <c r="BB256" s="508">
        <v>46360</v>
      </c>
      <c r="BC256" s="649">
        <f t="shared" si="5"/>
        <v>3</v>
      </c>
      <c r="BD256" s="35"/>
      <c r="BE256" s="35"/>
      <c r="BF256" s="35"/>
      <c r="BG256" s="35"/>
      <c r="BH256" s="35"/>
    </row>
    <row r="257" spans="24:60" x14ac:dyDescent="0.3">
      <c r="X257" s="251" t="s">
        <v>384</v>
      </c>
      <c r="Y257" s="252" t="s">
        <v>821</v>
      </c>
      <c r="Z257" s="250" t="s">
        <v>906</v>
      </c>
      <c r="AG257" s="9"/>
      <c r="BB257" s="508">
        <v>46363</v>
      </c>
      <c r="BC257" s="649">
        <f t="shared" ref="BC257:BC274" si="6">BB258-BB257</f>
        <v>1</v>
      </c>
      <c r="BD257" s="35"/>
      <c r="BE257" s="35"/>
      <c r="BF257" s="35"/>
      <c r="BG257" s="35"/>
      <c r="BH257" s="35"/>
    </row>
    <row r="258" spans="24:60" x14ac:dyDescent="0.3">
      <c r="X258" s="248" t="s">
        <v>387</v>
      </c>
      <c r="Y258" s="249" t="s">
        <v>821</v>
      </c>
      <c r="Z258" s="250" t="s">
        <v>906</v>
      </c>
      <c r="AG258" s="9"/>
      <c r="BB258" s="508">
        <v>46364</v>
      </c>
      <c r="BC258" s="649">
        <f t="shared" si="6"/>
        <v>1</v>
      </c>
      <c r="BD258" s="35"/>
      <c r="BE258" s="35"/>
      <c r="BF258" s="35"/>
      <c r="BG258" s="35"/>
      <c r="BH258" s="35"/>
    </row>
    <row r="259" spans="24:60" x14ac:dyDescent="0.3">
      <c r="X259" s="251" t="s">
        <v>1390</v>
      </c>
      <c r="Y259" s="252" t="s">
        <v>821</v>
      </c>
      <c r="Z259" s="250" t="s">
        <v>906</v>
      </c>
      <c r="AG259" s="9"/>
      <c r="BB259" s="508">
        <v>46365</v>
      </c>
      <c r="BC259" s="649">
        <f t="shared" si="6"/>
        <v>1</v>
      </c>
      <c r="BD259" s="35"/>
      <c r="BE259" s="35"/>
      <c r="BF259" s="35"/>
      <c r="BG259" s="35"/>
      <c r="BH259" s="35"/>
    </row>
    <row r="260" spans="24:60" x14ac:dyDescent="0.3">
      <c r="X260" s="248" t="s">
        <v>454</v>
      </c>
      <c r="Y260" s="249" t="s">
        <v>821</v>
      </c>
      <c r="Z260" s="250" t="s">
        <v>906</v>
      </c>
      <c r="AG260" s="9"/>
      <c r="BB260" s="508">
        <v>46366</v>
      </c>
      <c r="BC260" s="649">
        <f t="shared" si="6"/>
        <v>1</v>
      </c>
      <c r="BD260" s="35"/>
      <c r="BE260" s="35"/>
      <c r="BF260" s="35"/>
      <c r="BG260" s="35"/>
      <c r="BH260" s="35"/>
    </row>
    <row r="261" spans="24:60" x14ac:dyDescent="0.3">
      <c r="X261" s="251" t="s">
        <v>1393</v>
      </c>
      <c r="Y261" s="252" t="s">
        <v>821</v>
      </c>
      <c r="Z261" s="250" t="s">
        <v>906</v>
      </c>
      <c r="AG261" s="9"/>
      <c r="BB261" s="508">
        <v>46367</v>
      </c>
      <c r="BC261" s="649">
        <f t="shared" si="6"/>
        <v>3</v>
      </c>
      <c r="BD261" s="35"/>
      <c r="BE261" s="35"/>
      <c r="BF261" s="35"/>
      <c r="BG261" s="35"/>
      <c r="BH261" s="35"/>
    </row>
    <row r="262" spans="24:60" x14ac:dyDescent="0.3">
      <c r="X262" s="248" t="s">
        <v>456</v>
      </c>
      <c r="Y262" s="249" t="s">
        <v>821</v>
      </c>
      <c r="Z262" s="250" t="s">
        <v>906</v>
      </c>
      <c r="AG262" s="9"/>
      <c r="BB262" s="508">
        <v>46370</v>
      </c>
      <c r="BC262" s="649">
        <f t="shared" si="6"/>
        <v>1</v>
      </c>
      <c r="BD262" s="35"/>
      <c r="BE262" s="35"/>
      <c r="BF262" s="35"/>
      <c r="BG262" s="35"/>
      <c r="BH262" s="35"/>
    </row>
    <row r="263" spans="24:60" x14ac:dyDescent="0.3">
      <c r="X263" s="251" t="s">
        <v>1166</v>
      </c>
      <c r="Y263" s="252" t="s">
        <v>821</v>
      </c>
      <c r="Z263" s="250" t="s">
        <v>906</v>
      </c>
      <c r="AG263" s="9"/>
      <c r="BB263" s="508">
        <v>46371</v>
      </c>
      <c r="BC263" s="649">
        <f t="shared" si="6"/>
        <v>1</v>
      </c>
      <c r="BD263" s="35"/>
      <c r="BE263" s="35"/>
      <c r="BF263" s="35"/>
      <c r="BG263" s="35"/>
      <c r="BH263" s="35"/>
    </row>
    <row r="264" spans="24:60" x14ac:dyDescent="0.3">
      <c r="X264" s="248" t="s">
        <v>1396</v>
      </c>
      <c r="Y264" s="249" t="s">
        <v>823</v>
      </c>
      <c r="Z264" s="250" t="s">
        <v>898</v>
      </c>
      <c r="AG264" s="9"/>
      <c r="BB264" s="508">
        <v>46372</v>
      </c>
      <c r="BC264" s="649">
        <f t="shared" si="6"/>
        <v>1</v>
      </c>
      <c r="BD264" s="35"/>
      <c r="BE264" s="35"/>
      <c r="BF264" s="35"/>
      <c r="BG264" s="35"/>
      <c r="BH264" s="35"/>
    </row>
    <row r="265" spans="24:60" x14ac:dyDescent="0.3">
      <c r="X265" s="251" t="s">
        <v>1397</v>
      </c>
      <c r="Y265" s="252" t="s">
        <v>823</v>
      </c>
      <c r="Z265" s="250" t="s">
        <v>898</v>
      </c>
      <c r="AG265" s="9"/>
      <c r="BB265" s="508">
        <v>46373</v>
      </c>
      <c r="BC265" s="649">
        <f t="shared" si="6"/>
        <v>1</v>
      </c>
      <c r="BD265" s="35"/>
      <c r="BE265" s="35"/>
      <c r="BF265" s="35"/>
      <c r="BG265" s="35"/>
      <c r="BH265" s="35"/>
    </row>
    <row r="266" spans="24:60" x14ac:dyDescent="0.3">
      <c r="X266" s="248" t="s">
        <v>1398</v>
      </c>
      <c r="Y266" s="249" t="s">
        <v>823</v>
      </c>
      <c r="Z266" s="250" t="s">
        <v>898</v>
      </c>
      <c r="AG266" s="9"/>
      <c r="BB266" s="508">
        <v>46374</v>
      </c>
      <c r="BC266" s="649">
        <f t="shared" si="6"/>
        <v>3</v>
      </c>
      <c r="BD266" s="35"/>
      <c r="BE266" s="35"/>
      <c r="BF266" s="35"/>
      <c r="BG266" s="35"/>
      <c r="BH266" s="35"/>
    </row>
    <row r="267" spans="24:60" x14ac:dyDescent="0.3">
      <c r="X267" s="251" t="s">
        <v>1399</v>
      </c>
      <c r="Y267" s="252" t="s">
        <v>823</v>
      </c>
      <c r="Z267" s="250" t="s">
        <v>898</v>
      </c>
      <c r="AG267" s="9"/>
      <c r="BB267" s="508">
        <v>46377</v>
      </c>
      <c r="BC267" s="649">
        <f t="shared" si="6"/>
        <v>1</v>
      </c>
      <c r="BD267" s="35"/>
      <c r="BE267" s="35"/>
      <c r="BF267" s="35"/>
      <c r="BG267" s="35"/>
      <c r="BH267" s="35"/>
    </row>
    <row r="268" spans="24:60" x14ac:dyDescent="0.3">
      <c r="X268" s="248" t="s">
        <v>1400</v>
      </c>
      <c r="Y268" s="249" t="s">
        <v>823</v>
      </c>
      <c r="Z268" s="250" t="s">
        <v>898</v>
      </c>
      <c r="AG268" s="9"/>
      <c r="BB268" s="508">
        <v>46378</v>
      </c>
      <c r="BC268" s="649">
        <f t="shared" si="6"/>
        <v>1</v>
      </c>
      <c r="BD268" s="35"/>
      <c r="BE268" s="35"/>
      <c r="BF268" s="35"/>
      <c r="BG268" s="35"/>
      <c r="BH268" s="35"/>
    </row>
    <row r="269" spans="24:60" x14ac:dyDescent="0.3">
      <c r="X269" s="251" t="s">
        <v>1401</v>
      </c>
      <c r="Y269" s="252" t="s">
        <v>823</v>
      </c>
      <c r="Z269" s="250" t="s">
        <v>898</v>
      </c>
      <c r="AG269" s="9"/>
      <c r="BB269" s="508">
        <v>46379</v>
      </c>
      <c r="BC269" s="649">
        <f t="shared" si="6"/>
        <v>1</v>
      </c>
      <c r="BD269" s="35"/>
      <c r="BE269" s="35"/>
      <c r="BF269" s="35"/>
      <c r="BG269" s="35"/>
      <c r="BH269" s="35"/>
    </row>
    <row r="270" spans="24:60" x14ac:dyDescent="0.3">
      <c r="X270" s="248" t="s">
        <v>1402</v>
      </c>
      <c r="Y270" s="249" t="s">
        <v>823</v>
      </c>
      <c r="Z270" s="250" t="s">
        <v>898</v>
      </c>
      <c r="AG270" s="9"/>
      <c r="BB270" s="508">
        <v>46380</v>
      </c>
      <c r="BC270" s="649">
        <f t="shared" si="6"/>
        <v>1</v>
      </c>
      <c r="BD270" s="35"/>
      <c r="BE270" s="35"/>
      <c r="BF270" s="35"/>
      <c r="BG270" s="35"/>
      <c r="BH270" s="35"/>
    </row>
    <row r="271" spans="24:60" x14ac:dyDescent="0.3">
      <c r="X271" s="251" t="s">
        <v>1403</v>
      </c>
      <c r="Y271" s="252" t="s">
        <v>823</v>
      </c>
      <c r="Z271" s="250" t="s">
        <v>898</v>
      </c>
      <c r="AG271" s="9"/>
      <c r="BB271" s="508">
        <v>46381</v>
      </c>
      <c r="BC271" s="649">
        <f t="shared" si="6"/>
        <v>3</v>
      </c>
      <c r="BD271" s="35"/>
      <c r="BE271" s="35"/>
      <c r="BF271" s="35"/>
      <c r="BG271" s="35"/>
      <c r="BH271" s="35"/>
    </row>
    <row r="272" spans="24:60" x14ac:dyDescent="0.3">
      <c r="X272" s="248" t="s">
        <v>1404</v>
      </c>
      <c r="Y272" s="249" t="s">
        <v>823</v>
      </c>
      <c r="Z272" s="250" t="s">
        <v>898</v>
      </c>
      <c r="AG272" s="9"/>
      <c r="BB272" s="508">
        <v>46384</v>
      </c>
      <c r="BC272" s="649">
        <f t="shared" si="6"/>
        <v>1</v>
      </c>
      <c r="BD272" s="35"/>
      <c r="BE272" s="35"/>
      <c r="BF272" s="35"/>
      <c r="BG272" s="35"/>
      <c r="BH272" s="35"/>
    </row>
    <row r="273" spans="24:60" x14ac:dyDescent="0.3">
      <c r="X273" s="251" t="s">
        <v>1405</v>
      </c>
      <c r="Y273" s="252" t="s">
        <v>823</v>
      </c>
      <c r="Z273" s="250" t="s">
        <v>898</v>
      </c>
      <c r="AG273" s="9"/>
      <c r="BB273" s="508">
        <v>46385</v>
      </c>
      <c r="BC273" s="649">
        <f t="shared" si="6"/>
        <v>1</v>
      </c>
      <c r="BD273" s="35"/>
      <c r="BE273" s="35"/>
      <c r="BF273" s="35"/>
      <c r="BG273" s="35"/>
      <c r="BH273" s="35"/>
    </row>
    <row r="274" spans="24:60" x14ac:dyDescent="0.3">
      <c r="X274" s="248" t="s">
        <v>1406</v>
      </c>
      <c r="Y274" s="249" t="s">
        <v>823</v>
      </c>
      <c r="Z274" s="250" t="s">
        <v>898</v>
      </c>
      <c r="AG274" s="9"/>
      <c r="BB274" s="508">
        <v>46386</v>
      </c>
      <c r="BC274" s="649">
        <f t="shared" si="6"/>
        <v>1</v>
      </c>
      <c r="BD274" s="35"/>
      <c r="BE274" s="35"/>
      <c r="BF274" s="35"/>
      <c r="BG274" s="35"/>
      <c r="BH274" s="35"/>
    </row>
    <row r="275" spans="24:60" x14ac:dyDescent="0.3">
      <c r="X275" s="251" t="s">
        <v>1407</v>
      </c>
      <c r="Y275" s="252" t="s">
        <v>823</v>
      </c>
      <c r="Z275" s="250" t="s">
        <v>898</v>
      </c>
      <c r="AG275" s="9"/>
      <c r="BB275" s="508">
        <v>46387</v>
      </c>
      <c r="BD275" s="35"/>
      <c r="BE275" s="35"/>
      <c r="BF275" s="35"/>
      <c r="BG275" s="35"/>
      <c r="BH275" s="35"/>
    </row>
    <row r="276" spans="24:60" x14ac:dyDescent="0.3">
      <c r="X276" s="248" t="s">
        <v>1408</v>
      </c>
      <c r="Y276" s="249" t="s">
        <v>823</v>
      </c>
      <c r="Z276" s="250" t="s">
        <v>898</v>
      </c>
      <c r="AG276" s="9"/>
      <c r="BD276" s="35"/>
      <c r="BE276" s="35"/>
      <c r="BF276" s="35"/>
      <c r="BG276" s="35"/>
      <c r="BH276" s="35"/>
    </row>
    <row r="277" spans="24:60" x14ac:dyDescent="0.3">
      <c r="X277" s="251" t="s">
        <v>1409</v>
      </c>
      <c r="Y277" s="252" t="s">
        <v>823</v>
      </c>
      <c r="Z277" s="250" t="s">
        <v>898</v>
      </c>
      <c r="AG277" s="9"/>
      <c r="BD277" s="35"/>
      <c r="BE277" s="35"/>
      <c r="BF277" s="35"/>
      <c r="BG277" s="35"/>
      <c r="BH277" s="35"/>
    </row>
    <row r="278" spans="24:60" x14ac:dyDescent="0.3">
      <c r="X278" s="248" t="s">
        <v>1410</v>
      </c>
      <c r="Y278" s="249" t="s">
        <v>823</v>
      </c>
      <c r="Z278" s="250" t="s">
        <v>898</v>
      </c>
      <c r="AG278" s="9"/>
      <c r="BD278" s="35"/>
      <c r="BE278" s="35"/>
      <c r="BF278" s="35"/>
      <c r="BG278" s="35"/>
      <c r="BH278" s="35"/>
    </row>
    <row r="279" spans="24:60" x14ac:dyDescent="0.3">
      <c r="X279" s="251" t="s">
        <v>1411</v>
      </c>
      <c r="Y279" s="252" t="s">
        <v>823</v>
      </c>
      <c r="Z279" s="250" t="s">
        <v>898</v>
      </c>
      <c r="AG279" s="9"/>
      <c r="BD279" s="35"/>
      <c r="BE279" s="35"/>
      <c r="BF279" s="35"/>
      <c r="BG279" s="35"/>
      <c r="BH279" s="35"/>
    </row>
    <row r="280" spans="24:60" x14ac:dyDescent="0.3">
      <c r="X280" s="248" t="s">
        <v>1412</v>
      </c>
      <c r="Y280" s="249" t="s">
        <v>823</v>
      </c>
      <c r="Z280" s="250" t="s">
        <v>898</v>
      </c>
      <c r="AG280" s="9"/>
      <c r="BD280" s="35"/>
      <c r="BE280" s="35"/>
      <c r="BF280" s="35"/>
      <c r="BG280" s="35"/>
      <c r="BH280" s="35"/>
    </row>
    <row r="281" spans="24:60" x14ac:dyDescent="0.3">
      <c r="X281" s="251" t="s">
        <v>1413</v>
      </c>
      <c r="Y281" s="252" t="s">
        <v>823</v>
      </c>
      <c r="Z281" s="250" t="s">
        <v>898</v>
      </c>
      <c r="AG281" s="9"/>
      <c r="BD281" s="35"/>
      <c r="BE281" s="35"/>
      <c r="BF281" s="35"/>
      <c r="BG281" s="35"/>
      <c r="BH281" s="35"/>
    </row>
    <row r="282" spans="24:60" x14ac:dyDescent="0.3">
      <c r="X282" s="248" t="s">
        <v>1414</v>
      </c>
      <c r="Y282" s="249" t="s">
        <v>823</v>
      </c>
      <c r="Z282" s="250" t="s">
        <v>898</v>
      </c>
      <c r="AG282" s="9"/>
      <c r="BD282" s="35"/>
      <c r="BE282" s="35"/>
      <c r="BF282" s="35"/>
      <c r="BG282" s="35"/>
      <c r="BH282" s="35"/>
    </row>
    <row r="283" spans="24:60" x14ac:dyDescent="0.3">
      <c r="X283" s="251" t="s">
        <v>1415</v>
      </c>
      <c r="Y283" s="252" t="s">
        <v>823</v>
      </c>
      <c r="Z283" s="250" t="s">
        <v>898</v>
      </c>
      <c r="AG283" s="9"/>
      <c r="BD283" s="35"/>
      <c r="BE283" s="35"/>
      <c r="BF283" s="35"/>
      <c r="BG283" s="35"/>
      <c r="BH283" s="35"/>
    </row>
    <row r="284" spans="24:60" x14ac:dyDescent="0.3">
      <c r="X284" s="248" t="s">
        <v>1416</v>
      </c>
      <c r="Y284" s="249" t="s">
        <v>823</v>
      </c>
      <c r="Z284" s="250" t="s">
        <v>898</v>
      </c>
      <c r="AG284" s="9"/>
      <c r="BD284" s="35"/>
      <c r="BE284" s="35"/>
      <c r="BF284" s="35"/>
      <c r="BG284" s="35"/>
      <c r="BH284" s="35"/>
    </row>
    <row r="285" spans="24:60" x14ac:dyDescent="0.3">
      <c r="X285" s="251" t="s">
        <v>1417</v>
      </c>
      <c r="Y285" s="252" t="s">
        <v>823</v>
      </c>
      <c r="Z285" s="250" t="s">
        <v>898</v>
      </c>
      <c r="AG285" s="9"/>
      <c r="BD285" s="35"/>
      <c r="BE285" s="35"/>
      <c r="BF285" s="35"/>
      <c r="BG285" s="35"/>
      <c r="BH285" s="35"/>
    </row>
    <row r="286" spans="24:60" x14ac:dyDescent="0.3">
      <c r="X286" s="248" t="s">
        <v>1418</v>
      </c>
      <c r="Y286" s="249" t="s">
        <v>823</v>
      </c>
      <c r="Z286" s="250" t="s">
        <v>898</v>
      </c>
      <c r="AG286" s="9"/>
      <c r="BD286" s="35"/>
      <c r="BE286" s="35"/>
      <c r="BF286" s="35"/>
      <c r="BG286" s="35"/>
      <c r="BH286" s="35"/>
    </row>
    <row r="287" spans="24:60" x14ac:dyDescent="0.3">
      <c r="X287" s="251" t="s">
        <v>1419</v>
      </c>
      <c r="Y287" s="252" t="s">
        <v>823</v>
      </c>
      <c r="Z287" s="250" t="s">
        <v>898</v>
      </c>
      <c r="AG287" s="9"/>
      <c r="BD287" s="35"/>
      <c r="BE287" s="35"/>
      <c r="BF287" s="35"/>
      <c r="BG287" s="35"/>
      <c r="BH287" s="35"/>
    </row>
    <row r="288" spans="24:60" x14ac:dyDescent="0.3">
      <c r="X288" s="248" t="s">
        <v>1420</v>
      </c>
      <c r="Y288" s="249" t="s">
        <v>823</v>
      </c>
      <c r="Z288" s="250" t="s">
        <v>898</v>
      </c>
      <c r="AG288" s="9"/>
      <c r="BD288" s="35"/>
      <c r="BE288" s="35"/>
      <c r="BF288" s="35"/>
      <c r="BG288" s="35"/>
      <c r="BH288" s="35"/>
    </row>
    <row r="289" spans="24:60" x14ac:dyDescent="0.3">
      <c r="X289" s="251" t="s">
        <v>1421</v>
      </c>
      <c r="Y289" s="252" t="s">
        <v>823</v>
      </c>
      <c r="Z289" s="250" t="s">
        <v>898</v>
      </c>
      <c r="AG289" s="9"/>
      <c r="BD289" s="35"/>
      <c r="BE289" s="35"/>
      <c r="BF289" s="35"/>
      <c r="BG289" s="35"/>
      <c r="BH289" s="35"/>
    </row>
    <row r="290" spans="24:60" x14ac:dyDescent="0.3">
      <c r="X290" s="248" t="s">
        <v>1422</v>
      </c>
      <c r="Y290" s="249" t="s">
        <v>823</v>
      </c>
      <c r="Z290" s="250" t="s">
        <v>898</v>
      </c>
      <c r="AG290" s="9"/>
      <c r="BD290" s="35"/>
      <c r="BE290" s="35"/>
      <c r="BF290" s="35"/>
      <c r="BG290" s="35"/>
      <c r="BH290" s="35"/>
    </row>
    <row r="291" spans="24:60" x14ac:dyDescent="0.3">
      <c r="X291" s="251" t="s">
        <v>1423</v>
      </c>
      <c r="Y291" s="252" t="s">
        <v>823</v>
      </c>
      <c r="Z291" s="250" t="s">
        <v>898</v>
      </c>
      <c r="AG291" s="9"/>
      <c r="BD291" s="35"/>
      <c r="BE291" s="35"/>
      <c r="BF291" s="35"/>
      <c r="BG291" s="35"/>
      <c r="BH291" s="35"/>
    </row>
    <row r="292" spans="24:60" x14ac:dyDescent="0.3">
      <c r="X292" s="248" t="s">
        <v>1424</v>
      </c>
      <c r="Y292" s="249" t="s">
        <v>823</v>
      </c>
      <c r="Z292" s="250" t="s">
        <v>898</v>
      </c>
      <c r="AG292" s="9"/>
      <c r="BD292" s="35"/>
      <c r="BE292" s="35"/>
      <c r="BF292" s="35"/>
      <c r="BG292" s="35"/>
      <c r="BH292" s="35"/>
    </row>
    <row r="293" spans="24:60" x14ac:dyDescent="0.3">
      <c r="X293" s="251" t="s">
        <v>1425</v>
      </c>
      <c r="Y293" s="252" t="s">
        <v>823</v>
      </c>
      <c r="Z293" s="250" t="s">
        <v>898</v>
      </c>
      <c r="AG293" s="9"/>
      <c r="BD293" s="35"/>
      <c r="BE293" s="35"/>
      <c r="BF293" s="35"/>
      <c r="BG293" s="35"/>
      <c r="BH293" s="35"/>
    </row>
    <row r="294" spans="24:60" x14ac:dyDescent="0.3">
      <c r="X294" s="248" t="s">
        <v>1426</v>
      </c>
      <c r="Y294" s="249" t="s">
        <v>823</v>
      </c>
      <c r="Z294" s="250" t="s">
        <v>898</v>
      </c>
      <c r="AG294" s="9"/>
      <c r="BD294" s="35"/>
      <c r="BE294" s="35"/>
      <c r="BF294" s="35"/>
      <c r="BG294" s="35"/>
      <c r="BH294" s="35"/>
    </row>
    <row r="295" spans="24:60" x14ac:dyDescent="0.3">
      <c r="X295" s="251" t="s">
        <v>1427</v>
      </c>
      <c r="Y295" s="252" t="s">
        <v>823</v>
      </c>
      <c r="Z295" s="250" t="s">
        <v>898</v>
      </c>
      <c r="AG295" s="9"/>
      <c r="BD295" s="35"/>
      <c r="BE295" s="35"/>
      <c r="BF295" s="35"/>
      <c r="BG295" s="35"/>
      <c r="BH295" s="35"/>
    </row>
    <row r="296" spans="24:60" x14ac:dyDescent="0.3">
      <c r="X296" s="248" t="s">
        <v>1428</v>
      </c>
      <c r="Y296" s="249" t="s">
        <v>823</v>
      </c>
      <c r="Z296" s="250" t="s">
        <v>898</v>
      </c>
      <c r="AG296" s="9"/>
      <c r="BD296" s="35"/>
      <c r="BE296" s="35"/>
      <c r="BF296" s="35"/>
      <c r="BG296" s="35"/>
      <c r="BH296" s="35"/>
    </row>
    <row r="297" spans="24:60" x14ac:dyDescent="0.3">
      <c r="X297" s="251" t="s">
        <v>1429</v>
      </c>
      <c r="Y297" s="252" t="s">
        <v>823</v>
      </c>
      <c r="Z297" s="250" t="s">
        <v>898</v>
      </c>
      <c r="AG297" s="9"/>
      <c r="BD297" s="35"/>
      <c r="BE297" s="35"/>
      <c r="BF297" s="35"/>
      <c r="BG297" s="35"/>
      <c r="BH297" s="35"/>
    </row>
    <row r="298" spans="24:60" x14ac:dyDescent="0.3">
      <c r="X298" s="248" t="s">
        <v>1430</v>
      </c>
      <c r="Y298" s="249" t="s">
        <v>823</v>
      </c>
      <c r="Z298" s="250" t="s">
        <v>898</v>
      </c>
      <c r="AG298" s="9"/>
      <c r="BD298" s="35"/>
      <c r="BE298" s="35"/>
      <c r="BF298" s="35"/>
      <c r="BG298" s="35"/>
      <c r="BH298" s="35"/>
    </row>
    <row r="299" spans="24:60" x14ac:dyDescent="0.3">
      <c r="X299" s="251" t="s">
        <v>1431</v>
      </c>
      <c r="Y299" s="252" t="s">
        <v>823</v>
      </c>
      <c r="Z299" s="250" t="s">
        <v>898</v>
      </c>
      <c r="AG299" s="9"/>
      <c r="BD299" s="35"/>
      <c r="BE299" s="35"/>
      <c r="BF299" s="35"/>
      <c r="BG299" s="35"/>
      <c r="BH299" s="35"/>
    </row>
    <row r="300" spans="24:60" x14ac:dyDescent="0.3">
      <c r="X300" s="248" t="s">
        <v>1432</v>
      </c>
      <c r="Y300" s="249" t="s">
        <v>823</v>
      </c>
      <c r="Z300" s="250" t="s">
        <v>898</v>
      </c>
      <c r="AG300" s="9"/>
      <c r="BD300" s="35"/>
      <c r="BE300" s="35"/>
      <c r="BF300" s="35"/>
      <c r="BG300" s="35"/>
      <c r="BH300" s="35"/>
    </row>
    <row r="301" spans="24:60" x14ac:dyDescent="0.3">
      <c r="X301" s="251" t="s">
        <v>1433</v>
      </c>
      <c r="Y301" s="252" t="s">
        <v>823</v>
      </c>
      <c r="Z301" s="250" t="s">
        <v>898</v>
      </c>
      <c r="AG301" s="9"/>
      <c r="BD301" s="35"/>
      <c r="BE301" s="35"/>
      <c r="BF301" s="35"/>
      <c r="BG301" s="35"/>
      <c r="BH301" s="35"/>
    </row>
    <row r="302" spans="24:60" x14ac:dyDescent="0.3">
      <c r="X302" s="248" t="s">
        <v>1434</v>
      </c>
      <c r="Y302" s="249" t="s">
        <v>823</v>
      </c>
      <c r="Z302" s="250" t="s">
        <v>898</v>
      </c>
      <c r="AG302" s="9"/>
      <c r="BD302" s="35"/>
      <c r="BE302" s="35"/>
      <c r="BF302" s="35"/>
      <c r="BG302" s="35"/>
      <c r="BH302" s="35"/>
    </row>
    <row r="303" spans="24:60" x14ac:dyDescent="0.3">
      <c r="X303" s="251" t="s">
        <v>1435</v>
      </c>
      <c r="Y303" s="252" t="s">
        <v>823</v>
      </c>
      <c r="Z303" s="250" t="s">
        <v>898</v>
      </c>
      <c r="AG303" s="9"/>
      <c r="BD303" s="35"/>
      <c r="BE303" s="35"/>
      <c r="BF303" s="35"/>
      <c r="BG303" s="35"/>
      <c r="BH303" s="35"/>
    </row>
    <row r="304" spans="24:60" x14ac:dyDescent="0.3">
      <c r="X304" s="248" t="s">
        <v>1436</v>
      </c>
      <c r="Y304" s="249" t="s">
        <v>823</v>
      </c>
      <c r="Z304" s="250" t="s">
        <v>898</v>
      </c>
      <c r="AG304" s="9"/>
      <c r="BD304" s="35"/>
      <c r="BE304" s="35"/>
      <c r="BF304" s="35"/>
      <c r="BG304" s="35"/>
      <c r="BH304" s="35"/>
    </row>
    <row r="305" spans="24:105" x14ac:dyDescent="0.3">
      <c r="X305" s="251" t="s">
        <v>1437</v>
      </c>
      <c r="Y305" s="252" t="s">
        <v>823</v>
      </c>
      <c r="Z305" s="250" t="s">
        <v>898</v>
      </c>
      <c r="AG305" s="9"/>
      <c r="BD305" s="35"/>
      <c r="BE305" s="35"/>
      <c r="BF305" s="35"/>
      <c r="BG305" s="35"/>
      <c r="BH305" s="35"/>
    </row>
    <row r="306" spans="24:105" x14ac:dyDescent="0.3">
      <c r="X306" s="248" t="s">
        <v>1438</v>
      </c>
      <c r="Y306" s="249" t="s">
        <v>823</v>
      </c>
      <c r="Z306" s="250" t="s">
        <v>898</v>
      </c>
      <c r="AG306" s="9"/>
      <c r="BD306" s="35"/>
      <c r="BE306" s="35"/>
      <c r="BF306" s="35"/>
      <c r="BG306" s="35"/>
      <c r="BH306" s="35"/>
      <c r="BI306" s="35"/>
      <c r="BJ306" s="35"/>
      <c r="BK306" s="35"/>
      <c r="BL306" s="35"/>
      <c r="BM306" s="35"/>
      <c r="BN306" s="35"/>
      <c r="BO306" s="35"/>
      <c r="BP306" s="35"/>
      <c r="BQ306" s="35"/>
      <c r="BR306" s="35"/>
      <c r="BS306" s="35"/>
      <c r="BT306" s="35"/>
      <c r="BU306" s="35"/>
      <c r="BV306" s="35"/>
      <c r="BW306" s="35"/>
      <c r="BX306" s="35"/>
      <c r="BY306" s="35"/>
      <c r="BZ306" s="35"/>
      <c r="CA306" s="35"/>
      <c r="CB306" s="35"/>
      <c r="CC306" s="35"/>
      <c r="CD306" s="35"/>
      <c r="CE306" s="35"/>
      <c r="CF306" s="35"/>
      <c r="CG306" s="35"/>
      <c r="CH306" s="35"/>
      <c r="CI306" s="35"/>
      <c r="CJ306" s="35"/>
      <c r="CK306" s="35"/>
      <c r="CL306" s="35"/>
      <c r="CM306" s="35"/>
      <c r="CN306" s="35"/>
      <c r="CO306" s="35"/>
      <c r="CP306" s="35"/>
      <c r="CQ306" s="35"/>
      <c r="CR306" s="35"/>
      <c r="CS306" s="35"/>
      <c r="CT306" s="35"/>
      <c r="CU306" s="35"/>
      <c r="CV306" s="35"/>
      <c r="CW306" s="35"/>
      <c r="CX306" s="35"/>
      <c r="CY306" s="35"/>
      <c r="CZ306" s="35"/>
      <c r="DA306" s="35"/>
    </row>
    <row r="307" spans="24:105" x14ac:dyDescent="0.3">
      <c r="X307" s="251" t="s">
        <v>1439</v>
      </c>
      <c r="Y307" s="252" t="s">
        <v>823</v>
      </c>
      <c r="Z307" s="250" t="s">
        <v>898</v>
      </c>
      <c r="AG307" s="9"/>
      <c r="BD307" s="35"/>
      <c r="BE307" s="35"/>
      <c r="BF307" s="35"/>
      <c r="BG307" s="35"/>
      <c r="BH307" s="35"/>
      <c r="BI307" s="35"/>
      <c r="BJ307" s="35"/>
      <c r="BK307" s="35"/>
      <c r="BL307" s="35"/>
      <c r="BM307" s="35"/>
      <c r="BN307" s="35"/>
      <c r="BO307" s="35"/>
      <c r="BP307" s="35"/>
      <c r="BQ307" s="35"/>
      <c r="BR307" s="35"/>
      <c r="BS307" s="35"/>
      <c r="BT307" s="35"/>
      <c r="BU307" s="35"/>
      <c r="BV307" s="35"/>
      <c r="BW307" s="35"/>
      <c r="BX307" s="35"/>
      <c r="BY307" s="35"/>
      <c r="BZ307" s="35"/>
      <c r="CA307" s="35"/>
      <c r="CB307" s="35"/>
      <c r="CC307" s="35"/>
      <c r="CD307" s="35"/>
      <c r="CE307" s="35"/>
      <c r="CF307" s="35"/>
      <c r="CG307" s="35"/>
      <c r="CH307" s="35"/>
      <c r="CI307" s="35"/>
      <c r="CJ307" s="35"/>
      <c r="CK307" s="35"/>
      <c r="CL307" s="35"/>
      <c r="CM307" s="35"/>
      <c r="CN307" s="35"/>
      <c r="CO307" s="35"/>
      <c r="CP307" s="35"/>
      <c r="CQ307" s="35"/>
      <c r="CR307" s="35"/>
      <c r="CS307" s="35"/>
      <c r="CT307" s="35"/>
      <c r="CU307" s="35"/>
      <c r="CV307" s="35"/>
      <c r="CW307" s="35"/>
      <c r="CX307" s="35"/>
      <c r="CY307" s="35"/>
      <c r="CZ307" s="35"/>
      <c r="DA307" s="35"/>
    </row>
    <row r="308" spans="24:105" x14ac:dyDescent="0.3">
      <c r="X308" s="248" t="s">
        <v>1440</v>
      </c>
      <c r="Y308" s="249" t="s">
        <v>823</v>
      </c>
      <c r="Z308" s="250" t="s">
        <v>898</v>
      </c>
      <c r="AG308" s="9"/>
      <c r="BD308" s="35"/>
      <c r="BE308" s="35"/>
      <c r="BF308" s="35"/>
      <c r="BG308" s="35"/>
      <c r="BH308" s="35"/>
      <c r="BI308" s="35"/>
      <c r="BJ308" s="35"/>
      <c r="BK308" s="35"/>
      <c r="BL308" s="35"/>
      <c r="BM308" s="35"/>
      <c r="BN308" s="35"/>
      <c r="BO308" s="35"/>
      <c r="BP308" s="35"/>
      <c r="BQ308" s="35"/>
      <c r="BR308" s="35"/>
      <c r="BS308" s="35"/>
      <c r="BT308" s="35"/>
      <c r="BU308" s="35"/>
      <c r="BV308" s="35"/>
      <c r="BW308" s="35"/>
      <c r="BX308" s="35"/>
      <c r="BY308" s="35"/>
      <c r="BZ308" s="35"/>
      <c r="CA308" s="35"/>
      <c r="CB308" s="35"/>
      <c r="CC308" s="35"/>
      <c r="CD308" s="35"/>
      <c r="CE308" s="35"/>
      <c r="CF308" s="35"/>
      <c r="CG308" s="35"/>
      <c r="CH308" s="35"/>
      <c r="CI308" s="35"/>
      <c r="CJ308" s="35"/>
      <c r="CK308" s="35"/>
      <c r="CL308" s="35"/>
      <c r="CM308" s="35"/>
      <c r="CN308" s="35"/>
      <c r="CO308" s="35"/>
      <c r="CP308" s="35"/>
      <c r="CQ308" s="35"/>
      <c r="CR308" s="35"/>
      <c r="CS308" s="35"/>
      <c r="CT308" s="35"/>
      <c r="CU308" s="35"/>
      <c r="CV308" s="35"/>
      <c r="CW308" s="35"/>
      <c r="CX308" s="35"/>
      <c r="CY308" s="35"/>
      <c r="CZ308" s="35"/>
      <c r="DA308" s="35"/>
    </row>
    <row r="309" spans="24:105" x14ac:dyDescent="0.3">
      <c r="X309" s="251" t="s">
        <v>1441</v>
      </c>
      <c r="Y309" s="252" t="s">
        <v>823</v>
      </c>
      <c r="Z309" s="250" t="s">
        <v>898</v>
      </c>
      <c r="AG309" s="9"/>
      <c r="BD309" s="35"/>
      <c r="BE309" s="35"/>
      <c r="BF309" s="35"/>
      <c r="BG309" s="35"/>
      <c r="BH309" s="35"/>
      <c r="BI309" s="35"/>
      <c r="BJ309" s="35"/>
      <c r="BK309" s="35"/>
      <c r="BL309" s="35"/>
      <c r="BM309" s="35"/>
      <c r="BN309" s="35"/>
      <c r="BO309" s="35"/>
      <c r="BP309" s="35"/>
      <c r="BQ309" s="35"/>
      <c r="BR309" s="35"/>
      <c r="BS309" s="35"/>
      <c r="BT309" s="35"/>
      <c r="BU309" s="35"/>
      <c r="BV309" s="35"/>
      <c r="BW309" s="35"/>
      <c r="BX309" s="35"/>
      <c r="BY309" s="35"/>
      <c r="BZ309" s="35"/>
      <c r="CA309" s="35"/>
      <c r="CB309" s="35"/>
      <c r="CC309" s="35"/>
      <c r="CD309" s="35"/>
      <c r="CE309" s="35"/>
      <c r="CF309" s="35"/>
      <c r="CG309" s="35"/>
      <c r="CH309" s="35"/>
      <c r="CI309" s="35"/>
      <c r="CJ309" s="35"/>
      <c r="CK309" s="35"/>
      <c r="CL309" s="35"/>
      <c r="CM309" s="35"/>
      <c r="CN309" s="35"/>
      <c r="CO309" s="35"/>
      <c r="CP309" s="35"/>
      <c r="CQ309" s="35"/>
      <c r="CR309" s="35"/>
      <c r="CS309" s="35"/>
      <c r="CT309" s="35"/>
      <c r="CU309" s="35"/>
      <c r="CV309" s="35"/>
      <c r="CW309" s="35"/>
      <c r="CX309" s="35"/>
      <c r="CY309" s="35"/>
      <c r="CZ309" s="35"/>
      <c r="DA309" s="35"/>
    </row>
    <row r="310" spans="24:105" x14ac:dyDescent="0.3">
      <c r="X310" s="248" t="s">
        <v>1442</v>
      </c>
      <c r="Y310" s="249" t="s">
        <v>823</v>
      </c>
      <c r="Z310" s="250" t="s">
        <v>898</v>
      </c>
      <c r="AG310" s="9"/>
      <c r="BD310" s="35"/>
      <c r="BE310" s="35"/>
      <c r="BF310" s="35"/>
      <c r="BG310" s="35"/>
      <c r="BH310" s="35"/>
      <c r="BI310" s="35"/>
      <c r="BJ310" s="35"/>
      <c r="BK310" s="35"/>
      <c r="BL310" s="35"/>
      <c r="BM310" s="35"/>
      <c r="BN310" s="35"/>
      <c r="BO310" s="35"/>
      <c r="BP310" s="35"/>
      <c r="BQ310" s="35"/>
      <c r="BR310" s="35"/>
      <c r="BS310" s="35"/>
      <c r="BT310" s="35"/>
      <c r="BU310" s="35"/>
      <c r="BV310" s="35"/>
      <c r="BW310" s="35"/>
      <c r="BX310" s="35"/>
      <c r="BY310" s="35"/>
      <c r="BZ310" s="35"/>
      <c r="CA310" s="35"/>
      <c r="CB310" s="35"/>
      <c r="CC310" s="35"/>
      <c r="CD310" s="35"/>
      <c r="CE310" s="35"/>
      <c r="CF310" s="35"/>
      <c r="CG310" s="35"/>
      <c r="CH310" s="35"/>
      <c r="CI310" s="35"/>
      <c r="CJ310" s="35"/>
      <c r="CK310" s="35"/>
      <c r="CL310" s="35"/>
      <c r="CM310" s="35"/>
      <c r="CN310" s="35"/>
      <c r="CO310" s="35"/>
      <c r="CP310" s="35"/>
      <c r="CQ310" s="35"/>
      <c r="CR310" s="35"/>
      <c r="CS310" s="35"/>
      <c r="CT310" s="35"/>
      <c r="CU310" s="35"/>
      <c r="CV310" s="35"/>
      <c r="CW310" s="35"/>
      <c r="CX310" s="35"/>
      <c r="CY310" s="35"/>
      <c r="CZ310" s="35"/>
      <c r="DA310" s="35"/>
    </row>
    <row r="311" spans="24:105" x14ac:dyDescent="0.3">
      <c r="X311" s="251" t="s">
        <v>1443</v>
      </c>
      <c r="Y311" s="252" t="s">
        <v>823</v>
      </c>
      <c r="Z311" s="250" t="s">
        <v>898</v>
      </c>
      <c r="AG311" s="9"/>
    </row>
    <row r="312" spans="24:105" x14ac:dyDescent="0.3">
      <c r="X312" s="248" t="s">
        <v>1444</v>
      </c>
      <c r="Y312" s="249" t="s">
        <v>823</v>
      </c>
      <c r="Z312" s="250" t="s">
        <v>898</v>
      </c>
      <c r="AG312" s="9"/>
    </row>
    <row r="313" spans="24:105" x14ac:dyDescent="0.3">
      <c r="X313" s="251" t="s">
        <v>1445</v>
      </c>
      <c r="Y313" s="252" t="s">
        <v>823</v>
      </c>
      <c r="Z313" s="250" t="s">
        <v>898</v>
      </c>
      <c r="AG313" s="9"/>
    </row>
    <row r="314" spans="24:105" x14ac:dyDescent="0.3">
      <c r="X314" s="248" t="s">
        <v>1446</v>
      </c>
      <c r="Y314" s="249" t="s">
        <v>823</v>
      </c>
      <c r="Z314" s="250" t="s">
        <v>898</v>
      </c>
      <c r="AG314" s="9"/>
    </row>
    <row r="315" spans="24:105" x14ac:dyDescent="0.3">
      <c r="X315" s="251" t="s">
        <v>1447</v>
      </c>
      <c r="Y315" s="252" t="s">
        <v>823</v>
      </c>
      <c r="Z315" s="250" t="s">
        <v>898</v>
      </c>
      <c r="AG315" s="9"/>
    </row>
    <row r="316" spans="24:105" x14ac:dyDescent="0.3">
      <c r="X316" s="248" t="s">
        <v>1448</v>
      </c>
      <c r="Y316" s="249" t="s">
        <v>821</v>
      </c>
      <c r="Z316" s="250" t="s">
        <v>898</v>
      </c>
      <c r="AG316" s="9"/>
    </row>
    <row r="317" spans="24:105" x14ac:dyDescent="0.3">
      <c r="X317" s="251" t="s">
        <v>1449</v>
      </c>
      <c r="Y317" s="252" t="s">
        <v>821</v>
      </c>
      <c r="Z317" s="250" t="s">
        <v>898</v>
      </c>
      <c r="AG317" s="9"/>
    </row>
    <row r="318" spans="24:105" x14ac:dyDescent="0.3">
      <c r="X318" s="248" t="s">
        <v>1450</v>
      </c>
      <c r="Y318" s="249" t="s">
        <v>821</v>
      </c>
      <c r="Z318" s="250" t="s">
        <v>898</v>
      </c>
      <c r="AG318" s="9"/>
    </row>
    <row r="319" spans="24:105" x14ac:dyDescent="0.3">
      <c r="X319" s="251" t="s">
        <v>1451</v>
      </c>
      <c r="Y319" s="252" t="s">
        <v>821</v>
      </c>
      <c r="Z319" s="250" t="s">
        <v>898</v>
      </c>
      <c r="AG319" s="9"/>
    </row>
    <row r="320" spans="24:105" x14ac:dyDescent="0.3">
      <c r="X320" s="248" t="s">
        <v>1452</v>
      </c>
      <c r="Y320" s="249" t="s">
        <v>821</v>
      </c>
      <c r="Z320" s="250" t="s">
        <v>898</v>
      </c>
      <c r="AG320" s="9"/>
    </row>
    <row r="321" spans="24:33" x14ac:dyDescent="0.3">
      <c r="X321" s="251" t="s">
        <v>1453</v>
      </c>
      <c r="Y321" s="252" t="s">
        <v>821</v>
      </c>
      <c r="Z321" s="250" t="s">
        <v>898</v>
      </c>
      <c r="AG321" s="9"/>
    </row>
    <row r="322" spans="24:33" x14ac:dyDescent="0.3">
      <c r="X322" s="248" t="s">
        <v>1454</v>
      </c>
      <c r="Y322" s="249" t="s">
        <v>821</v>
      </c>
      <c r="Z322" s="250" t="s">
        <v>898</v>
      </c>
      <c r="AG322" s="9"/>
    </row>
    <row r="323" spans="24:33" x14ac:dyDescent="0.3">
      <c r="X323" s="251" t="s">
        <v>1455</v>
      </c>
      <c r="Y323" s="252" t="s">
        <v>821</v>
      </c>
      <c r="Z323" s="250" t="s">
        <v>898</v>
      </c>
      <c r="AG323" s="9"/>
    </row>
    <row r="324" spans="24:33" x14ac:dyDescent="0.3">
      <c r="X324" s="248" t="s">
        <v>338</v>
      </c>
      <c r="Y324" s="249" t="s">
        <v>821</v>
      </c>
      <c r="Z324" s="250" t="s">
        <v>898</v>
      </c>
      <c r="AG324" s="9"/>
    </row>
    <row r="325" spans="24:33" x14ac:dyDescent="0.3">
      <c r="X325" s="251" t="s">
        <v>1456</v>
      </c>
      <c r="Y325" s="252" t="s">
        <v>821</v>
      </c>
      <c r="Z325" s="250" t="s">
        <v>898</v>
      </c>
      <c r="AG325" s="9"/>
    </row>
    <row r="326" spans="24:33" x14ac:dyDescent="0.3">
      <c r="X326" s="248" t="s">
        <v>1457</v>
      </c>
      <c r="Y326" s="249" t="s">
        <v>821</v>
      </c>
      <c r="Z326" s="250" t="s">
        <v>898</v>
      </c>
      <c r="AG326" s="9"/>
    </row>
    <row r="327" spans="24:33" x14ac:dyDescent="0.3">
      <c r="X327" s="251" t="s">
        <v>1458</v>
      </c>
      <c r="Y327" s="252" t="s">
        <v>821</v>
      </c>
      <c r="Z327" s="250" t="s">
        <v>898</v>
      </c>
      <c r="AG327" s="9"/>
    </row>
    <row r="328" spans="24:33" x14ac:dyDescent="0.3">
      <c r="X328" s="248" t="s">
        <v>1459</v>
      </c>
      <c r="Y328" s="249" t="s">
        <v>821</v>
      </c>
      <c r="Z328" s="250" t="s">
        <v>898</v>
      </c>
      <c r="AG328" s="9"/>
    </row>
    <row r="329" spans="24:33" x14ac:dyDescent="0.3">
      <c r="X329" s="251" t="s">
        <v>1460</v>
      </c>
      <c r="Y329" s="252" t="s">
        <v>821</v>
      </c>
      <c r="Z329" s="250" t="s">
        <v>898</v>
      </c>
      <c r="AG329" s="9"/>
    </row>
    <row r="330" spans="24:33" x14ac:dyDescent="0.3">
      <c r="X330" s="248" t="s">
        <v>1461</v>
      </c>
      <c r="Y330" s="249" t="s">
        <v>821</v>
      </c>
      <c r="Z330" s="250" t="s">
        <v>898</v>
      </c>
      <c r="AG330" s="9"/>
    </row>
    <row r="331" spans="24:33" x14ac:dyDescent="0.3">
      <c r="X331" s="251" t="s">
        <v>1462</v>
      </c>
      <c r="Y331" s="252" t="s">
        <v>821</v>
      </c>
      <c r="Z331" s="250" t="s">
        <v>898</v>
      </c>
      <c r="AG331" s="9"/>
    </row>
    <row r="332" spans="24:33" x14ac:dyDescent="0.3">
      <c r="X332" s="248" t="s">
        <v>1463</v>
      </c>
      <c r="Y332" s="249" t="s">
        <v>821</v>
      </c>
      <c r="Z332" s="250" t="s">
        <v>898</v>
      </c>
      <c r="AG332" s="9"/>
    </row>
    <row r="333" spans="24:33" x14ac:dyDescent="0.3">
      <c r="X333" s="251" t="s">
        <v>1464</v>
      </c>
      <c r="Y333" s="252" t="s">
        <v>821</v>
      </c>
      <c r="Z333" s="250" t="s">
        <v>898</v>
      </c>
      <c r="AG333" s="9"/>
    </row>
    <row r="334" spans="24:33" x14ac:dyDescent="0.3">
      <c r="X334" s="248" t="s">
        <v>1465</v>
      </c>
      <c r="Y334" s="249" t="s">
        <v>821</v>
      </c>
      <c r="Z334" s="250" t="s">
        <v>898</v>
      </c>
      <c r="AG334" s="9"/>
    </row>
    <row r="335" spans="24:33" x14ac:dyDescent="0.3">
      <c r="X335" s="251" t="s">
        <v>1466</v>
      </c>
      <c r="Y335" s="252" t="s">
        <v>821</v>
      </c>
      <c r="Z335" s="250" t="s">
        <v>898</v>
      </c>
      <c r="AG335" s="9"/>
    </row>
    <row r="336" spans="24:33" x14ac:dyDescent="0.3">
      <c r="X336" s="248" t="s">
        <v>1467</v>
      </c>
      <c r="Y336" s="249" t="s">
        <v>821</v>
      </c>
      <c r="Z336" s="250" t="s">
        <v>898</v>
      </c>
      <c r="AG336" s="9"/>
    </row>
    <row r="337" spans="24:33" x14ac:dyDescent="0.3">
      <c r="X337" s="251" t="s">
        <v>1468</v>
      </c>
      <c r="Y337" s="252" t="s">
        <v>821</v>
      </c>
      <c r="Z337" s="250" t="s">
        <v>898</v>
      </c>
      <c r="AG337" s="9"/>
    </row>
    <row r="338" spans="24:33" x14ac:dyDescent="0.3">
      <c r="X338" s="248" t="s">
        <v>1469</v>
      </c>
      <c r="Y338" s="249" t="s">
        <v>821</v>
      </c>
      <c r="Z338" s="250" t="s">
        <v>898</v>
      </c>
      <c r="AG338" s="9"/>
    </row>
    <row r="339" spans="24:33" x14ac:dyDescent="0.3">
      <c r="X339" s="251" t="s">
        <v>1470</v>
      </c>
      <c r="Y339" s="252" t="s">
        <v>821</v>
      </c>
      <c r="Z339" s="250" t="s">
        <v>898</v>
      </c>
      <c r="AG339" s="9"/>
    </row>
    <row r="340" spans="24:33" x14ac:dyDescent="0.3">
      <c r="X340" s="248" t="s">
        <v>393</v>
      </c>
      <c r="Y340" s="249" t="s">
        <v>821</v>
      </c>
      <c r="Z340" s="250" t="s">
        <v>898</v>
      </c>
      <c r="AG340" s="9"/>
    </row>
    <row r="341" spans="24:33" x14ac:dyDescent="0.3">
      <c r="X341" s="251" t="s">
        <v>1471</v>
      </c>
      <c r="Y341" s="252" t="s">
        <v>821</v>
      </c>
      <c r="Z341" s="250" t="s">
        <v>898</v>
      </c>
      <c r="AG341" s="9"/>
    </row>
    <row r="342" spans="24:33" x14ac:dyDescent="0.3">
      <c r="X342" s="248" t="s">
        <v>1472</v>
      </c>
      <c r="Y342" s="249" t="s">
        <v>821</v>
      </c>
      <c r="Z342" s="250" t="s">
        <v>898</v>
      </c>
      <c r="AG342" s="9"/>
    </row>
    <row r="343" spans="24:33" x14ac:dyDescent="0.3">
      <c r="X343" s="251" t="s">
        <v>357</v>
      </c>
      <c r="Y343" s="252" t="s">
        <v>821</v>
      </c>
      <c r="Z343" s="250" t="s">
        <v>898</v>
      </c>
      <c r="AG343" s="9"/>
    </row>
    <row r="344" spans="24:33" x14ac:dyDescent="0.3">
      <c r="X344" s="248" t="s">
        <v>1473</v>
      </c>
      <c r="Y344" s="249" t="s">
        <v>821</v>
      </c>
      <c r="Z344" s="250" t="s">
        <v>898</v>
      </c>
      <c r="AG344" s="9"/>
    </row>
    <row r="345" spans="24:33" x14ac:dyDescent="0.3">
      <c r="X345" s="251" t="s">
        <v>1474</v>
      </c>
      <c r="Y345" s="252" t="s">
        <v>821</v>
      </c>
      <c r="Z345" s="250" t="s">
        <v>898</v>
      </c>
      <c r="AG345" s="9"/>
    </row>
    <row r="346" spans="24:33" x14ac:dyDescent="0.3">
      <c r="X346" s="248" t="s">
        <v>1475</v>
      </c>
      <c r="Y346" s="249" t="s">
        <v>821</v>
      </c>
      <c r="Z346" s="250" t="s">
        <v>898</v>
      </c>
      <c r="AG346" s="9"/>
    </row>
    <row r="347" spans="24:33" x14ac:dyDescent="0.3">
      <c r="X347" s="251" t="s">
        <v>1476</v>
      </c>
      <c r="Y347" s="252" t="s">
        <v>821</v>
      </c>
      <c r="Z347" s="250" t="s">
        <v>898</v>
      </c>
      <c r="AG347" s="9"/>
    </row>
    <row r="348" spans="24:33" x14ac:dyDescent="0.3">
      <c r="X348" s="248" t="s">
        <v>1477</v>
      </c>
      <c r="Y348" s="249" t="s">
        <v>821</v>
      </c>
      <c r="Z348" s="250" t="s">
        <v>898</v>
      </c>
      <c r="AG348" s="9"/>
    </row>
    <row r="349" spans="24:33" x14ac:dyDescent="0.3">
      <c r="X349" s="251" t="s">
        <v>1478</v>
      </c>
      <c r="Y349" s="252" t="s">
        <v>821</v>
      </c>
      <c r="Z349" s="250" t="s">
        <v>898</v>
      </c>
      <c r="AG349" s="9"/>
    </row>
    <row r="350" spans="24:33" x14ac:dyDescent="0.3">
      <c r="X350" s="248" t="s">
        <v>359</v>
      </c>
      <c r="Y350" s="249" t="s">
        <v>821</v>
      </c>
      <c r="Z350" s="250" t="s">
        <v>898</v>
      </c>
      <c r="AG350" s="9"/>
    </row>
    <row r="351" spans="24:33" x14ac:dyDescent="0.3">
      <c r="X351" s="251" t="s">
        <v>1479</v>
      </c>
      <c r="Y351" s="252" t="s">
        <v>821</v>
      </c>
      <c r="Z351" s="250" t="s">
        <v>898</v>
      </c>
      <c r="AG351" s="9"/>
    </row>
    <row r="352" spans="24:33" x14ac:dyDescent="0.3">
      <c r="X352" s="248" t="s">
        <v>1480</v>
      </c>
      <c r="Y352" s="249" t="s">
        <v>821</v>
      </c>
      <c r="Z352" s="250" t="s">
        <v>898</v>
      </c>
      <c r="AG352" s="9"/>
    </row>
    <row r="353" spans="24:33" x14ac:dyDescent="0.3">
      <c r="X353" s="251" t="s">
        <v>1481</v>
      </c>
      <c r="Y353" s="252" t="s">
        <v>821</v>
      </c>
      <c r="Z353" s="250" t="s">
        <v>898</v>
      </c>
      <c r="AG353" s="9"/>
    </row>
    <row r="354" spans="24:33" x14ac:dyDescent="0.3">
      <c r="X354" s="248" t="s">
        <v>1482</v>
      </c>
      <c r="Y354" s="249" t="s">
        <v>821</v>
      </c>
      <c r="Z354" s="250" t="s">
        <v>898</v>
      </c>
      <c r="AG354" s="9"/>
    </row>
    <row r="355" spans="24:33" x14ac:dyDescent="0.3">
      <c r="X355" s="251" t="s">
        <v>1483</v>
      </c>
      <c r="Y355" s="252" t="s">
        <v>821</v>
      </c>
      <c r="Z355" s="250" t="s">
        <v>898</v>
      </c>
      <c r="AG355" s="9"/>
    </row>
    <row r="356" spans="24:33" x14ac:dyDescent="0.3">
      <c r="X356" s="248" t="s">
        <v>1484</v>
      </c>
      <c r="Y356" s="249" t="s">
        <v>821</v>
      </c>
      <c r="Z356" s="250" t="s">
        <v>898</v>
      </c>
      <c r="AG356" s="9"/>
    </row>
    <row r="357" spans="24:33" x14ac:dyDescent="0.3">
      <c r="X357" s="251" t="s">
        <v>1485</v>
      </c>
      <c r="Y357" s="252" t="s">
        <v>821</v>
      </c>
      <c r="Z357" s="250" t="s">
        <v>898</v>
      </c>
      <c r="AG357" s="9"/>
    </row>
    <row r="358" spans="24:33" x14ac:dyDescent="0.3">
      <c r="X358" s="248" t="s">
        <v>1486</v>
      </c>
      <c r="Y358" s="249" t="s">
        <v>821</v>
      </c>
      <c r="Z358" s="250" t="s">
        <v>898</v>
      </c>
      <c r="AG358" s="9"/>
    </row>
    <row r="359" spans="24:33" x14ac:dyDescent="0.3">
      <c r="X359" s="251" t="s">
        <v>362</v>
      </c>
      <c r="Y359" s="252" t="s">
        <v>821</v>
      </c>
      <c r="Z359" s="250" t="s">
        <v>898</v>
      </c>
      <c r="AG359" s="9"/>
    </row>
    <row r="360" spans="24:33" x14ac:dyDescent="0.3">
      <c r="X360" s="248" t="s">
        <v>363</v>
      </c>
      <c r="Y360" s="249" t="s">
        <v>821</v>
      </c>
      <c r="Z360" s="250" t="s">
        <v>898</v>
      </c>
      <c r="AG360" s="9"/>
    </row>
    <row r="361" spans="24:33" x14ac:dyDescent="0.3">
      <c r="X361" s="251" t="s">
        <v>1487</v>
      </c>
      <c r="Y361" s="252" t="s">
        <v>821</v>
      </c>
      <c r="Z361" s="250" t="s">
        <v>898</v>
      </c>
      <c r="AG361" s="9"/>
    </row>
    <row r="362" spans="24:33" x14ac:dyDescent="0.3">
      <c r="X362" s="248" t="s">
        <v>1488</v>
      </c>
      <c r="Y362" s="249" t="s">
        <v>821</v>
      </c>
      <c r="Z362" s="250" t="s">
        <v>898</v>
      </c>
      <c r="AG362" s="9"/>
    </row>
    <row r="363" spans="24:33" x14ac:dyDescent="0.3">
      <c r="X363" s="251" t="s">
        <v>1489</v>
      </c>
      <c r="Y363" s="252" t="s">
        <v>821</v>
      </c>
      <c r="Z363" s="250" t="s">
        <v>898</v>
      </c>
      <c r="AG363" s="9"/>
    </row>
    <row r="364" spans="24:33" x14ac:dyDescent="0.3">
      <c r="X364" s="248" t="s">
        <v>1490</v>
      </c>
      <c r="Y364" s="249" t="s">
        <v>821</v>
      </c>
      <c r="Z364" s="250" t="s">
        <v>898</v>
      </c>
      <c r="AG364" s="9"/>
    </row>
    <row r="365" spans="24:33" x14ac:dyDescent="0.3">
      <c r="X365" s="251" t="s">
        <v>1491</v>
      </c>
      <c r="Y365" s="252" t="s">
        <v>821</v>
      </c>
      <c r="Z365" s="250" t="s">
        <v>898</v>
      </c>
      <c r="AG365" s="9"/>
    </row>
    <row r="366" spans="24:33" x14ac:dyDescent="0.3">
      <c r="X366" s="248" t="s">
        <v>1492</v>
      </c>
      <c r="Y366" s="249" t="s">
        <v>821</v>
      </c>
      <c r="Z366" s="250" t="s">
        <v>898</v>
      </c>
      <c r="AG366" s="9"/>
    </row>
    <row r="367" spans="24:33" x14ac:dyDescent="0.3">
      <c r="X367" s="251" t="s">
        <v>1493</v>
      </c>
      <c r="Y367" s="252" t="s">
        <v>821</v>
      </c>
      <c r="Z367" s="250" t="s">
        <v>898</v>
      </c>
      <c r="AG367" s="9"/>
    </row>
    <row r="368" spans="24:33" x14ac:dyDescent="0.3">
      <c r="X368" s="248" t="s">
        <v>1494</v>
      </c>
      <c r="Y368" s="249" t="s">
        <v>821</v>
      </c>
      <c r="Z368" s="250" t="s">
        <v>898</v>
      </c>
      <c r="AG368" s="9"/>
    </row>
    <row r="369" spans="24:33" x14ac:dyDescent="0.3">
      <c r="X369" s="251" t="s">
        <v>1495</v>
      </c>
      <c r="Y369" s="252" t="s">
        <v>821</v>
      </c>
      <c r="Z369" s="250" t="s">
        <v>898</v>
      </c>
      <c r="AG369" s="9"/>
    </row>
    <row r="370" spans="24:33" x14ac:dyDescent="0.3">
      <c r="X370" s="248" t="s">
        <v>1496</v>
      </c>
      <c r="Y370" s="249" t="s">
        <v>821</v>
      </c>
      <c r="Z370" s="250" t="s">
        <v>898</v>
      </c>
      <c r="AG370" s="9"/>
    </row>
    <row r="371" spans="24:33" x14ac:dyDescent="0.3">
      <c r="X371" s="251" t="s">
        <v>1497</v>
      </c>
      <c r="Y371" s="252" t="s">
        <v>821</v>
      </c>
      <c r="Z371" s="250" t="s">
        <v>898</v>
      </c>
      <c r="AG371" s="9"/>
    </row>
    <row r="372" spans="24:33" x14ac:dyDescent="0.3">
      <c r="X372" s="248" t="s">
        <v>1498</v>
      </c>
      <c r="Y372" s="249" t="s">
        <v>821</v>
      </c>
      <c r="Z372" s="250" t="s">
        <v>898</v>
      </c>
      <c r="AG372" s="9"/>
    </row>
    <row r="373" spans="24:33" x14ac:dyDescent="0.3">
      <c r="X373" s="251" t="s">
        <v>1499</v>
      </c>
      <c r="Y373" s="252" t="s">
        <v>821</v>
      </c>
      <c r="Z373" s="250" t="s">
        <v>898</v>
      </c>
      <c r="AG373" s="9"/>
    </row>
    <row r="374" spans="24:33" x14ac:dyDescent="0.3">
      <c r="X374" s="248" t="s">
        <v>1500</v>
      </c>
      <c r="Y374" s="249" t="s">
        <v>821</v>
      </c>
      <c r="Z374" s="250" t="s">
        <v>898</v>
      </c>
      <c r="AG374" s="9"/>
    </row>
    <row r="375" spans="24:33" x14ac:dyDescent="0.3">
      <c r="X375" s="251" t="s">
        <v>407</v>
      </c>
      <c r="Y375" s="252" t="s">
        <v>821</v>
      </c>
      <c r="Z375" s="250" t="s">
        <v>898</v>
      </c>
      <c r="AG375" s="9"/>
    </row>
    <row r="376" spans="24:33" x14ac:dyDescent="0.3">
      <c r="X376" s="248" t="s">
        <v>1501</v>
      </c>
      <c r="Y376" s="249" t="s">
        <v>821</v>
      </c>
      <c r="Z376" s="250" t="s">
        <v>898</v>
      </c>
      <c r="AG376" s="9"/>
    </row>
    <row r="377" spans="24:33" x14ac:dyDescent="0.3">
      <c r="X377" s="251" t="s">
        <v>1502</v>
      </c>
      <c r="Y377" s="252" t="s">
        <v>821</v>
      </c>
      <c r="Z377" s="250" t="s">
        <v>898</v>
      </c>
      <c r="AG377" s="9"/>
    </row>
    <row r="378" spans="24:33" x14ac:dyDescent="0.3">
      <c r="X378" s="248" t="s">
        <v>365</v>
      </c>
      <c r="Y378" s="249" t="s">
        <v>821</v>
      </c>
      <c r="Z378" s="250" t="s">
        <v>898</v>
      </c>
      <c r="AG378" s="9"/>
    </row>
    <row r="379" spans="24:33" x14ac:dyDescent="0.3">
      <c r="X379" s="251" t="s">
        <v>1503</v>
      </c>
      <c r="Y379" s="252" t="s">
        <v>821</v>
      </c>
      <c r="Z379" s="250" t="s">
        <v>898</v>
      </c>
      <c r="AG379" s="9"/>
    </row>
    <row r="380" spans="24:33" x14ac:dyDescent="0.3">
      <c r="X380" s="248" t="s">
        <v>1504</v>
      </c>
      <c r="Y380" s="249" t="s">
        <v>821</v>
      </c>
      <c r="Z380" s="250" t="s">
        <v>898</v>
      </c>
      <c r="AG380" s="9"/>
    </row>
    <row r="381" spans="24:33" x14ac:dyDescent="0.3">
      <c r="X381" s="251" t="s">
        <v>1505</v>
      </c>
      <c r="Y381" s="252" t="s">
        <v>821</v>
      </c>
      <c r="Z381" s="250" t="s">
        <v>898</v>
      </c>
      <c r="AG381" s="9"/>
    </row>
    <row r="382" spans="24:33" x14ac:dyDescent="0.3">
      <c r="X382" s="248" t="s">
        <v>1506</v>
      </c>
      <c r="Y382" s="249" t="s">
        <v>821</v>
      </c>
      <c r="Z382" s="250" t="s">
        <v>898</v>
      </c>
      <c r="AG382" s="9"/>
    </row>
    <row r="383" spans="24:33" x14ac:dyDescent="0.3">
      <c r="X383" s="251" t="s">
        <v>1507</v>
      </c>
      <c r="Y383" s="252" t="s">
        <v>821</v>
      </c>
      <c r="Z383" s="250" t="s">
        <v>898</v>
      </c>
      <c r="AG383" s="9"/>
    </row>
    <row r="384" spans="24:33" x14ac:dyDescent="0.3">
      <c r="X384" s="248" t="s">
        <v>1508</v>
      </c>
      <c r="Y384" s="249" t="s">
        <v>821</v>
      </c>
      <c r="Z384" s="250" t="s">
        <v>898</v>
      </c>
      <c r="AG384" s="9"/>
    </row>
    <row r="385" spans="24:33" x14ac:dyDescent="0.3">
      <c r="X385" s="251" t="s">
        <v>376</v>
      </c>
      <c r="Y385" s="252" t="s">
        <v>821</v>
      </c>
      <c r="Z385" s="250" t="s">
        <v>898</v>
      </c>
      <c r="AG385" s="9"/>
    </row>
    <row r="386" spans="24:33" x14ac:dyDescent="0.3">
      <c r="X386" s="248" t="s">
        <v>1509</v>
      </c>
      <c r="Y386" s="249" t="s">
        <v>821</v>
      </c>
      <c r="Z386" s="250" t="s">
        <v>898</v>
      </c>
      <c r="AG386" s="9"/>
    </row>
    <row r="387" spans="24:33" x14ac:dyDescent="0.3">
      <c r="X387" s="251" t="s">
        <v>1510</v>
      </c>
      <c r="Y387" s="252" t="s">
        <v>821</v>
      </c>
      <c r="Z387" s="250" t="s">
        <v>898</v>
      </c>
      <c r="AG387" s="9"/>
    </row>
    <row r="388" spans="24:33" x14ac:dyDescent="0.3">
      <c r="X388" s="248" t="s">
        <v>1511</v>
      </c>
      <c r="Y388" s="249" t="s">
        <v>821</v>
      </c>
      <c r="Z388" s="250" t="s">
        <v>898</v>
      </c>
      <c r="AG388" s="9"/>
    </row>
    <row r="389" spans="24:33" x14ac:dyDescent="0.3">
      <c r="X389" s="251" t="s">
        <v>1512</v>
      </c>
      <c r="Y389" s="252" t="s">
        <v>821</v>
      </c>
      <c r="Z389" s="250" t="s">
        <v>898</v>
      </c>
      <c r="AG389" s="9"/>
    </row>
    <row r="390" spans="24:33" x14ac:dyDescent="0.3">
      <c r="X390" s="248" t="s">
        <v>1513</v>
      </c>
      <c r="Y390" s="249" t="s">
        <v>821</v>
      </c>
      <c r="Z390" s="250" t="s">
        <v>898</v>
      </c>
      <c r="AG390" s="9"/>
    </row>
    <row r="391" spans="24:33" x14ac:dyDescent="0.3">
      <c r="X391" s="251" t="s">
        <v>1514</v>
      </c>
      <c r="Y391" s="252" t="s">
        <v>821</v>
      </c>
      <c r="Z391" s="250" t="s">
        <v>898</v>
      </c>
      <c r="AG391" s="9"/>
    </row>
    <row r="392" spans="24:33" x14ac:dyDescent="0.3">
      <c r="X392" s="248" t="s">
        <v>1515</v>
      </c>
      <c r="Y392" s="249" t="s">
        <v>821</v>
      </c>
      <c r="Z392" s="250" t="s">
        <v>898</v>
      </c>
      <c r="AG392" s="9"/>
    </row>
    <row r="393" spans="24:33" x14ac:dyDescent="0.3">
      <c r="X393" s="251" t="s">
        <v>1516</v>
      </c>
      <c r="Y393" s="252" t="s">
        <v>821</v>
      </c>
      <c r="Z393" s="250" t="s">
        <v>898</v>
      </c>
      <c r="AG393" s="9"/>
    </row>
    <row r="394" spans="24:33" x14ac:dyDescent="0.3">
      <c r="X394" s="248" t="s">
        <v>1517</v>
      </c>
      <c r="Y394" s="249" t="s">
        <v>821</v>
      </c>
      <c r="Z394" s="250" t="s">
        <v>898</v>
      </c>
      <c r="AG394" s="9"/>
    </row>
    <row r="395" spans="24:33" x14ac:dyDescent="0.3">
      <c r="X395" s="251" t="s">
        <v>1518</v>
      </c>
      <c r="Y395" s="252" t="s">
        <v>821</v>
      </c>
      <c r="Z395" s="250" t="s">
        <v>898</v>
      </c>
      <c r="AG395" s="9"/>
    </row>
    <row r="396" spans="24:33" x14ac:dyDescent="0.3">
      <c r="X396" s="248" t="s">
        <v>1519</v>
      </c>
      <c r="Y396" s="249" t="s">
        <v>821</v>
      </c>
      <c r="Z396" s="250" t="s">
        <v>898</v>
      </c>
      <c r="AG396" s="9"/>
    </row>
    <row r="397" spans="24:33" x14ac:dyDescent="0.3">
      <c r="X397" s="251" t="s">
        <v>373</v>
      </c>
      <c r="Y397" s="252" t="s">
        <v>821</v>
      </c>
      <c r="Z397" s="250" t="s">
        <v>898</v>
      </c>
      <c r="AG397" s="9"/>
    </row>
    <row r="398" spans="24:33" x14ac:dyDescent="0.3">
      <c r="X398" s="248" t="s">
        <v>379</v>
      </c>
      <c r="Y398" s="249" t="s">
        <v>821</v>
      </c>
      <c r="Z398" s="250" t="s">
        <v>898</v>
      </c>
      <c r="AG398" s="9"/>
    </row>
    <row r="399" spans="24:33" x14ac:dyDescent="0.3">
      <c r="X399" s="251" t="s">
        <v>1520</v>
      </c>
      <c r="Y399" s="252" t="s">
        <v>821</v>
      </c>
      <c r="Z399" s="250" t="s">
        <v>898</v>
      </c>
      <c r="AG399" s="9"/>
    </row>
    <row r="400" spans="24:33" x14ac:dyDescent="0.3">
      <c r="X400" s="248" t="s">
        <v>1521</v>
      </c>
      <c r="Y400" s="249" t="s">
        <v>823</v>
      </c>
      <c r="Z400" s="250" t="s">
        <v>898</v>
      </c>
      <c r="AG400" s="9"/>
    </row>
    <row r="401" spans="24:33" x14ac:dyDescent="0.3">
      <c r="X401" s="251" t="s">
        <v>1522</v>
      </c>
      <c r="Y401" s="252" t="s">
        <v>823</v>
      </c>
      <c r="Z401" s="250" t="s">
        <v>898</v>
      </c>
      <c r="AG401" s="9"/>
    </row>
    <row r="402" spans="24:33" x14ac:dyDescent="0.3">
      <c r="X402" s="248" t="s">
        <v>1523</v>
      </c>
      <c r="Y402" s="249" t="s">
        <v>823</v>
      </c>
      <c r="Z402" s="250" t="s">
        <v>898</v>
      </c>
      <c r="AG402" s="9"/>
    </row>
    <row r="403" spans="24:33" x14ac:dyDescent="0.3">
      <c r="X403" s="251" t="s">
        <v>1524</v>
      </c>
      <c r="Y403" s="252" t="s">
        <v>823</v>
      </c>
      <c r="Z403" s="250" t="s">
        <v>898</v>
      </c>
      <c r="AG403" s="9"/>
    </row>
    <row r="404" spans="24:33" x14ac:dyDescent="0.3">
      <c r="X404" s="248" t="s">
        <v>1525</v>
      </c>
      <c r="Y404" s="249" t="s">
        <v>823</v>
      </c>
      <c r="Z404" s="250" t="s">
        <v>898</v>
      </c>
      <c r="AG404" s="9"/>
    </row>
    <row r="405" spans="24:33" x14ac:dyDescent="0.3">
      <c r="X405" s="251" t="s">
        <v>1526</v>
      </c>
      <c r="Y405" s="252" t="s">
        <v>823</v>
      </c>
      <c r="Z405" s="250" t="s">
        <v>898</v>
      </c>
      <c r="AG405" s="9"/>
    </row>
    <row r="406" spans="24:33" x14ac:dyDescent="0.3">
      <c r="X406" s="248" t="s">
        <v>1527</v>
      </c>
      <c r="Y406" s="249" t="s">
        <v>823</v>
      </c>
      <c r="Z406" s="250" t="s">
        <v>898</v>
      </c>
      <c r="AG406" s="9"/>
    </row>
    <row r="407" spans="24:33" x14ac:dyDescent="0.3">
      <c r="X407" s="251" t="s">
        <v>1528</v>
      </c>
      <c r="Y407" s="252" t="s">
        <v>823</v>
      </c>
      <c r="Z407" s="250" t="s">
        <v>898</v>
      </c>
      <c r="AG407" s="9"/>
    </row>
    <row r="408" spans="24:33" x14ac:dyDescent="0.3">
      <c r="X408" s="248" t="s">
        <v>1529</v>
      </c>
      <c r="Y408" s="249" t="s">
        <v>823</v>
      </c>
      <c r="Z408" s="250" t="s">
        <v>898</v>
      </c>
      <c r="AG408" s="9"/>
    </row>
    <row r="409" spans="24:33" x14ac:dyDescent="0.3">
      <c r="X409" s="251" t="s">
        <v>1530</v>
      </c>
      <c r="Y409" s="252" t="s">
        <v>823</v>
      </c>
      <c r="Z409" s="250" t="s">
        <v>898</v>
      </c>
      <c r="AG409" s="9"/>
    </row>
    <row r="410" spans="24:33" x14ac:dyDescent="0.3">
      <c r="X410" s="248" t="s">
        <v>1531</v>
      </c>
      <c r="Y410" s="249" t="s">
        <v>823</v>
      </c>
      <c r="Z410" s="250" t="s">
        <v>898</v>
      </c>
      <c r="AG410" s="9"/>
    </row>
    <row r="411" spans="24:33" x14ac:dyDescent="0.3">
      <c r="X411" s="251" t="s">
        <v>1532</v>
      </c>
      <c r="Y411" s="252" t="s">
        <v>823</v>
      </c>
      <c r="Z411" s="250" t="s">
        <v>898</v>
      </c>
      <c r="AG411" s="9"/>
    </row>
    <row r="412" spans="24:33" x14ac:dyDescent="0.3">
      <c r="X412" s="248" t="s">
        <v>1533</v>
      </c>
      <c r="Y412" s="249" t="s">
        <v>823</v>
      </c>
      <c r="Z412" s="250" t="s">
        <v>898</v>
      </c>
      <c r="AG412" s="9"/>
    </row>
    <row r="413" spans="24:33" x14ac:dyDescent="0.3">
      <c r="X413" s="251" t="s">
        <v>1534</v>
      </c>
      <c r="Y413" s="252" t="s">
        <v>823</v>
      </c>
      <c r="Z413" s="250" t="s">
        <v>898</v>
      </c>
      <c r="AG413" s="9"/>
    </row>
    <row r="414" spans="24:33" x14ac:dyDescent="0.3">
      <c r="X414" s="248" t="s">
        <v>1535</v>
      </c>
      <c r="Y414" s="249" t="s">
        <v>823</v>
      </c>
      <c r="Z414" s="250" t="s">
        <v>898</v>
      </c>
      <c r="AG414" s="9"/>
    </row>
    <row r="415" spans="24:33" x14ac:dyDescent="0.3">
      <c r="X415" s="251" t="s">
        <v>1536</v>
      </c>
      <c r="Y415" s="252" t="s">
        <v>823</v>
      </c>
      <c r="Z415" s="250" t="s">
        <v>898</v>
      </c>
      <c r="AG415" s="9"/>
    </row>
    <row r="416" spans="24:33" x14ac:dyDescent="0.3">
      <c r="X416" s="248" t="s">
        <v>1537</v>
      </c>
      <c r="Y416" s="249" t="s">
        <v>823</v>
      </c>
      <c r="Z416" s="250" t="s">
        <v>898</v>
      </c>
      <c r="AG416" s="9"/>
    </row>
    <row r="417" spans="24:33" x14ac:dyDescent="0.3">
      <c r="X417" s="251" t="s">
        <v>1538</v>
      </c>
      <c r="Y417" s="252" t="s">
        <v>823</v>
      </c>
      <c r="Z417" s="250" t="s">
        <v>898</v>
      </c>
      <c r="AG417" s="9"/>
    </row>
    <row r="418" spans="24:33" x14ac:dyDescent="0.3">
      <c r="X418" s="248" t="s">
        <v>1539</v>
      </c>
      <c r="Y418" s="249" t="s">
        <v>823</v>
      </c>
      <c r="Z418" s="250" t="s">
        <v>898</v>
      </c>
      <c r="AG418" s="9"/>
    </row>
    <row r="419" spans="24:33" x14ac:dyDescent="0.3">
      <c r="X419" s="251" t="s">
        <v>1540</v>
      </c>
      <c r="Y419" s="252" t="s">
        <v>823</v>
      </c>
      <c r="Z419" s="250" t="s">
        <v>898</v>
      </c>
      <c r="AG419" s="9"/>
    </row>
    <row r="420" spans="24:33" x14ac:dyDescent="0.3">
      <c r="X420" s="248" t="s">
        <v>1541</v>
      </c>
      <c r="Y420" s="249" t="s">
        <v>823</v>
      </c>
      <c r="Z420" s="250" t="s">
        <v>898</v>
      </c>
      <c r="AG420" s="9"/>
    </row>
    <row r="421" spans="24:33" x14ac:dyDescent="0.3">
      <c r="X421" s="251" t="s">
        <v>1542</v>
      </c>
      <c r="Y421" s="252" t="s">
        <v>823</v>
      </c>
      <c r="Z421" s="250" t="s">
        <v>898</v>
      </c>
      <c r="AG421" s="9"/>
    </row>
    <row r="422" spans="24:33" x14ac:dyDescent="0.3">
      <c r="X422" s="248" t="s">
        <v>1543</v>
      </c>
      <c r="Y422" s="249" t="s">
        <v>823</v>
      </c>
      <c r="Z422" s="250" t="s">
        <v>898</v>
      </c>
      <c r="AG422" s="9"/>
    </row>
    <row r="423" spans="24:33" x14ac:dyDescent="0.3">
      <c r="X423" s="251" t="s">
        <v>1544</v>
      </c>
      <c r="Y423" s="252" t="s">
        <v>823</v>
      </c>
      <c r="Z423" s="250" t="s">
        <v>898</v>
      </c>
      <c r="AG423" s="9"/>
    </row>
    <row r="424" spans="24:33" x14ac:dyDescent="0.3">
      <c r="X424" s="248" t="s">
        <v>1545</v>
      </c>
      <c r="Y424" s="249" t="s">
        <v>823</v>
      </c>
      <c r="Z424" s="250" t="s">
        <v>898</v>
      </c>
      <c r="AG424" s="9"/>
    </row>
    <row r="425" spans="24:33" x14ac:dyDescent="0.3">
      <c r="X425" s="251" t="s">
        <v>1546</v>
      </c>
      <c r="Y425" s="252" t="s">
        <v>823</v>
      </c>
      <c r="Z425" s="250" t="s">
        <v>898</v>
      </c>
      <c r="AG425" s="9"/>
    </row>
    <row r="426" spans="24:33" x14ac:dyDescent="0.3">
      <c r="X426" s="248" t="s">
        <v>1547</v>
      </c>
      <c r="Y426" s="249" t="s">
        <v>823</v>
      </c>
      <c r="Z426" s="250" t="s">
        <v>898</v>
      </c>
      <c r="AG426" s="9"/>
    </row>
    <row r="427" spans="24:33" x14ac:dyDescent="0.3">
      <c r="X427" s="251" t="s">
        <v>1548</v>
      </c>
      <c r="Y427" s="252" t="s">
        <v>823</v>
      </c>
      <c r="Z427" s="250" t="s">
        <v>898</v>
      </c>
      <c r="AG427" s="9"/>
    </row>
    <row r="428" spans="24:33" x14ac:dyDescent="0.3">
      <c r="X428" s="248" t="s">
        <v>1549</v>
      </c>
      <c r="Y428" s="249" t="s">
        <v>823</v>
      </c>
      <c r="Z428" s="250" t="s">
        <v>898</v>
      </c>
      <c r="AG428" s="9"/>
    </row>
    <row r="429" spans="24:33" x14ac:dyDescent="0.3">
      <c r="X429" s="251" t="s">
        <v>1550</v>
      </c>
      <c r="Y429" s="252" t="s">
        <v>823</v>
      </c>
      <c r="Z429" s="250" t="s">
        <v>898</v>
      </c>
      <c r="AG429" s="9"/>
    </row>
    <row r="430" spans="24:33" x14ac:dyDescent="0.3">
      <c r="X430" s="248" t="s">
        <v>1551</v>
      </c>
      <c r="Y430" s="249" t="s">
        <v>823</v>
      </c>
      <c r="Z430" s="250" t="s">
        <v>898</v>
      </c>
      <c r="AG430" s="9"/>
    </row>
    <row r="431" spans="24:33" x14ac:dyDescent="0.3">
      <c r="X431" s="251" t="s">
        <v>1552</v>
      </c>
      <c r="Y431" s="252" t="s">
        <v>823</v>
      </c>
      <c r="Z431" s="250" t="s">
        <v>898</v>
      </c>
      <c r="AG431" s="9"/>
    </row>
    <row r="432" spans="24:33" x14ac:dyDescent="0.3">
      <c r="X432" s="248" t="s">
        <v>1553</v>
      </c>
      <c r="Y432" s="249" t="s">
        <v>823</v>
      </c>
      <c r="Z432" s="250" t="s">
        <v>898</v>
      </c>
      <c r="AG432" s="9"/>
    </row>
    <row r="433" spans="24:33" x14ac:dyDescent="0.3">
      <c r="X433" s="251" t="s">
        <v>1554</v>
      </c>
      <c r="Y433" s="252" t="s">
        <v>823</v>
      </c>
      <c r="Z433" s="250" t="s">
        <v>898</v>
      </c>
      <c r="AG433" s="9"/>
    </row>
    <row r="434" spans="24:33" x14ac:dyDescent="0.3">
      <c r="X434" s="248" t="s">
        <v>1555</v>
      </c>
      <c r="Y434" s="249" t="s">
        <v>823</v>
      </c>
      <c r="Z434" s="250" t="s">
        <v>898</v>
      </c>
      <c r="AG434" s="9"/>
    </row>
    <row r="435" spans="24:33" x14ac:dyDescent="0.3">
      <c r="X435" s="251" t="s">
        <v>1556</v>
      </c>
      <c r="Y435" s="252" t="s">
        <v>823</v>
      </c>
      <c r="Z435" s="250" t="s">
        <v>898</v>
      </c>
      <c r="AG435" s="9"/>
    </row>
    <row r="436" spans="24:33" x14ac:dyDescent="0.3">
      <c r="X436" s="248" t="s">
        <v>1557</v>
      </c>
      <c r="Y436" s="249" t="s">
        <v>823</v>
      </c>
      <c r="Z436" s="250" t="s">
        <v>898</v>
      </c>
      <c r="AG436" s="9"/>
    </row>
    <row r="437" spans="24:33" x14ac:dyDescent="0.3">
      <c r="X437" s="251" t="s">
        <v>1558</v>
      </c>
      <c r="Y437" s="252" t="s">
        <v>823</v>
      </c>
      <c r="Z437" s="250" t="s">
        <v>898</v>
      </c>
      <c r="AG437" s="9"/>
    </row>
    <row r="438" spans="24:33" x14ac:dyDescent="0.3">
      <c r="X438" s="248" t="s">
        <v>1559</v>
      </c>
      <c r="Y438" s="249" t="s">
        <v>823</v>
      </c>
      <c r="Z438" s="250" t="s">
        <v>898</v>
      </c>
      <c r="AG438" s="9"/>
    </row>
    <row r="439" spans="24:33" x14ac:dyDescent="0.3">
      <c r="X439" s="251" t="s">
        <v>1560</v>
      </c>
      <c r="Y439" s="252" t="s">
        <v>823</v>
      </c>
      <c r="Z439" s="250" t="s">
        <v>898</v>
      </c>
      <c r="AG439" s="9"/>
    </row>
    <row r="440" spans="24:33" x14ac:dyDescent="0.3">
      <c r="X440" s="248" t="s">
        <v>1561</v>
      </c>
      <c r="Y440" s="249" t="s">
        <v>823</v>
      </c>
      <c r="Z440" s="250" t="s">
        <v>898</v>
      </c>
      <c r="AG440" s="9"/>
    </row>
    <row r="441" spans="24:33" x14ac:dyDescent="0.3">
      <c r="X441" s="251" t="s">
        <v>1562</v>
      </c>
      <c r="Y441" s="252" t="s">
        <v>823</v>
      </c>
      <c r="Z441" s="250" t="s">
        <v>898</v>
      </c>
      <c r="AG441" s="9"/>
    </row>
    <row r="442" spans="24:33" x14ac:dyDescent="0.3">
      <c r="X442" s="248" t="s">
        <v>1563</v>
      </c>
      <c r="Y442" s="249" t="s">
        <v>823</v>
      </c>
      <c r="Z442" s="250" t="s">
        <v>898</v>
      </c>
      <c r="AG442" s="9"/>
    </row>
    <row r="443" spans="24:33" x14ac:dyDescent="0.3">
      <c r="X443" s="251" t="s">
        <v>1564</v>
      </c>
      <c r="Y443" s="252" t="s">
        <v>823</v>
      </c>
      <c r="Z443" s="250" t="s">
        <v>898</v>
      </c>
      <c r="AG443" s="9"/>
    </row>
    <row r="444" spans="24:33" x14ac:dyDescent="0.3">
      <c r="X444" s="248" t="s">
        <v>1565</v>
      </c>
      <c r="Y444" s="249" t="s">
        <v>823</v>
      </c>
      <c r="Z444" s="250" t="s">
        <v>898</v>
      </c>
      <c r="AG444" s="9"/>
    </row>
    <row r="445" spans="24:33" x14ac:dyDescent="0.3">
      <c r="X445" s="251" t="s">
        <v>1566</v>
      </c>
      <c r="Y445" s="252" t="s">
        <v>823</v>
      </c>
      <c r="Z445" s="250" t="s">
        <v>898</v>
      </c>
      <c r="AG445" s="9"/>
    </row>
    <row r="446" spans="24:33" x14ac:dyDescent="0.3">
      <c r="X446" s="248" t="s">
        <v>1567</v>
      </c>
      <c r="Y446" s="249" t="s">
        <v>823</v>
      </c>
      <c r="Z446" s="250" t="s">
        <v>898</v>
      </c>
      <c r="AG446" s="9"/>
    </row>
    <row r="447" spans="24:33" x14ac:dyDescent="0.3">
      <c r="X447" s="251" t="s">
        <v>1568</v>
      </c>
      <c r="Y447" s="252" t="s">
        <v>823</v>
      </c>
      <c r="Z447" s="250" t="s">
        <v>898</v>
      </c>
      <c r="AG447" s="9"/>
    </row>
    <row r="448" spans="24:33" x14ac:dyDescent="0.3">
      <c r="X448" s="248" t="s">
        <v>1569</v>
      </c>
      <c r="Y448" s="249" t="s">
        <v>823</v>
      </c>
      <c r="Z448" s="250" t="s">
        <v>898</v>
      </c>
      <c r="AG448" s="9"/>
    </row>
    <row r="449" spans="24:33" x14ac:dyDescent="0.3">
      <c r="X449" s="251" t="s">
        <v>1570</v>
      </c>
      <c r="Y449" s="252" t="s">
        <v>823</v>
      </c>
      <c r="Z449" s="250" t="s">
        <v>898</v>
      </c>
      <c r="AG449" s="9"/>
    </row>
    <row r="450" spans="24:33" x14ac:dyDescent="0.3">
      <c r="X450" s="248" t="s">
        <v>1571</v>
      </c>
      <c r="Y450" s="249" t="s">
        <v>823</v>
      </c>
      <c r="Z450" s="250" t="s">
        <v>898</v>
      </c>
      <c r="AG450" s="9"/>
    </row>
    <row r="451" spans="24:33" x14ac:dyDescent="0.3">
      <c r="X451" s="251" t="s">
        <v>1572</v>
      </c>
      <c r="Y451" s="252" t="s">
        <v>823</v>
      </c>
      <c r="Z451" s="250" t="s">
        <v>898</v>
      </c>
      <c r="AG451" s="9"/>
    </row>
    <row r="452" spans="24:33" x14ac:dyDescent="0.3">
      <c r="X452" s="248" t="s">
        <v>172</v>
      </c>
      <c r="Y452" s="249" t="s">
        <v>823</v>
      </c>
      <c r="Z452" s="250" t="s">
        <v>898</v>
      </c>
      <c r="AG452" s="9"/>
    </row>
    <row r="453" spans="24:33" x14ac:dyDescent="0.3">
      <c r="X453" s="251" t="s">
        <v>1573</v>
      </c>
      <c r="Y453" s="252" t="s">
        <v>823</v>
      </c>
      <c r="Z453" s="250" t="s">
        <v>898</v>
      </c>
      <c r="AG453" s="9"/>
    </row>
    <row r="454" spans="24:33" x14ac:dyDescent="0.3">
      <c r="X454" s="248" t="s">
        <v>1574</v>
      </c>
      <c r="Y454" s="249" t="s">
        <v>823</v>
      </c>
      <c r="Z454" s="250" t="s">
        <v>898</v>
      </c>
      <c r="AG454" s="9"/>
    </row>
    <row r="455" spans="24:33" x14ac:dyDescent="0.3">
      <c r="X455" s="251" t="s">
        <v>1575</v>
      </c>
      <c r="Y455" s="252" t="s">
        <v>823</v>
      </c>
      <c r="Z455" s="250" t="s">
        <v>898</v>
      </c>
      <c r="AG455" s="9"/>
    </row>
    <row r="456" spans="24:33" x14ac:dyDescent="0.3">
      <c r="X456" s="248" t="s">
        <v>1576</v>
      </c>
      <c r="Y456" s="249" t="s">
        <v>823</v>
      </c>
      <c r="Z456" s="250" t="s">
        <v>898</v>
      </c>
      <c r="AG456" s="9"/>
    </row>
    <row r="457" spans="24:33" x14ac:dyDescent="0.3">
      <c r="X457" s="251" t="s">
        <v>1577</v>
      </c>
      <c r="Y457" s="252" t="s">
        <v>823</v>
      </c>
      <c r="Z457" s="250" t="s">
        <v>898</v>
      </c>
      <c r="AG457" s="9"/>
    </row>
    <row r="458" spans="24:33" x14ac:dyDescent="0.3">
      <c r="X458" s="248" t="s">
        <v>1578</v>
      </c>
      <c r="Y458" s="249" t="s">
        <v>823</v>
      </c>
      <c r="Z458" s="250" t="s">
        <v>898</v>
      </c>
      <c r="AG458" s="9"/>
    </row>
    <row r="459" spans="24:33" x14ac:dyDescent="0.3">
      <c r="X459" s="251" t="s">
        <v>1579</v>
      </c>
      <c r="Y459" s="252" t="s">
        <v>823</v>
      </c>
      <c r="Z459" s="250" t="s">
        <v>898</v>
      </c>
      <c r="AG459" s="9"/>
    </row>
    <row r="460" spans="24:33" x14ac:dyDescent="0.3">
      <c r="X460" s="248" t="s">
        <v>1580</v>
      </c>
      <c r="Y460" s="249" t="s">
        <v>823</v>
      </c>
      <c r="Z460" s="250" t="s">
        <v>898</v>
      </c>
      <c r="AG460" s="9"/>
    </row>
    <row r="461" spans="24:33" x14ac:dyDescent="0.3">
      <c r="X461" s="251" t="s">
        <v>1581</v>
      </c>
      <c r="Y461" s="252" t="s">
        <v>823</v>
      </c>
      <c r="Z461" s="250" t="s">
        <v>898</v>
      </c>
      <c r="AG461" s="9"/>
    </row>
    <row r="462" spans="24:33" x14ac:dyDescent="0.3">
      <c r="X462" s="248" t="s">
        <v>1582</v>
      </c>
      <c r="Y462" s="249" t="s">
        <v>823</v>
      </c>
      <c r="Z462" s="250" t="s">
        <v>898</v>
      </c>
      <c r="AG462" s="9"/>
    </row>
    <row r="463" spans="24:33" x14ac:dyDescent="0.3">
      <c r="X463" s="251" t="s">
        <v>1583</v>
      </c>
      <c r="Y463" s="252" t="s">
        <v>823</v>
      </c>
      <c r="Z463" s="250" t="s">
        <v>898</v>
      </c>
      <c r="AG463" s="9"/>
    </row>
    <row r="464" spans="24:33" x14ac:dyDescent="0.3">
      <c r="X464" s="248" t="s">
        <v>1584</v>
      </c>
      <c r="Y464" s="249" t="s">
        <v>823</v>
      </c>
      <c r="Z464" s="250" t="s">
        <v>898</v>
      </c>
      <c r="AG464" s="9"/>
    </row>
    <row r="465" spans="24:33" x14ac:dyDescent="0.3">
      <c r="X465" s="251" t="s">
        <v>1585</v>
      </c>
      <c r="Y465" s="252" t="s">
        <v>823</v>
      </c>
      <c r="Z465" s="250" t="s">
        <v>898</v>
      </c>
      <c r="AG465" s="9"/>
    </row>
    <row r="466" spans="24:33" x14ac:dyDescent="0.3">
      <c r="X466" s="248" t="s">
        <v>1586</v>
      </c>
      <c r="Y466" s="249" t="s">
        <v>823</v>
      </c>
      <c r="Z466" s="250" t="s">
        <v>898</v>
      </c>
      <c r="AG466" s="9"/>
    </row>
    <row r="467" spans="24:33" x14ac:dyDescent="0.3">
      <c r="X467" s="251" t="s">
        <v>1587</v>
      </c>
      <c r="Y467" s="252" t="s">
        <v>823</v>
      </c>
      <c r="Z467" s="250" t="s">
        <v>898</v>
      </c>
      <c r="AG467" s="9"/>
    </row>
    <row r="468" spans="24:33" x14ac:dyDescent="0.3">
      <c r="X468" s="248" t="s">
        <v>1588</v>
      </c>
      <c r="Y468" s="249" t="s">
        <v>823</v>
      </c>
      <c r="Z468" s="250" t="s">
        <v>898</v>
      </c>
      <c r="AG468" s="9"/>
    </row>
    <row r="469" spans="24:33" x14ac:dyDescent="0.3">
      <c r="X469" s="251" t="s">
        <v>1589</v>
      </c>
      <c r="Y469" s="252" t="s">
        <v>823</v>
      </c>
      <c r="Z469" s="250" t="s">
        <v>898</v>
      </c>
      <c r="AG469" s="9"/>
    </row>
    <row r="470" spans="24:33" x14ac:dyDescent="0.3">
      <c r="X470" s="248" t="s">
        <v>1590</v>
      </c>
      <c r="Y470" s="249" t="s">
        <v>823</v>
      </c>
      <c r="Z470" s="250" t="s">
        <v>898</v>
      </c>
      <c r="AG470" s="9"/>
    </row>
    <row r="471" spans="24:33" x14ac:dyDescent="0.3">
      <c r="X471" s="251" t="s">
        <v>1591</v>
      </c>
      <c r="Y471" s="252" t="s">
        <v>823</v>
      </c>
      <c r="Z471" s="250" t="s">
        <v>898</v>
      </c>
      <c r="AG471" s="9"/>
    </row>
    <row r="472" spans="24:33" x14ac:dyDescent="0.3">
      <c r="X472" s="248" t="s">
        <v>1592</v>
      </c>
      <c r="Y472" s="249" t="s">
        <v>823</v>
      </c>
      <c r="Z472" s="250" t="s">
        <v>898</v>
      </c>
      <c r="AG472" s="9"/>
    </row>
    <row r="473" spans="24:33" x14ac:dyDescent="0.3">
      <c r="X473" s="251" t="s">
        <v>1593</v>
      </c>
      <c r="Y473" s="252" t="s">
        <v>823</v>
      </c>
      <c r="Z473" s="250" t="s">
        <v>898</v>
      </c>
      <c r="AG473" s="9"/>
    </row>
    <row r="474" spans="24:33" x14ac:dyDescent="0.3">
      <c r="X474" s="248" t="s">
        <v>1594</v>
      </c>
      <c r="Y474" s="249" t="s">
        <v>823</v>
      </c>
      <c r="Z474" s="250" t="s">
        <v>898</v>
      </c>
      <c r="AG474" s="9"/>
    </row>
    <row r="475" spans="24:33" x14ac:dyDescent="0.3">
      <c r="X475" s="251" t="s">
        <v>1595</v>
      </c>
      <c r="Y475" s="252" t="s">
        <v>823</v>
      </c>
      <c r="Z475" s="250" t="s">
        <v>898</v>
      </c>
      <c r="AG475" s="9"/>
    </row>
    <row r="476" spans="24:33" x14ac:dyDescent="0.3">
      <c r="X476" s="248" t="s">
        <v>1596</v>
      </c>
      <c r="Y476" s="249" t="s">
        <v>823</v>
      </c>
      <c r="Z476" s="250" t="s">
        <v>898</v>
      </c>
      <c r="AG476" s="9"/>
    </row>
    <row r="477" spans="24:33" x14ac:dyDescent="0.3">
      <c r="X477" s="251" t="s">
        <v>1597</v>
      </c>
      <c r="Y477" s="252" t="s">
        <v>823</v>
      </c>
      <c r="Z477" s="250" t="s">
        <v>898</v>
      </c>
      <c r="AG477" s="9"/>
    </row>
    <row r="478" spans="24:33" x14ac:dyDescent="0.3">
      <c r="X478" s="248" t="s">
        <v>1598</v>
      </c>
      <c r="Y478" s="249" t="s">
        <v>823</v>
      </c>
      <c r="Z478" s="250" t="s">
        <v>898</v>
      </c>
      <c r="AG478" s="9"/>
    </row>
    <row r="479" spans="24:33" x14ac:dyDescent="0.3">
      <c r="X479" s="251" t="s">
        <v>1599</v>
      </c>
      <c r="Y479" s="252" t="s">
        <v>823</v>
      </c>
      <c r="Z479" s="250" t="s">
        <v>898</v>
      </c>
      <c r="AG479" s="9"/>
    </row>
    <row r="480" spans="24:33" x14ac:dyDescent="0.3">
      <c r="X480" s="248" t="s">
        <v>1600</v>
      </c>
      <c r="Y480" s="249" t="s">
        <v>823</v>
      </c>
      <c r="Z480" s="250" t="s">
        <v>898</v>
      </c>
      <c r="AG480" s="9"/>
    </row>
    <row r="481" spans="24:33" x14ac:dyDescent="0.3">
      <c r="X481" s="251" t="s">
        <v>1601</v>
      </c>
      <c r="Y481" s="252" t="s">
        <v>823</v>
      </c>
      <c r="Z481" s="250" t="s">
        <v>898</v>
      </c>
      <c r="AG481" s="9"/>
    </row>
    <row r="482" spans="24:33" x14ac:dyDescent="0.3">
      <c r="X482" s="248" t="s">
        <v>1602</v>
      </c>
      <c r="Y482" s="249" t="s">
        <v>823</v>
      </c>
      <c r="Z482" s="250" t="s">
        <v>898</v>
      </c>
      <c r="AG482" s="9"/>
    </row>
    <row r="483" spans="24:33" x14ac:dyDescent="0.3">
      <c r="X483" s="251" t="s">
        <v>1603</v>
      </c>
      <c r="Y483" s="252" t="s">
        <v>823</v>
      </c>
      <c r="Z483" s="250" t="s">
        <v>898</v>
      </c>
      <c r="AG483" s="9"/>
    </row>
    <row r="484" spans="24:33" x14ac:dyDescent="0.3">
      <c r="X484" s="248" t="s">
        <v>1604</v>
      </c>
      <c r="Y484" s="249" t="s">
        <v>823</v>
      </c>
      <c r="Z484" s="250" t="s">
        <v>898</v>
      </c>
      <c r="AG484" s="9"/>
    </row>
    <row r="485" spans="24:33" x14ac:dyDescent="0.3">
      <c r="X485" s="251" t="s">
        <v>1605</v>
      </c>
      <c r="Y485" s="252" t="s">
        <v>823</v>
      </c>
      <c r="Z485" s="250" t="s">
        <v>898</v>
      </c>
      <c r="AG485" s="9"/>
    </row>
    <row r="486" spans="24:33" x14ac:dyDescent="0.3">
      <c r="X486" s="248" t="s">
        <v>1606</v>
      </c>
      <c r="Y486" s="249" t="s">
        <v>823</v>
      </c>
      <c r="Z486" s="250" t="s">
        <v>898</v>
      </c>
      <c r="AG486" s="9"/>
    </row>
    <row r="487" spans="24:33" x14ac:dyDescent="0.3">
      <c r="X487" s="251" t="s">
        <v>1607</v>
      </c>
      <c r="Y487" s="252" t="s">
        <v>823</v>
      </c>
      <c r="Z487" s="250" t="s">
        <v>898</v>
      </c>
      <c r="AG487" s="9"/>
    </row>
    <row r="488" spans="24:33" x14ac:dyDescent="0.3">
      <c r="X488" s="248" t="s">
        <v>1608</v>
      </c>
      <c r="Y488" s="249" t="s">
        <v>823</v>
      </c>
      <c r="Z488" s="250" t="s">
        <v>898</v>
      </c>
      <c r="AG488" s="9"/>
    </row>
    <row r="489" spans="24:33" x14ac:dyDescent="0.3">
      <c r="X489" s="251" t="s">
        <v>1609</v>
      </c>
      <c r="Y489" s="252" t="s">
        <v>823</v>
      </c>
      <c r="Z489" s="250" t="s">
        <v>898</v>
      </c>
      <c r="AG489" s="9"/>
    </row>
    <row r="490" spans="24:33" x14ac:dyDescent="0.3">
      <c r="X490" s="248" t="s">
        <v>1610</v>
      </c>
      <c r="Y490" s="249" t="s">
        <v>823</v>
      </c>
      <c r="Z490" s="250" t="s">
        <v>898</v>
      </c>
      <c r="AG490" s="9"/>
    </row>
    <row r="491" spans="24:33" x14ac:dyDescent="0.3">
      <c r="X491" s="251" t="s">
        <v>1611</v>
      </c>
      <c r="Y491" s="252" t="s">
        <v>823</v>
      </c>
      <c r="Z491" s="250" t="s">
        <v>898</v>
      </c>
      <c r="AG491" s="9"/>
    </row>
    <row r="492" spans="24:33" x14ac:dyDescent="0.3">
      <c r="X492" s="248" t="s">
        <v>415</v>
      </c>
      <c r="Y492" s="249" t="s">
        <v>893</v>
      </c>
      <c r="Z492" s="250" t="s">
        <v>894</v>
      </c>
      <c r="AG492" s="9"/>
    </row>
    <row r="493" spans="24:33" x14ac:dyDescent="0.3">
      <c r="X493" s="251" t="s">
        <v>1612</v>
      </c>
      <c r="Y493" s="252" t="s">
        <v>893</v>
      </c>
      <c r="Z493" s="250" t="s">
        <v>894</v>
      </c>
      <c r="AG493" s="9"/>
    </row>
    <row r="494" spans="24:33" x14ac:dyDescent="0.3">
      <c r="X494" s="248" t="s">
        <v>1613</v>
      </c>
      <c r="Y494" s="249" t="s">
        <v>895</v>
      </c>
      <c r="Z494" s="250" t="s">
        <v>894</v>
      </c>
      <c r="AG494" s="9"/>
    </row>
    <row r="495" spans="24:33" x14ac:dyDescent="0.3">
      <c r="X495" s="251" t="s">
        <v>1614</v>
      </c>
      <c r="Y495" s="252" t="s">
        <v>895</v>
      </c>
      <c r="Z495" s="250" t="s">
        <v>894</v>
      </c>
      <c r="AG495" s="9"/>
    </row>
    <row r="496" spans="24:33" x14ac:dyDescent="0.3">
      <c r="X496" s="248" t="s">
        <v>1615</v>
      </c>
      <c r="Y496" s="249" t="s">
        <v>895</v>
      </c>
      <c r="Z496" s="250" t="s">
        <v>894</v>
      </c>
      <c r="AG496" s="9"/>
    </row>
    <row r="497" spans="24:33" x14ac:dyDescent="0.3">
      <c r="X497" s="251" t="s">
        <v>257</v>
      </c>
      <c r="Y497" s="252" t="s">
        <v>895</v>
      </c>
      <c r="Z497" s="250" t="s">
        <v>894</v>
      </c>
      <c r="AG497" s="9"/>
    </row>
    <row r="498" spans="24:33" x14ac:dyDescent="0.3">
      <c r="X498" s="248" t="s">
        <v>1616</v>
      </c>
      <c r="Y498" s="249" t="s">
        <v>895</v>
      </c>
      <c r="Z498" s="250" t="s">
        <v>894</v>
      </c>
      <c r="AG498" s="9"/>
    </row>
    <row r="499" spans="24:33" x14ac:dyDescent="0.3">
      <c r="X499" s="251" t="s">
        <v>1617</v>
      </c>
      <c r="Y499" s="252" t="s">
        <v>895</v>
      </c>
      <c r="Z499" s="250" t="s">
        <v>894</v>
      </c>
      <c r="AG499" s="9"/>
    </row>
    <row r="500" spans="24:33" x14ac:dyDescent="0.3">
      <c r="X500" s="248" t="s">
        <v>1618</v>
      </c>
      <c r="Y500" s="249" t="s">
        <v>895</v>
      </c>
      <c r="Z500" s="250" t="s">
        <v>894</v>
      </c>
      <c r="AG500" s="9"/>
    </row>
    <row r="501" spans="24:33" x14ac:dyDescent="0.3">
      <c r="X501" s="251" t="s">
        <v>1176</v>
      </c>
      <c r="Y501" s="252" t="s">
        <v>895</v>
      </c>
      <c r="Z501" s="250" t="s">
        <v>894</v>
      </c>
      <c r="AG501" s="9"/>
    </row>
    <row r="502" spans="24:33" x14ac:dyDescent="0.3">
      <c r="X502" s="248" t="s">
        <v>309</v>
      </c>
      <c r="Y502" s="249" t="s">
        <v>895</v>
      </c>
      <c r="Z502" s="250" t="s">
        <v>894</v>
      </c>
      <c r="AG502" s="9"/>
    </row>
    <row r="503" spans="24:33" x14ac:dyDescent="0.3">
      <c r="X503" s="251" t="s">
        <v>1619</v>
      </c>
      <c r="Y503" s="252" t="s">
        <v>895</v>
      </c>
      <c r="Z503" s="250" t="s">
        <v>894</v>
      </c>
      <c r="AG503" s="9"/>
    </row>
    <row r="504" spans="24:33" x14ac:dyDescent="0.3">
      <c r="X504" s="248" t="s">
        <v>1177</v>
      </c>
      <c r="Y504" s="249" t="s">
        <v>895</v>
      </c>
      <c r="Z504" s="250" t="s">
        <v>894</v>
      </c>
      <c r="AG504" s="9"/>
    </row>
    <row r="505" spans="24:33" x14ac:dyDescent="0.3">
      <c r="X505" s="251" t="s">
        <v>1620</v>
      </c>
      <c r="Y505" s="252" t="s">
        <v>895</v>
      </c>
      <c r="Z505" s="250" t="s">
        <v>894</v>
      </c>
      <c r="AG505" s="9"/>
    </row>
    <row r="506" spans="24:33" x14ac:dyDescent="0.3">
      <c r="X506" s="248" t="s">
        <v>539</v>
      </c>
      <c r="Y506" s="249" t="s">
        <v>895</v>
      </c>
      <c r="Z506" s="250" t="s">
        <v>894</v>
      </c>
      <c r="AG506" s="9"/>
    </row>
    <row r="507" spans="24:33" x14ac:dyDescent="0.3">
      <c r="X507" s="251" t="s">
        <v>596</v>
      </c>
      <c r="Y507" s="252" t="s">
        <v>895</v>
      </c>
      <c r="Z507" s="250" t="s">
        <v>894</v>
      </c>
      <c r="AG507" s="9"/>
    </row>
    <row r="508" spans="24:33" x14ac:dyDescent="0.3">
      <c r="X508" s="248" t="s">
        <v>1621</v>
      </c>
      <c r="Y508" s="249" t="s">
        <v>895</v>
      </c>
      <c r="Z508" s="250" t="s">
        <v>894</v>
      </c>
      <c r="AG508" s="9"/>
    </row>
    <row r="509" spans="24:33" x14ac:dyDescent="0.3">
      <c r="X509" s="251" t="s">
        <v>1622</v>
      </c>
      <c r="Y509" s="252" t="s">
        <v>895</v>
      </c>
      <c r="Z509" s="250" t="s">
        <v>894</v>
      </c>
      <c r="AG509" s="9"/>
    </row>
    <row r="510" spans="24:33" x14ac:dyDescent="0.3">
      <c r="X510" s="248" t="s">
        <v>1178</v>
      </c>
      <c r="Y510" s="249" t="s">
        <v>895</v>
      </c>
      <c r="Z510" s="250" t="s">
        <v>894</v>
      </c>
      <c r="AG510" s="9"/>
    </row>
    <row r="511" spans="24:33" x14ac:dyDescent="0.3">
      <c r="X511" s="251" t="s">
        <v>1179</v>
      </c>
      <c r="Y511" s="252" t="s">
        <v>895</v>
      </c>
      <c r="Z511" s="250" t="s">
        <v>894</v>
      </c>
      <c r="AG511" s="9"/>
    </row>
    <row r="512" spans="24:33" x14ac:dyDescent="0.3">
      <c r="X512" s="248" t="s">
        <v>1623</v>
      </c>
      <c r="Y512" s="249" t="s">
        <v>2495</v>
      </c>
      <c r="Z512" s="250" t="s">
        <v>894</v>
      </c>
      <c r="AG512" s="9"/>
    </row>
    <row r="513" spans="24:33" x14ac:dyDescent="0.3">
      <c r="X513" s="251" t="s">
        <v>1624</v>
      </c>
      <c r="Y513" s="252" t="s">
        <v>2495</v>
      </c>
      <c r="Z513" s="250" t="s">
        <v>894</v>
      </c>
      <c r="AG513" s="9"/>
    </row>
    <row r="514" spans="24:33" x14ac:dyDescent="0.3">
      <c r="X514" s="248" t="s">
        <v>1625</v>
      </c>
      <c r="Y514" s="249" t="s">
        <v>2495</v>
      </c>
      <c r="Z514" s="250" t="s">
        <v>894</v>
      </c>
      <c r="AG514" s="9"/>
    </row>
    <row r="515" spans="24:33" x14ac:dyDescent="0.3">
      <c r="X515" s="251" t="s">
        <v>1626</v>
      </c>
      <c r="Y515" s="252" t="s">
        <v>2495</v>
      </c>
      <c r="Z515" s="250" t="s">
        <v>894</v>
      </c>
      <c r="AG515" s="9"/>
    </row>
    <row r="516" spans="24:33" x14ac:dyDescent="0.3">
      <c r="X516" s="248" t="s">
        <v>358</v>
      </c>
      <c r="Y516" s="249" t="s">
        <v>2495</v>
      </c>
      <c r="Z516" s="250" t="s">
        <v>894</v>
      </c>
      <c r="AG516" s="9"/>
    </row>
    <row r="517" spans="24:33" x14ac:dyDescent="0.3">
      <c r="X517" s="251" t="s">
        <v>306</v>
      </c>
      <c r="Y517" s="252" t="s">
        <v>2495</v>
      </c>
      <c r="Z517" s="250" t="s">
        <v>894</v>
      </c>
      <c r="AG517" s="9"/>
    </row>
    <row r="518" spans="24:33" x14ac:dyDescent="0.3">
      <c r="X518" s="248" t="s">
        <v>1627</v>
      </c>
      <c r="Y518" s="249" t="s">
        <v>2495</v>
      </c>
      <c r="Z518" s="250" t="s">
        <v>894</v>
      </c>
      <c r="AG518" s="9"/>
    </row>
    <row r="519" spans="24:33" x14ac:dyDescent="0.3">
      <c r="X519" s="251" t="s">
        <v>409</v>
      </c>
      <c r="Y519" s="252" t="s">
        <v>2495</v>
      </c>
      <c r="Z519" s="250" t="s">
        <v>894</v>
      </c>
      <c r="AG519" s="9"/>
    </row>
    <row r="520" spans="24:33" x14ac:dyDescent="0.3">
      <c r="X520" s="248" t="s">
        <v>1628</v>
      </c>
      <c r="Y520" s="249" t="s">
        <v>2495</v>
      </c>
      <c r="Z520" s="250" t="s">
        <v>894</v>
      </c>
      <c r="AG520" s="9"/>
    </row>
    <row r="521" spans="24:33" x14ac:dyDescent="0.3">
      <c r="X521" s="251" t="s">
        <v>1629</v>
      </c>
      <c r="Y521" s="252" t="s">
        <v>2495</v>
      </c>
      <c r="Z521" s="250" t="s">
        <v>894</v>
      </c>
      <c r="AG521" s="9"/>
    </row>
    <row r="522" spans="24:33" x14ac:dyDescent="0.3">
      <c r="X522" s="248" t="s">
        <v>1630</v>
      </c>
      <c r="Y522" s="249" t="s">
        <v>896</v>
      </c>
      <c r="Z522" s="250" t="s">
        <v>894</v>
      </c>
      <c r="AG522" s="9"/>
    </row>
    <row r="523" spans="24:33" x14ac:dyDescent="0.3">
      <c r="X523" s="251" t="s">
        <v>1631</v>
      </c>
      <c r="Y523" s="252" t="s">
        <v>821</v>
      </c>
      <c r="Z523" s="250" t="s">
        <v>898</v>
      </c>
      <c r="AG523" s="9"/>
    </row>
    <row r="524" spans="24:33" x14ac:dyDescent="0.3">
      <c r="X524" s="248" t="s">
        <v>1632</v>
      </c>
      <c r="Y524" s="249" t="s">
        <v>821</v>
      </c>
      <c r="Z524" s="250" t="s">
        <v>898</v>
      </c>
      <c r="AG524" s="9"/>
    </row>
    <row r="525" spans="24:33" x14ac:dyDescent="0.3">
      <c r="X525" s="251" t="s">
        <v>1633</v>
      </c>
      <c r="Y525" s="252" t="s">
        <v>821</v>
      </c>
      <c r="Z525" s="250" t="s">
        <v>898</v>
      </c>
      <c r="AG525" s="9"/>
    </row>
    <row r="526" spans="24:33" x14ac:dyDescent="0.3">
      <c r="X526" s="248" t="s">
        <v>1634</v>
      </c>
      <c r="Y526" s="249" t="s">
        <v>821</v>
      </c>
      <c r="Z526" s="250" t="s">
        <v>898</v>
      </c>
      <c r="AG526" s="9"/>
    </row>
    <row r="527" spans="24:33" x14ac:dyDescent="0.3">
      <c r="X527" s="251" t="s">
        <v>1635</v>
      </c>
      <c r="Y527" s="252" t="s">
        <v>821</v>
      </c>
      <c r="Z527" s="250" t="s">
        <v>898</v>
      </c>
      <c r="AG527" s="9"/>
    </row>
    <row r="528" spans="24:33" x14ac:dyDescent="0.3">
      <c r="X528" s="248" t="s">
        <v>1636</v>
      </c>
      <c r="Y528" s="249" t="s">
        <v>821</v>
      </c>
      <c r="Z528" s="250" t="s">
        <v>898</v>
      </c>
      <c r="AG528" s="9"/>
    </row>
    <row r="529" spans="24:33" x14ac:dyDescent="0.3">
      <c r="X529" s="251" t="s">
        <v>1637</v>
      </c>
      <c r="Y529" s="252" t="s">
        <v>821</v>
      </c>
      <c r="Z529" s="250" t="s">
        <v>898</v>
      </c>
      <c r="AG529" s="9"/>
    </row>
    <row r="530" spans="24:33" x14ac:dyDescent="0.3">
      <c r="X530" s="248" t="s">
        <v>1638</v>
      </c>
      <c r="Y530" s="249" t="s">
        <v>821</v>
      </c>
      <c r="Z530" s="250" t="s">
        <v>898</v>
      </c>
      <c r="AG530" s="9"/>
    </row>
    <row r="531" spans="24:33" x14ac:dyDescent="0.3">
      <c r="X531" s="251" t="s">
        <v>1639</v>
      </c>
      <c r="Y531" s="252" t="s">
        <v>821</v>
      </c>
      <c r="Z531" s="250" t="s">
        <v>898</v>
      </c>
      <c r="AG531" s="9"/>
    </row>
    <row r="532" spans="24:33" x14ac:dyDescent="0.3">
      <c r="X532" s="248" t="s">
        <v>1640</v>
      </c>
      <c r="Y532" s="249" t="s">
        <v>821</v>
      </c>
      <c r="Z532" s="250" t="s">
        <v>898</v>
      </c>
      <c r="AG532" s="9"/>
    </row>
    <row r="533" spans="24:33" x14ac:dyDescent="0.3">
      <c r="X533" s="251" t="s">
        <v>1641</v>
      </c>
      <c r="Y533" s="252" t="s">
        <v>821</v>
      </c>
      <c r="Z533" s="250" t="s">
        <v>898</v>
      </c>
      <c r="AG533" s="9"/>
    </row>
    <row r="534" spans="24:33" x14ac:dyDescent="0.3">
      <c r="X534" s="248" t="s">
        <v>1642</v>
      </c>
      <c r="Y534" s="249" t="s">
        <v>821</v>
      </c>
      <c r="Z534" s="250" t="s">
        <v>898</v>
      </c>
      <c r="AG534" s="9"/>
    </row>
    <row r="535" spans="24:33" x14ac:dyDescent="0.3">
      <c r="X535" s="251" t="s">
        <v>1643</v>
      </c>
      <c r="Y535" s="252" t="s">
        <v>821</v>
      </c>
      <c r="Z535" s="250" t="s">
        <v>898</v>
      </c>
      <c r="AG535" s="9"/>
    </row>
    <row r="536" spans="24:33" x14ac:dyDescent="0.3">
      <c r="X536" s="248" t="s">
        <v>1644</v>
      </c>
      <c r="Y536" s="249" t="s">
        <v>821</v>
      </c>
      <c r="Z536" s="250" t="s">
        <v>898</v>
      </c>
      <c r="AG536" s="9"/>
    </row>
    <row r="537" spans="24:33" x14ac:dyDescent="0.3">
      <c r="X537" s="251" t="s">
        <v>1645</v>
      </c>
      <c r="Y537" s="252" t="s">
        <v>821</v>
      </c>
      <c r="Z537" s="250" t="s">
        <v>898</v>
      </c>
      <c r="AG537" s="9"/>
    </row>
    <row r="538" spans="24:33" x14ac:dyDescent="0.3">
      <c r="X538" s="248" t="s">
        <v>1646</v>
      </c>
      <c r="Y538" s="249" t="s">
        <v>821</v>
      </c>
      <c r="Z538" s="250" t="s">
        <v>898</v>
      </c>
      <c r="AG538" s="9"/>
    </row>
    <row r="539" spans="24:33" x14ac:dyDescent="0.3">
      <c r="X539" s="251" t="s">
        <v>1647</v>
      </c>
      <c r="Y539" s="252" t="s">
        <v>821</v>
      </c>
      <c r="Z539" s="250" t="s">
        <v>898</v>
      </c>
      <c r="AG539" s="9"/>
    </row>
    <row r="540" spans="24:33" x14ac:dyDescent="0.3">
      <c r="X540" s="248" t="s">
        <v>1648</v>
      </c>
      <c r="Y540" s="249" t="s">
        <v>821</v>
      </c>
      <c r="Z540" s="250" t="s">
        <v>898</v>
      </c>
      <c r="AG540" s="9"/>
    </row>
    <row r="541" spans="24:33" x14ac:dyDescent="0.3">
      <c r="X541" s="251" t="s">
        <v>1649</v>
      </c>
      <c r="Y541" s="252" t="s">
        <v>821</v>
      </c>
      <c r="Z541" s="250" t="s">
        <v>898</v>
      </c>
      <c r="AG541" s="9"/>
    </row>
    <row r="542" spans="24:33" x14ac:dyDescent="0.3">
      <c r="X542" s="248" t="s">
        <v>1650</v>
      </c>
      <c r="Y542" s="249" t="s">
        <v>821</v>
      </c>
      <c r="Z542" s="250" t="s">
        <v>898</v>
      </c>
      <c r="AG542" s="9"/>
    </row>
    <row r="543" spans="24:33" x14ac:dyDescent="0.3">
      <c r="X543" s="251" t="s">
        <v>1651</v>
      </c>
      <c r="Y543" s="252" t="s">
        <v>821</v>
      </c>
      <c r="Z543" s="250" t="s">
        <v>898</v>
      </c>
      <c r="AG543" s="9"/>
    </row>
    <row r="544" spans="24:33" x14ac:dyDescent="0.3">
      <c r="X544" s="248" t="s">
        <v>1652</v>
      </c>
      <c r="Y544" s="249" t="s">
        <v>821</v>
      </c>
      <c r="Z544" s="250" t="s">
        <v>898</v>
      </c>
      <c r="AG544" s="9"/>
    </row>
    <row r="545" spans="24:33" x14ac:dyDescent="0.3">
      <c r="X545" s="251" t="s">
        <v>1653</v>
      </c>
      <c r="Y545" s="252" t="s">
        <v>821</v>
      </c>
      <c r="Z545" s="250" t="s">
        <v>898</v>
      </c>
      <c r="AG545" s="9"/>
    </row>
    <row r="546" spans="24:33" x14ac:dyDescent="0.3">
      <c r="X546" s="248" t="s">
        <v>1654</v>
      </c>
      <c r="Y546" s="249" t="s">
        <v>821</v>
      </c>
      <c r="Z546" s="250" t="s">
        <v>898</v>
      </c>
      <c r="AG546" s="9"/>
    </row>
    <row r="547" spans="24:33" x14ac:dyDescent="0.3">
      <c r="X547" s="251" t="s">
        <v>1655</v>
      </c>
      <c r="Y547" s="252" t="s">
        <v>821</v>
      </c>
      <c r="Z547" s="250" t="s">
        <v>898</v>
      </c>
      <c r="AG547" s="9"/>
    </row>
    <row r="548" spans="24:33" x14ac:dyDescent="0.3">
      <c r="X548" s="248" t="s">
        <v>1656</v>
      </c>
      <c r="Y548" s="249" t="s">
        <v>821</v>
      </c>
      <c r="Z548" s="250" t="s">
        <v>898</v>
      </c>
      <c r="AG548" s="9"/>
    </row>
    <row r="549" spans="24:33" x14ac:dyDescent="0.3">
      <c r="X549" s="251" t="s">
        <v>1657</v>
      </c>
      <c r="Y549" s="252" t="s">
        <v>821</v>
      </c>
      <c r="Z549" s="250" t="s">
        <v>898</v>
      </c>
      <c r="AG549" s="9"/>
    </row>
    <row r="550" spans="24:33" x14ac:dyDescent="0.3">
      <c r="X550" s="248" t="s">
        <v>1658</v>
      </c>
      <c r="Y550" s="249" t="s">
        <v>821</v>
      </c>
      <c r="Z550" s="250" t="s">
        <v>898</v>
      </c>
      <c r="AG550" s="9"/>
    </row>
    <row r="551" spans="24:33" x14ac:dyDescent="0.3">
      <c r="X551" s="251" t="s">
        <v>1659</v>
      </c>
      <c r="Y551" s="252" t="s">
        <v>821</v>
      </c>
      <c r="Z551" s="250" t="s">
        <v>898</v>
      </c>
      <c r="AG551" s="9"/>
    </row>
    <row r="552" spans="24:33" x14ac:dyDescent="0.3">
      <c r="X552" s="248" t="s">
        <v>1660</v>
      </c>
      <c r="Y552" s="249" t="s">
        <v>821</v>
      </c>
      <c r="Z552" s="250" t="s">
        <v>898</v>
      </c>
      <c r="AG552" s="9"/>
    </row>
    <row r="553" spans="24:33" x14ac:dyDescent="0.3">
      <c r="X553" s="251" t="s">
        <v>1661</v>
      </c>
      <c r="Y553" s="252" t="s">
        <v>821</v>
      </c>
      <c r="Z553" s="250" t="s">
        <v>898</v>
      </c>
      <c r="AG553" s="9"/>
    </row>
    <row r="554" spans="24:33" x14ac:dyDescent="0.3">
      <c r="X554" s="248" t="s">
        <v>304</v>
      </c>
      <c r="Y554" s="249" t="s">
        <v>821</v>
      </c>
      <c r="Z554" s="250" t="s">
        <v>898</v>
      </c>
      <c r="AG554" s="9"/>
    </row>
    <row r="555" spans="24:33" x14ac:dyDescent="0.3">
      <c r="X555" s="251" t="s">
        <v>1662</v>
      </c>
      <c r="Y555" s="252" t="s">
        <v>821</v>
      </c>
      <c r="Z555" s="250" t="s">
        <v>898</v>
      </c>
      <c r="AG555" s="9"/>
    </row>
    <row r="556" spans="24:33" x14ac:dyDescent="0.3">
      <c r="X556" s="248" t="s">
        <v>483</v>
      </c>
      <c r="Y556" s="249" t="s">
        <v>821</v>
      </c>
      <c r="Z556" s="250" t="s">
        <v>898</v>
      </c>
      <c r="AG556" s="9"/>
    </row>
    <row r="557" spans="24:33" x14ac:dyDescent="0.3">
      <c r="X557" s="251" t="s">
        <v>1663</v>
      </c>
      <c r="Y557" s="252" t="s">
        <v>821</v>
      </c>
      <c r="Z557" s="250" t="s">
        <v>898</v>
      </c>
      <c r="AG557" s="9"/>
    </row>
    <row r="558" spans="24:33" x14ac:dyDescent="0.3">
      <c r="X558" s="248" t="s">
        <v>1664</v>
      </c>
      <c r="Y558" s="249" t="s">
        <v>821</v>
      </c>
      <c r="Z558" s="250" t="s">
        <v>898</v>
      </c>
      <c r="AG558" s="9"/>
    </row>
    <row r="559" spans="24:33" x14ac:dyDescent="0.3">
      <c r="X559" s="251" t="s">
        <v>1665</v>
      </c>
      <c r="Y559" s="252" t="s">
        <v>821</v>
      </c>
      <c r="Z559" s="250" t="s">
        <v>898</v>
      </c>
      <c r="AG559" s="9"/>
    </row>
    <row r="560" spans="24:33" x14ac:dyDescent="0.3">
      <c r="X560" s="248" t="s">
        <v>1666</v>
      </c>
      <c r="Y560" s="249" t="s">
        <v>821</v>
      </c>
      <c r="Z560" s="250" t="s">
        <v>898</v>
      </c>
      <c r="AG560" s="9"/>
    </row>
    <row r="561" spans="24:33" x14ac:dyDescent="0.3">
      <c r="X561" s="251" t="s">
        <v>1667</v>
      </c>
      <c r="Y561" s="252" t="s">
        <v>821</v>
      </c>
      <c r="Z561" s="250" t="s">
        <v>898</v>
      </c>
      <c r="AG561" s="9"/>
    </row>
    <row r="562" spans="24:33" x14ac:dyDescent="0.3">
      <c r="X562" s="248" t="s">
        <v>1668</v>
      </c>
      <c r="Y562" s="249" t="s">
        <v>821</v>
      </c>
      <c r="Z562" s="250" t="s">
        <v>898</v>
      </c>
      <c r="AG562" s="9"/>
    </row>
    <row r="563" spans="24:33" x14ac:dyDescent="0.3">
      <c r="X563" s="251" t="s">
        <v>1669</v>
      </c>
      <c r="Y563" s="252" t="s">
        <v>821</v>
      </c>
      <c r="Z563" s="250" t="s">
        <v>898</v>
      </c>
      <c r="AG563" s="9"/>
    </row>
    <row r="564" spans="24:33" x14ac:dyDescent="0.3">
      <c r="X564" s="248" t="s">
        <v>1670</v>
      </c>
      <c r="Y564" s="249" t="s">
        <v>821</v>
      </c>
      <c r="Z564" s="250" t="s">
        <v>898</v>
      </c>
      <c r="AG564" s="9"/>
    </row>
    <row r="565" spans="24:33" x14ac:dyDescent="0.3">
      <c r="X565" s="251" t="s">
        <v>1671</v>
      </c>
      <c r="Y565" s="252" t="s">
        <v>821</v>
      </c>
      <c r="Z565" s="250" t="s">
        <v>898</v>
      </c>
      <c r="AG565" s="9"/>
    </row>
    <row r="566" spans="24:33" x14ac:dyDescent="0.3">
      <c r="X566" s="248" t="s">
        <v>1672</v>
      </c>
      <c r="Y566" s="249" t="s">
        <v>821</v>
      </c>
      <c r="Z566" s="250" t="s">
        <v>898</v>
      </c>
      <c r="AG566" s="9"/>
    </row>
    <row r="567" spans="24:33" x14ac:dyDescent="0.3">
      <c r="X567" s="251" t="s">
        <v>1673</v>
      </c>
      <c r="Y567" s="252" t="s">
        <v>821</v>
      </c>
      <c r="Z567" s="250" t="s">
        <v>898</v>
      </c>
      <c r="AG567" s="9"/>
    </row>
    <row r="568" spans="24:33" x14ac:dyDescent="0.3">
      <c r="X568" s="248" t="s">
        <v>1674</v>
      </c>
      <c r="Y568" s="249" t="s">
        <v>821</v>
      </c>
      <c r="Z568" s="250" t="s">
        <v>898</v>
      </c>
      <c r="AG568" s="9"/>
    </row>
    <row r="569" spans="24:33" x14ac:dyDescent="0.3">
      <c r="X569" s="251" t="s">
        <v>1675</v>
      </c>
      <c r="Y569" s="252" t="s">
        <v>821</v>
      </c>
      <c r="Z569" s="250" t="s">
        <v>898</v>
      </c>
      <c r="AG569" s="9"/>
    </row>
    <row r="570" spans="24:33" x14ac:dyDescent="0.3">
      <c r="X570" s="248" t="s">
        <v>1676</v>
      </c>
      <c r="Y570" s="249" t="s">
        <v>821</v>
      </c>
      <c r="Z570" s="250" t="s">
        <v>898</v>
      </c>
      <c r="AG570" s="9"/>
    </row>
    <row r="571" spans="24:33" x14ac:dyDescent="0.3">
      <c r="X571" s="251" t="s">
        <v>493</v>
      </c>
      <c r="Y571" s="252" t="s">
        <v>821</v>
      </c>
      <c r="Z571" s="250" t="s">
        <v>898</v>
      </c>
      <c r="AG571" s="9"/>
    </row>
    <row r="572" spans="24:33" x14ac:dyDescent="0.3">
      <c r="X572" s="248" t="s">
        <v>1677</v>
      </c>
      <c r="Y572" s="249" t="s">
        <v>821</v>
      </c>
      <c r="Z572" s="250" t="s">
        <v>898</v>
      </c>
      <c r="AG572" s="9"/>
    </row>
    <row r="573" spans="24:33" x14ac:dyDescent="0.3">
      <c r="X573" s="251" t="s">
        <v>1678</v>
      </c>
      <c r="Y573" s="252" t="s">
        <v>821</v>
      </c>
      <c r="Z573" s="250" t="s">
        <v>898</v>
      </c>
      <c r="AG573" s="9"/>
    </row>
    <row r="574" spans="24:33" x14ac:dyDescent="0.3">
      <c r="X574" s="248" t="s">
        <v>1679</v>
      </c>
      <c r="Y574" s="249" t="s">
        <v>821</v>
      </c>
      <c r="Z574" s="250" t="s">
        <v>898</v>
      </c>
      <c r="AG574" s="9"/>
    </row>
    <row r="575" spans="24:33" x14ac:dyDescent="0.3">
      <c r="X575" s="251" t="s">
        <v>1680</v>
      </c>
      <c r="Y575" s="252" t="s">
        <v>821</v>
      </c>
      <c r="Z575" s="250" t="s">
        <v>898</v>
      </c>
      <c r="AG575" s="9"/>
    </row>
    <row r="576" spans="24:33" x14ac:dyDescent="0.3">
      <c r="X576" s="248" t="s">
        <v>1681</v>
      </c>
      <c r="Y576" s="249" t="s">
        <v>821</v>
      </c>
      <c r="Z576" s="250" t="s">
        <v>898</v>
      </c>
      <c r="AG576" s="9"/>
    </row>
    <row r="577" spans="24:33" x14ac:dyDescent="0.3">
      <c r="X577" s="251" t="s">
        <v>1682</v>
      </c>
      <c r="Y577" s="252" t="s">
        <v>821</v>
      </c>
      <c r="Z577" s="250" t="s">
        <v>898</v>
      </c>
      <c r="AG577" s="9"/>
    </row>
    <row r="578" spans="24:33" x14ac:dyDescent="0.3">
      <c r="X578" s="248" t="s">
        <v>1683</v>
      </c>
      <c r="Y578" s="249" t="s">
        <v>821</v>
      </c>
      <c r="Z578" s="250" t="s">
        <v>898</v>
      </c>
      <c r="AG578" s="9"/>
    </row>
    <row r="579" spans="24:33" x14ac:dyDescent="0.3">
      <c r="X579" s="251" t="s">
        <v>1684</v>
      </c>
      <c r="Y579" s="252" t="s">
        <v>821</v>
      </c>
      <c r="Z579" s="250" t="s">
        <v>898</v>
      </c>
      <c r="AG579" s="9"/>
    </row>
    <row r="580" spans="24:33" x14ac:dyDescent="0.3">
      <c r="X580" s="248" t="s">
        <v>1685</v>
      </c>
      <c r="Y580" s="249" t="s">
        <v>821</v>
      </c>
      <c r="Z580" s="250" t="s">
        <v>898</v>
      </c>
      <c r="AG580" s="9"/>
    </row>
    <row r="581" spans="24:33" x14ac:dyDescent="0.3">
      <c r="X581" s="251" t="s">
        <v>1686</v>
      </c>
      <c r="Y581" s="252" t="s">
        <v>821</v>
      </c>
      <c r="Z581" s="250" t="s">
        <v>898</v>
      </c>
      <c r="AG581" s="9"/>
    </row>
    <row r="582" spans="24:33" x14ac:dyDescent="0.3">
      <c r="X582" s="248" t="s">
        <v>1687</v>
      </c>
      <c r="Y582" s="249" t="s">
        <v>821</v>
      </c>
      <c r="Z582" s="250" t="s">
        <v>898</v>
      </c>
      <c r="AG582" s="9"/>
    </row>
    <row r="583" spans="24:33" x14ac:dyDescent="0.3">
      <c r="X583" s="251" t="s">
        <v>1688</v>
      </c>
      <c r="Y583" s="252" t="s">
        <v>821</v>
      </c>
      <c r="Z583" s="250" t="s">
        <v>898</v>
      </c>
      <c r="AG583" s="9"/>
    </row>
    <row r="584" spans="24:33" x14ac:dyDescent="0.3">
      <c r="X584" s="248" t="s">
        <v>1689</v>
      </c>
      <c r="Y584" s="249" t="s">
        <v>821</v>
      </c>
      <c r="Z584" s="250" t="s">
        <v>898</v>
      </c>
      <c r="AG584" s="9"/>
    </row>
    <row r="585" spans="24:33" x14ac:dyDescent="0.3">
      <c r="X585" s="251" t="s">
        <v>1690</v>
      </c>
      <c r="Y585" s="252" t="s">
        <v>821</v>
      </c>
      <c r="Z585" s="250" t="s">
        <v>898</v>
      </c>
      <c r="AG585" s="9"/>
    </row>
    <row r="586" spans="24:33" x14ac:dyDescent="0.3">
      <c r="X586" s="248" t="s">
        <v>1691</v>
      </c>
      <c r="Y586" s="249" t="s">
        <v>821</v>
      </c>
      <c r="Z586" s="250" t="s">
        <v>898</v>
      </c>
      <c r="AG586" s="9"/>
    </row>
    <row r="587" spans="24:33" x14ac:dyDescent="0.3">
      <c r="X587" s="251" t="s">
        <v>1692</v>
      </c>
      <c r="Y587" s="252" t="s">
        <v>821</v>
      </c>
      <c r="Z587" s="250" t="s">
        <v>898</v>
      </c>
      <c r="AG587" s="9"/>
    </row>
    <row r="588" spans="24:33" x14ac:dyDescent="0.3">
      <c r="X588" s="248" t="s">
        <v>1693</v>
      </c>
      <c r="Y588" s="249" t="s">
        <v>821</v>
      </c>
      <c r="Z588" s="250" t="s">
        <v>898</v>
      </c>
      <c r="AG588" s="9"/>
    </row>
    <row r="589" spans="24:33" x14ac:dyDescent="0.3">
      <c r="X589" s="251" t="s">
        <v>1694</v>
      </c>
      <c r="Y589" s="252" t="s">
        <v>821</v>
      </c>
      <c r="Z589" s="250" t="s">
        <v>898</v>
      </c>
      <c r="AG589" s="9"/>
    </row>
    <row r="590" spans="24:33" x14ac:dyDescent="0.3">
      <c r="X590" s="248" t="s">
        <v>1695</v>
      </c>
      <c r="Y590" s="249" t="s">
        <v>821</v>
      </c>
      <c r="Z590" s="250" t="s">
        <v>898</v>
      </c>
      <c r="AG590" s="9"/>
    </row>
    <row r="591" spans="24:33" x14ac:dyDescent="0.3">
      <c r="X591" s="251" t="s">
        <v>1696</v>
      </c>
      <c r="Y591" s="252" t="s">
        <v>821</v>
      </c>
      <c r="Z591" s="250" t="s">
        <v>898</v>
      </c>
      <c r="AG591" s="9"/>
    </row>
    <row r="592" spans="24:33" x14ac:dyDescent="0.3">
      <c r="X592" s="248" t="s">
        <v>500</v>
      </c>
      <c r="Y592" s="249" t="s">
        <v>821</v>
      </c>
      <c r="Z592" s="250" t="s">
        <v>898</v>
      </c>
      <c r="AG592" s="9"/>
    </row>
    <row r="593" spans="24:33" x14ac:dyDescent="0.3">
      <c r="X593" s="251" t="s">
        <v>1697</v>
      </c>
      <c r="Y593" s="252" t="s">
        <v>821</v>
      </c>
      <c r="Z593" s="250" t="s">
        <v>898</v>
      </c>
      <c r="AG593" s="9"/>
    </row>
    <row r="594" spans="24:33" x14ac:dyDescent="0.3">
      <c r="X594" s="248" t="s">
        <v>1698</v>
      </c>
      <c r="Y594" s="249" t="s">
        <v>821</v>
      </c>
      <c r="Z594" s="250" t="s">
        <v>898</v>
      </c>
      <c r="AG594" s="9"/>
    </row>
    <row r="595" spans="24:33" x14ac:dyDescent="0.3">
      <c r="X595" s="251" t="s">
        <v>1699</v>
      </c>
      <c r="Y595" s="252" t="s">
        <v>821</v>
      </c>
      <c r="Z595" s="250" t="s">
        <v>898</v>
      </c>
      <c r="AG595" s="9"/>
    </row>
    <row r="596" spans="24:33" x14ac:dyDescent="0.3">
      <c r="X596" s="248" t="s">
        <v>1700</v>
      </c>
      <c r="Y596" s="249" t="s">
        <v>821</v>
      </c>
      <c r="Z596" s="250" t="s">
        <v>898</v>
      </c>
      <c r="AG596" s="9"/>
    </row>
    <row r="597" spans="24:33" x14ac:dyDescent="0.3">
      <c r="X597" s="251" t="s">
        <v>1701</v>
      </c>
      <c r="Y597" s="252" t="s">
        <v>821</v>
      </c>
      <c r="Z597" s="250" t="s">
        <v>898</v>
      </c>
      <c r="AG597" s="9"/>
    </row>
    <row r="598" spans="24:33" x14ac:dyDescent="0.3">
      <c r="X598" s="248" t="s">
        <v>1702</v>
      </c>
      <c r="Y598" s="249" t="s">
        <v>821</v>
      </c>
      <c r="Z598" s="250" t="s">
        <v>898</v>
      </c>
      <c r="AG598" s="9"/>
    </row>
    <row r="599" spans="24:33" x14ac:dyDescent="0.3">
      <c r="X599" s="251" t="s">
        <v>1703</v>
      </c>
      <c r="Y599" s="252" t="s">
        <v>821</v>
      </c>
      <c r="Z599" s="250" t="s">
        <v>898</v>
      </c>
      <c r="AG599" s="9"/>
    </row>
    <row r="600" spans="24:33" x14ac:dyDescent="0.3">
      <c r="X600" s="248" t="s">
        <v>1704</v>
      </c>
      <c r="Y600" s="249" t="s">
        <v>821</v>
      </c>
      <c r="Z600" s="250" t="s">
        <v>898</v>
      </c>
      <c r="AG600" s="9"/>
    </row>
    <row r="601" spans="24:33" x14ac:dyDescent="0.3">
      <c r="X601" s="251" t="s">
        <v>1705</v>
      </c>
      <c r="Y601" s="252" t="s">
        <v>821</v>
      </c>
      <c r="Z601" s="250" t="s">
        <v>898</v>
      </c>
      <c r="AG601" s="9"/>
    </row>
    <row r="602" spans="24:33" x14ac:dyDescent="0.3">
      <c r="X602" s="248" t="s">
        <v>1706</v>
      </c>
      <c r="Y602" s="249" t="s">
        <v>821</v>
      </c>
      <c r="Z602" s="250" t="s">
        <v>898</v>
      </c>
      <c r="AG602" s="9"/>
    </row>
    <row r="603" spans="24:33" x14ac:dyDescent="0.3">
      <c r="X603" s="251" t="s">
        <v>1707</v>
      </c>
      <c r="Y603" s="252" t="s">
        <v>821</v>
      </c>
      <c r="Z603" s="250" t="s">
        <v>898</v>
      </c>
      <c r="AG603" s="9"/>
    </row>
    <row r="604" spans="24:33" x14ac:dyDescent="0.3">
      <c r="X604" s="248" t="s">
        <v>1708</v>
      </c>
      <c r="Y604" s="249" t="s">
        <v>821</v>
      </c>
      <c r="Z604" s="250" t="s">
        <v>898</v>
      </c>
      <c r="AG604" s="9"/>
    </row>
    <row r="605" spans="24:33" x14ac:dyDescent="0.3">
      <c r="X605" s="251" t="s">
        <v>1709</v>
      </c>
      <c r="Y605" s="252" t="s">
        <v>821</v>
      </c>
      <c r="Z605" s="250" t="s">
        <v>898</v>
      </c>
      <c r="AG605" s="9"/>
    </row>
    <row r="606" spans="24:33" x14ac:dyDescent="0.3">
      <c r="X606" s="248" t="s">
        <v>1710</v>
      </c>
      <c r="Y606" s="249" t="s">
        <v>821</v>
      </c>
      <c r="Z606" s="250" t="s">
        <v>898</v>
      </c>
      <c r="AG606" s="9"/>
    </row>
    <row r="607" spans="24:33" x14ac:dyDescent="0.3">
      <c r="X607" s="251" t="s">
        <v>1711</v>
      </c>
      <c r="Y607" s="252" t="s">
        <v>821</v>
      </c>
      <c r="Z607" s="250" t="s">
        <v>898</v>
      </c>
      <c r="AG607" s="9"/>
    </row>
    <row r="608" spans="24:33" x14ac:dyDescent="0.3">
      <c r="X608" s="248" t="s">
        <v>1712</v>
      </c>
      <c r="Y608" s="249" t="s">
        <v>821</v>
      </c>
      <c r="Z608" s="250" t="s">
        <v>898</v>
      </c>
      <c r="AG608" s="9"/>
    </row>
    <row r="609" spans="24:33" x14ac:dyDescent="0.3">
      <c r="X609" s="251" t="s">
        <v>1713</v>
      </c>
      <c r="Y609" s="252" t="s">
        <v>821</v>
      </c>
      <c r="Z609" s="250" t="s">
        <v>898</v>
      </c>
      <c r="AG609" s="9"/>
    </row>
    <row r="610" spans="24:33" x14ac:dyDescent="0.3">
      <c r="X610" s="248" t="s">
        <v>1714</v>
      </c>
      <c r="Y610" s="249" t="s">
        <v>821</v>
      </c>
      <c r="Z610" s="250" t="s">
        <v>898</v>
      </c>
      <c r="AG610" s="9"/>
    </row>
    <row r="611" spans="24:33" x14ac:dyDescent="0.3">
      <c r="X611" s="251" t="s">
        <v>1715</v>
      </c>
      <c r="Y611" s="252" t="s">
        <v>821</v>
      </c>
      <c r="Z611" s="250" t="s">
        <v>898</v>
      </c>
      <c r="AG611" s="9"/>
    </row>
    <row r="612" spans="24:33" x14ac:dyDescent="0.3">
      <c r="X612" s="248" t="s">
        <v>1716</v>
      </c>
      <c r="Y612" s="249" t="s">
        <v>821</v>
      </c>
      <c r="Z612" s="250" t="s">
        <v>898</v>
      </c>
      <c r="AG612" s="9"/>
    </row>
    <row r="613" spans="24:33" x14ac:dyDescent="0.3">
      <c r="X613" s="251" t="s">
        <v>1717</v>
      </c>
      <c r="Y613" s="252" t="s">
        <v>821</v>
      </c>
      <c r="Z613" s="250" t="s">
        <v>898</v>
      </c>
      <c r="AG613" s="9"/>
    </row>
    <row r="614" spans="24:33" x14ac:dyDescent="0.3">
      <c r="X614" s="248" t="s">
        <v>1718</v>
      </c>
      <c r="Y614" s="249" t="s">
        <v>821</v>
      </c>
      <c r="Z614" s="250" t="s">
        <v>898</v>
      </c>
      <c r="AG614" s="9"/>
    </row>
    <row r="615" spans="24:33" x14ac:dyDescent="0.3">
      <c r="X615" s="251" t="s">
        <v>1719</v>
      </c>
      <c r="Y615" s="252" t="s">
        <v>821</v>
      </c>
      <c r="Z615" s="250" t="s">
        <v>898</v>
      </c>
      <c r="AG615" s="9"/>
    </row>
    <row r="616" spans="24:33" x14ac:dyDescent="0.3">
      <c r="X616" s="248" t="s">
        <v>1720</v>
      </c>
      <c r="Y616" s="249" t="s">
        <v>821</v>
      </c>
      <c r="Z616" s="250" t="s">
        <v>898</v>
      </c>
      <c r="AG616" s="9"/>
    </row>
    <row r="617" spans="24:33" x14ac:dyDescent="0.3">
      <c r="X617" s="251" t="s">
        <v>1721</v>
      </c>
      <c r="Y617" s="252" t="s">
        <v>821</v>
      </c>
      <c r="Z617" s="250" t="s">
        <v>898</v>
      </c>
      <c r="AG617" s="9"/>
    </row>
    <row r="618" spans="24:33" x14ac:dyDescent="0.3">
      <c r="X618" s="248" t="s">
        <v>1722</v>
      </c>
      <c r="Y618" s="249" t="s">
        <v>821</v>
      </c>
      <c r="Z618" s="250" t="s">
        <v>898</v>
      </c>
      <c r="AG618" s="9"/>
    </row>
    <row r="619" spans="24:33" x14ac:dyDescent="0.3">
      <c r="X619" s="251" t="s">
        <v>1723</v>
      </c>
      <c r="Y619" s="252" t="s">
        <v>821</v>
      </c>
      <c r="Z619" s="250" t="s">
        <v>898</v>
      </c>
      <c r="AG619" s="9"/>
    </row>
    <row r="620" spans="24:33" x14ac:dyDescent="0.3">
      <c r="X620" s="248" t="s">
        <v>1724</v>
      </c>
      <c r="Y620" s="249" t="s">
        <v>821</v>
      </c>
      <c r="Z620" s="250" t="s">
        <v>898</v>
      </c>
      <c r="AG620" s="9"/>
    </row>
    <row r="621" spans="24:33" x14ac:dyDescent="0.3">
      <c r="X621" s="251" t="s">
        <v>1725</v>
      </c>
      <c r="Y621" s="252" t="s">
        <v>821</v>
      </c>
      <c r="Z621" s="250" t="s">
        <v>898</v>
      </c>
      <c r="AG621" s="9"/>
    </row>
    <row r="622" spans="24:33" x14ac:dyDescent="0.3">
      <c r="X622" s="248" t="s">
        <v>1726</v>
      </c>
      <c r="Y622" s="249" t="s">
        <v>821</v>
      </c>
      <c r="Z622" s="250" t="s">
        <v>898</v>
      </c>
      <c r="AG622" s="9"/>
    </row>
    <row r="623" spans="24:33" x14ac:dyDescent="0.3">
      <c r="X623" s="251" t="s">
        <v>1727</v>
      </c>
      <c r="Y623" s="252" t="s">
        <v>821</v>
      </c>
      <c r="Z623" s="250" t="s">
        <v>898</v>
      </c>
      <c r="AG623" s="9"/>
    </row>
    <row r="624" spans="24:33" x14ac:dyDescent="0.3">
      <c r="X624" s="248" t="s">
        <v>1728</v>
      </c>
      <c r="Y624" s="249" t="s">
        <v>821</v>
      </c>
      <c r="Z624" s="250" t="s">
        <v>898</v>
      </c>
      <c r="AG624" s="9"/>
    </row>
    <row r="625" spans="24:33" x14ac:dyDescent="0.3">
      <c r="X625" s="251" t="s">
        <v>1729</v>
      </c>
      <c r="Y625" s="252" t="s">
        <v>821</v>
      </c>
      <c r="Z625" s="250" t="s">
        <v>898</v>
      </c>
      <c r="AG625" s="9"/>
    </row>
    <row r="626" spans="24:33" x14ac:dyDescent="0.3">
      <c r="X626" s="248" t="s">
        <v>1183</v>
      </c>
      <c r="Y626" s="249" t="s">
        <v>821</v>
      </c>
      <c r="Z626" s="250" t="s">
        <v>898</v>
      </c>
      <c r="AG626" s="9"/>
    </row>
    <row r="627" spans="24:33" x14ac:dyDescent="0.3">
      <c r="X627" s="251" t="s">
        <v>1184</v>
      </c>
      <c r="Y627" s="252" t="s">
        <v>821</v>
      </c>
      <c r="Z627" s="250" t="s">
        <v>898</v>
      </c>
      <c r="AG627" s="9"/>
    </row>
    <row r="628" spans="24:33" x14ac:dyDescent="0.3">
      <c r="X628" s="248" t="s">
        <v>1185</v>
      </c>
      <c r="Y628" s="249" t="s">
        <v>821</v>
      </c>
      <c r="Z628" s="250" t="s">
        <v>898</v>
      </c>
      <c r="AG628" s="9"/>
    </row>
    <row r="629" spans="24:33" x14ac:dyDescent="0.3">
      <c r="X629" s="251" t="s">
        <v>1186</v>
      </c>
      <c r="Y629" s="252" t="s">
        <v>821</v>
      </c>
      <c r="Z629" s="250" t="s">
        <v>898</v>
      </c>
      <c r="AG629" s="9"/>
    </row>
    <row r="630" spans="24:33" x14ac:dyDescent="0.3">
      <c r="X630" s="248" t="s">
        <v>1730</v>
      </c>
      <c r="Y630" s="249" t="s">
        <v>821</v>
      </c>
      <c r="Z630" s="250" t="s">
        <v>898</v>
      </c>
      <c r="AG630" s="9"/>
    </row>
    <row r="631" spans="24:33" x14ac:dyDescent="0.3">
      <c r="X631" s="251" t="s">
        <v>1731</v>
      </c>
      <c r="Y631" s="252" t="s">
        <v>821</v>
      </c>
      <c r="Z631" s="250" t="s">
        <v>898</v>
      </c>
      <c r="AG631" s="9"/>
    </row>
    <row r="632" spans="24:33" x14ac:dyDescent="0.3">
      <c r="X632" s="248" t="s">
        <v>1732</v>
      </c>
      <c r="Y632" s="249" t="s">
        <v>821</v>
      </c>
      <c r="Z632" s="250" t="s">
        <v>898</v>
      </c>
      <c r="AG632" s="9"/>
    </row>
    <row r="633" spans="24:33" x14ac:dyDescent="0.3">
      <c r="X633" s="251" t="s">
        <v>1733</v>
      </c>
      <c r="Y633" s="252" t="s">
        <v>821</v>
      </c>
      <c r="Z633" s="250" t="s">
        <v>898</v>
      </c>
      <c r="AG633" s="9"/>
    </row>
    <row r="634" spans="24:33" x14ac:dyDescent="0.3">
      <c r="X634" s="248" t="s">
        <v>1734</v>
      </c>
      <c r="Y634" s="249" t="s">
        <v>821</v>
      </c>
      <c r="Z634" s="250" t="s">
        <v>898</v>
      </c>
      <c r="AG634" s="9"/>
    </row>
    <row r="635" spans="24:33" x14ac:dyDescent="0.3">
      <c r="X635" s="251" t="s">
        <v>1735</v>
      </c>
      <c r="Y635" s="252" t="s">
        <v>821</v>
      </c>
      <c r="Z635" s="250" t="s">
        <v>898</v>
      </c>
      <c r="AG635" s="9"/>
    </row>
    <row r="636" spans="24:33" x14ac:dyDescent="0.3">
      <c r="X636" s="248" t="s">
        <v>1736</v>
      </c>
      <c r="Y636" s="249" t="s">
        <v>821</v>
      </c>
      <c r="Z636" s="250" t="s">
        <v>898</v>
      </c>
      <c r="AG636" s="9"/>
    </row>
    <row r="637" spans="24:33" x14ac:dyDescent="0.3">
      <c r="X637" s="251" t="s">
        <v>1737</v>
      </c>
      <c r="Y637" s="252" t="s">
        <v>821</v>
      </c>
      <c r="Z637" s="250" t="s">
        <v>898</v>
      </c>
      <c r="AG637" s="9"/>
    </row>
    <row r="638" spans="24:33" x14ac:dyDescent="0.3">
      <c r="X638" s="248" t="s">
        <v>406</v>
      </c>
      <c r="Y638" s="249" t="s">
        <v>821</v>
      </c>
      <c r="Z638" s="250" t="s">
        <v>898</v>
      </c>
      <c r="AG638" s="9"/>
    </row>
    <row r="639" spans="24:33" x14ac:dyDescent="0.3">
      <c r="X639" s="251" t="s">
        <v>1738</v>
      </c>
      <c r="Y639" s="252" t="s">
        <v>821</v>
      </c>
      <c r="Z639" s="250" t="s">
        <v>906</v>
      </c>
      <c r="AG639" s="9"/>
    </row>
    <row r="640" spans="24:33" x14ac:dyDescent="0.3">
      <c r="X640" s="248" t="s">
        <v>1739</v>
      </c>
      <c r="Y640" s="249" t="s">
        <v>821</v>
      </c>
      <c r="Z640" s="250" t="s">
        <v>906</v>
      </c>
      <c r="AG640" s="9"/>
    </row>
    <row r="641" spans="24:33" x14ac:dyDescent="0.3">
      <c r="X641" s="251" t="s">
        <v>1740</v>
      </c>
      <c r="Y641" s="252" t="s">
        <v>821</v>
      </c>
      <c r="Z641" s="250" t="s">
        <v>906</v>
      </c>
      <c r="AG641" s="9"/>
    </row>
    <row r="642" spans="24:33" x14ac:dyDescent="0.3">
      <c r="X642" s="248" t="s">
        <v>1741</v>
      </c>
      <c r="Y642" s="249" t="s">
        <v>821</v>
      </c>
      <c r="Z642" s="250" t="s">
        <v>906</v>
      </c>
      <c r="AG642" s="9"/>
    </row>
    <row r="643" spans="24:33" x14ac:dyDescent="0.3">
      <c r="X643" s="251" t="s">
        <v>1742</v>
      </c>
      <c r="Y643" s="252" t="s">
        <v>821</v>
      </c>
      <c r="Z643" s="250" t="s">
        <v>906</v>
      </c>
      <c r="AG643" s="9"/>
    </row>
    <row r="644" spans="24:33" x14ac:dyDescent="0.3">
      <c r="X644" s="248" t="s">
        <v>1743</v>
      </c>
      <c r="Y644" s="249" t="s">
        <v>821</v>
      </c>
      <c r="Z644" s="250" t="s">
        <v>906</v>
      </c>
      <c r="AG644" s="9"/>
    </row>
    <row r="645" spans="24:33" x14ac:dyDescent="0.3">
      <c r="X645" s="251" t="s">
        <v>1744</v>
      </c>
      <c r="Y645" s="252" t="s">
        <v>821</v>
      </c>
      <c r="Z645" s="250" t="s">
        <v>906</v>
      </c>
      <c r="AG645" s="9"/>
    </row>
    <row r="646" spans="24:33" x14ac:dyDescent="0.3">
      <c r="X646" s="248" t="s">
        <v>1745</v>
      </c>
      <c r="Y646" s="249" t="s">
        <v>821</v>
      </c>
      <c r="Z646" s="250" t="s">
        <v>906</v>
      </c>
      <c r="AG646" s="9"/>
    </row>
    <row r="647" spans="24:33" x14ac:dyDescent="0.3">
      <c r="X647" s="251" t="s">
        <v>1746</v>
      </c>
      <c r="Y647" s="252" t="s">
        <v>821</v>
      </c>
      <c r="Z647" s="250" t="s">
        <v>906</v>
      </c>
      <c r="AG647" s="9"/>
    </row>
    <row r="648" spans="24:33" x14ac:dyDescent="0.3">
      <c r="X648" s="248" t="s">
        <v>1747</v>
      </c>
      <c r="Y648" s="249" t="s">
        <v>821</v>
      </c>
      <c r="Z648" s="250" t="s">
        <v>906</v>
      </c>
      <c r="AG648" s="9"/>
    </row>
    <row r="649" spans="24:33" x14ac:dyDescent="0.3">
      <c r="X649" s="251" t="s">
        <v>1748</v>
      </c>
      <c r="Y649" s="252" t="s">
        <v>821</v>
      </c>
      <c r="Z649" s="250" t="s">
        <v>906</v>
      </c>
      <c r="AG649" s="9"/>
    </row>
    <row r="650" spans="24:33" x14ac:dyDescent="0.3">
      <c r="X650" s="248" t="s">
        <v>1749</v>
      </c>
      <c r="Y650" s="249" t="s">
        <v>821</v>
      </c>
      <c r="Z650" s="250" t="s">
        <v>906</v>
      </c>
      <c r="AG650" s="9"/>
    </row>
    <row r="651" spans="24:33" x14ac:dyDescent="0.3">
      <c r="X651" s="251" t="s">
        <v>1750</v>
      </c>
      <c r="Y651" s="252" t="s">
        <v>821</v>
      </c>
      <c r="Z651" s="250" t="s">
        <v>906</v>
      </c>
      <c r="AG651" s="9"/>
    </row>
    <row r="652" spans="24:33" x14ac:dyDescent="0.3">
      <c r="X652" s="248" t="s">
        <v>1751</v>
      </c>
      <c r="Y652" s="249" t="s">
        <v>821</v>
      </c>
      <c r="Z652" s="250" t="s">
        <v>906</v>
      </c>
      <c r="AG652" s="9"/>
    </row>
    <row r="653" spans="24:33" x14ac:dyDescent="0.3">
      <c r="X653" s="251" t="s">
        <v>1752</v>
      </c>
      <c r="Y653" s="252" t="s">
        <v>821</v>
      </c>
      <c r="Z653" s="250" t="s">
        <v>906</v>
      </c>
      <c r="AG653" s="9"/>
    </row>
    <row r="654" spans="24:33" x14ac:dyDescent="0.3">
      <c r="X654" s="248" t="s">
        <v>175</v>
      </c>
      <c r="Y654" s="249" t="s">
        <v>821</v>
      </c>
      <c r="Z654" s="250" t="s">
        <v>906</v>
      </c>
      <c r="AG654" s="9"/>
    </row>
    <row r="655" spans="24:33" x14ac:dyDescent="0.3">
      <c r="X655" s="251" t="s">
        <v>1753</v>
      </c>
      <c r="Y655" s="252" t="s">
        <v>821</v>
      </c>
      <c r="Z655" s="250" t="s">
        <v>906</v>
      </c>
      <c r="AG655" s="9"/>
    </row>
    <row r="656" spans="24:33" x14ac:dyDescent="0.3">
      <c r="X656" s="248" t="s">
        <v>768</v>
      </c>
      <c r="Y656" s="249" t="s">
        <v>821</v>
      </c>
      <c r="Z656" s="250" t="s">
        <v>906</v>
      </c>
      <c r="AG656" s="9"/>
    </row>
    <row r="657" spans="24:33" x14ac:dyDescent="0.3">
      <c r="X657" s="251" t="s">
        <v>1754</v>
      </c>
      <c r="Y657" s="252" t="s">
        <v>821</v>
      </c>
      <c r="Z657" s="250" t="s">
        <v>906</v>
      </c>
      <c r="AG657" s="9"/>
    </row>
    <row r="658" spans="24:33" x14ac:dyDescent="0.3">
      <c r="X658" s="248" t="s">
        <v>431</v>
      </c>
      <c r="Y658" s="249" t="s">
        <v>821</v>
      </c>
      <c r="Z658" s="250" t="s">
        <v>898</v>
      </c>
      <c r="AG658" s="9"/>
    </row>
    <row r="659" spans="24:33" x14ac:dyDescent="0.3">
      <c r="X659" s="251" t="s">
        <v>1755</v>
      </c>
      <c r="Y659" s="252" t="s">
        <v>821</v>
      </c>
      <c r="Z659" s="250" t="s">
        <v>898</v>
      </c>
      <c r="AG659" s="9"/>
    </row>
    <row r="660" spans="24:33" x14ac:dyDescent="0.3">
      <c r="X660" s="248" t="s">
        <v>1756</v>
      </c>
      <c r="Y660" s="249" t="s">
        <v>821</v>
      </c>
      <c r="Z660" s="250" t="s">
        <v>898</v>
      </c>
      <c r="AG660" s="9"/>
    </row>
    <row r="661" spans="24:33" x14ac:dyDescent="0.3">
      <c r="X661" s="251" t="s">
        <v>1757</v>
      </c>
      <c r="Y661" s="252" t="s">
        <v>821</v>
      </c>
      <c r="Z661" s="250" t="s">
        <v>898</v>
      </c>
      <c r="AG661" s="9"/>
    </row>
    <row r="662" spans="24:33" x14ac:dyDescent="0.3">
      <c r="X662" s="248" t="s">
        <v>1758</v>
      </c>
      <c r="Y662" s="249" t="s">
        <v>821</v>
      </c>
      <c r="Z662" s="250" t="s">
        <v>898</v>
      </c>
      <c r="AG662" s="9"/>
    </row>
    <row r="663" spans="24:33" x14ac:dyDescent="0.3">
      <c r="X663" s="251" t="s">
        <v>1759</v>
      </c>
      <c r="Y663" s="252" t="s">
        <v>821</v>
      </c>
      <c r="Z663" s="250" t="s">
        <v>898</v>
      </c>
      <c r="AG663" s="9"/>
    </row>
    <row r="664" spans="24:33" x14ac:dyDescent="0.3">
      <c r="X664" s="248" t="s">
        <v>1760</v>
      </c>
      <c r="Y664" s="249" t="s">
        <v>821</v>
      </c>
      <c r="Z664" s="250" t="s">
        <v>898</v>
      </c>
      <c r="AG664" s="9"/>
    </row>
    <row r="665" spans="24:33" x14ac:dyDescent="0.3">
      <c r="X665" s="251" t="s">
        <v>1761</v>
      </c>
      <c r="Y665" s="252" t="s">
        <v>821</v>
      </c>
      <c r="Z665" s="250" t="s">
        <v>898</v>
      </c>
      <c r="AG665" s="9"/>
    </row>
    <row r="666" spans="24:33" x14ac:dyDescent="0.3">
      <c r="X666" s="248" t="s">
        <v>1762</v>
      </c>
      <c r="Y666" s="249" t="s">
        <v>821</v>
      </c>
      <c r="Z666" s="250" t="s">
        <v>898</v>
      </c>
      <c r="AG666" s="9"/>
    </row>
    <row r="667" spans="24:33" x14ac:dyDescent="0.3">
      <c r="X667" s="251" t="s">
        <v>1763</v>
      </c>
      <c r="Y667" s="252" t="s">
        <v>821</v>
      </c>
      <c r="Z667" s="250" t="s">
        <v>898</v>
      </c>
      <c r="AG667" s="9"/>
    </row>
    <row r="668" spans="24:33" x14ac:dyDescent="0.3">
      <c r="X668" s="248" t="s">
        <v>1764</v>
      </c>
      <c r="Y668" s="249" t="s">
        <v>821</v>
      </c>
      <c r="Z668" s="250" t="s">
        <v>898</v>
      </c>
      <c r="AG668" s="9"/>
    </row>
    <row r="669" spans="24:33" x14ac:dyDescent="0.3">
      <c r="X669" s="251" t="s">
        <v>360</v>
      </c>
      <c r="Y669" s="252" t="s">
        <v>821</v>
      </c>
      <c r="Z669" s="250" t="s">
        <v>898</v>
      </c>
      <c r="AG669" s="9"/>
    </row>
    <row r="670" spans="24:33" x14ac:dyDescent="0.3">
      <c r="X670" s="248" t="s">
        <v>1187</v>
      </c>
      <c r="Y670" s="249" t="s">
        <v>821</v>
      </c>
      <c r="Z670" s="250" t="s">
        <v>898</v>
      </c>
      <c r="AG670" s="9"/>
    </row>
    <row r="671" spans="24:33" x14ac:dyDescent="0.3">
      <c r="X671" s="251" t="s">
        <v>1188</v>
      </c>
      <c r="Y671" s="252" t="s">
        <v>821</v>
      </c>
      <c r="Z671" s="250" t="s">
        <v>898</v>
      </c>
      <c r="AG671" s="9"/>
    </row>
    <row r="672" spans="24:33" x14ac:dyDescent="0.3">
      <c r="X672" s="248" t="s">
        <v>1189</v>
      </c>
      <c r="Y672" s="249" t="s">
        <v>821</v>
      </c>
      <c r="Z672" s="250" t="s">
        <v>898</v>
      </c>
      <c r="AG672" s="9"/>
    </row>
    <row r="673" spans="24:33" x14ac:dyDescent="0.3">
      <c r="X673" s="251" t="s">
        <v>1190</v>
      </c>
      <c r="Y673" s="252" t="s">
        <v>821</v>
      </c>
      <c r="Z673" s="250" t="s">
        <v>898</v>
      </c>
      <c r="AG673" s="9"/>
    </row>
    <row r="674" spans="24:33" x14ac:dyDescent="0.3">
      <c r="X674" s="248" t="s">
        <v>1191</v>
      </c>
      <c r="Y674" s="249" t="s">
        <v>821</v>
      </c>
      <c r="Z674" s="250" t="s">
        <v>898</v>
      </c>
      <c r="AG674" s="9"/>
    </row>
    <row r="675" spans="24:33" x14ac:dyDescent="0.3">
      <c r="X675" s="251" t="s">
        <v>1765</v>
      </c>
      <c r="Y675" s="252" t="s">
        <v>821</v>
      </c>
      <c r="Z675" s="250" t="s">
        <v>898</v>
      </c>
      <c r="AG675" s="9"/>
    </row>
    <row r="676" spans="24:33" x14ac:dyDescent="0.3">
      <c r="X676" s="248" t="s">
        <v>1766</v>
      </c>
      <c r="Y676" s="249" t="s">
        <v>821</v>
      </c>
      <c r="Z676" s="250" t="s">
        <v>898</v>
      </c>
      <c r="AG676" s="9"/>
    </row>
    <row r="677" spans="24:33" x14ac:dyDescent="0.3">
      <c r="X677" s="251" t="s">
        <v>1767</v>
      </c>
      <c r="Y677" s="252" t="s">
        <v>821</v>
      </c>
      <c r="Z677" s="250" t="s">
        <v>898</v>
      </c>
      <c r="AG677" s="9"/>
    </row>
    <row r="678" spans="24:33" x14ac:dyDescent="0.3">
      <c r="X678" s="248" t="s">
        <v>1768</v>
      </c>
      <c r="Y678" s="249" t="s">
        <v>899</v>
      </c>
      <c r="Z678" s="250" t="s">
        <v>894</v>
      </c>
      <c r="AG678" s="9"/>
    </row>
    <row r="679" spans="24:33" x14ac:dyDescent="0.3">
      <c r="X679" s="251" t="s">
        <v>1769</v>
      </c>
      <c r="Y679" s="252" t="s">
        <v>899</v>
      </c>
      <c r="Z679" s="250" t="s">
        <v>894</v>
      </c>
      <c r="AG679" s="9"/>
    </row>
    <row r="680" spans="24:33" x14ac:dyDescent="0.3">
      <c r="X680" s="248" t="s">
        <v>1770</v>
      </c>
      <c r="Y680" s="249" t="s">
        <v>823</v>
      </c>
      <c r="Z680" s="250" t="s">
        <v>898</v>
      </c>
      <c r="AG680" s="9"/>
    </row>
    <row r="681" spans="24:33" x14ac:dyDescent="0.3">
      <c r="X681" s="251" t="s">
        <v>1771</v>
      </c>
      <c r="Y681" s="252" t="s">
        <v>823</v>
      </c>
      <c r="Z681" s="250" t="s">
        <v>898</v>
      </c>
      <c r="AG681" s="9"/>
    </row>
    <row r="682" spans="24:33" x14ac:dyDescent="0.3">
      <c r="X682" s="248" t="s">
        <v>178</v>
      </c>
      <c r="Y682" s="249" t="s">
        <v>823</v>
      </c>
      <c r="Z682" s="250" t="s">
        <v>898</v>
      </c>
      <c r="AG682" s="9"/>
    </row>
    <row r="683" spans="24:33" x14ac:dyDescent="0.3">
      <c r="X683" s="251" t="s">
        <v>1772</v>
      </c>
      <c r="Y683" s="252" t="s">
        <v>823</v>
      </c>
      <c r="Z683" s="250" t="s">
        <v>898</v>
      </c>
      <c r="AG683" s="9"/>
    </row>
    <row r="684" spans="24:33" x14ac:dyDescent="0.3">
      <c r="X684" s="248" t="s">
        <v>1773</v>
      </c>
      <c r="Y684" s="249" t="s">
        <v>823</v>
      </c>
      <c r="Z684" s="250" t="s">
        <v>898</v>
      </c>
      <c r="AG684" s="9"/>
    </row>
    <row r="685" spans="24:33" x14ac:dyDescent="0.3">
      <c r="X685" s="251" t="s">
        <v>1774</v>
      </c>
      <c r="Y685" s="252" t="s">
        <v>823</v>
      </c>
      <c r="Z685" s="250" t="s">
        <v>898</v>
      </c>
      <c r="AG685" s="9"/>
    </row>
    <row r="686" spans="24:33" x14ac:dyDescent="0.3">
      <c r="X686" s="248" t="s">
        <v>1775</v>
      </c>
      <c r="Y686" s="249" t="s">
        <v>823</v>
      </c>
      <c r="Z686" s="250" t="s">
        <v>898</v>
      </c>
      <c r="AG686" s="9"/>
    </row>
    <row r="687" spans="24:33" x14ac:dyDescent="0.3">
      <c r="X687" s="251" t="s">
        <v>1776</v>
      </c>
      <c r="Y687" s="252" t="s">
        <v>823</v>
      </c>
      <c r="Z687" s="250" t="s">
        <v>898</v>
      </c>
      <c r="AG687" s="9"/>
    </row>
    <row r="688" spans="24:33" x14ac:dyDescent="0.3">
      <c r="X688" s="248" t="s">
        <v>223</v>
      </c>
      <c r="Y688" s="249" t="s">
        <v>823</v>
      </c>
      <c r="Z688" s="250" t="s">
        <v>898</v>
      </c>
      <c r="AG688" s="9"/>
    </row>
    <row r="689" spans="24:33" x14ac:dyDescent="0.3">
      <c r="X689" s="251" t="s">
        <v>226</v>
      </c>
      <c r="Y689" s="252" t="s">
        <v>823</v>
      </c>
      <c r="Z689" s="250" t="s">
        <v>898</v>
      </c>
      <c r="AG689" s="9"/>
    </row>
    <row r="690" spans="24:33" x14ac:dyDescent="0.3">
      <c r="X690" s="248" t="s">
        <v>1777</v>
      </c>
      <c r="Y690" s="249" t="s">
        <v>823</v>
      </c>
      <c r="Z690" s="250" t="s">
        <v>898</v>
      </c>
      <c r="AG690" s="9"/>
    </row>
    <row r="691" spans="24:33" x14ac:dyDescent="0.3">
      <c r="X691" s="251" t="s">
        <v>1778</v>
      </c>
      <c r="Y691" s="252" t="s">
        <v>823</v>
      </c>
      <c r="Z691" s="250" t="s">
        <v>898</v>
      </c>
      <c r="AG691" s="9"/>
    </row>
    <row r="692" spans="24:33" x14ac:dyDescent="0.3">
      <c r="X692" s="248" t="s">
        <v>1779</v>
      </c>
      <c r="Y692" s="249" t="s">
        <v>823</v>
      </c>
      <c r="Z692" s="250" t="s">
        <v>898</v>
      </c>
      <c r="AG692" s="9"/>
    </row>
    <row r="693" spans="24:33" x14ac:dyDescent="0.3">
      <c r="X693" s="251" t="s">
        <v>241</v>
      </c>
      <c r="Y693" s="252" t="s">
        <v>823</v>
      </c>
      <c r="Z693" s="250" t="s">
        <v>898</v>
      </c>
      <c r="AG693" s="9"/>
    </row>
    <row r="694" spans="24:33" x14ac:dyDescent="0.3">
      <c r="X694" s="248" t="s">
        <v>246</v>
      </c>
      <c r="Y694" s="249" t="s">
        <v>823</v>
      </c>
      <c r="Z694" s="250" t="s">
        <v>898</v>
      </c>
      <c r="AG694" s="9"/>
    </row>
    <row r="695" spans="24:33" x14ac:dyDescent="0.3">
      <c r="X695" s="251" t="s">
        <v>582</v>
      </c>
      <c r="Y695" s="252" t="s">
        <v>823</v>
      </c>
      <c r="Z695" s="250" t="s">
        <v>898</v>
      </c>
      <c r="AG695" s="9"/>
    </row>
    <row r="696" spans="24:33" x14ac:dyDescent="0.3">
      <c r="X696" s="248" t="s">
        <v>1780</v>
      </c>
      <c r="Y696" s="249" t="s">
        <v>823</v>
      </c>
      <c r="Z696" s="250" t="s">
        <v>898</v>
      </c>
      <c r="AG696" s="9"/>
    </row>
    <row r="697" spans="24:33" x14ac:dyDescent="0.3">
      <c r="X697" s="251" t="s">
        <v>1781</v>
      </c>
      <c r="Y697" s="252" t="s">
        <v>823</v>
      </c>
      <c r="Z697" s="250" t="s">
        <v>898</v>
      </c>
      <c r="AG697" s="9"/>
    </row>
    <row r="698" spans="24:33" x14ac:dyDescent="0.3">
      <c r="X698" s="248" t="s">
        <v>1782</v>
      </c>
      <c r="Y698" s="249" t="s">
        <v>823</v>
      </c>
      <c r="Z698" s="250" t="s">
        <v>898</v>
      </c>
      <c r="AG698" s="9"/>
    </row>
    <row r="699" spans="24:33" x14ac:dyDescent="0.3">
      <c r="X699" s="251" t="s">
        <v>1783</v>
      </c>
      <c r="Y699" s="252" t="s">
        <v>823</v>
      </c>
      <c r="Z699" s="250" t="s">
        <v>898</v>
      </c>
      <c r="AG699" s="9"/>
    </row>
    <row r="700" spans="24:33" x14ac:dyDescent="0.3">
      <c r="X700" s="248" t="s">
        <v>1784</v>
      </c>
      <c r="Y700" s="249" t="s">
        <v>823</v>
      </c>
      <c r="Z700" s="250" t="s">
        <v>898</v>
      </c>
      <c r="AG700" s="9"/>
    </row>
    <row r="701" spans="24:33" x14ac:dyDescent="0.3">
      <c r="X701" s="251" t="s">
        <v>1785</v>
      </c>
      <c r="Y701" s="252" t="s">
        <v>823</v>
      </c>
      <c r="Z701" s="250" t="s">
        <v>898</v>
      </c>
      <c r="AG701" s="9"/>
    </row>
    <row r="702" spans="24:33" x14ac:dyDescent="0.3">
      <c r="X702" s="248" t="s">
        <v>1786</v>
      </c>
      <c r="Y702" s="249" t="s">
        <v>823</v>
      </c>
      <c r="Z702" s="250" t="s">
        <v>898</v>
      </c>
      <c r="AG702" s="9"/>
    </row>
    <row r="703" spans="24:33" x14ac:dyDescent="0.3">
      <c r="X703" s="251" t="s">
        <v>1787</v>
      </c>
      <c r="Y703" s="252" t="s">
        <v>823</v>
      </c>
      <c r="Z703" s="250" t="s">
        <v>898</v>
      </c>
      <c r="AG703" s="9"/>
    </row>
    <row r="704" spans="24:33" x14ac:dyDescent="0.3">
      <c r="X704" s="248" t="s">
        <v>1788</v>
      </c>
      <c r="Y704" s="249" t="s">
        <v>823</v>
      </c>
      <c r="Z704" s="250" t="s">
        <v>898</v>
      </c>
      <c r="AG704" s="9"/>
    </row>
    <row r="705" spans="24:33" x14ac:dyDescent="0.3">
      <c r="X705" s="251" t="s">
        <v>235</v>
      </c>
      <c r="Y705" s="252" t="s">
        <v>823</v>
      </c>
      <c r="Z705" s="250" t="s">
        <v>898</v>
      </c>
      <c r="AG705" s="9"/>
    </row>
    <row r="706" spans="24:33" x14ac:dyDescent="0.3">
      <c r="X706" s="248" t="s">
        <v>238</v>
      </c>
      <c r="Y706" s="249" t="s">
        <v>823</v>
      </c>
      <c r="Z706" s="250" t="s">
        <v>898</v>
      </c>
      <c r="AG706" s="9"/>
    </row>
    <row r="707" spans="24:33" x14ac:dyDescent="0.3">
      <c r="X707" s="251" t="s">
        <v>1789</v>
      </c>
      <c r="Y707" s="252" t="s">
        <v>823</v>
      </c>
      <c r="Z707" s="250" t="s">
        <v>898</v>
      </c>
      <c r="AG707" s="9"/>
    </row>
    <row r="708" spans="24:33" x14ac:dyDescent="0.3">
      <c r="X708" s="248" t="s">
        <v>1790</v>
      </c>
      <c r="Y708" s="249" t="s">
        <v>823</v>
      </c>
      <c r="Z708" s="250" t="s">
        <v>898</v>
      </c>
      <c r="AG708" s="9"/>
    </row>
    <row r="709" spans="24:33" x14ac:dyDescent="0.3">
      <c r="X709" s="251" t="s">
        <v>254</v>
      </c>
      <c r="Y709" s="252" t="s">
        <v>823</v>
      </c>
      <c r="Z709" s="250" t="s">
        <v>898</v>
      </c>
      <c r="AG709" s="9"/>
    </row>
    <row r="710" spans="24:33" x14ac:dyDescent="0.3">
      <c r="X710" s="248" t="s">
        <v>436</v>
      </c>
      <c r="Y710" s="249" t="s">
        <v>823</v>
      </c>
      <c r="Z710" s="250" t="s">
        <v>898</v>
      </c>
      <c r="AG710" s="9"/>
    </row>
    <row r="711" spans="24:33" x14ac:dyDescent="0.3">
      <c r="X711" s="251" t="s">
        <v>439</v>
      </c>
      <c r="Y711" s="252" t="s">
        <v>823</v>
      </c>
      <c r="Z711" s="250" t="s">
        <v>898</v>
      </c>
      <c r="AG711" s="9"/>
    </row>
    <row r="712" spans="24:33" x14ac:dyDescent="0.3">
      <c r="X712" s="248" t="s">
        <v>440</v>
      </c>
      <c r="Y712" s="249" t="s">
        <v>823</v>
      </c>
      <c r="Z712" s="250" t="s">
        <v>898</v>
      </c>
      <c r="AG712" s="9"/>
    </row>
    <row r="713" spans="24:33" x14ac:dyDescent="0.3">
      <c r="X713" s="251" t="s">
        <v>171</v>
      </c>
      <c r="Y713" s="252" t="s">
        <v>823</v>
      </c>
      <c r="Z713" s="250" t="s">
        <v>898</v>
      </c>
      <c r="AG713" s="9"/>
    </row>
    <row r="714" spans="24:33" x14ac:dyDescent="0.3">
      <c r="X714" s="248" t="s">
        <v>1791</v>
      </c>
      <c r="Y714" s="249" t="s">
        <v>823</v>
      </c>
      <c r="Z714" s="250" t="s">
        <v>898</v>
      </c>
      <c r="AG714" s="9"/>
    </row>
    <row r="715" spans="24:33" x14ac:dyDescent="0.3">
      <c r="X715" s="251" t="s">
        <v>182</v>
      </c>
      <c r="Y715" s="252" t="s">
        <v>823</v>
      </c>
      <c r="Z715" s="250" t="s">
        <v>898</v>
      </c>
      <c r="AG715" s="9"/>
    </row>
    <row r="716" spans="24:33" x14ac:dyDescent="0.3">
      <c r="X716" s="248" t="s">
        <v>186</v>
      </c>
      <c r="Y716" s="249" t="s">
        <v>823</v>
      </c>
      <c r="Z716" s="250" t="s">
        <v>898</v>
      </c>
      <c r="AG716" s="9"/>
    </row>
    <row r="717" spans="24:33" x14ac:dyDescent="0.3">
      <c r="X717" s="251" t="s">
        <v>190</v>
      </c>
      <c r="Y717" s="252" t="s">
        <v>823</v>
      </c>
      <c r="Z717" s="250" t="s">
        <v>898</v>
      </c>
      <c r="AG717" s="9"/>
    </row>
    <row r="718" spans="24:33" x14ac:dyDescent="0.3">
      <c r="X718" s="248" t="s">
        <v>191</v>
      </c>
      <c r="Y718" s="249" t="s">
        <v>823</v>
      </c>
      <c r="Z718" s="250" t="s">
        <v>898</v>
      </c>
      <c r="AG718" s="9"/>
    </row>
    <row r="719" spans="24:33" x14ac:dyDescent="0.3">
      <c r="X719" s="251" t="s">
        <v>1792</v>
      </c>
      <c r="Y719" s="252" t="s">
        <v>823</v>
      </c>
      <c r="Z719" s="250" t="s">
        <v>898</v>
      </c>
      <c r="AG719" s="9"/>
    </row>
    <row r="720" spans="24:33" x14ac:dyDescent="0.3">
      <c r="X720" s="248" t="s">
        <v>193</v>
      </c>
      <c r="Y720" s="249" t="s">
        <v>823</v>
      </c>
      <c r="Z720" s="250" t="s">
        <v>898</v>
      </c>
      <c r="AG720" s="9"/>
    </row>
    <row r="721" spans="24:33" x14ac:dyDescent="0.3">
      <c r="X721" s="251" t="s">
        <v>195</v>
      </c>
      <c r="Y721" s="252" t="s">
        <v>823</v>
      </c>
      <c r="Z721" s="250" t="s">
        <v>898</v>
      </c>
      <c r="AG721" s="9"/>
    </row>
    <row r="722" spans="24:33" x14ac:dyDescent="0.3">
      <c r="X722" s="248" t="s">
        <v>279</v>
      </c>
      <c r="Y722" s="249" t="s">
        <v>823</v>
      </c>
      <c r="Z722" s="250" t="s">
        <v>898</v>
      </c>
      <c r="AG722" s="9"/>
    </row>
    <row r="723" spans="24:33" x14ac:dyDescent="0.3">
      <c r="X723" s="251" t="s">
        <v>291</v>
      </c>
      <c r="Y723" s="252" t="s">
        <v>823</v>
      </c>
      <c r="Z723" s="250" t="s">
        <v>898</v>
      </c>
      <c r="AG723" s="9"/>
    </row>
    <row r="724" spans="24:33" x14ac:dyDescent="0.3">
      <c r="X724" s="248" t="s">
        <v>297</v>
      </c>
      <c r="Y724" s="249" t="s">
        <v>823</v>
      </c>
      <c r="Z724" s="250" t="s">
        <v>898</v>
      </c>
      <c r="AG724" s="9"/>
    </row>
    <row r="725" spans="24:33" x14ac:dyDescent="0.3">
      <c r="X725" s="251" t="s">
        <v>299</v>
      </c>
      <c r="Y725" s="252" t="s">
        <v>823</v>
      </c>
      <c r="Z725" s="250" t="s">
        <v>898</v>
      </c>
      <c r="AG725" s="9"/>
    </row>
    <row r="726" spans="24:33" x14ac:dyDescent="0.3">
      <c r="X726" s="248" t="s">
        <v>301</v>
      </c>
      <c r="Y726" s="249" t="s">
        <v>823</v>
      </c>
      <c r="Z726" s="250" t="s">
        <v>898</v>
      </c>
      <c r="AG726" s="9"/>
    </row>
    <row r="727" spans="24:33" x14ac:dyDescent="0.3">
      <c r="X727" s="251" t="s">
        <v>303</v>
      </c>
      <c r="Y727" s="252" t="s">
        <v>823</v>
      </c>
      <c r="Z727" s="250" t="s">
        <v>898</v>
      </c>
      <c r="AG727" s="9"/>
    </row>
    <row r="728" spans="24:33" x14ac:dyDescent="0.3">
      <c r="X728" s="248" t="s">
        <v>458</v>
      </c>
      <c r="Y728" s="249" t="s">
        <v>823</v>
      </c>
      <c r="Z728" s="250" t="s">
        <v>898</v>
      </c>
      <c r="AG728" s="9"/>
    </row>
    <row r="729" spans="24:33" x14ac:dyDescent="0.3">
      <c r="X729" s="251" t="s">
        <v>184</v>
      </c>
      <c r="Y729" s="252" t="s">
        <v>823</v>
      </c>
      <c r="Z729" s="250" t="s">
        <v>898</v>
      </c>
      <c r="AG729" s="9"/>
    </row>
    <row r="730" spans="24:33" x14ac:dyDescent="0.3">
      <c r="X730" s="248" t="s">
        <v>1793</v>
      </c>
      <c r="Y730" s="249" t="s">
        <v>823</v>
      </c>
      <c r="Z730" s="250" t="s">
        <v>898</v>
      </c>
      <c r="AG730" s="9"/>
    </row>
    <row r="731" spans="24:33" x14ac:dyDescent="0.3">
      <c r="X731" s="251" t="s">
        <v>188</v>
      </c>
      <c r="Y731" s="252" t="s">
        <v>823</v>
      </c>
      <c r="Z731" s="250" t="s">
        <v>898</v>
      </c>
      <c r="AG731" s="9"/>
    </row>
    <row r="732" spans="24:33" x14ac:dyDescent="0.3">
      <c r="X732" s="248" t="s">
        <v>189</v>
      </c>
      <c r="Y732" s="249" t="s">
        <v>823</v>
      </c>
      <c r="Z732" s="250" t="s">
        <v>898</v>
      </c>
      <c r="AG732" s="9"/>
    </row>
    <row r="733" spans="24:33" x14ac:dyDescent="0.3">
      <c r="X733" s="251" t="s">
        <v>192</v>
      </c>
      <c r="Y733" s="252" t="s">
        <v>823</v>
      </c>
      <c r="Z733" s="250" t="s">
        <v>898</v>
      </c>
      <c r="AG733" s="9"/>
    </row>
    <row r="734" spans="24:33" x14ac:dyDescent="0.3">
      <c r="X734" s="248" t="s">
        <v>194</v>
      </c>
      <c r="Y734" s="249" t="s">
        <v>823</v>
      </c>
      <c r="Z734" s="250" t="s">
        <v>898</v>
      </c>
      <c r="AG734" s="9"/>
    </row>
    <row r="735" spans="24:33" x14ac:dyDescent="0.3">
      <c r="X735" s="251" t="s">
        <v>196</v>
      </c>
      <c r="Y735" s="252" t="s">
        <v>823</v>
      </c>
      <c r="Z735" s="250" t="s">
        <v>898</v>
      </c>
      <c r="AG735" s="9"/>
    </row>
    <row r="736" spans="24:33" x14ac:dyDescent="0.3">
      <c r="X736" s="248" t="s">
        <v>202</v>
      </c>
      <c r="Y736" s="249" t="s">
        <v>823</v>
      </c>
      <c r="Z736" s="250" t="s">
        <v>898</v>
      </c>
      <c r="AG736" s="9"/>
    </row>
    <row r="737" spans="24:33" x14ac:dyDescent="0.3">
      <c r="X737" s="251" t="s">
        <v>208</v>
      </c>
      <c r="Y737" s="252" t="s">
        <v>823</v>
      </c>
      <c r="Z737" s="250" t="s">
        <v>898</v>
      </c>
      <c r="AG737" s="9"/>
    </row>
    <row r="738" spans="24:33" x14ac:dyDescent="0.3">
      <c r="X738" s="248" t="s">
        <v>211</v>
      </c>
      <c r="Y738" s="249" t="s">
        <v>823</v>
      </c>
      <c r="Z738" s="250" t="s">
        <v>898</v>
      </c>
      <c r="AG738" s="9"/>
    </row>
    <row r="739" spans="24:33" x14ac:dyDescent="0.3">
      <c r="X739" s="251" t="s">
        <v>216</v>
      </c>
      <c r="Y739" s="252" t="s">
        <v>823</v>
      </c>
      <c r="Z739" s="250" t="s">
        <v>898</v>
      </c>
      <c r="AG739" s="9"/>
    </row>
    <row r="740" spans="24:33" x14ac:dyDescent="0.3">
      <c r="X740" s="248" t="s">
        <v>218</v>
      </c>
      <c r="Y740" s="249" t="s">
        <v>823</v>
      </c>
      <c r="Z740" s="250" t="s">
        <v>898</v>
      </c>
      <c r="AG740" s="9"/>
    </row>
    <row r="741" spans="24:33" x14ac:dyDescent="0.3">
      <c r="X741" s="251" t="s">
        <v>227</v>
      </c>
      <c r="Y741" s="252" t="s">
        <v>823</v>
      </c>
      <c r="Z741" s="250" t="s">
        <v>898</v>
      </c>
      <c r="AG741" s="9"/>
    </row>
    <row r="742" spans="24:33" x14ac:dyDescent="0.3">
      <c r="X742" s="248" t="s">
        <v>237</v>
      </c>
      <c r="Y742" s="249" t="s">
        <v>823</v>
      </c>
      <c r="Z742" s="250" t="s">
        <v>898</v>
      </c>
      <c r="AG742" s="9"/>
    </row>
    <row r="743" spans="24:33" x14ac:dyDescent="0.3">
      <c r="X743" s="251" t="s">
        <v>239</v>
      </c>
      <c r="Y743" s="252" t="s">
        <v>823</v>
      </c>
      <c r="Z743" s="250" t="s">
        <v>898</v>
      </c>
      <c r="AG743" s="9"/>
    </row>
    <row r="744" spans="24:33" x14ac:dyDescent="0.3">
      <c r="X744" s="248" t="s">
        <v>270</v>
      </c>
      <c r="Y744" s="249" t="s">
        <v>823</v>
      </c>
      <c r="Z744" s="250" t="s">
        <v>898</v>
      </c>
      <c r="AG744" s="9"/>
    </row>
    <row r="745" spans="24:33" x14ac:dyDescent="0.3">
      <c r="X745" s="251" t="s">
        <v>249</v>
      </c>
      <c r="Y745" s="252" t="s">
        <v>823</v>
      </c>
      <c r="Z745" s="250" t="s">
        <v>898</v>
      </c>
      <c r="AG745" s="9"/>
    </row>
    <row r="746" spans="24:33" x14ac:dyDescent="0.3">
      <c r="X746" s="248" t="s">
        <v>263</v>
      </c>
      <c r="Y746" s="249" t="s">
        <v>823</v>
      </c>
      <c r="Z746" s="250" t="s">
        <v>898</v>
      </c>
      <c r="AG746" s="9"/>
    </row>
    <row r="747" spans="24:33" x14ac:dyDescent="0.3">
      <c r="X747" s="251" t="s">
        <v>316</v>
      </c>
      <c r="Y747" s="252" t="s">
        <v>823</v>
      </c>
      <c r="Z747" s="250" t="s">
        <v>898</v>
      </c>
      <c r="AG747" s="9"/>
    </row>
    <row r="748" spans="24:33" x14ac:dyDescent="0.3">
      <c r="X748" s="248" t="s">
        <v>322</v>
      </c>
      <c r="Y748" s="249" t="s">
        <v>823</v>
      </c>
      <c r="Z748" s="250" t="s">
        <v>898</v>
      </c>
      <c r="AG748" s="9"/>
    </row>
    <row r="749" spans="24:33" x14ac:dyDescent="0.3">
      <c r="X749" s="251" t="s">
        <v>1794</v>
      </c>
      <c r="Y749" s="252" t="s">
        <v>823</v>
      </c>
      <c r="Z749" s="250" t="s">
        <v>898</v>
      </c>
      <c r="AG749" s="9"/>
    </row>
    <row r="750" spans="24:33" x14ac:dyDescent="0.3">
      <c r="X750" s="248" t="s">
        <v>326</v>
      </c>
      <c r="Y750" s="249" t="s">
        <v>823</v>
      </c>
      <c r="Z750" s="250" t="s">
        <v>898</v>
      </c>
      <c r="AG750" s="9"/>
    </row>
    <row r="751" spans="24:33" x14ac:dyDescent="0.3">
      <c r="X751" s="251" t="s">
        <v>328</v>
      </c>
      <c r="Y751" s="252" t="s">
        <v>823</v>
      </c>
      <c r="Z751" s="250" t="s">
        <v>898</v>
      </c>
      <c r="AG751" s="9"/>
    </row>
    <row r="752" spans="24:33" x14ac:dyDescent="0.3">
      <c r="X752" s="248" t="s">
        <v>331</v>
      </c>
      <c r="Y752" s="249" t="s">
        <v>823</v>
      </c>
      <c r="Z752" s="250" t="s">
        <v>898</v>
      </c>
      <c r="AG752" s="9"/>
    </row>
    <row r="753" spans="24:33" x14ac:dyDescent="0.3">
      <c r="X753" s="251" t="s">
        <v>332</v>
      </c>
      <c r="Y753" s="252" t="s">
        <v>823</v>
      </c>
      <c r="Z753" s="250" t="s">
        <v>898</v>
      </c>
      <c r="AG753" s="9"/>
    </row>
    <row r="754" spans="24:33" x14ac:dyDescent="0.3">
      <c r="X754" s="248" t="s">
        <v>334</v>
      </c>
      <c r="Y754" s="249" t="s">
        <v>823</v>
      </c>
      <c r="Z754" s="250" t="s">
        <v>898</v>
      </c>
      <c r="AG754" s="9"/>
    </row>
    <row r="755" spans="24:33" x14ac:dyDescent="0.3">
      <c r="X755" s="251" t="s">
        <v>503</v>
      </c>
      <c r="Y755" s="252" t="s">
        <v>823</v>
      </c>
      <c r="Z755" s="250" t="s">
        <v>898</v>
      </c>
      <c r="AG755" s="9"/>
    </row>
    <row r="756" spans="24:33" x14ac:dyDescent="0.3">
      <c r="X756" s="248" t="s">
        <v>506</v>
      </c>
      <c r="Y756" s="249" t="s">
        <v>823</v>
      </c>
      <c r="Z756" s="250" t="s">
        <v>898</v>
      </c>
      <c r="AG756" s="9"/>
    </row>
    <row r="757" spans="24:33" x14ac:dyDescent="0.3">
      <c r="X757" s="251" t="s">
        <v>207</v>
      </c>
      <c r="Y757" s="252" t="s">
        <v>823</v>
      </c>
      <c r="Z757" s="250" t="s">
        <v>898</v>
      </c>
      <c r="AG757" s="9"/>
    </row>
    <row r="758" spans="24:33" x14ac:dyDescent="0.3">
      <c r="X758" s="248" t="s">
        <v>212</v>
      </c>
      <c r="Y758" s="249" t="s">
        <v>823</v>
      </c>
      <c r="Z758" s="250" t="s">
        <v>898</v>
      </c>
      <c r="AG758" s="9"/>
    </row>
    <row r="759" spans="24:33" x14ac:dyDescent="0.3">
      <c r="X759" s="251" t="s">
        <v>213</v>
      </c>
      <c r="Y759" s="252" t="s">
        <v>823</v>
      </c>
      <c r="Z759" s="250" t="s">
        <v>898</v>
      </c>
      <c r="AG759" s="9"/>
    </row>
    <row r="760" spans="24:33" x14ac:dyDescent="0.3">
      <c r="X760" s="248" t="s">
        <v>219</v>
      </c>
      <c r="Y760" s="249" t="s">
        <v>823</v>
      </c>
      <c r="Z760" s="250" t="s">
        <v>898</v>
      </c>
      <c r="AG760" s="9"/>
    </row>
    <row r="761" spans="24:33" x14ac:dyDescent="0.3">
      <c r="X761" s="251" t="s">
        <v>224</v>
      </c>
      <c r="Y761" s="252" t="s">
        <v>823</v>
      </c>
      <c r="Z761" s="250" t="s">
        <v>898</v>
      </c>
      <c r="AG761" s="9"/>
    </row>
    <row r="762" spans="24:33" x14ac:dyDescent="0.3">
      <c r="X762" s="248" t="s">
        <v>240</v>
      </c>
      <c r="Y762" s="249" t="s">
        <v>823</v>
      </c>
      <c r="Z762" s="250" t="s">
        <v>898</v>
      </c>
      <c r="AG762" s="9"/>
    </row>
    <row r="763" spans="24:33" x14ac:dyDescent="0.3">
      <c r="X763" s="251" t="s">
        <v>245</v>
      </c>
      <c r="Y763" s="252" t="s">
        <v>823</v>
      </c>
      <c r="Z763" s="250" t="s">
        <v>898</v>
      </c>
      <c r="AG763" s="9"/>
    </row>
    <row r="764" spans="24:33" x14ac:dyDescent="0.3">
      <c r="X764" s="248" t="s">
        <v>252</v>
      </c>
      <c r="Y764" s="249" t="s">
        <v>823</v>
      </c>
      <c r="Z764" s="250" t="s">
        <v>898</v>
      </c>
      <c r="AG764" s="9"/>
    </row>
    <row r="765" spans="24:33" x14ac:dyDescent="0.3">
      <c r="X765" s="251" t="s">
        <v>255</v>
      </c>
      <c r="Y765" s="252" t="s">
        <v>823</v>
      </c>
      <c r="Z765" s="250" t="s">
        <v>898</v>
      </c>
      <c r="AG765" s="9"/>
    </row>
    <row r="766" spans="24:33" x14ac:dyDescent="0.3">
      <c r="X766" s="248" t="s">
        <v>1795</v>
      </c>
      <c r="Y766" s="249" t="s">
        <v>823</v>
      </c>
      <c r="Z766" s="250" t="s">
        <v>898</v>
      </c>
      <c r="AG766" s="9"/>
    </row>
    <row r="767" spans="24:33" x14ac:dyDescent="0.3">
      <c r="X767" s="251" t="s">
        <v>273</v>
      </c>
      <c r="Y767" s="252" t="s">
        <v>823</v>
      </c>
      <c r="Z767" s="250" t="s">
        <v>898</v>
      </c>
      <c r="AG767" s="9"/>
    </row>
    <row r="768" spans="24:33" x14ac:dyDescent="0.3">
      <c r="X768" s="248" t="s">
        <v>280</v>
      </c>
      <c r="Y768" s="249" t="s">
        <v>823</v>
      </c>
      <c r="Z768" s="250" t="s">
        <v>898</v>
      </c>
      <c r="AG768" s="9"/>
    </row>
    <row r="769" spans="24:33" x14ac:dyDescent="0.3">
      <c r="X769" s="251" t="s">
        <v>282</v>
      </c>
      <c r="Y769" s="252" t="s">
        <v>823</v>
      </c>
      <c r="Z769" s="250" t="s">
        <v>898</v>
      </c>
      <c r="AG769" s="9"/>
    </row>
    <row r="770" spans="24:33" x14ac:dyDescent="0.3">
      <c r="X770" s="248" t="s">
        <v>284</v>
      </c>
      <c r="Y770" s="249" t="s">
        <v>823</v>
      </c>
      <c r="Z770" s="250" t="s">
        <v>898</v>
      </c>
      <c r="AG770" s="9"/>
    </row>
    <row r="771" spans="24:33" x14ac:dyDescent="0.3">
      <c r="X771" s="251" t="s">
        <v>288</v>
      </c>
      <c r="Y771" s="252" t="s">
        <v>823</v>
      </c>
      <c r="Z771" s="250" t="s">
        <v>898</v>
      </c>
      <c r="AG771" s="9"/>
    </row>
    <row r="772" spans="24:33" x14ac:dyDescent="0.3">
      <c r="X772" s="248" t="s">
        <v>290</v>
      </c>
      <c r="Y772" s="249" t="s">
        <v>823</v>
      </c>
      <c r="Z772" s="250" t="s">
        <v>898</v>
      </c>
      <c r="AG772" s="9"/>
    </row>
    <row r="773" spans="24:33" x14ac:dyDescent="0.3">
      <c r="X773" s="251" t="s">
        <v>296</v>
      </c>
      <c r="Y773" s="252" t="s">
        <v>823</v>
      </c>
      <c r="Z773" s="250" t="s">
        <v>898</v>
      </c>
      <c r="AG773" s="9"/>
    </row>
    <row r="774" spans="24:33" x14ac:dyDescent="0.3">
      <c r="X774" s="248" t="s">
        <v>300</v>
      </c>
      <c r="Y774" s="249" t="s">
        <v>823</v>
      </c>
      <c r="Z774" s="250" t="s">
        <v>898</v>
      </c>
      <c r="AG774" s="9"/>
    </row>
    <row r="775" spans="24:33" x14ac:dyDescent="0.3">
      <c r="X775" s="251" t="s">
        <v>310</v>
      </c>
      <c r="Y775" s="252" t="s">
        <v>823</v>
      </c>
      <c r="Z775" s="250" t="s">
        <v>898</v>
      </c>
      <c r="AG775" s="9"/>
    </row>
    <row r="776" spans="24:33" x14ac:dyDescent="0.3">
      <c r="X776" s="248" t="s">
        <v>349</v>
      </c>
      <c r="Y776" s="249" t="s">
        <v>823</v>
      </c>
      <c r="Z776" s="250" t="s">
        <v>898</v>
      </c>
      <c r="AG776" s="9"/>
    </row>
    <row r="777" spans="24:33" x14ac:dyDescent="0.3">
      <c r="X777" s="251" t="s">
        <v>351</v>
      </c>
      <c r="Y777" s="252" t="s">
        <v>823</v>
      </c>
      <c r="Z777" s="250" t="s">
        <v>898</v>
      </c>
      <c r="AG777" s="9"/>
    </row>
    <row r="778" spans="24:33" x14ac:dyDescent="0.3">
      <c r="X778" s="248" t="s">
        <v>353</v>
      </c>
      <c r="Y778" s="249" t="s">
        <v>823</v>
      </c>
      <c r="Z778" s="250" t="s">
        <v>898</v>
      </c>
      <c r="AG778" s="9"/>
    </row>
    <row r="779" spans="24:33" x14ac:dyDescent="0.3">
      <c r="X779" s="251" t="s">
        <v>354</v>
      </c>
      <c r="Y779" s="252" t="s">
        <v>823</v>
      </c>
      <c r="Z779" s="250" t="s">
        <v>898</v>
      </c>
      <c r="AG779" s="9"/>
    </row>
    <row r="780" spans="24:33" x14ac:dyDescent="0.3">
      <c r="X780" s="248" t="s">
        <v>356</v>
      </c>
      <c r="Y780" s="249" t="s">
        <v>823</v>
      </c>
      <c r="Z780" s="250" t="s">
        <v>898</v>
      </c>
      <c r="AG780" s="9"/>
    </row>
    <row r="781" spans="24:33" x14ac:dyDescent="0.3">
      <c r="X781" s="251" t="s">
        <v>378</v>
      </c>
      <c r="Y781" s="252" t="s">
        <v>823</v>
      </c>
      <c r="Z781" s="250" t="s">
        <v>898</v>
      </c>
      <c r="AG781" s="9"/>
    </row>
    <row r="782" spans="24:33" x14ac:dyDescent="0.3">
      <c r="X782" s="248" t="s">
        <v>513</v>
      </c>
      <c r="Y782" s="249" t="s">
        <v>823</v>
      </c>
      <c r="Z782" s="250" t="s">
        <v>898</v>
      </c>
      <c r="AG782" s="9"/>
    </row>
    <row r="783" spans="24:33" x14ac:dyDescent="0.3">
      <c r="X783" s="251" t="s">
        <v>522</v>
      </c>
      <c r="Y783" s="252" t="s">
        <v>823</v>
      </c>
      <c r="Z783" s="250" t="s">
        <v>898</v>
      </c>
      <c r="AG783" s="9"/>
    </row>
    <row r="784" spans="24:33" x14ac:dyDescent="0.3">
      <c r="X784" s="248" t="s">
        <v>274</v>
      </c>
      <c r="Y784" s="249" t="s">
        <v>823</v>
      </c>
      <c r="Z784" s="250" t="s">
        <v>898</v>
      </c>
      <c r="AG784" s="9"/>
    </row>
    <row r="785" spans="24:33" x14ac:dyDescent="0.3">
      <c r="X785" s="251" t="s">
        <v>281</v>
      </c>
      <c r="Y785" s="252" t="s">
        <v>823</v>
      </c>
      <c r="Z785" s="250" t="s">
        <v>898</v>
      </c>
      <c r="AG785" s="9"/>
    </row>
    <row r="786" spans="24:33" x14ac:dyDescent="0.3">
      <c r="X786" s="248" t="s">
        <v>283</v>
      </c>
      <c r="Y786" s="249" t="s">
        <v>823</v>
      </c>
      <c r="Z786" s="250" t="s">
        <v>898</v>
      </c>
      <c r="AG786" s="9"/>
    </row>
    <row r="787" spans="24:33" x14ac:dyDescent="0.3">
      <c r="X787" s="251" t="s">
        <v>285</v>
      </c>
      <c r="Y787" s="252" t="s">
        <v>823</v>
      </c>
      <c r="Z787" s="250" t="s">
        <v>898</v>
      </c>
      <c r="AG787" s="9"/>
    </row>
    <row r="788" spans="24:33" x14ac:dyDescent="0.3">
      <c r="X788" s="248" t="s">
        <v>289</v>
      </c>
      <c r="Y788" s="249" t="s">
        <v>823</v>
      </c>
      <c r="Z788" s="250" t="s">
        <v>898</v>
      </c>
      <c r="AG788" s="9"/>
    </row>
    <row r="789" spans="24:33" x14ac:dyDescent="0.3">
      <c r="X789" s="251" t="s">
        <v>292</v>
      </c>
      <c r="Y789" s="252" t="s">
        <v>823</v>
      </c>
      <c r="Z789" s="250" t="s">
        <v>898</v>
      </c>
      <c r="AG789" s="9"/>
    </row>
    <row r="790" spans="24:33" x14ac:dyDescent="0.3">
      <c r="X790" s="248" t="s">
        <v>298</v>
      </c>
      <c r="Y790" s="249" t="s">
        <v>823</v>
      </c>
      <c r="Z790" s="250" t="s">
        <v>898</v>
      </c>
      <c r="AG790" s="9"/>
    </row>
    <row r="791" spans="24:33" x14ac:dyDescent="0.3">
      <c r="X791" s="251" t="s">
        <v>315</v>
      </c>
      <c r="Y791" s="252" t="s">
        <v>823</v>
      </c>
      <c r="Z791" s="250" t="s">
        <v>898</v>
      </c>
      <c r="AG791" s="9"/>
    </row>
    <row r="792" spans="24:33" x14ac:dyDescent="0.3">
      <c r="X792" s="248" t="s">
        <v>319</v>
      </c>
      <c r="Y792" s="249" t="s">
        <v>823</v>
      </c>
      <c r="Z792" s="250" t="s">
        <v>898</v>
      </c>
      <c r="AG792" s="9"/>
    </row>
    <row r="793" spans="24:33" x14ac:dyDescent="0.3">
      <c r="X793" s="251" t="s">
        <v>323</v>
      </c>
      <c r="Y793" s="252" t="s">
        <v>823</v>
      </c>
      <c r="Z793" s="250" t="s">
        <v>898</v>
      </c>
      <c r="AG793" s="9"/>
    </row>
    <row r="794" spans="24:33" x14ac:dyDescent="0.3">
      <c r="X794" s="248" t="s">
        <v>324</v>
      </c>
      <c r="Y794" s="249" t="s">
        <v>823</v>
      </c>
      <c r="Z794" s="250" t="s">
        <v>898</v>
      </c>
      <c r="AG794" s="9"/>
    </row>
    <row r="795" spans="24:33" x14ac:dyDescent="0.3">
      <c r="X795" s="251" t="s">
        <v>325</v>
      </c>
      <c r="Y795" s="252" t="s">
        <v>823</v>
      </c>
      <c r="Z795" s="250" t="s">
        <v>898</v>
      </c>
      <c r="AG795" s="9"/>
    </row>
    <row r="796" spans="24:33" x14ac:dyDescent="0.3">
      <c r="X796" s="248" t="s">
        <v>327</v>
      </c>
      <c r="Y796" s="249" t="s">
        <v>823</v>
      </c>
      <c r="Z796" s="250" t="s">
        <v>898</v>
      </c>
      <c r="AG796" s="9"/>
    </row>
    <row r="797" spans="24:33" x14ac:dyDescent="0.3">
      <c r="X797" s="251" t="s">
        <v>329</v>
      </c>
      <c r="Y797" s="252" t="s">
        <v>823</v>
      </c>
      <c r="Z797" s="250" t="s">
        <v>898</v>
      </c>
      <c r="AG797" s="9"/>
    </row>
    <row r="798" spans="24:33" x14ac:dyDescent="0.3">
      <c r="X798" s="248" t="s">
        <v>333</v>
      </c>
      <c r="Y798" s="249" t="s">
        <v>823</v>
      </c>
      <c r="Z798" s="250" t="s">
        <v>898</v>
      </c>
      <c r="AG798" s="9"/>
    </row>
    <row r="799" spans="24:33" x14ac:dyDescent="0.3">
      <c r="X799" s="251" t="s">
        <v>335</v>
      </c>
      <c r="Y799" s="252" t="s">
        <v>823</v>
      </c>
      <c r="Z799" s="250" t="s">
        <v>898</v>
      </c>
      <c r="AG799" s="9"/>
    </row>
    <row r="800" spans="24:33" x14ac:dyDescent="0.3">
      <c r="X800" s="248" t="s">
        <v>337</v>
      </c>
      <c r="Y800" s="249" t="s">
        <v>823</v>
      </c>
      <c r="Z800" s="250" t="s">
        <v>898</v>
      </c>
      <c r="AG800" s="9"/>
    </row>
    <row r="801" spans="24:33" x14ac:dyDescent="0.3">
      <c r="X801" s="251" t="s">
        <v>343</v>
      </c>
      <c r="Y801" s="252" t="s">
        <v>823</v>
      </c>
      <c r="Z801" s="250" t="s">
        <v>898</v>
      </c>
      <c r="AG801" s="9"/>
    </row>
    <row r="802" spans="24:33" x14ac:dyDescent="0.3">
      <c r="X802" s="248" t="s">
        <v>389</v>
      </c>
      <c r="Y802" s="249" t="s">
        <v>823</v>
      </c>
      <c r="Z802" s="250" t="s">
        <v>898</v>
      </c>
      <c r="AG802" s="9"/>
    </row>
    <row r="803" spans="24:33" x14ac:dyDescent="0.3">
      <c r="X803" s="251" t="s">
        <v>392</v>
      </c>
      <c r="Y803" s="252" t="s">
        <v>823</v>
      </c>
      <c r="Z803" s="250" t="s">
        <v>898</v>
      </c>
      <c r="AG803" s="9"/>
    </row>
    <row r="804" spans="24:33" x14ac:dyDescent="0.3">
      <c r="X804" s="248" t="s">
        <v>394</v>
      </c>
      <c r="Y804" s="249" t="s">
        <v>823</v>
      </c>
      <c r="Z804" s="250" t="s">
        <v>898</v>
      </c>
      <c r="AG804" s="9"/>
    </row>
    <row r="805" spans="24:33" x14ac:dyDescent="0.3">
      <c r="X805" s="251" t="s">
        <v>398</v>
      </c>
      <c r="Y805" s="252" t="s">
        <v>823</v>
      </c>
      <c r="Z805" s="250" t="s">
        <v>898</v>
      </c>
      <c r="AG805" s="9"/>
    </row>
    <row r="806" spans="24:33" x14ac:dyDescent="0.3">
      <c r="X806" s="248" t="s">
        <v>400</v>
      </c>
      <c r="Y806" s="249" t="s">
        <v>823</v>
      </c>
      <c r="Z806" s="250" t="s">
        <v>898</v>
      </c>
      <c r="AG806" s="9"/>
    </row>
    <row r="807" spans="24:33" x14ac:dyDescent="0.3">
      <c r="X807" s="251" t="s">
        <v>404</v>
      </c>
      <c r="Y807" s="252" t="s">
        <v>823</v>
      </c>
      <c r="Z807" s="250" t="s">
        <v>898</v>
      </c>
      <c r="AG807" s="9"/>
    </row>
    <row r="808" spans="24:33" x14ac:dyDescent="0.3">
      <c r="X808" s="248" t="s">
        <v>405</v>
      </c>
      <c r="Y808" s="249" t="s">
        <v>823</v>
      </c>
      <c r="Z808" s="250" t="s">
        <v>898</v>
      </c>
      <c r="AG808" s="9"/>
    </row>
    <row r="809" spans="24:33" x14ac:dyDescent="0.3">
      <c r="X809" s="251" t="s">
        <v>408</v>
      </c>
      <c r="Y809" s="252" t="s">
        <v>823</v>
      </c>
      <c r="Z809" s="250" t="s">
        <v>898</v>
      </c>
      <c r="AG809" s="9"/>
    </row>
    <row r="810" spans="24:33" x14ac:dyDescent="0.3">
      <c r="X810" s="248" t="s">
        <v>411</v>
      </c>
      <c r="Y810" s="249" t="s">
        <v>823</v>
      </c>
      <c r="Z810" s="250" t="s">
        <v>898</v>
      </c>
      <c r="AG810" s="9"/>
    </row>
    <row r="811" spans="24:33" x14ac:dyDescent="0.3">
      <c r="X811" s="251" t="s">
        <v>417</v>
      </c>
      <c r="Y811" s="252" t="s">
        <v>823</v>
      </c>
      <c r="Z811" s="250" t="s">
        <v>898</v>
      </c>
      <c r="AG811" s="9"/>
    </row>
    <row r="812" spans="24:33" x14ac:dyDescent="0.3">
      <c r="X812" s="248" t="s">
        <v>529</v>
      </c>
      <c r="Y812" s="249" t="s">
        <v>823</v>
      </c>
      <c r="Z812" s="250" t="s">
        <v>898</v>
      </c>
      <c r="AG812" s="9"/>
    </row>
    <row r="813" spans="24:33" x14ac:dyDescent="0.3">
      <c r="X813" s="251" t="s">
        <v>533</v>
      </c>
      <c r="Y813" s="252" t="s">
        <v>823</v>
      </c>
      <c r="Z813" s="250" t="s">
        <v>898</v>
      </c>
      <c r="AG813" s="9"/>
    </row>
    <row r="814" spans="24:33" x14ac:dyDescent="0.3">
      <c r="X814" s="248" t="s">
        <v>536</v>
      </c>
      <c r="Y814" s="249" t="s">
        <v>823</v>
      </c>
      <c r="Z814" s="250" t="s">
        <v>898</v>
      </c>
      <c r="AG814" s="9"/>
    </row>
    <row r="815" spans="24:33" x14ac:dyDescent="0.3">
      <c r="X815" s="251" t="s">
        <v>538</v>
      </c>
      <c r="Y815" s="252" t="s">
        <v>823</v>
      </c>
      <c r="Z815" s="250" t="s">
        <v>898</v>
      </c>
      <c r="AG815" s="9"/>
    </row>
    <row r="816" spans="24:33" x14ac:dyDescent="0.3">
      <c r="X816" s="248" t="s">
        <v>540</v>
      </c>
      <c r="Y816" s="249" t="s">
        <v>823</v>
      </c>
      <c r="Z816" s="250" t="s">
        <v>898</v>
      </c>
      <c r="AG816" s="9"/>
    </row>
    <row r="817" spans="24:33" x14ac:dyDescent="0.3">
      <c r="X817" s="251" t="s">
        <v>1192</v>
      </c>
      <c r="Y817" s="252" t="s">
        <v>823</v>
      </c>
      <c r="Z817" s="250" t="s">
        <v>898</v>
      </c>
      <c r="AG817" s="9"/>
    </row>
    <row r="818" spans="24:33" x14ac:dyDescent="0.3">
      <c r="X818" s="248" t="s">
        <v>593</v>
      </c>
      <c r="Y818" s="249" t="s">
        <v>823</v>
      </c>
      <c r="Z818" s="250" t="s">
        <v>898</v>
      </c>
      <c r="AG818" s="9"/>
    </row>
    <row r="819" spans="24:33" x14ac:dyDescent="0.3">
      <c r="X819" s="251" t="s">
        <v>598</v>
      </c>
      <c r="Y819" s="252" t="s">
        <v>823</v>
      </c>
      <c r="Z819" s="250" t="s">
        <v>898</v>
      </c>
      <c r="AG819" s="9"/>
    </row>
    <row r="820" spans="24:33" x14ac:dyDescent="0.3">
      <c r="X820" s="248" t="s">
        <v>370</v>
      </c>
      <c r="Y820" s="249" t="s">
        <v>823</v>
      </c>
      <c r="Z820" s="250" t="s">
        <v>898</v>
      </c>
      <c r="AG820" s="9"/>
    </row>
    <row r="821" spans="24:33" x14ac:dyDescent="0.3">
      <c r="X821" s="251" t="s">
        <v>372</v>
      </c>
      <c r="Y821" s="252" t="s">
        <v>823</v>
      </c>
      <c r="Z821" s="250" t="s">
        <v>898</v>
      </c>
      <c r="AG821" s="9"/>
    </row>
    <row r="822" spans="24:33" x14ac:dyDescent="0.3">
      <c r="X822" s="248" t="s">
        <v>374</v>
      </c>
      <c r="Y822" s="249" t="s">
        <v>823</v>
      </c>
      <c r="Z822" s="250" t="s">
        <v>898</v>
      </c>
      <c r="AG822" s="9"/>
    </row>
    <row r="823" spans="24:33" x14ac:dyDescent="0.3">
      <c r="X823" s="251" t="s">
        <v>396</v>
      </c>
      <c r="Y823" s="252" t="s">
        <v>823</v>
      </c>
      <c r="Z823" s="250" t="s">
        <v>898</v>
      </c>
      <c r="AG823" s="9"/>
    </row>
    <row r="824" spans="24:33" x14ac:dyDescent="0.3">
      <c r="X824" s="248" t="s">
        <v>397</v>
      </c>
      <c r="Y824" s="249" t="s">
        <v>823</v>
      </c>
      <c r="Z824" s="250" t="s">
        <v>898</v>
      </c>
      <c r="AG824" s="9"/>
    </row>
    <row r="825" spans="24:33" x14ac:dyDescent="0.3">
      <c r="X825" s="251" t="s">
        <v>386</v>
      </c>
      <c r="Y825" s="252" t="s">
        <v>823</v>
      </c>
      <c r="Z825" s="250" t="s">
        <v>898</v>
      </c>
      <c r="AG825" s="9"/>
    </row>
    <row r="826" spans="24:33" x14ac:dyDescent="0.3">
      <c r="X826" s="248" t="s">
        <v>382</v>
      </c>
      <c r="Y826" s="249" t="s">
        <v>823</v>
      </c>
      <c r="Z826" s="250" t="s">
        <v>898</v>
      </c>
      <c r="AG826" s="9"/>
    </row>
    <row r="827" spans="24:33" x14ac:dyDescent="0.3">
      <c r="X827" s="251" t="s">
        <v>383</v>
      </c>
      <c r="Y827" s="252" t="s">
        <v>823</v>
      </c>
      <c r="Z827" s="250" t="s">
        <v>898</v>
      </c>
      <c r="AG827" s="9"/>
    </row>
    <row r="828" spans="24:33" x14ac:dyDescent="0.3">
      <c r="X828" s="248" t="s">
        <v>422</v>
      </c>
      <c r="Y828" s="249" t="s">
        <v>823</v>
      </c>
      <c r="Z828" s="250" t="s">
        <v>898</v>
      </c>
      <c r="AG828" s="9"/>
    </row>
    <row r="829" spans="24:33" x14ac:dyDescent="0.3">
      <c r="X829" s="251" t="s">
        <v>425</v>
      </c>
      <c r="Y829" s="252" t="s">
        <v>823</v>
      </c>
      <c r="Z829" s="250" t="s">
        <v>898</v>
      </c>
      <c r="AG829" s="9"/>
    </row>
    <row r="830" spans="24:33" x14ac:dyDescent="0.3">
      <c r="X830" s="248" t="s">
        <v>427</v>
      </c>
      <c r="Y830" s="249" t="s">
        <v>823</v>
      </c>
      <c r="Z830" s="250" t="s">
        <v>898</v>
      </c>
      <c r="AG830" s="9"/>
    </row>
    <row r="831" spans="24:33" x14ac:dyDescent="0.3">
      <c r="X831" s="251" t="s">
        <v>428</v>
      </c>
      <c r="Y831" s="252" t="s">
        <v>823</v>
      </c>
      <c r="Z831" s="250" t="s">
        <v>898</v>
      </c>
      <c r="AG831" s="9"/>
    </row>
    <row r="832" spans="24:33" x14ac:dyDescent="0.3">
      <c r="X832" s="248" t="s">
        <v>429</v>
      </c>
      <c r="Y832" s="249" t="s">
        <v>823</v>
      </c>
      <c r="Z832" s="250" t="s">
        <v>898</v>
      </c>
      <c r="AG832" s="9"/>
    </row>
    <row r="833" spans="24:33" x14ac:dyDescent="0.3">
      <c r="X833" s="251" t="s">
        <v>430</v>
      </c>
      <c r="Y833" s="252" t="s">
        <v>823</v>
      </c>
      <c r="Z833" s="250" t="s">
        <v>898</v>
      </c>
      <c r="AG833" s="9"/>
    </row>
    <row r="834" spans="24:33" x14ac:dyDescent="0.3">
      <c r="X834" s="248" t="s">
        <v>437</v>
      </c>
      <c r="Y834" s="249" t="s">
        <v>823</v>
      </c>
      <c r="Z834" s="250" t="s">
        <v>898</v>
      </c>
      <c r="AG834" s="9"/>
    </row>
    <row r="835" spans="24:33" x14ac:dyDescent="0.3">
      <c r="X835" s="251" t="s">
        <v>438</v>
      </c>
      <c r="Y835" s="252" t="s">
        <v>823</v>
      </c>
      <c r="Z835" s="250" t="s">
        <v>898</v>
      </c>
      <c r="AG835" s="9"/>
    </row>
    <row r="836" spans="24:33" x14ac:dyDescent="0.3">
      <c r="X836" s="248" t="s">
        <v>442</v>
      </c>
      <c r="Y836" s="249" t="s">
        <v>823</v>
      </c>
      <c r="Z836" s="250" t="s">
        <v>898</v>
      </c>
      <c r="AG836" s="9"/>
    </row>
    <row r="837" spans="24:33" x14ac:dyDescent="0.3">
      <c r="X837" s="251" t="s">
        <v>446</v>
      </c>
      <c r="Y837" s="252" t="s">
        <v>823</v>
      </c>
      <c r="Z837" s="250" t="s">
        <v>898</v>
      </c>
      <c r="AG837" s="9"/>
    </row>
    <row r="838" spans="24:33" x14ac:dyDescent="0.3">
      <c r="X838" s="248" t="s">
        <v>448</v>
      </c>
      <c r="Y838" s="249" t="s">
        <v>823</v>
      </c>
      <c r="Z838" s="250" t="s">
        <v>898</v>
      </c>
      <c r="AG838" s="9"/>
    </row>
    <row r="839" spans="24:33" x14ac:dyDescent="0.3">
      <c r="X839" s="251" t="s">
        <v>449</v>
      </c>
      <c r="Y839" s="252" t="s">
        <v>823</v>
      </c>
      <c r="Z839" s="250" t="s">
        <v>898</v>
      </c>
      <c r="AG839" s="9"/>
    </row>
    <row r="840" spans="24:33" x14ac:dyDescent="0.3">
      <c r="X840" s="248" t="s">
        <v>547</v>
      </c>
      <c r="Y840" s="249" t="s">
        <v>823</v>
      </c>
      <c r="Z840" s="250" t="s">
        <v>898</v>
      </c>
      <c r="AG840" s="9"/>
    </row>
    <row r="841" spans="24:33" x14ac:dyDescent="0.3">
      <c r="X841" s="251" t="s">
        <v>548</v>
      </c>
      <c r="Y841" s="252" t="s">
        <v>823</v>
      </c>
      <c r="Z841" s="250" t="s">
        <v>898</v>
      </c>
      <c r="AG841" s="9"/>
    </row>
    <row r="842" spans="24:33" x14ac:dyDescent="0.3">
      <c r="X842" s="248" t="s">
        <v>549</v>
      </c>
      <c r="Y842" s="249" t="s">
        <v>823</v>
      </c>
      <c r="Z842" s="250" t="s">
        <v>898</v>
      </c>
      <c r="AG842" s="9"/>
    </row>
    <row r="843" spans="24:33" x14ac:dyDescent="0.3">
      <c r="X843" s="251" t="s">
        <v>607</v>
      </c>
      <c r="Y843" s="252" t="s">
        <v>823</v>
      </c>
      <c r="Z843" s="250" t="s">
        <v>898</v>
      </c>
      <c r="AG843" s="9"/>
    </row>
    <row r="844" spans="24:33" x14ac:dyDescent="0.3">
      <c r="X844" s="248" t="s">
        <v>608</v>
      </c>
      <c r="Y844" s="249" t="s">
        <v>823</v>
      </c>
      <c r="Z844" s="250" t="s">
        <v>898</v>
      </c>
      <c r="AG844" s="9"/>
    </row>
    <row r="845" spans="24:33" x14ac:dyDescent="0.3">
      <c r="X845" s="251" t="s">
        <v>609</v>
      </c>
      <c r="Y845" s="252" t="s">
        <v>823</v>
      </c>
      <c r="Z845" s="250" t="s">
        <v>898</v>
      </c>
      <c r="AG845" s="9"/>
    </row>
    <row r="846" spans="24:33" x14ac:dyDescent="0.3">
      <c r="X846" s="248" t="s">
        <v>611</v>
      </c>
      <c r="Y846" s="249" t="s">
        <v>823</v>
      </c>
      <c r="Z846" s="250" t="s">
        <v>898</v>
      </c>
      <c r="AG846" s="9"/>
    </row>
    <row r="847" spans="24:33" x14ac:dyDescent="0.3">
      <c r="X847" s="251" t="s">
        <v>613</v>
      </c>
      <c r="Y847" s="252" t="s">
        <v>823</v>
      </c>
      <c r="Z847" s="250" t="s">
        <v>898</v>
      </c>
      <c r="AG847" s="9"/>
    </row>
    <row r="848" spans="24:33" x14ac:dyDescent="0.3">
      <c r="X848" s="248" t="s">
        <v>385</v>
      </c>
      <c r="Y848" s="249" t="s">
        <v>823</v>
      </c>
      <c r="Z848" s="250" t="s">
        <v>898</v>
      </c>
      <c r="AG848" s="9"/>
    </row>
    <row r="849" spans="24:33" x14ac:dyDescent="0.3">
      <c r="X849" s="251" t="s">
        <v>395</v>
      </c>
      <c r="Y849" s="252" t="s">
        <v>823</v>
      </c>
      <c r="Z849" s="250" t="s">
        <v>898</v>
      </c>
      <c r="AG849" s="9"/>
    </row>
    <row r="850" spans="24:33" x14ac:dyDescent="0.3">
      <c r="X850" s="248" t="s">
        <v>399</v>
      </c>
      <c r="Y850" s="249" t="s">
        <v>823</v>
      </c>
      <c r="Z850" s="250" t="s">
        <v>898</v>
      </c>
      <c r="AG850" s="9"/>
    </row>
    <row r="851" spans="24:33" x14ac:dyDescent="0.3">
      <c r="X851" s="251" t="s">
        <v>455</v>
      </c>
      <c r="Y851" s="252" t="s">
        <v>823</v>
      </c>
      <c r="Z851" s="250" t="s">
        <v>898</v>
      </c>
      <c r="AG851" s="9"/>
    </row>
    <row r="852" spans="24:33" x14ac:dyDescent="0.3">
      <c r="X852" s="248" t="s">
        <v>457</v>
      </c>
      <c r="Y852" s="249" t="s">
        <v>823</v>
      </c>
      <c r="Z852" s="250" t="s">
        <v>898</v>
      </c>
      <c r="AG852" s="9"/>
    </row>
    <row r="853" spans="24:33" x14ac:dyDescent="0.3">
      <c r="X853" s="251" t="s">
        <v>459</v>
      </c>
      <c r="Y853" s="252" t="s">
        <v>823</v>
      </c>
      <c r="Z853" s="250" t="s">
        <v>898</v>
      </c>
      <c r="AG853" s="9"/>
    </row>
    <row r="854" spans="24:33" x14ac:dyDescent="0.3">
      <c r="X854" s="248" t="s">
        <v>460</v>
      </c>
      <c r="Y854" s="249" t="s">
        <v>823</v>
      </c>
      <c r="Z854" s="250" t="s">
        <v>898</v>
      </c>
      <c r="AG854" s="9"/>
    </row>
    <row r="855" spans="24:33" x14ac:dyDescent="0.3">
      <c r="X855" s="251" t="s">
        <v>461</v>
      </c>
      <c r="Y855" s="252" t="s">
        <v>823</v>
      </c>
      <c r="Z855" s="250" t="s">
        <v>898</v>
      </c>
      <c r="AG855" s="9"/>
    </row>
    <row r="856" spans="24:33" x14ac:dyDescent="0.3">
      <c r="X856" s="248" t="s">
        <v>463</v>
      </c>
      <c r="Y856" s="249" t="s">
        <v>823</v>
      </c>
      <c r="Z856" s="250" t="s">
        <v>898</v>
      </c>
      <c r="AG856" s="9"/>
    </row>
    <row r="857" spans="24:33" x14ac:dyDescent="0.3">
      <c r="X857" s="251" t="s">
        <v>464</v>
      </c>
      <c r="Y857" s="252" t="s">
        <v>823</v>
      </c>
      <c r="Z857" s="250" t="s">
        <v>898</v>
      </c>
      <c r="AG857" s="9"/>
    </row>
    <row r="858" spans="24:33" x14ac:dyDescent="0.3">
      <c r="X858" s="248" t="s">
        <v>556</v>
      </c>
      <c r="Y858" s="249" t="s">
        <v>823</v>
      </c>
      <c r="Z858" s="250" t="s">
        <v>898</v>
      </c>
      <c r="AG858" s="9"/>
    </row>
    <row r="859" spans="24:33" x14ac:dyDescent="0.3">
      <c r="X859" s="251" t="s">
        <v>615</v>
      </c>
      <c r="Y859" s="252" t="s">
        <v>823</v>
      </c>
      <c r="Z859" s="250" t="s">
        <v>898</v>
      </c>
      <c r="AG859" s="9"/>
    </row>
    <row r="860" spans="24:33" x14ac:dyDescent="0.3">
      <c r="X860" s="248" t="s">
        <v>681</v>
      </c>
      <c r="Y860" s="249" t="s">
        <v>823</v>
      </c>
      <c r="Z860" s="250" t="s">
        <v>898</v>
      </c>
      <c r="AG860" s="9"/>
    </row>
    <row r="861" spans="24:33" x14ac:dyDescent="0.3">
      <c r="X861" s="251" t="s">
        <v>718</v>
      </c>
      <c r="Y861" s="252" t="s">
        <v>823</v>
      </c>
      <c r="Z861" s="250" t="s">
        <v>898</v>
      </c>
      <c r="AG861" s="9"/>
    </row>
    <row r="862" spans="24:33" x14ac:dyDescent="0.3">
      <c r="X862" s="248" t="s">
        <v>1208</v>
      </c>
      <c r="Y862" s="249" t="s">
        <v>823</v>
      </c>
      <c r="Z862" s="250" t="s">
        <v>898</v>
      </c>
      <c r="AG862" s="9"/>
    </row>
    <row r="863" spans="24:33" x14ac:dyDescent="0.3">
      <c r="X863" s="251" t="s">
        <v>1209</v>
      </c>
      <c r="Y863" s="252" t="s">
        <v>823</v>
      </c>
      <c r="Z863" s="250" t="s">
        <v>898</v>
      </c>
      <c r="AG863" s="9"/>
    </row>
    <row r="864" spans="24:33" x14ac:dyDescent="0.3">
      <c r="X864" s="248" t="s">
        <v>680</v>
      </c>
      <c r="Y864" s="249" t="s">
        <v>823</v>
      </c>
      <c r="Z864" s="250" t="s">
        <v>898</v>
      </c>
      <c r="AG864" s="9"/>
    </row>
    <row r="865" spans="24:33" x14ac:dyDescent="0.3">
      <c r="X865" s="251" t="s">
        <v>1210</v>
      </c>
      <c r="Y865" s="252" t="s">
        <v>823</v>
      </c>
      <c r="Z865" s="250" t="s">
        <v>898</v>
      </c>
      <c r="AG865" s="9"/>
    </row>
    <row r="866" spans="24:33" x14ac:dyDescent="0.3">
      <c r="X866" s="248" t="s">
        <v>717</v>
      </c>
      <c r="Y866" s="249" t="s">
        <v>823</v>
      </c>
      <c r="Z866" s="250" t="s">
        <v>898</v>
      </c>
      <c r="AG866" s="9"/>
    </row>
    <row r="867" spans="24:33" x14ac:dyDescent="0.3">
      <c r="X867" s="251" t="s">
        <v>1799</v>
      </c>
      <c r="Y867" s="252" t="s">
        <v>823</v>
      </c>
      <c r="Z867" s="250" t="s">
        <v>898</v>
      </c>
      <c r="AG867" s="9"/>
    </row>
    <row r="868" spans="24:33" x14ac:dyDescent="0.3">
      <c r="X868" s="248" t="s">
        <v>1800</v>
      </c>
      <c r="Y868" s="249" t="s">
        <v>823</v>
      </c>
      <c r="Z868" s="250" t="s">
        <v>898</v>
      </c>
      <c r="AG868" s="9"/>
    </row>
    <row r="869" spans="24:33" x14ac:dyDescent="0.3">
      <c r="X869" s="251" t="s">
        <v>1801</v>
      </c>
      <c r="Y869" s="252" t="s">
        <v>823</v>
      </c>
      <c r="Z869" s="250" t="s">
        <v>898</v>
      </c>
      <c r="AG869" s="9"/>
    </row>
    <row r="870" spans="24:33" x14ac:dyDescent="0.3">
      <c r="X870" s="248" t="s">
        <v>1802</v>
      </c>
      <c r="Y870" s="249" t="s">
        <v>823</v>
      </c>
      <c r="Z870" s="250" t="s">
        <v>898</v>
      </c>
      <c r="AG870" s="9"/>
    </row>
    <row r="871" spans="24:33" x14ac:dyDescent="0.3">
      <c r="X871" s="251" t="s">
        <v>1803</v>
      </c>
      <c r="Y871" s="252" t="s">
        <v>823</v>
      </c>
      <c r="Z871" s="250" t="s">
        <v>898</v>
      </c>
      <c r="AG871" s="9"/>
    </row>
    <row r="872" spans="24:33" x14ac:dyDescent="0.3">
      <c r="X872" s="248" t="s">
        <v>1804</v>
      </c>
      <c r="Y872" s="249" t="s">
        <v>823</v>
      </c>
      <c r="Z872" s="250" t="s">
        <v>898</v>
      </c>
      <c r="AG872" s="9"/>
    </row>
    <row r="873" spans="24:33" x14ac:dyDescent="0.3">
      <c r="X873" s="251" t="s">
        <v>1805</v>
      </c>
      <c r="Y873" s="252" t="s">
        <v>823</v>
      </c>
      <c r="Z873" s="250" t="s">
        <v>898</v>
      </c>
      <c r="AG873" s="9"/>
    </row>
    <row r="874" spans="24:33" x14ac:dyDescent="0.3">
      <c r="X874" s="248" t="s">
        <v>1806</v>
      </c>
      <c r="Y874" s="249" t="s">
        <v>823</v>
      </c>
      <c r="Z874" s="250" t="s">
        <v>898</v>
      </c>
      <c r="AG874" s="9"/>
    </row>
    <row r="875" spans="24:33" x14ac:dyDescent="0.3">
      <c r="X875" s="251" t="s">
        <v>1807</v>
      </c>
      <c r="Y875" s="252" t="s">
        <v>823</v>
      </c>
      <c r="Z875" s="250" t="s">
        <v>898</v>
      </c>
      <c r="AG875" s="9"/>
    </row>
    <row r="876" spans="24:33" x14ac:dyDescent="0.3">
      <c r="X876" s="248" t="s">
        <v>1808</v>
      </c>
      <c r="Y876" s="249" t="s">
        <v>823</v>
      </c>
      <c r="Z876" s="250" t="s">
        <v>898</v>
      </c>
      <c r="AG876" s="9"/>
    </row>
    <row r="877" spans="24:33" x14ac:dyDescent="0.3">
      <c r="X877" s="251" t="s">
        <v>1809</v>
      </c>
      <c r="Y877" s="252" t="s">
        <v>823</v>
      </c>
      <c r="Z877" s="250" t="s">
        <v>898</v>
      </c>
      <c r="AG877" s="9"/>
    </row>
    <row r="878" spans="24:33" x14ac:dyDescent="0.3">
      <c r="X878" s="248" t="s">
        <v>1810</v>
      </c>
      <c r="Y878" s="249" t="s">
        <v>823</v>
      </c>
      <c r="Z878" s="250" t="s">
        <v>898</v>
      </c>
      <c r="AG878" s="9"/>
    </row>
    <row r="879" spans="24:33" x14ac:dyDescent="0.3">
      <c r="X879" s="251" t="s">
        <v>1811</v>
      </c>
      <c r="Y879" s="252" t="s">
        <v>823</v>
      </c>
      <c r="Z879" s="250" t="s">
        <v>898</v>
      </c>
      <c r="AG879" s="9"/>
    </row>
    <row r="880" spans="24:33" x14ac:dyDescent="0.3">
      <c r="X880" s="248" t="s">
        <v>1812</v>
      </c>
      <c r="Y880" s="249" t="s">
        <v>823</v>
      </c>
      <c r="Z880" s="250" t="s">
        <v>898</v>
      </c>
      <c r="AG880" s="9"/>
    </row>
    <row r="881" spans="24:33" x14ac:dyDescent="0.3">
      <c r="X881" s="251" t="s">
        <v>1813</v>
      </c>
      <c r="Y881" s="252" t="s">
        <v>823</v>
      </c>
      <c r="Z881" s="250" t="s">
        <v>898</v>
      </c>
      <c r="AG881" s="9"/>
    </row>
    <row r="882" spans="24:33" x14ac:dyDescent="0.3">
      <c r="X882" s="248" t="s">
        <v>462</v>
      </c>
      <c r="Y882" s="249" t="s">
        <v>823</v>
      </c>
      <c r="Z882" s="250" t="s">
        <v>898</v>
      </c>
      <c r="AG882" s="9"/>
    </row>
    <row r="883" spans="24:33" x14ac:dyDescent="0.3">
      <c r="X883" s="251" t="s">
        <v>1814</v>
      </c>
      <c r="Y883" s="252" t="s">
        <v>823</v>
      </c>
      <c r="Z883" s="250" t="s">
        <v>898</v>
      </c>
      <c r="AG883" s="9"/>
    </row>
    <row r="884" spans="24:33" x14ac:dyDescent="0.3">
      <c r="X884" s="248" t="s">
        <v>1815</v>
      </c>
      <c r="Y884" s="249" t="s">
        <v>823</v>
      </c>
      <c r="Z884" s="250" t="s">
        <v>898</v>
      </c>
      <c r="AG884" s="9"/>
    </row>
    <row r="885" spans="24:33" x14ac:dyDescent="0.3">
      <c r="X885" s="251" t="s">
        <v>1816</v>
      </c>
      <c r="Y885" s="252" t="s">
        <v>823</v>
      </c>
      <c r="Z885" s="250" t="s">
        <v>898</v>
      </c>
      <c r="AG885" s="9"/>
    </row>
    <row r="886" spans="24:33" x14ac:dyDescent="0.3">
      <c r="X886" s="248" t="s">
        <v>1817</v>
      </c>
      <c r="Y886" s="249" t="s">
        <v>823</v>
      </c>
      <c r="Z886" s="250" t="s">
        <v>898</v>
      </c>
      <c r="AG886" s="9"/>
    </row>
    <row r="887" spans="24:33" x14ac:dyDescent="0.3">
      <c r="X887" s="251" t="s">
        <v>1818</v>
      </c>
      <c r="Y887" s="252" t="s">
        <v>823</v>
      </c>
      <c r="Z887" s="250" t="s">
        <v>898</v>
      </c>
      <c r="AG887" s="9"/>
    </row>
    <row r="888" spans="24:33" x14ac:dyDescent="0.3">
      <c r="X888" s="248" t="s">
        <v>1819</v>
      </c>
      <c r="Y888" s="249" t="s">
        <v>823</v>
      </c>
      <c r="Z888" s="250" t="s">
        <v>898</v>
      </c>
      <c r="AG888" s="9"/>
    </row>
    <row r="889" spans="24:33" x14ac:dyDescent="0.3">
      <c r="X889" s="251" t="s">
        <v>1820</v>
      </c>
      <c r="Y889" s="252" t="s">
        <v>823</v>
      </c>
      <c r="Z889" s="250" t="s">
        <v>898</v>
      </c>
      <c r="AG889" s="9"/>
    </row>
    <row r="890" spans="24:33" x14ac:dyDescent="0.3">
      <c r="X890" s="248" t="s">
        <v>1821</v>
      </c>
      <c r="Y890" s="249" t="s">
        <v>823</v>
      </c>
      <c r="Z890" s="250" t="s">
        <v>898</v>
      </c>
      <c r="AG890" s="9"/>
    </row>
    <row r="891" spans="24:33" x14ac:dyDescent="0.3">
      <c r="X891" s="251" t="s">
        <v>1822</v>
      </c>
      <c r="Y891" s="252" t="s">
        <v>823</v>
      </c>
      <c r="Z891" s="250" t="s">
        <v>898</v>
      </c>
      <c r="AG891" s="9"/>
    </row>
    <row r="892" spans="24:33" x14ac:dyDescent="0.3">
      <c r="X892" s="248" t="s">
        <v>1823</v>
      </c>
      <c r="Y892" s="249" t="s">
        <v>823</v>
      </c>
      <c r="Z892" s="250" t="s">
        <v>898</v>
      </c>
      <c r="AG892" s="9"/>
    </row>
    <row r="893" spans="24:33" x14ac:dyDescent="0.3">
      <c r="X893" s="251" t="s">
        <v>1824</v>
      </c>
      <c r="Y893" s="252" t="s">
        <v>823</v>
      </c>
      <c r="Z893" s="250" t="s">
        <v>898</v>
      </c>
      <c r="AG893" s="9"/>
    </row>
    <row r="894" spans="24:33" x14ac:dyDescent="0.3">
      <c r="X894" s="248" t="s">
        <v>1825</v>
      </c>
      <c r="Y894" s="249" t="s">
        <v>823</v>
      </c>
      <c r="Z894" s="250" t="s">
        <v>898</v>
      </c>
      <c r="AG894" s="9"/>
    </row>
    <row r="895" spans="24:33" x14ac:dyDescent="0.3">
      <c r="X895" s="251" t="s">
        <v>1826</v>
      </c>
      <c r="Y895" s="252" t="s">
        <v>823</v>
      </c>
      <c r="Z895" s="250" t="s">
        <v>898</v>
      </c>
      <c r="AG895" s="9"/>
    </row>
    <row r="896" spans="24:33" x14ac:dyDescent="0.3">
      <c r="X896" s="248" t="s">
        <v>1827</v>
      </c>
      <c r="Y896" s="249" t="s">
        <v>823</v>
      </c>
      <c r="Z896" s="250" t="s">
        <v>898</v>
      </c>
      <c r="AG896" s="9"/>
    </row>
    <row r="897" spans="24:33" x14ac:dyDescent="0.3">
      <c r="X897" s="251" t="s">
        <v>1828</v>
      </c>
      <c r="Y897" s="252" t="s">
        <v>823</v>
      </c>
      <c r="Z897" s="250" t="s">
        <v>898</v>
      </c>
      <c r="AG897" s="9"/>
    </row>
    <row r="898" spans="24:33" x14ac:dyDescent="0.3">
      <c r="X898" s="248" t="s">
        <v>1829</v>
      </c>
      <c r="Y898" s="249" t="s">
        <v>823</v>
      </c>
      <c r="Z898" s="250" t="s">
        <v>898</v>
      </c>
      <c r="AG898" s="9"/>
    </row>
    <row r="899" spans="24:33" x14ac:dyDescent="0.3">
      <c r="X899" s="251" t="s">
        <v>1830</v>
      </c>
      <c r="Y899" s="252" t="s">
        <v>823</v>
      </c>
      <c r="Z899" s="250" t="s">
        <v>898</v>
      </c>
      <c r="AG899" s="9"/>
    </row>
    <row r="900" spans="24:33" x14ac:dyDescent="0.3">
      <c r="X900" s="248" t="s">
        <v>1831</v>
      </c>
      <c r="Y900" s="249" t="s">
        <v>823</v>
      </c>
      <c r="Z900" s="250" t="s">
        <v>898</v>
      </c>
      <c r="AG900" s="9"/>
    </row>
    <row r="901" spans="24:33" x14ac:dyDescent="0.3">
      <c r="X901" s="251" t="s">
        <v>1832</v>
      </c>
      <c r="Y901" s="252" t="s">
        <v>823</v>
      </c>
      <c r="Z901" s="250" t="s">
        <v>898</v>
      </c>
      <c r="AG901" s="9"/>
    </row>
    <row r="902" spans="24:33" x14ac:dyDescent="0.3">
      <c r="X902" s="248" t="s">
        <v>1833</v>
      </c>
      <c r="Y902" s="249" t="s">
        <v>823</v>
      </c>
      <c r="Z902" s="250" t="s">
        <v>898</v>
      </c>
      <c r="AG902" s="9"/>
    </row>
    <row r="903" spans="24:33" x14ac:dyDescent="0.3">
      <c r="X903" s="251" t="s">
        <v>1834</v>
      </c>
      <c r="Y903" s="252" t="s">
        <v>823</v>
      </c>
      <c r="Z903" s="250" t="s">
        <v>898</v>
      </c>
      <c r="AG903" s="9"/>
    </row>
    <row r="904" spans="24:33" x14ac:dyDescent="0.3">
      <c r="X904" s="248" t="s">
        <v>1835</v>
      </c>
      <c r="Y904" s="249" t="s">
        <v>823</v>
      </c>
      <c r="Z904" s="250" t="s">
        <v>898</v>
      </c>
      <c r="AG904" s="9"/>
    </row>
    <row r="905" spans="24:33" x14ac:dyDescent="0.3">
      <c r="X905" s="251" t="s">
        <v>1836</v>
      </c>
      <c r="Y905" s="252" t="s">
        <v>823</v>
      </c>
      <c r="Z905" s="250" t="s">
        <v>898</v>
      </c>
      <c r="AG905" s="9"/>
    </row>
    <row r="906" spans="24:33" x14ac:dyDescent="0.3">
      <c r="X906" s="248" t="s">
        <v>1837</v>
      </c>
      <c r="Y906" s="249" t="s">
        <v>823</v>
      </c>
      <c r="Z906" s="250" t="s">
        <v>898</v>
      </c>
      <c r="AG906" s="9"/>
    </row>
    <row r="907" spans="24:33" x14ac:dyDescent="0.3">
      <c r="X907" s="251" t="s">
        <v>1838</v>
      </c>
      <c r="Y907" s="252" t="s">
        <v>823</v>
      </c>
      <c r="Z907" s="250" t="s">
        <v>898</v>
      </c>
      <c r="AG907" s="9"/>
    </row>
    <row r="908" spans="24:33" x14ac:dyDescent="0.3">
      <c r="X908" s="248" t="s">
        <v>1839</v>
      </c>
      <c r="Y908" s="249" t="s">
        <v>823</v>
      </c>
      <c r="Z908" s="250" t="s">
        <v>898</v>
      </c>
      <c r="AG908" s="9"/>
    </row>
    <row r="909" spans="24:33" x14ac:dyDescent="0.3">
      <c r="X909" s="251" t="s">
        <v>1840</v>
      </c>
      <c r="Y909" s="252" t="s">
        <v>823</v>
      </c>
      <c r="Z909" s="250" t="s">
        <v>898</v>
      </c>
      <c r="AG909" s="9"/>
    </row>
    <row r="910" spans="24:33" x14ac:dyDescent="0.3">
      <c r="X910" s="248" t="s">
        <v>1841</v>
      </c>
      <c r="Y910" s="249" t="s">
        <v>823</v>
      </c>
      <c r="Z910" s="250" t="s">
        <v>898</v>
      </c>
      <c r="AG910" s="9"/>
    </row>
    <row r="911" spans="24:33" x14ac:dyDescent="0.3">
      <c r="X911" s="251" t="s">
        <v>1842</v>
      </c>
      <c r="Y911" s="252" t="s">
        <v>823</v>
      </c>
      <c r="Z911" s="250" t="s">
        <v>898</v>
      </c>
      <c r="AG911" s="9"/>
    </row>
    <row r="912" spans="24:33" x14ac:dyDescent="0.3">
      <c r="X912" s="248" t="s">
        <v>1843</v>
      </c>
      <c r="Y912" s="249" t="s">
        <v>823</v>
      </c>
      <c r="Z912" s="250" t="s">
        <v>898</v>
      </c>
      <c r="AG912" s="9"/>
    </row>
    <row r="913" spans="24:33" x14ac:dyDescent="0.3">
      <c r="X913" s="251" t="s">
        <v>1844</v>
      </c>
      <c r="Y913" s="252" t="s">
        <v>823</v>
      </c>
      <c r="Z913" s="250" t="s">
        <v>898</v>
      </c>
      <c r="AG913" s="9"/>
    </row>
    <row r="914" spans="24:33" x14ac:dyDescent="0.3">
      <c r="X914" s="248" t="s">
        <v>1845</v>
      </c>
      <c r="Y914" s="249" t="s">
        <v>823</v>
      </c>
      <c r="Z914" s="250" t="s">
        <v>898</v>
      </c>
      <c r="AG914" s="9"/>
    </row>
    <row r="915" spans="24:33" x14ac:dyDescent="0.3">
      <c r="X915" s="251" t="s">
        <v>1846</v>
      </c>
      <c r="Y915" s="252" t="s">
        <v>823</v>
      </c>
      <c r="Z915" s="250" t="s">
        <v>898</v>
      </c>
      <c r="AG915" s="9"/>
    </row>
    <row r="916" spans="24:33" x14ac:dyDescent="0.3">
      <c r="X916" s="248" t="s">
        <v>1847</v>
      </c>
      <c r="Y916" s="249" t="s">
        <v>823</v>
      </c>
      <c r="Z916" s="250" t="s">
        <v>898</v>
      </c>
      <c r="AG916" s="9"/>
    </row>
    <row r="917" spans="24:33" x14ac:dyDescent="0.3">
      <c r="X917" s="251" t="s">
        <v>1848</v>
      </c>
      <c r="Y917" s="252" t="s">
        <v>823</v>
      </c>
      <c r="Z917" s="250" t="s">
        <v>898</v>
      </c>
      <c r="AG917" s="9"/>
    </row>
    <row r="918" spans="24:33" x14ac:dyDescent="0.3">
      <c r="X918" s="248" t="s">
        <v>1849</v>
      </c>
      <c r="Y918" s="249" t="s">
        <v>823</v>
      </c>
      <c r="Z918" s="250" t="s">
        <v>898</v>
      </c>
      <c r="AG918" s="9"/>
    </row>
    <row r="919" spans="24:33" x14ac:dyDescent="0.3">
      <c r="X919" s="251" t="s">
        <v>1850</v>
      </c>
      <c r="Y919" s="252" t="s">
        <v>823</v>
      </c>
      <c r="Z919" s="250" t="s">
        <v>898</v>
      </c>
      <c r="AG919" s="9"/>
    </row>
    <row r="920" spans="24:33" x14ac:dyDescent="0.3">
      <c r="X920" s="248" t="s">
        <v>1851</v>
      </c>
      <c r="Y920" s="249" t="s">
        <v>823</v>
      </c>
      <c r="Z920" s="250" t="s">
        <v>898</v>
      </c>
      <c r="AG920" s="9"/>
    </row>
    <row r="921" spans="24:33" x14ac:dyDescent="0.3">
      <c r="X921" s="251" t="s">
        <v>1852</v>
      </c>
      <c r="Y921" s="252" t="s">
        <v>823</v>
      </c>
      <c r="Z921" s="250" t="s">
        <v>898</v>
      </c>
      <c r="AG921" s="9"/>
    </row>
    <row r="922" spans="24:33" x14ac:dyDescent="0.3">
      <c r="X922" s="248" t="s">
        <v>1853</v>
      </c>
      <c r="Y922" s="249" t="s">
        <v>823</v>
      </c>
      <c r="Z922" s="250" t="s">
        <v>898</v>
      </c>
      <c r="AG922" s="9"/>
    </row>
    <row r="923" spans="24:33" x14ac:dyDescent="0.3">
      <c r="X923" s="251" t="s">
        <v>1854</v>
      </c>
      <c r="Y923" s="252" t="s">
        <v>823</v>
      </c>
      <c r="Z923" s="250" t="s">
        <v>898</v>
      </c>
      <c r="AG923" s="9"/>
    </row>
    <row r="924" spans="24:33" x14ac:dyDescent="0.3">
      <c r="X924" s="248" t="s">
        <v>1855</v>
      </c>
      <c r="Y924" s="249" t="s">
        <v>823</v>
      </c>
      <c r="Z924" s="250" t="s">
        <v>898</v>
      </c>
      <c r="AG924" s="9"/>
    </row>
    <row r="925" spans="24:33" x14ac:dyDescent="0.3">
      <c r="X925" s="251" t="s">
        <v>1856</v>
      </c>
      <c r="Y925" s="252" t="s">
        <v>823</v>
      </c>
      <c r="Z925" s="250" t="s">
        <v>898</v>
      </c>
      <c r="AG925" s="9"/>
    </row>
    <row r="926" spans="24:33" x14ac:dyDescent="0.3">
      <c r="X926" s="248" t="s">
        <v>1857</v>
      </c>
      <c r="Y926" s="249" t="s">
        <v>823</v>
      </c>
      <c r="Z926" s="250" t="s">
        <v>898</v>
      </c>
      <c r="AG926" s="9"/>
    </row>
    <row r="927" spans="24:33" x14ac:dyDescent="0.3">
      <c r="X927" s="251" t="s">
        <v>1858</v>
      </c>
      <c r="Y927" s="252" t="s">
        <v>823</v>
      </c>
      <c r="Z927" s="250" t="s">
        <v>898</v>
      </c>
      <c r="AG927" s="9"/>
    </row>
    <row r="928" spans="24:33" x14ac:dyDescent="0.3">
      <c r="X928" s="248" t="s">
        <v>1859</v>
      </c>
      <c r="Y928" s="249" t="s">
        <v>823</v>
      </c>
      <c r="Z928" s="250" t="s">
        <v>898</v>
      </c>
      <c r="AG928" s="9"/>
    </row>
    <row r="929" spans="24:33" x14ac:dyDescent="0.3">
      <c r="X929" s="251" t="s">
        <v>1860</v>
      </c>
      <c r="Y929" s="252" t="s">
        <v>823</v>
      </c>
      <c r="Z929" s="250" t="s">
        <v>898</v>
      </c>
      <c r="AG929" s="9"/>
    </row>
    <row r="930" spans="24:33" x14ac:dyDescent="0.3">
      <c r="X930" s="248" t="s">
        <v>1861</v>
      </c>
      <c r="Y930" s="249" t="s">
        <v>823</v>
      </c>
      <c r="Z930" s="250" t="s">
        <v>898</v>
      </c>
      <c r="AG930" s="9"/>
    </row>
    <row r="931" spans="24:33" x14ac:dyDescent="0.3">
      <c r="X931" s="251" t="s">
        <v>1862</v>
      </c>
      <c r="Y931" s="252" t="s">
        <v>823</v>
      </c>
      <c r="Z931" s="250" t="s">
        <v>898</v>
      </c>
      <c r="AG931" s="9"/>
    </row>
    <row r="932" spans="24:33" x14ac:dyDescent="0.3">
      <c r="X932" s="248" t="s">
        <v>1863</v>
      </c>
      <c r="Y932" s="249" t="s">
        <v>823</v>
      </c>
      <c r="Z932" s="250" t="s">
        <v>898</v>
      </c>
      <c r="AG932" s="9"/>
    </row>
    <row r="933" spans="24:33" x14ac:dyDescent="0.3">
      <c r="X933" s="251" t="s">
        <v>1864</v>
      </c>
      <c r="Y933" s="252" t="s">
        <v>823</v>
      </c>
      <c r="Z933" s="250" t="s">
        <v>898</v>
      </c>
      <c r="AG933" s="9"/>
    </row>
    <row r="934" spans="24:33" x14ac:dyDescent="0.3">
      <c r="X934" s="248" t="s">
        <v>1865</v>
      </c>
      <c r="Y934" s="249" t="s">
        <v>823</v>
      </c>
      <c r="Z934" s="250" t="s">
        <v>898</v>
      </c>
      <c r="AG934" s="9"/>
    </row>
    <row r="935" spans="24:33" x14ac:dyDescent="0.3">
      <c r="X935" s="251" t="s">
        <v>1866</v>
      </c>
      <c r="Y935" s="252" t="s">
        <v>823</v>
      </c>
      <c r="Z935" s="250" t="s">
        <v>898</v>
      </c>
      <c r="AG935" s="9"/>
    </row>
    <row r="936" spans="24:33" x14ac:dyDescent="0.3">
      <c r="X936" s="248" t="s">
        <v>1867</v>
      </c>
      <c r="Y936" s="249" t="s">
        <v>823</v>
      </c>
      <c r="Z936" s="250" t="s">
        <v>898</v>
      </c>
      <c r="AG936" s="9"/>
    </row>
    <row r="937" spans="24:33" x14ac:dyDescent="0.3">
      <c r="X937" s="251" t="s">
        <v>1868</v>
      </c>
      <c r="Y937" s="252" t="s">
        <v>823</v>
      </c>
      <c r="Z937" s="250" t="s">
        <v>898</v>
      </c>
      <c r="AG937" s="9"/>
    </row>
    <row r="938" spans="24:33" x14ac:dyDescent="0.3">
      <c r="X938" s="248" t="s">
        <v>1869</v>
      </c>
      <c r="Y938" s="249" t="s">
        <v>823</v>
      </c>
      <c r="Z938" s="250" t="s">
        <v>898</v>
      </c>
      <c r="AG938" s="9"/>
    </row>
    <row r="939" spans="24:33" x14ac:dyDescent="0.3">
      <c r="X939" s="251" t="s">
        <v>1870</v>
      </c>
      <c r="Y939" s="252" t="s">
        <v>823</v>
      </c>
      <c r="Z939" s="250" t="s">
        <v>898</v>
      </c>
      <c r="AG939" s="9"/>
    </row>
    <row r="940" spans="24:33" x14ac:dyDescent="0.3">
      <c r="X940" s="248" t="s">
        <v>1871</v>
      </c>
      <c r="Y940" s="249" t="s">
        <v>823</v>
      </c>
      <c r="Z940" s="250" t="s">
        <v>898</v>
      </c>
      <c r="AG940" s="9"/>
    </row>
    <row r="941" spans="24:33" x14ac:dyDescent="0.3">
      <c r="X941" s="251" t="s">
        <v>1872</v>
      </c>
      <c r="Y941" s="252" t="s">
        <v>823</v>
      </c>
      <c r="Z941" s="250" t="s">
        <v>898</v>
      </c>
      <c r="AG941" s="9"/>
    </row>
    <row r="942" spans="24:33" x14ac:dyDescent="0.3">
      <c r="X942" s="248" t="s">
        <v>1873</v>
      </c>
      <c r="Y942" s="249" t="s">
        <v>823</v>
      </c>
      <c r="Z942" s="250" t="s">
        <v>898</v>
      </c>
      <c r="AG942" s="9"/>
    </row>
    <row r="943" spans="24:33" x14ac:dyDescent="0.3">
      <c r="X943" s="251" t="s">
        <v>1874</v>
      </c>
      <c r="Y943" s="252" t="s">
        <v>823</v>
      </c>
      <c r="Z943" s="250" t="s">
        <v>898</v>
      </c>
      <c r="AG943" s="9"/>
    </row>
    <row r="944" spans="24:33" x14ac:dyDescent="0.3">
      <c r="X944" s="248" t="s">
        <v>1875</v>
      </c>
      <c r="Y944" s="249" t="s">
        <v>823</v>
      </c>
      <c r="Z944" s="250" t="s">
        <v>898</v>
      </c>
      <c r="AG944" s="9"/>
    </row>
    <row r="945" spans="24:33" x14ac:dyDescent="0.3">
      <c r="X945" s="251" t="s">
        <v>1876</v>
      </c>
      <c r="Y945" s="252" t="s">
        <v>823</v>
      </c>
      <c r="Z945" s="250" t="s">
        <v>898</v>
      </c>
      <c r="AG945" s="9"/>
    </row>
    <row r="946" spans="24:33" x14ac:dyDescent="0.3">
      <c r="X946" s="248" t="s">
        <v>1877</v>
      </c>
      <c r="Y946" s="249" t="s">
        <v>823</v>
      </c>
      <c r="Z946" s="250" t="s">
        <v>898</v>
      </c>
      <c r="AG946" s="9"/>
    </row>
    <row r="947" spans="24:33" x14ac:dyDescent="0.3">
      <c r="X947" s="251" t="s">
        <v>1878</v>
      </c>
      <c r="Y947" s="252" t="s">
        <v>823</v>
      </c>
      <c r="Z947" s="250" t="s">
        <v>898</v>
      </c>
      <c r="AG947" s="9"/>
    </row>
    <row r="948" spans="24:33" x14ac:dyDescent="0.3">
      <c r="X948" s="248" t="s">
        <v>1879</v>
      </c>
      <c r="Y948" s="249" t="s">
        <v>823</v>
      </c>
      <c r="Z948" s="250" t="s">
        <v>898</v>
      </c>
      <c r="AG948" s="9"/>
    </row>
    <row r="949" spans="24:33" x14ac:dyDescent="0.3">
      <c r="X949" s="251" t="s">
        <v>1880</v>
      </c>
      <c r="Y949" s="252" t="s">
        <v>823</v>
      </c>
      <c r="Z949" s="250" t="s">
        <v>898</v>
      </c>
      <c r="AG949" s="9"/>
    </row>
    <row r="950" spans="24:33" x14ac:dyDescent="0.3">
      <c r="X950" s="248" t="s">
        <v>1881</v>
      </c>
      <c r="Y950" s="249" t="s">
        <v>823</v>
      </c>
      <c r="Z950" s="250" t="s">
        <v>898</v>
      </c>
      <c r="AG950" s="9"/>
    </row>
    <row r="951" spans="24:33" x14ac:dyDescent="0.3">
      <c r="X951" s="251" t="s">
        <v>1882</v>
      </c>
      <c r="Y951" s="252" t="s">
        <v>823</v>
      </c>
      <c r="Z951" s="250" t="s">
        <v>898</v>
      </c>
      <c r="AG951" s="9"/>
    </row>
    <row r="952" spans="24:33" x14ac:dyDescent="0.3">
      <c r="X952" s="248" t="s">
        <v>1883</v>
      </c>
      <c r="Y952" s="249" t="s">
        <v>823</v>
      </c>
      <c r="Z952" s="250" t="s">
        <v>898</v>
      </c>
      <c r="AG952" s="9"/>
    </row>
    <row r="953" spans="24:33" x14ac:dyDescent="0.3">
      <c r="X953" s="251" t="s">
        <v>1884</v>
      </c>
      <c r="Y953" s="252" t="s">
        <v>823</v>
      </c>
      <c r="Z953" s="250" t="s">
        <v>898</v>
      </c>
      <c r="AG953" s="9"/>
    </row>
    <row r="954" spans="24:33" x14ac:dyDescent="0.3">
      <c r="X954" s="248" t="s">
        <v>1885</v>
      </c>
      <c r="Y954" s="249" t="s">
        <v>823</v>
      </c>
      <c r="Z954" s="250" t="s">
        <v>898</v>
      </c>
      <c r="AG954" s="9"/>
    </row>
    <row r="955" spans="24:33" x14ac:dyDescent="0.3">
      <c r="X955" s="251" t="s">
        <v>1886</v>
      </c>
      <c r="Y955" s="252" t="s">
        <v>823</v>
      </c>
      <c r="Z955" s="250" t="s">
        <v>898</v>
      </c>
      <c r="AG955" s="9"/>
    </row>
    <row r="956" spans="24:33" x14ac:dyDescent="0.3">
      <c r="X956" s="248" t="s">
        <v>1887</v>
      </c>
      <c r="Y956" s="249" t="s">
        <v>823</v>
      </c>
      <c r="Z956" s="250" t="s">
        <v>898</v>
      </c>
      <c r="AG956" s="9"/>
    </row>
    <row r="957" spans="24:33" x14ac:dyDescent="0.3">
      <c r="X957" s="251" t="s">
        <v>1888</v>
      </c>
      <c r="Y957" s="252" t="s">
        <v>823</v>
      </c>
      <c r="Z957" s="250" t="s">
        <v>898</v>
      </c>
      <c r="AG957" s="9"/>
    </row>
    <row r="958" spans="24:33" x14ac:dyDescent="0.3">
      <c r="X958" s="248" t="s">
        <v>1889</v>
      </c>
      <c r="Y958" s="249" t="s">
        <v>823</v>
      </c>
      <c r="Z958" s="250" t="s">
        <v>898</v>
      </c>
      <c r="AG958" s="9"/>
    </row>
    <row r="959" spans="24:33" x14ac:dyDescent="0.3">
      <c r="X959" s="251" t="s">
        <v>1890</v>
      </c>
      <c r="Y959" s="252" t="s">
        <v>823</v>
      </c>
      <c r="Z959" s="250" t="s">
        <v>898</v>
      </c>
      <c r="AG959" s="9"/>
    </row>
    <row r="960" spans="24:33" x14ac:dyDescent="0.3">
      <c r="X960" s="248" t="s">
        <v>1891</v>
      </c>
      <c r="Y960" s="249" t="s">
        <v>823</v>
      </c>
      <c r="Z960" s="250" t="s">
        <v>898</v>
      </c>
      <c r="AG960" s="9"/>
    </row>
    <row r="961" spans="24:33" x14ac:dyDescent="0.3">
      <c r="X961" s="251" t="s">
        <v>1892</v>
      </c>
      <c r="Y961" s="252" t="s">
        <v>823</v>
      </c>
      <c r="Z961" s="250" t="s">
        <v>898</v>
      </c>
      <c r="AG961" s="9"/>
    </row>
    <row r="962" spans="24:33" x14ac:dyDescent="0.3">
      <c r="X962" s="248" t="s">
        <v>1893</v>
      </c>
      <c r="Y962" s="249" t="s">
        <v>823</v>
      </c>
      <c r="Z962" s="250" t="s">
        <v>898</v>
      </c>
      <c r="AG962" s="9"/>
    </row>
    <row r="963" spans="24:33" x14ac:dyDescent="0.3">
      <c r="X963" s="251" t="s">
        <v>1894</v>
      </c>
      <c r="Y963" s="252" t="s">
        <v>823</v>
      </c>
      <c r="Z963" s="250" t="s">
        <v>898</v>
      </c>
      <c r="AG963" s="9"/>
    </row>
    <row r="964" spans="24:33" x14ac:dyDescent="0.3">
      <c r="X964" s="248" t="s">
        <v>1895</v>
      </c>
      <c r="Y964" s="249" t="s">
        <v>823</v>
      </c>
      <c r="Z964" s="250" t="s">
        <v>898</v>
      </c>
      <c r="AG964" s="9"/>
    </row>
    <row r="965" spans="24:33" x14ac:dyDescent="0.3">
      <c r="X965" s="251" t="s">
        <v>1896</v>
      </c>
      <c r="Y965" s="252" t="s">
        <v>823</v>
      </c>
      <c r="Z965" s="250" t="s">
        <v>898</v>
      </c>
      <c r="AG965" s="9"/>
    </row>
    <row r="966" spans="24:33" x14ac:dyDescent="0.3">
      <c r="X966" s="248" t="s">
        <v>1897</v>
      </c>
      <c r="Y966" s="249" t="s">
        <v>823</v>
      </c>
      <c r="Z966" s="250" t="s">
        <v>898</v>
      </c>
      <c r="AG966" s="9"/>
    </row>
    <row r="967" spans="24:33" x14ac:dyDescent="0.3">
      <c r="X967" s="251" t="s">
        <v>1898</v>
      </c>
      <c r="Y967" s="252" t="s">
        <v>823</v>
      </c>
      <c r="Z967" s="250" t="s">
        <v>898</v>
      </c>
      <c r="AG967" s="9"/>
    </row>
    <row r="968" spans="24:33" x14ac:dyDescent="0.3">
      <c r="X968" s="248" t="s">
        <v>209</v>
      </c>
      <c r="Y968" s="249" t="s">
        <v>821</v>
      </c>
      <c r="Z968" s="250" t="s">
        <v>898</v>
      </c>
      <c r="AG968" s="9"/>
    </row>
    <row r="969" spans="24:33" x14ac:dyDescent="0.3">
      <c r="X969" s="251" t="s">
        <v>1899</v>
      </c>
      <c r="Y969" s="252" t="s">
        <v>821</v>
      </c>
      <c r="Z969" s="250" t="s">
        <v>898</v>
      </c>
      <c r="AG969" s="9"/>
    </row>
    <row r="970" spans="24:33" x14ac:dyDescent="0.3">
      <c r="X970" s="248" t="s">
        <v>1900</v>
      </c>
      <c r="Y970" s="249" t="s">
        <v>821</v>
      </c>
      <c r="Z970" s="250" t="s">
        <v>898</v>
      </c>
      <c r="AG970" s="9"/>
    </row>
    <row r="971" spans="24:33" x14ac:dyDescent="0.3">
      <c r="X971" s="251" t="s">
        <v>210</v>
      </c>
      <c r="Y971" s="252" t="s">
        <v>821</v>
      </c>
      <c r="Z971" s="250" t="s">
        <v>898</v>
      </c>
      <c r="AG971" s="9"/>
    </row>
    <row r="972" spans="24:33" x14ac:dyDescent="0.3">
      <c r="X972" s="248" t="s">
        <v>1901</v>
      </c>
      <c r="Y972" s="249" t="s">
        <v>821</v>
      </c>
      <c r="Z972" s="250" t="s">
        <v>898</v>
      </c>
      <c r="AG972" s="9"/>
    </row>
    <row r="973" spans="24:33" x14ac:dyDescent="0.3">
      <c r="X973" s="251" t="s">
        <v>1902</v>
      </c>
      <c r="Y973" s="252" t="s">
        <v>821</v>
      </c>
      <c r="Z973" s="250" t="s">
        <v>898</v>
      </c>
      <c r="AG973" s="9"/>
    </row>
    <row r="974" spans="24:33" x14ac:dyDescent="0.3">
      <c r="X974" s="248" t="s">
        <v>1903</v>
      </c>
      <c r="Y974" s="249" t="s">
        <v>821</v>
      </c>
      <c r="Z974" s="250" t="s">
        <v>898</v>
      </c>
      <c r="AG974" s="9"/>
    </row>
    <row r="975" spans="24:33" x14ac:dyDescent="0.3">
      <c r="X975" s="251" t="s">
        <v>214</v>
      </c>
      <c r="Y975" s="252" t="s">
        <v>821</v>
      </c>
      <c r="Z975" s="250" t="s">
        <v>898</v>
      </c>
      <c r="AG975" s="9"/>
    </row>
    <row r="976" spans="24:33" x14ac:dyDescent="0.3">
      <c r="X976" s="248" t="s">
        <v>1904</v>
      </c>
      <c r="Y976" s="249" t="s">
        <v>821</v>
      </c>
      <c r="Z976" s="250" t="s">
        <v>898</v>
      </c>
      <c r="AG976" s="9"/>
    </row>
    <row r="977" spans="24:33" x14ac:dyDescent="0.3">
      <c r="X977" s="251" t="s">
        <v>1905</v>
      </c>
      <c r="Y977" s="252" t="s">
        <v>821</v>
      </c>
      <c r="Z977" s="250" t="s">
        <v>898</v>
      </c>
      <c r="AG977" s="9"/>
    </row>
    <row r="978" spans="24:33" x14ac:dyDescent="0.3">
      <c r="X978" s="248" t="s">
        <v>1906</v>
      </c>
      <c r="Y978" s="249" t="s">
        <v>821</v>
      </c>
      <c r="Z978" s="250" t="s">
        <v>898</v>
      </c>
      <c r="AG978" s="9"/>
    </row>
    <row r="979" spans="24:33" x14ac:dyDescent="0.3">
      <c r="X979" s="251" t="s">
        <v>1907</v>
      </c>
      <c r="Y979" s="252" t="s">
        <v>821</v>
      </c>
      <c r="Z979" s="250" t="s">
        <v>898</v>
      </c>
      <c r="AG979" s="9"/>
    </row>
    <row r="980" spans="24:33" x14ac:dyDescent="0.3">
      <c r="X980" s="248" t="s">
        <v>1908</v>
      </c>
      <c r="Y980" s="249" t="s">
        <v>821</v>
      </c>
      <c r="Z980" s="250" t="s">
        <v>898</v>
      </c>
      <c r="AG980" s="9"/>
    </row>
    <row r="981" spans="24:33" x14ac:dyDescent="0.3">
      <c r="X981" s="251" t="s">
        <v>1909</v>
      </c>
      <c r="Y981" s="252" t="s">
        <v>821</v>
      </c>
      <c r="Z981" s="250" t="s">
        <v>898</v>
      </c>
      <c r="AG981" s="9"/>
    </row>
    <row r="982" spans="24:33" x14ac:dyDescent="0.3">
      <c r="X982" s="248" t="s">
        <v>222</v>
      </c>
      <c r="Y982" s="249" t="s">
        <v>821</v>
      </c>
      <c r="Z982" s="250" t="s">
        <v>898</v>
      </c>
      <c r="AG982" s="9"/>
    </row>
    <row r="983" spans="24:33" x14ac:dyDescent="0.3">
      <c r="X983" s="251" t="s">
        <v>1910</v>
      </c>
      <c r="Y983" s="252" t="s">
        <v>821</v>
      </c>
      <c r="Z983" s="250" t="s">
        <v>898</v>
      </c>
      <c r="AG983" s="9"/>
    </row>
    <row r="984" spans="24:33" x14ac:dyDescent="0.3">
      <c r="X984" s="248" t="s">
        <v>1911</v>
      </c>
      <c r="Y984" s="249" t="s">
        <v>821</v>
      </c>
      <c r="Z984" s="250" t="s">
        <v>898</v>
      </c>
      <c r="AG984" s="9"/>
    </row>
    <row r="985" spans="24:33" x14ac:dyDescent="0.3">
      <c r="X985" s="251" t="s">
        <v>1912</v>
      </c>
      <c r="Y985" s="252" t="s">
        <v>821</v>
      </c>
      <c r="Z985" s="250" t="s">
        <v>898</v>
      </c>
      <c r="AG985" s="9"/>
    </row>
    <row r="986" spans="24:33" x14ac:dyDescent="0.3">
      <c r="X986" s="248" t="s">
        <v>1913</v>
      </c>
      <c r="Y986" s="249" t="s">
        <v>821</v>
      </c>
      <c r="Z986" s="250" t="s">
        <v>898</v>
      </c>
      <c r="AG986" s="9"/>
    </row>
    <row r="987" spans="24:33" x14ac:dyDescent="0.3">
      <c r="X987" s="251" t="s">
        <v>1914</v>
      </c>
      <c r="Y987" s="252" t="s">
        <v>821</v>
      </c>
      <c r="Z987" s="250" t="s">
        <v>898</v>
      </c>
      <c r="AG987" s="9"/>
    </row>
    <row r="988" spans="24:33" x14ac:dyDescent="0.3">
      <c r="X988" s="248" t="s">
        <v>1915</v>
      </c>
      <c r="Y988" s="249" t="s">
        <v>821</v>
      </c>
      <c r="Z988" s="250" t="s">
        <v>898</v>
      </c>
      <c r="AG988" s="9"/>
    </row>
    <row r="989" spans="24:33" x14ac:dyDescent="0.3">
      <c r="X989" s="251" t="s">
        <v>234</v>
      </c>
      <c r="Y989" s="252" t="s">
        <v>821</v>
      </c>
      <c r="Z989" s="250" t="s">
        <v>898</v>
      </c>
      <c r="AG989" s="9"/>
    </row>
    <row r="990" spans="24:33" x14ac:dyDescent="0.3">
      <c r="X990" s="248" t="s">
        <v>1916</v>
      </c>
      <c r="Y990" s="249" t="s">
        <v>821</v>
      </c>
      <c r="Z990" s="250" t="s">
        <v>898</v>
      </c>
      <c r="AG990" s="9"/>
    </row>
    <row r="991" spans="24:33" x14ac:dyDescent="0.3">
      <c r="X991" s="251" t="s">
        <v>1917</v>
      </c>
      <c r="Y991" s="252" t="s">
        <v>821</v>
      </c>
      <c r="Z991" s="250" t="s">
        <v>898</v>
      </c>
      <c r="AG991" s="9"/>
    </row>
    <row r="992" spans="24:33" x14ac:dyDescent="0.3">
      <c r="X992" s="248" t="s">
        <v>1918</v>
      </c>
      <c r="Y992" s="249" t="s">
        <v>821</v>
      </c>
      <c r="Z992" s="250" t="s">
        <v>898</v>
      </c>
      <c r="AG992" s="9"/>
    </row>
    <row r="993" spans="24:33" x14ac:dyDescent="0.3">
      <c r="X993" s="251" t="s">
        <v>1919</v>
      </c>
      <c r="Y993" s="252" t="s">
        <v>821</v>
      </c>
      <c r="Z993" s="250" t="s">
        <v>898</v>
      </c>
      <c r="AG993" s="9"/>
    </row>
    <row r="994" spans="24:33" x14ac:dyDescent="0.3">
      <c r="X994" s="248" t="s">
        <v>1920</v>
      </c>
      <c r="Y994" s="249" t="s">
        <v>821</v>
      </c>
      <c r="Z994" s="250" t="s">
        <v>898</v>
      </c>
      <c r="AG994" s="9"/>
    </row>
    <row r="995" spans="24:33" x14ac:dyDescent="0.3">
      <c r="X995" s="251" t="s">
        <v>242</v>
      </c>
      <c r="Y995" s="252" t="s">
        <v>821</v>
      </c>
      <c r="Z995" s="250" t="s">
        <v>898</v>
      </c>
      <c r="AG995" s="9"/>
    </row>
    <row r="996" spans="24:33" x14ac:dyDescent="0.3">
      <c r="X996" s="248" t="s">
        <v>243</v>
      </c>
      <c r="Y996" s="249" t="s">
        <v>821</v>
      </c>
      <c r="Z996" s="250" t="s">
        <v>898</v>
      </c>
      <c r="AG996" s="9"/>
    </row>
    <row r="997" spans="24:33" x14ac:dyDescent="0.3">
      <c r="X997" s="251" t="s">
        <v>248</v>
      </c>
      <c r="Y997" s="252" t="s">
        <v>821</v>
      </c>
      <c r="Z997" s="250" t="s">
        <v>898</v>
      </c>
      <c r="AG997" s="9"/>
    </row>
    <row r="998" spans="24:33" x14ac:dyDescent="0.3">
      <c r="X998" s="248" t="s">
        <v>1921</v>
      </c>
      <c r="Y998" s="249" t="s">
        <v>821</v>
      </c>
      <c r="Z998" s="250" t="s">
        <v>898</v>
      </c>
      <c r="AG998" s="9"/>
    </row>
    <row r="999" spans="24:33" x14ac:dyDescent="0.3">
      <c r="X999" s="251" t="s">
        <v>1922</v>
      </c>
      <c r="Y999" s="252" t="s">
        <v>821</v>
      </c>
      <c r="Z999" s="250" t="s">
        <v>898</v>
      </c>
      <c r="AG999" s="9"/>
    </row>
    <row r="1000" spans="24:33" x14ac:dyDescent="0.3">
      <c r="X1000" s="248" t="s">
        <v>1923</v>
      </c>
      <c r="Y1000" s="249" t="s">
        <v>821</v>
      </c>
      <c r="Z1000" s="250" t="s">
        <v>898</v>
      </c>
      <c r="AG1000" s="9"/>
    </row>
    <row r="1001" spans="24:33" x14ac:dyDescent="0.3">
      <c r="X1001" s="251" t="s">
        <v>1924</v>
      </c>
      <c r="Y1001" s="252" t="s">
        <v>821</v>
      </c>
      <c r="Z1001" s="250" t="s">
        <v>898</v>
      </c>
      <c r="AG1001" s="9"/>
    </row>
    <row r="1002" spans="24:33" x14ac:dyDescent="0.3">
      <c r="X1002" s="248" t="s">
        <v>453</v>
      </c>
      <c r="Y1002" s="249" t="s">
        <v>821</v>
      </c>
      <c r="Z1002" s="250" t="s">
        <v>898</v>
      </c>
      <c r="AG1002" s="9"/>
    </row>
    <row r="1003" spans="24:33" x14ac:dyDescent="0.3">
      <c r="X1003" s="251" t="s">
        <v>1925</v>
      </c>
      <c r="Y1003" s="252" t="s">
        <v>821</v>
      </c>
      <c r="Z1003" s="250" t="s">
        <v>898</v>
      </c>
      <c r="AG1003" s="9"/>
    </row>
    <row r="1004" spans="24:33" x14ac:dyDescent="0.3">
      <c r="X1004" s="248" t="s">
        <v>1926</v>
      </c>
      <c r="Y1004" s="249" t="s">
        <v>821</v>
      </c>
      <c r="Z1004" s="250" t="s">
        <v>898</v>
      </c>
      <c r="AG1004" s="9"/>
    </row>
    <row r="1005" spans="24:33" x14ac:dyDescent="0.3">
      <c r="X1005" s="251" t="s">
        <v>1927</v>
      </c>
      <c r="Y1005" s="252" t="s">
        <v>821</v>
      </c>
      <c r="Z1005" s="250" t="s">
        <v>898</v>
      </c>
      <c r="AG1005" s="9"/>
    </row>
    <row r="1006" spans="24:33" x14ac:dyDescent="0.3">
      <c r="X1006" s="248" t="s">
        <v>1928</v>
      </c>
      <c r="Y1006" s="249" t="s">
        <v>821</v>
      </c>
      <c r="Z1006" s="250" t="s">
        <v>898</v>
      </c>
      <c r="AG1006" s="9"/>
    </row>
    <row r="1007" spans="24:33" x14ac:dyDescent="0.3">
      <c r="X1007" s="251" t="s">
        <v>1929</v>
      </c>
      <c r="Y1007" s="252" t="s">
        <v>821</v>
      </c>
      <c r="Z1007" s="250" t="s">
        <v>898</v>
      </c>
      <c r="AG1007" s="9"/>
    </row>
    <row r="1008" spans="24:33" x14ac:dyDescent="0.3">
      <c r="X1008" s="248" t="s">
        <v>410</v>
      </c>
      <c r="Y1008" s="249" t="s">
        <v>821</v>
      </c>
      <c r="Z1008" s="250" t="s">
        <v>898</v>
      </c>
      <c r="AG1008" s="9"/>
    </row>
    <row r="1009" spans="24:33" x14ac:dyDescent="0.3">
      <c r="X1009" s="251" t="s">
        <v>1930</v>
      </c>
      <c r="Y1009" s="252" t="s">
        <v>821</v>
      </c>
      <c r="Z1009" s="250" t="s">
        <v>898</v>
      </c>
      <c r="AG1009" s="9"/>
    </row>
    <row r="1010" spans="24:33" x14ac:dyDescent="0.3">
      <c r="X1010" s="248" t="s">
        <v>412</v>
      </c>
      <c r="Y1010" s="249" t="s">
        <v>821</v>
      </c>
      <c r="Z1010" s="250" t="s">
        <v>898</v>
      </c>
      <c r="AG1010" s="9"/>
    </row>
    <row r="1011" spans="24:33" x14ac:dyDescent="0.3">
      <c r="X1011" s="251" t="s">
        <v>1931</v>
      </c>
      <c r="Y1011" s="252" t="s">
        <v>821</v>
      </c>
      <c r="Z1011" s="250" t="s">
        <v>898</v>
      </c>
      <c r="AG1011" s="9"/>
    </row>
    <row r="1012" spans="24:33" x14ac:dyDescent="0.3">
      <c r="X1012" s="248" t="s">
        <v>413</v>
      </c>
      <c r="Y1012" s="249" t="s">
        <v>821</v>
      </c>
      <c r="Z1012" s="250" t="s">
        <v>898</v>
      </c>
      <c r="AG1012" s="9"/>
    </row>
    <row r="1013" spans="24:33" x14ac:dyDescent="0.3">
      <c r="X1013" s="251" t="s">
        <v>1932</v>
      </c>
      <c r="Y1013" s="252" t="s">
        <v>821</v>
      </c>
      <c r="Z1013" s="250" t="s">
        <v>898</v>
      </c>
      <c r="AG1013" s="9"/>
    </row>
    <row r="1014" spans="24:33" x14ac:dyDescent="0.3">
      <c r="X1014" s="248" t="s">
        <v>1933</v>
      </c>
      <c r="Y1014" s="249" t="s">
        <v>821</v>
      </c>
      <c r="Z1014" s="250" t="s">
        <v>898</v>
      </c>
      <c r="AG1014" s="9"/>
    </row>
    <row r="1015" spans="24:33" x14ac:dyDescent="0.3">
      <c r="X1015" s="251" t="s">
        <v>1934</v>
      </c>
      <c r="Y1015" s="252" t="s">
        <v>821</v>
      </c>
      <c r="Z1015" s="250" t="s">
        <v>898</v>
      </c>
      <c r="AG1015" s="9"/>
    </row>
    <row r="1016" spans="24:33" x14ac:dyDescent="0.3">
      <c r="X1016" s="248" t="s">
        <v>416</v>
      </c>
      <c r="Y1016" s="249" t="s">
        <v>821</v>
      </c>
      <c r="Z1016" s="250" t="s">
        <v>898</v>
      </c>
      <c r="AG1016" s="9"/>
    </row>
    <row r="1017" spans="24:33" x14ac:dyDescent="0.3">
      <c r="X1017" s="251" t="s">
        <v>1935</v>
      </c>
      <c r="Y1017" s="252" t="s">
        <v>821</v>
      </c>
      <c r="Z1017" s="250" t="s">
        <v>898</v>
      </c>
      <c r="AG1017" s="9"/>
    </row>
    <row r="1018" spans="24:33" x14ac:dyDescent="0.3">
      <c r="X1018" s="248" t="s">
        <v>1936</v>
      </c>
      <c r="Y1018" s="249" t="s">
        <v>821</v>
      </c>
      <c r="Z1018" s="250" t="s">
        <v>898</v>
      </c>
      <c r="AG1018" s="9"/>
    </row>
    <row r="1019" spans="24:33" x14ac:dyDescent="0.3">
      <c r="X1019" s="251" t="s">
        <v>1937</v>
      </c>
      <c r="Y1019" s="252" t="s">
        <v>821</v>
      </c>
      <c r="Z1019" s="250" t="s">
        <v>898</v>
      </c>
      <c r="AG1019" s="9"/>
    </row>
    <row r="1020" spans="24:33" x14ac:dyDescent="0.3">
      <c r="X1020" s="248" t="s">
        <v>1938</v>
      </c>
      <c r="Y1020" s="249" t="s">
        <v>821</v>
      </c>
      <c r="Z1020" s="250" t="s">
        <v>898</v>
      </c>
      <c r="AG1020" s="9"/>
    </row>
    <row r="1021" spans="24:33" x14ac:dyDescent="0.3">
      <c r="X1021" s="251" t="s">
        <v>1939</v>
      </c>
      <c r="Y1021" s="252" t="s">
        <v>821</v>
      </c>
      <c r="Z1021" s="250" t="s">
        <v>898</v>
      </c>
      <c r="AG1021" s="9"/>
    </row>
    <row r="1022" spans="24:33" x14ac:dyDescent="0.3">
      <c r="X1022" s="248" t="s">
        <v>179</v>
      </c>
      <c r="Y1022" s="249" t="s">
        <v>823</v>
      </c>
      <c r="Z1022" s="250" t="s">
        <v>898</v>
      </c>
      <c r="AG1022" s="9"/>
    </row>
    <row r="1023" spans="24:33" x14ac:dyDescent="0.3">
      <c r="X1023" s="251" t="s">
        <v>2036</v>
      </c>
      <c r="Y1023" s="252" t="s">
        <v>823</v>
      </c>
      <c r="Z1023" s="250" t="s">
        <v>898</v>
      </c>
      <c r="AG1023" s="9"/>
    </row>
    <row r="1024" spans="24:33" x14ac:dyDescent="0.3">
      <c r="X1024" s="248" t="s">
        <v>2037</v>
      </c>
      <c r="Y1024" s="249" t="s">
        <v>823</v>
      </c>
      <c r="Z1024" s="250" t="s">
        <v>898</v>
      </c>
      <c r="AG1024" s="9"/>
    </row>
    <row r="1025" spans="24:33" x14ac:dyDescent="0.3">
      <c r="X1025" s="251" t="s">
        <v>2038</v>
      </c>
      <c r="Y1025" s="252" t="s">
        <v>823</v>
      </c>
      <c r="Z1025" s="250" t="s">
        <v>898</v>
      </c>
      <c r="AG1025" s="9"/>
    </row>
    <row r="1026" spans="24:33" x14ac:dyDescent="0.3">
      <c r="X1026" s="248" t="s">
        <v>180</v>
      </c>
      <c r="Y1026" s="249" t="s">
        <v>823</v>
      </c>
      <c r="Z1026" s="250" t="s">
        <v>898</v>
      </c>
      <c r="AG1026" s="9"/>
    </row>
    <row r="1027" spans="24:33" x14ac:dyDescent="0.3">
      <c r="X1027" s="251" t="s">
        <v>2039</v>
      </c>
      <c r="Y1027" s="252" t="s">
        <v>823</v>
      </c>
      <c r="Z1027" s="250" t="s">
        <v>898</v>
      </c>
      <c r="AG1027" s="9"/>
    </row>
    <row r="1028" spans="24:33" x14ac:dyDescent="0.3">
      <c r="X1028" s="248" t="s">
        <v>2040</v>
      </c>
      <c r="Y1028" s="249" t="s">
        <v>823</v>
      </c>
      <c r="Z1028" s="250" t="s">
        <v>898</v>
      </c>
      <c r="AG1028" s="9"/>
    </row>
    <row r="1029" spans="24:33" x14ac:dyDescent="0.3">
      <c r="X1029" s="251" t="s">
        <v>2041</v>
      </c>
      <c r="Y1029" s="252" t="s">
        <v>823</v>
      </c>
      <c r="Z1029" s="250" t="s">
        <v>898</v>
      </c>
      <c r="AG1029" s="9"/>
    </row>
    <row r="1030" spans="24:33" x14ac:dyDescent="0.3">
      <c r="X1030" s="248" t="s">
        <v>2042</v>
      </c>
      <c r="Y1030" s="249" t="s">
        <v>823</v>
      </c>
      <c r="Z1030" s="250" t="s">
        <v>898</v>
      </c>
      <c r="AG1030" s="9"/>
    </row>
    <row r="1031" spans="24:33" x14ac:dyDescent="0.3">
      <c r="X1031" s="251" t="s">
        <v>176</v>
      </c>
      <c r="Y1031" s="252" t="s">
        <v>823</v>
      </c>
      <c r="Z1031" s="250" t="s">
        <v>898</v>
      </c>
      <c r="AG1031" s="9"/>
    </row>
    <row r="1032" spans="24:33" x14ac:dyDescent="0.3">
      <c r="X1032" s="248" t="s">
        <v>177</v>
      </c>
      <c r="Y1032" s="249" t="s">
        <v>823</v>
      </c>
      <c r="Z1032" s="250" t="s">
        <v>898</v>
      </c>
      <c r="AG1032" s="9"/>
    </row>
    <row r="1033" spans="24:33" x14ac:dyDescent="0.3">
      <c r="X1033" s="251" t="s">
        <v>2043</v>
      </c>
      <c r="Y1033" s="252" t="s">
        <v>823</v>
      </c>
      <c r="Z1033" s="250" t="s">
        <v>898</v>
      </c>
      <c r="AG1033" s="9"/>
    </row>
    <row r="1034" spans="24:33" x14ac:dyDescent="0.3">
      <c r="X1034" s="248" t="s">
        <v>2044</v>
      </c>
      <c r="Y1034" s="249" t="s">
        <v>823</v>
      </c>
      <c r="Z1034" s="250" t="s">
        <v>898</v>
      </c>
      <c r="AG1034" s="9"/>
    </row>
    <row r="1035" spans="24:33" x14ac:dyDescent="0.3">
      <c r="X1035" s="251" t="s">
        <v>2045</v>
      </c>
      <c r="Y1035" s="252" t="s">
        <v>823</v>
      </c>
      <c r="Z1035" s="250" t="s">
        <v>898</v>
      </c>
      <c r="AG1035" s="9"/>
    </row>
    <row r="1036" spans="24:33" x14ac:dyDescent="0.3">
      <c r="X1036" s="248" t="s">
        <v>2046</v>
      </c>
      <c r="Y1036" s="249" t="s">
        <v>823</v>
      </c>
      <c r="Z1036" s="250" t="s">
        <v>898</v>
      </c>
      <c r="AG1036" s="9"/>
    </row>
    <row r="1037" spans="24:33" x14ac:dyDescent="0.3">
      <c r="X1037" s="251" t="s">
        <v>769</v>
      </c>
      <c r="Y1037" s="252" t="s">
        <v>823</v>
      </c>
      <c r="Z1037" s="250" t="s">
        <v>898</v>
      </c>
      <c r="AG1037" s="9"/>
    </row>
    <row r="1038" spans="24:33" x14ac:dyDescent="0.3">
      <c r="X1038" s="248" t="s">
        <v>2047</v>
      </c>
      <c r="Y1038" s="249" t="s">
        <v>823</v>
      </c>
      <c r="Z1038" s="250" t="s">
        <v>898</v>
      </c>
      <c r="AG1038" s="9"/>
    </row>
    <row r="1039" spans="24:33" x14ac:dyDescent="0.3">
      <c r="X1039" s="251" t="s">
        <v>2048</v>
      </c>
      <c r="Y1039" s="252" t="s">
        <v>823</v>
      </c>
      <c r="Z1039" s="250" t="s">
        <v>898</v>
      </c>
      <c r="AG1039" s="9"/>
    </row>
    <row r="1040" spans="24:33" x14ac:dyDescent="0.3">
      <c r="X1040" s="248" t="s">
        <v>181</v>
      </c>
      <c r="Y1040" s="249" t="s">
        <v>823</v>
      </c>
      <c r="Z1040" s="250" t="s">
        <v>898</v>
      </c>
      <c r="AG1040" s="9"/>
    </row>
    <row r="1041" spans="24:33" x14ac:dyDescent="0.3">
      <c r="X1041" s="251" t="s">
        <v>2049</v>
      </c>
      <c r="Y1041" s="252" t="s">
        <v>823</v>
      </c>
      <c r="Z1041" s="250" t="s">
        <v>898</v>
      </c>
      <c r="AG1041" s="9"/>
    </row>
    <row r="1042" spans="24:33" x14ac:dyDescent="0.3">
      <c r="X1042" s="248" t="s">
        <v>2050</v>
      </c>
      <c r="Y1042" s="249" t="s">
        <v>823</v>
      </c>
      <c r="Z1042" s="250" t="s">
        <v>898</v>
      </c>
      <c r="AG1042" s="9"/>
    </row>
    <row r="1043" spans="24:33" x14ac:dyDescent="0.3">
      <c r="X1043" s="251" t="s">
        <v>2051</v>
      </c>
      <c r="Y1043" s="252" t="s">
        <v>823</v>
      </c>
      <c r="Z1043" s="250" t="s">
        <v>898</v>
      </c>
      <c r="AG1043" s="9"/>
    </row>
    <row r="1044" spans="24:33" x14ac:dyDescent="0.3">
      <c r="X1044" s="248" t="s">
        <v>2052</v>
      </c>
      <c r="Y1044" s="249" t="s">
        <v>823</v>
      </c>
      <c r="Z1044" s="250" t="s">
        <v>898</v>
      </c>
      <c r="AG1044" s="9"/>
    </row>
    <row r="1045" spans="24:33" x14ac:dyDescent="0.3">
      <c r="X1045" s="251" t="s">
        <v>2053</v>
      </c>
      <c r="Y1045" s="252" t="s">
        <v>823</v>
      </c>
      <c r="Z1045" s="250" t="s">
        <v>898</v>
      </c>
      <c r="AG1045" s="9"/>
    </row>
    <row r="1046" spans="24:33" x14ac:dyDescent="0.3">
      <c r="X1046" s="248" t="s">
        <v>185</v>
      </c>
      <c r="Y1046" s="249" t="s">
        <v>823</v>
      </c>
      <c r="Z1046" s="250" t="s">
        <v>898</v>
      </c>
      <c r="AG1046" s="9"/>
    </row>
    <row r="1047" spans="24:33" x14ac:dyDescent="0.3">
      <c r="X1047" s="251" t="s">
        <v>187</v>
      </c>
      <c r="Y1047" s="252" t="s">
        <v>823</v>
      </c>
      <c r="Z1047" s="250" t="s">
        <v>898</v>
      </c>
      <c r="AG1047" s="9"/>
    </row>
    <row r="1048" spans="24:33" x14ac:dyDescent="0.3">
      <c r="X1048" s="248" t="s">
        <v>2054</v>
      </c>
      <c r="Y1048" s="249" t="s">
        <v>823</v>
      </c>
      <c r="Z1048" s="250" t="s">
        <v>898</v>
      </c>
      <c r="AG1048" s="9"/>
    </row>
    <row r="1049" spans="24:33" x14ac:dyDescent="0.3">
      <c r="X1049" s="251" t="s">
        <v>2055</v>
      </c>
      <c r="Y1049" s="252" t="s">
        <v>823</v>
      </c>
      <c r="Z1049" s="250" t="s">
        <v>898</v>
      </c>
      <c r="AG1049" s="9"/>
    </row>
    <row r="1050" spans="24:33" x14ac:dyDescent="0.3">
      <c r="X1050" s="248" t="s">
        <v>2056</v>
      </c>
      <c r="Y1050" s="249" t="s">
        <v>823</v>
      </c>
      <c r="Z1050" s="250" t="s">
        <v>898</v>
      </c>
      <c r="AG1050" s="9"/>
    </row>
    <row r="1051" spans="24:33" x14ac:dyDescent="0.3">
      <c r="X1051" s="251" t="s">
        <v>2057</v>
      </c>
      <c r="Y1051" s="252" t="s">
        <v>823</v>
      </c>
      <c r="Z1051" s="250" t="s">
        <v>898</v>
      </c>
      <c r="AG1051" s="9"/>
    </row>
    <row r="1052" spans="24:33" x14ac:dyDescent="0.3">
      <c r="X1052" s="248" t="s">
        <v>2058</v>
      </c>
      <c r="Y1052" s="249" t="s">
        <v>823</v>
      </c>
      <c r="Z1052" s="250" t="s">
        <v>898</v>
      </c>
      <c r="AG1052" s="9"/>
    </row>
    <row r="1053" spans="24:33" x14ac:dyDescent="0.3">
      <c r="X1053" s="251" t="s">
        <v>2059</v>
      </c>
      <c r="Y1053" s="252" t="s">
        <v>823</v>
      </c>
      <c r="Z1053" s="250" t="s">
        <v>898</v>
      </c>
      <c r="AG1053" s="9"/>
    </row>
    <row r="1054" spans="24:33" x14ac:dyDescent="0.3">
      <c r="X1054" s="248" t="s">
        <v>2060</v>
      </c>
      <c r="Y1054" s="249" t="s">
        <v>823</v>
      </c>
      <c r="Z1054" s="250" t="s">
        <v>898</v>
      </c>
      <c r="AG1054" s="9"/>
    </row>
    <row r="1055" spans="24:33" x14ac:dyDescent="0.3">
      <c r="X1055" s="251" t="s">
        <v>2061</v>
      </c>
      <c r="Y1055" s="252" t="s">
        <v>823</v>
      </c>
      <c r="Z1055" s="250" t="s">
        <v>898</v>
      </c>
      <c r="AG1055" s="9"/>
    </row>
    <row r="1056" spans="24:33" x14ac:dyDescent="0.3">
      <c r="X1056" s="248" t="s">
        <v>2062</v>
      </c>
      <c r="Y1056" s="249" t="s">
        <v>823</v>
      </c>
      <c r="Z1056" s="250" t="s">
        <v>898</v>
      </c>
      <c r="AG1056" s="9"/>
    </row>
    <row r="1057" spans="24:33" x14ac:dyDescent="0.3">
      <c r="X1057" s="251" t="s">
        <v>2063</v>
      </c>
      <c r="Y1057" s="252" t="s">
        <v>823</v>
      </c>
      <c r="Z1057" s="250" t="s">
        <v>898</v>
      </c>
      <c r="AG1057" s="9"/>
    </row>
    <row r="1058" spans="24:33" x14ac:dyDescent="0.3">
      <c r="X1058" s="248" t="s">
        <v>2064</v>
      </c>
      <c r="Y1058" s="249" t="s">
        <v>823</v>
      </c>
      <c r="Z1058" s="250" t="s">
        <v>898</v>
      </c>
      <c r="AG1058" s="9"/>
    </row>
    <row r="1059" spans="24:33" x14ac:dyDescent="0.3">
      <c r="X1059" s="251" t="s">
        <v>2065</v>
      </c>
      <c r="Y1059" s="252" t="s">
        <v>823</v>
      </c>
      <c r="Z1059" s="250" t="s">
        <v>898</v>
      </c>
      <c r="AG1059" s="9"/>
    </row>
    <row r="1060" spans="24:33" x14ac:dyDescent="0.3">
      <c r="X1060" s="248" t="s">
        <v>2066</v>
      </c>
      <c r="Y1060" s="249" t="s">
        <v>823</v>
      </c>
      <c r="Z1060" s="250" t="s">
        <v>898</v>
      </c>
      <c r="AG1060" s="9"/>
    </row>
    <row r="1061" spans="24:33" x14ac:dyDescent="0.3">
      <c r="X1061" s="251" t="s">
        <v>2067</v>
      </c>
      <c r="Y1061" s="252" t="s">
        <v>823</v>
      </c>
      <c r="Z1061" s="250" t="s">
        <v>898</v>
      </c>
      <c r="AG1061" s="9"/>
    </row>
    <row r="1062" spans="24:33" x14ac:dyDescent="0.3">
      <c r="X1062" s="248" t="s">
        <v>2068</v>
      </c>
      <c r="Y1062" s="249" t="s">
        <v>823</v>
      </c>
      <c r="Z1062" s="250" t="s">
        <v>898</v>
      </c>
      <c r="AG1062" s="9"/>
    </row>
    <row r="1063" spans="24:33" x14ac:dyDescent="0.3">
      <c r="X1063" s="251" t="s">
        <v>2069</v>
      </c>
      <c r="Y1063" s="252" t="s">
        <v>823</v>
      </c>
      <c r="Z1063" s="250" t="s">
        <v>898</v>
      </c>
      <c r="AG1063" s="9"/>
    </row>
    <row r="1064" spans="24:33" x14ac:dyDescent="0.3">
      <c r="X1064" s="248" t="s">
        <v>2070</v>
      </c>
      <c r="Y1064" s="249" t="s">
        <v>823</v>
      </c>
      <c r="Z1064" s="250" t="s">
        <v>898</v>
      </c>
      <c r="AG1064" s="9"/>
    </row>
    <row r="1065" spans="24:33" x14ac:dyDescent="0.3">
      <c r="X1065" s="251" t="s">
        <v>2071</v>
      </c>
      <c r="Y1065" s="252" t="s">
        <v>823</v>
      </c>
      <c r="Z1065" s="250" t="s">
        <v>898</v>
      </c>
      <c r="AG1065" s="9"/>
    </row>
    <row r="1066" spans="24:33" x14ac:dyDescent="0.3">
      <c r="X1066" s="248" t="s">
        <v>2072</v>
      </c>
      <c r="Y1066" s="249" t="s">
        <v>823</v>
      </c>
      <c r="Z1066" s="250" t="s">
        <v>898</v>
      </c>
      <c r="AG1066" s="9"/>
    </row>
    <row r="1067" spans="24:33" x14ac:dyDescent="0.3">
      <c r="X1067" s="251" t="s">
        <v>2073</v>
      </c>
      <c r="Y1067" s="252" t="s">
        <v>823</v>
      </c>
      <c r="Z1067" s="250" t="s">
        <v>898</v>
      </c>
      <c r="AG1067" s="9"/>
    </row>
    <row r="1068" spans="24:33" x14ac:dyDescent="0.3">
      <c r="X1068" s="248" t="s">
        <v>2074</v>
      </c>
      <c r="Y1068" s="249" t="s">
        <v>823</v>
      </c>
      <c r="Z1068" s="250" t="s">
        <v>898</v>
      </c>
      <c r="AG1068" s="9"/>
    </row>
    <row r="1069" spans="24:33" x14ac:dyDescent="0.3">
      <c r="X1069" s="251" t="s">
        <v>2075</v>
      </c>
      <c r="Y1069" s="252" t="s">
        <v>823</v>
      </c>
      <c r="Z1069" s="250" t="s">
        <v>898</v>
      </c>
      <c r="AG1069" s="9"/>
    </row>
    <row r="1070" spans="24:33" x14ac:dyDescent="0.3">
      <c r="X1070" s="248" t="s">
        <v>2076</v>
      </c>
      <c r="Y1070" s="249" t="s">
        <v>823</v>
      </c>
      <c r="Z1070" s="250" t="s">
        <v>898</v>
      </c>
      <c r="AG1070" s="9"/>
    </row>
    <row r="1071" spans="24:33" x14ac:dyDescent="0.3">
      <c r="X1071" s="251" t="s">
        <v>2077</v>
      </c>
      <c r="Y1071" s="252" t="s">
        <v>823</v>
      </c>
      <c r="Z1071" s="250" t="s">
        <v>898</v>
      </c>
      <c r="AG1071" s="9"/>
    </row>
    <row r="1072" spans="24:33" x14ac:dyDescent="0.3">
      <c r="X1072" s="248" t="s">
        <v>2078</v>
      </c>
      <c r="Y1072" s="249" t="s">
        <v>823</v>
      </c>
      <c r="Z1072" s="250" t="s">
        <v>898</v>
      </c>
      <c r="AG1072" s="9"/>
    </row>
    <row r="1073" spans="24:33" x14ac:dyDescent="0.3">
      <c r="X1073" s="251" t="s">
        <v>2079</v>
      </c>
      <c r="Y1073" s="252" t="s">
        <v>823</v>
      </c>
      <c r="Z1073" s="250" t="s">
        <v>898</v>
      </c>
      <c r="AG1073" s="9"/>
    </row>
    <row r="1074" spans="24:33" x14ac:dyDescent="0.3">
      <c r="X1074" s="248" t="s">
        <v>206</v>
      </c>
      <c r="Y1074" s="249" t="s">
        <v>823</v>
      </c>
      <c r="Z1074" s="250" t="s">
        <v>898</v>
      </c>
      <c r="AG1074" s="9"/>
    </row>
    <row r="1075" spans="24:33" x14ac:dyDescent="0.3">
      <c r="X1075" s="251" t="s">
        <v>2080</v>
      </c>
      <c r="Y1075" s="252" t="s">
        <v>823</v>
      </c>
      <c r="Z1075" s="250" t="s">
        <v>898</v>
      </c>
      <c r="AG1075" s="9"/>
    </row>
    <row r="1076" spans="24:33" x14ac:dyDescent="0.3">
      <c r="X1076" s="248" t="s">
        <v>2081</v>
      </c>
      <c r="Y1076" s="249" t="s">
        <v>823</v>
      </c>
      <c r="Z1076" s="250" t="s">
        <v>898</v>
      </c>
      <c r="AG1076" s="9"/>
    </row>
    <row r="1077" spans="24:33" x14ac:dyDescent="0.3">
      <c r="X1077" s="251" t="s">
        <v>2082</v>
      </c>
      <c r="Y1077" s="252" t="s">
        <v>823</v>
      </c>
      <c r="Z1077" s="250" t="s">
        <v>898</v>
      </c>
      <c r="AG1077" s="9"/>
    </row>
    <row r="1078" spans="24:33" x14ac:dyDescent="0.3">
      <c r="X1078" s="248" t="s">
        <v>2083</v>
      </c>
      <c r="Y1078" s="249" t="s">
        <v>823</v>
      </c>
      <c r="Z1078" s="250" t="s">
        <v>898</v>
      </c>
      <c r="AG1078" s="9"/>
    </row>
    <row r="1079" spans="24:33" x14ac:dyDescent="0.3">
      <c r="X1079" s="251" t="s">
        <v>2084</v>
      </c>
      <c r="Y1079" s="252" t="s">
        <v>823</v>
      </c>
      <c r="Z1079" s="250" t="s">
        <v>898</v>
      </c>
      <c r="AG1079" s="9"/>
    </row>
    <row r="1080" spans="24:33" x14ac:dyDescent="0.3">
      <c r="X1080" s="248" t="s">
        <v>2085</v>
      </c>
      <c r="Y1080" s="249" t="s">
        <v>823</v>
      </c>
      <c r="Z1080" s="250" t="s">
        <v>898</v>
      </c>
      <c r="AG1080" s="9"/>
    </row>
    <row r="1081" spans="24:33" x14ac:dyDescent="0.3">
      <c r="X1081" s="251" t="s">
        <v>2086</v>
      </c>
      <c r="Y1081" s="252" t="s">
        <v>823</v>
      </c>
      <c r="Z1081" s="250" t="s">
        <v>898</v>
      </c>
      <c r="AG1081" s="9"/>
    </row>
    <row r="1082" spans="24:33" x14ac:dyDescent="0.3">
      <c r="X1082" s="248" t="s">
        <v>2087</v>
      </c>
      <c r="Y1082" s="249" t="s">
        <v>823</v>
      </c>
      <c r="Z1082" s="250" t="s">
        <v>898</v>
      </c>
      <c r="AG1082" s="9"/>
    </row>
    <row r="1083" spans="24:33" x14ac:dyDescent="0.3">
      <c r="X1083" s="251" t="s">
        <v>2088</v>
      </c>
      <c r="Y1083" s="252" t="s">
        <v>823</v>
      </c>
      <c r="Z1083" s="250" t="s">
        <v>898</v>
      </c>
      <c r="AG1083" s="9"/>
    </row>
    <row r="1084" spans="24:33" x14ac:dyDescent="0.3">
      <c r="X1084" s="248" t="s">
        <v>2089</v>
      </c>
      <c r="Y1084" s="249" t="s">
        <v>823</v>
      </c>
      <c r="Z1084" s="250" t="s">
        <v>898</v>
      </c>
      <c r="AG1084" s="9"/>
    </row>
    <row r="1085" spans="24:33" x14ac:dyDescent="0.3">
      <c r="X1085" s="251" t="s">
        <v>2090</v>
      </c>
      <c r="Y1085" s="252" t="s">
        <v>823</v>
      </c>
      <c r="Z1085" s="250" t="s">
        <v>898</v>
      </c>
      <c r="AG1085" s="9"/>
    </row>
    <row r="1086" spans="24:33" x14ac:dyDescent="0.3">
      <c r="X1086" s="248" t="s">
        <v>2091</v>
      </c>
      <c r="Y1086" s="249" t="s">
        <v>823</v>
      </c>
      <c r="Z1086" s="250" t="s">
        <v>898</v>
      </c>
      <c r="AG1086" s="9"/>
    </row>
    <row r="1087" spans="24:33" x14ac:dyDescent="0.3">
      <c r="X1087" s="251" t="s">
        <v>2092</v>
      </c>
      <c r="Y1087" s="252" t="s">
        <v>823</v>
      </c>
      <c r="Z1087" s="250" t="s">
        <v>898</v>
      </c>
      <c r="AG1087" s="9"/>
    </row>
    <row r="1088" spans="24:33" x14ac:dyDescent="0.3">
      <c r="X1088" s="248" t="s">
        <v>2093</v>
      </c>
      <c r="Y1088" s="249" t="s">
        <v>823</v>
      </c>
      <c r="Z1088" s="250" t="s">
        <v>898</v>
      </c>
      <c r="AG1088" s="9"/>
    </row>
    <row r="1089" spans="24:33" x14ac:dyDescent="0.3">
      <c r="X1089" s="251" t="s">
        <v>2094</v>
      </c>
      <c r="Y1089" s="252" t="s">
        <v>823</v>
      </c>
      <c r="Z1089" s="250" t="s">
        <v>898</v>
      </c>
      <c r="AG1089" s="9"/>
    </row>
    <row r="1090" spans="24:33" x14ac:dyDescent="0.3">
      <c r="X1090" s="248" t="s">
        <v>2095</v>
      </c>
      <c r="Y1090" s="249" t="s">
        <v>823</v>
      </c>
      <c r="Z1090" s="250" t="s">
        <v>898</v>
      </c>
      <c r="AG1090" s="9"/>
    </row>
    <row r="1091" spans="24:33" x14ac:dyDescent="0.3">
      <c r="X1091" s="251" t="s">
        <v>2096</v>
      </c>
      <c r="Y1091" s="252" t="s">
        <v>823</v>
      </c>
      <c r="Z1091" s="250" t="s">
        <v>898</v>
      </c>
      <c r="AG1091" s="9"/>
    </row>
    <row r="1092" spans="24:33" x14ac:dyDescent="0.3">
      <c r="X1092" s="248" t="s">
        <v>2097</v>
      </c>
      <c r="Y1092" s="249" t="s">
        <v>823</v>
      </c>
      <c r="Z1092" s="250" t="s">
        <v>898</v>
      </c>
      <c r="AG1092" s="9"/>
    </row>
    <row r="1093" spans="24:33" x14ac:dyDescent="0.3">
      <c r="X1093" s="251" t="s">
        <v>2098</v>
      </c>
      <c r="Y1093" s="252" t="s">
        <v>823</v>
      </c>
      <c r="Z1093" s="250" t="s">
        <v>898</v>
      </c>
      <c r="AG1093" s="9"/>
    </row>
    <row r="1094" spans="24:33" x14ac:dyDescent="0.3">
      <c r="X1094" s="248" t="s">
        <v>2099</v>
      </c>
      <c r="Y1094" s="249" t="s">
        <v>823</v>
      </c>
      <c r="Z1094" s="250" t="s">
        <v>898</v>
      </c>
      <c r="AG1094" s="9"/>
    </row>
    <row r="1095" spans="24:33" x14ac:dyDescent="0.3">
      <c r="X1095" s="251" t="s">
        <v>2100</v>
      </c>
      <c r="Y1095" s="252" t="s">
        <v>823</v>
      </c>
      <c r="Z1095" s="250" t="s">
        <v>898</v>
      </c>
      <c r="AG1095" s="9"/>
    </row>
    <row r="1096" spans="24:33" x14ac:dyDescent="0.3">
      <c r="X1096" s="248" t="s">
        <v>2101</v>
      </c>
      <c r="Y1096" s="249" t="s">
        <v>823</v>
      </c>
      <c r="Z1096" s="250" t="s">
        <v>898</v>
      </c>
      <c r="AG1096" s="9"/>
    </row>
    <row r="1097" spans="24:33" x14ac:dyDescent="0.3">
      <c r="X1097" s="251" t="s">
        <v>2102</v>
      </c>
      <c r="Y1097" s="252" t="s">
        <v>823</v>
      </c>
      <c r="Z1097" s="250" t="s">
        <v>898</v>
      </c>
      <c r="AG1097" s="9"/>
    </row>
    <row r="1098" spans="24:33" x14ac:dyDescent="0.3">
      <c r="X1098" s="248" t="s">
        <v>2103</v>
      </c>
      <c r="Y1098" s="249" t="s">
        <v>823</v>
      </c>
      <c r="Z1098" s="250" t="s">
        <v>898</v>
      </c>
      <c r="AG1098" s="9"/>
    </row>
    <row r="1099" spans="24:33" x14ac:dyDescent="0.3">
      <c r="X1099" s="251" t="s">
        <v>2104</v>
      </c>
      <c r="Y1099" s="252" t="s">
        <v>823</v>
      </c>
      <c r="Z1099" s="250" t="s">
        <v>898</v>
      </c>
      <c r="AG1099" s="9"/>
    </row>
    <row r="1100" spans="24:33" x14ac:dyDescent="0.3">
      <c r="X1100" s="248" t="s">
        <v>2105</v>
      </c>
      <c r="Y1100" s="249" t="s">
        <v>823</v>
      </c>
      <c r="Z1100" s="250" t="s">
        <v>898</v>
      </c>
      <c r="AG1100" s="9"/>
    </row>
    <row r="1101" spans="24:33" x14ac:dyDescent="0.3">
      <c r="X1101" s="251" t="s">
        <v>2106</v>
      </c>
      <c r="Y1101" s="252" t="s">
        <v>823</v>
      </c>
      <c r="Z1101" s="250" t="s">
        <v>898</v>
      </c>
      <c r="AG1101" s="9"/>
    </row>
    <row r="1102" spans="24:33" x14ac:dyDescent="0.3">
      <c r="X1102" s="248" t="s">
        <v>2107</v>
      </c>
      <c r="Y1102" s="249" t="s">
        <v>823</v>
      </c>
      <c r="Z1102" s="250" t="s">
        <v>898</v>
      </c>
      <c r="AG1102" s="9"/>
    </row>
    <row r="1103" spans="24:33" x14ac:dyDescent="0.3">
      <c r="X1103" s="251" t="s">
        <v>2108</v>
      </c>
      <c r="Y1103" s="252" t="s">
        <v>823</v>
      </c>
      <c r="Z1103" s="250" t="s">
        <v>898</v>
      </c>
      <c r="AG1103" s="9"/>
    </row>
    <row r="1104" spans="24:33" x14ac:dyDescent="0.3">
      <c r="X1104" s="248" t="s">
        <v>2109</v>
      </c>
      <c r="Y1104" s="249" t="s">
        <v>823</v>
      </c>
      <c r="Z1104" s="250" t="s">
        <v>898</v>
      </c>
      <c r="AG1104" s="9"/>
    </row>
    <row r="1105" spans="24:33" x14ac:dyDescent="0.3">
      <c r="X1105" s="251" t="s">
        <v>2110</v>
      </c>
      <c r="Y1105" s="252" t="s">
        <v>823</v>
      </c>
      <c r="Z1105" s="250" t="s">
        <v>898</v>
      </c>
      <c r="AG1105" s="9"/>
    </row>
    <row r="1106" spans="24:33" x14ac:dyDescent="0.3">
      <c r="X1106" s="248" t="s">
        <v>2111</v>
      </c>
      <c r="Y1106" s="249" t="s">
        <v>823</v>
      </c>
      <c r="Z1106" s="250" t="s">
        <v>898</v>
      </c>
      <c r="AG1106" s="9"/>
    </row>
    <row r="1107" spans="24:33" x14ac:dyDescent="0.3">
      <c r="X1107" s="251" t="s">
        <v>2112</v>
      </c>
      <c r="Y1107" s="252" t="s">
        <v>823</v>
      </c>
      <c r="Z1107" s="250" t="s">
        <v>898</v>
      </c>
      <c r="AG1107" s="9"/>
    </row>
    <row r="1108" spans="24:33" x14ac:dyDescent="0.3">
      <c r="X1108" s="248" t="s">
        <v>311</v>
      </c>
      <c r="Y1108" s="249" t="s">
        <v>823</v>
      </c>
      <c r="Z1108" s="250" t="s">
        <v>898</v>
      </c>
      <c r="AG1108" s="9"/>
    </row>
    <row r="1109" spans="24:33" x14ac:dyDescent="0.3">
      <c r="X1109" s="251" t="s">
        <v>2113</v>
      </c>
      <c r="Y1109" s="252" t="s">
        <v>823</v>
      </c>
      <c r="Z1109" s="250" t="s">
        <v>898</v>
      </c>
      <c r="AG1109" s="9"/>
    </row>
    <row r="1110" spans="24:33" x14ac:dyDescent="0.3">
      <c r="X1110" s="248" t="s">
        <v>1940</v>
      </c>
      <c r="Y1110" s="249" t="s">
        <v>905</v>
      </c>
      <c r="Z1110" s="250" t="s">
        <v>906</v>
      </c>
      <c r="AG1110" s="9"/>
    </row>
    <row r="1111" spans="24:33" x14ac:dyDescent="0.3">
      <c r="X1111" s="251" t="s">
        <v>1941</v>
      </c>
      <c r="Y1111" s="252" t="s">
        <v>905</v>
      </c>
      <c r="Z1111" s="250" t="s">
        <v>906</v>
      </c>
      <c r="AG1111" s="9"/>
    </row>
    <row r="1112" spans="24:33" x14ac:dyDescent="0.3">
      <c r="X1112" s="248" t="s">
        <v>1942</v>
      </c>
      <c r="Y1112" s="249" t="s">
        <v>905</v>
      </c>
      <c r="Z1112" s="250" t="s">
        <v>906</v>
      </c>
      <c r="AG1112" s="9"/>
    </row>
    <row r="1113" spans="24:33" x14ac:dyDescent="0.3">
      <c r="X1113" s="251" t="s">
        <v>1943</v>
      </c>
      <c r="Y1113" s="252" t="s">
        <v>905</v>
      </c>
      <c r="Z1113" s="250" t="s">
        <v>906</v>
      </c>
      <c r="AG1113" s="9"/>
    </row>
    <row r="1114" spans="24:33" x14ac:dyDescent="0.3">
      <c r="X1114" s="248" t="s">
        <v>1944</v>
      </c>
      <c r="Y1114" s="249" t="s">
        <v>905</v>
      </c>
      <c r="Z1114" s="250" t="s">
        <v>906</v>
      </c>
      <c r="AG1114" s="9"/>
    </row>
    <row r="1115" spans="24:33" x14ac:dyDescent="0.3">
      <c r="X1115" s="251" t="s">
        <v>1945</v>
      </c>
      <c r="Y1115" s="252" t="s">
        <v>905</v>
      </c>
      <c r="Z1115" s="250" t="s">
        <v>906</v>
      </c>
      <c r="AG1115" s="9"/>
    </row>
    <row r="1116" spans="24:33" x14ac:dyDescent="0.3">
      <c r="X1116" s="248" t="s">
        <v>1946</v>
      </c>
      <c r="Y1116" s="249" t="s">
        <v>905</v>
      </c>
      <c r="Z1116" s="250" t="s">
        <v>906</v>
      </c>
      <c r="AG1116" s="9"/>
    </row>
    <row r="1117" spans="24:33" x14ac:dyDescent="0.3">
      <c r="X1117" s="251" t="s">
        <v>1947</v>
      </c>
      <c r="Y1117" s="252" t="s">
        <v>905</v>
      </c>
      <c r="Z1117" s="250" t="s">
        <v>906</v>
      </c>
      <c r="AG1117" s="9"/>
    </row>
    <row r="1118" spans="24:33" x14ac:dyDescent="0.3">
      <c r="X1118" s="248" t="s">
        <v>1948</v>
      </c>
      <c r="Y1118" s="249" t="s">
        <v>905</v>
      </c>
      <c r="Z1118" s="250" t="s">
        <v>906</v>
      </c>
      <c r="AG1118" s="9"/>
    </row>
    <row r="1119" spans="24:33" x14ac:dyDescent="0.3">
      <c r="X1119" s="251" t="s">
        <v>1949</v>
      </c>
      <c r="Y1119" s="252" t="s">
        <v>905</v>
      </c>
      <c r="Z1119" s="250" t="s">
        <v>906</v>
      </c>
      <c r="AG1119" s="9"/>
    </row>
    <row r="1120" spans="24:33" x14ac:dyDescent="0.3">
      <c r="X1120" s="248" t="s">
        <v>1950</v>
      </c>
      <c r="Y1120" s="249" t="s">
        <v>905</v>
      </c>
      <c r="Z1120" s="250" t="s">
        <v>906</v>
      </c>
      <c r="AG1120" s="9"/>
    </row>
    <row r="1121" spans="24:33" x14ac:dyDescent="0.3">
      <c r="X1121" s="251" t="s">
        <v>1951</v>
      </c>
      <c r="Y1121" s="252" t="s">
        <v>905</v>
      </c>
      <c r="Z1121" s="250" t="s">
        <v>906</v>
      </c>
      <c r="AG1121" s="9"/>
    </row>
    <row r="1122" spans="24:33" x14ac:dyDescent="0.3">
      <c r="X1122" s="248" t="s">
        <v>1952</v>
      </c>
      <c r="Y1122" s="249" t="s">
        <v>905</v>
      </c>
      <c r="Z1122" s="250" t="s">
        <v>906</v>
      </c>
      <c r="AG1122" s="9"/>
    </row>
    <row r="1123" spans="24:33" x14ac:dyDescent="0.3">
      <c r="X1123" s="251" t="s">
        <v>1953</v>
      </c>
      <c r="Y1123" s="252" t="s">
        <v>905</v>
      </c>
      <c r="Z1123" s="250" t="s">
        <v>906</v>
      </c>
      <c r="AG1123" s="9"/>
    </row>
    <row r="1124" spans="24:33" x14ac:dyDescent="0.3">
      <c r="X1124" s="248" t="s">
        <v>1954</v>
      </c>
      <c r="Y1124" s="249" t="s">
        <v>905</v>
      </c>
      <c r="Z1124" s="250" t="s">
        <v>906</v>
      </c>
      <c r="AG1124" s="9"/>
    </row>
    <row r="1125" spans="24:33" x14ac:dyDescent="0.3">
      <c r="X1125" s="251" t="s">
        <v>1955</v>
      </c>
      <c r="Y1125" s="252" t="s">
        <v>905</v>
      </c>
      <c r="Z1125" s="250" t="s">
        <v>906</v>
      </c>
      <c r="AG1125" s="9"/>
    </row>
    <row r="1126" spans="24:33" x14ac:dyDescent="0.3">
      <c r="X1126" s="248" t="s">
        <v>775</v>
      </c>
      <c r="Y1126" s="249" t="s">
        <v>905</v>
      </c>
      <c r="Z1126" s="250" t="s">
        <v>906</v>
      </c>
      <c r="AG1126" s="9"/>
    </row>
    <row r="1127" spans="24:33" x14ac:dyDescent="0.3">
      <c r="X1127" s="251" t="s">
        <v>1956</v>
      </c>
      <c r="Y1127" s="252" t="s">
        <v>905</v>
      </c>
      <c r="Z1127" s="250" t="s">
        <v>906</v>
      </c>
      <c r="AG1127" s="9"/>
    </row>
    <row r="1128" spans="24:33" x14ac:dyDescent="0.3">
      <c r="X1128" s="248" t="s">
        <v>1957</v>
      </c>
      <c r="Y1128" s="249" t="s">
        <v>905</v>
      </c>
      <c r="Z1128" s="250" t="s">
        <v>906</v>
      </c>
      <c r="AG1128" s="9"/>
    </row>
    <row r="1129" spans="24:33" x14ac:dyDescent="0.3">
      <c r="X1129" s="251" t="s">
        <v>770</v>
      </c>
      <c r="Y1129" s="252" t="s">
        <v>905</v>
      </c>
      <c r="Z1129" s="250" t="s">
        <v>906</v>
      </c>
      <c r="AG1129" s="9"/>
    </row>
    <row r="1130" spans="24:33" x14ac:dyDescent="0.3">
      <c r="X1130" s="248" t="s">
        <v>771</v>
      </c>
      <c r="Y1130" s="249" t="s">
        <v>905</v>
      </c>
      <c r="Z1130" s="250" t="s">
        <v>906</v>
      </c>
      <c r="AG1130" s="9"/>
    </row>
    <row r="1131" spans="24:33" x14ac:dyDescent="0.3">
      <c r="X1131" s="251" t="s">
        <v>1958</v>
      </c>
      <c r="Y1131" s="252" t="s">
        <v>905</v>
      </c>
      <c r="Z1131" s="250" t="s">
        <v>906</v>
      </c>
      <c r="AG1131" s="9"/>
    </row>
    <row r="1132" spans="24:33" x14ac:dyDescent="0.3">
      <c r="X1132" s="248" t="s">
        <v>772</v>
      </c>
      <c r="Y1132" s="249" t="s">
        <v>905</v>
      </c>
      <c r="Z1132" s="250" t="s">
        <v>906</v>
      </c>
      <c r="AG1132" s="9"/>
    </row>
    <row r="1133" spans="24:33" x14ac:dyDescent="0.3">
      <c r="X1133" s="251" t="s">
        <v>777</v>
      </c>
      <c r="Y1133" s="252" t="s">
        <v>905</v>
      </c>
      <c r="Z1133" s="250" t="s">
        <v>906</v>
      </c>
      <c r="AG1133" s="9"/>
    </row>
    <row r="1134" spans="24:33" x14ac:dyDescent="0.3">
      <c r="X1134" s="248" t="s">
        <v>1959</v>
      </c>
      <c r="Y1134" s="249" t="s">
        <v>905</v>
      </c>
      <c r="Z1134" s="250" t="s">
        <v>906</v>
      </c>
      <c r="AG1134" s="9"/>
    </row>
    <row r="1135" spans="24:33" x14ac:dyDescent="0.3">
      <c r="X1135" s="251" t="s">
        <v>1960</v>
      </c>
      <c r="Y1135" s="252" t="s">
        <v>905</v>
      </c>
      <c r="Z1135" s="250" t="s">
        <v>906</v>
      </c>
      <c r="AG1135" s="9"/>
    </row>
    <row r="1136" spans="24:33" x14ac:dyDescent="0.3">
      <c r="X1136" s="248" t="s">
        <v>1961</v>
      </c>
      <c r="Y1136" s="249" t="s">
        <v>905</v>
      </c>
      <c r="Z1136" s="250" t="s">
        <v>906</v>
      </c>
      <c r="AG1136" s="9"/>
    </row>
    <row r="1137" spans="24:33" x14ac:dyDescent="0.3">
      <c r="X1137" s="251" t="s">
        <v>1962</v>
      </c>
      <c r="Y1137" s="252" t="s">
        <v>905</v>
      </c>
      <c r="Z1137" s="250" t="s">
        <v>906</v>
      </c>
      <c r="AG1137" s="9"/>
    </row>
    <row r="1138" spans="24:33" x14ac:dyDescent="0.3">
      <c r="X1138" s="248" t="s">
        <v>1963</v>
      </c>
      <c r="Y1138" s="249" t="s">
        <v>905</v>
      </c>
      <c r="Z1138" s="250" t="s">
        <v>906</v>
      </c>
      <c r="AG1138" s="9"/>
    </row>
    <row r="1139" spans="24:33" x14ac:dyDescent="0.3">
      <c r="X1139" s="251" t="s">
        <v>1964</v>
      </c>
      <c r="Y1139" s="252" t="s">
        <v>905</v>
      </c>
      <c r="Z1139" s="250" t="s">
        <v>906</v>
      </c>
      <c r="AG1139" s="9"/>
    </row>
    <row r="1140" spans="24:33" x14ac:dyDescent="0.3">
      <c r="X1140" s="248" t="s">
        <v>1965</v>
      </c>
      <c r="Y1140" s="249" t="s">
        <v>905</v>
      </c>
      <c r="Z1140" s="250" t="s">
        <v>906</v>
      </c>
      <c r="AG1140" s="9"/>
    </row>
    <row r="1141" spans="24:33" x14ac:dyDescent="0.3">
      <c r="X1141" s="251" t="s">
        <v>1966</v>
      </c>
      <c r="Y1141" s="252" t="s">
        <v>905</v>
      </c>
      <c r="Z1141" s="250" t="s">
        <v>906</v>
      </c>
      <c r="AG1141" s="9"/>
    </row>
    <row r="1142" spans="24:33" x14ac:dyDescent="0.3">
      <c r="X1142" s="248" t="s">
        <v>1967</v>
      </c>
      <c r="Y1142" s="249" t="s">
        <v>905</v>
      </c>
      <c r="Z1142" s="250" t="s">
        <v>906</v>
      </c>
      <c r="AG1142" s="9"/>
    </row>
    <row r="1143" spans="24:33" x14ac:dyDescent="0.3">
      <c r="X1143" s="251" t="s">
        <v>1968</v>
      </c>
      <c r="Y1143" s="252" t="s">
        <v>905</v>
      </c>
      <c r="Z1143" s="250" t="s">
        <v>906</v>
      </c>
      <c r="AG1143" s="9"/>
    </row>
    <row r="1144" spans="24:33" x14ac:dyDescent="0.3">
      <c r="X1144" s="248" t="s">
        <v>1969</v>
      </c>
      <c r="Y1144" s="249" t="s">
        <v>905</v>
      </c>
      <c r="Z1144" s="250" t="s">
        <v>906</v>
      </c>
      <c r="AG1144" s="9"/>
    </row>
    <row r="1145" spans="24:33" x14ac:dyDescent="0.3">
      <c r="X1145" s="251" t="s">
        <v>1970</v>
      </c>
      <c r="Y1145" s="252" t="s">
        <v>905</v>
      </c>
      <c r="Z1145" s="250" t="s">
        <v>906</v>
      </c>
      <c r="AG1145" s="9"/>
    </row>
    <row r="1146" spans="24:33" x14ac:dyDescent="0.3">
      <c r="X1146" s="248" t="s">
        <v>1971</v>
      </c>
      <c r="Y1146" s="249" t="s">
        <v>905</v>
      </c>
      <c r="Z1146" s="250" t="s">
        <v>906</v>
      </c>
      <c r="AG1146" s="9"/>
    </row>
    <row r="1147" spans="24:33" x14ac:dyDescent="0.3">
      <c r="X1147" s="251" t="s">
        <v>1972</v>
      </c>
      <c r="Y1147" s="252" t="s">
        <v>905</v>
      </c>
      <c r="Z1147" s="250" t="s">
        <v>906</v>
      </c>
      <c r="AG1147" s="9"/>
    </row>
    <row r="1148" spans="24:33" x14ac:dyDescent="0.3">
      <c r="X1148" s="248" t="s">
        <v>1973</v>
      </c>
      <c r="Y1148" s="249" t="s">
        <v>905</v>
      </c>
      <c r="Z1148" s="250" t="s">
        <v>906</v>
      </c>
      <c r="AG1148" s="9"/>
    </row>
    <row r="1149" spans="24:33" x14ac:dyDescent="0.3">
      <c r="X1149" s="251" t="s">
        <v>1974</v>
      </c>
      <c r="Y1149" s="252" t="s">
        <v>905</v>
      </c>
      <c r="Z1149" s="250" t="s">
        <v>906</v>
      </c>
      <c r="AG1149" s="9"/>
    </row>
    <row r="1150" spans="24:33" x14ac:dyDescent="0.3">
      <c r="X1150" s="248" t="s">
        <v>1975</v>
      </c>
      <c r="Y1150" s="249" t="s">
        <v>905</v>
      </c>
      <c r="Z1150" s="250" t="s">
        <v>906</v>
      </c>
      <c r="AG1150" s="9"/>
    </row>
    <row r="1151" spans="24:33" x14ac:dyDescent="0.3">
      <c r="X1151" s="251" t="s">
        <v>1976</v>
      </c>
      <c r="Y1151" s="252" t="s">
        <v>905</v>
      </c>
      <c r="Z1151" s="250" t="s">
        <v>906</v>
      </c>
      <c r="AG1151" s="9"/>
    </row>
    <row r="1152" spans="24:33" x14ac:dyDescent="0.3">
      <c r="X1152" s="248" t="s">
        <v>1977</v>
      </c>
      <c r="Y1152" s="249" t="s">
        <v>905</v>
      </c>
      <c r="Z1152" s="250" t="s">
        <v>906</v>
      </c>
      <c r="AG1152" s="9"/>
    </row>
    <row r="1153" spans="24:33" x14ac:dyDescent="0.3">
      <c r="X1153" s="251" t="s">
        <v>1978</v>
      </c>
      <c r="Y1153" s="252" t="s">
        <v>905</v>
      </c>
      <c r="Z1153" s="250" t="s">
        <v>906</v>
      </c>
      <c r="AG1153" s="9"/>
    </row>
    <row r="1154" spans="24:33" x14ac:dyDescent="0.3">
      <c r="X1154" s="248" t="s">
        <v>1979</v>
      </c>
      <c r="Y1154" s="249" t="s">
        <v>905</v>
      </c>
      <c r="Z1154" s="250" t="s">
        <v>906</v>
      </c>
      <c r="AG1154" s="9"/>
    </row>
    <row r="1155" spans="24:33" x14ac:dyDescent="0.3">
      <c r="X1155" s="251" t="s">
        <v>1980</v>
      </c>
      <c r="Y1155" s="252" t="s">
        <v>905</v>
      </c>
      <c r="Z1155" s="250" t="s">
        <v>906</v>
      </c>
      <c r="AG1155" s="9"/>
    </row>
    <row r="1156" spans="24:33" x14ac:dyDescent="0.3">
      <c r="X1156" s="248" t="s">
        <v>1981</v>
      </c>
      <c r="Y1156" s="249" t="s">
        <v>905</v>
      </c>
      <c r="Z1156" s="250" t="s">
        <v>906</v>
      </c>
      <c r="AG1156" s="9"/>
    </row>
    <row r="1157" spans="24:33" x14ac:dyDescent="0.3">
      <c r="X1157" s="251" t="s">
        <v>1982</v>
      </c>
      <c r="Y1157" s="252" t="s">
        <v>905</v>
      </c>
      <c r="Z1157" s="250" t="s">
        <v>906</v>
      </c>
      <c r="AG1157" s="9"/>
    </row>
    <row r="1158" spans="24:33" x14ac:dyDescent="0.3">
      <c r="X1158" s="248" t="s">
        <v>1983</v>
      </c>
      <c r="Y1158" s="249" t="s">
        <v>905</v>
      </c>
      <c r="Z1158" s="250" t="s">
        <v>906</v>
      </c>
      <c r="AG1158" s="9"/>
    </row>
    <row r="1159" spans="24:33" x14ac:dyDescent="0.3">
      <c r="X1159" s="251" t="s">
        <v>1984</v>
      </c>
      <c r="Y1159" s="252" t="s">
        <v>905</v>
      </c>
      <c r="Z1159" s="250" t="s">
        <v>906</v>
      </c>
      <c r="AG1159" s="9"/>
    </row>
    <row r="1160" spans="24:33" x14ac:dyDescent="0.3">
      <c r="X1160" s="248" t="s">
        <v>1985</v>
      </c>
      <c r="Y1160" s="249" t="s">
        <v>905</v>
      </c>
      <c r="Z1160" s="250" t="s">
        <v>906</v>
      </c>
      <c r="AG1160" s="9"/>
    </row>
    <row r="1161" spans="24:33" x14ac:dyDescent="0.3">
      <c r="X1161" s="251" t="s">
        <v>1986</v>
      </c>
      <c r="Y1161" s="252" t="s">
        <v>905</v>
      </c>
      <c r="Z1161" s="250" t="s">
        <v>906</v>
      </c>
      <c r="AG1161" s="9"/>
    </row>
    <row r="1162" spans="24:33" x14ac:dyDescent="0.3">
      <c r="X1162" s="248" t="s">
        <v>1987</v>
      </c>
      <c r="Y1162" s="249" t="s">
        <v>905</v>
      </c>
      <c r="Z1162" s="250" t="s">
        <v>906</v>
      </c>
      <c r="AG1162" s="9"/>
    </row>
    <row r="1163" spans="24:33" x14ac:dyDescent="0.3">
      <c r="X1163" s="251" t="s">
        <v>1988</v>
      </c>
      <c r="Y1163" s="252" t="s">
        <v>905</v>
      </c>
      <c r="Z1163" s="250" t="s">
        <v>906</v>
      </c>
      <c r="AG1163" s="9"/>
    </row>
    <row r="1164" spans="24:33" x14ac:dyDescent="0.3">
      <c r="X1164" s="248" t="s">
        <v>1989</v>
      </c>
      <c r="Y1164" s="249" t="s">
        <v>905</v>
      </c>
      <c r="Z1164" s="250" t="s">
        <v>906</v>
      </c>
      <c r="AG1164" s="9"/>
    </row>
    <row r="1165" spans="24:33" x14ac:dyDescent="0.3">
      <c r="X1165" s="251" t="s">
        <v>1990</v>
      </c>
      <c r="Y1165" s="252" t="s">
        <v>821</v>
      </c>
      <c r="Z1165" s="250" t="s">
        <v>906</v>
      </c>
      <c r="AG1165" s="9"/>
    </row>
    <row r="1166" spans="24:33" x14ac:dyDescent="0.3">
      <c r="X1166" s="248" t="s">
        <v>1991</v>
      </c>
      <c r="Y1166" s="249" t="s">
        <v>821</v>
      </c>
      <c r="Z1166" s="250" t="s">
        <v>906</v>
      </c>
      <c r="AG1166" s="9"/>
    </row>
    <row r="1167" spans="24:33" x14ac:dyDescent="0.3">
      <c r="X1167" s="251" t="s">
        <v>433</v>
      </c>
      <c r="Y1167" s="252" t="s">
        <v>821</v>
      </c>
      <c r="Z1167" s="250" t="s">
        <v>906</v>
      </c>
      <c r="AG1167" s="9"/>
    </row>
    <row r="1168" spans="24:33" x14ac:dyDescent="0.3">
      <c r="X1168" s="248" t="s">
        <v>1992</v>
      </c>
      <c r="Y1168" s="249" t="s">
        <v>821</v>
      </c>
      <c r="Z1168" s="250" t="s">
        <v>906</v>
      </c>
      <c r="AG1168" s="9"/>
    </row>
    <row r="1169" spans="24:33" x14ac:dyDescent="0.3">
      <c r="X1169" s="251" t="s">
        <v>432</v>
      </c>
      <c r="Y1169" s="252" t="s">
        <v>821</v>
      </c>
      <c r="Z1169" s="250" t="s">
        <v>906</v>
      </c>
      <c r="AG1169" s="9"/>
    </row>
    <row r="1170" spans="24:33" x14ac:dyDescent="0.3">
      <c r="X1170" s="248" t="s">
        <v>1993</v>
      </c>
      <c r="Y1170" s="249" t="s">
        <v>821</v>
      </c>
      <c r="Z1170" s="250" t="s">
        <v>906</v>
      </c>
      <c r="AG1170" s="9"/>
    </row>
    <row r="1171" spans="24:33" x14ac:dyDescent="0.3">
      <c r="X1171" s="251" t="s">
        <v>1994</v>
      </c>
      <c r="Y1171" s="252" t="s">
        <v>821</v>
      </c>
      <c r="Z1171" s="250" t="s">
        <v>906</v>
      </c>
      <c r="AG1171" s="9"/>
    </row>
    <row r="1172" spans="24:33" x14ac:dyDescent="0.3">
      <c r="X1172" s="248" t="s">
        <v>232</v>
      </c>
      <c r="Y1172" s="249" t="s">
        <v>821</v>
      </c>
      <c r="Z1172" s="250" t="s">
        <v>906</v>
      </c>
      <c r="AG1172" s="9"/>
    </row>
    <row r="1173" spans="24:33" x14ac:dyDescent="0.3">
      <c r="X1173" s="251" t="s">
        <v>435</v>
      </c>
      <c r="Y1173" s="252" t="s">
        <v>821</v>
      </c>
      <c r="Z1173" s="250" t="s">
        <v>906</v>
      </c>
      <c r="AG1173" s="9"/>
    </row>
    <row r="1174" spans="24:33" x14ac:dyDescent="0.3">
      <c r="X1174" s="248" t="s">
        <v>230</v>
      </c>
      <c r="Y1174" s="249" t="s">
        <v>821</v>
      </c>
      <c r="Z1174" s="250" t="s">
        <v>906</v>
      </c>
      <c r="AG1174" s="9"/>
    </row>
    <row r="1175" spans="24:33" x14ac:dyDescent="0.3">
      <c r="X1175" s="251" t="s">
        <v>1995</v>
      </c>
      <c r="Y1175" s="252" t="s">
        <v>821</v>
      </c>
      <c r="Z1175" s="250" t="s">
        <v>906</v>
      </c>
      <c r="AG1175" s="9"/>
    </row>
    <row r="1176" spans="24:33" x14ac:dyDescent="0.3">
      <c r="X1176" s="248" t="s">
        <v>1996</v>
      </c>
      <c r="Y1176" s="249" t="s">
        <v>821</v>
      </c>
      <c r="Z1176" s="250" t="s">
        <v>906</v>
      </c>
      <c r="AG1176" s="9"/>
    </row>
    <row r="1177" spans="24:33" x14ac:dyDescent="0.3">
      <c r="X1177" s="251" t="s">
        <v>434</v>
      </c>
      <c r="Y1177" s="252" t="s">
        <v>821</v>
      </c>
      <c r="Z1177" s="250" t="s">
        <v>906</v>
      </c>
      <c r="AG1177" s="9"/>
    </row>
    <row r="1178" spans="24:33" x14ac:dyDescent="0.3">
      <c r="X1178" s="248" t="s">
        <v>168</v>
      </c>
      <c r="Y1178" s="249" t="s">
        <v>821</v>
      </c>
      <c r="Z1178" s="250" t="s">
        <v>906</v>
      </c>
      <c r="AG1178" s="9"/>
    </row>
    <row r="1179" spans="24:33" x14ac:dyDescent="0.3">
      <c r="X1179" s="251" t="s">
        <v>1997</v>
      </c>
      <c r="Y1179" s="252" t="s">
        <v>821</v>
      </c>
      <c r="Z1179" s="250" t="s">
        <v>906</v>
      </c>
      <c r="AG1179" s="9"/>
    </row>
    <row r="1180" spans="24:33" x14ac:dyDescent="0.3">
      <c r="X1180" s="248" t="s">
        <v>276</v>
      </c>
      <c r="Y1180" s="249" t="s">
        <v>821</v>
      </c>
      <c r="Z1180" s="250" t="s">
        <v>906</v>
      </c>
      <c r="AG1180" s="9"/>
    </row>
    <row r="1181" spans="24:33" x14ac:dyDescent="0.3">
      <c r="X1181" s="251" t="s">
        <v>1998</v>
      </c>
      <c r="Y1181" s="252" t="s">
        <v>821</v>
      </c>
      <c r="Z1181" s="250" t="s">
        <v>906</v>
      </c>
      <c r="AG1181" s="9"/>
    </row>
    <row r="1182" spans="24:33" x14ac:dyDescent="0.3">
      <c r="X1182" s="248" t="s">
        <v>1999</v>
      </c>
      <c r="Y1182" s="249" t="s">
        <v>821</v>
      </c>
      <c r="Z1182" s="250" t="s">
        <v>906</v>
      </c>
      <c r="AG1182" s="9"/>
    </row>
    <row r="1183" spans="24:33" x14ac:dyDescent="0.3">
      <c r="X1183" s="251" t="s">
        <v>2000</v>
      </c>
      <c r="Y1183" s="252" t="s">
        <v>821</v>
      </c>
      <c r="Z1183" s="250" t="s">
        <v>906</v>
      </c>
      <c r="AG1183" s="9"/>
    </row>
    <row r="1184" spans="24:33" x14ac:dyDescent="0.3">
      <c r="X1184" s="248" t="s">
        <v>2001</v>
      </c>
      <c r="Y1184" s="249" t="s">
        <v>821</v>
      </c>
      <c r="Z1184" s="250" t="s">
        <v>906</v>
      </c>
      <c r="AG1184" s="9"/>
    </row>
    <row r="1185" spans="24:33" x14ac:dyDescent="0.3">
      <c r="X1185" s="251" t="s">
        <v>1211</v>
      </c>
      <c r="Y1185" s="252" t="s">
        <v>821</v>
      </c>
      <c r="Z1185" s="250" t="s">
        <v>906</v>
      </c>
      <c r="AG1185" s="9"/>
    </row>
    <row r="1186" spans="24:33" x14ac:dyDescent="0.3">
      <c r="X1186" s="248" t="s">
        <v>2002</v>
      </c>
      <c r="Y1186" s="249" t="s">
        <v>821</v>
      </c>
      <c r="Z1186" s="250" t="s">
        <v>906</v>
      </c>
      <c r="AG1186" s="9"/>
    </row>
    <row r="1187" spans="24:33" x14ac:dyDescent="0.3">
      <c r="X1187" s="251" t="s">
        <v>2003</v>
      </c>
      <c r="Y1187" s="252" t="s">
        <v>821</v>
      </c>
      <c r="Z1187" s="250" t="s">
        <v>906</v>
      </c>
      <c r="AG1187" s="9"/>
    </row>
    <row r="1188" spans="24:33" x14ac:dyDescent="0.3">
      <c r="X1188" s="248" t="s">
        <v>2004</v>
      </c>
      <c r="Y1188" s="249" t="s">
        <v>821</v>
      </c>
      <c r="Z1188" s="250" t="s">
        <v>906</v>
      </c>
      <c r="AG1188" s="9"/>
    </row>
    <row r="1189" spans="24:33" x14ac:dyDescent="0.3">
      <c r="X1189" s="251" t="s">
        <v>2005</v>
      </c>
      <c r="Y1189" s="252" t="s">
        <v>821</v>
      </c>
      <c r="Z1189" s="250" t="s">
        <v>906</v>
      </c>
      <c r="AG1189" s="9"/>
    </row>
    <row r="1190" spans="24:33" x14ac:dyDescent="0.3">
      <c r="X1190" s="248" t="s">
        <v>2006</v>
      </c>
      <c r="Y1190" s="249" t="s">
        <v>821</v>
      </c>
      <c r="Z1190" s="250" t="s">
        <v>906</v>
      </c>
      <c r="AG1190" s="9"/>
    </row>
    <row r="1191" spans="24:33" x14ac:dyDescent="0.3">
      <c r="X1191" s="251" t="s">
        <v>183</v>
      </c>
      <c r="Y1191" s="252" t="s">
        <v>821</v>
      </c>
      <c r="Z1191" s="250" t="s">
        <v>906</v>
      </c>
      <c r="AG1191" s="9"/>
    </row>
    <row r="1192" spans="24:33" x14ac:dyDescent="0.3">
      <c r="X1192" s="248" t="s">
        <v>278</v>
      </c>
      <c r="Y1192" s="249" t="s">
        <v>821</v>
      </c>
      <c r="Z1192" s="250" t="s">
        <v>906</v>
      </c>
      <c r="AG1192" s="9"/>
    </row>
    <row r="1193" spans="24:33" x14ac:dyDescent="0.3">
      <c r="X1193" s="251" t="s">
        <v>2007</v>
      </c>
      <c r="Y1193" s="252" t="s">
        <v>821</v>
      </c>
      <c r="Z1193" s="250" t="s">
        <v>906</v>
      </c>
      <c r="AG1193" s="9"/>
    </row>
    <row r="1194" spans="24:33" x14ac:dyDescent="0.3">
      <c r="X1194" s="248" t="s">
        <v>467</v>
      </c>
      <c r="Y1194" s="249" t="s">
        <v>821</v>
      </c>
      <c r="Z1194" s="250" t="s">
        <v>906</v>
      </c>
      <c r="AG1194" s="9"/>
    </row>
    <row r="1195" spans="24:33" x14ac:dyDescent="0.3">
      <c r="X1195" s="251" t="s">
        <v>2008</v>
      </c>
      <c r="Y1195" s="252" t="s">
        <v>821</v>
      </c>
      <c r="Z1195" s="250" t="s">
        <v>906</v>
      </c>
      <c r="AG1195" s="9"/>
    </row>
    <row r="1196" spans="24:33" x14ac:dyDescent="0.3">
      <c r="X1196" s="248" t="s">
        <v>2009</v>
      </c>
      <c r="Y1196" s="249" t="s">
        <v>821</v>
      </c>
      <c r="Z1196" s="250" t="s">
        <v>906</v>
      </c>
      <c r="AG1196" s="9"/>
    </row>
    <row r="1197" spans="24:33" x14ac:dyDescent="0.3">
      <c r="X1197" s="251" t="s">
        <v>2010</v>
      </c>
      <c r="Y1197" s="252" t="s">
        <v>821</v>
      </c>
      <c r="Z1197" s="250" t="s">
        <v>906</v>
      </c>
      <c r="AG1197" s="9"/>
    </row>
    <row r="1198" spans="24:33" x14ac:dyDescent="0.3">
      <c r="X1198" s="248" t="s">
        <v>2011</v>
      </c>
      <c r="Y1198" s="249" t="s">
        <v>821</v>
      </c>
      <c r="Z1198" s="250" t="s">
        <v>906</v>
      </c>
      <c r="AG1198" s="9"/>
    </row>
    <row r="1199" spans="24:33" x14ac:dyDescent="0.3">
      <c r="X1199" s="251" t="s">
        <v>2012</v>
      </c>
      <c r="Y1199" s="252" t="s">
        <v>821</v>
      </c>
      <c r="Z1199" s="250" t="s">
        <v>906</v>
      </c>
      <c r="AG1199" s="9"/>
    </row>
    <row r="1200" spans="24:33" x14ac:dyDescent="0.3">
      <c r="X1200" s="248" t="s">
        <v>308</v>
      </c>
      <c r="Y1200" s="249" t="s">
        <v>821</v>
      </c>
      <c r="Z1200" s="250" t="s">
        <v>906</v>
      </c>
      <c r="AG1200" s="9"/>
    </row>
    <row r="1201" spans="24:33" x14ac:dyDescent="0.3">
      <c r="X1201" s="251" t="s">
        <v>491</v>
      </c>
      <c r="Y1201" s="252" t="s">
        <v>821</v>
      </c>
      <c r="Z1201" s="250" t="s">
        <v>906</v>
      </c>
      <c r="AG1201" s="9"/>
    </row>
    <row r="1202" spans="24:33" x14ac:dyDescent="0.3">
      <c r="X1202" s="248" t="s">
        <v>2013</v>
      </c>
      <c r="Y1202" s="249" t="s">
        <v>821</v>
      </c>
      <c r="Z1202" s="250" t="s">
        <v>906</v>
      </c>
      <c r="AG1202" s="9"/>
    </row>
    <row r="1203" spans="24:33" x14ac:dyDescent="0.3">
      <c r="X1203" s="251" t="s">
        <v>313</v>
      </c>
      <c r="Y1203" s="252" t="s">
        <v>821</v>
      </c>
      <c r="Z1203" s="250" t="s">
        <v>906</v>
      </c>
      <c r="AG1203" s="9"/>
    </row>
    <row r="1204" spans="24:33" x14ac:dyDescent="0.3">
      <c r="X1204" s="248" t="s">
        <v>203</v>
      </c>
      <c r="Y1204" s="249" t="s">
        <v>821</v>
      </c>
      <c r="Z1204" s="250" t="s">
        <v>906</v>
      </c>
      <c r="AG1204" s="9"/>
    </row>
    <row r="1205" spans="24:33" x14ac:dyDescent="0.3">
      <c r="X1205" s="251" t="s">
        <v>2014</v>
      </c>
      <c r="Y1205" s="252" t="s">
        <v>821</v>
      </c>
      <c r="Z1205" s="250" t="s">
        <v>906</v>
      </c>
      <c r="AG1205" s="9"/>
    </row>
    <row r="1206" spans="24:33" x14ac:dyDescent="0.3">
      <c r="X1206" s="248" t="s">
        <v>2015</v>
      </c>
      <c r="Y1206" s="249" t="s">
        <v>821</v>
      </c>
      <c r="Z1206" s="250" t="s">
        <v>906</v>
      </c>
      <c r="AG1206" s="9"/>
    </row>
    <row r="1207" spans="24:33" x14ac:dyDescent="0.3">
      <c r="X1207" s="251" t="s">
        <v>318</v>
      </c>
      <c r="Y1207" s="252" t="s">
        <v>821</v>
      </c>
      <c r="Z1207" s="250" t="s">
        <v>906</v>
      </c>
      <c r="AG1207" s="9"/>
    </row>
    <row r="1208" spans="24:33" x14ac:dyDescent="0.3">
      <c r="X1208" s="248" t="s">
        <v>2016</v>
      </c>
      <c r="Y1208" s="249" t="s">
        <v>821</v>
      </c>
      <c r="Z1208" s="250" t="s">
        <v>906</v>
      </c>
      <c r="AG1208" s="9"/>
    </row>
    <row r="1209" spans="24:33" x14ac:dyDescent="0.3">
      <c r="X1209" s="251" t="s">
        <v>320</v>
      </c>
      <c r="Y1209" s="252" t="s">
        <v>821</v>
      </c>
      <c r="Z1209" s="250" t="s">
        <v>906</v>
      </c>
      <c r="AG1209" s="9"/>
    </row>
    <row r="1210" spans="24:33" x14ac:dyDescent="0.3">
      <c r="X1210" s="248" t="s">
        <v>2017</v>
      </c>
      <c r="Y1210" s="249" t="s">
        <v>821</v>
      </c>
      <c r="Z1210" s="250" t="s">
        <v>906</v>
      </c>
      <c r="AG1210" s="9"/>
    </row>
    <row r="1211" spans="24:33" x14ac:dyDescent="0.3">
      <c r="X1211" s="251" t="s">
        <v>321</v>
      </c>
      <c r="Y1211" s="252" t="s">
        <v>821</v>
      </c>
      <c r="Z1211" s="250" t="s">
        <v>906</v>
      </c>
      <c r="AG1211" s="9"/>
    </row>
    <row r="1212" spans="24:33" x14ac:dyDescent="0.3">
      <c r="X1212" s="248" t="s">
        <v>229</v>
      </c>
      <c r="Y1212" s="249" t="s">
        <v>821</v>
      </c>
      <c r="Z1212" s="250" t="s">
        <v>906</v>
      </c>
      <c r="AG1212" s="9"/>
    </row>
    <row r="1213" spans="24:33" x14ac:dyDescent="0.3">
      <c r="X1213" s="251" t="s">
        <v>2018</v>
      </c>
      <c r="Y1213" s="252" t="s">
        <v>821</v>
      </c>
      <c r="Z1213" s="250" t="s">
        <v>906</v>
      </c>
      <c r="AG1213" s="9"/>
    </row>
    <row r="1214" spans="24:33" x14ac:dyDescent="0.3">
      <c r="X1214" s="248" t="s">
        <v>233</v>
      </c>
      <c r="Y1214" s="249" t="s">
        <v>821</v>
      </c>
      <c r="Z1214" s="250" t="s">
        <v>906</v>
      </c>
      <c r="AG1214" s="9"/>
    </row>
    <row r="1215" spans="24:33" x14ac:dyDescent="0.3">
      <c r="X1215" s="251" t="s">
        <v>236</v>
      </c>
      <c r="Y1215" s="252" t="s">
        <v>821</v>
      </c>
      <c r="Z1215" s="250" t="s">
        <v>906</v>
      </c>
      <c r="AG1215" s="9"/>
    </row>
    <row r="1216" spans="24:33" x14ac:dyDescent="0.3">
      <c r="X1216" s="248" t="s">
        <v>330</v>
      </c>
      <c r="Y1216" s="249" t="s">
        <v>821</v>
      </c>
      <c r="Z1216" s="250" t="s">
        <v>906</v>
      </c>
      <c r="AG1216" s="9"/>
    </row>
    <row r="1217" spans="24:33" x14ac:dyDescent="0.3">
      <c r="X1217" s="251" t="s">
        <v>2019</v>
      </c>
      <c r="Y1217" s="252" t="s">
        <v>821</v>
      </c>
      <c r="Z1217" s="250" t="s">
        <v>906</v>
      </c>
      <c r="AG1217" s="9"/>
    </row>
    <row r="1218" spans="24:33" x14ac:dyDescent="0.3">
      <c r="X1218" s="248" t="s">
        <v>2020</v>
      </c>
      <c r="Y1218" s="249" t="s">
        <v>909</v>
      </c>
      <c r="Z1218" s="250" t="s">
        <v>906</v>
      </c>
      <c r="AG1218" s="9"/>
    </row>
    <row r="1219" spans="24:33" x14ac:dyDescent="0.3">
      <c r="X1219" s="251" t="s">
        <v>1212</v>
      </c>
      <c r="Y1219" s="252" t="s">
        <v>909</v>
      </c>
      <c r="Z1219" s="250" t="s">
        <v>906</v>
      </c>
      <c r="AG1219" s="9"/>
    </row>
    <row r="1220" spans="24:33" x14ac:dyDescent="0.3">
      <c r="X1220" s="248" t="s">
        <v>2021</v>
      </c>
      <c r="Y1220" s="249" t="s">
        <v>909</v>
      </c>
      <c r="Z1220" s="250" t="s">
        <v>906</v>
      </c>
      <c r="AG1220" s="9"/>
    </row>
    <row r="1221" spans="24:33" x14ac:dyDescent="0.3">
      <c r="X1221" s="251" t="s">
        <v>2022</v>
      </c>
      <c r="Y1221" s="252" t="s">
        <v>909</v>
      </c>
      <c r="Z1221" s="250" t="s">
        <v>906</v>
      </c>
      <c r="AG1221" s="9"/>
    </row>
    <row r="1222" spans="24:33" x14ac:dyDescent="0.3">
      <c r="X1222" s="248" t="s">
        <v>2023</v>
      </c>
      <c r="Y1222" s="249" t="s">
        <v>909</v>
      </c>
      <c r="Z1222" s="250" t="s">
        <v>906</v>
      </c>
      <c r="AG1222" s="9"/>
    </row>
    <row r="1223" spans="24:33" x14ac:dyDescent="0.3">
      <c r="X1223" s="251" t="s">
        <v>2024</v>
      </c>
      <c r="Y1223" s="252" t="s">
        <v>909</v>
      </c>
      <c r="Z1223" s="250" t="s">
        <v>906</v>
      </c>
      <c r="AG1223" s="9"/>
    </row>
    <row r="1224" spans="24:33" x14ac:dyDescent="0.3">
      <c r="X1224" s="248" t="s">
        <v>2025</v>
      </c>
      <c r="Y1224" s="249" t="s">
        <v>909</v>
      </c>
      <c r="Z1224" s="250" t="s">
        <v>906</v>
      </c>
      <c r="AG1224" s="9"/>
    </row>
    <row r="1225" spans="24:33" x14ac:dyDescent="0.3">
      <c r="X1225" s="251" t="s">
        <v>2026</v>
      </c>
      <c r="Y1225" s="252" t="s">
        <v>909</v>
      </c>
      <c r="Z1225" s="250" t="s">
        <v>906</v>
      </c>
      <c r="AG1225" s="9"/>
    </row>
    <row r="1226" spans="24:33" x14ac:dyDescent="0.3">
      <c r="X1226" s="248" t="s">
        <v>2027</v>
      </c>
      <c r="Y1226" s="249" t="s">
        <v>909</v>
      </c>
      <c r="Z1226" s="250" t="s">
        <v>906</v>
      </c>
      <c r="AG1226" s="9"/>
    </row>
    <row r="1227" spans="24:33" x14ac:dyDescent="0.3">
      <c r="X1227" s="251" t="s">
        <v>2028</v>
      </c>
      <c r="Y1227" s="252" t="s">
        <v>909</v>
      </c>
      <c r="Z1227" s="250" t="s">
        <v>906</v>
      </c>
      <c r="AG1227" s="9"/>
    </row>
    <row r="1228" spans="24:33" x14ac:dyDescent="0.3">
      <c r="X1228" s="248" t="s">
        <v>2029</v>
      </c>
      <c r="Y1228" s="249" t="s">
        <v>909</v>
      </c>
      <c r="Z1228" s="250" t="s">
        <v>906</v>
      </c>
      <c r="AG1228" s="9"/>
    </row>
    <row r="1229" spans="24:33" x14ac:dyDescent="0.3">
      <c r="X1229" s="251" t="s">
        <v>2030</v>
      </c>
      <c r="Y1229" s="252" t="s">
        <v>909</v>
      </c>
      <c r="Z1229" s="250" t="s">
        <v>906</v>
      </c>
      <c r="AG1229" s="9"/>
    </row>
    <row r="1230" spans="24:33" x14ac:dyDescent="0.3">
      <c r="X1230" s="248" t="s">
        <v>2031</v>
      </c>
      <c r="Y1230" s="249" t="s">
        <v>909</v>
      </c>
      <c r="Z1230" s="250" t="s">
        <v>906</v>
      </c>
      <c r="AG1230" s="9"/>
    </row>
    <row r="1231" spans="24:33" x14ac:dyDescent="0.3">
      <c r="X1231" s="251" t="s">
        <v>2032</v>
      </c>
      <c r="Y1231" s="252" t="s">
        <v>909</v>
      </c>
      <c r="Z1231" s="250" t="s">
        <v>906</v>
      </c>
      <c r="AG1231" s="9"/>
    </row>
    <row r="1232" spans="24:33" x14ac:dyDescent="0.3">
      <c r="X1232" s="248" t="s">
        <v>774</v>
      </c>
      <c r="Y1232" s="249" t="s">
        <v>909</v>
      </c>
      <c r="Z1232" s="250" t="s">
        <v>906</v>
      </c>
      <c r="AG1232" s="9"/>
    </row>
    <row r="1233" spans="24:33" x14ac:dyDescent="0.3">
      <c r="X1233" s="251" t="s">
        <v>2033</v>
      </c>
      <c r="Y1233" s="252" t="s">
        <v>909</v>
      </c>
      <c r="Z1233" s="250" t="s">
        <v>906</v>
      </c>
      <c r="AG1233" s="9"/>
    </row>
    <row r="1234" spans="24:33" x14ac:dyDescent="0.3">
      <c r="X1234" s="248" t="s">
        <v>776</v>
      </c>
      <c r="Y1234" s="249" t="s">
        <v>909</v>
      </c>
      <c r="Z1234" s="250" t="s">
        <v>906</v>
      </c>
      <c r="AG1234" s="9"/>
    </row>
    <row r="1235" spans="24:33" x14ac:dyDescent="0.3">
      <c r="X1235" s="251" t="s">
        <v>2034</v>
      </c>
      <c r="Y1235" s="252" t="s">
        <v>909</v>
      </c>
      <c r="Z1235" s="250" t="s">
        <v>906</v>
      </c>
      <c r="AG1235" s="9"/>
    </row>
    <row r="1236" spans="24:33" x14ac:dyDescent="0.3">
      <c r="X1236" s="248" t="s">
        <v>2035</v>
      </c>
      <c r="Y1236" s="249" t="s">
        <v>909</v>
      </c>
      <c r="Z1236" s="250" t="s">
        <v>906</v>
      </c>
      <c r="AG1236" s="9"/>
    </row>
    <row r="1237" spans="24:33" x14ac:dyDescent="0.3">
      <c r="X1237" s="248" t="s">
        <v>415</v>
      </c>
      <c r="Y1237" s="249" t="s">
        <v>900</v>
      </c>
      <c r="Z1237" s="250" t="s">
        <v>894</v>
      </c>
      <c r="AG1237" s="9"/>
    </row>
    <row r="1238" spans="24:33" x14ac:dyDescent="0.3">
      <c r="X1238" s="248" t="s">
        <v>1612</v>
      </c>
      <c r="Y1238" s="249" t="s">
        <v>900</v>
      </c>
      <c r="Z1238" s="250" t="s">
        <v>894</v>
      </c>
      <c r="AG1238" s="9"/>
    </row>
    <row r="1239" spans="24:33" x14ac:dyDescent="0.3">
      <c r="X1239" s="248" t="s">
        <v>1616</v>
      </c>
      <c r="Y1239" s="249" t="s">
        <v>901</v>
      </c>
      <c r="Z1239" s="250" t="s">
        <v>894</v>
      </c>
      <c r="AG1239" s="9"/>
    </row>
    <row r="1240" spans="24:33" x14ac:dyDescent="0.3">
      <c r="X1240" s="248" t="s">
        <v>1617</v>
      </c>
      <c r="Y1240" s="249" t="s">
        <v>901</v>
      </c>
      <c r="Z1240" s="250" t="s">
        <v>894</v>
      </c>
      <c r="AG1240" s="9"/>
    </row>
    <row r="1241" spans="24:33" x14ac:dyDescent="0.3">
      <c r="X1241" s="248" t="s">
        <v>1618</v>
      </c>
      <c r="Y1241" s="249" t="s">
        <v>901</v>
      </c>
      <c r="Z1241" s="250" t="s">
        <v>894</v>
      </c>
      <c r="AG1241" s="9"/>
    </row>
    <row r="1242" spans="24:33" x14ac:dyDescent="0.3">
      <c r="X1242" s="248" t="s">
        <v>1176</v>
      </c>
      <c r="Y1242" s="249" t="s">
        <v>901</v>
      </c>
      <c r="Z1242" s="250" t="s">
        <v>894</v>
      </c>
      <c r="AG1242" s="9"/>
    </row>
    <row r="1243" spans="24:33" x14ac:dyDescent="0.3">
      <c r="X1243" s="248" t="s">
        <v>309</v>
      </c>
      <c r="Y1243" s="249" t="s">
        <v>901</v>
      </c>
      <c r="Z1243" s="250" t="s">
        <v>894</v>
      </c>
      <c r="AG1243" s="9"/>
    </row>
    <row r="1244" spans="24:33" x14ac:dyDescent="0.3">
      <c r="X1244" s="248" t="s">
        <v>1619</v>
      </c>
      <c r="Y1244" s="249" t="s">
        <v>901</v>
      </c>
      <c r="Z1244" s="250" t="s">
        <v>894</v>
      </c>
      <c r="AG1244" s="9"/>
    </row>
    <row r="1245" spans="24:33" x14ac:dyDescent="0.3">
      <c r="X1245" s="248" t="s">
        <v>1177</v>
      </c>
      <c r="Y1245" s="249" t="s">
        <v>901</v>
      </c>
      <c r="Z1245" s="250" t="s">
        <v>894</v>
      </c>
      <c r="AG1245" s="9"/>
    </row>
    <row r="1246" spans="24:33" x14ac:dyDescent="0.3">
      <c r="X1246" s="248" t="s">
        <v>1620</v>
      </c>
      <c r="Y1246" s="249" t="s">
        <v>901</v>
      </c>
      <c r="Z1246" s="250" t="s">
        <v>894</v>
      </c>
      <c r="AG1246" s="9"/>
    </row>
    <row r="1247" spans="24:33" x14ac:dyDescent="0.3">
      <c r="X1247" s="248" t="s">
        <v>539</v>
      </c>
      <c r="Y1247" s="249" t="s">
        <v>901</v>
      </c>
      <c r="Z1247" s="250" t="s">
        <v>894</v>
      </c>
      <c r="AG1247" s="9"/>
    </row>
    <row r="1248" spans="24:33" x14ac:dyDescent="0.3">
      <c r="X1248" s="248" t="s">
        <v>596</v>
      </c>
      <c r="Y1248" s="249" t="s">
        <v>901</v>
      </c>
      <c r="Z1248" s="250" t="s">
        <v>894</v>
      </c>
      <c r="AG1248" s="9"/>
    </row>
    <row r="1249" spans="24:33" x14ac:dyDescent="0.3">
      <c r="X1249" s="248" t="s">
        <v>1621</v>
      </c>
      <c r="Y1249" s="249" t="s">
        <v>901</v>
      </c>
      <c r="Z1249" s="250" t="s">
        <v>894</v>
      </c>
      <c r="AG1249" s="9"/>
    </row>
    <row r="1250" spans="24:33" x14ac:dyDescent="0.3">
      <c r="X1250" s="248" t="s">
        <v>1622</v>
      </c>
      <c r="Y1250" s="249" t="s">
        <v>901</v>
      </c>
      <c r="Z1250" s="250" t="s">
        <v>894</v>
      </c>
      <c r="AG1250" s="9"/>
    </row>
    <row r="1251" spans="24:33" x14ac:dyDescent="0.3">
      <c r="X1251" s="248" t="s">
        <v>1178</v>
      </c>
      <c r="Y1251" s="249" t="s">
        <v>901</v>
      </c>
      <c r="Z1251" s="250" t="s">
        <v>894</v>
      </c>
      <c r="AG1251" s="9"/>
    </row>
    <row r="1252" spans="24:33" x14ac:dyDescent="0.3">
      <c r="X1252" s="248" t="s">
        <v>1179</v>
      </c>
      <c r="Y1252" s="249" t="s">
        <v>901</v>
      </c>
      <c r="Z1252" s="250" t="s">
        <v>894</v>
      </c>
      <c r="AG1252" s="9"/>
    </row>
    <row r="1253" spans="24:33" x14ac:dyDescent="0.3">
      <c r="X1253" s="248" t="s">
        <v>358</v>
      </c>
      <c r="Y1253" s="249" t="s">
        <v>902</v>
      </c>
      <c r="Z1253" s="250" t="s">
        <v>894</v>
      </c>
      <c r="AG1253" s="9"/>
    </row>
    <row r="1254" spans="24:33" x14ac:dyDescent="0.3">
      <c r="X1254" s="248" t="s">
        <v>306</v>
      </c>
      <c r="Y1254" s="249" t="s">
        <v>902</v>
      </c>
      <c r="Z1254" s="250" t="s">
        <v>894</v>
      </c>
      <c r="AG1254" s="9"/>
    </row>
    <row r="1255" spans="24:33" x14ac:dyDescent="0.3">
      <c r="X1255" s="248" t="s">
        <v>1627</v>
      </c>
      <c r="Y1255" s="249" t="s">
        <v>902</v>
      </c>
      <c r="Z1255" s="250" t="s">
        <v>894</v>
      </c>
      <c r="AG1255" s="9"/>
    </row>
    <row r="1256" spans="24:33" x14ac:dyDescent="0.3">
      <c r="X1256" s="248" t="s">
        <v>409</v>
      </c>
      <c r="Y1256" s="249" t="s">
        <v>902</v>
      </c>
      <c r="Z1256" s="250" t="s">
        <v>894</v>
      </c>
      <c r="AG1256" s="9"/>
    </row>
    <row r="1257" spans="24:33" x14ac:dyDescent="0.3">
      <c r="X1257" s="248" t="s">
        <v>1628</v>
      </c>
      <c r="Y1257" s="249" t="s">
        <v>902</v>
      </c>
      <c r="Z1257" s="250" t="s">
        <v>894</v>
      </c>
      <c r="AG1257" s="9"/>
    </row>
    <row r="1258" spans="24:33" x14ac:dyDescent="0.3">
      <c r="X1258" s="248" t="s">
        <v>1629</v>
      </c>
      <c r="Y1258" s="249" t="s">
        <v>902</v>
      </c>
      <c r="Z1258" s="250" t="s">
        <v>894</v>
      </c>
      <c r="AG1258" s="9"/>
    </row>
    <row r="1259" spans="24:33" x14ac:dyDescent="0.3">
      <c r="X1259" s="248" t="s">
        <v>1630</v>
      </c>
      <c r="Y1259" s="249" t="s">
        <v>903</v>
      </c>
      <c r="Z1259" s="250" t="s">
        <v>894</v>
      </c>
      <c r="AG1259" s="9"/>
    </row>
    <row r="1260" spans="24:33" x14ac:dyDescent="0.3">
      <c r="X1260" s="248" t="s">
        <v>1768</v>
      </c>
      <c r="Y1260" s="249" t="s">
        <v>904</v>
      </c>
      <c r="Z1260" s="250" t="s">
        <v>894</v>
      </c>
      <c r="AG1260" s="9"/>
    </row>
    <row r="1261" spans="24:33" x14ac:dyDescent="0.3">
      <c r="X1261" s="248" t="s">
        <v>1769</v>
      </c>
      <c r="Y1261" s="249" t="s">
        <v>904</v>
      </c>
      <c r="Z1261" s="250" t="s">
        <v>894</v>
      </c>
      <c r="AG1261" s="9"/>
    </row>
    <row r="1262" spans="24:33" x14ac:dyDescent="0.3">
      <c r="X1262" s="248" t="s">
        <v>401</v>
      </c>
      <c r="Y1262" s="253" t="s">
        <v>823</v>
      </c>
      <c r="Z1262" s="250" t="s">
        <v>898</v>
      </c>
      <c r="AG1262" s="9"/>
    </row>
    <row r="1263" spans="24:33" x14ac:dyDescent="0.3">
      <c r="X1263" s="248" t="s">
        <v>465</v>
      </c>
      <c r="Y1263" s="253" t="s">
        <v>823</v>
      </c>
      <c r="Z1263" s="250" t="s">
        <v>898</v>
      </c>
      <c r="AG1263" s="9"/>
    </row>
    <row r="1264" spans="24:33" x14ac:dyDescent="0.3">
      <c r="X1264" s="248" t="s">
        <v>466</v>
      </c>
      <c r="Y1264" s="253" t="s">
        <v>823</v>
      </c>
      <c r="Z1264" s="250" t="s">
        <v>898</v>
      </c>
      <c r="AG1264" s="9"/>
    </row>
    <row r="1265" spans="24:33" x14ac:dyDescent="0.3">
      <c r="X1265" s="248" t="s">
        <v>468</v>
      </c>
      <c r="Y1265" s="253" t="s">
        <v>823</v>
      </c>
      <c r="Z1265" s="250" t="s">
        <v>898</v>
      </c>
      <c r="AG1265" s="9"/>
    </row>
    <row r="1266" spans="24:33" x14ac:dyDescent="0.3">
      <c r="X1266" s="248" t="s">
        <v>469</v>
      </c>
      <c r="Y1266" s="253" t="s">
        <v>823</v>
      </c>
      <c r="Z1266" s="250" t="s">
        <v>898</v>
      </c>
      <c r="AG1266" s="9"/>
    </row>
    <row r="1267" spans="24:33" x14ac:dyDescent="0.3">
      <c r="X1267" s="248" t="s">
        <v>470</v>
      </c>
      <c r="Y1267" s="253" t="s">
        <v>823</v>
      </c>
      <c r="Z1267" s="250" t="s">
        <v>898</v>
      </c>
      <c r="AG1267" s="9"/>
    </row>
    <row r="1268" spans="24:33" x14ac:dyDescent="0.3">
      <c r="X1268" s="248" t="s">
        <v>616</v>
      </c>
      <c r="Y1268" s="253" t="s">
        <v>823</v>
      </c>
      <c r="Z1268" s="250" t="s">
        <v>898</v>
      </c>
      <c r="AG1268" s="9"/>
    </row>
    <row r="1269" spans="24:33" x14ac:dyDescent="0.3">
      <c r="X1269" s="248" t="s">
        <v>471</v>
      </c>
      <c r="Y1269" s="253" t="s">
        <v>823</v>
      </c>
      <c r="Z1269" s="250" t="s">
        <v>898</v>
      </c>
      <c r="AG1269" s="9"/>
    </row>
    <row r="1270" spans="24:33" x14ac:dyDescent="0.3">
      <c r="X1270" s="248" t="s">
        <v>479</v>
      </c>
      <c r="Y1270" s="253" t="s">
        <v>823</v>
      </c>
      <c r="Z1270" s="250" t="s">
        <v>898</v>
      </c>
      <c r="AG1270" s="9"/>
    </row>
    <row r="1271" spans="24:33" x14ac:dyDescent="0.3">
      <c r="X1271" s="248" t="s">
        <v>556</v>
      </c>
      <c r="Y1271" s="253" t="s">
        <v>823</v>
      </c>
      <c r="Z1271" s="250" t="s">
        <v>898</v>
      </c>
      <c r="AG1271" s="9"/>
    </row>
    <row r="1272" spans="24:33" x14ac:dyDescent="0.3">
      <c r="X1272" s="248" t="s">
        <v>403</v>
      </c>
      <c r="Y1272" s="253" t="s">
        <v>823</v>
      </c>
      <c r="Z1272" s="250" t="s">
        <v>898</v>
      </c>
      <c r="AG1272" s="9"/>
    </row>
    <row r="1273" spans="24:33" x14ac:dyDescent="0.3">
      <c r="X1273" s="248" t="s">
        <v>472</v>
      </c>
      <c r="Y1273" s="253" t="s">
        <v>823</v>
      </c>
      <c r="Z1273" s="250" t="s">
        <v>898</v>
      </c>
      <c r="AG1273" s="9"/>
    </row>
    <row r="1274" spans="24:33" x14ac:dyDescent="0.3">
      <c r="X1274" s="248" t="s">
        <v>617</v>
      </c>
      <c r="Y1274" s="253" t="s">
        <v>823</v>
      </c>
      <c r="Z1274" s="250" t="s">
        <v>898</v>
      </c>
      <c r="AG1274" s="9"/>
    </row>
    <row r="1275" spans="24:33" x14ac:dyDescent="0.3">
      <c r="X1275" s="248" t="s">
        <v>473</v>
      </c>
      <c r="Y1275" s="253" t="s">
        <v>823</v>
      </c>
      <c r="Z1275" s="250" t="s">
        <v>898</v>
      </c>
      <c r="AG1275" s="9"/>
    </row>
    <row r="1276" spans="24:33" x14ac:dyDescent="0.3">
      <c r="X1276" s="248" t="s">
        <v>681</v>
      </c>
      <c r="Y1276" s="253" t="s">
        <v>823</v>
      </c>
      <c r="Z1276" s="250" t="s">
        <v>898</v>
      </c>
      <c r="AG1276" s="9"/>
    </row>
    <row r="1277" spans="24:33" x14ac:dyDescent="0.3">
      <c r="X1277" s="248" t="s">
        <v>482</v>
      </c>
      <c r="Y1277" s="253" t="s">
        <v>823</v>
      </c>
      <c r="Z1277" s="250" t="s">
        <v>898</v>
      </c>
      <c r="AG1277" s="9"/>
    </row>
    <row r="1278" spans="24:33" x14ac:dyDescent="0.3">
      <c r="X1278" s="248" t="s">
        <v>474</v>
      </c>
      <c r="Y1278" s="253" t="s">
        <v>823</v>
      </c>
      <c r="Z1278" s="250" t="s">
        <v>898</v>
      </c>
      <c r="AG1278" s="9"/>
    </row>
    <row r="1279" spans="24:33" x14ac:dyDescent="0.3">
      <c r="X1279" s="248" t="s">
        <v>618</v>
      </c>
      <c r="Y1279" s="253" t="s">
        <v>905</v>
      </c>
      <c r="Z1279" s="250" t="s">
        <v>906</v>
      </c>
      <c r="AG1279" s="9"/>
    </row>
    <row r="1280" spans="24:33" x14ac:dyDescent="0.3">
      <c r="X1280" s="248" t="s">
        <v>475</v>
      </c>
      <c r="Y1280" s="253" t="s">
        <v>905</v>
      </c>
      <c r="Z1280" s="250" t="s">
        <v>906</v>
      </c>
      <c r="AG1280" s="9"/>
    </row>
    <row r="1281" spans="24:33" x14ac:dyDescent="0.3">
      <c r="X1281" s="248" t="s">
        <v>1304</v>
      </c>
      <c r="Y1281" s="253" t="s">
        <v>905</v>
      </c>
      <c r="Z1281" s="250" t="s">
        <v>906</v>
      </c>
      <c r="AG1281" s="9"/>
    </row>
    <row r="1282" spans="24:33" x14ac:dyDescent="0.3">
      <c r="X1282" s="248" t="s">
        <v>484</v>
      </c>
      <c r="Y1282" s="253" t="s">
        <v>823</v>
      </c>
      <c r="Z1282" s="250" t="s">
        <v>898</v>
      </c>
      <c r="AG1282" s="9"/>
    </row>
    <row r="1283" spans="24:33" x14ac:dyDescent="0.3">
      <c r="X1283" s="248" t="s">
        <v>1313</v>
      </c>
      <c r="Y1283" s="253" t="s">
        <v>905</v>
      </c>
      <c r="Z1283" s="250" t="s">
        <v>906</v>
      </c>
      <c r="AG1283" s="9"/>
    </row>
    <row r="1284" spans="24:33" x14ac:dyDescent="0.3">
      <c r="X1284" s="248" t="s">
        <v>1391</v>
      </c>
      <c r="Y1284" s="253" t="s">
        <v>821</v>
      </c>
      <c r="Z1284" s="250" t="s">
        <v>906</v>
      </c>
      <c r="AG1284" s="9"/>
    </row>
    <row r="1285" spans="24:33" x14ac:dyDescent="0.3">
      <c r="X1285" s="248" t="s">
        <v>2121</v>
      </c>
      <c r="Y1285" s="253" t="s">
        <v>905</v>
      </c>
      <c r="Z1285" s="250" t="s">
        <v>906</v>
      </c>
      <c r="AG1285" s="9"/>
    </row>
    <row r="1286" spans="24:33" x14ac:dyDescent="0.3">
      <c r="X1286" s="248" t="s">
        <v>476</v>
      </c>
      <c r="Y1286" s="253" t="s">
        <v>821</v>
      </c>
      <c r="Z1286" s="250" t="s">
        <v>906</v>
      </c>
      <c r="AG1286" s="9"/>
    </row>
    <row r="1287" spans="24:33" x14ac:dyDescent="0.3">
      <c r="X1287" s="248" t="s">
        <v>2122</v>
      </c>
      <c r="Y1287" s="253" t="s">
        <v>905</v>
      </c>
      <c r="Z1287" s="250" t="s">
        <v>906</v>
      </c>
      <c r="AG1287" s="9"/>
    </row>
    <row r="1288" spans="24:33" x14ac:dyDescent="0.3">
      <c r="X1288" s="248" t="s">
        <v>402</v>
      </c>
      <c r="Y1288" s="253" t="s">
        <v>905</v>
      </c>
      <c r="Z1288" s="250" t="s">
        <v>906</v>
      </c>
      <c r="AG1288" s="9"/>
    </row>
    <row r="1289" spans="24:33" x14ac:dyDescent="0.3">
      <c r="X1289" s="248" t="s">
        <v>477</v>
      </c>
      <c r="Y1289" s="253" t="s">
        <v>905</v>
      </c>
      <c r="Z1289" s="250" t="s">
        <v>906</v>
      </c>
      <c r="AG1289" s="9"/>
    </row>
    <row r="1290" spans="24:33" x14ac:dyDescent="0.3">
      <c r="X1290" s="248" t="s">
        <v>485</v>
      </c>
      <c r="Y1290" s="253" t="s">
        <v>823</v>
      </c>
      <c r="Z1290" s="250" t="s">
        <v>898</v>
      </c>
      <c r="AG1290" s="9"/>
    </row>
    <row r="1291" spans="24:33" x14ac:dyDescent="0.3">
      <c r="X1291" s="248" t="s">
        <v>619</v>
      </c>
      <c r="Y1291" s="253" t="s">
        <v>905</v>
      </c>
      <c r="Z1291" s="250" t="s">
        <v>906</v>
      </c>
      <c r="AG1291" s="9"/>
    </row>
    <row r="1292" spans="24:33" x14ac:dyDescent="0.3">
      <c r="X1292" s="248" t="s">
        <v>620</v>
      </c>
      <c r="Y1292" s="253" t="s">
        <v>823</v>
      </c>
      <c r="Z1292" s="250" t="s">
        <v>898</v>
      </c>
      <c r="AG1292" s="9"/>
    </row>
    <row r="1293" spans="24:33" x14ac:dyDescent="0.3">
      <c r="X1293" s="248" t="s">
        <v>1210</v>
      </c>
      <c r="Y1293" s="253" t="s">
        <v>823</v>
      </c>
      <c r="Z1293" s="250" t="s">
        <v>898</v>
      </c>
      <c r="AG1293" s="9"/>
    </row>
    <row r="1294" spans="24:33" x14ac:dyDescent="0.3">
      <c r="X1294" s="248" t="s">
        <v>478</v>
      </c>
      <c r="Y1294" s="253" t="s">
        <v>823</v>
      </c>
      <c r="Z1294" s="250" t="s">
        <v>898</v>
      </c>
      <c r="AG1294" s="9"/>
    </row>
    <row r="1295" spans="24:33" x14ac:dyDescent="0.3">
      <c r="X1295" s="248" t="s">
        <v>518</v>
      </c>
      <c r="Y1295" s="253" t="s">
        <v>823</v>
      </c>
      <c r="Z1295" s="250" t="s">
        <v>898</v>
      </c>
      <c r="AG1295" s="9"/>
    </row>
    <row r="1296" spans="24:33" x14ac:dyDescent="0.3">
      <c r="X1296" s="248" t="s">
        <v>1309</v>
      </c>
      <c r="Y1296" s="253" t="s">
        <v>905</v>
      </c>
      <c r="Z1296" s="250" t="s">
        <v>906</v>
      </c>
      <c r="AG1296" s="9"/>
    </row>
    <row r="1297" spans="24:33" x14ac:dyDescent="0.3">
      <c r="X1297" s="248" t="s">
        <v>1309</v>
      </c>
      <c r="Y1297" s="253" t="s">
        <v>905</v>
      </c>
      <c r="Z1297" s="250" t="s">
        <v>906</v>
      </c>
      <c r="AG1297" s="9"/>
    </row>
    <row r="1298" spans="24:33" x14ac:dyDescent="0.3">
      <c r="X1298" s="248" t="s">
        <v>1314</v>
      </c>
      <c r="Y1298" s="253" t="s">
        <v>905</v>
      </c>
      <c r="Z1298" s="250" t="s">
        <v>906</v>
      </c>
      <c r="AG1298" s="9"/>
    </row>
    <row r="1299" spans="24:33" x14ac:dyDescent="0.3">
      <c r="X1299" s="248" t="s">
        <v>480</v>
      </c>
      <c r="Y1299" s="253" t="s">
        <v>821</v>
      </c>
      <c r="Z1299" s="250" t="s">
        <v>906</v>
      </c>
      <c r="AG1299" s="9"/>
    </row>
    <row r="1300" spans="24:33" x14ac:dyDescent="0.3">
      <c r="X1300" s="248" t="s">
        <v>486</v>
      </c>
      <c r="Y1300" s="253" t="s">
        <v>823</v>
      </c>
      <c r="Z1300" s="250" t="s">
        <v>898</v>
      </c>
      <c r="AG1300" s="9"/>
    </row>
    <row r="1301" spans="24:33" x14ac:dyDescent="0.3">
      <c r="X1301" s="248" t="s">
        <v>1305</v>
      </c>
      <c r="Y1301" s="253" t="s">
        <v>905</v>
      </c>
      <c r="Z1301" s="250" t="s">
        <v>906</v>
      </c>
      <c r="AG1301" s="9"/>
    </row>
    <row r="1302" spans="24:33" x14ac:dyDescent="0.3">
      <c r="X1302" s="248" t="s">
        <v>1315</v>
      </c>
      <c r="Y1302" s="253" t="s">
        <v>905</v>
      </c>
      <c r="Z1302" s="250" t="s">
        <v>906</v>
      </c>
      <c r="AG1302" s="9"/>
    </row>
    <row r="1303" spans="24:33" x14ac:dyDescent="0.3">
      <c r="X1303" s="248" t="s">
        <v>1310</v>
      </c>
      <c r="Y1303" s="253" t="s">
        <v>905</v>
      </c>
      <c r="Z1303" s="250" t="s">
        <v>906</v>
      </c>
      <c r="AG1303" s="9"/>
    </row>
    <row r="1304" spans="24:33" x14ac:dyDescent="0.3">
      <c r="X1304" s="248" t="s">
        <v>520</v>
      </c>
      <c r="Y1304" s="253" t="s">
        <v>823</v>
      </c>
      <c r="Z1304" s="250" t="s">
        <v>898</v>
      </c>
      <c r="AG1304" s="9"/>
    </row>
    <row r="1305" spans="24:33" x14ac:dyDescent="0.3">
      <c r="X1305" s="251" t="s">
        <v>481</v>
      </c>
      <c r="Y1305" s="253" t="s">
        <v>823</v>
      </c>
      <c r="Z1305" s="250" t="s">
        <v>898</v>
      </c>
      <c r="AG1305" s="9"/>
    </row>
    <row r="1306" spans="24:33" x14ac:dyDescent="0.3">
      <c r="X1306" s="251" t="s">
        <v>1316</v>
      </c>
      <c r="Y1306" s="253" t="s">
        <v>905</v>
      </c>
      <c r="Z1306" s="250" t="s">
        <v>906</v>
      </c>
      <c r="AG1306" s="9"/>
    </row>
    <row r="1307" spans="24:33" x14ac:dyDescent="0.3">
      <c r="X1307" s="251" t="s">
        <v>519</v>
      </c>
      <c r="Y1307" s="253" t="s">
        <v>823</v>
      </c>
      <c r="Z1307" s="250" t="s">
        <v>898</v>
      </c>
      <c r="AG1307" s="9"/>
    </row>
    <row r="1308" spans="24:33" x14ac:dyDescent="0.3">
      <c r="X1308" s="251" t="s">
        <v>1106</v>
      </c>
      <c r="Y1308" s="253" t="s">
        <v>905</v>
      </c>
      <c r="Z1308" s="250" t="s">
        <v>906</v>
      </c>
      <c r="AG1308" s="9"/>
    </row>
    <row r="1309" spans="24:33" x14ac:dyDescent="0.3">
      <c r="X1309" s="251" t="s">
        <v>1306</v>
      </c>
      <c r="Y1309" s="253" t="s">
        <v>905</v>
      </c>
      <c r="Z1309" s="250" t="s">
        <v>906</v>
      </c>
      <c r="AG1309" s="9"/>
    </row>
    <row r="1310" spans="24:33" x14ac:dyDescent="0.3">
      <c r="X1310" s="251" t="s">
        <v>1112</v>
      </c>
      <c r="Y1310" s="253" t="s">
        <v>905</v>
      </c>
      <c r="Z1310" s="250" t="s">
        <v>906</v>
      </c>
      <c r="AG1310" s="9"/>
    </row>
    <row r="1311" spans="24:33" x14ac:dyDescent="0.3">
      <c r="X1311" s="251" t="s">
        <v>1311</v>
      </c>
      <c r="Y1311" s="253" t="s">
        <v>905</v>
      </c>
      <c r="Z1311" s="250" t="s">
        <v>906</v>
      </c>
      <c r="AG1311" s="9"/>
    </row>
    <row r="1312" spans="24:33" x14ac:dyDescent="0.3">
      <c r="X1312" s="251" t="s">
        <v>487</v>
      </c>
      <c r="Y1312" s="253" t="s">
        <v>823</v>
      </c>
      <c r="Z1312" s="250" t="s">
        <v>898</v>
      </c>
      <c r="AG1312" s="9"/>
    </row>
    <row r="1313" spans="24:33" x14ac:dyDescent="0.3">
      <c r="X1313" s="251" t="s">
        <v>1312</v>
      </c>
      <c r="Y1313" s="253" t="s">
        <v>905</v>
      </c>
      <c r="Z1313" s="250" t="s">
        <v>906</v>
      </c>
      <c r="AG1313" s="9"/>
    </row>
    <row r="1314" spans="24:33" x14ac:dyDescent="0.3">
      <c r="X1314" s="251" t="s">
        <v>1317</v>
      </c>
      <c r="Y1314" s="253" t="s">
        <v>905</v>
      </c>
      <c r="Z1314" s="250" t="s">
        <v>906</v>
      </c>
      <c r="AG1314" s="9"/>
    </row>
    <row r="1315" spans="24:33" x14ac:dyDescent="0.3">
      <c r="X1315" s="251" t="s">
        <v>2120</v>
      </c>
      <c r="Y1315" s="253" t="s">
        <v>905</v>
      </c>
      <c r="Z1315" s="250" t="s">
        <v>906</v>
      </c>
      <c r="AG1315" s="9"/>
    </row>
    <row r="1316" spans="24:33" x14ac:dyDescent="0.3">
      <c r="X1316" s="251" t="s">
        <v>2123</v>
      </c>
      <c r="Y1316" s="253" t="s">
        <v>905</v>
      </c>
      <c r="Z1316" s="250" t="s">
        <v>906</v>
      </c>
      <c r="AG1316" s="9"/>
    </row>
    <row r="1317" spans="24:33" x14ac:dyDescent="0.3">
      <c r="X1317" s="251" t="s">
        <v>2124</v>
      </c>
      <c r="Y1317" s="253" t="s">
        <v>905</v>
      </c>
      <c r="Z1317" s="250" t="s">
        <v>906</v>
      </c>
      <c r="AG1317" s="9"/>
    </row>
    <row r="1318" spans="24:33" x14ac:dyDescent="0.3">
      <c r="X1318" s="253" t="s">
        <v>521</v>
      </c>
      <c r="Y1318" s="253" t="s">
        <v>823</v>
      </c>
      <c r="Z1318" s="250" t="s">
        <v>898</v>
      </c>
      <c r="AG1318" s="9"/>
    </row>
    <row r="1319" spans="24:33" x14ac:dyDescent="0.3">
      <c r="X1319" s="253" t="s">
        <v>642</v>
      </c>
      <c r="Y1319" s="253" t="s">
        <v>823</v>
      </c>
      <c r="Z1319" s="250" t="s">
        <v>898</v>
      </c>
      <c r="AG1319" s="9"/>
    </row>
    <row r="1320" spans="24:33" x14ac:dyDescent="0.3">
      <c r="X1320" s="253" t="s">
        <v>681</v>
      </c>
      <c r="Y1320" s="253" t="s">
        <v>823</v>
      </c>
      <c r="Z1320" s="250" t="s">
        <v>898</v>
      </c>
      <c r="AG1320" s="9"/>
    </row>
    <row r="1321" spans="24:33" x14ac:dyDescent="0.3">
      <c r="X1321" s="253" t="s">
        <v>1193</v>
      </c>
      <c r="Y1321" s="253" t="s">
        <v>823</v>
      </c>
      <c r="Z1321" s="250" t="s">
        <v>898</v>
      </c>
      <c r="AG1321" s="9"/>
    </row>
    <row r="1322" spans="24:33" x14ac:dyDescent="0.3">
      <c r="X1322" s="253" t="s">
        <v>620</v>
      </c>
      <c r="Y1322" s="253" t="s">
        <v>823</v>
      </c>
      <c r="Z1322" s="250" t="s">
        <v>898</v>
      </c>
      <c r="AG1322" s="9"/>
    </row>
    <row r="1323" spans="24:33" x14ac:dyDescent="0.3">
      <c r="X1323" s="253" t="s">
        <v>719</v>
      </c>
      <c r="Y1323" s="253" t="s">
        <v>823</v>
      </c>
      <c r="Z1323" s="250" t="s">
        <v>898</v>
      </c>
      <c r="AG1323" s="9"/>
    </row>
    <row r="1324" spans="24:33" x14ac:dyDescent="0.3">
      <c r="X1324" s="253" t="s">
        <v>1395</v>
      </c>
      <c r="Y1324" s="253" t="s">
        <v>910</v>
      </c>
      <c r="Z1324" s="250" t="s">
        <v>894</v>
      </c>
      <c r="AG1324" s="9"/>
    </row>
    <row r="1325" spans="24:33" x14ac:dyDescent="0.3">
      <c r="X1325" s="253" t="s">
        <v>1307</v>
      </c>
      <c r="Y1325" s="253" t="s">
        <v>905</v>
      </c>
      <c r="Z1325" s="250" t="s">
        <v>906</v>
      </c>
      <c r="AG1325" s="9"/>
    </row>
    <row r="1326" spans="24:33" x14ac:dyDescent="0.3">
      <c r="X1326" s="253" t="s">
        <v>1318</v>
      </c>
      <c r="Y1326" s="253" t="s">
        <v>905</v>
      </c>
      <c r="Z1326" s="250" t="s">
        <v>906</v>
      </c>
      <c r="AG1326" s="9"/>
    </row>
    <row r="1327" spans="24:33" x14ac:dyDescent="0.3">
      <c r="X1327" s="253" t="s">
        <v>1107</v>
      </c>
      <c r="Y1327" s="253" t="s">
        <v>905</v>
      </c>
      <c r="Z1327" s="250" t="s">
        <v>906</v>
      </c>
      <c r="AG1327" s="9"/>
    </row>
    <row r="1328" spans="24:33" x14ac:dyDescent="0.3">
      <c r="X1328" s="253" t="s">
        <v>1113</v>
      </c>
      <c r="Y1328" s="253" t="s">
        <v>905</v>
      </c>
      <c r="Z1328" s="250" t="s">
        <v>906</v>
      </c>
      <c r="AG1328" s="9"/>
    </row>
    <row r="1329" spans="24:33" x14ac:dyDescent="0.3">
      <c r="X1329" s="253" t="s">
        <v>1108</v>
      </c>
      <c r="Y1329" s="253" t="s">
        <v>905</v>
      </c>
      <c r="Z1329" s="250" t="s">
        <v>906</v>
      </c>
      <c r="AG1329" s="9"/>
    </row>
    <row r="1330" spans="24:33" x14ac:dyDescent="0.3">
      <c r="X1330" s="253" t="s">
        <v>643</v>
      </c>
      <c r="Y1330" s="253" t="s">
        <v>905</v>
      </c>
      <c r="Z1330" s="250" t="s">
        <v>906</v>
      </c>
      <c r="AG1330" s="9"/>
    </row>
    <row r="1331" spans="24:33" x14ac:dyDescent="0.3">
      <c r="X1331" s="253" t="s">
        <v>487</v>
      </c>
      <c r="Y1331" s="253" t="s">
        <v>823</v>
      </c>
      <c r="Z1331" s="250" t="s">
        <v>898</v>
      </c>
      <c r="AG1331" s="9"/>
    </row>
    <row r="1332" spans="24:33" x14ac:dyDescent="0.3">
      <c r="X1332" s="253" t="s">
        <v>560</v>
      </c>
      <c r="Y1332" s="253" t="s">
        <v>823</v>
      </c>
      <c r="Z1332" s="250" t="s">
        <v>898</v>
      </c>
      <c r="AG1332" s="9"/>
    </row>
    <row r="1333" spans="24:33" x14ac:dyDescent="0.3">
      <c r="X1333" s="253" t="s">
        <v>682</v>
      </c>
      <c r="Y1333" s="253" t="s">
        <v>823</v>
      </c>
      <c r="Z1333" s="250" t="s">
        <v>898</v>
      </c>
      <c r="AG1333" s="9"/>
    </row>
    <row r="1334" spans="24:33" x14ac:dyDescent="0.3">
      <c r="X1334" s="253" t="s">
        <v>1193</v>
      </c>
      <c r="Y1334" s="253" t="s">
        <v>823</v>
      </c>
      <c r="Z1334" s="250" t="s">
        <v>898</v>
      </c>
      <c r="AG1334" s="9"/>
    </row>
    <row r="1335" spans="24:33" x14ac:dyDescent="0.3">
      <c r="X1335" s="253" t="s">
        <v>1319</v>
      </c>
      <c r="Y1335" s="253" t="s">
        <v>905</v>
      </c>
      <c r="Z1335" s="250" t="s">
        <v>906</v>
      </c>
      <c r="AG1335" s="9"/>
    </row>
    <row r="1336" spans="24:33" x14ac:dyDescent="0.3">
      <c r="X1336" s="253" t="s">
        <v>1110</v>
      </c>
      <c r="Y1336" s="253" t="s">
        <v>905</v>
      </c>
      <c r="Z1336" s="250" t="s">
        <v>906</v>
      </c>
      <c r="AG1336" s="9"/>
    </row>
    <row r="1337" spans="24:33" x14ac:dyDescent="0.3">
      <c r="X1337" s="253" t="s">
        <v>1114</v>
      </c>
      <c r="Y1337" s="253" t="s">
        <v>905</v>
      </c>
      <c r="Z1337" s="250" t="s">
        <v>906</v>
      </c>
      <c r="AG1337" s="9"/>
    </row>
    <row r="1338" spans="24:33" x14ac:dyDescent="0.3">
      <c r="X1338" s="253" t="s">
        <v>720</v>
      </c>
      <c r="Y1338" s="253" t="s">
        <v>823</v>
      </c>
      <c r="Z1338" s="250" t="s">
        <v>898</v>
      </c>
      <c r="AG1338" s="9"/>
    </row>
    <row r="1339" spans="24:33" x14ac:dyDescent="0.3">
      <c r="X1339" s="253" t="s">
        <v>2125</v>
      </c>
      <c r="Y1339" s="253" t="s">
        <v>905</v>
      </c>
      <c r="Z1339" s="250" t="s">
        <v>906</v>
      </c>
      <c r="AG1339" s="9"/>
    </row>
    <row r="1340" spans="24:33" x14ac:dyDescent="0.3">
      <c r="X1340" s="253" t="s">
        <v>1115</v>
      </c>
      <c r="Y1340" s="253" t="s">
        <v>905</v>
      </c>
      <c r="Z1340" s="250" t="s">
        <v>906</v>
      </c>
      <c r="AG1340" s="9"/>
    </row>
    <row r="1341" spans="24:33" x14ac:dyDescent="0.3">
      <c r="X1341" s="253" t="s">
        <v>2126</v>
      </c>
      <c r="Y1341" s="253" t="s">
        <v>905</v>
      </c>
      <c r="Z1341" s="250" t="s">
        <v>906</v>
      </c>
      <c r="AG1341" s="9"/>
    </row>
    <row r="1342" spans="24:33" x14ac:dyDescent="0.3">
      <c r="X1342" s="253" t="s">
        <v>621</v>
      </c>
      <c r="Y1342" s="253" t="s">
        <v>905</v>
      </c>
      <c r="Z1342" s="250" t="s">
        <v>906</v>
      </c>
      <c r="AG1342" s="9"/>
    </row>
    <row r="1343" spans="24:33" x14ac:dyDescent="0.3">
      <c r="X1343" s="253" t="s">
        <v>2127</v>
      </c>
      <c r="Y1343" s="249" t="s">
        <v>901</v>
      </c>
      <c r="Z1343" s="250" t="s">
        <v>894</v>
      </c>
      <c r="AG1343" s="9"/>
    </row>
    <row r="1344" spans="24:33" x14ac:dyDescent="0.3">
      <c r="X1344" s="253" t="s">
        <v>2128</v>
      </c>
      <c r="Y1344" s="249" t="s">
        <v>901</v>
      </c>
      <c r="Z1344" s="250" t="s">
        <v>894</v>
      </c>
      <c r="AG1344" s="9"/>
    </row>
    <row r="1345" spans="24:33" x14ac:dyDescent="0.3">
      <c r="X1345" s="253" t="s">
        <v>622</v>
      </c>
      <c r="Y1345" s="249" t="s">
        <v>901</v>
      </c>
      <c r="Z1345" s="250" t="s">
        <v>894</v>
      </c>
      <c r="AG1345" s="9"/>
    </row>
    <row r="1346" spans="24:33" x14ac:dyDescent="0.3">
      <c r="X1346" s="253" t="s">
        <v>1392</v>
      </c>
      <c r="Y1346" s="249" t="s">
        <v>821</v>
      </c>
      <c r="Z1346" s="250" t="s">
        <v>906</v>
      </c>
      <c r="AG1346" s="9"/>
    </row>
    <row r="1347" spans="24:33" x14ac:dyDescent="0.3">
      <c r="X1347" s="253" t="s">
        <v>489</v>
      </c>
      <c r="Y1347" s="249" t="s">
        <v>821</v>
      </c>
      <c r="Z1347" s="250" t="s">
        <v>906</v>
      </c>
      <c r="AG1347" s="9"/>
    </row>
    <row r="1348" spans="24:33" x14ac:dyDescent="0.3">
      <c r="X1348" s="253" t="s">
        <v>1320</v>
      </c>
      <c r="Y1348" s="253" t="s">
        <v>905</v>
      </c>
      <c r="Z1348" s="250" t="s">
        <v>906</v>
      </c>
      <c r="AG1348" s="9"/>
    </row>
    <row r="1349" spans="24:33" x14ac:dyDescent="0.3">
      <c r="X1349" s="253" t="s">
        <v>2129</v>
      </c>
      <c r="Y1349" s="253" t="s">
        <v>905</v>
      </c>
      <c r="Z1349" s="250" t="s">
        <v>906</v>
      </c>
      <c r="AG1349" s="9"/>
    </row>
    <row r="1350" spans="24:33" x14ac:dyDescent="0.3">
      <c r="X1350" s="253" t="s">
        <v>2130</v>
      </c>
      <c r="Y1350" s="253" t="s">
        <v>905</v>
      </c>
      <c r="Z1350" s="250" t="s">
        <v>906</v>
      </c>
      <c r="AG1350" s="9"/>
    </row>
    <row r="1351" spans="24:33" x14ac:dyDescent="0.3">
      <c r="X1351" s="253" t="s">
        <v>490</v>
      </c>
      <c r="Y1351" s="249" t="s">
        <v>821</v>
      </c>
      <c r="Z1351" s="250" t="s">
        <v>906</v>
      </c>
      <c r="AG1351" s="9"/>
    </row>
    <row r="1352" spans="24:33" x14ac:dyDescent="0.3">
      <c r="X1352" s="253" t="s">
        <v>2131</v>
      </c>
      <c r="Y1352" s="249" t="s">
        <v>821</v>
      </c>
      <c r="Z1352" s="250" t="s">
        <v>906</v>
      </c>
      <c r="AG1352" s="9"/>
    </row>
    <row r="1353" spans="24:33" x14ac:dyDescent="0.3">
      <c r="X1353" s="253" t="s">
        <v>1321</v>
      </c>
      <c r="Y1353" s="249" t="s">
        <v>905</v>
      </c>
      <c r="Z1353" s="250" t="s">
        <v>906</v>
      </c>
      <c r="AG1353" s="9"/>
    </row>
    <row r="1354" spans="24:33" x14ac:dyDescent="0.3">
      <c r="X1354" s="253" t="s">
        <v>2132</v>
      </c>
      <c r="Y1354" s="249" t="s">
        <v>905</v>
      </c>
      <c r="Z1354" s="250" t="s">
        <v>906</v>
      </c>
      <c r="AG1354" s="9"/>
    </row>
    <row r="1355" spans="24:33" x14ac:dyDescent="0.3">
      <c r="X1355" s="253" t="s">
        <v>492</v>
      </c>
      <c r="Y1355" s="249" t="s">
        <v>823</v>
      </c>
      <c r="Z1355" s="250" t="s">
        <v>898</v>
      </c>
      <c r="AG1355" s="9"/>
    </row>
    <row r="1356" spans="24:33" x14ac:dyDescent="0.3">
      <c r="X1356" s="253" t="s">
        <v>1322</v>
      </c>
      <c r="Y1356" s="249" t="s">
        <v>905</v>
      </c>
      <c r="Z1356" s="250" t="s">
        <v>906</v>
      </c>
      <c r="AG1356" s="9"/>
    </row>
    <row r="1357" spans="24:33" x14ac:dyDescent="0.3">
      <c r="X1357" s="254" t="s">
        <v>1109</v>
      </c>
      <c r="Y1357" s="249" t="s">
        <v>905</v>
      </c>
      <c r="Z1357" s="250" t="s">
        <v>906</v>
      </c>
      <c r="AG1357" s="9"/>
    </row>
    <row r="1358" spans="24:33" x14ac:dyDescent="0.3">
      <c r="X1358" s="254" t="s">
        <v>1111</v>
      </c>
      <c r="Y1358" s="249" t="s">
        <v>905</v>
      </c>
      <c r="Z1358" s="250" t="s">
        <v>906</v>
      </c>
      <c r="AG1358" s="9"/>
    </row>
    <row r="1359" spans="24:33" x14ac:dyDescent="0.3">
      <c r="X1359" s="254" t="s">
        <v>1116</v>
      </c>
      <c r="Y1359" s="249" t="s">
        <v>905</v>
      </c>
      <c r="Z1359" s="250" t="s">
        <v>906</v>
      </c>
      <c r="AG1359" s="9"/>
    </row>
    <row r="1360" spans="24:33" x14ac:dyDescent="0.3">
      <c r="X1360" s="253" t="s">
        <v>492</v>
      </c>
      <c r="Y1360" s="253" t="s">
        <v>823</v>
      </c>
      <c r="Z1360" s="250" t="s">
        <v>898</v>
      </c>
      <c r="AG1360" s="9"/>
    </row>
    <row r="1361" spans="24:33" x14ac:dyDescent="0.3">
      <c r="X1361" s="253" t="s">
        <v>492</v>
      </c>
      <c r="Y1361" s="253" t="s">
        <v>823</v>
      </c>
      <c r="Z1361" s="250" t="s">
        <v>898</v>
      </c>
      <c r="AG1361" s="9"/>
    </row>
    <row r="1362" spans="24:33" x14ac:dyDescent="0.3">
      <c r="X1362" s="253" t="s">
        <v>2133</v>
      </c>
      <c r="Y1362" s="253" t="s">
        <v>823</v>
      </c>
      <c r="Z1362" s="250" t="s">
        <v>898</v>
      </c>
      <c r="AG1362" s="9"/>
    </row>
    <row r="1363" spans="24:33" x14ac:dyDescent="0.3">
      <c r="X1363" s="253" t="s">
        <v>647</v>
      </c>
      <c r="Y1363" s="253" t="s">
        <v>823</v>
      </c>
      <c r="Z1363" s="250" t="s">
        <v>898</v>
      </c>
      <c r="AG1363" s="9"/>
    </row>
    <row r="1364" spans="24:33" x14ac:dyDescent="0.3">
      <c r="X1364" s="253" t="s">
        <v>2134</v>
      </c>
      <c r="Y1364" s="249" t="s">
        <v>821</v>
      </c>
      <c r="Z1364" s="250" t="s">
        <v>906</v>
      </c>
      <c r="AG1364" s="9"/>
    </row>
    <row r="1365" spans="24:33" x14ac:dyDescent="0.3">
      <c r="X1365" s="253" t="s">
        <v>2135</v>
      </c>
      <c r="Y1365" s="249" t="s">
        <v>821</v>
      </c>
      <c r="Z1365" s="250" t="s">
        <v>906</v>
      </c>
      <c r="AG1365" s="9"/>
    </row>
    <row r="1366" spans="24:33" x14ac:dyDescent="0.3">
      <c r="X1366" s="255" t="s">
        <v>2136</v>
      </c>
      <c r="Y1366" s="249" t="s">
        <v>905</v>
      </c>
      <c r="Z1366" s="250" t="s">
        <v>906</v>
      </c>
      <c r="AG1366" s="9"/>
    </row>
    <row r="1367" spans="24:33" x14ac:dyDescent="0.3">
      <c r="X1367" s="255" t="s">
        <v>1125</v>
      </c>
      <c r="Y1367" s="249" t="s">
        <v>905</v>
      </c>
      <c r="Z1367" s="250" t="s">
        <v>906</v>
      </c>
      <c r="AG1367" s="9"/>
    </row>
    <row r="1368" spans="24:33" x14ac:dyDescent="0.3">
      <c r="X1368" s="255" t="s">
        <v>498</v>
      </c>
      <c r="Y1368" s="253" t="s">
        <v>823</v>
      </c>
      <c r="Z1368" s="250" t="s">
        <v>898</v>
      </c>
      <c r="AG1368" s="9"/>
    </row>
    <row r="1369" spans="24:33" x14ac:dyDescent="0.3">
      <c r="X1369" s="255" t="s">
        <v>527</v>
      </c>
      <c r="Y1369" s="253" t="s">
        <v>823</v>
      </c>
      <c r="Z1369" s="250" t="s">
        <v>898</v>
      </c>
      <c r="AG1369" s="9"/>
    </row>
    <row r="1370" spans="24:33" x14ac:dyDescent="0.3">
      <c r="X1370" s="255" t="s">
        <v>721</v>
      </c>
      <c r="Y1370" s="253" t="s">
        <v>823</v>
      </c>
      <c r="Z1370" s="250" t="s">
        <v>898</v>
      </c>
      <c r="AG1370" s="9"/>
    </row>
    <row r="1371" spans="24:33" x14ac:dyDescent="0.3">
      <c r="X1371" s="255" t="s">
        <v>2137</v>
      </c>
      <c r="Y1371" s="249" t="s">
        <v>821</v>
      </c>
      <c r="Z1371" s="250" t="s">
        <v>906</v>
      </c>
      <c r="AG1371" s="9"/>
    </row>
    <row r="1372" spans="24:33" x14ac:dyDescent="0.3">
      <c r="X1372" s="255" t="s">
        <v>565</v>
      </c>
      <c r="Y1372" s="249" t="s">
        <v>821</v>
      </c>
      <c r="Z1372" s="250" t="s">
        <v>906</v>
      </c>
      <c r="AG1372" s="9"/>
    </row>
    <row r="1373" spans="24:33" x14ac:dyDescent="0.3">
      <c r="X1373" s="255" t="s">
        <v>2138</v>
      </c>
      <c r="Y1373" s="249" t="s">
        <v>905</v>
      </c>
      <c r="Z1373" s="250" t="s">
        <v>906</v>
      </c>
      <c r="AG1373" s="9"/>
    </row>
    <row r="1374" spans="24:33" x14ac:dyDescent="0.3">
      <c r="X1374" s="255" t="s">
        <v>2139</v>
      </c>
      <c r="Y1374" s="249" t="s">
        <v>905</v>
      </c>
      <c r="Z1374" s="250" t="s">
        <v>906</v>
      </c>
      <c r="AG1374" s="9"/>
    </row>
    <row r="1375" spans="24:33" x14ac:dyDescent="0.3">
      <c r="X1375" s="255" t="s">
        <v>623</v>
      </c>
      <c r="Y1375" s="249" t="s">
        <v>905</v>
      </c>
      <c r="Z1375" s="250" t="s">
        <v>906</v>
      </c>
      <c r="AG1375" s="9"/>
    </row>
    <row r="1376" spans="24:33" x14ac:dyDescent="0.3">
      <c r="X1376" s="255" t="s">
        <v>498</v>
      </c>
      <c r="Y1376" s="253" t="s">
        <v>823</v>
      </c>
      <c r="Z1376" s="250" t="s">
        <v>898</v>
      </c>
      <c r="AG1376" s="9"/>
    </row>
    <row r="1377" spans="24:33" x14ac:dyDescent="0.3">
      <c r="X1377" s="255" t="s">
        <v>527</v>
      </c>
      <c r="Y1377" s="253" t="s">
        <v>823</v>
      </c>
      <c r="Z1377" s="250" t="s">
        <v>898</v>
      </c>
      <c r="AG1377" s="9"/>
    </row>
    <row r="1378" spans="24:33" x14ac:dyDescent="0.3">
      <c r="X1378" s="255" t="s">
        <v>683</v>
      </c>
      <c r="Y1378" s="253" t="s">
        <v>823</v>
      </c>
      <c r="Z1378" s="250" t="s">
        <v>898</v>
      </c>
      <c r="AG1378" s="9"/>
    </row>
    <row r="1379" spans="24:33" x14ac:dyDescent="0.3">
      <c r="X1379" s="253" t="s">
        <v>1394</v>
      </c>
      <c r="Y1379" s="249" t="s">
        <v>821</v>
      </c>
      <c r="Z1379" s="250" t="s">
        <v>906</v>
      </c>
      <c r="AG1379" s="9"/>
    </row>
    <row r="1380" spans="24:33" x14ac:dyDescent="0.3">
      <c r="X1380" s="253" t="s">
        <v>1167</v>
      </c>
      <c r="Y1380" s="249" t="s">
        <v>821</v>
      </c>
      <c r="Z1380" s="250" t="s">
        <v>906</v>
      </c>
      <c r="AG1380" s="9"/>
    </row>
    <row r="1381" spans="24:33" x14ac:dyDescent="0.3">
      <c r="X1381" s="253" t="s">
        <v>1169</v>
      </c>
      <c r="Y1381" s="249" t="s">
        <v>821</v>
      </c>
      <c r="Z1381" s="250" t="s">
        <v>906</v>
      </c>
      <c r="AG1381" s="9"/>
    </row>
    <row r="1382" spans="24:33" x14ac:dyDescent="0.3">
      <c r="X1382" s="255" t="s">
        <v>2140</v>
      </c>
      <c r="Y1382" s="249" t="s">
        <v>905</v>
      </c>
      <c r="Z1382" s="250" t="s">
        <v>906</v>
      </c>
      <c r="AG1382" s="9"/>
    </row>
    <row r="1383" spans="24:33" x14ac:dyDescent="0.3">
      <c r="X1383" s="255" t="s">
        <v>1117</v>
      </c>
      <c r="Y1383" s="249" t="s">
        <v>905</v>
      </c>
      <c r="Z1383" s="250" t="s">
        <v>906</v>
      </c>
      <c r="AG1383" s="9"/>
    </row>
    <row r="1384" spans="24:33" x14ac:dyDescent="0.3">
      <c r="X1384" s="255" t="s">
        <v>1126</v>
      </c>
      <c r="Y1384" s="249" t="s">
        <v>905</v>
      </c>
      <c r="Z1384" s="250" t="s">
        <v>906</v>
      </c>
      <c r="AG1384" s="9"/>
    </row>
    <row r="1385" spans="24:33" x14ac:dyDescent="0.3">
      <c r="X1385" s="255" t="s">
        <v>499</v>
      </c>
      <c r="Y1385" s="249" t="s">
        <v>821</v>
      </c>
      <c r="Z1385" s="250" t="s">
        <v>906</v>
      </c>
      <c r="AG1385" s="9"/>
    </row>
    <row r="1386" spans="24:33" x14ac:dyDescent="0.3">
      <c r="X1386" s="255" t="s">
        <v>567</v>
      </c>
      <c r="Y1386" s="249" t="s">
        <v>821</v>
      </c>
      <c r="Z1386" s="250" t="s">
        <v>906</v>
      </c>
      <c r="AG1386" s="9"/>
    </row>
    <row r="1387" spans="24:33" x14ac:dyDescent="0.3">
      <c r="X1387" s="255" t="s">
        <v>624</v>
      </c>
      <c r="Y1387" s="249" t="s">
        <v>821</v>
      </c>
      <c r="Z1387" s="250" t="s">
        <v>906</v>
      </c>
      <c r="AG1387" s="9"/>
    </row>
    <row r="1388" spans="24:33" x14ac:dyDescent="0.3">
      <c r="X1388" s="255" t="s">
        <v>501</v>
      </c>
      <c r="Y1388" s="249" t="s">
        <v>821</v>
      </c>
      <c r="Z1388" s="250" t="s">
        <v>906</v>
      </c>
      <c r="AG1388" s="9"/>
    </row>
    <row r="1389" spans="24:33" x14ac:dyDescent="0.3">
      <c r="X1389" s="255" t="s">
        <v>568</v>
      </c>
      <c r="Y1389" s="249" t="s">
        <v>821</v>
      </c>
      <c r="Z1389" s="250" t="s">
        <v>906</v>
      </c>
      <c r="AG1389" s="9"/>
    </row>
    <row r="1390" spans="24:33" x14ac:dyDescent="0.3">
      <c r="X1390" s="255" t="s">
        <v>625</v>
      </c>
      <c r="Y1390" s="249" t="s">
        <v>821</v>
      </c>
      <c r="Z1390" s="250" t="s">
        <v>906</v>
      </c>
      <c r="AG1390" s="9"/>
    </row>
    <row r="1391" spans="24:33" x14ac:dyDescent="0.3">
      <c r="X1391" s="255" t="s">
        <v>502</v>
      </c>
      <c r="Y1391" s="253" t="s">
        <v>823</v>
      </c>
      <c r="Z1391" s="250" t="s">
        <v>898</v>
      </c>
      <c r="AG1391" s="9"/>
    </row>
    <row r="1392" spans="24:33" x14ac:dyDescent="0.3">
      <c r="X1392" s="255" t="s">
        <v>569</v>
      </c>
      <c r="Y1392" s="253" t="s">
        <v>823</v>
      </c>
      <c r="Z1392" s="250" t="s">
        <v>898</v>
      </c>
      <c r="AG1392" s="9"/>
    </row>
    <row r="1393" spans="24:33" x14ac:dyDescent="0.3">
      <c r="X1393" s="255" t="s">
        <v>721</v>
      </c>
      <c r="Y1393" s="253" t="s">
        <v>823</v>
      </c>
      <c r="Z1393" s="250" t="s">
        <v>898</v>
      </c>
      <c r="AG1393" s="9"/>
    </row>
    <row r="1394" spans="24:33" x14ac:dyDescent="0.3">
      <c r="X1394" s="255" t="s">
        <v>502</v>
      </c>
      <c r="Y1394" s="253" t="s">
        <v>823</v>
      </c>
      <c r="Z1394" s="250" t="s">
        <v>898</v>
      </c>
      <c r="AG1394" s="9"/>
    </row>
    <row r="1395" spans="24:33" x14ac:dyDescent="0.3">
      <c r="X1395" s="255" t="s">
        <v>530</v>
      </c>
      <c r="Y1395" s="253" t="s">
        <v>823</v>
      </c>
      <c r="Z1395" s="250" t="s">
        <v>898</v>
      </c>
      <c r="AG1395" s="9"/>
    </row>
    <row r="1396" spans="24:33" x14ac:dyDescent="0.3">
      <c r="X1396" s="253" t="s">
        <v>683</v>
      </c>
      <c r="Y1396" s="253" t="s">
        <v>823</v>
      </c>
      <c r="Z1396" s="250" t="s">
        <v>898</v>
      </c>
      <c r="AG1396" s="9"/>
    </row>
    <row r="1397" spans="24:33" x14ac:dyDescent="0.3">
      <c r="X1397" s="253" t="s">
        <v>721</v>
      </c>
      <c r="Y1397" s="253" t="s">
        <v>823</v>
      </c>
      <c r="Z1397" s="250" t="s">
        <v>898</v>
      </c>
      <c r="AG1397" s="9"/>
    </row>
    <row r="1398" spans="24:33" x14ac:dyDescent="0.3">
      <c r="X1398" s="256" t="s">
        <v>1323</v>
      </c>
      <c r="Y1398" s="253" t="s">
        <v>905</v>
      </c>
      <c r="Z1398" s="253" t="s">
        <v>906</v>
      </c>
      <c r="AG1398" s="9"/>
    </row>
    <row r="1399" spans="24:33" x14ac:dyDescent="0.3">
      <c r="X1399" s="253" t="s">
        <v>570</v>
      </c>
      <c r="Y1399" s="253" t="s">
        <v>905</v>
      </c>
      <c r="Z1399" s="253" t="s">
        <v>906</v>
      </c>
      <c r="AG1399" s="9"/>
    </row>
    <row r="1400" spans="24:33" x14ac:dyDescent="0.3">
      <c r="X1400" s="253" t="s">
        <v>1127</v>
      </c>
      <c r="Y1400" s="253" t="s">
        <v>905</v>
      </c>
      <c r="Z1400" s="253" t="s">
        <v>906</v>
      </c>
      <c r="AG1400" s="9"/>
    </row>
    <row r="1401" spans="24:33" x14ac:dyDescent="0.3">
      <c r="X1401" s="256" t="s">
        <v>530</v>
      </c>
      <c r="Y1401" s="253" t="s">
        <v>823</v>
      </c>
      <c r="Z1401" s="253" t="s">
        <v>898</v>
      </c>
      <c r="AG1401" s="9"/>
    </row>
    <row r="1402" spans="24:33" x14ac:dyDescent="0.3">
      <c r="X1402" s="256" t="s">
        <v>647</v>
      </c>
      <c r="Y1402" s="253" t="s">
        <v>823</v>
      </c>
      <c r="Z1402" s="253" t="s">
        <v>898</v>
      </c>
      <c r="AG1402" s="9"/>
    </row>
    <row r="1403" spans="24:33" x14ac:dyDescent="0.3">
      <c r="X1403" s="256" t="s">
        <v>721</v>
      </c>
      <c r="Y1403" s="253" t="s">
        <v>823</v>
      </c>
      <c r="Z1403" s="253" t="s">
        <v>898</v>
      </c>
      <c r="AG1403" s="9"/>
    </row>
    <row r="1404" spans="24:33" x14ac:dyDescent="0.3">
      <c r="X1404" s="256" t="s">
        <v>504</v>
      </c>
      <c r="Y1404" s="253" t="s">
        <v>823</v>
      </c>
      <c r="Z1404" s="253" t="s">
        <v>898</v>
      </c>
      <c r="AG1404" s="9"/>
    </row>
    <row r="1405" spans="24:33" x14ac:dyDescent="0.3">
      <c r="X1405" s="256" t="s">
        <v>1324</v>
      </c>
      <c r="Y1405" s="253" t="s">
        <v>905</v>
      </c>
      <c r="Z1405" s="253" t="s">
        <v>906</v>
      </c>
      <c r="AG1405" s="9"/>
    </row>
    <row r="1406" spans="24:33" x14ac:dyDescent="0.3">
      <c r="X1406" s="256" t="s">
        <v>571</v>
      </c>
      <c r="Y1406" s="253" t="s">
        <v>905</v>
      </c>
      <c r="Z1406" s="253" t="s">
        <v>906</v>
      </c>
      <c r="AG1406" s="9"/>
    </row>
    <row r="1407" spans="24:33" x14ac:dyDescent="0.3">
      <c r="X1407" s="256" t="s">
        <v>649</v>
      </c>
      <c r="Y1407" s="253" t="s">
        <v>905</v>
      </c>
      <c r="Z1407" s="253" t="s">
        <v>906</v>
      </c>
      <c r="AG1407" s="9"/>
    </row>
    <row r="1408" spans="24:33" x14ac:dyDescent="0.3">
      <c r="X1408" s="256" t="s">
        <v>650</v>
      </c>
      <c r="Y1408" s="253" t="s">
        <v>823</v>
      </c>
      <c r="Z1408" s="253" t="s">
        <v>898</v>
      </c>
      <c r="AG1408" s="9"/>
    </row>
    <row r="1409" spans="24:33" x14ac:dyDescent="0.3">
      <c r="X1409" s="256" t="s">
        <v>722</v>
      </c>
      <c r="Y1409" s="253" t="s">
        <v>823</v>
      </c>
      <c r="Z1409" s="253" t="s">
        <v>898</v>
      </c>
      <c r="AG1409" s="9"/>
    </row>
    <row r="1410" spans="24:33" x14ac:dyDescent="0.3">
      <c r="X1410" s="253" t="s">
        <v>1325</v>
      </c>
      <c r="Y1410" s="253" t="s">
        <v>905</v>
      </c>
      <c r="Z1410" s="253" t="s">
        <v>906</v>
      </c>
      <c r="AG1410" s="9"/>
    </row>
    <row r="1411" spans="24:33" x14ac:dyDescent="0.3">
      <c r="X1411" s="253" t="s">
        <v>1118</v>
      </c>
      <c r="Y1411" s="253" t="s">
        <v>905</v>
      </c>
      <c r="Z1411" s="253" t="s">
        <v>906</v>
      </c>
      <c r="AG1411" s="9"/>
    </row>
    <row r="1412" spans="24:33" x14ac:dyDescent="0.3">
      <c r="X1412" s="253" t="s">
        <v>1128</v>
      </c>
      <c r="Y1412" s="253" t="s">
        <v>905</v>
      </c>
      <c r="Z1412" s="253" t="s">
        <v>906</v>
      </c>
      <c r="AG1412" s="9"/>
    </row>
    <row r="1413" spans="24:33" x14ac:dyDescent="0.3">
      <c r="X1413" s="253" t="s">
        <v>531</v>
      </c>
      <c r="Y1413" s="253" t="s">
        <v>823</v>
      </c>
      <c r="Z1413" s="253" t="s">
        <v>898</v>
      </c>
      <c r="AG1413" s="9"/>
    </row>
    <row r="1414" spans="24:33" x14ac:dyDescent="0.3">
      <c r="X1414" s="253" t="s">
        <v>1326</v>
      </c>
      <c r="Y1414" s="253" t="s">
        <v>905</v>
      </c>
      <c r="Z1414" s="253" t="s">
        <v>906</v>
      </c>
      <c r="AG1414" s="9"/>
    </row>
    <row r="1415" spans="24:33" x14ac:dyDescent="0.3">
      <c r="X1415" s="253" t="s">
        <v>1119</v>
      </c>
      <c r="Y1415" s="253" t="s">
        <v>905</v>
      </c>
      <c r="Z1415" s="253" t="s">
        <v>906</v>
      </c>
      <c r="AG1415" s="9"/>
    </row>
    <row r="1416" spans="24:33" x14ac:dyDescent="0.3">
      <c r="X1416" s="253" t="s">
        <v>1129</v>
      </c>
      <c r="Y1416" s="253" t="s">
        <v>905</v>
      </c>
      <c r="Z1416" s="253" t="s">
        <v>906</v>
      </c>
      <c r="AG1416" s="9"/>
    </row>
    <row r="1417" spans="24:33" x14ac:dyDescent="0.3">
      <c r="X1417" s="253" t="s">
        <v>684</v>
      </c>
      <c r="Y1417" s="253" t="s">
        <v>823</v>
      </c>
      <c r="Z1417" s="253" t="s">
        <v>898</v>
      </c>
      <c r="AG1417" s="9"/>
    </row>
    <row r="1418" spans="24:33" x14ac:dyDescent="0.3">
      <c r="X1418" s="253" t="s">
        <v>723</v>
      </c>
      <c r="Y1418" s="253" t="s">
        <v>823</v>
      </c>
      <c r="Z1418" s="253" t="s">
        <v>898</v>
      </c>
      <c r="AG1418" s="9"/>
    </row>
    <row r="1419" spans="24:33" x14ac:dyDescent="0.3">
      <c r="X1419" s="256" t="s">
        <v>724</v>
      </c>
      <c r="Y1419" s="253" t="s">
        <v>823</v>
      </c>
      <c r="Z1419" s="250" t="s">
        <v>898</v>
      </c>
      <c r="AG1419" s="9"/>
    </row>
    <row r="1420" spans="24:33" x14ac:dyDescent="0.3">
      <c r="X1420" s="256" t="s">
        <v>651</v>
      </c>
      <c r="Y1420" s="253" t="s">
        <v>823</v>
      </c>
      <c r="Z1420" s="250" t="s">
        <v>898</v>
      </c>
      <c r="AG1420" s="9"/>
    </row>
    <row r="1421" spans="24:33" x14ac:dyDescent="0.3">
      <c r="X1421" s="256" t="s">
        <v>505</v>
      </c>
      <c r="Y1421" s="253" t="s">
        <v>823</v>
      </c>
      <c r="Z1421" s="250" t="s">
        <v>898</v>
      </c>
      <c r="AG1421" s="9"/>
    </row>
    <row r="1422" spans="24:33" x14ac:dyDescent="0.3">
      <c r="X1422" s="256" t="s">
        <v>572</v>
      </c>
      <c r="Y1422" s="253" t="s">
        <v>823</v>
      </c>
      <c r="Z1422" s="250" t="s">
        <v>898</v>
      </c>
      <c r="AG1422" s="9"/>
    </row>
    <row r="1423" spans="24:33" x14ac:dyDescent="0.3">
      <c r="X1423" s="256" t="s">
        <v>652</v>
      </c>
      <c r="Y1423" s="253" t="s">
        <v>823</v>
      </c>
      <c r="Z1423" s="250" t="s">
        <v>898</v>
      </c>
      <c r="AG1423" s="9"/>
    </row>
    <row r="1424" spans="24:33" x14ac:dyDescent="0.3">
      <c r="X1424" s="256" t="s">
        <v>707</v>
      </c>
      <c r="Y1424" s="253" t="s">
        <v>823</v>
      </c>
      <c r="Z1424" s="250" t="s">
        <v>898</v>
      </c>
      <c r="AG1424" s="9"/>
    </row>
    <row r="1425" spans="24:33" x14ac:dyDescent="0.3">
      <c r="X1425" s="256" t="s">
        <v>1327</v>
      </c>
      <c r="Y1425" s="253" t="s">
        <v>905</v>
      </c>
      <c r="Z1425" s="253" t="s">
        <v>906</v>
      </c>
      <c r="AG1425" s="9"/>
    </row>
    <row r="1426" spans="24:33" x14ac:dyDescent="0.3">
      <c r="X1426" s="256" t="s">
        <v>573</v>
      </c>
      <c r="Y1426" s="253" t="s">
        <v>905</v>
      </c>
      <c r="Z1426" s="253" t="s">
        <v>906</v>
      </c>
      <c r="AG1426" s="9"/>
    </row>
    <row r="1427" spans="24:33" x14ac:dyDescent="0.3">
      <c r="X1427" s="256" t="s">
        <v>1130</v>
      </c>
      <c r="Y1427" s="253" t="s">
        <v>905</v>
      </c>
      <c r="Z1427" s="253" t="s">
        <v>906</v>
      </c>
      <c r="AG1427" s="9"/>
    </row>
    <row r="1428" spans="24:33" x14ac:dyDescent="0.3">
      <c r="X1428" s="256" t="s">
        <v>532</v>
      </c>
      <c r="Y1428" s="253" t="s">
        <v>823</v>
      </c>
      <c r="Z1428" s="250" t="s">
        <v>898</v>
      </c>
      <c r="AG1428" s="9"/>
    </row>
    <row r="1429" spans="24:33" x14ac:dyDescent="0.3">
      <c r="X1429" s="256" t="s">
        <v>2141</v>
      </c>
      <c r="Y1429" s="253" t="s">
        <v>905</v>
      </c>
      <c r="Z1429" s="253" t="s">
        <v>906</v>
      </c>
      <c r="AG1429" s="9"/>
    </row>
    <row r="1430" spans="24:33" x14ac:dyDescent="0.3">
      <c r="X1430" s="256" t="s">
        <v>1120</v>
      </c>
      <c r="Y1430" s="253" t="s">
        <v>905</v>
      </c>
      <c r="Z1430" s="253" t="s">
        <v>906</v>
      </c>
      <c r="AG1430" s="9"/>
    </row>
    <row r="1431" spans="24:33" x14ac:dyDescent="0.3">
      <c r="X1431" s="256" t="s">
        <v>653</v>
      </c>
      <c r="Y1431" s="253" t="s">
        <v>905</v>
      </c>
      <c r="Z1431" s="253" t="s">
        <v>906</v>
      </c>
      <c r="AG1431" s="9"/>
    </row>
    <row r="1432" spans="24:33" x14ac:dyDescent="0.3">
      <c r="X1432" s="256" t="s">
        <v>574</v>
      </c>
      <c r="Y1432" s="253" t="s">
        <v>905</v>
      </c>
      <c r="Z1432" s="253" t="s">
        <v>906</v>
      </c>
      <c r="AG1432" s="9"/>
    </row>
    <row r="1433" spans="24:33" x14ac:dyDescent="0.3">
      <c r="X1433" s="256" t="s">
        <v>654</v>
      </c>
      <c r="Y1433" s="253" t="s">
        <v>905</v>
      </c>
      <c r="Z1433" s="253" t="s">
        <v>906</v>
      </c>
      <c r="AG1433" s="9"/>
    </row>
    <row r="1434" spans="24:33" x14ac:dyDescent="0.3">
      <c r="X1434" s="253" t="s">
        <v>507</v>
      </c>
      <c r="Y1434" s="253" t="s">
        <v>823</v>
      </c>
      <c r="Z1434" s="250" t="s">
        <v>898</v>
      </c>
      <c r="AG1434" s="9"/>
    </row>
    <row r="1435" spans="24:33" x14ac:dyDescent="0.3">
      <c r="X1435" s="253" t="s">
        <v>534</v>
      </c>
      <c r="Y1435" s="253" t="s">
        <v>823</v>
      </c>
      <c r="Z1435" s="250" t="s">
        <v>898</v>
      </c>
      <c r="AG1435" s="9"/>
    </row>
    <row r="1436" spans="24:33" x14ac:dyDescent="0.3">
      <c r="X1436" s="253" t="s">
        <v>725</v>
      </c>
      <c r="Y1436" s="253" t="s">
        <v>823</v>
      </c>
      <c r="Z1436" s="250" t="s">
        <v>898</v>
      </c>
      <c r="AG1436" s="9"/>
    </row>
    <row r="1437" spans="24:33" x14ac:dyDescent="0.3">
      <c r="X1437" s="253" t="s">
        <v>508</v>
      </c>
      <c r="Y1437" s="253" t="s">
        <v>823</v>
      </c>
      <c r="Z1437" s="250" t="s">
        <v>898</v>
      </c>
      <c r="AG1437" s="9"/>
    </row>
    <row r="1438" spans="24:33" x14ac:dyDescent="0.3">
      <c r="X1438" s="253" t="s">
        <v>535</v>
      </c>
      <c r="Y1438" s="253" t="s">
        <v>823</v>
      </c>
      <c r="Z1438" s="250" t="s">
        <v>898</v>
      </c>
      <c r="AG1438" s="9"/>
    </row>
    <row r="1439" spans="24:33" x14ac:dyDescent="0.3">
      <c r="X1439" s="253" t="s">
        <v>575</v>
      </c>
      <c r="Y1439" s="253" t="s">
        <v>823</v>
      </c>
      <c r="Z1439" s="250" t="s">
        <v>898</v>
      </c>
      <c r="AG1439" s="9"/>
    </row>
    <row r="1440" spans="24:33" x14ac:dyDescent="0.3">
      <c r="X1440" s="253" t="s">
        <v>509</v>
      </c>
      <c r="Y1440" s="253" t="s">
        <v>823</v>
      </c>
      <c r="Z1440" s="250" t="s">
        <v>898</v>
      </c>
      <c r="AG1440" s="9"/>
    </row>
    <row r="1441" spans="24:33" x14ac:dyDescent="0.3">
      <c r="X1441" s="253" t="s">
        <v>655</v>
      </c>
      <c r="Y1441" s="253" t="s">
        <v>823</v>
      </c>
      <c r="Z1441" s="250" t="s">
        <v>898</v>
      </c>
      <c r="AG1441" s="9"/>
    </row>
    <row r="1442" spans="24:33" x14ac:dyDescent="0.3">
      <c r="X1442" s="253" t="s">
        <v>708</v>
      </c>
      <c r="Y1442" s="253" t="s">
        <v>823</v>
      </c>
      <c r="Z1442" s="250" t="s">
        <v>898</v>
      </c>
      <c r="AG1442" s="9"/>
    </row>
    <row r="1443" spans="24:33" x14ac:dyDescent="0.3">
      <c r="X1443" s="253" t="s">
        <v>726</v>
      </c>
      <c r="Y1443" s="253" t="s">
        <v>823</v>
      </c>
      <c r="Z1443" s="250" t="s">
        <v>898</v>
      </c>
      <c r="AG1443" s="9"/>
    </row>
    <row r="1444" spans="24:33" x14ac:dyDescent="0.3">
      <c r="X1444" s="253" t="s">
        <v>510</v>
      </c>
      <c r="Y1444" s="253" t="s">
        <v>823</v>
      </c>
      <c r="Z1444" s="250" t="s">
        <v>898</v>
      </c>
      <c r="AG1444" s="9"/>
    </row>
    <row r="1445" spans="24:33" x14ac:dyDescent="0.3">
      <c r="X1445" s="253" t="s">
        <v>542</v>
      </c>
      <c r="Y1445" s="253" t="s">
        <v>823</v>
      </c>
      <c r="Z1445" s="250" t="s">
        <v>898</v>
      </c>
      <c r="AG1445" s="9"/>
    </row>
    <row r="1446" spans="24:33" x14ac:dyDescent="0.3">
      <c r="X1446" s="253" t="s">
        <v>781</v>
      </c>
      <c r="Y1446" s="253" t="s">
        <v>905</v>
      </c>
      <c r="Z1446" s="253" t="s">
        <v>906</v>
      </c>
      <c r="AG1446" s="9"/>
    </row>
    <row r="1447" spans="24:33" x14ac:dyDescent="0.3">
      <c r="X1447" s="253" t="s">
        <v>786</v>
      </c>
      <c r="Y1447" s="253" t="s">
        <v>905</v>
      </c>
      <c r="Z1447" s="253" t="s">
        <v>906</v>
      </c>
      <c r="AG1447" s="9"/>
    </row>
    <row r="1448" spans="24:33" x14ac:dyDescent="0.3">
      <c r="X1448" s="253" t="s">
        <v>577</v>
      </c>
      <c r="Y1448" s="253" t="s">
        <v>823</v>
      </c>
      <c r="Z1448" s="253" t="s">
        <v>898</v>
      </c>
      <c r="AG1448" s="9"/>
    </row>
    <row r="1449" spans="24:33" x14ac:dyDescent="0.3">
      <c r="X1449" s="253" t="s">
        <v>783</v>
      </c>
      <c r="Y1449" s="253" t="s">
        <v>905</v>
      </c>
      <c r="Z1449" s="253" t="s">
        <v>906</v>
      </c>
      <c r="AG1449" s="9"/>
    </row>
    <row r="1450" spans="24:33" x14ac:dyDescent="0.3">
      <c r="X1450" s="253" t="s">
        <v>656</v>
      </c>
      <c r="Y1450" s="253" t="s">
        <v>905</v>
      </c>
      <c r="Z1450" s="253" t="s">
        <v>906</v>
      </c>
      <c r="AG1450" s="9"/>
    </row>
    <row r="1451" spans="24:33" x14ac:dyDescent="0.3">
      <c r="X1451" s="253" t="s">
        <v>1121</v>
      </c>
      <c r="Y1451" s="253" t="s">
        <v>905</v>
      </c>
      <c r="Z1451" s="253" t="s">
        <v>906</v>
      </c>
      <c r="AG1451" s="9"/>
    </row>
    <row r="1452" spans="24:33" x14ac:dyDescent="0.3">
      <c r="X1452" s="253" t="s">
        <v>1131</v>
      </c>
      <c r="Y1452" s="253" t="s">
        <v>905</v>
      </c>
      <c r="Z1452" s="253" t="s">
        <v>906</v>
      </c>
      <c r="AG1452" s="9"/>
    </row>
    <row r="1453" spans="24:33" x14ac:dyDescent="0.3">
      <c r="X1453" s="253" t="s">
        <v>1122</v>
      </c>
      <c r="Y1453" s="253" t="s">
        <v>905</v>
      </c>
      <c r="Z1453" s="253" t="s">
        <v>906</v>
      </c>
      <c r="AG1453" s="9"/>
    </row>
    <row r="1454" spans="24:33" x14ac:dyDescent="0.3">
      <c r="X1454" s="253" t="s">
        <v>1132</v>
      </c>
      <c r="Y1454" s="253" t="s">
        <v>905</v>
      </c>
      <c r="Z1454" s="253" t="s">
        <v>906</v>
      </c>
      <c r="AG1454" s="9"/>
    </row>
    <row r="1455" spans="24:33" x14ac:dyDescent="0.3">
      <c r="X1455" s="253" t="s">
        <v>1133</v>
      </c>
      <c r="Y1455" s="253" t="s">
        <v>905</v>
      </c>
      <c r="Z1455" s="253" t="s">
        <v>906</v>
      </c>
      <c r="AG1455" s="9"/>
    </row>
    <row r="1456" spans="24:33" x14ac:dyDescent="0.3">
      <c r="X1456" s="253" t="s">
        <v>2142</v>
      </c>
      <c r="Y1456" s="253" t="s">
        <v>905</v>
      </c>
      <c r="Z1456" s="253" t="s">
        <v>906</v>
      </c>
      <c r="AG1456" s="9"/>
    </row>
    <row r="1457" spans="24:33" x14ac:dyDescent="0.3">
      <c r="X1457" s="253" t="s">
        <v>511</v>
      </c>
      <c r="Y1457" s="249" t="s">
        <v>821</v>
      </c>
      <c r="Z1457" s="250" t="s">
        <v>906</v>
      </c>
      <c r="AG1457" s="9"/>
    </row>
    <row r="1458" spans="24:33" x14ac:dyDescent="0.3">
      <c r="X1458" s="253" t="s">
        <v>578</v>
      </c>
      <c r="Y1458" s="249" t="s">
        <v>821</v>
      </c>
      <c r="Z1458" s="250" t="s">
        <v>906</v>
      </c>
      <c r="AG1458" s="9"/>
    </row>
    <row r="1459" spans="24:33" x14ac:dyDescent="0.3">
      <c r="X1459" s="253" t="s">
        <v>1170</v>
      </c>
      <c r="Y1459" s="249" t="s">
        <v>821</v>
      </c>
      <c r="Z1459" s="250" t="s">
        <v>906</v>
      </c>
      <c r="AG1459" s="9"/>
    </row>
    <row r="1460" spans="24:33" x14ac:dyDescent="0.3">
      <c r="X1460" s="253" t="s">
        <v>1124</v>
      </c>
      <c r="Y1460" s="253" t="s">
        <v>821</v>
      </c>
      <c r="Z1460" s="250" t="s">
        <v>906</v>
      </c>
      <c r="AG1460" s="9"/>
    </row>
    <row r="1461" spans="24:33" x14ac:dyDescent="0.3">
      <c r="X1461" s="253" t="s">
        <v>579</v>
      </c>
      <c r="Y1461" s="249" t="s">
        <v>821</v>
      </c>
      <c r="Z1461" s="250" t="s">
        <v>906</v>
      </c>
      <c r="AG1461" s="9"/>
    </row>
    <row r="1462" spans="24:33" x14ac:dyDescent="0.3">
      <c r="X1462" s="253" t="s">
        <v>657</v>
      </c>
      <c r="Y1462" s="249" t="s">
        <v>821</v>
      </c>
      <c r="Z1462" s="250" t="s">
        <v>906</v>
      </c>
      <c r="AG1462" s="9"/>
    </row>
    <row r="1463" spans="24:33" x14ac:dyDescent="0.3">
      <c r="X1463" s="253" t="s">
        <v>1180</v>
      </c>
      <c r="Y1463" s="249" t="s">
        <v>901</v>
      </c>
      <c r="Z1463" s="250" t="s">
        <v>894</v>
      </c>
      <c r="AG1463" s="9"/>
    </row>
    <row r="1464" spans="24:33" x14ac:dyDescent="0.3">
      <c r="X1464" s="253" t="s">
        <v>1181</v>
      </c>
      <c r="Y1464" s="249" t="s">
        <v>901</v>
      </c>
      <c r="Z1464" s="250" t="s">
        <v>894</v>
      </c>
      <c r="AG1464" s="9"/>
    </row>
    <row r="1465" spans="24:33" x14ac:dyDescent="0.3">
      <c r="X1465" s="253" t="s">
        <v>1168</v>
      </c>
      <c r="Y1465" s="249" t="s">
        <v>821</v>
      </c>
      <c r="Z1465" s="250" t="s">
        <v>906</v>
      </c>
      <c r="AG1465" s="9"/>
    </row>
    <row r="1466" spans="24:33" x14ac:dyDescent="0.3">
      <c r="X1466" s="253" t="s">
        <v>658</v>
      </c>
      <c r="Y1466" s="249" t="s">
        <v>821</v>
      </c>
      <c r="Z1466" s="250" t="s">
        <v>906</v>
      </c>
      <c r="AG1466" s="9"/>
    </row>
    <row r="1467" spans="24:33" x14ac:dyDescent="0.3">
      <c r="X1467" s="253" t="s">
        <v>512</v>
      </c>
      <c r="Y1467" s="253" t="s">
        <v>823</v>
      </c>
      <c r="Z1467" s="253" t="s">
        <v>898</v>
      </c>
      <c r="AG1467" s="9"/>
    </row>
    <row r="1468" spans="24:33" x14ac:dyDescent="0.3">
      <c r="X1468" s="253" t="s">
        <v>580</v>
      </c>
      <c r="Y1468" s="253" t="s">
        <v>823</v>
      </c>
      <c r="Z1468" s="253" t="s">
        <v>898</v>
      </c>
      <c r="AG1468" s="9"/>
    </row>
    <row r="1469" spans="24:33" x14ac:dyDescent="0.3">
      <c r="X1469" s="257" t="s">
        <v>546</v>
      </c>
      <c r="Y1469" s="253" t="s">
        <v>823</v>
      </c>
      <c r="Z1469" s="253" t="s">
        <v>898</v>
      </c>
      <c r="AG1469" s="9"/>
    </row>
    <row r="1470" spans="24:33" x14ac:dyDescent="0.3">
      <c r="X1470" s="257" t="s">
        <v>660</v>
      </c>
      <c r="Y1470" s="253" t="s">
        <v>823</v>
      </c>
      <c r="Z1470" s="253" t="s">
        <v>898</v>
      </c>
      <c r="AG1470" s="9"/>
    </row>
    <row r="1471" spans="24:33" x14ac:dyDescent="0.3">
      <c r="X1471" s="257" t="s">
        <v>1123</v>
      </c>
      <c r="Y1471" s="253" t="s">
        <v>905</v>
      </c>
      <c r="Z1471" s="253" t="s">
        <v>906</v>
      </c>
      <c r="AG1471" s="9"/>
    </row>
    <row r="1472" spans="24:33" x14ac:dyDescent="0.3">
      <c r="X1472" s="257" t="s">
        <v>1182</v>
      </c>
      <c r="Y1472" s="257" t="s">
        <v>903</v>
      </c>
      <c r="Z1472" s="250" t="s">
        <v>894</v>
      </c>
      <c r="AG1472" s="9"/>
    </row>
    <row r="1473" spans="24:33" x14ac:dyDescent="0.3">
      <c r="X1473" s="257" t="s">
        <v>1796</v>
      </c>
      <c r="Y1473" s="257" t="s">
        <v>823</v>
      </c>
      <c r="Z1473" s="250" t="s">
        <v>898</v>
      </c>
      <c r="AG1473" s="9"/>
    </row>
    <row r="1474" spans="24:33" x14ac:dyDescent="0.3">
      <c r="X1474" s="257" t="s">
        <v>1797</v>
      </c>
      <c r="Y1474" s="257" t="s">
        <v>823</v>
      </c>
      <c r="Z1474" s="253" t="s">
        <v>898</v>
      </c>
      <c r="AG1474" s="9"/>
    </row>
    <row r="1475" spans="24:33" x14ac:dyDescent="0.3">
      <c r="X1475" s="257" t="s">
        <v>1798</v>
      </c>
      <c r="Y1475" s="257" t="s">
        <v>823</v>
      </c>
      <c r="Z1475" s="253" t="s">
        <v>898</v>
      </c>
      <c r="AG1475" s="9"/>
    </row>
    <row r="1476" spans="24:33" x14ac:dyDescent="0.3">
      <c r="X1476" s="257" t="s">
        <v>727</v>
      </c>
      <c r="Y1476" s="257" t="s">
        <v>823</v>
      </c>
      <c r="Z1476" s="253" t="s">
        <v>898</v>
      </c>
      <c r="AG1476" s="9"/>
    </row>
    <row r="1477" spans="24:33" x14ac:dyDescent="0.3">
      <c r="X1477" s="257" t="s">
        <v>709</v>
      </c>
      <c r="Y1477" s="257" t="s">
        <v>823</v>
      </c>
      <c r="Z1477" s="253" t="s">
        <v>898</v>
      </c>
      <c r="AG1477" s="9"/>
    </row>
    <row r="1478" spans="24:33" x14ac:dyDescent="0.3">
      <c r="X1478" s="253" t="s">
        <v>581</v>
      </c>
      <c r="Y1478" s="257" t="s">
        <v>823</v>
      </c>
      <c r="Z1478" s="253" t="s">
        <v>898</v>
      </c>
      <c r="AG1478" s="9"/>
    </row>
    <row r="1479" spans="24:33" x14ac:dyDescent="0.3">
      <c r="X1479" s="253" t="s">
        <v>1200</v>
      </c>
      <c r="Y1479" s="257" t="s">
        <v>823</v>
      </c>
      <c r="Z1479" s="253" t="s">
        <v>898</v>
      </c>
      <c r="AG1479" s="9"/>
    </row>
    <row r="1480" spans="24:33" x14ac:dyDescent="0.3">
      <c r="X1480" s="253" t="s">
        <v>515</v>
      </c>
      <c r="Y1480" s="257" t="s">
        <v>823</v>
      </c>
      <c r="Z1480" s="253" t="s">
        <v>898</v>
      </c>
      <c r="AG1480" s="9"/>
    </row>
    <row r="1481" spans="24:33" x14ac:dyDescent="0.3">
      <c r="X1481" s="47" t="s">
        <v>550</v>
      </c>
      <c r="Y1481" s="44" t="s">
        <v>823</v>
      </c>
      <c r="Z1481" s="47" t="s">
        <v>898</v>
      </c>
      <c r="AG1481" s="9"/>
    </row>
    <row r="1482" spans="24:33" x14ac:dyDescent="0.3">
      <c r="X1482" s="47" t="s">
        <v>2143</v>
      </c>
      <c r="Y1482" s="44" t="s">
        <v>905</v>
      </c>
      <c r="Z1482" s="47" t="s">
        <v>906</v>
      </c>
      <c r="AG1482" s="9"/>
    </row>
    <row r="1483" spans="24:33" x14ac:dyDescent="0.3">
      <c r="X1483" s="253" t="s">
        <v>2144</v>
      </c>
      <c r="Y1483" s="253" t="s">
        <v>905</v>
      </c>
      <c r="Z1483" s="253" t="s">
        <v>906</v>
      </c>
      <c r="AG1483" s="9"/>
    </row>
    <row r="1484" spans="24:33" x14ac:dyDescent="0.3">
      <c r="X1484" s="253" t="s">
        <v>1207</v>
      </c>
      <c r="Y1484" s="253" t="s">
        <v>823</v>
      </c>
      <c r="Z1484" s="253" t="s">
        <v>898</v>
      </c>
      <c r="AG1484" s="9"/>
    </row>
    <row r="1485" spans="24:33" x14ac:dyDescent="0.3">
      <c r="X1485" s="253" t="s">
        <v>2145</v>
      </c>
      <c r="Y1485" s="253" t="s">
        <v>905</v>
      </c>
      <c r="Z1485" s="253" t="s">
        <v>906</v>
      </c>
      <c r="AG1485" s="9"/>
    </row>
    <row r="1486" spans="24:33" x14ac:dyDescent="0.3">
      <c r="X1486" s="253" t="s">
        <v>2146</v>
      </c>
      <c r="Y1486" s="253" t="s">
        <v>905</v>
      </c>
      <c r="Z1486" s="253" t="s">
        <v>906</v>
      </c>
      <c r="AG1486" s="9"/>
    </row>
    <row r="1487" spans="24:33" x14ac:dyDescent="0.3">
      <c r="X1487" s="253" t="s">
        <v>2147</v>
      </c>
      <c r="Y1487" s="253" t="s">
        <v>905</v>
      </c>
      <c r="Z1487" s="253" t="s">
        <v>906</v>
      </c>
      <c r="AG1487" s="9"/>
    </row>
    <row r="1488" spans="24:33" x14ac:dyDescent="0.3">
      <c r="X1488" s="253" t="s">
        <v>2148</v>
      </c>
      <c r="Y1488" s="253" t="s">
        <v>905</v>
      </c>
      <c r="Z1488" s="253" t="s">
        <v>906</v>
      </c>
      <c r="AG1488" s="9"/>
    </row>
    <row r="1489" spans="24:33" x14ac:dyDescent="0.3">
      <c r="X1489" s="253" t="s">
        <v>2149</v>
      </c>
      <c r="Y1489" s="253" t="s">
        <v>905</v>
      </c>
      <c r="Z1489" s="253" t="s">
        <v>906</v>
      </c>
      <c r="AG1489" s="9"/>
    </row>
    <row r="1490" spans="24:33" x14ac:dyDescent="0.3">
      <c r="X1490" s="253" t="s">
        <v>2150</v>
      </c>
      <c r="Y1490" s="253" t="s">
        <v>905</v>
      </c>
      <c r="Z1490" s="253" t="s">
        <v>906</v>
      </c>
      <c r="AG1490" s="9"/>
    </row>
    <row r="1491" spans="24:33" x14ac:dyDescent="0.3">
      <c r="X1491" s="253" t="s">
        <v>2151</v>
      </c>
      <c r="Y1491" s="253" t="s">
        <v>905</v>
      </c>
      <c r="Z1491" s="253" t="s">
        <v>906</v>
      </c>
      <c r="AG1491" s="9"/>
    </row>
    <row r="1492" spans="24:33" x14ac:dyDescent="0.3">
      <c r="X1492" s="253" t="s">
        <v>2152</v>
      </c>
      <c r="Y1492" s="253" t="s">
        <v>905</v>
      </c>
      <c r="Z1492" s="253" t="s">
        <v>906</v>
      </c>
      <c r="AG1492" s="9"/>
    </row>
    <row r="1493" spans="24:33" x14ac:dyDescent="0.3">
      <c r="X1493" s="253" t="s">
        <v>2153</v>
      </c>
      <c r="Y1493" s="253" t="s">
        <v>905</v>
      </c>
      <c r="Z1493" s="253" t="s">
        <v>906</v>
      </c>
      <c r="AG1493" s="9"/>
    </row>
    <row r="1494" spans="24:33" x14ac:dyDescent="0.3">
      <c r="X1494" s="253" t="s">
        <v>2154</v>
      </c>
      <c r="Y1494" s="253" t="s">
        <v>905</v>
      </c>
      <c r="Z1494" s="253" t="s">
        <v>906</v>
      </c>
      <c r="AG1494" s="9"/>
    </row>
    <row r="1495" spans="24:33" x14ac:dyDescent="0.3">
      <c r="X1495" s="253" t="s">
        <v>2155</v>
      </c>
      <c r="Y1495" s="253" t="s">
        <v>905</v>
      </c>
      <c r="Z1495" s="253" t="s">
        <v>906</v>
      </c>
      <c r="AG1495" s="9"/>
    </row>
    <row r="1496" spans="24:33" x14ac:dyDescent="0.3">
      <c r="X1496" s="253" t="s">
        <v>515</v>
      </c>
      <c r="Y1496" s="253" t="s">
        <v>823</v>
      </c>
      <c r="Z1496" s="253" t="s">
        <v>898</v>
      </c>
      <c r="AG1496" s="9"/>
    </row>
    <row r="1497" spans="24:33" x14ac:dyDescent="0.3">
      <c r="X1497" s="253" t="s">
        <v>1200</v>
      </c>
      <c r="Y1497" s="253" t="s">
        <v>823</v>
      </c>
      <c r="Z1497" s="253" t="s">
        <v>898</v>
      </c>
      <c r="AG1497" s="9"/>
    </row>
    <row r="1498" spans="24:33" x14ac:dyDescent="0.3">
      <c r="X1498" s="253" t="s">
        <v>1207</v>
      </c>
      <c r="Y1498" s="253" t="s">
        <v>823</v>
      </c>
      <c r="Z1498" s="253" t="s">
        <v>898</v>
      </c>
      <c r="AG1498" s="9"/>
    </row>
    <row r="1499" spans="24:33" x14ac:dyDescent="0.3">
      <c r="X1499" s="253" t="s">
        <v>512</v>
      </c>
      <c r="Y1499" s="253" t="s">
        <v>823</v>
      </c>
      <c r="Z1499" s="253" t="s">
        <v>898</v>
      </c>
      <c r="AG1499" s="9"/>
    </row>
    <row r="1500" spans="24:33" x14ac:dyDescent="0.3">
      <c r="X1500" s="253" t="s">
        <v>546</v>
      </c>
      <c r="Y1500" s="253" t="s">
        <v>823</v>
      </c>
      <c r="Z1500" s="253" t="s">
        <v>898</v>
      </c>
      <c r="AG1500" s="9"/>
    </row>
    <row r="1501" spans="24:33" x14ac:dyDescent="0.3">
      <c r="X1501" s="253" t="s">
        <v>580</v>
      </c>
      <c r="Y1501" s="253" t="s">
        <v>823</v>
      </c>
      <c r="Z1501" s="253" t="s">
        <v>898</v>
      </c>
      <c r="AG1501" s="9"/>
    </row>
    <row r="1502" spans="24:33" x14ac:dyDescent="0.3">
      <c r="X1502" s="253" t="s">
        <v>660</v>
      </c>
      <c r="Y1502" s="253" t="s">
        <v>823</v>
      </c>
      <c r="Z1502" s="253" t="s">
        <v>898</v>
      </c>
      <c r="AG1502" s="9"/>
    </row>
    <row r="1503" spans="24:33" x14ac:dyDescent="0.3">
      <c r="X1503" s="253" t="s">
        <v>1195</v>
      </c>
      <c r="Y1503" s="253" t="s">
        <v>823</v>
      </c>
      <c r="Z1503" s="253" t="s">
        <v>898</v>
      </c>
      <c r="AG1503" s="9"/>
    </row>
    <row r="1504" spans="24:33" x14ac:dyDescent="0.3">
      <c r="X1504" s="253" t="s">
        <v>512</v>
      </c>
      <c r="Y1504" s="253" t="s">
        <v>823</v>
      </c>
      <c r="Z1504" s="253" t="s">
        <v>898</v>
      </c>
      <c r="AG1504" s="9"/>
    </row>
    <row r="1505" spans="24:33" x14ac:dyDescent="0.3">
      <c r="X1505" s="253" t="s">
        <v>1195</v>
      </c>
      <c r="Y1505" s="253" t="s">
        <v>823</v>
      </c>
      <c r="Z1505" s="253" t="s">
        <v>898</v>
      </c>
      <c r="AG1505" s="9"/>
    </row>
    <row r="1506" spans="24:33" x14ac:dyDescent="0.3">
      <c r="X1506" s="253" t="s">
        <v>1201</v>
      </c>
      <c r="Y1506" s="253" t="s">
        <v>823</v>
      </c>
      <c r="Z1506" s="253" t="s">
        <v>898</v>
      </c>
      <c r="AG1506" s="9"/>
    </row>
    <row r="1507" spans="24:33" x14ac:dyDescent="0.3">
      <c r="X1507" s="253" t="s">
        <v>1196</v>
      </c>
      <c r="Y1507" s="253" t="s">
        <v>823</v>
      </c>
      <c r="Z1507" s="253" t="s">
        <v>898</v>
      </c>
      <c r="AG1507" s="9"/>
    </row>
    <row r="1508" spans="24:33" x14ac:dyDescent="0.3">
      <c r="X1508" s="253" t="s">
        <v>512</v>
      </c>
      <c r="Y1508" s="253" t="s">
        <v>823</v>
      </c>
      <c r="Z1508" s="253" t="s">
        <v>898</v>
      </c>
      <c r="AG1508" s="9"/>
    </row>
    <row r="1509" spans="24:33" x14ac:dyDescent="0.3">
      <c r="X1509" s="253" t="s">
        <v>1196</v>
      </c>
      <c r="Y1509" s="253" t="s">
        <v>823</v>
      </c>
      <c r="Z1509" s="253" t="s">
        <v>898</v>
      </c>
      <c r="AG1509" s="9"/>
    </row>
    <row r="1510" spans="24:33" x14ac:dyDescent="0.3">
      <c r="X1510" s="253" t="s">
        <v>1201</v>
      </c>
      <c r="Y1510" s="253" t="s">
        <v>823</v>
      </c>
      <c r="Z1510" s="253" t="s">
        <v>898</v>
      </c>
      <c r="AG1510" s="9"/>
    </row>
    <row r="1511" spans="24:33" x14ac:dyDescent="0.3">
      <c r="X1511" s="253" t="s">
        <v>709</v>
      </c>
      <c r="Y1511" s="253" t="s">
        <v>823</v>
      </c>
      <c r="Z1511" s="253" t="s">
        <v>898</v>
      </c>
      <c r="AG1511" s="9"/>
    </row>
    <row r="1512" spans="24:33" x14ac:dyDescent="0.3">
      <c r="X1512" s="253" t="s">
        <v>1134</v>
      </c>
      <c r="Y1512" s="253" t="s">
        <v>905</v>
      </c>
      <c r="Z1512" s="253" t="s">
        <v>906</v>
      </c>
      <c r="AG1512" s="9"/>
    </row>
    <row r="1513" spans="24:33" x14ac:dyDescent="0.3">
      <c r="X1513" s="253" t="s">
        <v>1135</v>
      </c>
      <c r="Y1513" s="253" t="s">
        <v>905</v>
      </c>
      <c r="Z1513" s="253" t="s">
        <v>906</v>
      </c>
      <c r="AG1513" s="9"/>
    </row>
    <row r="1514" spans="24:33" x14ac:dyDescent="0.3">
      <c r="X1514" s="253" t="s">
        <v>1197</v>
      </c>
      <c r="Y1514" s="253" t="s">
        <v>823</v>
      </c>
      <c r="Z1514" s="253" t="s">
        <v>898</v>
      </c>
      <c r="AG1514" s="9"/>
    </row>
    <row r="1515" spans="24:33" x14ac:dyDescent="0.3">
      <c r="X1515" s="253" t="s">
        <v>546</v>
      </c>
      <c r="Y1515" s="253" t="s">
        <v>823</v>
      </c>
      <c r="Z1515" s="253" t="s">
        <v>898</v>
      </c>
      <c r="AG1515" s="9"/>
    </row>
    <row r="1516" spans="24:33" x14ac:dyDescent="0.3">
      <c r="X1516" s="253" t="s">
        <v>1201</v>
      </c>
      <c r="Y1516" s="253" t="s">
        <v>823</v>
      </c>
      <c r="Z1516" s="253" t="s">
        <v>898</v>
      </c>
      <c r="AG1516" s="9"/>
    </row>
    <row r="1517" spans="24:33" x14ac:dyDescent="0.3">
      <c r="X1517" s="253" t="s">
        <v>512</v>
      </c>
      <c r="Y1517" s="253" t="s">
        <v>823</v>
      </c>
      <c r="Z1517" s="253" t="s">
        <v>898</v>
      </c>
      <c r="AG1517" s="9"/>
    </row>
    <row r="1518" spans="24:33" x14ac:dyDescent="0.3">
      <c r="X1518" s="253" t="s">
        <v>546</v>
      </c>
      <c r="Y1518" s="253" t="s">
        <v>823</v>
      </c>
      <c r="Z1518" s="253" t="s">
        <v>898</v>
      </c>
      <c r="AG1518" s="9"/>
    </row>
    <row r="1519" spans="24:33" x14ac:dyDescent="0.3">
      <c r="X1519" s="253" t="s">
        <v>1197</v>
      </c>
      <c r="Y1519" s="253" t="s">
        <v>823</v>
      </c>
      <c r="Z1519" s="253" t="s">
        <v>898</v>
      </c>
      <c r="AG1519" s="9"/>
    </row>
    <row r="1520" spans="24:33" x14ac:dyDescent="0.3">
      <c r="X1520" s="253" t="s">
        <v>1202</v>
      </c>
      <c r="Y1520" s="253" t="s">
        <v>823</v>
      </c>
      <c r="Z1520" s="253" t="s">
        <v>898</v>
      </c>
      <c r="AG1520" s="9"/>
    </row>
    <row r="1521" spans="24:33" x14ac:dyDescent="0.3">
      <c r="X1521" s="253" t="s">
        <v>1136</v>
      </c>
      <c r="Y1521" s="253" t="s">
        <v>905</v>
      </c>
      <c r="Z1521" s="253" t="s">
        <v>906</v>
      </c>
      <c r="AG1521" s="9"/>
    </row>
    <row r="1522" spans="24:33" x14ac:dyDescent="0.3">
      <c r="X1522" s="253" t="s">
        <v>1141</v>
      </c>
      <c r="Y1522" s="253" t="s">
        <v>905</v>
      </c>
      <c r="Z1522" s="253" t="s">
        <v>906</v>
      </c>
      <c r="AG1522" s="9"/>
    </row>
    <row r="1523" spans="24:33" x14ac:dyDescent="0.3">
      <c r="X1523" s="253" t="s">
        <v>1328</v>
      </c>
      <c r="Y1523" s="253" t="s">
        <v>905</v>
      </c>
      <c r="Z1523" s="253" t="s">
        <v>906</v>
      </c>
      <c r="AG1523" s="9"/>
    </row>
    <row r="1524" spans="24:33" x14ac:dyDescent="0.3">
      <c r="X1524" s="253" t="s">
        <v>1137</v>
      </c>
      <c r="Y1524" s="253" t="s">
        <v>905</v>
      </c>
      <c r="Z1524" s="253" t="s">
        <v>906</v>
      </c>
      <c r="AG1524" s="9"/>
    </row>
    <row r="1525" spans="24:33" x14ac:dyDescent="0.3">
      <c r="X1525" s="253" t="s">
        <v>2156</v>
      </c>
      <c r="Y1525" s="253" t="s">
        <v>905</v>
      </c>
      <c r="Z1525" s="253" t="s">
        <v>906</v>
      </c>
      <c r="AG1525" s="9"/>
    </row>
    <row r="1526" spans="24:33" x14ac:dyDescent="0.3">
      <c r="X1526" s="253" t="s">
        <v>1142</v>
      </c>
      <c r="Y1526" s="253" t="s">
        <v>905</v>
      </c>
      <c r="Z1526" s="253" t="s">
        <v>906</v>
      </c>
      <c r="AG1526" s="9"/>
    </row>
    <row r="1527" spans="24:33" x14ac:dyDescent="0.3">
      <c r="X1527" s="253" t="s">
        <v>1198</v>
      </c>
      <c r="Y1527" s="253" t="s">
        <v>823</v>
      </c>
      <c r="Z1527" s="253" t="s">
        <v>898</v>
      </c>
      <c r="AG1527" s="9"/>
    </row>
    <row r="1528" spans="24:33" x14ac:dyDescent="0.3">
      <c r="X1528" s="253" t="s">
        <v>1329</v>
      </c>
      <c r="Y1528" s="253" t="s">
        <v>905</v>
      </c>
      <c r="Z1528" s="253" t="s">
        <v>906</v>
      </c>
      <c r="AG1528" s="9"/>
    </row>
    <row r="1529" spans="24:33" x14ac:dyDescent="0.3">
      <c r="X1529" s="253" t="s">
        <v>1138</v>
      </c>
      <c r="Y1529" s="253" t="s">
        <v>905</v>
      </c>
      <c r="Z1529" s="253" t="s">
        <v>906</v>
      </c>
      <c r="AG1529" s="9"/>
    </row>
    <row r="1530" spans="24:33" x14ac:dyDescent="0.3">
      <c r="X1530" s="253" t="s">
        <v>2157</v>
      </c>
      <c r="Y1530" s="253" t="s">
        <v>905</v>
      </c>
      <c r="Z1530" s="253" t="s">
        <v>906</v>
      </c>
      <c r="AG1530" s="9"/>
    </row>
    <row r="1531" spans="24:33" x14ac:dyDescent="0.3">
      <c r="X1531" s="253" t="s">
        <v>1143</v>
      </c>
      <c r="Y1531" s="253" t="s">
        <v>905</v>
      </c>
      <c r="Z1531" s="253" t="s">
        <v>906</v>
      </c>
      <c r="AG1531" s="9"/>
    </row>
    <row r="1532" spans="24:33" x14ac:dyDescent="0.3">
      <c r="X1532" s="253" t="s">
        <v>1330</v>
      </c>
      <c r="Y1532" s="253" t="s">
        <v>905</v>
      </c>
      <c r="Z1532" s="253" t="s">
        <v>906</v>
      </c>
      <c r="AG1532" s="9"/>
    </row>
    <row r="1533" spans="24:33" x14ac:dyDescent="0.3">
      <c r="X1533" s="253" t="s">
        <v>1331</v>
      </c>
      <c r="Y1533" s="253" t="s">
        <v>905</v>
      </c>
      <c r="Z1533" s="253" t="s">
        <v>906</v>
      </c>
      <c r="AG1533" s="9"/>
    </row>
    <row r="1534" spans="24:33" x14ac:dyDescent="0.3">
      <c r="X1534" s="253" t="s">
        <v>1144</v>
      </c>
      <c r="Y1534" s="253" t="s">
        <v>905</v>
      </c>
      <c r="Z1534" s="253" t="s">
        <v>906</v>
      </c>
      <c r="AG1534" s="9"/>
    </row>
    <row r="1535" spans="24:33" x14ac:dyDescent="0.3">
      <c r="X1535" s="253" t="s">
        <v>1203</v>
      </c>
      <c r="Y1535" s="253" t="s">
        <v>823</v>
      </c>
      <c r="Z1535" s="253" t="s">
        <v>898</v>
      </c>
      <c r="AG1535" s="9"/>
    </row>
    <row r="1536" spans="24:33" x14ac:dyDescent="0.3">
      <c r="X1536" s="253" t="s">
        <v>488</v>
      </c>
      <c r="Y1536" s="253" t="s">
        <v>905</v>
      </c>
      <c r="Z1536" s="253" t="s">
        <v>906</v>
      </c>
      <c r="AG1536" s="9"/>
    </row>
    <row r="1537" spans="24:33" x14ac:dyDescent="0.3">
      <c r="X1537" s="253" t="s">
        <v>1139</v>
      </c>
      <c r="Y1537" s="253" t="s">
        <v>905</v>
      </c>
      <c r="Z1537" s="253" t="s">
        <v>906</v>
      </c>
      <c r="AG1537" s="9"/>
    </row>
    <row r="1538" spans="24:33" x14ac:dyDescent="0.3">
      <c r="X1538" s="253" t="s">
        <v>2158</v>
      </c>
      <c r="Y1538" s="253" t="s">
        <v>905</v>
      </c>
      <c r="Z1538" s="253" t="s">
        <v>906</v>
      </c>
      <c r="AG1538" s="9"/>
    </row>
    <row r="1539" spans="24:33" x14ac:dyDescent="0.3">
      <c r="X1539" s="253" t="s">
        <v>1145</v>
      </c>
      <c r="Y1539" s="253" t="s">
        <v>905</v>
      </c>
      <c r="Z1539" s="253" t="s">
        <v>906</v>
      </c>
      <c r="AG1539" s="9"/>
    </row>
    <row r="1540" spans="24:33" x14ac:dyDescent="0.3">
      <c r="X1540" s="253" t="s">
        <v>1199</v>
      </c>
      <c r="Y1540" s="253" t="s">
        <v>823</v>
      </c>
      <c r="Z1540" s="253" t="s">
        <v>898</v>
      </c>
      <c r="AG1540" s="9"/>
    </row>
    <row r="1541" spans="24:33" x14ac:dyDescent="0.3">
      <c r="X1541" s="253" t="s">
        <v>778</v>
      </c>
      <c r="Y1541" s="253" t="s">
        <v>905</v>
      </c>
      <c r="Z1541" s="253" t="s">
        <v>906</v>
      </c>
      <c r="AG1541" s="9"/>
    </row>
    <row r="1542" spans="24:33" x14ac:dyDescent="0.3">
      <c r="X1542" s="253" t="s">
        <v>2159</v>
      </c>
      <c r="Y1542" s="253" t="s">
        <v>905</v>
      </c>
      <c r="Z1542" s="253" t="s">
        <v>906</v>
      </c>
      <c r="AG1542" s="9"/>
    </row>
    <row r="1543" spans="24:33" x14ac:dyDescent="0.3">
      <c r="X1543" s="253" t="s">
        <v>1146</v>
      </c>
      <c r="Y1543" s="253" t="s">
        <v>905</v>
      </c>
      <c r="Z1543" s="253" t="s">
        <v>906</v>
      </c>
      <c r="AG1543" s="9"/>
    </row>
    <row r="1544" spans="24:33" x14ac:dyDescent="0.3">
      <c r="X1544" s="253" t="s">
        <v>515</v>
      </c>
      <c r="Y1544" s="253" t="s">
        <v>823</v>
      </c>
      <c r="Z1544" s="253" t="s">
        <v>898</v>
      </c>
      <c r="AG1544" s="9"/>
    </row>
    <row r="1545" spans="24:33" x14ac:dyDescent="0.3">
      <c r="X1545" s="253" t="s">
        <v>1199</v>
      </c>
      <c r="Y1545" s="253" t="s">
        <v>823</v>
      </c>
      <c r="Z1545" s="253" t="s">
        <v>898</v>
      </c>
      <c r="AG1545" s="9"/>
    </row>
    <row r="1546" spans="24:33" x14ac:dyDescent="0.3">
      <c r="X1546" s="253" t="s">
        <v>1203</v>
      </c>
      <c r="Y1546" s="253" t="s">
        <v>823</v>
      </c>
      <c r="Z1546" s="253" t="s">
        <v>898</v>
      </c>
      <c r="AG1546" s="9"/>
    </row>
    <row r="1547" spans="24:33" x14ac:dyDescent="0.3">
      <c r="X1547" s="253" t="s">
        <v>2160</v>
      </c>
      <c r="Y1547" s="253" t="s">
        <v>823</v>
      </c>
      <c r="Z1547" s="253" t="s">
        <v>898</v>
      </c>
      <c r="AG1547" s="9"/>
    </row>
    <row r="1548" spans="24:33" x14ac:dyDescent="0.3">
      <c r="X1548" s="253" t="s">
        <v>1140</v>
      </c>
      <c r="Y1548" s="253" t="s">
        <v>905</v>
      </c>
      <c r="Z1548" s="253" t="s">
        <v>906</v>
      </c>
      <c r="AG1548" s="9"/>
    </row>
    <row r="1549" spans="24:33" x14ac:dyDescent="0.3">
      <c r="X1549" s="253" t="s">
        <v>2161</v>
      </c>
      <c r="Y1549" s="253" t="s">
        <v>905</v>
      </c>
      <c r="Z1549" s="253" t="s">
        <v>906</v>
      </c>
      <c r="AG1549" s="9"/>
    </row>
    <row r="1550" spans="24:33" x14ac:dyDescent="0.3">
      <c r="X1550" s="253" t="s">
        <v>661</v>
      </c>
      <c r="Y1550" s="253" t="s">
        <v>905</v>
      </c>
      <c r="Z1550" s="253" t="s">
        <v>906</v>
      </c>
      <c r="AG1550" s="9"/>
    </row>
    <row r="1551" spans="24:33" x14ac:dyDescent="0.3">
      <c r="X1551" s="253" t="s">
        <v>2162</v>
      </c>
      <c r="Y1551" s="253" t="s">
        <v>905</v>
      </c>
      <c r="Z1551" s="253" t="s">
        <v>906</v>
      </c>
      <c r="AG1551" s="9"/>
    </row>
    <row r="1552" spans="24:33" x14ac:dyDescent="0.3">
      <c r="X1552" s="253" t="s">
        <v>1147</v>
      </c>
      <c r="Y1552" s="253" t="s">
        <v>905</v>
      </c>
      <c r="Z1552" s="253" t="s">
        <v>906</v>
      </c>
      <c r="AG1552" s="9"/>
    </row>
    <row r="1553" spans="24:33" x14ac:dyDescent="0.3">
      <c r="X1553" s="253" t="s">
        <v>2163</v>
      </c>
      <c r="Y1553" s="253" t="s">
        <v>905</v>
      </c>
      <c r="Z1553" s="253" t="s">
        <v>906</v>
      </c>
      <c r="AG1553" s="9"/>
    </row>
    <row r="1554" spans="24:33" x14ac:dyDescent="0.3">
      <c r="X1554" s="253" t="s">
        <v>662</v>
      </c>
      <c r="Y1554" s="253" t="s">
        <v>905</v>
      </c>
      <c r="Z1554" s="253" t="s">
        <v>906</v>
      </c>
      <c r="AG1554" s="9"/>
    </row>
    <row r="1555" spans="24:33" x14ac:dyDescent="0.3">
      <c r="X1555" s="253" t="s">
        <v>1148</v>
      </c>
      <c r="Y1555" s="253" t="s">
        <v>905</v>
      </c>
      <c r="Z1555" s="253" t="s">
        <v>906</v>
      </c>
      <c r="AG1555" s="9"/>
    </row>
    <row r="1556" spans="24:33" x14ac:dyDescent="0.3">
      <c r="X1556" s="253" t="s">
        <v>1194</v>
      </c>
      <c r="Y1556" s="253" t="s">
        <v>823</v>
      </c>
      <c r="Z1556" s="253" t="s">
        <v>898</v>
      </c>
      <c r="AG1556" s="9"/>
    </row>
    <row r="1557" spans="24:33" x14ac:dyDescent="0.3">
      <c r="X1557" s="253" t="s">
        <v>550</v>
      </c>
      <c r="Y1557" s="253" t="s">
        <v>823</v>
      </c>
      <c r="Z1557" s="253" t="s">
        <v>898</v>
      </c>
      <c r="AG1557" s="9"/>
    </row>
    <row r="1558" spans="24:33" x14ac:dyDescent="0.3">
      <c r="X1558" s="253" t="s">
        <v>585</v>
      </c>
      <c r="Y1558" s="253" t="s">
        <v>823</v>
      </c>
      <c r="Z1558" s="253" t="s">
        <v>898</v>
      </c>
      <c r="AG1558" s="9"/>
    </row>
    <row r="1559" spans="24:33" x14ac:dyDescent="0.3">
      <c r="X1559" s="253" t="s">
        <v>495</v>
      </c>
      <c r="Y1559" s="253" t="s">
        <v>821</v>
      </c>
      <c r="Z1559" s="253" t="s">
        <v>906</v>
      </c>
      <c r="AG1559" s="9"/>
    </row>
    <row r="1560" spans="24:33" x14ac:dyDescent="0.3">
      <c r="X1560" s="253" t="s">
        <v>1171</v>
      </c>
      <c r="Y1560" s="253" t="s">
        <v>821</v>
      </c>
      <c r="Z1560" s="253" t="s">
        <v>906</v>
      </c>
      <c r="AG1560" s="9"/>
    </row>
    <row r="1561" spans="24:33" x14ac:dyDescent="0.3">
      <c r="X1561" s="253" t="s">
        <v>779</v>
      </c>
      <c r="Y1561" s="253" t="s">
        <v>821</v>
      </c>
      <c r="Z1561" s="253" t="s">
        <v>906</v>
      </c>
      <c r="AG1561" s="9"/>
    </row>
    <row r="1562" spans="24:33" x14ac:dyDescent="0.3">
      <c r="X1562" s="253" t="s">
        <v>586</v>
      </c>
      <c r="Y1562" s="253" t="s">
        <v>821</v>
      </c>
      <c r="Z1562" s="253" t="s">
        <v>906</v>
      </c>
      <c r="AG1562" s="9"/>
    </row>
    <row r="1563" spans="24:33" x14ac:dyDescent="0.3">
      <c r="X1563" s="253" t="s">
        <v>663</v>
      </c>
      <c r="Y1563" s="253" t="s">
        <v>821</v>
      </c>
      <c r="Z1563" s="253" t="s">
        <v>906</v>
      </c>
      <c r="AG1563" s="9"/>
    </row>
    <row r="1564" spans="24:33" x14ac:dyDescent="0.3">
      <c r="X1564" s="253" t="s">
        <v>587</v>
      </c>
      <c r="Y1564" s="253" t="s">
        <v>823</v>
      </c>
      <c r="Z1564" s="253" t="s">
        <v>898</v>
      </c>
      <c r="AG1564" s="9"/>
    </row>
    <row r="1565" spans="24:33" x14ac:dyDescent="0.3">
      <c r="X1565" s="253" t="s">
        <v>1205</v>
      </c>
      <c r="Y1565" s="253" t="s">
        <v>823</v>
      </c>
      <c r="Z1565" s="253" t="s">
        <v>898</v>
      </c>
      <c r="AG1565" s="9"/>
    </row>
    <row r="1566" spans="24:33" x14ac:dyDescent="0.3">
      <c r="X1566" s="253" t="s">
        <v>496</v>
      </c>
      <c r="Y1566" s="253" t="s">
        <v>821</v>
      </c>
      <c r="Z1566" s="253" t="s">
        <v>906</v>
      </c>
      <c r="AG1566" s="9"/>
    </row>
    <row r="1567" spans="24:33" x14ac:dyDescent="0.3">
      <c r="X1567" s="253" t="s">
        <v>523</v>
      </c>
      <c r="Y1567" s="253" t="s">
        <v>821</v>
      </c>
      <c r="Z1567" s="253" t="s">
        <v>906</v>
      </c>
      <c r="AG1567" s="9"/>
    </row>
    <row r="1568" spans="24:33" x14ac:dyDescent="0.3">
      <c r="X1568" s="253" t="s">
        <v>552</v>
      </c>
      <c r="Y1568" s="253" t="s">
        <v>821</v>
      </c>
      <c r="Z1568" s="253" t="s">
        <v>906</v>
      </c>
      <c r="AG1568" s="9"/>
    </row>
    <row r="1569" spans="24:33" x14ac:dyDescent="0.3">
      <c r="X1569" s="253" t="s">
        <v>1172</v>
      </c>
      <c r="Y1569" s="253" t="s">
        <v>821</v>
      </c>
      <c r="Z1569" s="253" t="s">
        <v>906</v>
      </c>
      <c r="AG1569" s="9"/>
    </row>
    <row r="1570" spans="24:33" x14ac:dyDescent="0.3">
      <c r="X1570" s="253" t="s">
        <v>2164</v>
      </c>
      <c r="Y1570" s="253" t="s">
        <v>821</v>
      </c>
      <c r="Z1570" s="253" t="s">
        <v>906</v>
      </c>
      <c r="AG1570" s="9"/>
    </row>
    <row r="1571" spans="24:33" x14ac:dyDescent="0.3">
      <c r="X1571" s="253" t="s">
        <v>497</v>
      </c>
      <c r="Y1571" s="253" t="s">
        <v>821</v>
      </c>
      <c r="Z1571" s="253" t="s">
        <v>906</v>
      </c>
      <c r="AG1571" s="9"/>
    </row>
    <row r="1572" spans="24:33" x14ac:dyDescent="0.3">
      <c r="X1572" s="253" t="s">
        <v>525</v>
      </c>
      <c r="Y1572" s="253" t="s">
        <v>821</v>
      </c>
      <c r="Z1572" s="253" t="s">
        <v>906</v>
      </c>
      <c r="AG1572" s="9"/>
    </row>
    <row r="1573" spans="24:33" x14ac:dyDescent="0.3">
      <c r="X1573" s="253" t="s">
        <v>1174</v>
      </c>
      <c r="Y1573" s="253" t="s">
        <v>821</v>
      </c>
      <c r="Z1573" s="253" t="s">
        <v>906</v>
      </c>
      <c r="AG1573" s="9"/>
    </row>
    <row r="1574" spans="24:33" x14ac:dyDescent="0.3">
      <c r="X1574" s="253" t="s">
        <v>784</v>
      </c>
      <c r="Y1574" s="253" t="s">
        <v>821</v>
      </c>
      <c r="Z1574" s="253" t="s">
        <v>906</v>
      </c>
      <c r="AG1574" s="9"/>
    </row>
    <row r="1575" spans="24:33" x14ac:dyDescent="0.3">
      <c r="X1575" s="253" t="s">
        <v>1173</v>
      </c>
      <c r="Y1575" s="253" t="s">
        <v>821</v>
      </c>
      <c r="Z1575" s="253" t="s">
        <v>906</v>
      </c>
      <c r="AG1575" s="9"/>
    </row>
    <row r="1576" spans="24:33" x14ac:dyDescent="0.3">
      <c r="X1576" s="253" t="s">
        <v>589</v>
      </c>
      <c r="Y1576" s="253" t="s">
        <v>823</v>
      </c>
      <c r="Z1576" s="253" t="s">
        <v>898</v>
      </c>
      <c r="AG1576" s="9"/>
    </row>
    <row r="1577" spans="24:33" x14ac:dyDescent="0.3">
      <c r="X1577" s="253" t="s">
        <v>1206</v>
      </c>
      <c r="Y1577" s="253" t="s">
        <v>823</v>
      </c>
      <c r="Z1577" s="253" t="s">
        <v>898</v>
      </c>
      <c r="AG1577" s="9"/>
    </row>
    <row r="1578" spans="24:33" x14ac:dyDescent="0.3">
      <c r="X1578" s="253" t="s">
        <v>2165</v>
      </c>
      <c r="Y1578" s="253" t="s">
        <v>823</v>
      </c>
      <c r="Z1578" s="253" t="s">
        <v>898</v>
      </c>
      <c r="AG1578" s="9"/>
    </row>
    <row r="1579" spans="24:33" x14ac:dyDescent="0.3">
      <c r="X1579" s="253" t="s">
        <v>590</v>
      </c>
      <c r="Y1579" s="253" t="s">
        <v>823</v>
      </c>
      <c r="Z1579" s="253" t="s">
        <v>898</v>
      </c>
      <c r="AG1579" s="9"/>
    </row>
    <row r="1580" spans="24:33" x14ac:dyDescent="0.3">
      <c r="X1580" s="253" t="s">
        <v>665</v>
      </c>
      <c r="Y1580" s="253" t="s">
        <v>823</v>
      </c>
      <c r="Z1580" s="253" t="s">
        <v>898</v>
      </c>
      <c r="AG1580" s="9"/>
    </row>
    <row r="1581" spans="24:33" x14ac:dyDescent="0.3">
      <c r="X1581" s="253" t="s">
        <v>2166</v>
      </c>
      <c r="Y1581" s="253" t="s">
        <v>823</v>
      </c>
      <c r="Z1581" s="253" t="s">
        <v>898</v>
      </c>
      <c r="AG1581" s="9"/>
    </row>
    <row r="1582" spans="24:33" x14ac:dyDescent="0.3">
      <c r="X1582" s="253" t="s">
        <v>554</v>
      </c>
      <c r="Y1582" s="253" t="s">
        <v>823</v>
      </c>
      <c r="Z1582" s="253" t="s">
        <v>898</v>
      </c>
      <c r="AG1582" s="9"/>
    </row>
    <row r="1583" spans="24:33" x14ac:dyDescent="0.3">
      <c r="X1583" s="253" t="s">
        <v>590</v>
      </c>
      <c r="Y1583" s="253" t="s">
        <v>823</v>
      </c>
      <c r="Z1583" s="253" t="s">
        <v>898</v>
      </c>
      <c r="AG1583" s="9"/>
    </row>
    <row r="1584" spans="24:33" x14ac:dyDescent="0.3">
      <c r="X1584" s="253" t="s">
        <v>665</v>
      </c>
      <c r="Y1584" s="253" t="s">
        <v>823</v>
      </c>
      <c r="Z1584" s="253" t="s">
        <v>898</v>
      </c>
      <c r="AG1584" s="9"/>
    </row>
    <row r="1585" spans="24:33" x14ac:dyDescent="0.3">
      <c r="X1585" s="253" t="s">
        <v>2167</v>
      </c>
      <c r="Y1585" s="253" t="s">
        <v>823</v>
      </c>
      <c r="Z1585" s="253" t="s">
        <v>898</v>
      </c>
      <c r="AG1585" s="9"/>
    </row>
    <row r="1586" spans="24:33" x14ac:dyDescent="0.3">
      <c r="X1586" s="253" t="s">
        <v>528</v>
      </c>
      <c r="Y1586" s="253" t="s">
        <v>823</v>
      </c>
      <c r="Z1586" s="253" t="s">
        <v>898</v>
      </c>
      <c r="AG1586" s="9"/>
    </row>
    <row r="1587" spans="24:33" x14ac:dyDescent="0.3">
      <c r="X1587" s="253" t="s">
        <v>590</v>
      </c>
      <c r="Y1587" s="253" t="s">
        <v>823</v>
      </c>
      <c r="Z1587" s="253" t="s">
        <v>898</v>
      </c>
      <c r="AG1587" s="9"/>
    </row>
    <row r="1588" spans="24:33" x14ac:dyDescent="0.3">
      <c r="X1588" s="253" t="s">
        <v>665</v>
      </c>
      <c r="Y1588" s="253" t="s">
        <v>823</v>
      </c>
      <c r="Z1588" s="253" t="s">
        <v>898</v>
      </c>
      <c r="AG1588" s="9"/>
    </row>
    <row r="1589" spans="24:33" x14ac:dyDescent="0.3">
      <c r="X1589" s="253" t="s">
        <v>710</v>
      </c>
      <c r="Y1589" s="253" t="s">
        <v>823</v>
      </c>
      <c r="Z1589" s="253" t="s">
        <v>898</v>
      </c>
      <c r="AG1589" s="9"/>
    </row>
    <row r="1590" spans="24:33" x14ac:dyDescent="0.3">
      <c r="X1590" s="253" t="s">
        <v>666</v>
      </c>
      <c r="Y1590" s="253" t="s">
        <v>823</v>
      </c>
      <c r="Z1590" s="253" t="s">
        <v>898</v>
      </c>
      <c r="AG1590" s="9"/>
    </row>
    <row r="1591" spans="24:33" x14ac:dyDescent="0.3">
      <c r="X1591" s="253" t="s">
        <v>728</v>
      </c>
      <c r="Y1591" s="253" t="s">
        <v>823</v>
      </c>
      <c r="Z1591" s="253" t="s">
        <v>898</v>
      </c>
      <c r="AG1591" s="9"/>
    </row>
    <row r="1592" spans="24:33" x14ac:dyDescent="0.3">
      <c r="X1592" s="253" t="s">
        <v>591</v>
      </c>
      <c r="Y1592" s="253" t="s">
        <v>823</v>
      </c>
      <c r="Z1592" s="253" t="s">
        <v>898</v>
      </c>
      <c r="AG1592" s="9"/>
    </row>
    <row r="1593" spans="24:33" x14ac:dyDescent="0.3">
      <c r="X1593" s="253" t="s">
        <v>667</v>
      </c>
      <c r="Y1593" s="253" t="s">
        <v>823</v>
      </c>
      <c r="Z1593" s="253" t="s">
        <v>898</v>
      </c>
      <c r="AG1593" s="9"/>
    </row>
    <row r="1594" spans="24:33" x14ac:dyDescent="0.3">
      <c r="X1594" s="253" t="s">
        <v>592</v>
      </c>
      <c r="Y1594" s="253" t="s">
        <v>823</v>
      </c>
      <c r="Z1594" s="253" t="s">
        <v>898</v>
      </c>
      <c r="AG1594" s="9"/>
    </row>
    <row r="1595" spans="24:33" x14ac:dyDescent="0.3">
      <c r="X1595" s="253" t="s">
        <v>594</v>
      </c>
      <c r="Y1595" s="253" t="s">
        <v>823</v>
      </c>
      <c r="Z1595" s="253" t="s">
        <v>898</v>
      </c>
      <c r="AG1595" s="9"/>
    </row>
    <row r="1596" spans="24:33" x14ac:dyDescent="0.3">
      <c r="X1596" s="253" t="s">
        <v>668</v>
      </c>
      <c r="Y1596" s="253" t="s">
        <v>823</v>
      </c>
      <c r="Z1596" s="253" t="s">
        <v>898</v>
      </c>
      <c r="AG1596" s="9"/>
    </row>
    <row r="1597" spans="24:33" x14ac:dyDescent="0.3">
      <c r="X1597" s="253" t="s">
        <v>595</v>
      </c>
      <c r="Y1597" s="253" t="s">
        <v>823</v>
      </c>
      <c r="Z1597" s="253" t="s">
        <v>898</v>
      </c>
      <c r="AG1597" s="9"/>
    </row>
    <row r="1598" spans="24:33" x14ac:dyDescent="0.3">
      <c r="X1598" s="253" t="s">
        <v>669</v>
      </c>
      <c r="Y1598" s="253" t="s">
        <v>823</v>
      </c>
      <c r="Z1598" s="253" t="s">
        <v>898</v>
      </c>
      <c r="AG1598" s="9"/>
    </row>
    <row r="1599" spans="24:33" x14ac:dyDescent="0.3">
      <c r="X1599" s="253" t="s">
        <v>537</v>
      </c>
      <c r="Y1599" s="253" t="s">
        <v>823</v>
      </c>
      <c r="Z1599" s="253" t="s">
        <v>898</v>
      </c>
      <c r="AG1599" s="9"/>
    </row>
    <row r="1600" spans="24:33" x14ac:dyDescent="0.3">
      <c r="X1600" s="253" t="s">
        <v>711</v>
      </c>
      <c r="Y1600" s="253" t="s">
        <v>823</v>
      </c>
      <c r="Z1600" s="253" t="s">
        <v>898</v>
      </c>
      <c r="AG1600" s="9"/>
    </row>
    <row r="1601" spans="24:33" x14ac:dyDescent="0.3">
      <c r="X1601" s="253" t="s">
        <v>1149</v>
      </c>
      <c r="Y1601" s="253" t="s">
        <v>905</v>
      </c>
      <c r="Z1601" s="253" t="s">
        <v>906</v>
      </c>
      <c r="AG1601" s="9"/>
    </row>
    <row r="1602" spans="24:33" x14ac:dyDescent="0.3">
      <c r="X1602" s="253" t="s">
        <v>1151</v>
      </c>
      <c r="Y1602" s="253" t="s">
        <v>905</v>
      </c>
      <c r="Z1602" s="253" t="s">
        <v>906</v>
      </c>
      <c r="AG1602" s="9"/>
    </row>
    <row r="1603" spans="24:33" x14ac:dyDescent="0.3">
      <c r="X1603" s="253" t="s">
        <v>1150</v>
      </c>
      <c r="Y1603" s="253" t="s">
        <v>905</v>
      </c>
      <c r="Z1603" s="253" t="s">
        <v>906</v>
      </c>
      <c r="AG1603" s="9"/>
    </row>
    <row r="1604" spans="24:33" x14ac:dyDescent="0.3">
      <c r="X1604" s="253" t="s">
        <v>670</v>
      </c>
      <c r="Y1604" s="253" t="s">
        <v>905</v>
      </c>
      <c r="Z1604" s="253" t="s">
        <v>906</v>
      </c>
      <c r="AG1604" s="9"/>
    </row>
    <row r="1605" spans="24:33" x14ac:dyDescent="0.3">
      <c r="X1605" s="253" t="s">
        <v>2168</v>
      </c>
      <c r="Y1605" s="253" t="s">
        <v>905</v>
      </c>
      <c r="Z1605" s="253" t="s">
        <v>906</v>
      </c>
      <c r="AG1605" s="9"/>
    </row>
    <row r="1606" spans="24:33" x14ac:dyDescent="0.3">
      <c r="X1606" s="253" t="s">
        <v>671</v>
      </c>
      <c r="Y1606" s="253" t="s">
        <v>905</v>
      </c>
      <c r="Z1606" s="253" t="s">
        <v>906</v>
      </c>
      <c r="AG1606" s="9"/>
    </row>
    <row r="1607" spans="24:33" x14ac:dyDescent="0.3">
      <c r="X1607" s="253" t="s">
        <v>559</v>
      </c>
      <c r="Y1607" s="253" t="s">
        <v>823</v>
      </c>
      <c r="Z1607" s="253" t="s">
        <v>898</v>
      </c>
      <c r="AG1607" s="9"/>
    </row>
    <row r="1608" spans="24:33" x14ac:dyDescent="0.3">
      <c r="X1608" s="253" t="s">
        <v>729</v>
      </c>
      <c r="Y1608" s="253" t="s">
        <v>823</v>
      </c>
      <c r="Z1608" s="253" t="s">
        <v>898</v>
      </c>
      <c r="AG1608" s="9"/>
    </row>
    <row r="1609" spans="24:33" x14ac:dyDescent="0.3">
      <c r="X1609" s="253" t="s">
        <v>2399</v>
      </c>
      <c r="Y1609" s="253" t="s">
        <v>905</v>
      </c>
      <c r="Z1609" s="209" t="s">
        <v>906</v>
      </c>
      <c r="AG1609" s="9"/>
    </row>
    <row r="1610" spans="24:33" x14ac:dyDescent="0.3">
      <c r="X1610" s="253" t="s">
        <v>597</v>
      </c>
      <c r="Y1610" s="253" t="s">
        <v>823</v>
      </c>
      <c r="Z1610" s="253" t="s">
        <v>898</v>
      </c>
      <c r="AG1610" s="9"/>
    </row>
    <row r="1611" spans="24:33" x14ac:dyDescent="0.3">
      <c r="X1611" s="253" t="s">
        <v>672</v>
      </c>
      <c r="Y1611" s="253" t="s">
        <v>823</v>
      </c>
      <c r="Z1611" s="253" t="s">
        <v>898</v>
      </c>
      <c r="AG1611" s="9"/>
    </row>
    <row r="1612" spans="24:33" x14ac:dyDescent="0.3">
      <c r="X1612" s="253" t="s">
        <v>1175</v>
      </c>
      <c r="Y1612" s="253" t="s">
        <v>821</v>
      </c>
      <c r="Z1612" s="253" t="s">
        <v>906</v>
      </c>
      <c r="AG1612" s="9"/>
    </row>
    <row r="1613" spans="24:33" x14ac:dyDescent="0.3">
      <c r="X1613" s="253" t="s">
        <v>562</v>
      </c>
      <c r="Y1613" s="253" t="s">
        <v>821</v>
      </c>
      <c r="Z1613" s="253" t="s">
        <v>906</v>
      </c>
      <c r="AG1613" s="9"/>
    </row>
    <row r="1614" spans="24:33" x14ac:dyDescent="0.3">
      <c r="X1614" s="253" t="s">
        <v>600</v>
      </c>
      <c r="Y1614" s="253" t="s">
        <v>821</v>
      </c>
      <c r="Z1614" s="253" t="s">
        <v>906</v>
      </c>
      <c r="AG1614" s="9"/>
    </row>
    <row r="1615" spans="24:33" x14ac:dyDescent="0.3">
      <c r="X1615" s="253" t="s">
        <v>674</v>
      </c>
      <c r="Y1615" s="253" t="s">
        <v>821</v>
      </c>
      <c r="Z1615" s="253" t="s">
        <v>906</v>
      </c>
      <c r="AG1615" s="9"/>
    </row>
    <row r="1616" spans="24:33" x14ac:dyDescent="0.3">
      <c r="X1616" s="253" t="s">
        <v>543</v>
      </c>
      <c r="Y1616" s="253" t="s">
        <v>821</v>
      </c>
      <c r="Z1616" s="253" t="s">
        <v>906</v>
      </c>
      <c r="AG1616" s="9"/>
    </row>
    <row r="1617" spans="24:33" x14ac:dyDescent="0.3">
      <c r="X1617" s="253" t="s">
        <v>563</v>
      </c>
      <c r="Y1617" s="253" t="s">
        <v>821</v>
      </c>
      <c r="Z1617" s="253" t="s">
        <v>906</v>
      </c>
      <c r="AG1617" s="9"/>
    </row>
    <row r="1618" spans="24:33" x14ac:dyDescent="0.3">
      <c r="X1618" s="253" t="s">
        <v>602</v>
      </c>
      <c r="Y1618" s="253" t="s">
        <v>821</v>
      </c>
      <c r="Z1618" s="253" t="s">
        <v>906</v>
      </c>
      <c r="AG1618" s="9"/>
    </row>
    <row r="1619" spans="24:33" x14ac:dyDescent="0.3">
      <c r="X1619" s="253" t="s">
        <v>675</v>
      </c>
      <c r="Y1619" s="253" t="s">
        <v>821</v>
      </c>
      <c r="Z1619" s="253" t="s">
        <v>906</v>
      </c>
      <c r="AG1619" s="9"/>
    </row>
    <row r="1620" spans="24:33" x14ac:dyDescent="0.3">
      <c r="X1620" s="253" t="s">
        <v>603</v>
      </c>
      <c r="Y1620" s="253" t="s">
        <v>821</v>
      </c>
      <c r="Z1620" s="253" t="s">
        <v>906</v>
      </c>
      <c r="AG1620" s="9"/>
    </row>
    <row r="1621" spans="24:33" x14ac:dyDescent="0.3">
      <c r="X1621" s="253" t="s">
        <v>676</v>
      </c>
      <c r="Y1621" s="253" t="s">
        <v>821</v>
      </c>
      <c r="Z1621" s="253" t="s">
        <v>906</v>
      </c>
      <c r="AG1621" s="9"/>
    </row>
    <row r="1622" spans="24:33" x14ac:dyDescent="0.3">
      <c r="X1622" s="253" t="s">
        <v>604</v>
      </c>
      <c r="Y1622" s="253" t="s">
        <v>821</v>
      </c>
      <c r="Z1622" s="253" t="s">
        <v>906</v>
      </c>
      <c r="AG1622" s="9"/>
    </row>
    <row r="1623" spans="24:33" x14ac:dyDescent="0.3">
      <c r="X1623" s="253" t="s">
        <v>677</v>
      </c>
      <c r="Y1623" s="253" t="s">
        <v>821</v>
      </c>
      <c r="Z1623" s="253" t="s">
        <v>906</v>
      </c>
      <c r="AG1623" s="9"/>
    </row>
    <row r="1624" spans="24:33" x14ac:dyDescent="0.3">
      <c r="X1624" s="253" t="s">
        <v>605</v>
      </c>
      <c r="Y1624" s="253" t="s">
        <v>823</v>
      </c>
      <c r="Z1624" s="253" t="s">
        <v>898</v>
      </c>
      <c r="AG1624" s="9"/>
    </row>
    <row r="1625" spans="24:33" x14ac:dyDescent="0.3">
      <c r="X1625" s="253" t="s">
        <v>678</v>
      </c>
      <c r="Y1625" s="253" t="s">
        <v>823</v>
      </c>
      <c r="Z1625" s="253" t="s">
        <v>898</v>
      </c>
      <c r="AG1625" s="9"/>
    </row>
    <row r="1626" spans="24:33" x14ac:dyDescent="0.3">
      <c r="X1626" s="253" t="s">
        <v>712</v>
      </c>
      <c r="Y1626" s="253" t="s">
        <v>823</v>
      </c>
      <c r="Z1626" s="253" t="s">
        <v>898</v>
      </c>
      <c r="AG1626" s="9"/>
    </row>
    <row r="1627" spans="24:33" x14ac:dyDescent="0.3">
      <c r="X1627" s="253" t="s">
        <v>679</v>
      </c>
      <c r="Y1627" s="253" t="s">
        <v>823</v>
      </c>
      <c r="Z1627" s="253" t="s">
        <v>898</v>
      </c>
      <c r="AG1627" s="9"/>
    </row>
    <row r="1628" spans="24:33" x14ac:dyDescent="0.3">
      <c r="X1628" s="253" t="s">
        <v>606</v>
      </c>
      <c r="Y1628" s="253" t="s">
        <v>823</v>
      </c>
      <c r="Z1628" s="253" t="s">
        <v>898</v>
      </c>
      <c r="AG1628" s="9"/>
    </row>
    <row r="1629" spans="24:33" x14ac:dyDescent="0.3">
      <c r="X1629" s="253" t="s">
        <v>545</v>
      </c>
      <c r="Y1629" s="253" t="s">
        <v>823</v>
      </c>
      <c r="Z1629" s="253" t="s">
        <v>898</v>
      </c>
      <c r="AG1629" s="9"/>
    </row>
    <row r="1630" spans="24:33" x14ac:dyDescent="0.3">
      <c r="X1630" s="253" t="s">
        <v>566</v>
      </c>
      <c r="Y1630" s="253" t="s">
        <v>823</v>
      </c>
      <c r="Z1630" s="253" t="s">
        <v>898</v>
      </c>
      <c r="AG1630" s="9"/>
    </row>
    <row r="1631" spans="24:33" x14ac:dyDescent="0.3">
      <c r="X1631" s="91" t="s">
        <v>730</v>
      </c>
      <c r="Y1631" s="253" t="s">
        <v>823</v>
      </c>
      <c r="Z1631" s="253" t="s">
        <v>898</v>
      </c>
      <c r="AG1631" s="9"/>
    </row>
    <row r="1632" spans="24:33" x14ac:dyDescent="0.3">
      <c r="X1632" s="91" t="s">
        <v>566</v>
      </c>
      <c r="Y1632" s="91" t="s">
        <v>823</v>
      </c>
      <c r="Z1632" s="253" t="s">
        <v>898</v>
      </c>
      <c r="AG1632" s="9"/>
    </row>
    <row r="1633" spans="24:33" x14ac:dyDescent="0.3">
      <c r="X1633" s="91" t="s">
        <v>606</v>
      </c>
      <c r="Y1633" s="91" t="s">
        <v>823</v>
      </c>
      <c r="Z1633" s="253" t="s">
        <v>898</v>
      </c>
      <c r="AG1633" s="9"/>
    </row>
    <row r="1634" spans="24:33" x14ac:dyDescent="0.3">
      <c r="X1634" s="91" t="s">
        <v>679</v>
      </c>
      <c r="Y1634" s="91" t="s">
        <v>823</v>
      </c>
      <c r="Z1634" s="253" t="s">
        <v>898</v>
      </c>
      <c r="AG1634" s="9"/>
    </row>
    <row r="1635" spans="24:33" x14ac:dyDescent="0.3">
      <c r="X1635" s="91" t="s">
        <v>712</v>
      </c>
      <c r="Y1635" s="91" t="s">
        <v>823</v>
      </c>
      <c r="Z1635" s="253" t="s">
        <v>898</v>
      </c>
      <c r="AG1635" s="9"/>
    </row>
    <row r="1636" spans="24:33" x14ac:dyDescent="0.3">
      <c r="X1636" s="91" t="s">
        <v>1204</v>
      </c>
      <c r="Y1636" s="91" t="s">
        <v>823</v>
      </c>
      <c r="Z1636" s="253" t="s">
        <v>898</v>
      </c>
      <c r="AG1636" s="9"/>
    </row>
    <row r="1637" spans="24:33" x14ac:dyDescent="0.3">
      <c r="X1637" s="91" t="s">
        <v>685</v>
      </c>
      <c r="Y1637" s="91" t="s">
        <v>823</v>
      </c>
      <c r="Z1637" s="253" t="s">
        <v>898</v>
      </c>
      <c r="AG1637" s="9"/>
    </row>
    <row r="1638" spans="24:33" x14ac:dyDescent="0.3">
      <c r="X1638" s="91" t="s">
        <v>610</v>
      </c>
      <c r="Y1638" s="91" t="s">
        <v>823</v>
      </c>
      <c r="Z1638" s="253" t="s">
        <v>898</v>
      </c>
      <c r="AG1638" s="9"/>
    </row>
    <row r="1639" spans="24:33" x14ac:dyDescent="0.3">
      <c r="X1639" s="91" t="s">
        <v>676</v>
      </c>
      <c r="Y1639" s="91" t="s">
        <v>821</v>
      </c>
      <c r="Z1639" s="253" t="s">
        <v>906</v>
      </c>
      <c r="AG1639" s="9"/>
    </row>
    <row r="1640" spans="24:33" x14ac:dyDescent="0.3">
      <c r="X1640" s="91" t="s">
        <v>678</v>
      </c>
      <c r="Y1640" s="91" t="s">
        <v>823</v>
      </c>
      <c r="Z1640" s="253" t="s">
        <v>898</v>
      </c>
      <c r="AG1640" s="9"/>
    </row>
    <row r="1641" spans="24:33" x14ac:dyDescent="0.3">
      <c r="X1641" s="91" t="s">
        <v>686</v>
      </c>
      <c r="Y1641" s="91" t="s">
        <v>823</v>
      </c>
      <c r="Z1641" s="253" t="s">
        <v>898</v>
      </c>
      <c r="AG1641" s="9"/>
    </row>
    <row r="1642" spans="24:33" x14ac:dyDescent="0.3">
      <c r="X1642" s="91" t="s">
        <v>612</v>
      </c>
      <c r="Y1642" s="253" t="s">
        <v>823</v>
      </c>
      <c r="Z1642" s="253" t="s">
        <v>898</v>
      </c>
      <c r="AG1642" s="9"/>
    </row>
    <row r="1643" spans="24:33" x14ac:dyDescent="0.3">
      <c r="X1643" s="91" t="s">
        <v>614</v>
      </c>
      <c r="Y1643" s="253" t="s">
        <v>823</v>
      </c>
      <c r="Z1643" s="253" t="s">
        <v>898</v>
      </c>
      <c r="AG1643" s="9"/>
    </row>
    <row r="1644" spans="24:33" x14ac:dyDescent="0.3">
      <c r="X1644" s="91" t="s">
        <v>687</v>
      </c>
      <c r="Y1644" s="253" t="s">
        <v>823</v>
      </c>
      <c r="Z1644" s="253" t="s">
        <v>898</v>
      </c>
      <c r="AG1644" s="9"/>
    </row>
    <row r="1645" spans="24:33" x14ac:dyDescent="0.3">
      <c r="X1645" s="91" t="s">
        <v>626</v>
      </c>
      <c r="Y1645" s="253" t="s">
        <v>823</v>
      </c>
      <c r="Z1645" s="253" t="s">
        <v>898</v>
      </c>
      <c r="AG1645" s="9"/>
    </row>
    <row r="1646" spans="24:33" x14ac:dyDescent="0.3">
      <c r="X1646" s="91" t="s">
        <v>627</v>
      </c>
      <c r="Y1646" s="253" t="s">
        <v>823</v>
      </c>
      <c r="Z1646" s="253" t="s">
        <v>898</v>
      </c>
      <c r="AG1646" s="9"/>
    </row>
    <row r="1647" spans="24:33" x14ac:dyDescent="0.3">
      <c r="X1647" s="91" t="s">
        <v>551</v>
      </c>
      <c r="Y1647" s="253" t="s">
        <v>823</v>
      </c>
      <c r="Z1647" s="253" t="s">
        <v>898</v>
      </c>
      <c r="AG1647" s="9"/>
    </row>
    <row r="1648" spans="24:33" x14ac:dyDescent="0.3">
      <c r="X1648" s="91" t="s">
        <v>713</v>
      </c>
      <c r="Y1648" s="253" t="s">
        <v>823</v>
      </c>
      <c r="Z1648" s="253" t="s">
        <v>898</v>
      </c>
      <c r="AG1648" s="9"/>
    </row>
    <row r="1649" spans="24:33" x14ac:dyDescent="0.3">
      <c r="X1649" s="91" t="s">
        <v>688</v>
      </c>
      <c r="Y1649" s="253" t="s">
        <v>823</v>
      </c>
      <c r="Z1649" s="253" t="s">
        <v>898</v>
      </c>
      <c r="AG1649" s="9"/>
    </row>
    <row r="1650" spans="24:33" x14ac:dyDescent="0.3">
      <c r="X1650" s="91" t="s">
        <v>628</v>
      </c>
      <c r="Y1650" s="253" t="s">
        <v>823</v>
      </c>
      <c r="Z1650" s="253" t="s">
        <v>898</v>
      </c>
      <c r="AG1650" s="9"/>
    </row>
    <row r="1651" spans="24:33" x14ac:dyDescent="0.3">
      <c r="X1651" s="91" t="s">
        <v>2169</v>
      </c>
      <c r="Y1651" s="253" t="s">
        <v>823</v>
      </c>
      <c r="Z1651" s="253" t="s">
        <v>898</v>
      </c>
      <c r="AG1651" s="9"/>
    </row>
    <row r="1652" spans="24:33" x14ac:dyDescent="0.3">
      <c r="X1652" s="91" t="s">
        <v>2170</v>
      </c>
      <c r="Y1652" s="253" t="s">
        <v>823</v>
      </c>
      <c r="Z1652" s="253" t="s">
        <v>898</v>
      </c>
      <c r="AG1652" s="9"/>
    </row>
    <row r="1653" spans="24:33" x14ac:dyDescent="0.3">
      <c r="X1653" s="91" t="s">
        <v>553</v>
      </c>
      <c r="Y1653" s="253" t="s">
        <v>823</v>
      </c>
      <c r="Z1653" s="253" t="s">
        <v>898</v>
      </c>
      <c r="AG1653" s="9"/>
    </row>
    <row r="1654" spans="24:33" x14ac:dyDescent="0.3">
      <c r="X1654" s="91" t="s">
        <v>629</v>
      </c>
      <c r="Y1654" s="253" t="s">
        <v>823</v>
      </c>
      <c r="Z1654" s="253" t="s">
        <v>898</v>
      </c>
      <c r="AG1654" s="9"/>
    </row>
    <row r="1655" spans="24:33" x14ac:dyDescent="0.3">
      <c r="X1655" s="91" t="s">
        <v>689</v>
      </c>
      <c r="Y1655" s="253" t="s">
        <v>823</v>
      </c>
      <c r="Z1655" s="253" t="s">
        <v>898</v>
      </c>
      <c r="AG1655" s="9"/>
    </row>
    <row r="1656" spans="24:33" x14ac:dyDescent="0.3">
      <c r="X1656" s="91" t="s">
        <v>731</v>
      </c>
      <c r="Y1656" s="253" t="s">
        <v>823</v>
      </c>
      <c r="Z1656" s="253" t="s">
        <v>898</v>
      </c>
      <c r="AG1656" s="9"/>
    </row>
    <row r="1657" spans="24:33" x14ac:dyDescent="0.3">
      <c r="X1657" s="91" t="s">
        <v>690</v>
      </c>
      <c r="Y1657" s="253" t="s">
        <v>823</v>
      </c>
      <c r="Z1657" s="253" t="s">
        <v>898</v>
      </c>
      <c r="AG1657" s="9"/>
    </row>
    <row r="1658" spans="24:33" x14ac:dyDescent="0.3">
      <c r="X1658" s="91" t="s">
        <v>576</v>
      </c>
      <c r="Y1658" s="253" t="s">
        <v>823</v>
      </c>
      <c r="Z1658" s="253" t="s">
        <v>898</v>
      </c>
      <c r="AG1658" s="9"/>
    </row>
    <row r="1659" spans="24:33" x14ac:dyDescent="0.3">
      <c r="X1659" s="91" t="s">
        <v>2400</v>
      </c>
      <c r="Y1659" s="253" t="s">
        <v>823</v>
      </c>
      <c r="Z1659" s="253" t="s">
        <v>898</v>
      </c>
      <c r="AG1659" s="9"/>
    </row>
    <row r="1660" spans="24:33" x14ac:dyDescent="0.3">
      <c r="X1660" s="91" t="s">
        <v>2401</v>
      </c>
      <c r="Y1660" s="253" t="s">
        <v>821</v>
      </c>
      <c r="Z1660" s="253" t="s">
        <v>906</v>
      </c>
      <c r="AG1660" s="9"/>
    </row>
    <row r="1661" spans="24:33" x14ac:dyDescent="0.3">
      <c r="X1661" s="91" t="s">
        <v>630</v>
      </c>
      <c r="Y1661" s="253" t="s">
        <v>821</v>
      </c>
      <c r="Z1661" s="253" t="s">
        <v>906</v>
      </c>
      <c r="AG1661" s="9"/>
    </row>
    <row r="1662" spans="24:33" x14ac:dyDescent="0.3">
      <c r="X1662" s="91" t="s">
        <v>2402</v>
      </c>
      <c r="Y1662" s="253" t="s">
        <v>821</v>
      </c>
      <c r="Z1662" s="253" t="s">
        <v>906</v>
      </c>
      <c r="AG1662" s="9"/>
    </row>
    <row r="1663" spans="24:33" x14ac:dyDescent="0.3">
      <c r="X1663" s="91" t="s">
        <v>692</v>
      </c>
      <c r="Y1663" s="253" t="s">
        <v>821</v>
      </c>
      <c r="Z1663" s="253" t="s">
        <v>906</v>
      </c>
      <c r="AG1663" s="9"/>
    </row>
    <row r="1664" spans="24:33" x14ac:dyDescent="0.3">
      <c r="X1664" s="91" t="s">
        <v>631</v>
      </c>
      <c r="Y1664" s="253" t="s">
        <v>823</v>
      </c>
      <c r="Z1664" s="253" t="s">
        <v>898</v>
      </c>
      <c r="AG1664" s="9"/>
    </row>
    <row r="1665" spans="24:33" x14ac:dyDescent="0.3">
      <c r="X1665" s="91" t="s">
        <v>2403</v>
      </c>
      <c r="Y1665" s="253" t="s">
        <v>821</v>
      </c>
      <c r="Z1665" s="253" t="s">
        <v>906</v>
      </c>
      <c r="AG1665" s="9"/>
    </row>
    <row r="1666" spans="24:33" x14ac:dyDescent="0.3">
      <c r="X1666" s="91" t="s">
        <v>2404</v>
      </c>
      <c r="Y1666" s="253" t="s">
        <v>821</v>
      </c>
      <c r="Z1666" s="253" t="s">
        <v>906</v>
      </c>
      <c r="AG1666" s="9"/>
    </row>
    <row r="1667" spans="24:33" x14ac:dyDescent="0.3">
      <c r="X1667" s="91" t="s">
        <v>2405</v>
      </c>
      <c r="Y1667" s="253" t="s">
        <v>821</v>
      </c>
      <c r="Z1667" s="253" t="s">
        <v>906</v>
      </c>
      <c r="AG1667" s="9"/>
    </row>
    <row r="1668" spans="24:33" x14ac:dyDescent="0.3">
      <c r="X1668" s="91" t="s">
        <v>2406</v>
      </c>
      <c r="Y1668" s="253" t="s">
        <v>821</v>
      </c>
      <c r="Z1668" s="253" t="s">
        <v>906</v>
      </c>
      <c r="AG1668" s="9"/>
    </row>
    <row r="1669" spans="24:33" x14ac:dyDescent="0.3">
      <c r="X1669" s="91" t="s">
        <v>693</v>
      </c>
      <c r="Y1669" s="253" t="s">
        <v>823</v>
      </c>
      <c r="Z1669" s="253" t="s">
        <v>898</v>
      </c>
      <c r="AG1669" s="9"/>
    </row>
    <row r="1670" spans="24:33" x14ac:dyDescent="0.3">
      <c r="X1670" s="91" t="s">
        <v>632</v>
      </c>
      <c r="Y1670" s="253" t="s">
        <v>905</v>
      </c>
      <c r="Z1670" s="253" t="s">
        <v>906</v>
      </c>
      <c r="AG1670" s="9"/>
    </row>
    <row r="1671" spans="24:33" x14ac:dyDescent="0.3">
      <c r="X1671" s="91" t="s">
        <v>695</v>
      </c>
      <c r="Y1671" s="253" t="s">
        <v>905</v>
      </c>
      <c r="Z1671" s="253" t="s">
        <v>906</v>
      </c>
      <c r="AG1671" s="9"/>
    </row>
    <row r="1672" spans="24:33" x14ac:dyDescent="0.3">
      <c r="X1672" s="91" t="s">
        <v>2407</v>
      </c>
      <c r="Y1672" s="253" t="s">
        <v>905</v>
      </c>
      <c r="Z1672" s="253" t="s">
        <v>906</v>
      </c>
      <c r="AG1672" s="9"/>
    </row>
    <row r="1673" spans="24:33" x14ac:dyDescent="0.3">
      <c r="X1673" s="91" t="s">
        <v>2408</v>
      </c>
      <c r="Y1673" s="253" t="s">
        <v>905</v>
      </c>
      <c r="Z1673" s="253" t="s">
        <v>906</v>
      </c>
      <c r="AG1673" s="9"/>
    </row>
    <row r="1674" spans="24:33" x14ac:dyDescent="0.3">
      <c r="X1674" s="91" t="s">
        <v>634</v>
      </c>
      <c r="Y1674" s="253" t="s">
        <v>821</v>
      </c>
      <c r="Z1674" s="253" t="s">
        <v>906</v>
      </c>
      <c r="AG1674" s="9"/>
    </row>
    <row r="1675" spans="24:33" x14ac:dyDescent="0.3">
      <c r="X1675" s="91" t="s">
        <v>2409</v>
      </c>
      <c r="Y1675" s="253" t="s">
        <v>821</v>
      </c>
      <c r="Z1675" s="253" t="s">
        <v>906</v>
      </c>
      <c r="AG1675" s="9"/>
    </row>
    <row r="1676" spans="24:33" x14ac:dyDescent="0.3">
      <c r="X1676" s="91" t="s">
        <v>635</v>
      </c>
      <c r="Y1676" s="253" t="s">
        <v>823</v>
      </c>
      <c r="Z1676" s="253" t="s">
        <v>898</v>
      </c>
      <c r="AG1676" s="9"/>
    </row>
    <row r="1677" spans="24:33" x14ac:dyDescent="0.3">
      <c r="X1677" s="91" t="s">
        <v>697</v>
      </c>
      <c r="Y1677" s="253" t="s">
        <v>823</v>
      </c>
      <c r="Z1677" s="253" t="s">
        <v>898</v>
      </c>
      <c r="AG1677" s="9"/>
    </row>
    <row r="1678" spans="24:33" x14ac:dyDescent="0.3">
      <c r="X1678" s="91" t="s">
        <v>2410</v>
      </c>
      <c r="Y1678" s="253" t="s">
        <v>821</v>
      </c>
      <c r="Z1678" s="253" t="s">
        <v>906</v>
      </c>
      <c r="AG1678" s="9"/>
    </row>
    <row r="1679" spans="24:33" x14ac:dyDescent="0.3">
      <c r="X1679" s="91" t="s">
        <v>2410</v>
      </c>
      <c r="Y1679" s="253" t="s">
        <v>821</v>
      </c>
      <c r="Z1679" s="253" t="s">
        <v>906</v>
      </c>
      <c r="AG1679" s="9"/>
    </row>
    <row r="1680" spans="24:33" x14ac:dyDescent="0.3">
      <c r="X1680" s="91" t="s">
        <v>2411</v>
      </c>
      <c r="Y1680" s="253" t="s">
        <v>821</v>
      </c>
      <c r="Z1680" s="253" t="s">
        <v>906</v>
      </c>
      <c r="AG1680" s="9"/>
    </row>
    <row r="1681" spans="24:33" x14ac:dyDescent="0.3">
      <c r="X1681" s="91" t="s">
        <v>714</v>
      </c>
      <c r="Y1681" s="253" t="s">
        <v>823</v>
      </c>
      <c r="Z1681" s="253" t="s">
        <v>898</v>
      </c>
      <c r="AG1681" s="9"/>
    </row>
    <row r="1682" spans="24:33" x14ac:dyDescent="0.3">
      <c r="X1682" s="91" t="s">
        <v>699</v>
      </c>
      <c r="Y1682" s="253" t="s">
        <v>823</v>
      </c>
      <c r="Z1682" s="253" t="s">
        <v>898</v>
      </c>
      <c r="AG1682" s="9"/>
    </row>
    <row r="1683" spans="24:33" x14ac:dyDescent="0.3">
      <c r="X1683" s="91" t="s">
        <v>636</v>
      </c>
      <c r="Y1683" s="253" t="s">
        <v>823</v>
      </c>
      <c r="Z1683" s="253" t="s">
        <v>898</v>
      </c>
      <c r="AG1683" s="9"/>
    </row>
    <row r="1684" spans="24:33" x14ac:dyDescent="0.3">
      <c r="X1684" s="91" t="s">
        <v>732</v>
      </c>
      <c r="Y1684" s="253" t="s">
        <v>823</v>
      </c>
      <c r="Z1684" s="253" t="s">
        <v>898</v>
      </c>
      <c r="AG1684" s="9"/>
    </row>
    <row r="1685" spans="24:33" x14ac:dyDescent="0.3">
      <c r="X1685" s="91" t="s">
        <v>555</v>
      </c>
      <c r="Y1685" s="253" t="s">
        <v>823</v>
      </c>
      <c r="Z1685" s="253" t="s">
        <v>898</v>
      </c>
      <c r="AG1685" s="9"/>
    </row>
    <row r="1686" spans="24:33" x14ac:dyDescent="0.3">
      <c r="X1686" s="91" t="s">
        <v>583</v>
      </c>
      <c r="Y1686" s="253" t="s">
        <v>823</v>
      </c>
      <c r="Z1686" s="253" t="s">
        <v>898</v>
      </c>
      <c r="AG1686" s="9"/>
    </row>
    <row r="1687" spans="24:33" x14ac:dyDescent="0.3">
      <c r="X1687" s="91" t="s">
        <v>637</v>
      </c>
      <c r="Y1687" s="253" t="s">
        <v>823</v>
      </c>
      <c r="Z1687" s="253" t="s">
        <v>898</v>
      </c>
      <c r="AG1687" s="9"/>
    </row>
    <row r="1688" spans="24:33" x14ac:dyDescent="0.3">
      <c r="X1688" s="91" t="s">
        <v>700</v>
      </c>
      <c r="Y1688" s="253" t="s">
        <v>823</v>
      </c>
      <c r="Z1688" s="253" t="s">
        <v>898</v>
      </c>
      <c r="AG1688" s="9"/>
    </row>
    <row r="1689" spans="24:33" x14ac:dyDescent="0.3">
      <c r="X1689" s="91" t="s">
        <v>557</v>
      </c>
      <c r="Y1689" s="253" t="s">
        <v>823</v>
      </c>
      <c r="Z1689" s="253" t="s">
        <v>898</v>
      </c>
      <c r="AG1689" s="9"/>
    </row>
    <row r="1690" spans="24:33" x14ac:dyDescent="0.3">
      <c r="X1690" s="91" t="s">
        <v>638</v>
      </c>
      <c r="Y1690" s="253" t="s">
        <v>823</v>
      </c>
      <c r="Z1690" s="253" t="s">
        <v>898</v>
      </c>
      <c r="AG1690" s="9"/>
    </row>
    <row r="1691" spans="24:33" x14ac:dyDescent="0.3">
      <c r="X1691" s="91" t="s">
        <v>640</v>
      </c>
      <c r="Y1691" s="253" t="s">
        <v>823</v>
      </c>
      <c r="Z1691" s="253" t="s">
        <v>898</v>
      </c>
      <c r="AG1691" s="9"/>
    </row>
    <row r="1692" spans="24:33" x14ac:dyDescent="0.3">
      <c r="X1692" s="91" t="s">
        <v>701</v>
      </c>
      <c r="Y1692" s="253" t="s">
        <v>823</v>
      </c>
      <c r="Z1692" s="253" t="s">
        <v>898</v>
      </c>
      <c r="AG1692" s="9"/>
    </row>
    <row r="1693" spans="24:33" x14ac:dyDescent="0.3">
      <c r="X1693" s="91" t="s">
        <v>639</v>
      </c>
      <c r="Y1693" s="253" t="s">
        <v>823</v>
      </c>
      <c r="Z1693" s="253" t="s">
        <v>898</v>
      </c>
      <c r="AG1693" s="9"/>
    </row>
    <row r="1694" spans="24:33" x14ac:dyDescent="0.3">
      <c r="X1694" s="91" t="s">
        <v>2412</v>
      </c>
      <c r="Y1694" s="253" t="s">
        <v>905</v>
      </c>
      <c r="Z1694" s="253" t="s">
        <v>906</v>
      </c>
      <c r="AG1694" s="9"/>
    </row>
    <row r="1695" spans="24:33" x14ac:dyDescent="0.3">
      <c r="X1695" s="91" t="s">
        <v>2413</v>
      </c>
      <c r="Y1695" s="253" t="s">
        <v>905</v>
      </c>
      <c r="Z1695" s="253" t="s">
        <v>906</v>
      </c>
      <c r="AG1695" s="9"/>
    </row>
    <row r="1696" spans="24:33" x14ac:dyDescent="0.3">
      <c r="X1696" s="91" t="s">
        <v>2414</v>
      </c>
      <c r="Y1696" s="253" t="s">
        <v>905</v>
      </c>
      <c r="Z1696" s="253" t="s">
        <v>906</v>
      </c>
      <c r="AG1696" s="9"/>
    </row>
    <row r="1697" spans="24:33" x14ac:dyDescent="0.3">
      <c r="X1697" s="91" t="s">
        <v>2415</v>
      </c>
      <c r="Y1697" s="253" t="s">
        <v>905</v>
      </c>
      <c r="Z1697" s="253" t="s">
        <v>906</v>
      </c>
      <c r="AG1697" s="9"/>
    </row>
    <row r="1698" spans="24:33" x14ac:dyDescent="0.3">
      <c r="X1698" s="91" t="s">
        <v>2416</v>
      </c>
      <c r="Y1698" s="253" t="s">
        <v>905</v>
      </c>
      <c r="Z1698" s="253" t="s">
        <v>906</v>
      </c>
      <c r="AG1698" s="9"/>
    </row>
    <row r="1699" spans="24:33" x14ac:dyDescent="0.3">
      <c r="X1699" s="258" t="s">
        <v>2417</v>
      </c>
      <c r="Y1699" s="253" t="s">
        <v>905</v>
      </c>
      <c r="Z1699" s="253" t="s">
        <v>906</v>
      </c>
      <c r="AG1699" s="9"/>
    </row>
    <row r="1700" spans="24:33" x14ac:dyDescent="0.3">
      <c r="X1700" s="91" t="s">
        <v>641</v>
      </c>
      <c r="Y1700" s="253" t="s">
        <v>823</v>
      </c>
      <c r="Z1700" s="253" t="s">
        <v>898</v>
      </c>
      <c r="AG1700" s="9"/>
    </row>
    <row r="1701" spans="24:33" x14ac:dyDescent="0.3">
      <c r="X1701" s="91" t="s">
        <v>558</v>
      </c>
      <c r="Y1701" s="253" t="s">
        <v>823</v>
      </c>
      <c r="Z1701" s="253" t="s">
        <v>898</v>
      </c>
      <c r="AG1701" s="9"/>
    </row>
    <row r="1702" spans="24:33" x14ac:dyDescent="0.3">
      <c r="X1702" s="91" t="s">
        <v>2418</v>
      </c>
      <c r="Y1702" s="253" t="s">
        <v>905</v>
      </c>
      <c r="Z1702" s="253" t="s">
        <v>906</v>
      </c>
      <c r="AG1702" s="9"/>
    </row>
    <row r="1703" spans="24:33" x14ac:dyDescent="0.3">
      <c r="X1703" s="91" t="s">
        <v>2419</v>
      </c>
      <c r="Y1703" s="253" t="s">
        <v>905</v>
      </c>
      <c r="Z1703" s="253" t="s">
        <v>906</v>
      </c>
      <c r="AG1703" s="9"/>
    </row>
    <row r="1704" spans="24:33" x14ac:dyDescent="0.3">
      <c r="X1704" s="91" t="s">
        <v>2420</v>
      </c>
      <c r="Y1704" s="253" t="s">
        <v>905</v>
      </c>
      <c r="Z1704" s="253" t="s">
        <v>906</v>
      </c>
      <c r="AG1704" s="9"/>
    </row>
    <row r="1705" spans="24:33" x14ac:dyDescent="0.3">
      <c r="X1705" s="91" t="s">
        <v>2421</v>
      </c>
      <c r="Y1705" s="253" t="s">
        <v>905</v>
      </c>
      <c r="Z1705" s="253" t="s">
        <v>906</v>
      </c>
      <c r="AG1705" s="9"/>
    </row>
    <row r="1706" spans="24:33" x14ac:dyDescent="0.3">
      <c r="X1706" s="91" t="s">
        <v>702</v>
      </c>
      <c r="Y1706" s="253" t="s">
        <v>823</v>
      </c>
      <c r="Z1706" s="253" t="s">
        <v>898</v>
      </c>
      <c r="AG1706" s="9"/>
    </row>
    <row r="1707" spans="24:33" x14ac:dyDescent="0.3">
      <c r="X1707" s="91" t="s">
        <v>2422</v>
      </c>
      <c r="Y1707" s="253" t="s">
        <v>905</v>
      </c>
      <c r="Z1707" s="253" t="s">
        <v>906</v>
      </c>
      <c r="AG1707" s="9"/>
    </row>
    <row r="1708" spans="24:33" x14ac:dyDescent="0.3">
      <c r="X1708" s="91" t="s">
        <v>733</v>
      </c>
      <c r="Y1708" s="253" t="s">
        <v>823</v>
      </c>
      <c r="Z1708" s="253" t="s">
        <v>898</v>
      </c>
      <c r="AG1708" s="9"/>
    </row>
    <row r="1709" spans="24:33" x14ac:dyDescent="0.3">
      <c r="X1709" s="91" t="s">
        <v>703</v>
      </c>
      <c r="Y1709" s="253" t="s">
        <v>823</v>
      </c>
      <c r="Z1709" s="253" t="s">
        <v>898</v>
      </c>
      <c r="AG1709" s="9"/>
    </row>
    <row r="1710" spans="24:33" x14ac:dyDescent="0.3">
      <c r="X1710" s="91" t="s">
        <v>584</v>
      </c>
      <c r="Y1710" s="253" t="s">
        <v>823</v>
      </c>
      <c r="Z1710" s="253" t="s">
        <v>898</v>
      </c>
      <c r="AG1710" s="9"/>
    </row>
    <row r="1711" spans="24:33" x14ac:dyDescent="0.3">
      <c r="X1711" s="91" t="s">
        <v>644</v>
      </c>
      <c r="Y1711" s="253" t="s">
        <v>823</v>
      </c>
      <c r="Z1711" s="253" t="s">
        <v>898</v>
      </c>
      <c r="AG1711" s="9"/>
    </row>
    <row r="1712" spans="24:33" x14ac:dyDescent="0.3">
      <c r="X1712" s="91" t="s">
        <v>2423</v>
      </c>
      <c r="Y1712" s="253" t="s">
        <v>823</v>
      </c>
      <c r="Z1712" s="253" t="s">
        <v>898</v>
      </c>
      <c r="AG1712" s="9"/>
    </row>
    <row r="1713" spans="24:33" x14ac:dyDescent="0.3">
      <c r="X1713" s="91" t="s">
        <v>2424</v>
      </c>
      <c r="Y1713" s="253" t="s">
        <v>823</v>
      </c>
      <c r="Z1713" s="253" t="s">
        <v>898</v>
      </c>
      <c r="AG1713" s="9"/>
    </row>
    <row r="1714" spans="24:33" x14ac:dyDescent="0.3">
      <c r="X1714" s="91" t="s">
        <v>2425</v>
      </c>
      <c r="Y1714" s="253" t="s">
        <v>823</v>
      </c>
      <c r="Z1714" s="253" t="s">
        <v>898</v>
      </c>
      <c r="AG1714" s="9"/>
    </row>
    <row r="1715" spans="24:33" x14ac:dyDescent="0.3">
      <c r="X1715" s="91" t="s">
        <v>561</v>
      </c>
      <c r="Y1715" s="91" t="s">
        <v>823</v>
      </c>
      <c r="Z1715" s="253" t="s">
        <v>898</v>
      </c>
      <c r="AG1715" s="9"/>
    </row>
    <row r="1716" spans="24:33" x14ac:dyDescent="0.3">
      <c r="X1716" s="91" t="s">
        <v>645</v>
      </c>
      <c r="Y1716" s="91" t="s">
        <v>823</v>
      </c>
      <c r="Z1716" s="253" t="s">
        <v>898</v>
      </c>
      <c r="AG1716" s="9"/>
    </row>
    <row r="1717" spans="24:33" x14ac:dyDescent="0.3">
      <c r="X1717" s="91" t="s">
        <v>704</v>
      </c>
      <c r="Y1717" s="91" t="s">
        <v>823</v>
      </c>
      <c r="Z1717" s="253" t="s">
        <v>898</v>
      </c>
      <c r="AG1717" s="9"/>
    </row>
    <row r="1718" spans="24:33" x14ac:dyDescent="0.3">
      <c r="X1718" s="91" t="s">
        <v>715</v>
      </c>
      <c r="Y1718" s="91" t="s">
        <v>823</v>
      </c>
      <c r="Z1718" s="253" t="s">
        <v>898</v>
      </c>
      <c r="AG1718" s="9"/>
    </row>
    <row r="1719" spans="24:33" x14ac:dyDescent="0.3">
      <c r="X1719" s="91" t="s">
        <v>2426</v>
      </c>
      <c r="Y1719" s="91" t="s">
        <v>821</v>
      </c>
      <c r="Z1719" s="91" t="s">
        <v>906</v>
      </c>
      <c r="AG1719" s="9"/>
    </row>
    <row r="1720" spans="24:33" x14ac:dyDescent="0.3">
      <c r="X1720" s="91" t="s">
        <v>2427</v>
      </c>
      <c r="Y1720" s="91" t="s">
        <v>821</v>
      </c>
      <c r="Z1720" s="91" t="s">
        <v>906</v>
      </c>
      <c r="AG1720" s="9"/>
    </row>
    <row r="1721" spans="24:33" x14ac:dyDescent="0.3">
      <c r="X1721" s="91" t="s">
        <v>2428</v>
      </c>
      <c r="Y1721" s="91" t="s">
        <v>821</v>
      </c>
      <c r="Z1721" s="91" t="s">
        <v>906</v>
      </c>
      <c r="AG1721" s="9"/>
    </row>
    <row r="1722" spans="24:33" x14ac:dyDescent="0.3">
      <c r="X1722" s="91" t="s">
        <v>2429</v>
      </c>
      <c r="Y1722" s="91" t="s">
        <v>821</v>
      </c>
      <c r="Z1722" s="91" t="s">
        <v>906</v>
      </c>
      <c r="AG1722" s="9"/>
    </row>
    <row r="1723" spans="24:33" x14ac:dyDescent="0.3">
      <c r="X1723" s="91" t="s">
        <v>646</v>
      </c>
      <c r="Y1723" s="91" t="s">
        <v>821</v>
      </c>
      <c r="Z1723" s="91" t="s">
        <v>906</v>
      </c>
      <c r="AG1723" s="9"/>
    </row>
    <row r="1724" spans="24:33" x14ac:dyDescent="0.3">
      <c r="X1724" s="91" t="s">
        <v>2430</v>
      </c>
      <c r="Y1724" s="91" t="s">
        <v>823</v>
      </c>
      <c r="Z1724" s="91" t="s">
        <v>898</v>
      </c>
      <c r="AG1724" s="9"/>
    </row>
    <row r="1725" spans="24:33" x14ac:dyDescent="0.3">
      <c r="X1725" s="91" t="s">
        <v>2371</v>
      </c>
      <c r="Y1725" s="91" t="s">
        <v>823</v>
      </c>
      <c r="Z1725" s="91" t="s">
        <v>898</v>
      </c>
      <c r="AG1725" s="9"/>
    </row>
    <row r="1726" spans="24:33" x14ac:dyDescent="0.3">
      <c r="X1726" s="91" t="s">
        <v>2431</v>
      </c>
      <c r="Y1726" s="91" t="s">
        <v>823</v>
      </c>
      <c r="Z1726" s="91" t="s">
        <v>898</v>
      </c>
      <c r="AG1726" s="9"/>
    </row>
    <row r="1727" spans="24:33" x14ac:dyDescent="0.3">
      <c r="X1727" s="91" t="s">
        <v>2432</v>
      </c>
      <c r="Y1727" s="91" t="s">
        <v>823</v>
      </c>
      <c r="Z1727" s="91" t="s">
        <v>898</v>
      </c>
      <c r="AG1727" s="9"/>
    </row>
    <row r="1728" spans="24:33" x14ac:dyDescent="0.3">
      <c r="X1728" s="91" t="s">
        <v>2433</v>
      </c>
      <c r="Y1728" s="91" t="s">
        <v>823</v>
      </c>
      <c r="Z1728" s="91" t="s">
        <v>898</v>
      </c>
      <c r="AG1728" s="9"/>
    </row>
    <row r="1729" spans="24:33" x14ac:dyDescent="0.3">
      <c r="X1729" s="91" t="s">
        <v>2434</v>
      </c>
      <c r="Y1729" s="91" t="s">
        <v>823</v>
      </c>
      <c r="Z1729" s="91" t="s">
        <v>898</v>
      </c>
      <c r="AG1729" s="9"/>
    </row>
    <row r="1730" spans="24:33" x14ac:dyDescent="0.3">
      <c r="X1730" s="91" t="s">
        <v>2435</v>
      </c>
      <c r="Y1730" s="91" t="s">
        <v>823</v>
      </c>
      <c r="Z1730" s="91" t="s">
        <v>898</v>
      </c>
      <c r="AG1730" s="9"/>
    </row>
    <row r="1731" spans="24:33" x14ac:dyDescent="0.3">
      <c r="X1731" s="91" t="s">
        <v>2436</v>
      </c>
      <c r="Y1731" s="91" t="s">
        <v>823</v>
      </c>
      <c r="Z1731" s="91" t="s">
        <v>898</v>
      </c>
      <c r="AG1731" s="9"/>
    </row>
    <row r="1732" spans="24:33" x14ac:dyDescent="0.3">
      <c r="X1732" s="91" t="s">
        <v>2437</v>
      </c>
      <c r="Y1732" s="91" t="s">
        <v>823</v>
      </c>
      <c r="Z1732" s="91" t="s">
        <v>898</v>
      </c>
      <c r="AG1732" s="9"/>
    </row>
    <row r="1733" spans="24:33" x14ac:dyDescent="0.3">
      <c r="X1733" s="91" t="s">
        <v>2438</v>
      </c>
      <c r="Y1733" s="91" t="s">
        <v>823</v>
      </c>
      <c r="Z1733" s="91" t="s">
        <v>898</v>
      </c>
      <c r="AG1733" s="9"/>
    </row>
    <row r="1734" spans="24:33" x14ac:dyDescent="0.3">
      <c r="X1734" s="91" t="s">
        <v>2439</v>
      </c>
      <c r="Y1734" s="91" t="s">
        <v>823</v>
      </c>
      <c r="Z1734" s="91" t="s">
        <v>898</v>
      </c>
      <c r="AG1734" s="9"/>
    </row>
    <row r="1735" spans="24:33" x14ac:dyDescent="0.3">
      <c r="X1735" s="91" t="s">
        <v>2440</v>
      </c>
      <c r="Y1735" s="91" t="s">
        <v>823</v>
      </c>
      <c r="Z1735" s="91" t="s">
        <v>898</v>
      </c>
      <c r="AG1735" s="9"/>
    </row>
    <row r="1736" spans="24:33" x14ac:dyDescent="0.3">
      <c r="X1736" s="91" t="s">
        <v>2441</v>
      </c>
      <c r="Y1736" s="91" t="s">
        <v>905</v>
      </c>
      <c r="Z1736" s="91" t="s">
        <v>906</v>
      </c>
      <c r="AG1736" s="9"/>
    </row>
    <row r="1737" spans="24:33" x14ac:dyDescent="0.3">
      <c r="X1737" s="91" t="s">
        <v>2442</v>
      </c>
      <c r="Y1737" s="91" t="s">
        <v>905</v>
      </c>
      <c r="Z1737" s="91" t="s">
        <v>906</v>
      </c>
      <c r="AG1737" s="9"/>
    </row>
    <row r="1738" spans="24:33" x14ac:dyDescent="0.3">
      <c r="X1738" s="91" t="s">
        <v>2443</v>
      </c>
      <c r="Y1738" s="91" t="s">
        <v>905</v>
      </c>
      <c r="Z1738" s="91" t="s">
        <v>906</v>
      </c>
      <c r="AG1738" s="9"/>
    </row>
    <row r="1739" spans="24:33" x14ac:dyDescent="0.3">
      <c r="X1739" s="91" t="s">
        <v>2444</v>
      </c>
      <c r="Y1739" s="91" t="s">
        <v>905</v>
      </c>
      <c r="Z1739" s="91" t="s">
        <v>906</v>
      </c>
      <c r="AG1739" s="9"/>
    </row>
    <row r="1740" spans="24:33" x14ac:dyDescent="0.3">
      <c r="X1740" s="91" t="s">
        <v>2445</v>
      </c>
      <c r="Y1740" s="91" t="s">
        <v>905</v>
      </c>
      <c r="Z1740" s="91" t="s">
        <v>906</v>
      </c>
      <c r="AG1740" s="9"/>
    </row>
    <row r="1741" spans="24:33" x14ac:dyDescent="0.3">
      <c r="X1741" s="91" t="s">
        <v>2446</v>
      </c>
      <c r="Y1741" s="91" t="s">
        <v>905</v>
      </c>
      <c r="Z1741" s="91" t="s">
        <v>906</v>
      </c>
      <c r="AG1741" s="9"/>
    </row>
    <row r="1742" spans="24:33" x14ac:dyDescent="0.3">
      <c r="X1742" s="91" t="s">
        <v>2447</v>
      </c>
      <c r="Y1742" s="91" t="s">
        <v>905</v>
      </c>
      <c r="Z1742" s="91" t="s">
        <v>906</v>
      </c>
      <c r="AG1742" s="9"/>
    </row>
    <row r="1743" spans="24:33" x14ac:dyDescent="0.3">
      <c r="X1743" s="91" t="s">
        <v>2448</v>
      </c>
      <c r="Y1743" s="91" t="s">
        <v>905</v>
      </c>
      <c r="Z1743" s="91" t="s">
        <v>906</v>
      </c>
      <c r="AG1743" s="9"/>
    </row>
    <row r="1744" spans="24:33" x14ac:dyDescent="0.3">
      <c r="X1744" s="91" t="s">
        <v>2449</v>
      </c>
      <c r="Y1744" s="91" t="s">
        <v>905</v>
      </c>
      <c r="Z1744" s="91" t="s">
        <v>906</v>
      </c>
      <c r="AG1744" s="9"/>
    </row>
    <row r="1745" spans="24:33" x14ac:dyDescent="0.3">
      <c r="X1745" s="91" t="s">
        <v>2450</v>
      </c>
      <c r="Y1745" s="91" t="s">
        <v>905</v>
      </c>
      <c r="Z1745" s="91" t="s">
        <v>906</v>
      </c>
      <c r="AG1745" s="9"/>
    </row>
    <row r="1746" spans="24:33" x14ac:dyDescent="0.3">
      <c r="X1746" s="91" t="s">
        <v>2451</v>
      </c>
      <c r="Y1746" s="91" t="s">
        <v>905</v>
      </c>
      <c r="Z1746" s="91" t="s">
        <v>906</v>
      </c>
      <c r="AG1746" s="9"/>
    </row>
    <row r="1747" spans="24:33" x14ac:dyDescent="0.3">
      <c r="X1747" s="91" t="s">
        <v>2452</v>
      </c>
      <c r="Y1747" s="91" t="s">
        <v>905</v>
      </c>
      <c r="Z1747" s="91" t="s">
        <v>906</v>
      </c>
      <c r="AG1747" s="9"/>
    </row>
    <row r="1748" spans="24:33" x14ac:dyDescent="0.3">
      <c r="X1748" s="91" t="s">
        <v>648</v>
      </c>
      <c r="Y1748" s="91" t="s">
        <v>823</v>
      </c>
      <c r="Z1748" s="91" t="s">
        <v>898</v>
      </c>
      <c r="AG1748" s="9"/>
    </row>
    <row r="1749" spans="24:33" x14ac:dyDescent="0.3">
      <c r="X1749" s="91" t="s">
        <v>706</v>
      </c>
      <c r="Y1749" s="91" t="s">
        <v>823</v>
      </c>
      <c r="Z1749" s="91" t="s">
        <v>898</v>
      </c>
      <c r="AG1749" s="9"/>
    </row>
    <row r="1750" spans="24:33" x14ac:dyDescent="0.3">
      <c r="X1750" s="91" t="s">
        <v>2453</v>
      </c>
      <c r="Y1750" s="91" t="s">
        <v>905</v>
      </c>
      <c r="Z1750" s="91" t="s">
        <v>906</v>
      </c>
      <c r="AG1750" s="9"/>
    </row>
    <row r="1751" spans="24:33" x14ac:dyDescent="0.3">
      <c r="X1751" s="91" t="s">
        <v>2454</v>
      </c>
      <c r="Y1751" s="91" t="s">
        <v>905</v>
      </c>
      <c r="Z1751" s="91" t="s">
        <v>906</v>
      </c>
      <c r="AG1751" s="9"/>
    </row>
    <row r="1752" spans="24:33" x14ac:dyDescent="0.3">
      <c r="X1752" s="91" t="s">
        <v>2455</v>
      </c>
      <c r="Y1752" s="91" t="s">
        <v>905</v>
      </c>
      <c r="Z1752" s="91" t="s">
        <v>906</v>
      </c>
      <c r="AG1752" s="9"/>
    </row>
    <row r="1753" spans="24:33" x14ac:dyDescent="0.3">
      <c r="X1753" s="91" t="s">
        <v>2456</v>
      </c>
      <c r="Y1753" s="91" t="s">
        <v>905</v>
      </c>
      <c r="Z1753" s="91" t="s">
        <v>906</v>
      </c>
      <c r="AG1753" s="9"/>
    </row>
    <row r="1754" spans="24:33" x14ac:dyDescent="0.3">
      <c r="X1754" s="91" t="s">
        <v>2457</v>
      </c>
      <c r="Y1754" s="91" t="s">
        <v>905</v>
      </c>
      <c r="Z1754" s="91" t="s">
        <v>906</v>
      </c>
      <c r="AG1754" s="9"/>
    </row>
    <row r="1755" spans="24:33" x14ac:dyDescent="0.3">
      <c r="X1755" s="91" t="s">
        <v>2458</v>
      </c>
      <c r="Y1755" s="91" t="s">
        <v>905</v>
      </c>
      <c r="Z1755" s="91" t="s">
        <v>906</v>
      </c>
      <c r="AG1755" s="9"/>
    </row>
    <row r="1756" spans="24:33" x14ac:dyDescent="0.3">
      <c r="X1756" s="91" t="s">
        <v>2459</v>
      </c>
      <c r="Y1756" s="91" t="s">
        <v>905</v>
      </c>
      <c r="Z1756" s="91" t="s">
        <v>906</v>
      </c>
      <c r="AG1756" s="9"/>
    </row>
    <row r="1757" spans="24:33" x14ac:dyDescent="0.3">
      <c r="X1757" s="91" t="s">
        <v>2460</v>
      </c>
      <c r="Y1757" s="91" t="s">
        <v>905</v>
      </c>
      <c r="Z1757" s="91" t="s">
        <v>906</v>
      </c>
      <c r="AG1757" s="9"/>
    </row>
    <row r="1758" spans="24:33" x14ac:dyDescent="0.3">
      <c r="X1758" s="91" t="s">
        <v>2461</v>
      </c>
      <c r="Y1758" s="91" t="s">
        <v>821</v>
      </c>
      <c r="Z1758" s="91" t="s">
        <v>906</v>
      </c>
      <c r="AG1758" s="9"/>
    </row>
    <row r="1759" spans="24:33" x14ac:dyDescent="0.3">
      <c r="X1759" s="91" t="s">
        <v>2462</v>
      </c>
      <c r="Y1759" s="91" t="s">
        <v>823</v>
      </c>
      <c r="Z1759" s="91" t="s">
        <v>898</v>
      </c>
      <c r="AG1759" s="9"/>
    </row>
    <row r="1760" spans="24:33" x14ac:dyDescent="0.3">
      <c r="X1760" s="91" t="s">
        <v>2463</v>
      </c>
      <c r="Y1760" s="91" t="s">
        <v>823</v>
      </c>
      <c r="Z1760" s="91" t="s">
        <v>898</v>
      </c>
      <c r="AG1760" s="9"/>
    </row>
    <row r="1761" spans="24:33" x14ac:dyDescent="0.3">
      <c r="X1761" s="91" t="s">
        <v>2464</v>
      </c>
      <c r="Y1761" s="91" t="s">
        <v>905</v>
      </c>
      <c r="Z1761" s="91" t="s">
        <v>906</v>
      </c>
      <c r="AG1761" s="9"/>
    </row>
    <row r="1762" spans="24:33" x14ac:dyDescent="0.3">
      <c r="X1762" s="91" t="s">
        <v>2465</v>
      </c>
      <c r="Y1762" s="91" t="s">
        <v>905</v>
      </c>
      <c r="Z1762" s="91" t="s">
        <v>906</v>
      </c>
      <c r="AG1762" s="9"/>
    </row>
    <row r="1763" spans="24:33" x14ac:dyDescent="0.3">
      <c r="X1763" s="91" t="s">
        <v>2466</v>
      </c>
      <c r="Y1763" s="91" t="s">
        <v>905</v>
      </c>
      <c r="Z1763" s="91" t="s">
        <v>906</v>
      </c>
      <c r="AG1763" s="9"/>
    </row>
    <row r="1764" spans="24:33" x14ac:dyDescent="0.3">
      <c r="X1764" s="91" t="s">
        <v>2467</v>
      </c>
      <c r="Y1764" s="91" t="s">
        <v>905</v>
      </c>
      <c r="Z1764" s="91" t="s">
        <v>906</v>
      </c>
      <c r="AG1764" s="9"/>
    </row>
    <row r="1765" spans="24:33" x14ac:dyDescent="0.3">
      <c r="X1765" s="91" t="s">
        <v>2468</v>
      </c>
      <c r="Y1765" s="91" t="s">
        <v>905</v>
      </c>
      <c r="Z1765" s="91" t="s">
        <v>906</v>
      </c>
      <c r="AG1765" s="9"/>
    </row>
    <row r="1766" spans="24:33" x14ac:dyDescent="0.3">
      <c r="X1766" s="91" t="s">
        <v>2469</v>
      </c>
      <c r="Y1766" s="91" t="s">
        <v>905</v>
      </c>
      <c r="Z1766" s="91" t="s">
        <v>906</v>
      </c>
      <c r="AG1766" s="9"/>
    </row>
    <row r="1767" spans="24:33" x14ac:dyDescent="0.3">
      <c r="X1767" s="91" t="s">
        <v>2470</v>
      </c>
      <c r="Y1767" s="91" t="s">
        <v>905</v>
      </c>
      <c r="Z1767" s="91" t="s">
        <v>906</v>
      </c>
      <c r="AG1767" s="9"/>
    </row>
    <row r="1768" spans="24:33" x14ac:dyDescent="0.3">
      <c r="X1768" s="91" t="s">
        <v>2471</v>
      </c>
      <c r="Y1768" s="91" t="s">
        <v>905</v>
      </c>
      <c r="Z1768" s="91" t="s">
        <v>906</v>
      </c>
      <c r="AG1768" s="9"/>
    </row>
    <row r="1769" spans="24:33" x14ac:dyDescent="0.3">
      <c r="X1769" s="91" t="s">
        <v>2472</v>
      </c>
      <c r="Y1769" s="91" t="s">
        <v>823</v>
      </c>
      <c r="Z1769" s="91" t="s">
        <v>898</v>
      </c>
      <c r="AG1769" s="9"/>
    </row>
    <row r="1770" spans="24:33" x14ac:dyDescent="0.3">
      <c r="X1770" s="91" t="s">
        <v>2473</v>
      </c>
      <c r="Y1770" s="91" t="s">
        <v>905</v>
      </c>
      <c r="Z1770" s="91" t="s">
        <v>906</v>
      </c>
      <c r="AG1770" s="9"/>
    </row>
    <row r="1771" spans="24:33" x14ac:dyDescent="0.3">
      <c r="X1771" s="91" t="s">
        <v>2474</v>
      </c>
      <c r="Y1771" s="91" t="s">
        <v>905</v>
      </c>
      <c r="Z1771" s="91" t="s">
        <v>906</v>
      </c>
      <c r="AG1771" s="9"/>
    </row>
    <row r="1772" spans="24:33" x14ac:dyDescent="0.3">
      <c r="X1772" s="91" t="s">
        <v>2475</v>
      </c>
      <c r="Y1772" s="91" t="s">
        <v>905</v>
      </c>
      <c r="Z1772" s="91" t="s">
        <v>906</v>
      </c>
      <c r="AG1772" s="9"/>
    </row>
    <row r="1773" spans="24:33" x14ac:dyDescent="0.3">
      <c r="X1773" s="91" t="s">
        <v>2476</v>
      </c>
      <c r="Y1773" s="91" t="s">
        <v>905</v>
      </c>
      <c r="Z1773" s="91" t="s">
        <v>906</v>
      </c>
      <c r="AG1773" s="9"/>
    </row>
    <row r="1774" spans="24:33" x14ac:dyDescent="0.3">
      <c r="X1774" s="91" t="s">
        <v>2477</v>
      </c>
      <c r="Y1774" s="91" t="s">
        <v>823</v>
      </c>
      <c r="Z1774" s="91" t="s">
        <v>898</v>
      </c>
      <c r="AG1774" s="9"/>
    </row>
    <row r="1775" spans="24:33" x14ac:dyDescent="0.3">
      <c r="X1775" s="91" t="s">
        <v>2478</v>
      </c>
      <c r="Y1775" s="91" t="s">
        <v>905</v>
      </c>
      <c r="Z1775" s="91" t="s">
        <v>906</v>
      </c>
      <c r="AG1775" s="9"/>
    </row>
    <row r="1776" spans="24:33" x14ac:dyDescent="0.3">
      <c r="X1776" s="91" t="s">
        <v>2479</v>
      </c>
      <c r="Y1776" s="91" t="s">
        <v>905</v>
      </c>
      <c r="Z1776" s="91" t="s">
        <v>906</v>
      </c>
      <c r="AG1776" s="9"/>
    </row>
    <row r="1777" spans="24:33" x14ac:dyDescent="0.3">
      <c r="X1777" s="91" t="s">
        <v>2480</v>
      </c>
      <c r="Y1777" s="91" t="s">
        <v>905</v>
      </c>
      <c r="Z1777" s="91" t="s">
        <v>906</v>
      </c>
      <c r="AG1777" s="9"/>
    </row>
    <row r="1778" spans="24:33" x14ac:dyDescent="0.3">
      <c r="X1778" s="91" t="s">
        <v>2481</v>
      </c>
      <c r="Y1778" s="91" t="s">
        <v>905</v>
      </c>
      <c r="Z1778" s="91" t="s">
        <v>906</v>
      </c>
      <c r="AG1778" s="9"/>
    </row>
    <row r="1779" spans="24:33" x14ac:dyDescent="0.3">
      <c r="X1779" s="91" t="s">
        <v>2482</v>
      </c>
      <c r="Y1779" s="91" t="s">
        <v>905</v>
      </c>
      <c r="Z1779" s="91" t="s">
        <v>906</v>
      </c>
      <c r="AG1779" s="9"/>
    </row>
    <row r="1780" spans="24:33" x14ac:dyDescent="0.3">
      <c r="X1780" s="91" t="s">
        <v>2483</v>
      </c>
      <c r="Y1780" s="91" t="s">
        <v>905</v>
      </c>
      <c r="Z1780" s="91" t="s">
        <v>906</v>
      </c>
      <c r="AG1780" s="9"/>
    </row>
    <row r="1781" spans="24:33" x14ac:dyDescent="0.3">
      <c r="X1781" s="91" t="s">
        <v>2484</v>
      </c>
      <c r="Y1781" s="91" t="s">
        <v>905</v>
      </c>
      <c r="Z1781" s="91" t="s">
        <v>906</v>
      </c>
      <c r="AG1781" s="9"/>
    </row>
    <row r="1782" spans="24:33" x14ac:dyDescent="0.3">
      <c r="X1782" s="91" t="s">
        <v>2485</v>
      </c>
      <c r="Y1782" s="91" t="s">
        <v>905</v>
      </c>
      <c r="Z1782" s="91" t="s">
        <v>906</v>
      </c>
      <c r="AG1782" s="9"/>
    </row>
    <row r="1783" spans="24:33" x14ac:dyDescent="0.3">
      <c r="X1783" s="91" t="s">
        <v>2486</v>
      </c>
      <c r="Y1783" s="91" t="s">
        <v>905</v>
      </c>
      <c r="Z1783" s="91" t="s">
        <v>906</v>
      </c>
      <c r="AG1783" s="9"/>
    </row>
    <row r="1784" spans="24:33" x14ac:dyDescent="0.3">
      <c r="X1784" s="91" t="s">
        <v>2487</v>
      </c>
      <c r="Y1784" s="91" t="s">
        <v>905</v>
      </c>
      <c r="Z1784" s="91" t="s">
        <v>906</v>
      </c>
      <c r="AG1784" s="9"/>
    </row>
    <row r="1785" spans="24:33" x14ac:dyDescent="0.3">
      <c r="X1785" s="91" t="s">
        <v>2488</v>
      </c>
      <c r="Y1785" s="91" t="s">
        <v>905</v>
      </c>
      <c r="Z1785" s="91" t="s">
        <v>894</v>
      </c>
      <c r="AG1785" s="9"/>
    </row>
    <row r="1786" spans="24:33" x14ac:dyDescent="0.3">
      <c r="X1786" s="91" t="s">
        <v>2489</v>
      </c>
      <c r="Y1786" s="91" t="s">
        <v>905</v>
      </c>
      <c r="Z1786" s="91" t="s">
        <v>894</v>
      </c>
      <c r="AG1786" s="9"/>
    </row>
    <row r="1787" spans="24:33" x14ac:dyDescent="0.3">
      <c r="X1787" s="91" t="s">
        <v>2490</v>
      </c>
      <c r="Y1787" s="91" t="s">
        <v>905</v>
      </c>
      <c r="Z1787" s="91" t="s">
        <v>894</v>
      </c>
      <c r="AG1787" s="9"/>
    </row>
    <row r="1788" spans="24:33" x14ac:dyDescent="0.3">
      <c r="X1788" s="91" t="s">
        <v>2491</v>
      </c>
      <c r="Y1788" s="91" t="s">
        <v>905</v>
      </c>
      <c r="Z1788" s="91" t="s">
        <v>894</v>
      </c>
      <c r="AG1788" s="9"/>
    </row>
    <row r="1789" spans="24:33" x14ac:dyDescent="0.3">
      <c r="X1789" s="91" t="s">
        <v>2303</v>
      </c>
      <c r="Y1789" s="91" t="s">
        <v>823</v>
      </c>
      <c r="Z1789" s="91" t="s">
        <v>898</v>
      </c>
      <c r="AG1789" s="9"/>
    </row>
    <row r="1790" spans="24:33" x14ac:dyDescent="0.3">
      <c r="X1790" s="91" t="s">
        <v>2492</v>
      </c>
      <c r="Y1790" s="91" t="s">
        <v>823</v>
      </c>
      <c r="Z1790" s="91" t="s">
        <v>898</v>
      </c>
      <c r="AG1790" s="9"/>
    </row>
    <row r="1791" spans="24:33" x14ac:dyDescent="0.3">
      <c r="X1791" s="91" t="s">
        <v>2493</v>
      </c>
      <c r="Y1791" s="91" t="s">
        <v>905</v>
      </c>
      <c r="Z1791" s="91" t="s">
        <v>906</v>
      </c>
      <c r="AG1791" s="9"/>
    </row>
    <row r="1792" spans="24:33" x14ac:dyDescent="0.3">
      <c r="X1792" s="91" t="s">
        <v>2382</v>
      </c>
      <c r="Y1792" s="91" t="s">
        <v>823</v>
      </c>
      <c r="Z1792" s="91" t="s">
        <v>898</v>
      </c>
      <c r="AG1792" s="9"/>
    </row>
    <row r="1793" spans="24:33" x14ac:dyDescent="0.3">
      <c r="X1793" s="91" t="s">
        <v>2383</v>
      </c>
      <c r="Y1793" s="91" t="s">
        <v>823</v>
      </c>
      <c r="Z1793" s="91" t="s">
        <v>898</v>
      </c>
      <c r="AG1793" s="9"/>
    </row>
    <row r="1794" spans="24:33" x14ac:dyDescent="0.3">
      <c r="X1794" s="91" t="s">
        <v>2384</v>
      </c>
      <c r="Y1794" s="91" t="s">
        <v>823</v>
      </c>
      <c r="Z1794" s="91" t="s">
        <v>898</v>
      </c>
      <c r="AG1794" s="9"/>
    </row>
    <row r="1795" spans="24:33" x14ac:dyDescent="0.3">
      <c r="X1795" s="91" t="s">
        <v>2385</v>
      </c>
      <c r="Y1795" s="91" t="s">
        <v>823</v>
      </c>
      <c r="Z1795" s="91" t="s">
        <v>898</v>
      </c>
      <c r="AG1795" s="9"/>
    </row>
    <row r="1796" spans="24:33" x14ac:dyDescent="0.3">
      <c r="X1796" s="91" t="s">
        <v>2386</v>
      </c>
      <c r="Y1796" s="91" t="s">
        <v>823</v>
      </c>
      <c r="Z1796" s="91" t="s">
        <v>898</v>
      </c>
      <c r="AG1796" s="9"/>
    </row>
    <row r="1797" spans="24:33" x14ac:dyDescent="0.3">
      <c r="X1797" s="91" t="s">
        <v>2397</v>
      </c>
      <c r="Y1797" s="91" t="s">
        <v>823</v>
      </c>
      <c r="Z1797" s="91" t="s">
        <v>898</v>
      </c>
      <c r="AG1797" s="9"/>
    </row>
    <row r="1798" spans="24:33" x14ac:dyDescent="0.3">
      <c r="X1798" s="91" t="s">
        <v>2494</v>
      </c>
      <c r="Y1798" s="91" t="s">
        <v>823</v>
      </c>
      <c r="Z1798" s="91" t="s">
        <v>898</v>
      </c>
      <c r="AG1798" s="9"/>
    </row>
    <row r="1799" spans="24:33" x14ac:dyDescent="0.3">
      <c r="X1799" s="91" t="s">
        <v>2398</v>
      </c>
      <c r="Y1799" s="91" t="s">
        <v>823</v>
      </c>
      <c r="Z1799" s="91" t="s">
        <v>898</v>
      </c>
      <c r="AG1799" s="9"/>
    </row>
    <row r="1800" spans="24:33" x14ac:dyDescent="0.3">
      <c r="X1800" s="91" t="s">
        <v>2496</v>
      </c>
      <c r="Y1800" s="91" t="s">
        <v>823</v>
      </c>
      <c r="Z1800" s="91" t="s">
        <v>898</v>
      </c>
      <c r="AG1800" s="9"/>
    </row>
    <row r="1801" spans="24:33" x14ac:dyDescent="0.3">
      <c r="X1801" s="91" t="s">
        <v>2497</v>
      </c>
      <c r="Y1801" s="91" t="s">
        <v>823</v>
      </c>
      <c r="Z1801" s="91" t="s">
        <v>898</v>
      </c>
      <c r="AG1801" s="9"/>
    </row>
    <row r="1802" spans="24:33" x14ac:dyDescent="0.3">
      <c r="X1802" s="91" t="s">
        <v>2498</v>
      </c>
      <c r="Y1802" s="91" t="s">
        <v>823</v>
      </c>
      <c r="Z1802" s="91" t="s">
        <v>898</v>
      </c>
      <c r="AG1802" s="9"/>
    </row>
    <row r="1803" spans="24:33" x14ac:dyDescent="0.3">
      <c r="X1803" s="91" t="s">
        <v>2499</v>
      </c>
      <c r="Y1803" s="91" t="s">
        <v>823</v>
      </c>
      <c r="Z1803" s="91" t="s">
        <v>898</v>
      </c>
      <c r="AG1803" s="9"/>
    </row>
    <row r="1804" spans="24:33" x14ac:dyDescent="0.3">
      <c r="X1804" s="91" t="s">
        <v>2503</v>
      </c>
      <c r="Y1804" s="91" t="s">
        <v>823</v>
      </c>
      <c r="Z1804" s="91" t="s">
        <v>898</v>
      </c>
      <c r="AG1804" s="9"/>
    </row>
    <row r="1805" spans="24:33" x14ac:dyDescent="0.3">
      <c r="X1805" s="91" t="s">
        <v>2502</v>
      </c>
      <c r="Y1805" s="91" t="s">
        <v>823</v>
      </c>
      <c r="Z1805" s="91" t="s">
        <v>898</v>
      </c>
      <c r="AG1805" s="9"/>
    </row>
    <row r="1806" spans="24:33" x14ac:dyDescent="0.3">
      <c r="X1806" s="91" t="s">
        <v>716</v>
      </c>
      <c r="Y1806" s="91" t="s">
        <v>823</v>
      </c>
      <c r="Z1806" s="91" t="s">
        <v>898</v>
      </c>
      <c r="AG1806" s="9"/>
    </row>
    <row r="1807" spans="24:33" x14ac:dyDescent="0.3">
      <c r="X1807" s="91" t="s">
        <v>2381</v>
      </c>
      <c r="Y1807" s="91" t="s">
        <v>823</v>
      </c>
      <c r="Z1807" s="91" t="s">
        <v>898</v>
      </c>
      <c r="AG1807" s="9"/>
    </row>
    <row r="1808" spans="24:33" x14ac:dyDescent="0.3">
      <c r="X1808" s="91" t="s">
        <v>2730</v>
      </c>
      <c r="Y1808" s="91" t="s">
        <v>823</v>
      </c>
      <c r="Z1808" s="91" t="s">
        <v>898</v>
      </c>
      <c r="AG1808" s="9"/>
    </row>
    <row r="1809" spans="24:33" x14ac:dyDescent="0.3">
      <c r="X1809" s="91" t="s">
        <v>2380</v>
      </c>
      <c r="Y1809" s="91" t="s">
        <v>823</v>
      </c>
      <c r="Z1809" s="91" t="s">
        <v>898</v>
      </c>
      <c r="AG1809" s="9"/>
    </row>
    <row r="1810" spans="24:33" x14ac:dyDescent="0.3">
      <c r="X1810" s="91" t="s">
        <v>2741</v>
      </c>
      <c r="Y1810" s="91" t="s">
        <v>823</v>
      </c>
      <c r="Z1810" s="91" t="s">
        <v>898</v>
      </c>
      <c r="AG1810" s="9"/>
    </row>
    <row r="1811" spans="24:33" x14ac:dyDescent="0.3">
      <c r="X1811" s="91" t="s">
        <v>2742</v>
      </c>
      <c r="Y1811" s="91" t="s">
        <v>823</v>
      </c>
      <c r="Z1811" s="91" t="s">
        <v>898</v>
      </c>
      <c r="AG1811" s="9"/>
    </row>
    <row r="1812" spans="24:33" x14ac:dyDescent="0.3">
      <c r="X1812" s="91" t="s">
        <v>2748</v>
      </c>
      <c r="Y1812" s="91" t="s">
        <v>823</v>
      </c>
      <c r="Z1812" s="91" t="s">
        <v>898</v>
      </c>
      <c r="AG1812" s="9"/>
    </row>
    <row r="1813" spans="24:33" x14ac:dyDescent="0.3">
      <c r="X1813" s="91" t="s">
        <v>2750</v>
      </c>
      <c r="Y1813" s="91" t="s">
        <v>905</v>
      </c>
      <c r="Z1813" s="91" t="s">
        <v>906</v>
      </c>
      <c r="AG1813" s="9"/>
    </row>
    <row r="1814" spans="24:33" x14ac:dyDescent="0.3">
      <c r="X1814" s="91" t="s">
        <v>2751</v>
      </c>
      <c r="Y1814" s="91" t="s">
        <v>905</v>
      </c>
      <c r="Z1814" s="91" t="s">
        <v>906</v>
      </c>
      <c r="AG1814" s="9"/>
    </row>
    <row r="1815" spans="24:33" x14ac:dyDescent="0.3">
      <c r="X1815" s="91" t="s">
        <v>2752</v>
      </c>
      <c r="Y1815" s="91" t="s">
        <v>905</v>
      </c>
      <c r="Z1815" s="91" t="s">
        <v>906</v>
      </c>
      <c r="AG1815" s="9"/>
    </row>
    <row r="1816" spans="24:33" x14ac:dyDescent="0.3">
      <c r="X1816" s="91" t="s">
        <v>2753</v>
      </c>
      <c r="Y1816" s="91" t="s">
        <v>905</v>
      </c>
      <c r="Z1816" s="91" t="s">
        <v>906</v>
      </c>
      <c r="AG1816" s="9"/>
    </row>
    <row r="1817" spans="24:33" x14ac:dyDescent="0.3">
      <c r="X1817" s="91" t="s">
        <v>2761</v>
      </c>
      <c r="Y1817" s="91" t="s">
        <v>823</v>
      </c>
      <c r="Z1817" s="91" t="s">
        <v>898</v>
      </c>
      <c r="AG1817" s="9"/>
    </row>
    <row r="1818" spans="24:33" x14ac:dyDescent="0.3">
      <c r="X1818" s="91" t="s">
        <v>2370</v>
      </c>
      <c r="Y1818" s="91" t="s">
        <v>2770</v>
      </c>
      <c r="Z1818" s="91" t="s">
        <v>2771</v>
      </c>
      <c r="AG1818" s="9"/>
    </row>
    <row r="1819" spans="24:33" x14ac:dyDescent="0.3">
      <c r="X1819" s="91" t="s">
        <v>2769</v>
      </c>
      <c r="Y1819" s="91" t="s">
        <v>823</v>
      </c>
      <c r="Z1819" s="91" t="s">
        <v>898</v>
      </c>
      <c r="AG1819" s="9"/>
    </row>
    <row r="1820" spans="24:33" x14ac:dyDescent="0.3">
      <c r="X1820" s="91" t="s">
        <v>2773</v>
      </c>
      <c r="Y1820" s="91" t="s">
        <v>905</v>
      </c>
      <c r="Z1820" s="91" t="s">
        <v>906</v>
      </c>
      <c r="AG1820" s="9"/>
    </row>
    <row r="1821" spans="24:33" x14ac:dyDescent="0.3">
      <c r="X1821" s="91" t="s">
        <v>2774</v>
      </c>
      <c r="Y1821" s="91" t="s">
        <v>905</v>
      </c>
      <c r="Z1821" s="91" t="s">
        <v>906</v>
      </c>
      <c r="AG1821" s="9"/>
    </row>
    <row r="1822" spans="24:33" x14ac:dyDescent="0.3">
      <c r="X1822" s="91" t="s">
        <v>2775</v>
      </c>
      <c r="Y1822" s="91" t="s">
        <v>905</v>
      </c>
      <c r="Z1822" s="91" t="s">
        <v>906</v>
      </c>
      <c r="AG1822" s="9"/>
    </row>
    <row r="1823" spans="24:33" x14ac:dyDescent="0.3">
      <c r="X1823" s="91" t="s">
        <v>2779</v>
      </c>
      <c r="Y1823" s="91" t="s">
        <v>905</v>
      </c>
      <c r="Z1823" s="91" t="s">
        <v>906</v>
      </c>
      <c r="AG1823" s="9"/>
    </row>
    <row r="1824" spans="24:33" x14ac:dyDescent="0.3">
      <c r="X1824" s="91" t="s">
        <v>2781</v>
      </c>
      <c r="Y1824" s="91" t="s">
        <v>905</v>
      </c>
      <c r="Z1824" s="91" t="s">
        <v>906</v>
      </c>
      <c r="AG1824" s="9"/>
    </row>
    <row r="1825" spans="24:33" x14ac:dyDescent="0.3">
      <c r="X1825" s="91" t="s">
        <v>2782</v>
      </c>
      <c r="Y1825" s="91" t="s">
        <v>905</v>
      </c>
      <c r="Z1825" s="91" t="s">
        <v>906</v>
      </c>
      <c r="AG1825" s="9"/>
    </row>
    <row r="1826" spans="24:33" x14ac:dyDescent="0.3">
      <c r="X1826" s="91" t="s">
        <v>2785</v>
      </c>
      <c r="Y1826" s="91" t="s">
        <v>823</v>
      </c>
      <c r="Z1826" s="91" t="s">
        <v>898</v>
      </c>
      <c r="AG1826" s="9"/>
    </row>
    <row r="1827" spans="24:33" x14ac:dyDescent="0.3">
      <c r="X1827" s="91" t="s">
        <v>2786</v>
      </c>
      <c r="Y1827" s="91" t="s">
        <v>823</v>
      </c>
      <c r="Z1827" s="91" t="s">
        <v>898</v>
      </c>
      <c r="AG1827" s="9"/>
    </row>
    <row r="1828" spans="24:33" x14ac:dyDescent="0.3">
      <c r="X1828" s="91" t="s">
        <v>2788</v>
      </c>
      <c r="Y1828" s="91" t="s">
        <v>821</v>
      </c>
      <c r="Z1828" s="91" t="s">
        <v>906</v>
      </c>
      <c r="AG1828" s="9"/>
    </row>
    <row r="1829" spans="24:33" x14ac:dyDescent="0.3">
      <c r="X1829" s="91" t="s">
        <v>2794</v>
      </c>
      <c r="Y1829" s="91" t="s">
        <v>823</v>
      </c>
      <c r="Z1829" s="91" t="s">
        <v>898</v>
      </c>
      <c r="AG1829" s="9"/>
    </row>
    <row r="1830" spans="24:33" x14ac:dyDescent="0.3">
      <c r="X1830" s="91" t="s">
        <v>2798</v>
      </c>
      <c r="Y1830" s="91" t="s">
        <v>823</v>
      </c>
      <c r="Z1830" s="91" t="s">
        <v>898</v>
      </c>
      <c r="AG1830" s="9"/>
    </row>
    <row r="1831" spans="24:33" x14ac:dyDescent="0.3">
      <c r="X1831" s="91" t="s">
        <v>2799</v>
      </c>
      <c r="Y1831" s="91" t="s">
        <v>823</v>
      </c>
      <c r="Z1831" s="91" t="s">
        <v>898</v>
      </c>
      <c r="AG1831" s="9"/>
    </row>
    <row r="1832" spans="24:33" x14ac:dyDescent="0.3">
      <c r="X1832" s="91" t="s">
        <v>2800</v>
      </c>
      <c r="Y1832" s="91" t="s">
        <v>823</v>
      </c>
      <c r="Z1832" s="91" t="s">
        <v>898</v>
      </c>
      <c r="AG1832" s="9"/>
    </row>
    <row r="1833" spans="24:33" x14ac:dyDescent="0.3">
      <c r="X1833" s="91" t="s">
        <v>2801</v>
      </c>
      <c r="Y1833" s="91" t="s">
        <v>823</v>
      </c>
      <c r="Z1833" s="91" t="s">
        <v>898</v>
      </c>
      <c r="AG1833" s="9"/>
    </row>
    <row r="1834" spans="24:33" x14ac:dyDescent="0.3">
      <c r="X1834" s="91" t="s">
        <v>2834</v>
      </c>
      <c r="Y1834" s="91" t="s">
        <v>823</v>
      </c>
      <c r="Z1834" s="91" t="s">
        <v>898</v>
      </c>
      <c r="AG1834" s="9"/>
    </row>
    <row r="1835" spans="24:33" x14ac:dyDescent="0.3">
      <c r="X1835" s="91" t="s">
        <v>2831</v>
      </c>
      <c r="Y1835" s="91" t="s">
        <v>823</v>
      </c>
      <c r="Z1835" s="91" t="s">
        <v>898</v>
      </c>
      <c r="AG1835" s="9"/>
    </row>
    <row r="1836" spans="24:33" x14ac:dyDescent="0.3">
      <c r="X1836" s="91" t="s">
        <v>2836</v>
      </c>
      <c r="Y1836" s="91" t="s">
        <v>823</v>
      </c>
      <c r="Z1836" s="91" t="s">
        <v>898</v>
      </c>
      <c r="AG1836" s="9"/>
    </row>
    <row r="1837" spans="24:33" x14ac:dyDescent="0.3">
      <c r="X1837" s="91" t="s">
        <v>2835</v>
      </c>
      <c r="Y1837" s="91" t="s">
        <v>823</v>
      </c>
      <c r="Z1837" s="91" t="s">
        <v>898</v>
      </c>
      <c r="AG1837" s="9"/>
    </row>
    <row r="1838" spans="24:33" x14ac:dyDescent="0.3">
      <c r="X1838" s="91" t="s">
        <v>2839</v>
      </c>
      <c r="Y1838" s="91" t="s">
        <v>823</v>
      </c>
      <c r="Z1838" s="91" t="s">
        <v>898</v>
      </c>
      <c r="AG1838" s="9"/>
    </row>
    <row r="1839" spans="24:33" x14ac:dyDescent="0.3">
      <c r="X1839" s="91" t="s">
        <v>2840</v>
      </c>
      <c r="Y1839" s="91" t="s">
        <v>823</v>
      </c>
      <c r="Z1839" s="91" t="s">
        <v>898</v>
      </c>
      <c r="AG1839" s="9"/>
    </row>
    <row r="1840" spans="24:33" x14ac:dyDescent="0.3">
      <c r="X1840" s="91" t="s">
        <v>2843</v>
      </c>
      <c r="Y1840" s="91" t="s">
        <v>905</v>
      </c>
      <c r="Z1840" s="91" t="s">
        <v>906</v>
      </c>
      <c r="AG1840" s="9"/>
    </row>
    <row r="1841" spans="24:33" x14ac:dyDescent="0.3">
      <c r="X1841" s="91" t="s">
        <v>2852</v>
      </c>
      <c r="Y1841" s="91" t="s">
        <v>823</v>
      </c>
      <c r="Z1841" s="91" t="s">
        <v>898</v>
      </c>
      <c r="AG1841" s="9"/>
    </row>
    <row r="1842" spans="24:33" x14ac:dyDescent="0.3">
      <c r="X1842" s="91" t="s">
        <v>2862</v>
      </c>
      <c r="Y1842" s="91" t="s">
        <v>823</v>
      </c>
      <c r="Z1842" s="91" t="s">
        <v>898</v>
      </c>
      <c r="AG1842" s="9"/>
    </row>
    <row r="1843" spans="24:33" x14ac:dyDescent="0.3">
      <c r="X1843" s="91" t="s">
        <v>3026</v>
      </c>
      <c r="Y1843" s="91" t="s">
        <v>823</v>
      </c>
      <c r="Z1843" s="91" t="s">
        <v>898</v>
      </c>
      <c r="AG1843" s="9"/>
    </row>
    <row r="1844" spans="24:33" x14ac:dyDescent="0.3">
      <c r="X1844" s="91" t="s">
        <v>3051</v>
      </c>
      <c r="Y1844" s="91" t="s">
        <v>823</v>
      </c>
      <c r="Z1844" s="91" t="s">
        <v>898</v>
      </c>
      <c r="AG1844" s="9"/>
    </row>
    <row r="1845" spans="24:33" x14ac:dyDescent="0.3">
      <c r="X1845" s="91" t="s">
        <v>3081</v>
      </c>
      <c r="Y1845" s="91" t="s">
        <v>823</v>
      </c>
      <c r="Z1845" s="91" t="s">
        <v>898</v>
      </c>
      <c r="AG1845" s="9"/>
    </row>
    <row r="1846" spans="24:33" x14ac:dyDescent="0.3">
      <c r="X1846" s="91" t="s">
        <v>3097</v>
      </c>
      <c r="Y1846" s="91" t="s">
        <v>823</v>
      </c>
      <c r="Z1846" s="91" t="s">
        <v>898</v>
      </c>
      <c r="AG1846" s="9"/>
    </row>
    <row r="1847" spans="24:33" x14ac:dyDescent="0.3">
      <c r="X1847" s="91" t="s">
        <v>3118</v>
      </c>
      <c r="Y1847" s="91" t="s">
        <v>823</v>
      </c>
      <c r="Z1847" s="91" t="s">
        <v>898</v>
      </c>
      <c r="AG1847" s="9"/>
    </row>
    <row r="1848" spans="24:33" x14ac:dyDescent="0.3">
      <c r="X1848" s="91" t="s">
        <v>3260</v>
      </c>
      <c r="Y1848" s="91" t="s">
        <v>821</v>
      </c>
      <c r="Z1848" s="91" t="s">
        <v>906</v>
      </c>
    </row>
    <row r="1849" spans="24:33" x14ac:dyDescent="0.3">
      <c r="X1849" s="91" t="s">
        <v>3261</v>
      </c>
      <c r="Y1849" s="91" t="s">
        <v>821</v>
      </c>
      <c r="Z1849" s="91" t="s">
        <v>906</v>
      </c>
    </row>
    <row r="1850" spans="24:33" x14ac:dyDescent="0.3">
      <c r="X1850" s="510" t="s">
        <v>3306</v>
      </c>
      <c r="Y1850" s="91" t="s">
        <v>823</v>
      </c>
      <c r="Z1850" s="91" t="s">
        <v>898</v>
      </c>
    </row>
    <row r="1851" spans="24:33" x14ac:dyDescent="0.3">
      <c r="X1851" s="91" t="s">
        <v>3317</v>
      </c>
      <c r="Y1851" s="485" t="s">
        <v>823</v>
      </c>
      <c r="Z1851" s="91" t="s">
        <v>898</v>
      </c>
    </row>
    <row r="1852" spans="24:33" x14ac:dyDescent="0.3">
      <c r="X1852" s="91" t="s">
        <v>3517</v>
      </c>
      <c r="Y1852" s="485" t="s">
        <v>823</v>
      </c>
      <c r="Z1852" s="91" t="s">
        <v>898</v>
      </c>
    </row>
    <row r="1853" spans="24:33" x14ac:dyDescent="0.3">
      <c r="X1853" s="91" t="s">
        <v>3621</v>
      </c>
      <c r="Y1853" s="485" t="s">
        <v>823</v>
      </c>
      <c r="Z1853" s="91" t="s">
        <v>898</v>
      </c>
    </row>
    <row r="1854" spans="24:33" x14ac:dyDescent="0.3">
      <c r="X1854" s="91" t="s">
        <v>3645</v>
      </c>
      <c r="Y1854" s="485" t="s">
        <v>823</v>
      </c>
      <c r="Z1854" s="91" t="s">
        <v>898</v>
      </c>
    </row>
    <row r="1855" spans="24:33" x14ac:dyDescent="0.3">
      <c r="X1855" s="91" t="s">
        <v>3865</v>
      </c>
      <c r="Y1855" s="485" t="s">
        <v>823</v>
      </c>
      <c r="Z1855" s="91" t="s">
        <v>898</v>
      </c>
    </row>
  </sheetData>
  <phoneticPr fontId="91" type="noConversion"/>
  <conditionalFormatting sqref="X1:X1847">
    <cfRule type="duplicateValues" dxfId="28" priority="1"/>
  </conditionalFormatting>
  <hyperlinks>
    <hyperlink ref="AI2" location="'Deal ps'!Z1" display="Deal ps'!L1" xr:uid="{00000000-0004-0000-0E00-000000000000}"/>
  </hyperlink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1B84-50A0-407A-BCDA-8A4BAF7E1722}">
  <sheetPr codeName="Sheet18"/>
  <dimension ref="A1:H5"/>
  <sheetViews>
    <sheetView zoomScaleNormal="100" workbookViewId="0">
      <selection activeCell="E4" sqref="E4"/>
    </sheetView>
  </sheetViews>
  <sheetFormatPr defaultColWidth="8.8984375" defaultRowHeight="14.4" x14ac:dyDescent="0.3"/>
  <cols>
    <col min="1" max="1" width="8.3984375" style="761" customWidth="1"/>
    <col min="2" max="2" width="9.8984375" style="757" customWidth="1"/>
    <col min="3" max="4" width="26.3984375" style="757" customWidth="1"/>
    <col min="5" max="5" width="28.3984375" style="757" customWidth="1"/>
    <col min="6" max="6" width="78.296875" style="757" customWidth="1"/>
    <col min="7" max="7" width="50.3984375" style="757" customWidth="1"/>
    <col min="8" max="16384" width="8.8984375" style="757"/>
  </cols>
  <sheetData>
    <row r="1" spans="1:8" s="755" customFormat="1" ht="19.95" x14ac:dyDescent="0.3">
      <c r="A1" s="754" t="s">
        <v>3878</v>
      </c>
    </row>
    <row r="2" spans="1:8" x14ac:dyDescent="0.3">
      <c r="A2" s="756" t="s">
        <v>0</v>
      </c>
      <c r="B2" s="756" t="s">
        <v>3882</v>
      </c>
      <c r="C2" s="756" t="s">
        <v>9</v>
      </c>
      <c r="D2" s="756" t="s">
        <v>3879</v>
      </c>
      <c r="E2" s="756" t="s">
        <v>3880</v>
      </c>
      <c r="F2" s="756" t="s">
        <v>3881</v>
      </c>
      <c r="G2" s="756" t="s">
        <v>3887</v>
      </c>
    </row>
    <row r="3" spans="1:8" ht="187.2" x14ac:dyDescent="0.3">
      <c r="A3" s="758">
        <v>1</v>
      </c>
      <c r="B3" s="759" t="s">
        <v>3889</v>
      </c>
      <c r="C3" s="759" t="s">
        <v>3884</v>
      </c>
      <c r="D3" s="759" t="s">
        <v>3890</v>
      </c>
      <c r="E3" s="759" t="s">
        <v>3892</v>
      </c>
      <c r="F3" s="759" t="s">
        <v>3893</v>
      </c>
      <c r="G3" s="757" t="s">
        <v>3894</v>
      </c>
    </row>
    <row r="4" spans="1:8" ht="187.2" x14ac:dyDescent="0.3">
      <c r="A4" s="758">
        <v>2</v>
      </c>
      <c r="B4" s="759" t="s">
        <v>3883</v>
      </c>
      <c r="C4" s="759" t="s">
        <v>3884</v>
      </c>
      <c r="D4" s="759" t="s">
        <v>3888</v>
      </c>
      <c r="E4" s="759" t="s">
        <v>3891</v>
      </c>
      <c r="F4" s="760" t="s">
        <v>3885</v>
      </c>
      <c r="G4" s="755" t="s">
        <v>3886</v>
      </c>
      <c r="H4" s="757" t="s">
        <v>3646</v>
      </c>
    </row>
    <row r="5" spans="1:8" x14ac:dyDescent="0.3">
      <c r="A5" s="761">
        <v>3</v>
      </c>
      <c r="B5" s="76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undata">
    <tabColor rgb="FF00B0F0"/>
  </sheetPr>
  <dimension ref="A1:U48"/>
  <sheetViews>
    <sheetView showGridLines="0" zoomScaleNormal="100" workbookViewId="0">
      <pane ySplit="1" topLeftCell="A2" activePane="bottomLeft" state="frozen"/>
      <selection pane="bottomLeft" activeCell="H1" sqref="H1"/>
    </sheetView>
  </sheetViews>
  <sheetFormatPr defaultColWidth="9.09765625" defaultRowHeight="12.75" x14ac:dyDescent="0.25"/>
  <cols>
    <col min="1" max="1" width="5" style="1" customWidth="1"/>
    <col min="2" max="2" width="18.59765625" style="1" bestFit="1" customWidth="1"/>
    <col min="3" max="3" width="15" style="66" customWidth="1"/>
    <col min="4" max="4" width="18.8984375" style="1" bestFit="1" customWidth="1"/>
    <col min="5" max="5" width="9.09765625" style="1"/>
    <col min="6" max="6" width="10.8984375" style="1" customWidth="1"/>
    <col min="7" max="7" width="12.59765625" style="1" bestFit="1" customWidth="1"/>
    <col min="8" max="8" width="9.09765625" style="1"/>
    <col min="9" max="9" width="10.09765625" style="1" bestFit="1" customWidth="1"/>
    <col min="10" max="10" width="9.296875" style="1" customWidth="1"/>
    <col min="11" max="11" width="15.69921875" style="1" customWidth="1"/>
    <col min="12" max="12" width="4.59765625" style="1" bestFit="1" customWidth="1"/>
    <col min="13" max="13" width="14.59765625" style="1" customWidth="1"/>
    <col min="14" max="14" width="23.8984375" style="1" customWidth="1"/>
    <col min="15" max="15" width="9.296875" style="1" customWidth="1"/>
    <col min="16" max="16" width="16.69921875" style="1" bestFit="1" customWidth="1"/>
    <col min="17" max="17" width="12" style="1" bestFit="1" customWidth="1"/>
    <col min="18" max="18" width="24.09765625" style="1" bestFit="1" customWidth="1"/>
    <col min="19" max="19" width="11.69921875" style="1" bestFit="1" customWidth="1"/>
    <col min="20" max="20" width="6.296875" style="1" bestFit="1" customWidth="1"/>
    <col min="21" max="21" width="10.8984375" style="1" bestFit="1" customWidth="1"/>
    <col min="22" max="16384" width="9.09765625" style="1"/>
  </cols>
  <sheetData>
    <row r="1" spans="1:21" ht="13.3" x14ac:dyDescent="0.3">
      <c r="A1" s="673" t="s">
        <v>0</v>
      </c>
      <c r="B1" s="673" t="s">
        <v>856</v>
      </c>
      <c r="C1" s="674" t="s">
        <v>1</v>
      </c>
      <c r="F1" s="199"/>
      <c r="G1" s="421" t="s">
        <v>2</v>
      </c>
      <c r="H1" s="198" t="s">
        <v>4539</v>
      </c>
      <c r="I1" s="200"/>
      <c r="K1" s="2" t="s">
        <v>3</v>
      </c>
      <c r="L1" s="3" t="s">
        <v>0</v>
      </c>
      <c r="M1" s="3" t="s">
        <v>4</v>
      </c>
      <c r="N1" s="3" t="s">
        <v>5</v>
      </c>
      <c r="P1" s="200" t="s">
        <v>3252</v>
      </c>
      <c r="Q1" s="483" t="s">
        <v>11</v>
      </c>
      <c r="R1" s="483" t="s">
        <v>3255</v>
      </c>
      <c r="S1" s="483" t="s">
        <v>3253</v>
      </c>
      <c r="T1" s="483" t="s">
        <v>3257</v>
      </c>
      <c r="U1" s="483" t="s">
        <v>3256</v>
      </c>
    </row>
    <row r="2" spans="1:21" x14ac:dyDescent="0.25">
      <c r="A2" s="272">
        <v>1</v>
      </c>
      <c r="B2" s="54" t="s">
        <v>160</v>
      </c>
      <c r="C2" s="697">
        <v>46252</v>
      </c>
      <c r="D2" s="482" t="s">
        <v>3223</v>
      </c>
      <c r="K2" s="420">
        <f>COUNTA(L:L)-1</f>
        <v>47</v>
      </c>
      <c r="L2" s="4">
        <v>1</v>
      </c>
      <c r="M2" s="5" t="s">
        <v>993</v>
      </c>
      <c r="N2" s="5" t="s">
        <v>2299</v>
      </c>
      <c r="P2" s="420">
        <f>COUNTA(Q:Q)-1</f>
        <v>23</v>
      </c>
      <c r="Q2" s="89" t="s">
        <v>1054</v>
      </c>
      <c r="R2" s="89" t="s">
        <v>2934</v>
      </c>
      <c r="S2" s="89" t="s">
        <v>3254</v>
      </c>
      <c r="T2" s="556">
        <f>COUNTA(Market!B:B)</f>
        <v>59</v>
      </c>
      <c r="U2" s="556" t="str">
        <f>S2&amp;":J"&amp;T2</f>
        <v>J2:J59</v>
      </c>
    </row>
    <row r="3" spans="1:21" x14ac:dyDescent="0.25">
      <c r="A3" s="272">
        <v>2</v>
      </c>
      <c r="B3" s="1" t="s">
        <v>161</v>
      </c>
      <c r="C3" s="675" cm="1">
        <f t="array" ref="C3">INDEX(Ref!BB:BB,MATCH(RPT,Ref!BB:BB,0)-1)</f>
        <v>46251</v>
      </c>
      <c r="D3" s="60"/>
      <c r="L3" s="4">
        <v>2</v>
      </c>
      <c r="M3" s="5" t="s">
        <v>993</v>
      </c>
      <c r="N3" s="5" t="s">
        <v>2295</v>
      </c>
      <c r="Q3" s="89" t="s">
        <v>993</v>
      </c>
      <c r="R3" s="89" t="s">
        <v>2295</v>
      </c>
      <c r="S3" s="89" t="s">
        <v>3707</v>
      </c>
      <c r="T3" s="556">
        <f>COUNTA(FNRP!D:D)</f>
        <v>594</v>
      </c>
      <c r="U3" s="556" t="str">
        <f>LEFT(S3,LEN(S3)-1)&amp;T3</f>
        <v>AG2:AQ594</v>
      </c>
    </row>
    <row r="4" spans="1:21" x14ac:dyDescent="0.25">
      <c r="A4" s="272">
        <v>3</v>
      </c>
      <c r="B4" s="1" t="s">
        <v>162</v>
      </c>
      <c r="C4" s="675">
        <f>_xlfn.XLOOKUP(EOMONTH(RPT,-1),Ref!BB:BB,Ref!BB:BB,_xlfn.XLOOKUP(EOMONTH(RPT,-1),Ref!BB:BB,Ref!BB:BB,,-1),0)</f>
        <v>46234</v>
      </c>
      <c r="D4" s="60" t="s">
        <v>174</v>
      </c>
      <c r="L4" s="4">
        <v>3</v>
      </c>
      <c r="M4" s="5" t="s">
        <v>993</v>
      </c>
      <c r="N4" s="5" t="s">
        <v>2296</v>
      </c>
      <c r="Q4" s="89" t="s">
        <v>993</v>
      </c>
      <c r="R4" s="89" t="s">
        <v>2296</v>
      </c>
      <c r="S4" s="89" t="s">
        <v>3708</v>
      </c>
      <c r="T4" s="556">
        <f>COUNTA(FNRP!AV:AV)</f>
        <v>215</v>
      </c>
      <c r="U4" s="556" t="str">
        <f t="shared" ref="U4:U13" si="0">LEFT(S4,LEN(S4)-1)&amp;T4</f>
        <v>BY2:CI215</v>
      </c>
    </row>
    <row r="5" spans="1:21" x14ac:dyDescent="0.25">
      <c r="A5" s="272">
        <v>4</v>
      </c>
      <c r="B5" s="1" t="s">
        <v>163</v>
      </c>
      <c r="C5" s="676">
        <f>WORKDAY(EOMONTH(DATE(YEAR(RPT),1,1),-1),0,0)</f>
        <v>46022</v>
      </c>
      <c r="D5" s="60"/>
      <c r="L5" s="4">
        <v>4</v>
      </c>
      <c r="M5" s="5" t="s">
        <v>993</v>
      </c>
      <c r="N5" s="5" t="s">
        <v>2297</v>
      </c>
      <c r="Q5" s="89" t="s">
        <v>993</v>
      </c>
      <c r="R5" s="89" t="s">
        <v>2297</v>
      </c>
      <c r="S5" s="89" t="s">
        <v>3864</v>
      </c>
      <c r="T5" s="556">
        <f>COUNTA(FNRP!CN:CN)</f>
        <v>547</v>
      </c>
      <c r="U5" s="556" t="str">
        <f t="shared" si="0"/>
        <v>DP2:DZ547</v>
      </c>
    </row>
    <row r="6" spans="1:21" x14ac:dyDescent="0.25">
      <c r="A6" s="272">
        <v>5</v>
      </c>
      <c r="B6" s="60" t="s">
        <v>2251</v>
      </c>
      <c r="C6" s="676">
        <f>_xlfn.XLOOKUP(RPT-14,'Yield 1Y'!G:G,'Yield 1Y'!G:G,,-1)</f>
        <v>46238</v>
      </c>
      <c r="D6" s="60"/>
      <c r="L6" s="4">
        <v>5</v>
      </c>
      <c r="M6" s="5" t="s">
        <v>993</v>
      </c>
      <c r="N6" s="5" t="s">
        <v>2298</v>
      </c>
      <c r="Q6" s="89" t="s">
        <v>993</v>
      </c>
      <c r="R6" s="89" t="s">
        <v>2298</v>
      </c>
      <c r="S6" s="89" t="s">
        <v>3709</v>
      </c>
      <c r="T6" s="556">
        <f>COUNTA(FNRP!EE:EE)</f>
        <v>373</v>
      </c>
      <c r="U6" s="556" t="str">
        <f t="shared" si="0"/>
        <v>FG2:FQ373</v>
      </c>
    </row>
    <row r="7" spans="1:21" ht="14.4" x14ac:dyDescent="0.3">
      <c r="A7" s="272">
        <v>6</v>
      </c>
      <c r="B7" s="1" t="s">
        <v>158</v>
      </c>
      <c r="C7" s="666" t="str">
        <f>"\\filesrv01.msb.com.vn\06.Khoi Quan Ly Rui Ro\02.Trung Tam QLRR Thi Truong\02.Phong GSRRTT\05.Report\01.Daily Report\"&amp;TEXT(RPT,"yyyy.mm.dd")&amp;"\00.Input\01.DataFile53\BondAllBS2TD.BondsSynthetic.csv"</f>
        <v>\\filesrv01.msb.com.vn\06.Khoi Quan Ly Rui Ro\02.Trung Tam QLRR Thi Truong\02.Phong GSRRTT\05.Report\01.Daily Report\2026.08.18\00.Input\01.DataFile53\BondAllBS2TD.BondsSynthetic.csv</v>
      </c>
      <c r="D7" s="1" t="s">
        <v>7</v>
      </c>
      <c r="L7" s="4">
        <v>6</v>
      </c>
      <c r="M7" s="5" t="s">
        <v>993</v>
      </c>
      <c r="N7" s="5" t="s">
        <v>2300</v>
      </c>
      <c r="Q7" s="89" t="s">
        <v>993</v>
      </c>
      <c r="R7" s="89" t="s">
        <v>2299</v>
      </c>
      <c r="S7" s="89" t="s">
        <v>3710</v>
      </c>
      <c r="T7" s="556">
        <f>COUNTA(FNRP!FV:FV)</f>
        <v>79</v>
      </c>
      <c r="U7" s="556" t="str">
        <f t="shared" si="0"/>
        <v>GW2:GY79</v>
      </c>
    </row>
    <row r="8" spans="1:21" ht="14.4" x14ac:dyDescent="0.3">
      <c r="A8" s="272">
        <v>7</v>
      </c>
      <c r="B8" s="1" t="s">
        <v>159</v>
      </c>
      <c r="C8" s="666" t="str">
        <f>"\\filesrv01.msb.com.vn\06.Khoi Quan Ly Rui Ro\02.Trung Tam QLRR Thi Truong\02.Phong GSRRTT\05.Report\01.Daily Report\"&amp;TEXT(RPT,"yyyy.mm.dd")&amp;"\00.Input\01.DataFile53\BondAllBS2TDSBV.BondsSynthetic.csv"</f>
        <v>\\filesrv01.msb.com.vn\06.Khoi Quan Ly Rui Ro\02.Trung Tam QLRR Thi Truong\02.Phong GSRRTT\05.Report\01.Daily Report\2026.08.18\00.Input\01.DataFile53\BondAllBS2TDSBV.BondsSynthetic.csv</v>
      </c>
      <c r="D8" s="1" t="s">
        <v>7</v>
      </c>
      <c r="L8" s="4">
        <v>7</v>
      </c>
      <c r="M8" s="5" t="s">
        <v>1054</v>
      </c>
      <c r="N8" s="5" t="s">
        <v>2934</v>
      </c>
      <c r="Q8" s="89" t="s">
        <v>993</v>
      </c>
      <c r="R8" s="89" t="s">
        <v>2300</v>
      </c>
      <c r="S8" s="89" t="s">
        <v>3711</v>
      </c>
      <c r="T8" s="556">
        <f>COUNTA(FNRP!HC:HC)</f>
        <v>7</v>
      </c>
      <c r="U8" s="556" t="str">
        <f t="shared" si="0"/>
        <v>IC2:IF7</v>
      </c>
    </row>
    <row r="9" spans="1:21" ht="14.4" x14ac:dyDescent="0.3">
      <c r="A9" s="272">
        <v>8</v>
      </c>
      <c r="B9" s="1" t="s">
        <v>164</v>
      </c>
      <c r="C9" s="666" t="str">
        <f>"\\filesrv01.msb.com.vn\06.Khoi Quan Ly Rui Ro\02.Trung Tam QLRR Thi Truong\02.Phong GSRRTT\05.Report\01.Daily Report\"&amp;TEXT(RPT,"yyyy.mm.dd")&amp;"\00.Input\01.DataFile53\BondAllBS2BK.BondsSynthetic.csv"</f>
        <v>\\filesrv01.msb.com.vn\06.Khoi Quan Ly Rui Ro\02.Trung Tam QLRR Thi Truong\02.Phong GSRRTT\05.Report\01.Daily Report\2026.08.18\00.Input\01.DataFile53\BondAllBS2BK.BondsSynthetic.csv</v>
      </c>
      <c r="D9" s="1" t="s">
        <v>7</v>
      </c>
      <c r="L9" s="4">
        <v>8</v>
      </c>
      <c r="M9" s="5" t="s">
        <v>1054</v>
      </c>
      <c r="N9" s="5" t="s">
        <v>811</v>
      </c>
      <c r="Q9" s="89" t="s">
        <v>3041</v>
      </c>
      <c r="R9" s="89" t="s">
        <v>2938</v>
      </c>
      <c r="S9" s="89" t="s">
        <v>3583</v>
      </c>
      <c r="T9" s="556">
        <f>COUNTA(RP_SEC!D:D)</f>
        <v>92</v>
      </c>
      <c r="U9" s="556" t="str">
        <f t="shared" si="0"/>
        <v>S2:Y92</v>
      </c>
    </row>
    <row r="10" spans="1:21" ht="14.4" x14ac:dyDescent="0.3">
      <c r="A10" s="272">
        <v>9</v>
      </c>
      <c r="B10" s="1" t="s">
        <v>165</v>
      </c>
      <c r="C10" s="666" t="str">
        <f>"\\filesrv01.msb.com.vn\06.Khoi Quan Ly Rui Ro\02.Trung Tam QLRR Thi Truong\02.Phong GSRRTT\05.Report\01.Daily Report\"&amp;TEXT(RPT,"yyyy.mm.dd")&amp;"\00.Input\01.DataFile53\BondAllBS2BKSBV.BondsSynthetic.csv"</f>
        <v>\\filesrv01.msb.com.vn\06.Khoi Quan Ly Rui Ro\02.Trung Tam QLRR Thi Truong\02.Phong GSRRTT\05.Report\01.Daily Report\2026.08.18\00.Input\01.DataFile53\BondAllBS2BKSBV.BondsSynthetic.csv</v>
      </c>
      <c r="D10" s="1" t="s">
        <v>7</v>
      </c>
      <c r="L10" s="4">
        <v>9</v>
      </c>
      <c r="M10" s="5" t="s">
        <v>1054</v>
      </c>
      <c r="N10" s="5" t="s">
        <v>2980</v>
      </c>
      <c r="Q10" s="89" t="s">
        <v>3041</v>
      </c>
      <c r="R10" s="89" t="s">
        <v>2939</v>
      </c>
      <c r="S10" s="89" t="s">
        <v>3692</v>
      </c>
      <c r="T10" s="556">
        <f>COUNTA(RP_SEC!AD:AD)</f>
        <v>103</v>
      </c>
      <c r="U10" s="556" t="str">
        <f t="shared" si="0"/>
        <v>AS2:AY103</v>
      </c>
    </row>
    <row r="11" spans="1:21" ht="14.4" x14ac:dyDescent="0.3">
      <c r="A11" s="272">
        <v>10</v>
      </c>
      <c r="B11" s="1" t="s">
        <v>815</v>
      </c>
      <c r="C11" s="666" t="str">
        <f>"\\filesrv01.msb.com.vn\06.Khoi Quan Ly Rui Ro\02.Trung Tam QLRR Thi Truong\02.Phong GSRRTT\05.Report\01.Daily Report\"&amp;TEXT(RPT,"yyyy.mm.dd")&amp;"\00.Input\01.DataFile53\RepoAllB2.RepoSynthetic.csv"</f>
        <v>\\filesrv01.msb.com.vn\06.Khoi Quan Ly Rui Ro\02.Trung Tam QLRR Thi Truong\02.Phong GSRRTT\05.Report\01.Daily Report\2026.08.18\00.Input\01.DataFile53\RepoAllB2.RepoSynthetic.csv</v>
      </c>
      <c r="D11" s="1" t="s">
        <v>7</v>
      </c>
      <c r="L11" s="4">
        <v>10</v>
      </c>
      <c r="M11" s="5" t="s">
        <v>868</v>
      </c>
      <c r="N11" s="5" t="s">
        <v>2302</v>
      </c>
      <c r="Q11" s="89" t="s">
        <v>3041</v>
      </c>
      <c r="R11" s="89" t="s">
        <v>2868</v>
      </c>
      <c r="S11" s="89" t="s">
        <v>3693</v>
      </c>
      <c r="T11" s="556">
        <f>COUNTA(RP_SEC!BE:BE)</f>
        <v>13</v>
      </c>
      <c r="U11" s="556" t="str">
        <f t="shared" si="0"/>
        <v>BS2:BU13</v>
      </c>
    </row>
    <row r="12" spans="1:21" ht="14.4" x14ac:dyDescent="0.3">
      <c r="A12" s="272">
        <v>11</v>
      </c>
      <c r="B12" s="1" t="s">
        <v>3203</v>
      </c>
      <c r="C12" s="667"/>
      <c r="D12" s="1" t="s">
        <v>7</v>
      </c>
      <c r="L12" s="4">
        <v>11</v>
      </c>
      <c r="M12" s="5" t="s">
        <v>868</v>
      </c>
      <c r="N12" s="5" t="s">
        <v>2930</v>
      </c>
      <c r="Q12" s="89" t="s">
        <v>3041</v>
      </c>
      <c r="R12" s="89" t="s">
        <v>2869</v>
      </c>
      <c r="S12" s="89" t="s">
        <v>3694</v>
      </c>
      <c r="T12" s="556">
        <f>COUNTA(RP_SEC!CA:CA)</f>
        <v>182</v>
      </c>
      <c r="U12" s="556" t="str">
        <f t="shared" si="0"/>
        <v>CO2:CQ182</v>
      </c>
    </row>
    <row r="13" spans="1:21" ht="14.4" x14ac:dyDescent="0.3">
      <c r="A13" s="272">
        <v>12</v>
      </c>
      <c r="B13" s="1" t="s">
        <v>3204</v>
      </c>
      <c r="C13" s="667" t="str">
        <f>"\\filesrv01.msb.com.vn\06.Khoi Quan Ly Rui Ro\02.Trung Tam QLRR Thi Truong\02.Phong GSRRTT\05.Report\01.Daily Report\"&amp;TEXT(RPT,"yyyy.mm.dd")&amp;"\BOND\02.FI Bond\01.RptTool_FIBond_"&amp;TEXT(RPT,"yyyy.mm.dd")&amp;".xlsb"</f>
        <v>\\filesrv01.msb.com.vn\06.Khoi Quan Ly Rui Ro\02.Trung Tam QLRR Thi Truong\02.Phong GSRRTT\05.Report\01.Daily Report\2026.08.18\BOND\02.FI Bond\01.RptTool_FIBond_2026.08.18.xlsb</v>
      </c>
      <c r="D13" s="1" t="s">
        <v>7</v>
      </c>
      <c r="L13" s="4">
        <v>12</v>
      </c>
      <c r="M13" s="5" t="s">
        <v>2860</v>
      </c>
      <c r="N13" s="5" t="s">
        <v>2861</v>
      </c>
      <c r="Q13" s="89" t="s">
        <v>3122</v>
      </c>
      <c r="R13" s="89" t="s">
        <v>3123</v>
      </c>
      <c r="S13" s="89" t="s">
        <v>3565</v>
      </c>
      <c r="T13" s="556">
        <f>COUNTA(Funding!C:C)</f>
        <v>79</v>
      </c>
      <c r="U13" s="556" t="str">
        <f t="shared" si="0"/>
        <v>P2:R79</v>
      </c>
    </row>
    <row r="14" spans="1:21" ht="14.4" x14ac:dyDescent="0.3">
      <c r="A14" s="272">
        <v>13</v>
      </c>
      <c r="B14" s="1" t="s">
        <v>2305</v>
      </c>
      <c r="C14" s="666" t="str">
        <f>"\\filesrv01.msb.com.vn\06.Khoi Quan Ly Rui Ro\02.Trung Tam QLRR Thi Truong\02.Phong GSRRTT\05.Report\01.Daily Report\"&amp;TEXT(RPT,"yyyy.mm.dd")&amp;"\00.Input\01.DataFile53\FuturesAllBS2.FuturesSynthetic.csv"</f>
        <v>\\filesrv01.msb.com.vn\06.Khoi Quan Ly Rui Ro\02.Trung Tam QLRR Thi Truong\02.Phong GSRRTT\05.Report\01.Daily Report\2026.08.18\00.Input\01.DataFile53\FuturesAllBS2.FuturesSynthetic.csv</v>
      </c>
      <c r="D14" s="1" t="s">
        <v>7</v>
      </c>
      <c r="E14" s="167"/>
      <c r="L14" s="4">
        <v>13</v>
      </c>
      <c r="M14" s="5" t="s">
        <v>137</v>
      </c>
      <c r="N14" s="5" t="s">
        <v>828</v>
      </c>
      <c r="Q14" s="89" t="s">
        <v>3122</v>
      </c>
      <c r="R14" s="89" t="s">
        <v>3068</v>
      </c>
      <c r="S14" s="89" t="s">
        <v>3566</v>
      </c>
      <c r="T14" s="556">
        <f>COUNTA(Funding!V:V)</f>
        <v>67</v>
      </c>
      <c r="U14" s="556" t="str">
        <f>LEFT(S14,LEN(S14)-1)&amp;T14</f>
        <v>AL2:AN67</v>
      </c>
    </row>
    <row r="15" spans="1:21" ht="14.4" x14ac:dyDescent="0.3">
      <c r="A15" s="272">
        <v>14</v>
      </c>
      <c r="B15" s="1" t="s">
        <v>3048</v>
      </c>
      <c r="C15" s="666" t="str">
        <f>"\\filesrv01.msb.com.vn\06.Khoi Quan Ly Rui Ro\02.Trung Tam QLRR Thi Truong\02.Phong GSRRTT\05.Report\01.Daily Report\"&amp;TEXT(RPT,"yyyy.mm.dd")&amp;"\00.Input\01.DataFile53\RPBOD_B002.RPBOD_B002_I0.csv"</f>
        <v>\\filesrv01.msb.com.vn\06.Khoi Quan Ly Rui Ro\02.Trung Tam QLRR Thi Truong\02.Phong GSRRTT\05.Report\01.Daily Report\2026.08.18\00.Input\01.DataFile53\RPBOD_B002.RPBOD_B002_I0.csv</v>
      </c>
      <c r="D15" s="1" t="s">
        <v>7</v>
      </c>
      <c r="L15" s="4">
        <v>14</v>
      </c>
      <c r="M15" s="5" t="s">
        <v>137</v>
      </c>
      <c r="N15" s="5" t="s">
        <v>2345</v>
      </c>
      <c r="Q15" s="89" t="s">
        <v>3078</v>
      </c>
      <c r="R15" s="89" t="s">
        <v>3078</v>
      </c>
      <c r="S15" s="89" t="s">
        <v>3660</v>
      </c>
      <c r="T15" s="556">
        <f>COUNTA(BS!V:V)+1</f>
        <v>147</v>
      </c>
      <c r="U15" s="556" t="str">
        <f>LEFT(S15,LEN(S15)-1)&amp;T15</f>
        <v>AB3:AC147</v>
      </c>
    </row>
    <row r="16" spans="1:21" ht="14.4" x14ac:dyDescent="0.3">
      <c r="A16" s="272">
        <v>15</v>
      </c>
      <c r="B16" s="1" t="s">
        <v>3043</v>
      </c>
      <c r="C16" s="666" t="str">
        <f>"\\filesrv01.msb.com.vn\06.Khoi Quan Ly Rui Ro\02.Trung Tam QLRR Thi Truong\02.Phong GSRRTT\05.Report\01.Daily Report\"&amp;TEXT(RPT,"yyyy.mm.dd")&amp;"\00.Input\01.DataFile53\RP_SEC_POS.RP_SEC_POS_I0.csv"</f>
        <v>\\filesrv01.msb.com.vn\06.Khoi Quan Ly Rui Ro\02.Trung Tam QLRR Thi Truong\02.Phong GSRRTT\05.Report\01.Daily Report\2026.08.18\00.Input\01.DataFile53\RP_SEC_POS.RP_SEC_POS_I0.csv</v>
      </c>
      <c r="D16" s="1" t="s">
        <v>7</v>
      </c>
      <c r="L16" s="4">
        <v>15</v>
      </c>
      <c r="M16" s="5" t="s">
        <v>137</v>
      </c>
      <c r="N16" s="5" t="s">
        <v>2346</v>
      </c>
      <c r="Q16" s="89" t="s">
        <v>3078</v>
      </c>
      <c r="R16" s="89" t="s">
        <v>3151</v>
      </c>
      <c r="S16" s="89" t="s">
        <v>3713</v>
      </c>
      <c r="T16" s="556">
        <f>COUNTA(BS!AL:AL)+1</f>
        <v>263</v>
      </c>
      <c r="U16" s="556" t="str">
        <f>S16&amp;":AV"&amp;T16</f>
        <v>AV3:AV263</v>
      </c>
    </row>
    <row r="17" spans="1:21" ht="14.4" x14ac:dyDescent="0.3">
      <c r="A17" s="272">
        <v>16</v>
      </c>
      <c r="C17" s="668"/>
      <c r="D17" s="1" t="s">
        <v>7</v>
      </c>
      <c r="L17" s="4">
        <v>16</v>
      </c>
      <c r="M17" s="5" t="s">
        <v>137</v>
      </c>
      <c r="N17" s="5" t="s">
        <v>2347</v>
      </c>
      <c r="Q17" s="89" t="s">
        <v>3078</v>
      </c>
      <c r="R17" s="89" t="s">
        <v>3615</v>
      </c>
      <c r="S17" s="89" t="s">
        <v>3714</v>
      </c>
      <c r="T17" s="556">
        <f>COUNTA(BS!AZ:AZ)+1</f>
        <v>231</v>
      </c>
      <c r="U17" s="556" t="str">
        <f t="shared" ref="U17:U24" si="1">LEFT(S17,LEN(S17)-1)&amp;T17</f>
        <v>BK3:BO231</v>
      </c>
    </row>
    <row r="18" spans="1:21" ht="14.4" x14ac:dyDescent="0.3">
      <c r="A18" s="272">
        <v>17</v>
      </c>
      <c r="B18" s="1" t="s">
        <v>3572</v>
      </c>
      <c r="C18" s="700">
        <v>46203</v>
      </c>
      <c r="D18" s="482" t="s">
        <v>3655</v>
      </c>
      <c r="E18" s="691"/>
      <c r="F18" s="691"/>
      <c r="G18" s="691"/>
      <c r="H18" s="691"/>
      <c r="L18" s="4">
        <v>17</v>
      </c>
      <c r="M18" s="5" t="s">
        <v>137</v>
      </c>
      <c r="N18" s="5" t="s">
        <v>2201</v>
      </c>
      <c r="Q18" s="89" t="s">
        <v>866</v>
      </c>
      <c r="R18" s="89" t="s">
        <v>2301</v>
      </c>
      <c r="S18" s="89" t="s">
        <v>3522</v>
      </c>
      <c r="T18" s="556">
        <f>COUNTA('Deal ps'!A:A)</f>
        <v>15</v>
      </c>
      <c r="U18" s="556" t="str">
        <f t="shared" si="1"/>
        <v>AA2:AO15</v>
      </c>
    </row>
    <row r="19" spans="1:21" ht="14.4" x14ac:dyDescent="0.3">
      <c r="A19" s="272">
        <v>18</v>
      </c>
      <c r="B19" s="677" t="s">
        <v>2344</v>
      </c>
      <c r="C19" s="666" t="s">
        <v>3872</v>
      </c>
      <c r="D19" s="716" t="s">
        <v>3646</v>
      </c>
      <c r="E19" s="167"/>
      <c r="L19" s="4">
        <v>18</v>
      </c>
      <c r="M19" s="5" t="s">
        <v>137</v>
      </c>
      <c r="N19" s="5" t="s">
        <v>2348</v>
      </c>
      <c r="Q19" s="89" t="s">
        <v>3532</v>
      </c>
      <c r="R19" s="89" t="s">
        <v>3542</v>
      </c>
      <c r="S19" s="89" t="s">
        <v>3659</v>
      </c>
      <c r="T19" s="556">
        <f>COUNTA('Giam sat'!AO:AO)</f>
        <v>247</v>
      </c>
      <c r="U19" s="556" t="str">
        <f t="shared" si="1"/>
        <v>AX2:BC247</v>
      </c>
    </row>
    <row r="20" spans="1:21" ht="14.4" x14ac:dyDescent="0.3">
      <c r="A20" s="272">
        <v>19</v>
      </c>
      <c r="B20" s="677"/>
      <c r="C20" s="669"/>
      <c r="D20" s="1" t="s">
        <v>7</v>
      </c>
      <c r="L20" s="4">
        <v>19</v>
      </c>
      <c r="M20" s="5" t="s">
        <v>137</v>
      </c>
      <c r="N20" s="5" t="s">
        <v>2349</v>
      </c>
      <c r="Q20" s="89" t="s">
        <v>3532</v>
      </c>
      <c r="R20" s="89" t="s">
        <v>3541</v>
      </c>
      <c r="S20" s="89" t="s">
        <v>3697</v>
      </c>
      <c r="T20" s="556">
        <f>COUNTA('Giam sat'!BG:BG)</f>
        <v>124</v>
      </c>
      <c r="U20" s="556" t="str">
        <f t="shared" si="1"/>
        <v>BN2:BQ124</v>
      </c>
    </row>
    <row r="21" spans="1:21" ht="14.4" x14ac:dyDescent="0.3">
      <c r="A21" s="272">
        <v>20</v>
      </c>
      <c r="B21" s="1" t="s">
        <v>3044</v>
      </c>
      <c r="C21" s="666" t="str">
        <f>"\\filesrv01.msb.com.vn\06.Khoi Quan Ly Rui Ro\02.Trung Tam QLRR Thi Truong\02.Phong GSRRTT\05.Report\01.Daily Report\"&amp;TEXT(RPT,"yyyy.mm.dd")&amp;"\00.Input\02.Kondor\RP_SEC_POS-BK.xlsx"</f>
        <v>\\filesrv01.msb.com.vn\06.Khoi Quan Ly Rui Ro\02.Trung Tam QLRR Thi Truong\02.Phong GSRRTT\05.Report\01.Daily Report\2026.08.18\00.Input\02.Kondor\RP_SEC_POS-BK.xlsx</v>
      </c>
      <c r="D21" s="685" t="s">
        <v>7</v>
      </c>
      <c r="E21" s="685"/>
      <c r="F21" s="685"/>
      <c r="G21" s="665" t="s">
        <v>3641</v>
      </c>
      <c r="H21" s="720" t="s">
        <v>4538</v>
      </c>
      <c r="I21" s="686" t="s">
        <v>3646</v>
      </c>
      <c r="J21" s="686"/>
      <c r="K21" s="687"/>
      <c r="L21" s="4">
        <v>20</v>
      </c>
      <c r="M21" s="5" t="s">
        <v>137</v>
      </c>
      <c r="N21" s="5" t="s">
        <v>2350</v>
      </c>
      <c r="Q21" s="89" t="s">
        <v>3532</v>
      </c>
      <c r="R21" s="89" t="s">
        <v>3939</v>
      </c>
      <c r="S21" s="89" t="s">
        <v>3940</v>
      </c>
      <c r="T21" s="556">
        <f>COUNTA('Giam sat'!BV:BV)</f>
        <v>251</v>
      </c>
      <c r="U21" s="556" t="str">
        <f t="shared" si="1"/>
        <v>CH2:CI251</v>
      </c>
    </row>
    <row r="22" spans="1:21" x14ac:dyDescent="0.25">
      <c r="A22" s="272">
        <v>21</v>
      </c>
      <c r="B22" s="1" t="s">
        <v>2767</v>
      </c>
      <c r="C22" s="670" t="str">
        <f>"01.RptTool_Bond_"&amp;TEXT(RPT,"yyyy.mm.dd")&amp;".xlsm"</f>
        <v>01.RptTool_Bond_2026.08.18.xlsm</v>
      </c>
      <c r="D22" s="688" t="s">
        <v>3647</v>
      </c>
      <c r="E22" s="688"/>
      <c r="F22" s="689"/>
      <c r="G22" s="689"/>
      <c r="H22" s="689"/>
      <c r="I22" s="689"/>
      <c r="J22" s="689"/>
      <c r="K22" s="690"/>
      <c r="L22" s="4">
        <v>21</v>
      </c>
      <c r="M22" s="5" t="s">
        <v>137</v>
      </c>
      <c r="N22" s="5" t="s">
        <v>2351</v>
      </c>
      <c r="Q22" s="89" t="s">
        <v>3532</v>
      </c>
      <c r="R22" s="89"/>
      <c r="S22" s="89" t="s">
        <v>3258</v>
      </c>
      <c r="T22" s="556">
        <f>IF(COUNTA('Deal ps'!BS:BS)&lt;=1,4,COUNTA('Deal ps'!BS:BS))+2</f>
        <v>7</v>
      </c>
      <c r="U22" s="556" t="str">
        <f t="shared" si="1"/>
        <v>A4:D7</v>
      </c>
    </row>
    <row r="23" spans="1:21" x14ac:dyDescent="0.25">
      <c r="A23" s="272">
        <v>22</v>
      </c>
      <c r="B23" s="1" t="s">
        <v>2853</v>
      </c>
      <c r="C23" s="671">
        <f>RPT-400</f>
        <v>45852</v>
      </c>
      <c r="D23" s="1" t="s">
        <v>7</v>
      </c>
      <c r="F23" s="411"/>
      <c r="G23" s="411"/>
      <c r="H23" s="411"/>
      <c r="I23" s="411"/>
      <c r="J23" s="411"/>
      <c r="L23" s="4">
        <v>22</v>
      </c>
      <c r="M23" s="5" t="s">
        <v>137</v>
      </c>
      <c r="N23" s="5" t="s">
        <v>2352</v>
      </c>
      <c r="Q23" s="89" t="s">
        <v>3532</v>
      </c>
      <c r="R23" s="89"/>
      <c r="S23" s="89" t="s">
        <v>3259</v>
      </c>
      <c r="T23" s="556">
        <f>IF(COUNTA('Deal ps'!BS:BS)&lt;=1,4,COUNTA('Deal ps'!BS:BS))+2</f>
        <v>7</v>
      </c>
      <c r="U23" s="556" t="str">
        <f t="shared" si="1"/>
        <v>G4:L7</v>
      </c>
    </row>
    <row r="24" spans="1:21" ht="14.4" x14ac:dyDescent="0.3">
      <c r="A24" s="272">
        <v>23</v>
      </c>
      <c r="B24" s="1" t="s">
        <v>2933</v>
      </c>
      <c r="C24" s="666"/>
      <c r="D24" s="1" t="s">
        <v>7</v>
      </c>
      <c r="L24" s="4">
        <v>23</v>
      </c>
      <c r="M24" s="5" t="s">
        <v>137</v>
      </c>
      <c r="N24" s="89" t="s">
        <v>2749</v>
      </c>
      <c r="Q24" s="89" t="s">
        <v>3532</v>
      </c>
      <c r="R24" s="89"/>
      <c r="S24" s="89" t="s">
        <v>3635</v>
      </c>
      <c r="T24" s="556">
        <f>IF(COUNTA('Deal ps'!BS:BS)&lt;=1,4,COUNTA('Deal ps'!BS:BS))+2</f>
        <v>7</v>
      </c>
      <c r="U24" s="556" t="str">
        <f t="shared" si="1"/>
        <v>N4:AD7</v>
      </c>
    </row>
    <row r="25" spans="1:21" ht="14.4" x14ac:dyDescent="0.3">
      <c r="A25" s="272">
        <v>24</v>
      </c>
      <c r="B25" s="1" t="s">
        <v>3011</v>
      </c>
      <c r="C25" s="672" t="s">
        <v>3982</v>
      </c>
      <c r="D25" s="717" t="s">
        <v>3646</v>
      </c>
      <c r="L25" s="4">
        <v>24</v>
      </c>
      <c r="M25" s="5" t="s">
        <v>137</v>
      </c>
      <c r="N25" s="89" t="s">
        <v>2894</v>
      </c>
    </row>
    <row r="26" spans="1:21" ht="14.4" x14ac:dyDescent="0.3">
      <c r="A26" s="272">
        <v>25</v>
      </c>
      <c r="B26" s="1" t="s">
        <v>3012</v>
      </c>
      <c r="C26" s="672" t="s">
        <v>3896</v>
      </c>
      <c r="D26" s="717" t="s">
        <v>3646</v>
      </c>
      <c r="I26" s="109"/>
      <c r="L26" s="4">
        <v>25</v>
      </c>
      <c r="M26" s="5" t="s">
        <v>137</v>
      </c>
      <c r="N26" s="89" t="s">
        <v>3119</v>
      </c>
    </row>
    <row r="27" spans="1:21" ht="14.4" x14ac:dyDescent="0.3">
      <c r="A27" s="272">
        <v>26</v>
      </c>
      <c r="B27" s="1" t="s">
        <v>3042</v>
      </c>
      <c r="C27" s="666" t="str">
        <f>"\\filesrv01.msb.com.vn\06.Khoi Quan Ly Rui Ro\02.Trung Tam QLRR Thi Truong\02.Phong GSRRTT\05.Report\01.Daily Report\"&amp;TEXT(RPT,"yyyy.mm.dd")&amp;"\00.Input\00.Raw_Data.xlsm"</f>
        <v>\\filesrv01.msb.com.vn\06.Khoi Quan Ly Rui Ro\02.Trung Tam QLRR Thi Truong\02.Phong GSRRTT\05.Report\01.Daily Report\2026.08.18\00.Input\00.Raw_Data.xlsm</v>
      </c>
      <c r="D27" s="1" t="s">
        <v>7</v>
      </c>
      <c r="L27" s="4">
        <v>26</v>
      </c>
      <c r="M27" s="5" t="s">
        <v>137</v>
      </c>
      <c r="N27" s="89" t="s">
        <v>3702</v>
      </c>
    </row>
    <row r="28" spans="1:21" ht="14.4" x14ac:dyDescent="0.3">
      <c r="A28" s="272">
        <v>27</v>
      </c>
      <c r="B28" s="1" t="s">
        <v>3045</v>
      </c>
      <c r="C28" s="666" t="str">
        <f>"\\filesrv01.msb.com.vn\06.Khoi Quan Ly Rui Ro\02.Trung Tam QLRR Thi Truong\02.Phong GSRRTT\05.Report\01.Daily Report\"&amp;TEXT(RPT,"yyyy.mm.dd")&amp;"\00.Input\02.Kondor\RP_SEC_POS_TB_SBV.xlsx"</f>
        <v>\\filesrv01.msb.com.vn\06.Khoi Quan Ly Rui Ro\02.Trung Tam QLRR Thi Truong\02.Phong GSRRTT\05.Report\01.Daily Report\2026.08.18\00.Input\02.Kondor\RP_SEC_POS_TB_SBV.xlsx</v>
      </c>
      <c r="D28" s="1" t="s">
        <v>7</v>
      </c>
      <c r="L28" s="4">
        <v>27</v>
      </c>
      <c r="M28" s="5" t="s">
        <v>137</v>
      </c>
      <c r="N28" s="89" t="s">
        <v>3618</v>
      </c>
    </row>
    <row r="29" spans="1:21" ht="14.4" x14ac:dyDescent="0.3">
      <c r="A29" s="272">
        <v>28</v>
      </c>
      <c r="B29" s="1" t="s">
        <v>3046</v>
      </c>
      <c r="C29" s="666" t="str">
        <f>"\\filesrv01.msb.com.vn\06.Khoi Quan Ly Rui Ro\02.Trung Tam QLRR Thi Truong\02.Phong GSRRTT\05.Report\01.Daily Report\"&amp;TEXT(RPT,"yyyy.mm.dd")&amp;"\00.Input\02.Kondor\RP_SEC_POS_BK_SBV.xlsx"</f>
        <v>\\filesrv01.msb.com.vn\06.Khoi Quan Ly Rui Ro\02.Trung Tam QLRR Thi Truong\02.Phong GSRRTT\05.Report\01.Daily Report\2026.08.18\00.Input\02.Kondor\RP_SEC_POS_BK_SBV.xlsx</v>
      </c>
      <c r="D29" s="1" t="s">
        <v>7</v>
      </c>
      <c r="L29" s="4">
        <v>28</v>
      </c>
      <c r="M29" s="89" t="s">
        <v>3078</v>
      </c>
      <c r="N29" s="89" t="s">
        <v>3078</v>
      </c>
    </row>
    <row r="30" spans="1:21" ht="14.4" x14ac:dyDescent="0.3">
      <c r="A30" s="272">
        <v>29</v>
      </c>
      <c r="B30" s="1" t="s">
        <v>3047</v>
      </c>
      <c r="C30" s="666" t="str">
        <f>"\\filesrv01.msb.com.vn\06.Khoi Quan Ly Rui Ro\02.Trung Tam QLRR Thi Truong\02.Phong GSRRTT\05.Report\01.Daily Report\"&amp;TEXT(RPT,"yyyy.mm.dd")&amp;"\00.Input\05.Outlook&amp;HNX\Market.xlsx"</f>
        <v>\\filesrv01.msb.com.vn\06.Khoi Quan Ly Rui Ro\02.Trung Tam QLRR Thi Truong\02.Phong GSRRTT\05.Report\01.Daily Report\2026.08.18\00.Input\05.Outlook&amp;HNX\Market.xlsx</v>
      </c>
      <c r="D30" s="717" t="s">
        <v>3646</v>
      </c>
      <c r="L30" s="4">
        <v>29</v>
      </c>
      <c r="M30" s="89" t="s">
        <v>3078</v>
      </c>
      <c r="N30" s="89" t="s">
        <v>3164</v>
      </c>
    </row>
    <row r="31" spans="1:21" ht="14.4" x14ac:dyDescent="0.3">
      <c r="A31" s="678">
        <v>30</v>
      </c>
      <c r="B31" s="679" t="s">
        <v>3049</v>
      </c>
      <c r="C31" s="672" t="s">
        <v>3680</v>
      </c>
      <c r="D31" s="717" t="s">
        <v>3646</v>
      </c>
      <c r="L31" s="4">
        <v>30</v>
      </c>
      <c r="M31" s="89" t="s">
        <v>3078</v>
      </c>
      <c r="N31" s="5" t="s">
        <v>3151</v>
      </c>
    </row>
    <row r="32" spans="1:21" ht="14.4" x14ac:dyDescent="0.3">
      <c r="A32" s="678">
        <v>31</v>
      </c>
      <c r="B32" s="1" t="s">
        <v>866</v>
      </c>
      <c r="C32" s="672" t="s">
        <v>3872</v>
      </c>
      <c r="D32" s="717" t="s">
        <v>3646</v>
      </c>
      <c r="L32" s="4">
        <v>31</v>
      </c>
      <c r="M32" s="89" t="s">
        <v>3078</v>
      </c>
      <c r="N32" s="89" t="s">
        <v>3615</v>
      </c>
    </row>
    <row r="33" spans="1:14" ht="14.4" x14ac:dyDescent="0.3">
      <c r="A33" s="678">
        <v>32</v>
      </c>
      <c r="B33" s="679" t="s">
        <v>3050</v>
      </c>
      <c r="C33" s="666" t="str">
        <f>"\\filesrv01.msb.com.vn\06.Khoi Quan Ly Rui Ro\02.Trung Tam QLRR Thi Truong\02.Phong GSRRTT\05.Report\01.Daily Report\"&amp;TEXT(RPT,"yyyy.mm.dd")&amp;"\00.Input\02.Kondor\RPBOD_B003.xlsx"</f>
        <v>\\filesrv01.msb.com.vn\06.Khoi Quan Ly Rui Ro\02.Trung Tam QLRR Thi Truong\02.Phong GSRRTT\05.Report\01.Daily Report\2026.08.18\00.Input\02.Kondor\RPBOD_B003.xlsx</v>
      </c>
      <c r="D33" s="1" t="s">
        <v>7</v>
      </c>
      <c r="E33" s="29"/>
      <c r="L33" s="4">
        <v>32</v>
      </c>
      <c r="M33" s="5" t="s">
        <v>3041</v>
      </c>
      <c r="N33" s="5" t="s">
        <v>2938</v>
      </c>
    </row>
    <row r="34" spans="1:14" ht="14.4" x14ac:dyDescent="0.3">
      <c r="A34" s="272">
        <v>33</v>
      </c>
      <c r="B34" s="1" t="s">
        <v>3164</v>
      </c>
      <c r="C34" s="666" t="str">
        <f>"\\filesrv01.msb.com.vn\06.Khoi Quan Ly Rui Ro\02.Trung Tam QLRR Thi Truong\02.Phong GSRRTT\05.Report\01.Daily Report\"&amp;TEXT(RPT,"yyyy.mm.dd")&amp;"\00.Input\03.GL\Can doi noi bang chi tiet - nguyen te (chitiet).xlsx"</f>
        <v>\\filesrv01.msb.com.vn\06.Khoi Quan Ly Rui Ro\02.Trung Tam QLRR Thi Truong\02.Phong GSRRTT\05.Report\01.Daily Report\2026.08.18\00.Input\03.GL\Can doi noi bang chi tiet - nguyen te (chitiet).xlsx</v>
      </c>
      <c r="D34" s="1" t="s">
        <v>7</v>
      </c>
      <c r="L34" s="4">
        <v>33</v>
      </c>
      <c r="M34" s="5" t="s">
        <v>3041</v>
      </c>
      <c r="N34" s="89" t="s">
        <v>2939</v>
      </c>
    </row>
    <row r="35" spans="1:14" ht="14.4" x14ac:dyDescent="0.3">
      <c r="A35" s="680">
        <v>34</v>
      </c>
      <c r="B35" s="681" t="s">
        <v>3082</v>
      </c>
      <c r="C35" s="666" t="str">
        <f>"\\filesrv01.msb.com.vn\06.Khoi Quan Ly Rui Ro\02.Trung Tam QLRR Thi Truong\02.Phong GSRRTT\05.Report\01.Daily Report\"&amp;TEXT(RPT,"yyyy.mm.dd")&amp;"\00.Input\02.Kondor\MSB_RP_DM.xlsx"</f>
        <v>\\filesrv01.msb.com.vn\06.Khoi Quan Ly Rui Ro\02.Trung Tam QLRR Thi Truong\02.Phong GSRRTT\05.Report\01.Daily Report\2026.08.18\00.Input\02.Kondor\MSB_RP_DM.xlsx</v>
      </c>
      <c r="D35" s="1" t="s">
        <v>7</v>
      </c>
      <c r="L35" s="4">
        <v>34</v>
      </c>
      <c r="M35" s="5" t="s">
        <v>3041</v>
      </c>
      <c r="N35" s="89" t="s">
        <v>2868</v>
      </c>
    </row>
    <row r="36" spans="1:14" x14ac:dyDescent="0.25">
      <c r="A36" s="272">
        <v>35</v>
      </c>
      <c r="B36" s="1" t="s">
        <v>3111</v>
      </c>
      <c r="C36" s="676">
        <f>DATE(YEAR(RPT),MONTH(RPT)-1,1)</f>
        <v>46204</v>
      </c>
      <c r="L36" s="4">
        <v>35</v>
      </c>
      <c r="M36" s="5" t="s">
        <v>3041</v>
      </c>
      <c r="N36" s="89" t="s">
        <v>2869</v>
      </c>
    </row>
    <row r="37" spans="1:14" x14ac:dyDescent="0.25">
      <c r="A37" s="272">
        <v>36</v>
      </c>
      <c r="B37" s="1" t="s">
        <v>3112</v>
      </c>
      <c r="C37" s="676">
        <f>EOMONTH(C36,0)</f>
        <v>46234</v>
      </c>
      <c r="L37" s="4">
        <v>36</v>
      </c>
      <c r="M37" s="5" t="s">
        <v>3041</v>
      </c>
      <c r="N37" s="89" t="s">
        <v>3638</v>
      </c>
    </row>
    <row r="38" spans="1:14" x14ac:dyDescent="0.25">
      <c r="A38" s="272">
        <v>37</v>
      </c>
      <c r="B38" s="1" t="s">
        <v>3113</v>
      </c>
      <c r="C38" s="682" t="str">
        <f>IF(MONTH(RPT)&lt;&gt;MONTH(Yesterday-7),"Yes","No")</f>
        <v>No</v>
      </c>
      <c r="D38" s="60"/>
      <c r="L38" s="4">
        <v>37</v>
      </c>
      <c r="M38" s="89" t="s">
        <v>3122</v>
      </c>
      <c r="N38" s="89" t="s">
        <v>3123</v>
      </c>
    </row>
    <row r="39" spans="1:14" ht="14.4" x14ac:dyDescent="0.3">
      <c r="A39" s="272">
        <v>38</v>
      </c>
      <c r="B39" s="1" t="s">
        <v>3199</v>
      </c>
      <c r="C39" s="672" t="str">
        <f>"\\filesrv01.msb.com.vn\06.Khoi Quan Ly Rui Ro\02.Trung Tam QLRR Thi Truong\02.Phong GSRRTT\05.Report\01.Daily Report\"&amp;TEXT(RPT,"yyyy.mm.dd")&amp;"\BOND\01.GovBond\03.Phan tich PnL_"&amp;TEXT(RPT,"yyyy.mm.dd")&amp;".xlsm"</f>
        <v>\\filesrv01.msb.com.vn\06.Khoi Quan Ly Rui Ro\02.Trung Tam QLRR Thi Truong\02.Phong GSRRTT\05.Report\01.Daily Report\2026.08.18\BOND\01.GovBond\03.Phan tich PnL_2026.08.18.xlsm</v>
      </c>
      <c r="D39" s="717" t="s">
        <v>3646</v>
      </c>
      <c r="L39" s="4">
        <v>38</v>
      </c>
      <c r="M39" s="89" t="s">
        <v>3122</v>
      </c>
      <c r="N39" s="89" t="s">
        <v>3068</v>
      </c>
    </row>
    <row r="40" spans="1:14" ht="14.4" x14ac:dyDescent="0.3">
      <c r="A40" s="272">
        <v>39</v>
      </c>
      <c r="B40" s="1" t="s">
        <v>3200</v>
      </c>
      <c r="C40" s="672" t="str">
        <f>"\\filesrv01.msb.com.vn\06.Khoi Quan Ly Rui Ro\02.Trung Tam QLRR Thi Truong\02.Phong GSRRTT\05.Report\01.Daily Report\"&amp;TEXT(RPT,"yyyy.mm.dd")&amp;"\BOND\01.GovBond\02.Report_Bond_"&amp;TEXT(RPT,"yyyy.mm.dd")&amp;".xlsm"</f>
        <v>\\filesrv01.msb.com.vn\06.Khoi Quan Ly Rui Ro\02.Trung Tam QLRR Thi Truong\02.Phong GSRRTT\05.Report\01.Daily Report\2026.08.18\BOND\01.GovBond\02.Report_Bond_2026.08.18.xlsm</v>
      </c>
      <c r="D40" s="717" t="s">
        <v>3646</v>
      </c>
      <c r="L40" s="4">
        <v>39</v>
      </c>
      <c r="M40" s="89" t="s">
        <v>3122</v>
      </c>
      <c r="N40" s="158" t="s">
        <v>3071</v>
      </c>
    </row>
    <row r="41" spans="1:14" ht="14.4" x14ac:dyDescent="0.3">
      <c r="A41" s="272">
        <v>40</v>
      </c>
      <c r="B41" s="1" t="s">
        <v>3195</v>
      </c>
      <c r="C41" s="672"/>
      <c r="D41" s="717" t="s">
        <v>3646</v>
      </c>
      <c r="L41" s="4">
        <v>40</v>
      </c>
      <c r="M41" s="89" t="s">
        <v>866</v>
      </c>
      <c r="N41" s="89" t="s">
        <v>3148</v>
      </c>
    </row>
    <row r="42" spans="1:14" x14ac:dyDescent="0.25">
      <c r="A42" s="272">
        <v>41</v>
      </c>
      <c r="B42" s="1" t="s">
        <v>3547</v>
      </c>
      <c r="C42" s="683" t="str">
        <f>"\\filesrv01.msb.com.vn\06.Khoi Quan Ly Rui Ro\02.Trung Tam QLRR Thi Truong\02.Phong GSRRTT\05.Report\01.Daily Report\"&amp;TEXT(Yesterday,"yyyy.mm.dd")&amp;"\BOND\01.GovBond\01.RptTool_Bond_"&amp;TEXT(Yesterday,"yyyy.mm.dd")&amp;".xlsm"</f>
        <v>\\filesrv01.msb.com.vn\06.Khoi Quan Ly Rui Ro\02.Trung Tam QLRR Thi Truong\02.Phong GSRRTT\05.Report\01.Daily Report\2026.08.17\BOND\01.GovBond\01.RptTool_Bond_2026.08.17.xlsm</v>
      </c>
      <c r="D42" s="718" t="s">
        <v>3646</v>
      </c>
      <c r="L42" s="4">
        <v>41</v>
      </c>
      <c r="M42" s="5" t="s">
        <v>866</v>
      </c>
      <c r="N42" s="158" t="s">
        <v>2301</v>
      </c>
    </row>
    <row r="43" spans="1:14" x14ac:dyDescent="0.25">
      <c r="L43" s="4">
        <v>42</v>
      </c>
      <c r="M43" s="5" t="s">
        <v>866</v>
      </c>
      <c r="N43" s="158" t="s">
        <v>3095</v>
      </c>
    </row>
    <row r="44" spans="1:14" x14ac:dyDescent="0.25">
      <c r="L44" s="4">
        <v>43</v>
      </c>
      <c r="M44" s="5" t="s">
        <v>866</v>
      </c>
      <c r="N44" s="158" t="s">
        <v>3147</v>
      </c>
    </row>
    <row r="45" spans="1:14" ht="14.4" x14ac:dyDescent="0.3">
      <c r="B45" s="684"/>
      <c r="L45" s="4">
        <v>44</v>
      </c>
      <c r="M45" s="5" t="s">
        <v>3532</v>
      </c>
      <c r="N45" s="89" t="s">
        <v>3542</v>
      </c>
    </row>
    <row r="46" spans="1:14" ht="14.4" x14ac:dyDescent="0.3">
      <c r="B46" s="684"/>
      <c r="L46" s="4">
        <v>45</v>
      </c>
      <c r="M46" s="5" t="s">
        <v>3532</v>
      </c>
      <c r="N46" s="89" t="s">
        <v>3541</v>
      </c>
    </row>
    <row r="47" spans="1:14" x14ac:dyDescent="0.25">
      <c r="L47" s="4">
        <v>46</v>
      </c>
      <c r="M47" s="5" t="s">
        <v>3532</v>
      </c>
      <c r="N47" s="89" t="s">
        <v>3549</v>
      </c>
    </row>
    <row r="48" spans="1:14" x14ac:dyDescent="0.25">
      <c r="L48" s="4">
        <v>47</v>
      </c>
      <c r="M48" s="5" t="s">
        <v>3532</v>
      </c>
      <c r="N48" s="89" t="s">
        <v>3939</v>
      </c>
    </row>
  </sheetData>
  <hyperlinks>
    <hyperlink ref="C28" r:id="rId1" display="\\10.1.2.40\06.Khoi Quan Ly Rui Ro\02.Trung Tam QLRR Thi Truong\02.Phong GSRRTT\05.Report\Theo doi\BOND\01.Report_BOND\Input_data\RP_SEC_POS_TB_SBV.xlsx" xr:uid="{BA827815-CD84-4B5B-B0A3-3CB5E2814726}"/>
    <hyperlink ref="C29" r:id="rId2" display="\\10.1.2.40\06.Khoi Quan Ly Rui Ro\02.Trung Tam QLRR Thi Truong\02.Phong GSRRTT\05.Report\Theo doi\BOND\01.Report_BOND\Input_data\RP_SEC_POS_BK_SBV.xlsx" xr:uid="{15762C9B-0EE5-43B4-B05C-27DB502A629A}"/>
    <hyperlink ref="C33" r:id="rId3" display="\\10.1.2.40\06.Khoi Quan Ly Rui Ro\02.Trung Tam QLRR Thi Truong\02.Phong GSRRTT\05.Report\Theo doi\BOND\01.Report_BOND\Input_data\RPBOD_B003.xlsx" xr:uid="{A521CBB8-7D9A-4EE4-AA6A-CCB96F2C8142}"/>
    <hyperlink ref="C35" r:id="rId4" display="\\10.1.2.40\06.Khoi Quan Ly Rui Ro\02.Trung Tam QLRR Thi Truong\02.Phong GSRRTT\05.Report\Theo doi\BOND\01.Report_BOND\Input_data\MSB_RP_DM.xlsx" xr:uid="{8069AFA3-9738-43A5-A20A-E1042404C8B3}"/>
    <hyperlink ref="C30" r:id="rId5" display="\\10.1.2.40\06.Khoi Quan Ly Rui Ro\02.Trung Tam QLRR Thi Truong\02.Phong GSRRTT\05.Report\Theo doi\BOND\01.Report_BOND\2025.05.29\01.GovBond\00.Input_data\Market.xlsx" xr:uid="{39BA21D3-CC4D-4C3D-A920-F1D699985D07}"/>
    <hyperlink ref="C40" r:id="rId6" display="\\10.1.2.40\06.Khoi Quan Ly Rui Ro\02.Trung Tam QLRR Thi Truong\02.Phong GSRRTT\05.Report\Theo doi\BOND\01.Report_BOND\2025.05.29\01.GovBond\Phan tich kich ban PnL.xlsb" xr:uid="{B33C3318-1354-4D77-B0DE-915A3C58A5D1}"/>
    <hyperlink ref="C39" r:id="rId7" display="\\10.1.2.40\06.Khoi Quan Ly Rui Ro\02.Trung Tam QLRR Thi Truong\02.Phong GSRRTT\05.Report\Theo doi\BOND\01.Report_BOND\2025.05.29\01.GovBond\Phan tich kich ban PnL.xlsb" xr:uid="{AE6CE09D-D48C-4152-B15E-A57CF0535A75}"/>
    <hyperlink ref="C27" r:id="rId8" display="\\10.1.2.40\06.Khoi Quan Ly Rui Ro\02.Trung Tam QLRR Thi Truong\02.Phong GSRRTT\05.Report\Theo doi\BOND\01.Report_BOND\Input_data\RPBOD_B003.xlsx" xr:uid="{9F05ABBB-42FF-47CC-9DF9-452BDE586933}"/>
    <hyperlink ref="C31" r:id="rId9" xr:uid="{70B7E356-572C-451D-84DF-ECEC59B79CA1}"/>
    <hyperlink ref="C26" r:id="rId10" xr:uid="{EB327C7E-8F30-4242-9EBB-56BB302B7EDE}"/>
    <hyperlink ref="C25" r:id="rId11" xr:uid="{4A85E8CD-4412-4B46-8C8E-41C2F711BDCA}"/>
  </hyperlinks>
  <pageMargins left="0.7" right="0.7" top="0.75" bottom="0.75" header="0.3" footer="0.3"/>
  <pageSetup paperSize="9" orientation="portrait" r:id="rId12"/>
  <drawing r:id="rId13"/>
  <tableParts count="1">
    <tablePart r:id="rId1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rgb="FF00B0F0"/>
  </sheetPr>
  <dimension ref="A1:O52"/>
  <sheetViews>
    <sheetView showGridLines="0" zoomScale="85" zoomScaleNormal="85" workbookViewId="0">
      <pane ySplit="1" topLeftCell="A2" activePane="bottomLeft" state="frozen"/>
      <selection pane="bottomLeft" activeCell="G6" sqref="G6"/>
    </sheetView>
  </sheetViews>
  <sheetFormatPr defaultColWidth="9.09765625" defaultRowHeight="14.4" x14ac:dyDescent="0.3"/>
  <cols>
    <col min="1" max="1" width="5" style="11" bestFit="1" customWidth="1"/>
    <col min="2" max="2" width="9.3984375" style="289" bestFit="1" customWidth="1"/>
    <col min="3" max="3" width="56.8984375" style="288" bestFit="1" customWidth="1"/>
    <col min="4" max="4" width="49.3984375" style="289" customWidth="1"/>
    <col min="5" max="5" width="11.8984375" style="11" bestFit="1" customWidth="1"/>
    <col min="6" max="6" width="19.09765625" style="300" bestFit="1" customWidth="1"/>
    <col min="7" max="8" width="12.8984375" style="301" customWidth="1"/>
    <col min="9" max="9" width="14.8984375" style="301" bestFit="1" customWidth="1"/>
    <col min="10" max="10" width="21.59765625" style="289" bestFit="1" customWidth="1"/>
    <col min="11" max="11" width="10.09765625" style="289" bestFit="1" customWidth="1"/>
    <col min="12" max="16384" width="9.09765625" style="289"/>
  </cols>
  <sheetData>
    <row r="1" spans="1:11" x14ac:dyDescent="0.3">
      <c r="A1" s="205" t="s">
        <v>0</v>
      </c>
      <c r="B1" s="290" t="s">
        <v>864</v>
      </c>
      <c r="C1" s="206" t="s">
        <v>23</v>
      </c>
      <c r="D1" s="205" t="s">
        <v>862</v>
      </c>
      <c r="E1" s="205" t="s">
        <v>865</v>
      </c>
      <c r="F1" s="205" t="s">
        <v>863</v>
      </c>
      <c r="G1" s="823" t="s">
        <v>2886</v>
      </c>
      <c r="H1" s="824"/>
      <c r="I1" s="291" t="s">
        <v>2202</v>
      </c>
    </row>
    <row r="2" spans="1:11" ht="15.55" x14ac:dyDescent="0.3">
      <c r="A2" s="281">
        <v>1</v>
      </c>
      <c r="B2" s="286" t="s">
        <v>1054</v>
      </c>
      <c r="C2" s="286" t="s">
        <v>2353</v>
      </c>
      <c r="D2" s="286" t="s">
        <v>2354</v>
      </c>
      <c r="E2" s="407" t="str">
        <f>(SUMIFS('Deal ps'!L:L,'Deal ps'!AF:AF,"Primary_market")*10^5/10^9&amp;" tỷ")</f>
        <v>0 tỷ</v>
      </c>
      <c r="F2" s="292" t="s">
        <v>2504</v>
      </c>
      <c r="G2" s="293">
        <f>SUMIFS('Deal ps'!L:L,'Deal ps'!AF:AF,"Primary_market")*10^5/10^9</f>
        <v>0</v>
      </c>
      <c r="H2" s="294" t="s">
        <v>2916</v>
      </c>
      <c r="I2" s="293"/>
    </row>
    <row r="3" spans="1:11" x14ac:dyDescent="0.3">
      <c r="A3" s="280">
        <v>2</v>
      </c>
      <c r="B3" s="286" t="s">
        <v>1054</v>
      </c>
      <c r="C3" s="286" t="s">
        <v>2366</v>
      </c>
      <c r="D3" s="286"/>
      <c r="E3" s="282" t="str">
        <f>IF('Phan tich_TB'!C2&lt;=0,"Check","OK")</f>
        <v>OK</v>
      </c>
      <c r="F3" s="292" t="s">
        <v>2736</v>
      </c>
      <c r="G3" s="293"/>
      <c r="H3" s="293"/>
      <c r="I3" s="293"/>
    </row>
    <row r="4" spans="1:11" x14ac:dyDescent="0.3">
      <c r="A4" s="281">
        <v>3</v>
      </c>
      <c r="B4" s="286" t="s">
        <v>1054</v>
      </c>
      <c r="C4" s="286" t="s">
        <v>2367</v>
      </c>
      <c r="D4" s="286"/>
      <c r="E4" s="282" t="str">
        <f>IF('Phan tich_BB'!C3&lt;=0,"Check","OK")</f>
        <v>OK</v>
      </c>
      <c r="F4" s="292" t="s">
        <v>2737</v>
      </c>
      <c r="G4" s="293"/>
      <c r="H4" s="293"/>
      <c r="I4" s="293"/>
    </row>
    <row r="5" spans="1:11" x14ac:dyDescent="0.3">
      <c r="A5" s="280">
        <v>4</v>
      </c>
      <c r="B5" s="286" t="s">
        <v>890</v>
      </c>
      <c r="C5" s="286" t="s">
        <v>2306</v>
      </c>
      <c r="D5" s="286" t="s">
        <v>2355</v>
      </c>
      <c r="E5" s="283" t="str">
        <f>IF(ABS('Phan tich_TB'!M2)&gt;15,"CHECK","OK")</f>
        <v>CHECK</v>
      </c>
      <c r="F5" s="295" t="s">
        <v>2356</v>
      </c>
      <c r="G5" s="293">
        <f>'Phan tich_TB'!M2</f>
        <v>-92.57847999999467</v>
      </c>
      <c r="H5" s="293"/>
      <c r="I5" s="293"/>
    </row>
    <row r="6" spans="1:11" x14ac:dyDescent="0.3">
      <c r="A6" s="281">
        <v>5</v>
      </c>
      <c r="B6" s="286" t="s">
        <v>890</v>
      </c>
      <c r="C6" s="286" t="s">
        <v>2901</v>
      </c>
      <c r="D6" s="286" t="s">
        <v>2902</v>
      </c>
      <c r="E6" s="284" t="str">
        <f>IF(ABS(SUMIF('Deal ps'!$AM:$AM,"&lt;&gt;#N/A")/10^9)&gt;5,"CHECK","OK")</f>
        <v>OK</v>
      </c>
      <c r="F6" s="295" t="s">
        <v>2189</v>
      </c>
      <c r="G6" s="293">
        <f>SUMIF('Deal ps'!$AM:$AM,"&lt;&gt;#N/A")/10^9</f>
        <v>0.12311999999999999</v>
      </c>
      <c r="H6" s="294" t="s">
        <v>2922</v>
      </c>
      <c r="I6" s="293"/>
    </row>
    <row r="7" spans="1:11" x14ac:dyDescent="0.3">
      <c r="A7" s="280">
        <v>6</v>
      </c>
      <c r="B7" s="286" t="s">
        <v>890</v>
      </c>
      <c r="C7" s="286" t="s">
        <v>3015</v>
      </c>
      <c r="D7" s="286"/>
      <c r="E7" s="283" t="str">
        <f>IF(ABS('Phan tich_TB'!DS5)&gt;=100,"Check","OK")</f>
        <v>OK</v>
      </c>
      <c r="F7" s="296"/>
      <c r="G7" s="293"/>
      <c r="H7" s="293"/>
      <c r="I7" s="293"/>
    </row>
    <row r="8" spans="1:11" x14ac:dyDescent="0.3">
      <c r="A8" s="281">
        <v>7</v>
      </c>
      <c r="B8" s="286" t="s">
        <v>890</v>
      </c>
      <c r="C8" s="286" t="s">
        <v>2873</v>
      </c>
      <c r="D8" s="286"/>
      <c r="E8" s="283" t="str">
        <f>IF(I8=0,"OK","CHECK")</f>
        <v>OK</v>
      </c>
      <c r="F8" s="296"/>
      <c r="G8" s="293">
        <f>'Phan tich_TB'!M7+'Phan tich_BB'!P7</f>
        <v>-3386.3980955149163</v>
      </c>
      <c r="H8" s="293">
        <f>'Phan tich_BB'!AU8+'Phan tich_TB'!DS10</f>
        <v>-3386.3980955149163</v>
      </c>
      <c r="I8" s="293">
        <f>ROUND(G8-H8,0)</f>
        <v>0</v>
      </c>
      <c r="J8" s="289" t="s">
        <v>3691</v>
      </c>
    </row>
    <row r="9" spans="1:11" x14ac:dyDescent="0.3">
      <c r="A9" s="280">
        <v>8</v>
      </c>
      <c r="B9" s="286" t="s">
        <v>890</v>
      </c>
      <c r="C9" s="286" t="s">
        <v>3651</v>
      </c>
      <c r="D9" s="287"/>
      <c r="E9" s="283" t="str">
        <f>IF(I9=0,"OK","CHECK")</f>
        <v>OK</v>
      </c>
      <c r="F9" s="286"/>
      <c r="G9" s="293">
        <f>'Phan tich_TB'!M7+'Phan tich_BB'!P7</f>
        <v>-3386.3980955149163</v>
      </c>
      <c r="H9" s="293">
        <f>BS!G6+BS!L6+BS!Q6</f>
        <v>-3385.7795090320647</v>
      </c>
      <c r="I9" s="293">
        <f>ROUND(G9-H9,0)+1</f>
        <v>0</v>
      </c>
      <c r="K9" s="493"/>
    </row>
    <row r="10" spans="1:11" x14ac:dyDescent="0.3">
      <c r="A10" s="281">
        <v>9</v>
      </c>
      <c r="B10" s="286" t="s">
        <v>890</v>
      </c>
      <c r="C10" s="286" t="s">
        <v>2874</v>
      </c>
      <c r="D10" s="286"/>
      <c r="E10" s="282" t="str">
        <f>IF(I10=0,"OK","CHECK")</f>
        <v>OK</v>
      </c>
      <c r="F10" s="292"/>
      <c r="G10" s="293">
        <f>'Phan tich_BB'!P3+'Phan tich_TB'!M4</f>
        <v>-1038.1640236180042</v>
      </c>
      <c r="H10" s="293">
        <f>'Phan tich_BB'!AU1+'Phan tich_TB'!DS3</f>
        <v>-1038.1640236179981</v>
      </c>
      <c r="I10" s="293">
        <f>ROUND(G10-H10,0)</f>
        <v>0</v>
      </c>
      <c r="J10" s="511"/>
      <c r="K10" s="493"/>
    </row>
    <row r="11" spans="1:11" x14ac:dyDescent="0.3">
      <c r="A11" s="280">
        <v>10</v>
      </c>
      <c r="B11" s="286" t="s">
        <v>870</v>
      </c>
      <c r="C11" s="286" t="s">
        <v>2188</v>
      </c>
      <c r="D11" s="286" t="s">
        <v>2919</v>
      </c>
      <c r="E11" s="283" t="str">
        <f>IF(COUNTIFS('Deal ps'!AK:AK,"check")&gt;0,"CHECK","OK")</f>
        <v>CHECK</v>
      </c>
      <c r="F11" s="295"/>
      <c r="G11" s="293"/>
      <c r="H11" s="293"/>
      <c r="I11" s="293"/>
    </row>
    <row r="12" spans="1:11" x14ac:dyDescent="0.3">
      <c r="A12" s="281">
        <v>11</v>
      </c>
      <c r="B12" s="286" t="s">
        <v>870</v>
      </c>
      <c r="C12" s="286" t="s">
        <v>3671</v>
      </c>
      <c r="D12" s="286" t="s">
        <v>2918</v>
      </c>
      <c r="E12" s="453" t="str">
        <f>IF(G12=0,"OK","CHECK")</f>
        <v>OK</v>
      </c>
      <c r="F12" s="297"/>
      <c r="G12" s="293">
        <f>COUNTIF(FNRP!AL:AL,"&lt;0")</f>
        <v>0</v>
      </c>
      <c r="H12" s="293" t="s">
        <v>3675</v>
      </c>
      <c r="I12" s="293"/>
    </row>
    <row r="13" spans="1:11" x14ac:dyDescent="0.3">
      <c r="A13" s="280">
        <v>12</v>
      </c>
      <c r="B13" s="286" t="s">
        <v>870</v>
      </c>
      <c r="C13" s="286" t="s">
        <v>3672</v>
      </c>
      <c r="D13" s="286" t="s">
        <v>2918</v>
      </c>
      <c r="E13" s="453" t="str">
        <f>IF(G13=0,"OK","CHECK")</f>
        <v>OK</v>
      </c>
      <c r="F13" s="297"/>
      <c r="G13" s="293">
        <f>COUNTIF(FNRP!CD:CD,"&lt;0")</f>
        <v>0</v>
      </c>
      <c r="H13" s="293" t="s">
        <v>3675</v>
      </c>
      <c r="I13" s="293"/>
    </row>
    <row r="14" spans="1:11" x14ac:dyDescent="0.3">
      <c r="A14" s="281">
        <v>13</v>
      </c>
      <c r="B14" s="286" t="s">
        <v>870</v>
      </c>
      <c r="C14" s="286" t="s">
        <v>3673</v>
      </c>
      <c r="D14" s="286" t="s">
        <v>2918</v>
      </c>
      <c r="E14" s="453" t="str">
        <f>IF(G14=0,"OK","CHECK")</f>
        <v>OK</v>
      </c>
      <c r="F14" s="297"/>
      <c r="G14" s="293">
        <f>COUNTIF(FNRP!DU:DU,"&lt;0")</f>
        <v>0</v>
      </c>
      <c r="H14" s="293" t="s">
        <v>3675</v>
      </c>
      <c r="I14" s="293"/>
    </row>
    <row r="15" spans="1:11" x14ac:dyDescent="0.3">
      <c r="A15" s="281">
        <v>14</v>
      </c>
      <c r="B15" s="286" t="s">
        <v>870</v>
      </c>
      <c r="C15" s="286" t="s">
        <v>3674</v>
      </c>
      <c r="D15" s="286" t="s">
        <v>2918</v>
      </c>
      <c r="E15" s="453" t="str">
        <f>IF(G15=0,"OK","CHECK")</f>
        <v>OK</v>
      </c>
      <c r="F15" s="297"/>
      <c r="G15" s="293">
        <f>COUNTIF(FNRP!FL:FL,"&lt;0")</f>
        <v>0</v>
      </c>
      <c r="H15" s="293" t="s">
        <v>3675</v>
      </c>
      <c r="I15" s="293"/>
    </row>
    <row r="16" spans="1:11" x14ac:dyDescent="0.3">
      <c r="A16" s="281">
        <v>15</v>
      </c>
      <c r="B16" s="286" t="s">
        <v>870</v>
      </c>
      <c r="C16" s="286" t="s">
        <v>2876</v>
      </c>
      <c r="D16" s="286" t="s">
        <v>2917</v>
      </c>
      <c r="E16" s="283" t="str">
        <f t="shared" ref="E16:E21" si="0">IF(I16=0,"OK","CHECK")</f>
        <v>OK</v>
      </c>
      <c r="F16" s="292"/>
      <c r="G16" s="293">
        <f>BS!S4+BS!S5</f>
        <v>0</v>
      </c>
      <c r="H16" s="293">
        <f>BS!S22+BS!S23</f>
        <v>0</v>
      </c>
      <c r="I16" s="293">
        <f>G16-H16</f>
        <v>0</v>
      </c>
    </row>
    <row r="17" spans="1:15" x14ac:dyDescent="0.3">
      <c r="A17" s="281">
        <v>16</v>
      </c>
      <c r="B17" s="286" t="s">
        <v>870</v>
      </c>
      <c r="C17" s="286" t="s">
        <v>2914</v>
      </c>
      <c r="D17" s="286" t="s">
        <v>2917</v>
      </c>
      <c r="E17" s="283" t="str">
        <f t="shared" si="0"/>
        <v>OK</v>
      </c>
      <c r="F17" s="298"/>
      <c r="G17" s="293">
        <f>'Phan tich_BB'!$K$2+'Phan tich_TB'!BJ2</f>
        <v>28371.311300000001</v>
      </c>
      <c r="H17" s="293">
        <f>'Phan tich_BB'!$AP$1+'Phan tich_TB'!$DN$1</f>
        <v>28371.311300000001</v>
      </c>
      <c r="I17" s="293">
        <f>G17-H17</f>
        <v>0</v>
      </c>
      <c r="J17" s="517"/>
      <c r="K17" s="518"/>
    </row>
    <row r="18" spans="1:15" x14ac:dyDescent="0.3">
      <c r="A18" s="281">
        <v>17</v>
      </c>
      <c r="B18" s="286" t="s">
        <v>870</v>
      </c>
      <c r="C18" s="286" t="s">
        <v>2915</v>
      </c>
      <c r="D18" s="286" t="s">
        <v>2917</v>
      </c>
      <c r="E18" s="283" t="str">
        <f t="shared" si="0"/>
        <v>OK</v>
      </c>
      <c r="F18" s="298"/>
      <c r="G18" s="293">
        <f>SUM(RP_SEC!G:G)/10^9+SUM(RP_SEC!AG:AG)/10^9</f>
        <v>28371.311300000001</v>
      </c>
      <c r="H18" s="293">
        <f>SUM(RP_SEC!BG:BG)/10^9+SUM(RP_SEC!CC:CC)/10^9</f>
        <v>28371.311300000001</v>
      </c>
      <c r="I18" s="293">
        <f>G18-H18</f>
        <v>0</v>
      </c>
      <c r="J18" s="518"/>
      <c r="K18" s="518"/>
    </row>
    <row r="19" spans="1:15" x14ac:dyDescent="0.3">
      <c r="A19" s="281">
        <v>18</v>
      </c>
      <c r="B19" s="286" t="s">
        <v>870</v>
      </c>
      <c r="C19" s="286" t="s">
        <v>2910</v>
      </c>
      <c r="D19" s="286" t="s">
        <v>2174</v>
      </c>
      <c r="E19" s="283" t="str">
        <f t="shared" si="0"/>
        <v>OK</v>
      </c>
      <c r="F19" s="296"/>
      <c r="G19" s="293">
        <f>+'Phan tich_TB'!BJ2</f>
        <v>17513</v>
      </c>
      <c r="H19" s="293">
        <f>+SUM(RP_SEC!G:G)/10^9+SUM(TB_HTM[Amt])/10^9</f>
        <v>17513</v>
      </c>
      <c r="I19" s="293">
        <f>+G19-H19</f>
        <v>0</v>
      </c>
      <c r="L19" s="511"/>
    </row>
    <row r="20" spans="1:15" x14ac:dyDescent="0.3">
      <c r="A20" s="281">
        <v>19</v>
      </c>
      <c r="B20" s="286" t="s">
        <v>870</v>
      </c>
      <c r="C20" s="286" t="s">
        <v>2911</v>
      </c>
      <c r="D20" s="286" t="s">
        <v>2174</v>
      </c>
      <c r="E20" s="283" t="str">
        <f t="shared" si="0"/>
        <v>CHECK</v>
      </c>
      <c r="F20" s="296"/>
      <c r="G20" s="293">
        <f>+'Phan tich_TB'!BJ2</f>
        <v>17513</v>
      </c>
      <c r="H20" s="293">
        <f>VLOOKUP(Yesterday,His_pos[[RptDate]:[Actual]],6,0)
+SUMIFS('Deal ps'!L:L,'Deal ps'!D:D,"B",'Deal ps'!AD:AD,"Trading")/10^4
-SUMIFS('Deal ps'!L:L,'Deal ps'!D:D,"S",'Deal ps'!AD:AD,"Trading")/10^4
+SUM('Deal ps'!BO:BO)+SUMIFS('Deal ps'!AY:AY,'Deal ps'!AW:AW,"&lt;&gt;AFS-ITB")
-SUMIFS(FNRP!J:J,FNRP!F:F,RPT)/10^4</f>
        <v>18213</v>
      </c>
      <c r="I20" s="293">
        <f>H20-G20</f>
        <v>700</v>
      </c>
    </row>
    <row r="21" spans="1:15" x14ac:dyDescent="0.3">
      <c r="A21" s="281">
        <v>20</v>
      </c>
      <c r="B21" s="286" t="s">
        <v>870</v>
      </c>
      <c r="C21" s="286" t="s">
        <v>2912</v>
      </c>
      <c r="D21" s="286" t="s">
        <v>2174</v>
      </c>
      <c r="E21" s="283" t="str">
        <f t="shared" si="0"/>
        <v>OK</v>
      </c>
      <c r="F21" s="296"/>
      <c r="G21" s="293">
        <f>SUM('Phan tich_TB'!BJ3:BJ6)</f>
        <v>17513</v>
      </c>
      <c r="H21" s="293">
        <f>SUM('Phan tich_TB'!BJ17:BJ56)</f>
        <v>17513</v>
      </c>
      <c r="I21" s="293">
        <f>G21-H21</f>
        <v>0</v>
      </c>
    </row>
    <row r="22" spans="1:15" x14ac:dyDescent="0.3">
      <c r="A22" s="281">
        <v>21</v>
      </c>
      <c r="B22" s="286" t="s">
        <v>870</v>
      </c>
      <c r="C22" s="286" t="s">
        <v>2913</v>
      </c>
      <c r="D22" s="286" t="s">
        <v>2174</v>
      </c>
      <c r="E22" s="283" t="str">
        <f>IF((IFERROR(SUM(FNRP!AJ:AJ),"CHECK"))="CHECK","CHECK","OK")</f>
        <v>OK</v>
      </c>
      <c r="F22" s="296" t="s">
        <v>2895</v>
      </c>
      <c r="G22" s="293"/>
      <c r="H22" s="293"/>
      <c r="I22" s="293"/>
    </row>
    <row r="23" spans="1:15" ht="14.95" customHeight="1" x14ac:dyDescent="0.3">
      <c r="A23" s="281">
        <v>22</v>
      </c>
      <c r="B23" s="286" t="s">
        <v>870</v>
      </c>
      <c r="C23" s="286" t="s">
        <v>2910</v>
      </c>
      <c r="D23" s="286" t="s">
        <v>2175</v>
      </c>
      <c r="E23" s="283" t="str">
        <f>IF(I23=0,"OK","CHECK")</f>
        <v>OK</v>
      </c>
      <c r="F23" s="296"/>
      <c r="G23" s="293">
        <f>SUM(Bankingbook_MSB[Quantity_edited])/10^4-SUM(TB_HTM[Amt])/10^9</f>
        <v>10858.311299999999</v>
      </c>
      <c r="H23" s="293">
        <f>SUM(RP_SEC!AG:AG)/10^9-SUM(TB_HTM[Amt])/10^9</f>
        <v>10858.311299999999</v>
      </c>
      <c r="I23" s="293">
        <f>G23-H23</f>
        <v>0</v>
      </c>
    </row>
    <row r="24" spans="1:15" x14ac:dyDescent="0.3">
      <c r="A24" s="281">
        <v>23</v>
      </c>
      <c r="B24" s="286" t="s">
        <v>870</v>
      </c>
      <c r="C24" s="286" t="s">
        <v>2911</v>
      </c>
      <c r="D24" s="286" t="s">
        <v>2175</v>
      </c>
      <c r="E24" s="283" t="str">
        <f>IF(I24=0,"OK","CHECK")</f>
        <v>CHECK</v>
      </c>
      <c r="F24" s="296"/>
      <c r="G24" s="293">
        <f>'Phan tich_BB'!K2</f>
        <v>10858.311299999999</v>
      </c>
      <c r="H24" s="293">
        <f>SUMIFS(His_posBB[[#All],[Actual]],His_posBB[[#All],[RptDate]],Yesterday)+SUMIFS('Deal ps'!L:L,'Deal ps'!AD:AD,"Banking",'Deal ps'!D:D,"B")/10^4-SUMIFS('Deal ps'!L:L,'Deal ps'!AD:AD,"Banking",'Deal ps'!D:D,"S")/10^4-SUMIFS('Deal ps'!AV:AV,'Deal ps'!AX:AX,"Banking",'Deal ps'!AU:AU,"B")/10^4+SUMIFS('Deal ps'!AV:AV,'Deal ps'!AX:AX,"Banking",'Deal ps'!AU:AU,"S")/10^4</f>
        <v>10158.311299999999</v>
      </c>
      <c r="I24" s="293">
        <f>G24-H24</f>
        <v>700</v>
      </c>
    </row>
    <row r="25" spans="1:15" x14ac:dyDescent="0.3">
      <c r="A25" s="281">
        <v>24</v>
      </c>
      <c r="B25" s="286" t="s">
        <v>870</v>
      </c>
      <c r="C25" s="286" t="s">
        <v>2912</v>
      </c>
      <c r="D25" s="286" t="s">
        <v>2175</v>
      </c>
      <c r="E25" s="283" t="str">
        <f>IF(I25=0,"OK","CHECK")</f>
        <v>OK</v>
      </c>
      <c r="F25" s="298"/>
      <c r="G25" s="293">
        <f>'Phan tich_BB'!K2</f>
        <v>10858.311299999999</v>
      </c>
      <c r="H25" s="293">
        <f>SUM('Phan tich_BB'!K3:K42)</f>
        <v>10858.311299999999</v>
      </c>
      <c r="I25" s="293">
        <f>G25-H25</f>
        <v>0</v>
      </c>
    </row>
    <row r="26" spans="1:15" x14ac:dyDescent="0.3">
      <c r="A26" s="281">
        <v>25</v>
      </c>
      <c r="B26" s="286" t="s">
        <v>870</v>
      </c>
      <c r="C26" s="286" t="s">
        <v>2913</v>
      </c>
      <c r="D26" s="286" t="s">
        <v>2175</v>
      </c>
      <c r="E26" s="283" t="str">
        <f>IF((IFERROR(SUM(FNRP!CB:CB),"CHECK"))="CHECK","CHECK","OK")</f>
        <v>OK</v>
      </c>
      <c r="F26" s="296"/>
      <c r="G26" s="293"/>
      <c r="H26" s="293"/>
      <c r="I26" s="293"/>
    </row>
    <row r="27" spans="1:15" x14ac:dyDescent="0.3">
      <c r="A27" s="281">
        <v>26</v>
      </c>
      <c r="B27" s="286" t="s">
        <v>870</v>
      </c>
      <c r="C27" s="286" t="s">
        <v>2891</v>
      </c>
      <c r="D27" s="286" t="s">
        <v>2175</v>
      </c>
      <c r="E27" s="283" t="str">
        <f>IF(I27=0,"OK","CHECK")</f>
        <v>OK</v>
      </c>
      <c r="F27" s="296"/>
      <c r="G27" s="293">
        <f>'Phan tich_BB'!K2</f>
        <v>10858.311299999999</v>
      </c>
      <c r="H27" s="293">
        <f>SUMIFS(His_posBB[[#All],[Actual]],His_posBB[[#All],[RptDate]],Yesterday)</f>
        <v>10858.311299999999</v>
      </c>
      <c r="I27" s="293">
        <f>G27-H27</f>
        <v>0</v>
      </c>
    </row>
    <row r="28" spans="1:15" x14ac:dyDescent="0.3">
      <c r="A28" s="281">
        <v>27</v>
      </c>
      <c r="B28" s="286" t="s">
        <v>870</v>
      </c>
      <c r="C28" s="286" t="s">
        <v>3094</v>
      </c>
      <c r="D28" s="286"/>
      <c r="E28" s="284" t="str">
        <f>IF(SUM('Deal ps'!BX:BX)&gt;0,"CHECK","OK")</f>
        <v>OK</v>
      </c>
      <c r="F28" s="298"/>
      <c r="G28" s="293"/>
      <c r="H28" s="293"/>
      <c r="I28" s="293"/>
    </row>
    <row r="29" spans="1:15" x14ac:dyDescent="0.3">
      <c r="A29" s="281">
        <v>28</v>
      </c>
      <c r="B29" s="286" t="s">
        <v>870</v>
      </c>
      <c r="C29" s="286" t="s">
        <v>3165</v>
      </c>
      <c r="D29" s="286"/>
      <c r="E29" s="284" t="str">
        <f>IF(BS!G19=0,"OK","CHECK")</f>
        <v>CHECK</v>
      </c>
      <c r="F29" s="293"/>
      <c r="H29" s="293"/>
      <c r="I29" s="293"/>
      <c r="J29" s="495"/>
    </row>
    <row r="30" spans="1:15" x14ac:dyDescent="0.3">
      <c r="A30" s="281">
        <v>29</v>
      </c>
      <c r="B30" s="286" t="s">
        <v>870</v>
      </c>
      <c r="C30" s="286" t="s">
        <v>3288</v>
      </c>
      <c r="D30" s="286"/>
      <c r="E30" s="283" t="str">
        <f>IF(I30=0,"OK","CHECK")</f>
        <v>OK</v>
      </c>
      <c r="F30" s="298"/>
      <c r="G30" s="293">
        <f>(BS!AI4+BS!AI5)/10^9</f>
        <v>3365.9797461070002</v>
      </c>
      <c r="H30" s="293">
        <f>BS!E6</f>
        <v>3365.9797460792493</v>
      </c>
      <c r="I30" s="494">
        <f>ROUND(G30-H30,6)</f>
        <v>0</v>
      </c>
      <c r="J30" s="495" t="s">
        <v>3289</v>
      </c>
    </row>
    <row r="31" spans="1:15" x14ac:dyDescent="0.3">
      <c r="A31" s="281">
        <v>30</v>
      </c>
      <c r="B31" s="286" t="s">
        <v>870</v>
      </c>
      <c r="C31" s="286" t="s">
        <v>3553</v>
      </c>
      <c r="D31" s="286"/>
      <c r="E31" s="283" t="str">
        <f>IF(I31=0,"OK","CHECK")</f>
        <v>OK</v>
      </c>
      <c r="F31" s="613"/>
      <c r="G31" s="293">
        <f>'Giam sat'!AK3-'Giam sat'!AJ3</f>
        <v>1994</v>
      </c>
      <c r="H31" s="293">
        <f>BS!M4</f>
        <v>1994</v>
      </c>
      <c r="I31" s="293">
        <f>G31-H31</f>
        <v>0</v>
      </c>
      <c r="J31" s="694"/>
    </row>
    <row r="32" spans="1:15" x14ac:dyDescent="0.3">
      <c r="A32" s="281">
        <v>31</v>
      </c>
      <c r="B32" s="286" t="s">
        <v>870</v>
      </c>
      <c r="C32" s="286" t="s">
        <v>3554</v>
      </c>
      <c r="D32" s="286"/>
      <c r="E32" s="283" t="str">
        <f>IF(I32=0,"OK","CHECK")</f>
        <v>OK</v>
      </c>
      <c r="F32" s="298"/>
      <c r="G32" s="293">
        <f>G31
+SUMIFS('Giam sat'!BL:BL,'Giam sat'!BI:BI,"V",'Giam sat'!BK:BK,"&gt;"&amp;RPT)/10^4
-SUMIFS('Giam sat'!AW:AW,'Giam sat'!AR:AR,"V",'Giam sat'!AT:AT,"&gt;"&amp;RPT)/10^4</f>
        <v>-20900.7</v>
      </c>
      <c r="H32" s="293">
        <f>BS!H4+BS!M4</f>
        <v>-20900.7</v>
      </c>
      <c r="I32" s="293">
        <f>G32-H32</f>
        <v>0</v>
      </c>
      <c r="J32" s="694"/>
      <c r="L32" s="710">
        <f>+SUMIFS('Giam sat'!BL:BL,'Giam sat'!BI:BI,"V",'Giam sat'!BK:BK,"&gt;"&amp;RPT)/10^4
-SUMIFS('Giam sat'!AW:AW,'Giam sat'!AR:AR,"V",'Giam sat'!AT:AT,"&gt;"&amp;RPT)/10^4</f>
        <v>-22894.7</v>
      </c>
      <c r="M32" s="710">
        <f>BS!H4</f>
        <v>-22894.7</v>
      </c>
      <c r="N32" s="710"/>
      <c r="O32" s="710"/>
    </row>
    <row r="33" spans="1:10" x14ac:dyDescent="0.3">
      <c r="A33" s="281">
        <v>32</v>
      </c>
      <c r="B33" s="286" t="s">
        <v>870</v>
      </c>
      <c r="C33" s="286" t="s">
        <v>3656</v>
      </c>
      <c r="D33" s="286"/>
      <c r="E33" s="284" t="str">
        <f>IF(G33&gt;0,"CHECK","OK")</f>
        <v>OK</v>
      </c>
      <c r="F33" s="298"/>
      <c r="G33" s="293">
        <f>COUNTIF('Giam sat'!BD:BD,"Check")+COUNTIF('Giam sat'!BR:BR,"Check")</f>
        <v>0</v>
      </c>
      <c r="H33" s="293" t="s">
        <v>2905</v>
      </c>
      <c r="I33" s="293"/>
      <c r="J33" s="694" t="s">
        <v>3657</v>
      </c>
    </row>
    <row r="34" spans="1:10" x14ac:dyDescent="0.3">
      <c r="A34" s="281">
        <v>33</v>
      </c>
      <c r="B34" s="286" t="s">
        <v>870</v>
      </c>
      <c r="C34" s="286" t="s">
        <v>3581</v>
      </c>
      <c r="D34" s="286" t="s">
        <v>2174</v>
      </c>
      <c r="E34" s="283" t="str">
        <f>IF(I34=0,"OK","CHECK")</f>
        <v>OK</v>
      </c>
      <c r="F34" s="298"/>
      <c r="G34" s="293">
        <f>'Phan tich_TB'!AZ18</f>
        <v>17513</v>
      </c>
      <c r="H34" s="293">
        <f>SUM(RP_SEC!G:G)/10^9+SUM(TB_HTM[Amt])/10^9</f>
        <v>17513</v>
      </c>
      <c r="I34" s="494">
        <f>G34-H34</f>
        <v>0</v>
      </c>
      <c r="J34" s="495"/>
    </row>
    <row r="35" spans="1:10" x14ac:dyDescent="0.3">
      <c r="A35" s="281">
        <v>34</v>
      </c>
      <c r="B35" s="286" t="s">
        <v>870</v>
      </c>
      <c r="C35" s="286" t="s">
        <v>3581</v>
      </c>
      <c r="D35" s="286" t="s">
        <v>2175</v>
      </c>
      <c r="E35" s="284" t="str">
        <f>IF(G35=H35,"OK","CHECK")</f>
        <v>OK</v>
      </c>
      <c r="F35" s="298"/>
      <c r="G35" s="293">
        <f>'Phan tich_BB'!T19</f>
        <v>10858.311300000001</v>
      </c>
      <c r="H35" s="293">
        <f>SUM(RP_SEC!AG:AG)/10^9-+SUM(TB_HTM[Amt])/10^9</f>
        <v>10858.311299999999</v>
      </c>
      <c r="I35" s="494"/>
    </row>
    <row r="36" spans="1:10" x14ac:dyDescent="0.3">
      <c r="A36" s="281">
        <v>35</v>
      </c>
      <c r="B36" s="286" t="s">
        <v>870</v>
      </c>
      <c r="C36" s="286" t="s">
        <v>3902</v>
      </c>
      <c r="D36" s="286" t="s">
        <v>2174</v>
      </c>
      <c r="E36" s="284" t="str">
        <f>IF(G36=H36,"OK","CHECK")</f>
        <v>OK</v>
      </c>
      <c r="F36" s="298"/>
      <c r="G36" s="293">
        <f>SUM('Giam sat'!BX:BX)/10^4</f>
        <v>38413.699999999997</v>
      </c>
      <c r="H36" s="293">
        <f>BS!C4</f>
        <v>38413.699999999997</v>
      </c>
      <c r="I36" s="494">
        <f>G36-H36</f>
        <v>0</v>
      </c>
    </row>
    <row r="37" spans="1:10" x14ac:dyDescent="0.3">
      <c r="A37" s="281">
        <v>36</v>
      </c>
      <c r="B37" s="286" t="s">
        <v>870</v>
      </c>
      <c r="C37" s="286" t="s">
        <v>4057</v>
      </c>
      <c r="D37" s="286" t="s">
        <v>2175</v>
      </c>
      <c r="E37" s="284" t="str">
        <f>IF(G37=H37,"OK","CHECK")</f>
        <v>OK</v>
      </c>
      <c r="F37" s="298"/>
      <c r="G37" s="293">
        <f>SUM(Bankingbook_MSB[Quantity_edited])/10^4</f>
        <v>15025.311299999999</v>
      </c>
      <c r="H37" s="293">
        <f>SUM(TB_HTM[Amt])/10^9+SUM(BB_tufund[Amt])/10^9</f>
        <v>15025.311299999999</v>
      </c>
      <c r="I37" s="494"/>
    </row>
    <row r="38" spans="1:10" x14ac:dyDescent="0.3">
      <c r="A38" s="281">
        <v>37</v>
      </c>
      <c r="B38" s="286" t="s">
        <v>75</v>
      </c>
      <c r="C38" s="286" t="s">
        <v>2357</v>
      </c>
      <c r="D38" s="286"/>
      <c r="E38" s="285" t="str">
        <f>IF((IFERROR(SUM(His.BB!L:L),"CHECK"))="CHECK","CHECK","OK")</f>
        <v>OK</v>
      </c>
      <c r="F38" s="299" t="s">
        <v>2361</v>
      </c>
      <c r="G38" s="293"/>
      <c r="H38" s="293"/>
      <c r="I38" s="293"/>
    </row>
    <row r="39" spans="1:10" x14ac:dyDescent="0.3">
      <c r="A39" s="281">
        <v>38</v>
      </c>
      <c r="B39" s="286" t="s">
        <v>75</v>
      </c>
      <c r="C39" s="286" t="s">
        <v>2358</v>
      </c>
      <c r="D39" s="286"/>
      <c r="E39" s="285" t="str">
        <f>IF((IFERROR(SUM('His.TB.SBV'!L:L),"CHECK"))="CHECK","CHECK","OK")</f>
        <v>OK</v>
      </c>
      <c r="F39" s="299" t="s">
        <v>2362</v>
      </c>
      <c r="G39" s="293"/>
      <c r="H39" s="293"/>
      <c r="I39" s="293"/>
    </row>
    <row r="40" spans="1:10" x14ac:dyDescent="0.3">
      <c r="A40" s="281">
        <v>39</v>
      </c>
      <c r="B40" s="286" t="s">
        <v>75</v>
      </c>
      <c r="C40" s="286" t="s">
        <v>2359</v>
      </c>
      <c r="D40" s="286"/>
      <c r="E40" s="282" t="str">
        <f>IF((IFERROR(SUM('His.BB.SBV'!L:L),"CHECK"))="CHECK","CHECK","OK")</f>
        <v>OK</v>
      </c>
      <c r="F40" s="297" t="s">
        <v>2363</v>
      </c>
      <c r="G40" s="293"/>
      <c r="H40" s="293"/>
      <c r="I40" s="293"/>
    </row>
    <row r="41" spans="1:10" x14ac:dyDescent="0.3">
      <c r="A41" s="281">
        <v>40</v>
      </c>
      <c r="B41" s="286" t="s">
        <v>75</v>
      </c>
      <c r="C41" s="286" t="s">
        <v>2360</v>
      </c>
      <c r="D41" s="286"/>
      <c r="E41" s="282" t="str">
        <f>IF((IFERROR(SUM(His.Other!E:E),"CHECK"))="CHECK","CHECK","OK")</f>
        <v>OK</v>
      </c>
      <c r="F41" s="297" t="s">
        <v>2364</v>
      </c>
      <c r="G41" s="293"/>
      <c r="H41" s="293"/>
      <c r="I41" s="293"/>
    </row>
    <row r="42" spans="1:10" x14ac:dyDescent="0.3">
      <c r="A42" s="281">
        <v>41</v>
      </c>
      <c r="B42" s="286" t="s">
        <v>75</v>
      </c>
      <c r="C42" s="286" t="s">
        <v>4068</v>
      </c>
      <c r="D42" s="286" t="s">
        <v>3539</v>
      </c>
      <c r="E42" s="285" t="str">
        <f>IF(G42="#N/A", "CHECK", "OK")</f>
        <v>OK</v>
      </c>
      <c r="F42" s="299"/>
      <c r="G42" s="818" t="str">
        <f>IF(COUNTIF('Giam sat'!AX:AX, "#N/A") &gt; 0, "#N/A", "OK")</f>
        <v>OK</v>
      </c>
      <c r="H42" s="293"/>
      <c r="I42" s="293"/>
    </row>
    <row r="43" spans="1:10" x14ac:dyDescent="0.3">
      <c r="A43" s="281">
        <v>42</v>
      </c>
      <c r="B43" s="286" t="s">
        <v>2909</v>
      </c>
      <c r="C43" s="286" t="s">
        <v>3016</v>
      </c>
      <c r="D43" s="286" t="s">
        <v>2896</v>
      </c>
      <c r="E43" s="283" t="str">
        <f>IF(G43&gt;0,"CHECK","OK")</f>
        <v>CHECK</v>
      </c>
      <c r="F43" s="296"/>
      <c r="G43" s="293" cm="1">
        <f t="array" ref="G43">ROWS(_xlfn.UNIQUE(_xlfn._xlws.FILTER(RP_SEC!BD:BD,RP_SEC!BT:BT &gt; 345)))</f>
        <v>2</v>
      </c>
      <c r="H43" s="293" t="s">
        <v>2890</v>
      </c>
      <c r="I43" s="293"/>
      <c r="J43" s="714" t="s">
        <v>3679</v>
      </c>
    </row>
    <row r="44" spans="1:10" x14ac:dyDescent="0.3">
      <c r="A44" s="281">
        <v>43</v>
      </c>
      <c r="B44" s="286" t="s">
        <v>2909</v>
      </c>
      <c r="C44" s="286" t="s">
        <v>3017</v>
      </c>
      <c r="D44" s="286" t="s">
        <v>2896</v>
      </c>
      <c r="E44" s="283" t="str">
        <f>IF(G44&gt;0,"CHECK","OK")</f>
        <v>CHECK</v>
      </c>
      <c r="F44" s="296"/>
      <c r="G44" s="293" cm="1">
        <f t="array" ref="G44">ROWS(_xlfn.UNIQUE(_xlfn._xlws.FILTER(RP_SEC!D:D, RP_SEC!W:W &gt; 345)))</f>
        <v>8</v>
      </c>
      <c r="H44" s="293" t="s">
        <v>2890</v>
      </c>
      <c r="I44" s="293"/>
      <c r="J44" s="714" t="s">
        <v>3679</v>
      </c>
    </row>
    <row r="45" spans="1:10" x14ac:dyDescent="0.3">
      <c r="A45" s="281">
        <v>44</v>
      </c>
      <c r="B45" s="286" t="s">
        <v>2908</v>
      </c>
      <c r="C45" s="286" t="s">
        <v>2931</v>
      </c>
      <c r="D45" s="286"/>
      <c r="E45" s="283" t="str">
        <f>IF(OR('Phan tich_BB'!AY1&lt;0,'Phan tich_BB'!AY1&gt;=30), "CHECK","OK")</f>
        <v>OK</v>
      </c>
      <c r="F45" s="296" t="s">
        <v>2734</v>
      </c>
      <c r="G45" s="293"/>
      <c r="H45" s="293"/>
      <c r="I45" s="293"/>
    </row>
    <row r="46" spans="1:10" x14ac:dyDescent="0.3">
      <c r="A46" s="281">
        <v>45</v>
      </c>
      <c r="B46" s="286" t="s">
        <v>2908</v>
      </c>
      <c r="C46" s="286" t="s">
        <v>2735</v>
      </c>
      <c r="D46" s="286" t="s">
        <v>2739</v>
      </c>
      <c r="E46" s="453" t="str">
        <f>IF(MAX(ABS('Phan tich_TB'!BZ2),ABS('Phan tich_BB'!AY1),ABS('Phan tich_TB'!EC1),ABS('Phan tich_BB'!AD1))&gt;=30,"CHECK","OK")</f>
        <v>OK</v>
      </c>
      <c r="F46" s="296"/>
      <c r="G46" s="293"/>
      <c r="H46" s="293"/>
      <c r="I46" s="293"/>
    </row>
    <row r="47" spans="1:10" s="751" customFormat="1" x14ac:dyDescent="0.3">
      <c r="A47" s="281">
        <v>46</v>
      </c>
      <c r="B47" s="748" t="s">
        <v>2908</v>
      </c>
      <c r="C47" s="748" t="s">
        <v>2882</v>
      </c>
      <c r="D47" s="748" t="s">
        <v>2883</v>
      </c>
      <c r="E47" s="453" t="str">
        <f>IF(G47&gt;0,"OK",IF(G47-H47&gt;0,"OK","CHECK"))</f>
        <v>CHECK</v>
      </c>
      <c r="F47" s="749"/>
      <c r="G47" s="750">
        <f>'Phan tich_TB'!M2</f>
        <v>-92.57847999999467</v>
      </c>
      <c r="H47" s="750">
        <f>-SUMIFS(VaR!$P:$P,VaR!$N:$N,Yesterday,VaR!$O:$O,"VaR_95")</f>
        <v>-21.3830727671</v>
      </c>
      <c r="I47" s="750" t="str">
        <f>IF(G47&gt;0,0,IF(G47-H47&lt;0,"Lỗ vượt "&amp;ROUND(H47-G47,2)&amp;" tỷ","Không vượt"))</f>
        <v>Lỗ vượt 71.2 tỷ</v>
      </c>
    </row>
    <row r="48" spans="1:10" x14ac:dyDescent="0.3">
      <c r="A48" s="281">
        <v>47</v>
      </c>
      <c r="B48" s="286" t="s">
        <v>1054</v>
      </c>
      <c r="C48" s="302" t="s">
        <v>3013</v>
      </c>
      <c r="D48" s="287"/>
      <c r="E48" s="282" t="str">
        <f>IF(I48=0,"OK","CHECK")</f>
        <v>OK</v>
      </c>
      <c r="F48" s="298" t="s">
        <v>3014</v>
      </c>
      <c r="G48" s="293">
        <f>His.DataTT!H2</f>
        <v>92250000</v>
      </c>
      <c r="H48" s="293">
        <f>SUM(His.DataTT!H6:H10)</f>
        <v>92250000</v>
      </c>
      <c r="I48" s="293">
        <f>G48-H48</f>
        <v>0</v>
      </c>
    </row>
    <row r="49" spans="1:9" x14ac:dyDescent="0.3">
      <c r="A49" s="281">
        <v>48</v>
      </c>
      <c r="B49" s="287" t="s">
        <v>2770</v>
      </c>
      <c r="C49" s="302" t="s">
        <v>3114</v>
      </c>
      <c r="D49" s="287" t="s">
        <v>3115</v>
      </c>
      <c r="E49" s="285" t="str">
        <f>IF(Runtool!C38="Yes","CHECK","OK")</f>
        <v>OK</v>
      </c>
      <c r="F49" s="392" t="s">
        <v>3519</v>
      </c>
      <c r="G49" s="293"/>
      <c r="H49" s="293"/>
      <c r="I49" s="293"/>
    </row>
    <row r="50" spans="1:9" x14ac:dyDescent="0.3">
      <c r="A50" s="281">
        <v>49</v>
      </c>
      <c r="B50" s="287" t="s">
        <v>2770</v>
      </c>
      <c r="C50" s="302" t="s">
        <v>3159</v>
      </c>
      <c r="D50" s="287"/>
      <c r="E50" s="285" t="str">
        <f>IF(AND(COUNTA(His_NPT[Actual])=Runtool!C37-Runtool!C36+1,Runtool!C36=MIN('His53'!BK:BK),Runtool!C37=MAX('His53'!BK:BK)),"OK","CHECK")</f>
        <v>OK</v>
      </c>
      <c r="F50" s="392" t="s">
        <v>3160</v>
      </c>
      <c r="G50" s="293"/>
      <c r="H50" s="293"/>
      <c r="I50" s="293"/>
    </row>
    <row r="51" spans="1:9" x14ac:dyDescent="0.3">
      <c r="A51" s="281">
        <v>50</v>
      </c>
      <c r="B51" s="287" t="s">
        <v>811</v>
      </c>
      <c r="C51" s="302" t="s">
        <v>3136</v>
      </c>
      <c r="D51" s="286" t="s">
        <v>2917</v>
      </c>
      <c r="E51" s="285" t="str">
        <f>IF(G51-H51=0,"OK","CHECK")</f>
        <v>OK</v>
      </c>
      <c r="F51" s="392" t="s">
        <v>3135</v>
      </c>
      <c r="G51" s="293">
        <f>(SUMIFS(Funding!$M:$M,Funding!$E:$E,"R")-SUMIFS(Funding!$M:$M,Funding!$E:$E,"V"))/10^9</f>
        <v>27312.924358</v>
      </c>
      <c r="H51" s="293">
        <f>-(SUMIFS(FNRP!GD:GD,FNRP!GG:GG,"&gt;"&amp;RPT)/10^9)</f>
        <v>27312.924358</v>
      </c>
      <c r="I51" s="293">
        <f>G51-H51</f>
        <v>0</v>
      </c>
    </row>
    <row r="52" spans="1:9" x14ac:dyDescent="0.3">
      <c r="A52" s="281">
        <v>51</v>
      </c>
      <c r="B52" s="287" t="s">
        <v>3068</v>
      </c>
      <c r="C52" s="302" t="s">
        <v>3137</v>
      </c>
      <c r="D52" s="286"/>
      <c r="E52" s="712" t="str">
        <f>IF(G52=H52,"OK","CHECK")</f>
        <v>OK</v>
      </c>
      <c r="F52" s="392" t="s">
        <v>3138</v>
      </c>
      <c r="G52" s="293">
        <f>SUMIFS(Funding!AH:AH,Funding!AK:AK,"Bond")/10^9</f>
        <v>7510.416780687</v>
      </c>
      <c r="H52" s="293">
        <f>SUM(Funding!AX:AX)/10^9</f>
        <v>7510.416780687</v>
      </c>
      <c r="I52" s="293">
        <f>G52-H52</f>
        <v>0</v>
      </c>
    </row>
  </sheetData>
  <autoFilter ref="A1:J51" xr:uid="{00000000-0001-0000-0D00-000000000000}">
    <filterColumn colId="6" showButton="0"/>
  </autoFilter>
  <mergeCells count="1">
    <mergeCell ref="G1:H1"/>
  </mergeCells>
  <conditionalFormatting sqref="E1:E45">
    <cfRule type="containsText" dxfId="27" priority="3" operator="containsText" text="CHECK">
      <formula>NOT(ISERROR(SEARCH("CHECK",E1)))</formula>
    </cfRule>
  </conditionalFormatting>
  <conditionalFormatting sqref="E40:E52">
    <cfRule type="notContainsText" dxfId="26" priority="1" operator="notContains" text="OK">
      <formula>ISERROR(SEARCH("OK",E40))</formula>
    </cfRule>
  </conditionalFormatting>
  <hyperlinks>
    <hyperlink ref="F5" location="'Phan tich_TB'!L1" display="Phan tich_TB'!L1" xr:uid="{00000000-0004-0000-0D00-000006000000}"/>
    <hyperlink ref="F38" location="His.BB!A1" display="His.BB!A1" xr:uid="{00000000-0004-0000-0D00-000008000000}"/>
    <hyperlink ref="F39" location="His.TB.SBV!A1" display="His.TB.SBV!A1" xr:uid="{00000000-0004-0000-0D00-000009000000}"/>
    <hyperlink ref="F40" location="His.BB.SBV!A1" display="His.BB.SBV!A1" xr:uid="{00000000-0004-0000-0D00-00000A000000}"/>
    <hyperlink ref="F41" location="His.Other!A1" display="His.Other!A1" xr:uid="{00000000-0004-0000-0D00-00000B000000}"/>
    <hyperlink ref="F2" location="'Deal ps'!A1" display="'Deal ps'!A1" xr:uid="{00000000-0004-0000-0D00-00000D000000}"/>
    <hyperlink ref="F45" location="FNRP!A1" display="FNRP!A1" xr:uid="{00000000-0004-0000-0D00-00000F000000}"/>
    <hyperlink ref="F3" location="'Phan tich_TB'!C3" display="'Phan tich_TB'!C3" xr:uid="{00000000-0004-0000-0D00-000010000000}"/>
    <hyperlink ref="F4" location="'Phan tich_BB'!B3" display="'Phan tich_BB'!B3" xr:uid="{00000000-0004-0000-0D00-000011000000}"/>
    <hyperlink ref="F6" location="'Deal ps'!AJ1:AJ20" display="Deal ps'!AN1" xr:uid="{80B20401-6851-4975-B05E-4013FA6E06CE}"/>
    <hyperlink ref="F22" location="FNRP!AN1" display="FNRP!AN1" xr:uid="{C5D03B16-22B0-4DD4-8368-2A0CFEA92E90}"/>
    <hyperlink ref="F48" location="Market!A1" display="Market!A1" xr:uid="{9B22BAF6-9443-4CE0-8503-635C2975EB7A}"/>
    <hyperlink ref="F51" location="Funding!A1" display="Funding!A1" xr:uid="{B288AAA8-11E2-4A8E-881E-5DEBB5545FF0}"/>
    <hyperlink ref="F52" location="Funding!AN2" display="Funding!AN2" xr:uid="{E5D65593-9E65-4B7A-AE7F-C61C3B40586D}"/>
    <hyperlink ref="F50" location="'His53'!CT1" display="'His53'!CT1" xr:uid="{68C4505D-C6F1-43BE-9D3E-25F65A182A18}"/>
    <hyperlink ref="F49" location="'No PT'!A1" display="'No PT'!A1" xr:uid="{8565C8A8-10F2-42E2-84F2-E62F6A241AF7}"/>
  </hyperlinks>
  <pageMargins left="0.7" right="0.7" top="0.75" bottom="0.75" header="0.3" footer="0.3"/>
  <pageSetup orientation="portrait" r:id="rId1"/>
  <ignoredErrors>
    <ignoredError sqref="E22:E26 E33" 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39997558519241921"/>
  </sheetPr>
  <dimension ref="A1:EO102"/>
  <sheetViews>
    <sheetView showGridLines="0" topLeftCell="AY1" zoomScaleNormal="100" workbookViewId="0">
      <pane ySplit="1" topLeftCell="A13" activePane="bottomLeft" state="frozen"/>
      <selection activeCell="AW1" sqref="AW1"/>
      <selection pane="bottomLeft" activeCell="AZ7" sqref="AZ7"/>
    </sheetView>
  </sheetViews>
  <sheetFormatPr defaultColWidth="9.09765625" defaultRowHeight="14.4" outlineLevelCol="1" x14ac:dyDescent="0.3"/>
  <cols>
    <col min="1" max="1" width="30.59765625" style="128" bestFit="1" customWidth="1"/>
    <col min="2" max="2" width="16.8984375" style="128" customWidth="1" outlineLevel="1"/>
    <col min="3" max="3" width="15.296875" style="128" bestFit="1" customWidth="1" outlineLevel="1"/>
    <col min="4" max="4" width="16.296875" style="128" customWidth="1" outlineLevel="1"/>
    <col min="5" max="5" width="14.296875" style="128" customWidth="1" outlineLevel="1"/>
    <col min="6" max="6" width="14.59765625" style="128" customWidth="1" outlineLevel="1"/>
    <col min="7" max="8" width="5.3984375" style="128" customWidth="1" outlineLevel="1"/>
    <col min="9" max="9" width="18.3984375" style="128" customWidth="1" outlineLevel="1"/>
    <col min="10" max="13" width="18.296875" style="128" customWidth="1" outlineLevel="1"/>
    <col min="14" max="14" width="10.3984375" style="128" customWidth="1" outlineLevel="1"/>
    <col min="15" max="15" width="17.59765625" style="128" customWidth="1" outlineLevel="1"/>
    <col min="16" max="16" width="9.09765625" style="128" customWidth="1" outlineLevel="1"/>
    <col min="17" max="18" width="17.296875" style="128" customWidth="1" outlineLevel="1"/>
    <col min="19" max="19" width="13.59765625" style="128" customWidth="1" outlineLevel="1"/>
    <col min="20" max="20" width="9.09765625" style="128" customWidth="1" outlineLevel="1"/>
    <col min="21" max="21" width="12.09765625" style="128" customWidth="1" outlineLevel="1"/>
    <col min="22" max="23" width="9.09765625" style="128" customWidth="1" outlineLevel="1"/>
    <col min="24" max="24" width="14" style="128" customWidth="1" outlineLevel="1"/>
    <col min="25" max="25" width="9.09765625" style="128" customWidth="1" outlineLevel="1"/>
    <col min="26" max="26" width="19.296875" style="128" customWidth="1" outlineLevel="1"/>
    <col min="27" max="27" width="6.09765625" style="128" bestFit="1" customWidth="1" outlineLevel="1"/>
    <col min="28" max="28" width="23.09765625" style="128" customWidth="1" outlineLevel="1"/>
    <col min="29" max="29" width="8.8984375" style="128" customWidth="1" outlineLevel="1"/>
    <col min="30" max="30" width="14.3984375" style="128" bestFit="1" customWidth="1" outlineLevel="1"/>
    <col min="31" max="31" width="12.8984375" style="128" customWidth="1" outlineLevel="1"/>
    <col min="32" max="32" width="18.59765625" style="384" customWidth="1" outlineLevel="1"/>
    <col min="33" max="33" width="7.09765625" style="128" customWidth="1" outlineLevel="1"/>
    <col min="34" max="34" width="12.8984375" style="128" customWidth="1" outlineLevel="1"/>
    <col min="35" max="35" width="11.09765625" style="128" customWidth="1" outlineLevel="1"/>
    <col min="36" max="36" width="8.8984375" style="128" customWidth="1" outlineLevel="1"/>
    <col min="37" max="37" width="14.3984375" style="128" customWidth="1" outlineLevel="1"/>
    <col min="38" max="38" width="20.8984375" style="128" customWidth="1" outlineLevel="1"/>
    <col min="39" max="39" width="7.296875" style="128" customWidth="1" outlineLevel="1"/>
    <col min="40" max="40" width="14" style="128" customWidth="1" outlineLevel="1"/>
    <col min="41" max="41" width="12" style="128" customWidth="1" outlineLevel="1"/>
    <col min="42" max="42" width="7" style="128" customWidth="1" outlineLevel="1"/>
    <col min="43" max="43" width="13.3984375" style="375" customWidth="1" outlineLevel="1"/>
    <col min="44" max="44" width="18.296875" style="128" customWidth="1" outlineLevel="1"/>
    <col min="45" max="46" width="13.3984375" style="128" customWidth="1" outlineLevel="1"/>
    <col min="47" max="47" width="15.69921875" style="128" customWidth="1" outlineLevel="1"/>
    <col min="48" max="48" width="18.3984375" style="128" customWidth="1" outlineLevel="1"/>
    <col min="49" max="49" width="18" style="530" customWidth="1" outlineLevel="1"/>
    <col min="50" max="50" width="14.3984375" style="128" customWidth="1" outlineLevel="1"/>
    <col min="51" max="51" width="14.69921875" style="128" customWidth="1" outlineLevel="1"/>
    <col min="52" max="54" width="16.3984375" style="128" customWidth="1" outlineLevel="1"/>
    <col min="55" max="55" width="14.3984375" style="128" customWidth="1" outlineLevel="1"/>
    <col min="56" max="56" width="12" style="128" customWidth="1" outlineLevel="1"/>
    <col min="57" max="57" width="13.59765625" style="128" customWidth="1" outlineLevel="1"/>
    <col min="58" max="60" width="9.69921875" style="128" customWidth="1" outlineLevel="1"/>
    <col min="61" max="61" width="6.69921875" style="128" customWidth="1" outlineLevel="1"/>
    <col min="62" max="62" width="12.09765625" style="233" customWidth="1" outlineLevel="1"/>
    <col min="63" max="63" width="9.59765625" style="128" customWidth="1" outlineLevel="1"/>
    <col min="64" max="64" width="14.296875" style="128" customWidth="1" outlineLevel="1"/>
    <col min="65" max="65" width="10.59765625" style="128" customWidth="1" outlineLevel="1"/>
    <col min="66" max="67" width="9.69921875" style="128" customWidth="1" outlineLevel="1"/>
    <col min="68" max="68" width="7.09765625" style="128" customWidth="1" outlineLevel="1"/>
    <col min="69" max="69" width="11" style="234" customWidth="1" outlineLevel="1"/>
    <col min="70" max="70" width="10.59765625" style="128" customWidth="1" outlineLevel="1"/>
    <col min="71" max="71" width="9.09765625" style="128" customWidth="1" outlineLevel="1"/>
    <col min="72" max="72" width="26.09765625" style="128" customWidth="1" outlineLevel="1"/>
    <col min="73" max="73" width="10.59765625" style="128" customWidth="1" outlineLevel="1"/>
    <col min="74" max="75" width="9.69921875" style="128" customWidth="1" outlineLevel="1"/>
    <col min="76" max="76" width="7.09765625" style="128" customWidth="1" outlineLevel="1"/>
    <col min="77" max="77" width="8" style="128" customWidth="1" outlineLevel="1"/>
    <col min="78" max="78" width="21.69921875" style="128" customWidth="1" outlineLevel="1"/>
    <col min="79" max="79" width="8" style="128" customWidth="1" outlineLevel="1"/>
    <col min="80" max="80" width="6" style="128" customWidth="1" outlineLevel="1"/>
    <col min="81" max="81" width="10.59765625" style="128" customWidth="1" outlineLevel="1"/>
    <col min="82" max="82" width="9.69921875" style="128" customWidth="1" outlineLevel="1"/>
    <col min="83" max="83" width="10.296875" style="128" customWidth="1" outlineLevel="1"/>
    <col min="84" max="84" width="7.09765625" style="128" customWidth="1" outlineLevel="1"/>
    <col min="85" max="85" width="20.8984375" style="128" customWidth="1" outlineLevel="1"/>
    <col min="86" max="86" width="10.296875" style="128" customWidth="1" outlineLevel="1"/>
    <col min="87" max="89" width="9.09765625" style="128" customWidth="1" outlineLevel="1"/>
    <col min="90" max="90" width="8.09765625" style="234" customWidth="1" outlineLevel="1"/>
    <col min="91" max="91" width="11" style="373" customWidth="1" outlineLevel="1"/>
    <col min="92" max="92" width="5.3984375" style="233" customWidth="1" outlineLevel="1"/>
    <col min="93" max="93" width="16.09765625" style="234" customWidth="1" outlineLevel="1"/>
    <col min="94" max="94" width="8.09765625" style="234" customWidth="1" outlineLevel="1"/>
    <col min="95" max="95" width="9.296875" style="128" customWidth="1" outlineLevel="1"/>
    <col min="96" max="96" width="22.296875" style="128" bestFit="1" customWidth="1"/>
    <col min="97" max="97" width="9.09765625" style="128" customWidth="1" outlineLevel="1"/>
    <col min="98" max="98" width="11.69921875" style="128" customWidth="1" outlineLevel="1"/>
    <col min="99" max="99" width="18.59765625" style="128" customWidth="1" outlineLevel="1"/>
    <col min="100" max="100" width="9.09765625" style="128" customWidth="1" outlineLevel="1"/>
    <col min="101" max="101" width="5.3984375" style="128" customWidth="1" outlineLevel="1"/>
    <col min="102" max="102" width="16.296875" style="128" customWidth="1" outlineLevel="1"/>
    <col min="103" max="103" width="17.3984375" style="128" customWidth="1" outlineLevel="1"/>
    <col min="104" max="104" width="19.3984375" style="128" customWidth="1" outlineLevel="1"/>
    <col min="105" max="106" width="9.09765625" style="128" customWidth="1" outlineLevel="1"/>
    <col min="107" max="107" width="19.3984375" style="128" customWidth="1" outlineLevel="1"/>
    <col min="108" max="108" width="9.09765625" style="128" customWidth="1" outlineLevel="1"/>
    <col min="109" max="109" width="14.59765625" style="128" customWidth="1" outlineLevel="1"/>
    <col min="110" max="110" width="9.09765625" style="128" customWidth="1" outlineLevel="1"/>
    <col min="111" max="111" width="9.09765625" style="128"/>
    <col min="112" max="112" width="30.59765625" style="128" bestFit="1" customWidth="1"/>
    <col min="113" max="113" width="13.296875" style="128" customWidth="1" outlineLevel="1"/>
    <col min="114" max="114" width="13.59765625" style="128" customWidth="1" outlineLevel="1"/>
    <col min="115" max="117" width="9.09765625" style="128" customWidth="1" outlineLevel="1"/>
    <col min="118" max="118" width="10.296875" style="232" customWidth="1" outlineLevel="1"/>
    <col min="119" max="120" width="9.09765625" style="128" customWidth="1" outlineLevel="1"/>
    <col min="121" max="121" width="20.3984375" style="128" customWidth="1" outlineLevel="1"/>
    <col min="122" max="123" width="18.69921875" style="128" customWidth="1" outlineLevel="1"/>
    <col min="124" max="124" width="12.296875" style="128" customWidth="1" outlineLevel="1"/>
    <col min="125" max="125" width="12.69921875" style="128" customWidth="1" outlineLevel="1"/>
    <col min="126" max="127" width="18.59765625" style="128" customWidth="1" outlineLevel="1"/>
    <col min="128" max="128" width="12" style="232" customWidth="1" outlineLevel="1"/>
    <col min="129" max="129" width="6.59765625" style="128" customWidth="1" outlineLevel="1"/>
    <col min="130" max="130" width="23.09765625" style="128" customWidth="1" outlineLevel="1"/>
    <col min="131" max="131" width="17" style="128" customWidth="1" outlineLevel="1"/>
    <col min="132" max="132" width="5.69921875" style="11" customWidth="1" outlineLevel="1"/>
    <col min="133" max="133" width="12.59765625" style="232" customWidth="1" outlineLevel="1"/>
    <col min="134" max="136" width="9.09765625" style="128" customWidth="1" outlineLevel="1"/>
    <col min="137" max="137" width="5.69921875" style="128" customWidth="1" outlineLevel="1"/>
    <col min="138" max="138" width="8.69921875" style="232" customWidth="1" outlineLevel="1"/>
    <col min="139" max="141" width="9.09765625" style="128" customWidth="1" outlineLevel="1"/>
    <col min="142" max="142" width="8.09765625" style="128" customWidth="1" outlineLevel="1"/>
    <col min="143" max="143" width="12" style="375" customWidth="1" outlineLevel="1"/>
    <col min="144" max="144" width="5" style="128" customWidth="1" outlineLevel="1"/>
    <col min="145" max="145" width="10.59765625" style="128" customWidth="1" outlineLevel="1"/>
    <col min="146" max="16384" width="9.09765625" style="128"/>
  </cols>
  <sheetData>
    <row r="1" spans="1:145" ht="18.3" x14ac:dyDescent="0.3">
      <c r="A1" s="218" t="s">
        <v>2276</v>
      </c>
      <c r="B1" s="77" t="s">
        <v>873</v>
      </c>
      <c r="C1" s="340" t="s">
        <v>3704</v>
      </c>
      <c r="D1" s="341" t="s">
        <v>3705</v>
      </c>
      <c r="H1" s="77" t="s">
        <v>874</v>
      </c>
      <c r="I1" s="337" t="s">
        <v>856</v>
      </c>
      <c r="J1" s="337" t="s">
        <v>2253</v>
      </c>
      <c r="K1" s="337"/>
      <c r="L1" s="338"/>
      <c r="M1" s="339" t="s">
        <v>2208</v>
      </c>
      <c r="O1" s="219" t="s">
        <v>875</v>
      </c>
      <c r="P1" s="340" t="s">
        <v>876</v>
      </c>
      <c r="Q1" s="341" t="s">
        <v>852</v>
      </c>
      <c r="R1" s="342" t="s">
        <v>2289</v>
      </c>
      <c r="S1" s="341" t="s">
        <v>891</v>
      </c>
      <c r="U1" s="219" t="s">
        <v>3072</v>
      </c>
      <c r="V1" s="343"/>
      <c r="W1" s="342" t="s">
        <v>2203</v>
      </c>
      <c r="X1" s="341" t="s">
        <v>3074</v>
      </c>
      <c r="Z1" s="77" t="s">
        <v>2193</v>
      </c>
      <c r="AA1" s="342" t="s">
        <v>876</v>
      </c>
      <c r="AB1" s="341" t="s">
        <v>2194</v>
      </c>
      <c r="AC1" s="96"/>
      <c r="AD1" s="80" t="s">
        <v>2245</v>
      </c>
      <c r="AE1" s="95" t="s">
        <v>2365</v>
      </c>
      <c r="AF1" s="113" t="s">
        <v>2247</v>
      </c>
      <c r="AG1" s="96"/>
      <c r="AH1" s="98" t="s">
        <v>2246</v>
      </c>
      <c r="AI1" s="99" t="s">
        <v>2249</v>
      </c>
      <c r="AJ1" s="96"/>
      <c r="AK1" s="80" t="s">
        <v>843</v>
      </c>
      <c r="AL1" s="95" t="s">
        <v>856</v>
      </c>
      <c r="AM1" s="96" t="s">
        <v>843</v>
      </c>
      <c r="AN1" s="94" t="s">
        <v>1058</v>
      </c>
      <c r="AO1" s="94" t="s">
        <v>857</v>
      </c>
      <c r="AP1" s="96"/>
      <c r="AQ1" s="744" t="s">
        <v>2254</v>
      </c>
      <c r="AR1" s="210" t="s">
        <v>856</v>
      </c>
      <c r="AS1" s="210"/>
      <c r="AT1" s="96"/>
      <c r="AU1" s="826" t="s">
        <v>2929</v>
      </c>
      <c r="AV1" s="826"/>
      <c r="AW1" s="730" t="s">
        <v>2886</v>
      </c>
      <c r="AX1" s="165"/>
      <c r="AY1" s="164" t="s">
        <v>2850</v>
      </c>
      <c r="AZ1" s="332" t="s">
        <v>2846</v>
      </c>
      <c r="BA1" s="211">
        <f>SUMPRODUCT(RP_SEC!X:X,RP_SEC!G:G)/10^9+SUMPRODUCT(TB_HTM[Time hold/Deal],TB_HTM[Amt])/10^9</f>
        <v>5565102</v>
      </c>
      <c r="BB1" s="173"/>
      <c r="BC1" s="96"/>
      <c r="BD1" s="80" t="s">
        <v>870</v>
      </c>
      <c r="BE1" s="212" t="s">
        <v>856</v>
      </c>
      <c r="BF1" s="213" t="s">
        <v>1052</v>
      </c>
      <c r="BG1" s="213" t="s">
        <v>1053</v>
      </c>
      <c r="BH1" s="213" t="s">
        <v>843</v>
      </c>
      <c r="BI1" s="213" t="s">
        <v>1058</v>
      </c>
      <c r="BJ1" s="214" t="s">
        <v>857</v>
      </c>
      <c r="BK1" s="83"/>
      <c r="BL1" s="80" t="s">
        <v>2197</v>
      </c>
      <c r="BM1" s="212" t="s">
        <v>856</v>
      </c>
      <c r="BN1" s="213" t="s">
        <v>1052</v>
      </c>
      <c r="BO1" s="213" t="s">
        <v>1053</v>
      </c>
      <c r="BP1" s="213" t="s">
        <v>843</v>
      </c>
      <c r="BQ1" s="213" t="s">
        <v>1058</v>
      </c>
      <c r="BR1" s="215" t="s">
        <v>857</v>
      </c>
      <c r="BS1" s="84"/>
      <c r="BT1" s="80" t="s">
        <v>2233</v>
      </c>
      <c r="BU1" s="212" t="s">
        <v>856</v>
      </c>
      <c r="BV1" s="213" t="s">
        <v>1052</v>
      </c>
      <c r="BW1" s="213" t="s">
        <v>1053</v>
      </c>
      <c r="BX1" s="213" t="s">
        <v>843</v>
      </c>
      <c r="BY1" s="213" t="s">
        <v>1058</v>
      </c>
      <c r="BZ1" s="215" t="s">
        <v>857</v>
      </c>
      <c r="CA1" s="84"/>
      <c r="CB1" s="80" t="s">
        <v>852</v>
      </c>
      <c r="CC1" s="212" t="s">
        <v>856</v>
      </c>
      <c r="CD1" s="213" t="s">
        <v>1052</v>
      </c>
      <c r="CE1" s="213" t="s">
        <v>1053</v>
      </c>
      <c r="CF1" s="213" t="s">
        <v>843</v>
      </c>
      <c r="CG1" s="213" t="s">
        <v>1058</v>
      </c>
      <c r="CH1" s="215" t="s">
        <v>857</v>
      </c>
      <c r="CJ1" s="80" t="s">
        <v>868</v>
      </c>
      <c r="CK1" s="170"/>
      <c r="CL1" s="208" t="s">
        <v>2886</v>
      </c>
      <c r="CM1" s="325" t="s">
        <v>2506</v>
      </c>
      <c r="CN1" s="326" t="s">
        <v>3034</v>
      </c>
      <c r="CO1" s="208" t="s">
        <v>161</v>
      </c>
      <c r="CP1" s="208" t="s">
        <v>2856</v>
      </c>
      <c r="CQ1" s="331"/>
      <c r="CR1" s="333" t="s">
        <v>2277</v>
      </c>
      <c r="CT1" s="85" t="s">
        <v>2240</v>
      </c>
      <c r="CU1" s="334" t="s">
        <v>2231</v>
      </c>
      <c r="CV1" s="220">
        <f>SUM(FNRP!IE:IE)*10^9</f>
        <v>0</v>
      </c>
      <c r="CX1" s="85" t="s">
        <v>2241</v>
      </c>
      <c r="CY1" s="334" t="s">
        <v>2236</v>
      </c>
      <c r="CZ1" s="158" t="s">
        <v>2237</v>
      </c>
      <c r="DA1" s="330">
        <f>DA2+DA3</f>
        <v>5.0115199977999998</v>
      </c>
      <c r="DC1" s="92" t="s">
        <v>852</v>
      </c>
      <c r="DD1" s="334" t="s">
        <v>852</v>
      </c>
      <c r="DE1" s="158" t="s">
        <v>869</v>
      </c>
      <c r="DF1" s="220">
        <f>SUM(FNRP!HS:HS)*10^9</f>
        <v>0</v>
      </c>
      <c r="DH1" s="218" t="s">
        <v>2278</v>
      </c>
      <c r="DI1" s="219" t="s">
        <v>2270</v>
      </c>
      <c r="DJ1" s="209" t="s">
        <v>1050</v>
      </c>
      <c r="DK1" s="158" t="s">
        <v>1064</v>
      </c>
      <c r="DL1" s="209" t="s">
        <v>1030</v>
      </c>
      <c r="DM1" s="209" t="s">
        <v>1030</v>
      </c>
      <c r="DN1" s="216">
        <f>SUM(FNRP!$DU:$DU)*100000/10^9</f>
        <v>2450</v>
      </c>
      <c r="DO1" s="58"/>
      <c r="DP1" s="219" t="s">
        <v>890</v>
      </c>
      <c r="DQ1" s="220" t="s">
        <v>890</v>
      </c>
      <c r="DR1" s="101" t="s">
        <v>1076</v>
      </c>
      <c r="DS1" s="217">
        <f>SUM(FNRP!DJ:DJ)/10^9</f>
        <v>1725.2544600985673</v>
      </c>
      <c r="DT1" s="57"/>
      <c r="DU1" s="219" t="s">
        <v>2197</v>
      </c>
      <c r="DV1" s="209" t="s">
        <v>1069</v>
      </c>
      <c r="DW1" s="209" t="s">
        <v>1030</v>
      </c>
      <c r="DX1" s="221">
        <f>SUM(FNRP!$CW:$CW)/10^9</f>
        <v>2200.6685000000002</v>
      </c>
      <c r="DY1" s="54"/>
      <c r="DZ1" s="219" t="s">
        <v>2233</v>
      </c>
      <c r="EA1" s="209" t="s">
        <v>735</v>
      </c>
      <c r="EB1" s="222" t="s">
        <v>1030</v>
      </c>
      <c r="EC1" s="335">
        <f>IFERROR((SUMPRODUCT(Tradingbook_SBV[Duration_edited],Tradingbook_SBV[MARKET_VALUE])/SUM(Tradingbook_SBV[MARKET_VALUE])),0)</f>
        <v>7.7040228912260069</v>
      </c>
      <c r="ED1" s="54"/>
      <c r="EE1" s="219" t="s">
        <v>852</v>
      </c>
      <c r="EF1" s="209" t="s">
        <v>852</v>
      </c>
      <c r="EG1" s="236" t="s">
        <v>1030</v>
      </c>
      <c r="EH1" s="227">
        <f>SUM(FNRP!DY:DY)/10^9</f>
        <v>-1.6653473892575001</v>
      </c>
      <c r="EJ1" s="80" t="s">
        <v>868</v>
      </c>
      <c r="EK1" s="170"/>
      <c r="EL1" s="208" t="s">
        <v>2200</v>
      </c>
      <c r="EM1" s="325" t="s">
        <v>2943</v>
      </c>
      <c r="EN1" s="208" t="s">
        <v>3034</v>
      </c>
      <c r="EO1" s="208" t="s">
        <v>2856</v>
      </c>
    </row>
    <row r="2" spans="1:145" x14ac:dyDescent="0.3">
      <c r="B2" s="732" t="s">
        <v>3706</v>
      </c>
      <c r="C2" s="733">
        <f>SUMPRODUCT(_xlfn.VSTACK(Outstanding_pos_TB_MSB[Yield],TB_HTM[Amt]),_xlfn.VSTACK(Outstanding_pos_TB_MSB[Amt],TB_HTM[Yield RP SEC2]))/SUM(_xlfn.VSTACK(Outstanding_pos_TB_MSB[Amt],TB_HTM[Amt]))</f>
        <v>3.0488340090218693</v>
      </c>
      <c r="D2" s="739" cm="1">
        <f t="array" ref="D2">SUMPRODUCT(_xlfn.VSTACK(RPBOD3[Quantity]*(RPBOD3[Folder]&lt;&gt;"AFS-ALM")*(RPBOD3[Folder]&lt;&gt;"AFS-PHUONG"),TB_HTM[Amt]/100000),_xlfn.VSTACK(RPBOD3[Yield],TB_HTM[Yield]))/SUM(_xlfn.VSTACK(RPBOD3[Quantity]*(RPBOD3[Folder]&lt;&gt;"AFS-ALM")*(RPBOD3[Folder]&lt;&gt;"AFS-PHUONG"),TB_HTM[Amt]/100000))</f>
        <v>3.940558788584172</v>
      </c>
      <c r="G2" s="336"/>
      <c r="H2" s="336"/>
      <c r="I2" s="514" t="s">
        <v>872</v>
      </c>
      <c r="J2" s="357">
        <f>Yesterday</f>
        <v>46251</v>
      </c>
      <c r="K2" s="222" t="s">
        <v>1064</v>
      </c>
      <c r="L2" s="100" t="s">
        <v>1030</v>
      </c>
      <c r="M2" s="616">
        <f>$M$27-SUMIFS('His53'!$AC$2:$AC$9,'His53'!$X$2:$X$9,'Phan tich_TB'!J2)</f>
        <v>-92.57847999999467</v>
      </c>
      <c r="N2" s="813"/>
      <c r="P2" s="356" t="s">
        <v>877</v>
      </c>
      <c r="Q2" s="360">
        <f>SUMIFS(Data53_PV01[Actual],Data53_PV01[RptDate],Runtool!$C$3,Data53_PV01[Tenor_Value],'Phan tich_TB'!P2)</f>
        <v>0</v>
      </c>
      <c r="R2" s="361">
        <f t="shared" ref="R2:R11" si="0">C19</f>
        <v>0</v>
      </c>
      <c r="S2" s="361">
        <f t="shared" ref="S2:S11" si="1">Q2*R2</f>
        <v>0</v>
      </c>
      <c r="T2" s="336"/>
      <c r="U2" s="336"/>
      <c r="V2" s="363" t="s">
        <v>1031</v>
      </c>
      <c r="W2" s="535">
        <v>46023</v>
      </c>
      <c r="X2" s="364"/>
      <c r="Y2" s="336"/>
      <c r="AA2" s="209" t="s">
        <v>877</v>
      </c>
      <c r="AB2" s="221">
        <f>SUMIFS('Deal ps'!L:L,'Deal ps'!D:D,"B",'Deal ps'!AD:AD,"Trading",'Deal ps'!AC:AC,{"3M","6M","1Y"})/10^4-SUMIFS('Deal ps'!L:L,'Deal ps'!D:D,"S",'Deal ps'!AD:AD,"Trading",'Deal ps'!AC:AC,{"3M","6M","1Y"})/10^4</f>
        <v>0</v>
      </c>
      <c r="AC2" s="224"/>
      <c r="AD2" s="344"/>
      <c r="AE2" s="345" t="s">
        <v>2373</v>
      </c>
      <c r="AF2" s="346">
        <v>771210000</v>
      </c>
      <c r="AG2" s="224"/>
      <c r="AH2" s="224" t="str">
        <f>Counterparty_listdeal[[#This Row],[CTPT]]</f>
        <v>QLQ_BAOVIE</v>
      </c>
      <c r="AI2" s="347">
        <f>Counterparty_listdeal[[#This Row],[Sum of Quantity]]/SUM(AF:AF)</f>
        <v>0.35792869184769727</v>
      </c>
      <c r="AJ2" s="224"/>
      <c r="AK2" s="224"/>
      <c r="AL2" s="345" t="s">
        <v>1086</v>
      </c>
      <c r="AM2" s="345" t="s">
        <v>823</v>
      </c>
      <c r="AN2" s="345"/>
      <c r="AO2" s="345">
        <v>0.96431834102817249</v>
      </c>
      <c r="AP2" s="224"/>
      <c r="AQ2" s="745"/>
      <c r="AR2" s="332" t="s">
        <v>1080</v>
      </c>
      <c r="AS2" s="348"/>
      <c r="AT2" s="565"/>
      <c r="AU2" s="827" t="s">
        <v>3558</v>
      </c>
      <c r="AV2" s="828"/>
      <c r="AW2" s="586">
        <f>SUM(AU7:AU35)+D2%*BJ2*(RPT-MAX(AT7:AT35))/365</f>
        <v>184.43326888748953</v>
      </c>
      <c r="AX2" s="570"/>
      <c r="AY2" s="224"/>
      <c r="AZ2" s="332" t="s">
        <v>2845</v>
      </c>
      <c r="BA2" s="225">
        <f>SUM(RP_SEC!G:G)/10^9+SUM(TB_HTM[Amt])/10^9</f>
        <v>17513</v>
      </c>
      <c r="BB2" s="583"/>
      <c r="BC2" s="97"/>
      <c r="BD2" s="97"/>
      <c r="BE2" s="101" t="s">
        <v>1050</v>
      </c>
      <c r="BF2" s="158" t="s">
        <v>1064</v>
      </c>
      <c r="BG2" s="209" t="s">
        <v>1030</v>
      </c>
      <c r="BH2" s="209" t="s">
        <v>1030</v>
      </c>
      <c r="BI2" s="158"/>
      <c r="BJ2" s="349">
        <f>SUM(FNRP!AL:AL)/10^4+SUM(TB_HTM[Amt])/10^9</f>
        <v>17513</v>
      </c>
      <c r="BK2" s="344"/>
      <c r="BM2" s="101" t="s">
        <v>1069</v>
      </c>
      <c r="BN2" s="158" t="s">
        <v>1064</v>
      </c>
      <c r="BO2" s="209" t="s">
        <v>1030</v>
      </c>
      <c r="BP2" s="209" t="s">
        <v>1030</v>
      </c>
      <c r="BQ2" s="220"/>
      <c r="BR2" s="227">
        <f>SUM(FNRP!M:M)/10^9+SUM(TB_HTM[Market Value FNRP])/10^9</f>
        <v>16003.867559999999</v>
      </c>
      <c r="BS2" s="234"/>
      <c r="BU2" s="101" t="s">
        <v>735</v>
      </c>
      <c r="BV2" s="158" t="s">
        <v>1064</v>
      </c>
      <c r="BW2" s="209" t="s">
        <v>1030</v>
      </c>
      <c r="BX2" s="158"/>
      <c r="BY2" s="158"/>
      <c r="BZ2" s="350">
        <f>SUMPRODUCT(FNRP!M:M,FNRP!AM:AM)/SUM(FNRP!M:M)</f>
        <v>6.7993588359682819</v>
      </c>
      <c r="CA2" s="351"/>
      <c r="CC2" s="101" t="s">
        <v>852</v>
      </c>
      <c r="CD2" s="158" t="s">
        <v>1064</v>
      </c>
      <c r="CE2" s="209" t="s">
        <v>1030</v>
      </c>
      <c r="CF2" s="158"/>
      <c r="CG2" s="209"/>
      <c r="CH2" s="221">
        <f>SUM(FNRP!AP:AP)/10^9+SUM(TB_HTM[PV01])</f>
        <v>-10.680003704482866</v>
      </c>
      <c r="CI2" s="362"/>
      <c r="CJ2" s="825" t="s">
        <v>2926</v>
      </c>
      <c r="CK2" s="330" t="s">
        <v>2832</v>
      </c>
      <c r="CL2" s="352"/>
      <c r="CM2" s="353"/>
      <c r="CN2" s="354"/>
      <c r="CO2" s="352"/>
      <c r="CP2" s="352"/>
      <c r="CU2" s="334" t="s">
        <v>2232</v>
      </c>
      <c r="CV2" s="220">
        <f>SUM(FNRP!IF:IF)*10^9</f>
        <v>0</v>
      </c>
      <c r="CY2" s="334" t="s">
        <v>890</v>
      </c>
      <c r="CZ2" s="158" t="s">
        <v>1076</v>
      </c>
      <c r="DA2" s="220">
        <f>SUM(FNRP!HW:HW)/10^9</f>
        <v>5.0115199977999998</v>
      </c>
      <c r="DC2" s="289"/>
      <c r="DJ2" s="209" t="s">
        <v>1050</v>
      </c>
      <c r="DK2" s="158" t="s">
        <v>1064</v>
      </c>
      <c r="DL2" s="209" t="s">
        <v>1030</v>
      </c>
      <c r="DM2" s="209" t="s">
        <v>877</v>
      </c>
      <c r="DN2" s="216">
        <f>SUM(SUMIFS(FNRP!$DU:$DU,FNRP!$DR:$DR,{"3M","6M","1Y"}))*100000/10^9</f>
        <v>0</v>
      </c>
      <c r="DO2" s="58"/>
      <c r="DP2" s="58"/>
      <c r="DQ2" s="220" t="s">
        <v>890</v>
      </c>
      <c r="DR2" s="101" t="s">
        <v>1077</v>
      </c>
      <c r="DS2" s="217">
        <f>SUM(FNRP!DK:DK)/10^9</f>
        <v>-235.3748966889828</v>
      </c>
      <c r="DT2" s="57"/>
      <c r="DU2" s="58"/>
      <c r="DV2" s="209" t="s">
        <v>1069</v>
      </c>
      <c r="DW2" s="209" t="s">
        <v>877</v>
      </c>
      <c r="DX2" s="227">
        <f>SUM(SUMIFS(FNRP!CW:CW,FNRP!DR:DR,{"3M","6M","1Y"}))/10^9</f>
        <v>0</v>
      </c>
      <c r="EA2" s="209" t="s">
        <v>1071</v>
      </c>
      <c r="EB2" s="222" t="s">
        <v>1030</v>
      </c>
      <c r="EC2" s="335">
        <f>IFERROR((SUMPRODUCT(Tradingbook_SBV[Modified Duration],Tradingbook_SBV[MARKET_VALUE])/SUM(Tradingbook_SBV[MARKET_VALUE])),0)</f>
        <v>7.4877033955818426</v>
      </c>
      <c r="ED2" s="54"/>
      <c r="EF2" s="209" t="s">
        <v>852</v>
      </c>
      <c r="EG2" s="236" t="s">
        <v>915</v>
      </c>
      <c r="EH2" s="355">
        <f>SUMIFS(FNRP!DY:DY,FNRP!$DR:$DR,'Phan tich_TB'!EG2)/10^9</f>
        <v>0</v>
      </c>
      <c r="EJ2" s="825" t="s">
        <v>2926</v>
      </c>
      <c r="EK2" s="330" t="s">
        <v>2832</v>
      </c>
      <c r="EL2" s="352"/>
      <c r="EM2" s="353"/>
      <c r="EN2" s="354"/>
      <c r="EO2" s="352"/>
    </row>
    <row r="3" spans="1:145" x14ac:dyDescent="0.3">
      <c r="B3" s="732" t="s">
        <v>3715</v>
      </c>
      <c r="C3" s="733">
        <f>SUMPRODUCT(_xlfn.VSTACK(Outstanding_pos_TB_MSB[Total Rate],TB_HTM[Coupon Rate]),
_xlfn.VSTACK(Outstanding_pos_TB_MSB[Amt],TB_HTM[Amt]))
/SUM(_xlfn.VSTACK(Outstanding_pos_TB_MSB[Amt],TB_HTM[Amt]))</f>
        <v>3.3877747958659281</v>
      </c>
      <c r="D3" s="739" cm="1">
        <f t="array" ref="D3">SUMPRODUCT(_xlfn.VSTACK(RPBOD3[Quantity]*(RPBOD3[Folder]&lt;&gt;"AFS-ALM")*(RPBOD3[Folder]&lt;&gt;"AFS-PHUONG"),TB_HTM[Amt]/100000),_xlfn.VSTACK(RPBOD3[ThisCouponRate],TB_HTM[Coupon Rate]))/SUM(_xlfn.VSTACK(RPBOD3[Quantity]*(RPBOD3[Folder]&lt;&gt;"AFS-ALM")*(RPBOD3[Folder]&lt;&gt;"AFS-PHUONG"),TB_HTM[Amt]/100000))</f>
        <v>4.8392596430343451</v>
      </c>
      <c r="I3" s="514" t="s">
        <v>2198</v>
      </c>
      <c r="J3" s="357">
        <f>Lastmonth</f>
        <v>46234</v>
      </c>
      <c r="K3" s="222" t="s">
        <v>1064</v>
      </c>
      <c r="L3" s="100" t="s">
        <v>1030</v>
      </c>
      <c r="M3" s="616">
        <f>$M$27-SUMIFS('His53'!$AC$2:$AC$9,'His53'!$X$2:$X$9,'Phan tich_TB'!J3)</f>
        <v>-236.79742999999473</v>
      </c>
      <c r="N3" s="493"/>
      <c r="P3" s="356" t="s">
        <v>878</v>
      </c>
      <c r="Q3" s="360">
        <f>SUMIFS(Data53_PV01[Actual],Data53_PV01[RptDate],Runtool!$C$3,Data53_PV01[Tenor_Value],'Phan tich_TB'!P3)</f>
        <v>0</v>
      </c>
      <c r="R3" s="361">
        <f t="shared" si="0"/>
        <v>0</v>
      </c>
      <c r="S3" s="361">
        <f t="shared" si="1"/>
        <v>0</v>
      </c>
      <c r="U3" s="362"/>
      <c r="V3" s="363" t="s">
        <v>1035</v>
      </c>
      <c r="W3" s="535">
        <v>46054</v>
      </c>
      <c r="X3" s="364"/>
      <c r="AA3" s="209" t="s">
        <v>878</v>
      </c>
      <c r="AB3" s="221">
        <f>SUMIFS('Deal ps'!L:L,'Deal ps'!D:D,"B",'Deal ps'!AD:AD,"Trading",'Deal ps'!AC:AC,'Phan tich_TB'!AA3)/10^4-SUMIFS('Deal ps'!L:L,'Deal ps'!D:D,"S",'Deal ps'!AD:AD,"Trading",'Deal ps'!AC:AC,'Phan tich_TB'!AA3)/10^4</f>
        <v>0</v>
      </c>
      <c r="AC3" s="224"/>
      <c r="AD3" s="344"/>
      <c r="AE3" s="345" t="s">
        <v>2376</v>
      </c>
      <c r="AF3" s="345">
        <v>353570050</v>
      </c>
      <c r="AG3" s="224"/>
      <c r="AH3" s="224" t="str">
        <f>IFERROR(Counterparty_listdeal[[#This Row],[CTPT]],"")</f>
        <v>CK_VNDIREC</v>
      </c>
      <c r="AI3" s="347">
        <f>IFERROR(Counterparty_listdeal[[#This Row],[Sum of Quantity]]/SUM(AF:AF),0)</f>
        <v>0.16409650480806126</v>
      </c>
      <c r="AJ3" s="224"/>
      <c r="AK3" s="224"/>
      <c r="AL3" s="345" t="s">
        <v>1086</v>
      </c>
      <c r="AM3" s="345" t="s">
        <v>821</v>
      </c>
      <c r="AN3" s="345"/>
      <c r="AO3" s="345">
        <v>1.5694194663728015E-2</v>
      </c>
      <c r="AP3" s="224"/>
      <c r="AQ3" s="745"/>
      <c r="AR3" s="332" t="s">
        <v>1081</v>
      </c>
      <c r="AS3" s="348"/>
      <c r="AT3" s="565"/>
      <c r="AU3" s="827" t="s">
        <v>3620</v>
      </c>
      <c r="AV3" s="828"/>
      <c r="AW3" s="586">
        <f>SUM(AV7:AV35)+SUM(Funding!R:R,Funding!AN:AN)*(RPT-MAX(AT7:AT35))</f>
        <v>228.78409510567789</v>
      </c>
      <c r="AX3" s="344"/>
      <c r="AY3" s="224"/>
      <c r="AZ3" s="332" t="s">
        <v>2847</v>
      </c>
      <c r="BA3" s="225">
        <f>BA1/BA2</f>
        <v>317.76977102723691</v>
      </c>
      <c r="BB3" s="584" t="s">
        <v>2848</v>
      </c>
      <c r="BC3" s="97"/>
      <c r="BD3" s="97"/>
      <c r="BE3" s="101" t="s">
        <v>1050</v>
      </c>
      <c r="BF3" s="158" t="s">
        <v>1064</v>
      </c>
      <c r="BG3" s="209" t="s">
        <v>898</v>
      </c>
      <c r="BH3" s="209" t="s">
        <v>823</v>
      </c>
      <c r="BI3" s="158"/>
      <c r="BJ3" s="349">
        <f>SUMIFS((FNRP!$AL:$AL),FNRP!$AJ:$AJ,BG3,FNRP!$AK:$AK,BH3)*100000/10^9+SUMIFS(TB_HTM[Amt],TB_HTM[Type],BG3,TB_HTM[Issuer],'Phan tich_TB'!BH3)/10^9</f>
        <v>12303</v>
      </c>
      <c r="BK3" s="344"/>
      <c r="BM3" s="101" t="s">
        <v>1069</v>
      </c>
      <c r="BN3" s="158" t="s">
        <v>1064</v>
      </c>
      <c r="BO3" s="209" t="s">
        <v>898</v>
      </c>
      <c r="BP3" s="209" t="s">
        <v>823</v>
      </c>
      <c r="BQ3" s="220"/>
      <c r="BR3" s="227">
        <f>SUMIFS(FNRP!M:M,FNRP!AJ:AJ,BO3)/10^9+SUMIFS(TB_HTM[Market Value FNRP],TB_HTM[Type],BO3)/10^9</f>
        <v>11211.064900000001</v>
      </c>
      <c r="BS3" s="234"/>
      <c r="BU3" s="101" t="s">
        <v>735</v>
      </c>
      <c r="BV3" s="158" t="s">
        <v>1064</v>
      </c>
      <c r="BW3" s="209" t="s">
        <v>898</v>
      </c>
      <c r="BX3" s="158"/>
      <c r="BY3" s="158"/>
      <c r="BZ3" s="350" cm="1">
        <f t="array" ref="BZ3">IFERROR(SUMPRODUCT(Tradingbook_MSB[MARKET_VALUE]*Tradingbook_MSB[Duration_edited]*(Tradingbook_MSB[Type]=BW3))/SUMIFS(FNRP!$M:$M,FNRP!$AJ:$AJ,BW3),0)</f>
        <v>6.9921593116369767</v>
      </c>
      <c r="CA3" s="351"/>
      <c r="CB3" s="234"/>
      <c r="CC3" s="101" t="s">
        <v>852</v>
      </c>
      <c r="CD3" s="158" t="s">
        <v>1064</v>
      </c>
      <c r="CE3" s="209" t="s">
        <v>1030</v>
      </c>
      <c r="CF3" s="158"/>
      <c r="CG3" s="209" t="s">
        <v>915</v>
      </c>
      <c r="CH3" s="221">
        <f>SUMIFS(FNRP!AP:AP,FNRP!$AI:$AI,'Phan tich_TB'!CG3)/10^9+SUMIFS(TB_HTM[PV01],TB_HTM[Tenor],'Phan tich_TB'!CG3)</f>
        <v>-7.8513441601761429E-3</v>
      </c>
      <c r="CJ3" s="825"/>
      <c r="CK3" s="330" t="s">
        <v>2833</v>
      </c>
      <c r="CL3" s="352"/>
      <c r="CM3" s="353"/>
      <c r="CN3" s="354"/>
      <c r="CO3" s="352"/>
      <c r="CP3" s="237"/>
      <c r="CY3" s="334" t="s">
        <v>890</v>
      </c>
      <c r="CZ3" s="158" t="s">
        <v>1077</v>
      </c>
      <c r="DA3" s="220">
        <f>SUM(FNRP!HX:HX)/10^9</f>
        <v>0</v>
      </c>
      <c r="DC3" s="92" t="s">
        <v>2238</v>
      </c>
      <c r="DD3" s="334" t="s">
        <v>852</v>
      </c>
      <c r="DE3" s="220" t="s">
        <v>2239</v>
      </c>
      <c r="DF3" s="365">
        <f>DF1+CH2</f>
        <v>-10.680003704482866</v>
      </c>
      <c r="DJ3" s="209" t="s">
        <v>1050</v>
      </c>
      <c r="DK3" s="158" t="s">
        <v>1064</v>
      </c>
      <c r="DL3" s="209" t="s">
        <v>1030</v>
      </c>
      <c r="DM3" s="209" t="s">
        <v>878</v>
      </c>
      <c r="DN3" s="216">
        <f>SUM(SUMIFS(FNRP!$DU:$DU,FNRP!$DR:$DR,DM3))*100000/10^9</f>
        <v>0</v>
      </c>
      <c r="DO3" s="58"/>
      <c r="DP3" s="58"/>
      <c r="DQ3" s="209" t="s">
        <v>1049</v>
      </c>
      <c r="DR3" s="220"/>
      <c r="DS3" s="228">
        <f>SUM(DS1:DS2)-SUMIFS('His53'!AW:AW,'His53'!AR:AR,Runtool!C5)</f>
        <v>-84.667999999999438</v>
      </c>
      <c r="DU3" s="58"/>
      <c r="DV3" s="209" t="s">
        <v>1069</v>
      </c>
      <c r="DW3" s="209" t="s">
        <v>878</v>
      </c>
      <c r="DX3" s="227">
        <f>SUMIFS(FNRP!CW:CW,FNRP!DR:DR,DW3)/10^9</f>
        <v>0</v>
      </c>
      <c r="EA3" s="209" t="s">
        <v>1071</v>
      </c>
      <c r="EB3" s="209" t="s">
        <v>877</v>
      </c>
      <c r="EC3" s="216">
        <f>IFERROR(SUMPRODUCT(Tradingbook_SBV[Modified Duration]*Tradingbook_SBV[MARKET_VALUE]*(Tradingbook_SBV[Tenor]=EB3))/SUMIFS(Tradingbook_SBV[MARKET_VALUE],Tradingbook_SBV[Tenor],EB3),0)</f>
        <v>0</v>
      </c>
      <c r="ED3" s="54"/>
      <c r="EF3" s="209" t="s">
        <v>2802</v>
      </c>
      <c r="EG3" s="236" t="s">
        <v>917</v>
      </c>
      <c r="EH3" s="355">
        <f>SUMIFS(FNRP!DY:DY,FNRP!$DR:$DR,'Phan tich_TB'!EG3)/10^9</f>
        <v>0</v>
      </c>
      <c r="EJ3" s="825"/>
      <c r="EK3" s="330" t="s">
        <v>2833</v>
      </c>
      <c r="EL3" s="352"/>
      <c r="EM3" s="353"/>
      <c r="EN3" s="354"/>
      <c r="EO3" s="237"/>
    </row>
    <row r="4" spans="1:145" x14ac:dyDescent="0.3">
      <c r="I4" s="514" t="s">
        <v>2199</v>
      </c>
      <c r="J4" s="357">
        <f>Lastyear</f>
        <v>46022</v>
      </c>
      <c r="K4" s="222" t="s">
        <v>1064</v>
      </c>
      <c r="L4" s="100" t="s">
        <v>1030</v>
      </c>
      <c r="M4" s="358">
        <f>$M$27-SUMIFS('His53'!$AC$2:$AC$9,'His53'!$X$2:$X$9,'Phan tich_TB'!J4)</f>
        <v>-664.40196399999468</v>
      </c>
      <c r="N4" s="493"/>
      <c r="P4" s="356" t="s">
        <v>879</v>
      </c>
      <c r="Q4" s="360">
        <f>SUMIFS(Data53_PV01[Actual],Data53_PV01[RptDate],Runtool!$C$3,Data53_PV01[Tenor_Value],'Phan tich_TB'!P4)</f>
        <v>-9.2280254899999997E-2</v>
      </c>
      <c r="R4" s="361">
        <f t="shared" si="0"/>
        <v>0</v>
      </c>
      <c r="S4" s="361">
        <f t="shared" si="1"/>
        <v>0</v>
      </c>
      <c r="U4" s="362"/>
      <c r="V4" s="363" t="s">
        <v>1036</v>
      </c>
      <c r="W4" s="535">
        <v>46082</v>
      </c>
      <c r="X4" s="364"/>
      <c r="AA4" s="209" t="s">
        <v>879</v>
      </c>
      <c r="AB4" s="221">
        <f>SUMIFS('Deal ps'!L:L,'Deal ps'!D:D,"B",'Deal ps'!AD:AD,"Trading",'Deal ps'!AC:AC,'Phan tich_TB'!AA4)/10^4-SUMIFS('Deal ps'!L:L,'Deal ps'!D:D,"S",'Deal ps'!AD:AD,"Trading",'Deal ps'!AC:AC,'Phan tich_TB'!AA4)/10^4</f>
        <v>0</v>
      </c>
      <c r="AC4" s="224"/>
      <c r="AD4" s="344"/>
      <c r="AE4" s="345" t="s">
        <v>2375</v>
      </c>
      <c r="AF4" s="345">
        <v>283633000</v>
      </c>
      <c r="AG4" s="224"/>
      <c r="AH4" s="224" t="str">
        <f>IFERROR(Counterparty_listdeal[[#This Row],[CTPT]],"")</f>
        <v>CK_VPB</v>
      </c>
      <c r="AI4" s="347">
        <f>IFERROR(Counterparty_listdeal[[#This Row],[Sum of Quantity]]/SUM(AF:AF),0)</f>
        <v>0.13163780118883045</v>
      </c>
      <c r="AJ4" s="224"/>
      <c r="AK4" s="224"/>
      <c r="AL4" s="345" t="s">
        <v>1086</v>
      </c>
      <c r="AM4" s="345" t="s">
        <v>905</v>
      </c>
      <c r="AN4" s="345"/>
      <c r="AO4" s="345">
        <v>0</v>
      </c>
      <c r="AP4" s="224"/>
      <c r="AQ4" s="745"/>
      <c r="AR4" s="332" t="s">
        <v>1090</v>
      </c>
      <c r="AS4" s="366"/>
      <c r="AT4" s="566"/>
      <c r="AU4" s="827" t="s">
        <v>3559</v>
      </c>
      <c r="AV4" s="828"/>
      <c r="AW4" s="586">
        <f>AW2-AW3</f>
        <v>-44.350826218188359</v>
      </c>
      <c r="AX4" s="571"/>
      <c r="AY4" s="224"/>
      <c r="AZ4" s="332" t="s">
        <v>2849</v>
      </c>
      <c r="BA4" s="348" cm="1">
        <f t="array" ref="BA4">ROWS(_xlfn.UNIQUE(_xlfn._xlws.FILTER(RP_SEC!BD:BD,RP_SEC!BT:BT &gt; 345)))</f>
        <v>2</v>
      </c>
      <c r="BB4" s="584" t="s">
        <v>3654</v>
      </c>
      <c r="BC4" s="97"/>
      <c r="BD4" s="97"/>
      <c r="BE4" s="101" t="s">
        <v>1050</v>
      </c>
      <c r="BF4" s="158" t="s">
        <v>1064</v>
      </c>
      <c r="BG4" s="209" t="s">
        <v>906</v>
      </c>
      <c r="BH4" s="209" t="s">
        <v>821</v>
      </c>
      <c r="BI4" s="158"/>
      <c r="BJ4" s="349">
        <f>SUMIFS((FNRP!$AL:$AL),FNRP!$AJ:$AJ,BG4,FNRP!$AK:$AK,BH4)*100000/10^9+SUMIFS(TB_HTM[Amt],TB_HTM[Type],BG4,TB_HTM[Issuer],'Phan tich_TB'!BH4)/10^9</f>
        <v>1502</v>
      </c>
      <c r="BK4" s="368"/>
      <c r="BM4" s="101" t="s">
        <v>1069</v>
      </c>
      <c r="BN4" s="158" t="s">
        <v>1064</v>
      </c>
      <c r="BO4" s="209" t="s">
        <v>906</v>
      </c>
      <c r="BP4" s="209" t="s">
        <v>821</v>
      </c>
      <c r="BQ4" s="220"/>
      <c r="BR4" s="227">
        <f>SUMIFS(FNRP!M:M,FNRP!AJ:AJ,BO4,FNRP!AK:AK,BP4)/10^9+SUMIFS(TB_HTM[Market Value FNRP],TB_HTM[Type],BO4,TB_HTM[Issuer],BP4)/10^9</f>
        <v>1422.9363000000001</v>
      </c>
      <c r="BS4" s="234"/>
      <c r="BU4" s="101" t="s">
        <v>735</v>
      </c>
      <c r="BV4" s="158" t="s">
        <v>1064</v>
      </c>
      <c r="BW4" s="209" t="s">
        <v>906</v>
      </c>
      <c r="BX4" s="158"/>
      <c r="BY4" s="158"/>
      <c r="BZ4" s="350" cm="1">
        <f t="array" ref="BZ4">IFERROR(SUMPRODUCT(Tradingbook_MSB[MARKET_VALUE]*Tradingbook_MSB[Duration_edited]*(Tradingbook_MSB[Type]=BW4))/SUMIFS(FNRP!M:M,FNRP!AJ:AJ,BW4),0)</f>
        <v>6.5529528002875415</v>
      </c>
      <c r="CA4" s="351"/>
      <c r="CB4" s="234"/>
      <c r="CC4" s="101" t="s">
        <v>852</v>
      </c>
      <c r="CD4" s="158" t="s">
        <v>1064</v>
      </c>
      <c r="CE4" s="209" t="s">
        <v>1030</v>
      </c>
      <c r="CF4" s="158"/>
      <c r="CG4" s="209" t="s">
        <v>917</v>
      </c>
      <c r="CH4" s="221">
        <f>SUMIFS(FNRP!AP:AP,FNRP!$AI:$AI,'Phan tich_TB'!CG4)/10^9+SUMIFS(TB_HTM[PV01],TB_HTM[Tenor],'Phan tich_TB'!CG4)</f>
        <v>-3.5401589495192648E-2</v>
      </c>
      <c r="CJ4" s="825" t="s">
        <v>2927</v>
      </c>
      <c r="CK4" s="330" t="s">
        <v>2832</v>
      </c>
      <c r="CL4" s="352"/>
      <c r="CM4" s="369"/>
      <c r="CN4" s="370"/>
      <c r="CO4" s="371"/>
      <c r="CP4" s="227"/>
      <c r="DC4" s="289"/>
      <c r="DJ4" s="209" t="s">
        <v>1050</v>
      </c>
      <c r="DK4" s="158" t="s">
        <v>1064</v>
      </c>
      <c r="DL4" s="209" t="s">
        <v>1030</v>
      </c>
      <c r="DM4" s="209" t="s">
        <v>879</v>
      </c>
      <c r="DN4" s="216">
        <f>SUM(SUMIFS(FNRP!$DU:$DU,FNRP!$DR:$DR,DM4))*100000/10^9</f>
        <v>0</v>
      </c>
      <c r="DO4" s="58"/>
      <c r="DP4" s="58"/>
      <c r="DQ4" s="209" t="s">
        <v>1074</v>
      </c>
      <c r="DR4" s="220"/>
      <c r="DS4" s="228">
        <f>SUM(DS1:DS2)-SUMIFS('His53'!AW:AW,'His53'!AR:AR,Input[[#This Row],[Values]])</f>
        <v>-4.2510000000024775</v>
      </c>
      <c r="DU4" s="58"/>
      <c r="DV4" s="209" t="s">
        <v>1069</v>
      </c>
      <c r="DW4" s="209" t="s">
        <v>879</v>
      </c>
      <c r="DX4" s="227">
        <f>SUMIFS(FNRP!CW:CW,FNRP!DR:DR,DW4)/10^9</f>
        <v>0</v>
      </c>
      <c r="EA4" s="209" t="s">
        <v>1071</v>
      </c>
      <c r="EB4" s="209" t="s">
        <v>878</v>
      </c>
      <c r="EC4" s="216">
        <f>IFERROR(SUMPRODUCT(Tradingbook_SBV[Modified Duration]*Tradingbook_SBV[MARKET_VALUE]*(Tradingbook_SBV[Tenor]=EB4))/SUMIFS(Tradingbook_SBV[MARKET_VALUE],Tradingbook_SBV[Tenor],EB4),0)</f>
        <v>0</v>
      </c>
      <c r="ED4" s="54"/>
      <c r="EF4" s="209" t="s">
        <v>852</v>
      </c>
      <c r="EG4" s="209" t="s">
        <v>877</v>
      </c>
      <c r="EH4" s="355">
        <f>SUMIFS(FNRP!DY:DY,FNRP!$DR:$DR,'Phan tich_TB'!EG4)/10^9</f>
        <v>0</v>
      </c>
      <c r="EJ4" s="825" t="s">
        <v>2927</v>
      </c>
      <c r="EK4" s="330" t="s">
        <v>2832</v>
      </c>
      <c r="EL4" s="352">
        <f>_xlfn.XLOOKUP(13,'VaR senerio'!AC:AC,'VaR senerio'!AA:AA,,0)</f>
        <v>4.0290179704894875</v>
      </c>
      <c r="EM4" s="353">
        <f>_xlfn.XLOOKUP(13,'VaR senerio'!AC:AC,'VaR senerio'!AB:AB,,0)</f>
        <v>46002</v>
      </c>
      <c r="EN4" s="352"/>
      <c r="EO4" s="227">
        <f>ABS(EL4-EL2)</f>
        <v>4.0290179704894875</v>
      </c>
    </row>
    <row r="5" spans="1:145" x14ac:dyDescent="0.3">
      <c r="I5" s="514" t="s">
        <v>871</v>
      </c>
      <c r="J5" s="357">
        <f>Runtool!C6</f>
        <v>46238</v>
      </c>
      <c r="K5" s="222" t="s">
        <v>1064</v>
      </c>
      <c r="L5" s="100" t="s">
        <v>1030</v>
      </c>
      <c r="M5" s="358">
        <f>$M$27-SUMIFS('His53'!$AC$2:$AC$9,'His53'!$X$2:$X$9,'Phan tich_TB'!J5)</f>
        <v>-232.36072999999476</v>
      </c>
      <c r="N5" s="492"/>
      <c r="P5" s="356" t="s">
        <v>880</v>
      </c>
      <c r="Q5" s="360">
        <f>SUMIFS(Data53_PV01[Actual],Data53_PV01[RptDate],Runtool!$C$3,Data53_PV01[Tenor_Value],'Phan tich_TB'!P5)</f>
        <v>-0.28856477479999998</v>
      </c>
      <c r="R5" s="361">
        <f t="shared" si="0"/>
        <v>-0.49999999999998934</v>
      </c>
      <c r="S5" s="361">
        <f t="shared" si="1"/>
        <v>0.14428238739999691</v>
      </c>
      <c r="U5" s="362"/>
      <c r="V5" s="363" t="s">
        <v>1037</v>
      </c>
      <c r="W5" s="535">
        <v>46113</v>
      </c>
      <c r="X5" s="364"/>
      <c r="AA5" s="209" t="s">
        <v>880</v>
      </c>
      <c r="AB5" s="221">
        <f>SUMIFS('Deal ps'!L:L,'Deal ps'!D:D,"B",'Deal ps'!AD:AD,"Trading",'Deal ps'!AC:AC,'Phan tich_TB'!AA5)/10^4-SUMIFS('Deal ps'!L:L,'Deal ps'!D:D,"S",'Deal ps'!AD:AD,"Trading",'Deal ps'!AC:AC,'Phan tich_TB'!AA5)/10^4</f>
        <v>0</v>
      </c>
      <c r="AC5" s="224"/>
      <c r="AD5" s="344"/>
      <c r="AE5" s="345" t="s">
        <v>812</v>
      </c>
      <c r="AF5" s="345">
        <v>232061500</v>
      </c>
      <c r="AG5" s="224"/>
      <c r="AH5" s="224" t="str">
        <f>IFERROR(Counterparty_listdeal[[#This Row],[CTPT]],"")</f>
        <v>VIBH</v>
      </c>
      <c r="AI5" s="347">
        <f>IFERROR(Counterparty_listdeal[[#This Row],[Sum of Quantity]]/SUM(AF:AF),0)</f>
        <v>0.10770279058001635</v>
      </c>
      <c r="AJ5" s="224"/>
      <c r="AK5" s="224"/>
      <c r="AL5" s="345" t="s">
        <v>1087</v>
      </c>
      <c r="AM5" s="345"/>
      <c r="AN5" s="345" t="s">
        <v>1088</v>
      </c>
      <c r="AO5" s="345">
        <v>0</v>
      </c>
      <c r="AP5" s="224"/>
      <c r="AQ5" s="745"/>
      <c r="AR5" s="224"/>
      <c r="AS5" s="224"/>
      <c r="AT5" s="224"/>
      <c r="AU5" s="224"/>
      <c r="AV5" s="224"/>
      <c r="AW5" s="567"/>
      <c r="AX5" s="224"/>
      <c r="AY5" s="224"/>
      <c r="AZ5" s="224"/>
      <c r="BA5" s="224"/>
      <c r="BB5" s="224"/>
      <c r="BC5" s="97"/>
      <c r="BD5" s="97"/>
      <c r="BE5" s="101" t="s">
        <v>1050</v>
      </c>
      <c r="BF5" s="158" t="s">
        <v>1064</v>
      </c>
      <c r="BG5" s="209" t="s">
        <v>906</v>
      </c>
      <c r="BH5" s="209" t="s">
        <v>905</v>
      </c>
      <c r="BI5" s="158"/>
      <c r="BJ5" s="349">
        <f>SUMIFS((FNRP!$AL:$AL),FNRP!$AJ:$AJ,BG5,FNRP!$AK:$AK,BH5)*100000/10^9+SUMIFS(TB_HTM[Amt],TB_HTM[Type],BG5,TB_HTM[Issuer],'Phan tich_TB'!BH5)/10^9</f>
        <v>3408</v>
      </c>
      <c r="BK5" s="344"/>
      <c r="BM5" s="101" t="s">
        <v>1069</v>
      </c>
      <c r="BN5" s="158" t="s">
        <v>1064</v>
      </c>
      <c r="BO5" s="209" t="s">
        <v>906</v>
      </c>
      <c r="BP5" s="209" t="s">
        <v>905</v>
      </c>
      <c r="BQ5" s="220"/>
      <c r="BR5" s="227">
        <f>SUMIFS(FNRP!M:M,FNRP!AJ:AJ,BO5,FNRP!AK:AK,BP5)/10^9+SUMIFS(TB_HTM[Market Value FNRP],TB_HTM[Type],BO5,TB_HTM[Issuer],BP5)/10^9</f>
        <v>3038.9813599999998</v>
      </c>
      <c r="BS5" s="234"/>
      <c r="BU5" s="101" t="s">
        <v>735</v>
      </c>
      <c r="BV5" s="158" t="s">
        <v>1064</v>
      </c>
      <c r="BW5" s="209" t="s">
        <v>1067</v>
      </c>
      <c r="BX5" s="158"/>
      <c r="BY5" s="158"/>
      <c r="BZ5" s="350" cm="1">
        <f t="array" ref="BZ5">IFERROR(SUMPRODUCT(Tradingbook_MSB[MARKET_VALUE]*Tradingbook_MSB[Duration_edited]*(Tradingbook_MSB[Type]=BW5))/SUMIFS(FNRP!M:M,FNRP!AJ:AJ,BW5),0)</f>
        <v>0</v>
      </c>
      <c r="CA5" s="351"/>
      <c r="CC5" s="101" t="s">
        <v>852</v>
      </c>
      <c r="CD5" s="158" t="s">
        <v>1064</v>
      </c>
      <c r="CE5" s="209" t="s">
        <v>1030</v>
      </c>
      <c r="CF5" s="158"/>
      <c r="CG5" s="209" t="s">
        <v>877</v>
      </c>
      <c r="CH5" s="221">
        <f>SUMIFS(FNRP!AP:AP,FNRP!$AI:$AI,'Phan tich_TB'!CG5)/10^9+SUMIFS(TB_HTM[PV01],TB_HTM[Tenor],'Phan tich_TB'!CG5)</f>
        <v>0</v>
      </c>
      <c r="CJ5" s="825"/>
      <c r="CK5" s="330" t="s">
        <v>2833</v>
      </c>
      <c r="CL5" s="352"/>
      <c r="CM5" s="369"/>
      <c r="CN5" s="370"/>
      <c r="CO5" s="372"/>
      <c r="CP5" s="227"/>
      <c r="DC5" s="92" t="s">
        <v>735</v>
      </c>
      <c r="DD5" s="220" t="s">
        <v>2243</v>
      </c>
      <c r="DE5" s="158" t="s">
        <v>869</v>
      </c>
      <c r="DF5" s="220">
        <f>IFERROR(SUMPRODUCT(FNRP_Future[Dur.],FNRP_Future[Abs amount])/SUM(FNRP_Future[Abs amount]),0)</f>
        <v>0</v>
      </c>
      <c r="DJ5" s="209" t="s">
        <v>1050</v>
      </c>
      <c r="DK5" s="158" t="s">
        <v>1064</v>
      </c>
      <c r="DL5" s="209" t="s">
        <v>1030</v>
      </c>
      <c r="DM5" s="209" t="s">
        <v>880</v>
      </c>
      <c r="DN5" s="216">
        <f>SUM(SUMIFS(FNRP!$DU:$DU,FNRP!$DR:$DR,DM5))*100000/10^9</f>
        <v>0</v>
      </c>
      <c r="DO5" s="58"/>
      <c r="DP5" s="58"/>
      <c r="DQ5" s="209" t="s">
        <v>1075</v>
      </c>
      <c r="DR5" s="220"/>
      <c r="DS5" s="228">
        <f>SUM(DS1:DS2)-SUMIFS('His53'!AW:AW,'His53'!AR:AR,Runtool!C3)</f>
        <v>0.57049999999753709</v>
      </c>
      <c r="DU5" s="58"/>
      <c r="DV5" s="209" t="s">
        <v>1069</v>
      </c>
      <c r="DW5" s="209" t="s">
        <v>880</v>
      </c>
      <c r="DX5" s="227">
        <f>SUMIFS(FNRP!CW:CW,FNRP!DR:DR,DW5)/10^9</f>
        <v>0</v>
      </c>
      <c r="EA5" s="209" t="s">
        <v>1071</v>
      </c>
      <c r="EB5" s="209" t="s">
        <v>879</v>
      </c>
      <c r="EC5" s="216">
        <f>IFERROR(SUMPRODUCT(Tradingbook_SBV[Modified Duration]*Tradingbook_SBV[MARKET_VALUE]*(Tradingbook_SBV[Tenor]=EB5))/SUMIFS(Tradingbook_SBV[MARKET_VALUE],Tradingbook_SBV[Tenor],EB5),0)</f>
        <v>0</v>
      </c>
      <c r="ED5" s="54"/>
      <c r="EF5" s="209" t="s">
        <v>852</v>
      </c>
      <c r="EG5" s="209" t="s">
        <v>878</v>
      </c>
      <c r="EH5" s="355">
        <f>SUMIFS(FNRP!DY:DY,FNRP!$DR:$DR,'Phan tich_TB'!EG5)/10^9</f>
        <v>0</v>
      </c>
      <c r="EJ5" s="825"/>
      <c r="EK5" s="330" t="s">
        <v>2833</v>
      </c>
      <c r="EL5" s="352">
        <f>_xlfn.XLOOKUP(3,'VaR senerio'!AC:AC,'VaR senerio'!AA:AA,,0)</f>
        <v>8.8464306617442805</v>
      </c>
      <c r="EM5" s="353">
        <f>_xlfn.XLOOKUP(3,'VaR senerio'!AC:AC,'VaR senerio'!AB:AB,,0)</f>
        <v>45890</v>
      </c>
      <c r="EN5" s="352"/>
      <c r="EO5" s="227">
        <f>ABS(EL5-EL3)</f>
        <v>8.8464306617442805</v>
      </c>
    </row>
    <row r="6" spans="1:145" x14ac:dyDescent="0.3">
      <c r="B6" s="340" t="s">
        <v>876</v>
      </c>
      <c r="C6" s="341" t="s">
        <v>887</v>
      </c>
      <c r="D6" s="341" t="s">
        <v>888</v>
      </c>
      <c r="E6" s="341" t="s">
        <v>889</v>
      </c>
      <c r="F6" s="341" t="s">
        <v>2292</v>
      </c>
      <c r="I6" s="514" t="s">
        <v>2206</v>
      </c>
      <c r="J6" s="236"/>
      <c r="K6" s="222"/>
      <c r="L6" s="100"/>
      <c r="M6" s="377">
        <f>SUM(X2:X13)</f>
        <v>0</v>
      </c>
      <c r="N6" s="359"/>
      <c r="P6" s="356" t="s">
        <v>881</v>
      </c>
      <c r="Q6" s="360">
        <f>SUMIFS(Data53_PV01[Actual],Data53_PV01[RptDate],Runtool!$C$3,Data53_PV01[Tenor_Value],'Phan tich_TB'!P6)</f>
        <v>-4.6767720999999998E-2</v>
      </c>
      <c r="R6" s="361">
        <f t="shared" si="0"/>
        <v>-0.99999999999997868</v>
      </c>
      <c r="S6" s="361">
        <f t="shared" si="1"/>
        <v>4.6767720999998999E-2</v>
      </c>
      <c r="U6" s="362"/>
      <c r="V6" s="363" t="s">
        <v>1038</v>
      </c>
      <c r="W6" s="535">
        <v>46143</v>
      </c>
      <c r="X6" s="364"/>
      <c r="AA6" s="209" t="s">
        <v>881</v>
      </c>
      <c r="AB6" s="221">
        <f>SUMIFS('Deal ps'!L:L,'Deal ps'!D:D,"B",'Deal ps'!AD:AD,"Trading",'Deal ps'!AC:AC,'Phan tich_TB'!AA6)/10^4-SUMIFS('Deal ps'!L:L,'Deal ps'!D:D,"S",'Deal ps'!AD:AD,"Trading",'Deal ps'!AC:AC,'Phan tich_TB'!AA6)/10^4</f>
        <v>0</v>
      </c>
      <c r="AC6" s="224"/>
      <c r="AD6" s="344"/>
      <c r="AE6" s="345" t="s">
        <v>2374</v>
      </c>
      <c r="AF6" s="345">
        <v>207000000</v>
      </c>
      <c r="AG6" s="224"/>
      <c r="AH6" s="224" t="str">
        <f>IFERROR(Counterparty_listdeal[[#This Row],[CTPT]],"")</f>
        <v>CK_VCB</v>
      </c>
      <c r="AI6" s="347">
        <f>IFERROR(Counterparty_listdeal[[#This Row],[Sum of Quantity]]/SUM(AF:AF),0)</f>
        <v>9.6071419214576237E-2</v>
      </c>
      <c r="AJ6" s="224"/>
      <c r="AK6" s="224"/>
      <c r="AL6" s="345" t="s">
        <v>1087</v>
      </c>
      <c r="AM6" s="345"/>
      <c r="AN6" s="345" t="s">
        <v>882</v>
      </c>
      <c r="AO6" s="345">
        <v>0.13337812316931788</v>
      </c>
      <c r="AP6" s="224"/>
      <c r="AQ6" s="745"/>
      <c r="AR6" s="224"/>
      <c r="AS6" s="224"/>
      <c r="AT6" s="564" t="s">
        <v>2943</v>
      </c>
      <c r="AU6" s="561" t="s">
        <v>3718</v>
      </c>
      <c r="AV6" s="644" t="s">
        <v>3619</v>
      </c>
      <c r="AW6" s="644" t="s">
        <v>867</v>
      </c>
      <c r="AY6" s="579" t="s">
        <v>3574</v>
      </c>
      <c r="AZ6" s="579" t="s">
        <v>3575</v>
      </c>
      <c r="BA6" s="579" t="s">
        <v>3576</v>
      </c>
      <c r="BB6" s="579" t="s">
        <v>3577</v>
      </c>
      <c r="BC6" s="166"/>
      <c r="BD6" s="97"/>
      <c r="BE6" s="101" t="s">
        <v>1050</v>
      </c>
      <c r="BF6" s="158" t="s">
        <v>1064</v>
      </c>
      <c r="BG6" s="209" t="s">
        <v>894</v>
      </c>
      <c r="BH6" s="209" t="s">
        <v>1067</v>
      </c>
      <c r="BI6" s="158"/>
      <c r="BJ6" s="349">
        <f>SUMIFS((FNRP!$AL:$AL),FNRP!$AJ:$AJ,"TPCQĐP")*100000/10^9+SUMIFS(TB_HTM[Amt],TB_HTM[Type],BG6)/10^9</f>
        <v>300</v>
      </c>
      <c r="BK6" s="344"/>
      <c r="BM6" s="101" t="s">
        <v>1069</v>
      </c>
      <c r="BN6" s="158" t="s">
        <v>1064</v>
      </c>
      <c r="BO6" s="209" t="s">
        <v>894</v>
      </c>
      <c r="BP6" s="209"/>
      <c r="BQ6" s="220"/>
      <c r="BR6" s="227">
        <f>SUMIFS(FNRP!M:M,FNRP!AJ:AJ,BO6)/10^9+SUMIFS(TB_HTM[Market Value FNRP],TB_HTM[Type],BO6)/10^9</f>
        <v>330.88499999999999</v>
      </c>
      <c r="BS6" s="234"/>
      <c r="BU6" s="101" t="s">
        <v>735</v>
      </c>
      <c r="BV6" s="158" t="s">
        <v>1064</v>
      </c>
      <c r="BW6" s="209" t="s">
        <v>906</v>
      </c>
      <c r="BX6" s="209" t="s">
        <v>821</v>
      </c>
      <c r="BY6" s="158"/>
      <c r="BZ6" s="350" cm="1">
        <f t="array" ref="BZ6">IFERROR(SUMPRODUCT(Tradingbook_MSB[MARKET_VALUE]*Tradingbook_MSB[Duration_edited]*(Tradingbook_MSB[Type]=BW6)*(Tradingbook_MSB[Issuer]=BX6))/SUMIFS(FNRP!M:M,FNRP!AJ:AJ,BW6,FNRP!AK:AK,BX6),0)</f>
        <v>2.2829417788274502</v>
      </c>
      <c r="CA6" s="351"/>
      <c r="CC6" s="101" t="s">
        <v>852</v>
      </c>
      <c r="CD6" s="158" t="s">
        <v>1064</v>
      </c>
      <c r="CE6" s="209" t="s">
        <v>1030</v>
      </c>
      <c r="CF6" s="158"/>
      <c r="CG6" s="209" t="s">
        <v>878</v>
      </c>
      <c r="CH6" s="221">
        <f>SUMIFS(FNRP!AP:AP,FNRP!$AI:$AI,'Phan tich_TB'!CG6)/10^9+SUMIFS(TB_HTM[PV01],TB_HTM[Tenor],'Phan tich_TB'!CG6)</f>
        <v>0</v>
      </c>
      <c r="CP6" s="374" cm="1">
        <f t="array" ref="CP6">MAX(ABS(CP2:CP5))</f>
        <v>0</v>
      </c>
      <c r="DC6" s="92" t="s">
        <v>1071</v>
      </c>
      <c r="DD6" s="220" t="s">
        <v>2244</v>
      </c>
      <c r="DE6" s="158" t="s">
        <v>869</v>
      </c>
      <c r="DF6" s="220">
        <f>IFERROR(SUMPRODUCT(FNRP_Future[Mod Dur],FNRP_Future[Abs amount])/SUM(FNRP_Future[Abs amount]),0)</f>
        <v>0</v>
      </c>
      <c r="DJ6" s="209" t="s">
        <v>1050</v>
      </c>
      <c r="DK6" s="158" t="s">
        <v>1064</v>
      </c>
      <c r="DL6" s="209" t="s">
        <v>1030</v>
      </c>
      <c r="DM6" s="209" t="s">
        <v>881</v>
      </c>
      <c r="DN6" s="216">
        <f>SUM(SUMIFS(FNRP!$DU:$DU,FNRP!$DR:$DR,DM6))*100000/10^9</f>
        <v>0</v>
      </c>
      <c r="DO6" s="58"/>
      <c r="DP6" s="58"/>
      <c r="DQ6" s="209" t="s">
        <v>1032</v>
      </c>
      <c r="DR6" s="220"/>
      <c r="DS6" s="227">
        <f>SUM(FNRP!FS:FS)/10^9</f>
        <v>0</v>
      </c>
      <c r="DU6" s="58"/>
      <c r="DV6" s="209" t="s">
        <v>1069</v>
      </c>
      <c r="DW6" s="209" t="s">
        <v>881</v>
      </c>
      <c r="DX6" s="227">
        <f>SUMIFS(FNRP!CW:CW,FNRP!DR:DR,DW6)/10^9</f>
        <v>0</v>
      </c>
      <c r="EA6" s="209" t="s">
        <v>1071</v>
      </c>
      <c r="EB6" s="209" t="s">
        <v>880</v>
      </c>
      <c r="EC6" s="216">
        <f>IFERROR(SUMPRODUCT(Tradingbook_SBV[Modified Duration]*Tradingbook_SBV[MARKET_VALUE]*(Tradingbook_SBV[Tenor]=EB6))/SUMIFS(Tradingbook_SBV[MARKET_VALUE],Tradingbook_SBV[Tenor],EB6),0)</f>
        <v>0</v>
      </c>
      <c r="ED6" s="54"/>
      <c r="EF6" s="209" t="s">
        <v>852</v>
      </c>
      <c r="EG6" s="209" t="s">
        <v>879</v>
      </c>
      <c r="EH6" s="355">
        <f>SUMIFS(FNRP!DY:DY,FNRP!$DR:$DR,'Phan tich_TB'!EG6)/10^9</f>
        <v>0</v>
      </c>
    </row>
    <row r="7" spans="1:145" x14ac:dyDescent="0.3">
      <c r="B7" s="356" t="s">
        <v>877</v>
      </c>
      <c r="C7" s="237">
        <f>VLOOKUP(B7,Yield[[Tenor]:[Average]],2,0)</f>
        <v>3.5289999999999999</v>
      </c>
      <c r="D7" s="376">
        <f>VLOOKUP(B7,Yield_yesterday[[Tenor]:[Average]],2,0)</f>
        <v>3.5289999999999999</v>
      </c>
      <c r="E7" s="376">
        <f>VLOOKUP(B7,'His53'!$N$37:$O$51,2,0)</f>
        <v>3.4670000000000001</v>
      </c>
      <c r="F7" s="376">
        <f>VLOOKUP(B7,Yield_lastyear[[Tenor]:[Average]],2,0)</f>
        <v>2.9169999999999998</v>
      </c>
      <c r="I7" s="514" t="s">
        <v>3504</v>
      </c>
      <c r="J7" s="236"/>
      <c r="K7" s="236"/>
      <c r="L7" s="380"/>
      <c r="M7" s="377">
        <f>SUMIFS(RP_SEC!S:S,RP_SEC!T:T,"&lt;&gt;"&amp;0)/10^9+SUM(TB_HTM[ItD])/10^9</f>
        <v>-1638.5293972848699</v>
      </c>
      <c r="N7" s="378"/>
      <c r="O7" s="362"/>
      <c r="P7" s="356" t="s">
        <v>882</v>
      </c>
      <c r="Q7" s="360">
        <f>SUMIFS(Data53_PV01[Actual],Data53_PV01[RptDate],Runtool!$C$3,Data53_PV01[Tenor_Value],'Phan tich_TB'!P7)</f>
        <v>-2.7055362318</v>
      </c>
      <c r="R7" s="361">
        <f t="shared" si="0"/>
        <v>-0.19999999999997797</v>
      </c>
      <c r="S7" s="361">
        <f t="shared" si="1"/>
        <v>0.54110724635994045</v>
      </c>
      <c r="U7" s="362"/>
      <c r="V7" s="363" t="s">
        <v>1039</v>
      </c>
      <c r="W7" s="535">
        <v>46174</v>
      </c>
      <c r="X7" s="364"/>
      <c r="AA7" s="209" t="s">
        <v>882</v>
      </c>
      <c r="AB7" s="221">
        <f>SUMIFS('Deal ps'!L:L,'Deal ps'!D:D,"B",'Deal ps'!AD:AD,"Trading",'Deal ps'!AC:AC,'Phan tich_TB'!AA7)/10^4-SUMIFS('Deal ps'!L:L,'Deal ps'!D:D,"S",'Deal ps'!AD:AD,"Trading",'Deal ps'!AC:AC,'Phan tich_TB'!AA7)/10^4</f>
        <v>0</v>
      </c>
      <c r="AC7" s="224"/>
      <c r="AD7" s="344"/>
      <c r="AE7" s="345" t="s">
        <v>813</v>
      </c>
      <c r="AF7" s="345">
        <v>181339000</v>
      </c>
      <c r="AG7" s="224"/>
      <c r="AH7" s="224" t="str">
        <f>IFERROR(Counterparty_listdeal[[#This Row],[CTPT]],"")</f>
        <v>TCBV-HO</v>
      </c>
      <c r="AI7" s="347">
        <f>IFERROR(Counterparty_listdeal[[#This Row],[Sum of Quantity]]/SUM(AF:AF),0)</f>
        <v>8.4161812023922894E-2</v>
      </c>
      <c r="AJ7" s="224"/>
      <c r="AK7" s="224"/>
      <c r="AL7" s="345" t="s">
        <v>1087</v>
      </c>
      <c r="AM7" s="345"/>
      <c r="AN7" s="345" t="s">
        <v>883</v>
      </c>
      <c r="AO7" s="345">
        <v>0.21927587944433297</v>
      </c>
      <c r="AP7" s="224"/>
      <c r="AQ7" s="745"/>
      <c r="AR7" s="224"/>
      <c r="AS7" s="743"/>
      <c r="AT7" s="562" cm="1">
        <f t="array" ref="AT7:AT40">_xlfn.UNIQUE(His_yield_bq[RptDate])</f>
        <v>46204</v>
      </c>
      <c r="AU7" s="729" cm="1">
        <f t="array" ref="AU7">IFERROR(SUMPRODUCT(His_yield_bq[YTM_ON BS]%*His_yield_bq[ON BS]*(His_yield_bq[RptDate]=AT7))
*(AT7-Runtool!C18)/365,0)</f>
        <v>4.0375606281956404</v>
      </c>
      <c r="AV7" s="729" cm="1">
        <f t="array" ref="AV7">IFERROR(SUMPRODUCT(His_funding_cost[Global amount]*His_funding_cost[Weighted rate]*(His_funding_cost[RptDate]=AT7))
/SUMIFS(His_funding_cost[Global amount],His_funding_cost[RptDate],AT7)
*_xlfn.XLOOKUP(AT7,His_yield_bq[RptDate],His_yield_bq[ON BS],,0)
*(AT7-Runtool!C18)/365,0)</f>
        <v>4.4944109257737885</v>
      </c>
      <c r="AW7" s="729">
        <f>AU7-AV7</f>
        <v>-0.4568502975781481</v>
      </c>
      <c r="AY7" s="348" t="s">
        <v>3132</v>
      </c>
      <c r="AZ7" s="577">
        <f>SUMIFS(RP_SEC!G:G,RP_SEC!Y:Y,AY7)/10^9+SUMIFS(TB_HTM[Amt],TB_HTM[Time hold (tenor)],AY7)/10^9</f>
        <v>3479</v>
      </c>
      <c r="BA7" s="349">
        <f>SUMIFS(RP_SEC!N:N,RP_SEC!Y:Y,AY7)/10^9</f>
        <v>-322.26445000000001</v>
      </c>
      <c r="BB7" s="586">
        <f>SUMIFS(RP_SEC!S:S,RP_SEC!Y:Y,AY7)/10^9+SUMIFS(TB_HTM[ItD],TB_HTM[Time hold (tenor)],AY7)/10^9</f>
        <v>-321.87404208293202</v>
      </c>
      <c r="BC7" s="97"/>
      <c r="BD7" s="97"/>
      <c r="BE7" s="101" t="s">
        <v>1050</v>
      </c>
      <c r="BF7" s="158" t="s">
        <v>1064</v>
      </c>
      <c r="BG7" s="209" t="s">
        <v>1030</v>
      </c>
      <c r="BH7" s="209"/>
      <c r="BI7" s="209" t="s">
        <v>877</v>
      </c>
      <c r="BJ7" s="349" cm="1">
        <f t="array" ref="BJ7">SUM(SUMIFS(FNRP!AL:AL,FNRP!AI:AI,{"3M","6M","1Y"}))*100000/10^9+SUM(SUMIFS(TB_HTM[Amt],TB_HTM[Tenor],{"3M","6M","1Y"}))/10^9</f>
        <v>1002</v>
      </c>
      <c r="BK7" s="379"/>
      <c r="BL7" s="362"/>
      <c r="BM7" s="101" t="s">
        <v>1069</v>
      </c>
      <c r="BN7" s="158" t="s">
        <v>1064</v>
      </c>
      <c r="BO7" s="209" t="s">
        <v>1030</v>
      </c>
      <c r="BP7" s="209"/>
      <c r="BQ7" s="209" t="s">
        <v>877</v>
      </c>
      <c r="BR7" s="227" cm="1">
        <f t="array" ref="BR7">SUM(SUMIFS(FNRP!M:M,FNRP!AI:AI,{"3M","6M","1Y"}))/10^9+SUM(SUMIFS(TB_HTM[Market Value FNRP],TB_HTM[Tenor],{"3M","6M","1Y"}))/10^9</f>
        <v>1009.0563</v>
      </c>
      <c r="BS7" s="234"/>
      <c r="BU7" s="101" t="s">
        <v>735</v>
      </c>
      <c r="BV7" s="158" t="s">
        <v>1064</v>
      </c>
      <c r="BW7" s="209" t="s">
        <v>906</v>
      </c>
      <c r="BX7" s="158" t="s">
        <v>905</v>
      </c>
      <c r="BY7" s="158"/>
      <c r="BZ7" s="350" cm="1">
        <f t="array" ref="BZ7">IFERROR(SUMPRODUCT(Tradingbook_MSB[MARKET_VALUE]*Tradingbook_MSB[Duration_edited]*(Tradingbook_MSB[Type]=BW7)*(Tradingbook_MSB[Issuer]=BX7))/SUMIFS(FNRP!M:M,FNRP!AJ:AJ,BW7,FNRP!AK:AK,BX7),0)</f>
        <v>7.6372414217967401</v>
      </c>
      <c r="CA7" s="351"/>
      <c r="CB7" s="362"/>
      <c r="CC7" s="101" t="s">
        <v>852</v>
      </c>
      <c r="CD7" s="158" t="s">
        <v>1064</v>
      </c>
      <c r="CE7" s="209" t="s">
        <v>1030</v>
      </c>
      <c r="CF7" s="158"/>
      <c r="CG7" s="209" t="s">
        <v>879</v>
      </c>
      <c r="CH7" s="221">
        <f>SUMIFS(FNRP!AP:AP,FNRP!$AI:$AI,'Phan tich_TB'!CG7)/10^9+SUMIFS(TB_HTM[PV01],TB_HTM[Tenor],'Phan tich_TB'!CG7)</f>
        <v>-9.2207272693740835E-2</v>
      </c>
      <c r="CX7" s="85" t="s">
        <v>2242</v>
      </c>
      <c r="CY7" s="334" t="s">
        <v>1049</v>
      </c>
      <c r="CZ7" s="158" t="s">
        <v>869</v>
      </c>
      <c r="DA7" s="220">
        <v>0</v>
      </c>
      <c r="DC7" s="92" t="s">
        <v>854</v>
      </c>
      <c r="DD7" s="220" t="s">
        <v>854</v>
      </c>
      <c r="DE7" s="158" t="s">
        <v>869</v>
      </c>
      <c r="DF7" s="220">
        <f>IFERROR(SUMPRODUCT(FNRP_Future[Cnvx],FNRP_Future[Abs amount])/SUM(FNRP_Future[Abs amount]),0)</f>
        <v>0</v>
      </c>
      <c r="DJ7" s="209" t="s">
        <v>1050</v>
      </c>
      <c r="DK7" s="158" t="s">
        <v>1064</v>
      </c>
      <c r="DL7" s="209" t="s">
        <v>1030</v>
      </c>
      <c r="DM7" s="209" t="s">
        <v>882</v>
      </c>
      <c r="DN7" s="216">
        <f>SUM(SUMIFS(FNRP!$DU:$DU,FNRP!$DR:$DR,DM7))*100000/10^9</f>
        <v>200</v>
      </c>
      <c r="DO7" s="58"/>
      <c r="DP7" s="58"/>
      <c r="DQ7" s="209"/>
      <c r="DR7" s="220"/>
      <c r="DS7" s="238"/>
      <c r="DU7" s="58"/>
      <c r="DV7" s="209" t="s">
        <v>1069</v>
      </c>
      <c r="DW7" s="209" t="s">
        <v>882</v>
      </c>
      <c r="DX7" s="227">
        <f>SUMIFS(FNRP!CW:CW,FNRP!DR:DR,DW7)/10^9</f>
        <v>200.249</v>
      </c>
      <c r="EA7" s="209" t="s">
        <v>1071</v>
      </c>
      <c r="EB7" s="209" t="s">
        <v>881</v>
      </c>
      <c r="EC7" s="216">
        <f>IFERROR(SUMPRODUCT(Tradingbook_SBV[Modified Duration]*Tradingbook_SBV[MARKET_VALUE]*(Tradingbook_SBV[Tenor]=EB7))/SUMIFS(Tradingbook_SBV[MARKET_VALUE],Tradingbook_SBV[Tenor],EB7),0)</f>
        <v>0</v>
      </c>
      <c r="ED7" s="54"/>
      <c r="EF7" s="209" t="s">
        <v>852</v>
      </c>
      <c r="EG7" s="209" t="s">
        <v>880</v>
      </c>
      <c r="EH7" s="355">
        <f>SUMIFS(FNRP!DY:DY,FNRP!$DR:$DR,'Phan tich_TB'!EG7)/10^9</f>
        <v>0</v>
      </c>
    </row>
    <row r="8" spans="1:145" x14ac:dyDescent="0.3">
      <c r="B8" s="356" t="s">
        <v>878</v>
      </c>
      <c r="C8" s="237">
        <f>VLOOKUP(B8,Yield[[Tenor]:[Average]],2,0)</f>
        <v>3.633</v>
      </c>
      <c r="D8" s="376">
        <f>VLOOKUP(B8,Yield_yesterday[[Tenor]:[Average]],2,0)</f>
        <v>3.633</v>
      </c>
      <c r="E8" s="376">
        <f>VLOOKUP(B8,'His53'!$N$37:$O$51,2,0)</f>
        <v>3.5710000000000002</v>
      </c>
      <c r="F8" s="376">
        <f>VLOOKUP(B8,Yield_lastyear[[Tenor]:[Average]],2,0)</f>
        <v>2.9710000000000001</v>
      </c>
      <c r="I8" s="220" t="s">
        <v>3505</v>
      </c>
      <c r="J8" s="220"/>
      <c r="K8" s="220"/>
      <c r="L8" s="220"/>
      <c r="M8" s="377">
        <f>SUMIFS(RP_SEC!N:N,RP_SEC!T:T,"&lt;&gt;"&amp;0)/10^9</f>
        <v>-1164.63193</v>
      </c>
      <c r="N8" s="378"/>
      <c r="P8" s="356" t="s">
        <v>883</v>
      </c>
      <c r="Q8" s="360">
        <f>SUMIFS(Data53_PV01[Actual],Data53_PV01[RptDate],Runtool!$C$3,Data53_PV01[Tenor_Value],'Phan tich_TB'!P8)</f>
        <v>-4.1403544094000004</v>
      </c>
      <c r="R8" s="361">
        <f t="shared" si="0"/>
        <v>-0.49999999999998934</v>
      </c>
      <c r="S8" s="361">
        <f t="shared" si="1"/>
        <v>2.0701772046999563</v>
      </c>
      <c r="U8" s="362"/>
      <c r="V8" s="363" t="s">
        <v>1040</v>
      </c>
      <c r="W8" s="535">
        <v>46204</v>
      </c>
      <c r="X8" s="364"/>
      <c r="AA8" s="209" t="s">
        <v>883</v>
      </c>
      <c r="AB8" s="221">
        <f>SUMIFS('Deal ps'!L:L,'Deal ps'!D:D,"B",'Deal ps'!AD:AD,"Trading",'Deal ps'!AC:AC,'Phan tich_TB'!AA8)/10^4-SUMIFS('Deal ps'!L:L,'Deal ps'!D:D,"S",'Deal ps'!AD:AD,"Trading",'Deal ps'!AC:AC,'Phan tich_TB'!AA8)/10^4</f>
        <v>300</v>
      </c>
      <c r="AC8" s="224"/>
      <c r="AD8" s="344"/>
      <c r="AE8" s="345" t="s">
        <v>2248</v>
      </c>
      <c r="AF8" s="345">
        <v>61110000</v>
      </c>
      <c r="AG8" s="224"/>
      <c r="AH8" s="224" t="str">
        <f>IFERROR(Counterparty_listdeal[[#This Row],[CTPT]],"")</f>
        <v>ACBV</v>
      </c>
      <c r="AI8" s="347">
        <f>IFERROR(Counterparty_listdeal[[#This Row],[Sum of Quantity]]/SUM(AF:AF),0)</f>
        <v>2.8361953759433591E-2</v>
      </c>
      <c r="AJ8" s="224"/>
      <c r="AK8" s="224"/>
      <c r="AL8" s="345" t="s">
        <v>1087</v>
      </c>
      <c r="AM8" s="345"/>
      <c r="AN8" s="345" t="s">
        <v>884</v>
      </c>
      <c r="AO8" s="345">
        <v>0.26655796938177734</v>
      </c>
      <c r="AP8" s="224"/>
      <c r="AQ8" s="745"/>
      <c r="AR8" s="224"/>
      <c r="AS8" s="743"/>
      <c r="AT8" s="563">
        <v>46205</v>
      </c>
      <c r="AU8" s="729" cm="1">
        <f t="array" ref="AU8">IFERROR(SUMPRODUCT(His_yield_bq[YTM_ON BS]%*His_yield_bq[ON BS]*(His_yield_bq[RptDate]=AT8))
*(AT8-AT7)/365,0)</f>
        <v>4.180321880300502</v>
      </c>
      <c r="AV8" s="729" cm="1">
        <f t="array" ref="AV8">IFERROR(SUMPRODUCT(His_funding_cost[Global amount]*His_funding_cost[Weighted rate]*(His_funding_cost[RptDate]=AT8))
/SUMIFS(His_funding_cost[Global amount],His_funding_cost[RptDate],AT8)
*_xlfn.XLOOKUP(AT8,His_yield_bq[RptDate],His_yield_bq[ON BS],,0)
*(AT8-AT7)/365,0)</f>
        <v>4.6572001889314008</v>
      </c>
      <c r="AW8" s="729">
        <f t="shared" ref="AW8:AW35" si="2">AU8-AV8</f>
        <v>-0.47687830863089875</v>
      </c>
      <c r="AY8" s="348" t="s">
        <v>2878</v>
      </c>
      <c r="AZ8" s="577">
        <f>SUMIFS(RP_SEC!G:G,RP_SEC!Y:Y,AY8)/10^9+SUMIFS(TB_HTM[Amt],TB_HTM[Time hold (tenor)],AY8)/10^9</f>
        <v>560</v>
      </c>
      <c r="BA8" s="349">
        <f>SUMIFS(RP_SEC!N:N,RP_SEC!Y:Y,AY8)/10^9</f>
        <v>-42.962400000000002</v>
      </c>
      <c r="BB8" s="586">
        <f>SUMIFS(RP_SEC!S:S,RP_SEC!Y:Y,AY8)/10^9+SUMIFS(TB_HTM[ItD],TB_HTM[Time hold (tenor)],AY8)/10^9</f>
        <v>-42.609887210858986</v>
      </c>
      <c r="BC8" s="97"/>
      <c r="BD8" s="97"/>
      <c r="BE8" s="101" t="s">
        <v>1050</v>
      </c>
      <c r="BF8" s="158" t="s">
        <v>1064</v>
      </c>
      <c r="BG8" s="209" t="s">
        <v>1030</v>
      </c>
      <c r="BH8" s="209"/>
      <c r="BI8" s="209" t="s">
        <v>878</v>
      </c>
      <c r="BJ8" s="349">
        <f>SUMIFS(FNRP!AL:AL,FNRP!AI:AI,BI8)*100000/10^9+SUM(SUMIFS(TB_HTM[Amt],TB_HTM[Tenor],BI8))/10^9</f>
        <v>0</v>
      </c>
      <c r="BK8" s="379"/>
      <c r="BL8" s="362"/>
      <c r="BM8" s="101" t="s">
        <v>1069</v>
      </c>
      <c r="BN8" s="158" t="s">
        <v>1064</v>
      </c>
      <c r="BO8" s="209" t="s">
        <v>1030</v>
      </c>
      <c r="BP8" s="209"/>
      <c r="BQ8" s="209" t="s">
        <v>878</v>
      </c>
      <c r="BR8" s="227">
        <f>SUMIFS(FNRP!M:M,FNRP!AI:AI,BQ8)/10^9+SUMIFS(TB_HTM[Market Value FNRP],TB_HTM[Tenor],BQ8)/10^9</f>
        <v>0</v>
      </c>
      <c r="BS8" s="234"/>
      <c r="BU8" s="101" t="s">
        <v>735</v>
      </c>
      <c r="BV8" s="158" t="s">
        <v>1064</v>
      </c>
      <c r="BW8" s="209" t="s">
        <v>1030</v>
      </c>
      <c r="BX8" s="158"/>
      <c r="BY8" s="158" t="s">
        <v>877</v>
      </c>
      <c r="BZ8" s="350" cm="1">
        <f t="array" ref="BZ8">IFERROR(SUMPRODUCT(Tradingbook_MSB[Duration_edited]*Tradingbook_MSB[MARKET_VALUE]*(Tradingbook_MSB[Tenor]=BY8))/SUMIFS(FNRP!M:M,FNRP!AI:AI,BY8),0)</f>
        <v>0</v>
      </c>
      <c r="CA8" s="351"/>
      <c r="CB8" s="362"/>
      <c r="CC8" s="101" t="s">
        <v>852</v>
      </c>
      <c r="CD8" s="158" t="s">
        <v>1064</v>
      </c>
      <c r="CE8" s="209" t="s">
        <v>1030</v>
      </c>
      <c r="CF8" s="158"/>
      <c r="CG8" s="209" t="s">
        <v>880</v>
      </c>
      <c r="CH8" s="221">
        <f>SUMIFS(FNRP!AP:AP,FNRP!$AI:$AI,'Phan tich_TB'!CG8)/10^9+SUMIFS(TB_HTM[PV01],TB_HTM[Tenor],'Phan tich_TB'!CG8)</f>
        <v>-0.28848086085057228</v>
      </c>
      <c r="CJ8" s="80" t="s">
        <v>3035</v>
      </c>
      <c r="CK8" s="170"/>
      <c r="CL8" s="208" t="s">
        <v>2886</v>
      </c>
      <c r="CM8" s="325" t="s">
        <v>2506</v>
      </c>
      <c r="CN8" s="326" t="s">
        <v>3034</v>
      </c>
      <c r="CO8" s="208"/>
      <c r="CP8" s="208" t="s">
        <v>2856</v>
      </c>
      <c r="CY8" s="334" t="s">
        <v>1074</v>
      </c>
      <c r="CZ8" s="158" t="s">
        <v>869</v>
      </c>
      <c r="DA8" s="220">
        <v>0</v>
      </c>
      <c r="DJ8" s="209" t="s">
        <v>1050</v>
      </c>
      <c r="DK8" s="158" t="s">
        <v>1064</v>
      </c>
      <c r="DL8" s="209" t="s">
        <v>1030</v>
      </c>
      <c r="DM8" s="209" t="s">
        <v>883</v>
      </c>
      <c r="DN8" s="216">
        <f>SUM(SUMIFS(FNRP!$DU:$DU,FNRP!$DR:$DR,DM8))*100000/10^9</f>
        <v>1750</v>
      </c>
      <c r="DO8" s="58"/>
      <c r="DP8" s="58"/>
      <c r="DQ8" s="209" t="s">
        <v>1051</v>
      </c>
      <c r="DR8" s="158" t="s">
        <v>1084</v>
      </c>
      <c r="DS8" s="216">
        <f>DS3+DA7</f>
        <v>-84.667999999999438</v>
      </c>
      <c r="DT8" s="58"/>
      <c r="DU8" s="58"/>
      <c r="DV8" s="209" t="s">
        <v>1069</v>
      </c>
      <c r="DW8" s="209" t="s">
        <v>883</v>
      </c>
      <c r="DX8" s="227">
        <f>SUMIFS(FNRP!CW:CW,FNRP!DR:DR,DW8)/10^9</f>
        <v>1569.1665</v>
      </c>
      <c r="EA8" s="209" t="s">
        <v>1071</v>
      </c>
      <c r="EB8" s="209" t="s">
        <v>882</v>
      </c>
      <c r="EC8" s="216">
        <f>IFERROR(SUMPRODUCT(Tradingbook_SBV[Modified Duration]*Tradingbook_SBV[MARKET_VALUE]*(Tradingbook_SBV[Tenor]=EB8))/SUMIFS(Tradingbook_SBV[MARKET_VALUE],Tradingbook_SBV[Tenor],EB8),0)</f>
        <v>6.215074731958711</v>
      </c>
      <c r="ED8" s="54"/>
      <c r="EF8" s="209" t="s">
        <v>852</v>
      </c>
      <c r="EG8" s="209" t="s">
        <v>881</v>
      </c>
      <c r="EH8" s="355">
        <f>SUMIFS(FNRP!DY:DY,FNRP!$DR:$DR,'Phan tich_TB'!EG8)/10^9</f>
        <v>0</v>
      </c>
    </row>
    <row r="9" spans="1:145" x14ac:dyDescent="0.3">
      <c r="B9" s="356" t="s">
        <v>879</v>
      </c>
      <c r="C9" s="237">
        <f>VLOOKUP(B9,Yield[[Tenor]:[Average]],2,0)</f>
        <v>3.7040000000000002</v>
      </c>
      <c r="D9" s="376">
        <f>VLOOKUP(B9,Yield_yesterday[[Tenor]:[Average]],2,0)</f>
        <v>3.7040000000000002</v>
      </c>
      <c r="E9" s="376">
        <f>VLOOKUP(B9,'His53'!$N$37:$O$51,2,0)</f>
        <v>3.6419999999999999</v>
      </c>
      <c r="F9" s="376">
        <f>VLOOKUP(B9,Yield_lastyear[[Tenor]:[Average]],2,0)</f>
        <v>3.0270000000000001</v>
      </c>
      <c r="N9" s="362"/>
      <c r="P9" s="356" t="s">
        <v>884</v>
      </c>
      <c r="Q9" s="360">
        <f>SUMIFS(Data53_PV01[Actual],Data53_PV01[RptDate],Runtool!$C$3,Data53_PV01[Tenor_Value],'Phan tich_TB'!P9)</f>
        <v>-3.3630192995999999</v>
      </c>
      <c r="R9" s="361">
        <f t="shared" si="0"/>
        <v>0</v>
      </c>
      <c r="S9" s="361">
        <f t="shared" si="1"/>
        <v>0</v>
      </c>
      <c r="U9" s="362"/>
      <c r="V9" s="363" t="s">
        <v>1041</v>
      </c>
      <c r="W9" s="535">
        <v>46235</v>
      </c>
      <c r="X9" s="364"/>
      <c r="AA9" s="209" t="s">
        <v>884</v>
      </c>
      <c r="AB9" s="221">
        <f>SUMIFS('Deal ps'!L:L,'Deal ps'!D:D,"B",'Deal ps'!AD:AD,"Trading",'Deal ps'!AC:AC,'Phan tich_TB'!AA9)/10^4-SUMIFS('Deal ps'!L:L,'Deal ps'!D:D,"S",'Deal ps'!AD:AD,"Trading",'Deal ps'!AC:AC,'Phan tich_TB'!AA9)/10^4</f>
        <v>400</v>
      </c>
      <c r="AC9" s="224"/>
      <c r="AD9" s="344"/>
      <c r="AE9" s="345" t="s">
        <v>2379</v>
      </c>
      <c r="AF9" s="345">
        <v>44382000</v>
      </c>
      <c r="AG9" s="224"/>
      <c r="AH9" s="224" t="str">
        <f>IFERROR(Counterparty_listdeal[[#This Row],[CTPT]],"")</f>
        <v>CK_SGHN</v>
      </c>
      <c r="AI9" s="347">
        <f>IFERROR(Counterparty_listdeal[[#This Row],[Sum of Quantity]]/SUM(AF:AF),0)</f>
        <v>2.0598269215368708E-2</v>
      </c>
      <c r="AJ9" s="224"/>
      <c r="AK9" s="224"/>
      <c r="AP9" s="224"/>
      <c r="AQ9" s="745"/>
      <c r="AR9" s="224"/>
      <c r="AS9" s="743"/>
      <c r="AT9" s="563">
        <v>46206</v>
      </c>
      <c r="AU9" s="729" cm="1">
        <f t="array" ref="AU9">IFERROR(SUMPRODUCT(His_yield_bq[YTM_ON BS]%*His_yield_bq[ON BS]*(His_yield_bq[RptDate]=AT9))
*(AT9-AT8)/365,0)</f>
        <v>4.1607660227546441</v>
      </c>
      <c r="AV9" s="729" cm="1">
        <f t="array" ref="AV9">IFERROR(SUMPRODUCT(His_funding_cost[Global amount]*His_funding_cost[Weighted rate]*(His_funding_cost[RptDate]=AT9))
/SUMIFS(His_funding_cost[Global amount],His_funding_cost[RptDate],AT9)
*_xlfn.XLOOKUP(AT9,His_yield_bq[RptDate],His_yield_bq[ON BS],,0)
*(AT9-AT8)/365,0)</f>
        <v>4.6425454563261521</v>
      </c>
      <c r="AW9" s="729">
        <f t="shared" si="2"/>
        <v>-0.48177943357150799</v>
      </c>
      <c r="AY9" s="348" t="s">
        <v>2879</v>
      </c>
      <c r="AZ9" s="577">
        <f>SUMIFS(RP_SEC!G:G,RP_SEC!Y:Y,AY9)/10^9+SUMIFS(TB_HTM[Amt],TB_HTM[Time hold (tenor)],AY9)/10^9</f>
        <v>550</v>
      </c>
      <c r="BA9" s="349">
        <f>SUMIFS(RP_SEC!N:N,RP_SEC!Y:Y,AY9)/10^9</f>
        <v>-37.780500000000004</v>
      </c>
      <c r="BB9" s="586">
        <f>SUMIFS(RP_SEC!S:S,RP_SEC!Y:Y,AY9)/10^9+SUMIFS(TB_HTM[ItD],TB_HTM[Time hold (tenor)],AY9)/10^9</f>
        <v>-37.979945705760485</v>
      </c>
      <c r="BC9" s="97"/>
      <c r="BD9" s="97"/>
      <c r="BE9" s="101" t="s">
        <v>1050</v>
      </c>
      <c r="BF9" s="158" t="s">
        <v>1064</v>
      </c>
      <c r="BG9" s="209" t="s">
        <v>1030</v>
      </c>
      <c r="BH9" s="209"/>
      <c r="BI9" s="209" t="s">
        <v>879</v>
      </c>
      <c r="BJ9" s="349">
        <f>SUMIFS(FNRP!AL:AL,FNRP!AI:AI,BI9)*100000/10^9+SUM(SUMIFS(TB_HTM[Amt],TB_HTM[Tenor],BI9))/10^9</f>
        <v>300</v>
      </c>
      <c r="BK9" s="379"/>
      <c r="BL9" s="362"/>
      <c r="BM9" s="101" t="s">
        <v>1069</v>
      </c>
      <c r="BN9" s="158" t="s">
        <v>1064</v>
      </c>
      <c r="BO9" s="209" t="s">
        <v>1030</v>
      </c>
      <c r="BP9" s="209"/>
      <c r="BQ9" s="209" t="s">
        <v>879</v>
      </c>
      <c r="BR9" s="227">
        <f>SUMIFS(FNRP!M:M,FNRP!AI:AI,BQ9)/10^9+SUMIFS(TB_HTM[Market Value FNRP],TB_HTM[Tenor],BQ9)/10^9</f>
        <v>330.88499999999999</v>
      </c>
      <c r="BS9" s="234"/>
      <c r="BU9" s="101" t="s">
        <v>735</v>
      </c>
      <c r="BV9" s="158" t="s">
        <v>1064</v>
      </c>
      <c r="BW9" s="209" t="s">
        <v>1030</v>
      </c>
      <c r="BX9" s="158"/>
      <c r="BY9" s="158" t="s">
        <v>878</v>
      </c>
      <c r="BZ9" s="350" cm="1">
        <f t="array" ref="BZ9">IFERROR(SUMPRODUCT(Tradingbook_MSB[Duration_edited]*Tradingbook_MSB[MARKET_VALUE]*(Tradingbook_MSB[Tenor]=BY9))/SUMIFS(FNRP!M:M,FNRP!AI:AI,BY9),0)</f>
        <v>0</v>
      </c>
      <c r="CA9" s="351"/>
      <c r="CC9" s="101" t="s">
        <v>852</v>
      </c>
      <c r="CD9" s="158" t="s">
        <v>1064</v>
      </c>
      <c r="CE9" s="209" t="s">
        <v>1030</v>
      </c>
      <c r="CF9" s="158"/>
      <c r="CG9" s="209" t="s">
        <v>881</v>
      </c>
      <c r="CH9" s="221">
        <f>SUMIFS(FNRP!AP:AP,FNRP!$AI:$AI,'Phan tich_TB'!CG9)/10^9+SUMIFS(TB_HTM[PV01],TB_HTM[Tenor],'Phan tich_TB'!CG9)</f>
        <v>-4.6764067196918453E-2</v>
      </c>
      <c r="CJ9" s="825" t="s">
        <v>2926</v>
      </c>
      <c r="CK9" s="330" t="s">
        <v>2832</v>
      </c>
      <c r="CL9" s="352"/>
      <c r="CM9" s="353"/>
      <c r="CN9" s="354"/>
      <c r="CO9" s="352"/>
      <c r="CP9" s="352"/>
      <c r="CY9" s="334" t="s">
        <v>1075</v>
      </c>
      <c r="CZ9" s="158" t="s">
        <v>869</v>
      </c>
      <c r="DA9" s="220">
        <v>0</v>
      </c>
      <c r="DJ9" s="209" t="s">
        <v>1050</v>
      </c>
      <c r="DK9" s="158" t="s">
        <v>1064</v>
      </c>
      <c r="DL9" s="209" t="s">
        <v>1030</v>
      </c>
      <c r="DM9" s="209" t="s">
        <v>884</v>
      </c>
      <c r="DN9" s="216">
        <f>SUM(SUMIFS(FNRP!$DU:$DU,FNRP!$DR:$DR,DM9))*100000/10^9</f>
        <v>500</v>
      </c>
      <c r="DO9" s="58"/>
      <c r="DP9" s="58"/>
      <c r="DQ9" s="209" t="s">
        <v>1032</v>
      </c>
      <c r="DR9" s="209"/>
      <c r="DS9" s="216">
        <f>SUM(FNRP!CZ:CZ)/10^9</f>
        <v>5130.3487875999999</v>
      </c>
      <c r="DT9" s="58"/>
      <c r="DU9" s="58"/>
      <c r="DV9" s="209" t="s">
        <v>1069</v>
      </c>
      <c r="DW9" s="209" t="s">
        <v>884</v>
      </c>
      <c r="DX9" s="227">
        <f>SUMIFS(FNRP!CW:CW,FNRP!DR:DR,DW9)/10^9</f>
        <v>431.25299999999999</v>
      </c>
      <c r="EA9" s="209" t="s">
        <v>1071</v>
      </c>
      <c r="EB9" s="209" t="s">
        <v>883</v>
      </c>
      <c r="EC9" s="216">
        <f>IFERROR(SUMPRODUCT(Tradingbook_SBV[Modified Duration]*Tradingbook_SBV[MARKET_VALUE]*(Tradingbook_SBV[Tenor]=EB9))/SUMIFS(Tradingbook_SBV[MARKET_VALUE],Tradingbook_SBV[Tenor],EB9),0)</f>
        <v>7.2344862702587651</v>
      </c>
      <c r="ED9" s="54"/>
      <c r="EF9" s="209" t="s">
        <v>852</v>
      </c>
      <c r="EG9" s="209" t="s">
        <v>882</v>
      </c>
      <c r="EH9" s="355">
        <f>SUMIFS(FNRP!DY:DY,FNRP!$DR:$DR,'Phan tich_TB'!EG9)/10^9</f>
        <v>-0.1274391624575</v>
      </c>
    </row>
    <row r="10" spans="1:145" x14ac:dyDescent="0.3">
      <c r="B10" s="356" t="s">
        <v>880</v>
      </c>
      <c r="C10" s="237">
        <f>VLOOKUP(B10,Yield[[Tenor]:[Average]],2,0)</f>
        <v>3.9710000000000001</v>
      </c>
      <c r="D10" s="376">
        <f>VLOOKUP(B10,Yield_yesterday[[Tenor]:[Average]],2,0)</f>
        <v>3.976</v>
      </c>
      <c r="E10" s="376">
        <f>VLOOKUP(B10,'His53'!$N$37:$O$51,2,0)</f>
        <v>3.9279999999999999</v>
      </c>
      <c r="F10" s="376">
        <f>VLOOKUP(B10,Yield_lastyear[[Tenor]:[Average]],2,0)</f>
        <v>3.141</v>
      </c>
      <c r="P10" s="356" t="s">
        <v>885</v>
      </c>
      <c r="Q10" s="360">
        <f>SUMIFS(Data53_PV01[Actual],Data53_PV01[RptDate],Runtool!$C$3,Data53_PV01[Tenor_Value],'Phan tich_TB'!P10)</f>
        <v>0</v>
      </c>
      <c r="R10" s="361">
        <f t="shared" si="0"/>
        <v>0</v>
      </c>
      <c r="S10" s="361">
        <f t="shared" si="1"/>
        <v>0</v>
      </c>
      <c r="U10" s="362"/>
      <c r="V10" s="363" t="s">
        <v>1042</v>
      </c>
      <c r="W10" s="535">
        <v>46266</v>
      </c>
      <c r="X10" s="364"/>
      <c r="AA10" s="209" t="s">
        <v>885</v>
      </c>
      <c r="AB10" s="221">
        <f>SUMIFS('Deal ps'!L:L,'Deal ps'!D:D,"B",'Deal ps'!AD:AD,"Trading",'Deal ps'!AC:AC,'Phan tich_TB'!AA10)/10^4-SUMIFS('Deal ps'!L:L,'Deal ps'!D:D,"S",'Deal ps'!AD:AD,"Trading",'Deal ps'!AC:AC,'Phan tich_TB'!AA10)/10^4</f>
        <v>0</v>
      </c>
      <c r="AC10" s="224"/>
      <c r="AD10" s="344"/>
      <c r="AE10" s="345" t="s">
        <v>2377</v>
      </c>
      <c r="AF10" s="345">
        <v>18540000</v>
      </c>
      <c r="AG10" s="224"/>
      <c r="AH10" s="224" t="str">
        <f>IFERROR(Counterparty_listdeal[[#This Row],[CTPT]],"")</f>
        <v>VFS</v>
      </c>
      <c r="AI10" s="347">
        <f>IFERROR(Counterparty_listdeal[[#This Row],[Sum of Quantity]]/SUM(AF:AF),0)</f>
        <v>8.6046575470446543E-3</v>
      </c>
      <c r="AJ10" s="224"/>
      <c r="AK10" s="224"/>
      <c r="AP10" s="224"/>
      <c r="AQ10" s="745"/>
      <c r="AR10" s="224"/>
      <c r="AS10" s="743"/>
      <c r="AT10" s="563">
        <v>46209</v>
      </c>
      <c r="AU10" s="729" cm="1">
        <f t="array" ref="AU10">IFERROR(SUMPRODUCT(His_yield_bq[YTM_ON BS]%*His_yield_bq[ON BS]*(His_yield_bq[RptDate]=AT10))
*(AT10-AT9)/365,0)</f>
        <v>12.136255424439931</v>
      </c>
      <c r="AV10" s="729" cm="1">
        <f t="array" ref="AV10">IFERROR(SUMPRODUCT(His_funding_cost[Global amount]*His_funding_cost[Weighted rate]*(His_funding_cost[RptDate]=AT10))
/SUMIFS(His_funding_cost[Global amount],His_funding_cost[RptDate],AT10)
*_xlfn.XLOOKUP(AT10,His_yield_bq[RptDate],His_yield_bq[ON BS],,0)
*(AT10-AT9)/365,0)</f>
        <v>13.543510068479623</v>
      </c>
      <c r="AW10" s="729">
        <f t="shared" si="2"/>
        <v>-1.4072546440396927</v>
      </c>
      <c r="AY10" s="348" t="s">
        <v>984</v>
      </c>
      <c r="AZ10" s="577">
        <f>SUMIFS(RP_SEC!G:G,RP_SEC!Y:Y,AY10)/10^9+SUMIFS(TB_HTM[Amt],TB_HTM[Time hold (tenor)],AY10)/10^9</f>
        <v>50</v>
      </c>
      <c r="BA10" s="349">
        <f>SUMIFS(RP_SEC!N:N,RP_SEC!Y:Y,AY10)/10^9</f>
        <v>-6.8490000000000002</v>
      </c>
      <c r="BB10" s="586">
        <f>SUMIFS(RP_SEC!S:S,RP_SEC!Y:Y,AY10)/10^9+SUMIFS(TB_HTM[ItD],TB_HTM[Time hold (tenor)],AY10)/10^9</f>
        <v>-6.8600781281603416</v>
      </c>
      <c r="BC10" s="97"/>
      <c r="BD10" s="97"/>
      <c r="BE10" s="101" t="s">
        <v>1050</v>
      </c>
      <c r="BF10" s="158" t="s">
        <v>1064</v>
      </c>
      <c r="BG10" s="209" t="s">
        <v>1030</v>
      </c>
      <c r="BH10" s="209"/>
      <c r="BI10" s="209" t="s">
        <v>880</v>
      </c>
      <c r="BJ10" s="349">
        <f>SUMIFS(FNRP!AL:AL,FNRP!AI:AI,BI10)*100000/10^9+SUM(SUMIFS(TB_HTM[Amt],TB_HTM[Tenor],BI10))/10^9</f>
        <v>800</v>
      </c>
      <c r="BK10" s="379"/>
      <c r="BL10" s="362"/>
      <c r="BM10" s="101" t="s">
        <v>1069</v>
      </c>
      <c r="BN10" s="158" t="s">
        <v>1064</v>
      </c>
      <c r="BO10" s="209" t="s">
        <v>1030</v>
      </c>
      <c r="BP10" s="209"/>
      <c r="BQ10" s="209" t="s">
        <v>880</v>
      </c>
      <c r="BR10" s="227">
        <f>SUMIFS(FNRP!M:M,FNRP!AI:AI,BQ10)/10^9+SUMIFS(TB_HTM[Market Value FNRP],TB_HTM[Tenor],BQ10)/10^9</f>
        <v>752.67099999999994</v>
      </c>
      <c r="BS10" s="234"/>
      <c r="BU10" s="101" t="s">
        <v>735</v>
      </c>
      <c r="BV10" s="158" t="s">
        <v>1064</v>
      </c>
      <c r="BW10" s="209" t="s">
        <v>1030</v>
      </c>
      <c r="BX10" s="158"/>
      <c r="BY10" s="158" t="s">
        <v>879</v>
      </c>
      <c r="BZ10" s="350" cm="1">
        <f t="array" ref="BZ10">IFERROR(SUMPRODUCT(Tradingbook_MSB[Duration_edited]*Tradingbook_MSB[MARKET_VALUE]*(Tradingbook_MSB[Tenor]=BY10))/SUMIFS(FNRP!M:M,FNRP!AI:AI,BY10),0)</f>
        <v>2.73504039</v>
      </c>
      <c r="CA10" s="351"/>
      <c r="CC10" s="101" t="s">
        <v>852</v>
      </c>
      <c r="CD10" s="158" t="s">
        <v>1064</v>
      </c>
      <c r="CE10" s="209" t="s">
        <v>1030</v>
      </c>
      <c r="CF10" s="158"/>
      <c r="CG10" s="209" t="s">
        <v>882</v>
      </c>
      <c r="CH10" s="221">
        <f>SUMIFS(FNRP!AP:AP,FNRP!$AI:$AI,'Phan tich_TB'!CG10)/10^9+SUMIFS(TB_HTM[PV01],TB_HTM[Tenor],'Phan tich_TB'!CG10)</f>
        <v>-2.7052413482364508</v>
      </c>
      <c r="CJ10" s="825"/>
      <c r="CK10" s="330" t="s">
        <v>2833</v>
      </c>
      <c r="CL10" s="352"/>
      <c r="CM10" s="353"/>
      <c r="CN10" s="354"/>
      <c r="CO10" s="352"/>
      <c r="CP10" s="237"/>
      <c r="DJ10" s="209" t="s">
        <v>1050</v>
      </c>
      <c r="DK10" s="158" t="s">
        <v>1064</v>
      </c>
      <c r="DL10" s="209" t="s">
        <v>1030</v>
      </c>
      <c r="DM10" s="209" t="s">
        <v>885</v>
      </c>
      <c r="DN10" s="216">
        <f>SUM(SUMIFS(FNRP!$DU:$DU,FNRP!$DR:$DR,DM10))*100000/10^9</f>
        <v>0</v>
      </c>
      <c r="DO10" s="58"/>
      <c r="DP10" s="58"/>
      <c r="DQ10" s="209" t="s">
        <v>3686</v>
      </c>
      <c r="DR10" s="209"/>
      <c r="DS10" s="216">
        <f>SUM(RP_SEC!BS:BS)/10^9</f>
        <v>-200.98871119005702</v>
      </c>
      <c r="DT10" s="58"/>
      <c r="DU10" s="58"/>
      <c r="DV10" s="209" t="s">
        <v>1069</v>
      </c>
      <c r="DW10" s="209" t="s">
        <v>885</v>
      </c>
      <c r="DX10" s="227">
        <f>SUMIFS(FNRP!CW:CW,FNRP!DR:DR,DW10)/10^9</f>
        <v>0</v>
      </c>
      <c r="EA10" s="209" t="s">
        <v>1071</v>
      </c>
      <c r="EB10" s="209" t="s">
        <v>884</v>
      </c>
      <c r="EC10" s="216">
        <f>IFERROR(SUMPRODUCT(Tradingbook_SBV[Modified Duration]*Tradingbook_SBV[MARKET_VALUE]*(Tradingbook_SBV[Tenor]=EB10))/SUMIFS(Tradingbook_SBV[MARKET_VALUE],Tradingbook_SBV[Tenor],EB10),0)</f>
        <v>9</v>
      </c>
      <c r="ED10" s="54"/>
      <c r="EF10" s="209" t="s">
        <v>852</v>
      </c>
      <c r="EG10" s="209" t="s">
        <v>883</v>
      </c>
      <c r="EH10" s="355">
        <f>SUMIFS(FNRP!DY:DY,FNRP!$DR:$DR,'Phan tich_TB'!EG10)/10^9</f>
        <v>-1.1383127481100002</v>
      </c>
    </row>
    <row r="11" spans="1:145" x14ac:dyDescent="0.3">
      <c r="B11" s="356" t="s">
        <v>881</v>
      </c>
      <c r="C11" s="237">
        <f>VLOOKUP(B11,Yield[[Tenor]:[Average]],2,0)</f>
        <v>4.2380000000000004</v>
      </c>
      <c r="D11" s="376">
        <f>VLOOKUP(B11,Yield_yesterday[[Tenor]:[Average]],2,0)</f>
        <v>4.2480000000000002</v>
      </c>
      <c r="E11" s="376">
        <f>VLOOKUP(B11,'His53'!$N$37:$O$51,2,0)</f>
        <v>4.2140000000000004</v>
      </c>
      <c r="F11" s="376">
        <f>VLOOKUP(B11,Yield_lastyear[[Tenor]:[Average]],2,0)</f>
        <v>3.254</v>
      </c>
      <c r="I11" s="340" t="s">
        <v>876</v>
      </c>
      <c r="J11" s="340" t="s">
        <v>1032</v>
      </c>
      <c r="K11" s="341" t="s">
        <v>2936</v>
      </c>
      <c r="L11" s="341" t="s">
        <v>2937</v>
      </c>
      <c r="M11" s="341" t="s">
        <v>2755</v>
      </c>
      <c r="P11" s="356" t="s">
        <v>886</v>
      </c>
      <c r="Q11" s="360">
        <f>SUMIFS(Data53_PV01[Actual],Data53_PV01[RptDate],Runtool!$C$3,Data53_PV01[Tenor_Value],'Phan tich_TB'!P11)</f>
        <v>0</v>
      </c>
      <c r="R11" s="361">
        <f t="shared" si="0"/>
        <v>0</v>
      </c>
      <c r="S11" s="361">
        <f t="shared" si="1"/>
        <v>0</v>
      </c>
      <c r="U11" s="362"/>
      <c r="V11" s="363" t="s">
        <v>1043</v>
      </c>
      <c r="W11" s="535">
        <v>46296</v>
      </c>
      <c r="X11" s="364"/>
      <c r="AA11" s="209" t="s">
        <v>886</v>
      </c>
      <c r="AB11" s="221">
        <f>SUMIFS('Deal ps'!L:L,'Deal ps'!D:D,"B",'Deal ps'!AD:AD,"Trading",'Deal ps'!AC:AC,'Phan tich_TB'!AA11)/10^4-SUMIFS('Deal ps'!L:L,'Deal ps'!D:D,"S",'Deal ps'!AD:AD,"Trading",'Deal ps'!AC:AC,'Phan tich_TB'!AA11)/10^4</f>
        <v>0</v>
      </c>
      <c r="AC11" s="224"/>
      <c r="AD11" s="344"/>
      <c r="AE11" s="345" t="s">
        <v>2378</v>
      </c>
      <c r="AF11" s="345">
        <v>1800000</v>
      </c>
      <c r="AG11" s="224"/>
      <c r="AH11" s="224" t="str">
        <f>IFERROR(Counterparty_listdeal[[#This Row],[CTPT]],"")</f>
        <v>TC_DIENLUC</v>
      </c>
      <c r="AI11" s="347">
        <f>IFERROR(Counterparty_listdeal[[#This Row],[Sum of Quantity]]/SUM(AF:AF),0)</f>
        <v>8.3540364534414116E-4</v>
      </c>
      <c r="AJ11" s="224"/>
      <c r="AK11" s="224"/>
      <c r="AP11" s="224"/>
      <c r="AQ11" s="745"/>
      <c r="AR11" s="224"/>
      <c r="AS11" s="743"/>
      <c r="AT11" s="563">
        <v>46210</v>
      </c>
      <c r="AU11" s="729" cm="1">
        <f t="array" ref="AU11">IFERROR(SUMPRODUCT(His_yield_bq[YTM_ON BS]%*His_yield_bq[ON BS]*(His_yield_bq[RptDate]=AT11))
*(AT11-AT10)/365,0)</f>
        <v>3.9113228528692914</v>
      </c>
      <c r="AV11" s="729" cm="1">
        <f t="array" ref="AV11">IFERROR(SUMPRODUCT(His_funding_cost[Global amount]*His_funding_cost[Weighted rate]*(His_funding_cost[RptDate]=AT11))
/SUMIFS(His_funding_cost[Global amount],His_funding_cost[RptDate],AT11)
*_xlfn.XLOOKUP(AT11,His_yield_bq[RptDate],His_yield_bq[ON BS],,0)
*(AT11-AT10)/365,0)</f>
        <v>4.398133037156299</v>
      </c>
      <c r="AW11" s="729">
        <f t="shared" si="2"/>
        <v>-0.48681018428700762</v>
      </c>
      <c r="AY11" s="348" t="s">
        <v>2880</v>
      </c>
      <c r="AZ11" s="577">
        <f>SUMIFS(RP_SEC!G:G,RP_SEC!Y:Y,AY11)/10^9+SUMIFS(TB_HTM[Amt],TB_HTM[Time hold (tenor)],AY11)/10^9</f>
        <v>1816</v>
      </c>
      <c r="BA11" s="349">
        <f>SUMIFS(RP_SEC!N:N,RP_SEC!Y:Y,AY11)/10^9</f>
        <v>-140.4384</v>
      </c>
      <c r="BB11" s="586">
        <f>SUMIFS(RP_SEC!S:S,RP_SEC!Y:Y,AY11)/10^9+SUMIFS(TB_HTM[ItD],TB_HTM[Time hold (tenor)],AY11)/10^9</f>
        <v>-140.79631898959434</v>
      </c>
      <c r="BC11" s="97"/>
      <c r="BD11" s="97"/>
      <c r="BE11" s="101" t="s">
        <v>1050</v>
      </c>
      <c r="BF11" s="158" t="s">
        <v>1064</v>
      </c>
      <c r="BG11" s="209" t="s">
        <v>1030</v>
      </c>
      <c r="BH11" s="209"/>
      <c r="BI11" s="209" t="s">
        <v>881</v>
      </c>
      <c r="BJ11" s="349">
        <f>SUMIFS(FNRP!AL:AL,FNRP!AI:AI,BI11)*100000/10^9++SUM(SUMIFS(TB_HTM[Amt],TB_HTM[Tenor],BI11))/10^9</f>
        <v>110</v>
      </c>
      <c r="BK11" s="379"/>
      <c r="BL11" s="362"/>
      <c r="BM11" s="101" t="s">
        <v>1069</v>
      </c>
      <c r="BN11" s="158" t="s">
        <v>1064</v>
      </c>
      <c r="BO11" s="209" t="s">
        <v>1030</v>
      </c>
      <c r="BP11" s="209"/>
      <c r="BQ11" s="209" t="s">
        <v>881</v>
      </c>
      <c r="BR11" s="227">
        <f>SUMIFS(FNRP!M:M,FNRP!AI:AI,BQ11)/10^9+SUMIFS(TB_HTM[Market Value FNRP],TB_HTM[Tenor],BQ11)/10^9</f>
        <v>112.3805</v>
      </c>
      <c r="BS11" s="234"/>
      <c r="BU11" s="101" t="s">
        <v>735</v>
      </c>
      <c r="BV11" s="158" t="s">
        <v>1064</v>
      </c>
      <c r="BW11" s="209" t="s">
        <v>1030</v>
      </c>
      <c r="BX11" s="158"/>
      <c r="BY11" s="158" t="s">
        <v>880</v>
      </c>
      <c r="BZ11" s="350" cm="1">
        <f t="array" ref="BZ11">IFERROR(SUMPRODUCT(Tradingbook_MSB[Duration_edited]*Tradingbook_MSB[MARKET_VALUE]*(Tradingbook_MSB[Tenor]=BY11))/SUMIFS(FNRP!M:M,FNRP!AI:AI,BY11),0)</f>
        <v>3.9466129283957145</v>
      </c>
      <c r="CA11" s="351"/>
      <c r="CC11" s="101" t="s">
        <v>852</v>
      </c>
      <c r="CD11" s="158" t="s">
        <v>1064</v>
      </c>
      <c r="CE11" s="209" t="s">
        <v>1030</v>
      </c>
      <c r="CF11" s="158"/>
      <c r="CG11" s="209" t="s">
        <v>883</v>
      </c>
      <c r="CH11" s="221">
        <f>SUMIFS(FNRP!AP:AP,FNRP!$AI:$AI,'Phan tich_TB'!CG11)/10^9+SUMIFS(TB_HTM[PV01],TB_HTM[Tenor],'Phan tich_TB'!CG11)</f>
        <v>-4.1404800069412619</v>
      </c>
      <c r="CJ11" s="825" t="s">
        <v>2927</v>
      </c>
      <c r="CK11" s="330" t="s">
        <v>2832</v>
      </c>
      <c r="CL11" s="352"/>
      <c r="CM11" s="369"/>
      <c r="CN11" s="370"/>
      <c r="CO11" s="371"/>
      <c r="CP11" s="227"/>
      <c r="DJ11" s="209" t="s">
        <v>1050</v>
      </c>
      <c r="DK11" s="158" t="s">
        <v>1064</v>
      </c>
      <c r="DL11" s="209" t="s">
        <v>1030</v>
      </c>
      <c r="DM11" s="209" t="s">
        <v>886</v>
      </c>
      <c r="DN11" s="216">
        <f>SUM(SUMIFS(FNRP!$DU:$DU,FNRP!$DR:$DR,DM11))*100000/10^9</f>
        <v>0</v>
      </c>
      <c r="DO11" s="58"/>
      <c r="DP11" s="58"/>
      <c r="DQ11" s="209" t="s">
        <v>2207</v>
      </c>
      <c r="DR11" s="209"/>
      <c r="DS11" s="216">
        <f>SUM(RP_SEC!BN:BN)/10^9</f>
        <v>-200.24600000000001</v>
      </c>
      <c r="DT11" s="58"/>
      <c r="DU11" s="58"/>
      <c r="DV11" s="209" t="s">
        <v>1069</v>
      </c>
      <c r="DW11" s="209" t="s">
        <v>886</v>
      </c>
      <c r="DX11" s="227">
        <f>SUMIFS(FNRP!CW:CW,FNRP!DR:DR,DW11)/10^9</f>
        <v>0</v>
      </c>
      <c r="EA11" s="209" t="s">
        <v>1071</v>
      </c>
      <c r="EB11" s="209" t="s">
        <v>885</v>
      </c>
      <c r="EC11" s="216">
        <f>IFERROR(SUMPRODUCT(Tradingbook_SBV[Modified Duration]*Tradingbook_SBV[MARKET_VALUE]*(Tradingbook_SBV[Tenor]=EB11))/SUMIFS(Tradingbook_SBV[MARKET_VALUE],Tradingbook_SBV[Tenor],EB11),0)</f>
        <v>0</v>
      </c>
      <c r="ED11" s="54"/>
      <c r="EF11" s="209" t="s">
        <v>852</v>
      </c>
      <c r="EG11" s="209" t="s">
        <v>884</v>
      </c>
      <c r="EH11" s="355">
        <f>SUMIFS(FNRP!DY:DY,FNRP!$DR:$DR,'Phan tich_TB'!EG11)/10^9</f>
        <v>-0.39959547869000006</v>
      </c>
    </row>
    <row r="12" spans="1:145" ht="16.100000000000001" x14ac:dyDescent="0.3">
      <c r="B12" s="356" t="s">
        <v>882</v>
      </c>
      <c r="C12" s="237">
        <f>VLOOKUP(B12,Yield[[Tenor]:[Average]],2,0)</f>
        <v>4.3090000000000002</v>
      </c>
      <c r="D12" s="376">
        <f>VLOOKUP(B12,Yield_yesterday[[Tenor]:[Average]],2,0)</f>
        <v>4.3109999999999999</v>
      </c>
      <c r="E12" s="376">
        <f>VLOOKUP(B12,'His53'!$N$37:$O$51,2,0)</f>
        <v>4.2690000000000001</v>
      </c>
      <c r="F12" s="376">
        <f>VLOOKUP(B12,Yield_lastyear[[Tenor]:[Average]],2,0)</f>
        <v>3.4950000000000001</v>
      </c>
      <c r="I12" s="381"/>
      <c r="J12" s="376">
        <f>SUMIFS(FNRP!P:P,FNRP!AI:AI,'Phan tich_TB'!I12)/10^9</f>
        <v>4730.8286776000004</v>
      </c>
      <c r="K12" s="376">
        <f>SUMIFS(FNRP!$Z:$Z,FNRP!$AI:$AI,'Phan tich_TB'!I12)/10^9</f>
        <v>2161.0785716125806</v>
      </c>
      <c r="L12" s="376">
        <f>SUMIFS(FNRP!$AA:$AA,FNRP!$AI:$AI,'Phan tich_TB'!I12)/10^9</f>
        <v>0</v>
      </c>
      <c r="M12" s="376">
        <f t="shared" ref="M12:M22" si="3">K12+L12</f>
        <v>2161.0785716125806</v>
      </c>
      <c r="N12" s="382"/>
      <c r="O12" s="362"/>
      <c r="Q12" s="362"/>
      <c r="S12" s="383">
        <f>SUM(S2:S11)</f>
        <v>2.8023345594598927</v>
      </c>
      <c r="U12" s="362"/>
      <c r="V12" s="363" t="s">
        <v>2204</v>
      </c>
      <c r="W12" s="535">
        <v>46327</v>
      </c>
      <c r="X12" s="364"/>
      <c r="AC12" s="224"/>
      <c r="AE12" s="345" t="s">
        <v>2372</v>
      </c>
      <c r="AF12" s="345">
        <v>1500</v>
      </c>
      <c r="AG12" s="224"/>
      <c r="AH12" s="367" t="s">
        <v>2172</v>
      </c>
      <c r="AI12" s="347">
        <f>1-SUM(AI2:AI11)</f>
        <v>6.9616970455044225E-7</v>
      </c>
      <c r="AJ12" s="224"/>
      <c r="AK12" s="224"/>
      <c r="AP12" s="224"/>
      <c r="AQ12" s="745"/>
      <c r="AR12" s="224"/>
      <c r="AS12" s="743"/>
      <c r="AT12" s="563">
        <v>46211</v>
      </c>
      <c r="AU12" s="729" cm="1">
        <f t="array" ref="AU12">IFERROR(SUMPRODUCT(His_yield_bq[YTM_ON BS]%*His_yield_bq[ON BS]*(His_yield_bq[RptDate]=AT12))
*(AT12-AT11)/365,0)</f>
        <v>3.9803060036084545</v>
      </c>
      <c r="AV12" s="729" cm="1">
        <f t="array" ref="AV12">IFERROR(SUMPRODUCT(His_funding_cost[Global amount]*His_funding_cost[Weighted rate]*(His_funding_cost[RptDate]=AT12))
/SUMIFS(His_funding_cost[Global amount],His_funding_cost[RptDate],AT12)
*_xlfn.XLOOKUP(AT12,His_yield_bq[RptDate],His_yield_bq[ON BS],,0)
*(AT12-AT11)/365,0)</f>
        <v>4.4918033883870079</v>
      </c>
      <c r="AW12" s="729">
        <f t="shared" si="2"/>
        <v>-0.51149738477855333</v>
      </c>
      <c r="AY12" s="348" t="s">
        <v>915</v>
      </c>
      <c r="AZ12" s="577">
        <f>SUMIFS(RP_SEC!G:G,RP_SEC!Y:Y,AY12)/10^9+SUMIFS(TB_HTM[Amt],TB_HTM[Time hold (tenor)],AY12)/10^9</f>
        <v>1700</v>
      </c>
      <c r="BA12" s="349">
        <f>SUMIFS(RP_SEC!N:N,RP_SEC!Y:Y,AY12)/10^9</f>
        <v>-141.46350000000001</v>
      </c>
      <c r="BB12" s="586">
        <f>SUMIFS(RP_SEC!S:S,RP_SEC!Y:Y,AY12)/10^9+SUMIFS(TB_HTM[ItD],TB_HTM[Time hold (tenor)],AY12)/10^9</f>
        <v>-140.96000274610157</v>
      </c>
      <c r="BC12" s="97"/>
      <c r="BD12" s="224"/>
      <c r="BE12" s="101" t="s">
        <v>1050</v>
      </c>
      <c r="BF12" s="158" t="s">
        <v>1064</v>
      </c>
      <c r="BG12" s="209" t="s">
        <v>1030</v>
      </c>
      <c r="BH12" s="209"/>
      <c r="BI12" s="209" t="s">
        <v>882</v>
      </c>
      <c r="BJ12" s="349">
        <f>SUMIFS(FNRP!AL:AL,FNRP!AI:AI,BI12)*100000/10^9+SUM(SUMIFS(TB_HTM[Amt],TB_HTM[Tenor],BI12))/10^9</f>
        <v>4794</v>
      </c>
      <c r="BK12" s="379"/>
      <c r="BL12" s="362"/>
      <c r="BM12" s="101" t="s">
        <v>1069</v>
      </c>
      <c r="BN12" s="158" t="s">
        <v>1064</v>
      </c>
      <c r="BO12" s="209" t="s">
        <v>1030</v>
      </c>
      <c r="BP12" s="209"/>
      <c r="BQ12" s="209" t="s">
        <v>882</v>
      </c>
      <c r="BR12" s="227">
        <f>SUMIFS(FNRP!M:M,FNRP!AI:AI,BQ12)/10^9+SUMIFS(TB_HTM[Market Value FNRP],TB_HTM[Tenor],BQ12)/10^9</f>
        <v>4497.2797399999999</v>
      </c>
      <c r="BS12" s="234"/>
      <c r="BU12" s="101" t="s">
        <v>735</v>
      </c>
      <c r="BV12" s="158" t="s">
        <v>1064</v>
      </c>
      <c r="BW12" s="209" t="s">
        <v>1030</v>
      </c>
      <c r="BX12" s="158"/>
      <c r="BY12" s="158" t="s">
        <v>881</v>
      </c>
      <c r="BZ12" s="350" cm="1">
        <f t="array" ref="BZ12">IFERROR(SUMPRODUCT(Tradingbook_MSB[Duration_edited]*Tradingbook_MSB[MARKET_VALUE]*(Tradingbook_MSB[Tenor]=BY12))/SUMIFS(FNRP!M:M,FNRP!AI:AI,BY12),0)</f>
        <v>4.2417935786841303</v>
      </c>
      <c r="CA12" s="351"/>
      <c r="CC12" s="101" t="s">
        <v>852</v>
      </c>
      <c r="CD12" s="158" t="s">
        <v>1064</v>
      </c>
      <c r="CE12" s="209" t="s">
        <v>1030</v>
      </c>
      <c r="CF12" s="158"/>
      <c r="CG12" s="209" t="s">
        <v>884</v>
      </c>
      <c r="CH12" s="221">
        <f>SUMIFS(FNRP!AP:AP,FNRP!$AI:$AI,'Phan tich_TB'!CG12)/10^9+SUMIFS(TB_HTM[PV01],TB_HTM[Tenor],'Phan tich_TB'!CG12)</f>
        <v>-3.363577214908553</v>
      </c>
      <c r="CJ12" s="825"/>
      <c r="CK12" s="330" t="s">
        <v>2833</v>
      </c>
      <c r="CL12" s="352"/>
      <c r="CM12" s="369"/>
      <c r="CN12" s="370"/>
      <c r="CO12" s="372"/>
      <c r="CP12" s="227"/>
      <c r="DJ12" s="58"/>
      <c r="DK12" s="54"/>
      <c r="DL12" s="58"/>
      <c r="DM12" s="58"/>
      <c r="DN12" s="121"/>
      <c r="DO12" s="58"/>
      <c r="DP12" s="58"/>
      <c r="DR12" s="58"/>
      <c r="DS12" s="58"/>
      <c r="DT12" s="58"/>
      <c r="DU12" s="58"/>
      <c r="DW12" s="58"/>
      <c r="DX12" s="121"/>
      <c r="DY12" s="58"/>
      <c r="EA12" s="209" t="s">
        <v>1071</v>
      </c>
      <c r="EB12" s="209" t="s">
        <v>886</v>
      </c>
      <c r="EC12" s="216">
        <f>IFERROR(SUMPRODUCT(Tradingbook_SBV[Modified Duration]*Tradingbook_SBV[MARKET_VALUE]*(Tradingbook_SBV[Tenor]=EB12))/SUMIFS(Tradingbook_SBV[MARKET_VALUE],Tradingbook_SBV[Tenor],EB12),0)</f>
        <v>0</v>
      </c>
      <c r="ED12" s="54"/>
      <c r="EF12" s="209" t="s">
        <v>852</v>
      </c>
      <c r="EG12" s="209" t="s">
        <v>885</v>
      </c>
      <c r="EH12" s="355">
        <f>SUMIFS(FNRP!DY:DY,FNRP!$DR:$DR,'Phan tich_TB'!EG12)/10^9</f>
        <v>0</v>
      </c>
    </row>
    <row r="13" spans="1:145" ht="16.100000000000001" x14ac:dyDescent="0.3">
      <c r="B13" s="356" t="s">
        <v>883</v>
      </c>
      <c r="C13" s="237">
        <f>VLOOKUP(B13,Yield[[Tenor]:[Average]],2,0)</f>
        <v>4.4480000000000004</v>
      </c>
      <c r="D13" s="376">
        <f>VLOOKUP(B13,Yield_yesterday[[Tenor]:[Average]],2,0)</f>
        <v>4.4530000000000003</v>
      </c>
      <c r="E13" s="376">
        <f>VLOOKUP(B13,'His53'!$N$37:$O$51,2,0)</f>
        <v>4.41</v>
      </c>
      <c r="F13" s="376">
        <f>VLOOKUP(B13,Yield_lastyear[[Tenor]:[Average]],2,0)</f>
        <v>4.04</v>
      </c>
      <c r="I13" s="356" t="s">
        <v>877</v>
      </c>
      <c r="J13" s="376" cm="1">
        <f t="array" ref="J13">SUM(SUMIFS(FNRP!P:P,FNRP!AI:AI,{"3M","6M","1Y"}))/10^9</f>
        <v>751.66700000000003</v>
      </c>
      <c r="K13" s="376" cm="1">
        <f t="array" ref="K13">SUM(SUMIFS(FNRP!Z:Z,FNRP!AI:AI,{"3M","6M","1Y"}))/10^9</f>
        <v>525.02187024128671</v>
      </c>
      <c r="L13" s="376">
        <f>SUM(SUMIFS(FNRP!$AA:$AA,FNRP!$AI:$AI,{"3M","6M","1Y"}))/10^9</f>
        <v>-8.727710241286843</v>
      </c>
      <c r="M13" s="376">
        <f t="shared" si="3"/>
        <v>516.29415999999992</v>
      </c>
      <c r="N13" s="382"/>
      <c r="O13" s="362"/>
      <c r="R13" s="219" t="s">
        <v>2729</v>
      </c>
      <c r="S13" s="383">
        <f>SUMIFS('Deal ps'!AM:AM,'Deal ps'!AD:AD,"Trading",'Deal ps'!U:U,RPT)/10^9</f>
        <v>-95.287880000000001</v>
      </c>
      <c r="V13" s="363" t="s">
        <v>2205</v>
      </c>
      <c r="W13" s="535">
        <v>46357</v>
      </c>
      <c r="X13" s="364"/>
      <c r="AC13" s="224"/>
      <c r="AG13" s="224"/>
      <c r="AH13" s="224"/>
      <c r="AI13" s="347"/>
      <c r="AJ13" s="224"/>
      <c r="AK13" s="224"/>
      <c r="AP13" s="224"/>
      <c r="AQ13" s="745"/>
      <c r="AR13" s="224"/>
      <c r="AS13" s="743"/>
      <c r="AT13" s="563">
        <v>46212</v>
      </c>
      <c r="AU13" s="729" cm="1">
        <f t="array" ref="AU13">IFERROR(SUMPRODUCT(His_yield_bq[YTM_ON BS]%*His_yield_bq[ON BS]*(His_yield_bq[RptDate]=AT13))
*(AT13-AT12)/365,0)</f>
        <v>3.957479565224967</v>
      </c>
      <c r="AV13" s="729" cm="1">
        <f t="array" ref="AV13">IFERROR(SUMPRODUCT(His_funding_cost[Global amount]*His_funding_cost[Weighted rate]*(His_funding_cost[RptDate]=AT13))
/SUMIFS(His_funding_cost[Global amount],His_funding_cost[RptDate],AT13)
*_xlfn.XLOOKUP(AT13,His_yield_bq[RptDate],His_yield_bq[ON BS],,0)
*(AT13-AT12)/365,0)</f>
        <v>4.4802030348795769</v>
      </c>
      <c r="AW13" s="729">
        <f t="shared" si="2"/>
        <v>-0.52272346965460992</v>
      </c>
      <c r="AY13" s="348" t="s">
        <v>917</v>
      </c>
      <c r="AZ13" s="577">
        <f>SUMIFS(RP_SEC!G:G,RP_SEC!Y:Y,AY13)/10^9+SUMIFS(TB_HTM[Amt],TB_HTM[Time hold (tenor)],AY13)/10^9</f>
        <v>1050</v>
      </c>
      <c r="BA13" s="349">
        <f>SUMIFS(RP_SEC!N:N,RP_SEC!Y:Y,AY13)/10^9</f>
        <v>-79.177000000000007</v>
      </c>
      <c r="BB13" s="586">
        <f>SUMIFS(RP_SEC!S:S,RP_SEC!Y:Y,AY13)/10^9+SUMIFS(TB_HTM[ItD],TB_HTM[Time hold (tenor)],AY13)/10^9</f>
        <v>-81.103425308112421</v>
      </c>
      <c r="BC13" s="97"/>
      <c r="BD13" s="224"/>
      <c r="BE13" s="101" t="s">
        <v>1050</v>
      </c>
      <c r="BF13" s="158" t="s">
        <v>1064</v>
      </c>
      <c r="BG13" s="209" t="s">
        <v>1030</v>
      </c>
      <c r="BH13" s="209"/>
      <c r="BI13" s="209" t="s">
        <v>883</v>
      </c>
      <c r="BJ13" s="349">
        <f>SUMIFS(FNRP!AL:AL,FNRP!AI:AI,BI13)*100000/10^9+SUM(SUMIFS(TB_HTM[Amt],TB_HTM[Tenor],BI13))/10^9</f>
        <v>6487</v>
      </c>
      <c r="BK13" s="379"/>
      <c r="BL13" s="362"/>
      <c r="BM13" s="101" t="s">
        <v>1069</v>
      </c>
      <c r="BN13" s="158" t="s">
        <v>1064</v>
      </c>
      <c r="BO13" s="209" t="s">
        <v>1030</v>
      </c>
      <c r="BP13" s="209"/>
      <c r="BQ13" s="209" t="s">
        <v>883</v>
      </c>
      <c r="BR13" s="227">
        <f>SUMIFS(FNRP!M:M,FNRP!AI:AI,BQ13)/10^9+SUMIFS(TB_HTM[Market Value FNRP],TB_HTM[Tenor],BQ13)/10^9</f>
        <v>5858.7255800000003</v>
      </c>
      <c r="BS13" s="234"/>
      <c r="BU13" s="101" t="s">
        <v>735</v>
      </c>
      <c r="BV13" s="158" t="s">
        <v>1064</v>
      </c>
      <c r="BW13" s="209" t="s">
        <v>1030</v>
      </c>
      <c r="BX13" s="158"/>
      <c r="BY13" s="158" t="s">
        <v>882</v>
      </c>
      <c r="BZ13" s="350" cm="1">
        <f t="array" ref="BZ13">IFERROR(SUMPRODUCT(Tradingbook_MSB[Duration_edited]*Tradingbook_MSB[MARKET_VALUE]*(Tradingbook_MSB[Tenor]=BY13))/SUMIFS(FNRP!M:M,FNRP!AI:AI,BY13),0)</f>
        <v>6.0864604757043743</v>
      </c>
      <c r="CA13" s="351"/>
      <c r="CC13" s="101" t="s">
        <v>852</v>
      </c>
      <c r="CD13" s="158" t="s">
        <v>1064</v>
      </c>
      <c r="CE13" s="209" t="s">
        <v>1030</v>
      </c>
      <c r="CF13" s="158"/>
      <c r="CG13" s="209" t="s">
        <v>885</v>
      </c>
      <c r="CH13" s="221">
        <f>SUMIFS(FNRP!AP:AP,FNRP!$AI:$AI,'Phan tich_TB'!CG13)/10^9+SUMIFS(TB_HTM[PV01],TB_HTM[Tenor],'Phan tich_TB'!CG13)</f>
        <v>0</v>
      </c>
      <c r="CP13" s="374" cm="1">
        <f t="array" ref="CP13">MAX(ABS(CP9:CP12))</f>
        <v>0</v>
      </c>
      <c r="DR13" s="58"/>
      <c r="DS13" s="58"/>
      <c r="DT13" s="58"/>
      <c r="EA13" s="209" t="s">
        <v>854</v>
      </c>
      <c r="EB13" s="222" t="s">
        <v>1030</v>
      </c>
      <c r="EC13" s="335">
        <f>IFERROR((SUMPRODUCT(Tradingbook_SBV[Conv],Tradingbook_SBV[MARKET_VALUE])/SUM(Tradingbook_SBV[MARKET_VALUE])),0)</f>
        <v>68.19766743605409</v>
      </c>
      <c r="ED13" s="58"/>
      <c r="EF13" s="209" t="s">
        <v>852</v>
      </c>
      <c r="EG13" s="209" t="s">
        <v>886</v>
      </c>
      <c r="EH13" s="355">
        <f>SUMIFS(FNRP!DY:DY,FNRP!$DR:$DR,'Phan tich_TB'!EG13)/10^9</f>
        <v>0</v>
      </c>
    </row>
    <row r="14" spans="1:145" ht="16.100000000000001" x14ac:dyDescent="0.3">
      <c r="B14" s="356" t="s">
        <v>884</v>
      </c>
      <c r="C14" s="237">
        <f>VLOOKUP(B14,Yield[[Tenor]:[Average]],2,0)</f>
        <v>4.5780000000000003</v>
      </c>
      <c r="D14" s="376">
        <f>VLOOKUP(B14,Yield_yesterday[[Tenor]:[Average]],2,0)</f>
        <v>4.5780000000000003</v>
      </c>
      <c r="E14" s="376">
        <f>VLOOKUP(B14,'His53'!$N$37:$O$51,2,0)</f>
        <v>4.5780000000000003</v>
      </c>
      <c r="F14" s="376">
        <f>VLOOKUP(B14,Yield_lastyear[[Tenor]:[Average]],2,0)</f>
        <v>4.1079999999999997</v>
      </c>
      <c r="I14" s="356" t="s">
        <v>878</v>
      </c>
      <c r="J14" s="376">
        <f>SUMIFS(FNRP!P:P,FNRP!AI:AI,'Phan tich_TB'!I14)/10^9</f>
        <v>151.69999999999999</v>
      </c>
      <c r="K14" s="376">
        <f>SUMIFS(FNRP!$Z:$Z,FNRP!$AI:$AI,'Phan tich_TB'!I14)/10^9</f>
        <v>142.13564999999903</v>
      </c>
      <c r="L14" s="376">
        <f>SUMIFS(FNRP!$AA:$AA,FNRP!$AI:$AI,'Phan tich_TB'!I14)/10^9</f>
        <v>0</v>
      </c>
      <c r="M14" s="376">
        <f t="shared" si="3"/>
        <v>142.13564999999903</v>
      </c>
      <c r="N14" s="382"/>
      <c r="O14" s="362"/>
      <c r="R14" s="331" t="s">
        <v>1034</v>
      </c>
      <c r="S14" s="383">
        <f>S12+S13</f>
        <v>-92.485545440540108</v>
      </c>
      <c r="AC14" s="224"/>
      <c r="AG14" s="224"/>
      <c r="AH14" s="224"/>
      <c r="AI14" s="347"/>
      <c r="AJ14" s="224"/>
      <c r="AK14" s="224"/>
      <c r="AP14" s="224"/>
      <c r="AQ14" s="745"/>
      <c r="AR14" s="224"/>
      <c r="AS14" s="743"/>
      <c r="AT14" s="563">
        <v>46213</v>
      </c>
      <c r="AU14" s="729" cm="1">
        <f t="array" ref="AU14">IFERROR(SUMPRODUCT(His_yield_bq[YTM_ON BS]%*His_yield_bq[ON BS]*(His_yield_bq[RptDate]=AT14))
*(AT14-AT13)/365,0)</f>
        <v>4.1312799761206991</v>
      </c>
      <c r="AV14" s="729" cm="1">
        <f t="array" ref="AV14">IFERROR(SUMPRODUCT(His_funding_cost[Global amount]*His_funding_cost[Weighted rate]*(His_funding_cost[RptDate]=AT14))
/SUMIFS(His_funding_cost[Global amount],His_funding_cost[RptDate],AT14)
*_xlfn.XLOOKUP(AT14,His_yield_bq[RptDate],His_yield_bq[ON BS],,0)
*(AT14-AT13)/365,0)</f>
        <v>4.662011295875784</v>
      </c>
      <c r="AW14" s="729">
        <f t="shared" si="2"/>
        <v>-0.53073131975508492</v>
      </c>
      <c r="AY14" s="348" t="s">
        <v>983</v>
      </c>
      <c r="AZ14" s="577">
        <f>SUMIFS(RP_SEC!G:G,RP_SEC!Y:Y,AY14)/10^9+SUMIFS(TB_HTM[Amt],TB_HTM[Time hold (tenor)],AY14)/10^9</f>
        <v>1539</v>
      </c>
      <c r="BA14" s="349">
        <f>SUMIFS(RP_SEC!N:N,RP_SEC!Y:Y,AY14)/10^9</f>
        <v>-47.575560000000003</v>
      </c>
      <c r="BB14" s="586">
        <f>SUMIFS(RP_SEC!S:S,RP_SEC!Y:Y,AY14)/10^9+SUMIFS(TB_HTM[ItD],TB_HTM[Time hold (tenor)],AY14)/10^9</f>
        <v>-144.85234510319532</v>
      </c>
      <c r="BC14" s="97"/>
      <c r="BD14" s="224"/>
      <c r="BE14" s="101" t="s">
        <v>1050</v>
      </c>
      <c r="BF14" s="158" t="s">
        <v>1064</v>
      </c>
      <c r="BG14" s="209" t="s">
        <v>1030</v>
      </c>
      <c r="BH14" s="209"/>
      <c r="BI14" s="209" t="s">
        <v>884</v>
      </c>
      <c r="BJ14" s="349">
        <f>SUMIFS(FNRP!AL:AL,FNRP!AI:AI,BI14)*100000/10^9+SUM(SUMIFS(TB_HTM[Amt],TB_HTM[Tenor],BI14))/10^9</f>
        <v>4020</v>
      </c>
      <c r="BK14" s="379"/>
      <c r="BL14" s="362"/>
      <c r="BM14" s="101" t="s">
        <v>1069</v>
      </c>
      <c r="BN14" s="158" t="s">
        <v>1064</v>
      </c>
      <c r="BO14" s="209" t="s">
        <v>1030</v>
      </c>
      <c r="BP14" s="209"/>
      <c r="BQ14" s="209" t="s">
        <v>884</v>
      </c>
      <c r="BR14" s="227">
        <f>SUMIFS(FNRP!M:M,FNRP!AI:AI,BQ14)/10^9+SUMIFS(TB_HTM[Market Value FNRP],TB_HTM[Tenor],BQ14)/10^9</f>
        <v>3442.8694400000004</v>
      </c>
      <c r="BS14" s="234"/>
      <c r="BU14" s="101" t="s">
        <v>735</v>
      </c>
      <c r="BV14" s="158" t="s">
        <v>1064</v>
      </c>
      <c r="BW14" s="209" t="s">
        <v>1030</v>
      </c>
      <c r="BX14" s="158"/>
      <c r="BY14" s="158" t="s">
        <v>883</v>
      </c>
      <c r="BZ14" s="350" cm="1">
        <f t="array" ref="BZ14">IFERROR(SUMPRODUCT(Tradingbook_MSB[Duration_edited]*Tradingbook_MSB[MARKET_VALUE]*(Tradingbook_MSB[Tenor]=BY14))/SUMIFS(FNRP!M:M,FNRP!AI:AI,BY14),0)</f>
        <v>7.3598034836334127</v>
      </c>
      <c r="CA14" s="351"/>
      <c r="CC14" s="101" t="s">
        <v>852</v>
      </c>
      <c r="CD14" s="158" t="s">
        <v>1064</v>
      </c>
      <c r="CE14" s="209" t="s">
        <v>1030</v>
      </c>
      <c r="CF14" s="158"/>
      <c r="CG14" s="209" t="s">
        <v>886</v>
      </c>
      <c r="CH14" s="221">
        <f>SUMIFS(FNRP!AP:AP,FNRP!$AI:$AI,'Phan tich_TB'!CG14)/10^9+SUMIFS(TB_HTM[PV01],TB_HTM[Tenor],'Phan tich_TB'!CG14)</f>
        <v>0</v>
      </c>
      <c r="CN14" s="373"/>
      <c r="DJ14" s="57"/>
      <c r="DR14" s="58"/>
      <c r="DS14" s="58"/>
      <c r="DT14" s="58"/>
      <c r="DX14" s="229"/>
      <c r="EA14" s="209" t="s">
        <v>854</v>
      </c>
      <c r="EB14" s="209" t="s">
        <v>877</v>
      </c>
      <c r="EC14" s="216">
        <f>IFERROR(SUMPRODUCT(Tradingbook_SBV[Conv]*Tradingbook_SBV[MARKET_VALUE]*(Tradingbook_SBV[Tenor]=EB14))/SUMIFS(Tradingbook_SBV[MARKET_VALUE],Tradingbook_SBV[Tenor],EB14),0)</f>
        <v>0</v>
      </c>
      <c r="ED14" s="58"/>
      <c r="EF14" s="209" t="s">
        <v>1072</v>
      </c>
      <c r="EG14" s="236" t="s">
        <v>1030</v>
      </c>
      <c r="EH14" s="227">
        <f>SUM(FNRP!DZ:DZ)/10^9</f>
        <v>-159.01013757499999</v>
      </c>
    </row>
    <row r="15" spans="1:145" x14ac:dyDescent="0.3">
      <c r="B15" s="356" t="s">
        <v>885</v>
      </c>
      <c r="C15" s="237">
        <f>VLOOKUP(B15,Yield[[Tenor]:[Average]],2,0)</f>
        <v>4.6660000000000004</v>
      </c>
      <c r="D15" s="376">
        <f>VLOOKUP(B15,Yield_yesterday[[Tenor]:[Average]],2,0)</f>
        <v>4.6660000000000004</v>
      </c>
      <c r="E15" s="376">
        <f>VLOOKUP(B15,'His53'!$N$37:$O$51,2,0)</f>
        <v>4.6580000000000004</v>
      </c>
      <c r="F15" s="376">
        <f>VLOOKUP(B15,Yield_lastyear[[Tenor]:[Average]],2,0)</f>
        <v>4.1130000000000004</v>
      </c>
      <c r="I15" s="356" t="s">
        <v>879</v>
      </c>
      <c r="J15" s="376">
        <f>SUMIFS(FNRP!P:P,FNRP!AI:AI,'Phan tich_TB'!I15)/10^9</f>
        <v>339.37799999999999</v>
      </c>
      <c r="K15" s="376">
        <f>SUMIFS(FNRP!$Z:$Z,FNRP!$AI:$AI,'Phan tich_TB'!I15)/10^9</f>
        <v>-97.604479874428094</v>
      </c>
      <c r="L15" s="376">
        <f>SUMIFS(FNRP!$AA:$AA,FNRP!$AI:$AI,'Phan tich_TB'!I15)/10^9</f>
        <v>7.5784285714285646</v>
      </c>
      <c r="M15" s="376">
        <f t="shared" si="3"/>
        <v>-90.026051302999534</v>
      </c>
      <c r="N15" s="382"/>
      <c r="O15" s="362"/>
      <c r="R15" s="128" t="s">
        <v>2731</v>
      </c>
      <c r="S15" s="387">
        <f>S14-M2</f>
        <v>9.2934559454562304E-2</v>
      </c>
      <c r="AC15" s="224"/>
      <c r="AG15" s="224"/>
      <c r="AH15" s="224"/>
      <c r="AI15" s="347"/>
      <c r="AJ15" s="224"/>
      <c r="AK15" s="224"/>
      <c r="AP15" s="224"/>
      <c r="AQ15" s="745"/>
      <c r="AR15" s="224"/>
      <c r="AS15" s="743"/>
      <c r="AT15" s="563">
        <v>46216</v>
      </c>
      <c r="AU15" s="729" cm="1">
        <f t="array" ref="AU15">IFERROR(SUMPRODUCT(His_yield_bq[YTM_ON BS]%*His_yield_bq[ON BS]*(His_yield_bq[RptDate]=AT15))
*(AT15-AT14)/365,0)</f>
        <v>12.309062632382911</v>
      </c>
      <c r="AV15" s="729" cm="1">
        <f t="array" ref="AV15">IFERROR(SUMPRODUCT(His_funding_cost[Global amount]*His_funding_cost[Weighted rate]*(His_funding_cost[RptDate]=AT15))
/SUMIFS(His_funding_cost[Global amount],His_funding_cost[RptDate],AT15)
*_xlfn.XLOOKUP(AT15,His_yield_bq[RptDate],His_yield_bq[ON BS],,0)
*(AT15-AT14)/365,0)</f>
        <v>13.866517371056732</v>
      </c>
      <c r="AW15" s="729">
        <f t="shared" si="2"/>
        <v>-1.5574547386738207</v>
      </c>
      <c r="AY15" s="348" t="s">
        <v>877</v>
      </c>
      <c r="AZ15" s="577">
        <f>SUMIFS(RP_SEC!G:G,RP_SEC!Y:Y,AY15)/10^9+SUMIFS(TB_HTM[Amt],TB_HTM[Time hold (tenor)],AY15)/10^9</f>
        <v>3058</v>
      </c>
      <c r="BA15" s="349">
        <f>SUMIFS(RP_SEC!N:N,RP_SEC!Y:Y,AY15)/10^9</f>
        <v>-125.8925</v>
      </c>
      <c r="BB15" s="586">
        <f>SUMIFS(RP_SEC!S:S,RP_SEC!Y:Y,AY15)/10^9+SUMIFS(TB_HTM[ItD],TB_HTM[Time hold (tenor)],AY15)/10^9</f>
        <v>-354.85587784208064</v>
      </c>
      <c r="BC15" s="97"/>
      <c r="BD15" s="224"/>
      <c r="BE15" s="101" t="s">
        <v>1050</v>
      </c>
      <c r="BF15" s="158" t="s">
        <v>1064</v>
      </c>
      <c r="BG15" s="209" t="s">
        <v>1030</v>
      </c>
      <c r="BH15" s="209"/>
      <c r="BI15" s="209" t="s">
        <v>885</v>
      </c>
      <c r="BJ15" s="349">
        <f>SUMIFS(FNRP!AL:AL,FNRP!AI:AI,BI15)*100000/10^9+SUM(SUMIFS(TB_HTM[Amt],TB_HTM[Tenor],BI15))/10^9</f>
        <v>0</v>
      </c>
      <c r="BK15" s="379"/>
      <c r="BL15" s="362"/>
      <c r="BM15" s="101" t="s">
        <v>1069</v>
      </c>
      <c r="BN15" s="158" t="s">
        <v>1064</v>
      </c>
      <c r="BO15" s="209" t="s">
        <v>1030</v>
      </c>
      <c r="BP15" s="209"/>
      <c r="BQ15" s="209" t="s">
        <v>885</v>
      </c>
      <c r="BR15" s="227">
        <f>SUMIFS(FNRP!M:M,FNRP!AI:AI,BQ15)/10^9+SUMIFS(TB_HTM[Market Value FNRP],TB_HTM[Tenor],BQ15)/10^9</f>
        <v>0</v>
      </c>
      <c r="BS15" s="234"/>
      <c r="BU15" s="101" t="s">
        <v>735</v>
      </c>
      <c r="BV15" s="158" t="s">
        <v>1064</v>
      </c>
      <c r="BW15" s="209" t="s">
        <v>1030</v>
      </c>
      <c r="BX15" s="158"/>
      <c r="BY15" s="158" t="s">
        <v>884</v>
      </c>
      <c r="BZ15" s="350" cm="1">
        <f t="array" ref="BZ15">IFERROR(SUMPRODUCT(Tradingbook_MSB[Duration_edited]*Tradingbook_MSB[MARKET_VALUE]*(Tradingbook_MSB[Tenor]=BY15))/SUMIFS(FNRP!M:M,FNRP!AI:AI,BY15),0)</f>
        <v>10.007702749319682</v>
      </c>
      <c r="CA15" s="351"/>
      <c r="CC15" s="101" t="s">
        <v>852</v>
      </c>
      <c r="CD15" s="158" t="s">
        <v>1064</v>
      </c>
      <c r="CE15" s="209" t="s">
        <v>898</v>
      </c>
      <c r="CF15" s="158"/>
      <c r="CG15" s="158"/>
      <c r="CH15" s="221">
        <f>SUMIFS(FNRP!AP:AP,FNRP!AJ:AJ,'Phan tich_TB'!CE15)/10^9+SUMIFS(TB_HTM[PV01],TB_HTM[Type],'Phan tich_TB'!CE15)</f>
        <v>-7.8722908076034397</v>
      </c>
      <c r="CJ15" s="80" t="s">
        <v>3035</v>
      </c>
      <c r="CK15" s="170"/>
      <c r="CL15" s="208" t="s">
        <v>2886</v>
      </c>
      <c r="CM15" s="325" t="s">
        <v>2506</v>
      </c>
      <c r="CN15" s="326" t="s">
        <v>3034</v>
      </c>
      <c r="CO15" s="208"/>
      <c r="CP15" s="208" t="s">
        <v>2856</v>
      </c>
      <c r="EA15" s="209" t="s">
        <v>854</v>
      </c>
      <c r="EB15" s="209" t="s">
        <v>878</v>
      </c>
      <c r="EC15" s="216">
        <f>IFERROR(SUMPRODUCT(Tradingbook_SBV[Conv]*Tradingbook_SBV[MARKET_VALUE]*(Tradingbook_SBV[Tenor]=EB15))/SUMIFS(Tradingbook_SBV[MARKET_VALUE],Tradingbook_SBV[Tenor],EB15),0)</f>
        <v>0</v>
      </c>
      <c r="ED15" s="58"/>
      <c r="EF15" s="209" t="s">
        <v>2803</v>
      </c>
      <c r="EG15" s="209" t="s">
        <v>915</v>
      </c>
      <c r="EH15" s="355">
        <f>SUMIFS(FNRP!DZ:DZ,FNRP!DR:DR,'Phan tich_TB'!EG15)/10^9</f>
        <v>0</v>
      </c>
      <c r="EI15" s="385"/>
    </row>
    <row r="16" spans="1:145" x14ac:dyDescent="0.3">
      <c r="B16" s="356" t="s">
        <v>886</v>
      </c>
      <c r="C16" s="237">
        <f>VLOOKUP(B16,Yield[[Tenor]:[Average]],2,0)</f>
        <v>4.7329999999999997</v>
      </c>
      <c r="D16" s="376">
        <f>VLOOKUP(B16,Yield_yesterday[[Tenor]:[Average]],2,0)</f>
        <v>4.7329999999999997</v>
      </c>
      <c r="E16" s="376">
        <f>VLOOKUP(B16,'His53'!$N$37:$O$51,2,0)</f>
        <v>4.7240000000000002</v>
      </c>
      <c r="F16" s="376">
        <f>VLOOKUP(B16,Yield_lastyear[[Tenor]:[Average]],2,0)</f>
        <v>4.1710000000000003</v>
      </c>
      <c r="I16" s="356" t="s">
        <v>880</v>
      </c>
      <c r="J16" s="376">
        <f>SUMIFS(FNRP!P:P,FNRP!AI:AI,'Phan tich_TB'!I16)/10^9</f>
        <v>329.55799999999999</v>
      </c>
      <c r="K16" s="386">
        <f>SUMIFS(FNRP!$Z:$Z,FNRP!$AI:$AI,'Phan tich_TB'!I16)/10^9</f>
        <v>-851.51197755306862</v>
      </c>
      <c r="L16" s="376">
        <f>SUMIFS(FNRP!$AA:$AA,FNRP!$AI:$AI,'Phan tich_TB'!I16)/10^9</f>
        <v>-27.191935246929656</v>
      </c>
      <c r="M16" s="376">
        <f t="shared" si="3"/>
        <v>-878.70391279999831</v>
      </c>
      <c r="N16" s="382"/>
      <c r="O16" s="362"/>
      <c r="U16" s="219" t="s">
        <v>3073</v>
      </c>
      <c r="V16" s="343"/>
      <c r="W16" s="73" t="s">
        <v>2203</v>
      </c>
      <c r="X16" s="27" t="s">
        <v>3073</v>
      </c>
      <c r="AC16" s="224"/>
      <c r="AG16" s="224"/>
      <c r="AH16" s="224"/>
      <c r="AI16" s="347"/>
      <c r="AJ16" s="224"/>
      <c r="AK16" s="224"/>
      <c r="AP16" s="224"/>
      <c r="AQ16" s="745"/>
      <c r="AR16" s="224"/>
      <c r="AS16" s="743"/>
      <c r="AT16" s="563">
        <v>46217</v>
      </c>
      <c r="AU16" s="729" cm="1">
        <f t="array" ref="AU16">IFERROR(SUMPRODUCT(His_yield_bq[YTM_ON BS]%*His_yield_bq[ON BS]*(His_yield_bq[RptDate]=AT16))
*(AT16-AT15)/365,0)</f>
        <v>4.1030208774609704</v>
      </c>
      <c r="AV16" s="729" cm="1">
        <f t="array" ref="AV16">IFERROR(SUMPRODUCT(His_funding_cost[Global amount]*His_funding_cost[Weighted rate]*(His_funding_cost[RptDate]=AT16))
/SUMIFS(His_funding_cost[Global amount],His_funding_cost[RptDate],AT16)
*_xlfn.XLOOKUP(AT16,His_yield_bq[RptDate],His_yield_bq[ON BS],,0)
*(AT16-AT15)/365,0)</f>
        <v>4.6233173083352588</v>
      </c>
      <c r="AW16" s="729">
        <f t="shared" si="2"/>
        <v>-0.52029643087428834</v>
      </c>
      <c r="AY16" s="348" t="s">
        <v>878</v>
      </c>
      <c r="AZ16" s="577">
        <f>SUMIFS(RP_SEC!G:G,RP_SEC!Y:Y,AY16)/10^9+SUMIFS(TB_HTM[Amt],TB_HTM[Time hold (tenor)],AY16)/10^9</f>
        <v>1802</v>
      </c>
      <c r="BA16" s="349">
        <f>SUMIFS(RP_SEC!N:N,RP_SEC!Y:Y,AY16)/10^9</f>
        <v>-220.22862000000001</v>
      </c>
      <c r="BB16" s="586">
        <f>SUMIFS(RP_SEC!S:S,RP_SEC!Y:Y,AY16)/10^9+SUMIFS(TB_HTM[ItD],TB_HTM[Time hold (tenor)],AY16)/10^9</f>
        <v>-196.46016237889867</v>
      </c>
      <c r="BC16" s="97"/>
      <c r="BD16" s="224"/>
      <c r="BE16" s="101" t="s">
        <v>1050</v>
      </c>
      <c r="BF16" s="158" t="s">
        <v>1064</v>
      </c>
      <c r="BG16" s="209" t="s">
        <v>1030</v>
      </c>
      <c r="BH16" s="209"/>
      <c r="BI16" s="209" t="s">
        <v>886</v>
      </c>
      <c r="BJ16" s="349">
        <f>SUMIFS(FNRP!AL:AL,FNRP!AI:AI,BI16)*100000/10^9+SUM(SUMIFS(TB_HTM[Amt],TB_HTM[Tenor],BI16))/10^9</f>
        <v>0</v>
      </c>
      <c r="BK16" s="379"/>
      <c r="BL16" s="362"/>
      <c r="BM16" s="101" t="s">
        <v>1069</v>
      </c>
      <c r="BN16" s="158" t="s">
        <v>1064</v>
      </c>
      <c r="BO16" s="209" t="s">
        <v>1030</v>
      </c>
      <c r="BP16" s="209"/>
      <c r="BQ16" s="209" t="s">
        <v>886</v>
      </c>
      <c r="BR16" s="227">
        <f>SUMIFS(FNRP!M:M,FNRP!AI:AI,BQ16)/10^9+SUMIFS(TB_HTM[Market Value FNRP],TB_HTM[Tenor],BQ16)/10^9</f>
        <v>0</v>
      </c>
      <c r="BS16" s="234"/>
      <c r="BU16" s="101" t="s">
        <v>735</v>
      </c>
      <c r="BV16" s="158" t="s">
        <v>1064</v>
      </c>
      <c r="BW16" s="209" t="s">
        <v>1030</v>
      </c>
      <c r="BX16" s="158"/>
      <c r="BY16" s="158" t="s">
        <v>885</v>
      </c>
      <c r="BZ16" s="350" cm="1">
        <f t="array" ref="BZ16">IFERROR(SUMPRODUCT(Tradingbook_MSB[Duration_edited]*Tradingbook_MSB[MARKET_VALUE]*(Tradingbook_MSB[Tenor]=BY16))/SUMIFS(FNRP!M:M,FNRP!AI:AI,BY16),0)</f>
        <v>0</v>
      </c>
      <c r="CA16" s="351"/>
      <c r="CC16" s="101" t="s">
        <v>852</v>
      </c>
      <c r="CD16" s="158" t="s">
        <v>1064</v>
      </c>
      <c r="CE16" s="209" t="s">
        <v>906</v>
      </c>
      <c r="CF16" s="158"/>
      <c r="CG16" s="158"/>
      <c r="CH16" s="221">
        <f>SUMIFS(FNRP!AP:AP,FNRP!AJ:AJ,'Phan tich_TB'!CE16)/10^9+SUMIFS(TB_HTM[PV01],TB_HTM[Type],'Phan tich_TB'!CE16)</f>
        <v>-2.7155056241856848</v>
      </c>
      <c r="CJ16" s="825" t="s">
        <v>2926</v>
      </c>
      <c r="CK16" s="330" t="s">
        <v>2832</v>
      </c>
      <c r="CL16" s="352"/>
      <c r="CM16" s="353"/>
      <c r="CN16" s="354"/>
      <c r="CO16" s="352"/>
      <c r="CP16" s="352"/>
      <c r="EA16" s="209" t="s">
        <v>854</v>
      </c>
      <c r="EB16" s="209" t="s">
        <v>879</v>
      </c>
      <c r="EC16" s="216">
        <f>IFERROR(SUMPRODUCT(Tradingbook_SBV[Conv]*Tradingbook_SBV[MARKET_VALUE]*(Tradingbook_SBV[Tenor]=EB16))/SUMIFS(Tradingbook_SBV[MARKET_VALUE],Tradingbook_SBV[Tenor],EB16),0)</f>
        <v>0</v>
      </c>
      <c r="ED16" s="58"/>
      <c r="EF16" s="209" t="s">
        <v>2804</v>
      </c>
      <c r="EG16" s="209" t="s">
        <v>917</v>
      </c>
      <c r="EH16" s="355">
        <f>SUMIFS(FNRP!DZ:DZ,FNRP!DR:DR,'Phan tich_TB'!EG16)/10^9</f>
        <v>0</v>
      </c>
    </row>
    <row r="17" spans="2:138" x14ac:dyDescent="0.3">
      <c r="I17" s="356" t="s">
        <v>881</v>
      </c>
      <c r="J17" s="376">
        <f>SUMIFS(FNRP!P:P,FNRP!AI:AI,'Phan tich_TB'!I17)/10^9</f>
        <v>423.99869999999999</v>
      </c>
      <c r="K17" s="376">
        <f>SUMIFS(FNRP!$Z:$Z,FNRP!$AI:$AI,'Phan tich_TB'!I17)/10^9</f>
        <v>190.42310385672198</v>
      </c>
      <c r="L17" s="376">
        <f>SUMIFS(FNRP!$AA:$AA,FNRP!$AI:$AI,'Phan tich_TB'!I17)/10^9</f>
        <v>-5.3790102567223945</v>
      </c>
      <c r="M17" s="376">
        <f t="shared" si="3"/>
        <v>185.0440935999996</v>
      </c>
      <c r="N17" s="382"/>
      <c r="O17" s="362"/>
      <c r="Q17" s="234"/>
      <c r="V17" s="363" t="s">
        <v>1031</v>
      </c>
      <c r="W17" s="535">
        <v>46023</v>
      </c>
      <c r="X17" s="364"/>
      <c r="AC17" s="224"/>
      <c r="AG17" s="224"/>
      <c r="AH17" s="224"/>
      <c r="AI17" s="347"/>
      <c r="AJ17" s="224"/>
      <c r="AK17" s="224"/>
      <c r="AP17" s="224"/>
      <c r="AQ17" s="745"/>
      <c r="AR17" s="224"/>
      <c r="AS17" s="743"/>
      <c r="AT17" s="563">
        <v>46218</v>
      </c>
      <c r="AU17" s="729" cm="1">
        <f t="array" ref="AU17">IFERROR(SUMPRODUCT(His_yield_bq[YTM_ON BS]%*His_yield_bq[ON BS]*(His_yield_bq[RptDate]=AT17))
*(AT17-AT16)/365,0)</f>
        <v>3.9641170287445289</v>
      </c>
      <c r="AV17" s="729" cm="1">
        <f t="array" ref="AV17">IFERROR(SUMPRODUCT(His_funding_cost[Global amount]*His_funding_cost[Weighted rate]*(His_funding_cost[RptDate]=AT17))
/SUMIFS(His_funding_cost[Global amount],His_funding_cost[RptDate],AT17)
*_xlfn.XLOOKUP(AT17,His_yield_bq[RptDate],His_yield_bq[ON BS],,0)
*(AT17-AT16)/365,0)</f>
        <v>4.6189537508168428</v>
      </c>
      <c r="AW17" s="729">
        <f t="shared" si="2"/>
        <v>-0.65483672207231391</v>
      </c>
      <c r="AY17" s="348" t="s">
        <v>879</v>
      </c>
      <c r="AZ17" s="577">
        <f>SUMIFS(RP_SEC!G:G,RP_SEC!Y:Y,AY17)/10^9+SUMIFS(TB_HTM[Amt],TB_HTM[Time hold (tenor)],AY17)/10^9</f>
        <v>1909</v>
      </c>
      <c r="BA17" s="349">
        <f>SUMIFS(RP_SEC!N:N,RP_SEC!Y:Y,AY17)/10^9</f>
        <v>0</v>
      </c>
      <c r="BB17" s="586">
        <f>SUMIFS(RP_SEC!S:S,RP_SEC!Y:Y,AY17)/10^9+SUMIFS(TB_HTM[ItD],TB_HTM[Time hold (tenor)],AY17)/10^9</f>
        <v>-170.17731178917435</v>
      </c>
      <c r="BC17" s="97"/>
      <c r="BD17" s="224"/>
      <c r="BE17" s="101" t="s">
        <v>1050</v>
      </c>
      <c r="BF17" s="158" t="s">
        <v>1064</v>
      </c>
      <c r="BG17" s="209" t="s">
        <v>898</v>
      </c>
      <c r="BH17" s="209" t="s">
        <v>823</v>
      </c>
      <c r="BI17" s="209" t="s">
        <v>877</v>
      </c>
      <c r="BJ17" s="349" cm="1">
        <f t="array" ref="BJ17">SUM(SUMIFS(FNRP!AL:AL,FNRP!AI:AI,{"3M","6M","1Y"},FNRP!AK:AK,BH17))*100000/10^9+SUM(SUMIFS(TB_HTM[Amt],TB_HTM[Tenor],{"3M","6M","1Y"},TB_HTM[Issuer],BH17))/10^9</f>
        <v>0</v>
      </c>
      <c r="BK17" s="379"/>
      <c r="BM17" s="101" t="s">
        <v>1069</v>
      </c>
      <c r="BN17" s="158" t="s">
        <v>1064</v>
      </c>
      <c r="BO17" s="209" t="s">
        <v>898</v>
      </c>
      <c r="BP17" s="209" t="s">
        <v>823</v>
      </c>
      <c r="BQ17" s="209" t="s">
        <v>877</v>
      </c>
      <c r="BR17" s="227" cm="1">
        <f t="array" ref="BR17">SUM(SUMIFS(FNRP!M:M,FNRP!AJ:AJ,BO17,FNRP!AK:AK,BP17,FNRP!AI:AI,{"3M","6M","1Y"}))/10^9+SUM(SUMIFS(TB_HTM[Market Value FNRP],TB_HTM[Type],BO17,TB_HTM[Issuer],BP17,TB_HTM[Tenor],{"3M","6M","1Y"}))/10^9</f>
        <v>0</v>
      </c>
      <c r="BS17" s="234"/>
      <c r="BU17" s="101" t="s">
        <v>735</v>
      </c>
      <c r="BV17" s="158" t="s">
        <v>1064</v>
      </c>
      <c r="BW17" s="209" t="s">
        <v>1030</v>
      </c>
      <c r="BX17" s="158"/>
      <c r="BY17" s="158" t="s">
        <v>886</v>
      </c>
      <c r="BZ17" s="350" cm="1">
        <f t="array" ref="BZ17">IFERROR(SUMPRODUCT(Tradingbook_MSB[Duration_edited]*Tradingbook_MSB[MARKET_VALUE]*(Tradingbook_MSB[Tenor]=BY17))/SUMIFS(FNRP!M:M,FNRP!AI:AI,BY17),0)</f>
        <v>0</v>
      </c>
      <c r="CA17" s="351"/>
      <c r="CC17" s="101" t="s">
        <v>852</v>
      </c>
      <c r="CD17" s="158" t="s">
        <v>1064</v>
      </c>
      <c r="CE17" s="209" t="s">
        <v>906</v>
      </c>
      <c r="CF17" s="209" t="s">
        <v>821</v>
      </c>
      <c r="CG17" s="158"/>
      <c r="CH17" s="221">
        <f>SUMIFS(FNRP!AP:AP,FNRP!AJ:AJ,'Phan tich_TB'!CE17,FNRP!AK:AK,'Phan tich_TB'!CF17)/10^9+SUMIFS(TB_HTM[PV01],TB_HTM[Type],'Phan tich_TB'!CE17,TB_HTM[Issuer],'Phan tich_TB'!CF17)</f>
        <v>-0.44468662519189861</v>
      </c>
      <c r="CJ17" s="825"/>
      <c r="CK17" s="330" t="s">
        <v>2833</v>
      </c>
      <c r="CL17" s="352"/>
      <c r="CM17" s="353"/>
      <c r="CN17" s="354"/>
      <c r="CO17" s="352"/>
      <c r="CP17" s="237"/>
      <c r="EA17" s="209" t="s">
        <v>854</v>
      </c>
      <c r="EB17" s="209" t="s">
        <v>880</v>
      </c>
      <c r="EC17" s="216">
        <f>IFERROR(SUMPRODUCT(Tradingbook_SBV[Conv]*Tradingbook_SBV[MARKET_VALUE]*(Tradingbook_SBV[Tenor]=EB17))/SUMIFS(Tradingbook_SBV[MARKET_VALUE],Tradingbook_SBV[Tenor],EB17),0)</f>
        <v>0</v>
      </c>
      <c r="ED17" s="58"/>
      <c r="EF17" s="209" t="s">
        <v>1072</v>
      </c>
      <c r="EG17" s="209" t="s">
        <v>877</v>
      </c>
      <c r="EH17" s="355">
        <f>SUMIFS(FNRP!DZ:DZ,FNRP!DR:DR,'Phan tich_TB'!EG17)/10^9</f>
        <v>0</v>
      </c>
    </row>
    <row r="18" spans="2:138" x14ac:dyDescent="0.3">
      <c r="B18" s="340" t="s">
        <v>876</v>
      </c>
      <c r="C18" s="342" t="s">
        <v>2289</v>
      </c>
      <c r="D18" s="342" t="s">
        <v>2290</v>
      </c>
      <c r="E18" s="342" t="s">
        <v>2291</v>
      </c>
      <c r="I18" s="356" t="s">
        <v>882</v>
      </c>
      <c r="J18" s="376">
        <f>SUMIFS(FNRP!P:P,FNRP!AI:AI,'Phan tich_TB'!I18)/10^9</f>
        <v>674.74800000000005</v>
      </c>
      <c r="K18" s="376">
        <f>SUMIFS(FNRP!$Z:$Z,FNRP!$AI:$AI,'Phan tich_TB'!I18)/10^9</f>
        <v>18.112476014345376</v>
      </c>
      <c r="L18" s="376">
        <f>SUMIFS(FNRP!$AA:$AA,FNRP!$AI:$AI,'Phan tich_TB'!I18)/10^9</f>
        <v>-395.57330901034265</v>
      </c>
      <c r="M18" s="376">
        <f t="shared" si="3"/>
        <v>-377.46083299599729</v>
      </c>
      <c r="N18" s="382"/>
      <c r="O18" s="362"/>
      <c r="V18" s="363" t="s">
        <v>1035</v>
      </c>
      <c r="W18" s="535">
        <v>46054</v>
      </c>
      <c r="X18" s="364"/>
      <c r="AC18" s="224"/>
      <c r="AD18" s="232"/>
      <c r="AG18" s="224"/>
      <c r="AH18" s="224"/>
      <c r="AI18" s="347"/>
      <c r="AJ18" s="224"/>
      <c r="AK18" s="224"/>
      <c r="AP18" s="224"/>
      <c r="AQ18" s="745"/>
      <c r="AR18" s="224"/>
      <c r="AS18" s="743"/>
      <c r="AT18" s="563">
        <v>46219</v>
      </c>
      <c r="AU18" s="729" cm="1">
        <f t="array" ref="AU18">IFERROR(SUMPRODUCT(His_yield_bq[YTM_ON BS]%*His_yield_bq[ON BS]*(His_yield_bq[RptDate]=AT18))
*(AT18-AT17)/365,0)</f>
        <v>3.857366000204141</v>
      </c>
      <c r="AV18" s="729" cm="1">
        <f t="array" ref="AV18">IFERROR(SUMPRODUCT(His_funding_cost[Global amount]*His_funding_cost[Weighted rate]*(His_funding_cost[RptDate]=AT18))
/SUMIFS(His_funding_cost[Global amount],His_funding_cost[RptDate],AT18)
*_xlfn.XLOOKUP(AT18,His_yield_bq[RptDate],His_yield_bq[ON BS],,0)
*(AT18-AT17)/365,0)</f>
        <v>4.464226278671438</v>
      </c>
      <c r="AW18" s="729">
        <f t="shared" si="2"/>
        <v>-0.60686027846729695</v>
      </c>
      <c r="AY18" s="580" t="s">
        <v>1034</v>
      </c>
      <c r="AZ18" s="581">
        <f>SUM(AZ7:AZ17)</f>
        <v>17513</v>
      </c>
      <c r="BA18" s="582">
        <f>SUM(BA7:BA17)</f>
        <v>-1164.6319300000002</v>
      </c>
      <c r="BB18" s="582">
        <f>SUM(BB7:BB17)</f>
        <v>-1638.5293972848692</v>
      </c>
      <c r="BC18" s="97"/>
      <c r="BD18" s="224"/>
      <c r="BE18" s="101" t="s">
        <v>1050</v>
      </c>
      <c r="BF18" s="158" t="s">
        <v>1064</v>
      </c>
      <c r="BG18" s="209" t="s">
        <v>898</v>
      </c>
      <c r="BH18" s="209" t="s">
        <v>823</v>
      </c>
      <c r="BI18" s="209" t="s">
        <v>878</v>
      </c>
      <c r="BJ18" s="349">
        <f>SUMIFS(FNRP!AL:AL,FNRP!AI:AI,BI18,FNRP!AK:AK,BH18)*100000/10^9+SUMIFS(TB_HTM[Amt],TB_HTM[Tenor],BI18,TB_HTM[Issuer],BH18)/10^9</f>
        <v>0</v>
      </c>
      <c r="BK18" s="379"/>
      <c r="BM18" s="101" t="s">
        <v>1069</v>
      </c>
      <c r="BN18" s="158" t="s">
        <v>1064</v>
      </c>
      <c r="BO18" s="209" t="s">
        <v>898</v>
      </c>
      <c r="BP18" s="209" t="s">
        <v>823</v>
      </c>
      <c r="BQ18" s="209" t="s">
        <v>878</v>
      </c>
      <c r="BR18" s="227">
        <f>SUMIFS(FNRP!M:M,FNRP!AJ:AJ,BO18,FNRP!AK:AK,BP18,FNRP!AI:AI,BQ18)/10^9+SUMIFS(TB_HTM[Market Value FNRP],TB_HTM[Type],BO18,TB_HTM[Issuer],BP18,TB_HTM[Tenor],BQ18)/10^9</f>
        <v>0</v>
      </c>
      <c r="BS18" s="234"/>
      <c r="BU18" s="101" t="s">
        <v>1071</v>
      </c>
      <c r="BV18" s="158" t="s">
        <v>1064</v>
      </c>
      <c r="BW18" s="209" t="s">
        <v>1030</v>
      </c>
      <c r="BX18" s="158"/>
      <c r="BY18" s="158"/>
      <c r="BZ18" s="350">
        <f>SUMPRODUCT(FNRP!M:M,FNRP!AN:AN)/SUM(FNRP!M:M)</f>
        <v>6.5096967192882511</v>
      </c>
      <c r="CA18" s="351"/>
      <c r="CC18" s="101" t="s">
        <v>852</v>
      </c>
      <c r="CD18" s="158" t="s">
        <v>1064</v>
      </c>
      <c r="CE18" s="209" t="s">
        <v>906</v>
      </c>
      <c r="CF18" s="209" t="s">
        <v>905</v>
      </c>
      <c r="CG18" s="158"/>
      <c r="CH18" s="221">
        <f>SUMIFS(FNRP!AP:AP,FNRP!AJ:AJ,'Phan tich_TB'!CE18,FNRP!AK:AK,'Phan tich_TB'!CF18)/10^9+SUMIFS(TB_HTM[PV01],TB_HTM[Type],'Phan tich_TB'!CE18,TB_HTM[Issuer],'Phan tich_TB'!CF18)</f>
        <v>-2.2708189989937857</v>
      </c>
      <c r="CN18" s="373"/>
      <c r="EA18" s="209" t="s">
        <v>854</v>
      </c>
      <c r="EB18" s="209" t="s">
        <v>881</v>
      </c>
      <c r="EC18" s="216">
        <f>IFERROR(SUMPRODUCT(Tradingbook_SBV[Conv]*Tradingbook_SBV[MARKET_VALUE]*(Tradingbook_SBV[Tenor]=EB18))/SUMIFS(Tradingbook_SBV[MARKET_VALUE],Tradingbook_SBV[Tenor],EB18),0)</f>
        <v>0</v>
      </c>
      <c r="ED18" s="58"/>
      <c r="EF18" s="209" t="s">
        <v>1072</v>
      </c>
      <c r="EG18" s="209" t="s">
        <v>878</v>
      </c>
      <c r="EH18" s="355">
        <f>SUMIFS(FNRP!DZ:DZ,FNRP!DR:DR,'Phan tich_TB'!EG18)/10^9</f>
        <v>0</v>
      </c>
    </row>
    <row r="19" spans="2:138" x14ac:dyDescent="0.3">
      <c r="B19" s="356" t="s">
        <v>877</v>
      </c>
      <c r="C19" s="360">
        <f t="shared" ref="C19:C28" si="4">(C7-D7)*100</f>
        <v>0</v>
      </c>
      <c r="D19" s="360">
        <f t="shared" ref="D19:D28" si="5">(C7-E7)*100</f>
        <v>6.1999999999999833</v>
      </c>
      <c r="E19" s="360">
        <f t="shared" ref="E19:E28" si="6">(C7-F7)*100</f>
        <v>61.20000000000001</v>
      </c>
      <c r="I19" s="356" t="s">
        <v>883</v>
      </c>
      <c r="J19" s="376">
        <f>SUMIFS(FNRP!P:P,FNRP!AI:AI,'Phan tich_TB'!I19)/10^9</f>
        <v>436.76499999999999</v>
      </c>
      <c r="K19" s="376">
        <f>SUMIFS(FNRP!$Z:$Z,FNRP!$AI:$AI,'Phan tich_TB'!I19)/10^9</f>
        <v>-443.56001344233511</v>
      </c>
      <c r="L19" s="376">
        <f>SUMIFS(FNRP!$AA:$AA,FNRP!$AI:$AI,'Phan tich_TB'!I19)/10^9</f>
        <v>-519.00738655766781</v>
      </c>
      <c r="M19" s="376">
        <f t="shared" si="3"/>
        <v>-962.56740000000286</v>
      </c>
      <c r="N19" s="382"/>
      <c r="O19" s="362"/>
      <c r="V19" s="363" t="s">
        <v>1036</v>
      </c>
      <c r="W19" s="535">
        <v>46082</v>
      </c>
      <c r="X19" s="364"/>
      <c r="AC19" s="224"/>
      <c r="AG19" s="224"/>
      <c r="AH19" s="224"/>
      <c r="AI19" s="347"/>
      <c r="AJ19" s="224"/>
      <c r="AK19" s="224"/>
      <c r="AP19" s="224"/>
      <c r="AQ19" s="745"/>
      <c r="AR19" s="224"/>
      <c r="AS19" s="743"/>
      <c r="AT19" s="563">
        <v>46220</v>
      </c>
      <c r="AU19" s="729" cm="1">
        <f t="array" ref="AU19">IFERROR(SUMPRODUCT(His_yield_bq[YTM_ON BS]%*His_yield_bq[ON BS]*(His_yield_bq[RptDate]=AT19))
*(AT19-AT18)/365,0)</f>
        <v>3.946677059761448</v>
      </c>
      <c r="AV19" s="729" cm="1">
        <f t="array" ref="AV19">IFERROR(SUMPRODUCT(His_funding_cost[Global amount]*His_funding_cost[Weighted rate]*(His_funding_cost[RptDate]=AT19))
/SUMIFS(His_funding_cost[Global amount],His_funding_cost[RptDate],AT19)
*_xlfn.XLOOKUP(AT19,His_yield_bq[RptDate],His_yield_bq[ON BS],,0)
*(AT19-AT18)/365,0)</f>
        <v>4.5615918882628748</v>
      </c>
      <c r="AW19" s="729">
        <f t="shared" si="2"/>
        <v>-0.61491482850142676</v>
      </c>
      <c r="AY19" s="224"/>
      <c r="AZ19" s="224"/>
      <c r="BA19" s="224"/>
      <c r="BB19" s="224"/>
      <c r="BC19" s="97"/>
      <c r="BD19" s="224"/>
      <c r="BE19" s="101" t="s">
        <v>1050</v>
      </c>
      <c r="BF19" s="158" t="s">
        <v>1064</v>
      </c>
      <c r="BG19" s="209" t="s">
        <v>898</v>
      </c>
      <c r="BH19" s="209" t="s">
        <v>823</v>
      </c>
      <c r="BI19" s="209" t="s">
        <v>879</v>
      </c>
      <c r="BJ19" s="349">
        <f>SUMIFS(FNRP!AL:AL,FNRP!AI:AI,BI19,FNRP!AK:AK,BH19)*100000/10^9+SUMIFS(TB_HTM[Amt],TB_HTM[Tenor],BI19,TB_HTM[Issuer],BH19)/10^9</f>
        <v>0</v>
      </c>
      <c r="BK19" s="379"/>
      <c r="BM19" s="101" t="s">
        <v>1069</v>
      </c>
      <c r="BN19" s="158" t="s">
        <v>1064</v>
      </c>
      <c r="BO19" s="209" t="s">
        <v>898</v>
      </c>
      <c r="BP19" s="209" t="s">
        <v>823</v>
      </c>
      <c r="BQ19" s="209" t="s">
        <v>879</v>
      </c>
      <c r="BR19" s="227">
        <f>SUMIFS(FNRP!M:M,FNRP!AJ:AJ,BO19,FNRP!AK:AK,BP19,FNRP!AI:AI,BQ19)/10^9+SUMIFS(TB_HTM[Market Value FNRP],TB_HTM[Type],BO19,TB_HTM[Issuer],BP19,TB_HTM[Tenor],BQ19)/10^9</f>
        <v>0</v>
      </c>
      <c r="BS19" s="234"/>
      <c r="BU19" s="101" t="s">
        <v>1071</v>
      </c>
      <c r="BV19" s="158" t="s">
        <v>1064</v>
      </c>
      <c r="BW19" s="209" t="s">
        <v>898</v>
      </c>
      <c r="BX19" s="158"/>
      <c r="BY19" s="158"/>
      <c r="BZ19" s="350" cm="1">
        <f t="array" ref="BZ19">IFERROR(SUMPRODUCT(Tradingbook_MSB[MARKET_VALUE]*Tradingbook_MSB[Modified Duration]*(Tradingbook_MSB[Type]=BW19))/SUMIFS(FNRP!M:M,FNRP!AJ:AJ,BW19),0)</f>
        <v>6.7001715706236826</v>
      </c>
      <c r="CA19" s="351"/>
      <c r="CC19" s="101" t="s">
        <v>852</v>
      </c>
      <c r="CD19" s="158" t="s">
        <v>1064</v>
      </c>
      <c r="CE19" s="209" t="s">
        <v>894</v>
      </c>
      <c r="CF19" s="209"/>
      <c r="CG19" s="158"/>
      <c r="CH19" s="221">
        <f>SUMIFS(FNRP!AP:AP,FNRP!AJ:AJ,CE19)/10^9+SUMIFS(TB_HTM[PV01],TB_HTM[Type],CE19)</f>
        <v>-9.2207272693740835E-2</v>
      </c>
      <c r="CN19" s="373"/>
      <c r="EA19" s="209" t="s">
        <v>854</v>
      </c>
      <c r="EB19" s="209" t="s">
        <v>882</v>
      </c>
      <c r="EC19" s="216">
        <f>IFERROR(SUMPRODUCT(Tradingbook_SBV[Conv]*Tradingbook_SBV[MARKET_VALUE]*(Tradingbook_SBV[Tenor]=EB19))/SUMIFS(Tradingbook_SBV[MARKET_VALUE],Tradingbook_SBV[Tenor],EB19),0)</f>
        <v>47.075373659793556</v>
      </c>
      <c r="ED19" s="58"/>
      <c r="EF19" s="209" t="s">
        <v>1072</v>
      </c>
      <c r="EG19" s="209" t="s">
        <v>879</v>
      </c>
      <c r="EH19" s="355">
        <f>SUMIFS(FNRP!DZ:DZ,FNRP!DR:DR,'Phan tich_TB'!EG19)/10^9</f>
        <v>0</v>
      </c>
    </row>
    <row r="20" spans="2:138" x14ac:dyDescent="0.3">
      <c r="B20" s="356" t="s">
        <v>878</v>
      </c>
      <c r="C20" s="360">
        <f t="shared" si="4"/>
        <v>0</v>
      </c>
      <c r="D20" s="360">
        <f t="shared" si="5"/>
        <v>6.1999999999999833</v>
      </c>
      <c r="E20" s="360">
        <f t="shared" si="6"/>
        <v>66.199999999999989</v>
      </c>
      <c r="I20" s="356" t="s">
        <v>884</v>
      </c>
      <c r="J20" s="376">
        <f>SUMIFS(FNRP!P:P,FNRP!AI:AI,'Phan tich_TB'!I20)/10^9</f>
        <v>440.66950000000003</v>
      </c>
      <c r="K20" s="376">
        <f>SUMIFS(FNRP!$Z:$Z,FNRP!$AI:$AI,'Phan tich_TB'!I20)/10^9</f>
        <v>-98.259161150991488</v>
      </c>
      <c r="L20" s="376">
        <f>SUMIFS(FNRP!$AA:$AA,FNRP!$AI:$AI,'Phan tich_TB'!I20)/10^9</f>
        <v>-297.83082185900923</v>
      </c>
      <c r="M20" s="376">
        <f t="shared" si="3"/>
        <v>-396.08998301000071</v>
      </c>
      <c r="N20" s="382"/>
      <c r="O20" s="362"/>
      <c r="V20" s="363" t="s">
        <v>1037</v>
      </c>
      <c r="W20" s="535">
        <v>46113</v>
      </c>
      <c r="X20" s="364"/>
      <c r="AC20" s="224"/>
      <c r="AG20" s="224"/>
      <c r="AH20" s="224"/>
      <c r="AI20" s="347"/>
      <c r="AJ20" s="224"/>
      <c r="AK20" s="224"/>
      <c r="AP20" s="224"/>
      <c r="AQ20" s="745"/>
      <c r="AR20" s="224"/>
      <c r="AS20" s="743"/>
      <c r="AT20" s="563">
        <v>46223</v>
      </c>
      <c r="AU20" s="729" cm="1">
        <f t="array" ref="AU20">IFERROR(SUMPRODUCT(His_yield_bq[YTM_ON BS]%*His_yield_bq[ON BS]*(His_yield_bq[RptDate]=AT20))
*(AT20-AT19)/365,0)</f>
        <v>11.428212988554968</v>
      </c>
      <c r="AV20" s="729" cm="1">
        <f t="array" ref="AV20">IFERROR(SUMPRODUCT(His_funding_cost[Global amount]*His_funding_cost[Weighted rate]*(His_funding_cost[RptDate]=AT20))
/SUMIFS(His_funding_cost[Global amount],His_funding_cost[RptDate],AT20)
*_xlfn.XLOOKUP(AT20,His_yield_bq[RptDate],His_yield_bq[ON BS],,0)
*(AT20-AT19)/365,0)</f>
        <v>13.23820360780525</v>
      </c>
      <c r="AW20" s="729">
        <f t="shared" si="2"/>
        <v>-1.8099906192502822</v>
      </c>
      <c r="AY20" s="224"/>
      <c r="AZ20" s="224"/>
      <c r="BA20" s="224"/>
      <c r="BB20" s="224"/>
      <c r="BC20" s="97"/>
      <c r="BD20" s="224"/>
      <c r="BE20" s="101" t="s">
        <v>1050</v>
      </c>
      <c r="BF20" s="158" t="s">
        <v>1064</v>
      </c>
      <c r="BG20" s="209" t="s">
        <v>898</v>
      </c>
      <c r="BH20" s="209" t="s">
        <v>823</v>
      </c>
      <c r="BI20" s="209" t="s">
        <v>880</v>
      </c>
      <c r="BJ20" s="349">
        <f>SUMIFS(FNRP!AL:AL,FNRP!AI:AI,BI20,FNRP!AK:AK,BH20)*100000/10^9+SUMIFS(TB_HTM[Amt],TB_HTM[Tenor],BI20,TB_HTM[Issuer],BH20)/10^9</f>
        <v>700</v>
      </c>
      <c r="BK20" s="379"/>
      <c r="BM20" s="101" t="s">
        <v>1069</v>
      </c>
      <c r="BN20" s="158" t="s">
        <v>1064</v>
      </c>
      <c r="BO20" s="209" t="s">
        <v>898</v>
      </c>
      <c r="BP20" s="209" t="s">
        <v>823</v>
      </c>
      <c r="BQ20" s="209" t="s">
        <v>880</v>
      </c>
      <c r="BR20" s="227">
        <f>SUMIFS(FNRP!M:M,FNRP!AJ:AJ,BO20,FNRP!AK:AK,BP20,FNRP!AI:AI,BQ20)/10^9+SUMIFS(TB_HTM[Market Value FNRP],TB_HTM[Type],BO20,TB_HTM[Issuer],BP20,TB_HTM[Tenor],BQ20)/10^9</f>
        <v>659.70799999999997</v>
      </c>
      <c r="BS20" s="234"/>
      <c r="BU20" s="101" t="s">
        <v>1071</v>
      </c>
      <c r="BV20" s="158" t="s">
        <v>1064</v>
      </c>
      <c r="BW20" s="209" t="s">
        <v>906</v>
      </c>
      <c r="BX20" s="158"/>
      <c r="BY20" s="158"/>
      <c r="BZ20" s="350" cm="1">
        <f t="array" ref="BZ20">IFERROR(SUMPRODUCT(Tradingbook_MSB[MARKET_VALUE]*Tradingbook_MSB[Modified Duration]*(Tradingbook_MSB[Type]=BW20))/SUMIFS(FNRP!M:M,FNRP!AJ:AJ,BW20),0)</f>
        <v>6.2464749157468571</v>
      </c>
      <c r="CA20" s="351"/>
      <c r="CC20" s="101" t="s">
        <v>852</v>
      </c>
      <c r="CD20" s="158" t="s">
        <v>1064</v>
      </c>
      <c r="CE20" s="209" t="s">
        <v>898</v>
      </c>
      <c r="CF20" s="209"/>
      <c r="CG20" s="209" t="s">
        <v>877</v>
      </c>
      <c r="CH20" s="221">
        <f>SUMIFS(FNRP!AP:AP,FNRP!AJ:AJ,'Phan tich_TB'!CE20,FNRP!AI:AI,'Phan tich_TB'!CG20)/10^9+SUMIFS(TB_HTM[PV01],TB_HTM[Type],'Phan tich_TB'!CE20,TB_HTM[Tenor],'Phan tich_TB'!CG20)</f>
        <v>0</v>
      </c>
      <c r="CN20" s="373"/>
      <c r="EA20" s="209" t="s">
        <v>854</v>
      </c>
      <c r="EB20" s="209" t="s">
        <v>883</v>
      </c>
      <c r="EC20" s="216">
        <f>IFERROR(SUMPRODUCT(Tradingbook_SBV[Conv]*Tradingbook_SBV[MARKET_VALUE]*(Tradingbook_SBV[Tenor]=EB20))/SUMIFS(Tradingbook_SBV[MARKET_VALUE],Tradingbook_SBV[Tenor],EB20),0)</f>
        <v>59.902153786739646</v>
      </c>
      <c r="ED20" s="58"/>
      <c r="EF20" s="209" t="s">
        <v>1072</v>
      </c>
      <c r="EG20" s="209" t="s">
        <v>880</v>
      </c>
      <c r="EH20" s="355">
        <f>SUMIFS(FNRP!DZ:DZ,FNRP!DR:DR,'Phan tich_TB'!EG20)/10^9</f>
        <v>0</v>
      </c>
    </row>
    <row r="21" spans="2:138" x14ac:dyDescent="0.3">
      <c r="B21" s="356" t="s">
        <v>879</v>
      </c>
      <c r="C21" s="360">
        <f t="shared" si="4"/>
        <v>0</v>
      </c>
      <c r="D21" s="360">
        <f t="shared" si="5"/>
        <v>6.2000000000000277</v>
      </c>
      <c r="E21" s="360">
        <f t="shared" si="6"/>
        <v>67.7</v>
      </c>
      <c r="I21" s="356" t="s">
        <v>885</v>
      </c>
      <c r="J21" s="376">
        <f>SUMIFS(FNRP!P:P,FNRP!AI:AI,'Phan tich_TB'!I21)/10^9</f>
        <v>7.1070000000000002</v>
      </c>
      <c r="K21" s="376">
        <f>SUMIFS(FNRP!$Z:$Z,FNRP!$AI:$AI,'Phan tich_TB'!I21)/10^9</f>
        <v>-182.06260000000489</v>
      </c>
      <c r="L21" s="376">
        <f>SUMIFS(FNRP!$AA:$AA,FNRP!$AI:$AI,'Phan tich_TB'!I21)/10^9</f>
        <v>0</v>
      </c>
      <c r="M21" s="376">
        <f t="shared" si="3"/>
        <v>-182.06260000000489</v>
      </c>
      <c r="N21" s="362"/>
      <c r="O21" s="362"/>
      <c r="V21" s="363" t="s">
        <v>1038</v>
      </c>
      <c r="W21" s="535">
        <v>46143</v>
      </c>
      <c r="X21" s="364"/>
      <c r="AC21" s="367"/>
      <c r="AG21" s="224"/>
      <c r="AH21" s="224"/>
      <c r="AI21" s="347"/>
      <c r="AJ21" s="367" t="s">
        <v>7</v>
      </c>
      <c r="AK21" s="224"/>
      <c r="AP21" s="224"/>
      <c r="AQ21" s="745"/>
      <c r="AR21" s="224"/>
      <c r="AS21" s="743"/>
      <c r="AT21" s="563">
        <v>46224</v>
      </c>
      <c r="AU21" s="729" cm="1">
        <f t="array" ref="AU21">IFERROR(SUMPRODUCT(His_yield_bq[YTM_ON BS]%*His_yield_bq[ON BS]*(His_yield_bq[RptDate]=AT21))
*(AT21-AT20)/365,0)</f>
        <v>3.7959292441313797</v>
      </c>
      <c r="AV21" s="729" cm="1">
        <f t="array" ref="AV21">IFERROR(SUMPRODUCT(His_funding_cost[Global amount]*His_funding_cost[Weighted rate]*(His_funding_cost[RptDate]=AT21))
/SUMIFS(His_funding_cost[Global amount],His_funding_cost[RptDate],AT21)
*_xlfn.XLOOKUP(AT21,His_yield_bq[RptDate],His_yield_bq[ON BS],,0)
*(AT21-AT20)/365,0)</f>
        <v>4.3987123536415869</v>
      </c>
      <c r="AW21" s="729">
        <f t="shared" si="2"/>
        <v>-0.60278310951020719</v>
      </c>
      <c r="AY21" s="224"/>
      <c r="AZ21" s="224"/>
      <c r="BA21" s="224"/>
      <c r="BB21" s="224"/>
      <c r="BC21" s="97"/>
      <c r="BD21" s="224"/>
      <c r="BE21" s="101" t="s">
        <v>1050</v>
      </c>
      <c r="BF21" s="158" t="s">
        <v>1064</v>
      </c>
      <c r="BG21" s="209" t="s">
        <v>898</v>
      </c>
      <c r="BH21" s="209" t="s">
        <v>823</v>
      </c>
      <c r="BI21" s="209" t="s">
        <v>881</v>
      </c>
      <c r="BJ21" s="349">
        <f>SUMIFS(FNRP!AL:AL,FNRP!AI:AI,BI21,FNRP!AK:AK,BH21)*100000/10^9+SUMIFS(TB_HTM[Amt],TB_HTM[Tenor],BI21,TB_HTM[Issuer],BH21)/10^9</f>
        <v>110</v>
      </c>
      <c r="BK21" s="379"/>
      <c r="BM21" s="101" t="s">
        <v>1069</v>
      </c>
      <c r="BN21" s="158" t="s">
        <v>1064</v>
      </c>
      <c r="BO21" s="209" t="s">
        <v>898</v>
      </c>
      <c r="BP21" s="209" t="s">
        <v>823</v>
      </c>
      <c r="BQ21" s="209" t="s">
        <v>881</v>
      </c>
      <c r="BR21" s="227">
        <f>SUMIFS(FNRP!M:M,FNRP!AJ:AJ,BO21,FNRP!AK:AK,BP21,FNRP!AI:AI,BQ21)/10^9+SUMIFS(TB_HTM[Market Value FNRP],TB_HTM[Type],BO21,TB_HTM[Issuer],BP21,TB_HTM[Tenor],BQ21)/10^9</f>
        <v>112.3805</v>
      </c>
      <c r="BS21" s="234"/>
      <c r="BU21" s="101" t="s">
        <v>1071</v>
      </c>
      <c r="BV21" s="158" t="s">
        <v>1064</v>
      </c>
      <c r="BW21" s="209" t="s">
        <v>1067</v>
      </c>
      <c r="BX21" s="158"/>
      <c r="BY21" s="158"/>
      <c r="BZ21" s="350" cm="1">
        <f t="array" ref="BZ21">IFERROR(SUMPRODUCT(Tradingbook_MSB[MARKET_VALUE]*Tradingbook_MSB[Modified Duration]*(Tradingbook_MSB[Type]=BW21))/SUMIFS(FNRP!M:M,FNRP!AJ:AJ,BW21),0)</f>
        <v>0</v>
      </c>
      <c r="CA21" s="351"/>
      <c r="CC21" s="101" t="s">
        <v>852</v>
      </c>
      <c r="CD21" s="158" t="s">
        <v>1064</v>
      </c>
      <c r="CE21" s="209" t="s">
        <v>898</v>
      </c>
      <c r="CF21" s="209"/>
      <c r="CG21" s="209" t="s">
        <v>878</v>
      </c>
      <c r="CH21" s="221">
        <f>SUMIFS(FNRP!AP:AP,FNRP!AJ:AJ,'Phan tich_TB'!CE21,FNRP!AI:AI,'Phan tich_TB'!CG21)/10^9+SUMIFS(TB_HTM[PV01],TB_HTM[Type],'Phan tich_TB'!CE21,TB_HTM[Tenor],'Phan tich_TB'!CG21)</f>
        <v>0</v>
      </c>
      <c r="CN21" s="373"/>
      <c r="EA21" s="209" t="s">
        <v>854</v>
      </c>
      <c r="EB21" s="209" t="s">
        <v>884</v>
      </c>
      <c r="EC21" s="216">
        <f>IFERROR(SUMPRODUCT(Tradingbook_SBV[Conv]*Tradingbook_SBV[MARKET_VALUE]*(Tradingbook_SBV[Tenor]=EB21))/SUMIFS(Tradingbook_SBV[MARKET_VALUE],Tradingbook_SBV[Tenor],EB21),0)</f>
        <v>108.1898769399865</v>
      </c>
      <c r="ED21" s="58"/>
      <c r="EF21" s="209" t="s">
        <v>1072</v>
      </c>
      <c r="EG21" s="209" t="s">
        <v>881</v>
      </c>
      <c r="EH21" s="355">
        <f>SUMIFS(FNRP!DZ:DZ,FNRP!DR:DR,'Phan tich_TB'!EG21)/10^9</f>
        <v>0</v>
      </c>
    </row>
    <row r="22" spans="2:138" x14ac:dyDescent="0.3">
      <c r="B22" s="356" t="s">
        <v>880</v>
      </c>
      <c r="C22" s="360">
        <f t="shared" si="4"/>
        <v>-0.49999999999998934</v>
      </c>
      <c r="D22" s="360">
        <f t="shared" si="5"/>
        <v>4.3000000000000149</v>
      </c>
      <c r="E22" s="360">
        <f t="shared" si="6"/>
        <v>83</v>
      </c>
      <c r="I22" s="356" t="s">
        <v>886</v>
      </c>
      <c r="J22" s="376">
        <f>SUMIFS(FNRP!P:P,FNRP!AI:AI,'Phan tich_TB'!I22)/10^9</f>
        <v>202.465</v>
      </c>
      <c r="K22" s="376">
        <f>SUMIFS(FNRP!$Z:$Z,FNRP!$AI:$AI,'Phan tich_TB'!I22)/10^9</f>
        <v>350.8700243851294</v>
      </c>
      <c r="L22" s="376">
        <f>SUMIFS(FNRP!$AA:$AA,FNRP!$AI:$AI,'Phan tich_TB'!I22)/10^9</f>
        <v>0</v>
      </c>
      <c r="M22" s="376">
        <f t="shared" si="3"/>
        <v>350.8700243851294</v>
      </c>
      <c r="N22" s="362"/>
      <c r="O22" s="362"/>
      <c r="V22" s="363" t="s">
        <v>1039</v>
      </c>
      <c r="W22" s="535">
        <v>46174</v>
      </c>
      <c r="X22" s="364"/>
      <c r="AC22" s="224"/>
      <c r="AG22" s="224"/>
      <c r="AH22" s="224"/>
      <c r="AI22" s="347"/>
      <c r="AJ22" s="224"/>
      <c r="AK22" s="224"/>
      <c r="AP22" s="224"/>
      <c r="AQ22" s="745"/>
      <c r="AR22" s="224"/>
      <c r="AS22" s="743"/>
      <c r="AT22" s="563">
        <v>46225</v>
      </c>
      <c r="AU22" s="729" cm="1">
        <f t="array" ref="AU22">IFERROR(SUMPRODUCT(His_yield_bq[YTM_ON BS]%*His_yield_bq[ON BS]*(His_yield_bq[RptDate]=AT22))
*(AT22-AT21)/365,0)</f>
        <v>3.9862206155824298</v>
      </c>
      <c r="AV22" s="729" cm="1">
        <f t="array" ref="AV22">IFERROR(SUMPRODUCT(His_funding_cost[Global amount]*His_funding_cost[Weighted rate]*(His_funding_cost[RptDate]=AT22))
/SUMIFS(His_funding_cost[Global amount],His_funding_cost[RptDate],AT22)
*_xlfn.XLOOKUP(AT22,His_yield_bq[RptDate],His_yield_bq[ON BS],,0)
*(AT22-AT21)/365,0)</f>
        <v>4.5881577041789114</v>
      </c>
      <c r="AW22" s="729">
        <f t="shared" si="2"/>
        <v>-0.60193708859648165</v>
      </c>
      <c r="AY22" s="224"/>
      <c r="AZ22" s="224"/>
      <c r="BA22" s="224"/>
      <c r="BB22" s="224"/>
      <c r="BC22" s="97"/>
      <c r="BD22" s="224"/>
      <c r="BE22" s="101" t="s">
        <v>1050</v>
      </c>
      <c r="BF22" s="158" t="s">
        <v>1064</v>
      </c>
      <c r="BG22" s="209" t="s">
        <v>898</v>
      </c>
      <c r="BH22" s="209" t="s">
        <v>823</v>
      </c>
      <c r="BI22" s="209" t="s">
        <v>882</v>
      </c>
      <c r="BJ22" s="349">
        <f>SUMIFS(FNRP!AL:AL,FNRP!AI:AI,BI22,FNRP!AK:AK,BH22)*100000/10^9+SUMIFS(TB_HTM[Amt],TB_HTM[Tenor],BI22,TB_HTM[Issuer],BH22)/10^9</f>
        <v>2994</v>
      </c>
      <c r="BK22" s="379"/>
      <c r="BL22" s="362"/>
      <c r="BM22" s="101" t="s">
        <v>1069</v>
      </c>
      <c r="BN22" s="158" t="s">
        <v>1064</v>
      </c>
      <c r="BO22" s="209" t="s">
        <v>898</v>
      </c>
      <c r="BP22" s="209" t="s">
        <v>823</v>
      </c>
      <c r="BQ22" s="209" t="s">
        <v>882</v>
      </c>
      <c r="BR22" s="227">
        <f>SUMIFS(FNRP!M:M,FNRP!AJ:AJ,BO22,FNRP!AK:AK,BP22,FNRP!AI:AI,BQ22)/10^9+SUMIFS(TB_HTM[Market Value FNRP],TB_HTM[Type],BO22,TB_HTM[Issuer],BP22,TB_HTM[Tenor],BQ22)/10^9</f>
        <v>2866.6287400000001</v>
      </c>
      <c r="BS22" s="234"/>
      <c r="BU22" s="101" t="s">
        <v>1071</v>
      </c>
      <c r="BV22" s="158" t="s">
        <v>1064</v>
      </c>
      <c r="BW22" s="209" t="s">
        <v>906</v>
      </c>
      <c r="BX22" s="209" t="s">
        <v>821</v>
      </c>
      <c r="BY22" s="158"/>
      <c r="BZ22" s="350" cm="1">
        <f t="array" ref="BZ22">IFERROR(SUMPRODUCT(Tradingbook_MSB[MARKET_VALUE]*Tradingbook_MSB[Modified Duration]*(Tradingbook_MSB[Type]=BW22)*(Tradingbook_MSB[Issuer]=BX22))/SUMIFS(FNRP!M:M,FNRP!AJ:AJ,BW22,FNRP!AK:AK,BX22),0)</f>
        <v>2.1768855993835423</v>
      </c>
      <c r="CA22" s="351"/>
      <c r="CC22" s="101" t="s">
        <v>852</v>
      </c>
      <c r="CD22" s="158" t="s">
        <v>1064</v>
      </c>
      <c r="CE22" s="209" t="s">
        <v>898</v>
      </c>
      <c r="CF22" s="209"/>
      <c r="CG22" s="209" t="s">
        <v>879</v>
      </c>
      <c r="CH22" s="221">
        <f>SUMIFS(FNRP!AP:AP,FNRP!AJ:AJ,'Phan tich_TB'!CE22,FNRP!AI:AI,'Phan tich_TB'!CG22)/10^9+SUMIFS(TB_HTM[PV01],TB_HTM[Type],'Phan tich_TB'!CE22,TB_HTM[Tenor],'Phan tich_TB'!CG22)</f>
        <v>0</v>
      </c>
      <c r="CN22" s="373"/>
      <c r="EA22" s="209" t="s">
        <v>854</v>
      </c>
      <c r="EB22" s="209" t="s">
        <v>885</v>
      </c>
      <c r="EC22" s="216">
        <f>IFERROR(SUMPRODUCT(Tradingbook_SBV[Conv]*Tradingbook_SBV[MARKET_VALUE]*(Tradingbook_SBV[Tenor]=EB22))/SUMIFS(Tradingbook_SBV[MARKET_VALUE],Tradingbook_SBV[Tenor],EB22),0)</f>
        <v>0</v>
      </c>
      <c r="ED22" s="58"/>
      <c r="EF22" s="209" t="s">
        <v>1072</v>
      </c>
      <c r="EG22" s="209" t="s">
        <v>882</v>
      </c>
      <c r="EH22" s="355">
        <f>SUMIFS(FNRP!DZ:DZ,FNRP!DR:DR,'Phan tich_TB'!EG22)/10^9</f>
        <v>-12.265869575</v>
      </c>
    </row>
    <row r="23" spans="2:138" x14ac:dyDescent="0.3">
      <c r="B23" s="356" t="s">
        <v>881</v>
      </c>
      <c r="C23" s="360">
        <f t="shared" si="4"/>
        <v>-0.99999999999997868</v>
      </c>
      <c r="D23" s="360">
        <f t="shared" si="5"/>
        <v>2.4000000000000021</v>
      </c>
      <c r="E23" s="360">
        <f t="shared" si="6"/>
        <v>98.400000000000048</v>
      </c>
      <c r="J23" s="388">
        <f>SUM(J12:J22)</f>
        <v>8488.8848776000013</v>
      </c>
      <c r="K23" s="388">
        <f>SUM(K12:K22)</f>
        <v>1714.6434640892344</v>
      </c>
      <c r="L23" s="388">
        <f>SUM(L12:L22)</f>
        <v>-1246.1317446005301</v>
      </c>
      <c r="M23" s="388">
        <f>SUM(M12:M22)</f>
        <v>468.51171948870524</v>
      </c>
      <c r="N23" s="389"/>
      <c r="O23" s="362"/>
      <c r="V23" s="363" t="s">
        <v>1040</v>
      </c>
      <c r="W23" s="535">
        <v>46204</v>
      </c>
      <c r="X23" s="364"/>
      <c r="AA23" s="232"/>
      <c r="AC23" s="224"/>
      <c r="AG23" s="224"/>
      <c r="AH23" s="224"/>
      <c r="AI23" s="347"/>
      <c r="AJ23" s="224"/>
      <c r="AK23" s="224"/>
      <c r="AP23" s="224"/>
      <c r="AQ23" s="745"/>
      <c r="AR23" s="224"/>
      <c r="AS23" s="743"/>
      <c r="AT23" s="563">
        <v>46226</v>
      </c>
      <c r="AU23" s="729" cm="1">
        <f t="array" ref="AU23">IFERROR(SUMPRODUCT(His_yield_bq[YTM_ON BS]%*His_yield_bq[ON BS]*(His_yield_bq[RptDate]=AT23))
*(AT23-AT22)/365,0)</f>
        <v>4.0125333740410687</v>
      </c>
      <c r="AV23" s="729" cm="1">
        <f t="array" ref="AV23">IFERROR(SUMPRODUCT(His_funding_cost[Global amount]*His_funding_cost[Weighted rate]*(His_funding_cost[RptDate]=AT23))
/SUMIFS(His_funding_cost[Global amount],His_funding_cost[RptDate],AT23)
*_xlfn.XLOOKUP(AT23,His_yield_bq[RptDate],His_yield_bq[ON BS],,0)
*(AT23-AT22)/365,0)</f>
        <v>4.6018383026704592</v>
      </c>
      <c r="AW23" s="729">
        <f t="shared" si="2"/>
        <v>-0.58930492862939055</v>
      </c>
      <c r="AY23" s="224"/>
      <c r="AZ23" s="224"/>
      <c r="BA23" s="224"/>
      <c r="BB23" s="224"/>
      <c r="BC23" s="97"/>
      <c r="BD23" s="224"/>
      <c r="BE23" s="101" t="s">
        <v>1050</v>
      </c>
      <c r="BF23" s="158" t="s">
        <v>1064</v>
      </c>
      <c r="BG23" s="209" t="s">
        <v>898</v>
      </c>
      <c r="BH23" s="209" t="s">
        <v>823</v>
      </c>
      <c r="BI23" s="209" t="s">
        <v>883</v>
      </c>
      <c r="BJ23" s="349">
        <f>SUMIFS(FNRP!AL:AL,FNRP!AI:AI,BI23,FNRP!AK:AK,BH23)*100000/10^9+SUMIFS(TB_HTM[Amt],TB_HTM[Tenor],BI23,TB_HTM[Issuer],BH23)/10^9</f>
        <v>6337</v>
      </c>
      <c r="BK23" s="379"/>
      <c r="BL23" s="362"/>
      <c r="BM23" s="101" t="s">
        <v>1069</v>
      </c>
      <c r="BN23" s="158" t="s">
        <v>1064</v>
      </c>
      <c r="BO23" s="209" t="s">
        <v>898</v>
      </c>
      <c r="BP23" s="209" t="s">
        <v>823</v>
      </c>
      <c r="BQ23" s="209" t="s">
        <v>883</v>
      </c>
      <c r="BR23" s="227">
        <f>SUMIFS(FNRP!M:M,FNRP!AJ:AJ,BO23,FNRP!AK:AK,BP23,FNRP!AI:AI,BQ23)/10^9+SUMIFS(TB_HTM[Market Value FNRP],TB_HTM[Type],BO23,TB_HTM[Issuer],BP23,TB_HTM[Tenor],BQ23)/10^9</f>
        <v>5723.9895800000004</v>
      </c>
      <c r="BS23" s="234"/>
      <c r="BU23" s="101" t="s">
        <v>1071</v>
      </c>
      <c r="BV23" s="158" t="s">
        <v>1064</v>
      </c>
      <c r="BW23" s="209" t="s">
        <v>906</v>
      </c>
      <c r="BX23" s="209" t="s">
        <v>905</v>
      </c>
      <c r="BY23" s="158"/>
      <c r="BZ23" s="350" cm="1">
        <f t="array" ref="BZ23">IFERROR(SUMPRODUCT(Tradingbook_MSB[MARKET_VALUE]*Tradingbook_MSB[Modified Duration]*(Tradingbook_MSB[Type]=BW23)*(Tradingbook_MSB[Issuer]=BX23))/SUMIFS(FNRP!M:M,FNRP!AJ:AJ,BW23,FNRP!AK:AK,BX23),0)</f>
        <v>7.2798702320051483</v>
      </c>
      <c r="CA23" s="351"/>
      <c r="CC23" s="101" t="s">
        <v>852</v>
      </c>
      <c r="CD23" s="158" t="s">
        <v>1064</v>
      </c>
      <c r="CE23" s="209" t="s">
        <v>898</v>
      </c>
      <c r="CF23" s="209"/>
      <c r="CG23" s="209" t="s">
        <v>880</v>
      </c>
      <c r="CH23" s="221">
        <f>SUMIFS(FNRP!AP:AP,FNRP!AJ:AJ,'Phan tich_TB'!CE23,FNRP!AI:AI,'Phan tich_TB'!CG23)/10^9+SUMIFS(TB_HTM[PV01],TB_HTM[Type],'Phan tich_TB'!CE23,TB_HTM[Tenor],'Phan tich_TB'!CG23)</f>
        <v>-0.25210410291427476</v>
      </c>
      <c r="CN23" s="373"/>
      <c r="EA23" s="209" t="s">
        <v>854</v>
      </c>
      <c r="EB23" s="209" t="s">
        <v>886</v>
      </c>
      <c r="EC23" s="216">
        <f>IFERROR(SUMPRODUCT(Tradingbook_SBV[Conv]*Tradingbook_SBV[MARKET_VALUE]*(Tradingbook_SBV[Tenor]=EB23))/SUMIFS(Tradingbook_SBV[MARKET_VALUE],Tradingbook_SBV[Tenor],EB23),0)</f>
        <v>0</v>
      </c>
      <c r="ED23" s="54"/>
      <c r="EF23" s="209" t="s">
        <v>1072</v>
      </c>
      <c r="EG23" s="209" t="s">
        <v>883</v>
      </c>
      <c r="EH23" s="355">
        <f>SUMIFS(FNRP!DZ:DZ,FNRP!DR:DR,'Phan tich_TB'!EG23)/10^9</f>
        <v>-109.16390110000002</v>
      </c>
    </row>
    <row r="24" spans="2:138" x14ac:dyDescent="0.3">
      <c r="B24" s="356" t="s">
        <v>882</v>
      </c>
      <c r="C24" s="360">
        <f t="shared" si="4"/>
        <v>-0.19999999999997797</v>
      </c>
      <c r="D24" s="360">
        <f t="shared" si="5"/>
        <v>4.0000000000000036</v>
      </c>
      <c r="E24" s="360">
        <f t="shared" si="6"/>
        <v>81.400000000000006</v>
      </c>
      <c r="J24" s="396"/>
      <c r="K24" s="396"/>
      <c r="L24" s="396"/>
      <c r="M24" s="396"/>
      <c r="O24" s="362"/>
      <c r="V24" s="363" t="s">
        <v>1041</v>
      </c>
      <c r="W24" s="535">
        <v>46235</v>
      </c>
      <c r="X24" s="364"/>
      <c r="AC24" s="224"/>
      <c r="AG24" s="224"/>
      <c r="AH24" s="224"/>
      <c r="AI24" s="347"/>
      <c r="AJ24" s="224"/>
      <c r="AK24" s="224"/>
      <c r="AP24" s="224"/>
      <c r="AQ24" s="745"/>
      <c r="AR24" s="224"/>
      <c r="AS24" s="743"/>
      <c r="AT24" s="563">
        <v>46227</v>
      </c>
      <c r="AU24" s="729" cm="1">
        <f t="array" ref="AU24">IFERROR(SUMPRODUCT(His_yield_bq[YTM_ON BS]%*His_yield_bq[ON BS]*(His_yield_bq[RptDate]=AT24))
*(AT24-AT23)/365,0)</f>
        <v>3.9192658818051003</v>
      </c>
      <c r="AV24" s="729" cm="1">
        <f t="array" ref="AV24">IFERROR(SUMPRODUCT(His_funding_cost[Global amount]*His_funding_cost[Weighted rate]*(His_funding_cost[RptDate]=AT24))
/SUMIFS(His_funding_cost[Global amount],His_funding_cost[RptDate],AT24)
*_xlfn.XLOOKUP(AT24,His_yield_bq[RptDate],His_yield_bq[ON BS],,0)
*(AT24-AT23)/365,0)</f>
        <v>4.5103836429970778</v>
      </c>
      <c r="AW24" s="729">
        <f t="shared" si="2"/>
        <v>-0.59111776119197756</v>
      </c>
      <c r="AY24" s="224"/>
      <c r="AZ24" s="224"/>
      <c r="BA24" s="224"/>
      <c r="BB24" s="224"/>
      <c r="BC24" s="97"/>
      <c r="BD24" s="224"/>
      <c r="BE24" s="101" t="s">
        <v>1050</v>
      </c>
      <c r="BF24" s="158" t="s">
        <v>1064</v>
      </c>
      <c r="BG24" s="209" t="s">
        <v>898</v>
      </c>
      <c r="BH24" s="209" t="s">
        <v>823</v>
      </c>
      <c r="BI24" s="209" t="s">
        <v>884</v>
      </c>
      <c r="BJ24" s="349">
        <f>SUMIFS(FNRP!AL:AL,FNRP!AI:AI,BI24,FNRP!AK:AK,BH24)*100000/10^9+SUMIFS(TB_HTM[Amt],TB_HTM[Tenor],BI24,TB_HTM[Issuer],BH24)/10^9</f>
        <v>2162</v>
      </c>
      <c r="BK24" s="379"/>
      <c r="BL24" s="362"/>
      <c r="BM24" s="101" t="s">
        <v>1069</v>
      </c>
      <c r="BN24" s="158" t="s">
        <v>1064</v>
      </c>
      <c r="BO24" s="209" t="s">
        <v>898</v>
      </c>
      <c r="BP24" s="209" t="s">
        <v>823</v>
      </c>
      <c r="BQ24" s="209" t="s">
        <v>884</v>
      </c>
      <c r="BR24" s="227">
        <f>SUMIFS(FNRP!M:M,FNRP!AJ:AJ,BO24,FNRP!AK:AK,BP24,FNRP!AI:AI,BQ24)/10^9+SUMIFS(TB_HTM[Market Value FNRP],TB_HTM[Type],BO24,TB_HTM[Issuer],BP24,TB_HTM[Tenor],BQ24)/10^9</f>
        <v>1848.35808</v>
      </c>
      <c r="BS24" s="234"/>
      <c r="BU24" s="101" t="s">
        <v>1071</v>
      </c>
      <c r="BV24" s="158" t="s">
        <v>1064</v>
      </c>
      <c r="BW24" s="209" t="s">
        <v>1030</v>
      </c>
      <c r="BX24" s="209"/>
      <c r="BY24" s="209" t="s">
        <v>877</v>
      </c>
      <c r="BZ24" s="350" cm="1">
        <f t="array" ref="BZ24">IFERROR(SUMPRODUCT(Tradingbook_MSB[Modified Duration]*Tradingbook_MSB[MARKET_VALUE]*(Tradingbook_MSB[Tenor]=BY24))/SUMIFS(FNRP!M:M,FNRP!AI:AI,BY24),0)</f>
        <v>0</v>
      </c>
      <c r="CA24" s="351"/>
      <c r="CC24" s="101" t="s">
        <v>852</v>
      </c>
      <c r="CD24" s="158" t="s">
        <v>1064</v>
      </c>
      <c r="CE24" s="209" t="s">
        <v>898</v>
      </c>
      <c r="CF24" s="209"/>
      <c r="CG24" s="209" t="s">
        <v>881</v>
      </c>
      <c r="CH24" s="221">
        <f>SUMIFS(FNRP!AP:AP,FNRP!AJ:AJ,'Phan tich_TB'!CE24,FNRP!AI:AI,'Phan tich_TB'!CG24)/10^9+SUMIFS(TB_HTM[PV01],TB_HTM[Type],'Phan tich_TB'!CE24,TB_HTM[Tenor],'Phan tich_TB'!CG24)</f>
        <v>-4.6764067196918453E-2</v>
      </c>
      <c r="CN24" s="373"/>
      <c r="ED24" s="58"/>
      <c r="EF24" s="209" t="s">
        <v>1072</v>
      </c>
      <c r="EG24" s="209" t="s">
        <v>884</v>
      </c>
      <c r="EH24" s="355">
        <f>SUMIFS(FNRP!DZ:DZ,FNRP!DR:DR,'Phan tich_TB'!EG24)/10^9</f>
        <v>-37.580366900000001</v>
      </c>
    </row>
    <row r="25" spans="2:138" x14ac:dyDescent="0.3">
      <c r="B25" s="356" t="s">
        <v>883</v>
      </c>
      <c r="C25" s="360">
        <f t="shared" si="4"/>
        <v>-0.49999999999998934</v>
      </c>
      <c r="D25" s="360">
        <f t="shared" si="5"/>
        <v>3.8000000000000256</v>
      </c>
      <c r="E25" s="360">
        <f t="shared" si="6"/>
        <v>40.80000000000004</v>
      </c>
      <c r="J25" s="362"/>
      <c r="K25" s="362"/>
      <c r="L25" s="362"/>
      <c r="M25" s="362"/>
      <c r="V25" s="363" t="s">
        <v>1042</v>
      </c>
      <c r="W25" s="535">
        <v>46266</v>
      </c>
      <c r="X25" s="364"/>
      <c r="AC25" s="224"/>
      <c r="AG25" s="224"/>
      <c r="AH25" s="224"/>
      <c r="AI25" s="347"/>
      <c r="AJ25" s="224"/>
      <c r="AK25" s="224"/>
      <c r="AP25" s="224"/>
      <c r="AQ25" s="745"/>
      <c r="AR25" s="224"/>
      <c r="AS25" s="743"/>
      <c r="AT25" s="563">
        <v>46230</v>
      </c>
      <c r="AU25" s="729" cm="1">
        <f t="array" ref="AU25">IFERROR(SUMPRODUCT(His_yield_bq[YTM_ON BS]%*His_yield_bq[ON BS]*(His_yield_bq[RptDate]=AT25))
*(AT25-AT24)/365,0)</f>
        <v>12.509999320301981</v>
      </c>
      <c r="AV25" s="729" cm="1">
        <f t="array" ref="AV25">IFERROR(SUMPRODUCT(His_funding_cost[Global amount]*His_funding_cost[Weighted rate]*(His_funding_cost[RptDate]=AT25))
/SUMIFS(His_funding_cost[Global amount],His_funding_cost[RptDate],AT25)
*_xlfn.XLOOKUP(AT25,His_yield_bq[RptDate],His_yield_bq[ON BS],,0)
*(AT25-AT24)/365,0)</f>
        <v>14.491823540243736</v>
      </c>
      <c r="AW25" s="729">
        <f t="shared" si="2"/>
        <v>-1.9818242199417551</v>
      </c>
      <c r="AY25" s="224"/>
      <c r="AZ25" s="224"/>
      <c r="BA25" s="224"/>
      <c r="BB25" s="224"/>
      <c r="BC25" s="97"/>
      <c r="BD25" s="224"/>
      <c r="BE25" s="101" t="s">
        <v>1050</v>
      </c>
      <c r="BF25" s="158" t="s">
        <v>1064</v>
      </c>
      <c r="BG25" s="209" t="s">
        <v>898</v>
      </c>
      <c r="BH25" s="209" t="s">
        <v>823</v>
      </c>
      <c r="BI25" s="209" t="s">
        <v>885</v>
      </c>
      <c r="BJ25" s="349">
        <f>SUMIFS(FNRP!AL:AL,FNRP!AI:AI,BI25,FNRP!AK:AK,BH25)*100000/10^9+SUMIFS(TB_HTM[Amt],TB_HTM[Tenor],BI25,TB_HTM[Issuer],BH25)/10^9</f>
        <v>0</v>
      </c>
      <c r="BK25" s="379"/>
      <c r="BL25" s="362"/>
      <c r="BM25" s="101" t="s">
        <v>1069</v>
      </c>
      <c r="BN25" s="158" t="s">
        <v>1064</v>
      </c>
      <c r="BO25" s="209" t="s">
        <v>898</v>
      </c>
      <c r="BP25" s="209" t="s">
        <v>823</v>
      </c>
      <c r="BQ25" s="209" t="s">
        <v>885</v>
      </c>
      <c r="BR25" s="227">
        <f>SUMIFS(FNRP!M:M,FNRP!AJ:AJ,BO25,FNRP!AK:AK,BP25,FNRP!AI:AI,BQ25)/10^9+SUMIFS(TB_HTM[Market Value FNRP],TB_HTM[Type],BO25,TB_HTM[Issuer],BP25,TB_HTM[Tenor],BQ25)/10^9</f>
        <v>0</v>
      </c>
      <c r="BS25" s="234"/>
      <c r="BU25" s="101" t="s">
        <v>1071</v>
      </c>
      <c r="BV25" s="158" t="s">
        <v>1064</v>
      </c>
      <c r="BW25" s="209" t="s">
        <v>1030</v>
      </c>
      <c r="BX25" s="209"/>
      <c r="BY25" s="209" t="s">
        <v>878</v>
      </c>
      <c r="BZ25" s="350" cm="1">
        <f t="array" ref="BZ25">IFERROR(SUMPRODUCT(Tradingbook_MSB[Modified Duration]*Tradingbook_MSB[MARKET_VALUE]*(Tradingbook_MSB[Tenor]=BY25))/SUMIFS(FNRP!M:M,FNRP!AI:AI,BY25),0)</f>
        <v>0</v>
      </c>
      <c r="CA25" s="351"/>
      <c r="CC25" s="101" t="s">
        <v>852</v>
      </c>
      <c r="CD25" s="158" t="s">
        <v>1064</v>
      </c>
      <c r="CE25" s="209" t="s">
        <v>898</v>
      </c>
      <c r="CF25" s="209"/>
      <c r="CG25" s="209" t="s">
        <v>882</v>
      </c>
      <c r="CH25" s="221">
        <f>SUMIFS(FNRP!AP:AP,FNRP!AJ:AJ,'Phan tich_TB'!CE25,FNRP!AI:AI,'Phan tich_TB'!CG25)/10^9+SUMIFS(TB_HTM[PV01],TB_HTM[Type],'Phan tich_TB'!CE25,TB_HTM[Tenor],'Phan tich_TB'!CG25)</f>
        <v>-1.6891831562804962</v>
      </c>
      <c r="ED25" s="58"/>
      <c r="EF25" s="209" t="s">
        <v>1072</v>
      </c>
      <c r="EG25" s="209" t="s">
        <v>885</v>
      </c>
      <c r="EH25" s="355">
        <f>SUMIFS(FNRP!DZ:DZ,FNRP!DR:DR,'Phan tich_TB'!EG25)/10^9</f>
        <v>0</v>
      </c>
    </row>
    <row r="26" spans="2:138" x14ac:dyDescent="0.3">
      <c r="B26" s="356" t="s">
        <v>884</v>
      </c>
      <c r="C26" s="360">
        <f t="shared" si="4"/>
        <v>0</v>
      </c>
      <c r="D26" s="360">
        <f t="shared" si="5"/>
        <v>0</v>
      </c>
      <c r="E26" s="360">
        <f t="shared" si="6"/>
        <v>47.000000000000064</v>
      </c>
      <c r="I26" s="340" t="s">
        <v>843</v>
      </c>
      <c r="J26" s="340" t="s">
        <v>1032</v>
      </c>
      <c r="K26" s="341" t="s">
        <v>1076</v>
      </c>
      <c r="L26" s="341" t="s">
        <v>1077</v>
      </c>
      <c r="M26" s="341" t="s">
        <v>2252</v>
      </c>
      <c r="N26" s="362"/>
      <c r="V26" s="363" t="s">
        <v>1043</v>
      </c>
      <c r="W26" s="535">
        <v>46296</v>
      </c>
      <c r="X26" s="364"/>
      <c r="AC26" s="224"/>
      <c r="AG26" s="224"/>
      <c r="AH26" s="224"/>
      <c r="AI26" s="347"/>
      <c r="AJ26" s="224"/>
      <c r="AK26" s="224"/>
      <c r="AP26" s="224"/>
      <c r="AQ26" s="745"/>
      <c r="AR26" s="224"/>
      <c r="AS26" s="743"/>
      <c r="AT26" s="563">
        <v>46231</v>
      </c>
      <c r="AU26" s="729" cm="1">
        <f t="array" ref="AU26">IFERROR(SUMPRODUCT(His_yield_bq[YTM_ON BS]%*His_yield_bq[ON BS]*(His_yield_bq[RptDate]=AT26))
*(AT26-AT25)/365,0)</f>
        <v>4.4685519652000352</v>
      </c>
      <c r="AV26" s="729" cm="1">
        <f t="array" ref="AV26">IFERROR(SUMPRODUCT(His_funding_cost[Global amount]*His_funding_cost[Weighted rate]*(His_funding_cost[RptDate]=AT26))
/SUMIFS(His_funding_cost[Global amount],His_funding_cost[RptDate],AT26)
*_xlfn.XLOOKUP(AT26,His_yield_bq[RptDate],His_yield_bq[ON BS],,0)
*(AT26-AT25)/365,0)</f>
        <v>5.1277914662763129</v>
      </c>
      <c r="AW26" s="729">
        <f t="shared" si="2"/>
        <v>-0.65923950107627771</v>
      </c>
      <c r="AY26" s="224"/>
      <c r="AZ26" s="224"/>
      <c r="BA26" s="224"/>
      <c r="BB26" s="224"/>
      <c r="BC26" s="97"/>
      <c r="BD26" s="224"/>
      <c r="BE26" s="101" t="s">
        <v>1050</v>
      </c>
      <c r="BF26" s="158" t="s">
        <v>1064</v>
      </c>
      <c r="BG26" s="209" t="s">
        <v>898</v>
      </c>
      <c r="BH26" s="209" t="s">
        <v>823</v>
      </c>
      <c r="BI26" s="209" t="s">
        <v>886</v>
      </c>
      <c r="BJ26" s="349">
        <f>SUMIFS(FNRP!AL:AL,FNRP!AI:AI,BI26,FNRP!AK:AK,BH26)*100000/10^9+SUMIFS(TB_HTM[Amt],TB_HTM[Tenor],BI26,TB_HTM[Issuer],BH26)/10^9</f>
        <v>0</v>
      </c>
      <c r="BK26" s="379"/>
      <c r="BL26" s="362"/>
      <c r="BM26" s="101" t="s">
        <v>1069</v>
      </c>
      <c r="BN26" s="158" t="s">
        <v>1064</v>
      </c>
      <c r="BO26" s="209" t="s">
        <v>898</v>
      </c>
      <c r="BP26" s="209" t="s">
        <v>823</v>
      </c>
      <c r="BQ26" s="209" t="s">
        <v>886</v>
      </c>
      <c r="BR26" s="227">
        <f>SUMIFS(FNRP!M:M,FNRP!AJ:AJ,BO26,FNRP!AK:AK,BP26,FNRP!AI:AI,BQ26)/10^9+SUMIFS(TB_HTM[Market Value FNRP],TB_HTM[Type],BO26,TB_HTM[Issuer],BP26,TB_HTM[Tenor],BQ26)/10^9</f>
        <v>0</v>
      </c>
      <c r="BS26" s="234"/>
      <c r="BU26" s="101" t="s">
        <v>1071</v>
      </c>
      <c r="BV26" s="158" t="s">
        <v>1064</v>
      </c>
      <c r="BW26" s="209" t="s">
        <v>1030</v>
      </c>
      <c r="BX26" s="209"/>
      <c r="BY26" s="209" t="s">
        <v>879</v>
      </c>
      <c r="BZ26" s="350" cm="1">
        <f t="array" ref="BZ26">IFERROR(SUMPRODUCT(Tradingbook_MSB[Modified Duration]*Tradingbook_MSB[MARKET_VALUE]*(Tradingbook_MSB[Tenor]=BY26))/SUMIFS(FNRP!M:M,FNRP!AI:AI,BY26),0)</f>
        <v>2.6239055386625001</v>
      </c>
      <c r="CA26" s="351"/>
      <c r="CC26" s="101" t="s">
        <v>852</v>
      </c>
      <c r="CD26" s="158" t="s">
        <v>1064</v>
      </c>
      <c r="CE26" s="209" t="s">
        <v>898</v>
      </c>
      <c r="CF26" s="209"/>
      <c r="CG26" s="209" t="s">
        <v>883</v>
      </c>
      <c r="CH26" s="221">
        <f>SUMIFS(FNRP!AP:AP,FNRP!AJ:AJ,'Phan tich_TB'!CE26,FNRP!AI:AI,'Phan tich_TB'!CG26)/10^9+SUMIFS(TB_HTM[PV01],TB_HTM[Type],'Phan tich_TB'!CE26,TB_HTM[Tenor],'Phan tich_TB'!CG26)</f>
        <v>-4.0415693758553859</v>
      </c>
      <c r="ED26" s="58"/>
      <c r="EF26" s="209" t="s">
        <v>1072</v>
      </c>
      <c r="EG26" s="209" t="s">
        <v>886</v>
      </c>
      <c r="EH26" s="355">
        <f>SUMIFS(FNRP!DZ:DZ,FNRP!DR:DR,'Phan tich_TB'!EG26)/10^9</f>
        <v>0</v>
      </c>
    </row>
    <row r="27" spans="2:138" x14ac:dyDescent="0.3">
      <c r="B27" s="356" t="s">
        <v>885</v>
      </c>
      <c r="C27" s="360">
        <f t="shared" si="4"/>
        <v>0</v>
      </c>
      <c r="D27" s="360">
        <f t="shared" si="5"/>
        <v>0.80000000000000071</v>
      </c>
      <c r="E27" s="360">
        <f t="shared" si="6"/>
        <v>55.3</v>
      </c>
      <c r="I27" s="81" t="s">
        <v>1030</v>
      </c>
      <c r="J27" s="127">
        <f>SUMIFS(FNRP!P:P,FNRP!J:J,"&gt;="&amp;0)/10^9</f>
        <v>8533.1348775999995</v>
      </c>
      <c r="K27" s="376">
        <f>SUM(FNRP!Z:Z)/10^9</f>
        <v>1714.6434640892348</v>
      </c>
      <c r="L27" s="376">
        <f>SUM(FNRP!AA:AA)/10^9</f>
        <v>-1246.1317446005296</v>
      </c>
      <c r="M27" s="360">
        <f>+K27+L27</f>
        <v>468.51171948870524</v>
      </c>
      <c r="V27" s="363" t="s">
        <v>2204</v>
      </c>
      <c r="W27" s="535">
        <v>46327</v>
      </c>
      <c r="X27" s="364"/>
      <c r="AC27" s="224"/>
      <c r="AG27" s="224"/>
      <c r="AH27" s="224"/>
      <c r="AI27" s="224"/>
      <c r="AJ27" s="224"/>
      <c r="AK27" s="224"/>
      <c r="AP27" s="224"/>
      <c r="AQ27" s="745"/>
      <c r="AR27" s="224"/>
      <c r="AS27" s="743"/>
      <c r="AT27" s="563">
        <v>46232</v>
      </c>
      <c r="AU27" s="729" cm="1">
        <f t="array" ref="AU27">IFERROR(SUMPRODUCT(His_yield_bq[YTM_ON BS]%*His_yield_bq[ON BS]*(His_yield_bq[RptDate]=AT27))
*(AT27-AT26)/365,0)</f>
        <v>4.4146862117647174</v>
      </c>
      <c r="AV27" s="729" cm="1">
        <f t="array" ref="AV27">IFERROR(SUMPRODUCT(His_funding_cost[Global amount]*His_funding_cost[Weighted rate]*(His_funding_cost[RptDate]=AT27))
/SUMIFS(His_funding_cost[Global amount],His_funding_cost[RptDate],AT27)
*_xlfn.XLOOKUP(AT27,His_yield_bq[RptDate],His_yield_bq[ON BS],,0)
*(AT27-AT26)/365,0)</f>
        <v>5.09752443404824</v>
      </c>
      <c r="AW27" s="729">
        <f t="shared" si="2"/>
        <v>-0.68283822228352253</v>
      </c>
      <c r="AY27" s="224"/>
      <c r="AZ27" s="224"/>
      <c r="BA27" s="224"/>
      <c r="BB27" s="224"/>
      <c r="BC27" s="97"/>
      <c r="BD27" s="224"/>
      <c r="BE27" s="101" t="s">
        <v>1050</v>
      </c>
      <c r="BF27" s="158" t="s">
        <v>1064</v>
      </c>
      <c r="BG27" s="209" t="s">
        <v>906</v>
      </c>
      <c r="BH27" s="209" t="s">
        <v>821</v>
      </c>
      <c r="BI27" s="209" t="s">
        <v>877</v>
      </c>
      <c r="BJ27" s="349" cm="1">
        <f t="array" ref="BJ27">SUM(SUMIFS(FNRP!AL:AL,FNRP!AI:AI,{"3M","6M","1Y"},FNRP!AK:AK,BH27))*100000/10^9
+SUM(SUMIFS(TB_HTM[Amt],TB_HTM[Tenor],{"3M","6M","1Y"},TB_HTM[Issuer],BH27))/10^9</f>
        <v>1002</v>
      </c>
      <c r="BK27" s="379"/>
      <c r="BL27" s="362"/>
      <c r="BQ27" s="128"/>
      <c r="BR27" s="234"/>
      <c r="BS27" s="234"/>
      <c r="BU27" s="101" t="s">
        <v>1071</v>
      </c>
      <c r="BV27" s="158" t="s">
        <v>1064</v>
      </c>
      <c r="BW27" s="209" t="s">
        <v>1030</v>
      </c>
      <c r="BX27" s="209"/>
      <c r="BY27" s="209" t="s">
        <v>880</v>
      </c>
      <c r="BZ27" s="350" cm="1">
        <f t="array" ref="BZ27">IFERROR(SUMPRODUCT(Tradingbook_MSB[Modified Duration]*Tradingbook_MSB[MARKET_VALUE]*(Tradingbook_MSB[Tenor]=BY27))/SUMIFS(FNRP!M:M,FNRP!AI:AI,BY27),0)</f>
        <v>3.7944964206788292</v>
      </c>
      <c r="CA27" s="351"/>
      <c r="CC27" s="101" t="s">
        <v>852</v>
      </c>
      <c r="CD27" s="158" t="s">
        <v>1064</v>
      </c>
      <c r="CE27" s="209" t="s">
        <v>898</v>
      </c>
      <c r="CF27" s="209"/>
      <c r="CG27" s="209" t="s">
        <v>884</v>
      </c>
      <c r="CH27" s="221">
        <f>SUMIFS(FNRP!AP:AP,FNRP!AJ:AJ,'Phan tich_TB'!CE27,FNRP!AI:AI,'Phan tich_TB'!CG27)/10^9+SUMIFS(TB_HTM[PV01],TB_HTM[Type],'Phan tich_TB'!CE27,TB_HTM[Tenor],'Phan tich_TB'!CG27)</f>
        <v>-1.8426701053563654</v>
      </c>
      <c r="ED27" s="58"/>
    </row>
    <row r="28" spans="2:138" x14ac:dyDescent="0.3">
      <c r="B28" s="356" t="s">
        <v>886</v>
      </c>
      <c r="C28" s="360">
        <f t="shared" si="4"/>
        <v>0</v>
      </c>
      <c r="D28" s="360">
        <f t="shared" si="5"/>
        <v>0.89999999999994529</v>
      </c>
      <c r="E28" s="360">
        <f t="shared" si="6"/>
        <v>56.199999999999939</v>
      </c>
      <c r="I28" s="81" t="s">
        <v>898</v>
      </c>
      <c r="J28" s="127">
        <f>SUMIFS(FNRP!P:P,FNRP!AJ:AJ,'Phan tich_TB'!I28,FNRP!J:J,"&gt;="&amp;0)/10^9</f>
        <v>5678.3360418000002</v>
      </c>
      <c r="K28" s="376">
        <f>SUMIFS(FNRP!Z:Z,FNRP!$AJ:$AJ,'Phan tich_TB'!I28)/10^9</f>
        <v>553.97691344899988</v>
      </c>
      <c r="L28" s="376">
        <f>SUMIFS(FNRP!$AA:$AA,FNRP!$AJ:$AJ,'Phan tich_TB'!I28)/10^9</f>
        <v>-982.46385991529564</v>
      </c>
      <c r="M28" s="360">
        <f>+K28+L28</f>
        <v>-428.48694646629576</v>
      </c>
      <c r="N28" s="390"/>
      <c r="V28" s="363" t="s">
        <v>2205</v>
      </c>
      <c r="W28" s="535">
        <v>46357</v>
      </c>
      <c r="X28" s="364"/>
      <c r="AC28" s="224"/>
      <c r="AG28" s="224"/>
      <c r="AH28" s="224"/>
      <c r="AI28" s="224"/>
      <c r="AJ28" s="224"/>
      <c r="AK28" s="224"/>
      <c r="AP28" s="224"/>
      <c r="AQ28" s="745"/>
      <c r="AR28" s="224"/>
      <c r="AS28" s="743"/>
      <c r="AT28" s="563">
        <v>46233</v>
      </c>
      <c r="AU28" s="729" cm="1">
        <f t="array" ref="AU28">IFERROR(SUMPRODUCT(His_yield_bq[YTM_ON BS]%*His_yield_bq[ON BS]*(His_yield_bq[RptDate]=AT28))
*(AT28-AT27)/365,0)</f>
        <v>4.4289962116986041</v>
      </c>
      <c r="AV28" s="729" cm="1">
        <f t="array" ref="AV28">IFERROR(SUMPRODUCT(His_funding_cost[Global amount]*His_funding_cost[Weighted rate]*(His_funding_cost[RptDate]=AT28))
/SUMIFS(His_funding_cost[Global amount],His_funding_cost[RptDate],AT28)
*_xlfn.XLOOKUP(AT28,His_yield_bq[RptDate],His_yield_bq[ON BS],,0)
*(AT28-AT27)/365,0)</f>
        <v>5.1161805168710961</v>
      </c>
      <c r="AW28" s="729">
        <f t="shared" si="2"/>
        <v>-0.68718430517249196</v>
      </c>
      <c r="AY28" s="224"/>
      <c r="AZ28" s="224"/>
      <c r="BA28" s="224"/>
      <c r="BB28" s="224"/>
      <c r="BC28" s="97"/>
      <c r="BD28" s="224"/>
      <c r="BE28" s="101" t="s">
        <v>1050</v>
      </c>
      <c r="BF28" s="158" t="s">
        <v>1064</v>
      </c>
      <c r="BG28" s="209" t="s">
        <v>906</v>
      </c>
      <c r="BH28" s="209" t="s">
        <v>821</v>
      </c>
      <c r="BI28" s="209" t="s">
        <v>878</v>
      </c>
      <c r="BJ28" s="349">
        <f>SUMIFS(FNRP!AL:AL,FNRP!AI:AI,BI28,FNRP!AK:AK,BH28)*100000/10^9+SUMIFS(TB_HTM[Amt],TB_HTM[Tenor],BI28,TB_HTM[Issuer],BH28)/10^9</f>
        <v>0</v>
      </c>
      <c r="BK28" s="379"/>
      <c r="BL28" s="362"/>
      <c r="BQ28" s="128"/>
      <c r="BR28" s="234"/>
      <c r="BS28" s="234"/>
      <c r="BU28" s="101" t="s">
        <v>1071</v>
      </c>
      <c r="BV28" s="158" t="s">
        <v>1064</v>
      </c>
      <c r="BW28" s="209" t="s">
        <v>1030</v>
      </c>
      <c r="BX28" s="209"/>
      <c r="BY28" s="209" t="s">
        <v>881</v>
      </c>
      <c r="BZ28" s="350" cm="1">
        <f t="array" ref="BZ28">IFERROR(SUMPRODUCT(Tradingbook_MSB[Modified Duration]*Tradingbook_MSB[MARKET_VALUE]*(Tradingbook_MSB[Tenor]=BY28))/SUMIFS(FNRP!M:M,FNRP!AI:AI,BY28),0)</f>
        <v>4.0726496747454242</v>
      </c>
      <c r="CA28" s="351"/>
      <c r="CC28" s="101" t="s">
        <v>852</v>
      </c>
      <c r="CD28" s="158" t="s">
        <v>1064</v>
      </c>
      <c r="CE28" s="209" t="s">
        <v>898</v>
      </c>
      <c r="CF28" s="209"/>
      <c r="CG28" s="209" t="s">
        <v>885</v>
      </c>
      <c r="CH28" s="221">
        <f>SUMIFS(FNRP!AP:AP,FNRP!AJ:AJ,'Phan tich_TB'!CE28,FNRP!AI:AI,'Phan tich_TB'!CG28)/10^9+SUMIFS(TB_HTM[PV01],TB_HTM[Type],'Phan tich_TB'!CE28,TB_HTM[Tenor],'Phan tich_TB'!CG28)</f>
        <v>0</v>
      </c>
      <c r="ED28" s="58"/>
    </row>
    <row r="29" spans="2:138" x14ac:dyDescent="0.3">
      <c r="I29" s="81" t="s">
        <v>906</v>
      </c>
      <c r="J29" s="127">
        <f>SUMIFS(FNRP!P:P,FNRP!AJ:AJ,'Phan tich_TB'!I29,FNRP!J:J,"&gt;="&amp;0)/10^9</f>
        <v>2779.1088358000002</v>
      </c>
      <c r="K29" s="376">
        <f>SUMIFS(FNRP!Z:Z,FNRP!$AJ:$AJ,'Phan tich_TB'!I29)/10^9</f>
        <v>1158.0932392116638</v>
      </c>
      <c r="L29" s="376">
        <f>SUMIFS(FNRP!$AA:$AA,FNRP!$AJ:$AJ,'Phan tich_TB'!I29)/10^9</f>
        <v>-271.24631325666275</v>
      </c>
      <c r="M29" s="360">
        <f>+K29+L29</f>
        <v>886.8469259550011</v>
      </c>
      <c r="N29" s="390"/>
      <c r="AC29" s="224"/>
      <c r="AG29" s="224"/>
      <c r="AH29" s="224"/>
      <c r="AI29" s="224"/>
      <c r="AJ29" s="224"/>
      <c r="AK29" s="224"/>
      <c r="AP29" s="224"/>
      <c r="AQ29" s="745"/>
      <c r="AR29" s="224"/>
      <c r="AS29" s="743"/>
      <c r="AT29" s="563">
        <v>46234</v>
      </c>
      <c r="AU29" s="729" cm="1">
        <f t="array" ref="AU29">IFERROR(SUMPRODUCT(His_yield_bq[YTM_ON BS]%*His_yield_bq[ON BS]*(His_yield_bq[RptDate]=AT29))
*(AT29-AT28)/365,0)</f>
        <v>4.4289962116986041</v>
      </c>
      <c r="AV29" s="729" cm="1">
        <f t="array" ref="AV29">IFERROR(SUMPRODUCT(His_funding_cost[Global amount]*His_funding_cost[Weighted rate]*(His_funding_cost[RptDate]=AT29))
/SUMIFS(His_funding_cost[Global amount],His_funding_cost[RptDate],AT29)
*_xlfn.XLOOKUP(AT29,His_yield_bq[RptDate],His_yield_bq[ON BS],,0)
*(AT29-AT28)/365,0)</f>
        <v>5.1139609383231761</v>
      </c>
      <c r="AW29" s="729">
        <f t="shared" si="2"/>
        <v>-0.68496472662457197</v>
      </c>
      <c r="AY29" s="224"/>
      <c r="AZ29" s="224"/>
      <c r="BA29" s="224"/>
      <c r="BB29" s="224"/>
      <c r="BC29" s="97"/>
      <c r="BD29" s="224"/>
      <c r="BE29" s="101" t="s">
        <v>1050</v>
      </c>
      <c r="BF29" s="158" t="s">
        <v>1064</v>
      </c>
      <c r="BG29" s="209" t="s">
        <v>906</v>
      </c>
      <c r="BH29" s="209" t="s">
        <v>821</v>
      </c>
      <c r="BI29" s="209" t="s">
        <v>879</v>
      </c>
      <c r="BJ29" s="349">
        <f>SUMIFS(FNRP!AL:AL,FNRP!AI:AI,BI29,FNRP!AK:AK,BH29)*100000/10^9+SUMIFS(TB_HTM[Amt],TB_HTM[Tenor],BI29,TB_HTM[Issuer],BH29)/10^9</f>
        <v>0</v>
      </c>
      <c r="BK29" s="379"/>
      <c r="BL29" s="362"/>
      <c r="BQ29" s="128"/>
      <c r="BR29" s="234"/>
      <c r="BS29" s="234"/>
      <c r="BU29" s="101" t="s">
        <v>1071</v>
      </c>
      <c r="BV29" s="158" t="s">
        <v>1064</v>
      </c>
      <c r="BW29" s="209" t="s">
        <v>1030</v>
      </c>
      <c r="BX29" s="209"/>
      <c r="BY29" s="209" t="s">
        <v>882</v>
      </c>
      <c r="BZ29" s="350" cm="1">
        <f t="array" ref="BZ29">IFERROR(SUMPRODUCT(Tradingbook_MSB[Modified Duration]*Tradingbook_MSB[MARKET_VALUE]*(Tradingbook_MSB[Tenor]=BY29))/SUMIFS(FNRP!M:M,FNRP!AI:AI,BY29),0)</f>
        <v>5.8273259499013266</v>
      </c>
      <c r="CA29" s="351"/>
      <c r="CC29" s="101" t="s">
        <v>852</v>
      </c>
      <c r="CD29" s="158" t="s">
        <v>1064</v>
      </c>
      <c r="CE29" s="209" t="s">
        <v>898</v>
      </c>
      <c r="CF29" s="209"/>
      <c r="CG29" s="209" t="s">
        <v>886</v>
      </c>
      <c r="CH29" s="221">
        <f>SUMIFS(FNRP!AP:AP,FNRP!AJ:AJ,'Phan tich_TB'!CE29,FNRP!AI:AI,'Phan tich_TB'!CG29)/10^9+SUMIFS(TB_HTM[PV01],TB_HTM[Type],'Phan tich_TB'!CE29,TB_HTM[Tenor],'Phan tich_TB'!CG29)</f>
        <v>0</v>
      </c>
      <c r="ED29" s="58"/>
    </row>
    <row r="30" spans="2:138" x14ac:dyDescent="0.3">
      <c r="I30" s="81" t="s">
        <v>894</v>
      </c>
      <c r="J30" s="127">
        <f>SUMIFS(FNRP!P:P,FNRP!AJ:AJ,'Phan tich_TB'!I30,FNRP!J:J,"&gt;="&amp;0)/10^9</f>
        <v>75.69</v>
      </c>
      <c r="K30" s="376">
        <f>SUMIFS(FNRP!Z:Z,FNRP!$AJ:$AJ,'Phan tich_TB'!I30)/10^9</f>
        <v>2.5733114285714205</v>
      </c>
      <c r="L30" s="376">
        <f>SUMIFS(FNRP!$AA:$AA,FNRP!$AJ:$AJ,'Phan tich_TB'!I30)/10^9</f>
        <v>7.5784285714285646</v>
      </c>
      <c r="M30" s="360">
        <f>+K30+L30</f>
        <v>10.151739999999986</v>
      </c>
      <c r="N30" s="390"/>
      <c r="AC30" s="224"/>
      <c r="AG30" s="224"/>
      <c r="AH30" s="224"/>
      <c r="AI30" s="224"/>
      <c r="AJ30" s="224"/>
      <c r="AK30" s="224"/>
      <c r="AP30" s="224"/>
      <c r="AQ30" s="745"/>
      <c r="AR30" s="224"/>
      <c r="AS30" s="743"/>
      <c r="AT30" s="563">
        <v>46237</v>
      </c>
      <c r="AU30" s="729" cm="1">
        <f t="array" ref="AU30">IFERROR(SUMPRODUCT(His_yield_bq[YTM_ON BS]%*His_yield_bq[ON BS]*(His_yield_bq[RptDate]=AT30))
*(AT30-AT29)/365,0)</f>
        <v>13.104466991507865</v>
      </c>
      <c r="AV30" s="729" cm="1">
        <f t="array" ref="AV30">IFERROR(SUMPRODUCT(His_funding_cost[Global amount]*His_funding_cost[Weighted rate]*(His_funding_cost[RptDate]=AT30))
/SUMIFS(His_funding_cost[Global amount],His_funding_cost[RptDate],AT30)
*_xlfn.XLOOKUP(AT30,His_yield_bq[RptDate],His_yield_bq[ON BS],,0)
*(AT30-AT29)/365,0)</f>
        <v>15.123450779498242</v>
      </c>
      <c r="AW30" s="729">
        <f t="shared" si="2"/>
        <v>-2.0189837879903774</v>
      </c>
      <c r="AY30" s="224"/>
      <c r="AZ30" s="224"/>
      <c r="BA30" s="224"/>
      <c r="BB30" s="224"/>
      <c r="BC30" s="97"/>
      <c r="BD30" s="224"/>
      <c r="BE30" s="101" t="s">
        <v>1050</v>
      </c>
      <c r="BF30" s="158" t="s">
        <v>1064</v>
      </c>
      <c r="BG30" s="209" t="s">
        <v>906</v>
      </c>
      <c r="BH30" s="209" t="s">
        <v>821</v>
      </c>
      <c r="BI30" s="209" t="s">
        <v>880</v>
      </c>
      <c r="BJ30" s="349">
        <f>SUMIFS(FNRP!AL:AL,FNRP!AI:AI,BI30,FNRP!AK:AK,BH30)*100000/10^9+SUMIFS(TB_HTM[Amt],TB_HTM[Tenor],BI30,TB_HTM[Issuer],BH30)/10^9</f>
        <v>0</v>
      </c>
      <c r="BK30" s="379"/>
      <c r="BL30" s="362"/>
      <c r="BQ30" s="128"/>
      <c r="BR30" s="234"/>
      <c r="BS30" s="234"/>
      <c r="BU30" s="101" t="s">
        <v>1071</v>
      </c>
      <c r="BV30" s="158" t="s">
        <v>1064</v>
      </c>
      <c r="BW30" s="209" t="s">
        <v>1030</v>
      </c>
      <c r="BX30" s="209"/>
      <c r="BY30" s="209" t="s">
        <v>883</v>
      </c>
      <c r="BZ30" s="350" cm="1">
        <f t="array" ref="BZ30">IFERROR(SUMPRODUCT(Tradingbook_MSB[Modified Duration]*Tradingbook_MSB[MARKET_VALUE]*(Tradingbook_MSB[Tenor]=BY30))/SUMIFS(FNRP!M:M,FNRP!AI:AI,BY30),0)</f>
        <v>7.0509009173640758</v>
      </c>
      <c r="CA30" s="351"/>
      <c r="CC30" s="101" t="s">
        <v>1072</v>
      </c>
      <c r="CD30" s="158" t="s">
        <v>1064</v>
      </c>
      <c r="CE30" s="209" t="s">
        <v>1030</v>
      </c>
      <c r="CF30" s="158"/>
      <c r="CG30" s="158"/>
      <c r="CH30" s="221">
        <f>SUM(FNRP!AQ:AQ)/10^9</f>
        <v>-773.28406324678315</v>
      </c>
      <c r="ED30" s="58"/>
    </row>
    <row r="31" spans="2:138" x14ac:dyDescent="0.3">
      <c r="AC31" s="224"/>
      <c r="AG31" s="224"/>
      <c r="AH31" s="224"/>
      <c r="AI31" s="224"/>
      <c r="AJ31" s="224"/>
      <c r="AK31" s="224"/>
      <c r="AP31" s="224"/>
      <c r="AQ31" s="745"/>
      <c r="AR31" s="224"/>
      <c r="AS31" s="743"/>
      <c r="AT31" s="563">
        <v>46238</v>
      </c>
      <c r="AU31" s="729" cm="1">
        <f t="array" ref="AU31">IFERROR(SUMPRODUCT(His_yield_bq[YTM_ON BS]%*His_yield_bq[ON BS]*(His_yield_bq[RptDate]=AT31))
*(AT31-AT30)/365,0)</f>
        <v>4.3442558418986827</v>
      </c>
      <c r="AV31" s="729" cm="1">
        <f t="array" ref="AV31">IFERROR(SUMPRODUCT(His_funding_cost[Global amount]*His_funding_cost[Weighted rate]*(His_funding_cost[RptDate]=AT31))
/SUMIFS(His_funding_cost[Global amount],His_funding_cost[RptDate],AT31)
*_xlfn.XLOOKUP(AT31,His_yield_bq[RptDate],His_yield_bq[ON BS],,0)
*(AT31-AT30)/365,0)</f>
        <v>5.0123618773310845</v>
      </c>
      <c r="AW31" s="729">
        <f t="shared" si="2"/>
        <v>-0.66810603543240177</v>
      </c>
      <c r="AY31" s="224"/>
      <c r="AZ31" s="224"/>
      <c r="BA31" s="224"/>
      <c r="BB31" s="224"/>
      <c r="BC31" s="97"/>
      <c r="BD31" s="224"/>
      <c r="BE31" s="101" t="s">
        <v>1050</v>
      </c>
      <c r="BF31" s="158" t="s">
        <v>1064</v>
      </c>
      <c r="BG31" s="209" t="s">
        <v>906</v>
      </c>
      <c r="BH31" s="209" t="s">
        <v>821</v>
      </c>
      <c r="BI31" s="209" t="s">
        <v>881</v>
      </c>
      <c r="BJ31" s="349">
        <f>SUMIFS(FNRP!AL:AL,FNRP!AI:AI,BI31,FNRP!AK:AK,BH31)*100000/10^9+SUMIFS(TB_HTM[Amt],TB_HTM[Tenor],BI31,TB_HTM[Issuer],BH31)/10^9</f>
        <v>0</v>
      </c>
      <c r="BK31" s="379"/>
      <c r="BL31" s="362"/>
      <c r="BQ31" s="128"/>
      <c r="BR31" s="234"/>
      <c r="BS31" s="234"/>
      <c r="BU31" s="101" t="s">
        <v>1071</v>
      </c>
      <c r="BV31" s="158" t="s">
        <v>1064</v>
      </c>
      <c r="BW31" s="209" t="s">
        <v>1030</v>
      </c>
      <c r="BX31" s="209"/>
      <c r="BY31" s="209" t="s">
        <v>884</v>
      </c>
      <c r="BZ31" s="350" cm="1">
        <f t="array" ref="BZ31">IFERROR(SUMPRODUCT(Tradingbook_MSB[Modified Duration]*Tradingbook_MSB[MARKET_VALUE]*(Tradingbook_MSB[Tenor]=BY31))/SUMIFS(FNRP!M:M,FNRP!AI:AI,BY31),0)</f>
        <v>9.5577530991025537</v>
      </c>
      <c r="CA31" s="351"/>
      <c r="CC31" s="101" t="s">
        <v>1072</v>
      </c>
      <c r="CD31" s="158" t="s">
        <v>1064</v>
      </c>
      <c r="CE31" s="209" t="s">
        <v>898</v>
      </c>
      <c r="CF31" s="158"/>
      <c r="CG31" s="158"/>
      <c r="CH31" s="221">
        <f>SUMIFS(FNRP!AQ:AQ,FNRP!AJ:AJ,'Phan tich_TB'!CE31)/10^9</f>
        <v>-631.81204104317283</v>
      </c>
      <c r="ED31" s="58"/>
    </row>
    <row r="32" spans="2:138" x14ac:dyDescent="0.3">
      <c r="AC32" s="224"/>
      <c r="AG32" s="224"/>
      <c r="AH32" s="224"/>
      <c r="AI32" s="224"/>
      <c r="AJ32" s="224"/>
      <c r="AK32" s="224"/>
      <c r="AP32" s="224"/>
      <c r="AQ32" s="745"/>
      <c r="AR32" s="224"/>
      <c r="AS32" s="743"/>
      <c r="AT32" s="563">
        <v>46239</v>
      </c>
      <c r="AU32" s="729" cm="1">
        <f t="array" ref="AU32">IFERROR(SUMPRODUCT(His_yield_bq[YTM_ON BS]%*His_yield_bq[ON BS]*(His_yield_bq[RptDate]=AT32))
*(AT32-AT31)/365,0)</f>
        <v>4.2459494034746728</v>
      </c>
      <c r="AV32" s="729" cm="1">
        <f t="array" ref="AV32">IFERROR(SUMPRODUCT(His_funding_cost[Global amount]*His_funding_cost[Weighted rate]*(His_funding_cost[RptDate]=AT32))
/SUMIFS(His_funding_cost[Global amount],His_funding_cost[RptDate],AT32)
*_xlfn.XLOOKUP(AT32,His_yield_bq[RptDate],His_yield_bq[ON BS],,0)
*(AT32-AT31)/365,0)</f>
        <v>4.9135170335982181</v>
      </c>
      <c r="AW32" s="729">
        <f t="shared" si="2"/>
        <v>-0.66756763012354536</v>
      </c>
      <c r="AY32" s="224"/>
      <c r="AZ32" s="224"/>
      <c r="BA32" s="224"/>
      <c r="BB32" s="224"/>
      <c r="BC32" s="97"/>
      <c r="BD32" s="224"/>
      <c r="BE32" s="101" t="s">
        <v>1050</v>
      </c>
      <c r="BF32" s="158" t="s">
        <v>1064</v>
      </c>
      <c r="BG32" s="209" t="s">
        <v>906</v>
      </c>
      <c r="BH32" s="209" t="s">
        <v>821</v>
      </c>
      <c r="BI32" s="209" t="s">
        <v>882</v>
      </c>
      <c r="BJ32" s="349">
        <f>SUMIFS(FNRP!AL:AL,FNRP!AI:AI,BI32,FNRP!AK:AK,BH32)*100000/10^9+SUMIFS(TB_HTM[Amt],TB_HTM[Tenor],BI32,TB_HTM[Issuer],BH32)/10^9</f>
        <v>0</v>
      </c>
      <c r="BK32" s="379"/>
      <c r="BL32" s="362"/>
      <c r="BQ32" s="128"/>
      <c r="BR32" s="234"/>
      <c r="BS32" s="234"/>
      <c r="BU32" s="101" t="s">
        <v>1071</v>
      </c>
      <c r="BV32" s="158" t="s">
        <v>1064</v>
      </c>
      <c r="BW32" s="209" t="s">
        <v>1030</v>
      </c>
      <c r="BX32" s="209"/>
      <c r="BY32" s="209" t="s">
        <v>885</v>
      </c>
      <c r="BZ32" s="350" cm="1">
        <f t="array" ref="BZ32">IFERROR(SUMPRODUCT(Tradingbook_MSB[Modified Duration]*Tradingbook_MSB[MARKET_VALUE]*(Tradingbook_MSB[Tenor]=BY32))/SUMIFS(FNRP!M:M,FNRP!AI:AI,BY32),0)</f>
        <v>0</v>
      </c>
      <c r="CA32" s="351"/>
      <c r="CC32" s="101" t="s">
        <v>1072</v>
      </c>
      <c r="CD32" s="158" t="s">
        <v>1064</v>
      </c>
      <c r="CE32" s="209" t="s">
        <v>906</v>
      </c>
      <c r="CF32" s="158"/>
      <c r="CG32" s="158"/>
      <c r="CH32" s="221">
        <f>SUMIFS(FNRP!AQ:AQ,FNRP!AJ:AJ,'Phan tich_TB'!CE32)/10^9</f>
        <v>-132.42711080800686</v>
      </c>
      <c r="ED32" s="58"/>
    </row>
    <row r="33" spans="9:86" x14ac:dyDescent="0.3">
      <c r="I33" s="340" t="s">
        <v>876</v>
      </c>
      <c r="J33" s="340" t="s">
        <v>2757</v>
      </c>
      <c r="L33" s="340" t="s">
        <v>843</v>
      </c>
      <c r="M33" s="340" t="s">
        <v>2757</v>
      </c>
      <c r="AC33" s="224"/>
      <c r="AG33" s="224"/>
      <c r="AH33" s="224"/>
      <c r="AI33" s="224"/>
      <c r="AJ33" s="224"/>
      <c r="AK33" s="224"/>
      <c r="AP33" s="224"/>
      <c r="AQ33" s="745"/>
      <c r="AR33" s="224"/>
      <c r="AS33" s="743"/>
      <c r="AT33" s="563">
        <v>46240</v>
      </c>
      <c r="AU33" s="729" cm="1">
        <f t="array" ref="AU33">IFERROR(SUMPRODUCT(His_yield_bq[YTM_ON BS]%*His_yield_bq[ON BS]*(His_yield_bq[RptDate]=AT33))
*(AT33-AT32)/365,0)</f>
        <v>4.2095180787916631</v>
      </c>
      <c r="AV33" s="729" cm="1">
        <f t="array" ref="AV33">IFERROR(SUMPRODUCT(His_funding_cost[Global amount]*His_funding_cost[Weighted rate]*(His_funding_cost[RptDate]=AT33))
/SUMIFS(His_funding_cost[Global amount],His_funding_cost[RptDate],AT33)
*_xlfn.XLOOKUP(AT33,His_yield_bq[RptDate],His_yield_bq[ON BS],,0)
*(AT33-AT32)/365,0)</f>
        <v>4.8860882237620107</v>
      </c>
      <c r="AW33" s="729">
        <f t="shared" si="2"/>
        <v>-0.67657014497034762</v>
      </c>
      <c r="AY33" s="224"/>
      <c r="AZ33" s="224"/>
      <c r="BA33" s="224"/>
      <c r="BB33" s="224"/>
      <c r="BC33" s="97"/>
      <c r="BD33" s="224"/>
      <c r="BE33" s="101" t="s">
        <v>1050</v>
      </c>
      <c r="BF33" s="158" t="s">
        <v>1064</v>
      </c>
      <c r="BG33" s="209" t="s">
        <v>906</v>
      </c>
      <c r="BH33" s="209" t="s">
        <v>821</v>
      </c>
      <c r="BI33" s="209" t="s">
        <v>883</v>
      </c>
      <c r="BJ33" s="349">
        <f>SUMIFS(FNRP!AL:AL,FNRP!AI:AI,BI33,FNRP!AK:AK,BH33)*100000/10^9+SUMIFS(TB_HTM[Amt],TB_HTM[Tenor],BI33,TB_HTM[Issuer],BH33)/10^9</f>
        <v>0</v>
      </c>
      <c r="BK33" s="379"/>
      <c r="BL33" s="362"/>
      <c r="BQ33" s="128"/>
      <c r="BR33" s="234"/>
      <c r="BS33" s="234"/>
      <c r="BU33" s="101" t="s">
        <v>1071</v>
      </c>
      <c r="BV33" s="158" t="s">
        <v>1064</v>
      </c>
      <c r="BW33" s="209" t="s">
        <v>1030</v>
      </c>
      <c r="BX33" s="209"/>
      <c r="BY33" s="209" t="s">
        <v>886</v>
      </c>
      <c r="BZ33" s="350" cm="1">
        <f t="array" ref="BZ33">IFERROR(SUMPRODUCT(Tradingbook_MSB[Modified Duration]*Tradingbook_MSB[MARKET_VALUE]*(Tradingbook_MSB[Tenor]=BY33))/SUMIFS(FNRP!M:M,FNRP!AI:AI,BY33),0)</f>
        <v>0</v>
      </c>
      <c r="CA33" s="351"/>
      <c r="CC33" s="101" t="s">
        <v>1072</v>
      </c>
      <c r="CD33" s="158" t="s">
        <v>1064</v>
      </c>
      <c r="CE33" s="209" t="s">
        <v>906</v>
      </c>
      <c r="CF33" s="209" t="s">
        <v>821</v>
      </c>
      <c r="CG33" s="158"/>
      <c r="CH33" s="221">
        <f>SUMIFS(FNRP!AQ:AQ,FNRP!AJ:AJ,'Phan tich_TB'!CE33,FNRP!AK:AK,'Phan tich_TB'!CF33)/10^9</f>
        <v>-9.3238990863913997</v>
      </c>
    </row>
    <row r="34" spans="9:86" x14ac:dyDescent="0.3">
      <c r="I34" s="381"/>
      <c r="J34" s="484">
        <f>SUM(RP_SEC!N:N)/10^9</f>
        <v>-1164.63193</v>
      </c>
      <c r="K34" s="223">
        <f>SUM(J35:J44)-J34</f>
        <v>0</v>
      </c>
      <c r="L34" s="81" t="s">
        <v>1030</v>
      </c>
      <c r="M34" s="245">
        <f>SUM(RP_SEC!N:N)/10^9</f>
        <v>-1164.63193</v>
      </c>
      <c r="AC34" s="224"/>
      <c r="AG34" s="224"/>
      <c r="AH34" s="224"/>
      <c r="AI34" s="224"/>
      <c r="AJ34" s="224"/>
      <c r="AK34" s="224"/>
      <c r="AP34" s="224"/>
      <c r="AQ34" s="745"/>
      <c r="AR34" s="224"/>
      <c r="AS34" s="743"/>
      <c r="AT34" s="563">
        <v>46241</v>
      </c>
      <c r="AU34" s="729" cm="1">
        <f t="array" ref="AU34">IFERROR(SUMPRODUCT(His_yield_bq[YTM_ON BS]%*His_yield_bq[ON BS]*(His_yield_bq[RptDate]=AT34))
*(AT34-AT33)/365,0)</f>
        <v>4.2823785829096037</v>
      </c>
      <c r="AV34" s="729" cm="1">
        <f t="array" ref="AV34">IFERROR(SUMPRODUCT(His_funding_cost[Global amount]*His_funding_cost[Weighted rate]*(His_funding_cost[RptDate]=AT34))
/SUMIFS(His_funding_cost[Global amount],His_funding_cost[RptDate],AT34)
*_xlfn.XLOOKUP(AT34,His_yield_bq[RptDate],His_yield_bq[ON BS],,0)
*(AT34-AT33)/365,0)</f>
        <v>4.98587890444787</v>
      </c>
      <c r="AW34" s="729">
        <f t="shared" si="2"/>
        <v>-0.70350032153826625</v>
      </c>
      <c r="AY34" s="224"/>
      <c r="AZ34" s="224"/>
      <c r="BA34" s="224"/>
      <c r="BB34" s="224"/>
      <c r="BC34" s="97"/>
      <c r="BD34" s="224"/>
      <c r="BE34" s="101" t="s">
        <v>1050</v>
      </c>
      <c r="BF34" s="158" t="s">
        <v>1064</v>
      </c>
      <c r="BG34" s="209" t="s">
        <v>906</v>
      </c>
      <c r="BH34" s="209" t="s">
        <v>821</v>
      </c>
      <c r="BI34" s="209" t="s">
        <v>884</v>
      </c>
      <c r="BJ34" s="349">
        <f>SUMIFS(FNRP!AL:AL,FNRP!AI:AI,BI34,FNRP!AK:AK,BH34)*100000/10^9+SUMIFS(TB_HTM[Amt],TB_HTM[Tenor],BI34,TB_HTM[Issuer],BH34)/10^9</f>
        <v>500</v>
      </c>
      <c r="BK34" s="379"/>
      <c r="BL34" s="362"/>
      <c r="BQ34" s="128"/>
      <c r="BR34" s="234"/>
      <c r="BS34" s="234"/>
      <c r="BU34" s="101" t="s">
        <v>854</v>
      </c>
      <c r="BV34" s="158" t="s">
        <v>1064</v>
      </c>
      <c r="BW34" s="209" t="s">
        <v>1030</v>
      </c>
      <c r="BX34" s="158"/>
      <c r="BY34" s="158"/>
      <c r="BZ34" s="350">
        <f>SUMPRODUCT(FNRP!M:M,FNRP!AO:AO)/SUM(FNRP!M:M)</f>
        <v>56.61210556787897</v>
      </c>
      <c r="CA34" s="351"/>
      <c r="CC34" s="101" t="s">
        <v>1072</v>
      </c>
      <c r="CD34" s="158" t="s">
        <v>1064</v>
      </c>
      <c r="CE34" s="209" t="s">
        <v>906</v>
      </c>
      <c r="CF34" s="209" t="s">
        <v>905</v>
      </c>
      <c r="CG34" s="158"/>
      <c r="CH34" s="221">
        <f>SUMIFS(FNRP!AQ:AQ,FNRP!AJ:AJ,'Phan tich_TB'!CE34,FNRP!AK:AK,'Phan tich_TB'!CF34)/10^9</f>
        <v>-123.10321172161547</v>
      </c>
    </row>
    <row r="35" spans="9:86" x14ac:dyDescent="0.3">
      <c r="I35" s="356" t="s">
        <v>877</v>
      </c>
      <c r="J35" s="484" cm="1">
        <f t="array" ref="J35">SUM(SUMIFS(RP_SEC!N:N,RP_SEC!V:V,{"1Y","3M","6M"}))/10^9</f>
        <v>-6.6241199999999996</v>
      </c>
      <c r="L35" s="81" t="s">
        <v>898</v>
      </c>
      <c r="M35" s="245">
        <f>SUMIFS(RP_SEC!N:N,RP_SEC!F:F,"KBNN")/10^9</f>
        <v>-865.24031000000002</v>
      </c>
      <c r="AC35" s="224"/>
      <c r="AG35" s="224"/>
      <c r="AH35" s="224"/>
      <c r="AI35" s="224"/>
      <c r="AJ35" s="224"/>
      <c r="AK35" s="224"/>
      <c r="AP35" s="224"/>
      <c r="AQ35" s="745"/>
      <c r="AR35" s="224"/>
      <c r="AS35" s="743"/>
      <c r="AT35" s="563">
        <v>46244</v>
      </c>
      <c r="AU35" s="729" cm="1">
        <f t="array" ref="AU35">IFERROR(SUMPRODUCT(His_yield_bq[YTM_ON BS]%*His_yield_bq[ON BS]*(His_yield_bq[RptDate]=AT35))
*(AT35-AT34)/365,0)</f>
        <v>13.052072052723123</v>
      </c>
      <c r="AV35" s="729" cm="1">
        <f t="array" ref="AV35">IFERROR(SUMPRODUCT(His_funding_cost[Global amount]*His_funding_cost[Weighted rate]*(His_funding_cost[RptDate]=AT35))
/SUMIFS(His_funding_cost[Global amount],His_funding_cost[RptDate],AT35)
*_xlfn.XLOOKUP(AT35,His_yield_bq[RptDate],His_yield_bq[ON BS],,0)
*(AT35-AT34)/365,0)</f>
        <v>15.365198629751527</v>
      </c>
      <c r="AW35" s="729">
        <f t="shared" si="2"/>
        <v>-2.3131265770284042</v>
      </c>
      <c r="AY35" s="224"/>
      <c r="AZ35" s="224"/>
      <c r="BA35" s="224"/>
      <c r="BB35" s="224"/>
      <c r="BC35" s="97"/>
      <c r="BD35" s="224"/>
      <c r="BE35" s="101" t="s">
        <v>1050</v>
      </c>
      <c r="BF35" s="158" t="s">
        <v>1064</v>
      </c>
      <c r="BG35" s="209" t="s">
        <v>906</v>
      </c>
      <c r="BH35" s="209" t="s">
        <v>821</v>
      </c>
      <c r="BI35" s="209" t="s">
        <v>885</v>
      </c>
      <c r="BJ35" s="349">
        <f>SUMIFS(FNRP!AL:AL,FNRP!AI:AI,BI35,FNRP!AK:AK,BH35)*100000/10^9+SUMIFS(TB_HTM[Amt],TB_HTM[Tenor],BI35,TB_HTM[Issuer],BH35)/10^9</f>
        <v>0</v>
      </c>
      <c r="BK35" s="379"/>
      <c r="BL35" s="362"/>
      <c r="BQ35" s="128"/>
      <c r="BR35" s="234"/>
      <c r="BS35" s="234"/>
      <c r="BU35" s="101" t="s">
        <v>854</v>
      </c>
      <c r="BV35" s="158" t="s">
        <v>1064</v>
      </c>
      <c r="BW35" s="209" t="s">
        <v>898</v>
      </c>
      <c r="BX35" s="158"/>
      <c r="BY35" s="158"/>
      <c r="BZ35" s="350" cm="1">
        <f t="array" ref="BZ35">IFERROR(SUMPRODUCT(Tradingbook_MSB[MARKET_VALUE]*Tradingbook_MSB[Conv]*(Tradingbook_MSB[Type]=BW35))/SUMIFS(FNRP!M:M,FNRP!AJ:AJ,BW35),0)</f>
        <v>57.48826114345767</v>
      </c>
      <c r="CA35" s="351"/>
      <c r="CC35" s="101" t="s">
        <v>1072</v>
      </c>
      <c r="CD35" s="158" t="s">
        <v>1064</v>
      </c>
      <c r="CE35" s="209" t="s">
        <v>1067</v>
      </c>
      <c r="CF35" s="209"/>
      <c r="CG35" s="158"/>
      <c r="CH35" s="221">
        <f>SUMIFS(FNRP!AQ:AQ,FNRP!AJ:AJ,'Phan tich_TB'!CE35,FNRP!AK:AK,'Phan tich_TB'!CF35)/10^9</f>
        <v>0</v>
      </c>
    </row>
    <row r="36" spans="9:86" x14ac:dyDescent="0.3">
      <c r="I36" s="356" t="s">
        <v>878</v>
      </c>
      <c r="J36" s="484">
        <f>SUMIFS(RP_SEC!N:N,RP_SEC!V:V,'Phan tich_TB'!I36)/10^9</f>
        <v>0</v>
      </c>
      <c r="L36" s="81" t="s">
        <v>906</v>
      </c>
      <c r="M36" s="245">
        <f>SUMIFS(RP_SEC!N:N,RP_SEC!F:F,"CSXH")/10^9+SUMIFS(RP_SEC!N:N,RP_SEC!F:F,"VDB")/10^9</f>
        <v>-288.58762000000002</v>
      </c>
      <c r="AC36" s="224"/>
      <c r="AG36" s="224"/>
      <c r="AH36" s="224"/>
      <c r="AI36" s="224"/>
      <c r="AJ36" s="224"/>
      <c r="AK36" s="224"/>
      <c r="AP36" s="224"/>
      <c r="AQ36" s="745"/>
      <c r="AR36" s="224"/>
      <c r="AS36" s="743"/>
      <c r="AT36" s="563">
        <v>46245</v>
      </c>
      <c r="AU36" s="729"/>
      <c r="AV36" s="729"/>
      <c r="AW36" s="729"/>
      <c r="AX36" s="224"/>
      <c r="AY36" s="224"/>
      <c r="AZ36" s="224"/>
      <c r="BA36" s="224"/>
      <c r="BB36" s="224"/>
      <c r="BC36" s="97"/>
      <c r="BD36" s="224"/>
      <c r="BE36" s="101" t="s">
        <v>1050</v>
      </c>
      <c r="BF36" s="158" t="s">
        <v>1064</v>
      </c>
      <c r="BG36" s="209" t="s">
        <v>906</v>
      </c>
      <c r="BH36" s="209" t="s">
        <v>821</v>
      </c>
      <c r="BI36" s="209" t="s">
        <v>886</v>
      </c>
      <c r="BJ36" s="349">
        <f>SUMIFS(FNRP!AL:AL,FNRP!AI:AI,BI36,FNRP!AK:AK,BH36)*100000/10^9+SUMIFS(TB_HTM[Amt],TB_HTM[Tenor],BI36,TB_HTM[Issuer],BH36)/10^9</f>
        <v>0</v>
      </c>
      <c r="BK36" s="379"/>
      <c r="BL36" s="362"/>
      <c r="BQ36" s="128"/>
      <c r="BR36" s="234"/>
      <c r="BS36" s="234"/>
      <c r="BU36" s="101" t="s">
        <v>854</v>
      </c>
      <c r="BV36" s="158" t="s">
        <v>1064</v>
      </c>
      <c r="BW36" s="209" t="s">
        <v>906</v>
      </c>
      <c r="BX36" s="158"/>
      <c r="BY36" s="158"/>
      <c r="BZ36" s="350" cm="1">
        <f t="array" ref="BZ36">IFERROR(SUMPRODUCT(Tradingbook_MSB[MARKET_VALUE]*Tradingbook_MSB[Conv]*(Tradingbook_MSB[Type]=BW36))/SUMIFS(FNRP!M:M,FNRP!AJ:AJ,BW36),0)</f>
        <v>59.776416780696486</v>
      </c>
      <c r="CA36" s="351"/>
      <c r="CC36" s="101" t="s">
        <v>1072</v>
      </c>
      <c r="CD36" s="158" t="s">
        <v>1064</v>
      </c>
      <c r="CE36" s="209" t="s">
        <v>1030</v>
      </c>
      <c r="CF36" s="209"/>
      <c r="CG36" s="209" t="s">
        <v>877</v>
      </c>
      <c r="CH36" s="221">
        <f>SUMIFS(FNRP!AQ:AQ,FNRP!AI:AI,'Phan tich_TB'!CG36)/10^9</f>
        <v>0</v>
      </c>
    </row>
    <row r="37" spans="9:86" x14ac:dyDescent="0.3">
      <c r="I37" s="356" t="s">
        <v>879</v>
      </c>
      <c r="J37" s="484">
        <f>SUMIFS(RP_SEC!N:N,RP_SEC!V:V,'Phan tich_TB'!I37)/10^9</f>
        <v>-10.804</v>
      </c>
      <c r="L37" s="81" t="s">
        <v>894</v>
      </c>
      <c r="M37" s="245">
        <f>M34-M35-M36</f>
        <v>-10.803999999999974</v>
      </c>
      <c r="AC37" s="224"/>
      <c r="AG37" s="224"/>
      <c r="AH37" s="224"/>
      <c r="AI37" s="224"/>
      <c r="AJ37" s="224"/>
      <c r="AK37" s="224"/>
      <c r="AP37" s="224"/>
      <c r="AQ37" s="745"/>
      <c r="AR37" s="224"/>
      <c r="AS37" s="743"/>
      <c r="AT37" s="563">
        <v>46246</v>
      </c>
      <c r="AU37" s="729"/>
      <c r="AV37" s="729"/>
      <c r="AW37" s="729"/>
      <c r="AX37" s="224"/>
      <c r="AY37" s="224"/>
      <c r="AZ37" s="224"/>
      <c r="BA37" s="224"/>
      <c r="BB37" s="224"/>
      <c r="BC37" s="97"/>
      <c r="BD37" s="224"/>
      <c r="BE37" s="101" t="s">
        <v>1050</v>
      </c>
      <c r="BF37" s="158" t="s">
        <v>1064</v>
      </c>
      <c r="BG37" s="209" t="s">
        <v>906</v>
      </c>
      <c r="BH37" s="209" t="s">
        <v>905</v>
      </c>
      <c r="BI37" s="209" t="s">
        <v>877</v>
      </c>
      <c r="BJ37" s="349" cm="1">
        <f t="array" ref="BJ37">SUM(SUMIFS(FNRP!AL:AL,FNRP!AI:AI,{"3M","6M","1Y"},FNRP!AK:AK,BH37))*100000/10^9
+SUM(SUMIFS(TB_HTM[Amt],TB_HTM[Tenor],{"3M","6M","1Y"},TB_HTM[Issuer],BH37))/10^9</f>
        <v>0</v>
      </c>
      <c r="BK37" s="379"/>
      <c r="BL37" s="362"/>
      <c r="BQ37" s="128"/>
      <c r="BR37" s="234"/>
      <c r="BS37" s="234"/>
      <c r="BU37" s="101" t="s">
        <v>854</v>
      </c>
      <c r="BV37" s="158" t="s">
        <v>1064</v>
      </c>
      <c r="BW37" s="209" t="s">
        <v>1067</v>
      </c>
      <c r="BX37" s="158"/>
      <c r="BY37" s="158"/>
      <c r="BZ37" s="350" cm="1">
        <f t="array" ref="BZ37">IFERROR(SUMPRODUCT(Tradingbook_MSB[MARKET_VALUE]*Tradingbook_MSB[Conv]*(Tradingbook_MSB[Type]=BW37))/SUMIFS(FNRP!M:M,FNRP!AJ:AJ,BW37),0)</f>
        <v>0</v>
      </c>
      <c r="CA37" s="351"/>
      <c r="CC37" s="101" t="s">
        <v>1072</v>
      </c>
      <c r="CD37" s="158" t="s">
        <v>1064</v>
      </c>
      <c r="CE37" s="209" t="s">
        <v>1030</v>
      </c>
      <c r="CF37" s="209"/>
      <c r="CG37" s="209" t="s">
        <v>878</v>
      </c>
      <c r="CH37" s="221">
        <f>SUMIFS(FNRP!AQ:AQ,FNRP!AI:AI,'Phan tich_TB'!CG37)/10^9</f>
        <v>0</v>
      </c>
    </row>
    <row r="38" spans="9:86" x14ac:dyDescent="0.3">
      <c r="I38" s="356" t="s">
        <v>880</v>
      </c>
      <c r="J38" s="484">
        <f>SUMIFS(RP_SEC!N:N,RP_SEC!V:V,'Phan tich_TB'!I38)/10^9</f>
        <v>-17.279</v>
      </c>
      <c r="AC38" s="224"/>
      <c r="AG38" s="224"/>
      <c r="AH38" s="224"/>
      <c r="AI38" s="224"/>
      <c r="AJ38" s="224"/>
      <c r="AK38" s="224"/>
      <c r="AP38" s="224"/>
      <c r="AQ38" s="745"/>
      <c r="AR38" s="224"/>
      <c r="AS38" s="224"/>
      <c r="AT38" s="224">
        <v>46247</v>
      </c>
      <c r="AU38" s="656"/>
      <c r="AV38" s="657"/>
      <c r="AW38" s="657"/>
      <c r="AX38" s="224"/>
      <c r="AY38" s="224"/>
      <c r="AZ38" s="224"/>
      <c r="BA38" s="224"/>
      <c r="BB38" s="224"/>
      <c r="BC38" s="97"/>
      <c r="BD38" s="224"/>
      <c r="BE38" s="101" t="s">
        <v>1050</v>
      </c>
      <c r="BF38" s="158" t="s">
        <v>1064</v>
      </c>
      <c r="BG38" s="209" t="s">
        <v>906</v>
      </c>
      <c r="BH38" s="209" t="s">
        <v>905</v>
      </c>
      <c r="BI38" s="209" t="s">
        <v>878</v>
      </c>
      <c r="BJ38" s="349">
        <f>SUMIFS(FNRP!AL:AL,FNRP!AI:AI,BI38,FNRP!AK:AK,BH38)*100000/10^9+SUMIFS(TB_HTM[Amt],TB_HTM[Tenor],BI38,TB_HTM[Issuer],BH38)/10^9</f>
        <v>0</v>
      </c>
      <c r="BK38" s="379"/>
      <c r="BL38" s="362"/>
      <c r="BQ38" s="128"/>
      <c r="BR38" s="234"/>
      <c r="BS38" s="234"/>
      <c r="BU38" s="101" t="s">
        <v>854</v>
      </c>
      <c r="BV38" s="158" t="s">
        <v>1064</v>
      </c>
      <c r="BW38" s="209" t="s">
        <v>906</v>
      </c>
      <c r="BX38" s="209" t="s">
        <v>821</v>
      </c>
      <c r="BY38" s="158"/>
      <c r="BZ38" s="350" cm="1">
        <f t="array" ref="BZ38">IFERROR(SUMPRODUCT(Tradingbook_MSB[MARKET_VALUE]*Tradingbook_MSB[Conv]*(Tradingbook_MSB[Type]=BW38)*(Tradingbook_MSB[Issuer]=BX38))/SUMIFS(FNRP!M:M,FNRP!AJ:AJ,BW38,FNRP!AK:AK,BX38),0)</f>
        <v>21.539671376607657</v>
      </c>
      <c r="CA38" s="351"/>
      <c r="CC38" s="101" t="s">
        <v>1072</v>
      </c>
      <c r="CD38" s="158" t="s">
        <v>1064</v>
      </c>
      <c r="CE38" s="209" t="s">
        <v>1030</v>
      </c>
      <c r="CF38" s="209"/>
      <c r="CG38" s="209" t="s">
        <v>879</v>
      </c>
      <c r="CH38" s="221">
        <f>SUMIFS(FNRP!AQ:AQ,FNRP!AI:AI,'Phan tich_TB'!CG38)/10^9</f>
        <v>-9.0449113956037603</v>
      </c>
    </row>
    <row r="39" spans="9:86" x14ac:dyDescent="0.3">
      <c r="I39" s="356" t="s">
        <v>881</v>
      </c>
      <c r="J39" s="484">
        <f>SUMIFS(RP_SEC!N:N,RP_SEC!V:V,'Phan tich_TB'!I39)/10^9</f>
        <v>-10.456</v>
      </c>
      <c r="AC39" s="224"/>
      <c r="AG39" s="224"/>
      <c r="AH39" s="224"/>
      <c r="AI39" s="224"/>
      <c r="AJ39" s="224"/>
      <c r="AK39" s="224"/>
      <c r="AP39" s="224"/>
      <c r="AQ39" s="745"/>
      <c r="AR39" s="224"/>
      <c r="AS39" s="224"/>
      <c r="AT39" s="224">
        <v>46248</v>
      </c>
      <c r="AU39" s="653"/>
      <c r="AV39" s="654"/>
      <c r="AW39" s="654"/>
      <c r="AX39" s="224"/>
      <c r="AY39" s="567"/>
      <c r="AZ39" s="224"/>
      <c r="BA39" s="224"/>
      <c r="BB39" s="224"/>
      <c r="BC39" s="97"/>
      <c r="BD39" s="224"/>
      <c r="BE39" s="101" t="s">
        <v>1050</v>
      </c>
      <c r="BF39" s="158" t="s">
        <v>1064</v>
      </c>
      <c r="BG39" s="209" t="s">
        <v>906</v>
      </c>
      <c r="BH39" s="209" t="s">
        <v>905</v>
      </c>
      <c r="BI39" s="209" t="s">
        <v>879</v>
      </c>
      <c r="BJ39" s="349">
        <f>SUMIFS(FNRP!AL:AL,FNRP!AI:AI,BI39,FNRP!AK:AK,BH39)*100000/10^9+SUMIFS(TB_HTM[Amt],TB_HTM[Tenor],BI39,TB_HTM[Issuer],BH39)/10^9</f>
        <v>0</v>
      </c>
      <c r="BK39" s="379"/>
      <c r="BL39" s="362"/>
      <c r="BQ39" s="128"/>
      <c r="BR39" s="234"/>
      <c r="BS39" s="234"/>
      <c r="BU39" s="101" t="s">
        <v>854</v>
      </c>
      <c r="BV39" s="158" t="s">
        <v>1064</v>
      </c>
      <c r="BW39" s="209" t="s">
        <v>906</v>
      </c>
      <c r="BX39" s="209" t="s">
        <v>905</v>
      </c>
      <c r="BY39" s="158"/>
      <c r="BZ39" s="350" cm="1">
        <f t="array" ref="BZ39">IFERROR(SUMPRODUCT(Tradingbook_MSB[MARKET_VALUE]*Tradingbook_MSB[Conv]*(Tradingbook_MSB[Type]=BW39)*(Tradingbook_MSB[Issuer]=BX39))/SUMIFS(FNRP!M:M,FNRP!AJ:AJ,BW39,FNRP!AK:AK,BX39),0)</f>
        <v>69.485915832767063</v>
      </c>
      <c r="CA39" s="351"/>
      <c r="CC39" s="101" t="s">
        <v>1072</v>
      </c>
      <c r="CD39" s="158" t="s">
        <v>1064</v>
      </c>
      <c r="CE39" s="209" t="s">
        <v>1030</v>
      </c>
      <c r="CF39" s="209"/>
      <c r="CG39" s="209" t="s">
        <v>880</v>
      </c>
      <c r="CH39" s="221">
        <f>SUMIFS(FNRP!AQ:AQ,FNRP!AI:AI,'Phan tich_TB'!CG39)/10^9</f>
        <v>-24.601208711947969</v>
      </c>
    </row>
    <row r="40" spans="9:86" x14ac:dyDescent="0.3">
      <c r="I40" s="356" t="s">
        <v>882</v>
      </c>
      <c r="J40" s="484">
        <f>SUMIFS(RP_SEC!N:N,RP_SEC!V:V,'Phan tich_TB'!I40)/10^9</f>
        <v>-350.49666000000002</v>
      </c>
      <c r="AC40" s="224"/>
      <c r="AG40" s="224"/>
      <c r="AH40" s="224"/>
      <c r="AI40" s="224"/>
      <c r="AJ40" s="224"/>
      <c r="AK40" s="224"/>
      <c r="AP40" s="224"/>
      <c r="AQ40" s="745"/>
      <c r="AR40" s="224"/>
      <c r="AS40" s="224"/>
      <c r="AT40" s="224">
        <v>46251</v>
      </c>
      <c r="AU40" s="655"/>
      <c r="AV40" s="654"/>
      <c r="AW40" s="654"/>
      <c r="AY40" s="567"/>
      <c r="AZ40" s="224"/>
      <c r="BA40" s="224"/>
      <c r="BB40" s="224"/>
      <c r="BC40" s="97"/>
      <c r="BD40" s="224"/>
      <c r="BE40" s="101" t="s">
        <v>1050</v>
      </c>
      <c r="BF40" s="158" t="s">
        <v>1064</v>
      </c>
      <c r="BG40" s="209" t="s">
        <v>906</v>
      </c>
      <c r="BH40" s="209" t="s">
        <v>905</v>
      </c>
      <c r="BI40" s="209" t="s">
        <v>880</v>
      </c>
      <c r="BJ40" s="349">
        <f>SUMIFS(FNRP!AL:AL,FNRP!AI:AI,BI40,FNRP!AK:AK,BH40)*100000/10^9+SUMIFS(TB_HTM[Amt],TB_HTM[Tenor],BI40,TB_HTM[Issuer],BH40)/10^9</f>
        <v>100</v>
      </c>
      <c r="BK40" s="379"/>
      <c r="BL40" s="362"/>
      <c r="BQ40" s="128"/>
      <c r="BR40" s="234"/>
      <c r="BS40" s="234"/>
      <c r="BU40" s="101" t="s">
        <v>854</v>
      </c>
      <c r="BV40" s="158" t="s">
        <v>1064</v>
      </c>
      <c r="BW40" s="209" t="s">
        <v>1030</v>
      </c>
      <c r="BX40" s="209"/>
      <c r="BY40" s="209" t="s">
        <v>877</v>
      </c>
      <c r="BZ40" s="350" cm="1">
        <f t="array" ref="BZ40">IFERROR(SUMPRODUCT(Tradingbook_MSB[Conv]*Tradingbook_MSB[MARKET_VALUE]*(Tradingbook_MSB[Tenor]=BY40))/SUMIFS(FNRP!M:M,FNRP!AI:AI,BY40),0)</f>
        <v>0</v>
      </c>
      <c r="CA40" s="351"/>
      <c r="CC40" s="101" t="s">
        <v>1072</v>
      </c>
      <c r="CD40" s="158" t="s">
        <v>1064</v>
      </c>
      <c r="CE40" s="209" t="s">
        <v>1030</v>
      </c>
      <c r="CF40" s="209"/>
      <c r="CG40" s="209" t="s">
        <v>881</v>
      </c>
      <c r="CH40" s="221">
        <f>SUMIFS(FNRP!AQ:AQ,FNRP!AI:AI,'Phan tich_TB'!CG40)/10^9</f>
        <v>-4.1568088600520747</v>
      </c>
    </row>
    <row r="41" spans="9:86" x14ac:dyDescent="0.3">
      <c r="I41" s="356" t="s">
        <v>883</v>
      </c>
      <c r="J41" s="484">
        <f>SUMIFS(RP_SEC!N:N,RP_SEC!V:V,'Phan tich_TB'!I41)/10^9</f>
        <v>-473.42565000000002</v>
      </c>
      <c r="AC41" s="224"/>
      <c r="AG41" s="224"/>
      <c r="AH41" s="224"/>
      <c r="AI41" s="224"/>
      <c r="AJ41" s="224"/>
      <c r="AK41" s="224"/>
      <c r="AP41" s="224"/>
      <c r="AQ41" s="745"/>
      <c r="AR41" s="224"/>
      <c r="AS41" s="224"/>
      <c r="AT41" s="224"/>
      <c r="AU41" s="655"/>
      <c r="AV41" s="654"/>
      <c r="AW41" s="654"/>
      <c r="AY41" s="567"/>
      <c r="AZ41" s="224"/>
      <c r="BA41" s="224"/>
      <c r="BB41" s="224"/>
      <c r="BC41" s="97"/>
      <c r="BD41" s="224"/>
      <c r="BE41" s="101" t="s">
        <v>1050</v>
      </c>
      <c r="BF41" s="158" t="s">
        <v>1064</v>
      </c>
      <c r="BG41" s="209" t="s">
        <v>906</v>
      </c>
      <c r="BH41" s="209" t="s">
        <v>905</v>
      </c>
      <c r="BI41" s="209" t="s">
        <v>881</v>
      </c>
      <c r="BJ41" s="349">
        <f>SUMIFS(FNRP!AL:AL,FNRP!AI:AI,BI41,FNRP!AK:AK,BH41)*100000/10^9+SUMIFS(TB_HTM[Amt],TB_HTM[Tenor],BI41,TB_HTM[Issuer],BH41)/10^9</f>
        <v>0</v>
      </c>
      <c r="BK41" s="379"/>
      <c r="BL41" s="362"/>
      <c r="BQ41" s="128"/>
      <c r="BR41" s="234"/>
      <c r="BS41" s="234"/>
      <c r="BU41" s="101" t="s">
        <v>854</v>
      </c>
      <c r="BV41" s="158" t="s">
        <v>1064</v>
      </c>
      <c r="BW41" s="209" t="s">
        <v>1030</v>
      </c>
      <c r="BX41" s="209"/>
      <c r="BY41" s="209" t="s">
        <v>878</v>
      </c>
      <c r="BZ41" s="350" cm="1">
        <f t="array" ref="BZ41">IFERROR(SUMPRODUCT(Tradingbook_MSB[Conv]*Tradingbook_MSB[MARKET_VALUE]*(Tradingbook_MSB[Tenor]=BY41))/SUMIFS(FNRP!M:M,FNRP!AI:AI,BY41),0)</f>
        <v>0</v>
      </c>
      <c r="CA41" s="351"/>
      <c r="CC41" s="101" t="s">
        <v>1072</v>
      </c>
      <c r="CD41" s="158" t="s">
        <v>1064</v>
      </c>
      <c r="CE41" s="209" t="s">
        <v>1030</v>
      </c>
      <c r="CF41" s="209"/>
      <c r="CG41" s="209" t="s">
        <v>882</v>
      </c>
      <c r="CH41" s="221">
        <f>SUMIFS(FNRP!AQ:AQ,FNRP!AI:AI,'Phan tich_TB'!CG41)/10^9</f>
        <v>-214.0903703674187</v>
      </c>
    </row>
    <row r="42" spans="9:86" x14ac:dyDescent="0.3">
      <c r="I42" s="356" t="s">
        <v>884</v>
      </c>
      <c r="J42" s="484">
        <f>SUMIFS(RP_SEC!N:N,RP_SEC!V:V,'Phan tich_TB'!I42)/10^9</f>
        <v>-295.54649999999998</v>
      </c>
      <c r="AC42" s="224"/>
      <c r="AG42" s="224"/>
      <c r="AH42" s="224"/>
      <c r="AI42" s="224"/>
      <c r="AJ42" s="224"/>
      <c r="AK42" s="224"/>
      <c r="AP42" s="224"/>
      <c r="AQ42" s="745"/>
      <c r="AR42" s="224"/>
      <c r="AS42" s="224"/>
      <c r="AT42" s="224"/>
      <c r="AU42" s="655"/>
      <c r="AV42" s="654"/>
      <c r="AW42" s="654"/>
      <c r="AY42" s="567"/>
      <c r="AZ42" s="224"/>
      <c r="BA42" s="224"/>
      <c r="BB42" s="224"/>
      <c r="BC42" s="97"/>
      <c r="BD42" s="224"/>
      <c r="BE42" s="101" t="s">
        <v>1050</v>
      </c>
      <c r="BF42" s="158" t="s">
        <v>1064</v>
      </c>
      <c r="BG42" s="209" t="s">
        <v>906</v>
      </c>
      <c r="BH42" s="209" t="s">
        <v>905</v>
      </c>
      <c r="BI42" s="209" t="s">
        <v>882</v>
      </c>
      <c r="BJ42" s="349">
        <f>SUMIFS(FNRP!AL:AL,FNRP!AI:AI,BI42,FNRP!AK:AK,BH42)*100000/10^9+SUMIFS(TB_HTM[Amt],TB_HTM[Tenor],BI42,TB_HTM[Issuer],BH42)/10^9</f>
        <v>1800</v>
      </c>
      <c r="BK42" s="379"/>
      <c r="BL42" s="362"/>
      <c r="BQ42" s="128"/>
      <c r="BR42" s="234"/>
      <c r="BS42" s="234"/>
      <c r="BU42" s="101" t="s">
        <v>854</v>
      </c>
      <c r="BV42" s="158" t="s">
        <v>1064</v>
      </c>
      <c r="BW42" s="209" t="s">
        <v>1030</v>
      </c>
      <c r="BX42" s="209"/>
      <c r="BY42" s="209" t="s">
        <v>879</v>
      </c>
      <c r="BZ42" s="350" cm="1">
        <f t="array" ref="BZ42">IFERROR(SUMPRODUCT(Tradingbook_MSB[Conv]*Tradingbook_MSB[MARKET_VALUE]*(Tradingbook_MSB[Tenor]=BY42))/SUMIFS(FNRP!M:M,FNRP!AI:AI,BY42),0)</f>
        <v>10.105371098622699</v>
      </c>
      <c r="CA42" s="351"/>
      <c r="CC42" s="101" t="s">
        <v>1072</v>
      </c>
      <c r="CD42" s="158" t="s">
        <v>1064</v>
      </c>
      <c r="CE42" s="209" t="s">
        <v>1030</v>
      </c>
      <c r="CF42" s="209"/>
      <c r="CG42" s="209" t="s">
        <v>883</v>
      </c>
      <c r="CH42" s="221">
        <f>SUMIFS(FNRP!AQ:AQ,FNRP!AI:AI,'Phan tich_TB'!CG42)/10^9</f>
        <v>-366.42813266960121</v>
      </c>
    </row>
    <row r="43" spans="9:86" x14ac:dyDescent="0.3">
      <c r="I43" s="356" t="s">
        <v>885</v>
      </c>
      <c r="J43" s="484">
        <f>SUMIFS(RP_SEC!N:N,RP_SEC!V:V,'Phan tich_TB'!I43)/10^9</f>
        <v>0</v>
      </c>
      <c r="AC43" s="224"/>
      <c r="AG43" s="224"/>
      <c r="AH43" s="224"/>
      <c r="AI43" s="224"/>
      <c r="AJ43" s="224"/>
      <c r="AK43" s="224"/>
      <c r="AP43" s="224"/>
      <c r="AQ43" s="745"/>
      <c r="AR43" s="224"/>
      <c r="AS43" s="224"/>
      <c r="AT43" s="224"/>
      <c r="AU43" s="655"/>
      <c r="AV43" s="654"/>
      <c r="AW43" s="654"/>
      <c r="AY43" s="567"/>
      <c r="AZ43" s="224"/>
      <c r="BA43" s="224"/>
      <c r="BB43" s="224"/>
      <c r="BC43" s="97"/>
      <c r="BD43" s="224"/>
      <c r="BE43" s="101" t="s">
        <v>1050</v>
      </c>
      <c r="BF43" s="158" t="s">
        <v>1064</v>
      </c>
      <c r="BG43" s="209" t="s">
        <v>906</v>
      </c>
      <c r="BH43" s="209" t="s">
        <v>905</v>
      </c>
      <c r="BI43" s="209" t="s">
        <v>883</v>
      </c>
      <c r="BJ43" s="349">
        <f>SUMIFS(FNRP!AL:AL,FNRP!AI:AI,BI43,FNRP!AK:AK,BH43)*100000/10^9+SUMIFS(TB_HTM[Amt],TB_HTM[Tenor],BI43,TB_HTM[Issuer],BH43)/10^9</f>
        <v>150</v>
      </c>
      <c r="BK43" s="379"/>
      <c r="BL43" s="362"/>
      <c r="BN43" s="362"/>
      <c r="BQ43" s="128"/>
      <c r="BR43" s="234"/>
      <c r="BS43" s="234"/>
      <c r="BU43" s="101" t="s">
        <v>854</v>
      </c>
      <c r="BV43" s="158" t="s">
        <v>1064</v>
      </c>
      <c r="BW43" s="209" t="s">
        <v>1030</v>
      </c>
      <c r="BX43" s="209"/>
      <c r="BY43" s="209" t="s">
        <v>880</v>
      </c>
      <c r="BZ43" s="350" cm="1">
        <f t="array" ref="BZ43">IFERROR(SUMPRODUCT(Tradingbook_MSB[Conv]*Tradingbook_MSB[MARKET_VALUE]*(Tradingbook_MSB[Tenor]=BY43))/SUMIFS(FNRP!M:M,FNRP!AI:AI,BY43),0)</f>
        <v>18.514235871720651</v>
      </c>
      <c r="CA43" s="351"/>
      <c r="CC43" s="101" t="s">
        <v>1072</v>
      </c>
      <c r="CD43" s="158" t="s">
        <v>1064</v>
      </c>
      <c r="CE43" s="209" t="s">
        <v>1030</v>
      </c>
      <c r="CF43" s="209"/>
      <c r="CG43" s="209" t="s">
        <v>884</v>
      </c>
      <c r="CH43" s="221">
        <f>SUMIFS(FNRP!AQ:AQ,FNRP!AI:AI,'Phan tich_TB'!CG43)/10^9</f>
        <v>-153.19599765901631</v>
      </c>
    </row>
    <row r="44" spans="9:86" x14ac:dyDescent="0.3">
      <c r="I44" s="356" t="s">
        <v>886</v>
      </c>
      <c r="J44" s="484">
        <f>SUMIFS(RP_SEC!N:N,RP_SEC!V:V,'Phan tich_TB'!I44)/10^9</f>
        <v>0</v>
      </c>
      <c r="AC44" s="224"/>
      <c r="AG44" s="224"/>
      <c r="AH44" s="224"/>
      <c r="AI44" s="224"/>
      <c r="AJ44" s="224"/>
      <c r="AK44" s="224"/>
      <c r="AP44" s="224"/>
      <c r="AQ44" s="745"/>
      <c r="AR44" s="224"/>
      <c r="AS44" s="224"/>
      <c r="AT44" s="224"/>
      <c r="AU44" s="655"/>
      <c r="AV44" s="654"/>
      <c r="AW44" s="654"/>
      <c r="AY44" s="567"/>
      <c r="AZ44" s="224"/>
      <c r="BA44" s="224"/>
      <c r="BB44" s="224"/>
      <c r="BC44" s="97"/>
      <c r="BD44" s="224"/>
      <c r="BE44" s="101" t="s">
        <v>1050</v>
      </c>
      <c r="BF44" s="158" t="s">
        <v>1064</v>
      </c>
      <c r="BG44" s="209" t="s">
        <v>906</v>
      </c>
      <c r="BH44" s="209" t="s">
        <v>905</v>
      </c>
      <c r="BI44" s="209" t="s">
        <v>884</v>
      </c>
      <c r="BJ44" s="349">
        <f>SUMIFS(FNRP!AL:AL,FNRP!AI:AI,BI44,FNRP!AK:AK,BH44)*100000/10^9+SUMIFS(TB_HTM[Amt],TB_HTM[Tenor],BI44,TB_HTM[Issuer],BH44)/10^9</f>
        <v>1358</v>
      </c>
      <c r="BK44" s="379"/>
      <c r="BL44" s="362"/>
      <c r="BM44" s="362"/>
      <c r="BQ44" s="128"/>
      <c r="BR44" s="234"/>
      <c r="BS44" s="234"/>
      <c r="BU44" s="101" t="s">
        <v>854</v>
      </c>
      <c r="BV44" s="158" t="s">
        <v>1064</v>
      </c>
      <c r="BW44" s="209" t="s">
        <v>1030</v>
      </c>
      <c r="BX44" s="209"/>
      <c r="BY44" s="209" t="s">
        <v>881</v>
      </c>
      <c r="BZ44" s="350" cm="1">
        <f t="array" ref="BZ44">IFERROR(SUMPRODUCT(Tradingbook_MSB[Conv]*Tradingbook_MSB[MARKET_VALUE]*(Tradingbook_MSB[Tenor]=BY44))/SUMIFS(FNRP!M:M,FNRP!AI:AI,BY44),0)</f>
        <v>21.562294116404438</v>
      </c>
      <c r="CA44" s="351"/>
      <c r="CC44" s="101" t="s">
        <v>1072</v>
      </c>
      <c r="CD44" s="158" t="s">
        <v>1064</v>
      </c>
      <c r="CE44" s="209" t="s">
        <v>1030</v>
      </c>
      <c r="CF44" s="209"/>
      <c r="CG44" s="209" t="s">
        <v>885</v>
      </c>
      <c r="CH44" s="221">
        <f>SUMIFS(FNRP!AQ:AQ,FNRP!AI:AI,'Phan tich_TB'!CG44)/10^9</f>
        <v>0</v>
      </c>
    </row>
    <row r="45" spans="9:86" x14ac:dyDescent="0.3">
      <c r="AC45" s="224"/>
      <c r="AG45" s="224"/>
      <c r="AH45" s="224"/>
      <c r="AI45" s="224"/>
      <c r="AJ45" s="224"/>
      <c r="AK45" s="224"/>
      <c r="AP45" s="224"/>
      <c r="AQ45" s="745"/>
      <c r="AR45" s="224"/>
      <c r="AS45" s="224"/>
      <c r="AT45" s="224"/>
      <c r="AU45" s="655"/>
      <c r="AV45" s="654"/>
      <c r="AW45" s="654"/>
      <c r="AY45" s="567"/>
      <c r="AZ45" s="224"/>
      <c r="BA45" s="224"/>
      <c r="BB45" s="224"/>
      <c r="BC45" s="97"/>
      <c r="BD45" s="224"/>
      <c r="BE45" s="101" t="s">
        <v>1050</v>
      </c>
      <c r="BF45" s="158" t="s">
        <v>1064</v>
      </c>
      <c r="BG45" s="209" t="s">
        <v>906</v>
      </c>
      <c r="BH45" s="209" t="s">
        <v>905</v>
      </c>
      <c r="BI45" s="209" t="s">
        <v>885</v>
      </c>
      <c r="BJ45" s="349">
        <f>SUMIFS(FNRP!AL:AL,FNRP!AI:AI,BI45,FNRP!AK:AK,BH45)*100000/10^9+SUMIFS(TB_HTM[Amt],TB_HTM[Tenor],BI45,TB_HTM[Issuer],BH45)/10^9</f>
        <v>0</v>
      </c>
      <c r="BQ45" s="128"/>
      <c r="BR45" s="234"/>
      <c r="BS45" s="234"/>
      <c r="BU45" s="101" t="s">
        <v>854</v>
      </c>
      <c r="BV45" s="158" t="s">
        <v>1064</v>
      </c>
      <c r="BW45" s="209" t="s">
        <v>1030</v>
      </c>
      <c r="BX45" s="209"/>
      <c r="BY45" s="209" t="s">
        <v>882</v>
      </c>
      <c r="BZ45" s="350" cm="1">
        <f t="array" ref="BZ45">IFERROR(SUMPRODUCT(Tradingbook_MSB[Conv]*Tradingbook_MSB[MARKET_VALUE]*(Tradingbook_MSB[Tenor]=BY45))/SUMIFS(FNRP!M:M,FNRP!AI:AI,BY45),0)</f>
        <v>42.692674261283223</v>
      </c>
      <c r="CA45" s="351"/>
      <c r="CC45" s="101" t="s">
        <v>1072</v>
      </c>
      <c r="CD45" s="158" t="s">
        <v>1064</v>
      </c>
      <c r="CE45" s="209" t="s">
        <v>1030</v>
      </c>
      <c r="CF45" s="209"/>
      <c r="CG45" s="209" t="s">
        <v>886</v>
      </c>
      <c r="CH45" s="221">
        <f>SUMIFS(FNRP!AQ:AQ,FNRP!AI:AI,'Phan tich_TB'!CG45)/10^9</f>
        <v>0</v>
      </c>
    </row>
    <row r="46" spans="9:86" x14ac:dyDescent="0.3">
      <c r="AC46" s="224"/>
      <c r="AG46" s="224"/>
      <c r="AH46" s="224"/>
      <c r="AI46" s="224"/>
      <c r="AJ46" s="224"/>
      <c r="AK46" s="224"/>
      <c r="AP46" s="224"/>
      <c r="AQ46" s="745"/>
      <c r="AR46" s="224"/>
      <c r="AS46" s="224"/>
      <c r="AT46" s="224"/>
      <c r="AU46" s="655"/>
      <c r="AV46" s="654"/>
      <c r="AW46" s="654"/>
      <c r="AY46" s="567"/>
      <c r="AZ46" s="224"/>
      <c r="BA46" s="224"/>
      <c r="BB46" s="224"/>
      <c r="BC46" s="97"/>
      <c r="BD46" s="224"/>
      <c r="BE46" s="101" t="s">
        <v>1050</v>
      </c>
      <c r="BF46" s="158" t="s">
        <v>1064</v>
      </c>
      <c r="BG46" s="209" t="s">
        <v>906</v>
      </c>
      <c r="BH46" s="209" t="s">
        <v>905</v>
      </c>
      <c r="BI46" s="209" t="s">
        <v>886</v>
      </c>
      <c r="BJ46" s="349">
        <f>SUMIFS(FNRP!AL:AL,FNRP!AI:AI,BI46,FNRP!AK:AK,BH46)*100000/10^9+SUMIFS(TB_HTM[Amt],TB_HTM[Tenor],BI46,TB_HTM[Issuer],BH46)/10^9</f>
        <v>0</v>
      </c>
      <c r="BU46" s="101" t="s">
        <v>854</v>
      </c>
      <c r="BV46" s="158" t="s">
        <v>1064</v>
      </c>
      <c r="BW46" s="209" t="s">
        <v>1030</v>
      </c>
      <c r="BX46" s="209"/>
      <c r="BY46" s="209" t="s">
        <v>883</v>
      </c>
      <c r="BZ46" s="350" cm="1">
        <f t="array" ref="BZ46">IFERROR(SUMPRODUCT(Tradingbook_MSB[Conv]*Tradingbook_MSB[MARKET_VALUE]*(Tradingbook_MSB[Tenor]=BY46))/SUMIFS(FNRP!M:M,FNRP!AI:AI,BY46),0)</f>
        <v>60.374400920834368</v>
      </c>
      <c r="CA46" s="351"/>
    </row>
    <row r="47" spans="9:86" x14ac:dyDescent="0.3">
      <c r="I47" s="340" t="s">
        <v>876</v>
      </c>
      <c r="J47" s="515" t="s">
        <v>3508</v>
      </c>
      <c r="AC47" s="224"/>
      <c r="AG47" s="224"/>
      <c r="AH47" s="224"/>
      <c r="AI47" s="224"/>
      <c r="AJ47" s="224"/>
      <c r="AK47" s="224"/>
      <c r="AP47" s="224"/>
      <c r="AQ47" s="745"/>
      <c r="AR47" s="224"/>
      <c r="AS47" s="224"/>
      <c r="AT47" s="224"/>
      <c r="AU47" s="655"/>
      <c r="AV47" s="654"/>
      <c r="AW47" s="654"/>
      <c r="AY47" s="567"/>
      <c r="AZ47" s="224"/>
      <c r="BA47" s="224"/>
      <c r="BB47" s="224"/>
      <c r="BC47" s="97"/>
      <c r="BD47" s="224"/>
      <c r="BE47" s="101" t="s">
        <v>1050</v>
      </c>
      <c r="BF47" s="158" t="s">
        <v>1064</v>
      </c>
      <c r="BG47" s="209" t="s">
        <v>894</v>
      </c>
      <c r="BH47" s="209" t="s">
        <v>894</v>
      </c>
      <c r="BI47" s="209" t="s">
        <v>877</v>
      </c>
      <c r="BJ47" s="349" cm="1">
        <f t="array" ref="BJ47">SUMIFS(FNRP!AL:AL,FNRP!AJ:AJ,BH47,FNRP!AI:AI,BI47)/10^4
+SUM(SUMIFS(TB_HTM[Amt],TB_HTM[Tenor],{"3M","6M","1Y"},TB_HTM[Type],BH47))/10^9</f>
        <v>0</v>
      </c>
      <c r="BU47" s="101" t="s">
        <v>854</v>
      </c>
      <c r="BV47" s="158" t="s">
        <v>1064</v>
      </c>
      <c r="BW47" s="209" t="s">
        <v>1030</v>
      </c>
      <c r="BX47" s="209"/>
      <c r="BY47" s="209" t="s">
        <v>884</v>
      </c>
      <c r="BZ47" s="350" cm="1">
        <f t="array" ref="BZ47">IFERROR(SUMPRODUCT(Tradingbook_MSB[Conv]*Tradingbook_MSB[MARKET_VALUE]*(Tradingbook_MSB[Tenor]=BY47))/SUMIFS(FNRP!M:M,FNRP!AI:AI,BY47),0)</f>
        <v>113.84605306430568</v>
      </c>
      <c r="CA47" s="351"/>
    </row>
    <row r="48" spans="9:86" x14ac:dyDescent="0.3">
      <c r="I48" s="381"/>
      <c r="J48" s="484">
        <f>SUM(RP_SEC!S:S)/10^9+SUM(TB_HTM[ItD])/10^9</f>
        <v>-1638.5293972848699</v>
      </c>
      <c r="AC48" s="224"/>
      <c r="AG48" s="224"/>
      <c r="AH48" s="224"/>
      <c r="AI48" s="224"/>
      <c r="AJ48" s="224"/>
      <c r="AK48" s="224"/>
      <c r="AP48" s="224"/>
      <c r="AQ48" s="745"/>
      <c r="AR48" s="224"/>
      <c r="AS48" s="224"/>
      <c r="AT48" s="224"/>
      <c r="AU48" s="655"/>
      <c r="AV48" s="654"/>
      <c r="AW48" s="654"/>
      <c r="AY48" s="567"/>
      <c r="AZ48" s="224"/>
      <c r="BA48" s="224"/>
      <c r="BB48" s="224"/>
      <c r="BC48" s="97"/>
      <c r="BD48" s="224"/>
      <c r="BE48" s="101" t="s">
        <v>1050</v>
      </c>
      <c r="BF48" s="158" t="s">
        <v>1064</v>
      </c>
      <c r="BG48" s="209" t="s">
        <v>894</v>
      </c>
      <c r="BH48" s="209" t="s">
        <v>894</v>
      </c>
      <c r="BI48" s="209" t="s">
        <v>878</v>
      </c>
      <c r="BJ48" s="349">
        <f>SUMIFS(FNRP!AL:AL,FNRP!AJ:AJ,'Phan tich_TB'!BH48,FNRP!AI:AI,'Phan tich_TB'!BI48)/10^4+SUM(SUMIFS(TB_HTM[Amt],TB_HTM[Tenor],BI48))/10^9</f>
        <v>0</v>
      </c>
      <c r="BU48" s="101" t="s">
        <v>854</v>
      </c>
      <c r="BV48" s="158" t="s">
        <v>1064</v>
      </c>
      <c r="BW48" s="209" t="s">
        <v>1030</v>
      </c>
      <c r="BX48" s="209"/>
      <c r="BY48" s="209" t="s">
        <v>885</v>
      </c>
      <c r="BZ48" s="350" cm="1">
        <f t="array" ref="BZ48">IFERROR(SUMPRODUCT(Tradingbook_MSB[Conv]*Tradingbook_MSB[MARKET_VALUE]*(Tradingbook_MSB[Tenor]=BY48))/SUMIFS(FNRP!M:M,FNRP!AI:AI,BY48),0)</f>
        <v>0</v>
      </c>
      <c r="CA48" s="351"/>
    </row>
    <row r="49" spans="9:78" x14ac:dyDescent="0.3">
      <c r="I49" s="356" t="s">
        <v>877</v>
      </c>
      <c r="J49" s="484" cm="1">
        <f t="array" ref="J49">SUM(SUMIFS(RP_SEC!S:S,RP_SEC!V:V,{"1Y","3M","6M"}))/10^9+SUM(SUMIFS(TB_HTM[ItD],TB_HTM[Tenor],{"1Y","3M","6M"}))/10^9</f>
        <v>-8.5714792672462554</v>
      </c>
      <c r="AU49" s="655"/>
      <c r="AV49" s="654"/>
      <c r="AW49" s="654"/>
      <c r="AY49" s="567"/>
      <c r="BD49" s="224"/>
      <c r="BE49" s="101" t="s">
        <v>1050</v>
      </c>
      <c r="BF49" s="158" t="s">
        <v>1064</v>
      </c>
      <c r="BG49" s="209" t="s">
        <v>894</v>
      </c>
      <c r="BH49" s="209" t="s">
        <v>894</v>
      </c>
      <c r="BI49" s="209" t="s">
        <v>879</v>
      </c>
      <c r="BJ49" s="349">
        <f>SUMIFS(FNRP!AL:AL,FNRP!AJ:AJ,'Phan tich_TB'!BH49,FNRP!AI:AI,'Phan tich_TB'!BI49)/10^4+SUMIFS(TB_HTM[Amt],TB_HTM[Tenor],BI49,TB_HTM[Type],BH49)/10^9</f>
        <v>300</v>
      </c>
      <c r="BU49" s="101" t="s">
        <v>854</v>
      </c>
      <c r="BV49" s="158" t="s">
        <v>1064</v>
      </c>
      <c r="BW49" s="209" t="s">
        <v>1030</v>
      </c>
      <c r="BX49" s="209"/>
      <c r="BY49" s="209" t="s">
        <v>886</v>
      </c>
      <c r="BZ49" s="350" cm="1">
        <f t="array" ref="BZ49">IFERROR(SUMPRODUCT(Tradingbook_MSB[Conv]*Tradingbook_MSB[MARKET_VALUE]*(Tradingbook_MSB[Tenor]=BY49))/SUMIFS(FNRP!M:M,FNRP!AI:AI,BY49),0)</f>
        <v>0</v>
      </c>
    </row>
    <row r="50" spans="9:78" x14ac:dyDescent="0.3">
      <c r="I50" s="356" t="s">
        <v>878</v>
      </c>
      <c r="J50" s="484">
        <f>SUMIFS(RP_SEC!S:S,RP_SEC!V:V,'Phan tich_TB'!I50)/10^9+SUMIFS(TB_HTM[ItD],TB_HTM[Tenor],'Phan tich_TB'!I50)/10^9</f>
        <v>0</v>
      </c>
      <c r="AU50" s="655"/>
      <c r="AV50" s="654"/>
      <c r="AW50" s="654"/>
      <c r="AY50" s="567"/>
      <c r="BD50" s="224"/>
      <c r="BE50" s="101" t="s">
        <v>1050</v>
      </c>
      <c r="BF50" s="158" t="s">
        <v>1064</v>
      </c>
      <c r="BG50" s="209" t="s">
        <v>894</v>
      </c>
      <c r="BH50" s="209" t="s">
        <v>894</v>
      </c>
      <c r="BI50" s="209" t="s">
        <v>880</v>
      </c>
      <c r="BJ50" s="349">
        <f>SUMIFS(FNRP!AL:AL,FNRP!AJ:AJ,'Phan tich_TB'!BH50,FNRP!AI:AI,'Phan tich_TB'!BI50)/10^4+SUMIFS(TB_HTM[Amt],TB_HTM[Tenor],BI50,TB_HTM[Type],BH50)/10^9</f>
        <v>0</v>
      </c>
    </row>
    <row r="51" spans="9:78" x14ac:dyDescent="0.3">
      <c r="I51" s="356" t="s">
        <v>879</v>
      </c>
      <c r="J51" s="484">
        <f>SUMIFS(RP_SEC!S:S,RP_SEC!V:V,'Phan tich_TB'!I51)/10^9+SUMIFS(TB_HTM[ItD],TB_HTM[Tenor],'Phan tich_TB'!I51)/10^9</f>
        <v>3.6129667415823929</v>
      </c>
      <c r="AU51" s="655"/>
      <c r="AV51" s="654"/>
      <c r="AW51" s="654"/>
      <c r="AY51" s="567"/>
      <c r="BD51" s="224"/>
      <c r="BE51" s="101" t="s">
        <v>1050</v>
      </c>
      <c r="BF51" s="158" t="s">
        <v>1064</v>
      </c>
      <c r="BG51" s="209" t="s">
        <v>894</v>
      </c>
      <c r="BH51" s="209" t="s">
        <v>894</v>
      </c>
      <c r="BI51" s="209" t="s">
        <v>881</v>
      </c>
      <c r="BJ51" s="349">
        <f>SUMIFS(FNRP!AL:AL,FNRP!AJ:AJ,'Phan tich_TB'!BH51,FNRP!AI:AI,'Phan tich_TB'!BI51)/10^4+SUMIFS(TB_HTM[Amt],TB_HTM[Tenor],BI51,TB_HTM[Type],BH51)/10^9</f>
        <v>0</v>
      </c>
    </row>
    <row r="52" spans="9:78" x14ac:dyDescent="0.3">
      <c r="I52" s="356" t="s">
        <v>880</v>
      </c>
      <c r="J52" s="484">
        <f>SUMIFS(RP_SEC!S:S,RP_SEC!V:V,'Phan tich_TB'!I52)/10^9+SUMIFS(TB_HTM[ItD],TB_HTM[Tenor],'Phan tich_TB'!I52)/10^9</f>
        <v>-24.961247574167501</v>
      </c>
      <c r="AU52" s="655"/>
      <c r="AV52" s="654"/>
      <c r="AW52" s="654"/>
      <c r="AY52" s="567"/>
      <c r="BD52" s="224"/>
      <c r="BE52" s="101" t="s">
        <v>1050</v>
      </c>
      <c r="BF52" s="158" t="s">
        <v>1064</v>
      </c>
      <c r="BG52" s="209" t="s">
        <v>894</v>
      </c>
      <c r="BH52" s="209" t="s">
        <v>894</v>
      </c>
      <c r="BI52" s="209" t="s">
        <v>882</v>
      </c>
      <c r="BJ52" s="349">
        <f>SUMIFS(FNRP!AL:AL,FNRP!AJ:AJ,'Phan tich_TB'!BH52,FNRP!AI:AI,'Phan tich_TB'!BI52)/10^4+SUMIFS(TB_HTM[Amt],TB_HTM[Tenor],BI52,TB_HTM[Type],BH52)/10^9</f>
        <v>0</v>
      </c>
    </row>
    <row r="53" spans="9:78" x14ac:dyDescent="0.3">
      <c r="I53" s="356" t="s">
        <v>881</v>
      </c>
      <c r="J53" s="484">
        <f>SUMIFS(RP_SEC!S:S,RP_SEC!V:V,'Phan tich_TB'!I53)/10^9+SUMIFS(TB_HTM[ItD],TB_HTM[Tenor],'Phan tich_TB'!I53)/10^9</f>
        <v>-8.0669387160695649</v>
      </c>
      <c r="AU53" s="655"/>
      <c r="AV53" s="654"/>
      <c r="AW53" s="654"/>
      <c r="AY53" s="567"/>
      <c r="BD53" s="224"/>
      <c r="BE53" s="101" t="s">
        <v>1050</v>
      </c>
      <c r="BF53" s="158" t="s">
        <v>1064</v>
      </c>
      <c r="BG53" s="209" t="s">
        <v>894</v>
      </c>
      <c r="BH53" s="209" t="s">
        <v>894</v>
      </c>
      <c r="BI53" s="209" t="s">
        <v>883</v>
      </c>
      <c r="BJ53" s="349">
        <f>SUMIFS(FNRP!AL:AL,FNRP!AJ:AJ,'Phan tich_TB'!BH53,FNRP!AI:AI,'Phan tich_TB'!BI53)/10^4+SUMIFS(TB_HTM[Amt],TB_HTM[Tenor],BI53,TB_HTM[Type],BH53)/10^9</f>
        <v>0</v>
      </c>
    </row>
    <row r="54" spans="9:78" x14ac:dyDescent="0.3">
      <c r="I54" s="356" t="s">
        <v>882</v>
      </c>
      <c r="J54" s="484">
        <f>SUMIFS(RP_SEC!S:S,RP_SEC!V:V,'Phan tich_TB'!I54)/10^9+SUMIFS(TB_HTM[ItD],TB_HTM[Tenor],'Phan tich_TB'!I54)/10^9</f>
        <v>-444.23859333268985</v>
      </c>
      <c r="AU54" s="655"/>
      <c r="AV54" s="654"/>
      <c r="AW54" s="654"/>
      <c r="AY54" s="567"/>
      <c r="BD54" s="224"/>
      <c r="BE54" s="101" t="s">
        <v>1050</v>
      </c>
      <c r="BF54" s="158" t="s">
        <v>1064</v>
      </c>
      <c r="BG54" s="209" t="s">
        <v>894</v>
      </c>
      <c r="BH54" s="209" t="s">
        <v>894</v>
      </c>
      <c r="BI54" s="209" t="s">
        <v>884</v>
      </c>
      <c r="BJ54" s="349">
        <f>SUMIFS(FNRP!AL:AL,FNRP!AJ:AJ,'Phan tich_TB'!BH54,FNRP!AI:AI,'Phan tich_TB'!BI54)/10^4+SUMIFS(TB_HTM[Amt],TB_HTM[Tenor],BI54,TB_HTM[Type],BH54)/10^9</f>
        <v>0</v>
      </c>
    </row>
    <row r="55" spans="9:78" x14ac:dyDescent="0.3">
      <c r="I55" s="356" t="s">
        <v>883</v>
      </c>
      <c r="J55" s="484">
        <f>SUMIFS(RP_SEC!S:S,RP_SEC!V:V,'Phan tich_TB'!I55)/10^9+SUMIFS(TB_HTM[ItD],TB_HTM[Tenor],'Phan tich_TB'!I55)/10^9</f>
        <v>-530.82906025526802</v>
      </c>
      <c r="AU55" s="655"/>
      <c r="AV55" s="654"/>
      <c r="AW55" s="654"/>
      <c r="AY55" s="567"/>
      <c r="BD55" s="224"/>
      <c r="BE55" s="101" t="s">
        <v>1050</v>
      </c>
      <c r="BF55" s="158" t="s">
        <v>1064</v>
      </c>
      <c r="BG55" s="209" t="s">
        <v>894</v>
      </c>
      <c r="BH55" s="209" t="s">
        <v>894</v>
      </c>
      <c r="BI55" s="209" t="s">
        <v>885</v>
      </c>
      <c r="BJ55" s="349">
        <f>SUMIFS(FNRP!AL:AL,FNRP!AJ:AJ,'Phan tich_TB'!BH55,FNRP!AI:AI,'Phan tich_TB'!BI55)/10^4+SUMIFS(TB_HTM[Amt],TB_HTM[Tenor],BI55,TB_HTM[Type],BH55)/10^9</f>
        <v>0</v>
      </c>
    </row>
    <row r="56" spans="9:78" x14ac:dyDescent="0.3">
      <c r="I56" s="356" t="s">
        <v>884</v>
      </c>
      <c r="J56" s="484">
        <f>SUMIFS(RP_SEC!S:S,RP_SEC!V:V,'Phan tich_TB'!I56)/10^9+SUMIFS(TB_HTM[ItD],TB_HTM[Tenor],'Phan tich_TB'!I56)/10^9</f>
        <v>-625.47504488101026</v>
      </c>
      <c r="AU56" s="655"/>
      <c r="AV56" s="654"/>
      <c r="AW56" s="654"/>
      <c r="AY56" s="567"/>
      <c r="BD56" s="224"/>
      <c r="BE56" s="101" t="s">
        <v>1050</v>
      </c>
      <c r="BF56" s="158" t="s">
        <v>1064</v>
      </c>
      <c r="BG56" s="209" t="s">
        <v>894</v>
      </c>
      <c r="BH56" s="209" t="s">
        <v>894</v>
      </c>
      <c r="BI56" s="209" t="s">
        <v>886</v>
      </c>
      <c r="BJ56" s="349">
        <f>SUMIFS(FNRP!AL:AL,FNRP!AJ:AJ,'Phan tich_TB'!BH56,FNRP!AI:AI,'Phan tich_TB'!BI56)/10^4+SUMIFS(TB_HTM[Amt],TB_HTM[Tenor],BI56,TB_HTM[Type],BH56)/10^9</f>
        <v>0</v>
      </c>
    </row>
    <row r="57" spans="9:78" x14ac:dyDescent="0.3">
      <c r="I57" s="356" t="s">
        <v>885</v>
      </c>
      <c r="J57" s="484">
        <f>SUMIFS(RP_SEC!S:S,RP_SEC!V:V,'Phan tich_TB'!I57)/10^9+SUMIFS(TB_HTM[ItD],TB_HTM[Tenor],'Phan tich_TB'!I57)/10^9</f>
        <v>0</v>
      </c>
      <c r="AU57" s="655"/>
      <c r="AV57" s="654"/>
      <c r="AW57" s="654"/>
      <c r="AY57" s="567"/>
    </row>
    <row r="58" spans="9:78" x14ac:dyDescent="0.3">
      <c r="I58" s="356" t="s">
        <v>886</v>
      </c>
      <c r="J58" s="484">
        <f>SUMIFS(RP_SEC!S:S,RP_SEC!V:V,'Phan tich_TB'!I58)/10^9+SUMIFS(TB_HTM[ItD],TB_HTM[Tenor],'Phan tich_TB'!I58)/10^9</f>
        <v>0</v>
      </c>
      <c r="AU58" s="655"/>
      <c r="AV58" s="654"/>
      <c r="AW58" s="654"/>
      <c r="AY58" s="567"/>
    </row>
    <row r="59" spans="9:78" x14ac:dyDescent="0.3">
      <c r="AU59" s="655"/>
      <c r="AV59" s="654"/>
      <c r="AW59" s="654"/>
      <c r="AY59" s="567"/>
    </row>
    <row r="60" spans="9:78" x14ac:dyDescent="0.3">
      <c r="AU60" s="655"/>
      <c r="AV60" s="654"/>
      <c r="AW60" s="654"/>
      <c r="AY60" s="567"/>
    </row>
    <row r="61" spans="9:78" x14ac:dyDescent="0.3">
      <c r="AU61" s="655"/>
      <c r="AV61" s="654"/>
      <c r="AW61" s="654"/>
      <c r="AY61" s="567"/>
    </row>
    <row r="62" spans="9:78" x14ac:dyDescent="0.3">
      <c r="AU62" s="655"/>
      <c r="AV62" s="654"/>
      <c r="AW62" s="654"/>
      <c r="AY62" s="567"/>
    </row>
    <row r="63" spans="9:78" x14ac:dyDescent="0.3">
      <c r="AU63" s="655"/>
      <c r="AV63" s="654"/>
      <c r="AW63" s="654"/>
      <c r="AY63" s="567"/>
    </row>
    <row r="64" spans="9:78" x14ac:dyDescent="0.3">
      <c r="AU64" s="655"/>
      <c r="AV64" s="654"/>
      <c r="AW64" s="654"/>
      <c r="AY64" s="567"/>
    </row>
    <row r="65" spans="47:51" x14ac:dyDescent="0.3">
      <c r="AU65" s="655"/>
      <c r="AV65" s="654"/>
      <c r="AW65" s="654"/>
      <c r="AY65" s="567"/>
    </row>
    <row r="66" spans="47:51" x14ac:dyDescent="0.3">
      <c r="AU66" s="655"/>
      <c r="AV66" s="654"/>
      <c r="AW66" s="652"/>
      <c r="AY66" s="567"/>
    </row>
    <row r="67" spans="47:51" x14ac:dyDescent="0.3">
      <c r="AU67" s="655"/>
      <c r="AV67" s="654"/>
      <c r="AW67" s="652"/>
      <c r="AY67" s="567"/>
    </row>
    <row r="102" spans="82:88" x14ac:dyDescent="0.3">
      <c r="CD102" s="128" t="s">
        <v>173</v>
      </c>
      <c r="CE102" s="128" t="s">
        <v>173</v>
      </c>
      <c r="CF102" s="128" t="s">
        <v>173</v>
      </c>
      <c r="CG102" s="128" t="s">
        <v>173</v>
      </c>
      <c r="CH102" s="128" t="s">
        <v>173</v>
      </c>
      <c r="CI102" s="128" t="s">
        <v>173</v>
      </c>
      <c r="CJ102" s="128" t="s">
        <v>173</v>
      </c>
    </row>
  </sheetData>
  <mergeCells count="11">
    <mergeCell ref="CJ16:CJ17"/>
    <mergeCell ref="AU1:AV1"/>
    <mergeCell ref="AU2:AV2"/>
    <mergeCell ref="AU3:AV3"/>
    <mergeCell ref="AU4:AV4"/>
    <mergeCell ref="EJ2:EJ3"/>
    <mergeCell ref="EJ4:EJ5"/>
    <mergeCell ref="CJ9:CJ10"/>
    <mergeCell ref="CJ11:CJ12"/>
    <mergeCell ref="CJ2:CJ3"/>
    <mergeCell ref="CJ4:CJ5"/>
  </mergeCells>
  <pageMargins left="0.7" right="0.7" top="0.75" bottom="0.75" header="0.3" footer="0.3"/>
  <pageSetup orientation="portrait" r:id="rId1"/>
  <legacy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theme="6" tint="0.39997558519241921"/>
  </sheetPr>
  <dimension ref="A1:BE44"/>
  <sheetViews>
    <sheetView showGridLines="0" topLeftCell="P1" zoomScale="115" zoomScaleNormal="115" workbookViewId="0">
      <selection activeCell="U19" sqref="U19"/>
    </sheetView>
  </sheetViews>
  <sheetFormatPr defaultColWidth="9.09765625" defaultRowHeight="14.4" outlineLevelCol="1" x14ac:dyDescent="0.3"/>
  <cols>
    <col min="1" max="1" width="27.69921875" style="128" bestFit="1" customWidth="1"/>
    <col min="2" max="2" width="15" style="128" customWidth="1" outlineLevel="1"/>
    <col min="3" max="4" width="14.69921875" style="128" customWidth="1" outlineLevel="1"/>
    <col min="5" max="5" width="15" style="128" customWidth="1" outlineLevel="1"/>
    <col min="6" max="6" width="18.3984375" style="128" customWidth="1" outlineLevel="1"/>
    <col min="7" max="7" width="10.59765625" style="128" bestFit="1" customWidth="1" outlineLevel="1"/>
    <col min="8" max="8" width="9.69921875" style="128" bestFit="1" customWidth="1" outlineLevel="1"/>
    <col min="9" max="9" width="8.09765625" style="128" bestFit="1" customWidth="1" outlineLevel="1"/>
    <col min="10" max="10" width="12.59765625" style="128" bestFit="1" customWidth="1" outlineLevel="1"/>
    <col min="11" max="11" width="10.296875" style="128" bestFit="1" customWidth="1" outlineLevel="1"/>
    <col min="12" max="13" width="9.09765625" style="128" customWidth="1" outlineLevel="1"/>
    <col min="14" max="14" width="17" style="128" customWidth="1" outlineLevel="1"/>
    <col min="15" max="17" width="17.69921875" style="128" customWidth="1" outlineLevel="1"/>
    <col min="18" max="18" width="12.59765625" style="128" customWidth="1" outlineLevel="1"/>
    <col min="19" max="21" width="17.69921875" style="128" customWidth="1" outlineLevel="1"/>
    <col min="22" max="22" width="12.69921875" style="128" customWidth="1" outlineLevel="1"/>
    <col min="23" max="24" width="18.59765625" style="128" customWidth="1" outlineLevel="1"/>
    <col min="25" max="25" width="12" style="128" customWidth="1" outlineLevel="1"/>
    <col min="26" max="26" width="6.59765625" style="128" customWidth="1" outlineLevel="1"/>
    <col min="27" max="27" width="23.09765625" style="128" customWidth="1" outlineLevel="1"/>
    <col min="28" max="28" width="17" style="128" customWidth="1" outlineLevel="1"/>
    <col min="29" max="29" width="9.09765625" style="11" customWidth="1" outlineLevel="1"/>
    <col min="30" max="30" width="9.09765625" style="234" customWidth="1" outlineLevel="1"/>
    <col min="31" max="33" width="9.09765625" style="128" customWidth="1" outlineLevel="1"/>
    <col min="34" max="34" width="11.69921875" style="128" customWidth="1" outlineLevel="1"/>
    <col min="35" max="35" width="12" style="128" customWidth="1" outlineLevel="1"/>
    <col min="36" max="36" width="9.09765625" style="128" customWidth="1" outlineLevel="1"/>
    <col min="37" max="37" width="9.59765625" style="128" customWidth="1"/>
    <col min="38" max="38" width="27.69921875" style="128" bestFit="1" customWidth="1"/>
    <col min="39" max="39" width="13.3984375" style="128" customWidth="1" outlineLevel="1"/>
    <col min="40" max="40" width="19.69921875" style="128" customWidth="1" outlineLevel="1"/>
    <col min="41" max="41" width="9.09765625" style="11" customWidth="1" outlineLevel="1"/>
    <col min="42" max="42" width="15.296875" style="232" customWidth="1" outlineLevel="1"/>
    <col min="43" max="44" width="9.09765625" style="128" customWidth="1" outlineLevel="1"/>
    <col min="45" max="45" width="8.3984375" style="128" customWidth="1" outlineLevel="1"/>
    <col min="46" max="46" width="18.59765625" style="128" customWidth="1" outlineLevel="1"/>
    <col min="47" max="47" width="12" style="232" customWidth="1" outlineLevel="1"/>
    <col min="48" max="48" width="24.09765625" style="128" customWidth="1" outlineLevel="1"/>
    <col min="49" max="50" width="18.09765625" style="128" customWidth="1" outlineLevel="1"/>
    <col min="51" max="51" width="12.69921875" style="231" customWidth="1" outlineLevel="1"/>
    <col min="52" max="52" width="9.09765625" style="128"/>
    <col min="53" max="53" width="30.09765625" style="128" bestFit="1" customWidth="1"/>
    <col min="54" max="54" width="12.8984375" style="128" customWidth="1" outlineLevel="1"/>
    <col min="55" max="55" width="19.69921875" style="128" customWidth="1" outlineLevel="1"/>
    <col min="56" max="56" width="22.3984375" style="128" customWidth="1" outlineLevel="1"/>
    <col min="57" max="57" width="21.3984375" style="128" customWidth="1" outlineLevel="1"/>
    <col min="58" max="16384" width="9.09765625" style="128"/>
  </cols>
  <sheetData>
    <row r="1" spans="1:57" ht="18.3" x14ac:dyDescent="0.3">
      <c r="A1" s="218" t="s">
        <v>2280</v>
      </c>
      <c r="B1" s="219" t="s">
        <v>2270</v>
      </c>
      <c r="C1" s="331"/>
      <c r="D1" s="331"/>
      <c r="E1" s="331"/>
      <c r="F1" s="212" t="s">
        <v>856</v>
      </c>
      <c r="G1" s="213" t="s">
        <v>1052</v>
      </c>
      <c r="H1" s="213" t="s">
        <v>1053</v>
      </c>
      <c r="I1" s="213" t="s">
        <v>843</v>
      </c>
      <c r="J1" s="213" t="s">
        <v>1058</v>
      </c>
      <c r="K1" s="214" t="s">
        <v>857</v>
      </c>
      <c r="L1" s="58"/>
      <c r="M1" s="219" t="s">
        <v>890</v>
      </c>
      <c r="N1" s="220" t="s">
        <v>890</v>
      </c>
      <c r="O1" s="101" t="s">
        <v>1076</v>
      </c>
      <c r="P1" s="722">
        <f>SUM(FNRP!BR:BR)/10^9</f>
        <v>1533.3950518168247</v>
      </c>
      <c r="Q1" s="125"/>
      <c r="R1" s="219" t="s">
        <v>2850</v>
      </c>
      <c r="S1" s="101" t="s">
        <v>2846</v>
      </c>
      <c r="T1" s="211">
        <f>SUMPRODUCT(RP_SEC!AW:AW,RP_SEC!AG:AG)/10^9-SUMPRODUCT(TB_HTM[Time hold/Deal],TB_HTM[Amt])/10^9</f>
        <v>8005473.5387999993</v>
      </c>
      <c r="U1" s="173"/>
      <c r="V1" s="219" t="s">
        <v>2197</v>
      </c>
      <c r="W1" s="209" t="s">
        <v>1069</v>
      </c>
      <c r="X1" s="209" t="s">
        <v>1030</v>
      </c>
      <c r="Y1" s="221">
        <f>SUM(FNRP!BE:BE)/10^9-SUM(TB_HTM[Market Value FNRP])/10^9</f>
        <v>10040.170482877998</v>
      </c>
      <c r="Z1" s="54"/>
      <c r="AA1" s="219" t="s">
        <v>2233</v>
      </c>
      <c r="AB1" s="209" t="s">
        <v>735</v>
      </c>
      <c r="AC1" s="222"/>
      <c r="AD1" s="221">
        <f>(SUMPRODUCT(Bankingbook_MSB[Duration_edited],Bankingbook_MSB[MARKET_VALUE])-SUM(TB_HTM[Dur*MV]))/(SUM(Bankingbook_MSB[MARKET_VALUE])-SUM(TB_HTM[Market Value FNRP]))</f>
        <v>8.6632778934227321</v>
      </c>
      <c r="AE1" s="54"/>
      <c r="AF1" s="219" t="s">
        <v>852</v>
      </c>
      <c r="AG1" s="209" t="s">
        <v>852</v>
      </c>
      <c r="AH1" s="236" t="s">
        <v>1030</v>
      </c>
      <c r="AI1" s="237">
        <f>SUM(FNRP!CH:CH)/10^9-SUM(TB_HTM[PV01])</f>
        <v>-8.4726393541234071</v>
      </c>
      <c r="AL1" s="218" t="s">
        <v>2282</v>
      </c>
      <c r="AM1" s="219" t="s">
        <v>2270</v>
      </c>
      <c r="AN1" s="220" t="s">
        <v>2258</v>
      </c>
      <c r="AO1" s="236" t="s">
        <v>1030</v>
      </c>
      <c r="AP1" s="193">
        <f>SUM(FNRP!FL:FL)*100000/10^9</f>
        <v>25921.311300000001</v>
      </c>
      <c r="AR1" s="219" t="s">
        <v>890</v>
      </c>
      <c r="AS1" s="220" t="s">
        <v>1049</v>
      </c>
      <c r="AT1" s="220"/>
      <c r="AU1" s="227">
        <f>SUM($AU$4:$AU$5)-SUMIFS('His53'!BG:BG,'His53'!BB:BB,Runtool!C5)</f>
        <v>-953.49602361799862</v>
      </c>
      <c r="AV1" s="219" t="s">
        <v>2281</v>
      </c>
      <c r="AW1" s="220" t="s">
        <v>735</v>
      </c>
      <c r="AX1" s="220"/>
      <c r="AY1" s="239">
        <f>SUMPRODUCT(Bankingbook_SBV[Duration_edited],Bankingbook_SBV[MARKET_VALUE])/SUM(Bankingbook_SBV[MARKET_VALUE])</f>
        <v>7.5452545981481922</v>
      </c>
      <c r="BA1" s="246" t="s">
        <v>2285</v>
      </c>
      <c r="BB1" s="242" t="s">
        <v>10</v>
      </c>
      <c r="BC1" s="243" t="s">
        <v>856</v>
      </c>
      <c r="BD1" s="242" t="s">
        <v>2288</v>
      </c>
      <c r="BE1" s="243" t="s">
        <v>857</v>
      </c>
    </row>
    <row r="2" spans="1:57" x14ac:dyDescent="0.3">
      <c r="B2" s="220"/>
      <c r="C2" s="330" t="s">
        <v>3704</v>
      </c>
      <c r="D2" s="330" t="s">
        <v>3705</v>
      </c>
      <c r="E2" s="331"/>
      <c r="F2" s="209" t="s">
        <v>1050</v>
      </c>
      <c r="G2" s="220"/>
      <c r="H2" s="158" t="s">
        <v>898</v>
      </c>
      <c r="I2" s="158"/>
      <c r="J2" s="209" t="s">
        <v>1030</v>
      </c>
      <c r="K2" s="216">
        <f>SUM(FNRP!CD:CD)*100000/10^9-SUM(TB_HTM[Amt])/10^9</f>
        <v>10858.311299999999</v>
      </c>
      <c r="L2" s="58"/>
      <c r="M2" s="58"/>
      <c r="N2" s="220" t="s">
        <v>890</v>
      </c>
      <c r="O2" s="101" t="s">
        <v>1077</v>
      </c>
      <c r="P2" s="722">
        <f>SUM(FNRP!BS:BS)/10^9</f>
        <v>-2382.652674711434</v>
      </c>
      <c r="Q2" s="125"/>
      <c r="R2" s="224"/>
      <c r="S2" s="101" t="s">
        <v>2845</v>
      </c>
      <c r="T2" s="225">
        <f>SUM(RP_SEC!AG:AG)/10^9-SUM(TB_HTM[Amt])/10^9</f>
        <v>10858.311299999999</v>
      </c>
      <c r="U2" s="226"/>
      <c r="V2" s="58"/>
      <c r="W2" s="209" t="s">
        <v>1069</v>
      </c>
      <c r="X2" s="209" t="s">
        <v>877</v>
      </c>
      <c r="Y2" s="227" cm="1">
        <f t="array" ref="Y2">SUM(SUMIFS(FNRP!BE:BE,FNRP!CA:CA,{"3M","6M","1Y"}))/10^9-SUM(SUMIFS(TB_HTM[Market Value FNRP],TB_HTM[Tenor],{"3M","6M","1Y"}))/10^9</f>
        <v>0</v>
      </c>
      <c r="AB2" s="209" t="s">
        <v>735</v>
      </c>
      <c r="AC2" s="222" t="s">
        <v>877</v>
      </c>
      <c r="AD2" s="221" cm="1">
        <f t="array" ref="AD2">IFERROR((SUMPRODUCT(Bankingbook_MSB[Duration_edited]*Bankingbook_MSB[MARKET_VALUE]*(Bankingbook_MSB[Tenor]='Phan tich_BB'!AC2))-SUMIFS(TB_HTM[Dur*MV],TB_HTM[Tenor],'Phan tich_BB'!AC2))/(SUMIFS(Bankingbook_MSB[MARKET_VALUE],Bankingbook_MSB[Tenor],'Phan tich_BB'!AC2)-SUMIFS(TB_HTM[Market Value FNRP],TB_HTM[Tenor],'Phan tich_BB'!AC2)),0)</f>
        <v>0</v>
      </c>
      <c r="AE2" s="54"/>
      <c r="AG2" s="209" t="s">
        <v>852</v>
      </c>
      <c r="AH2" s="209" t="s">
        <v>915</v>
      </c>
      <c r="AI2" s="237">
        <f>SUMIFS(Bankingbook_MSB[[#All],[BPV_edited]],Bankingbook_MSB[[#All],[Tenor]],'Phan tich_BB'!AH2)/10^9-SUMIFS(TB_HTM[PV01],TB_HTM[Tenor],'Phan tich_BB'!AH2)</f>
        <v>0</v>
      </c>
      <c r="AN2" s="220" t="s">
        <v>2258</v>
      </c>
      <c r="AO2" s="236" t="s">
        <v>877</v>
      </c>
      <c r="AP2" s="193">
        <f>SUM(SUMIFS(FNRP!$FL:$FL,FNRP!$FI:$FI,{"3M","6M","1Y"}))*100000/10^9</f>
        <v>1002</v>
      </c>
      <c r="AS2" s="220" t="s">
        <v>1074</v>
      </c>
      <c r="AT2" s="220"/>
      <c r="AU2" s="227">
        <f>SUM($AU$4:$AU$5)-SUMIFS('His53'!BG:BG,'His53'!BB:BB,Runtool!C4)</f>
        <v>-34.702071350998494</v>
      </c>
      <c r="AW2" s="220" t="s">
        <v>1071</v>
      </c>
      <c r="AX2" s="220"/>
      <c r="AY2" s="239">
        <f>SUMPRODUCT(Bankingbook_SBV[Modified Duration],Bankingbook_SBV[MARKET_VALUE])/SUM(Bankingbook_SBV[MARKET_VALUE])</f>
        <v>7.219435200165889</v>
      </c>
      <c r="BB2" s="244" t="s">
        <v>811</v>
      </c>
      <c r="BC2" s="158" t="s">
        <v>2260</v>
      </c>
      <c r="BD2" s="244" t="s">
        <v>811</v>
      </c>
      <c r="BE2" s="227"/>
    </row>
    <row r="3" spans="1:57" ht="14.4" customHeight="1" x14ac:dyDescent="0.3">
      <c r="B3" s="330" t="s">
        <v>3721</v>
      </c>
      <c r="C3" s="227">
        <f>SUMPRODUCT(BB_tufund[Amt],BB_tufund[Yield RP SEC])/SUM(BB_tufund[Amt])</f>
        <v>2.5923702520851468</v>
      </c>
      <c r="D3" s="227">
        <f>C3</f>
        <v>2.5923702520851468</v>
      </c>
      <c r="E3" s="788" t="s">
        <v>3995</v>
      </c>
      <c r="F3" s="209" t="s">
        <v>1050</v>
      </c>
      <c r="G3" s="220"/>
      <c r="H3" s="158" t="s">
        <v>898</v>
      </c>
      <c r="I3" s="158" t="s">
        <v>823</v>
      </c>
      <c r="J3" s="209" t="s">
        <v>877</v>
      </c>
      <c r="K3" s="216" cm="1">
        <f t="array" ref="K3">SUM(SUMIFS(FNRP!$CD:$CD,FNRP!$CA:$CA,{"3M","6M","1Y"},FNRP!$CB:$CB,'Phan tich_BB'!H3))*100000/10^9-SUM(SUMIFS(TB_HTM[Amt],TB_HTM[Tenor],{"3M","6M","1Y"},TB_HTM[Type],H3))/10^9</f>
        <v>0</v>
      </c>
      <c r="L3" s="58"/>
      <c r="M3" s="58"/>
      <c r="N3" s="209" t="s">
        <v>1049</v>
      </c>
      <c r="O3" s="220"/>
      <c r="P3" s="723">
        <f>SUM(P1:P2)-SUMIFS('His53'!AM:AM,'His53'!AH:AH,Runtool!C5)</f>
        <v>-373.76205961800952</v>
      </c>
      <c r="Q3" s="229"/>
      <c r="R3" s="224"/>
      <c r="S3" s="101" t="s">
        <v>2847</v>
      </c>
      <c r="T3" s="225">
        <f>T1/T2</f>
        <v>737.26690252470473</v>
      </c>
      <c r="U3" s="230" t="s">
        <v>2848</v>
      </c>
      <c r="V3" s="58"/>
      <c r="W3" s="209" t="s">
        <v>1069</v>
      </c>
      <c r="X3" s="209" t="s">
        <v>878</v>
      </c>
      <c r="Y3" s="227">
        <f>SUMIFS(FNRP!BE:BE,FNRP!CA:CA,'Phan tich_BB'!X3)/10^9-SUMIFS(TB_HTM[Market Value FNRP],TB_HTM[Tenor],'Phan tich_BB'!X3)/10^9</f>
        <v>585.18200000000002</v>
      </c>
      <c r="AB3" s="209" t="s">
        <v>735</v>
      </c>
      <c r="AC3" s="222" t="s">
        <v>878</v>
      </c>
      <c r="AD3" s="221" cm="1">
        <f t="array" ref="AD3">IFERROR((SUMPRODUCT(Bankingbook_MSB[Duration_edited]*Bankingbook_MSB[MARKET_VALUE]*(Bankingbook_MSB[Tenor]='Phan tich_BB'!AC3))-SUMIFS(TB_HTM[Dur*MV],TB_HTM[Tenor],'Phan tich_BB'!AC3))/(SUMIFS(Bankingbook_MSB[MARKET_VALUE],Bankingbook_MSB[Tenor],'Phan tich_BB'!AC3)-SUMIFS(TB_HTM[Market Value FNRP],TB_HTM[Tenor],'Phan tich_BB'!AC3)),0)</f>
        <v>2.1745602420734746</v>
      </c>
      <c r="AE3" s="54"/>
      <c r="AG3" s="209" t="s">
        <v>852</v>
      </c>
      <c r="AH3" s="209" t="s">
        <v>917</v>
      </c>
      <c r="AI3" s="237">
        <f>SUMIFS(Bankingbook_MSB[[#All],[BPV_edited]],Bankingbook_MSB[[#All],[Tenor]],'Phan tich_BB'!AH3)/10^9-SUMIFS(TB_HTM[PV01],TB_HTM[Tenor],'Phan tich_BB'!AH3)</f>
        <v>0</v>
      </c>
      <c r="AN3" s="220" t="s">
        <v>2258</v>
      </c>
      <c r="AO3" s="236" t="s">
        <v>878</v>
      </c>
      <c r="AP3" s="193">
        <f>SUM(SUMIFS(FNRP!$FL:$FL,FNRP!$FI:$FI,AO3))*100000/10^9</f>
        <v>600</v>
      </c>
      <c r="AS3" s="220" t="s">
        <v>1075</v>
      </c>
      <c r="AT3" s="220"/>
      <c r="AU3" s="227">
        <f>SUM($AU$4:$AU$5)-SUMIFS('His53'!BG:BG,'His53'!BB:BB,Input[[#This Row],[Values]])</f>
        <v>5.5108620270013944</v>
      </c>
      <c r="AW3" s="220" t="s">
        <v>854</v>
      </c>
      <c r="AX3" s="220"/>
      <c r="AY3" s="239">
        <f>SUMPRODUCT(Bankingbook_SBV[Duration_edited],Bankingbook_SBV[MARKET_VALUE])/SUM(Bankingbook_SBV[MARKET_VALUE])</f>
        <v>7.5452545981481922</v>
      </c>
      <c r="BB3" s="244" t="s">
        <v>811</v>
      </c>
      <c r="BC3" s="158" t="s">
        <v>2261</v>
      </c>
      <c r="BD3" s="244" t="s">
        <v>811</v>
      </c>
      <c r="BE3" s="227"/>
    </row>
    <row r="4" spans="1:57" ht="14.4" customHeight="1" x14ac:dyDescent="0.3">
      <c r="B4" s="330" t="s">
        <v>3722</v>
      </c>
      <c r="C4" s="228">
        <f>SUMPRODUCT(BB_tufund[Amt],BB_tufund[Coupon Rate])/SUM(BB_tufund[Amt])</f>
        <v>3.6190192788081146</v>
      </c>
      <c r="D4" s="228">
        <f>C4</f>
        <v>3.6190192788081146</v>
      </c>
      <c r="E4" s="788" t="s">
        <v>3997</v>
      </c>
      <c r="F4" s="209" t="s">
        <v>1050</v>
      </c>
      <c r="G4" s="220"/>
      <c r="H4" s="158" t="s">
        <v>898</v>
      </c>
      <c r="I4" s="158" t="s">
        <v>823</v>
      </c>
      <c r="J4" s="209" t="s">
        <v>878</v>
      </c>
      <c r="K4" s="216">
        <f>SUMIFS(FNRP!$CD:$CD,FNRP!$CA:$CA,'Phan tich_BB'!J4,FNRP!$CB:$CB,'Phan tich_BB'!H4)*100000/10^9-SUMIFS(TB_HTM[Amt],TB_HTM[Tenor],J4,TB_HTM[Type],H4)/10^9</f>
        <v>0</v>
      </c>
      <c r="L4" s="58"/>
      <c r="M4" s="58"/>
      <c r="N4" s="209" t="s">
        <v>1074</v>
      </c>
      <c r="O4" s="220"/>
      <c r="P4" s="723">
        <f>SUM(P1:P2)-SUMIFS('His53'!AM:AM,'His53'!AH:AH,Runtool!C4)</f>
        <v>197.84435864899046</v>
      </c>
      <c r="Q4" s="229"/>
      <c r="R4" s="224"/>
      <c r="S4" s="57"/>
      <c r="T4" s="224"/>
      <c r="U4" s="224"/>
      <c r="V4" s="58"/>
      <c r="W4" s="209" t="s">
        <v>1069</v>
      </c>
      <c r="X4" s="209" t="s">
        <v>879</v>
      </c>
      <c r="Y4" s="227">
        <f>SUMIFS(FNRP!BE:BE,FNRP!CA:CA,'Phan tich_BB'!X4)/10^9-SUMIFS(TB_HTM[Market Value FNRP],TB_HTM[Tenor],'Phan tich_BB'!X4)/10^9</f>
        <v>203.026181224</v>
      </c>
      <c r="AB4" s="209" t="s">
        <v>735</v>
      </c>
      <c r="AC4" s="222" t="s">
        <v>879</v>
      </c>
      <c r="AD4" s="221" cm="1">
        <f t="array" ref="AD4">IFERROR((SUMPRODUCT(Bankingbook_MSB[Duration_edited]*Bankingbook_MSB[MARKET_VALUE]*(Bankingbook_MSB[Tenor]='Phan tich_BB'!AC4))-SUMIFS(TB_HTM[Dur*MV],TB_HTM[Tenor],'Phan tich_BB'!AC4))/(SUMIFS(Bankingbook_MSB[MARKET_VALUE],Bankingbook_MSB[Tenor],'Phan tich_BB'!AC4)-SUMIFS(TB_HTM[Market Value FNRP],TB_HTM[Tenor],'Phan tich_BB'!AC4)),0)</f>
        <v>2.9832561802200406</v>
      </c>
      <c r="AE4" s="54"/>
      <c r="AG4" s="209" t="s">
        <v>852</v>
      </c>
      <c r="AH4" s="209" t="s">
        <v>877</v>
      </c>
      <c r="AI4" s="237">
        <f>SUMIFS(Bankingbook_MSB[[#All],[BPV_edited]],Bankingbook_MSB[[#All],[Tenor]],'Phan tich_BB'!AH4)/10^9-SUMIFS(TB_HTM[PV01],TB_HTM[Tenor],'Phan tich_BB'!AH4)</f>
        <v>0</v>
      </c>
      <c r="AN4" s="220" t="s">
        <v>2258</v>
      </c>
      <c r="AO4" s="236" t="s">
        <v>879</v>
      </c>
      <c r="AP4" s="193">
        <f>SUM(SUMIFS(FNRP!$FL:$FL,FNRP!$FI:$FI,AO4))*100000/10^9</f>
        <v>501.49040000000002</v>
      </c>
      <c r="AS4" s="220" t="s">
        <v>890</v>
      </c>
      <c r="AT4" s="220" t="s">
        <v>1076</v>
      </c>
      <c r="AU4" s="227">
        <f>SUM(FNRP!FA:FA)/10^9</f>
        <v>1061.3011683388866</v>
      </c>
      <c r="AW4" s="220" t="s">
        <v>852</v>
      </c>
      <c r="AX4" s="240"/>
      <c r="AY4" s="241">
        <f>SUM(FNRP!FP:FP)/10^9</f>
        <v>-17.510973494959504</v>
      </c>
      <c r="BB4" s="244" t="s">
        <v>811</v>
      </c>
      <c r="BC4" s="158" t="s">
        <v>2262</v>
      </c>
      <c r="BD4" s="244" t="s">
        <v>811</v>
      </c>
      <c r="BE4" s="227"/>
    </row>
    <row r="5" spans="1:57" x14ac:dyDescent="0.3">
      <c r="E5" s="331"/>
      <c r="F5" s="209" t="s">
        <v>1050</v>
      </c>
      <c r="G5" s="220"/>
      <c r="H5" s="158" t="s">
        <v>898</v>
      </c>
      <c r="I5" s="158" t="s">
        <v>823</v>
      </c>
      <c r="J5" s="209" t="s">
        <v>879</v>
      </c>
      <c r="K5" s="216">
        <f>SUMIFS(FNRP!$CD:$CD,FNRP!$CA:$CA,'Phan tich_BB'!J5,FNRP!$CB:$CB,'Phan tich_BB'!H5)*100000/10^9-SUMIFS(TB_HTM[Amt],TB_HTM[Tenor],J5,TB_HTM[Type],H5)/10^9</f>
        <v>1.4903999999999999</v>
      </c>
      <c r="L5" s="58"/>
      <c r="M5" s="58"/>
      <c r="N5" s="209" t="s">
        <v>1075</v>
      </c>
      <c r="O5" s="220"/>
      <c r="P5" s="723">
        <f>SUM(P1:P2)-SUMIFS('His53'!AM:AM,'His53'!AH:AH,Runtool!C3)</f>
        <v>98.659842026990646</v>
      </c>
      <c r="Q5" s="229"/>
      <c r="S5" s="579" t="s">
        <v>3574</v>
      </c>
      <c r="T5" s="579" t="s">
        <v>3575</v>
      </c>
      <c r="U5" s="579" t="s">
        <v>3537</v>
      </c>
      <c r="V5" s="58"/>
      <c r="W5" s="209" t="s">
        <v>1069</v>
      </c>
      <c r="X5" s="209" t="s">
        <v>880</v>
      </c>
      <c r="Y5" s="227">
        <f>SUMIFS(FNRP!BE:BE,FNRP!CA:CA,'Phan tich_BB'!X5)/10^9-SUMIFS(TB_HTM[Market Value FNRP],TB_HTM[Tenor],'Phan tich_BB'!X5)/10^9</f>
        <v>378.00584000000003</v>
      </c>
      <c r="AB5" s="209" t="s">
        <v>735</v>
      </c>
      <c r="AC5" s="222" t="s">
        <v>880</v>
      </c>
      <c r="AD5" s="221" cm="1">
        <f t="array" ref="AD5">IFERROR((SUMPRODUCT(Bankingbook_MSB[Duration_edited]*Bankingbook_MSB[MARKET_VALUE]*(Bankingbook_MSB[Tenor]='Phan tich_BB'!AC5))-SUMIFS(TB_HTM[Dur*MV],TB_HTM[Tenor],'Phan tich_BB'!AC5))/(SUMIFS(Bankingbook_MSB[MARKET_VALUE],Bankingbook_MSB[Tenor],'Phan tich_BB'!AC5)-SUMIFS(TB_HTM[Market Value FNRP],TB_HTM[Tenor],'Phan tich_BB'!AC5)),0)</f>
        <v>3.5703773200730526</v>
      </c>
      <c r="AE5" s="54"/>
      <c r="AG5" s="209" t="s">
        <v>852</v>
      </c>
      <c r="AH5" s="209" t="s">
        <v>878</v>
      </c>
      <c r="AI5" s="237">
        <f>SUMIFS(Bankingbook_MSB[[#All],[BPV_edited]],Bankingbook_MSB[[#All],[Tenor]],'Phan tich_BB'!AH5)/10^9-SUMIFS(TB_HTM[PV01],TB_HTM[Tenor],'Phan tich_BB'!AH5)</f>
        <v>-0.12484461065625875</v>
      </c>
      <c r="AN5" s="220" t="s">
        <v>2258</v>
      </c>
      <c r="AO5" s="236" t="s">
        <v>880</v>
      </c>
      <c r="AP5" s="193">
        <f>SUM(SUMIFS(FNRP!$FL:$FL,FNRP!$FI:$FI,AO5))*100000/10^9</f>
        <v>1177</v>
      </c>
      <c r="AS5" s="220" t="s">
        <v>890</v>
      </c>
      <c r="AT5" s="220" t="s">
        <v>1077</v>
      </c>
      <c r="AU5" s="227">
        <f>SUM(FNRP!FB:FB)/10^9</f>
        <v>-2931.9266351543852</v>
      </c>
      <c r="AW5" s="220" t="s">
        <v>852</v>
      </c>
      <c r="AX5" s="209" t="s">
        <v>877</v>
      </c>
      <c r="AY5" s="241">
        <f>SUM(SUMIFS(FNRP!$FP:$FP,FNRP!$FI:$FI,{"3M","6M","1Y"}))/10^9</f>
        <v>-4.3252933655368787E-2</v>
      </c>
      <c r="BB5" s="244" t="s">
        <v>811</v>
      </c>
      <c r="BC5" s="158" t="s">
        <v>2263</v>
      </c>
      <c r="BD5" s="244" t="s">
        <v>811</v>
      </c>
      <c r="BE5" s="227"/>
    </row>
    <row r="6" spans="1:57" x14ac:dyDescent="0.3">
      <c r="E6" s="741"/>
      <c r="F6" s="209" t="s">
        <v>1050</v>
      </c>
      <c r="G6" s="220"/>
      <c r="H6" s="158" t="s">
        <v>898</v>
      </c>
      <c r="I6" s="158" t="s">
        <v>823</v>
      </c>
      <c r="J6" s="209" t="s">
        <v>880</v>
      </c>
      <c r="K6" s="216">
        <f>SUMIFS(FNRP!$CD:$CD,FNRP!$CA:$CA,'Phan tich_BB'!J6,FNRP!$CB:$CB,'Phan tich_BB'!H6)*100000/10^9-SUMIFS(TB_HTM[Amt],TB_HTM[Tenor],J6,TB_HTM[Type],H6)/10^9</f>
        <v>377</v>
      </c>
      <c r="L6" s="58"/>
      <c r="M6" s="58"/>
      <c r="N6" s="209" t="s">
        <v>1032</v>
      </c>
      <c r="O6" s="220"/>
      <c r="P6" s="723">
        <f>SUM(FNRP!BH:BH)/10^9</f>
        <v>9533.3867064999995</v>
      </c>
      <c r="Q6" s="223"/>
      <c r="S6" s="348" t="s">
        <v>3132</v>
      </c>
      <c r="T6" s="577">
        <f>SUMIFS(RP_SEC!AG:AG,RP_SEC!AY:AY,S6)/10^9-SUMIFS(TB_HTM[Amt],TB_HTM[Time hold (tenor)],S6)/10^9</f>
        <v>0</v>
      </c>
      <c r="U6" s="349">
        <f>SUMIFS(RP_SEC!AT:AT,RP_SEC!AY:AY,S6)/10^9-SUMIFS(TB_HTM[ItD],TB_HTM[Time hold (tenor)],S6)/10^9</f>
        <v>0</v>
      </c>
      <c r="V6" s="58"/>
      <c r="W6" s="209" t="s">
        <v>1069</v>
      </c>
      <c r="X6" s="209" t="s">
        <v>881</v>
      </c>
      <c r="Y6" s="227">
        <f>SUMIFS(FNRP!BE:BE,FNRP!CA:CA,'Phan tich_BB'!X6)/10^9-SUMIFS(TB_HTM[Market Value FNRP],TB_HTM[Tenor],'Phan tich_BB'!X6)/10^9</f>
        <v>46.180500000000002</v>
      </c>
      <c r="AB6" s="209" t="s">
        <v>735</v>
      </c>
      <c r="AC6" s="222" t="s">
        <v>881</v>
      </c>
      <c r="AD6" s="221" cm="1">
        <f t="array" ref="AD6">IFERROR((SUMPRODUCT(Bankingbook_MSB[Duration_edited]*Bankingbook_MSB[MARKET_VALUE]*(Bankingbook_MSB[Tenor]='Phan tich_BB'!AC6))-SUMIFS(TB_HTM[Dur*MV],TB_HTM[Tenor],'Phan tich_BB'!AC6))/(SUMIFS(Bankingbook_MSB[MARKET_VALUE],Bankingbook_MSB[Tenor],'Phan tich_BB'!AC6)-SUMIFS(TB_HTM[Market Value FNRP],TB_HTM[Tenor],'Phan tich_BB'!AC6)),0)</f>
        <v>4.4072420000000001</v>
      </c>
      <c r="AE6" s="54"/>
      <c r="AG6" s="209" t="s">
        <v>852</v>
      </c>
      <c r="AH6" s="209" t="s">
        <v>879</v>
      </c>
      <c r="AI6" s="237">
        <f>SUMIFS(Bankingbook_MSB[[#All],[BPV_edited]],Bankingbook_MSB[[#All],[Tenor]],'Phan tich_BB'!AH6)/10^9-SUMIFS(TB_HTM[PV01],TB_HTM[Tenor],'Phan tich_BB'!AH6)</f>
        <v>-6.0056953496220596E-2</v>
      </c>
      <c r="AN6" s="220" t="s">
        <v>2258</v>
      </c>
      <c r="AO6" s="236" t="s">
        <v>881</v>
      </c>
      <c r="AP6" s="193">
        <f>SUM(SUMIFS(FNRP!$FL:$FL,FNRP!$FI:$FI,AO6))*100000/10^9</f>
        <v>160</v>
      </c>
      <c r="AS6" s="220" t="s">
        <v>890</v>
      </c>
      <c r="AT6" s="220" t="s">
        <v>1032</v>
      </c>
      <c r="AU6" s="227">
        <f>SUMIFS(FNRP!EQ:EQ,FNRP!EK:EK,"&gt;="&amp;0)/10^9</f>
        <v>12901.072796500001</v>
      </c>
      <c r="AW6" s="220" t="s">
        <v>852</v>
      </c>
      <c r="AX6" s="209" t="s">
        <v>878</v>
      </c>
      <c r="AY6" s="241">
        <f>+SUM(SUMIFS(FNRP!$FP:$FP,FNRP!$FI:$FI,AX6))/10^9</f>
        <v>-0.12484461065625875</v>
      </c>
      <c r="BB6" s="244" t="s">
        <v>811</v>
      </c>
      <c r="BC6" s="158" t="s">
        <v>2264</v>
      </c>
      <c r="BD6" s="244" t="s">
        <v>811</v>
      </c>
      <c r="BE6" s="227"/>
    </row>
    <row r="7" spans="1:57" x14ac:dyDescent="0.3">
      <c r="F7" s="209" t="s">
        <v>1050</v>
      </c>
      <c r="G7" s="220"/>
      <c r="H7" s="158" t="s">
        <v>898</v>
      </c>
      <c r="I7" s="158" t="s">
        <v>823</v>
      </c>
      <c r="J7" s="209" t="s">
        <v>881</v>
      </c>
      <c r="K7" s="216">
        <f>SUMIFS(FNRP!$CD:$CD,FNRP!$CA:$CA,'Phan tich_BB'!J7,FNRP!$CB:$CB,'Phan tich_BB'!H7)*100000/10^9-SUMIFS(TB_HTM[Amt],TB_HTM[Tenor],J7,TB_HTM[Type],H7)/10^9</f>
        <v>50</v>
      </c>
      <c r="L7" s="58"/>
      <c r="M7" s="58"/>
      <c r="N7" s="220" t="s">
        <v>890</v>
      </c>
      <c r="O7" s="220" t="s">
        <v>2757</v>
      </c>
      <c r="P7" s="723">
        <f>SUM(RP_SEC!AT:AT)/10^9-SUM(TB_HTM[ItD])/10^9</f>
        <v>-1747.8686982300464</v>
      </c>
      <c r="S7" s="348" t="s">
        <v>2878</v>
      </c>
      <c r="T7" s="577">
        <f>SUMIFS(RP_SEC!AG:AG,RP_SEC!AY:AY,S7)/10^9-SUMIFS(TB_HTM[Amt],TB_HTM[Time hold (tenor)],S7)/10^9</f>
        <v>0</v>
      </c>
      <c r="U7" s="349">
        <f>SUMIFS(RP_SEC!AT:AT,RP_SEC!AY:AY,S7)/10^9-SUMIFS(TB_HTM[ItD],TB_HTM[Time hold (tenor)],S7)/10^9</f>
        <v>0</v>
      </c>
      <c r="V7" s="58"/>
      <c r="W7" s="209" t="s">
        <v>1069</v>
      </c>
      <c r="X7" s="209" t="s">
        <v>882</v>
      </c>
      <c r="Y7" s="227">
        <f>SUMIFS(FNRP!BE:BE,FNRP!CA:CA,'Phan tich_BB'!X7)/10^9-SUMIFS(TB_HTM[Market Value FNRP],TB_HTM[Tenor],'Phan tich_BB'!X7)/10^9</f>
        <v>1236.5695000000001</v>
      </c>
      <c r="AB7" s="209" t="s">
        <v>735</v>
      </c>
      <c r="AC7" s="222" t="s">
        <v>882</v>
      </c>
      <c r="AD7" s="221" cm="1">
        <f t="array" ref="AD7">IFERROR((SUMPRODUCT(Bankingbook_MSB[Duration_edited]*Bankingbook_MSB[MARKET_VALUE]*(Bankingbook_MSB[Tenor]='Phan tich_BB'!AC7))-SUMIFS(TB_HTM[Dur*MV],TB_HTM[Tenor],'Phan tich_BB'!AC7))/(SUMIFS(Bankingbook_MSB[MARKET_VALUE],Bankingbook_MSB[Tenor],'Phan tich_BB'!AC7)-SUMIFS(TB_HTM[Market Value FNRP],TB_HTM[Tenor],'Phan tich_BB'!AC7)),0)</f>
        <v>6.0062834658280977</v>
      </c>
      <c r="AE7" s="54"/>
      <c r="AG7" s="209" t="s">
        <v>852</v>
      </c>
      <c r="AH7" s="209" t="s">
        <v>880</v>
      </c>
      <c r="AI7" s="237">
        <f>SUMIFS(Bankingbook_MSB[[#All],[BPV_edited]],Bankingbook_MSB[[#All],[Tenor]],'Phan tich_BB'!AH7)/10^9-SUMIFS(TB_HTM[PV01],TB_HTM[Tenor],'Phan tich_BB'!AH7)</f>
        <v>-0.13090733924330314</v>
      </c>
      <c r="AN7" s="220" t="s">
        <v>2258</v>
      </c>
      <c r="AO7" s="236" t="s">
        <v>882</v>
      </c>
      <c r="AP7" s="193">
        <f>SUM(SUMIFS(FNRP!$FL:$FL,FNRP!$FI:$FI,AO7))*100000/10^9</f>
        <v>5844</v>
      </c>
      <c r="AS7" s="220"/>
      <c r="AT7" s="220"/>
      <c r="AU7" s="238"/>
      <c r="AW7" s="220" t="s">
        <v>852</v>
      </c>
      <c r="AX7" s="209" t="s">
        <v>879</v>
      </c>
      <c r="AY7" s="241">
        <f>+SUM(SUMIFS(FNRP!$FP:$FP,FNRP!$FI:$FI,AX7))/10^9</f>
        <v>-0.15226422618996144</v>
      </c>
      <c r="BB7" s="244" t="s">
        <v>2265</v>
      </c>
      <c r="BC7" s="158" t="s">
        <v>2260</v>
      </c>
      <c r="BD7" s="244" t="s">
        <v>814</v>
      </c>
      <c r="BE7" s="227"/>
    </row>
    <row r="8" spans="1:57" x14ac:dyDescent="0.3">
      <c r="F8" s="209" t="s">
        <v>1050</v>
      </c>
      <c r="G8" s="220"/>
      <c r="H8" s="158" t="s">
        <v>898</v>
      </c>
      <c r="I8" s="158" t="s">
        <v>823</v>
      </c>
      <c r="J8" s="209" t="s">
        <v>882</v>
      </c>
      <c r="K8" s="216">
        <f>SUMIFS(FNRP!$CD:$CD,FNRP!$CA:$CA,'Phan tich_BB'!J8,FNRP!$CB:$CB,'Phan tich_BB'!H8)*100000/10^9-SUMIFS(TB_HTM[Amt],TB_HTM[Tenor],J8,TB_HTM[Type],H8)/10^9</f>
        <v>1250</v>
      </c>
      <c r="L8" s="58"/>
      <c r="M8" s="58"/>
      <c r="N8" s="58"/>
      <c r="O8" s="58"/>
      <c r="P8" s="58"/>
      <c r="Q8" s="58"/>
      <c r="S8" s="348" t="s">
        <v>2879</v>
      </c>
      <c r="T8" s="577">
        <f>SUMIFS(RP_SEC!AG:AG,RP_SEC!AY:AY,S8)/10^9-SUMIFS(TB_HTM[Amt],TB_HTM[Time hold (tenor)],S8)/10^9</f>
        <v>0</v>
      </c>
      <c r="U8" s="349">
        <f>SUMIFS(RP_SEC!AT:AT,RP_SEC!AY:AY,S8)/10^9-SUMIFS(TB_HTM[ItD],TB_HTM[Time hold (tenor)],S8)/10^9</f>
        <v>0</v>
      </c>
      <c r="V8" s="58"/>
      <c r="W8" s="209" t="s">
        <v>1069</v>
      </c>
      <c r="X8" s="209" t="s">
        <v>883</v>
      </c>
      <c r="Y8" s="227">
        <f>SUMIFS(FNRP!BE:BE,FNRP!CA:CA,'Phan tich_BB'!X8)/10^9-SUMIFS(TB_HTM[Market Value FNRP],TB_HTM[Tenor],'Phan tich_BB'!X8)/10^9</f>
        <v>970.02002999999991</v>
      </c>
      <c r="AB8" s="209" t="s">
        <v>735</v>
      </c>
      <c r="AC8" s="222" t="s">
        <v>883</v>
      </c>
      <c r="AD8" s="221" cm="1">
        <f t="array" ref="AD8">IFERROR((SUMPRODUCT(Bankingbook_MSB[Duration_edited]*Bankingbook_MSB[MARKET_VALUE]*(Bankingbook_MSB[Tenor]='Phan tich_BB'!AC8))-SUMIFS(TB_HTM[Dur*MV],TB_HTM[Tenor],'Phan tich_BB'!AC8))/(SUMIFS(Bankingbook_MSB[MARKET_VALUE],Bankingbook_MSB[Tenor],'Phan tich_BB'!AC8)-SUMIFS(TB_HTM[Market Value FNRP],TB_HTM[Tenor],'Phan tich_BB'!AC8)),0)</f>
        <v>7.5360060233907582</v>
      </c>
      <c r="AE8" s="54"/>
      <c r="AG8" s="209" t="s">
        <v>852</v>
      </c>
      <c r="AH8" s="209" t="s">
        <v>881</v>
      </c>
      <c r="AI8" s="237">
        <f>SUMIFS(Bankingbook_MSB[[#All],[BPV_edited]],Bankingbook_MSB[[#All],[Tenor]],'Phan tich_BB'!AH8)/10^9-SUMIFS(TB_HTM[PV01],TB_HTM[Tenor],'Phan tich_BB'!AH8)</f>
        <v>-1.9714304461293346E-2</v>
      </c>
      <c r="AN8" s="220" t="s">
        <v>2258</v>
      </c>
      <c r="AO8" s="236" t="s">
        <v>883</v>
      </c>
      <c r="AP8" s="193">
        <f>SUM(SUMIFS(FNRP!$FL:$FL,FNRP!$FI:$FI,AO8))*100000/10^9</f>
        <v>5772</v>
      </c>
      <c r="AS8" s="220" t="s">
        <v>890</v>
      </c>
      <c r="AT8" s="220" t="s">
        <v>2207</v>
      </c>
      <c r="AU8" s="216">
        <f>SUM(RP_SEC!CO:CO)/10^9</f>
        <v>-3185.4093843248593</v>
      </c>
      <c r="AW8" s="220" t="s">
        <v>852</v>
      </c>
      <c r="AX8" s="209" t="s">
        <v>880</v>
      </c>
      <c r="AY8" s="241">
        <f>+SUM(SUMIFS(FNRP!$FP:$FP,FNRP!$FI:$FI,AX8))/10^9</f>
        <v>-0.41938820009387534</v>
      </c>
      <c r="BB8" s="244" t="s">
        <v>2265</v>
      </c>
      <c r="BC8" s="158" t="s">
        <v>2261</v>
      </c>
      <c r="BD8" s="244" t="s">
        <v>814</v>
      </c>
      <c r="BE8" s="227"/>
    </row>
    <row r="9" spans="1:57" x14ac:dyDescent="0.3">
      <c r="F9" s="209" t="s">
        <v>1050</v>
      </c>
      <c r="G9" s="220"/>
      <c r="H9" s="158" t="s">
        <v>898</v>
      </c>
      <c r="I9" s="158" t="s">
        <v>823</v>
      </c>
      <c r="J9" s="209" t="s">
        <v>883</v>
      </c>
      <c r="K9" s="216">
        <f>SUMIFS(FNRP!$CD:$CD,FNRP!$CA:$CA,'Phan tich_BB'!J9,FNRP!$CB:$CB,'Phan tich_BB'!H9)*100000/10^9-SUMIFS(TB_HTM[Amt],TB_HTM[Tenor],J9,TB_HTM[Type],H9)/10^9</f>
        <v>1035</v>
      </c>
      <c r="L9" s="58"/>
      <c r="M9" s="58"/>
      <c r="N9" s="58"/>
      <c r="O9" s="58"/>
      <c r="P9" s="58"/>
      <c r="Q9" s="58"/>
      <c r="S9" s="348" t="s">
        <v>984</v>
      </c>
      <c r="T9" s="577">
        <f>SUMIFS(RP_SEC!AG:AG,RP_SEC!AY:AY,S9)/10^9-SUMIFS(TB_HTM[Amt],TB_HTM[Time hold (tenor)],S9)/10^9</f>
        <v>0</v>
      </c>
      <c r="U9" s="349">
        <f>SUMIFS(RP_SEC!AT:AT,RP_SEC!AY:AY,S9)/10^9-SUMIFS(TB_HTM[ItD],TB_HTM[Time hold (tenor)],S9)/10^9</f>
        <v>0</v>
      </c>
      <c r="V9" s="58"/>
      <c r="W9" s="209" t="s">
        <v>1069</v>
      </c>
      <c r="X9" s="209" t="s">
        <v>884</v>
      </c>
      <c r="Y9" s="227">
        <f>SUMIFS(FNRP!BE:BE,FNRP!CA:CA,'Phan tich_BB'!X9)/10^9-SUMIFS(TB_HTM[Market Value FNRP],TB_HTM[Tenor],'Phan tich_BB'!X9)/10^9</f>
        <v>6022.398431654</v>
      </c>
      <c r="AB9" s="209" t="s">
        <v>735</v>
      </c>
      <c r="AC9" s="222" t="s">
        <v>884</v>
      </c>
      <c r="AD9" s="221" cm="1">
        <f t="array" ref="AD9">IFERROR((SUMPRODUCT(Bankingbook_MSB[Duration_edited]*Bankingbook_MSB[MARKET_VALUE]*(Bankingbook_MSB[Tenor]='Phan tich_BB'!AC9))-SUMIFS(TB_HTM[Dur*MV],TB_HTM[Tenor],'Phan tich_BB'!AC9))/(SUMIFS(Bankingbook_MSB[MARKET_VALUE],Bankingbook_MSB[Tenor],'Phan tich_BB'!AC9)-SUMIFS(TB_HTM[Market Value FNRP],TB_HTM[Tenor],'Phan tich_BB'!AC9)),0)</f>
        <v>9.882541932946733</v>
      </c>
      <c r="AE9" s="54"/>
      <c r="AG9" s="209" t="s">
        <v>852</v>
      </c>
      <c r="AH9" s="209" t="s">
        <v>882</v>
      </c>
      <c r="AI9" s="237">
        <f>SUMIFS(Bankingbook_MSB[[#All],[BPV_edited]],Bankingbook_MSB[[#All],[Tenor]],'Phan tich_BB'!AH9)/10^9-SUMIFS(TB_HTM[PV01],TB_HTM[Tenor],'Phan tich_BB'!AH9)</f>
        <v>-0.72959815347827195</v>
      </c>
      <c r="AN9" s="220" t="s">
        <v>2258</v>
      </c>
      <c r="AO9" s="236" t="s">
        <v>884</v>
      </c>
      <c r="AP9" s="193">
        <f>SUM(SUMIFS(FNRP!$FL:$FL,FNRP!$FI:$FI,AO9))*100000/10^9</f>
        <v>10214.820900000001</v>
      </c>
      <c r="AW9" s="220" t="s">
        <v>852</v>
      </c>
      <c r="AX9" s="209" t="s">
        <v>881</v>
      </c>
      <c r="AY9" s="241">
        <f>+SUM(SUMIFS(FNRP!$FP:$FP,FNRP!$FI:$FI,AX9))/10^9</f>
        <v>-6.6478371658211799E-2</v>
      </c>
      <c r="BB9" s="244" t="s">
        <v>2265</v>
      </c>
      <c r="BC9" s="158" t="s">
        <v>2262</v>
      </c>
      <c r="BD9" s="244" t="s">
        <v>814</v>
      </c>
      <c r="BE9" s="227"/>
    </row>
    <row r="10" spans="1:57" x14ac:dyDescent="0.3">
      <c r="F10" s="209" t="s">
        <v>1050</v>
      </c>
      <c r="G10" s="220"/>
      <c r="H10" s="158" t="s">
        <v>898</v>
      </c>
      <c r="I10" s="158" t="s">
        <v>823</v>
      </c>
      <c r="J10" s="209" t="s">
        <v>884</v>
      </c>
      <c r="K10" s="216">
        <f>SUMIFS(FNRP!$CD:$CD,FNRP!$CA:$CA,'Phan tich_BB'!J10,FNRP!$CB:$CB,'Phan tich_BB'!H10)*100000/10^9-SUMIFS(TB_HTM[Amt],TB_HTM[Tenor],J10,TB_HTM[Type],H10)/10^9</f>
        <v>5992.8208999999997</v>
      </c>
      <c r="L10" s="58"/>
      <c r="M10" s="78" t="s">
        <v>876</v>
      </c>
      <c r="N10" s="78" t="s">
        <v>1032</v>
      </c>
      <c r="O10" s="79" t="s">
        <v>2936</v>
      </c>
      <c r="P10" s="79" t="s">
        <v>2937</v>
      </c>
      <c r="Q10" s="79" t="s">
        <v>2755</v>
      </c>
      <c r="S10" s="348" t="s">
        <v>2880</v>
      </c>
      <c r="T10" s="577">
        <f>SUMIFS(RP_SEC!AG:AG,RP_SEC!AY:AY,S10)/10^9-SUMIFS(TB_HTM[Amt],TB_HTM[Time hold (tenor)],S10)/10^9</f>
        <v>0</v>
      </c>
      <c r="U10" s="349">
        <f>SUMIFS(RP_SEC!AT:AT,RP_SEC!AY:AY,S10)/10^9-SUMIFS(TB_HTM[ItD],TB_HTM[Time hold (tenor)],S10)/10^9</f>
        <v>0</v>
      </c>
      <c r="V10" s="58"/>
      <c r="W10" s="209" t="s">
        <v>1069</v>
      </c>
      <c r="X10" s="209" t="s">
        <v>885</v>
      </c>
      <c r="Y10" s="227">
        <f>SUMIFS(FNRP!BE:BE,FNRP!CA:CA,'Phan tich_BB'!X10)/10^9-SUMIFS(TB_HTM[Market Value FNRP],TB_HTM[Tenor],'Phan tich_BB'!X10)/10^9</f>
        <v>44.808</v>
      </c>
      <c r="AB10" s="209" t="s">
        <v>735</v>
      </c>
      <c r="AC10" s="222" t="s">
        <v>885</v>
      </c>
      <c r="AD10" s="221" cm="1">
        <f t="array" ref="AD10">IFERROR((SUMPRODUCT(Bankingbook_MSB[Duration_edited]*Bankingbook_MSB[MARKET_VALUE]*(Bankingbook_MSB[Tenor]='Phan tich_BB'!AC10))-SUMIFS(TB_HTM[Dur*MV],TB_HTM[Tenor],'Phan tich_BB'!AC10))/(SUMIFS(Bankingbook_MSB[MARKET_VALUE],Bankingbook_MSB[Tenor],'Phan tich_BB'!AC10)-SUMIFS(TB_HTM[Market Value FNRP],TB_HTM[Tenor],'Phan tich_BB'!AC10)),0)</f>
        <v>12.257869019999999</v>
      </c>
      <c r="AE10" s="54"/>
      <c r="AG10" s="209" t="s">
        <v>852</v>
      </c>
      <c r="AH10" s="209" t="s">
        <v>883</v>
      </c>
      <c r="AI10" s="237">
        <f>SUMIFS(Bankingbook_MSB[[#All],[BPV_edited]],Bankingbook_MSB[[#All],[Tenor]],'Phan tich_BB'!AH10)/10^9-SUMIFS(TB_HTM[PV01],TB_HTM[Tenor],'Phan tich_BB'!AH10)</f>
        <v>-0.71433361936975426</v>
      </c>
      <c r="AN10" s="220" t="s">
        <v>2258</v>
      </c>
      <c r="AO10" s="236" t="s">
        <v>885</v>
      </c>
      <c r="AP10" s="193">
        <f>SUM(SUMIFS(FNRP!$FL:$FL,FNRP!$FI:$FI,AO10))*100000/10^9</f>
        <v>50</v>
      </c>
      <c r="AW10" s="220" t="s">
        <v>852</v>
      </c>
      <c r="AX10" s="209" t="s">
        <v>882</v>
      </c>
      <c r="AY10" s="241">
        <f>+SUM(SUMIFS(FNRP!$FP:$FP,FNRP!$FI:$FI,AX10))/10^9</f>
        <v>-3.3099108040393448</v>
      </c>
      <c r="BB10" s="244" t="s">
        <v>2265</v>
      </c>
      <c r="BC10" s="158" t="s">
        <v>2263</v>
      </c>
      <c r="BD10" s="244" t="s">
        <v>814</v>
      </c>
      <c r="BE10" s="227"/>
    </row>
    <row r="11" spans="1:57" x14ac:dyDescent="0.3">
      <c r="F11" s="209" t="s">
        <v>1050</v>
      </c>
      <c r="G11" s="220"/>
      <c r="H11" s="158" t="s">
        <v>898</v>
      </c>
      <c r="I11" s="158" t="s">
        <v>823</v>
      </c>
      <c r="J11" s="209" t="s">
        <v>885</v>
      </c>
      <c r="K11" s="216">
        <f>SUMIFS(FNRP!$CD:$CD,FNRP!$CA:$CA,'Phan tich_BB'!J11,FNRP!$CB:$CB,'Phan tich_BB'!H11)*100000/10^9-SUMIFS(TB_HTM[Amt],TB_HTM[Tenor],J11,TB_HTM[Type],H11)/10^9</f>
        <v>50</v>
      </c>
      <c r="L11" s="58"/>
      <c r="M11" s="265">
        <v>0</v>
      </c>
      <c r="N11" s="723">
        <f>SUMIFS(FNRP!BH:BH,FNRP!CA:CA,'Phan tich_BB'!M11)/10^9</f>
        <v>5728.7144994999999</v>
      </c>
      <c r="O11" s="723">
        <f>SUMIFS(FNRP!BR:BR,FNRP!$CA:$CA,'Phan tich_BB'!M11)/10^9</f>
        <v>446.71183642039057</v>
      </c>
      <c r="P11" s="723">
        <f>SUMIFS(FNRP!BS:BS,FNRP!$CA:$CA,'Phan tich_BB'!M11)/10^9</f>
        <v>0</v>
      </c>
      <c r="Q11" s="724">
        <f>O11+P11</f>
        <v>446.71183642039057</v>
      </c>
      <c r="S11" s="348" t="s">
        <v>915</v>
      </c>
      <c r="T11" s="577">
        <f>SUMIFS(RP_SEC!AG:AG,RP_SEC!AY:AY,S11)/10^9-SUMIFS(TB_HTM[Amt],TB_HTM[Time hold (tenor)],S11)/10^9</f>
        <v>0</v>
      </c>
      <c r="U11" s="349">
        <f>SUMIFS(RP_SEC!AT:AT,RP_SEC!AY:AY,S11)/10^9-SUMIFS(TB_HTM[ItD],TB_HTM[Time hold (tenor)],S11)/10^9</f>
        <v>0</v>
      </c>
      <c r="V11" s="58"/>
      <c r="W11" s="209" t="s">
        <v>1069</v>
      </c>
      <c r="X11" s="209" t="s">
        <v>886</v>
      </c>
      <c r="Y11" s="227">
        <f>SUMIFS(FNRP!BE:BE,FNRP!CA:CA,'Phan tich_BB'!X11)/10^9-SUMIFS(TB_HTM[Market Value FNRP],TB_HTM[Tenor],'Phan tich_BB'!X11)/10^9</f>
        <v>553.98</v>
      </c>
      <c r="AB11" s="209" t="s">
        <v>735</v>
      </c>
      <c r="AC11" s="222" t="s">
        <v>886</v>
      </c>
      <c r="AD11" s="221" cm="1">
        <f t="array" ref="AD11">IFERROR((SUMPRODUCT(Bankingbook_MSB[Duration_edited]*Bankingbook_MSB[MARKET_VALUE]*(Bankingbook_MSB[Tenor]='Phan tich_BB'!AC11))-SUMIFS(TB_HTM[Dur*MV],TB_HTM[Tenor],'Phan tich_BB'!AC11))/(SUMIFS(Bankingbook_MSB[MARKET_VALUE],Bankingbook_MSB[Tenor],'Phan tich_BB'!AC11)-SUMIFS(TB_HTM[Market Value FNRP],TB_HTM[Tenor],'Phan tich_BB'!AC11)),0)</f>
        <v>15.788156409999999</v>
      </c>
      <c r="AE11" s="54"/>
      <c r="AG11" s="209" t="s">
        <v>852</v>
      </c>
      <c r="AH11" s="209" t="s">
        <v>884</v>
      </c>
      <c r="AI11" s="237">
        <f>SUMIFS(Bankingbook_MSB[[#All],[BPV_edited]],Bankingbook_MSB[[#All],[Tenor]],'Phan tich_BB'!AH11)/10^9-SUMIFS(TB_HTM[PV01],TB_HTM[Tenor],'Phan tich_BB'!AH11)</f>
        <v>-5.7901039570074255</v>
      </c>
      <c r="AN11" s="220" t="s">
        <v>2258</v>
      </c>
      <c r="AO11" s="236" t="s">
        <v>886</v>
      </c>
      <c r="AP11" s="193">
        <f>SUM(SUMIFS(FNRP!$FL:$FL,FNRP!$FI:$FI,AO11))*100000/10^9</f>
        <v>600</v>
      </c>
      <c r="AW11" s="220" t="s">
        <v>852</v>
      </c>
      <c r="AX11" s="209" t="s">
        <v>883</v>
      </c>
      <c r="AY11" s="241">
        <f>+SUM(SUMIFS(FNRP!$FP:$FP,FNRP!$FI:$FI,AX11))/10^9</f>
        <v>-3.7484179320733131</v>
      </c>
      <c r="BB11" s="244" t="s">
        <v>811</v>
      </c>
      <c r="BC11" s="158" t="s">
        <v>2266</v>
      </c>
      <c r="BD11" s="244" t="s">
        <v>984</v>
      </c>
      <c r="BE11" s="245"/>
    </row>
    <row r="12" spans="1:57" x14ac:dyDescent="0.25">
      <c r="F12" s="209" t="s">
        <v>1050</v>
      </c>
      <c r="G12" s="220"/>
      <c r="H12" s="158" t="s">
        <v>898</v>
      </c>
      <c r="I12" s="158" t="s">
        <v>823</v>
      </c>
      <c r="J12" s="209" t="s">
        <v>886</v>
      </c>
      <c r="K12" s="216">
        <f>SUMIFS(FNRP!$CD:$CD,FNRP!$CA:$CA,'Phan tich_BB'!J12,FNRP!$CB:$CB,'Phan tich_BB'!H12)*100000/10^9-SUMIFS(TB_HTM[Amt],TB_HTM[Tenor],J12,TB_HTM[Type],H12)/10^9</f>
        <v>600</v>
      </c>
      <c r="L12" s="58"/>
      <c r="M12" s="41" t="s">
        <v>877</v>
      </c>
      <c r="N12" s="723" cm="1">
        <f t="array" ref="N12">SUM(SUMIFS(FNRP!BH:BH,FNRP!CA:CA,{"3M","6M","1Y"}))/10^9</f>
        <v>963.82799999999997</v>
      </c>
      <c r="O12" s="723" cm="1">
        <f t="array" ref="O12">SUM(SUMIFS(FNRP!BR:BR,FNRP!$CA:$CA,{"3M","6M","1Y"}))/10^9</f>
        <v>126.39334467741924</v>
      </c>
      <c r="P12" s="723" cm="1">
        <f t="array" ref="P12">SUM(SUMIFS(FNRP!BS:BS,FNRP!$CA:$CA,{"3M","6M","1Y"}))/10^9</f>
        <v>-25.104334677419377</v>
      </c>
      <c r="Q12" s="724">
        <f t="shared" ref="Q12:Q21" si="0">O12+P12</f>
        <v>101.28900999999986</v>
      </c>
      <c r="S12" s="348" t="s">
        <v>917</v>
      </c>
      <c r="T12" s="577">
        <f>SUMIFS(RP_SEC!AG:AG,RP_SEC!AY:AY,S12)/10^9-SUMIFS(TB_HTM[Amt],TB_HTM[Time hold (tenor)],S12)/10^9</f>
        <v>0</v>
      </c>
      <c r="U12" s="349">
        <f>SUMIFS(RP_SEC!AT:AT,RP_SEC!AY:AY,S12)/10^9-SUMIFS(TB_HTM[ItD],TB_HTM[Time hold (tenor)],S12)/10^9</f>
        <v>0</v>
      </c>
      <c r="V12" s="58"/>
      <c r="X12" s="58"/>
      <c r="Y12" s="58"/>
      <c r="Z12" s="58"/>
      <c r="AB12" s="209" t="s">
        <v>1071</v>
      </c>
      <c r="AC12" s="222"/>
      <c r="AD12" s="221">
        <f>(SUMPRODUCT(Bankingbook_MSB[Modified Duration],Bankingbook_MSB[MARKET_VALUE])-SUM(TB_HTM[MDur*MV]))/(SUM(Bankingbook_MSB[MARKET_VALUE])-SUM(TB_HTM[Market Value FNRP]))</f>
        <v>8.288714734073265</v>
      </c>
      <c r="AE12" s="54"/>
      <c r="AG12" s="209" t="s">
        <v>852</v>
      </c>
      <c r="AH12" s="209" t="s">
        <v>885</v>
      </c>
      <c r="AI12" s="237">
        <f>SUMIFS(Bankingbook_MSB[[#All],[BPV_edited]],Bankingbook_MSB[[#All],[Tenor]],'Phan tich_BB'!AH12)/10^9-SUMIFS(TB_HTM[PV01],TB_HTM[Tenor],'Phan tich_BB'!AH12)</f>
        <v>-5.3303295673964468E-2</v>
      </c>
      <c r="AN12" s="220" t="s">
        <v>1069</v>
      </c>
      <c r="AO12" s="236" t="s">
        <v>1030</v>
      </c>
      <c r="AP12" s="227">
        <f>SUM(FNRP!$EN:$EN)/10^9</f>
        <v>23843.369542878001</v>
      </c>
      <c r="AV12" s="233"/>
      <c r="AW12" s="220" t="s">
        <v>852</v>
      </c>
      <c r="AX12" s="209" t="s">
        <v>884</v>
      </c>
      <c r="AY12" s="241">
        <f>+SUM(SUMIFS(FNRP!$FP:$FP,FNRP!$FI:$FI,AX12))/10^9</f>
        <v>-8.7433360001822891</v>
      </c>
      <c r="BB12" s="244" t="s">
        <v>811</v>
      </c>
      <c r="BC12" s="158" t="s">
        <v>2266</v>
      </c>
      <c r="BD12" s="244" t="s">
        <v>2267</v>
      </c>
      <c r="BE12" s="245"/>
    </row>
    <row r="13" spans="1:57" x14ac:dyDescent="0.25">
      <c r="F13" s="209" t="s">
        <v>1050</v>
      </c>
      <c r="G13" s="220"/>
      <c r="H13" s="158" t="s">
        <v>906</v>
      </c>
      <c r="I13" s="158" t="s">
        <v>821</v>
      </c>
      <c r="J13" s="209" t="s">
        <v>877</v>
      </c>
      <c r="K13" s="216" cm="1">
        <f t="array" ref="K13">SUM(SUMIFS(FNRP!$CD:$CD,FNRP!$CA:$CA,{"3M","6M","1Y"},FNRP!$CC:$CC,'Phan tich_BB'!I13))*100000/10^9-SUM(SUMIFS(TB_HTM[Amt],TB_HTM[Tenor],{"3M","6M","1Y"},TB_HTM[Issuer],I13))/10^9</f>
        <v>0</v>
      </c>
      <c r="M13" s="41" t="s">
        <v>878</v>
      </c>
      <c r="N13" s="723">
        <f>SUMIFS(FNRP!BH:BH,FNRP!CA:CA,'Phan tich_BB'!M13)/10^9</f>
        <v>180.1</v>
      </c>
      <c r="O13" s="723">
        <f>SUMIFS(FNRP!BR:BR,FNRP!$CA:$CA,'Phan tich_BB'!M13)/10^9</f>
        <v>83.492099999999965</v>
      </c>
      <c r="P13" s="723">
        <f>SUMIFS(FNRP!BS:BS,FNRP!$CA:$CA,'Phan tich_BB'!M13)/10^9</f>
        <v>-22.680600000000009</v>
      </c>
      <c r="Q13" s="724">
        <f t="shared" si="0"/>
        <v>60.811499999999953</v>
      </c>
      <c r="S13" s="348" t="s">
        <v>983</v>
      </c>
      <c r="T13" s="577">
        <f>SUMIFS(RP_SEC!AG:AG,RP_SEC!AY:AY,S13)/10^9-SUMIFS(TB_HTM[Amt],TB_HTM[Time hold (tenor)],S13)/10^9</f>
        <v>200</v>
      </c>
      <c r="U13" s="349">
        <f>SUMIFS(RP_SEC!AT:AT,RP_SEC!AY:AY,S13)/10^9-SUMIFS(TB_HTM[ItD],TB_HTM[Time hold (tenor)],S13)/10^9</f>
        <v>-31.101987952786445</v>
      </c>
      <c r="AB13" s="209" t="s">
        <v>1071</v>
      </c>
      <c r="AC13" s="209" t="s">
        <v>877</v>
      </c>
      <c r="AD13" s="216" cm="1">
        <f t="array" ref="AD13">IFERROR((SUMPRODUCT(Bankingbook_MSB[Modified Duration]*Bankingbook_MSB[MARKET_VALUE]*(Bankingbook_MSB[Tenor]='Phan tich_BB'!AC13))-SUMIFS(TB_HTM[MDur*MV],TB_HTM[Tenor],'Phan tich_BB'!AC13))/(SUMIFS(Bankingbook_MSB[MARKET_VALUE],Bankingbook_MSB[Tenor],'Phan tich_BB'!AC13)-SUMIFS(TB_HTM[Market Value FNRP],TB_HTM[Tenor],'Phan tich_BB'!AC13)),0)</f>
        <v>0</v>
      </c>
      <c r="AE13" s="58"/>
      <c r="AG13" s="209" t="s">
        <v>852</v>
      </c>
      <c r="AH13" s="209" t="s">
        <v>886</v>
      </c>
      <c r="AI13" s="237">
        <f>SUMIFS(Bankingbook_MSB[[#All],[BPV_edited]],Bankingbook_MSB[[#All],[Tenor]],'Phan tich_BB'!AH13)/10^9-SUMIFS(TB_HTM[PV01],TB_HTM[Tenor],'Phan tich_BB'!AH13)</f>
        <v>-0.84977712073691736</v>
      </c>
      <c r="AN13" s="220" t="s">
        <v>1069</v>
      </c>
      <c r="AO13" s="236" t="s">
        <v>877</v>
      </c>
      <c r="AP13" s="227">
        <f>SUM(SUMIFS(FNRP!$EN:$EN,FNRP!$FI:$FI,{"3M","6M","1Y"}))/10^9</f>
        <v>1009.0563</v>
      </c>
      <c r="AV13" s="233"/>
      <c r="AW13" s="220" t="s">
        <v>852</v>
      </c>
      <c r="AX13" s="209" t="s">
        <v>885</v>
      </c>
      <c r="AY13" s="241">
        <f>+SUM(SUMIFS(FNRP!$FP:$FP,FNRP!$FI:$FI,AX13))/10^9</f>
        <v>-5.3303295673964468E-2</v>
      </c>
      <c r="BB13" s="244" t="s">
        <v>811</v>
      </c>
      <c r="BC13" s="158" t="s">
        <v>2266</v>
      </c>
      <c r="BD13" s="244" t="s">
        <v>2268</v>
      </c>
      <c r="BE13" s="245"/>
    </row>
    <row r="14" spans="1:57" x14ac:dyDescent="0.25">
      <c r="F14" s="209" t="s">
        <v>1050</v>
      </c>
      <c r="G14" s="220"/>
      <c r="H14" s="158" t="s">
        <v>906</v>
      </c>
      <c r="I14" s="158" t="s">
        <v>821</v>
      </c>
      <c r="J14" s="209" t="s">
        <v>878</v>
      </c>
      <c r="K14" s="216">
        <f>SUMIFS(FNRP!$CD:$CD,FNRP!$CA:$CA,'Phan tich_BB'!J14,FNRP!$CC:$CC,'Phan tich_BB'!I14)*100000/10^9-SUM(SUMIFS(TB_HTM[Amt],TB_HTM[Tenor],J14,TB_HTM[Issuer],I14))/10^9</f>
        <v>100</v>
      </c>
      <c r="M14" s="41" t="s">
        <v>879</v>
      </c>
      <c r="N14" s="723">
        <f>SUMIFS(FNRP!BH:BH,FNRP!CA:CA,'Phan tich_BB'!M14)/10^9</f>
        <v>623.88586239999995</v>
      </c>
      <c r="O14" s="723">
        <f>SUMIFS(FNRP!BR:BR,FNRP!$CA:$CA,'Phan tich_BB'!M14)/10^9</f>
        <v>93.673349346351827</v>
      </c>
      <c r="P14" s="723">
        <f>SUMIFS(FNRP!BS:BS,FNRP!$CA:$CA,'Phan tich_BB'!M14)/10^9</f>
        <v>-12.555046652351786</v>
      </c>
      <c r="Q14" s="724">
        <f t="shared" si="0"/>
        <v>81.118302694000036</v>
      </c>
      <c r="S14" s="348" t="s">
        <v>877</v>
      </c>
      <c r="T14" s="577">
        <f>SUMIFS(RP_SEC!AG:AG,RP_SEC!AY:AY,S14)/10^9-SUMIFS(TB_HTM[Amt],TB_HTM[Time hold (tenor)],S14)/10^9</f>
        <v>2550</v>
      </c>
      <c r="U14" s="349">
        <f>SUMIFS(RP_SEC!AT:AT,RP_SEC!AY:AY,S14)/10^9-SUMIFS(TB_HTM[ItD],TB_HTM[Time hold (tenor)],S14)/10^9</f>
        <v>-427.44150785317538</v>
      </c>
      <c r="AB14" s="209" t="s">
        <v>1071</v>
      </c>
      <c r="AC14" s="209" t="s">
        <v>878</v>
      </c>
      <c r="AD14" s="216" cm="1">
        <f t="array" ref="AD14">IFERROR((SUMPRODUCT(Bankingbook_MSB[Modified Duration]*Bankingbook_MSB[MARKET_VALUE]*(Bankingbook_MSB[Tenor]='Phan tich_BB'!AC14))-SUMIFS(TB_HTM[MDur*MV],TB_HTM[Tenor],'Phan tich_BB'!AC14))/(SUMIFS(Bankingbook_MSB[MARKET_VALUE],Bankingbook_MSB[Tenor],'Phan tich_BB'!AC14)-SUMIFS(TB_HTM[Market Value FNRP],TB_HTM[Tenor],'Phan tich_BB'!AC14)),0)</f>
        <v>2.0878859353104686</v>
      </c>
      <c r="AE14" s="58"/>
      <c r="AN14" s="220" t="s">
        <v>1069</v>
      </c>
      <c r="AO14" s="236" t="s">
        <v>878</v>
      </c>
      <c r="AP14" s="227">
        <f>SUM(SUMIFS(FNRP!$EN:$EN,FNRP!$FI:$FI,AO14))/10^9</f>
        <v>585.18200000000002</v>
      </c>
      <c r="AV14" s="234"/>
      <c r="AW14" s="220" t="s">
        <v>852</v>
      </c>
      <c r="AX14" s="209" t="s">
        <v>886</v>
      </c>
      <c r="AY14" s="241">
        <f>+SUM(SUMIFS(FNRP!$FP:$FP,FNRP!$FI:$FI,AX14))/10^9</f>
        <v>-0.84977712073691736</v>
      </c>
      <c r="BB14" s="244" t="s">
        <v>811</v>
      </c>
      <c r="BC14" s="158" t="s">
        <v>2266</v>
      </c>
      <c r="BD14" s="244" t="s">
        <v>2269</v>
      </c>
      <c r="BE14" s="245"/>
    </row>
    <row r="15" spans="1:57" x14ac:dyDescent="0.25">
      <c r="F15" s="209" t="s">
        <v>1050</v>
      </c>
      <c r="G15" s="220"/>
      <c r="H15" s="158" t="s">
        <v>906</v>
      </c>
      <c r="I15" s="158" t="s">
        <v>821</v>
      </c>
      <c r="J15" s="209" t="s">
        <v>879</v>
      </c>
      <c r="K15" s="216">
        <f>SUMIFS(FNRP!$CD:$CD,FNRP!$CA:$CA,'Phan tich_BB'!J15,FNRP!$CC:$CC,'Phan tich_BB'!I15)*100000/10^9-SUM(SUMIFS(TB_HTM[Amt],TB_HTM[Tenor],J15,TB_HTM[Issuer],I15))/10^9</f>
        <v>200</v>
      </c>
      <c r="L15" s="58"/>
      <c r="M15" s="41" t="s">
        <v>880</v>
      </c>
      <c r="N15" s="723">
        <f>SUMIFS(FNRP!BH:BH,FNRP!CA:CA,'Phan tich_BB'!M15)/10^9</f>
        <v>215.916</v>
      </c>
      <c r="O15" s="723">
        <f>SUMIFS(FNRP!BR:BR,FNRP!$CA:$CA,'Phan tich_BB'!M15)/10^9</f>
        <v>127.87935499999999</v>
      </c>
      <c r="P15" s="723">
        <f>SUMIFS(FNRP!BS:BS,FNRP!$CA:$CA,'Phan tich_BB'!M15)/10^9</f>
        <v>-28.504685000000009</v>
      </c>
      <c r="Q15" s="724">
        <f t="shared" si="0"/>
        <v>99.374669999999981</v>
      </c>
      <c r="S15" s="348" t="s">
        <v>878</v>
      </c>
      <c r="T15" s="577">
        <f>SUMIFS(RP_SEC!AG:AG,RP_SEC!AY:AY,S15)/10^9-SUMIFS(TB_HTM[Amt],TB_HTM[Time hold (tenor)],S15)/10^9</f>
        <v>5556</v>
      </c>
      <c r="U15" s="349">
        <f>SUMIFS(RP_SEC!AT:AT,RP_SEC!AY:AY,S15)/10^9-SUMIFS(TB_HTM[ItD],TB_HTM[Time hold (tenor)],S15)/10^9</f>
        <v>-943.87834914411587</v>
      </c>
      <c r="AB15" s="209" t="s">
        <v>1071</v>
      </c>
      <c r="AC15" s="209" t="s">
        <v>879</v>
      </c>
      <c r="AD15" s="216" cm="1">
        <f t="array" ref="AD15">IFERROR((SUMPRODUCT(Bankingbook_MSB[Modified Duration]*Bankingbook_MSB[MARKET_VALUE]*(Bankingbook_MSB[Tenor]='Phan tich_BB'!AC15))-SUMIFS(TB_HTM[MDur*MV],TB_HTM[Tenor],'Phan tich_BB'!AC15))/(SUMIFS(Bankingbook_MSB[MARKET_VALUE],Bankingbook_MSB[Tenor],'Phan tich_BB'!AC15)-SUMIFS(TB_HTM[Market Value FNRP],TB_HTM[Tenor],'Phan tich_BB'!AC15)),0)</f>
        <v>2.861291768069012</v>
      </c>
      <c r="AE15" s="58"/>
      <c r="AN15" s="220" t="s">
        <v>1069</v>
      </c>
      <c r="AO15" s="236" t="s">
        <v>879</v>
      </c>
      <c r="AP15" s="227">
        <f>SUM(SUMIFS(FNRP!$EN:$EN,FNRP!$FI:$FI,AO15))/10^9</f>
        <v>533.91118122399996</v>
      </c>
      <c r="AW15" s="220" t="s">
        <v>1072</v>
      </c>
      <c r="AX15" s="240"/>
      <c r="AY15" s="241">
        <f>SUM(FNRP!FQ:FQ)/10^9</f>
        <v>-1660.2416115452536</v>
      </c>
    </row>
    <row r="16" spans="1:57" x14ac:dyDescent="0.25">
      <c r="F16" s="209" t="s">
        <v>1050</v>
      </c>
      <c r="G16" s="220"/>
      <c r="H16" s="158" t="s">
        <v>906</v>
      </c>
      <c r="I16" s="158" t="s">
        <v>821</v>
      </c>
      <c r="J16" s="209" t="s">
        <v>880</v>
      </c>
      <c r="K16" s="216">
        <f>SUMIFS(FNRP!$CD:$CD,FNRP!$CA:$CA,'Phan tich_BB'!J16,FNRP!$CC:$CC,'Phan tich_BB'!I16)*100000/10^9-SUM(SUMIFS(TB_HTM[Amt],TB_HTM[Tenor],J16,TB_HTM[Issuer],I16))/10^9</f>
        <v>0</v>
      </c>
      <c r="M16" s="41" t="s">
        <v>881</v>
      </c>
      <c r="N16" s="723">
        <f>SUMIFS(FNRP!BH:BH,FNRP!CA:CA,'Phan tich_BB'!M16)/10^9</f>
        <v>209.42599999999999</v>
      </c>
      <c r="O16" s="723">
        <f>SUMIFS(FNRP!BR:BR,FNRP!$CA:$CA,'Phan tich_BB'!M16)/10^9</f>
        <v>145.63067000000001</v>
      </c>
      <c r="P16" s="723">
        <f>SUMIFS(FNRP!BS:BS,FNRP!$CA:$CA,'Phan tich_BB'!M16)/10^9</f>
        <v>-4.0037000000000003</v>
      </c>
      <c r="Q16" s="724">
        <f t="shared" si="0"/>
        <v>141.62697</v>
      </c>
      <c r="S16" s="348" t="s">
        <v>879</v>
      </c>
      <c r="T16" s="577">
        <f>SUMIFS(RP_SEC!AG:AG,RP_SEC!AY:AY,S16)/10^9-SUMIFS(TB_HTM[Amt],TB_HTM[Time hold (tenor)],S16)/10^9</f>
        <v>2552.3113000000003</v>
      </c>
      <c r="U16" s="349">
        <f>SUMIFS(RP_SEC!AT:AT,RP_SEC!AY:AY,S16)/10^9-SUMIFS(TB_HTM[ItD],TB_HTM[Time hold (tenor)],S16)/10^9</f>
        <v>-345.4468532799691</v>
      </c>
      <c r="AB16" s="209" t="s">
        <v>1071</v>
      </c>
      <c r="AC16" s="209" t="s">
        <v>880</v>
      </c>
      <c r="AD16" s="216" cm="1">
        <f t="array" ref="AD16">IFERROR((SUMPRODUCT(Bankingbook_MSB[Modified Duration]*Bankingbook_MSB[MARKET_VALUE]*(Bankingbook_MSB[Tenor]='Phan tich_BB'!AC16))-SUMIFS(TB_HTM[MDur*MV],TB_HTM[Tenor],'Phan tich_BB'!AC16))/(SUMIFS(Bankingbook_MSB[MARKET_VALUE],Bankingbook_MSB[Tenor],'Phan tich_BB'!AC16)-SUMIFS(TB_HTM[Market Value FNRP],TB_HTM[Tenor],'Phan tich_BB'!AC16)),0)</f>
        <v>3.4358449547109458</v>
      </c>
      <c r="AE16" s="58"/>
      <c r="AN16" s="220" t="s">
        <v>1069</v>
      </c>
      <c r="AO16" s="236" t="s">
        <v>880</v>
      </c>
      <c r="AP16" s="227">
        <f>SUM(SUMIFS(FNRP!$EN:$EN,FNRP!$FI:$FI,AO16))/10^9</f>
        <v>1130.6768400000001</v>
      </c>
      <c r="AW16" s="220" t="s">
        <v>1072</v>
      </c>
      <c r="AX16" s="209" t="s">
        <v>877</v>
      </c>
      <c r="AY16" s="241">
        <f>SUM(SUMIFS(FNRP!$FQ:$FQ,FNRP!$FI:$FI,{"3M","6M","1Y"}))/10^9</f>
        <v>-4.3063841116276569</v>
      </c>
      <c r="BD16" s="234"/>
      <c r="BE16" s="234"/>
    </row>
    <row r="17" spans="6:51" x14ac:dyDescent="0.25">
      <c r="F17" s="209" t="s">
        <v>1050</v>
      </c>
      <c r="G17" s="220"/>
      <c r="H17" s="158" t="s">
        <v>906</v>
      </c>
      <c r="I17" s="158" t="s">
        <v>821</v>
      </c>
      <c r="J17" s="209" t="s">
        <v>881</v>
      </c>
      <c r="K17" s="216">
        <f>SUMIFS(FNRP!$CD:$CD,FNRP!$CA:$CA,'Phan tich_BB'!J17,FNRP!$CC:$CC,'Phan tich_BB'!I17)*100000/10^9-SUM(SUMIFS(TB_HTM[Amt],TB_HTM[Tenor],J17,TB_HTM[Issuer],I17))/10^9</f>
        <v>0</v>
      </c>
      <c r="M17" s="41" t="s">
        <v>882</v>
      </c>
      <c r="N17" s="723">
        <f>SUMIFS(FNRP!BH:BH,FNRP!CA:CA,'Phan tich_BB'!M17)/10^9</f>
        <v>525.49400000000003</v>
      </c>
      <c r="O17" s="723">
        <f>SUMIFS(FNRP!BR:BR,FNRP!$CA:$CA,'Phan tich_BB'!M17)/10^9</f>
        <v>372.27882666666665</v>
      </c>
      <c r="P17" s="723">
        <f>SUMIFS(FNRP!BS:BS,FNRP!$CA:$CA,'Phan tich_BB'!M17)/10^9</f>
        <v>-299.20416666666671</v>
      </c>
      <c r="Q17" s="724">
        <f t="shared" si="0"/>
        <v>73.074659999999938</v>
      </c>
      <c r="S17" s="578" t="s">
        <v>880</v>
      </c>
      <c r="T17" s="577">
        <f>SUMIFS(RP_SEC!AG:AG,RP_SEC!AY:AY,S17)/10^9-SUMIFS(TB_HTM[Amt],TB_HTM[Time hold (tenor)],S17)/10^9</f>
        <v>0</v>
      </c>
      <c r="U17" s="349">
        <f>SUMIFS(RP_SEC!AT:AT,RP_SEC!AY:AY,S17)/10^9-SUMIFS(TB_HTM[ItD],TB_HTM[Time hold (tenor)],S17)/10^9</f>
        <v>0</v>
      </c>
      <c r="AB17" s="209" t="s">
        <v>1071</v>
      </c>
      <c r="AC17" s="209" t="s">
        <v>881</v>
      </c>
      <c r="AD17" s="216" cm="1">
        <f t="array" ref="AD17">IFERROR((SUMPRODUCT(Bankingbook_MSB[Modified Duration]*Bankingbook_MSB[MARKET_VALUE]*(Bankingbook_MSB[Tenor]='Phan tich_BB'!AC17))-SUMIFS(TB_HTM[MDur*MV],TB_HTM[Tenor],'Phan tich_BB'!AC17))/(SUMIFS(Bankingbook_MSB[MARKET_VALUE],Bankingbook_MSB[Tenor],'Phan tich_BB'!AC17)-SUMIFS(TB_HTM[Market Value FNRP],TB_HTM[Tenor],'Phan tich_BB'!AC17)),0)</f>
        <v>4.2319838045329004</v>
      </c>
      <c r="AE17" s="58"/>
      <c r="AN17" s="220" t="s">
        <v>1069</v>
      </c>
      <c r="AO17" s="236" t="s">
        <v>881</v>
      </c>
      <c r="AP17" s="227">
        <f>SUM(SUMIFS(FNRP!$EN:$EN,FNRP!$FI:$FI,AO17))/10^9</f>
        <v>158.56100000000001</v>
      </c>
      <c r="AW17" s="220" t="s">
        <v>1072</v>
      </c>
      <c r="AX17" s="209" t="s">
        <v>878</v>
      </c>
      <c r="AY17" s="241">
        <f>+SUM(SUMIFS(FNRP!$FQ:$FQ,FNRP!$FI:$FI,AX17))/10^9</f>
        <v>-12.292315356074642</v>
      </c>
    </row>
    <row r="18" spans="6:51" x14ac:dyDescent="0.25">
      <c r="F18" s="209" t="s">
        <v>1050</v>
      </c>
      <c r="G18" s="220"/>
      <c r="H18" s="158" t="s">
        <v>906</v>
      </c>
      <c r="I18" s="158" t="s">
        <v>821</v>
      </c>
      <c r="J18" s="209" t="s">
        <v>882</v>
      </c>
      <c r="K18" s="216">
        <f>SUMIFS(FNRP!$CD:$CD,FNRP!$CA:$CA,'Phan tich_BB'!J18,FNRP!$CC:$CC,'Phan tich_BB'!I18)*100000/10^9-SUM(SUMIFS(TB_HTM[Amt],TB_HTM[Tenor],J18,TB_HTM[Issuer],I18))/10^9</f>
        <v>0</v>
      </c>
      <c r="M18" s="41" t="s">
        <v>883</v>
      </c>
      <c r="N18" s="723">
        <f>SUMIFS(FNRP!BH:BH,FNRP!CA:CA,'Phan tich_BB'!M18)/10^9</f>
        <v>195.631</v>
      </c>
      <c r="O18" s="723">
        <f>SUMIFS(FNRP!BR:BR,FNRP!$CA:$CA,'Phan tich_BB'!M18)/10^9</f>
        <v>11.633825308683814</v>
      </c>
      <c r="P18" s="723">
        <f>SUMIFS(FNRP!BS:BS,FNRP!$CA:$CA,'Phan tich_BB'!M18)/10^9</f>
        <v>-216.93301530868388</v>
      </c>
      <c r="Q18" s="724">
        <f t="shared" si="0"/>
        <v>-205.29919000000007</v>
      </c>
      <c r="S18" s="578" t="s">
        <v>881</v>
      </c>
      <c r="T18" s="577">
        <f>SUMIFS(RP_SEC!AG:AG,RP_SEC!AY:AY,S18)/10^9-SUMIFS(TB_HTM[Amt],TB_HTM[Time hold (tenor)],S18)/10^9</f>
        <v>0</v>
      </c>
      <c r="U18" s="349">
        <f>SUMIFS(RP_SEC!AT:AT,RP_SEC!AY:AY,S18)/10^9-SUMIFS(TB_HTM[ItD],TB_HTM[Time hold (tenor)],S18)/10^9</f>
        <v>0</v>
      </c>
      <c r="AB18" s="209" t="s">
        <v>1071</v>
      </c>
      <c r="AC18" s="209" t="s">
        <v>882</v>
      </c>
      <c r="AD18" s="216" cm="1">
        <f t="array" ref="AD18">IFERROR((SUMPRODUCT(Bankingbook_MSB[Modified Duration]*Bankingbook_MSB[MARKET_VALUE]*(Bankingbook_MSB[Tenor]='Phan tich_BB'!AC18))-SUMIFS(TB_HTM[MDur*MV],TB_HTM[Tenor],'Phan tich_BB'!AC18))/(SUMIFS(Bankingbook_MSB[MARKET_VALUE],Bankingbook_MSB[Tenor],'Phan tich_BB'!AC18)-SUMIFS(TB_HTM[Market Value FNRP],TB_HTM[Tenor],'Phan tich_BB'!AC18)),0)</f>
        <v>5.7581431032772654</v>
      </c>
      <c r="AE18" s="58"/>
      <c r="AN18" s="220" t="s">
        <v>1069</v>
      </c>
      <c r="AO18" s="236" t="s">
        <v>882</v>
      </c>
      <c r="AP18" s="227">
        <f>SUM(SUMIFS(FNRP!$EN:$EN,FNRP!$FI:$FI,AO18))/10^9</f>
        <v>5533.6002399999998</v>
      </c>
      <c r="AW18" s="220" t="s">
        <v>1072</v>
      </c>
      <c r="AX18" s="209" t="s">
        <v>879</v>
      </c>
      <c r="AY18" s="241">
        <f>+SUM(SUMIFS(FNRP!$FQ:$FQ,FNRP!$FI:$FI,AX18))/10^9</f>
        <v>-14.931964928022575</v>
      </c>
    </row>
    <row r="19" spans="6:51" x14ac:dyDescent="0.25">
      <c r="F19" s="209" t="s">
        <v>1050</v>
      </c>
      <c r="G19" s="220"/>
      <c r="H19" s="158" t="s">
        <v>906</v>
      </c>
      <c r="I19" s="158" t="s">
        <v>821</v>
      </c>
      <c r="J19" s="209" t="s">
        <v>883</v>
      </c>
      <c r="K19" s="216">
        <f>SUMIFS(FNRP!$CD:$CD,FNRP!$CA:$CA,'Phan tich_BB'!J19,FNRP!$CC:$CC,'Phan tich_BB'!I19)*100000/10^9-SUM(SUMIFS(TB_HTM[Amt],TB_HTM[Tenor],J19,TB_HTM[Issuer],I19))/10^9</f>
        <v>0</v>
      </c>
      <c r="M19" s="41" t="s">
        <v>884</v>
      </c>
      <c r="N19" s="723">
        <f>SUMIFS(FNRP!BH:BH,FNRP!CA:CA,'Phan tich_BB'!M19)/10^9</f>
        <v>741.75534459999994</v>
      </c>
      <c r="O19" s="723">
        <f>SUMIFS(FNRP!BR:BR,FNRP!$CA:$CA,'Phan tich_BB'!M19)/10^9</f>
        <v>8.3277743973123748</v>
      </c>
      <c r="P19" s="723">
        <f>SUMIFS(FNRP!BS:BS,FNRP!$CA:$CA,'Phan tich_BB'!M19)/10^9</f>
        <v>-1580.8021264063123</v>
      </c>
      <c r="Q19" s="724">
        <f t="shared" si="0"/>
        <v>-1572.4743520089999</v>
      </c>
      <c r="S19" s="580" t="s">
        <v>1034</v>
      </c>
      <c r="T19" s="581">
        <f>SUM(T6:T18)</f>
        <v>10858.311300000001</v>
      </c>
      <c r="U19" s="581">
        <f>SUM(U6:U18)</f>
        <v>-1747.8686982300469</v>
      </c>
      <c r="AB19" s="209" t="s">
        <v>1071</v>
      </c>
      <c r="AC19" s="209" t="s">
        <v>883</v>
      </c>
      <c r="AD19" s="216" cm="1">
        <f t="array" ref="AD19">IFERROR((SUMPRODUCT(Bankingbook_MSB[Modified Duration]*Bankingbook_MSB[MARKET_VALUE]*(Bankingbook_MSB[Tenor]='Phan tich_BB'!AC19))-SUMIFS(TB_HTM[MDur*MV],TB_HTM[Tenor],'Phan tich_BB'!AC19))/(SUMIFS(Bankingbook_MSB[MARKET_VALUE],Bankingbook_MSB[Tenor],'Phan tich_BB'!AC19)-SUMIFS(TB_HTM[Market Value FNRP],TB_HTM[Tenor],'Phan tich_BB'!AC19)),0)</f>
        <v>7.2185936732326921</v>
      </c>
      <c r="AE19" s="58"/>
      <c r="AN19" s="220" t="s">
        <v>1069</v>
      </c>
      <c r="AO19" s="236" t="s">
        <v>883</v>
      </c>
      <c r="AP19" s="227">
        <f>SUM(SUMIFS(FNRP!$EN:$EN,FNRP!$FI:$FI,AO19))/10^9</f>
        <v>5259.5791099999997</v>
      </c>
      <c r="AW19" s="220" t="s">
        <v>1072</v>
      </c>
      <c r="AX19" s="209" t="s">
        <v>880</v>
      </c>
      <c r="AY19" s="241">
        <f>+SUM(SUMIFS(FNRP!$FQ:$FQ,FNRP!$FI:$FI,AX19))/10^9</f>
        <v>-40.946646643742625</v>
      </c>
    </row>
    <row r="20" spans="6:51" x14ac:dyDescent="0.25">
      <c r="F20" s="209" t="s">
        <v>1050</v>
      </c>
      <c r="G20" s="220"/>
      <c r="H20" s="158" t="s">
        <v>906</v>
      </c>
      <c r="I20" s="158" t="s">
        <v>821</v>
      </c>
      <c r="J20" s="209" t="s">
        <v>884</v>
      </c>
      <c r="K20" s="216">
        <f>SUMIFS(FNRP!$CD:$CD,FNRP!$CA:$CA,'Phan tich_BB'!J20,FNRP!$CC:$CC,'Phan tich_BB'!I20)*100000/10^9-SUM(SUMIFS(TB_HTM[Amt],TB_HTM[Tenor],J20,TB_HTM[Issuer],I20))/10^9</f>
        <v>565</v>
      </c>
      <c r="M20" s="41" t="s">
        <v>885</v>
      </c>
      <c r="N20" s="723">
        <f>SUMIFS(FNRP!BH:BH,FNRP!CA:CA,'Phan tich_BB'!M20)/10^9</f>
        <v>1.85</v>
      </c>
      <c r="O20" s="723">
        <f>SUMIFS(FNRP!BR:BR,FNRP!$CA:$CA,'Phan tich_BB'!M20)/10^9</f>
        <v>0</v>
      </c>
      <c r="P20" s="723">
        <f>SUMIFS(FNRP!BS:BS,FNRP!$CA:$CA,'Phan tich_BB'!M20)/10^9</f>
        <v>-10.0655</v>
      </c>
      <c r="Q20" s="724">
        <f t="shared" si="0"/>
        <v>-10.0655</v>
      </c>
      <c r="R20" s="585"/>
      <c r="AB20" s="209" t="s">
        <v>1071</v>
      </c>
      <c r="AC20" s="209" t="s">
        <v>884</v>
      </c>
      <c r="AD20" s="216" cm="1">
        <f t="array" ref="AD20">IFERROR((SUMPRODUCT(Bankingbook_MSB[Modified Duration]*Bankingbook_MSB[MARKET_VALUE]*(Bankingbook_MSB[Tenor]='Phan tich_BB'!AC20))-SUMIFS(TB_HTM[MDur*MV],TB_HTM[Tenor],'Phan tich_BB'!AC20))/(SUMIFS(Bankingbook_MSB[MARKET_VALUE],Bankingbook_MSB[Tenor],'Phan tich_BB'!AC20)-SUMIFS(TB_HTM[Market Value FNRP],TB_HTM[Tenor],'Phan tich_BB'!AC20)),0)</f>
        <v>9.4518354722738405</v>
      </c>
      <c r="AE20" s="58"/>
      <c r="AN20" s="220" t="s">
        <v>1069</v>
      </c>
      <c r="AO20" s="236" t="s">
        <v>884</v>
      </c>
      <c r="AP20" s="227">
        <f>SUM(SUMIFS(FNRP!$EN:$EN,FNRP!$FI:$FI,AO20))/10^9</f>
        <v>9034.0148716540007</v>
      </c>
      <c r="AW20" s="220" t="s">
        <v>1072</v>
      </c>
      <c r="AX20" s="209" t="s">
        <v>881</v>
      </c>
      <c r="AY20" s="241">
        <f>+SUM(SUMIFS(FNRP!$FQ:$FQ,FNRP!$FI:$FI,AX20))/10^9</f>
        <v>-6.4727113062284447</v>
      </c>
    </row>
    <row r="21" spans="6:51" x14ac:dyDescent="0.25">
      <c r="F21" s="209" t="s">
        <v>1050</v>
      </c>
      <c r="G21" s="220"/>
      <c r="H21" s="158" t="s">
        <v>906</v>
      </c>
      <c r="I21" s="158" t="s">
        <v>821</v>
      </c>
      <c r="J21" s="209" t="s">
        <v>885</v>
      </c>
      <c r="K21" s="216">
        <f>SUMIFS(FNRP!$CD:$CD,FNRP!$CA:$CA,'Phan tich_BB'!J21,FNRP!$CC:$CC,'Phan tich_BB'!I21)*100000/10^9-SUM(SUMIFS(TB_HTM[Amt],TB_HTM[Tenor],J21,TB_HTM[Issuer],I21))/10^9</f>
        <v>0</v>
      </c>
      <c r="M21" s="41" t="s">
        <v>886</v>
      </c>
      <c r="N21" s="723">
        <f>SUMIFS(FNRP!BH:BH,FNRP!CA:CA,'Phan tich_BB'!M21)/10^9</f>
        <v>146.786</v>
      </c>
      <c r="O21" s="723">
        <f>SUMIFS(FNRP!BR:BR,FNRP!$CA:$CA,'Phan tich_BB'!M21)/10^9</f>
        <v>117.37397</v>
      </c>
      <c r="P21" s="723">
        <f>SUMIFS(FNRP!BS:BS,FNRP!$CA:$CA,'Phan tich_BB'!M21)/10^9</f>
        <v>-182.79949999999997</v>
      </c>
      <c r="Q21" s="724">
        <f t="shared" si="0"/>
        <v>-65.425529999999966</v>
      </c>
      <c r="R21" s="585"/>
      <c r="AB21" s="209" t="s">
        <v>1071</v>
      </c>
      <c r="AC21" s="209" t="s">
        <v>885</v>
      </c>
      <c r="AD21" s="216" cm="1">
        <f t="array" ref="AD21">IFERROR((SUMPRODUCT(Bankingbook_MSB[Modified Duration]*Bankingbook_MSB[MARKET_VALUE]*(Bankingbook_MSB[Tenor]='Phan tich_BB'!AC21))-SUMIFS(TB_HTM[MDur*MV],TB_HTM[Tenor],'Phan tich_BB'!AC21))/(SUMIFS(Bankingbook_MSB[MARKET_VALUE],Bankingbook_MSB[Tenor],'Phan tich_BB'!AC21)-SUMIFS(TB_HTM[Market Value FNRP],TB_HTM[Tenor],'Phan tich_BB'!AC21)),0)</f>
        <v>11.7180954083719</v>
      </c>
      <c r="AE21" s="58"/>
      <c r="AN21" s="220" t="s">
        <v>1069</v>
      </c>
      <c r="AO21" s="236" t="s">
        <v>885</v>
      </c>
      <c r="AP21" s="227">
        <f>SUM(SUMIFS(FNRP!$EN:$EN,FNRP!$FI:$FI,AO21))/10^9</f>
        <v>44.808</v>
      </c>
      <c r="AW21" s="220" t="s">
        <v>1072</v>
      </c>
      <c r="AX21" s="209" t="s">
        <v>882</v>
      </c>
      <c r="AY21" s="241">
        <f>+SUM(SUMIFS(FNRP!$FQ:$FQ,FNRP!$FI:$FI,AX21))/10^9</f>
        <v>-318.94561238684247</v>
      </c>
    </row>
    <row r="22" spans="6:51" x14ac:dyDescent="0.3">
      <c r="F22" s="209" t="s">
        <v>1050</v>
      </c>
      <c r="G22" s="220"/>
      <c r="H22" s="158" t="s">
        <v>906</v>
      </c>
      <c r="I22" s="158" t="s">
        <v>821</v>
      </c>
      <c r="J22" s="209" t="s">
        <v>886</v>
      </c>
      <c r="K22" s="216">
        <f>SUMIFS(FNRP!$CD:$CD,FNRP!$CA:$CA,'Phan tich_BB'!J22,FNRP!$CC:$CC,'Phan tich_BB'!I22)*100000/10^9-SUM(SUMIFS(TB_HTM[Amt],TB_HTM[Tenor],J22,TB_HTM[Issuer],I22))/10^9</f>
        <v>0</v>
      </c>
      <c r="N22" s="725">
        <f>SUM(N11:N21)</f>
        <v>9533.3867065000013</v>
      </c>
      <c r="O22" s="725">
        <f>SUM(O11:O21)</f>
        <v>1533.3950518168247</v>
      </c>
      <c r="P22" s="725">
        <f>SUM(P11:P21)</f>
        <v>-2382.6526747114344</v>
      </c>
      <c r="Q22" s="725">
        <f>SUM(Q11:Q21)</f>
        <v>-849.25762289460954</v>
      </c>
      <c r="R22" s="266"/>
      <c r="AB22" s="209" t="s">
        <v>1071</v>
      </c>
      <c r="AC22" s="209" t="s">
        <v>886</v>
      </c>
      <c r="AD22" s="216" cm="1">
        <f t="array" ref="AD22">IFERROR((SUMPRODUCT(Bankingbook_MSB[Modified Duration]*Bankingbook_MSB[MARKET_VALUE]*(Bankingbook_MSB[Tenor]='Phan tich_BB'!AC22))-SUMIFS(TB_HTM[MDur*MV],TB_HTM[Tenor],'Phan tich_BB'!AC22))/(SUMIFS(Bankingbook_MSB[MARKET_VALUE],Bankingbook_MSB[Tenor],'Phan tich_BB'!AC22)-SUMIFS(TB_HTM[Market Value FNRP],TB_HTM[Tenor],'Phan tich_BB'!AC22)),0)</f>
        <v>15.0779556773807</v>
      </c>
      <c r="AE22" s="58"/>
      <c r="AN22" s="220" t="s">
        <v>1069</v>
      </c>
      <c r="AO22" s="236" t="s">
        <v>886</v>
      </c>
      <c r="AP22" s="227">
        <f>SUM(SUMIFS(FNRP!$EN:$EN,FNRP!$FI:$FI,AO22))/10^9</f>
        <v>553.98</v>
      </c>
      <c r="AW22" s="220" t="s">
        <v>1072</v>
      </c>
      <c r="AX22" s="209" t="s">
        <v>883</v>
      </c>
      <c r="AY22" s="241">
        <f>+SUM(SUMIFS(FNRP!$FQ:$FQ,FNRP!$FI:$FI,AX22))/10^9</f>
        <v>-358.77836478880579</v>
      </c>
    </row>
    <row r="23" spans="6:51" x14ac:dyDescent="0.3">
      <c r="F23" s="209" t="s">
        <v>1050</v>
      </c>
      <c r="G23" s="220"/>
      <c r="H23" s="158" t="s">
        <v>906</v>
      </c>
      <c r="I23" s="158" t="s">
        <v>905</v>
      </c>
      <c r="J23" s="209" t="s">
        <v>877</v>
      </c>
      <c r="K23" s="216" cm="1">
        <f t="array" ref="K23">SUM(SUMIFS(FNRP!$CD:$CD,FNRP!$CA:$CA,{"3M","6M","1Y"},FNRP!$CC:$CC,'Phan tich_BB'!I23))*100000/10^9-SUM(SUMIFS(TB_HTM[Amt],TB_HTM[Tenor],{"3M","6M","1Y"},TB_HTM[Issuer],I23))/10^9</f>
        <v>0</v>
      </c>
      <c r="N23" s="534">
        <f>SUM(FNRP!BH:BH)/10^9-N22</f>
        <v>0</v>
      </c>
      <c r="O23" s="534">
        <f>SUM(FNRP!BR:BR)/10^9-'Phan tich_BB'!O22</f>
        <v>0</v>
      </c>
      <c r="P23" s="534">
        <f>SUM(FNRP!BS:BS)/10^9-'Phan tich_BB'!P22</f>
        <v>0</v>
      </c>
      <c r="Q23" s="534">
        <f>SUM(FNRP!BR:BS)/10^9-Q22</f>
        <v>0</v>
      </c>
      <c r="R23" s="229"/>
      <c r="AB23" s="209" t="s">
        <v>854</v>
      </c>
      <c r="AC23" s="222"/>
      <c r="AD23" s="221">
        <f>SUMPRODUCT(Bankingbook_MSB[Conv],Bankingbook_MSB[MARKET_VALUE])/SUM(Bankingbook_MSB[MARKET_VALUE])</f>
        <v>91.337442392056928</v>
      </c>
      <c r="AE23" s="54"/>
      <c r="AN23" s="220"/>
      <c r="AO23" s="236"/>
      <c r="AP23" s="235">
        <f>SUMIFS(FNRP!FL:FL,FNRP!FH:FH, "&gt;"&amp;20.5)/SUM(FNRP!FL:FL)*100</f>
        <v>2.3146977136145117</v>
      </c>
      <c r="AW23" s="220" t="s">
        <v>1072</v>
      </c>
      <c r="AX23" s="209" t="s">
        <v>884</v>
      </c>
      <c r="AY23" s="241">
        <f>+SUM(SUMIFS(FNRP!$FQ:$FQ,FNRP!$FI:$FI,AX23))/10^9</f>
        <v>-822.74898905459293</v>
      </c>
    </row>
    <row r="24" spans="6:51" x14ac:dyDescent="0.3">
      <c r="F24" s="209" t="s">
        <v>1050</v>
      </c>
      <c r="G24" s="220"/>
      <c r="H24" s="158" t="s">
        <v>906</v>
      </c>
      <c r="I24" s="158" t="s">
        <v>905</v>
      </c>
      <c r="J24" s="209" t="s">
        <v>878</v>
      </c>
      <c r="K24" s="216">
        <f>SUMIFS(FNRP!$CD:$CD,FNRP!$CA:$CA,'Phan tich_BB'!J24,FNRP!$CC:$CC,'Phan tich_BB'!I24)*100000/10^9-SUM(SUMIFS(TB_HTM[Amt],TB_HTM[Tenor],J24,TB_HTM[Issuer],I24))/10^9</f>
        <v>500</v>
      </c>
      <c r="N24" s="530"/>
      <c r="O24" s="530"/>
      <c r="P24" s="530"/>
      <c r="Q24" s="530"/>
      <c r="AB24" s="209" t="s">
        <v>854</v>
      </c>
      <c r="AC24" s="209" t="s">
        <v>877</v>
      </c>
      <c r="AD24" s="216">
        <f>IFERROR(SUMPRODUCT(Bankingbook_MSB[Conv]*Bankingbook_MSB[MARKET_VALUE]*(Bankingbook_MSB[Tenor]='Phan tich_BB'!AC13))/SUMIFS(Bankingbook_MSB[MARKET_VALUE],Bankingbook_MSB[Tenor],'Phan tich_BB'!AC13),0)</f>
        <v>0</v>
      </c>
      <c r="AE24" s="58"/>
      <c r="AW24" s="220" t="s">
        <v>1072</v>
      </c>
      <c r="AX24" s="209" t="s">
        <v>885</v>
      </c>
      <c r="AY24" s="241">
        <f>+SUM(SUMIFS(FNRP!$FQ:$FQ,FNRP!$FI:$FI,AX24))/10^9</f>
        <v>-4.9303284943109906</v>
      </c>
    </row>
    <row r="25" spans="6:51" x14ac:dyDescent="0.3">
      <c r="F25" s="209" t="s">
        <v>1050</v>
      </c>
      <c r="G25" s="220"/>
      <c r="H25" s="158" t="s">
        <v>906</v>
      </c>
      <c r="I25" s="158" t="s">
        <v>905</v>
      </c>
      <c r="J25" s="209" t="s">
        <v>879</v>
      </c>
      <c r="K25" s="216">
        <f>SUMIFS(FNRP!$CD:$CD,FNRP!$CA:$CA,'Phan tich_BB'!J25,FNRP!$CC:$CC,'Phan tich_BB'!I25)*100000/10^9-SUM(SUMIFS(TB_HTM[Amt],TB_HTM[Tenor],J25,TB_HTM[Issuer],I25))/10^9</f>
        <v>0</v>
      </c>
      <c r="M25" s="261" t="s">
        <v>876</v>
      </c>
      <c r="N25" s="726" t="s">
        <v>3688</v>
      </c>
      <c r="O25" s="807" t="s">
        <v>3689</v>
      </c>
      <c r="P25" s="530"/>
      <c r="Q25" s="530"/>
      <c r="AB25" s="209" t="s">
        <v>854</v>
      </c>
      <c r="AC25" s="209" t="s">
        <v>878</v>
      </c>
      <c r="AD25" s="216">
        <f>IFERROR(SUMPRODUCT(Bankingbook_MSB[Conv]*Bankingbook_MSB[MARKET_VALUE]*(Bankingbook_MSB[Tenor]='Phan tich_BB'!AC14))/SUMIFS(Bankingbook_MSB[MARKET_VALUE],Bankingbook_MSB[Tenor],'Phan tich_BB'!AC14),0)</f>
        <v>6.4903326671697865</v>
      </c>
      <c r="AE25" s="58"/>
      <c r="AW25" s="220" t="s">
        <v>1072</v>
      </c>
      <c r="AX25" s="209" t="s">
        <v>886</v>
      </c>
      <c r="AY25" s="241">
        <f>+SUM(SUMIFS(FNRP!$FQ:$FQ,FNRP!$FI:$FI,AX25))/10^9</f>
        <v>-75.888294475005651</v>
      </c>
    </row>
    <row r="26" spans="6:51" x14ac:dyDescent="0.3">
      <c r="F26" s="209" t="s">
        <v>1050</v>
      </c>
      <c r="G26" s="220"/>
      <c r="H26" s="158" t="s">
        <v>906</v>
      </c>
      <c r="I26" s="158" t="s">
        <v>905</v>
      </c>
      <c r="J26" s="209" t="s">
        <v>880</v>
      </c>
      <c r="K26" s="216">
        <f>SUMIFS(FNRP!$CD:$CD,FNRP!$CA:$CA,'Phan tich_BB'!J26,FNRP!$CC:$CC,'Phan tich_BB'!I26)*100000/10^9-SUM(SUMIFS(TB_HTM[Amt],TB_HTM[Tenor],J26,TB_HTM[Issuer],I26))/10^9</f>
        <v>0</v>
      </c>
      <c r="M26" s="91"/>
      <c r="N26" s="724">
        <f>SUM(RP_SEC!AN:AN)/10^9</f>
        <v>-2506.9229978230001</v>
      </c>
      <c r="O26" s="724">
        <f>SUM(RP_SEC!AT:AT)/10^9-SUM(TB_HTM[ItD])/10^9</f>
        <v>-1747.8686982300464</v>
      </c>
      <c r="P26" s="530"/>
      <c r="Q26" s="530"/>
      <c r="AB26" s="209" t="s">
        <v>854</v>
      </c>
      <c r="AC26" s="209" t="s">
        <v>879</v>
      </c>
      <c r="AD26" s="216">
        <f>IFERROR(SUMPRODUCT(Bankingbook_MSB[Conv]*Bankingbook_MSB[MARKET_VALUE]*(Bankingbook_MSB[Tenor]='Phan tich_BB'!AC15))/SUMIFS(Bankingbook_MSB[MARKET_VALUE],Bankingbook_MSB[Tenor],'Phan tich_BB'!AC15),0)</f>
        <v>11.416804014547091</v>
      </c>
      <c r="AE26" s="58"/>
    </row>
    <row r="27" spans="6:51" x14ac:dyDescent="0.3">
      <c r="F27" s="209" t="s">
        <v>1050</v>
      </c>
      <c r="G27" s="220"/>
      <c r="H27" s="158" t="s">
        <v>906</v>
      </c>
      <c r="I27" s="158" t="s">
        <v>905</v>
      </c>
      <c r="J27" s="209" t="s">
        <v>881</v>
      </c>
      <c r="K27" s="216">
        <f>SUMIFS(FNRP!$CD:$CD,FNRP!$CA:$CA,'Phan tich_BB'!J27,FNRP!$CC:$CC,'Phan tich_BB'!I27)*100000/10^9-SUM(SUMIFS(TB_HTM[Amt],TB_HTM[Tenor],J27,TB_HTM[Issuer],I27))/10^9</f>
        <v>0</v>
      </c>
      <c r="M27" s="236" t="s">
        <v>915</v>
      </c>
      <c r="N27" s="724">
        <f>SUMIFS(RP_SEC!AN:AN,RP_SEC!AX:AX,'Phan tich_BB'!M27)/10^9</f>
        <v>-14.654999999999999</v>
      </c>
      <c r="O27" s="724">
        <f>SUMIFS(RP_SEC!AT:AT,RP_SEC!AX:AX,M27)/10^9-SUMIFS(TB_HTM[ItD],TB_HTM[Tenor],M27)/10^9</f>
        <v>0</v>
      </c>
      <c r="P27" s="530"/>
      <c r="Q27" s="530"/>
      <c r="AB27" s="209" t="s">
        <v>854</v>
      </c>
      <c r="AC27" s="209" t="s">
        <v>880</v>
      </c>
      <c r="AD27" s="216">
        <f>IFERROR(SUMPRODUCT(Bankingbook_MSB[Conv]*Bankingbook_MSB[MARKET_VALUE]*(Bankingbook_MSB[Tenor]='Phan tich_BB'!AC16))/SUMIFS(Bankingbook_MSB[MARKET_VALUE],Bankingbook_MSB[Tenor],'Phan tich_BB'!AC16),0)</f>
        <v>16.247421048150059</v>
      </c>
      <c r="AE27" s="58"/>
    </row>
    <row r="28" spans="6:51" x14ac:dyDescent="0.3">
      <c r="F28" s="209" t="s">
        <v>1050</v>
      </c>
      <c r="G28" s="220"/>
      <c r="H28" s="158" t="s">
        <v>906</v>
      </c>
      <c r="I28" s="158" t="s">
        <v>905</v>
      </c>
      <c r="J28" s="209" t="s">
        <v>882</v>
      </c>
      <c r="K28" s="216">
        <f>SUMIFS(FNRP!$CD:$CD,FNRP!$CA:$CA,'Phan tich_BB'!J28,FNRP!$CC:$CC,'Phan tich_BB'!I28)*100000/10^9-SUM(SUMIFS(TB_HTM[Amt],TB_HTM[Tenor],J28,TB_HTM[Issuer],I28))/10^9</f>
        <v>0</v>
      </c>
      <c r="M28" s="236" t="s">
        <v>917</v>
      </c>
      <c r="N28" s="724">
        <f>SUMIFS(RP_SEC!AN:AN,RP_SEC!AX:AX,'Phan tich_BB'!M28)/10^9</f>
        <v>-42.609000000000002</v>
      </c>
      <c r="O28" s="724">
        <f>SUMIFS(RP_SEC!AT:AT,RP_SEC!AX:AX,M28)/10^9-SUMIFS(TB_HTM[ItD],TB_HTM[Tenor],M28)/10^9</f>
        <v>0</v>
      </c>
      <c r="P28" s="530"/>
      <c r="Q28" s="530"/>
      <c r="AB28" s="209" t="s">
        <v>854</v>
      </c>
      <c r="AC28" s="209" t="s">
        <v>881</v>
      </c>
      <c r="AD28" s="216">
        <f>IFERROR(SUMPRODUCT(Bankingbook_MSB[Conv]*Bankingbook_MSB[MARKET_VALUE]*(Bankingbook_MSB[Tenor]='Phan tich_BB'!AC17))/SUMIFS(Bankingbook_MSB[MARKET_VALUE],Bankingbook_MSB[Tenor],'Phan tich_BB'!AC17),0)</f>
        <v>22.912425491286196</v>
      </c>
      <c r="AE28" s="58"/>
    </row>
    <row r="29" spans="6:51" x14ac:dyDescent="0.25">
      <c r="F29" s="209" t="s">
        <v>1050</v>
      </c>
      <c r="G29" s="220"/>
      <c r="H29" s="158" t="s">
        <v>906</v>
      </c>
      <c r="I29" s="158" t="s">
        <v>905</v>
      </c>
      <c r="J29" s="209" t="s">
        <v>883</v>
      </c>
      <c r="K29" s="216">
        <f>SUMIFS(FNRP!$CD:$CD,FNRP!$CA:$CA,'Phan tich_BB'!J29,FNRP!$CC:$CC,'Phan tich_BB'!I29)*100000/10^9-SUM(SUMIFS(TB_HTM[Amt],TB_HTM[Tenor],J29,TB_HTM[Issuer],I29))/10^9</f>
        <v>0</v>
      </c>
      <c r="M29" s="260" t="s">
        <v>877</v>
      </c>
      <c r="N29" s="724">
        <f>SUMIFS(RP_SEC!AN:AN,RP_SEC!AX:AX,'Phan tich_BB'!M29)/10^9</f>
        <v>0</v>
      </c>
      <c r="O29" s="724">
        <f>SUMIFS(RP_SEC!AT:AT,RP_SEC!AX:AX,M29)/10^9-SUMIFS(TB_HTM[ItD],TB_HTM[Tenor],M29)/10^9</f>
        <v>0</v>
      </c>
      <c r="P29" s="530"/>
      <c r="Q29" s="530"/>
      <c r="AB29" s="209" t="s">
        <v>854</v>
      </c>
      <c r="AC29" s="209" t="s">
        <v>882</v>
      </c>
      <c r="AD29" s="216">
        <f>IFERROR(SUMPRODUCT(Bankingbook_MSB[Conv]*Bankingbook_MSB[MARKET_VALUE]*(Bankingbook_MSB[Tenor]='Phan tich_BB'!AC18))/SUMIFS(Bankingbook_MSB[MARKET_VALUE],Bankingbook_MSB[Tenor],'Phan tich_BB'!AC18),0)</f>
        <v>43.745062329477946</v>
      </c>
      <c r="AE29" s="58"/>
    </row>
    <row r="30" spans="6:51" x14ac:dyDescent="0.25">
      <c r="F30" s="209" t="s">
        <v>1050</v>
      </c>
      <c r="G30" s="220"/>
      <c r="H30" s="158" t="s">
        <v>906</v>
      </c>
      <c r="I30" s="158" t="s">
        <v>905</v>
      </c>
      <c r="J30" s="209" t="s">
        <v>884</v>
      </c>
      <c r="K30" s="216">
        <f>SUMIFS(FNRP!$CD:$CD,FNRP!$CA:$CA,'Phan tich_BB'!J30,FNRP!$CC:$CC,'Phan tich_BB'!I30)*100000/10^9-SUM(SUMIFS(TB_HTM[Amt],TB_HTM[Tenor],J30,TB_HTM[Issuer],I30))/10^9</f>
        <v>137</v>
      </c>
      <c r="M30" s="260" t="s">
        <v>878</v>
      </c>
      <c r="N30" s="724">
        <f>SUMIFS(RP_SEC!AN:AN,RP_SEC!AX:AX,'Phan tich_BB'!M30)/10^9</f>
        <v>-35.753999999999998</v>
      </c>
      <c r="O30" s="724">
        <f>SUMIFS(RP_SEC!AT:AT,RP_SEC!AX:AX,M30)/10^9-SUMIFS(TB_HTM[ItD],TB_HTM[Tenor],M30)/10^9</f>
        <v>-24.604833913181665</v>
      </c>
      <c r="P30" s="530"/>
      <c r="Q30" s="530"/>
      <c r="AB30" s="209" t="s">
        <v>854</v>
      </c>
      <c r="AC30" s="209" t="s">
        <v>883</v>
      </c>
      <c r="AD30" s="216">
        <f>IFERROR(SUMPRODUCT(Bankingbook_MSB[Conv]*Bankingbook_MSB[MARKET_VALUE]*(Bankingbook_MSB[Tenor]='Phan tich_BB'!AC19))/SUMIFS(Bankingbook_MSB[MARKET_VALUE],Bankingbook_MSB[Tenor],'Phan tich_BB'!AC19),0)</f>
        <v>62.290852119618783</v>
      </c>
      <c r="AE30" s="58"/>
    </row>
    <row r="31" spans="6:51" x14ac:dyDescent="0.25">
      <c r="F31" s="209" t="s">
        <v>1050</v>
      </c>
      <c r="G31" s="220"/>
      <c r="H31" s="158" t="s">
        <v>906</v>
      </c>
      <c r="I31" s="158" t="s">
        <v>905</v>
      </c>
      <c r="J31" s="209" t="s">
        <v>885</v>
      </c>
      <c r="K31" s="216">
        <f>SUMIFS(FNRP!$CD:$CD,FNRP!$CA:$CA,'Phan tich_BB'!J31,FNRP!$CC:$CC,'Phan tich_BB'!I31)*100000/10^9-SUM(SUMIFS(TB_HTM[Amt],TB_HTM[Tenor],J31,TB_HTM[Issuer],I31))/10^9</f>
        <v>0</v>
      </c>
      <c r="M31" s="260" t="s">
        <v>879</v>
      </c>
      <c r="N31" s="724">
        <f>SUMIFS(RP_SEC!AN:AN,RP_SEC!AX:AX,'Phan tich_BB'!M31)/10^9</f>
        <v>-22.890765814000002</v>
      </c>
      <c r="O31" s="724">
        <f>SUMIFS(RP_SEC!AT:AT,RP_SEC!AX:AX,M31)/10^9-SUMIFS(TB_HTM[ItD],TB_HTM[Tenor],M31)/10^9</f>
        <v>-11.034167300779941</v>
      </c>
      <c r="P31" s="530"/>
      <c r="Q31" s="530"/>
      <c r="AB31" s="209" t="s">
        <v>854</v>
      </c>
      <c r="AC31" s="209" t="s">
        <v>884</v>
      </c>
      <c r="AD31" s="216">
        <f>IFERROR(SUMPRODUCT(Bankingbook_MSB[Conv]*Bankingbook_MSB[MARKET_VALUE]*(Bankingbook_MSB[Tenor]='Phan tich_BB'!AC20))/SUMIFS(Bankingbook_MSB[MARKET_VALUE],Bankingbook_MSB[Tenor],'Phan tich_BB'!AC20),0)</f>
        <v>112.92542191193968</v>
      </c>
      <c r="AE31" s="58"/>
    </row>
    <row r="32" spans="6:51" x14ac:dyDescent="0.25">
      <c r="F32" s="209" t="s">
        <v>1050</v>
      </c>
      <c r="G32" s="220"/>
      <c r="H32" s="158" t="s">
        <v>906</v>
      </c>
      <c r="I32" s="158" t="s">
        <v>905</v>
      </c>
      <c r="J32" s="209" t="s">
        <v>886</v>
      </c>
      <c r="K32" s="216">
        <f>SUMIFS(FNRP!$CD:$CD,FNRP!$CA:$CA,'Phan tich_BB'!J32,FNRP!$CC:$CC,'Phan tich_BB'!I32)*100000/10^9-SUM(SUMIFS(TB_HTM[Amt],TB_HTM[Tenor],J23,TB_HTM[Issuer],I32))/10^9</f>
        <v>0</v>
      </c>
      <c r="M32" s="260" t="s">
        <v>880</v>
      </c>
      <c r="N32" s="724">
        <f>SUMIFS(RP_SEC!AN:AN,RP_SEC!AX:AX,'Phan tich_BB'!M32)/10^9</f>
        <v>-42.722859999999997</v>
      </c>
      <c r="O32" s="724">
        <f>SUMIFS(RP_SEC!AT:AT,RP_SEC!AX:AX,M32)/10^9-SUMIFS(TB_HTM[ItD],TB_HTM[Tenor],M32)/10^9</f>
        <v>-22.825166460088539</v>
      </c>
      <c r="P32" s="530"/>
      <c r="Q32" s="530"/>
      <c r="AB32" s="209" t="s">
        <v>854</v>
      </c>
      <c r="AC32" s="209" t="s">
        <v>885</v>
      </c>
      <c r="AD32" s="216">
        <f>IFERROR(SUMPRODUCT(Bankingbook_MSB[Conv]*Bankingbook_MSB[MARKET_VALUE]*(Bankingbook_MSB[Tenor]='Phan tich_BB'!AC21))/SUMIFS(Bankingbook_MSB[MARKET_VALUE],Bankingbook_MSB[Tenor],'Phan tich_BB'!AC21),0)</f>
        <v>177.51287295957289</v>
      </c>
      <c r="AE32" s="58"/>
    </row>
    <row r="33" spans="6:30" x14ac:dyDescent="0.25">
      <c r="F33" s="209" t="s">
        <v>1050</v>
      </c>
      <c r="G33" s="220"/>
      <c r="H33" s="220" t="s">
        <v>894</v>
      </c>
      <c r="I33" s="220" t="s">
        <v>894</v>
      </c>
      <c r="J33" s="209" t="s">
        <v>877</v>
      </c>
      <c r="K33" s="216">
        <f>SUM(SUMIFS(FNRP!$CD:$CD,FNRP!$CA:$CA,{"3M","6M","1Y"},FNRP!$CB:$CB,'Phan tich_BB'!H33))*100000/10^9</f>
        <v>0</v>
      </c>
      <c r="M33" s="260" t="s">
        <v>881</v>
      </c>
      <c r="N33" s="724">
        <f>SUMIFS(RP_SEC!AN:AN,RP_SEC!AX:AX,'Phan tich_BB'!M33)/10^9</f>
        <v>-3.9996</v>
      </c>
      <c r="O33" s="724">
        <f>SUMIFS(RP_SEC!AT:AT,RP_SEC!AX:AX,M33)/10^9-SUMIFS(TB_HTM[ItD],TB_HTM[Tenor],M33)/10^9</f>
        <v>-4.2300555830581148</v>
      </c>
      <c r="P33" s="530"/>
      <c r="Q33" s="530"/>
      <c r="AB33" s="209" t="s">
        <v>854</v>
      </c>
      <c r="AC33" s="209" t="s">
        <v>886</v>
      </c>
      <c r="AD33" s="216">
        <f>IFERROR(SUMPRODUCT(Bankingbook_MSB[Conv]*Bankingbook_MSB[MARKET_VALUE]*(Bankingbook_MSB[Tenor]='Phan tich_BB'!AC22))/SUMIFS(Bankingbook_MSB[MARKET_VALUE],Bankingbook_MSB[Tenor],'Phan tich_BB'!AC22),0)</f>
        <v>325.46127060580602</v>
      </c>
    </row>
    <row r="34" spans="6:30" x14ac:dyDescent="0.25">
      <c r="F34" s="209" t="s">
        <v>1050</v>
      </c>
      <c r="G34" s="220"/>
      <c r="H34" s="220" t="s">
        <v>894</v>
      </c>
      <c r="I34" s="220" t="s">
        <v>894</v>
      </c>
      <c r="J34" s="209" t="s">
        <v>878</v>
      </c>
      <c r="K34" s="216">
        <f>SUMIFS(FNRP!$CD:$CD,FNRP!$CA:$CA,'Phan tich_BB'!J34,FNRP!$CB:$CB,'Phan tich_BB'!H34)*100000/10^9</f>
        <v>0</v>
      </c>
      <c r="M34" s="260" t="s">
        <v>882</v>
      </c>
      <c r="N34" s="724">
        <f>SUMIFS(RP_SEC!AN:AN,RP_SEC!AX:AX,'Phan tich_BB'!M34)/10^9</f>
        <v>-299.14</v>
      </c>
      <c r="O34" s="724">
        <f>SUMIFS(RP_SEC!AT:AT,RP_SEC!AX:AX,M34)/10^9-SUMIFS(TB_HTM[ItD],TB_HTM[Tenor],M34)/10^9</f>
        <v>-154.72165914825518</v>
      </c>
      <c r="P34" s="530"/>
      <c r="Q34" s="530"/>
    </row>
    <row r="35" spans="6:30" x14ac:dyDescent="0.25">
      <c r="F35" s="209" t="s">
        <v>1050</v>
      </c>
      <c r="G35" s="220"/>
      <c r="H35" s="220" t="s">
        <v>894</v>
      </c>
      <c r="I35" s="220" t="s">
        <v>894</v>
      </c>
      <c r="J35" s="209" t="s">
        <v>879</v>
      </c>
      <c r="K35" s="216">
        <f>SUMIFS(FNRP!$CD:$CD,FNRP!$CA:$CA,'Phan tich_BB'!J35,FNRP!$CB:$CB,'Phan tich_BB'!H35)*100000/10^9</f>
        <v>0</v>
      </c>
      <c r="M35" s="260" t="s">
        <v>883</v>
      </c>
      <c r="N35" s="724">
        <f>SUMIFS(RP_SEC!AN:AN,RP_SEC!AX:AX,'Phan tich_BB'!M35)/10^9</f>
        <v>-237.81515999999999</v>
      </c>
      <c r="O35" s="724">
        <f>SUMIFS(RP_SEC!AT:AT,RP_SEC!AX:AX,M35)/10^9-SUMIFS(TB_HTM[ItD],TB_HTM[Tenor],M35)/10^9</f>
        <v>-155.66975289038785</v>
      </c>
      <c r="P35" s="530"/>
      <c r="Q35" s="530"/>
    </row>
    <row r="36" spans="6:30" x14ac:dyDescent="0.25">
      <c r="F36" s="209" t="s">
        <v>1050</v>
      </c>
      <c r="G36" s="220"/>
      <c r="H36" s="220" t="s">
        <v>894</v>
      </c>
      <c r="I36" s="220" t="s">
        <v>894</v>
      </c>
      <c r="J36" s="209" t="s">
        <v>880</v>
      </c>
      <c r="K36" s="216">
        <f>SUMIFS(FNRP!$CD:$CD,FNRP!$CA:$CA,'Phan tich_BB'!J36,FNRP!$CB:$CB,'Phan tich_BB'!H36)*100000/10^9</f>
        <v>0</v>
      </c>
      <c r="M36" s="260" t="s">
        <v>884</v>
      </c>
      <c r="N36" s="724">
        <f>SUMIFS(RP_SEC!AN:AN,RP_SEC!AX:AX,'Phan tich_BB'!M36)/10^9</f>
        <v>-1614.4781120089999</v>
      </c>
      <c r="O36" s="724">
        <f>SUMIFS(RP_SEC!AT:AT,RP_SEC!AX:AX,M36)/10^9-SUMIFS(TB_HTM[ItD],TB_HTM[Tenor],M36)/10^9</f>
        <v>-1189.4461365830621</v>
      </c>
      <c r="P36" s="530"/>
      <c r="Q36" s="530"/>
    </row>
    <row r="37" spans="6:30" x14ac:dyDescent="0.25">
      <c r="F37" s="209" t="s">
        <v>1050</v>
      </c>
      <c r="G37" s="220"/>
      <c r="H37" s="220" t="s">
        <v>894</v>
      </c>
      <c r="I37" s="220" t="s">
        <v>894</v>
      </c>
      <c r="J37" s="209" t="s">
        <v>881</v>
      </c>
      <c r="K37" s="216">
        <f>SUMIFS(FNRP!$CD:$CD,FNRP!$CA:$CA,'Phan tich_BB'!J37,FNRP!$CB:$CB,'Phan tich_BB'!H37)*100000/10^9</f>
        <v>0</v>
      </c>
      <c r="M37" s="260" t="s">
        <v>885</v>
      </c>
      <c r="N37" s="724">
        <f>SUMIFS(RP_SEC!AN:AN,RP_SEC!AX:AX,'Phan tich_BB'!M37)/10^9</f>
        <v>-10.065</v>
      </c>
      <c r="O37" s="724">
        <f>SUMIFS(RP_SEC!AT:AT,RP_SEC!AX:AX,M37)/10^9-SUMIFS(TB_HTM[ItD],TB_HTM[Tenor],M37)/10^9</f>
        <v>-9.8757117830352215</v>
      </c>
      <c r="P37" s="530"/>
      <c r="Q37" s="530"/>
    </row>
    <row r="38" spans="6:30" x14ac:dyDescent="0.25">
      <c r="F38" s="209" t="s">
        <v>1050</v>
      </c>
      <c r="G38" s="220"/>
      <c r="H38" s="220" t="s">
        <v>894</v>
      </c>
      <c r="I38" s="220" t="s">
        <v>894</v>
      </c>
      <c r="J38" s="209" t="s">
        <v>882</v>
      </c>
      <c r="K38" s="216">
        <f>SUMIFS(FNRP!$CD:$CD,FNRP!$CA:$CA,'Phan tich_BB'!J38,FNRP!$CB:$CB,'Phan tich_BB'!H38)*100000/10^9</f>
        <v>0</v>
      </c>
      <c r="M38" s="260" t="s">
        <v>886</v>
      </c>
      <c r="N38" s="724">
        <f>SUMIFS(RP_SEC!AN:AN,RP_SEC!AX:AX,'Phan tich_BB'!M38)/10^9</f>
        <v>-182.79349999999999</v>
      </c>
      <c r="O38" s="724">
        <f>SUMIFS(RP_SEC!AT:AT,RP_SEC!AX:AX,M38)/10^9-SUMIFS(TB_HTM[ItD],TB_HTM[Tenor],M38)/10^9</f>
        <v>-175.46121456819873</v>
      </c>
      <c r="P38" s="530"/>
      <c r="Q38" s="530"/>
    </row>
    <row r="39" spans="6:30" x14ac:dyDescent="0.3">
      <c r="F39" s="209" t="s">
        <v>1050</v>
      </c>
      <c r="G39" s="220"/>
      <c r="H39" s="220" t="s">
        <v>894</v>
      </c>
      <c r="I39" s="220" t="s">
        <v>894</v>
      </c>
      <c r="J39" s="209" t="s">
        <v>883</v>
      </c>
      <c r="K39" s="216">
        <f>SUMIFS(FNRP!$CD:$CD,FNRP!$CA:$CA,'Phan tich_BB'!J39,FNRP!$CB:$CB,'Phan tich_BB'!H39)*100000/10^9</f>
        <v>0</v>
      </c>
      <c r="N39" s="530"/>
      <c r="O39" s="530"/>
      <c r="P39" s="530"/>
      <c r="Q39" s="530"/>
    </row>
    <row r="40" spans="6:30" x14ac:dyDescent="0.3">
      <c r="F40" s="209" t="s">
        <v>1050</v>
      </c>
      <c r="G40" s="220"/>
      <c r="H40" s="220" t="s">
        <v>894</v>
      </c>
      <c r="I40" s="220" t="s">
        <v>894</v>
      </c>
      <c r="J40" s="209" t="s">
        <v>884</v>
      </c>
      <c r="K40" s="216">
        <f>SUMIFS(FNRP!$CD:$CD,FNRP!$CA:$CA,'Phan tich_BB'!J40,FNRP!$CB:$CB,'Phan tich_BB'!H40)*100000/10^9</f>
        <v>0</v>
      </c>
      <c r="N40" s="530"/>
      <c r="O40" s="530"/>
      <c r="P40" s="530"/>
      <c r="Q40" s="530"/>
    </row>
    <row r="41" spans="6:30" x14ac:dyDescent="0.3">
      <c r="F41" s="209" t="s">
        <v>1050</v>
      </c>
      <c r="G41" s="220"/>
      <c r="H41" s="220" t="s">
        <v>894</v>
      </c>
      <c r="I41" s="220" t="s">
        <v>894</v>
      </c>
      <c r="J41" s="209" t="s">
        <v>885</v>
      </c>
      <c r="K41" s="216">
        <f>SUMIFS(FNRP!$CD:$CD,FNRP!$CA:$CA,'Phan tich_BB'!J41,FNRP!$CB:$CB,'Phan tich_BB'!H41)*100000/10^9</f>
        <v>0</v>
      </c>
      <c r="N41" s="530"/>
      <c r="O41" s="530"/>
      <c r="P41" s="530"/>
      <c r="Q41" s="530"/>
    </row>
    <row r="42" spans="6:30" x14ac:dyDescent="0.3">
      <c r="F42" s="209" t="s">
        <v>1050</v>
      </c>
      <c r="G42" s="220"/>
      <c r="H42" s="220" t="s">
        <v>894</v>
      </c>
      <c r="I42" s="220" t="s">
        <v>894</v>
      </c>
      <c r="J42" s="209" t="s">
        <v>886</v>
      </c>
      <c r="K42" s="216">
        <f>SUMIFS(FNRP!$CD:$CD,FNRP!$CA:$CA,'Phan tich_BB'!J42,FNRP!$CB:$CB,'Phan tich_BB'!H42)*100000/10^9</f>
        <v>0</v>
      </c>
      <c r="N42" s="530"/>
      <c r="O42" s="530"/>
      <c r="P42" s="530"/>
      <c r="Q42" s="530"/>
    </row>
    <row r="43" spans="6:30" x14ac:dyDescent="0.3">
      <c r="F43" s="101" t="s">
        <v>2255</v>
      </c>
      <c r="G43" s="220"/>
      <c r="H43" s="220"/>
      <c r="I43" s="220"/>
      <c r="J43" s="220"/>
      <c r="K43" s="235">
        <f>SUMIFS(FNRP!CD:CD,FNRP!BZ:BZ, "&gt;"&amp;20.5)/SUM(FNRP!CD:CD)*100</f>
        <v>3.9932616903584552</v>
      </c>
      <c r="N43" s="530"/>
      <c r="O43" s="530"/>
      <c r="P43" s="530"/>
      <c r="Q43" s="530"/>
    </row>
    <row r="44" spans="6:30" x14ac:dyDescent="0.3">
      <c r="F44" s="101" t="s">
        <v>2369</v>
      </c>
      <c r="G44" s="158" t="s">
        <v>1064</v>
      </c>
      <c r="H44" s="209" t="s">
        <v>894</v>
      </c>
      <c r="I44" s="209"/>
      <c r="J44" s="209"/>
      <c r="K44" s="216">
        <f>SUMIFS(FNRP!CD:CD,FNRP!CB:CB,'Phan tich_BB'!H44)*10^5/10^9</f>
        <v>0</v>
      </c>
    </row>
  </sheetData>
  <pageMargins left="0.7" right="0.7" top="0.75" bottom="0.75" header="0.3" footer="0.3"/>
  <pageSetup orientation="portrait" r:id="rId1"/>
  <ignoredErrors>
    <ignoredError sqref="AY2" formula="1"/>
  </ignoredError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94A15-8324-467A-9174-4223BCF50EEF}">
  <sheetPr codeName="Sheet9"/>
  <dimension ref="A1:BW135"/>
  <sheetViews>
    <sheetView showGridLines="0" workbookViewId="0">
      <pane ySplit="1" topLeftCell="A2" activePane="bottomLeft" state="frozen"/>
      <selection pane="bottomLeft" activeCell="H18" sqref="H18"/>
    </sheetView>
  </sheetViews>
  <sheetFormatPr defaultColWidth="9.09765625" defaultRowHeight="14.4" x14ac:dyDescent="0.3"/>
  <cols>
    <col min="1" max="2" width="12.69921875" style="474" customWidth="1"/>
    <col min="3" max="4" width="19.09765625" style="474" customWidth="1"/>
    <col min="5" max="5" width="18.09765625" style="474" bestFit="1" customWidth="1"/>
    <col min="6" max="6" width="16.59765625" style="474" customWidth="1"/>
    <col min="7" max="7" width="16.8984375" style="128" customWidth="1"/>
    <col min="8" max="9" width="17.69921875" style="128" customWidth="1"/>
    <col min="10" max="10" width="15.3984375" style="128" customWidth="1"/>
    <col min="11" max="11" width="14.3984375" style="11" bestFit="1" customWidth="1"/>
    <col min="12" max="12" width="8.296875" style="11" bestFit="1" customWidth="1"/>
    <col min="13" max="13" width="7.296875" style="128" bestFit="1" customWidth="1"/>
    <col min="14" max="14" width="13.8984375" style="375" bestFit="1" customWidth="1"/>
    <col min="15" max="16" width="10.69921875" style="375" bestFit="1" customWidth="1"/>
    <col min="17" max="17" width="9.296875" style="128" bestFit="1" customWidth="1"/>
    <col min="18" max="18" width="10.59765625" style="128" bestFit="1" customWidth="1"/>
    <col min="19" max="19" width="13.3984375" style="128" bestFit="1" customWidth="1"/>
    <col min="20" max="20" width="6.296875" style="128" bestFit="1" customWidth="1"/>
    <col min="21" max="21" width="7" style="128" bestFit="1" customWidth="1"/>
    <col min="22" max="22" width="12.3984375" style="128" bestFit="1" customWidth="1"/>
    <col min="23" max="23" width="11.296875" style="128" bestFit="1" customWidth="1"/>
    <col min="24" max="24" width="10.59765625" style="470" bestFit="1" customWidth="1"/>
    <col min="25" max="25" width="12.296875" style="470" bestFit="1" customWidth="1"/>
    <col min="26" max="26" width="8.8984375" style="470" bestFit="1" customWidth="1"/>
    <col min="27" max="27" width="11.59765625" style="472" bestFit="1" customWidth="1"/>
    <col min="28" max="28" width="16.296875" style="472" bestFit="1" customWidth="1"/>
    <col min="29" max="29" width="13.3984375" style="472" customWidth="1"/>
    <col min="30" max="30" width="16" style="470" bestFit="1" customWidth="1"/>
    <col min="31" max="31" width="16" style="472" customWidth="1"/>
    <col min="32" max="32" width="7.69921875" style="472" bestFit="1" customWidth="1"/>
    <col min="33" max="33" width="5.09765625" style="481" bestFit="1" customWidth="1"/>
    <col min="34" max="34" width="16" style="471" customWidth="1"/>
    <col min="35" max="35" width="14.09765625" style="470" bestFit="1" customWidth="1"/>
    <col min="36" max="36" width="8.69921875" style="471" customWidth="1"/>
    <col min="37" max="37" width="7.296875" style="471" bestFit="1" customWidth="1"/>
    <col min="38" max="38" width="13.8984375" style="620" bestFit="1" customWidth="1"/>
    <col min="39" max="39" width="10.59765625" style="620" bestFit="1" customWidth="1"/>
    <col min="40" max="40" width="10.69921875" style="620" bestFit="1" customWidth="1"/>
    <col min="41" max="41" width="9.3984375" style="470" bestFit="1" customWidth="1"/>
    <col min="42" max="42" width="10.69921875" style="128" bestFit="1" customWidth="1"/>
    <col min="43" max="43" width="8.59765625" style="128" bestFit="1" customWidth="1"/>
    <col min="44" max="44" width="6.59765625" style="128" bestFit="1" customWidth="1"/>
    <col min="45" max="45" width="7" style="128" bestFit="1" customWidth="1"/>
    <col min="46" max="46" width="11.09765625" style="128" bestFit="1" customWidth="1"/>
    <col min="47" max="47" width="10.59765625" style="128" bestFit="1" customWidth="1"/>
    <col min="48" max="48" width="12.69921875" style="128" bestFit="1" customWidth="1"/>
    <col min="49" max="49" width="9" style="128" bestFit="1" customWidth="1"/>
    <col min="50" max="50" width="11.8984375" style="128" bestFit="1" customWidth="1"/>
    <col min="51" max="51" width="16.296875" style="128" bestFit="1" customWidth="1"/>
    <col min="52" max="52" width="15.8984375" style="128" bestFit="1" customWidth="1"/>
    <col min="53" max="53" width="15.8984375" style="232" customWidth="1"/>
    <col min="54" max="54" width="7.69921875" style="232" bestFit="1" customWidth="1"/>
    <col min="55" max="55" width="7.3984375" style="481" bestFit="1" customWidth="1"/>
    <col min="56" max="56" width="9.09765625" style="128"/>
    <col min="57" max="57" width="12.3984375" style="128" bestFit="1" customWidth="1"/>
    <col min="58" max="58" width="9.09765625" style="128"/>
    <col min="59" max="59" width="10.69921875" style="375" bestFit="1" customWidth="1"/>
    <col min="60" max="60" width="9.09765625" style="128"/>
    <col min="61" max="61" width="10.296875" style="128" bestFit="1" customWidth="1"/>
    <col min="62" max="65" width="9.09765625" style="128"/>
    <col min="66" max="66" width="10.59765625" style="233" bestFit="1" customWidth="1"/>
    <col min="67" max="67" width="12.3984375" style="233" bestFit="1" customWidth="1"/>
    <col min="68" max="68" width="9.59765625" style="233" bestFit="1" customWidth="1"/>
    <col min="69" max="69" width="11.59765625" style="233" bestFit="1" customWidth="1"/>
    <col min="70" max="70" width="19" style="233" bestFit="1" customWidth="1"/>
    <col min="71" max="71" width="16" style="233" bestFit="1" customWidth="1"/>
    <col min="72" max="72" width="16" style="396" customWidth="1"/>
    <col min="73" max="73" width="7.8984375" style="396" bestFit="1" customWidth="1"/>
    <col min="74" max="74" width="9.59765625" style="396" bestFit="1" customWidth="1"/>
    <col min="75" max="16384" width="9.09765625" style="128"/>
  </cols>
  <sheetData>
    <row r="1" spans="1:75" ht="28.8" x14ac:dyDescent="0.3">
      <c r="A1" s="458" t="s">
        <v>3224</v>
      </c>
      <c r="B1" s="458" t="s">
        <v>3225</v>
      </c>
      <c r="C1" s="459" t="s">
        <v>3597</v>
      </c>
      <c r="D1" s="459" t="s">
        <v>3598</v>
      </c>
      <c r="E1" s="459" t="s">
        <v>3226</v>
      </c>
      <c r="F1" s="459" t="s">
        <v>3604</v>
      </c>
      <c r="G1" s="458" t="s">
        <v>3227</v>
      </c>
      <c r="H1" s="458" t="s">
        <v>3228</v>
      </c>
      <c r="I1" s="458" t="s">
        <v>3229</v>
      </c>
      <c r="K1" s="460" t="s">
        <v>3230</v>
      </c>
      <c r="L1" s="619" t="s">
        <v>3599</v>
      </c>
      <c r="M1" s="461" t="s">
        <v>3235</v>
      </c>
      <c r="N1" s="462" t="s">
        <v>3596</v>
      </c>
      <c r="O1" s="462" t="s">
        <v>793</v>
      </c>
      <c r="P1" s="462" t="s">
        <v>800</v>
      </c>
      <c r="Q1" s="463" t="s">
        <v>2389</v>
      </c>
      <c r="R1" s="463" t="s">
        <v>2967</v>
      </c>
      <c r="S1" s="463" t="s">
        <v>2246</v>
      </c>
      <c r="T1" s="461" t="s">
        <v>843</v>
      </c>
      <c r="U1" s="464" t="s">
        <v>839</v>
      </c>
      <c r="V1" s="464" t="s">
        <v>794</v>
      </c>
      <c r="W1" s="464" t="s">
        <v>840</v>
      </c>
      <c r="X1" s="465" t="s">
        <v>820</v>
      </c>
      <c r="Y1" s="465" t="s">
        <v>741</v>
      </c>
      <c r="Z1" s="465" t="s">
        <v>830</v>
      </c>
      <c r="AA1" s="479" t="s">
        <v>3231</v>
      </c>
      <c r="AB1" s="479" t="s">
        <v>3150</v>
      </c>
      <c r="AC1" s="621" t="s">
        <v>3601</v>
      </c>
      <c r="AD1" s="466" t="s">
        <v>3232</v>
      </c>
      <c r="AE1" s="478" t="s">
        <v>3233</v>
      </c>
      <c r="AF1" s="479" t="s">
        <v>3225</v>
      </c>
      <c r="AG1" s="480" t="s">
        <v>3224</v>
      </c>
      <c r="AH1" s="467"/>
      <c r="AI1" s="460" t="s">
        <v>3234</v>
      </c>
      <c r="AJ1" s="618" t="s">
        <v>3600</v>
      </c>
      <c r="AK1" s="461" t="s">
        <v>3235</v>
      </c>
      <c r="AL1" s="462" t="s">
        <v>3596</v>
      </c>
      <c r="AM1" s="462" t="s">
        <v>793</v>
      </c>
      <c r="AN1" s="462" t="s">
        <v>800</v>
      </c>
      <c r="AO1" s="463" t="s">
        <v>2389</v>
      </c>
      <c r="AP1" s="463" t="s">
        <v>2967</v>
      </c>
      <c r="AQ1" s="463" t="s">
        <v>2246</v>
      </c>
      <c r="AR1" s="461" t="s">
        <v>843</v>
      </c>
      <c r="AS1" s="464" t="s">
        <v>839</v>
      </c>
      <c r="AT1" s="464" t="s">
        <v>840</v>
      </c>
      <c r="AU1" s="465" t="s">
        <v>820</v>
      </c>
      <c r="AV1" s="465" t="s">
        <v>741</v>
      </c>
      <c r="AW1" s="465" t="s">
        <v>830</v>
      </c>
      <c r="AX1" s="465" t="s">
        <v>3231</v>
      </c>
      <c r="AY1" s="465" t="s">
        <v>3150</v>
      </c>
      <c r="AZ1" s="466" t="s">
        <v>3232</v>
      </c>
      <c r="BA1" s="478" t="s">
        <v>3233</v>
      </c>
      <c r="BB1" s="479" t="s">
        <v>3225</v>
      </c>
      <c r="BC1" s="480" t="s">
        <v>3224</v>
      </c>
      <c r="BE1" s="468" t="s">
        <v>3236</v>
      </c>
      <c r="BF1" s="461" t="s">
        <v>3235</v>
      </c>
      <c r="BG1" s="462" t="s">
        <v>2387</v>
      </c>
      <c r="BH1" s="463" t="s">
        <v>2389</v>
      </c>
      <c r="BI1" s="463" t="s">
        <v>2967</v>
      </c>
      <c r="BJ1" s="463" t="s">
        <v>2246</v>
      </c>
      <c r="BK1" s="461" t="s">
        <v>843</v>
      </c>
      <c r="BL1" s="464" t="s">
        <v>839</v>
      </c>
      <c r="BM1" s="464" t="s">
        <v>840</v>
      </c>
      <c r="BN1" s="465" t="s">
        <v>820</v>
      </c>
      <c r="BO1" s="465" t="s">
        <v>741</v>
      </c>
      <c r="BP1" s="465" t="s">
        <v>830</v>
      </c>
      <c r="BQ1" s="465" t="s">
        <v>3231</v>
      </c>
      <c r="BR1" s="465" t="s">
        <v>3150</v>
      </c>
      <c r="BS1" s="466" t="s">
        <v>3263</v>
      </c>
      <c r="BT1" s="478" t="s">
        <v>3233</v>
      </c>
      <c r="BU1" s="479" t="s">
        <v>3225</v>
      </c>
      <c r="BV1" s="479" t="s">
        <v>3224</v>
      </c>
      <c r="BW1" s="128" t="s">
        <v>1047</v>
      </c>
    </row>
    <row r="2" spans="1:75" x14ac:dyDescent="0.3">
      <c r="A2" s="422">
        <v>2025</v>
      </c>
      <c r="B2" s="422">
        <v>1</v>
      </c>
      <c r="C2" s="469">
        <f t="shared" ref="C2:C10" si="0">SUMIFS(X:X,AG:AG,A2,AF:AF,B2)/2/10^4</f>
        <v>1450</v>
      </c>
      <c r="D2" s="469">
        <f t="shared" ref="D2:D10" si="1">-SUMIFS(AU:AU,BC:BC,A2,BB:BB,B2)/2/10^4</f>
        <v>0</v>
      </c>
      <c r="E2" s="469">
        <f t="shared" ref="E2:E10" si="2">(SUMIFS(BN:BN,BH:BH,"B",BV:BV,A2,BU:BU,B2)-SUMIFS(BN:BN,BH:BH,"S",BV:BV,A2,BU:BU,B2))/10^4</f>
        <v>0</v>
      </c>
      <c r="F2" s="469"/>
      <c r="G2" s="469">
        <f>SUM(C2:F2)</f>
        <v>1450</v>
      </c>
      <c r="H2" s="469">
        <v>11551.311299999999</v>
      </c>
      <c r="I2" s="469">
        <f t="shared" ref="I2:I7" si="3">H2+G2</f>
        <v>13001.311299999999</v>
      </c>
      <c r="J2" s="375"/>
      <c r="K2" s="375"/>
      <c r="L2" s="11">
        <v>1</v>
      </c>
      <c r="M2" s="128">
        <v>45036</v>
      </c>
      <c r="N2" s="375">
        <v>45649</v>
      </c>
      <c r="O2" s="375">
        <v>45651</v>
      </c>
      <c r="P2" s="375">
        <v>45651</v>
      </c>
      <c r="Q2" s="128" t="s">
        <v>2728</v>
      </c>
      <c r="R2" s="128" t="s">
        <v>2497</v>
      </c>
      <c r="S2" s="128" t="s">
        <v>3202</v>
      </c>
      <c r="T2" s="128" t="s">
        <v>823</v>
      </c>
      <c r="U2" s="128" t="s">
        <v>886</v>
      </c>
      <c r="V2" s="128" t="s">
        <v>824</v>
      </c>
      <c r="W2" s="128" t="s">
        <v>2174</v>
      </c>
      <c r="X2" s="470">
        <v>1500000</v>
      </c>
      <c r="Y2" s="470">
        <v>123479</v>
      </c>
      <c r="Z2" s="470">
        <v>3187</v>
      </c>
      <c r="AA2" s="472">
        <f>Z2+Y2</f>
        <v>126666</v>
      </c>
      <c r="AB2" s="472">
        <f>AA2*X2</f>
        <v>189999000000</v>
      </c>
      <c r="AD2" s="470">
        <v>-7917000000</v>
      </c>
      <c r="AE2" s="472">
        <f>_xlfn.XLOOKUP(M2,RP_SEC!AB:AB,RP_SEC!AN:AN,0,0)</f>
        <v>0</v>
      </c>
      <c r="AF2" s="472">
        <f t="shared" ref="AF2:AF33" si="4">MONTH(N2)</f>
        <v>12</v>
      </c>
      <c r="AG2" s="481">
        <f t="shared" ref="AG2:AG33" si="5">YEAR(N2)</f>
        <v>2024</v>
      </c>
      <c r="AH2" s="470"/>
      <c r="AJ2" s="128">
        <v>1</v>
      </c>
      <c r="AK2" s="128">
        <v>45105</v>
      </c>
      <c r="AL2" s="375">
        <v>45651</v>
      </c>
      <c r="AM2" s="375">
        <v>45652</v>
      </c>
      <c r="AN2" s="375">
        <v>45656</v>
      </c>
      <c r="AO2" s="128" t="s">
        <v>2728</v>
      </c>
      <c r="AP2" s="128" t="s">
        <v>568</v>
      </c>
      <c r="AQ2" s="128" t="s">
        <v>3244</v>
      </c>
      <c r="AR2" s="128" t="s">
        <v>821</v>
      </c>
      <c r="AS2" s="128" t="s">
        <v>878</v>
      </c>
      <c r="AT2" s="128" t="s">
        <v>2175</v>
      </c>
      <c r="AU2" s="470">
        <v>520000</v>
      </c>
      <c r="AV2" s="470">
        <v>107298</v>
      </c>
      <c r="AW2" s="470">
        <v>5770</v>
      </c>
      <c r="AX2" s="470">
        <v>113068</v>
      </c>
      <c r="AY2" s="470">
        <v>58795360000</v>
      </c>
      <c r="AZ2" s="470">
        <v>-602680000</v>
      </c>
      <c r="BA2" s="472">
        <f>_xlfn.XLOOKUP(AK2,RP_SEC!B:B,RP_SEC!N:N,0,0)</f>
        <v>0</v>
      </c>
      <c r="BB2" s="472">
        <f>MONTH(AN2)</f>
        <v>12</v>
      </c>
      <c r="BC2" s="481">
        <f>YEAR(AN2)</f>
        <v>2024</v>
      </c>
      <c r="BF2" s="128">
        <v>45103</v>
      </c>
      <c r="BG2" s="375">
        <v>45653</v>
      </c>
      <c r="BH2" s="128" t="s">
        <v>2728</v>
      </c>
      <c r="BI2" s="128" t="s">
        <v>587</v>
      </c>
      <c r="BJ2" s="128" t="s">
        <v>3247</v>
      </c>
      <c r="BK2" s="128" t="s">
        <v>823</v>
      </c>
      <c r="BL2" s="128" t="s">
        <v>880</v>
      </c>
      <c r="BM2" s="128" t="s">
        <v>2175</v>
      </c>
      <c r="BN2" s="470">
        <v>1000000</v>
      </c>
      <c r="BO2" s="470">
        <v>110663</v>
      </c>
      <c r="BP2" s="470">
        <v>238</v>
      </c>
      <c r="BQ2" s="472">
        <f>BO2+BP2</f>
        <v>110901</v>
      </c>
      <c r="BR2" s="472">
        <f>BQ2*BN2</f>
        <v>110901000000</v>
      </c>
      <c r="BS2" s="470">
        <v>-426000000</v>
      </c>
      <c r="BT2" s="472">
        <f>_xlfn.XLOOKUP(BF2,RP_SEC!AB:AB,RP_SEC!AN:AN,0,0)</f>
        <v>0</v>
      </c>
      <c r="BU2" s="472">
        <f>MONTH(BG2)</f>
        <v>12</v>
      </c>
      <c r="BV2" s="481">
        <f>YEAR(BG2)</f>
        <v>2024</v>
      </c>
    </row>
    <row r="3" spans="1:75" x14ac:dyDescent="0.3">
      <c r="A3" s="422">
        <v>2025</v>
      </c>
      <c r="B3" s="422">
        <v>2</v>
      </c>
      <c r="C3" s="469">
        <f t="shared" si="0"/>
        <v>2800</v>
      </c>
      <c r="D3" s="469">
        <f t="shared" si="1"/>
        <v>0</v>
      </c>
      <c r="E3" s="469">
        <f t="shared" si="2"/>
        <v>0</v>
      </c>
      <c r="F3" s="469"/>
      <c r="G3" s="469">
        <f t="shared" ref="G3:G10" si="6">SUM(C3:F3)</f>
        <v>2800</v>
      </c>
      <c r="H3" s="469">
        <f t="shared" ref="H3:H8" si="7">I2</f>
        <v>13001.311299999999</v>
      </c>
      <c r="I3" s="469">
        <f t="shared" si="3"/>
        <v>15801.311299999999</v>
      </c>
      <c r="J3" s="375"/>
      <c r="K3" s="375"/>
      <c r="L3" s="11">
        <v>1</v>
      </c>
      <c r="M3" s="128">
        <v>45034</v>
      </c>
      <c r="N3" s="375">
        <v>45649</v>
      </c>
      <c r="O3" s="375">
        <v>45651</v>
      </c>
      <c r="P3" s="375">
        <v>45651</v>
      </c>
      <c r="Q3" s="128" t="s">
        <v>2728</v>
      </c>
      <c r="R3" s="128" t="s">
        <v>2497</v>
      </c>
      <c r="S3" s="128" t="s">
        <v>3202</v>
      </c>
      <c r="T3" s="128" t="s">
        <v>823</v>
      </c>
      <c r="U3" s="128" t="s">
        <v>886</v>
      </c>
      <c r="V3" s="128" t="s">
        <v>2176</v>
      </c>
      <c r="W3" s="128" t="s">
        <v>2174</v>
      </c>
      <c r="X3" s="470">
        <v>2000000</v>
      </c>
      <c r="Y3" s="470">
        <v>123479</v>
      </c>
      <c r="Z3" s="470">
        <v>3187</v>
      </c>
      <c r="AA3" s="472">
        <f>Z3+Y3</f>
        <v>126666</v>
      </c>
      <c r="AB3" s="472">
        <f>AA3*X3</f>
        <v>253332000000</v>
      </c>
      <c r="AD3" s="470">
        <v>-13576000000</v>
      </c>
      <c r="AE3" s="472">
        <f>_xlfn.XLOOKUP(M3,RP_SEC!AB:AB,RP_SEC!AN:AN,0,0)</f>
        <v>0</v>
      </c>
      <c r="AF3" s="472">
        <f t="shared" si="4"/>
        <v>12</v>
      </c>
      <c r="AG3" s="481">
        <f t="shared" si="5"/>
        <v>2024</v>
      </c>
      <c r="AH3" s="470"/>
      <c r="AJ3" s="128">
        <v>1</v>
      </c>
      <c r="AK3" s="128">
        <v>45116</v>
      </c>
      <c r="AL3" s="375">
        <v>45652</v>
      </c>
      <c r="AM3" s="375">
        <v>45652</v>
      </c>
      <c r="AN3" s="375">
        <v>45657</v>
      </c>
      <c r="AO3" s="450" t="s">
        <v>822</v>
      </c>
      <c r="AP3" s="128" t="s">
        <v>568</v>
      </c>
      <c r="AQ3" s="128" t="s">
        <v>3244</v>
      </c>
      <c r="AR3" s="128" t="s">
        <v>821</v>
      </c>
      <c r="AS3" s="128" t="s">
        <v>878</v>
      </c>
      <c r="AT3" s="128" t="s">
        <v>2174</v>
      </c>
      <c r="AU3" s="470">
        <v>520000</v>
      </c>
      <c r="AV3" s="470">
        <v>107296</v>
      </c>
      <c r="AW3" s="470">
        <v>5789</v>
      </c>
      <c r="AX3" s="470">
        <v>113085</v>
      </c>
      <c r="AY3" s="470">
        <v>58804200000</v>
      </c>
      <c r="AZ3" s="470">
        <v>598520000</v>
      </c>
      <c r="BA3" s="472">
        <f>_xlfn.XLOOKUP(AK3,RP_SEC!B:B,RP_SEC!N:N,0,0)</f>
        <v>-3240120000</v>
      </c>
      <c r="BB3" s="472">
        <f>MONTH(AN3)</f>
        <v>12</v>
      </c>
      <c r="BC3" s="481">
        <f>YEAR(AN3)</f>
        <v>2024</v>
      </c>
      <c r="BF3" s="128">
        <v>45104</v>
      </c>
      <c r="BG3" s="375">
        <v>45653</v>
      </c>
      <c r="BH3" s="128" t="s">
        <v>2728</v>
      </c>
      <c r="BI3" s="128" t="s">
        <v>590</v>
      </c>
      <c r="BJ3" s="128" t="s">
        <v>3247</v>
      </c>
      <c r="BK3" s="128" t="s">
        <v>823</v>
      </c>
      <c r="BL3" s="128" t="s">
        <v>880</v>
      </c>
      <c r="BM3" s="128" t="s">
        <v>2175</v>
      </c>
      <c r="BN3" s="470">
        <v>500000</v>
      </c>
      <c r="BO3" s="470">
        <v>110816</v>
      </c>
      <c r="BP3" s="470">
        <v>-56</v>
      </c>
      <c r="BQ3" s="472">
        <f t="shared" ref="BQ3:BQ10" si="8">BO3+BP3</f>
        <v>110760</v>
      </c>
      <c r="BR3" s="472">
        <f t="shared" ref="BR3:BR11" si="9">BQ3*BN3</f>
        <v>55380000000</v>
      </c>
      <c r="BS3" s="470">
        <v>-196500000</v>
      </c>
      <c r="BT3" s="472">
        <f>_xlfn.XLOOKUP(BF3,RP_SEC!AB:AB,RP_SEC!AN:AN,0,0)</f>
        <v>0</v>
      </c>
      <c r="BU3" s="472">
        <f t="shared" ref="BU3:BU11" si="10">MONTH(BG3)</f>
        <v>12</v>
      </c>
      <c r="BV3" s="481">
        <f t="shared" ref="BV3:BV11" si="11">YEAR(BG3)</f>
        <v>2024</v>
      </c>
    </row>
    <row r="4" spans="1:75" x14ac:dyDescent="0.3">
      <c r="A4" s="422">
        <v>2025</v>
      </c>
      <c r="B4" s="422">
        <v>3</v>
      </c>
      <c r="C4" s="469">
        <f t="shared" si="0"/>
        <v>200</v>
      </c>
      <c r="D4" s="469">
        <f t="shared" si="1"/>
        <v>0</v>
      </c>
      <c r="E4" s="469">
        <f t="shared" si="2"/>
        <v>0</v>
      </c>
      <c r="F4" s="469"/>
      <c r="G4" s="469">
        <f t="shared" si="6"/>
        <v>200</v>
      </c>
      <c r="H4" s="469">
        <f t="shared" si="7"/>
        <v>15801.311299999999</v>
      </c>
      <c r="I4" s="469">
        <f t="shared" si="3"/>
        <v>16001.311299999999</v>
      </c>
      <c r="J4" s="375"/>
      <c r="K4" s="375"/>
      <c r="L4" s="11">
        <v>1</v>
      </c>
      <c r="M4" s="128">
        <v>45063</v>
      </c>
      <c r="N4" s="375">
        <v>45650</v>
      </c>
      <c r="O4" s="375">
        <v>45652</v>
      </c>
      <c r="P4" s="375">
        <v>45652</v>
      </c>
      <c r="Q4" s="128" t="s">
        <v>822</v>
      </c>
      <c r="R4" s="128" t="s">
        <v>2497</v>
      </c>
      <c r="S4" s="128" t="s">
        <v>3202</v>
      </c>
      <c r="T4" s="128" t="s">
        <v>823</v>
      </c>
      <c r="U4" s="128" t="s">
        <v>886</v>
      </c>
      <c r="V4" s="128" t="s">
        <v>2180</v>
      </c>
      <c r="W4" s="128" t="s">
        <v>2175</v>
      </c>
      <c r="X4" s="470">
        <v>3500000</v>
      </c>
      <c r="Y4" s="470">
        <v>123499</v>
      </c>
      <c r="Z4" s="470">
        <v>3199</v>
      </c>
      <c r="AA4" s="472">
        <f>Z4+Y4</f>
        <v>126698</v>
      </c>
      <c r="AB4" s="472">
        <f>AA4*X4</f>
        <v>443443000000</v>
      </c>
      <c r="AD4" s="470">
        <v>-21784000000</v>
      </c>
      <c r="AE4" s="472">
        <f>_xlfn.XLOOKUP(M4,RP_SEC!AB:AB,RP_SEC!AN:AN,0,0)</f>
        <v>-109088000000</v>
      </c>
      <c r="AF4" s="472">
        <f t="shared" si="4"/>
        <v>12</v>
      </c>
      <c r="AG4" s="481">
        <f t="shared" si="5"/>
        <v>2024</v>
      </c>
      <c r="AH4" s="470"/>
      <c r="AJ4" s="471">
        <v>2</v>
      </c>
      <c r="AK4" s="471">
        <v>44959</v>
      </c>
      <c r="AL4" s="375">
        <v>45639</v>
      </c>
      <c r="AM4" s="375">
        <v>45644</v>
      </c>
      <c r="AN4" s="375">
        <v>45645</v>
      </c>
      <c r="AO4" s="470" t="s">
        <v>2728</v>
      </c>
      <c r="AP4" s="128" t="s">
        <v>596</v>
      </c>
      <c r="AQ4" s="128" t="s">
        <v>3240</v>
      </c>
      <c r="AR4" s="128" t="s">
        <v>821</v>
      </c>
      <c r="AS4" s="128" t="s">
        <v>881</v>
      </c>
      <c r="AT4" s="128" t="s">
        <v>2175</v>
      </c>
      <c r="AU4" s="128">
        <v>3000000</v>
      </c>
      <c r="AV4" s="128">
        <v>111756</v>
      </c>
      <c r="AW4" s="128">
        <v>1673</v>
      </c>
      <c r="AX4" s="128">
        <v>113429</v>
      </c>
      <c r="AY4" s="128">
        <v>340287000000</v>
      </c>
      <c r="AZ4" s="128">
        <v>-31761000000</v>
      </c>
      <c r="BA4" s="472">
        <f>_xlfn.XLOOKUP(AK4,RP_SEC!B:B,RP_SEC!N:N,0,0)</f>
        <v>0</v>
      </c>
      <c r="BF4" s="128">
        <v>44958</v>
      </c>
      <c r="BG4" s="375">
        <v>45639</v>
      </c>
      <c r="BH4" s="128" t="s">
        <v>2728</v>
      </c>
      <c r="BI4" s="128" t="s">
        <v>581</v>
      </c>
      <c r="BJ4" s="128" t="s">
        <v>3248</v>
      </c>
      <c r="BK4" s="128" t="s">
        <v>823</v>
      </c>
      <c r="BL4" s="128" t="s">
        <v>879</v>
      </c>
      <c r="BM4" s="128" t="s">
        <v>2175</v>
      </c>
      <c r="BN4" s="470">
        <v>1000000</v>
      </c>
      <c r="BO4" s="470">
        <v>106623</v>
      </c>
      <c r="BP4" s="470">
        <v>3677</v>
      </c>
      <c r="BQ4" s="472">
        <f t="shared" si="8"/>
        <v>110300</v>
      </c>
      <c r="BR4" s="472">
        <f t="shared" si="9"/>
        <v>110300000000</v>
      </c>
      <c r="BS4" s="470">
        <v>-604000000</v>
      </c>
      <c r="BT4" s="472">
        <f>_xlfn.XLOOKUP(BF4,RP_SEC!AB:AB,RP_SEC!AN:AN,0,0)</f>
        <v>0</v>
      </c>
      <c r="BU4" s="472">
        <f t="shared" si="10"/>
        <v>12</v>
      </c>
      <c r="BV4" s="481">
        <f t="shared" si="11"/>
        <v>2024</v>
      </c>
    </row>
    <row r="5" spans="1:75" x14ac:dyDescent="0.3">
      <c r="A5" s="422">
        <v>2025</v>
      </c>
      <c r="B5" s="422">
        <v>4</v>
      </c>
      <c r="C5" s="469">
        <f t="shared" si="0"/>
        <v>0</v>
      </c>
      <c r="D5" s="469">
        <f t="shared" si="1"/>
        <v>0</v>
      </c>
      <c r="E5" s="469">
        <f t="shared" si="2"/>
        <v>0</v>
      </c>
      <c r="F5" s="469"/>
      <c r="G5" s="469">
        <f t="shared" si="6"/>
        <v>0</v>
      </c>
      <c r="H5" s="469">
        <f t="shared" si="7"/>
        <v>16001.311299999999</v>
      </c>
      <c r="I5" s="469">
        <f t="shared" si="3"/>
        <v>16001.311299999999</v>
      </c>
      <c r="J5" s="375"/>
      <c r="K5" s="375"/>
      <c r="L5" s="11">
        <v>2</v>
      </c>
      <c r="M5" s="128">
        <v>45039</v>
      </c>
      <c r="N5" s="375">
        <v>45649</v>
      </c>
      <c r="O5" s="375">
        <v>45652</v>
      </c>
      <c r="P5" s="375">
        <v>45652</v>
      </c>
      <c r="Q5" s="128" t="s">
        <v>2728</v>
      </c>
      <c r="R5" s="128" t="s">
        <v>693</v>
      </c>
      <c r="S5" s="128" t="s">
        <v>3237</v>
      </c>
      <c r="T5" s="128" t="s">
        <v>823</v>
      </c>
      <c r="U5" s="128" t="s">
        <v>884</v>
      </c>
      <c r="V5" s="128" t="s">
        <v>824</v>
      </c>
      <c r="W5" s="128" t="s">
        <v>2174</v>
      </c>
      <c r="X5" s="470">
        <v>500000</v>
      </c>
      <c r="Y5" s="470">
        <v>102185</v>
      </c>
      <c r="Z5" s="470">
        <v>222</v>
      </c>
      <c r="AA5" s="472">
        <f t="shared" ref="AA5:AA68" si="12">Z5+Y5</f>
        <v>102407</v>
      </c>
      <c r="AB5" s="472">
        <f t="shared" ref="AB5:AB68" si="13">AA5*X5</f>
        <v>51203500000</v>
      </c>
      <c r="AD5" s="470">
        <v>-2364500000</v>
      </c>
      <c r="AE5" s="472">
        <f>_xlfn.XLOOKUP(M5,RP_SEC!AB:AB,RP_SEC!AN:AN,0,0)</f>
        <v>0</v>
      </c>
      <c r="AF5" s="472">
        <f t="shared" si="4"/>
        <v>12</v>
      </c>
      <c r="AG5" s="481">
        <f t="shared" si="5"/>
        <v>2024</v>
      </c>
      <c r="AH5" s="470"/>
      <c r="AJ5" s="128">
        <v>2</v>
      </c>
      <c r="AK5" s="128">
        <v>44976</v>
      </c>
      <c r="AL5" s="375">
        <v>45643</v>
      </c>
      <c r="AM5" s="375">
        <v>45645</v>
      </c>
      <c r="AN5" s="375">
        <v>45646</v>
      </c>
      <c r="AO5" s="450" t="s">
        <v>822</v>
      </c>
      <c r="AP5" s="128" t="s">
        <v>596</v>
      </c>
      <c r="AQ5" s="128" t="s">
        <v>3240</v>
      </c>
      <c r="AR5" s="128" t="s">
        <v>821</v>
      </c>
      <c r="AS5" s="128" t="s">
        <v>881</v>
      </c>
      <c r="AT5" s="128" t="s">
        <v>2174</v>
      </c>
      <c r="AU5" s="470">
        <v>3000000</v>
      </c>
      <c r="AV5" s="470">
        <v>112693</v>
      </c>
      <c r="AW5" s="470">
        <v>1695</v>
      </c>
      <c r="AX5" s="470">
        <v>114388</v>
      </c>
      <c r="AY5" s="470">
        <v>343164000000</v>
      </c>
      <c r="AZ5" s="470">
        <v>31494000000</v>
      </c>
      <c r="BA5" s="472">
        <f>_xlfn.XLOOKUP(AK5,RP_SEC!B:B,RP_SEC!N:N,0,0)</f>
        <v>-4796000000</v>
      </c>
      <c r="BB5" s="472">
        <f>MONTH(AN5)</f>
        <v>12</v>
      </c>
      <c r="BC5" s="481">
        <f>YEAR(AN5)</f>
        <v>2024</v>
      </c>
      <c r="BF5" s="128">
        <v>45002</v>
      </c>
      <c r="BG5" s="375">
        <v>45645</v>
      </c>
      <c r="BH5" s="128" t="s">
        <v>2728</v>
      </c>
      <c r="BI5" s="128" t="s">
        <v>606</v>
      </c>
      <c r="BJ5" s="128" t="s">
        <v>3249</v>
      </c>
      <c r="BK5" s="128" t="s">
        <v>823</v>
      </c>
      <c r="BL5" s="128" t="s">
        <v>881</v>
      </c>
      <c r="BM5" s="128" t="s">
        <v>2175</v>
      </c>
      <c r="BN5" s="470">
        <v>500000</v>
      </c>
      <c r="BO5" s="470">
        <v>104011</v>
      </c>
      <c r="BP5" s="470">
        <v>2956</v>
      </c>
      <c r="BQ5" s="472">
        <f t="shared" si="8"/>
        <v>106967</v>
      </c>
      <c r="BR5" s="472">
        <f t="shared" si="9"/>
        <v>53483500000</v>
      </c>
      <c r="BS5" s="470">
        <v>-3500000</v>
      </c>
      <c r="BT5" s="472">
        <f>_xlfn.XLOOKUP(BF5,RP_SEC!AB:AB,RP_SEC!AN:AN,0,0)</f>
        <v>0</v>
      </c>
      <c r="BU5" s="472">
        <f t="shared" si="10"/>
        <v>12</v>
      </c>
      <c r="BV5" s="481">
        <f t="shared" si="11"/>
        <v>2024</v>
      </c>
    </row>
    <row r="6" spans="1:75" ht="14.95" customHeight="1" x14ac:dyDescent="0.3">
      <c r="A6" s="422">
        <v>2025</v>
      </c>
      <c r="B6" s="422">
        <v>5</v>
      </c>
      <c r="C6" s="469">
        <f t="shared" si="0"/>
        <v>0</v>
      </c>
      <c r="D6" s="469">
        <f t="shared" si="1"/>
        <v>0</v>
      </c>
      <c r="E6" s="469">
        <f t="shared" si="2"/>
        <v>0</v>
      </c>
      <c r="F6" s="469"/>
      <c r="G6" s="469">
        <f t="shared" si="6"/>
        <v>0</v>
      </c>
      <c r="H6" s="469">
        <f t="shared" si="7"/>
        <v>16001.311299999999</v>
      </c>
      <c r="I6" s="469">
        <f t="shared" si="3"/>
        <v>16001.311299999999</v>
      </c>
      <c r="J6" s="375"/>
      <c r="K6" s="375"/>
      <c r="L6" s="11">
        <v>2</v>
      </c>
      <c r="M6" s="128">
        <v>45065</v>
      </c>
      <c r="N6" s="375">
        <v>45650</v>
      </c>
      <c r="O6" s="375">
        <v>45656</v>
      </c>
      <c r="P6" s="375">
        <v>45656</v>
      </c>
      <c r="Q6" s="128" t="s">
        <v>822</v>
      </c>
      <c r="R6" s="128" t="s">
        <v>693</v>
      </c>
      <c r="S6" s="128" t="s">
        <v>3237</v>
      </c>
      <c r="T6" s="128" t="s">
        <v>823</v>
      </c>
      <c r="U6" s="128" t="s">
        <v>884</v>
      </c>
      <c r="V6" s="128" t="s">
        <v>2180</v>
      </c>
      <c r="W6" s="128" t="s">
        <v>2175</v>
      </c>
      <c r="X6" s="470">
        <v>500000</v>
      </c>
      <c r="Y6" s="470">
        <v>102077</v>
      </c>
      <c r="Z6" s="470">
        <v>252</v>
      </c>
      <c r="AA6" s="472">
        <f t="shared" si="12"/>
        <v>102329</v>
      </c>
      <c r="AB6" s="472">
        <f t="shared" si="13"/>
        <v>51164500000</v>
      </c>
      <c r="AD6" s="470">
        <v>-2406000000</v>
      </c>
      <c r="AE6" s="472">
        <f>_xlfn.XLOOKUP(M6,RP_SEC!AB:AB,RP_SEC!AN:AN,0,0)</f>
        <v>-7452000000</v>
      </c>
      <c r="AF6" s="472">
        <f t="shared" si="4"/>
        <v>12</v>
      </c>
      <c r="AG6" s="481">
        <f t="shared" si="5"/>
        <v>2024</v>
      </c>
      <c r="AH6" s="470"/>
      <c r="AJ6" s="128">
        <v>3</v>
      </c>
      <c r="AK6" s="128">
        <v>45050</v>
      </c>
      <c r="AL6" s="375">
        <v>45650</v>
      </c>
      <c r="AM6" s="375">
        <v>45651</v>
      </c>
      <c r="AN6" s="375">
        <v>45652</v>
      </c>
      <c r="AO6" s="450" t="s">
        <v>2728</v>
      </c>
      <c r="AP6" s="128" t="s">
        <v>613</v>
      </c>
      <c r="AQ6" s="128" t="s">
        <v>3237</v>
      </c>
      <c r="AR6" s="128" t="s">
        <v>821</v>
      </c>
      <c r="AS6" s="128" t="s">
        <v>882</v>
      </c>
      <c r="AT6" s="128" t="s">
        <v>2175</v>
      </c>
      <c r="AU6" s="470">
        <v>500000</v>
      </c>
      <c r="AV6" s="470">
        <v>125336</v>
      </c>
      <c r="AW6" s="470">
        <v>3727</v>
      </c>
      <c r="AX6" s="470">
        <v>129063</v>
      </c>
      <c r="AY6" s="470">
        <v>64531500000</v>
      </c>
      <c r="AZ6" s="470">
        <v>-724000000</v>
      </c>
      <c r="BA6" s="472">
        <f>_xlfn.XLOOKUP(AK6,RP_SEC!B:B,RP_SEC!N:N,0,0)</f>
        <v>0</v>
      </c>
      <c r="BB6" s="472">
        <f>MONTH(AN6)</f>
        <v>12</v>
      </c>
      <c r="BC6" s="481">
        <f>YEAR(AN6)</f>
        <v>2024</v>
      </c>
      <c r="BF6" s="128">
        <v>44997</v>
      </c>
      <c r="BG6" s="375">
        <v>45646</v>
      </c>
      <c r="BH6" s="128" t="s">
        <v>2728</v>
      </c>
      <c r="BI6" s="128" t="s">
        <v>612</v>
      </c>
      <c r="BJ6" s="128" t="s">
        <v>3250</v>
      </c>
      <c r="BK6" s="128" t="s">
        <v>823</v>
      </c>
      <c r="BL6" s="128" t="s">
        <v>881</v>
      </c>
      <c r="BM6" s="128" t="s">
        <v>2175</v>
      </c>
      <c r="BN6" s="470">
        <v>500000</v>
      </c>
      <c r="BO6" s="470">
        <v>103300</v>
      </c>
      <c r="BP6" s="470">
        <v>1545</v>
      </c>
      <c r="BQ6" s="472">
        <f t="shared" si="8"/>
        <v>104845</v>
      </c>
      <c r="BR6" s="472">
        <f t="shared" si="9"/>
        <v>52422500000</v>
      </c>
      <c r="BS6" s="470">
        <v>-121500000</v>
      </c>
      <c r="BT6" s="472">
        <f>_xlfn.XLOOKUP(BF6,RP_SEC!AB:AB,RP_SEC!AN:AN,0,0)</f>
        <v>0</v>
      </c>
      <c r="BU6" s="472">
        <f t="shared" si="10"/>
        <v>12</v>
      </c>
      <c r="BV6" s="481">
        <f t="shared" si="11"/>
        <v>2024</v>
      </c>
    </row>
    <row r="7" spans="1:75" ht="14.95" customHeight="1" x14ac:dyDescent="0.3">
      <c r="A7" s="422">
        <v>2025</v>
      </c>
      <c r="B7" s="422">
        <v>6</v>
      </c>
      <c r="C7" s="469">
        <f t="shared" si="0"/>
        <v>0</v>
      </c>
      <c r="D7" s="469">
        <f t="shared" si="1"/>
        <v>-100</v>
      </c>
      <c r="E7" s="469">
        <f t="shared" si="2"/>
        <v>-300</v>
      </c>
      <c r="F7" s="469"/>
      <c r="G7" s="469">
        <f t="shared" si="6"/>
        <v>-400</v>
      </c>
      <c r="H7" s="469">
        <f t="shared" si="7"/>
        <v>16001.311299999999</v>
      </c>
      <c r="I7" s="469">
        <f t="shared" si="3"/>
        <v>15601.311299999999</v>
      </c>
      <c r="J7" s="375"/>
      <c r="K7" s="375"/>
      <c r="L7" s="11">
        <v>3</v>
      </c>
      <c r="M7" s="128">
        <v>45037</v>
      </c>
      <c r="N7" s="375">
        <v>45649</v>
      </c>
      <c r="O7" s="375">
        <v>45652</v>
      </c>
      <c r="P7" s="375">
        <v>45652</v>
      </c>
      <c r="Q7" s="128" t="s">
        <v>2728</v>
      </c>
      <c r="R7" s="128" t="s">
        <v>2381</v>
      </c>
      <c r="S7" s="128" t="s">
        <v>3237</v>
      </c>
      <c r="T7" s="128" t="s">
        <v>823</v>
      </c>
      <c r="U7" s="128" t="s">
        <v>883</v>
      </c>
      <c r="V7" s="128" t="s">
        <v>2176</v>
      </c>
      <c r="W7" s="128" t="s">
        <v>2174</v>
      </c>
      <c r="X7" s="470">
        <v>1000000</v>
      </c>
      <c r="Y7" s="470">
        <v>116675</v>
      </c>
      <c r="Z7" s="470">
        <v>4377</v>
      </c>
      <c r="AA7" s="472">
        <f t="shared" si="12"/>
        <v>121052</v>
      </c>
      <c r="AB7" s="472">
        <f t="shared" si="13"/>
        <v>121052000000</v>
      </c>
      <c r="AD7" s="470">
        <v>-5246000000</v>
      </c>
      <c r="AE7" s="472">
        <f>_xlfn.XLOOKUP(M7,RP_SEC!AB:AB,RP_SEC!AN:AN,0,0)</f>
        <v>0</v>
      </c>
      <c r="AF7" s="472">
        <f t="shared" si="4"/>
        <v>12</v>
      </c>
      <c r="AG7" s="481">
        <f t="shared" si="5"/>
        <v>2024</v>
      </c>
      <c r="AH7" s="470"/>
      <c r="AJ7" s="128">
        <v>3</v>
      </c>
      <c r="AK7" s="128">
        <v>45067</v>
      </c>
      <c r="AL7" s="375">
        <v>45651</v>
      </c>
      <c r="AM7" s="375">
        <v>45653</v>
      </c>
      <c r="AN7" s="375">
        <v>45656</v>
      </c>
      <c r="AO7" s="128" t="s">
        <v>822</v>
      </c>
      <c r="AP7" s="128" t="s">
        <v>613</v>
      </c>
      <c r="AQ7" s="128" t="s">
        <v>3237</v>
      </c>
      <c r="AR7" s="128" t="s">
        <v>821</v>
      </c>
      <c r="AS7" s="128" t="s">
        <v>882</v>
      </c>
      <c r="AT7" s="128" t="s">
        <v>2174</v>
      </c>
      <c r="AU7" s="470">
        <v>500000</v>
      </c>
      <c r="AV7" s="470">
        <v>125289</v>
      </c>
      <c r="AW7" s="470">
        <v>3810</v>
      </c>
      <c r="AX7" s="470">
        <v>129099</v>
      </c>
      <c r="AY7" s="470">
        <v>64549500000</v>
      </c>
      <c r="AZ7" s="470">
        <v>742000000</v>
      </c>
      <c r="BA7" s="472">
        <f>_xlfn.XLOOKUP(AK7,RP_SEC!B:B,RP_SEC!N:N,0,0)</f>
        <v>0</v>
      </c>
      <c r="BB7" s="472"/>
      <c r="BF7" s="128">
        <v>46606</v>
      </c>
      <c r="BG7" s="375">
        <v>45821</v>
      </c>
      <c r="BH7" s="128" t="s">
        <v>2728</v>
      </c>
      <c r="BI7" s="128" t="s">
        <v>628</v>
      </c>
      <c r="BJ7" s="128" t="s">
        <v>3182</v>
      </c>
      <c r="BK7" s="128" t="s">
        <v>823</v>
      </c>
      <c r="BL7" s="128" t="s">
        <v>881</v>
      </c>
      <c r="BM7" s="128" t="s">
        <v>2175</v>
      </c>
      <c r="BN7" s="470">
        <v>500000</v>
      </c>
      <c r="BO7" s="470">
        <v>101531</v>
      </c>
      <c r="BP7" s="470">
        <v>2336</v>
      </c>
      <c r="BQ7" s="472">
        <f t="shared" si="8"/>
        <v>103867</v>
      </c>
      <c r="BR7" s="472">
        <f t="shared" si="9"/>
        <v>51933500000</v>
      </c>
      <c r="BS7" s="470">
        <v>-9500000</v>
      </c>
      <c r="BT7" s="472">
        <f>_xlfn.XLOOKUP(BF7,RP_SEC!AB:AB,RP_SEC!AN:AN,0,0)</f>
        <v>0</v>
      </c>
      <c r="BU7" s="472">
        <f t="shared" si="10"/>
        <v>6</v>
      </c>
      <c r="BV7" s="481">
        <f t="shared" si="11"/>
        <v>2025</v>
      </c>
    </row>
    <row r="8" spans="1:75" ht="14.95" customHeight="1" x14ac:dyDescent="0.3">
      <c r="A8" s="422">
        <v>2025</v>
      </c>
      <c r="B8" s="422">
        <v>7</v>
      </c>
      <c r="C8" s="469">
        <f t="shared" si="0"/>
        <v>1208</v>
      </c>
      <c r="D8" s="469">
        <f t="shared" si="1"/>
        <v>0</v>
      </c>
      <c r="E8" s="469">
        <f t="shared" si="2"/>
        <v>0</v>
      </c>
      <c r="F8" s="469"/>
      <c r="G8" s="469">
        <f t="shared" si="6"/>
        <v>1208</v>
      </c>
      <c r="H8" s="469">
        <f t="shared" si="7"/>
        <v>15601.311299999999</v>
      </c>
      <c r="I8" s="469">
        <f>H8+G8</f>
        <v>16809.311300000001</v>
      </c>
      <c r="J8" s="375"/>
      <c r="K8" s="375"/>
      <c r="L8" s="11">
        <v>3</v>
      </c>
      <c r="M8" s="128">
        <v>45064</v>
      </c>
      <c r="N8" s="375">
        <v>45650</v>
      </c>
      <c r="O8" s="375">
        <v>45656</v>
      </c>
      <c r="P8" s="375">
        <v>45656</v>
      </c>
      <c r="Q8" s="128" t="s">
        <v>822</v>
      </c>
      <c r="R8" s="128" t="s">
        <v>2381</v>
      </c>
      <c r="S8" s="128" t="s">
        <v>3237</v>
      </c>
      <c r="T8" s="128" t="s">
        <v>823</v>
      </c>
      <c r="U8" s="128" t="s">
        <v>883</v>
      </c>
      <c r="V8" s="128" t="s">
        <v>2180</v>
      </c>
      <c r="W8" s="128" t="s">
        <v>2175</v>
      </c>
      <c r="X8" s="470">
        <v>1000000</v>
      </c>
      <c r="Y8" s="470">
        <v>116575</v>
      </c>
      <c r="Z8" s="470">
        <v>4426</v>
      </c>
      <c r="AA8" s="472">
        <f t="shared" si="12"/>
        <v>121001</v>
      </c>
      <c r="AB8" s="472">
        <f t="shared" si="13"/>
        <v>121001000000</v>
      </c>
      <c r="AD8" s="470">
        <v>-3551000000</v>
      </c>
      <c r="AE8" s="472">
        <f>_xlfn.XLOOKUP(M8,RP_SEC!AB:AB,RP_SEC!AN:AN,0,0)</f>
        <v>-15430000000</v>
      </c>
      <c r="AF8" s="472">
        <f t="shared" si="4"/>
        <v>12</v>
      </c>
      <c r="AG8" s="481">
        <f t="shared" si="5"/>
        <v>2024</v>
      </c>
      <c r="AH8" s="470"/>
      <c r="AJ8" s="471">
        <v>4</v>
      </c>
      <c r="AK8" s="471">
        <v>45049</v>
      </c>
      <c r="AL8" s="375">
        <v>45650</v>
      </c>
      <c r="AM8" s="375">
        <v>45651</v>
      </c>
      <c r="AN8" s="375">
        <v>45652</v>
      </c>
      <c r="AO8" s="450" t="s">
        <v>2728</v>
      </c>
      <c r="AP8" s="128" t="s">
        <v>627</v>
      </c>
      <c r="AQ8" s="128" t="s">
        <v>3237</v>
      </c>
      <c r="AR8" s="128" t="s">
        <v>821</v>
      </c>
      <c r="AS8" s="128" t="s">
        <v>882</v>
      </c>
      <c r="AT8" s="128" t="s">
        <v>2175</v>
      </c>
      <c r="AU8" s="470">
        <v>500000</v>
      </c>
      <c r="AV8" s="470">
        <v>101223</v>
      </c>
      <c r="AW8" s="470">
        <v>1206</v>
      </c>
      <c r="AX8" s="470">
        <v>102429</v>
      </c>
      <c r="AY8" s="470">
        <v>51214500000</v>
      </c>
      <c r="AZ8" s="470">
        <v>-249500000</v>
      </c>
      <c r="BA8" s="472">
        <f>_xlfn.XLOOKUP(AK8,RP_SEC!B:B,RP_SEC!N:N,0,0)</f>
        <v>0</v>
      </c>
      <c r="BB8" s="472">
        <f>MONTH(AN8)</f>
        <v>12</v>
      </c>
      <c r="BC8" s="481">
        <f>YEAR(AN8)</f>
        <v>2024</v>
      </c>
      <c r="BF8" s="128">
        <v>46616</v>
      </c>
      <c r="BG8" s="375">
        <v>45825</v>
      </c>
      <c r="BH8" s="128" t="s">
        <v>2728</v>
      </c>
      <c r="BI8" s="128" t="s">
        <v>628</v>
      </c>
      <c r="BJ8" s="128" t="s">
        <v>3249</v>
      </c>
      <c r="BK8" s="128" t="s">
        <v>823</v>
      </c>
      <c r="BL8" s="128" t="s">
        <v>881</v>
      </c>
      <c r="BM8" s="128" t="s">
        <v>2175</v>
      </c>
      <c r="BN8" s="233">
        <v>500000</v>
      </c>
      <c r="BO8" s="233">
        <v>101191</v>
      </c>
      <c r="BP8" s="233">
        <v>2352</v>
      </c>
      <c r="BQ8" s="472">
        <f t="shared" si="8"/>
        <v>103543</v>
      </c>
      <c r="BR8" s="472">
        <f t="shared" si="9"/>
        <v>51771500000</v>
      </c>
      <c r="BS8" s="233">
        <v>-97500000</v>
      </c>
      <c r="BT8" s="472">
        <f>_xlfn.XLOOKUP(BF8,RP_SEC!AB:AB,RP_SEC!AN:AN,0,0)</f>
        <v>0</v>
      </c>
      <c r="BU8" s="472">
        <f t="shared" si="10"/>
        <v>6</v>
      </c>
      <c r="BV8" s="481">
        <f t="shared" si="11"/>
        <v>2025</v>
      </c>
    </row>
    <row r="9" spans="1:75" ht="14.95" customHeight="1" x14ac:dyDescent="0.3">
      <c r="A9" s="422">
        <v>2025</v>
      </c>
      <c r="B9" s="422">
        <v>8</v>
      </c>
      <c r="C9" s="469">
        <f t="shared" si="0"/>
        <v>200</v>
      </c>
      <c r="D9" s="469">
        <f t="shared" si="1"/>
        <v>0</v>
      </c>
      <c r="E9" s="469">
        <f t="shared" si="2"/>
        <v>0</v>
      </c>
      <c r="F9" s="469"/>
      <c r="G9" s="469">
        <f t="shared" si="6"/>
        <v>200</v>
      </c>
      <c r="H9" s="469">
        <f>I8</f>
        <v>16809.311300000001</v>
      </c>
      <c r="I9" s="469">
        <f>H9+G9</f>
        <v>17009.311300000001</v>
      </c>
      <c r="J9" s="375"/>
      <c r="K9" s="375"/>
      <c r="L9" s="11">
        <v>4</v>
      </c>
      <c r="M9" s="128">
        <v>45099</v>
      </c>
      <c r="N9" s="375">
        <v>45651</v>
      </c>
      <c r="O9" s="375">
        <v>45653</v>
      </c>
      <c r="P9" s="375">
        <v>45653</v>
      </c>
      <c r="Q9" s="128" t="s">
        <v>2728</v>
      </c>
      <c r="R9" s="128" t="s">
        <v>703</v>
      </c>
      <c r="S9" s="128" t="s">
        <v>3238</v>
      </c>
      <c r="T9" s="128" t="s">
        <v>823</v>
      </c>
      <c r="U9" s="128" t="s">
        <v>884</v>
      </c>
      <c r="V9" s="128" t="s">
        <v>824</v>
      </c>
      <c r="W9" s="128" t="s">
        <v>2174</v>
      </c>
      <c r="X9" s="470">
        <v>500000</v>
      </c>
      <c r="Y9" s="470">
        <v>97920</v>
      </c>
      <c r="Z9" s="470">
        <v>657</v>
      </c>
      <c r="AA9" s="472">
        <f t="shared" si="12"/>
        <v>98577</v>
      </c>
      <c r="AB9" s="472">
        <f t="shared" si="13"/>
        <v>49288500000</v>
      </c>
      <c r="AD9" s="470">
        <v>-2897500000</v>
      </c>
      <c r="AE9" s="472">
        <f>_xlfn.XLOOKUP(M9,RP_SEC!AB:AB,RP_SEC!AN:AN,0,0)</f>
        <v>0</v>
      </c>
      <c r="AF9" s="472">
        <f t="shared" si="4"/>
        <v>12</v>
      </c>
      <c r="AG9" s="481">
        <f t="shared" si="5"/>
        <v>2024</v>
      </c>
      <c r="AH9" s="470"/>
      <c r="AJ9" s="471">
        <v>4</v>
      </c>
      <c r="AK9" s="471">
        <v>45066</v>
      </c>
      <c r="AL9" s="375">
        <v>45651</v>
      </c>
      <c r="AM9" s="375">
        <v>45653</v>
      </c>
      <c r="AN9" s="375">
        <v>45656</v>
      </c>
      <c r="AO9" s="450" t="s">
        <v>822</v>
      </c>
      <c r="AP9" s="128" t="s">
        <v>627</v>
      </c>
      <c r="AQ9" s="128" t="s">
        <v>3237</v>
      </c>
      <c r="AR9" s="128" t="s">
        <v>821</v>
      </c>
      <c r="AS9" s="128" t="s">
        <v>882</v>
      </c>
      <c r="AT9" s="128" t="s">
        <v>2174</v>
      </c>
      <c r="AU9" s="470">
        <v>500000</v>
      </c>
      <c r="AV9" s="470">
        <v>101222</v>
      </c>
      <c r="AW9" s="470">
        <v>1235</v>
      </c>
      <c r="AX9" s="470">
        <v>102457</v>
      </c>
      <c r="AY9" s="470">
        <v>51228500000</v>
      </c>
      <c r="AZ9" s="470">
        <v>250500000</v>
      </c>
      <c r="BA9" s="472">
        <f>_xlfn.XLOOKUP(AK9,RP_SEC!B:B,RP_SEC!N:N,0,0)</f>
        <v>0</v>
      </c>
      <c r="BB9" s="472">
        <f>MONTH(AN9)</f>
        <v>12</v>
      </c>
      <c r="BC9" s="481">
        <f>YEAR(AN9)</f>
        <v>2024</v>
      </c>
      <c r="BF9" s="128">
        <v>46614</v>
      </c>
      <c r="BG9" s="375">
        <v>45825</v>
      </c>
      <c r="BH9" s="128" t="s">
        <v>2728</v>
      </c>
      <c r="BI9" s="128" t="s">
        <v>628</v>
      </c>
      <c r="BJ9" s="128" t="s">
        <v>3269</v>
      </c>
      <c r="BK9" s="128" t="s">
        <v>823</v>
      </c>
      <c r="BL9" s="128" t="s">
        <v>881</v>
      </c>
      <c r="BM9" s="128" t="s">
        <v>2175</v>
      </c>
      <c r="BN9" s="233">
        <v>500000</v>
      </c>
      <c r="BO9" s="233">
        <v>101191</v>
      </c>
      <c r="BP9" s="233">
        <v>2352</v>
      </c>
      <c r="BQ9" s="472">
        <f t="shared" si="8"/>
        <v>103543</v>
      </c>
      <c r="BR9" s="472">
        <f t="shared" si="9"/>
        <v>51771500000</v>
      </c>
      <c r="BS9" s="233">
        <v>-97500000</v>
      </c>
      <c r="BT9" s="472">
        <f>_xlfn.XLOOKUP(BF9,RP_SEC!AB:AB,RP_SEC!AN:AN,0,0)</f>
        <v>0</v>
      </c>
      <c r="BU9" s="472">
        <f t="shared" si="10"/>
        <v>6</v>
      </c>
      <c r="BV9" s="481">
        <f t="shared" si="11"/>
        <v>2025</v>
      </c>
    </row>
    <row r="10" spans="1:75" ht="14.95" customHeight="1" x14ac:dyDescent="0.3">
      <c r="A10" s="422">
        <v>2025</v>
      </c>
      <c r="B10" s="422">
        <v>12</v>
      </c>
      <c r="C10" s="469">
        <f t="shared" si="0"/>
        <v>1600</v>
      </c>
      <c r="D10" s="469">
        <f t="shared" si="1"/>
        <v>0</v>
      </c>
      <c r="E10" s="469">
        <f t="shared" si="2"/>
        <v>0</v>
      </c>
      <c r="F10" s="469">
        <v>-1600</v>
      </c>
      <c r="G10" s="469">
        <f t="shared" si="6"/>
        <v>0</v>
      </c>
      <c r="H10" s="469">
        <f>I9</f>
        <v>17009.311300000001</v>
      </c>
      <c r="I10" s="469">
        <f>H10+G10-1600</f>
        <v>15409.311300000001</v>
      </c>
      <c r="J10" s="375"/>
      <c r="K10" s="375"/>
      <c r="L10" s="11">
        <v>4</v>
      </c>
      <c r="M10" s="128">
        <v>45102</v>
      </c>
      <c r="N10" s="375">
        <v>45651</v>
      </c>
      <c r="O10" s="375">
        <v>45656</v>
      </c>
      <c r="P10" s="375">
        <v>45656</v>
      </c>
      <c r="Q10" s="128" t="s">
        <v>822</v>
      </c>
      <c r="R10" s="128" t="s">
        <v>703</v>
      </c>
      <c r="S10" s="128" t="s">
        <v>3238</v>
      </c>
      <c r="T10" s="128" t="s">
        <v>823</v>
      </c>
      <c r="U10" s="128" t="s">
        <v>884</v>
      </c>
      <c r="V10" s="128" t="s">
        <v>2180</v>
      </c>
      <c r="W10" s="128" t="s">
        <v>2175</v>
      </c>
      <c r="X10" s="470">
        <v>500000</v>
      </c>
      <c r="Y10" s="470">
        <v>97877</v>
      </c>
      <c r="Z10" s="470">
        <v>675</v>
      </c>
      <c r="AA10" s="472">
        <f t="shared" si="12"/>
        <v>98552</v>
      </c>
      <c r="AB10" s="472">
        <f t="shared" si="13"/>
        <v>49276000000</v>
      </c>
      <c r="AD10" s="470">
        <v>-2945000000</v>
      </c>
      <c r="AE10" s="472">
        <f>_xlfn.XLOOKUP(M10,RP_SEC!AB:AB,RP_SEC!AN:AN,0,0)</f>
        <v>-7902500000</v>
      </c>
      <c r="AF10" s="472">
        <f t="shared" si="4"/>
        <v>12</v>
      </c>
      <c r="AG10" s="481">
        <f t="shared" si="5"/>
        <v>2024</v>
      </c>
      <c r="AH10" s="470"/>
      <c r="AJ10" s="471">
        <v>5</v>
      </c>
      <c r="AK10" s="471">
        <v>46516</v>
      </c>
      <c r="AL10" s="375">
        <v>45813</v>
      </c>
      <c r="AM10" s="375">
        <v>45814</v>
      </c>
      <c r="AN10" s="375">
        <v>45817</v>
      </c>
      <c r="AO10" s="470" t="s">
        <v>2728</v>
      </c>
      <c r="AP10" s="375" t="s">
        <v>612</v>
      </c>
      <c r="AQ10" s="128" t="s">
        <v>3246</v>
      </c>
      <c r="AR10" s="128" t="s">
        <v>821</v>
      </c>
      <c r="AS10" s="128" t="s">
        <v>881</v>
      </c>
      <c r="AT10" s="128" t="s">
        <v>2175</v>
      </c>
      <c r="AU10" s="128">
        <v>500000</v>
      </c>
      <c r="AV10" s="128">
        <v>102522</v>
      </c>
      <c r="AW10" s="128">
        <v>2926</v>
      </c>
      <c r="AX10" s="128">
        <v>105448</v>
      </c>
      <c r="AY10" s="128">
        <v>52724000000</v>
      </c>
      <c r="AZ10" s="128">
        <v>133000000</v>
      </c>
      <c r="BA10" s="472">
        <f>_xlfn.XLOOKUP(AK10,RP_SEC!B:B,RP_SEC!N:N,0,0)</f>
        <v>0</v>
      </c>
      <c r="BF10" s="128">
        <v>46615</v>
      </c>
      <c r="BG10" s="375">
        <v>45825</v>
      </c>
      <c r="BH10" s="128" t="s">
        <v>2728</v>
      </c>
      <c r="BI10" s="128" t="s">
        <v>628</v>
      </c>
      <c r="BJ10" s="128" t="s">
        <v>813</v>
      </c>
      <c r="BK10" s="128" t="s">
        <v>823</v>
      </c>
      <c r="BL10" s="128" t="s">
        <v>881</v>
      </c>
      <c r="BM10" s="128" t="s">
        <v>2175</v>
      </c>
      <c r="BN10" s="233">
        <v>1000000</v>
      </c>
      <c r="BO10" s="233">
        <v>101240</v>
      </c>
      <c r="BP10" s="233">
        <v>2352</v>
      </c>
      <c r="BQ10" s="472">
        <f t="shared" si="8"/>
        <v>103592</v>
      </c>
      <c r="BR10" s="472">
        <f t="shared" si="9"/>
        <v>103592000000</v>
      </c>
      <c r="BS10" s="233">
        <v>-146000000</v>
      </c>
      <c r="BT10" s="472">
        <f>_xlfn.XLOOKUP(BF10,RP_SEC!AB:AB,RP_SEC!AN:AN,0,0)</f>
        <v>0</v>
      </c>
      <c r="BU10" s="472">
        <f t="shared" si="10"/>
        <v>6</v>
      </c>
      <c r="BV10" s="481">
        <f t="shared" si="11"/>
        <v>2025</v>
      </c>
    </row>
    <row r="11" spans="1:75" ht="14.95" customHeight="1" x14ac:dyDescent="0.3">
      <c r="A11" s="458" t="s">
        <v>3608</v>
      </c>
      <c r="B11" s="458">
        <v>2025</v>
      </c>
      <c r="C11" s="473">
        <f>SUM(C2:C10)</f>
        <v>7458</v>
      </c>
      <c r="D11" s="473">
        <f>SUM(D2:D10)</f>
        <v>-100</v>
      </c>
      <c r="E11" s="473">
        <f>SUM(E2:E10)</f>
        <v>-300</v>
      </c>
      <c r="F11" s="473">
        <f>SUM(F2:F10)</f>
        <v>-1600</v>
      </c>
      <c r="G11" s="473">
        <f>SUM(G2:G10)</f>
        <v>5458</v>
      </c>
      <c r="H11" s="473"/>
      <c r="I11" s="473"/>
      <c r="J11" s="375"/>
      <c r="K11" s="375"/>
      <c r="L11" s="11">
        <v>5</v>
      </c>
      <c r="M11" s="128">
        <v>45098</v>
      </c>
      <c r="N11" s="375">
        <v>45651</v>
      </c>
      <c r="O11" s="375">
        <v>45653</v>
      </c>
      <c r="P11" s="375">
        <v>45653</v>
      </c>
      <c r="Q11" s="128" t="s">
        <v>2728</v>
      </c>
      <c r="R11" s="128" t="s">
        <v>2794</v>
      </c>
      <c r="S11" s="128" t="s">
        <v>3238</v>
      </c>
      <c r="T11" s="128" t="s">
        <v>823</v>
      </c>
      <c r="U11" s="128" t="s">
        <v>883</v>
      </c>
      <c r="V11" s="128" t="s">
        <v>824</v>
      </c>
      <c r="W11" s="128" t="s">
        <v>2174</v>
      </c>
      <c r="X11" s="470">
        <v>500000</v>
      </c>
      <c r="Y11" s="470">
        <v>100111</v>
      </c>
      <c r="Z11" s="470">
        <v>121</v>
      </c>
      <c r="AA11" s="472">
        <f t="shared" si="12"/>
        <v>100232</v>
      </c>
      <c r="AB11" s="472">
        <f t="shared" si="13"/>
        <v>50116000000</v>
      </c>
      <c r="AD11" s="470">
        <v>-2387500000</v>
      </c>
      <c r="AE11" s="472">
        <f>_xlfn.XLOOKUP(M11,RP_SEC!AB:AB,RP_SEC!AN:AN,0,0)</f>
        <v>0</v>
      </c>
      <c r="AF11" s="472">
        <f t="shared" si="4"/>
        <v>12</v>
      </c>
      <c r="AG11" s="481">
        <f t="shared" si="5"/>
        <v>2024</v>
      </c>
      <c r="AH11" s="470"/>
      <c r="AJ11" s="471">
        <v>5</v>
      </c>
      <c r="AK11" s="471">
        <v>46517</v>
      </c>
      <c r="AL11" s="375">
        <v>45813</v>
      </c>
      <c r="AM11" s="375">
        <v>45817</v>
      </c>
      <c r="AN11" s="375">
        <v>45818</v>
      </c>
      <c r="AO11" s="450" t="s">
        <v>822</v>
      </c>
      <c r="AP11" s="128" t="s">
        <v>612</v>
      </c>
      <c r="AQ11" s="128" t="s">
        <v>3246</v>
      </c>
      <c r="AR11" s="128" t="s">
        <v>821</v>
      </c>
      <c r="AS11" s="128" t="s">
        <v>881</v>
      </c>
      <c r="AT11" s="128" t="s">
        <v>2174</v>
      </c>
      <c r="AU11" s="470">
        <v>500000</v>
      </c>
      <c r="AV11" s="470">
        <v>102468</v>
      </c>
      <c r="AW11" s="470">
        <v>2934</v>
      </c>
      <c r="AX11" s="470">
        <v>105402</v>
      </c>
      <c r="AY11" s="470">
        <v>52701000000</v>
      </c>
      <c r="AZ11" s="470">
        <v>-106000000</v>
      </c>
      <c r="BA11" s="472">
        <f>_xlfn.XLOOKUP(AK11,RP_SEC!B:B,RP_SEC!N:N,0,0)</f>
        <v>0</v>
      </c>
      <c r="BB11" s="472">
        <f>MONTH(AN11)</f>
        <v>6</v>
      </c>
      <c r="BC11" s="481">
        <f>YEAR(AN11)</f>
        <v>2025</v>
      </c>
      <c r="BF11" s="128">
        <v>46633</v>
      </c>
      <c r="BG11" s="375">
        <v>45828</v>
      </c>
      <c r="BH11" s="128" t="s">
        <v>2728</v>
      </c>
      <c r="BI11" s="128" t="s">
        <v>593</v>
      </c>
      <c r="BJ11" s="128" t="s">
        <v>3182</v>
      </c>
      <c r="BK11" s="128" t="s">
        <v>823</v>
      </c>
      <c r="BL11" s="128" t="s">
        <v>880</v>
      </c>
      <c r="BM11" s="128" t="s">
        <v>2175</v>
      </c>
      <c r="BN11" s="233">
        <v>500000</v>
      </c>
      <c r="BO11" s="233">
        <v>121512</v>
      </c>
      <c r="BP11" s="233">
        <v>2435</v>
      </c>
      <c r="BQ11" s="472">
        <f>BO11+BP11</f>
        <v>123947</v>
      </c>
      <c r="BR11" s="472">
        <f t="shared" si="9"/>
        <v>61973500000</v>
      </c>
      <c r="BS11" s="233">
        <v>-513500000</v>
      </c>
      <c r="BT11" s="472">
        <f>_xlfn.XLOOKUP(BF11,RP_SEC!AB:AB,RP_SEC!AN:AN,0,0)</f>
        <v>0</v>
      </c>
      <c r="BU11" s="472">
        <f t="shared" si="10"/>
        <v>6</v>
      </c>
      <c r="BV11" s="481">
        <f t="shared" si="11"/>
        <v>2025</v>
      </c>
    </row>
    <row r="12" spans="1:75" x14ac:dyDescent="0.3">
      <c r="A12" s="623" t="s">
        <v>3610</v>
      </c>
      <c r="B12" s="458"/>
      <c r="C12" s="473">
        <f>SUMIFS(X:X,AE:AE,"&lt;&gt;0",AG:AG,B11)/10^4</f>
        <v>6458</v>
      </c>
      <c r="J12" s="375"/>
      <c r="K12" s="375"/>
      <c r="L12" s="11">
        <v>5</v>
      </c>
      <c r="M12" s="128">
        <v>45101</v>
      </c>
      <c r="N12" s="375">
        <v>45651</v>
      </c>
      <c r="O12" s="375">
        <v>45656</v>
      </c>
      <c r="P12" s="375">
        <v>45656</v>
      </c>
      <c r="Q12" s="128" t="s">
        <v>822</v>
      </c>
      <c r="R12" s="128" t="s">
        <v>2794</v>
      </c>
      <c r="S12" s="128" t="s">
        <v>3238</v>
      </c>
      <c r="T12" s="128" t="s">
        <v>823</v>
      </c>
      <c r="U12" s="128" t="s">
        <v>883</v>
      </c>
      <c r="V12" s="128" t="s">
        <v>2180</v>
      </c>
      <c r="W12" s="128" t="s">
        <v>2175</v>
      </c>
      <c r="X12" s="470">
        <v>500000</v>
      </c>
      <c r="Y12" s="470">
        <v>99998</v>
      </c>
      <c r="Z12" s="470">
        <v>139</v>
      </c>
      <c r="AA12" s="472">
        <f t="shared" si="12"/>
        <v>100137</v>
      </c>
      <c r="AB12" s="472">
        <f t="shared" si="13"/>
        <v>50068500000</v>
      </c>
      <c r="AD12" s="470">
        <v>-2404500000</v>
      </c>
      <c r="AE12" s="472">
        <f>_xlfn.XLOOKUP(M12,RP_SEC!AB:AB,RP_SEC!AN:AN,0,0)</f>
        <v>-6531000000</v>
      </c>
      <c r="AF12" s="472">
        <f t="shared" si="4"/>
        <v>12</v>
      </c>
      <c r="AG12" s="481">
        <f t="shared" si="5"/>
        <v>2024</v>
      </c>
      <c r="AH12" s="470"/>
      <c r="AJ12" s="471">
        <v>6</v>
      </c>
      <c r="AK12" s="471">
        <v>46607</v>
      </c>
      <c r="AL12" s="375">
        <v>45821</v>
      </c>
      <c r="AM12" s="375">
        <v>45824</v>
      </c>
      <c r="AN12" s="375">
        <v>45825</v>
      </c>
      <c r="AO12" s="450" t="s">
        <v>2728</v>
      </c>
      <c r="AP12" s="128" t="s">
        <v>612</v>
      </c>
      <c r="AQ12" s="128" t="s">
        <v>3246</v>
      </c>
      <c r="AR12" s="128" t="s">
        <v>821</v>
      </c>
      <c r="AS12" s="128" t="s">
        <v>881</v>
      </c>
      <c r="AT12" s="128" t="s">
        <v>2175</v>
      </c>
      <c r="AU12" s="470">
        <v>500000</v>
      </c>
      <c r="AV12" s="470">
        <v>102522</v>
      </c>
      <c r="AW12" s="470">
        <v>2926</v>
      </c>
      <c r="AX12" s="470">
        <v>105448</v>
      </c>
      <c r="AY12" s="470">
        <v>52724000000</v>
      </c>
      <c r="AZ12" s="470">
        <v>133000000</v>
      </c>
      <c r="BA12" s="472">
        <f>_xlfn.XLOOKUP(AK12,RP_SEC!B:B,RP_SEC!N:N,0,0)</f>
        <v>0</v>
      </c>
      <c r="BB12" s="472">
        <f>MONTH(AN12)</f>
        <v>6</v>
      </c>
      <c r="BC12" s="481">
        <f>YEAR(AN12)</f>
        <v>2025</v>
      </c>
      <c r="BP12"/>
      <c r="BQ12" s="472"/>
      <c r="BR12" s="396"/>
      <c r="BT12" s="472"/>
      <c r="BU12" s="472"/>
      <c r="BV12" s="481"/>
    </row>
    <row r="13" spans="1:75" ht="14.95" customHeight="1" x14ac:dyDescent="0.3">
      <c r="A13" s="623" t="s">
        <v>3609</v>
      </c>
      <c r="B13" s="458"/>
      <c r="C13" s="473">
        <f>SUMIFS(AE:AE,AG:AG,B11)/10^9</f>
        <v>-1100.99782</v>
      </c>
      <c r="G13" s="622"/>
      <c r="H13" s="622"/>
      <c r="I13" s="622"/>
      <c r="J13" s="375"/>
      <c r="K13" s="375"/>
      <c r="L13" s="11">
        <v>6</v>
      </c>
      <c r="M13" s="128">
        <v>45062</v>
      </c>
      <c r="N13" s="375">
        <v>45650</v>
      </c>
      <c r="O13" s="375">
        <v>45659</v>
      </c>
      <c r="P13" s="375">
        <v>45659</v>
      </c>
      <c r="Q13" s="128" t="s">
        <v>2728</v>
      </c>
      <c r="R13" s="128" t="s">
        <v>2496</v>
      </c>
      <c r="S13" s="128" t="s">
        <v>3202</v>
      </c>
      <c r="T13" s="128" t="s">
        <v>823</v>
      </c>
      <c r="U13" s="128" t="s">
        <v>884</v>
      </c>
      <c r="V13" s="128" t="s">
        <v>824</v>
      </c>
      <c r="W13" s="128" t="s">
        <v>2174</v>
      </c>
      <c r="X13" s="470">
        <v>2500000</v>
      </c>
      <c r="Y13" s="470">
        <v>112816</v>
      </c>
      <c r="Z13" s="470">
        <v>2967</v>
      </c>
      <c r="AA13" s="472">
        <f t="shared" si="12"/>
        <v>115783</v>
      </c>
      <c r="AB13" s="472">
        <f t="shared" si="13"/>
        <v>289457500000</v>
      </c>
      <c r="AD13" s="470">
        <v>-12912500000</v>
      </c>
      <c r="AE13" s="472">
        <f>_xlfn.XLOOKUP(M13,RP_SEC!AB:AB,RP_SEC!AN:AN,0,0)</f>
        <v>0</v>
      </c>
      <c r="AF13" s="472">
        <f t="shared" si="4"/>
        <v>12</v>
      </c>
      <c r="AG13" s="481">
        <f t="shared" si="5"/>
        <v>2024</v>
      </c>
      <c r="AH13" s="470"/>
      <c r="AJ13" s="471">
        <v>6</v>
      </c>
      <c r="AK13" s="471">
        <v>46611</v>
      </c>
      <c r="AL13" s="375">
        <v>45821</v>
      </c>
      <c r="AM13" s="375">
        <v>45825</v>
      </c>
      <c r="AN13" s="375">
        <v>45826</v>
      </c>
      <c r="AO13" s="470" t="s">
        <v>822</v>
      </c>
      <c r="AP13" s="375" t="s">
        <v>612</v>
      </c>
      <c r="AQ13" s="128" t="s">
        <v>3246</v>
      </c>
      <c r="AR13" s="128" t="s">
        <v>821</v>
      </c>
      <c r="AS13" s="128" t="s">
        <v>881</v>
      </c>
      <c r="AT13" s="128" t="s">
        <v>2174</v>
      </c>
      <c r="AU13" s="128">
        <v>500000</v>
      </c>
      <c r="AV13" s="128">
        <v>102468</v>
      </c>
      <c r="AW13" s="128">
        <v>2934</v>
      </c>
      <c r="AX13" s="128">
        <v>105402</v>
      </c>
      <c r="AY13" s="128">
        <v>52701000000</v>
      </c>
      <c r="AZ13" s="128">
        <v>-106000000</v>
      </c>
      <c r="BA13" s="472">
        <f>_xlfn.XLOOKUP(AK13,RP_SEC!B:B,RP_SEC!N:N,0,0)</f>
        <v>0</v>
      </c>
      <c r="BP13"/>
      <c r="BQ13" s="472"/>
      <c r="BR13" s="472"/>
      <c r="BT13" s="472"/>
      <c r="BU13" s="472"/>
      <c r="BV13" s="481"/>
    </row>
    <row r="14" spans="1:75" ht="14.95" customHeight="1" x14ac:dyDescent="0.3">
      <c r="G14" s="622"/>
      <c r="H14" s="622"/>
      <c r="I14" s="622"/>
      <c r="J14" s="375"/>
      <c r="K14" s="375"/>
      <c r="L14" s="11">
        <v>6</v>
      </c>
      <c r="M14" s="128">
        <v>45142</v>
      </c>
      <c r="N14" s="375">
        <v>45652</v>
      </c>
      <c r="O14" s="375">
        <v>45660</v>
      </c>
      <c r="P14" s="375">
        <v>45660</v>
      </c>
      <c r="Q14" s="128" t="s">
        <v>822</v>
      </c>
      <c r="R14" s="128" t="s">
        <v>2496</v>
      </c>
      <c r="S14" s="128" t="s">
        <v>3202</v>
      </c>
      <c r="T14" s="128" t="s">
        <v>823</v>
      </c>
      <c r="U14" s="128" t="s">
        <v>884</v>
      </c>
      <c r="V14" s="128" t="s">
        <v>2180</v>
      </c>
      <c r="W14" s="128" t="s">
        <v>2175</v>
      </c>
      <c r="X14" s="470">
        <v>2500000</v>
      </c>
      <c r="Y14" s="470">
        <v>112793</v>
      </c>
      <c r="Z14" s="470">
        <v>2978</v>
      </c>
      <c r="AA14" s="472">
        <f t="shared" si="12"/>
        <v>115771</v>
      </c>
      <c r="AB14" s="472">
        <f t="shared" si="13"/>
        <v>289427500000</v>
      </c>
      <c r="AD14" s="470">
        <v>-12292500000</v>
      </c>
      <c r="AE14" s="472">
        <f>_xlfn.XLOOKUP(M14,RP_SEC!AB:AB,RP_SEC!AN:AN,0,0)</f>
        <v>-47347500000</v>
      </c>
      <c r="AF14" s="472">
        <f t="shared" si="4"/>
        <v>12</v>
      </c>
      <c r="AG14" s="481">
        <f t="shared" si="5"/>
        <v>2024</v>
      </c>
      <c r="AH14" s="470"/>
      <c r="AJ14" s="471">
        <v>7</v>
      </c>
      <c r="AK14" s="471">
        <v>46608</v>
      </c>
      <c r="AL14" s="375">
        <v>45821</v>
      </c>
      <c r="AM14" s="375">
        <v>45824</v>
      </c>
      <c r="AN14" s="375">
        <v>45825</v>
      </c>
      <c r="AO14" s="450" t="s">
        <v>2728</v>
      </c>
      <c r="AP14" s="128" t="s">
        <v>612</v>
      </c>
      <c r="AQ14" s="128" t="s">
        <v>3246</v>
      </c>
      <c r="AR14" s="128" t="s">
        <v>821</v>
      </c>
      <c r="AS14" s="128" t="s">
        <v>881</v>
      </c>
      <c r="AT14" s="128" t="s">
        <v>2175</v>
      </c>
      <c r="AU14" s="470">
        <v>500000</v>
      </c>
      <c r="AV14" s="470">
        <v>102522</v>
      </c>
      <c r="AW14" s="470">
        <v>2926</v>
      </c>
      <c r="AX14" s="470">
        <v>105448</v>
      </c>
      <c r="AY14" s="470">
        <v>52724000000</v>
      </c>
      <c r="AZ14" s="470">
        <v>133000000</v>
      </c>
      <c r="BA14" s="472">
        <f>_xlfn.XLOOKUP(AK14,RP_SEC!B:B,RP_SEC!N:N,0,0)</f>
        <v>0</v>
      </c>
      <c r="BB14" s="472">
        <f>MONTH(AN14)</f>
        <v>6</v>
      </c>
      <c r="BC14" s="481">
        <f>YEAR(AN14)</f>
        <v>2025</v>
      </c>
      <c r="BP14"/>
      <c r="BQ14" s="472"/>
      <c r="BR14" s="472"/>
      <c r="BT14" s="472"/>
      <c r="BU14" s="472"/>
      <c r="BV14" s="481"/>
    </row>
    <row r="15" spans="1:75" x14ac:dyDescent="0.3">
      <c r="G15" s="622"/>
      <c r="H15" s="622"/>
      <c r="I15" s="622"/>
      <c r="J15" s="375"/>
      <c r="K15" s="375"/>
      <c r="L15" s="11">
        <v>7</v>
      </c>
      <c r="M15" s="128">
        <v>45174</v>
      </c>
      <c r="N15" s="375">
        <v>45659</v>
      </c>
      <c r="O15" s="375">
        <v>45663</v>
      </c>
      <c r="P15" s="375">
        <v>45663</v>
      </c>
      <c r="Q15" s="128" t="s">
        <v>2728</v>
      </c>
      <c r="R15" s="128" t="s">
        <v>704</v>
      </c>
      <c r="S15" s="128" t="s">
        <v>3238</v>
      </c>
      <c r="T15" s="128" t="s">
        <v>823</v>
      </c>
      <c r="U15" s="128" t="s">
        <v>884</v>
      </c>
      <c r="V15" s="128" t="s">
        <v>824</v>
      </c>
      <c r="W15" s="128" t="s">
        <v>2174</v>
      </c>
      <c r="X15" s="470">
        <v>500000</v>
      </c>
      <c r="Y15" s="470">
        <v>98867</v>
      </c>
      <c r="Z15" s="470">
        <v>265</v>
      </c>
      <c r="AA15" s="472">
        <f t="shared" si="12"/>
        <v>99132</v>
      </c>
      <c r="AB15" s="472">
        <f t="shared" si="13"/>
        <v>49566000000</v>
      </c>
      <c r="AD15" s="470">
        <v>-3061000000</v>
      </c>
      <c r="AE15" s="472">
        <f>_xlfn.XLOOKUP(M15,RP_SEC!AB:AB,RP_SEC!AN:AN,0,0)</f>
        <v>0</v>
      </c>
      <c r="AF15" s="472">
        <f t="shared" si="4"/>
        <v>1</v>
      </c>
      <c r="AG15" s="481">
        <f t="shared" si="5"/>
        <v>2025</v>
      </c>
      <c r="AH15" s="470"/>
      <c r="AJ15" s="471">
        <v>7</v>
      </c>
      <c r="AK15" s="471">
        <v>46612</v>
      </c>
      <c r="AL15" s="375">
        <v>45821</v>
      </c>
      <c r="AM15" s="375">
        <v>45825</v>
      </c>
      <c r="AN15" s="375">
        <v>45826</v>
      </c>
      <c r="AO15" s="450" t="s">
        <v>822</v>
      </c>
      <c r="AP15" s="128" t="s">
        <v>612</v>
      </c>
      <c r="AQ15" s="128" t="s">
        <v>3246</v>
      </c>
      <c r="AR15" s="128" t="s">
        <v>821</v>
      </c>
      <c r="AS15" s="128" t="s">
        <v>881</v>
      </c>
      <c r="AT15" s="128" t="s">
        <v>2174</v>
      </c>
      <c r="AU15" s="470">
        <v>500000</v>
      </c>
      <c r="AV15" s="470">
        <v>102468</v>
      </c>
      <c r="AW15" s="470">
        <v>2934</v>
      </c>
      <c r="AX15" s="470">
        <v>105402</v>
      </c>
      <c r="AY15" s="470">
        <v>52701000000</v>
      </c>
      <c r="AZ15" s="470">
        <v>-106000000</v>
      </c>
      <c r="BA15" s="472">
        <f>_xlfn.XLOOKUP(AK15,RP_SEC!B:B,RP_SEC!N:N,0,0)</f>
        <v>0</v>
      </c>
      <c r="BB15" s="472">
        <f>MONTH(AN15)</f>
        <v>6</v>
      </c>
      <c r="BC15" s="481">
        <f>YEAR(AN15)</f>
        <v>2025</v>
      </c>
      <c r="BP15"/>
      <c r="BQ15" s="472"/>
      <c r="BR15" s="472"/>
      <c r="BT15" s="472"/>
      <c r="BU15" s="472"/>
      <c r="BV15" s="481"/>
    </row>
    <row r="16" spans="1:75" x14ac:dyDescent="0.3">
      <c r="A16" s="829" t="s">
        <v>3224</v>
      </c>
      <c r="B16" s="832" t="s">
        <v>3225</v>
      </c>
      <c r="C16" s="835" t="s">
        <v>3605</v>
      </c>
      <c r="D16" s="836"/>
      <c r="E16" s="836"/>
      <c r="F16" s="837"/>
      <c r="G16" s="622"/>
      <c r="H16" s="622"/>
      <c r="I16" s="622"/>
      <c r="J16" s="375"/>
      <c r="K16" s="375"/>
      <c r="L16" s="11">
        <v>7</v>
      </c>
      <c r="M16" s="128">
        <v>45179</v>
      </c>
      <c r="N16" s="375">
        <v>45659</v>
      </c>
      <c r="O16" s="375">
        <v>45664</v>
      </c>
      <c r="P16" s="375">
        <v>45664</v>
      </c>
      <c r="Q16" s="128" t="s">
        <v>822</v>
      </c>
      <c r="R16" s="128" t="s">
        <v>704</v>
      </c>
      <c r="S16" s="128" t="s">
        <v>3238</v>
      </c>
      <c r="T16" s="128" t="s">
        <v>823</v>
      </c>
      <c r="U16" s="128" t="s">
        <v>884</v>
      </c>
      <c r="V16" s="128" t="s">
        <v>2180</v>
      </c>
      <c r="W16" s="128" t="s">
        <v>2175</v>
      </c>
      <c r="X16" s="470">
        <v>500000</v>
      </c>
      <c r="Y16" s="470">
        <v>98872</v>
      </c>
      <c r="Z16" s="470">
        <v>271</v>
      </c>
      <c r="AA16" s="472">
        <f t="shared" si="12"/>
        <v>99143</v>
      </c>
      <c r="AB16" s="472">
        <f t="shared" si="13"/>
        <v>49571500000</v>
      </c>
      <c r="AD16" s="470">
        <v>-3084000000</v>
      </c>
      <c r="AE16" s="472">
        <f>_xlfn.XLOOKUP(M16,RP_SEC!AB:AB,RP_SEC!AN:AN,0,0)</f>
        <v>-8167500000</v>
      </c>
      <c r="AF16" s="472">
        <f t="shared" si="4"/>
        <v>1</v>
      </c>
      <c r="AG16" s="481">
        <f t="shared" si="5"/>
        <v>2025</v>
      </c>
      <c r="AH16" s="470"/>
      <c r="AP16" s="375"/>
      <c r="BP16"/>
      <c r="BQ16" s="472"/>
      <c r="BR16" s="472"/>
      <c r="BT16" s="472"/>
      <c r="BU16" s="472"/>
      <c r="BV16" s="481"/>
    </row>
    <row r="17" spans="1:74" x14ac:dyDescent="0.3">
      <c r="A17" s="830"/>
      <c r="B17" s="830"/>
      <c r="C17" s="833" t="s">
        <v>3607</v>
      </c>
      <c r="D17" s="834"/>
      <c r="E17" s="833" t="s">
        <v>3606</v>
      </c>
      <c r="F17" s="834"/>
      <c r="G17" s="622"/>
      <c r="H17" s="622"/>
      <c r="I17" s="622"/>
      <c r="J17" s="375"/>
      <c r="K17" s="375"/>
      <c r="L17" s="11">
        <v>8</v>
      </c>
      <c r="M17" s="128">
        <v>45173</v>
      </c>
      <c r="N17" s="375">
        <v>45659</v>
      </c>
      <c r="O17" s="375">
        <v>45663</v>
      </c>
      <c r="P17" s="375">
        <v>45663</v>
      </c>
      <c r="Q17" s="128" t="s">
        <v>2728</v>
      </c>
      <c r="R17" s="128" t="s">
        <v>2381</v>
      </c>
      <c r="S17" s="128" t="s">
        <v>3238</v>
      </c>
      <c r="T17" s="128" t="s">
        <v>823</v>
      </c>
      <c r="U17" s="128" t="s">
        <v>883</v>
      </c>
      <c r="V17" s="128" t="s">
        <v>2179</v>
      </c>
      <c r="W17" s="128" t="s">
        <v>2174</v>
      </c>
      <c r="X17" s="470">
        <v>500000</v>
      </c>
      <c r="Y17" s="470">
        <v>116301</v>
      </c>
      <c r="Z17" s="470">
        <v>12</v>
      </c>
      <c r="AA17" s="472">
        <f t="shared" si="12"/>
        <v>116313</v>
      </c>
      <c r="AB17" s="472">
        <f t="shared" si="13"/>
        <v>58156500000</v>
      </c>
      <c r="AD17" s="470">
        <v>-2550500000</v>
      </c>
      <c r="AE17" s="472">
        <f>_xlfn.XLOOKUP(M17,RP_SEC!AB:AB,RP_SEC!AN:AN,0,0)</f>
        <v>0</v>
      </c>
      <c r="AF17" s="472">
        <f t="shared" si="4"/>
        <v>1</v>
      </c>
      <c r="AG17" s="481">
        <f t="shared" si="5"/>
        <v>2025</v>
      </c>
      <c r="AH17" s="470"/>
      <c r="AN17" s="375"/>
      <c r="AO17" s="450"/>
      <c r="AU17" s="470"/>
      <c r="AV17" s="470"/>
      <c r="AW17" s="470"/>
      <c r="AX17" s="470"/>
      <c r="AY17" s="470"/>
      <c r="AZ17" s="470"/>
      <c r="BA17" s="472"/>
      <c r="BB17" s="472"/>
      <c r="BP17"/>
      <c r="BQ17" s="472"/>
      <c r="BR17" s="472"/>
      <c r="BT17" s="472"/>
      <c r="BU17" s="472"/>
      <c r="BV17" s="481"/>
    </row>
    <row r="18" spans="1:74" ht="28.8" x14ac:dyDescent="0.3">
      <c r="A18" s="831"/>
      <c r="B18" s="831"/>
      <c r="C18" s="475" t="s">
        <v>3602</v>
      </c>
      <c r="D18" s="475" t="s">
        <v>3603</v>
      </c>
      <c r="E18" s="475" t="s">
        <v>3602</v>
      </c>
      <c r="F18" s="475" t="s">
        <v>3603</v>
      </c>
      <c r="G18" s="622"/>
      <c r="H18" s="622"/>
      <c r="I18" s="622"/>
      <c r="J18" s="375"/>
      <c r="K18" s="375"/>
      <c r="L18" s="11">
        <v>8</v>
      </c>
      <c r="M18" s="128">
        <v>45178</v>
      </c>
      <c r="N18" s="375">
        <v>45659</v>
      </c>
      <c r="O18" s="375">
        <v>45664</v>
      </c>
      <c r="P18" s="375">
        <v>45664</v>
      </c>
      <c r="Q18" s="128" t="s">
        <v>822</v>
      </c>
      <c r="R18" s="128" t="s">
        <v>2381</v>
      </c>
      <c r="S18" s="128" t="s">
        <v>3238</v>
      </c>
      <c r="T18" s="128" t="s">
        <v>823</v>
      </c>
      <c r="U18" s="128" t="s">
        <v>883</v>
      </c>
      <c r="V18" s="128" t="s">
        <v>2180</v>
      </c>
      <c r="W18" s="128" t="s">
        <v>2175</v>
      </c>
      <c r="X18" s="470">
        <v>500000</v>
      </c>
      <c r="Y18" s="470">
        <v>116216</v>
      </c>
      <c r="Z18" s="470">
        <v>25</v>
      </c>
      <c r="AA18" s="472">
        <f t="shared" si="12"/>
        <v>116241</v>
      </c>
      <c r="AB18" s="472">
        <f t="shared" si="13"/>
        <v>58120500000</v>
      </c>
      <c r="AD18" s="470">
        <v>-1655500000</v>
      </c>
      <c r="AE18" s="472">
        <f>_xlfn.XLOOKUP(M18,RP_SEC!AB:AB,RP_SEC!AN:AN,0,0)</f>
        <v>-7535500000</v>
      </c>
      <c r="AF18" s="472">
        <f t="shared" si="4"/>
        <v>1</v>
      </c>
      <c r="AG18" s="481">
        <f t="shared" si="5"/>
        <v>2025</v>
      </c>
      <c r="AH18" s="470"/>
      <c r="AO18" s="450"/>
      <c r="AU18" s="470"/>
      <c r="AV18" s="470"/>
      <c r="AW18" s="470"/>
      <c r="AX18" s="470"/>
      <c r="AY18" s="470"/>
      <c r="AZ18" s="470"/>
      <c r="BA18" s="472"/>
      <c r="BB18" s="472"/>
      <c r="BP18"/>
      <c r="BQ18" s="472"/>
      <c r="BR18" s="472"/>
      <c r="BT18" s="472"/>
      <c r="BU18" s="472"/>
      <c r="BV18" s="481"/>
    </row>
    <row r="19" spans="1:74" x14ac:dyDescent="0.3">
      <c r="A19" s="422">
        <v>2025</v>
      </c>
      <c r="B19" s="422">
        <v>1</v>
      </c>
      <c r="C19" s="476">
        <f t="shared" ref="C19:C27" si="14">SUMIFS(AD:AD,W:W,"Banking",AG:AG,A19,AF:AF,B19)/10^9</f>
        <v>-86.912000000000006</v>
      </c>
      <c r="D19" s="476">
        <f t="shared" ref="D19:D27" si="15">SUMIFS(AZ:AZ,AT:AT,"Banking",BC:BC,A19,BB:BB,B19)/10^9</f>
        <v>0</v>
      </c>
      <c r="E19" s="476">
        <f t="shared" ref="E19:E27" si="16">-SUMIFS(AD:AD,W:W,"Trading",AG:AG,A19,AF:AF,B19)/10^9</f>
        <v>94.349500000000006</v>
      </c>
      <c r="F19" s="476">
        <f t="shared" ref="F19:F27" si="17">SUMIFS(AZ:AZ,AT:AT,"Trading",BC:BC,A19,BB:BB,B19)/10^9</f>
        <v>0</v>
      </c>
      <c r="G19" s="622"/>
      <c r="H19" s="622"/>
      <c r="I19" s="622"/>
      <c r="J19" s="375"/>
      <c r="K19" s="375"/>
      <c r="L19" s="11">
        <v>9</v>
      </c>
      <c r="M19" s="128">
        <v>45176</v>
      </c>
      <c r="N19" s="375">
        <v>45659</v>
      </c>
      <c r="O19" s="375">
        <v>45663</v>
      </c>
      <c r="P19" s="375">
        <v>45663</v>
      </c>
      <c r="Q19" s="128" t="s">
        <v>2728</v>
      </c>
      <c r="R19" s="128" t="s">
        <v>2503</v>
      </c>
      <c r="S19" s="128" t="s">
        <v>3238</v>
      </c>
      <c r="T19" s="128" t="s">
        <v>823</v>
      </c>
      <c r="U19" s="128" t="s">
        <v>884</v>
      </c>
      <c r="V19" s="128" t="s">
        <v>2176</v>
      </c>
      <c r="W19" s="128" t="s">
        <v>2174</v>
      </c>
      <c r="X19" s="470">
        <v>500000</v>
      </c>
      <c r="Y19" s="470">
        <v>108310</v>
      </c>
      <c r="Z19" s="470">
        <v>2431</v>
      </c>
      <c r="AA19" s="472">
        <f t="shared" si="12"/>
        <v>110741</v>
      </c>
      <c r="AB19" s="472">
        <f t="shared" si="13"/>
        <v>55370500000</v>
      </c>
      <c r="AD19" s="470">
        <v>-2915500000</v>
      </c>
      <c r="AE19" s="472">
        <f>_xlfn.XLOOKUP(M19,RP_SEC!AB:AB,RP_SEC!AN:AN,0,0)</f>
        <v>0</v>
      </c>
      <c r="AF19" s="472">
        <f t="shared" si="4"/>
        <v>1</v>
      </c>
      <c r="AG19" s="481">
        <f t="shared" si="5"/>
        <v>2025</v>
      </c>
      <c r="AH19" s="470"/>
      <c r="BP19"/>
      <c r="BQ19" s="472"/>
      <c r="BR19" s="472"/>
      <c r="BT19" s="472"/>
      <c r="BU19" s="472"/>
      <c r="BV19" s="481"/>
    </row>
    <row r="20" spans="1:74" x14ac:dyDescent="0.3">
      <c r="A20" s="422">
        <v>2025</v>
      </c>
      <c r="B20" s="422">
        <v>2</v>
      </c>
      <c r="C20" s="476">
        <f t="shared" si="14"/>
        <v>-155.58199999999999</v>
      </c>
      <c r="D20" s="476">
        <f t="shared" si="15"/>
        <v>0</v>
      </c>
      <c r="E20" s="476">
        <f t="shared" si="16"/>
        <v>153.15649999999999</v>
      </c>
      <c r="F20" s="476">
        <f t="shared" si="17"/>
        <v>0</v>
      </c>
      <c r="G20" s="622"/>
      <c r="H20" s="622"/>
      <c r="I20" s="622"/>
      <c r="J20" s="375"/>
      <c r="K20" s="375"/>
      <c r="L20" s="11">
        <v>9</v>
      </c>
      <c r="M20" s="128">
        <v>45172</v>
      </c>
      <c r="N20" s="375">
        <v>45659</v>
      </c>
      <c r="O20" s="375">
        <v>45663</v>
      </c>
      <c r="P20" s="375">
        <v>45663</v>
      </c>
      <c r="Q20" s="128" t="s">
        <v>2728</v>
      </c>
      <c r="R20" s="128" t="s">
        <v>2503</v>
      </c>
      <c r="S20" s="128" t="s">
        <v>3238</v>
      </c>
      <c r="T20" s="128" t="s">
        <v>823</v>
      </c>
      <c r="U20" s="128" t="s">
        <v>884</v>
      </c>
      <c r="V20" s="128" t="s">
        <v>824</v>
      </c>
      <c r="W20" s="128" t="s">
        <v>2174</v>
      </c>
      <c r="X20" s="470">
        <v>1000000</v>
      </c>
      <c r="Y20" s="470">
        <v>108310</v>
      </c>
      <c r="Z20" s="470">
        <v>2431</v>
      </c>
      <c r="AA20" s="472">
        <f t="shared" si="12"/>
        <v>110741</v>
      </c>
      <c r="AB20" s="472">
        <f t="shared" si="13"/>
        <v>110741000000</v>
      </c>
      <c r="AD20" s="470">
        <v>-4902000000</v>
      </c>
      <c r="AE20" s="472">
        <f>_xlfn.XLOOKUP(M20,RP_SEC!AB:AB,RP_SEC!AN:AN,0,0)</f>
        <v>0</v>
      </c>
      <c r="AF20" s="472">
        <f t="shared" si="4"/>
        <v>1</v>
      </c>
      <c r="AG20" s="481">
        <f t="shared" si="5"/>
        <v>2025</v>
      </c>
      <c r="AH20" s="470"/>
      <c r="AO20" s="450"/>
      <c r="AU20" s="470"/>
      <c r="AV20" s="470"/>
      <c r="AW20" s="470"/>
      <c r="AX20" s="470"/>
      <c r="AY20" s="470"/>
      <c r="AZ20" s="470"/>
      <c r="BA20" s="472"/>
      <c r="BB20" s="472"/>
      <c r="BP20"/>
      <c r="BQ20" s="472"/>
      <c r="BR20" s="472"/>
      <c r="BT20" s="472"/>
      <c r="BU20" s="472"/>
      <c r="BV20" s="481"/>
    </row>
    <row r="21" spans="1:74" x14ac:dyDescent="0.3">
      <c r="A21" s="422">
        <v>2025</v>
      </c>
      <c r="B21" s="422">
        <v>3</v>
      </c>
      <c r="C21" s="476">
        <f t="shared" si="14"/>
        <v>-8.1839999999999993</v>
      </c>
      <c r="D21" s="476">
        <f t="shared" si="15"/>
        <v>0</v>
      </c>
      <c r="E21" s="476">
        <f t="shared" si="16"/>
        <v>8.2127499999999998</v>
      </c>
      <c r="F21" s="476">
        <f t="shared" si="17"/>
        <v>0</v>
      </c>
      <c r="G21" s="622"/>
      <c r="H21" s="622"/>
      <c r="I21" s="622"/>
      <c r="J21" s="375"/>
      <c r="K21" s="375"/>
      <c r="L21" s="11">
        <v>9</v>
      </c>
      <c r="M21" s="128">
        <v>45177</v>
      </c>
      <c r="N21" s="375">
        <v>45659</v>
      </c>
      <c r="O21" s="375">
        <v>45664</v>
      </c>
      <c r="P21" s="375">
        <v>45664</v>
      </c>
      <c r="Q21" s="128" t="s">
        <v>822</v>
      </c>
      <c r="R21" s="128" t="s">
        <v>2503</v>
      </c>
      <c r="S21" s="128" t="s">
        <v>3238</v>
      </c>
      <c r="T21" s="128" t="s">
        <v>823</v>
      </c>
      <c r="U21" s="128" t="s">
        <v>884</v>
      </c>
      <c r="V21" s="128" t="s">
        <v>2180</v>
      </c>
      <c r="W21" s="128" t="s">
        <v>2175</v>
      </c>
      <c r="X21" s="470">
        <v>1500000</v>
      </c>
      <c r="Y21" s="470">
        <v>108296</v>
      </c>
      <c r="Z21" s="470">
        <v>2441</v>
      </c>
      <c r="AA21" s="472">
        <f t="shared" si="12"/>
        <v>110737</v>
      </c>
      <c r="AB21" s="472">
        <f t="shared" si="13"/>
        <v>166105500000</v>
      </c>
      <c r="AD21" s="470">
        <v>-7303500000</v>
      </c>
      <c r="AE21" s="472">
        <f>_xlfn.XLOOKUP(M21,RP_SEC!AB:AB,RP_SEC!AN:AN,0,0)</f>
        <v>-27088500000</v>
      </c>
      <c r="AF21" s="472">
        <f t="shared" si="4"/>
        <v>1</v>
      </c>
      <c r="AG21" s="481">
        <f t="shared" si="5"/>
        <v>2025</v>
      </c>
      <c r="AH21" s="470"/>
      <c r="AO21" s="450"/>
      <c r="AU21" s="470"/>
      <c r="AV21" s="470"/>
      <c r="AW21" s="470"/>
      <c r="AX21" s="470"/>
      <c r="AY21" s="470"/>
      <c r="AZ21" s="470"/>
      <c r="BA21" s="472"/>
      <c r="BB21" s="472"/>
      <c r="BP21"/>
      <c r="BQ21" s="472"/>
      <c r="BR21" s="472"/>
      <c r="BT21" s="472"/>
      <c r="BU21" s="472"/>
      <c r="BV21" s="481"/>
    </row>
    <row r="22" spans="1:74" x14ac:dyDescent="0.3">
      <c r="A22" s="422">
        <v>2025</v>
      </c>
      <c r="B22" s="422">
        <v>4</v>
      </c>
      <c r="C22" s="476">
        <f t="shared" si="14"/>
        <v>0</v>
      </c>
      <c r="D22" s="476">
        <f t="shared" si="15"/>
        <v>0</v>
      </c>
      <c r="E22" s="476">
        <f t="shared" si="16"/>
        <v>0</v>
      </c>
      <c r="F22" s="476">
        <f t="shared" si="17"/>
        <v>0</v>
      </c>
      <c r="G22" s="622"/>
      <c r="H22" s="622"/>
      <c r="I22" s="622"/>
      <c r="J22" s="375"/>
      <c r="K22" s="375"/>
      <c r="L22" s="11">
        <v>10</v>
      </c>
      <c r="M22" s="128">
        <v>45185</v>
      </c>
      <c r="N22" s="375">
        <v>45663</v>
      </c>
      <c r="O22" s="375">
        <v>45664</v>
      </c>
      <c r="P22" s="375">
        <v>45664</v>
      </c>
      <c r="Q22" s="128" t="s">
        <v>2728</v>
      </c>
      <c r="R22" s="128" t="s">
        <v>2380</v>
      </c>
      <c r="S22" s="128" t="s">
        <v>3239</v>
      </c>
      <c r="T22" s="128" t="s">
        <v>823</v>
      </c>
      <c r="U22" s="128" t="s">
        <v>884</v>
      </c>
      <c r="V22" s="128" t="s">
        <v>824</v>
      </c>
      <c r="W22" s="128" t="s">
        <v>2174</v>
      </c>
      <c r="X22" s="470">
        <v>3500000</v>
      </c>
      <c r="Y22" s="470">
        <v>124438</v>
      </c>
      <c r="Z22" s="470">
        <v>26</v>
      </c>
      <c r="AA22" s="472">
        <f t="shared" si="12"/>
        <v>124464</v>
      </c>
      <c r="AB22" s="472">
        <f t="shared" si="13"/>
        <v>435624000000</v>
      </c>
      <c r="AD22" s="470">
        <v>-27744000000</v>
      </c>
      <c r="AE22" s="472">
        <f>_xlfn.XLOOKUP(M22,RP_SEC!AB:AB,RP_SEC!AN:AN,0,0)</f>
        <v>0</v>
      </c>
      <c r="AF22" s="472">
        <f t="shared" si="4"/>
        <v>1</v>
      </c>
      <c r="AG22" s="481">
        <f t="shared" si="5"/>
        <v>2025</v>
      </c>
      <c r="AH22" s="470"/>
      <c r="BP22"/>
      <c r="BQ22" s="472"/>
      <c r="BR22" s="472"/>
      <c r="BT22" s="472"/>
      <c r="BU22" s="472"/>
      <c r="BV22" s="481"/>
    </row>
    <row r="23" spans="1:74" x14ac:dyDescent="0.3">
      <c r="A23" s="422">
        <v>2025</v>
      </c>
      <c r="B23" s="422">
        <v>5</v>
      </c>
      <c r="C23" s="476">
        <f t="shared" si="14"/>
        <v>0</v>
      </c>
      <c r="D23" s="476">
        <f t="shared" si="15"/>
        <v>0</v>
      </c>
      <c r="E23" s="476">
        <f t="shared" si="16"/>
        <v>0</v>
      </c>
      <c r="F23" s="476">
        <f t="shared" si="17"/>
        <v>0</v>
      </c>
      <c r="G23" s="622"/>
      <c r="H23" s="622"/>
      <c r="I23" s="622"/>
      <c r="J23" s="375"/>
      <c r="K23" s="375"/>
      <c r="L23" s="11">
        <v>10</v>
      </c>
      <c r="M23" s="128">
        <v>45193</v>
      </c>
      <c r="N23" s="375">
        <v>45663</v>
      </c>
      <c r="O23" s="375">
        <v>45665</v>
      </c>
      <c r="P23" s="375">
        <v>45665</v>
      </c>
      <c r="Q23" s="128" t="s">
        <v>822</v>
      </c>
      <c r="R23" s="128" t="s">
        <v>2380</v>
      </c>
      <c r="S23" s="128" t="s">
        <v>3239</v>
      </c>
      <c r="T23" s="128" t="s">
        <v>823</v>
      </c>
      <c r="U23" s="128" t="s">
        <v>884</v>
      </c>
      <c r="V23" s="128" t="s">
        <v>2180</v>
      </c>
      <c r="W23" s="128" t="s">
        <v>2175</v>
      </c>
      <c r="X23" s="470">
        <v>3500000</v>
      </c>
      <c r="Y23" s="470">
        <v>124400</v>
      </c>
      <c r="Z23" s="470">
        <v>39</v>
      </c>
      <c r="AA23" s="472">
        <f t="shared" si="12"/>
        <v>124439</v>
      </c>
      <c r="AB23" s="472">
        <f t="shared" si="13"/>
        <v>435536500000</v>
      </c>
      <c r="AD23" s="470">
        <v>-25487000000</v>
      </c>
      <c r="AE23" s="472">
        <f>_xlfn.XLOOKUP(M23,RP_SEC!AB:AB,RP_SEC!AN:AN,0,0)</f>
        <v>-78855000000</v>
      </c>
      <c r="AF23" s="472">
        <f t="shared" si="4"/>
        <v>1</v>
      </c>
      <c r="AG23" s="481">
        <f t="shared" si="5"/>
        <v>2025</v>
      </c>
      <c r="AH23" s="470"/>
    </row>
    <row r="24" spans="1:74" x14ac:dyDescent="0.3">
      <c r="A24" s="422">
        <v>2025</v>
      </c>
      <c r="B24" s="422">
        <v>6</v>
      </c>
      <c r="C24" s="476">
        <f t="shared" si="14"/>
        <v>0</v>
      </c>
      <c r="D24" s="476">
        <f t="shared" si="15"/>
        <v>0.26600000000000001</v>
      </c>
      <c r="E24" s="476">
        <f t="shared" si="16"/>
        <v>0</v>
      </c>
      <c r="F24" s="476">
        <f t="shared" si="17"/>
        <v>-0.21199999999999999</v>
      </c>
      <c r="G24" s="622"/>
      <c r="H24" s="622"/>
      <c r="I24" s="622"/>
      <c r="J24" s="375"/>
      <c r="K24" s="375"/>
      <c r="L24" s="11">
        <v>11</v>
      </c>
      <c r="M24" s="128">
        <v>45189</v>
      </c>
      <c r="N24" s="375">
        <v>45663</v>
      </c>
      <c r="O24" s="375">
        <v>45665</v>
      </c>
      <c r="P24" s="375">
        <v>45665</v>
      </c>
      <c r="Q24" s="128" t="s">
        <v>2728</v>
      </c>
      <c r="R24" s="128" t="s">
        <v>2380</v>
      </c>
      <c r="S24" s="128" t="s">
        <v>3237</v>
      </c>
      <c r="T24" s="128" t="s">
        <v>823</v>
      </c>
      <c r="U24" s="128" t="s">
        <v>884</v>
      </c>
      <c r="V24" s="128" t="s">
        <v>824</v>
      </c>
      <c r="W24" s="128" t="s">
        <v>2174</v>
      </c>
      <c r="X24" s="470">
        <v>1500000</v>
      </c>
      <c r="Y24" s="470">
        <v>124314</v>
      </c>
      <c r="Z24" s="470">
        <v>39</v>
      </c>
      <c r="AA24" s="472">
        <f t="shared" si="12"/>
        <v>124353</v>
      </c>
      <c r="AB24" s="472">
        <f t="shared" si="13"/>
        <v>186529500000</v>
      </c>
      <c r="AD24" s="470">
        <v>-11847000000</v>
      </c>
      <c r="AE24" s="472">
        <f>_xlfn.XLOOKUP(M24,RP_SEC!AB:AB,RP_SEC!AN:AN,0,0)</f>
        <v>0</v>
      </c>
      <c r="AF24" s="472">
        <f t="shared" si="4"/>
        <v>1</v>
      </c>
      <c r="AG24" s="481">
        <f t="shared" si="5"/>
        <v>2025</v>
      </c>
      <c r="AH24" s="470"/>
    </row>
    <row r="25" spans="1:74" x14ac:dyDescent="0.3">
      <c r="A25" s="422">
        <v>2025</v>
      </c>
      <c r="B25" s="422">
        <v>7</v>
      </c>
      <c r="C25" s="476">
        <f t="shared" si="14"/>
        <v>-77.553039999999996</v>
      </c>
      <c r="D25" s="476">
        <f t="shared" si="15"/>
        <v>0</v>
      </c>
      <c r="E25" s="476">
        <f t="shared" si="16"/>
        <v>86.605879999999999</v>
      </c>
      <c r="F25" s="476">
        <f t="shared" si="17"/>
        <v>0</v>
      </c>
      <c r="G25" s="622"/>
      <c r="H25" s="622"/>
      <c r="I25" s="622"/>
      <c r="J25" s="375"/>
      <c r="K25" s="375"/>
      <c r="L25" s="11">
        <v>11</v>
      </c>
      <c r="M25" s="128">
        <v>45190</v>
      </c>
      <c r="N25" s="375">
        <v>45663</v>
      </c>
      <c r="O25" s="375">
        <v>45667</v>
      </c>
      <c r="P25" s="375">
        <v>45667</v>
      </c>
      <c r="Q25" s="128" t="s">
        <v>822</v>
      </c>
      <c r="R25" s="128" t="s">
        <v>2380</v>
      </c>
      <c r="S25" s="128" t="s">
        <v>3237</v>
      </c>
      <c r="T25" s="128" t="s">
        <v>823</v>
      </c>
      <c r="U25" s="128" t="s">
        <v>884</v>
      </c>
      <c r="V25" s="128" t="s">
        <v>2180</v>
      </c>
      <c r="W25" s="128" t="s">
        <v>2175</v>
      </c>
      <c r="X25" s="470">
        <v>1500000</v>
      </c>
      <c r="Y25" s="470">
        <v>124266</v>
      </c>
      <c r="Z25" s="470">
        <v>64</v>
      </c>
      <c r="AA25" s="472">
        <f t="shared" si="12"/>
        <v>124330</v>
      </c>
      <c r="AB25" s="472">
        <f t="shared" si="13"/>
        <v>186495000000</v>
      </c>
      <c r="AD25" s="470">
        <v>-10722000000</v>
      </c>
      <c r="AE25" s="472">
        <f>_xlfn.XLOOKUP(M25,RP_SEC!AB:AB,RP_SEC!AN:AN,0,0)</f>
        <v>-33594000000</v>
      </c>
      <c r="AF25" s="472">
        <f t="shared" si="4"/>
        <v>1</v>
      </c>
      <c r="AG25" s="481">
        <f t="shared" si="5"/>
        <v>2025</v>
      </c>
      <c r="AH25" s="470"/>
    </row>
    <row r="26" spans="1:74" x14ac:dyDescent="0.3">
      <c r="A26" s="422">
        <v>2025</v>
      </c>
      <c r="B26" s="422">
        <v>8</v>
      </c>
      <c r="C26" s="476">
        <f t="shared" si="14"/>
        <v>-14.962</v>
      </c>
      <c r="D26" s="476">
        <f t="shared" si="15"/>
        <v>0</v>
      </c>
      <c r="E26" s="476">
        <f t="shared" si="16"/>
        <v>15.481999999999999</v>
      </c>
      <c r="F26" s="476">
        <f t="shared" si="17"/>
        <v>0</v>
      </c>
      <c r="J26" s="375"/>
      <c r="K26" s="375"/>
      <c r="L26" s="11">
        <v>12</v>
      </c>
      <c r="M26" s="128">
        <v>45203</v>
      </c>
      <c r="N26" s="375">
        <v>45665</v>
      </c>
      <c r="O26" s="375">
        <v>45670</v>
      </c>
      <c r="P26" s="375">
        <v>45670</v>
      </c>
      <c r="Q26" s="128" t="s">
        <v>2728</v>
      </c>
      <c r="R26" s="128" t="s">
        <v>712</v>
      </c>
      <c r="S26" s="128" t="s">
        <v>3238</v>
      </c>
      <c r="T26" s="128" t="s">
        <v>823</v>
      </c>
      <c r="U26" s="128" t="s">
        <v>884</v>
      </c>
      <c r="V26" s="128" t="s">
        <v>824</v>
      </c>
      <c r="W26" s="128" t="s">
        <v>2174</v>
      </c>
      <c r="X26" s="470">
        <v>500000</v>
      </c>
      <c r="Y26" s="470">
        <v>111494</v>
      </c>
      <c r="Z26" s="470">
        <v>39</v>
      </c>
      <c r="AA26" s="472">
        <f t="shared" si="12"/>
        <v>111533</v>
      </c>
      <c r="AB26" s="472">
        <f t="shared" si="13"/>
        <v>55766500000</v>
      </c>
      <c r="AD26" s="470">
        <v>-3295000000</v>
      </c>
      <c r="AE26" s="472">
        <f>_xlfn.XLOOKUP(M26,RP_SEC!AB:AB,RP_SEC!AN:AN,0,0)</f>
        <v>0</v>
      </c>
      <c r="AF26" s="472">
        <f t="shared" si="4"/>
        <v>1</v>
      </c>
      <c r="AG26" s="481">
        <f t="shared" si="5"/>
        <v>2025</v>
      </c>
      <c r="AH26" s="470"/>
    </row>
    <row r="27" spans="1:74" x14ac:dyDescent="0.3">
      <c r="A27" s="422">
        <v>2025</v>
      </c>
      <c r="B27" s="422">
        <v>12</v>
      </c>
      <c r="C27" s="476">
        <f t="shared" si="14"/>
        <v>-154.4545</v>
      </c>
      <c r="D27" s="476">
        <f t="shared" si="15"/>
        <v>0</v>
      </c>
      <c r="E27" s="476">
        <f t="shared" si="16"/>
        <v>148.45645999999999</v>
      </c>
      <c r="F27" s="476">
        <f t="shared" si="17"/>
        <v>0</v>
      </c>
      <c r="J27" s="375"/>
      <c r="K27" s="375"/>
      <c r="L27" s="11">
        <v>12</v>
      </c>
      <c r="M27" s="128">
        <v>45205</v>
      </c>
      <c r="N27" s="375">
        <v>45665</v>
      </c>
      <c r="O27" s="375">
        <v>45671</v>
      </c>
      <c r="P27" s="375">
        <v>45671</v>
      </c>
      <c r="Q27" s="128" t="s">
        <v>822</v>
      </c>
      <c r="R27" s="128" t="s">
        <v>712</v>
      </c>
      <c r="S27" s="128" t="s">
        <v>3238</v>
      </c>
      <c r="T27" s="128" t="s">
        <v>823</v>
      </c>
      <c r="U27" s="128" t="s">
        <v>884</v>
      </c>
      <c r="V27" s="128" t="s">
        <v>2180</v>
      </c>
      <c r="W27" s="128" t="s">
        <v>2175</v>
      </c>
      <c r="X27" s="470">
        <v>500000</v>
      </c>
      <c r="Y27" s="470">
        <v>111494</v>
      </c>
      <c r="Z27" s="470">
        <v>49</v>
      </c>
      <c r="AA27" s="472">
        <f t="shared" si="12"/>
        <v>111543</v>
      </c>
      <c r="AB27" s="472">
        <f t="shared" si="13"/>
        <v>55771500000</v>
      </c>
      <c r="AD27" s="470">
        <v>-3107500000</v>
      </c>
      <c r="AE27" s="472">
        <f>_xlfn.XLOOKUP(M27,RP_SEC!AB:AB,RP_SEC!AN:AN,0,0)</f>
        <v>-10379000000</v>
      </c>
      <c r="AF27" s="472">
        <f t="shared" si="4"/>
        <v>1</v>
      </c>
      <c r="AG27" s="481">
        <f t="shared" si="5"/>
        <v>2025</v>
      </c>
      <c r="AH27" s="470"/>
    </row>
    <row r="28" spans="1:74" x14ac:dyDescent="0.3">
      <c r="A28" s="458" t="s">
        <v>1034</v>
      </c>
      <c r="B28" s="458"/>
      <c r="C28" s="477">
        <f>SUM(C19:C27)</f>
        <v>-497.64753999999999</v>
      </c>
      <c r="D28" s="477">
        <f>SUM(D19:D27)</f>
        <v>0.26600000000000001</v>
      </c>
      <c r="E28" s="477">
        <f>SUM(E19:E27)</f>
        <v>506.26309000000003</v>
      </c>
      <c r="F28" s="477">
        <f>SUM(F19:F27)</f>
        <v>-0.21199999999999999</v>
      </c>
      <c r="J28" s="375"/>
      <c r="K28" s="375"/>
      <c r="L28" s="11">
        <v>13</v>
      </c>
      <c r="M28" s="128">
        <v>45202</v>
      </c>
      <c r="N28" s="375">
        <v>45665</v>
      </c>
      <c r="O28" s="375">
        <v>45670</v>
      </c>
      <c r="P28" s="375">
        <v>45670</v>
      </c>
      <c r="Q28" s="128" t="s">
        <v>2728</v>
      </c>
      <c r="R28" s="128" t="s">
        <v>2496</v>
      </c>
      <c r="S28" s="128" t="s">
        <v>3238</v>
      </c>
      <c r="T28" s="128" t="s">
        <v>823</v>
      </c>
      <c r="U28" s="128" t="s">
        <v>884</v>
      </c>
      <c r="V28" s="128" t="s">
        <v>2179</v>
      </c>
      <c r="W28" s="128" t="s">
        <v>2174</v>
      </c>
      <c r="X28" s="470">
        <v>1000000</v>
      </c>
      <c r="Y28" s="470">
        <v>113152</v>
      </c>
      <c r="Z28" s="470">
        <v>3082</v>
      </c>
      <c r="AA28" s="472">
        <f t="shared" si="12"/>
        <v>116234</v>
      </c>
      <c r="AB28" s="472">
        <f t="shared" si="13"/>
        <v>116234000000</v>
      </c>
      <c r="AD28" s="470">
        <v>-6219000000</v>
      </c>
      <c r="AE28" s="472">
        <f>_xlfn.XLOOKUP(M28,RP_SEC!AB:AB,RP_SEC!AN:AN,0,0)</f>
        <v>0</v>
      </c>
      <c r="AF28" s="472">
        <f t="shared" si="4"/>
        <v>1</v>
      </c>
      <c r="AG28" s="481">
        <f t="shared" si="5"/>
        <v>2025</v>
      </c>
      <c r="AH28" s="470"/>
    </row>
    <row r="29" spans="1:74" x14ac:dyDescent="0.3">
      <c r="J29" s="375"/>
      <c r="K29" s="375"/>
      <c r="L29" s="11">
        <v>13</v>
      </c>
      <c r="M29" s="128">
        <v>45204</v>
      </c>
      <c r="N29" s="375">
        <v>45665</v>
      </c>
      <c r="O29" s="375">
        <v>45671</v>
      </c>
      <c r="P29" s="375">
        <v>45671</v>
      </c>
      <c r="Q29" s="128" t="s">
        <v>822</v>
      </c>
      <c r="R29" s="128" t="s">
        <v>2496</v>
      </c>
      <c r="S29" s="128" t="s">
        <v>3238</v>
      </c>
      <c r="T29" s="128" t="s">
        <v>823</v>
      </c>
      <c r="U29" s="128" t="s">
        <v>884</v>
      </c>
      <c r="V29" s="128" t="s">
        <v>2180</v>
      </c>
      <c r="W29" s="128" t="s">
        <v>2175</v>
      </c>
      <c r="X29" s="470">
        <v>1000000</v>
      </c>
      <c r="Y29" s="470">
        <v>113126</v>
      </c>
      <c r="Z29" s="470">
        <v>3092</v>
      </c>
      <c r="AA29" s="472">
        <f t="shared" si="12"/>
        <v>116218</v>
      </c>
      <c r="AB29" s="472">
        <f t="shared" si="13"/>
        <v>116218000000</v>
      </c>
      <c r="AD29" s="470">
        <v>-5558000000</v>
      </c>
      <c r="AE29" s="472">
        <f>_xlfn.XLOOKUP(M29,RP_SEC!AB:AB,RP_SEC!AN:AN,0,0)</f>
        <v>-19272000000</v>
      </c>
      <c r="AF29" s="472">
        <f t="shared" si="4"/>
        <v>1</v>
      </c>
      <c r="AG29" s="481">
        <f t="shared" si="5"/>
        <v>2025</v>
      </c>
      <c r="AH29" s="470"/>
    </row>
    <row r="30" spans="1:74" x14ac:dyDescent="0.3">
      <c r="J30" s="375"/>
      <c r="K30" s="375"/>
      <c r="L30" s="11">
        <v>14</v>
      </c>
      <c r="M30" s="128">
        <v>45220</v>
      </c>
      <c r="N30" s="375">
        <v>45667</v>
      </c>
      <c r="O30" s="375">
        <v>45671</v>
      </c>
      <c r="P30" s="375">
        <v>45671</v>
      </c>
      <c r="Q30" s="128" t="s">
        <v>2728</v>
      </c>
      <c r="R30" s="128" t="s">
        <v>713</v>
      </c>
      <c r="S30" s="128" t="s">
        <v>3240</v>
      </c>
      <c r="T30" s="128" t="s">
        <v>823</v>
      </c>
      <c r="U30" s="128" t="s">
        <v>885</v>
      </c>
      <c r="V30" s="128" t="s">
        <v>824</v>
      </c>
      <c r="W30" s="128" t="s">
        <v>2174</v>
      </c>
      <c r="X30" s="470">
        <v>1000000</v>
      </c>
      <c r="Y30" s="470">
        <v>107060</v>
      </c>
      <c r="Z30" s="470">
        <v>1329</v>
      </c>
      <c r="AA30" s="472">
        <f t="shared" si="12"/>
        <v>108389</v>
      </c>
      <c r="AB30" s="472">
        <f t="shared" si="13"/>
        <v>108389000000</v>
      </c>
      <c r="AD30" s="470">
        <v>-5846000000</v>
      </c>
      <c r="AE30" s="472">
        <f>_xlfn.XLOOKUP(M30,RP_SEC!AB:AB,RP_SEC!AN:AN,0,0)</f>
        <v>0</v>
      </c>
      <c r="AF30" s="472">
        <f t="shared" si="4"/>
        <v>1</v>
      </c>
      <c r="AG30" s="481">
        <f t="shared" si="5"/>
        <v>2025</v>
      </c>
      <c r="AH30" s="470"/>
    </row>
    <row r="31" spans="1:74" x14ac:dyDescent="0.3">
      <c r="J31" s="375"/>
      <c r="K31" s="375"/>
      <c r="L31" s="11">
        <v>14</v>
      </c>
      <c r="M31" s="128">
        <v>45226</v>
      </c>
      <c r="N31" s="375">
        <v>45667</v>
      </c>
      <c r="O31" s="375">
        <v>45678</v>
      </c>
      <c r="P31" s="375">
        <v>45678</v>
      </c>
      <c r="Q31" s="128" t="s">
        <v>822</v>
      </c>
      <c r="R31" s="128" t="s">
        <v>713</v>
      </c>
      <c r="S31" s="128" t="s">
        <v>3240</v>
      </c>
      <c r="T31" s="128" t="s">
        <v>823</v>
      </c>
      <c r="U31" s="128" t="s">
        <v>885</v>
      </c>
      <c r="V31" s="128" t="s">
        <v>2180</v>
      </c>
      <c r="W31" s="128" t="s">
        <v>2175</v>
      </c>
      <c r="X31" s="470">
        <v>1000000</v>
      </c>
      <c r="Y31" s="470">
        <v>107144</v>
      </c>
      <c r="Z31" s="470">
        <v>1392</v>
      </c>
      <c r="AA31" s="472">
        <f t="shared" si="12"/>
        <v>108536</v>
      </c>
      <c r="AB31" s="472">
        <f t="shared" si="13"/>
        <v>108536000000</v>
      </c>
      <c r="AD31" s="470">
        <v>-5694000000</v>
      </c>
      <c r="AE31" s="472">
        <f>_xlfn.XLOOKUP(M31,RP_SEC!AB:AB,RP_SEC!AN:AN,0,0)</f>
        <v>-19902000000</v>
      </c>
      <c r="AF31" s="472">
        <f t="shared" si="4"/>
        <v>1</v>
      </c>
      <c r="AG31" s="481">
        <f t="shared" si="5"/>
        <v>2025</v>
      </c>
      <c r="AH31" s="470"/>
    </row>
    <row r="32" spans="1:74" x14ac:dyDescent="0.3">
      <c r="J32" s="375"/>
      <c r="K32" s="375"/>
      <c r="L32" s="11">
        <v>15</v>
      </c>
      <c r="M32" s="128">
        <v>45228</v>
      </c>
      <c r="N32" s="375">
        <v>45667</v>
      </c>
      <c r="O32" s="375">
        <v>45677</v>
      </c>
      <c r="P32" s="375">
        <v>45677</v>
      </c>
      <c r="Q32" s="128" t="s">
        <v>2728</v>
      </c>
      <c r="R32" s="128" t="s">
        <v>2386</v>
      </c>
      <c r="S32" s="128" t="s">
        <v>3241</v>
      </c>
      <c r="T32" s="128" t="s">
        <v>823</v>
      </c>
      <c r="U32" s="128" t="s">
        <v>884</v>
      </c>
      <c r="V32" s="128" t="s">
        <v>2179</v>
      </c>
      <c r="W32" s="128" t="s">
        <v>2174</v>
      </c>
      <c r="X32" s="470">
        <v>500000</v>
      </c>
      <c r="Y32" s="470">
        <v>120288</v>
      </c>
      <c r="Z32" s="470">
        <v>4244</v>
      </c>
      <c r="AA32" s="472">
        <f t="shared" si="12"/>
        <v>124532</v>
      </c>
      <c r="AB32" s="472">
        <f t="shared" si="13"/>
        <v>62266000000</v>
      </c>
      <c r="AD32" s="470">
        <v>-4285500000</v>
      </c>
      <c r="AE32" s="472">
        <f>_xlfn.XLOOKUP(M32,RP_SEC!AB:AB,RP_SEC!AN:AN,0,0)</f>
        <v>0</v>
      </c>
      <c r="AF32" s="472">
        <f t="shared" si="4"/>
        <v>1</v>
      </c>
      <c r="AG32" s="481">
        <f t="shared" si="5"/>
        <v>2025</v>
      </c>
      <c r="AH32" s="470"/>
    </row>
    <row r="33" spans="10:34" x14ac:dyDescent="0.3">
      <c r="J33" s="375"/>
      <c r="K33" s="375"/>
      <c r="L33" s="11">
        <v>15</v>
      </c>
      <c r="M33" s="128">
        <v>45230</v>
      </c>
      <c r="N33" s="375">
        <v>45667</v>
      </c>
      <c r="O33" s="375">
        <v>45678</v>
      </c>
      <c r="P33" s="375">
        <v>45678</v>
      </c>
      <c r="Q33" s="128" t="s">
        <v>822</v>
      </c>
      <c r="R33" s="128" t="s">
        <v>2386</v>
      </c>
      <c r="S33" s="128" t="s">
        <v>3241</v>
      </c>
      <c r="T33" s="128" t="s">
        <v>823</v>
      </c>
      <c r="U33" s="128" t="s">
        <v>884</v>
      </c>
      <c r="V33" s="128" t="s">
        <v>2180</v>
      </c>
      <c r="W33" s="128" t="s">
        <v>2175</v>
      </c>
      <c r="X33" s="470">
        <v>500000</v>
      </c>
      <c r="Y33" s="470">
        <v>121034</v>
      </c>
      <c r="Z33" s="470">
        <v>4256</v>
      </c>
      <c r="AA33" s="472">
        <f t="shared" si="12"/>
        <v>125290</v>
      </c>
      <c r="AB33" s="472">
        <f t="shared" si="13"/>
        <v>62645000000</v>
      </c>
      <c r="AD33" s="470">
        <v>-3748500000</v>
      </c>
      <c r="AE33" s="472">
        <f>_xlfn.XLOOKUP(M33,RP_SEC!AB:AB,RP_SEC!AN:AN,0,0)</f>
        <v>-10907500000</v>
      </c>
      <c r="AF33" s="472">
        <f t="shared" si="4"/>
        <v>1</v>
      </c>
      <c r="AG33" s="481">
        <f t="shared" si="5"/>
        <v>2025</v>
      </c>
      <c r="AH33" s="470"/>
    </row>
    <row r="34" spans="10:34" x14ac:dyDescent="0.3">
      <c r="J34" s="375"/>
      <c r="K34" s="375"/>
      <c r="L34" s="11">
        <v>16</v>
      </c>
      <c r="M34" s="128">
        <v>45227</v>
      </c>
      <c r="N34" s="375">
        <v>45667</v>
      </c>
      <c r="O34" s="375">
        <v>45677</v>
      </c>
      <c r="P34" s="375">
        <v>45677</v>
      </c>
      <c r="Q34" s="128" t="s">
        <v>2728</v>
      </c>
      <c r="R34" s="128" t="s">
        <v>2503</v>
      </c>
      <c r="S34" s="128" t="s">
        <v>3241</v>
      </c>
      <c r="T34" s="128" t="s">
        <v>823</v>
      </c>
      <c r="U34" s="128" t="s">
        <v>884</v>
      </c>
      <c r="V34" s="128" t="s">
        <v>824</v>
      </c>
      <c r="W34" s="128" t="s">
        <v>2174</v>
      </c>
      <c r="X34" s="470">
        <v>4000000</v>
      </c>
      <c r="Y34" s="470">
        <v>107643</v>
      </c>
      <c r="Z34" s="470">
        <v>2562</v>
      </c>
      <c r="AA34" s="472">
        <f t="shared" si="12"/>
        <v>110205</v>
      </c>
      <c r="AB34" s="472">
        <f t="shared" si="13"/>
        <v>440820000000</v>
      </c>
      <c r="AD34" s="470">
        <v>-21684000000</v>
      </c>
      <c r="AE34" s="472">
        <f>_xlfn.XLOOKUP(M34,RP_SEC!AB:AB,RP_SEC!AN:AN,0,0)</f>
        <v>0</v>
      </c>
      <c r="AF34" s="472">
        <f t="shared" ref="AF34:AF65" si="18">MONTH(N34)</f>
        <v>1</v>
      </c>
      <c r="AG34" s="481">
        <f t="shared" ref="AG34:AG65" si="19">YEAR(N34)</f>
        <v>2025</v>
      </c>
      <c r="AH34" s="470"/>
    </row>
    <row r="35" spans="10:34" x14ac:dyDescent="0.3">
      <c r="J35" s="375"/>
      <c r="K35" s="375"/>
      <c r="L35" s="11">
        <v>16</v>
      </c>
      <c r="M35" s="128">
        <v>45229</v>
      </c>
      <c r="N35" s="375">
        <v>45667</v>
      </c>
      <c r="O35" s="375">
        <v>45678</v>
      </c>
      <c r="P35" s="375">
        <v>45678</v>
      </c>
      <c r="Q35" s="128" t="s">
        <v>822</v>
      </c>
      <c r="R35" s="128" t="s">
        <v>2503</v>
      </c>
      <c r="S35" s="128" t="s">
        <v>3241</v>
      </c>
      <c r="T35" s="128" t="s">
        <v>823</v>
      </c>
      <c r="U35" s="128" t="s">
        <v>884</v>
      </c>
      <c r="V35" s="128" t="s">
        <v>2180</v>
      </c>
      <c r="W35" s="128" t="s">
        <v>2175</v>
      </c>
      <c r="X35" s="470">
        <v>4000000</v>
      </c>
      <c r="Y35" s="470">
        <v>108046</v>
      </c>
      <c r="Z35" s="470">
        <v>2571</v>
      </c>
      <c r="AA35" s="472">
        <f t="shared" si="12"/>
        <v>110617</v>
      </c>
      <c r="AB35" s="472">
        <f t="shared" si="13"/>
        <v>442468000000</v>
      </c>
      <c r="AD35" s="470">
        <v>-20552000000</v>
      </c>
      <c r="AE35" s="472">
        <f>_xlfn.XLOOKUP(M35,RP_SEC!AB:AB,RP_SEC!AN:AN,0,0)</f>
        <v>-71236000000</v>
      </c>
      <c r="AF35" s="472">
        <f t="shared" si="18"/>
        <v>1</v>
      </c>
      <c r="AG35" s="481">
        <f t="shared" si="19"/>
        <v>2025</v>
      </c>
      <c r="AH35" s="470"/>
    </row>
    <row r="36" spans="10:34" x14ac:dyDescent="0.3">
      <c r="J36" s="375"/>
      <c r="K36" s="375"/>
      <c r="L36" s="11">
        <v>17</v>
      </c>
      <c r="M36" s="128">
        <v>45358</v>
      </c>
      <c r="N36" s="375">
        <v>45698</v>
      </c>
      <c r="O36" s="375">
        <v>45705</v>
      </c>
      <c r="P36" s="375">
        <v>45705</v>
      </c>
      <c r="Q36" s="128" t="s">
        <v>2728</v>
      </c>
      <c r="R36" s="128" t="s">
        <v>2499</v>
      </c>
      <c r="S36" s="128" t="s">
        <v>3241</v>
      </c>
      <c r="T36" s="128" t="s">
        <v>823</v>
      </c>
      <c r="U36" s="128" t="s">
        <v>883</v>
      </c>
      <c r="V36" s="128" t="s">
        <v>824</v>
      </c>
      <c r="W36" s="128" t="s">
        <v>2174</v>
      </c>
      <c r="X36" s="470">
        <v>1000000</v>
      </c>
      <c r="Y36" s="470">
        <v>114820</v>
      </c>
      <c r="Z36" s="470">
        <v>934</v>
      </c>
      <c r="AA36" s="472">
        <f t="shared" si="12"/>
        <v>115754</v>
      </c>
      <c r="AB36" s="472">
        <f t="shared" si="13"/>
        <v>115754000000</v>
      </c>
      <c r="AD36" s="470">
        <v>-3829000000</v>
      </c>
      <c r="AE36" s="472">
        <f>_xlfn.XLOOKUP(M36,RP_SEC!AB:AB,RP_SEC!AN:AN,0,0)</f>
        <v>0</v>
      </c>
      <c r="AF36" s="472">
        <f t="shared" si="18"/>
        <v>2</v>
      </c>
      <c r="AG36" s="481">
        <f t="shared" si="19"/>
        <v>2025</v>
      </c>
      <c r="AH36" s="470"/>
    </row>
    <row r="37" spans="10:34" x14ac:dyDescent="0.3">
      <c r="J37" s="375"/>
      <c r="K37" s="375"/>
      <c r="L37" s="11">
        <v>17</v>
      </c>
      <c r="M37" s="128">
        <v>45426</v>
      </c>
      <c r="N37" s="375">
        <v>45702</v>
      </c>
      <c r="O37" s="375">
        <v>45706</v>
      </c>
      <c r="P37" s="375">
        <v>45706</v>
      </c>
      <c r="Q37" s="128" t="s">
        <v>822</v>
      </c>
      <c r="R37" s="128" t="s">
        <v>2499</v>
      </c>
      <c r="S37" s="128" t="s">
        <v>3241</v>
      </c>
      <c r="T37" s="128" t="s">
        <v>823</v>
      </c>
      <c r="U37" s="128" t="s">
        <v>883</v>
      </c>
      <c r="V37" s="128" t="s">
        <v>2180</v>
      </c>
      <c r="W37" s="128" t="s">
        <v>2175</v>
      </c>
      <c r="X37" s="470">
        <v>1000000</v>
      </c>
      <c r="Y37" s="470">
        <v>117273</v>
      </c>
      <c r="Z37" s="470">
        <v>947</v>
      </c>
      <c r="AA37" s="472">
        <f t="shared" si="12"/>
        <v>118220</v>
      </c>
      <c r="AB37" s="472">
        <f t="shared" si="13"/>
        <v>118220000000</v>
      </c>
      <c r="AD37" s="470">
        <v>-4126000000</v>
      </c>
      <c r="AE37" s="472">
        <f>_xlfn.XLOOKUP(M37,RP_SEC!AB:AB,RP_SEC!AN:AN,0,0)</f>
        <v>-14497000000</v>
      </c>
      <c r="AF37" s="472">
        <f t="shared" si="18"/>
        <v>2</v>
      </c>
      <c r="AG37" s="481">
        <f t="shared" si="19"/>
        <v>2025</v>
      </c>
      <c r="AH37" s="470"/>
    </row>
    <row r="38" spans="10:34" x14ac:dyDescent="0.3">
      <c r="J38" s="375"/>
      <c r="K38" s="375"/>
      <c r="L38" s="11">
        <v>18</v>
      </c>
      <c r="M38" s="128">
        <v>45359</v>
      </c>
      <c r="N38" s="375">
        <v>45698</v>
      </c>
      <c r="O38" s="375">
        <v>45705</v>
      </c>
      <c r="P38" s="375">
        <v>45705</v>
      </c>
      <c r="Q38" s="128" t="s">
        <v>2728</v>
      </c>
      <c r="R38" s="128" t="s">
        <v>2503</v>
      </c>
      <c r="S38" s="128" t="s">
        <v>3241</v>
      </c>
      <c r="T38" s="128" t="s">
        <v>823</v>
      </c>
      <c r="U38" s="128" t="s">
        <v>884</v>
      </c>
      <c r="V38" s="128" t="s">
        <v>824</v>
      </c>
      <c r="W38" s="128" t="s">
        <v>2174</v>
      </c>
      <c r="X38" s="470">
        <v>2000000</v>
      </c>
      <c r="Y38" s="470">
        <v>107649</v>
      </c>
      <c r="Z38" s="470">
        <v>2822</v>
      </c>
      <c r="AA38" s="472">
        <f t="shared" si="12"/>
        <v>110471</v>
      </c>
      <c r="AB38" s="472">
        <f t="shared" si="13"/>
        <v>220942000000</v>
      </c>
      <c r="AD38" s="470">
        <v>-10960000000</v>
      </c>
      <c r="AE38" s="472">
        <f>_xlfn.XLOOKUP(M38,RP_SEC!AB:AB,RP_SEC!AN:AN,0,0)</f>
        <v>0</v>
      </c>
      <c r="AF38" s="472">
        <f t="shared" si="18"/>
        <v>2</v>
      </c>
      <c r="AG38" s="481">
        <f t="shared" si="19"/>
        <v>2025</v>
      </c>
      <c r="AH38" s="470"/>
    </row>
    <row r="39" spans="10:34" x14ac:dyDescent="0.3">
      <c r="J39" s="375"/>
      <c r="K39" s="375"/>
      <c r="L39" s="11">
        <v>18</v>
      </c>
      <c r="M39" s="128">
        <v>45427</v>
      </c>
      <c r="N39" s="375">
        <v>45702</v>
      </c>
      <c r="O39" s="375">
        <v>45706</v>
      </c>
      <c r="P39" s="375">
        <v>45706</v>
      </c>
      <c r="Q39" s="128" t="s">
        <v>822</v>
      </c>
      <c r="R39" s="128" t="s">
        <v>2503</v>
      </c>
      <c r="S39" s="128" t="s">
        <v>3241</v>
      </c>
      <c r="T39" s="128" t="s">
        <v>823</v>
      </c>
      <c r="U39" s="128" t="s">
        <v>884</v>
      </c>
      <c r="V39" s="128" t="s">
        <v>2180</v>
      </c>
      <c r="W39" s="128" t="s">
        <v>2175</v>
      </c>
      <c r="X39" s="470">
        <v>2000000</v>
      </c>
      <c r="Y39" s="470">
        <v>107664</v>
      </c>
      <c r="Z39" s="470">
        <v>2832</v>
      </c>
      <c r="AA39" s="472">
        <f t="shared" si="12"/>
        <v>110496</v>
      </c>
      <c r="AB39" s="472">
        <f t="shared" si="13"/>
        <v>220992000000</v>
      </c>
      <c r="AD39" s="470">
        <v>-11930000000</v>
      </c>
      <c r="AE39" s="472">
        <f>_xlfn.XLOOKUP(M39,RP_SEC!AB:AB,RP_SEC!AN:AN,0,0)</f>
        <v>0</v>
      </c>
      <c r="AF39" s="472">
        <f t="shared" si="18"/>
        <v>2</v>
      </c>
      <c r="AG39" s="481">
        <f t="shared" si="19"/>
        <v>2025</v>
      </c>
      <c r="AH39" s="470"/>
    </row>
    <row r="40" spans="10:34" x14ac:dyDescent="0.3">
      <c r="J40" s="375"/>
      <c r="K40" s="375"/>
      <c r="L40" s="11">
        <v>19</v>
      </c>
      <c r="M40" s="128">
        <v>45408</v>
      </c>
      <c r="N40" s="375">
        <v>45700</v>
      </c>
      <c r="O40" s="375">
        <v>45707</v>
      </c>
      <c r="P40" s="375">
        <v>45707</v>
      </c>
      <c r="Q40" s="128" t="s">
        <v>2728</v>
      </c>
      <c r="R40" s="128" t="s">
        <v>2741</v>
      </c>
      <c r="S40" s="128" t="s">
        <v>3237</v>
      </c>
      <c r="T40" s="128" t="s">
        <v>823</v>
      </c>
      <c r="U40" s="128" t="s">
        <v>884</v>
      </c>
      <c r="V40" s="128" t="s">
        <v>824</v>
      </c>
      <c r="W40" s="128" t="s">
        <v>2174</v>
      </c>
      <c r="X40" s="470">
        <v>3000000</v>
      </c>
      <c r="Y40" s="470">
        <v>100144</v>
      </c>
      <c r="Z40" s="470">
        <v>1856</v>
      </c>
      <c r="AA40" s="472">
        <f t="shared" si="12"/>
        <v>102000</v>
      </c>
      <c r="AB40" s="472">
        <f t="shared" si="13"/>
        <v>306000000000</v>
      </c>
      <c r="AD40" s="470">
        <v>-15681000000</v>
      </c>
      <c r="AE40" s="472">
        <f>_xlfn.XLOOKUP(M40,RP_SEC!AB:AB,RP_SEC!AN:AN,0,0)</f>
        <v>0</v>
      </c>
      <c r="AF40" s="472">
        <f t="shared" si="18"/>
        <v>2</v>
      </c>
      <c r="AG40" s="481">
        <f t="shared" si="19"/>
        <v>2025</v>
      </c>
      <c r="AH40" s="470"/>
    </row>
    <row r="41" spans="10:34" x14ac:dyDescent="0.3">
      <c r="J41" s="375"/>
      <c r="K41" s="375"/>
      <c r="L41" s="11">
        <v>19</v>
      </c>
      <c r="M41" s="128">
        <v>45432</v>
      </c>
      <c r="N41" s="375">
        <v>45702</v>
      </c>
      <c r="O41" s="375">
        <v>45708</v>
      </c>
      <c r="P41" s="375">
        <v>45708</v>
      </c>
      <c r="Q41" s="128" t="s">
        <v>822</v>
      </c>
      <c r="R41" s="128" t="s">
        <v>2741</v>
      </c>
      <c r="S41" s="128" t="s">
        <v>3237</v>
      </c>
      <c r="T41" s="128" t="s">
        <v>823</v>
      </c>
      <c r="U41" s="128" t="s">
        <v>884</v>
      </c>
      <c r="V41" s="128" t="s">
        <v>2180</v>
      </c>
      <c r="W41" s="128" t="s">
        <v>2175</v>
      </c>
      <c r="X41" s="470">
        <v>3000000</v>
      </c>
      <c r="Y41" s="470">
        <v>100654</v>
      </c>
      <c r="Z41" s="470">
        <v>1864</v>
      </c>
      <c r="AA41" s="472">
        <f t="shared" si="12"/>
        <v>102518</v>
      </c>
      <c r="AB41" s="472">
        <f t="shared" si="13"/>
        <v>307554000000</v>
      </c>
      <c r="AD41" s="470">
        <v>-16260000000</v>
      </c>
      <c r="AE41" s="472">
        <f>_xlfn.XLOOKUP(M41,RP_SEC!AB:AB,RP_SEC!AN:AN,0,0)</f>
        <v>-47922000000</v>
      </c>
      <c r="AF41" s="472">
        <f t="shared" si="18"/>
        <v>2</v>
      </c>
      <c r="AG41" s="481">
        <f t="shared" si="19"/>
        <v>2025</v>
      </c>
      <c r="AH41" s="470"/>
    </row>
    <row r="42" spans="10:34" x14ac:dyDescent="0.3">
      <c r="J42" s="375"/>
      <c r="K42" s="375"/>
      <c r="L42" s="11">
        <v>20</v>
      </c>
      <c r="M42" s="128">
        <v>45360</v>
      </c>
      <c r="N42" s="375">
        <v>45698</v>
      </c>
      <c r="O42" s="375">
        <v>45705</v>
      </c>
      <c r="P42" s="375">
        <v>45705</v>
      </c>
      <c r="Q42" s="128" t="s">
        <v>2728</v>
      </c>
      <c r="R42" s="128" t="s">
        <v>2741</v>
      </c>
      <c r="S42" s="128" t="s">
        <v>3241</v>
      </c>
      <c r="T42" s="128" t="s">
        <v>823</v>
      </c>
      <c r="U42" s="128" t="s">
        <v>884</v>
      </c>
      <c r="V42" s="128" t="s">
        <v>824</v>
      </c>
      <c r="W42" s="128" t="s">
        <v>2174</v>
      </c>
      <c r="X42" s="470">
        <v>1000000</v>
      </c>
      <c r="Y42" s="470">
        <v>101211</v>
      </c>
      <c r="Z42" s="470">
        <v>1841</v>
      </c>
      <c r="AA42" s="472">
        <f t="shared" si="12"/>
        <v>103052</v>
      </c>
      <c r="AB42" s="472">
        <f t="shared" si="13"/>
        <v>103052000000</v>
      </c>
      <c r="AD42" s="470">
        <v>-5464000000</v>
      </c>
      <c r="AE42" s="472">
        <f>_xlfn.XLOOKUP(M42,RP_SEC!AB:AB,RP_SEC!AN:AN,0,0)</f>
        <v>0</v>
      </c>
      <c r="AF42" s="472">
        <f t="shared" si="18"/>
        <v>2</v>
      </c>
      <c r="AG42" s="481">
        <f t="shared" si="19"/>
        <v>2025</v>
      </c>
      <c r="AH42" s="470"/>
    </row>
    <row r="43" spans="10:34" x14ac:dyDescent="0.3">
      <c r="J43" s="375"/>
      <c r="K43" s="375"/>
      <c r="L43" s="11">
        <v>20</v>
      </c>
      <c r="M43" s="128">
        <v>45428</v>
      </c>
      <c r="N43" s="375">
        <v>45702</v>
      </c>
      <c r="O43" s="375">
        <v>45706</v>
      </c>
      <c r="P43" s="375">
        <v>45706</v>
      </c>
      <c r="Q43" s="128" t="s">
        <v>822</v>
      </c>
      <c r="R43" s="128" t="s">
        <v>2741</v>
      </c>
      <c r="S43" s="128" t="s">
        <v>3241</v>
      </c>
      <c r="T43" s="128" t="s">
        <v>823</v>
      </c>
      <c r="U43" s="128" t="s">
        <v>884</v>
      </c>
      <c r="V43" s="128" t="s">
        <v>2180</v>
      </c>
      <c r="W43" s="128" t="s">
        <v>2175</v>
      </c>
      <c r="X43" s="470">
        <v>1000000</v>
      </c>
      <c r="Y43" s="470">
        <v>101211</v>
      </c>
      <c r="Z43" s="470">
        <v>1849</v>
      </c>
      <c r="AA43" s="472">
        <f t="shared" si="12"/>
        <v>103060</v>
      </c>
      <c r="AB43" s="472">
        <f t="shared" si="13"/>
        <v>103060000000</v>
      </c>
      <c r="AD43" s="470">
        <v>-5977000000</v>
      </c>
      <c r="AE43" s="472">
        <f>_xlfn.XLOOKUP(M43,RP_SEC!AB:AB,RP_SEC!AN:AN,0,0)</f>
        <v>-16531000000</v>
      </c>
      <c r="AF43" s="472">
        <f t="shared" si="18"/>
        <v>2</v>
      </c>
      <c r="AG43" s="481">
        <f t="shared" si="19"/>
        <v>2025</v>
      </c>
      <c r="AH43" s="470"/>
    </row>
    <row r="44" spans="10:34" x14ac:dyDescent="0.3">
      <c r="J44" s="375"/>
      <c r="K44" s="375"/>
      <c r="L44" s="11">
        <v>21</v>
      </c>
      <c r="M44" s="128">
        <v>45406</v>
      </c>
      <c r="N44" s="375">
        <v>45700</v>
      </c>
      <c r="O44" s="375">
        <v>45708</v>
      </c>
      <c r="P44" s="375">
        <v>45708</v>
      </c>
      <c r="Q44" s="128" t="s">
        <v>2728</v>
      </c>
      <c r="R44" s="128" t="s">
        <v>2786</v>
      </c>
      <c r="S44" s="128" t="s">
        <v>3241</v>
      </c>
      <c r="T44" s="128" t="s">
        <v>823</v>
      </c>
      <c r="U44" s="128" t="s">
        <v>884</v>
      </c>
      <c r="V44" s="128" t="s">
        <v>2182</v>
      </c>
      <c r="W44" s="128" t="s">
        <v>2174</v>
      </c>
      <c r="X44" s="470">
        <v>1000000</v>
      </c>
      <c r="Y44" s="470">
        <v>98150</v>
      </c>
      <c r="Z44" s="470">
        <v>883</v>
      </c>
      <c r="AA44" s="472">
        <f t="shared" si="12"/>
        <v>99033</v>
      </c>
      <c r="AB44" s="472">
        <f t="shared" si="13"/>
        <v>99033000000</v>
      </c>
      <c r="AD44" s="470">
        <v>-5929000000</v>
      </c>
      <c r="AE44" s="472">
        <f>_xlfn.XLOOKUP(M44,RP_SEC!AB:AB,RP_SEC!AN:AN,0,0)</f>
        <v>0</v>
      </c>
      <c r="AF44" s="472">
        <f t="shared" si="18"/>
        <v>2</v>
      </c>
      <c r="AG44" s="481">
        <f t="shared" si="19"/>
        <v>2025</v>
      </c>
      <c r="AH44" s="470"/>
    </row>
    <row r="45" spans="10:34" x14ac:dyDescent="0.3">
      <c r="J45" s="375"/>
      <c r="K45" s="375"/>
      <c r="L45" s="11">
        <v>21</v>
      </c>
      <c r="M45" s="128">
        <v>45407</v>
      </c>
      <c r="N45" s="375">
        <v>45700</v>
      </c>
      <c r="O45" s="375">
        <v>45708</v>
      </c>
      <c r="P45" s="375">
        <v>45708</v>
      </c>
      <c r="Q45" s="128" t="s">
        <v>2728</v>
      </c>
      <c r="R45" s="128" t="s">
        <v>2786</v>
      </c>
      <c r="S45" s="128" t="s">
        <v>3241</v>
      </c>
      <c r="T45" s="128" t="s">
        <v>823</v>
      </c>
      <c r="U45" s="128" t="s">
        <v>884</v>
      </c>
      <c r="V45" s="128" t="s">
        <v>824</v>
      </c>
      <c r="W45" s="128" t="s">
        <v>2174</v>
      </c>
      <c r="X45" s="470">
        <v>2000000</v>
      </c>
      <c r="Y45" s="470">
        <v>98150</v>
      </c>
      <c r="Z45" s="470">
        <v>883</v>
      </c>
      <c r="AA45" s="472">
        <f t="shared" si="12"/>
        <v>99033</v>
      </c>
      <c r="AB45" s="472">
        <f t="shared" si="13"/>
        <v>198066000000</v>
      </c>
      <c r="AD45" s="470">
        <v>-10310000000</v>
      </c>
      <c r="AE45" s="472">
        <f>_xlfn.XLOOKUP(M45,RP_SEC!AB:AB,RP_SEC!AN:AN,0,0)</f>
        <v>0</v>
      </c>
      <c r="AF45" s="472">
        <f t="shared" si="18"/>
        <v>2</v>
      </c>
      <c r="AG45" s="481">
        <f t="shared" si="19"/>
        <v>2025</v>
      </c>
      <c r="AH45" s="470"/>
    </row>
    <row r="46" spans="10:34" x14ac:dyDescent="0.3">
      <c r="J46" s="375"/>
      <c r="K46" s="375"/>
      <c r="L46" s="11">
        <v>21</v>
      </c>
      <c r="M46" s="128">
        <v>45429</v>
      </c>
      <c r="N46" s="375">
        <v>45702</v>
      </c>
      <c r="O46" s="375">
        <v>45709</v>
      </c>
      <c r="P46" s="375">
        <v>45709</v>
      </c>
      <c r="Q46" s="128" t="s">
        <v>822</v>
      </c>
      <c r="R46" s="128" t="s">
        <v>2786</v>
      </c>
      <c r="S46" s="128" t="s">
        <v>3241</v>
      </c>
      <c r="T46" s="128" t="s">
        <v>823</v>
      </c>
      <c r="U46" s="128" t="s">
        <v>884</v>
      </c>
      <c r="V46" s="128" t="s">
        <v>2180</v>
      </c>
      <c r="W46" s="128" t="s">
        <v>2175</v>
      </c>
      <c r="X46" s="470">
        <v>3000000</v>
      </c>
      <c r="Y46" s="470">
        <v>98415</v>
      </c>
      <c r="Z46" s="470">
        <v>890</v>
      </c>
      <c r="AA46" s="472">
        <f t="shared" si="12"/>
        <v>99305</v>
      </c>
      <c r="AB46" s="472">
        <f t="shared" si="13"/>
        <v>297915000000</v>
      </c>
      <c r="AD46" s="470">
        <v>-16713000000</v>
      </c>
      <c r="AE46" s="472">
        <f>_xlfn.XLOOKUP(M46,RP_SEC!AB:AB,RP_SEC!AN:AN,0,0)</f>
        <v>-47898000000</v>
      </c>
      <c r="AF46" s="472">
        <f t="shared" si="18"/>
        <v>2</v>
      </c>
      <c r="AG46" s="481">
        <f t="shared" si="19"/>
        <v>2025</v>
      </c>
      <c r="AH46" s="470"/>
    </row>
    <row r="47" spans="10:34" x14ac:dyDescent="0.3">
      <c r="J47" s="375"/>
      <c r="K47" s="375"/>
      <c r="L47" s="11">
        <v>22</v>
      </c>
      <c r="M47" s="128">
        <v>45443</v>
      </c>
      <c r="N47" s="375">
        <v>45706</v>
      </c>
      <c r="O47" s="375">
        <v>45708</v>
      </c>
      <c r="P47" s="375">
        <v>45708</v>
      </c>
      <c r="Q47" s="128" t="s">
        <v>2728</v>
      </c>
      <c r="R47" s="128" t="s">
        <v>2503</v>
      </c>
      <c r="S47" s="128" t="s">
        <v>3242</v>
      </c>
      <c r="T47" s="128" t="s">
        <v>823</v>
      </c>
      <c r="U47" s="128" t="s">
        <v>884</v>
      </c>
      <c r="V47" s="128" t="s">
        <v>824</v>
      </c>
      <c r="W47" s="128" t="s">
        <v>2174</v>
      </c>
      <c r="X47" s="470">
        <v>1500000</v>
      </c>
      <c r="Y47" s="470">
        <v>107589</v>
      </c>
      <c r="Z47" s="470">
        <v>2850</v>
      </c>
      <c r="AA47" s="472">
        <f t="shared" si="12"/>
        <v>110439</v>
      </c>
      <c r="AB47" s="472">
        <f t="shared" si="13"/>
        <v>165658500000</v>
      </c>
      <c r="AD47" s="470">
        <v>-8872500000</v>
      </c>
      <c r="AE47" s="472">
        <f>_xlfn.XLOOKUP(M47,RP_SEC!AB:AB,RP_SEC!AN:AN,0,0)</f>
        <v>0</v>
      </c>
      <c r="AF47" s="472">
        <f t="shared" si="18"/>
        <v>2</v>
      </c>
      <c r="AG47" s="481">
        <f t="shared" si="19"/>
        <v>2025</v>
      </c>
      <c r="AH47" s="470"/>
    </row>
    <row r="48" spans="10:34" x14ac:dyDescent="0.3">
      <c r="J48" s="375"/>
      <c r="K48" s="375"/>
      <c r="L48" s="11">
        <v>22</v>
      </c>
      <c r="M48" s="128">
        <v>45447</v>
      </c>
      <c r="N48" s="375">
        <v>45706</v>
      </c>
      <c r="O48" s="375">
        <v>45719</v>
      </c>
      <c r="P48" s="375">
        <v>45719</v>
      </c>
      <c r="Q48" s="128" t="s">
        <v>822</v>
      </c>
      <c r="R48" s="128" t="s">
        <v>2503</v>
      </c>
      <c r="S48" s="128" t="s">
        <v>3242</v>
      </c>
      <c r="T48" s="128" t="s">
        <v>823</v>
      </c>
      <c r="U48" s="128" t="s">
        <v>884</v>
      </c>
      <c r="V48" s="128" t="s">
        <v>2180</v>
      </c>
      <c r="W48" s="128" t="s">
        <v>2175</v>
      </c>
      <c r="X48" s="470">
        <v>1500000</v>
      </c>
      <c r="Y48" s="470">
        <v>107648</v>
      </c>
      <c r="Z48" s="470">
        <v>2953</v>
      </c>
      <c r="AA48" s="472">
        <f t="shared" si="12"/>
        <v>110601</v>
      </c>
      <c r="AB48" s="472">
        <f t="shared" si="13"/>
        <v>165901500000</v>
      </c>
      <c r="AD48" s="470">
        <v>-8827500000</v>
      </c>
      <c r="AE48" s="472">
        <f>_xlfn.XLOOKUP(M48,RP_SEC!AB:AB,RP_SEC!AN:AN,0,0)</f>
        <v>0</v>
      </c>
      <c r="AF48" s="472">
        <f t="shared" si="18"/>
        <v>2</v>
      </c>
      <c r="AG48" s="481">
        <f t="shared" si="19"/>
        <v>2025</v>
      </c>
      <c r="AH48" s="470"/>
    </row>
    <row r="49" spans="10:34" x14ac:dyDescent="0.3">
      <c r="J49" s="375"/>
      <c r="K49" s="375"/>
      <c r="L49" s="11">
        <v>23</v>
      </c>
      <c r="M49" s="128">
        <v>45417</v>
      </c>
      <c r="N49" s="375">
        <v>45701</v>
      </c>
      <c r="O49" s="375">
        <v>45712</v>
      </c>
      <c r="P49" s="375">
        <v>45712</v>
      </c>
      <c r="Q49" s="128" t="s">
        <v>2728</v>
      </c>
      <c r="R49" s="128" t="s">
        <v>2741</v>
      </c>
      <c r="S49" s="128" t="s">
        <v>3243</v>
      </c>
      <c r="T49" s="128" t="s">
        <v>823</v>
      </c>
      <c r="U49" s="128" t="s">
        <v>884</v>
      </c>
      <c r="V49" s="128" t="s">
        <v>824</v>
      </c>
      <c r="W49" s="128" t="s">
        <v>2174</v>
      </c>
      <c r="X49" s="470">
        <v>1000000</v>
      </c>
      <c r="Y49" s="470">
        <v>101098</v>
      </c>
      <c r="Z49" s="470">
        <v>1895</v>
      </c>
      <c r="AA49" s="472">
        <f t="shared" si="12"/>
        <v>102993</v>
      </c>
      <c r="AB49" s="472">
        <f t="shared" si="13"/>
        <v>102993000000</v>
      </c>
      <c r="AD49" s="470">
        <v>-5876000000</v>
      </c>
      <c r="AE49" s="472">
        <f>_xlfn.XLOOKUP(M49,RP_SEC!AB:AB,RP_SEC!AN:AN,0,0)</f>
        <v>0</v>
      </c>
      <c r="AF49" s="472">
        <f t="shared" si="18"/>
        <v>2</v>
      </c>
      <c r="AG49" s="481">
        <f t="shared" si="19"/>
        <v>2025</v>
      </c>
      <c r="AH49" s="470"/>
    </row>
    <row r="50" spans="10:34" x14ac:dyDescent="0.3">
      <c r="J50" s="375"/>
      <c r="K50" s="375"/>
      <c r="L50" s="11">
        <v>23</v>
      </c>
      <c r="M50" s="128">
        <v>45449</v>
      </c>
      <c r="N50" s="375">
        <v>45706</v>
      </c>
      <c r="O50" s="375">
        <v>45716</v>
      </c>
      <c r="P50" s="375">
        <v>45716</v>
      </c>
      <c r="Q50" s="128" t="s">
        <v>822</v>
      </c>
      <c r="R50" s="128" t="s">
        <v>2741</v>
      </c>
      <c r="S50" s="128" t="s">
        <v>3243</v>
      </c>
      <c r="T50" s="128" t="s">
        <v>823</v>
      </c>
      <c r="U50" s="128" t="s">
        <v>884</v>
      </c>
      <c r="V50" s="128" t="s">
        <v>2180</v>
      </c>
      <c r="W50" s="128" t="s">
        <v>2175</v>
      </c>
      <c r="X50" s="470">
        <v>1000000</v>
      </c>
      <c r="Y50" s="470">
        <v>101098</v>
      </c>
      <c r="Z50" s="470">
        <v>1925</v>
      </c>
      <c r="AA50" s="472">
        <f t="shared" si="12"/>
        <v>103023</v>
      </c>
      <c r="AB50" s="472">
        <f t="shared" si="13"/>
        <v>103023000000</v>
      </c>
      <c r="AD50" s="470">
        <v>-5797000000</v>
      </c>
      <c r="AE50" s="472">
        <f>_xlfn.XLOOKUP(M50,RP_SEC!AB:AB,RP_SEC!AN:AN,0,0)</f>
        <v>-16418000000</v>
      </c>
      <c r="AF50" s="472">
        <f t="shared" si="18"/>
        <v>2</v>
      </c>
      <c r="AG50" s="481">
        <f t="shared" si="19"/>
        <v>2025</v>
      </c>
      <c r="AH50" s="470"/>
    </row>
    <row r="51" spans="10:34" x14ac:dyDescent="0.3">
      <c r="J51" s="375"/>
      <c r="K51" s="375"/>
      <c r="L51" s="11">
        <v>24</v>
      </c>
      <c r="M51" s="128">
        <v>45437</v>
      </c>
      <c r="N51" s="375">
        <v>45705</v>
      </c>
      <c r="O51" s="375">
        <v>45707</v>
      </c>
      <c r="P51" s="375">
        <v>45707</v>
      </c>
      <c r="Q51" s="128" t="s">
        <v>2728</v>
      </c>
      <c r="R51" s="128" t="s">
        <v>2741</v>
      </c>
      <c r="S51" s="128" t="s">
        <v>3202</v>
      </c>
      <c r="T51" s="128" t="s">
        <v>823</v>
      </c>
      <c r="U51" s="128" t="s">
        <v>884</v>
      </c>
      <c r="V51" s="128" t="s">
        <v>824</v>
      </c>
      <c r="W51" s="128" t="s">
        <v>2174</v>
      </c>
      <c r="X51" s="470">
        <v>1500000</v>
      </c>
      <c r="Y51" s="470">
        <v>101206</v>
      </c>
      <c r="Z51" s="470">
        <v>1856</v>
      </c>
      <c r="AA51" s="472">
        <f t="shared" si="12"/>
        <v>103062</v>
      </c>
      <c r="AB51" s="472">
        <f t="shared" si="13"/>
        <v>154593000000</v>
      </c>
      <c r="AD51" s="470">
        <v>-8863500000</v>
      </c>
      <c r="AE51" s="472">
        <f>_xlfn.XLOOKUP(M51,RP_SEC!AB:AB,RP_SEC!AN:AN,0,0)</f>
        <v>0</v>
      </c>
      <c r="AF51" s="472">
        <f t="shared" si="18"/>
        <v>2</v>
      </c>
      <c r="AG51" s="481">
        <f t="shared" si="19"/>
        <v>2025</v>
      </c>
      <c r="AH51" s="470"/>
    </row>
    <row r="52" spans="10:34" x14ac:dyDescent="0.3">
      <c r="J52" s="375"/>
      <c r="K52" s="375"/>
      <c r="L52" s="11">
        <v>24</v>
      </c>
      <c r="M52" s="128">
        <v>45440</v>
      </c>
      <c r="N52" s="375">
        <v>45706</v>
      </c>
      <c r="O52" s="375">
        <v>45708</v>
      </c>
      <c r="P52" s="375">
        <v>45708</v>
      </c>
      <c r="Q52" s="128" t="s">
        <v>822</v>
      </c>
      <c r="R52" s="128" t="s">
        <v>2741</v>
      </c>
      <c r="S52" s="128" t="s">
        <v>3202</v>
      </c>
      <c r="T52" s="128" t="s">
        <v>823</v>
      </c>
      <c r="U52" s="128" t="s">
        <v>884</v>
      </c>
      <c r="V52" s="128" t="s">
        <v>2180</v>
      </c>
      <c r="W52" s="128" t="s">
        <v>2175</v>
      </c>
      <c r="X52" s="470">
        <v>1500000</v>
      </c>
      <c r="Y52" s="470">
        <v>101211</v>
      </c>
      <c r="Z52" s="470">
        <v>1864</v>
      </c>
      <c r="AA52" s="472">
        <f t="shared" si="12"/>
        <v>103075</v>
      </c>
      <c r="AB52" s="472">
        <f t="shared" si="13"/>
        <v>154612500000</v>
      </c>
      <c r="AD52" s="470">
        <v>-8865000000</v>
      </c>
      <c r="AE52" s="472">
        <f>_xlfn.XLOOKUP(M52,RP_SEC!AB:AB,RP_SEC!AN:AN,0,0)</f>
        <v>-24796500000</v>
      </c>
      <c r="AF52" s="472">
        <f t="shared" si="18"/>
        <v>2</v>
      </c>
      <c r="AG52" s="481">
        <f t="shared" si="19"/>
        <v>2025</v>
      </c>
      <c r="AH52" s="470"/>
    </row>
    <row r="53" spans="10:34" x14ac:dyDescent="0.3">
      <c r="J53" s="375"/>
      <c r="K53" s="375"/>
      <c r="L53" s="11">
        <v>25</v>
      </c>
      <c r="M53" s="128">
        <v>45444</v>
      </c>
      <c r="N53" s="375">
        <v>45706</v>
      </c>
      <c r="O53" s="375">
        <v>45708</v>
      </c>
      <c r="P53" s="375">
        <v>45708</v>
      </c>
      <c r="Q53" s="128" t="s">
        <v>2728</v>
      </c>
      <c r="R53" s="128" t="s">
        <v>2835</v>
      </c>
      <c r="S53" s="128" t="s">
        <v>3242</v>
      </c>
      <c r="T53" s="128" t="s">
        <v>823</v>
      </c>
      <c r="U53" s="128" t="s">
        <v>884</v>
      </c>
      <c r="V53" s="128" t="s">
        <v>824</v>
      </c>
      <c r="W53" s="128" t="s">
        <v>2174</v>
      </c>
      <c r="X53" s="470">
        <v>3500000</v>
      </c>
      <c r="Y53" s="470">
        <v>97804</v>
      </c>
      <c r="Z53" s="470">
        <v>2123</v>
      </c>
      <c r="AA53" s="472">
        <f t="shared" si="12"/>
        <v>99927</v>
      </c>
      <c r="AB53" s="472">
        <f t="shared" si="13"/>
        <v>349744500000</v>
      </c>
      <c r="AD53" s="470">
        <v>-14595000000</v>
      </c>
      <c r="AE53" s="472">
        <f>_xlfn.XLOOKUP(M53,RP_SEC!AB:AB,RP_SEC!AN:AN,0,0)</f>
        <v>0</v>
      </c>
      <c r="AF53" s="472">
        <f t="shared" si="18"/>
        <v>2</v>
      </c>
      <c r="AG53" s="481">
        <f t="shared" si="19"/>
        <v>2025</v>
      </c>
      <c r="AH53" s="470"/>
    </row>
    <row r="54" spans="10:34" x14ac:dyDescent="0.3">
      <c r="J54" s="375"/>
      <c r="K54" s="375"/>
      <c r="L54" s="11">
        <v>25</v>
      </c>
      <c r="M54" s="128">
        <v>45448</v>
      </c>
      <c r="N54" s="375">
        <v>45706</v>
      </c>
      <c r="O54" s="375">
        <v>45719</v>
      </c>
      <c r="P54" s="375">
        <v>45719</v>
      </c>
      <c r="Q54" s="128" t="s">
        <v>822</v>
      </c>
      <c r="R54" s="128" t="s">
        <v>2835</v>
      </c>
      <c r="S54" s="128" t="s">
        <v>3242</v>
      </c>
      <c r="T54" s="128" t="s">
        <v>823</v>
      </c>
      <c r="U54" s="128" t="s">
        <v>884</v>
      </c>
      <c r="V54" s="128" t="s">
        <v>2180</v>
      </c>
      <c r="W54" s="128" t="s">
        <v>2175</v>
      </c>
      <c r="X54" s="470">
        <v>3500000</v>
      </c>
      <c r="Y54" s="470">
        <v>97809</v>
      </c>
      <c r="Z54" s="470">
        <v>2204</v>
      </c>
      <c r="AA54" s="472">
        <f t="shared" si="12"/>
        <v>100013</v>
      </c>
      <c r="AB54" s="472">
        <f t="shared" si="13"/>
        <v>350045500000</v>
      </c>
      <c r="AD54" s="470">
        <v>-14651000000</v>
      </c>
      <c r="AE54" s="472">
        <f>_xlfn.XLOOKUP(M54,RP_SEC!AB:AB,RP_SEC!AN:AN,0,0)</f>
        <v>-52955000000</v>
      </c>
      <c r="AF54" s="472">
        <f t="shared" si="18"/>
        <v>2</v>
      </c>
      <c r="AG54" s="481">
        <f t="shared" si="19"/>
        <v>2025</v>
      </c>
      <c r="AH54" s="470"/>
    </row>
    <row r="55" spans="10:34" x14ac:dyDescent="0.3">
      <c r="J55" s="375"/>
      <c r="K55" s="375"/>
      <c r="L55" s="11">
        <v>26</v>
      </c>
      <c r="M55" s="128">
        <v>45498</v>
      </c>
      <c r="N55" s="375">
        <v>45708</v>
      </c>
      <c r="O55" s="375">
        <v>45712</v>
      </c>
      <c r="P55" s="375">
        <v>45712</v>
      </c>
      <c r="Q55" s="128" t="s">
        <v>2728</v>
      </c>
      <c r="R55" s="128" t="s">
        <v>2835</v>
      </c>
      <c r="S55" s="128" t="s">
        <v>3202</v>
      </c>
      <c r="T55" s="128" t="s">
        <v>823</v>
      </c>
      <c r="U55" s="128" t="s">
        <v>884</v>
      </c>
      <c r="V55" s="128" t="s">
        <v>824</v>
      </c>
      <c r="W55" s="128" t="s">
        <v>2174</v>
      </c>
      <c r="X55" s="470">
        <v>2000000</v>
      </c>
      <c r="Y55" s="470">
        <v>98062</v>
      </c>
      <c r="Z55" s="470">
        <v>2153</v>
      </c>
      <c r="AA55" s="472">
        <f t="shared" si="12"/>
        <v>100215</v>
      </c>
      <c r="AB55" s="472">
        <f t="shared" si="13"/>
        <v>200430000000</v>
      </c>
      <c r="AD55" s="470">
        <v>-8250000000</v>
      </c>
      <c r="AE55" s="472">
        <f>_xlfn.XLOOKUP(M55,RP_SEC!AB:AB,RP_SEC!AN:AN,0,0)</f>
        <v>0</v>
      </c>
      <c r="AF55" s="472">
        <f t="shared" si="18"/>
        <v>2</v>
      </c>
      <c r="AG55" s="481">
        <f t="shared" si="19"/>
        <v>2025</v>
      </c>
      <c r="AH55" s="470"/>
    </row>
    <row r="56" spans="10:34" x14ac:dyDescent="0.3">
      <c r="J56" s="375"/>
      <c r="K56" s="375"/>
      <c r="L56" s="11">
        <v>26</v>
      </c>
      <c r="M56" s="128">
        <v>45499</v>
      </c>
      <c r="N56" s="375">
        <v>45708</v>
      </c>
      <c r="O56" s="375">
        <v>45712</v>
      </c>
      <c r="P56" s="375">
        <v>45712</v>
      </c>
      <c r="Q56" s="128" t="s">
        <v>2728</v>
      </c>
      <c r="R56" s="128" t="s">
        <v>2835</v>
      </c>
      <c r="S56" s="128" t="s">
        <v>3202</v>
      </c>
      <c r="T56" s="128" t="s">
        <v>823</v>
      </c>
      <c r="U56" s="128" t="s">
        <v>884</v>
      </c>
      <c r="V56" s="128" t="s">
        <v>824</v>
      </c>
      <c r="W56" s="128" t="s">
        <v>2174</v>
      </c>
      <c r="X56" s="470">
        <v>1000000</v>
      </c>
      <c r="Y56" s="470">
        <v>98031</v>
      </c>
      <c r="Z56" s="470">
        <v>2153</v>
      </c>
      <c r="AA56" s="472">
        <f t="shared" si="12"/>
        <v>100184</v>
      </c>
      <c r="AB56" s="472">
        <f t="shared" si="13"/>
        <v>100184000000</v>
      </c>
      <c r="AD56" s="470">
        <v>-4933000000</v>
      </c>
      <c r="AE56" s="472">
        <f>_xlfn.XLOOKUP(M56,RP_SEC!AB:AB,RP_SEC!AN:AN,0,0)</f>
        <v>0</v>
      </c>
      <c r="AF56" s="472">
        <f t="shared" si="18"/>
        <v>2</v>
      </c>
      <c r="AG56" s="481">
        <f t="shared" si="19"/>
        <v>2025</v>
      </c>
      <c r="AH56" s="470"/>
    </row>
    <row r="57" spans="10:34" x14ac:dyDescent="0.3">
      <c r="J57" s="375"/>
      <c r="K57" s="375"/>
      <c r="L57" s="11">
        <v>26</v>
      </c>
      <c r="M57" s="128">
        <v>45510</v>
      </c>
      <c r="N57" s="375">
        <v>45708</v>
      </c>
      <c r="O57" s="375">
        <v>45713</v>
      </c>
      <c r="P57" s="375">
        <v>45713</v>
      </c>
      <c r="Q57" s="128" t="s">
        <v>822</v>
      </c>
      <c r="R57" s="128" t="s">
        <v>2835</v>
      </c>
      <c r="S57" s="128" t="s">
        <v>3202</v>
      </c>
      <c r="T57" s="128" t="s">
        <v>823</v>
      </c>
      <c r="U57" s="128" t="s">
        <v>884</v>
      </c>
      <c r="V57" s="128" t="s">
        <v>2180</v>
      </c>
      <c r="W57" s="128" t="s">
        <v>2175</v>
      </c>
      <c r="X57" s="470">
        <v>3000000</v>
      </c>
      <c r="Y57" s="470">
        <v>98034</v>
      </c>
      <c r="Z57" s="470">
        <v>2160</v>
      </c>
      <c r="AA57" s="472">
        <f t="shared" si="12"/>
        <v>100194</v>
      </c>
      <c r="AB57" s="472">
        <f t="shared" si="13"/>
        <v>300582000000</v>
      </c>
      <c r="AD57" s="470">
        <v>-13224000000</v>
      </c>
      <c r="AE57" s="472">
        <f>_xlfn.XLOOKUP(M57,RP_SEC!AB:AB,RP_SEC!AN:AN,0,0)</f>
        <v>-46065000000</v>
      </c>
      <c r="AF57" s="472">
        <f t="shared" si="18"/>
        <v>2</v>
      </c>
      <c r="AG57" s="481">
        <f t="shared" si="19"/>
        <v>2025</v>
      </c>
      <c r="AH57" s="470"/>
    </row>
    <row r="58" spans="10:34" x14ac:dyDescent="0.3">
      <c r="J58" s="375"/>
      <c r="K58" s="375"/>
      <c r="L58" s="11">
        <v>27</v>
      </c>
      <c r="M58" s="128">
        <v>45500</v>
      </c>
      <c r="N58" s="375">
        <v>45708</v>
      </c>
      <c r="O58" s="375">
        <v>45712</v>
      </c>
      <c r="P58" s="375">
        <v>45712</v>
      </c>
      <c r="Q58" s="128" t="s">
        <v>2728</v>
      </c>
      <c r="R58" s="128" t="s">
        <v>2503</v>
      </c>
      <c r="S58" s="128" t="s">
        <v>3202</v>
      </c>
      <c r="T58" s="128" t="s">
        <v>823</v>
      </c>
      <c r="U58" s="128" t="s">
        <v>884</v>
      </c>
      <c r="V58" s="128" t="s">
        <v>2179</v>
      </c>
      <c r="W58" s="128" t="s">
        <v>2174</v>
      </c>
      <c r="X58" s="470">
        <v>500000</v>
      </c>
      <c r="Y58" s="470">
        <v>108247</v>
      </c>
      <c r="Z58" s="470">
        <v>2888</v>
      </c>
      <c r="AA58" s="472">
        <f t="shared" si="12"/>
        <v>111135</v>
      </c>
      <c r="AB58" s="472">
        <f t="shared" si="13"/>
        <v>55567500000</v>
      </c>
      <c r="AD58" s="470">
        <v>-3263000000</v>
      </c>
      <c r="AE58" s="472">
        <f>_xlfn.XLOOKUP(M58,RP_SEC!AB:AB,RP_SEC!AN:AN,0,0)</f>
        <v>0</v>
      </c>
      <c r="AF58" s="472">
        <f t="shared" si="18"/>
        <v>2</v>
      </c>
      <c r="AG58" s="481">
        <f t="shared" si="19"/>
        <v>2025</v>
      </c>
      <c r="AH58" s="470"/>
    </row>
    <row r="59" spans="10:34" x14ac:dyDescent="0.3">
      <c r="J59" s="375"/>
      <c r="K59" s="375"/>
      <c r="L59" s="11">
        <v>27</v>
      </c>
      <c r="M59" s="128">
        <v>45511</v>
      </c>
      <c r="N59" s="375">
        <v>45708</v>
      </c>
      <c r="O59" s="375">
        <v>45713</v>
      </c>
      <c r="P59" s="375">
        <v>45713</v>
      </c>
      <c r="Q59" s="128" t="s">
        <v>822</v>
      </c>
      <c r="R59" s="128" t="s">
        <v>2503</v>
      </c>
      <c r="S59" s="128" t="s">
        <v>3202</v>
      </c>
      <c r="T59" s="128" t="s">
        <v>823</v>
      </c>
      <c r="U59" s="128" t="s">
        <v>884</v>
      </c>
      <c r="V59" s="128" t="s">
        <v>2180</v>
      </c>
      <c r="W59" s="128" t="s">
        <v>2175</v>
      </c>
      <c r="X59" s="470">
        <v>500000</v>
      </c>
      <c r="Y59" s="470">
        <v>108230</v>
      </c>
      <c r="Z59" s="470">
        <v>2897</v>
      </c>
      <c r="AA59" s="472">
        <f t="shared" si="12"/>
        <v>111127</v>
      </c>
      <c r="AB59" s="472">
        <f t="shared" si="13"/>
        <v>55563500000</v>
      </c>
      <c r="AD59" s="470">
        <v>-3225000000</v>
      </c>
      <c r="AE59" s="472">
        <f>_xlfn.XLOOKUP(M59,RP_SEC!AB:AB,RP_SEC!AN:AN,0,0)</f>
        <v>-8996500000</v>
      </c>
      <c r="AF59" s="472">
        <f t="shared" si="18"/>
        <v>2</v>
      </c>
      <c r="AG59" s="481">
        <f t="shared" si="19"/>
        <v>2025</v>
      </c>
      <c r="AH59" s="470"/>
    </row>
    <row r="60" spans="10:34" x14ac:dyDescent="0.3">
      <c r="J60" s="375"/>
      <c r="K60" s="375"/>
      <c r="L60" s="11">
        <v>28</v>
      </c>
      <c r="M60" s="128">
        <v>45528</v>
      </c>
      <c r="N60" s="375">
        <v>45709</v>
      </c>
      <c r="O60" s="375">
        <v>45713</v>
      </c>
      <c r="P60" s="375">
        <v>45713</v>
      </c>
      <c r="Q60" s="128" t="s">
        <v>2728</v>
      </c>
      <c r="R60" s="128" t="s">
        <v>2741</v>
      </c>
      <c r="S60" s="128" t="s">
        <v>3238</v>
      </c>
      <c r="T60" s="128" t="s">
        <v>823</v>
      </c>
      <c r="U60" s="128" t="s">
        <v>884</v>
      </c>
      <c r="V60" s="128" t="s">
        <v>824</v>
      </c>
      <c r="W60" s="128" t="s">
        <v>2174</v>
      </c>
      <c r="X60" s="470">
        <v>1500000</v>
      </c>
      <c r="Y60" s="470">
        <v>100767</v>
      </c>
      <c r="Z60" s="470">
        <v>1902</v>
      </c>
      <c r="AA60" s="472">
        <f t="shared" si="12"/>
        <v>102669</v>
      </c>
      <c r="AB60" s="472">
        <f t="shared" si="13"/>
        <v>154003500000</v>
      </c>
      <c r="AD60" s="470">
        <v>-8179500000</v>
      </c>
      <c r="AE60" s="472">
        <f>_xlfn.XLOOKUP(M60,RP_SEC!AB:AB,RP_SEC!AN:AN,0,0)</f>
        <v>0</v>
      </c>
      <c r="AF60" s="472">
        <f t="shared" si="18"/>
        <v>2</v>
      </c>
      <c r="AG60" s="481">
        <f t="shared" si="19"/>
        <v>2025</v>
      </c>
      <c r="AH60" s="470"/>
    </row>
    <row r="61" spans="10:34" x14ac:dyDescent="0.3">
      <c r="J61" s="375"/>
      <c r="K61" s="375"/>
      <c r="L61" s="11">
        <v>28</v>
      </c>
      <c r="M61" s="128">
        <v>45529</v>
      </c>
      <c r="N61" s="375">
        <v>45709</v>
      </c>
      <c r="O61" s="375">
        <v>45714</v>
      </c>
      <c r="P61" s="375">
        <v>45714</v>
      </c>
      <c r="Q61" s="128" t="s">
        <v>822</v>
      </c>
      <c r="R61" s="128" t="s">
        <v>2741</v>
      </c>
      <c r="S61" s="128" t="s">
        <v>3238</v>
      </c>
      <c r="T61" s="128" t="s">
        <v>823</v>
      </c>
      <c r="U61" s="128" t="s">
        <v>884</v>
      </c>
      <c r="V61" s="128" t="s">
        <v>2180</v>
      </c>
      <c r="W61" s="128" t="s">
        <v>2175</v>
      </c>
      <c r="X61" s="470">
        <v>1500000</v>
      </c>
      <c r="Y61" s="470">
        <v>100765</v>
      </c>
      <c r="Z61" s="470">
        <v>1910</v>
      </c>
      <c r="AA61" s="472">
        <f t="shared" si="12"/>
        <v>102675</v>
      </c>
      <c r="AB61" s="472">
        <f t="shared" si="13"/>
        <v>154012500000</v>
      </c>
      <c r="AD61" s="470">
        <v>-8169000000</v>
      </c>
      <c r="AE61" s="472">
        <f>_xlfn.XLOOKUP(M61,RP_SEC!AB:AB,RP_SEC!AN:AN,0,0)</f>
        <v>-24127500000</v>
      </c>
      <c r="AF61" s="472">
        <f t="shared" si="18"/>
        <v>2</v>
      </c>
      <c r="AG61" s="481">
        <f t="shared" si="19"/>
        <v>2025</v>
      </c>
      <c r="AH61" s="470"/>
    </row>
    <row r="62" spans="10:34" x14ac:dyDescent="0.3">
      <c r="J62" s="375"/>
      <c r="K62" s="375"/>
      <c r="L62" s="11">
        <v>29</v>
      </c>
      <c r="M62" s="128">
        <v>45524</v>
      </c>
      <c r="N62" s="375">
        <v>45709</v>
      </c>
      <c r="O62" s="375">
        <v>45713</v>
      </c>
      <c r="P62" s="375">
        <v>45713</v>
      </c>
      <c r="Q62" s="128" t="s">
        <v>2728</v>
      </c>
      <c r="R62" s="128" t="s">
        <v>2843</v>
      </c>
      <c r="S62" s="128" t="s">
        <v>3244</v>
      </c>
      <c r="T62" s="128" t="s">
        <v>907</v>
      </c>
      <c r="U62" s="128" t="s">
        <v>884</v>
      </c>
      <c r="V62" s="128" t="s">
        <v>824</v>
      </c>
      <c r="W62" s="128" t="s">
        <v>2174</v>
      </c>
      <c r="X62" s="470">
        <v>2000000</v>
      </c>
      <c r="Y62" s="470">
        <v>104693</v>
      </c>
      <c r="Z62" s="470">
        <v>986</v>
      </c>
      <c r="AA62" s="472">
        <f t="shared" si="12"/>
        <v>105679</v>
      </c>
      <c r="AB62" s="472">
        <f t="shared" si="13"/>
        <v>211358000000</v>
      </c>
      <c r="AD62" s="470">
        <v>-12912000000</v>
      </c>
      <c r="AE62" s="472">
        <f>_xlfn.XLOOKUP(M62,RP_SEC!AB:AB,RP_SEC!AN:AN,0,0)</f>
        <v>0</v>
      </c>
      <c r="AF62" s="472">
        <f t="shared" si="18"/>
        <v>2</v>
      </c>
      <c r="AG62" s="481">
        <f t="shared" si="19"/>
        <v>2025</v>
      </c>
      <c r="AH62" s="470"/>
    </row>
    <row r="63" spans="10:34" x14ac:dyDescent="0.3">
      <c r="J63" s="375"/>
      <c r="K63" s="375"/>
      <c r="L63" s="11">
        <v>29</v>
      </c>
      <c r="M63" s="128">
        <v>45553</v>
      </c>
      <c r="N63" s="375">
        <v>45712</v>
      </c>
      <c r="O63" s="375">
        <v>45714</v>
      </c>
      <c r="P63" s="375">
        <v>45714</v>
      </c>
      <c r="Q63" s="128" t="s">
        <v>822</v>
      </c>
      <c r="R63" s="128" t="s">
        <v>2843</v>
      </c>
      <c r="S63" s="128" t="s">
        <v>3244</v>
      </c>
      <c r="T63" s="128" t="s">
        <v>907</v>
      </c>
      <c r="U63" s="128" t="s">
        <v>884</v>
      </c>
      <c r="V63" s="128" t="s">
        <v>2180</v>
      </c>
      <c r="W63" s="128" t="s">
        <v>2175</v>
      </c>
      <c r="X63" s="470">
        <v>2000000</v>
      </c>
      <c r="Y63" s="470">
        <v>104714</v>
      </c>
      <c r="Z63" s="470">
        <v>996</v>
      </c>
      <c r="AA63" s="472">
        <f t="shared" si="12"/>
        <v>105710</v>
      </c>
      <c r="AB63" s="472">
        <f t="shared" si="13"/>
        <v>211420000000</v>
      </c>
      <c r="AD63" s="470">
        <v>-12628000000</v>
      </c>
      <c r="AE63" s="472">
        <f>_xlfn.XLOOKUP(M63,RP_SEC!AB:AB,RP_SEC!AN:AN,0,0)</f>
        <v>-34756000000</v>
      </c>
      <c r="AF63" s="472">
        <f t="shared" si="18"/>
        <v>2</v>
      </c>
      <c r="AG63" s="481">
        <f t="shared" si="19"/>
        <v>2025</v>
      </c>
      <c r="AH63" s="470"/>
    </row>
    <row r="64" spans="10:34" x14ac:dyDescent="0.3">
      <c r="J64" s="375"/>
      <c r="K64" s="375"/>
      <c r="L64" s="11">
        <v>30</v>
      </c>
      <c r="M64" s="128">
        <v>45525</v>
      </c>
      <c r="N64" s="375">
        <v>45709</v>
      </c>
      <c r="O64" s="375">
        <v>45713</v>
      </c>
      <c r="P64" s="375">
        <v>45713</v>
      </c>
      <c r="Q64" s="128" t="s">
        <v>2728</v>
      </c>
      <c r="R64" s="128" t="s">
        <v>2788</v>
      </c>
      <c r="S64" s="128" t="s">
        <v>3244</v>
      </c>
      <c r="T64" s="128" t="s">
        <v>907</v>
      </c>
      <c r="U64" s="128" t="s">
        <v>884</v>
      </c>
      <c r="V64" s="128" t="s">
        <v>824</v>
      </c>
      <c r="W64" s="128" t="s">
        <v>2174</v>
      </c>
      <c r="X64" s="470">
        <v>2000000</v>
      </c>
      <c r="Y64" s="470">
        <v>99437</v>
      </c>
      <c r="Z64" s="470">
        <v>696</v>
      </c>
      <c r="AA64" s="472">
        <f t="shared" si="12"/>
        <v>100133</v>
      </c>
      <c r="AB64" s="472">
        <f t="shared" si="13"/>
        <v>200266000000</v>
      </c>
      <c r="AD64" s="470">
        <v>-12726000000</v>
      </c>
      <c r="AE64" s="472">
        <f>_xlfn.XLOOKUP(M64,RP_SEC!AB:AB,RP_SEC!AN:AN,0,0)</f>
        <v>0</v>
      </c>
      <c r="AF64" s="472">
        <f t="shared" si="18"/>
        <v>2</v>
      </c>
      <c r="AG64" s="481">
        <f t="shared" si="19"/>
        <v>2025</v>
      </c>
      <c r="AH64" s="470"/>
    </row>
    <row r="65" spans="10:34" x14ac:dyDescent="0.3">
      <c r="J65" s="375"/>
      <c r="K65" s="375"/>
      <c r="L65" s="11">
        <v>30</v>
      </c>
      <c r="M65" s="128">
        <v>45554</v>
      </c>
      <c r="N65" s="375">
        <v>45712</v>
      </c>
      <c r="O65" s="375">
        <v>45714</v>
      </c>
      <c r="P65" s="375">
        <v>45714</v>
      </c>
      <c r="Q65" s="128" t="s">
        <v>822</v>
      </c>
      <c r="R65" s="128" t="s">
        <v>2788</v>
      </c>
      <c r="S65" s="128" t="s">
        <v>3244</v>
      </c>
      <c r="T65" s="128" t="s">
        <v>907</v>
      </c>
      <c r="U65" s="128" t="s">
        <v>884</v>
      </c>
      <c r="V65" s="128" t="s">
        <v>2180</v>
      </c>
      <c r="W65" s="128" t="s">
        <v>2175</v>
      </c>
      <c r="X65" s="470">
        <v>2000000</v>
      </c>
      <c r="Y65" s="470">
        <v>99440</v>
      </c>
      <c r="Z65" s="470">
        <v>705</v>
      </c>
      <c r="AA65" s="472">
        <f t="shared" si="12"/>
        <v>100145</v>
      </c>
      <c r="AB65" s="472">
        <f t="shared" si="13"/>
        <v>200290000000</v>
      </c>
      <c r="AD65" s="470">
        <v>-12726000000</v>
      </c>
      <c r="AE65" s="472">
        <f>_xlfn.XLOOKUP(M65,RP_SEC!AB:AB,RP_SEC!AN:AN,0,0)</f>
        <v>-33322000000</v>
      </c>
      <c r="AF65" s="472">
        <f t="shared" si="18"/>
        <v>2</v>
      </c>
      <c r="AG65" s="481">
        <f t="shared" si="19"/>
        <v>2025</v>
      </c>
      <c r="AH65" s="470"/>
    </row>
    <row r="66" spans="10:34" x14ac:dyDescent="0.3">
      <c r="J66" s="375"/>
      <c r="K66" s="375"/>
      <c r="L66" s="11">
        <v>31</v>
      </c>
      <c r="M66" s="128">
        <v>45559</v>
      </c>
      <c r="N66" s="375">
        <v>45712</v>
      </c>
      <c r="O66" s="375">
        <v>45714</v>
      </c>
      <c r="P66" s="375">
        <v>45714</v>
      </c>
      <c r="Q66" s="128" t="s">
        <v>2728</v>
      </c>
      <c r="R66" s="128" t="s">
        <v>2497</v>
      </c>
      <c r="S66" s="128" t="s">
        <v>3245</v>
      </c>
      <c r="T66" s="128" t="s">
        <v>823</v>
      </c>
      <c r="U66" s="128" t="s">
        <v>886</v>
      </c>
      <c r="V66" s="128" t="s">
        <v>824</v>
      </c>
      <c r="W66" s="128" t="s">
        <v>2174</v>
      </c>
      <c r="X66" s="470">
        <v>1500000</v>
      </c>
      <c r="Y66" s="470">
        <v>121904</v>
      </c>
      <c r="Z66" s="470">
        <v>3912</v>
      </c>
      <c r="AA66" s="472">
        <f t="shared" si="12"/>
        <v>125816</v>
      </c>
      <c r="AB66" s="472">
        <f t="shared" si="13"/>
        <v>188724000000</v>
      </c>
      <c r="AD66" s="470">
        <v>-12513000000</v>
      </c>
      <c r="AE66" s="472">
        <f>_xlfn.XLOOKUP(M66,RP_SEC!AB:AB,RP_SEC!AN:AN,0,0)</f>
        <v>0</v>
      </c>
      <c r="AF66" s="472">
        <f t="shared" ref="AF66:AF95" si="20">MONTH(N66)</f>
        <v>2</v>
      </c>
      <c r="AG66" s="481">
        <f t="shared" ref="AG66:AG97" si="21">YEAR(N66)</f>
        <v>2025</v>
      </c>
      <c r="AH66" s="470"/>
    </row>
    <row r="67" spans="10:34" x14ac:dyDescent="0.3">
      <c r="J67" s="375"/>
      <c r="K67" s="375"/>
      <c r="L67" s="11">
        <v>31</v>
      </c>
      <c r="M67" s="128">
        <v>45562</v>
      </c>
      <c r="N67" s="375">
        <v>45712</v>
      </c>
      <c r="O67" s="375">
        <v>45716</v>
      </c>
      <c r="P67" s="375">
        <v>45716</v>
      </c>
      <c r="Q67" s="128" t="s">
        <v>822</v>
      </c>
      <c r="R67" s="128" t="s">
        <v>2497</v>
      </c>
      <c r="S67" s="128" t="s">
        <v>3245</v>
      </c>
      <c r="T67" s="128" t="s">
        <v>823</v>
      </c>
      <c r="U67" s="128" t="s">
        <v>886</v>
      </c>
      <c r="V67" s="128" t="s">
        <v>2180</v>
      </c>
      <c r="W67" s="128" t="s">
        <v>2175</v>
      </c>
      <c r="X67" s="470">
        <v>1500000</v>
      </c>
      <c r="Y67" s="470">
        <v>121902</v>
      </c>
      <c r="Z67" s="470">
        <v>3935</v>
      </c>
      <c r="AA67" s="472">
        <f t="shared" si="12"/>
        <v>125837</v>
      </c>
      <c r="AB67" s="472">
        <f t="shared" si="13"/>
        <v>188755500000</v>
      </c>
      <c r="AD67" s="470">
        <v>-12463500000</v>
      </c>
      <c r="AE67" s="472">
        <f>_xlfn.XLOOKUP(M67,RP_SEC!AB:AB,RP_SEC!AN:AN,0,0)</f>
        <v>-44356500000</v>
      </c>
      <c r="AF67" s="472">
        <f t="shared" si="20"/>
        <v>2</v>
      </c>
      <c r="AG67" s="481">
        <f t="shared" si="21"/>
        <v>2025</v>
      </c>
      <c r="AH67" s="470"/>
    </row>
    <row r="68" spans="10:34" x14ac:dyDescent="0.3">
      <c r="J68" s="375"/>
      <c r="K68" s="375"/>
      <c r="L68" s="11">
        <v>32</v>
      </c>
      <c r="M68" s="128">
        <v>45635</v>
      </c>
      <c r="N68" s="375">
        <v>45719</v>
      </c>
      <c r="O68" s="375">
        <v>45721</v>
      </c>
      <c r="P68" s="375">
        <v>45721</v>
      </c>
      <c r="Q68" s="128" t="s">
        <v>2728</v>
      </c>
      <c r="R68" s="128" t="s">
        <v>2381</v>
      </c>
      <c r="S68" s="128" t="s">
        <v>3238</v>
      </c>
      <c r="T68" s="128" t="s">
        <v>823</v>
      </c>
      <c r="U68" s="128" t="s">
        <v>883</v>
      </c>
      <c r="V68" s="128" t="s">
        <v>824</v>
      </c>
      <c r="W68" s="128" t="s">
        <v>2174</v>
      </c>
      <c r="X68" s="470">
        <v>1000000</v>
      </c>
      <c r="Y68" s="470">
        <v>115241</v>
      </c>
      <c r="Z68" s="470">
        <v>727</v>
      </c>
      <c r="AA68" s="472">
        <f t="shared" si="12"/>
        <v>115968</v>
      </c>
      <c r="AB68" s="472">
        <f t="shared" si="13"/>
        <v>115968000000</v>
      </c>
      <c r="AD68" s="470">
        <v>-4110750000</v>
      </c>
      <c r="AE68" s="472">
        <f>_xlfn.XLOOKUP(M68,RP_SEC!AB:AB,RP_SEC!AN:AN,0,0)</f>
        <v>0</v>
      </c>
      <c r="AF68" s="472">
        <f t="shared" si="20"/>
        <v>3</v>
      </c>
      <c r="AG68" s="481">
        <f t="shared" si="21"/>
        <v>2025</v>
      </c>
      <c r="AH68" s="470"/>
    </row>
    <row r="69" spans="10:34" x14ac:dyDescent="0.3">
      <c r="J69" s="375"/>
      <c r="K69" s="375"/>
      <c r="L69" s="11">
        <v>32</v>
      </c>
      <c r="M69" s="128">
        <v>45634</v>
      </c>
      <c r="N69" s="375">
        <v>45719</v>
      </c>
      <c r="O69" s="375">
        <v>45721</v>
      </c>
      <c r="P69" s="375">
        <v>45721</v>
      </c>
      <c r="Q69" s="128" t="s">
        <v>2728</v>
      </c>
      <c r="R69" s="128" t="s">
        <v>2381</v>
      </c>
      <c r="S69" s="128" t="s">
        <v>3238</v>
      </c>
      <c r="T69" s="128" t="s">
        <v>823</v>
      </c>
      <c r="U69" s="128" t="s">
        <v>883</v>
      </c>
      <c r="V69" s="128" t="s">
        <v>825</v>
      </c>
      <c r="W69" s="128" t="s">
        <v>2174</v>
      </c>
      <c r="X69" s="470">
        <v>1000000</v>
      </c>
      <c r="Y69" s="470">
        <v>115242</v>
      </c>
      <c r="Z69" s="470">
        <v>727</v>
      </c>
      <c r="AA69" s="472">
        <f t="shared" ref="AA69:AA114" si="22">Z69+Y69</f>
        <v>115969</v>
      </c>
      <c r="AB69" s="472">
        <f t="shared" ref="AB69:AB114" si="23">AA69*X69</f>
        <v>115969000000</v>
      </c>
      <c r="AD69" s="470">
        <v>-4102000000</v>
      </c>
      <c r="AE69" s="472">
        <f>_xlfn.XLOOKUP(M69,RP_SEC!AB:AB,RP_SEC!AN:AN,0,0)</f>
        <v>0</v>
      </c>
      <c r="AF69" s="472">
        <f t="shared" si="20"/>
        <v>3</v>
      </c>
      <c r="AG69" s="481">
        <f t="shared" si="21"/>
        <v>2025</v>
      </c>
      <c r="AH69" s="470"/>
    </row>
    <row r="70" spans="10:34" x14ac:dyDescent="0.3">
      <c r="J70" s="375"/>
      <c r="K70" s="375"/>
      <c r="L70" s="11">
        <v>32</v>
      </c>
      <c r="M70" s="128">
        <v>45636</v>
      </c>
      <c r="N70" s="375">
        <v>45719</v>
      </c>
      <c r="O70" s="375">
        <v>45722</v>
      </c>
      <c r="P70" s="375">
        <v>45722</v>
      </c>
      <c r="Q70" s="128" t="s">
        <v>822</v>
      </c>
      <c r="R70" s="128" t="s">
        <v>2381</v>
      </c>
      <c r="S70" s="128" t="s">
        <v>3238</v>
      </c>
      <c r="T70" s="128" t="s">
        <v>823</v>
      </c>
      <c r="U70" s="128" t="s">
        <v>883</v>
      </c>
      <c r="V70" s="128" t="s">
        <v>2180</v>
      </c>
      <c r="W70" s="128" t="s">
        <v>2175</v>
      </c>
      <c r="X70" s="470">
        <v>2000000</v>
      </c>
      <c r="Y70" s="470">
        <v>115217</v>
      </c>
      <c r="Z70" s="470">
        <v>740</v>
      </c>
      <c r="AA70" s="472">
        <f t="shared" si="22"/>
        <v>115957</v>
      </c>
      <c r="AB70" s="472">
        <f t="shared" si="23"/>
        <v>231914000000</v>
      </c>
      <c r="AD70" s="470">
        <v>-8184000000</v>
      </c>
      <c r="AE70" s="472">
        <f>_xlfn.XLOOKUP(M70,RP_SEC!AB:AB,RP_SEC!AN:AN,0,0)</f>
        <v>-28144000000</v>
      </c>
      <c r="AF70" s="472">
        <f t="shared" si="20"/>
        <v>3</v>
      </c>
      <c r="AG70" s="481">
        <f t="shared" si="21"/>
        <v>2025</v>
      </c>
      <c r="AH70" s="470"/>
    </row>
    <row r="71" spans="10:34" x14ac:dyDescent="0.3">
      <c r="J71" s="375"/>
      <c r="K71" s="375"/>
      <c r="L71" s="11">
        <v>33</v>
      </c>
      <c r="M71" s="128">
        <v>46905</v>
      </c>
      <c r="N71" s="375">
        <v>45859</v>
      </c>
      <c r="O71" s="375">
        <v>45861</v>
      </c>
      <c r="P71" s="375">
        <v>45861</v>
      </c>
      <c r="Q71" s="128" t="s">
        <v>2728</v>
      </c>
      <c r="R71" s="128" t="s">
        <v>1204</v>
      </c>
      <c r="S71" s="128" t="s">
        <v>3242</v>
      </c>
      <c r="T71" s="128" t="s">
        <v>823</v>
      </c>
      <c r="U71" s="128" t="s">
        <v>883</v>
      </c>
      <c r="V71" s="128" t="s">
        <v>824</v>
      </c>
      <c r="W71" s="128" t="s">
        <v>2174</v>
      </c>
      <c r="X71" s="470">
        <v>500000</v>
      </c>
      <c r="Y71" s="470">
        <v>120330</v>
      </c>
      <c r="Z71" s="470">
        <v>3630</v>
      </c>
      <c r="AA71" s="472">
        <f t="shared" si="22"/>
        <v>123960</v>
      </c>
      <c r="AB71" s="472">
        <f t="shared" si="23"/>
        <v>61980000000</v>
      </c>
      <c r="AD71" s="470">
        <v>-3514500000</v>
      </c>
      <c r="AE71" s="472">
        <f>_xlfn.XLOOKUP(M71,RP_SEC!AB:AB,RP_SEC!AN:AN,0,0)</f>
        <v>0</v>
      </c>
      <c r="AF71" s="472">
        <f t="shared" si="20"/>
        <v>7</v>
      </c>
      <c r="AG71" s="481">
        <f t="shared" si="21"/>
        <v>2025</v>
      </c>
      <c r="AH71" s="470"/>
    </row>
    <row r="72" spans="10:34" x14ac:dyDescent="0.3">
      <c r="J72" s="375"/>
      <c r="K72" s="375"/>
      <c r="L72" s="11">
        <v>33</v>
      </c>
      <c r="M72" s="128">
        <v>46906</v>
      </c>
      <c r="N72" s="375">
        <v>45859</v>
      </c>
      <c r="O72" s="375">
        <v>45866</v>
      </c>
      <c r="P72" s="375">
        <v>45866</v>
      </c>
      <c r="Q72" s="128" t="s">
        <v>822</v>
      </c>
      <c r="R72" s="128" t="s">
        <v>1204</v>
      </c>
      <c r="S72" s="128" t="s">
        <v>3242</v>
      </c>
      <c r="T72" s="128" t="s">
        <v>823</v>
      </c>
      <c r="U72" s="128" t="s">
        <v>883</v>
      </c>
      <c r="V72" s="128" t="s">
        <v>2180</v>
      </c>
      <c r="W72" s="128" t="s">
        <v>2175</v>
      </c>
      <c r="X72" s="470">
        <v>500000</v>
      </c>
      <c r="Y72" s="470">
        <v>120411</v>
      </c>
      <c r="Z72" s="470">
        <v>3703</v>
      </c>
      <c r="AA72" s="472">
        <f t="shared" si="22"/>
        <v>124114</v>
      </c>
      <c r="AB72" s="472">
        <f t="shared" si="23"/>
        <v>62057000000</v>
      </c>
      <c r="AD72" s="470">
        <v>-2414500000</v>
      </c>
      <c r="AE72" s="472">
        <f>_xlfn.XLOOKUP(M72,RP_SEC!AB:AB,RP_SEC!AN:AN,0,0)</f>
        <v>-7224000000</v>
      </c>
      <c r="AF72" s="472">
        <f t="shared" si="20"/>
        <v>7</v>
      </c>
      <c r="AG72" s="481">
        <f t="shared" si="21"/>
        <v>2025</v>
      </c>
      <c r="AH72" s="470"/>
    </row>
    <row r="73" spans="10:34" x14ac:dyDescent="0.3">
      <c r="J73" s="375"/>
      <c r="K73" s="375"/>
      <c r="L73" s="11">
        <v>34</v>
      </c>
      <c r="M73" s="128">
        <v>46913</v>
      </c>
      <c r="N73" s="375">
        <v>45859</v>
      </c>
      <c r="O73" s="375">
        <v>45862</v>
      </c>
      <c r="P73" s="375">
        <v>45862</v>
      </c>
      <c r="Q73" s="128" t="s">
        <v>2728</v>
      </c>
      <c r="R73" s="128" t="s">
        <v>709</v>
      </c>
      <c r="S73" s="128" t="s">
        <v>3291</v>
      </c>
      <c r="T73" s="128" t="s">
        <v>823</v>
      </c>
      <c r="U73" s="128" t="s">
        <v>884</v>
      </c>
      <c r="V73" s="128" t="s">
        <v>824</v>
      </c>
      <c r="W73" s="128" t="s">
        <v>2174</v>
      </c>
      <c r="X73" s="470">
        <v>500000</v>
      </c>
      <c r="Y73" s="470">
        <v>125804</v>
      </c>
      <c r="Z73" s="470">
        <v>2465</v>
      </c>
      <c r="AA73" s="472">
        <f t="shared" si="22"/>
        <v>128269</v>
      </c>
      <c r="AB73" s="472">
        <f t="shared" si="23"/>
        <v>64134500000</v>
      </c>
      <c r="AD73" s="470">
        <v>-3722500000</v>
      </c>
      <c r="AE73" s="472">
        <f>_xlfn.XLOOKUP(M73,RP_SEC!AB:AB,RP_SEC!AN:AN,0,0)</f>
        <v>0</v>
      </c>
      <c r="AF73" s="472">
        <f t="shared" si="20"/>
        <v>7</v>
      </c>
      <c r="AG73" s="481">
        <f t="shared" si="21"/>
        <v>2025</v>
      </c>
      <c r="AH73" s="470"/>
    </row>
    <row r="74" spans="10:34" x14ac:dyDescent="0.3">
      <c r="J74" s="375"/>
      <c r="K74" s="375"/>
      <c r="L74" s="11">
        <v>34</v>
      </c>
      <c r="M74" s="128">
        <v>46914</v>
      </c>
      <c r="N74" s="375">
        <v>45859</v>
      </c>
      <c r="O74" s="375">
        <v>45863</v>
      </c>
      <c r="P74" s="375">
        <v>45863</v>
      </c>
      <c r="Q74" s="128" t="s">
        <v>822</v>
      </c>
      <c r="R74" s="128" t="s">
        <v>709</v>
      </c>
      <c r="S74" s="128" t="s">
        <v>3291</v>
      </c>
      <c r="T74" s="128" t="s">
        <v>823</v>
      </c>
      <c r="U74" s="128" t="s">
        <v>884</v>
      </c>
      <c r="V74" s="128" t="s">
        <v>2180</v>
      </c>
      <c r="W74" s="128" t="s">
        <v>2175</v>
      </c>
      <c r="X74" s="470">
        <v>500000</v>
      </c>
      <c r="Y74" s="470">
        <v>125765</v>
      </c>
      <c r="Z74" s="470">
        <v>2479</v>
      </c>
      <c r="AA74" s="472">
        <f t="shared" si="22"/>
        <v>128244</v>
      </c>
      <c r="AB74" s="472">
        <f t="shared" si="23"/>
        <v>64122000000</v>
      </c>
      <c r="AD74" s="470">
        <v>-3495000000</v>
      </c>
      <c r="AE74" s="472">
        <f>_xlfn.XLOOKUP(M74,RP_SEC!AB:AB,RP_SEC!AN:AN,0,0)</f>
        <v>-9751500000</v>
      </c>
      <c r="AF74" s="472">
        <f t="shared" si="20"/>
        <v>7</v>
      </c>
      <c r="AG74" s="481">
        <f t="shared" si="21"/>
        <v>2025</v>
      </c>
      <c r="AH74" s="470"/>
    </row>
    <row r="75" spans="10:34" x14ac:dyDescent="0.3">
      <c r="J75" s="375"/>
      <c r="K75" s="375"/>
      <c r="L75" s="11">
        <v>35</v>
      </c>
      <c r="M75" s="128">
        <v>46964</v>
      </c>
      <c r="N75" s="375">
        <v>45861</v>
      </c>
      <c r="O75" s="375">
        <v>45868</v>
      </c>
      <c r="P75" s="375">
        <v>45868</v>
      </c>
      <c r="Q75" s="128" t="s">
        <v>2728</v>
      </c>
      <c r="R75" s="128" t="s">
        <v>669</v>
      </c>
      <c r="S75" s="128" t="s">
        <v>3241</v>
      </c>
      <c r="T75" s="128" t="s">
        <v>823</v>
      </c>
      <c r="U75" s="128" t="s">
        <v>883</v>
      </c>
      <c r="V75" s="128" t="s">
        <v>824</v>
      </c>
      <c r="W75" s="128" t="s">
        <v>2174</v>
      </c>
      <c r="X75" s="470">
        <v>2500000</v>
      </c>
      <c r="Y75" s="470">
        <v>115585</v>
      </c>
      <c r="Z75" s="470">
        <v>63</v>
      </c>
      <c r="AA75" s="472">
        <f t="shared" si="22"/>
        <v>115648</v>
      </c>
      <c r="AB75" s="472">
        <f t="shared" si="23"/>
        <v>289120000000</v>
      </c>
      <c r="AD75" s="470">
        <v>-15214500000</v>
      </c>
      <c r="AE75" s="472">
        <f>_xlfn.XLOOKUP(M75,RP_SEC!AB:AB,RP_SEC!AN:AN,0,0)</f>
        <v>0</v>
      </c>
      <c r="AF75" s="472">
        <f t="shared" si="20"/>
        <v>7</v>
      </c>
      <c r="AG75" s="481">
        <f t="shared" si="21"/>
        <v>2025</v>
      </c>
      <c r="AH75" s="470"/>
    </row>
    <row r="76" spans="10:34" x14ac:dyDescent="0.3">
      <c r="J76" s="375"/>
      <c r="K76" s="375"/>
      <c r="L76" s="11">
        <v>35</v>
      </c>
      <c r="M76" s="128">
        <v>46965</v>
      </c>
      <c r="N76" s="375">
        <v>45861</v>
      </c>
      <c r="O76" s="375">
        <v>45869</v>
      </c>
      <c r="P76" s="375">
        <v>45869</v>
      </c>
      <c r="Q76" s="128" t="s">
        <v>822</v>
      </c>
      <c r="R76" s="128" t="s">
        <v>669</v>
      </c>
      <c r="S76" s="128" t="s">
        <v>3241</v>
      </c>
      <c r="T76" s="128" t="s">
        <v>823</v>
      </c>
      <c r="U76" s="128" t="s">
        <v>883</v>
      </c>
      <c r="V76" s="128" t="s">
        <v>2180</v>
      </c>
      <c r="W76" s="128" t="s">
        <v>2175</v>
      </c>
      <c r="X76" s="470">
        <v>2500000</v>
      </c>
      <c r="Y76" s="470">
        <v>115580</v>
      </c>
      <c r="Z76" s="470">
        <v>76</v>
      </c>
      <c r="AA76" s="472">
        <f t="shared" si="22"/>
        <v>115656</v>
      </c>
      <c r="AB76" s="472">
        <f t="shared" si="23"/>
        <v>289140000000</v>
      </c>
      <c r="AD76" s="470">
        <v>-12227500000</v>
      </c>
      <c r="AE76" s="472">
        <f>_xlfn.XLOOKUP(M76,RP_SEC!AB:AB,RP_SEC!AN:AN,0,0)</f>
        <v>-34882500000</v>
      </c>
      <c r="AF76" s="472">
        <f t="shared" si="20"/>
        <v>7</v>
      </c>
      <c r="AG76" s="481">
        <f t="shared" si="21"/>
        <v>2025</v>
      </c>
      <c r="AH76" s="470"/>
    </row>
    <row r="77" spans="10:34" x14ac:dyDescent="0.3">
      <c r="J77" s="375"/>
      <c r="K77" s="375"/>
      <c r="L77" s="11">
        <v>36</v>
      </c>
      <c r="M77" s="128">
        <v>46935</v>
      </c>
      <c r="N77" s="375">
        <v>45861</v>
      </c>
      <c r="O77" s="375">
        <v>45862</v>
      </c>
      <c r="P77" s="375">
        <v>45862</v>
      </c>
      <c r="Q77" s="128" t="s">
        <v>2728</v>
      </c>
      <c r="R77" s="128" t="s">
        <v>2840</v>
      </c>
      <c r="S77" s="128" t="s">
        <v>3241</v>
      </c>
      <c r="T77" s="128" t="s">
        <v>823</v>
      </c>
      <c r="U77" s="128" t="s">
        <v>884</v>
      </c>
      <c r="V77" s="128" t="s">
        <v>824</v>
      </c>
      <c r="W77" s="128" t="s">
        <v>2174</v>
      </c>
      <c r="X77" s="470">
        <v>500000</v>
      </c>
      <c r="Y77" s="470">
        <v>100570</v>
      </c>
      <c r="Z77" s="470">
        <v>2670</v>
      </c>
      <c r="AA77" s="472">
        <f t="shared" si="22"/>
        <v>103240</v>
      </c>
      <c r="AB77" s="472">
        <f t="shared" si="23"/>
        <v>51620000000</v>
      </c>
      <c r="AD77" s="470">
        <v>-3043500000</v>
      </c>
      <c r="AE77" s="472">
        <f>_xlfn.XLOOKUP(M77,RP_SEC!AB:AB,RP_SEC!AN:AN,0,0)</f>
        <v>0</v>
      </c>
      <c r="AF77" s="472">
        <f t="shared" si="20"/>
        <v>7</v>
      </c>
      <c r="AG77" s="481">
        <f t="shared" si="21"/>
        <v>2025</v>
      </c>
      <c r="AH77" s="470"/>
    </row>
    <row r="78" spans="10:34" x14ac:dyDescent="0.3">
      <c r="J78" s="375"/>
      <c r="K78" s="375"/>
      <c r="L78" s="11">
        <v>36</v>
      </c>
      <c r="M78" s="128">
        <v>46936</v>
      </c>
      <c r="N78" s="375">
        <v>45861</v>
      </c>
      <c r="O78" s="375">
        <v>45862</v>
      </c>
      <c r="P78" s="375">
        <v>45862</v>
      </c>
      <c r="Q78" s="128" t="s">
        <v>2728</v>
      </c>
      <c r="R78" s="128" t="s">
        <v>2840</v>
      </c>
      <c r="S78" s="128" t="s">
        <v>3241</v>
      </c>
      <c r="T78" s="128" t="s">
        <v>823</v>
      </c>
      <c r="U78" s="128" t="s">
        <v>884</v>
      </c>
      <c r="V78" s="128" t="s">
        <v>2176</v>
      </c>
      <c r="W78" s="128" t="s">
        <v>2174</v>
      </c>
      <c r="X78" s="470">
        <v>2500000</v>
      </c>
      <c r="Y78" s="470">
        <v>100570</v>
      </c>
      <c r="Z78" s="470">
        <v>2670</v>
      </c>
      <c r="AA78" s="472">
        <f t="shared" si="22"/>
        <v>103240</v>
      </c>
      <c r="AB78" s="472">
        <f t="shared" si="23"/>
        <v>258100000000</v>
      </c>
      <c r="AD78" s="470">
        <v>-15200000000</v>
      </c>
      <c r="AE78" s="472">
        <f>_xlfn.XLOOKUP(M78,RP_SEC!AB:AB,RP_SEC!AN:AN,0,0)</f>
        <v>0</v>
      </c>
      <c r="AF78" s="472">
        <f t="shared" si="20"/>
        <v>7</v>
      </c>
      <c r="AG78" s="481">
        <f t="shared" si="21"/>
        <v>2025</v>
      </c>
      <c r="AH78" s="470"/>
    </row>
    <row r="79" spans="10:34" x14ac:dyDescent="0.3">
      <c r="J79" s="375"/>
      <c r="K79" s="375"/>
      <c r="L79" s="11">
        <v>36</v>
      </c>
      <c r="M79" s="128">
        <v>46937</v>
      </c>
      <c r="N79" s="375">
        <v>45861</v>
      </c>
      <c r="O79" s="375">
        <v>45863</v>
      </c>
      <c r="P79" s="375">
        <v>45863</v>
      </c>
      <c r="Q79" s="128" t="s">
        <v>822</v>
      </c>
      <c r="R79" s="128" t="s">
        <v>2840</v>
      </c>
      <c r="S79" s="128" t="s">
        <v>3241</v>
      </c>
      <c r="T79" s="128" t="s">
        <v>823</v>
      </c>
      <c r="U79" s="128" t="s">
        <v>884</v>
      </c>
      <c r="V79" s="128" t="s">
        <v>2180</v>
      </c>
      <c r="W79" s="128" t="s">
        <v>2175</v>
      </c>
      <c r="X79" s="470">
        <v>3000000</v>
      </c>
      <c r="Y79" s="470">
        <v>100685</v>
      </c>
      <c r="Z79" s="470">
        <v>2678</v>
      </c>
      <c r="AA79" s="472">
        <f t="shared" si="22"/>
        <v>103363</v>
      </c>
      <c r="AB79" s="472">
        <f t="shared" si="23"/>
        <v>310089000000</v>
      </c>
      <c r="AD79" s="470">
        <v>-18258000000</v>
      </c>
      <c r="AE79" s="472">
        <f>_xlfn.XLOOKUP(M79,RP_SEC!AB:AB,RP_SEC!AN:AN,0,0)</f>
        <v>-49236000000</v>
      </c>
      <c r="AF79" s="472">
        <f t="shared" si="20"/>
        <v>7</v>
      </c>
      <c r="AG79" s="481">
        <f t="shared" si="21"/>
        <v>2025</v>
      </c>
      <c r="AH79" s="470"/>
    </row>
    <row r="80" spans="10:34" x14ac:dyDescent="0.3">
      <c r="J80" s="375"/>
      <c r="K80" s="375"/>
      <c r="L80" s="11">
        <v>37</v>
      </c>
      <c r="M80" s="128">
        <v>46994</v>
      </c>
      <c r="N80" s="375">
        <v>45863</v>
      </c>
      <c r="O80" s="375">
        <v>45873</v>
      </c>
      <c r="P80" s="375">
        <v>45873</v>
      </c>
      <c r="Q80" s="128" t="s">
        <v>2728</v>
      </c>
      <c r="R80" s="128" t="s">
        <v>710</v>
      </c>
      <c r="S80" s="128" t="s">
        <v>3243</v>
      </c>
      <c r="T80" s="128" t="s">
        <v>823</v>
      </c>
      <c r="U80" s="128" t="s">
        <v>884</v>
      </c>
      <c r="V80" s="128" t="s">
        <v>824</v>
      </c>
      <c r="W80" s="128" t="s">
        <v>2174</v>
      </c>
      <c r="X80" s="470">
        <v>1000000</v>
      </c>
      <c r="Y80" s="470">
        <v>130357</v>
      </c>
      <c r="Z80" s="470">
        <v>3053</v>
      </c>
      <c r="AA80" s="472">
        <f t="shared" si="22"/>
        <v>133410</v>
      </c>
      <c r="AB80" s="472">
        <f t="shared" si="23"/>
        <v>133410000000</v>
      </c>
      <c r="AD80" s="470">
        <v>-8812000000</v>
      </c>
      <c r="AE80" s="472">
        <f>_xlfn.XLOOKUP(M80,RP_SEC!AB:AB,RP_SEC!AN:AN,0,0)</f>
        <v>0</v>
      </c>
      <c r="AF80" s="472">
        <f t="shared" si="20"/>
        <v>7</v>
      </c>
      <c r="AG80" s="481">
        <f t="shared" si="21"/>
        <v>2025</v>
      </c>
      <c r="AH80" s="470"/>
    </row>
    <row r="81" spans="10:34" x14ac:dyDescent="0.3">
      <c r="J81" s="375"/>
      <c r="K81" s="375"/>
      <c r="L81" s="11">
        <v>37</v>
      </c>
      <c r="M81" s="128">
        <v>46995</v>
      </c>
      <c r="N81" s="375">
        <v>45863</v>
      </c>
      <c r="O81" s="375">
        <v>45877</v>
      </c>
      <c r="P81" s="375">
        <v>45877</v>
      </c>
      <c r="Q81" s="128" t="s">
        <v>822</v>
      </c>
      <c r="R81" s="128" t="s">
        <v>710</v>
      </c>
      <c r="S81" s="128" t="s">
        <v>3243</v>
      </c>
      <c r="T81" s="128" t="s">
        <v>823</v>
      </c>
      <c r="U81" s="128" t="s">
        <v>884</v>
      </c>
      <c r="V81" s="128" t="s">
        <v>2180</v>
      </c>
      <c r="W81" s="128" t="s">
        <v>2175</v>
      </c>
      <c r="X81" s="470">
        <v>1000000</v>
      </c>
      <c r="Y81" s="470">
        <v>130339</v>
      </c>
      <c r="Z81" s="470">
        <v>3115</v>
      </c>
      <c r="AA81" s="472">
        <f t="shared" si="22"/>
        <v>133454</v>
      </c>
      <c r="AB81" s="472">
        <f t="shared" si="23"/>
        <v>133454000000</v>
      </c>
      <c r="AD81" s="470">
        <v>-6814000000</v>
      </c>
      <c r="AE81" s="472">
        <f>_xlfn.XLOOKUP(M81,RP_SEC!AB:AB,RP_SEC!AN:AN,0,0)</f>
        <v>-20185000000</v>
      </c>
      <c r="AF81" s="472">
        <f t="shared" si="20"/>
        <v>7</v>
      </c>
      <c r="AG81" s="481">
        <f t="shared" si="21"/>
        <v>2025</v>
      </c>
      <c r="AH81" s="470"/>
    </row>
    <row r="82" spans="10:34" x14ac:dyDescent="0.3">
      <c r="J82" s="375"/>
      <c r="K82" s="375"/>
      <c r="L82" s="11">
        <v>38</v>
      </c>
      <c r="M82" s="128">
        <v>47018</v>
      </c>
      <c r="N82" s="375">
        <v>45863</v>
      </c>
      <c r="O82" s="375">
        <v>45868</v>
      </c>
      <c r="P82" s="375">
        <v>45868</v>
      </c>
      <c r="Q82" s="128" t="s">
        <v>2728</v>
      </c>
      <c r="R82" s="128" t="s">
        <v>2497</v>
      </c>
      <c r="S82" s="128" t="s">
        <v>3241</v>
      </c>
      <c r="T82" s="128" t="s">
        <v>823</v>
      </c>
      <c r="U82" s="128" t="s">
        <v>886</v>
      </c>
      <c r="V82" s="128" t="s">
        <v>824</v>
      </c>
      <c r="W82" s="128" t="s">
        <v>2174</v>
      </c>
      <c r="X82" s="470">
        <v>1000000</v>
      </c>
      <c r="Y82" s="470">
        <v>120686</v>
      </c>
      <c r="Z82" s="470">
        <v>1484</v>
      </c>
      <c r="AA82" s="472">
        <f t="shared" si="22"/>
        <v>122170</v>
      </c>
      <c r="AB82" s="472">
        <f t="shared" si="23"/>
        <v>122170000000</v>
      </c>
      <c r="AD82" s="470">
        <v>-10243000000</v>
      </c>
      <c r="AE82" s="472">
        <f>_xlfn.XLOOKUP(M82,RP_SEC!AB:AB,RP_SEC!AN:AN,0,0)</f>
        <v>0</v>
      </c>
      <c r="AF82" s="472">
        <f t="shared" si="20"/>
        <v>7</v>
      </c>
      <c r="AG82" s="481">
        <f t="shared" si="21"/>
        <v>2025</v>
      </c>
      <c r="AH82" s="470"/>
    </row>
    <row r="83" spans="10:34" x14ac:dyDescent="0.3">
      <c r="J83" s="375"/>
      <c r="K83" s="375"/>
      <c r="L83" s="11">
        <v>38</v>
      </c>
      <c r="M83" s="128">
        <v>47019</v>
      </c>
      <c r="N83" s="375">
        <v>45863</v>
      </c>
      <c r="O83" s="375">
        <v>45869</v>
      </c>
      <c r="P83" s="375">
        <v>45869</v>
      </c>
      <c r="Q83" s="128" t="s">
        <v>822</v>
      </c>
      <c r="R83" s="128" t="s">
        <v>2497</v>
      </c>
      <c r="S83" s="128" t="s">
        <v>3241</v>
      </c>
      <c r="T83" s="128" t="s">
        <v>823</v>
      </c>
      <c r="U83" s="128" t="s">
        <v>886</v>
      </c>
      <c r="V83" s="128" t="s">
        <v>2180</v>
      </c>
      <c r="W83" s="128" t="s">
        <v>2175</v>
      </c>
      <c r="X83" s="470">
        <v>1000000</v>
      </c>
      <c r="Y83" s="470">
        <v>121680</v>
      </c>
      <c r="Z83" s="470">
        <v>1496</v>
      </c>
      <c r="AA83" s="472">
        <f t="shared" si="22"/>
        <v>123176</v>
      </c>
      <c r="AB83" s="472">
        <f t="shared" si="23"/>
        <v>123176000000</v>
      </c>
      <c r="AD83" s="470">
        <v>-10214000000</v>
      </c>
      <c r="AE83" s="472">
        <f>_xlfn.XLOOKUP(M83,RP_SEC!AB:AB,RP_SEC!AN:AN,0,0)</f>
        <v>-29349000000</v>
      </c>
      <c r="AF83" s="472">
        <f t="shared" si="20"/>
        <v>7</v>
      </c>
      <c r="AG83" s="481">
        <f t="shared" si="21"/>
        <v>2025</v>
      </c>
      <c r="AH83" s="470"/>
    </row>
    <row r="84" spans="10:34" x14ac:dyDescent="0.3">
      <c r="J84" s="375"/>
      <c r="K84" s="375"/>
      <c r="L84" s="11">
        <v>39</v>
      </c>
      <c r="M84" s="128">
        <v>47031</v>
      </c>
      <c r="N84" s="375">
        <v>45866</v>
      </c>
      <c r="O84" s="375">
        <v>45869</v>
      </c>
      <c r="P84" s="375">
        <v>45869</v>
      </c>
      <c r="Q84" s="128" t="s">
        <v>2728</v>
      </c>
      <c r="R84" s="128" t="s">
        <v>1147</v>
      </c>
      <c r="S84" s="128" t="s">
        <v>3237</v>
      </c>
      <c r="T84" s="128" t="s">
        <v>907</v>
      </c>
      <c r="U84" s="128" t="s">
        <v>883</v>
      </c>
      <c r="V84" s="128" t="s">
        <v>824</v>
      </c>
      <c r="W84" s="128" t="s">
        <v>2174</v>
      </c>
      <c r="X84" s="470">
        <v>1000000</v>
      </c>
      <c r="Y84" s="470">
        <v>121007</v>
      </c>
      <c r="Z84" s="470">
        <v>4849</v>
      </c>
      <c r="AA84" s="472">
        <f t="shared" si="22"/>
        <v>125856</v>
      </c>
      <c r="AB84" s="472">
        <f t="shared" si="23"/>
        <v>125856000000</v>
      </c>
      <c r="AD84" s="470">
        <v>-7026000000</v>
      </c>
      <c r="AE84" s="472">
        <f>_xlfn.XLOOKUP(M84,RP_SEC!AB:AB,RP_SEC!AN:AN,0,0)</f>
        <v>0</v>
      </c>
      <c r="AF84" s="472">
        <f t="shared" si="20"/>
        <v>7</v>
      </c>
      <c r="AG84" s="481">
        <f t="shared" si="21"/>
        <v>2025</v>
      </c>
      <c r="AH84" s="470"/>
    </row>
    <row r="85" spans="10:34" x14ac:dyDescent="0.3">
      <c r="J85" s="375"/>
      <c r="K85" s="375"/>
      <c r="L85" s="11">
        <v>39</v>
      </c>
      <c r="M85" s="128">
        <v>47035</v>
      </c>
      <c r="N85" s="375">
        <v>45866</v>
      </c>
      <c r="O85" s="375">
        <v>45870</v>
      </c>
      <c r="P85" s="375">
        <v>45870</v>
      </c>
      <c r="Q85" s="128" t="s">
        <v>822</v>
      </c>
      <c r="R85" s="128" t="s">
        <v>1147</v>
      </c>
      <c r="S85" s="128" t="s">
        <v>3237</v>
      </c>
      <c r="T85" s="128" t="s">
        <v>907</v>
      </c>
      <c r="U85" s="128" t="s">
        <v>883</v>
      </c>
      <c r="V85" s="128" t="s">
        <v>2180</v>
      </c>
      <c r="W85" s="128" t="s">
        <v>2175</v>
      </c>
      <c r="X85" s="470">
        <v>1000000</v>
      </c>
      <c r="Y85" s="470">
        <v>121485</v>
      </c>
      <c r="Z85" s="470">
        <v>4866</v>
      </c>
      <c r="AA85" s="472">
        <f t="shared" si="22"/>
        <v>126351</v>
      </c>
      <c r="AB85" s="472">
        <f t="shared" si="23"/>
        <v>126351000000</v>
      </c>
      <c r="AD85" s="470">
        <v>-5198000000</v>
      </c>
      <c r="AE85" s="472">
        <f>_xlfn.XLOOKUP(M85,RP_SEC!AB:AB,RP_SEC!AN:AN,0,0)</f>
        <v>-14486000000</v>
      </c>
      <c r="AF85" s="472">
        <f t="shared" si="20"/>
        <v>7</v>
      </c>
      <c r="AG85" s="481">
        <f t="shared" si="21"/>
        <v>2025</v>
      </c>
      <c r="AH85" s="470"/>
    </row>
    <row r="86" spans="10:34" x14ac:dyDescent="0.3">
      <c r="J86" s="375"/>
      <c r="K86" s="375"/>
      <c r="L86" s="11">
        <v>40</v>
      </c>
      <c r="M86" s="128">
        <v>47032</v>
      </c>
      <c r="N86" s="375">
        <v>45866</v>
      </c>
      <c r="O86" s="375">
        <v>45869</v>
      </c>
      <c r="P86" s="375">
        <v>45869</v>
      </c>
      <c r="Q86" s="128" t="s">
        <v>2728</v>
      </c>
      <c r="R86" s="128" t="s">
        <v>2775</v>
      </c>
      <c r="S86" s="128" t="s">
        <v>3237</v>
      </c>
      <c r="T86" s="128" t="s">
        <v>907</v>
      </c>
      <c r="U86" s="128" t="s">
        <v>884</v>
      </c>
      <c r="V86" s="128" t="s">
        <v>824</v>
      </c>
      <c r="W86" s="128" t="s">
        <v>2174</v>
      </c>
      <c r="X86" s="470">
        <v>2580000</v>
      </c>
      <c r="Y86" s="470">
        <v>104154</v>
      </c>
      <c r="Z86" s="470">
        <v>2555</v>
      </c>
      <c r="AA86" s="472">
        <f t="shared" si="22"/>
        <v>106709</v>
      </c>
      <c r="AB86" s="472">
        <f t="shared" si="23"/>
        <v>275309220000</v>
      </c>
      <c r="AD86" s="470">
        <v>-19829880000</v>
      </c>
      <c r="AE86" s="472">
        <f>_xlfn.XLOOKUP(M86,RP_SEC!AB:AB,RP_SEC!AN:AN,0,0)</f>
        <v>0</v>
      </c>
      <c r="AF86" s="472">
        <f t="shared" si="20"/>
        <v>7</v>
      </c>
      <c r="AG86" s="481">
        <f t="shared" si="21"/>
        <v>2025</v>
      </c>
      <c r="AH86" s="470"/>
    </row>
    <row r="87" spans="10:34" x14ac:dyDescent="0.3">
      <c r="J87" s="375"/>
      <c r="K87" s="375"/>
      <c r="L87" s="11">
        <v>40</v>
      </c>
      <c r="M87" s="128">
        <v>47036</v>
      </c>
      <c r="N87" s="375">
        <v>45866</v>
      </c>
      <c r="O87" s="375">
        <v>45870</v>
      </c>
      <c r="P87" s="375">
        <v>45870</v>
      </c>
      <c r="Q87" s="128" t="s">
        <v>822</v>
      </c>
      <c r="R87" s="128" t="s">
        <v>2775</v>
      </c>
      <c r="S87" s="128" t="s">
        <v>3237</v>
      </c>
      <c r="T87" s="128" t="s">
        <v>907</v>
      </c>
      <c r="U87" s="128" t="s">
        <v>884</v>
      </c>
      <c r="V87" s="128" t="s">
        <v>2180</v>
      </c>
      <c r="W87" s="128" t="s">
        <v>2175</v>
      </c>
      <c r="X87" s="470">
        <v>2580000</v>
      </c>
      <c r="Y87" s="470">
        <v>104373</v>
      </c>
      <c r="Z87" s="470">
        <v>2564</v>
      </c>
      <c r="AA87" s="472">
        <f t="shared" si="22"/>
        <v>106937</v>
      </c>
      <c r="AB87" s="472">
        <f t="shared" si="23"/>
        <v>275897460000</v>
      </c>
      <c r="AD87" s="470">
        <v>-18932040000</v>
      </c>
      <c r="AE87" s="472">
        <f>_xlfn.XLOOKUP(M87,RP_SEC!AB:AB,RP_SEC!AN:AN,0,0)</f>
        <v>-43934820000</v>
      </c>
      <c r="AF87" s="472">
        <f t="shared" si="20"/>
        <v>7</v>
      </c>
      <c r="AG87" s="481">
        <f t="shared" si="21"/>
        <v>2025</v>
      </c>
      <c r="AH87" s="470"/>
    </row>
    <row r="88" spans="10:34" x14ac:dyDescent="0.3">
      <c r="J88" s="375"/>
      <c r="K88" s="375"/>
      <c r="L88" s="11">
        <v>41</v>
      </c>
      <c r="M88" s="128">
        <v>47107</v>
      </c>
      <c r="N88" s="375">
        <v>45873</v>
      </c>
      <c r="O88" s="375">
        <v>45876</v>
      </c>
      <c r="P88" s="375">
        <v>45876</v>
      </c>
      <c r="Q88" s="128" t="s">
        <v>2728</v>
      </c>
      <c r="R88" s="128" t="s">
        <v>2380</v>
      </c>
      <c r="S88" s="128" t="s">
        <v>3202</v>
      </c>
      <c r="T88" s="128" t="s">
        <v>823</v>
      </c>
      <c r="U88" s="128" t="s">
        <v>884</v>
      </c>
      <c r="V88" s="128" t="s">
        <v>824</v>
      </c>
      <c r="W88" s="128" t="s">
        <v>2174</v>
      </c>
      <c r="X88" s="470">
        <v>2000000</v>
      </c>
      <c r="Y88" s="470">
        <v>120630</v>
      </c>
      <c r="Z88" s="470">
        <v>2756</v>
      </c>
      <c r="AA88" s="472">
        <f t="shared" si="22"/>
        <v>123386</v>
      </c>
      <c r="AB88" s="472">
        <f t="shared" si="23"/>
        <v>246772000000</v>
      </c>
      <c r="AD88" s="470">
        <v>-15482000000</v>
      </c>
      <c r="AE88" s="472">
        <f>_xlfn.XLOOKUP(M88,RP_SEC!AB:AB,RP_SEC!AN:AN,0,0)</f>
        <v>0</v>
      </c>
      <c r="AF88" s="472">
        <f t="shared" si="20"/>
        <v>8</v>
      </c>
      <c r="AG88" s="481">
        <f t="shared" si="21"/>
        <v>2025</v>
      </c>
      <c r="AH88" s="470"/>
    </row>
    <row r="89" spans="10:34" x14ac:dyDescent="0.3">
      <c r="J89" s="375"/>
      <c r="K89" s="375"/>
      <c r="L89" s="11">
        <v>41</v>
      </c>
      <c r="M89" s="128">
        <v>47108</v>
      </c>
      <c r="N89" s="375">
        <v>45873</v>
      </c>
      <c r="O89" s="375">
        <v>45877</v>
      </c>
      <c r="P89" s="375">
        <v>45877</v>
      </c>
      <c r="Q89" s="128" t="s">
        <v>822</v>
      </c>
      <c r="R89" s="128" t="s">
        <v>2380</v>
      </c>
      <c r="S89" s="128" t="s">
        <v>3202</v>
      </c>
      <c r="T89" s="128" t="s">
        <v>823</v>
      </c>
      <c r="U89" s="128" t="s">
        <v>884</v>
      </c>
      <c r="V89" s="128" t="s">
        <v>2180</v>
      </c>
      <c r="W89" s="128" t="s">
        <v>2175</v>
      </c>
      <c r="X89" s="470">
        <v>2000000</v>
      </c>
      <c r="Y89" s="470">
        <v>120606</v>
      </c>
      <c r="Z89" s="470">
        <v>2768</v>
      </c>
      <c r="AA89" s="472">
        <f t="shared" si="22"/>
        <v>123374</v>
      </c>
      <c r="AB89" s="472">
        <f t="shared" si="23"/>
        <v>246748000000</v>
      </c>
      <c r="AD89" s="470">
        <v>-14962000000</v>
      </c>
      <c r="AE89" s="472">
        <f>_xlfn.XLOOKUP(M89,RP_SEC!AB:AB,RP_SEC!AN:AN,0,0)</f>
        <v>-37472000000</v>
      </c>
      <c r="AF89" s="472">
        <f t="shared" si="20"/>
        <v>8</v>
      </c>
      <c r="AG89" s="481">
        <f t="shared" si="21"/>
        <v>2025</v>
      </c>
      <c r="AH89" s="470"/>
    </row>
    <row r="90" spans="10:34" x14ac:dyDescent="0.3">
      <c r="J90" s="375"/>
      <c r="K90" s="375"/>
      <c r="L90" s="11">
        <v>42</v>
      </c>
      <c r="M90" s="128">
        <v>48323</v>
      </c>
      <c r="N90" s="375">
        <v>46001</v>
      </c>
      <c r="O90" s="375">
        <v>46006</v>
      </c>
      <c r="P90" s="375">
        <v>46006</v>
      </c>
      <c r="Q90" s="128" t="s">
        <v>2728</v>
      </c>
      <c r="R90" s="128" t="s">
        <v>637</v>
      </c>
      <c r="S90" s="128" t="s">
        <v>3243</v>
      </c>
      <c r="T90" s="128" t="s">
        <v>823</v>
      </c>
      <c r="U90" s="128" t="s">
        <v>881</v>
      </c>
      <c r="V90" s="128" t="s">
        <v>824</v>
      </c>
      <c r="W90" s="128" t="s">
        <v>2174</v>
      </c>
      <c r="X90" s="470">
        <v>500000</v>
      </c>
      <c r="Y90" s="470">
        <v>100955</v>
      </c>
      <c r="Z90" s="470">
        <v>1582</v>
      </c>
      <c r="AA90" s="472">
        <f t="shared" si="22"/>
        <v>102537</v>
      </c>
      <c r="AB90" s="472">
        <f t="shared" si="23"/>
        <v>51268500000</v>
      </c>
      <c r="AD90" s="470">
        <v>-2768500000</v>
      </c>
      <c r="AE90" s="472">
        <f>_xlfn.XLOOKUP(M90,RP_SEC!AB:AB,RP_SEC!AN:AN,0,0)</f>
        <v>0</v>
      </c>
      <c r="AF90" s="472">
        <f t="shared" si="20"/>
        <v>12</v>
      </c>
      <c r="AG90" s="481">
        <f t="shared" si="21"/>
        <v>2025</v>
      </c>
      <c r="AH90" s="470"/>
    </row>
    <row r="91" spans="10:34" x14ac:dyDescent="0.3">
      <c r="J91" s="375"/>
      <c r="K91" s="375"/>
      <c r="L91" s="11">
        <v>42</v>
      </c>
      <c r="M91" s="128">
        <v>48343</v>
      </c>
      <c r="N91" s="375">
        <v>46003</v>
      </c>
      <c r="O91" s="375">
        <v>46009</v>
      </c>
      <c r="P91" s="375">
        <v>46009</v>
      </c>
      <c r="Q91" s="128" t="s">
        <v>822</v>
      </c>
      <c r="R91" s="128" t="s">
        <v>637</v>
      </c>
      <c r="S91" s="128" t="s">
        <v>3243</v>
      </c>
      <c r="T91" s="128" t="s">
        <v>823</v>
      </c>
      <c r="U91" s="128" t="s">
        <v>881</v>
      </c>
      <c r="V91" s="128" t="s">
        <v>2180</v>
      </c>
      <c r="W91" s="128" t="s">
        <v>2175</v>
      </c>
      <c r="X91" s="470">
        <v>500000</v>
      </c>
      <c r="Y91" s="470">
        <v>100939</v>
      </c>
      <c r="Z91" s="470">
        <v>1601</v>
      </c>
      <c r="AA91" s="472">
        <f t="shared" si="22"/>
        <v>102540</v>
      </c>
      <c r="AB91" s="472">
        <f t="shared" si="23"/>
        <v>51270000000</v>
      </c>
      <c r="AD91" s="470">
        <v>-2773500000</v>
      </c>
      <c r="AE91" s="472">
        <f>_xlfn.XLOOKUP(M91,RP_SEC!AB:AB,RP_SEC!AN:AN,0,0)</f>
        <v>-4285500000</v>
      </c>
      <c r="AF91" s="472">
        <f t="shared" si="20"/>
        <v>12</v>
      </c>
      <c r="AG91" s="481">
        <f t="shared" si="21"/>
        <v>2025</v>
      </c>
      <c r="AH91" s="470"/>
    </row>
    <row r="92" spans="10:34" x14ac:dyDescent="0.3">
      <c r="J92" s="375"/>
      <c r="K92" s="375"/>
      <c r="L92" s="11">
        <v>43</v>
      </c>
      <c r="M92" s="128">
        <v>48325</v>
      </c>
      <c r="N92" s="375">
        <v>46001</v>
      </c>
      <c r="O92" s="375">
        <v>46006</v>
      </c>
      <c r="P92" s="375">
        <v>46006</v>
      </c>
      <c r="Q92" s="128" t="s">
        <v>2728</v>
      </c>
      <c r="R92" s="128" t="s">
        <v>2852</v>
      </c>
      <c r="S92" s="128" t="s">
        <v>3243</v>
      </c>
      <c r="T92" s="128" t="s">
        <v>823</v>
      </c>
      <c r="U92" s="128" t="s">
        <v>883</v>
      </c>
      <c r="V92" s="128" t="s">
        <v>824</v>
      </c>
      <c r="W92" s="128" t="s">
        <v>2174</v>
      </c>
      <c r="X92" s="470">
        <v>500000</v>
      </c>
      <c r="Y92" s="470">
        <v>97947</v>
      </c>
      <c r="Z92" s="470">
        <v>1631</v>
      </c>
      <c r="AA92" s="472">
        <f t="shared" si="22"/>
        <v>99578</v>
      </c>
      <c r="AB92" s="472">
        <f t="shared" si="23"/>
        <v>49789000000</v>
      </c>
      <c r="AD92" s="470">
        <v>-3491000000</v>
      </c>
      <c r="AE92" s="472">
        <f>_xlfn.XLOOKUP(M92,RP_SEC!AB:AB,RP_SEC!AN:AN,0,0)</f>
        <v>0</v>
      </c>
      <c r="AF92" s="472">
        <f t="shared" si="20"/>
        <v>12</v>
      </c>
      <c r="AG92" s="481">
        <f t="shared" si="21"/>
        <v>2025</v>
      </c>
      <c r="AH92" s="470"/>
    </row>
    <row r="93" spans="10:34" x14ac:dyDescent="0.3">
      <c r="J93" s="375"/>
      <c r="K93" s="375"/>
      <c r="L93" s="11">
        <v>43</v>
      </c>
      <c r="M93" s="128">
        <v>48342</v>
      </c>
      <c r="N93" s="375">
        <v>46003</v>
      </c>
      <c r="O93" s="375">
        <v>46009</v>
      </c>
      <c r="P93" s="375">
        <v>46009</v>
      </c>
      <c r="Q93" s="128" t="s">
        <v>822</v>
      </c>
      <c r="R93" s="128" t="s">
        <v>2852</v>
      </c>
      <c r="S93" s="128" t="s">
        <v>3243</v>
      </c>
      <c r="T93" s="128" t="s">
        <v>823</v>
      </c>
      <c r="U93" s="128" t="s">
        <v>883</v>
      </c>
      <c r="V93" s="128" t="s">
        <v>2180</v>
      </c>
      <c r="W93" s="128" t="s">
        <v>2175</v>
      </c>
      <c r="X93" s="470">
        <v>500000</v>
      </c>
      <c r="Y93" s="470">
        <v>97932</v>
      </c>
      <c r="Z93" s="470">
        <v>1650</v>
      </c>
      <c r="AA93" s="472">
        <f t="shared" si="22"/>
        <v>99582</v>
      </c>
      <c r="AB93" s="472">
        <f t="shared" si="23"/>
        <v>49791000000</v>
      </c>
      <c r="AD93" s="470">
        <v>-3550500000</v>
      </c>
      <c r="AE93" s="472">
        <f>_xlfn.XLOOKUP(M93,RP_SEC!AB:AB,RP_SEC!AN:AN,0,0)</f>
        <v>0</v>
      </c>
      <c r="AF93" s="472">
        <f t="shared" si="20"/>
        <v>12</v>
      </c>
      <c r="AG93" s="481">
        <f t="shared" si="21"/>
        <v>2025</v>
      </c>
      <c r="AH93" s="470"/>
    </row>
    <row r="94" spans="10:34" x14ac:dyDescent="0.3">
      <c r="J94" s="375"/>
      <c r="K94" s="375"/>
      <c r="L94" s="11">
        <v>44</v>
      </c>
      <c r="M94" s="128">
        <v>48252</v>
      </c>
      <c r="N94" s="375">
        <v>45994</v>
      </c>
      <c r="O94" s="375">
        <v>46007</v>
      </c>
      <c r="P94" s="375">
        <v>46007</v>
      </c>
      <c r="Q94" s="128" t="s">
        <v>2728</v>
      </c>
      <c r="R94" s="128" t="s">
        <v>2799</v>
      </c>
      <c r="S94" s="128" t="s">
        <v>3243</v>
      </c>
      <c r="T94" s="128" t="s">
        <v>823</v>
      </c>
      <c r="U94" s="128" t="s">
        <v>883</v>
      </c>
      <c r="V94" s="128" t="s">
        <v>824</v>
      </c>
      <c r="W94" s="128" t="s">
        <v>2174</v>
      </c>
      <c r="X94" s="470">
        <v>1500000</v>
      </c>
      <c r="Y94" s="470">
        <v>95441</v>
      </c>
      <c r="Z94" s="470">
        <v>1950</v>
      </c>
      <c r="AA94" s="472">
        <f t="shared" si="22"/>
        <v>97391</v>
      </c>
      <c r="AB94" s="472">
        <f t="shared" si="23"/>
        <v>146086500000</v>
      </c>
      <c r="AD94" s="470">
        <v>-8443500000</v>
      </c>
      <c r="AE94" s="472">
        <f>_xlfn.XLOOKUP(M94,RP_SEC!AB:AB,RP_SEC!AN:AN,0,0)</f>
        <v>0</v>
      </c>
      <c r="AF94" s="472">
        <f t="shared" si="20"/>
        <v>12</v>
      </c>
      <c r="AG94" s="481">
        <f t="shared" si="21"/>
        <v>2025</v>
      </c>
      <c r="AH94" s="470"/>
    </row>
    <row r="95" spans="10:34" x14ac:dyDescent="0.3">
      <c r="J95" s="375"/>
      <c r="K95" s="375"/>
      <c r="L95" s="11">
        <v>44</v>
      </c>
      <c r="M95" s="128">
        <v>48336</v>
      </c>
      <c r="N95" s="375">
        <v>46003</v>
      </c>
      <c r="O95" s="375">
        <v>46010</v>
      </c>
      <c r="P95" s="375">
        <v>46010</v>
      </c>
      <c r="Q95" s="128" t="s">
        <v>822</v>
      </c>
      <c r="R95" s="128" t="s">
        <v>2799</v>
      </c>
      <c r="S95" s="128" t="s">
        <v>3243</v>
      </c>
      <c r="T95" s="128" t="s">
        <v>823</v>
      </c>
      <c r="U95" s="128" t="s">
        <v>883</v>
      </c>
      <c r="V95" s="128" t="s">
        <v>2180</v>
      </c>
      <c r="W95" s="128" t="s">
        <v>2175</v>
      </c>
      <c r="X95" s="470">
        <v>1500000</v>
      </c>
      <c r="Y95" s="470">
        <v>95424</v>
      </c>
      <c r="Z95" s="470">
        <v>1968</v>
      </c>
      <c r="AA95" s="472">
        <f t="shared" si="22"/>
        <v>97392</v>
      </c>
      <c r="AB95" s="472">
        <f t="shared" si="23"/>
        <v>146088000000</v>
      </c>
      <c r="AD95" s="470">
        <v>-9223500000</v>
      </c>
      <c r="AE95" s="472">
        <f>_xlfn.XLOOKUP(M95,RP_SEC!AB:AB,RP_SEC!AN:AN,0,0)</f>
        <v>-13923000000</v>
      </c>
      <c r="AF95" s="472">
        <f t="shared" si="20"/>
        <v>12</v>
      </c>
      <c r="AG95" s="481">
        <f t="shared" si="21"/>
        <v>2025</v>
      </c>
      <c r="AH95" s="470"/>
    </row>
    <row r="96" spans="10:34" x14ac:dyDescent="0.3">
      <c r="J96" s="375"/>
      <c r="K96" s="375"/>
      <c r="L96" s="11">
        <v>45</v>
      </c>
      <c r="M96" s="128">
        <v>48045</v>
      </c>
      <c r="N96" s="375">
        <v>45978</v>
      </c>
      <c r="O96" s="375">
        <v>46001</v>
      </c>
      <c r="P96" s="375">
        <v>46001</v>
      </c>
      <c r="Q96" s="128" t="s">
        <v>2728</v>
      </c>
      <c r="R96" s="128" t="s">
        <v>2834</v>
      </c>
      <c r="S96" s="128" t="s">
        <v>3242</v>
      </c>
      <c r="T96" s="128" t="s">
        <v>823</v>
      </c>
      <c r="U96" s="128" t="s">
        <v>883</v>
      </c>
      <c r="V96" s="128" t="s">
        <v>824</v>
      </c>
      <c r="W96" s="128" t="s">
        <v>2174</v>
      </c>
      <c r="X96" s="470">
        <v>2000000</v>
      </c>
      <c r="Y96" s="470">
        <v>97754</v>
      </c>
      <c r="Z96" s="470">
        <v>1176</v>
      </c>
      <c r="AA96" s="472">
        <f t="shared" si="22"/>
        <v>98930</v>
      </c>
      <c r="AB96" s="472">
        <f t="shared" si="23"/>
        <v>197860000000</v>
      </c>
      <c r="AD96" s="470">
        <v>-13788000000</v>
      </c>
      <c r="AE96" s="472">
        <f>_xlfn.XLOOKUP(M96,RP_SEC!AB:AB,RP_SEC!AN:AN,0,0)</f>
        <v>0</v>
      </c>
      <c r="AF96" s="472">
        <v>12</v>
      </c>
      <c r="AG96" s="481">
        <f t="shared" si="21"/>
        <v>2025</v>
      </c>
      <c r="AH96" s="470"/>
    </row>
    <row r="97" spans="10:34" x14ac:dyDescent="0.3">
      <c r="J97" s="375"/>
      <c r="K97" s="375"/>
      <c r="L97" s="11">
        <v>45</v>
      </c>
      <c r="M97" s="128">
        <v>48334</v>
      </c>
      <c r="N97" s="375">
        <v>46003</v>
      </c>
      <c r="O97" s="375">
        <v>46006</v>
      </c>
      <c r="P97" s="375">
        <v>46006</v>
      </c>
      <c r="Q97" s="128" t="s">
        <v>822</v>
      </c>
      <c r="R97" s="128" t="s">
        <v>2834</v>
      </c>
      <c r="S97" s="128" t="s">
        <v>3242</v>
      </c>
      <c r="T97" s="128" t="s">
        <v>823</v>
      </c>
      <c r="U97" s="128" t="s">
        <v>883</v>
      </c>
      <c r="V97" s="128" t="s">
        <v>2180</v>
      </c>
      <c r="W97" s="128" t="s">
        <v>2175</v>
      </c>
      <c r="X97" s="470">
        <v>2000000</v>
      </c>
      <c r="Y97" s="470">
        <v>99840</v>
      </c>
      <c r="Z97" s="470">
        <v>1213</v>
      </c>
      <c r="AA97" s="472">
        <f t="shared" si="22"/>
        <v>101053</v>
      </c>
      <c r="AB97" s="472">
        <f t="shared" si="23"/>
        <v>202106000000</v>
      </c>
      <c r="AD97" s="470">
        <v>-14658000000</v>
      </c>
      <c r="AE97" s="472">
        <f>_xlfn.XLOOKUP(M97,RP_SEC!AB:AB,RP_SEC!AN:AN,0,0)</f>
        <v>-21296000000</v>
      </c>
      <c r="AF97" s="472">
        <f t="shared" ref="AF97:AF109" si="24">MONTH(N97)</f>
        <v>12</v>
      </c>
      <c r="AG97" s="481">
        <f t="shared" si="21"/>
        <v>2025</v>
      </c>
      <c r="AH97" s="470"/>
    </row>
    <row r="98" spans="10:34" x14ac:dyDescent="0.3">
      <c r="J98" s="375"/>
      <c r="K98" s="375"/>
      <c r="L98" s="11">
        <v>46</v>
      </c>
      <c r="M98" s="128">
        <v>48243</v>
      </c>
      <c r="N98" s="375">
        <v>45993</v>
      </c>
      <c r="O98" s="375">
        <v>46003</v>
      </c>
      <c r="P98" s="375">
        <v>46003</v>
      </c>
      <c r="Q98" s="128" t="s">
        <v>2728</v>
      </c>
      <c r="R98" s="128" t="s">
        <v>2839</v>
      </c>
      <c r="S98" s="128" t="s">
        <v>3591</v>
      </c>
      <c r="T98" s="128" t="s">
        <v>823</v>
      </c>
      <c r="U98" s="128" t="s">
        <v>883</v>
      </c>
      <c r="V98" s="128" t="s">
        <v>824</v>
      </c>
      <c r="W98" s="128" t="s">
        <v>2174</v>
      </c>
      <c r="X98" s="470">
        <v>2000000</v>
      </c>
      <c r="Y98" s="470">
        <v>99649</v>
      </c>
      <c r="Z98" s="470">
        <v>880</v>
      </c>
      <c r="AA98" s="472">
        <f t="shared" si="22"/>
        <v>100529</v>
      </c>
      <c r="AB98" s="472">
        <f t="shared" si="23"/>
        <v>201058000000</v>
      </c>
      <c r="AD98" s="470">
        <v>-14118000000</v>
      </c>
      <c r="AE98" s="472">
        <f>_xlfn.XLOOKUP(M98,RP_SEC!AB:AB,RP_SEC!AN:AN,0,0)</f>
        <v>0</v>
      </c>
      <c r="AF98" s="472">
        <f t="shared" si="24"/>
        <v>12</v>
      </c>
      <c r="AG98" s="481">
        <f t="shared" ref="AG98:AG114" si="25">YEAR(N98)</f>
        <v>2025</v>
      </c>
      <c r="AH98" s="470"/>
    </row>
    <row r="99" spans="10:34" x14ac:dyDescent="0.3">
      <c r="J99" s="375"/>
      <c r="K99" s="375"/>
      <c r="L99" s="11">
        <v>46</v>
      </c>
      <c r="M99" s="128">
        <v>48295</v>
      </c>
      <c r="N99" s="375">
        <v>45999</v>
      </c>
      <c r="O99" s="375">
        <v>46006</v>
      </c>
      <c r="P99" s="375">
        <v>46006</v>
      </c>
      <c r="Q99" s="128" t="s">
        <v>822</v>
      </c>
      <c r="R99" s="128" t="s">
        <v>2839</v>
      </c>
      <c r="S99" s="128" t="s">
        <v>3591</v>
      </c>
      <c r="T99" s="128" t="s">
        <v>823</v>
      </c>
      <c r="U99" s="128" t="s">
        <v>883</v>
      </c>
      <c r="V99" s="128" t="s">
        <v>2180</v>
      </c>
      <c r="W99" s="128" t="s">
        <v>2175</v>
      </c>
      <c r="X99" s="470">
        <v>2000000</v>
      </c>
      <c r="Y99" s="470">
        <v>99611</v>
      </c>
      <c r="Z99" s="470">
        <v>902</v>
      </c>
      <c r="AA99" s="472">
        <f t="shared" si="22"/>
        <v>100513</v>
      </c>
      <c r="AB99" s="472">
        <f t="shared" si="23"/>
        <v>201026000000</v>
      </c>
      <c r="AD99" s="470">
        <v>-14440000000</v>
      </c>
      <c r="AE99" s="472">
        <f>_xlfn.XLOOKUP(M99,RP_SEC!AB:AB,RP_SEC!AN:AN,0,0)</f>
        <v>0</v>
      </c>
      <c r="AF99" s="472">
        <f t="shared" si="24"/>
        <v>12</v>
      </c>
      <c r="AG99" s="481">
        <f t="shared" si="25"/>
        <v>2025</v>
      </c>
      <c r="AH99" s="470"/>
    </row>
    <row r="100" spans="10:34" x14ac:dyDescent="0.3">
      <c r="J100" s="375"/>
      <c r="K100" s="375"/>
      <c r="L100" s="11">
        <v>47</v>
      </c>
      <c r="M100" s="128">
        <v>48267</v>
      </c>
      <c r="N100" s="375">
        <v>45995</v>
      </c>
      <c r="O100" s="375">
        <v>46006</v>
      </c>
      <c r="P100" s="375">
        <v>46006</v>
      </c>
      <c r="Q100" s="128" t="s">
        <v>2728</v>
      </c>
      <c r="R100" s="128" t="s">
        <v>2498</v>
      </c>
      <c r="S100" s="128" t="s">
        <v>3245</v>
      </c>
      <c r="T100" s="128" t="s">
        <v>823</v>
      </c>
      <c r="U100" s="128" t="s">
        <v>885</v>
      </c>
      <c r="V100" s="128" t="s">
        <v>824</v>
      </c>
      <c r="W100" s="128" t="s">
        <v>2174</v>
      </c>
      <c r="X100" s="470">
        <v>500000</v>
      </c>
      <c r="Y100" s="470">
        <v>109748</v>
      </c>
      <c r="Z100" s="470">
        <v>2636</v>
      </c>
      <c r="AA100" s="472">
        <f t="shared" si="22"/>
        <v>112384</v>
      </c>
      <c r="AB100" s="472">
        <f t="shared" si="23"/>
        <v>56192000000</v>
      </c>
      <c r="AD100" s="470">
        <v>-6828000000</v>
      </c>
      <c r="AE100" s="472">
        <f>_xlfn.XLOOKUP(M100,RP_SEC!AB:AB,RP_SEC!AN:AN,0,0)</f>
        <v>0</v>
      </c>
      <c r="AF100" s="472">
        <f t="shared" si="24"/>
        <v>12</v>
      </c>
      <c r="AG100" s="481">
        <f t="shared" si="25"/>
        <v>2025</v>
      </c>
      <c r="AH100" s="470"/>
    </row>
    <row r="101" spans="10:34" x14ac:dyDescent="0.3">
      <c r="J101" s="375"/>
      <c r="K101" s="375"/>
      <c r="L101" s="11">
        <v>47</v>
      </c>
      <c r="M101" s="128">
        <v>48344</v>
      </c>
      <c r="N101" s="375">
        <v>46003</v>
      </c>
      <c r="O101" s="375">
        <v>46007</v>
      </c>
      <c r="P101" s="375">
        <v>46007</v>
      </c>
      <c r="Q101" s="128" t="s">
        <v>822</v>
      </c>
      <c r="R101" s="128" t="s">
        <v>2498</v>
      </c>
      <c r="S101" s="128" t="s">
        <v>3245</v>
      </c>
      <c r="T101" s="128" t="s">
        <v>823</v>
      </c>
      <c r="U101" s="128" t="s">
        <v>885</v>
      </c>
      <c r="V101" s="128" t="s">
        <v>2180</v>
      </c>
      <c r="W101" s="128" t="s">
        <v>2175</v>
      </c>
      <c r="X101" s="470">
        <v>500000</v>
      </c>
      <c r="Y101" s="470">
        <v>109747</v>
      </c>
      <c r="Z101" s="470">
        <v>2646</v>
      </c>
      <c r="AA101" s="472">
        <f t="shared" si="22"/>
        <v>112393</v>
      </c>
      <c r="AB101" s="472">
        <f t="shared" si="23"/>
        <v>56196500000</v>
      </c>
      <c r="AD101" s="470">
        <v>-7124000000</v>
      </c>
      <c r="AE101" s="472">
        <f>_xlfn.XLOOKUP(M101,RP_SEC!AB:AB,RP_SEC!AN:AN,0,0)</f>
        <v>-10065000000</v>
      </c>
      <c r="AF101" s="472">
        <f t="shared" si="24"/>
        <v>12</v>
      </c>
      <c r="AG101" s="481">
        <f t="shared" si="25"/>
        <v>2025</v>
      </c>
      <c r="AH101" s="470"/>
    </row>
    <row r="102" spans="10:34" x14ac:dyDescent="0.3">
      <c r="J102" s="375"/>
      <c r="K102" s="375"/>
      <c r="L102" s="11">
        <v>48</v>
      </c>
      <c r="M102" s="128">
        <v>48255</v>
      </c>
      <c r="N102" s="375">
        <v>45994</v>
      </c>
      <c r="O102" s="375">
        <v>46003</v>
      </c>
      <c r="P102" s="375">
        <v>46003</v>
      </c>
      <c r="Q102" s="128" t="s">
        <v>2728</v>
      </c>
      <c r="R102" s="128" t="s">
        <v>712</v>
      </c>
      <c r="S102" s="128" t="s">
        <v>3592</v>
      </c>
      <c r="T102" s="128" t="s">
        <v>823</v>
      </c>
      <c r="U102" s="128" t="s">
        <v>884</v>
      </c>
      <c r="V102" s="128" t="s">
        <v>2176</v>
      </c>
      <c r="W102" s="128" t="s">
        <v>2174</v>
      </c>
      <c r="X102" s="470">
        <v>500000</v>
      </c>
      <c r="Y102" s="470">
        <v>107993</v>
      </c>
      <c r="Z102" s="470">
        <v>3324</v>
      </c>
      <c r="AA102" s="472">
        <f t="shared" si="22"/>
        <v>111317</v>
      </c>
      <c r="AB102" s="472">
        <f t="shared" si="23"/>
        <v>55658500000</v>
      </c>
      <c r="AD102" s="470">
        <v>-6141500000</v>
      </c>
      <c r="AE102" s="472">
        <f>_xlfn.XLOOKUP(M102,RP_SEC!AB:AB,RP_SEC!AN:AN,0,0)</f>
        <v>0</v>
      </c>
      <c r="AF102" s="472">
        <f t="shared" si="24"/>
        <v>12</v>
      </c>
      <c r="AG102" s="481">
        <f t="shared" si="25"/>
        <v>2025</v>
      </c>
      <c r="AH102" s="470"/>
    </row>
    <row r="103" spans="10:34" x14ac:dyDescent="0.3">
      <c r="J103" s="375"/>
      <c r="K103" s="375"/>
      <c r="L103" s="11">
        <v>48</v>
      </c>
      <c r="M103" s="128">
        <v>48340</v>
      </c>
      <c r="N103" s="375">
        <v>46003</v>
      </c>
      <c r="O103" s="375">
        <v>46006</v>
      </c>
      <c r="P103" s="375">
        <v>46006</v>
      </c>
      <c r="Q103" s="128" t="s">
        <v>822</v>
      </c>
      <c r="R103" s="128" t="s">
        <v>712</v>
      </c>
      <c r="S103" s="128" t="s">
        <v>3592</v>
      </c>
      <c r="T103" s="128" t="s">
        <v>823</v>
      </c>
      <c r="U103" s="128" t="s">
        <v>884</v>
      </c>
      <c r="V103" s="128" t="s">
        <v>2180</v>
      </c>
      <c r="W103" s="128" t="s">
        <v>2175</v>
      </c>
      <c r="X103" s="470">
        <v>500000</v>
      </c>
      <c r="Y103" s="470">
        <v>107990</v>
      </c>
      <c r="Z103" s="470">
        <v>3353</v>
      </c>
      <c r="AA103" s="472">
        <f t="shared" si="22"/>
        <v>111343</v>
      </c>
      <c r="AB103" s="472">
        <f t="shared" si="23"/>
        <v>55671500000</v>
      </c>
      <c r="AD103" s="470">
        <v>-6339000000</v>
      </c>
      <c r="AE103" s="472">
        <f>_xlfn.XLOOKUP(M103,RP_SEC!AB:AB,RP_SEC!AN:AN,0,0)</f>
        <v>-8627000000</v>
      </c>
      <c r="AF103" s="472">
        <f t="shared" si="24"/>
        <v>12</v>
      </c>
      <c r="AG103" s="481">
        <f t="shared" si="25"/>
        <v>2025</v>
      </c>
      <c r="AH103" s="470"/>
    </row>
    <row r="104" spans="10:34" x14ac:dyDescent="0.3">
      <c r="J104" s="375"/>
      <c r="K104" s="375"/>
      <c r="L104" s="11">
        <v>49</v>
      </c>
      <c r="M104" s="128">
        <v>48254</v>
      </c>
      <c r="N104" s="375">
        <v>45994</v>
      </c>
      <c r="O104" s="375">
        <v>46003</v>
      </c>
      <c r="P104" s="375">
        <v>46003</v>
      </c>
      <c r="Q104" s="128" t="s">
        <v>2728</v>
      </c>
      <c r="R104" s="128" t="s">
        <v>2380</v>
      </c>
      <c r="S104" s="128" t="s">
        <v>3592</v>
      </c>
      <c r="T104" s="128" t="s">
        <v>823</v>
      </c>
      <c r="U104" s="128" t="s">
        <v>884</v>
      </c>
      <c r="V104" s="128" t="s">
        <v>824</v>
      </c>
      <c r="W104" s="128" t="s">
        <v>2174</v>
      </c>
      <c r="X104" s="470">
        <v>500000</v>
      </c>
      <c r="Y104" s="470">
        <v>120132</v>
      </c>
      <c r="Z104" s="470">
        <v>4391</v>
      </c>
      <c r="AA104" s="472">
        <f t="shared" si="22"/>
        <v>124523</v>
      </c>
      <c r="AB104" s="472">
        <f t="shared" si="23"/>
        <v>62261500000</v>
      </c>
      <c r="AD104" s="470">
        <v>-6695500000</v>
      </c>
      <c r="AE104" s="472">
        <f>_xlfn.XLOOKUP(M104,RP_SEC!AB:AB,RP_SEC!AN:AN,0,0)</f>
        <v>0</v>
      </c>
      <c r="AF104" s="472">
        <f t="shared" si="24"/>
        <v>12</v>
      </c>
      <c r="AG104" s="481">
        <f t="shared" si="25"/>
        <v>2025</v>
      </c>
      <c r="AH104" s="470"/>
    </row>
    <row r="105" spans="10:34" x14ac:dyDescent="0.3">
      <c r="J105" s="375"/>
      <c r="K105" s="375"/>
      <c r="L105" s="11">
        <v>49</v>
      </c>
      <c r="M105" s="128">
        <v>48339</v>
      </c>
      <c r="N105" s="375">
        <v>46003</v>
      </c>
      <c r="O105" s="375">
        <v>46006</v>
      </c>
      <c r="P105" s="375">
        <v>46006</v>
      </c>
      <c r="Q105" s="128" t="s">
        <v>822</v>
      </c>
      <c r="R105" s="128" t="s">
        <v>2380</v>
      </c>
      <c r="S105" s="128" t="s">
        <v>3592</v>
      </c>
      <c r="T105" s="128" t="s">
        <v>823</v>
      </c>
      <c r="U105" s="128" t="s">
        <v>884</v>
      </c>
      <c r="V105" s="128" t="s">
        <v>2180</v>
      </c>
      <c r="W105" s="128" t="s">
        <v>2175</v>
      </c>
      <c r="X105" s="470">
        <v>500000</v>
      </c>
      <c r="Y105" s="470">
        <v>120120</v>
      </c>
      <c r="Z105" s="470">
        <v>4430</v>
      </c>
      <c r="AA105" s="472">
        <f t="shared" si="22"/>
        <v>124550</v>
      </c>
      <c r="AB105" s="472">
        <f t="shared" si="23"/>
        <v>62275000000</v>
      </c>
      <c r="AD105" s="470">
        <v>-6822000000</v>
      </c>
      <c r="AE105" s="472">
        <f>_xlfn.XLOOKUP(M105,RP_SEC!AB:AB,RP_SEC!AN:AN,0,0)</f>
        <v>-9125000000</v>
      </c>
      <c r="AF105" s="472">
        <f t="shared" si="24"/>
        <v>12</v>
      </c>
      <c r="AG105" s="481">
        <f t="shared" si="25"/>
        <v>2025</v>
      </c>
      <c r="AH105" s="470"/>
    </row>
    <row r="106" spans="10:34" x14ac:dyDescent="0.3">
      <c r="J106" s="375"/>
      <c r="K106" s="375"/>
      <c r="L106" s="11">
        <v>50</v>
      </c>
      <c r="M106" s="128">
        <v>48317</v>
      </c>
      <c r="N106" s="375">
        <v>46000</v>
      </c>
      <c r="O106" s="375">
        <v>46003</v>
      </c>
      <c r="P106" s="375">
        <v>46003</v>
      </c>
      <c r="Q106" s="128" t="s">
        <v>2728</v>
      </c>
      <c r="R106" s="128" t="s">
        <v>2741</v>
      </c>
      <c r="S106" s="128" t="s">
        <v>3592</v>
      </c>
      <c r="T106" s="128" t="s">
        <v>823</v>
      </c>
      <c r="U106" s="128" t="s">
        <v>884</v>
      </c>
      <c r="V106" s="128" t="s">
        <v>824</v>
      </c>
      <c r="W106" s="128" t="s">
        <v>2174</v>
      </c>
      <c r="X106" s="470">
        <v>500000</v>
      </c>
      <c r="Y106" s="470">
        <v>97622</v>
      </c>
      <c r="Z106" s="470">
        <v>1327</v>
      </c>
      <c r="AA106" s="472">
        <f t="shared" si="22"/>
        <v>98949</v>
      </c>
      <c r="AB106" s="472">
        <f t="shared" si="23"/>
        <v>49474500000</v>
      </c>
      <c r="AD106" s="470">
        <v>-4611500000</v>
      </c>
      <c r="AE106" s="472">
        <f>_xlfn.XLOOKUP(M106,RP_SEC!AB:AB,RP_SEC!AN:AN,0,0)</f>
        <v>0</v>
      </c>
      <c r="AF106" s="472">
        <f t="shared" si="24"/>
        <v>12</v>
      </c>
      <c r="AG106" s="481">
        <f t="shared" si="25"/>
        <v>2025</v>
      </c>
      <c r="AH106" s="470"/>
    </row>
    <row r="107" spans="10:34" x14ac:dyDescent="0.3">
      <c r="J107" s="375"/>
      <c r="K107" s="375"/>
      <c r="L107" s="11">
        <v>50</v>
      </c>
      <c r="M107" s="128">
        <v>48341</v>
      </c>
      <c r="N107" s="375">
        <v>46003</v>
      </c>
      <c r="O107" s="375">
        <v>46006</v>
      </c>
      <c r="P107" s="375">
        <v>46006</v>
      </c>
      <c r="Q107" s="128" t="s">
        <v>822</v>
      </c>
      <c r="R107" s="128" t="s">
        <v>2741</v>
      </c>
      <c r="S107" s="128" t="s">
        <v>3592</v>
      </c>
      <c r="T107" s="128" t="s">
        <v>823</v>
      </c>
      <c r="U107" s="128" t="s">
        <v>884</v>
      </c>
      <c r="V107" s="128" t="s">
        <v>2180</v>
      </c>
      <c r="W107" s="128" t="s">
        <v>2175</v>
      </c>
      <c r="X107" s="470">
        <v>500000</v>
      </c>
      <c r="Y107" s="470">
        <v>97623</v>
      </c>
      <c r="Z107" s="470">
        <v>1350</v>
      </c>
      <c r="AA107" s="472">
        <f t="shared" si="22"/>
        <v>98973</v>
      </c>
      <c r="AB107" s="472">
        <f t="shared" si="23"/>
        <v>49486500000</v>
      </c>
      <c r="AD107" s="470">
        <v>-4725500000</v>
      </c>
      <c r="AE107" s="472">
        <f>_xlfn.XLOOKUP(M107,RP_SEC!AB:AB,RP_SEC!AN:AN,0,0)</f>
        <v>-6471500000</v>
      </c>
      <c r="AF107" s="472">
        <f t="shared" si="24"/>
        <v>12</v>
      </c>
      <c r="AG107" s="481">
        <f t="shared" si="25"/>
        <v>2025</v>
      </c>
      <c r="AH107" s="470"/>
    </row>
    <row r="108" spans="10:34" x14ac:dyDescent="0.3">
      <c r="J108" s="375"/>
      <c r="K108" s="375"/>
      <c r="L108" s="11">
        <v>51</v>
      </c>
      <c r="M108" s="128">
        <v>48247</v>
      </c>
      <c r="N108" s="375">
        <v>45993</v>
      </c>
      <c r="O108" s="375">
        <v>46003</v>
      </c>
      <c r="P108" s="375">
        <v>46003</v>
      </c>
      <c r="Q108" s="128" t="s">
        <v>2728</v>
      </c>
      <c r="R108" s="128" t="s">
        <v>2800</v>
      </c>
      <c r="S108" s="128" t="s">
        <v>3592</v>
      </c>
      <c r="T108" s="128" t="s">
        <v>823</v>
      </c>
      <c r="U108" s="128" t="s">
        <v>884</v>
      </c>
      <c r="V108" s="128" t="s">
        <v>824</v>
      </c>
      <c r="W108" s="128" t="s">
        <v>2174</v>
      </c>
      <c r="X108" s="470">
        <v>1500000</v>
      </c>
      <c r="Y108" s="470">
        <v>92924</v>
      </c>
      <c r="Z108" s="470">
        <v>2111</v>
      </c>
      <c r="AA108" s="472">
        <f t="shared" si="22"/>
        <v>95035</v>
      </c>
      <c r="AB108" s="472">
        <f t="shared" si="23"/>
        <v>142552500000</v>
      </c>
      <c r="AD108" s="470">
        <v>-14380500000</v>
      </c>
      <c r="AE108" s="472">
        <f>_xlfn.XLOOKUP(M108,RP_SEC!AB:AB,RP_SEC!AN:AN,0,0)</f>
        <v>0</v>
      </c>
      <c r="AF108" s="472">
        <f t="shared" si="24"/>
        <v>12</v>
      </c>
      <c r="AG108" s="481">
        <f t="shared" si="25"/>
        <v>2025</v>
      </c>
    </row>
    <row r="109" spans="10:34" x14ac:dyDescent="0.3">
      <c r="J109" s="375"/>
      <c r="K109" s="375"/>
      <c r="L109" s="11">
        <v>51</v>
      </c>
      <c r="M109" s="128">
        <v>48338</v>
      </c>
      <c r="N109" s="375">
        <v>46003</v>
      </c>
      <c r="O109" s="375">
        <v>46006</v>
      </c>
      <c r="P109" s="375">
        <v>46006</v>
      </c>
      <c r="Q109" s="128" t="s">
        <v>822</v>
      </c>
      <c r="R109" s="128" t="s">
        <v>2800</v>
      </c>
      <c r="S109" s="128" t="s">
        <v>3592</v>
      </c>
      <c r="T109" s="128" t="s">
        <v>823</v>
      </c>
      <c r="U109" s="128" t="s">
        <v>884</v>
      </c>
      <c r="V109" s="128" t="s">
        <v>2180</v>
      </c>
      <c r="W109" s="128" t="s">
        <v>2175</v>
      </c>
      <c r="X109" s="470">
        <v>1500000</v>
      </c>
      <c r="Y109" s="470">
        <v>92928</v>
      </c>
      <c r="Z109" s="470">
        <v>2130</v>
      </c>
      <c r="AA109" s="472">
        <f t="shared" si="22"/>
        <v>95058</v>
      </c>
      <c r="AB109" s="472">
        <f t="shared" si="23"/>
        <v>142587000000</v>
      </c>
      <c r="AD109" s="470">
        <v>-15352500000</v>
      </c>
      <c r="AE109" s="472">
        <f>_xlfn.XLOOKUP(M109,RP_SEC!AB:AB,RP_SEC!AN:AN,0,0)</f>
        <v>-20376000000</v>
      </c>
      <c r="AF109" s="472">
        <f t="shared" si="24"/>
        <v>12</v>
      </c>
      <c r="AG109" s="481">
        <f t="shared" si="25"/>
        <v>2025</v>
      </c>
    </row>
    <row r="110" spans="10:34" x14ac:dyDescent="0.3">
      <c r="J110" s="375"/>
      <c r="K110" s="375"/>
      <c r="L110" s="11">
        <v>52</v>
      </c>
      <c r="M110" s="128">
        <v>48212</v>
      </c>
      <c r="N110" s="375">
        <v>45989</v>
      </c>
      <c r="O110" s="375">
        <v>46003</v>
      </c>
      <c r="P110" s="375">
        <v>46003</v>
      </c>
      <c r="Q110" s="128" t="s">
        <v>2728</v>
      </c>
      <c r="R110" s="128" t="s">
        <v>2835</v>
      </c>
      <c r="S110" s="128" t="s">
        <v>3592</v>
      </c>
      <c r="T110" s="128" t="s">
        <v>823</v>
      </c>
      <c r="U110" s="128" t="s">
        <v>884</v>
      </c>
      <c r="V110" s="128" t="s">
        <v>2176</v>
      </c>
      <c r="W110" s="128" t="s">
        <v>2174</v>
      </c>
      <c r="X110" s="470">
        <v>2000000</v>
      </c>
      <c r="Y110" s="470">
        <v>97471</v>
      </c>
      <c r="Z110" s="470">
        <v>1605</v>
      </c>
      <c r="AA110" s="472">
        <f t="shared" si="22"/>
        <v>99076</v>
      </c>
      <c r="AB110" s="472">
        <f t="shared" si="23"/>
        <v>198152000000</v>
      </c>
      <c r="AD110" s="470">
        <v>-21114000000</v>
      </c>
      <c r="AE110" s="472">
        <f>_xlfn.XLOOKUP(M110,RP_SEC!AB:AB,RP_SEC!AN:AN,0,0)</f>
        <v>0</v>
      </c>
      <c r="AF110" s="472">
        <v>12</v>
      </c>
      <c r="AG110" s="481">
        <f t="shared" si="25"/>
        <v>2025</v>
      </c>
    </row>
    <row r="111" spans="10:34" x14ac:dyDescent="0.3">
      <c r="J111" s="375"/>
      <c r="K111" s="375"/>
      <c r="L111" s="11">
        <v>52</v>
      </c>
      <c r="M111" s="128">
        <v>48242</v>
      </c>
      <c r="N111" s="375">
        <v>45993</v>
      </c>
      <c r="O111" s="375">
        <v>46003</v>
      </c>
      <c r="P111" s="375">
        <v>46003</v>
      </c>
      <c r="Q111" s="128" t="s">
        <v>2728</v>
      </c>
      <c r="R111" s="128" t="s">
        <v>2835</v>
      </c>
      <c r="S111" s="128" t="s">
        <v>3592</v>
      </c>
      <c r="T111" s="128" t="s">
        <v>823</v>
      </c>
      <c r="U111" s="128" t="s">
        <v>884</v>
      </c>
      <c r="V111" s="128" t="s">
        <v>824</v>
      </c>
      <c r="W111" s="128" t="s">
        <v>2174</v>
      </c>
      <c r="X111" s="470">
        <v>2000000</v>
      </c>
      <c r="Y111" s="470">
        <v>97471</v>
      </c>
      <c r="Z111" s="470">
        <v>1605</v>
      </c>
      <c r="AA111" s="472">
        <f t="shared" si="22"/>
        <v>99076</v>
      </c>
      <c r="AB111" s="472">
        <f t="shared" si="23"/>
        <v>198152000000</v>
      </c>
      <c r="AD111" s="470">
        <v>-20316460000</v>
      </c>
      <c r="AE111" s="472">
        <f>_xlfn.XLOOKUP(M111,RP_SEC!AB:AB,RP_SEC!AN:AN,0,0)</f>
        <v>0</v>
      </c>
      <c r="AF111" s="472">
        <f>MONTH(N111)</f>
        <v>12</v>
      </c>
      <c r="AG111" s="481">
        <f t="shared" si="25"/>
        <v>2025</v>
      </c>
    </row>
    <row r="112" spans="10:34" x14ac:dyDescent="0.3">
      <c r="J112" s="375"/>
      <c r="K112" s="375"/>
      <c r="L112" s="11">
        <v>52</v>
      </c>
      <c r="M112" s="128">
        <v>48337</v>
      </c>
      <c r="N112" s="375">
        <v>46003</v>
      </c>
      <c r="O112" s="375">
        <v>46006</v>
      </c>
      <c r="P112" s="375">
        <v>46006</v>
      </c>
      <c r="Q112" s="128" t="s">
        <v>822</v>
      </c>
      <c r="R112" s="128" t="s">
        <v>2835</v>
      </c>
      <c r="S112" s="128" t="s">
        <v>3592</v>
      </c>
      <c r="T112" s="128" t="s">
        <v>823</v>
      </c>
      <c r="U112" s="128" t="s">
        <v>884</v>
      </c>
      <c r="V112" s="128" t="s">
        <v>2180</v>
      </c>
      <c r="W112" s="128" t="s">
        <v>2175</v>
      </c>
      <c r="X112" s="470">
        <v>4000000</v>
      </c>
      <c r="Y112" s="470">
        <v>97473</v>
      </c>
      <c r="Z112" s="470">
        <v>1627</v>
      </c>
      <c r="AA112" s="472">
        <f t="shared" si="22"/>
        <v>99100</v>
      </c>
      <c r="AB112" s="472">
        <f t="shared" si="23"/>
        <v>396400000000</v>
      </c>
      <c r="AD112" s="470">
        <v>-44312000000</v>
      </c>
      <c r="AE112" s="472">
        <f>_xlfn.XLOOKUP(M112,RP_SEC!AB:AB,RP_SEC!AN:AN,0,0)</f>
        <v>0</v>
      </c>
      <c r="AF112" s="472">
        <f>MONTH(N112)</f>
        <v>12</v>
      </c>
      <c r="AG112" s="481">
        <f t="shared" si="25"/>
        <v>2025</v>
      </c>
    </row>
    <row r="113" spans="10:33" x14ac:dyDescent="0.3">
      <c r="J113" s="375"/>
      <c r="K113" s="375"/>
      <c r="L113" s="11">
        <v>53</v>
      </c>
      <c r="M113" s="128">
        <v>48358</v>
      </c>
      <c r="N113" s="375">
        <v>46007</v>
      </c>
      <c r="O113" s="375">
        <v>46009</v>
      </c>
      <c r="P113" s="375">
        <v>46009</v>
      </c>
      <c r="Q113" s="128" t="s">
        <v>2728</v>
      </c>
      <c r="R113" s="128" t="s">
        <v>2775</v>
      </c>
      <c r="S113" s="128" t="s">
        <v>3202</v>
      </c>
      <c r="T113" s="128" t="s">
        <v>907</v>
      </c>
      <c r="U113" s="128" t="s">
        <v>884</v>
      </c>
      <c r="V113" s="128" t="s">
        <v>824</v>
      </c>
      <c r="W113" s="128" t="s">
        <v>2174</v>
      </c>
      <c r="X113" s="470">
        <v>2000000</v>
      </c>
      <c r="Y113" s="470">
        <v>103632</v>
      </c>
      <c r="Z113" s="470">
        <v>335</v>
      </c>
      <c r="AA113" s="472">
        <f t="shared" si="22"/>
        <v>103967</v>
      </c>
      <c r="AB113" s="472">
        <f t="shared" si="23"/>
        <v>207934000000</v>
      </c>
      <c r="AD113" s="470">
        <v>-25760000000</v>
      </c>
      <c r="AE113" s="472">
        <f>_xlfn.XLOOKUP(M113,RP_SEC!AB:AB,RP_SEC!AN:AN,0,0)</f>
        <v>0</v>
      </c>
      <c r="AF113" s="472">
        <f>MONTH(N113)</f>
        <v>12</v>
      </c>
      <c r="AG113" s="481">
        <f t="shared" si="25"/>
        <v>2025</v>
      </c>
    </row>
    <row r="114" spans="10:33" x14ac:dyDescent="0.3">
      <c r="J114" s="375"/>
      <c r="K114" s="375"/>
      <c r="L114" s="11">
        <v>53</v>
      </c>
      <c r="M114" s="128">
        <v>48359</v>
      </c>
      <c r="N114" s="375">
        <v>46007</v>
      </c>
      <c r="O114" s="375">
        <v>46010</v>
      </c>
      <c r="P114" s="375">
        <v>46010</v>
      </c>
      <c r="Q114" s="128" t="s">
        <v>822</v>
      </c>
      <c r="R114" s="128" t="s">
        <v>2775</v>
      </c>
      <c r="S114" s="128" t="s">
        <v>3202</v>
      </c>
      <c r="T114" s="128" t="s">
        <v>907</v>
      </c>
      <c r="U114" s="128" t="s">
        <v>884</v>
      </c>
      <c r="V114" s="128" t="s">
        <v>2180</v>
      </c>
      <c r="W114" s="128" t="s">
        <v>2175</v>
      </c>
      <c r="X114" s="470">
        <v>2000000</v>
      </c>
      <c r="Y114" s="470">
        <v>103637</v>
      </c>
      <c r="Z114" s="470">
        <v>345</v>
      </c>
      <c r="AA114" s="472">
        <f t="shared" si="22"/>
        <v>103982</v>
      </c>
      <c r="AB114" s="472">
        <f t="shared" si="23"/>
        <v>207964000000</v>
      </c>
      <c r="AD114" s="470">
        <v>-25134000000</v>
      </c>
      <c r="AE114" s="472">
        <f>_xlfn.XLOOKUP(M114,RP_SEC!AB:AB,RP_SEC!AN:AN,0,0)</f>
        <v>-32586000000</v>
      </c>
      <c r="AF114" s="472">
        <f>MONTH(N114)</f>
        <v>12</v>
      </c>
      <c r="AG114" s="481">
        <f t="shared" si="25"/>
        <v>2025</v>
      </c>
    </row>
    <row r="134" spans="13:13" x14ac:dyDescent="0.3">
      <c r="M134"/>
    </row>
    <row r="135" spans="13:13" x14ac:dyDescent="0.3">
      <c r="M135"/>
    </row>
  </sheetData>
  <mergeCells count="5">
    <mergeCell ref="A16:A18"/>
    <mergeCell ref="B16:B18"/>
    <mergeCell ref="C17:D17"/>
    <mergeCell ref="C16:F16"/>
    <mergeCell ref="E17:F17"/>
  </mergeCells>
  <conditionalFormatting sqref="M1:M133 M136:M1048576">
    <cfRule type="duplicateValues" dxfId="25" priority="3"/>
  </conditionalFormatting>
  <conditionalFormatting sqref="AO1:AO1048576 BH1:BH1048576 Q1:Q1048576">
    <cfRule type="containsText" dxfId="24" priority="4" operator="containsText" text="B">
      <formula>NOT(ISERROR(SEARCH("B",Q1)))</formula>
    </cfRule>
  </conditionalFormatting>
  <conditionalFormatting sqref="AT1:AT1048576 BM1:BM1048576 W1:W1048576">
    <cfRule type="containsText" dxfId="23" priority="5" operator="containsText" text="Banking">
      <formula>NOT(ISERROR(SEARCH("Banking",W1)))</formula>
    </cfRule>
  </conditionalFormatting>
  <conditionalFormatting sqref="M134:M135">
    <cfRule type="duplicateValues" dxfId="22" priority="2"/>
  </conditionalFormatting>
  <conditionalFormatting sqref="L1">
    <cfRule type="duplicateValues" dxfId="21"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CA842-C60D-41A9-9DA0-0A6D43A0EDBC}">
  <sheetPr codeName="Sheet24">
    <tabColor theme="0" tint="-0.34998626667073579"/>
  </sheetPr>
  <dimension ref="A1:IC432"/>
  <sheetViews>
    <sheetView showGridLines="0" topLeftCell="AQ1" zoomScale="85" zoomScaleNormal="85" workbookViewId="0">
      <pane ySplit="2" topLeftCell="A3" activePane="bottomLeft" state="frozen"/>
      <selection pane="bottomLeft" activeCell="AZ2" sqref="AZ2"/>
    </sheetView>
  </sheetViews>
  <sheetFormatPr defaultColWidth="9.09765625" defaultRowHeight="14.4" outlineLevelCol="1" x14ac:dyDescent="0.3"/>
  <cols>
    <col min="1" max="1" width="10.09765625" style="375" bestFit="1" customWidth="1"/>
    <col min="2" max="2" width="10.59765625" style="450" bestFit="1" customWidth="1"/>
    <col min="3" max="3" width="10.09765625" style="451" bestFit="1" customWidth="1"/>
    <col min="4" max="4" width="16.296875" style="440" bestFit="1" customWidth="1"/>
    <col min="5" max="5" width="8.19921875" style="435" bestFit="1" customWidth="1"/>
    <col min="6" max="6" width="10.59765625" style="436" bestFit="1" customWidth="1"/>
    <col min="7" max="7" width="12.796875" style="516" bestFit="1" customWidth="1"/>
    <col min="8" max="8" width="10.09765625" style="438" bestFit="1" customWidth="1"/>
    <col min="9" max="9" width="9" style="447" bestFit="1" customWidth="1"/>
    <col min="10" max="10" width="10.19921875" style="436" bestFit="1" customWidth="1"/>
    <col min="11" max="11" width="7" style="436" bestFit="1" customWidth="1"/>
    <col min="12" max="12" width="16.5" style="440" bestFit="1" customWidth="1"/>
    <col min="13" max="13" width="8.296875" style="441" bestFit="1" customWidth="1"/>
    <col min="14" max="14" width="10.09765625" style="438" bestFit="1" customWidth="1"/>
    <col min="15" max="15" width="10.59765625" style="436" bestFit="1" customWidth="1"/>
    <col min="16" max="16" width="15.3984375" style="233" bestFit="1" customWidth="1"/>
    <col min="17" max="17" width="17.59765625" style="527" bestFit="1" customWidth="1"/>
    <col min="18" max="18" width="18.69921875" style="440" bestFit="1" customWidth="1"/>
    <col min="19" max="19" width="8.296875" style="128" bestFit="1" customWidth="1" outlineLevel="1"/>
    <col min="20" max="20" width="10.09765625" style="375" bestFit="1" customWidth="1" outlineLevel="1"/>
    <col min="21" max="21" width="7.5" style="384" bestFit="1" customWidth="1" outlineLevel="1"/>
    <col min="22" max="22" width="9.09765625" style="442" bestFit="1" customWidth="1" outlineLevel="1"/>
    <col min="23" max="23" width="12.19921875" style="442" bestFit="1" customWidth="1" outlineLevel="1"/>
    <col min="24" max="24" width="13.3984375" style="456" bestFit="1" customWidth="1" outlineLevel="1"/>
    <col min="25" max="25" width="9" style="233" bestFit="1" customWidth="1"/>
    <col min="26" max="26" width="18.296875" style="233" bestFit="1" customWidth="1"/>
    <col min="27" max="27" width="18.796875" style="233" bestFit="1" customWidth="1" outlineLevel="1"/>
    <col min="28" max="28" width="9.8984375" style="448" bestFit="1" customWidth="1"/>
    <col min="29" max="29" width="10.796875" style="446" bestFit="1" customWidth="1"/>
    <col min="30" max="30" width="11.8984375" style="446" bestFit="1" customWidth="1" outlineLevel="1"/>
    <col min="31" max="31" width="12.09765625" style="546" customWidth="1"/>
    <col min="32" max="32" width="15.09765625" style="128" customWidth="1"/>
    <col min="33" max="33" width="12.8984375" style="128" customWidth="1"/>
    <col min="34" max="34" width="20.3984375" style="128" customWidth="1"/>
    <col min="35" max="37" width="15.3984375" style="128" customWidth="1"/>
    <col min="38" max="38" width="17.09765625" style="128" customWidth="1"/>
    <col min="39" max="39" width="12.8984375" style="128" customWidth="1"/>
    <col min="40" max="40" width="14.3984375" style="524" bestFit="1" customWidth="1"/>
    <col min="41" max="41" width="10.09765625" style="128" customWidth="1" outlineLevel="1"/>
    <col min="42" max="42" width="14" style="128" customWidth="1" outlineLevel="1"/>
    <col min="43" max="43" width="18.59765625" style="375" customWidth="1" outlineLevel="1"/>
    <col min="44" max="44" width="20.3984375" style="375" customWidth="1" outlineLevel="1"/>
    <col min="45" max="45" width="16.3984375" style="375" customWidth="1" outlineLevel="1"/>
    <col min="46" max="46" width="14.09765625" style="375" customWidth="1" outlineLevel="1"/>
    <col min="47" max="47" width="9.09765625" style="530" customWidth="1" outlineLevel="1"/>
    <col min="48" max="48" width="12.3984375" style="532" customWidth="1" outlineLevel="1"/>
    <col min="49" max="49" width="11.59765625" style="530" customWidth="1" outlineLevel="1"/>
    <col min="50" max="50" width="11.59765625" style="534" customWidth="1" outlineLevel="1"/>
    <col min="51" max="51" width="9.09765625" style="534" customWidth="1" outlineLevel="1"/>
    <col min="52" max="52" width="17" style="534" customWidth="1" outlineLevel="1"/>
    <col min="53" max="53" width="17" bestFit="1" customWidth="1" outlineLevel="1"/>
    <col min="54" max="54" width="17.296875" style="534" bestFit="1" customWidth="1" outlineLevel="1"/>
    <col min="55" max="55" width="10" customWidth="1" outlineLevel="1"/>
    <col min="56" max="56" width="8.09765625" customWidth="1"/>
    <col min="57" max="57" width="14" style="524" bestFit="1" customWidth="1"/>
    <col min="58" max="58" width="8.296875" style="534" customWidth="1" outlineLevel="1"/>
    <col min="59" max="59" width="12.09765625" style="232" customWidth="1" outlineLevel="1"/>
    <col min="60" max="60" width="14.69921875" style="530" customWidth="1" outlineLevel="1"/>
    <col min="61" max="61" width="7.3984375" style="531" customWidth="1" outlineLevel="1"/>
    <col min="62" max="62" width="14.8984375" style="531" customWidth="1" outlineLevel="1"/>
    <col min="63" max="63" width="12.3984375" style="531" customWidth="1" outlineLevel="1"/>
    <col min="64" max="64" width="11.69921875" style="531" customWidth="1" outlineLevel="1"/>
    <col min="65" max="65" width="9" style="530" customWidth="1" outlineLevel="1"/>
    <col min="66" max="66" width="10.296875" style="530" customWidth="1" outlineLevel="1"/>
    <col min="67" max="67" width="17" style="530" customWidth="1" outlineLevel="1"/>
    <col min="68" max="68" width="16" style="530" customWidth="1" outlineLevel="1"/>
    <col min="69" max="69" width="7.69921875" style="534" customWidth="1" outlineLevel="1"/>
    <col min="70" max="70" width="16.296875" style="534" customWidth="1"/>
    <col min="71" max="71" width="14" style="524" bestFit="1" customWidth="1"/>
    <col min="72" max="72" width="8.09765625" style="524" bestFit="1" customWidth="1"/>
    <col min="73" max="73" width="11.8984375" style="524" bestFit="1" customWidth="1"/>
    <col min="74" max="74" width="12.59765625" style="524" bestFit="1" customWidth="1"/>
    <col min="75" max="75" width="6.296875" style="524" bestFit="1" customWidth="1"/>
    <col min="76" max="76" width="11.59765625" style="727" bestFit="1" customWidth="1"/>
    <col min="77" max="77" width="6.8984375" style="735" bestFit="1" customWidth="1"/>
    <col min="78" max="78" width="14.09765625" style="534" bestFit="1" customWidth="1"/>
    <col min="79" max="80" width="9.296875" style="524" customWidth="1"/>
    <col min="81" max="133" width="10.69921875" style="524" customWidth="1"/>
    <col min="134" max="134" width="52.3984375" style="524" bestFit="1" customWidth="1"/>
    <col min="135" max="172" width="9.296875" style="524" customWidth="1"/>
    <col min="173" max="173" width="3.69921875" style="128" bestFit="1" customWidth="1"/>
    <col min="174" max="233" width="7.8984375" style="530" customWidth="1"/>
    <col min="234" max="237" width="12.296875" style="530" customWidth="1"/>
    <col min="238" max="16384" width="9.09765625" style="128"/>
  </cols>
  <sheetData>
    <row r="1" spans="1:237" x14ac:dyDescent="0.3">
      <c r="A1" s="435"/>
      <c r="B1" s="435"/>
      <c r="C1" s="435"/>
      <c r="D1" s="449"/>
      <c r="E1" s="843" t="s">
        <v>3217</v>
      </c>
      <c r="F1" s="843"/>
      <c r="G1" s="843"/>
      <c r="H1" s="843"/>
      <c r="I1" s="843"/>
      <c r="J1" s="843"/>
      <c r="K1" s="843"/>
      <c r="L1" s="843"/>
      <c r="M1" s="842" t="s">
        <v>3218</v>
      </c>
      <c r="N1" s="842"/>
      <c r="O1" s="842"/>
      <c r="P1" s="842"/>
      <c r="Q1" s="842"/>
      <c r="R1" s="842"/>
      <c r="S1" s="840" t="s">
        <v>3219</v>
      </c>
      <c r="T1" s="840"/>
      <c r="U1" s="840"/>
      <c r="V1" s="840"/>
      <c r="W1" s="840"/>
      <c r="X1" s="840"/>
      <c r="Y1" s="841" t="s">
        <v>3220</v>
      </c>
      <c r="Z1" s="841"/>
      <c r="AA1" s="841"/>
      <c r="AB1" s="842" t="s">
        <v>3221</v>
      </c>
      <c r="AC1" s="842"/>
      <c r="AD1" s="842"/>
      <c r="AE1" s="424"/>
      <c r="AF1" s="838">
        <f>RPT</f>
        <v>46252</v>
      </c>
      <c r="AG1" s="839" t="s">
        <v>3700</v>
      </c>
      <c r="AH1" s="839" t="s">
        <v>3699</v>
      </c>
      <c r="AI1" s="839" t="s">
        <v>3520</v>
      </c>
      <c r="AJ1" s="839" t="s">
        <v>3544</v>
      </c>
      <c r="AK1" s="839" t="s">
        <v>3543</v>
      </c>
      <c r="AL1" s="839" t="s">
        <v>3545</v>
      </c>
      <c r="AM1" s="331"/>
      <c r="AN1" s="468" t="s">
        <v>3539</v>
      </c>
      <c r="AO1" s="128" t="s">
        <v>2906</v>
      </c>
      <c r="AP1" s="128" t="s">
        <v>2815</v>
      </c>
      <c r="AQ1" s="508" t="s">
        <v>3036</v>
      </c>
      <c r="AR1" s="695" t="s">
        <v>3648</v>
      </c>
      <c r="AS1" s="375" t="s">
        <v>3060</v>
      </c>
      <c r="AT1" s="375" t="s">
        <v>3061</v>
      </c>
      <c r="AU1" s="530" t="s">
        <v>3278</v>
      </c>
      <c r="AV1" s="696" t="s">
        <v>3551</v>
      </c>
      <c r="AW1" s="530" t="s">
        <v>761</v>
      </c>
      <c r="AX1" s="534" t="s">
        <v>1073</v>
      </c>
      <c r="AY1" s="534" t="s">
        <v>3546</v>
      </c>
      <c r="AZ1" s="534" t="s">
        <v>3633</v>
      </c>
      <c r="BA1" s="534" t="s">
        <v>3521</v>
      </c>
      <c r="BB1" s="534" t="s">
        <v>3552</v>
      </c>
      <c r="BC1" s="534" t="s">
        <v>2856</v>
      </c>
      <c r="BD1" s="128"/>
      <c r="BE1" s="8" t="s">
        <v>3538</v>
      </c>
      <c r="BF1" s="128" t="s">
        <v>3551</v>
      </c>
      <c r="BG1" s="128" t="s">
        <v>2815</v>
      </c>
      <c r="BH1" s="695" t="s">
        <v>3036</v>
      </c>
      <c r="BI1" s="663" t="s">
        <v>3648</v>
      </c>
      <c r="BJ1" s="375" t="s">
        <v>3060</v>
      </c>
      <c r="BK1" s="531" t="s">
        <v>3061</v>
      </c>
      <c r="BL1" s="530" t="s">
        <v>761</v>
      </c>
      <c r="BM1" s="530" t="s">
        <v>3278</v>
      </c>
      <c r="BN1" s="534" t="s">
        <v>3546</v>
      </c>
      <c r="BO1" s="534" t="s">
        <v>3633</v>
      </c>
      <c r="BP1" s="534" t="s">
        <v>3521</v>
      </c>
      <c r="BQ1" s="534" t="s">
        <v>2856</v>
      </c>
      <c r="BR1" s="530"/>
      <c r="BS1" s="8" t="s">
        <v>3968</v>
      </c>
      <c r="BT1" s="128" t="s">
        <v>2906</v>
      </c>
      <c r="BU1" s="128" t="s">
        <v>3061</v>
      </c>
      <c r="BV1" s="128" t="s">
        <v>3551</v>
      </c>
      <c r="BW1" s="128" t="s">
        <v>1047</v>
      </c>
      <c r="BX1" s="530" t="s">
        <v>3899</v>
      </c>
      <c r="BY1" s="735" t="s">
        <v>3898</v>
      </c>
      <c r="BZ1" s="534" t="s">
        <v>3900</v>
      </c>
      <c r="CA1" s="128"/>
      <c r="CB1" s="772" t="s">
        <v>3550</v>
      </c>
      <c r="CC1" t="s">
        <v>4534</v>
      </c>
      <c r="CD1" s="128" t="s">
        <v>3700</v>
      </c>
      <c r="CE1" s="128" t="s">
        <v>3699</v>
      </c>
      <c r="CF1" s="128" t="s">
        <v>3520</v>
      </c>
      <c r="CG1" s="128" t="s">
        <v>3544</v>
      </c>
      <c r="CH1" s="128" t="s">
        <v>3543</v>
      </c>
      <c r="CI1" s="128" t="s">
        <v>3545</v>
      </c>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128"/>
      <c r="DZ1" s="128"/>
      <c r="EA1" s="128"/>
      <c r="EB1" s="128"/>
      <c r="EC1" s="128"/>
      <c r="ED1" s="128"/>
      <c r="EE1" s="128"/>
      <c r="EF1" s="128"/>
      <c r="EG1" s="128"/>
      <c r="EH1" s="128"/>
      <c r="EI1" s="128"/>
      <c r="EJ1" s="128"/>
      <c r="EK1" s="128"/>
      <c r="EL1" s="128"/>
      <c r="EM1" s="128"/>
      <c r="EN1" s="128"/>
      <c r="EO1" s="128"/>
      <c r="EP1" s="128"/>
      <c r="EQ1" s="128"/>
      <c r="ER1" s="128"/>
      <c r="ES1" s="128"/>
      <c r="ET1" s="128"/>
      <c r="EU1" s="128"/>
      <c r="EV1" s="128"/>
      <c r="EW1" s="128"/>
      <c r="EX1" s="128"/>
      <c r="EY1" s="128"/>
      <c r="EZ1" s="128"/>
      <c r="FA1" s="128"/>
      <c r="FB1" s="128"/>
      <c r="FC1" s="128"/>
      <c r="FD1" s="128"/>
      <c r="FE1" s="128"/>
      <c r="FF1" s="128"/>
      <c r="FG1" s="128"/>
      <c r="FH1" s="128"/>
      <c r="FI1" s="128"/>
      <c r="FJ1" s="128"/>
      <c r="FK1" s="128"/>
      <c r="FL1" s="128"/>
      <c r="FM1" s="128"/>
      <c r="FN1" s="128"/>
      <c r="FO1" s="128"/>
      <c r="FP1" s="128"/>
      <c r="FR1" s="128"/>
      <c r="FS1" s="128"/>
      <c r="FT1" s="128"/>
      <c r="FU1" s="128"/>
      <c r="FV1" s="128"/>
      <c r="FW1" s="128"/>
      <c r="FX1" s="128"/>
      <c r="FY1" s="128"/>
      <c r="FZ1" s="128"/>
      <c r="GA1" s="128"/>
      <c r="GB1" s="128"/>
      <c r="GC1" s="128"/>
      <c r="GD1" s="128"/>
      <c r="GE1" s="128"/>
      <c r="GF1" s="128"/>
      <c r="GG1" s="128"/>
      <c r="GH1" s="128"/>
      <c r="GI1" s="128"/>
      <c r="GJ1" s="128"/>
      <c r="GK1" s="128"/>
      <c r="GL1" s="128"/>
      <c r="GM1" s="128"/>
      <c r="GN1" s="128"/>
      <c r="GO1" s="128"/>
      <c r="GP1" s="128"/>
      <c r="GQ1" s="128"/>
      <c r="GR1" s="128"/>
      <c r="GS1" s="128"/>
      <c r="GT1" s="128"/>
      <c r="GU1" s="128"/>
      <c r="GV1" s="128"/>
      <c r="GW1" s="128"/>
      <c r="GX1" s="128"/>
      <c r="GY1" s="128"/>
      <c r="GZ1" s="128"/>
      <c r="HA1" s="128"/>
      <c r="HB1" s="128"/>
      <c r="HC1" s="128"/>
      <c r="HD1" s="128"/>
      <c r="HE1" s="128"/>
      <c r="HF1" s="128"/>
      <c r="HG1" s="128"/>
      <c r="HH1" s="128"/>
      <c r="HI1" s="128"/>
      <c r="HJ1" s="128"/>
      <c r="HK1" s="128"/>
      <c r="HL1" s="128"/>
      <c r="HM1" s="128"/>
      <c r="HN1" s="128"/>
      <c r="HO1" s="128"/>
      <c r="HP1" s="128"/>
      <c r="HQ1" s="128"/>
      <c r="HR1" s="128"/>
      <c r="HS1" s="128"/>
      <c r="HT1" s="128"/>
      <c r="HU1" s="128"/>
      <c r="HV1" s="128"/>
      <c r="HW1" s="128"/>
      <c r="HX1" s="128"/>
      <c r="HY1" s="128"/>
      <c r="HZ1" s="128"/>
      <c r="IA1" s="128"/>
      <c r="IB1" s="128"/>
      <c r="IC1" s="128"/>
    </row>
    <row r="2" spans="1:237" s="331" customFormat="1" ht="43.2" x14ac:dyDescent="0.3">
      <c r="A2" s="424" t="s">
        <v>3280</v>
      </c>
      <c r="B2" s="424" t="s">
        <v>3205</v>
      </c>
      <c r="C2" s="424" t="s">
        <v>3206</v>
      </c>
      <c r="D2" s="454" t="s">
        <v>3312</v>
      </c>
      <c r="E2" s="424" t="s">
        <v>3207</v>
      </c>
      <c r="F2" s="426" t="s">
        <v>820</v>
      </c>
      <c r="G2" s="425" t="s">
        <v>2246</v>
      </c>
      <c r="H2" s="427" t="s">
        <v>3612</v>
      </c>
      <c r="I2" s="428" t="s">
        <v>3311</v>
      </c>
      <c r="J2" s="429" t="s">
        <v>741</v>
      </c>
      <c r="K2" s="429" t="s">
        <v>3310</v>
      </c>
      <c r="L2" s="430" t="s">
        <v>3308</v>
      </c>
      <c r="M2" s="424" t="s">
        <v>3208</v>
      </c>
      <c r="N2" s="427" t="s">
        <v>3214</v>
      </c>
      <c r="O2" s="429" t="s">
        <v>741</v>
      </c>
      <c r="P2" s="429" t="s">
        <v>3511</v>
      </c>
      <c r="Q2" s="526" t="s">
        <v>3309</v>
      </c>
      <c r="R2" s="430" t="s">
        <v>3523</v>
      </c>
      <c r="S2" s="424" t="s">
        <v>3208</v>
      </c>
      <c r="T2" s="427" t="s">
        <v>3214</v>
      </c>
      <c r="U2" s="431" t="s">
        <v>3311</v>
      </c>
      <c r="V2" s="432" t="s">
        <v>3209</v>
      </c>
      <c r="W2" s="432" t="s">
        <v>3130</v>
      </c>
      <c r="X2" s="457" t="s">
        <v>3307</v>
      </c>
      <c r="Y2" s="433" t="s">
        <v>3313</v>
      </c>
      <c r="Z2" s="433" t="s">
        <v>3210</v>
      </c>
      <c r="AA2" s="433" t="s">
        <v>3211</v>
      </c>
      <c r="AB2" s="434" t="s">
        <v>3215</v>
      </c>
      <c r="AC2" s="433" t="s">
        <v>3212</v>
      </c>
      <c r="AD2" s="433" t="s">
        <v>3216</v>
      </c>
      <c r="AE2" s="545"/>
      <c r="AF2" s="838"/>
      <c r="AG2" s="839"/>
      <c r="AH2" s="839"/>
      <c r="AI2" s="839"/>
      <c r="AJ2" s="839"/>
      <c r="AK2" s="839"/>
      <c r="AL2" s="839"/>
      <c r="AN2" s="615"/>
      <c r="AO2" s="128">
        <v>48887</v>
      </c>
      <c r="AP2" s="128" t="s">
        <v>681</v>
      </c>
      <c r="AQ2" s="128" t="s">
        <v>824</v>
      </c>
      <c r="AR2" s="375" t="s">
        <v>3594</v>
      </c>
      <c r="AS2" s="375">
        <v>46059</v>
      </c>
      <c r="AT2" s="375">
        <v>46247</v>
      </c>
      <c r="AU2" s="530">
        <v>127521</v>
      </c>
      <c r="AV2" s="532">
        <v>48881</v>
      </c>
      <c r="AW2" s="530">
        <v>3500000</v>
      </c>
      <c r="AX2" s="534">
        <f>_xlfn.XLOOKUP(Sell_unvalid[[#This Row],[DEAL_BUY_ID]],BS!BA:BA,BS!BE:BE,,0)</f>
        <v>128162</v>
      </c>
      <c r="AY2" s="534">
        <f>_xlfn.XLOOKUP(Sell_unvalid[[#This Row],[BOND_CODE]],FNRP!D:D,FNRP!I:I,_xlfn.XLOOKUP(Sell_unvalid[[#This Row],[BOND_CODE]],FNRP!AV:AV,FNRP!BA:BA,,0),0)</f>
        <v>124796</v>
      </c>
      <c r="AZ2" s="534">
        <f>_xlfn.XLOOKUP(Sell_unvalid[[#This Row],[DEAL_BUY_ID]],BS!BA:BA,BS!BQ:BQ,,0)*Sell_unvalid[[#This Row],[QUANTITY]]</f>
        <v>93410959296.361099</v>
      </c>
      <c r="BA2" s="534">
        <f>(Sell_unvalid[[#This Row],[Giá MtM]]-10^5)*Sell_unvalid[[#This Row],[QUANTITY]]-Sell_unvalid[[#This Row],[PTCK remain]]</f>
        <v>-6624959296.3610992</v>
      </c>
      <c r="BB2" s="534">
        <f>(Sell_unvalid[[#This Row],[PRICE]]-10^5)*Sell_unvalid[[#This Row],[QUANTITY]]-Sell_unvalid[[#This Row],[PTCK remain]]</f>
        <v>2912540703.6389008</v>
      </c>
      <c r="BC2" s="534" t="str">
        <f>IF(AND(Sell_unvalid[[#This Row],[VALUE_DATE]]&lt;=RPT,Sell_unvalid[[#This Row],[TRANSACTION_STATUS]]="N"),"Check","Ok")</f>
        <v>Ok</v>
      </c>
      <c r="BD2" s="534"/>
      <c r="BE2" s="692"/>
      <c r="BF2" s="128">
        <v>50270</v>
      </c>
      <c r="BG2" s="128" t="s">
        <v>718</v>
      </c>
      <c r="BH2" s="128" t="s">
        <v>824</v>
      </c>
      <c r="BI2" s="531" t="s">
        <v>3594</v>
      </c>
      <c r="BJ2" s="375">
        <v>46233</v>
      </c>
      <c r="BK2" s="531">
        <v>46245</v>
      </c>
      <c r="BL2" s="530">
        <v>700000</v>
      </c>
      <c r="BM2" s="530">
        <v>145744</v>
      </c>
      <c r="BN2" s="534">
        <f>_xlfn.XLOOKUP(Buy_unvalid[[#This Row],[BOND_CODE]],FNRP!D:D,FNRP!I:I,,0)</f>
        <v>142132</v>
      </c>
      <c r="BO2" s="534">
        <f>_xlfn.XLOOKUP(Buy_unvalid[[#This Row],[DEAL_BUY_ID]],BS!BA:BA,BS!BQ:BQ,_xlfn.XLOOKUP(Buy_unvalid[[#This Row],[DEAL_BUY_ID]],BS!AL:AL,BS!AR:AR,,0),0)*Buy_unvalid[[#This Row],[QUANTITY]]</f>
        <v>31984790126.967613</v>
      </c>
      <c r="BP2" s="534">
        <f>(Buy_unvalid[[#This Row],[Giá MtM]]-10^5)*Buy_unvalid[[#This Row],[QUANTITY]]-Buy_unvalid[[#This Row],[PTCK remain]]</f>
        <v>-2492390126.9676132</v>
      </c>
      <c r="BQ2" s="534" t="str">
        <f>IF(AND(Buy_unvalid[[#This Row],[VALUE_DATE]]&lt;=RPT,Buy_unvalid[[#This Row],[TRANSACTION_STATUS]]="N"),"Check","Ok")</f>
        <v>Ok</v>
      </c>
      <c r="BR2" s="534"/>
      <c r="BT2" s="848">
        <v>49588</v>
      </c>
      <c r="BU2" s="849">
        <v>46451</v>
      </c>
      <c r="BV2" s="848">
        <v>49584</v>
      </c>
      <c r="BW2" s="848"/>
      <c r="BX2" s="530">
        <v>5950000</v>
      </c>
      <c r="BY2" s="735">
        <f>_xlfn.XLOOKUP(Est_NIM[[#This Row],[DEAL_BUY_ID]],BS!AL:AL,BS!AU:AU,_xlfn.XLOOKUP(Est_NIM[[#This Row],[DEAL_BUY_ID]],BS!BA:BA,BS!BJ:BJ,,0),0)</f>
        <v>4.0999999999999996</v>
      </c>
      <c r="BZ2" s="534">
        <f>Est_NIM[[#This Row],[QUANT]]*Est_NIM[[#This Row],[YIELD]]</f>
        <v>24394999.999999996</v>
      </c>
      <c r="CC2" t="s">
        <v>2806</v>
      </c>
      <c r="CD2">
        <v>12646</v>
      </c>
      <c r="CE2">
        <v>0</v>
      </c>
      <c r="CF2">
        <v>12646</v>
      </c>
      <c r="CG2">
        <v>1636</v>
      </c>
      <c r="CH2">
        <v>3730</v>
      </c>
      <c r="CI2">
        <v>14282</v>
      </c>
    </row>
    <row r="3" spans="1:237" s="331" customFormat="1" x14ac:dyDescent="0.3">
      <c r="A3" s="375"/>
      <c r="B3" s="450"/>
      <c r="C3" s="451"/>
      <c r="D3" s="452">
        <f>SUM(D4:D4)</f>
        <v>-6118720902.7237701</v>
      </c>
      <c r="E3" s="521"/>
      <c r="F3" s="452">
        <f>SUM(_xlfn.ANCHORARRAY(F4))</f>
        <v>3760000</v>
      </c>
      <c r="G3" s="516"/>
      <c r="H3" s="438"/>
      <c r="I3" s="439"/>
      <c r="J3" s="436"/>
      <c r="K3" s="436"/>
      <c r="L3" s="452">
        <f>SUM(L4:L4)</f>
        <v>77868800000</v>
      </c>
      <c r="M3" s="486"/>
      <c r="N3" s="438"/>
      <c r="O3" s="436"/>
      <c r="P3" s="452">
        <f>SUM(P4:P4)</f>
        <v>2541920902.7237744</v>
      </c>
      <c r="Q3" s="452">
        <f>SUM(Q4:Q4)</f>
        <v>83987520902.72377</v>
      </c>
      <c r="R3" s="452">
        <f>SUM(R4:R4)</f>
        <v>-566136000000</v>
      </c>
      <c r="S3" s="11"/>
      <c r="T3" s="508"/>
      <c r="U3" s="443"/>
      <c r="V3" s="444"/>
      <c r="W3" s="452">
        <f>SUM(W4:W4)</f>
        <v>0</v>
      </c>
      <c r="X3" s="452">
        <f>SUM(X4:X4)</f>
        <v>0</v>
      </c>
      <c r="Y3" s="233"/>
      <c r="Z3" s="233"/>
      <c r="AA3" s="233"/>
      <c r="AB3" s="445"/>
      <c r="AC3" s="446"/>
      <c r="AD3" s="446">
        <f>IF(S3="-",0,(AB3-U3)*100)</f>
        <v>0</v>
      </c>
      <c r="AE3" s="546"/>
      <c r="AF3" s="536" t="s">
        <v>2806</v>
      </c>
      <c r="AG3" s="537">
        <f>SUM(RP_SEC!G:G)/10^9</f>
        <v>13346</v>
      </c>
      <c r="AH3" s="538">
        <f>SUM(Ref!BH:BH)/10^9</f>
        <v>0</v>
      </c>
      <c r="AI3" s="539">
        <f>AG3</f>
        <v>13346</v>
      </c>
      <c r="AJ3" s="539">
        <f>SUMIFS(AW:AW,AR:AR,"&lt;&gt;V")/10^4</f>
        <v>1912</v>
      </c>
      <c r="AK3" s="539">
        <f>SUMIFS(BL:BL,BI:BI,"&lt;&gt;V")/10^4</f>
        <v>3906</v>
      </c>
      <c r="AL3" s="539">
        <f>AG3+AJ3</f>
        <v>15258</v>
      </c>
      <c r="AM3" s="554"/>
      <c r="AN3" s="128"/>
      <c r="AO3" s="128">
        <v>48887</v>
      </c>
      <c r="AP3" s="128" t="s">
        <v>681</v>
      </c>
      <c r="AQ3" s="128" t="s">
        <v>824</v>
      </c>
      <c r="AR3" s="375" t="s">
        <v>3594</v>
      </c>
      <c r="AS3" s="375">
        <v>46059</v>
      </c>
      <c r="AT3" s="375">
        <v>46247</v>
      </c>
      <c r="AU3" s="530">
        <v>127521</v>
      </c>
      <c r="AV3" s="532">
        <v>50109</v>
      </c>
      <c r="AW3" s="530">
        <v>200000</v>
      </c>
      <c r="AX3" s="534">
        <f>_xlfn.XLOOKUP(Sell_unvalid[[#This Row],[DEAL_BUY_ID]],BS!BA:BA,BS!BE:BE,,0)</f>
        <v>127114</v>
      </c>
      <c r="AY3" s="534">
        <f>_xlfn.XLOOKUP(Sell_unvalid[[#This Row],[BOND_CODE]],FNRP!D:D,FNRP!I:I,_xlfn.XLOOKUP(Sell_unvalid[[#This Row],[BOND_CODE]],FNRP!AV:AV,FNRP!BA:BA,,0),0)</f>
        <v>124796</v>
      </c>
      <c r="AZ3" s="534">
        <f>_xlfn.XLOOKUP(Sell_unvalid[[#This Row],[DEAL_BUY_ID]],BS!BA:BA,BS!BQ:BQ,,0)*Sell_unvalid[[#This Row],[QUANTITY]]</f>
        <v>5403962660.7229261</v>
      </c>
      <c r="BA3" s="534">
        <f>(Sell_unvalid[[#This Row],[Giá MtM]]-10^5)*Sell_unvalid[[#This Row],[QUANTITY]]-Sell_unvalid[[#This Row],[PTCK remain]]</f>
        <v>-444762660.72292614</v>
      </c>
      <c r="BB3" s="534">
        <f>(Sell_unvalid[[#This Row],[PRICE]]-10^5)*Sell_unvalid[[#This Row],[QUANTITY]]-Sell_unvalid[[#This Row],[PTCK remain]]</f>
        <v>100237339.27707386</v>
      </c>
      <c r="BC3" s="534" t="str">
        <f>IF(AND(Sell_unvalid[[#This Row],[VALUE_DATE]]&lt;=RPT,Sell_unvalid[[#This Row],[TRANSACTION_STATUS]]="N"),"Check","Ok")</f>
        <v>Ok</v>
      </c>
      <c r="BD3" s="534"/>
      <c r="BE3" s="692"/>
      <c r="BF3" s="128">
        <v>50272</v>
      </c>
      <c r="BG3" s="128" t="s">
        <v>718</v>
      </c>
      <c r="BH3" s="128" t="s">
        <v>824</v>
      </c>
      <c r="BI3" s="531" t="s">
        <v>3594</v>
      </c>
      <c r="BJ3" s="375">
        <v>46233</v>
      </c>
      <c r="BK3" s="531">
        <v>46238</v>
      </c>
      <c r="BL3" s="530">
        <v>2200000</v>
      </c>
      <c r="BM3" s="530">
        <v>145896</v>
      </c>
      <c r="BN3" s="534">
        <f>_xlfn.XLOOKUP(Buy_unvalid[[#This Row],[BOND_CODE]],FNRP!D:D,FNRP!I:I,,0)</f>
        <v>142132</v>
      </c>
      <c r="BO3" s="534">
        <f>_xlfn.XLOOKUP(Buy_unvalid[[#This Row],[DEAL_BUY_ID]],BS!BA:BA,BS!BQ:BQ,_xlfn.XLOOKUP(Buy_unvalid[[#This Row],[DEAL_BUY_ID]],BS!AL:AL,BS!AR:AR,,0),0)*Buy_unvalid[[#This Row],[QUANTITY]]</f>
        <v>100759382532.65866</v>
      </c>
      <c r="BP3" s="534">
        <f>(Buy_unvalid[[#This Row],[Giá MtM]]-10^5)*Buy_unvalid[[#This Row],[QUANTITY]]-Buy_unvalid[[#This Row],[PTCK remain]]</f>
        <v>-8068982532.6586609</v>
      </c>
      <c r="BQ3" s="534" t="str">
        <f>IF(AND(Buy_unvalid[[#This Row],[VALUE_DATE]]&lt;=RPT,Buy_unvalid[[#This Row],[TRANSACTION_STATUS]]="N"),"Check","Ok")</f>
        <v>Ok</v>
      </c>
      <c r="BR3" s="534"/>
      <c r="BS3" s="128"/>
      <c r="BT3" s="848">
        <v>49130</v>
      </c>
      <c r="BU3" s="849">
        <v>46287</v>
      </c>
      <c r="BV3" s="848">
        <v>49126</v>
      </c>
      <c r="BW3" s="848"/>
      <c r="BX3" s="530">
        <v>2100000</v>
      </c>
      <c r="BY3" s="735">
        <f>_xlfn.XLOOKUP(Est_NIM[[#This Row],[DEAL_BUY_ID]],BS!AL:AL,BS!AU:AU,_xlfn.XLOOKUP(Est_NIM[[#This Row],[DEAL_BUY_ID]],BS!BA:BA,BS!BJ:BJ,,0),0)</f>
        <v>3.97</v>
      </c>
      <c r="BZ3" s="534">
        <f>Est_NIM[[#This Row],[QUANT]]*Est_NIM[[#This Row],[YIELD]]</f>
        <v>8337000</v>
      </c>
      <c r="CA3" s="128"/>
      <c r="CB3" s="128"/>
      <c r="CC3" t="s">
        <v>3548</v>
      </c>
      <c r="CD3">
        <v>0</v>
      </c>
      <c r="CE3">
        <v>0</v>
      </c>
      <c r="CF3">
        <v>0</v>
      </c>
      <c r="CG3">
        <v>741</v>
      </c>
      <c r="CH3">
        <v>3730</v>
      </c>
      <c r="CI3">
        <v>14282</v>
      </c>
    </row>
    <row r="4" spans="1:237" x14ac:dyDescent="0.3">
      <c r="A4" s="375">
        <f t="shared" ref="A4:A7" si="0">RPT</f>
        <v>46252</v>
      </c>
      <c r="B4" s="450" t="str">
        <f>VLOOKUP(E4,'Deal ps'!A:E,5,0)</f>
        <v>TD2353151</v>
      </c>
      <c r="C4" s="451">
        <f>VLOOKUP(B4,'Deal ps'!E:K,7,0)</f>
        <v>55966</v>
      </c>
      <c r="D4" s="455">
        <f>L4-Q4</f>
        <v>-6118720902.7237701</v>
      </c>
      <c r="E4" s="435" cm="1">
        <f t="array" ref="E4:E7">Mapping_deal[Deal Sell Id]</f>
        <v>50443</v>
      </c>
      <c r="F4" s="437" cm="1">
        <f t="array" ref="F4:F7">Mapping_deal[So luong Map]</f>
        <v>800000</v>
      </c>
      <c r="G4" s="516" t="str">
        <f>VLOOKUP(E4,'Deal ps'!A:F,6,0)</f>
        <v>CK_KAFI</v>
      </c>
      <c r="H4" s="438">
        <f>_xlfn.XLOOKUP(E4,Newdeals[BondsDeals_Id],Newdeals[TradeDate],,0)</f>
        <v>46260</v>
      </c>
      <c r="I4" s="439">
        <f>VLOOKUP(E4,'Deal ps'!A:I,9,0)</f>
        <v>4.49</v>
      </c>
      <c r="J4" s="436">
        <f>_xlfn.XLOOKUP(E4,'Deal ps'!A:A,'Deal ps'!N:N,,0)</f>
        <v>95529</v>
      </c>
      <c r="K4" s="436">
        <f>VLOOKUP(E4,'Deal ps'!A:O,15,0)/VLOOKUP(E4,'Deal ps'!A:L,12,0)</f>
        <v>1807</v>
      </c>
      <c r="L4" s="440">
        <f>(J4+K4)*F4</f>
        <v>77868800000</v>
      </c>
      <c r="M4" s="441" cm="1">
        <f t="array" ref="M4:M7">Mapping_deal[Deal Buy ID]</f>
        <v>50404</v>
      </c>
      <c r="N4" s="438">
        <f>_xlfn.XLOOKUP(M4,BS!BA:BA,BS!BF:BF,,0)</f>
        <v>46258</v>
      </c>
      <c r="O4" s="436">
        <f>_xlfn.XLOOKUP(M4,BS!BA:BA,BS!BD:BD,,0)</f>
        <v>800000</v>
      </c>
      <c r="P4" s="442">
        <f>_xlfn.XLOOKUP(M4,BS!BA:BA,BS!BQ:BQ,,0)*F4</f>
        <v>2541920902.7237744</v>
      </c>
      <c r="Q4" s="470">
        <f>F4*(10^5+K4)+P4</f>
        <v>83987520902.72377</v>
      </c>
      <c r="R4" s="440">
        <f>(Y4-O4)*F4</f>
        <v>-566136000000</v>
      </c>
      <c r="S4" s="11" t="str">
        <f>_xlfn.XLOOKUP(A4&amp;"B"&amp;B4&amp;G4&amp;SUMIFS(F:F,E:E,E4),'Deal ps'!AO:AO,'Deal ps'!A:A,"-",0)</f>
        <v>-</v>
      </c>
      <c r="T4" s="508" t="str">
        <f>_xlfn.XLOOKUP(S4,'Deal ps'!A:A,'Deal ps'!C:C,"-",0)</f>
        <v>-</v>
      </c>
      <c r="U4" s="443">
        <f>_xlfn.XLOOKUP(S4,'Deal ps'!A:A,'Deal ps'!I:I,0,0)</f>
        <v>0</v>
      </c>
      <c r="V4" s="444">
        <f>_xlfn.XLOOKUP(S4,'Deal ps'!A:A,'Deal ps'!N:N,0,0)</f>
        <v>0</v>
      </c>
      <c r="W4" s="442">
        <f>IFERROR(V4*F4,0)</f>
        <v>0</v>
      </c>
      <c r="X4" s="456">
        <f>IF(S4="-",0,(V4-O4)*F4)</f>
        <v>0</v>
      </c>
      <c r="Y4" s="233">
        <f>VLOOKUP(B4,FNRP!D:I,6,0)</f>
        <v>92330</v>
      </c>
      <c r="Z4" s="233">
        <f>(J4-Y4)*F4</f>
        <v>2559200000</v>
      </c>
      <c r="AA4" s="233">
        <f>IF(S4="-",0,(Y4-V4)*F4)</f>
        <v>0</v>
      </c>
      <c r="AB4" s="445">
        <f>VLOOKUP(E4,'Deal ps'!A:AH,34,0)</f>
        <v>4.7101924540000004</v>
      </c>
      <c r="AC4" s="446">
        <f>(I4-AB4)*100</f>
        <v>-22.01924540000002</v>
      </c>
      <c r="AD4" s="446">
        <f>IF(S4="-",0,(AB4-U4)*100)</f>
        <v>0</v>
      </c>
      <c r="AF4" s="544" t="s">
        <v>3548</v>
      </c>
      <c r="AG4" s="525">
        <f>AG3-CD2</f>
        <v>700</v>
      </c>
      <c r="AH4" s="525">
        <f>AH3-CE2</f>
        <v>0</v>
      </c>
      <c r="AI4" s="525">
        <f>AI3-CF2</f>
        <v>700</v>
      </c>
      <c r="AJ4" s="525">
        <f>AJ3-CG2</f>
        <v>276</v>
      </c>
      <c r="AK4" s="525">
        <f>AK3-CH2</f>
        <v>176</v>
      </c>
      <c r="AL4" s="525">
        <f>AL3-CI2</f>
        <v>976</v>
      </c>
      <c r="AN4" s="128"/>
      <c r="AO4" s="128">
        <v>48887</v>
      </c>
      <c r="AP4" s="128" t="s">
        <v>681</v>
      </c>
      <c r="AQ4" s="128" t="s">
        <v>824</v>
      </c>
      <c r="AR4" s="375" t="s">
        <v>3594</v>
      </c>
      <c r="AS4" s="375">
        <v>46059</v>
      </c>
      <c r="AT4" s="375">
        <v>46247</v>
      </c>
      <c r="AU4" s="530">
        <v>127521</v>
      </c>
      <c r="AV4" s="532">
        <v>50288</v>
      </c>
      <c r="AW4" s="530">
        <v>1000000</v>
      </c>
      <c r="AX4" s="534">
        <f>_xlfn.XLOOKUP(Sell_unvalid[[#This Row],[DEAL_BUY_ID]],BS!BA:BA,BS!BE:BE,,0)</f>
        <v>130017</v>
      </c>
      <c r="AY4" s="534">
        <f>_xlfn.XLOOKUP(Sell_unvalid[[#This Row],[BOND_CODE]],FNRP!D:D,FNRP!I:I,_xlfn.XLOOKUP(Sell_unvalid[[#This Row],[BOND_CODE]],FNRP!AV:AV,FNRP!BA:BA,,0),0)</f>
        <v>124796</v>
      </c>
      <c r="AZ4" s="534">
        <f>_xlfn.XLOOKUP(Sell_unvalid[[#This Row],[DEAL_BUY_ID]],BS!BA:BA,BS!BQ:BQ,,0)*Sell_unvalid[[#This Row],[QUANTITY]]</f>
        <v>29938444215.097473</v>
      </c>
      <c r="BA4" s="534">
        <f>(Sell_unvalid[[#This Row],[Giá MtM]]-10^5)*Sell_unvalid[[#This Row],[QUANTITY]]-Sell_unvalid[[#This Row],[PTCK remain]]</f>
        <v>-5142444215.0974731</v>
      </c>
      <c r="BB4" s="534">
        <f>(Sell_unvalid[[#This Row],[PRICE]]-10^5)*Sell_unvalid[[#This Row],[QUANTITY]]-Sell_unvalid[[#This Row],[PTCK remain]]</f>
        <v>-2417444215.0974731</v>
      </c>
      <c r="BC4" s="534" t="str">
        <f>IF(AND(Sell_unvalid[[#This Row],[VALUE_DATE]]&lt;=RPT,Sell_unvalid[[#This Row],[TRANSACTION_STATUS]]="N"),"Check","Ok")</f>
        <v>Ok</v>
      </c>
      <c r="BD4" s="534"/>
      <c r="BE4" s="692"/>
      <c r="BF4" s="128">
        <v>50307</v>
      </c>
      <c r="BG4" s="128" t="s">
        <v>615</v>
      </c>
      <c r="BH4" s="128" t="s">
        <v>824</v>
      </c>
      <c r="BI4" s="531" t="s">
        <v>3594</v>
      </c>
      <c r="BJ4" s="375">
        <v>46239</v>
      </c>
      <c r="BK4" s="531">
        <v>46245</v>
      </c>
      <c r="BL4" s="530">
        <v>850000</v>
      </c>
      <c r="BM4" s="530">
        <v>115116</v>
      </c>
      <c r="BN4" s="534">
        <f>_xlfn.XLOOKUP(Buy_unvalid[[#This Row],[BOND_CODE]],FNRP!D:D,FNRP!I:I,,0)</f>
        <v>113876</v>
      </c>
      <c r="BO4" s="534">
        <f>_xlfn.XLOOKUP(Buy_unvalid[[#This Row],[DEAL_BUY_ID]],BS!BA:BA,BS!BQ:BQ,_xlfn.XLOOKUP(Buy_unvalid[[#This Row],[DEAL_BUY_ID]],BS!AL:AL,BS!AR:AR,,0),0)*Buy_unvalid[[#This Row],[QUANTITY]]</f>
        <v>12785149948.098352</v>
      </c>
      <c r="BP4" s="534">
        <f>(Buy_unvalid[[#This Row],[Giá MtM]]-10^5)*Buy_unvalid[[#This Row],[QUANTITY]]-Buy_unvalid[[#This Row],[PTCK remain]]</f>
        <v>-990549948.09835243</v>
      </c>
      <c r="BQ4" s="534" t="str">
        <f>IF(AND(Buy_unvalid[[#This Row],[VALUE_DATE]]&lt;=RPT,Buy_unvalid[[#This Row],[TRANSACTION_STATUS]]="N"),"Check","Ok")</f>
        <v>Ok</v>
      </c>
      <c r="BS4" s="331"/>
      <c r="BT4" s="848">
        <v>49130</v>
      </c>
      <c r="BU4" s="849">
        <v>46287</v>
      </c>
      <c r="BV4" s="848">
        <v>49951</v>
      </c>
      <c r="BW4" s="848"/>
      <c r="BX4" s="530">
        <v>390000</v>
      </c>
      <c r="BY4" s="735">
        <f>_xlfn.XLOOKUP(Est_NIM[[#This Row],[DEAL_BUY_ID]],BS!AL:AL,BS!AU:AU,_xlfn.XLOOKUP(Est_NIM[[#This Row],[DEAL_BUY_ID]],BS!BA:BA,BS!BJ:BJ,,0),0)</f>
        <v>3.9725000000000001</v>
      </c>
      <c r="BZ4" s="534">
        <f>Est_NIM[[#This Row],[QUANT]]*Est_NIM[[#This Row],[YIELD]]</f>
        <v>1549275</v>
      </c>
      <c r="CA4" s="128"/>
      <c r="CB4" s="128"/>
      <c r="CC4" t="s">
        <v>3537</v>
      </c>
      <c r="CD4">
        <v>-1048.5135897369521</v>
      </c>
      <c r="CE4">
        <v>-23.410340263048056</v>
      </c>
      <c r="CF4">
        <v>-1071.9239299999999</v>
      </c>
      <c r="CG4">
        <v>-87.972484625345714</v>
      </c>
      <c r="CH4">
        <v>3730</v>
      </c>
      <c r="CI4">
        <v>14282</v>
      </c>
      <c r="CJ4" s="331"/>
      <c r="CK4" s="331"/>
      <c r="CL4" s="128"/>
      <c r="CM4" s="128"/>
      <c r="CN4" s="128"/>
      <c r="CO4" s="128"/>
      <c r="CP4" s="128"/>
      <c r="CQ4" s="128"/>
      <c r="CR4" s="128"/>
      <c r="CS4" s="530"/>
      <c r="CT4" s="530"/>
      <c r="CU4" s="530"/>
      <c r="CV4" s="530"/>
      <c r="CW4" s="530"/>
      <c r="CX4" s="530"/>
      <c r="CY4" s="530"/>
      <c r="CZ4" s="530"/>
      <c r="DA4" s="530"/>
      <c r="DB4" s="530"/>
      <c r="DC4" s="530"/>
      <c r="DD4" s="530"/>
      <c r="DE4" s="530"/>
      <c r="DF4" s="530"/>
      <c r="DG4" s="530"/>
      <c r="DH4" s="530"/>
      <c r="DI4" s="530"/>
      <c r="DJ4" s="530"/>
      <c r="DK4" s="530"/>
      <c r="DL4" s="530"/>
      <c r="DM4" s="530"/>
      <c r="DN4" s="530"/>
      <c r="DO4" s="530"/>
      <c r="DP4" s="530"/>
      <c r="DQ4" s="530"/>
      <c r="DR4" s="530"/>
      <c r="DS4" s="530"/>
      <c r="DT4" s="530"/>
      <c r="DU4" s="530"/>
      <c r="DV4" s="530"/>
      <c r="DW4" s="530"/>
      <c r="DX4" s="530"/>
      <c r="DY4" s="530"/>
      <c r="DZ4" s="530"/>
      <c r="EA4" s="530"/>
      <c r="EB4" s="530"/>
      <c r="EC4" s="530"/>
      <c r="ED4" s="530"/>
      <c r="EE4" s="530"/>
      <c r="EF4" s="530"/>
      <c r="EG4" s="530"/>
      <c r="EH4" s="530"/>
      <c r="EI4" s="530"/>
      <c r="EJ4" s="530"/>
      <c r="EK4" s="530"/>
      <c r="EL4" s="530"/>
      <c r="EM4" s="530"/>
      <c r="EN4" s="530"/>
      <c r="EO4" s="530"/>
      <c r="EP4" s="530"/>
      <c r="EQ4" s="530"/>
      <c r="ER4" s="530"/>
      <c r="ES4" s="530"/>
      <c r="ET4" s="530"/>
      <c r="EU4" s="530"/>
      <c r="EV4" s="530"/>
      <c r="EW4" s="530"/>
      <c r="EX4" s="530"/>
      <c r="EY4" s="530"/>
      <c r="EZ4" s="530"/>
      <c r="FA4" s="530"/>
      <c r="FB4" s="530"/>
      <c r="FC4" s="530"/>
      <c r="FD4" s="128"/>
      <c r="FE4" s="128"/>
      <c r="FF4" s="128"/>
      <c r="FG4" s="128"/>
      <c r="FH4" s="128"/>
      <c r="FI4" s="128"/>
      <c r="FJ4" s="128"/>
      <c r="FK4" s="128"/>
      <c r="FL4" s="128"/>
      <c r="FM4" s="128"/>
      <c r="FN4" s="128"/>
      <c r="FO4" s="128"/>
      <c r="FP4" s="128"/>
      <c r="FR4" s="128"/>
      <c r="FS4" s="128"/>
      <c r="FT4" s="128"/>
      <c r="FU4" s="128"/>
      <c r="FV4" s="128"/>
      <c r="FW4" s="128"/>
      <c r="FX4" s="128"/>
      <c r="FY4" s="128"/>
      <c r="FZ4" s="128"/>
      <c r="GA4" s="128"/>
      <c r="GB4" s="128"/>
      <c r="GC4" s="128"/>
      <c r="GD4" s="128"/>
      <c r="GE4" s="128"/>
      <c r="GF4" s="128"/>
      <c r="GG4" s="128"/>
      <c r="GH4" s="128"/>
      <c r="GI4" s="128"/>
      <c r="GJ4" s="128"/>
      <c r="GK4" s="128"/>
      <c r="GL4" s="128"/>
      <c r="GM4" s="128"/>
      <c r="GN4" s="128"/>
      <c r="GO4" s="128"/>
      <c r="GP4" s="128"/>
      <c r="GQ4" s="128"/>
      <c r="GR4" s="128"/>
      <c r="GS4" s="128"/>
      <c r="GT4" s="128"/>
      <c r="GU4" s="128"/>
      <c r="GV4" s="128"/>
      <c r="GW4" s="128"/>
      <c r="GX4" s="128"/>
      <c r="GY4" s="128"/>
      <c r="GZ4" s="128"/>
      <c r="HA4" s="128"/>
      <c r="HB4" s="128"/>
      <c r="HC4" s="128"/>
      <c r="HD4" s="128"/>
      <c r="HE4" s="128"/>
      <c r="HF4" s="128"/>
      <c r="HG4" s="128"/>
      <c r="HH4" s="128"/>
      <c r="HI4" s="128"/>
      <c r="HJ4" s="128"/>
      <c r="HK4" s="128"/>
      <c r="HL4" s="128"/>
      <c r="HM4" s="128"/>
      <c r="HN4" s="128"/>
      <c r="HO4" s="128"/>
      <c r="HP4" s="128"/>
      <c r="HQ4" s="128"/>
      <c r="HR4" s="128"/>
      <c r="HS4" s="128"/>
      <c r="HT4" s="128"/>
      <c r="HU4" s="128"/>
      <c r="HV4" s="128"/>
      <c r="HW4" s="128"/>
      <c r="HX4" s="128"/>
      <c r="HY4" s="128"/>
      <c r="HZ4" s="128"/>
      <c r="IA4" s="128"/>
      <c r="IB4" s="128"/>
      <c r="IC4" s="128"/>
    </row>
    <row r="5" spans="1:237" x14ac:dyDescent="0.3">
      <c r="A5" s="375">
        <f t="shared" si="0"/>
        <v>46252</v>
      </c>
      <c r="B5" s="450" t="str">
        <f>VLOOKUP(E5,'Deal ps'!A:E,5,0)</f>
        <v>TD2535023</v>
      </c>
      <c r="C5" s="451">
        <f>VLOOKUP(B5,'Deal ps'!E:K,7,0)</f>
        <v>49367</v>
      </c>
      <c r="D5" s="455">
        <f t="shared" ref="D5:D7" si="1">L5-Q5</f>
        <v>59113266.993225098</v>
      </c>
      <c r="E5" s="435">
        <v>50439</v>
      </c>
      <c r="F5" s="436">
        <v>1600000</v>
      </c>
      <c r="G5" s="516" t="str">
        <f>VLOOKUP(E5,'Deal ps'!A:F,6,0)</f>
        <v>CK_KAFI</v>
      </c>
      <c r="H5" s="438">
        <f>_xlfn.XLOOKUP(E5,Newdeals[BondsDeals_Id],Newdeals[TradeDate],,0)</f>
        <v>46260</v>
      </c>
      <c r="I5" s="439">
        <f>VLOOKUP(E5,'Deal ps'!A:I,9,0)</f>
        <v>3.75</v>
      </c>
      <c r="J5" s="436">
        <f>_xlfn.XLOOKUP(E5,'Deal ps'!A:A,'Deal ps'!N:N,,0)</f>
        <v>93894</v>
      </c>
      <c r="K5" s="436">
        <f>VLOOKUP(E5,'Deal ps'!A:O,15,0)/VLOOKUP(E5,'Deal ps'!A:L,12,0)</f>
        <v>1438</v>
      </c>
      <c r="L5" s="440">
        <f t="shared" ref="L5:L7" si="2">(J5+K5)*F5</f>
        <v>152531200000</v>
      </c>
      <c r="M5" s="441">
        <v>50309</v>
      </c>
      <c r="N5" s="438">
        <f>_xlfn.XLOOKUP(M5,BS!BA:BA,BS!BF:BF,,0)</f>
        <v>46259</v>
      </c>
      <c r="O5" s="436">
        <f>_xlfn.XLOOKUP(M5,BS!BA:BA,BS!BD:BD,,0)</f>
        <v>1600000</v>
      </c>
      <c r="P5" s="442">
        <f>_xlfn.XLOOKUP(M5,BS!BA:BA,BS!BQ:BQ,,0)*F5</f>
        <v>-9828713266.9932194</v>
      </c>
      <c r="Q5" s="470">
        <f t="shared" ref="Q5:Q7" si="3">F5*(10^5+K5)+P5</f>
        <v>152472086733.00677</v>
      </c>
      <c r="R5" s="440">
        <f t="shared" ref="R5:R7" si="4">(Y5-O5)*F5</f>
        <v>-2416579200000</v>
      </c>
      <c r="S5" s="11" t="str">
        <f>_xlfn.XLOOKUP(A5&amp;"B"&amp;B5&amp;G5&amp;SUMIFS(F:F,E:E,E5),'Deal ps'!AO:AO,'Deal ps'!A:A,"-",0)</f>
        <v>-</v>
      </c>
      <c r="T5" s="508" t="str">
        <f>_xlfn.XLOOKUP(S5,'Deal ps'!A:A,'Deal ps'!C:C,"-",0)</f>
        <v>-</v>
      </c>
      <c r="U5" s="443">
        <f>_xlfn.XLOOKUP(S5,'Deal ps'!A:A,'Deal ps'!I:I,0,0)</f>
        <v>0</v>
      </c>
      <c r="V5" s="444">
        <f>_xlfn.XLOOKUP(S5,'Deal ps'!A:A,'Deal ps'!N:N,0,0)</f>
        <v>0</v>
      </c>
      <c r="W5" s="442">
        <f t="shared" ref="W5:W7" si="5">IFERROR(V5*F5,0)</f>
        <v>0</v>
      </c>
      <c r="X5" s="456">
        <f t="shared" ref="X5:X7" si="6">IF(S5="-",0,(V5-O5)*F5)</f>
        <v>0</v>
      </c>
      <c r="Y5" s="233">
        <f>VLOOKUP(B5,FNRP!D:I,6,0)</f>
        <v>89638</v>
      </c>
      <c r="Z5" s="233">
        <f t="shared" ref="Z5:Z7" si="7">(J5-Y5)*F5</f>
        <v>6809600000</v>
      </c>
      <c r="AA5" s="233">
        <f t="shared" ref="AA5:AA7" si="8">IF(S5="-",0,(Y5-V5)*F5)</f>
        <v>0</v>
      </c>
      <c r="AB5" s="445">
        <f>VLOOKUP(E5,'Deal ps'!A:AH,34,0)</f>
        <v>4.3798015689999996</v>
      </c>
      <c r="AC5" s="446">
        <f t="shared" ref="AC5:AC7" si="9">(I5-AB5)*100</f>
        <v>-62.980156899999962</v>
      </c>
      <c r="AD5" s="446">
        <f t="shared" ref="AD5:AD7" si="10">IF(S5="-",0,(AB5-U5)*100)</f>
        <v>0</v>
      </c>
      <c r="AF5" s="540" t="s">
        <v>3537</v>
      </c>
      <c r="AG5" s="541">
        <f>SUM(RP_SEC!S:S)/10^9</f>
        <v>-1141.1438652286361</v>
      </c>
      <c r="AH5" s="542">
        <f>AI5-AG5</f>
        <v>-23.488064771363952</v>
      </c>
      <c r="AI5" s="543">
        <f>SUM(RP_SEC!N:N)/10^9</f>
        <v>-1164.63193</v>
      </c>
      <c r="AJ5" s="543">
        <f>SUMIFS(BA:BA,AR:AR,"&lt;&gt;V")/10^9</f>
        <v>-122.43369347066042</v>
      </c>
      <c r="AK5" s="543">
        <f>SUMIFS(BP:BP,BI:BI,"&lt;&gt;V")/10^9</f>
        <v>-176.21286000247858</v>
      </c>
      <c r="AL5" s="543">
        <f>AG5+AJ5</f>
        <v>-1263.5775586992966</v>
      </c>
      <c r="AM5" s="555"/>
      <c r="AN5" s="128"/>
      <c r="AO5" s="128">
        <v>48887</v>
      </c>
      <c r="AP5" s="128" t="s">
        <v>681</v>
      </c>
      <c r="AQ5" s="128" t="s">
        <v>824</v>
      </c>
      <c r="AR5" s="375" t="s">
        <v>3594</v>
      </c>
      <c r="AS5" s="375">
        <v>46059</v>
      </c>
      <c r="AT5" s="375">
        <v>46247</v>
      </c>
      <c r="AU5" s="530">
        <v>127521</v>
      </c>
      <c r="AV5" s="532">
        <v>50319</v>
      </c>
      <c r="AW5" s="530">
        <v>2300000</v>
      </c>
      <c r="AX5" s="534">
        <f>_xlfn.XLOOKUP(Sell_unvalid[[#This Row],[DEAL_BUY_ID]],BS!BA:BA,BS!BE:BE,,0)</f>
        <v>126995</v>
      </c>
      <c r="AY5" s="534">
        <f>_xlfn.XLOOKUP(Sell_unvalid[[#This Row],[BOND_CODE]],FNRP!D:D,FNRP!I:I,_xlfn.XLOOKUP(Sell_unvalid[[#This Row],[BOND_CODE]],FNRP!AV:AV,FNRP!BA:BA,,0),0)</f>
        <v>124796</v>
      </c>
      <c r="AZ5" s="534">
        <f>_xlfn.XLOOKUP(Sell_unvalid[[#This Row],[DEAL_BUY_ID]],BS!BA:BA,BS!BQ:BQ,,0)*Sell_unvalid[[#This Row],[QUANTITY]]</f>
        <v>61961417749.039841</v>
      </c>
      <c r="BA5" s="534">
        <f>(Sell_unvalid[[#This Row],[Giá MtM]]-10^5)*Sell_unvalid[[#This Row],[QUANTITY]]-Sell_unvalid[[#This Row],[PTCK remain]]</f>
        <v>-4930617749.0398407</v>
      </c>
      <c r="BB5" s="534">
        <f>(Sell_unvalid[[#This Row],[PRICE]]-10^5)*Sell_unvalid[[#This Row],[QUANTITY]]-Sell_unvalid[[#This Row],[PTCK remain]]</f>
        <v>1336882250.9601593</v>
      </c>
      <c r="BC5" s="534" t="str">
        <f>IF(AND(Sell_unvalid[[#This Row],[VALUE_DATE]]&lt;=RPT,Sell_unvalid[[#This Row],[TRANSACTION_STATUS]]="N"),"Check","Ok")</f>
        <v>Ok</v>
      </c>
      <c r="BD5" s="534"/>
      <c r="BE5" s="615"/>
      <c r="BF5" s="128">
        <v>50304</v>
      </c>
      <c r="BG5" s="128" t="s">
        <v>2831</v>
      </c>
      <c r="BH5" s="128" t="s">
        <v>824</v>
      </c>
      <c r="BI5" s="531" t="s">
        <v>2234</v>
      </c>
      <c r="BJ5" s="375">
        <v>46239</v>
      </c>
      <c r="BK5" s="531">
        <v>46259</v>
      </c>
      <c r="BL5" s="530">
        <v>1000000</v>
      </c>
      <c r="BM5" s="530">
        <v>98439</v>
      </c>
      <c r="BN5" s="534">
        <f>_xlfn.XLOOKUP(Buy_unvalid[[#This Row],[BOND_CODE]],FNRP!D:D,FNRP!I:I,,0)</f>
        <v>89242</v>
      </c>
      <c r="BO5" s="534">
        <f>_xlfn.XLOOKUP(Buy_unvalid[[#This Row],[DEAL_BUY_ID]],BS!BA:BA,BS!BQ:BQ,_xlfn.XLOOKUP(Buy_unvalid[[#This Row],[DEAL_BUY_ID]],BS!AL:AL,BS!AR:AR,,0),0)*Buy_unvalid[[#This Row],[QUANTITY]]</f>
        <v>-1564499050.3050501</v>
      </c>
      <c r="BP5" s="534">
        <f>(Buy_unvalid[[#This Row],[Giá MtM]]-10^5)*Buy_unvalid[[#This Row],[QUANTITY]]-Buy_unvalid[[#This Row],[PTCK remain]]</f>
        <v>-9193500949.6949501</v>
      </c>
      <c r="BQ5" s="534" t="str">
        <f>IF(AND(Buy_unvalid[[#This Row],[VALUE_DATE]]&lt;=RPT,Buy_unvalid[[#This Row],[TRANSACTION_STATUS]]="N"),"Check","Ok")</f>
        <v>Ok</v>
      </c>
      <c r="BS5" s="128"/>
      <c r="BT5" s="848">
        <v>49130</v>
      </c>
      <c r="BU5" s="849">
        <v>46287</v>
      </c>
      <c r="BV5" s="848">
        <v>49953</v>
      </c>
      <c r="BW5" s="848"/>
      <c r="BX5" s="530">
        <v>510000</v>
      </c>
      <c r="BY5" s="735">
        <f>_xlfn.XLOOKUP(Est_NIM[[#This Row],[DEAL_BUY_ID]],BS!AL:AL,BS!AU:AU,_xlfn.XLOOKUP(Est_NIM[[#This Row],[DEAL_BUY_ID]],BS!BA:BA,BS!BJ:BJ,,0),0)</f>
        <v>3.9710999999999999</v>
      </c>
      <c r="BZ5" s="534">
        <f>Est_NIM[[#This Row],[QUANT]]*Est_NIM[[#This Row],[YIELD]]</f>
        <v>2025261</v>
      </c>
      <c r="CA5" s="128"/>
      <c r="CB5" s="128"/>
      <c r="CC5" t="s">
        <v>3548</v>
      </c>
      <c r="CD5">
        <v>-1048.5135897369521</v>
      </c>
      <c r="CE5">
        <v>-23.410340263048056</v>
      </c>
      <c r="CF5">
        <v>-1071.9239299999999</v>
      </c>
      <c r="CG5">
        <v>-87.972484625345714</v>
      </c>
      <c r="CH5">
        <v>3730</v>
      </c>
      <c r="CI5">
        <v>14282</v>
      </c>
      <c r="CJ5" s="128"/>
      <c r="CK5" s="128"/>
      <c r="CL5" s="128"/>
      <c r="CM5" s="128"/>
      <c r="CN5" s="128"/>
      <c r="CO5" s="128"/>
      <c r="CP5" s="128"/>
      <c r="CQ5" s="128"/>
      <c r="CR5" s="128"/>
      <c r="CS5" s="530"/>
      <c r="CT5" s="530"/>
      <c r="CU5" s="530"/>
      <c r="CV5" s="530"/>
      <c r="CW5" s="530"/>
      <c r="CX5" s="530"/>
      <c r="CY5" s="530"/>
      <c r="CZ5" s="530"/>
      <c r="DA5" s="530"/>
      <c r="DB5" s="530"/>
      <c r="DC5" s="530"/>
      <c r="DD5" s="530"/>
      <c r="DE5" s="530"/>
      <c r="DF5" s="530"/>
      <c r="DG5" s="530"/>
      <c r="DH5" s="530"/>
      <c r="DI5" s="530"/>
      <c r="DJ5" s="530"/>
      <c r="DK5" s="530"/>
      <c r="DL5" s="530"/>
      <c r="DM5" s="530"/>
      <c r="DN5" s="530"/>
      <c r="DO5" s="530"/>
      <c r="DP5" s="530"/>
      <c r="DQ5" s="530"/>
      <c r="DR5" s="530"/>
      <c r="DS5" s="530"/>
      <c r="DT5" s="530"/>
      <c r="DU5" s="530"/>
      <c r="DV5" s="530"/>
      <c r="DW5" s="530"/>
      <c r="DX5" s="530"/>
      <c r="DY5" s="530"/>
      <c r="DZ5" s="530"/>
      <c r="EA5" s="530"/>
      <c r="EB5" s="530"/>
      <c r="EC5" s="530"/>
      <c r="ED5" s="530"/>
      <c r="EE5" s="530"/>
      <c r="EF5" s="530"/>
      <c r="EG5" s="530"/>
      <c r="EH5" s="530"/>
      <c r="EI5" s="530"/>
      <c r="EJ5" s="530"/>
      <c r="EK5" s="530"/>
      <c r="EL5" s="530"/>
      <c r="EM5" s="530"/>
      <c r="EN5" s="530"/>
      <c r="EO5" s="530"/>
      <c r="EP5" s="530"/>
      <c r="EQ5" s="530"/>
      <c r="ER5" s="530"/>
      <c r="ES5" s="530"/>
      <c r="ET5" s="530"/>
      <c r="EU5" s="530"/>
      <c r="EV5" s="530"/>
      <c r="EW5" s="530"/>
      <c r="EX5" s="530"/>
      <c r="EY5" s="530"/>
      <c r="EZ5" s="530"/>
      <c r="FA5" s="530"/>
      <c r="FB5" s="530"/>
      <c r="FC5" s="530"/>
      <c r="FD5" s="128"/>
      <c r="FE5" s="128"/>
      <c r="FF5" s="128"/>
      <c r="FG5" s="128"/>
      <c r="FH5" s="128"/>
      <c r="FI5" s="128"/>
      <c r="FJ5" s="128"/>
      <c r="FK5" s="128"/>
      <c r="FL5" s="128"/>
      <c r="FM5" s="128"/>
      <c r="FN5" s="128"/>
      <c r="FO5" s="128"/>
      <c r="FP5" s="128"/>
      <c r="FR5" s="128"/>
      <c r="FS5" s="128"/>
      <c r="FT5" s="128"/>
      <c r="FU5" s="128"/>
      <c r="FV5" s="128"/>
      <c r="FW5" s="128"/>
      <c r="FX5" s="128"/>
      <c r="FY5" s="128"/>
      <c r="FZ5" s="128"/>
      <c r="GA5" s="128"/>
      <c r="GB5" s="128"/>
      <c r="GC5" s="128"/>
      <c r="GD5" s="128"/>
      <c r="GE5" s="128"/>
      <c r="GF5" s="128"/>
      <c r="GG5" s="128"/>
      <c r="GH5" s="128"/>
      <c r="GI5" s="128"/>
      <c r="GJ5" s="128"/>
      <c r="GK5" s="128"/>
      <c r="GL5" s="128"/>
      <c r="GM5" s="128"/>
      <c r="GN5" s="128"/>
      <c r="GO5" s="128"/>
      <c r="GP5" s="128"/>
      <c r="GQ5" s="128"/>
      <c r="GR5" s="128"/>
      <c r="GS5" s="128"/>
      <c r="GT5" s="128"/>
      <c r="GU5" s="128"/>
      <c r="GV5" s="128"/>
      <c r="GW5" s="128"/>
      <c r="GX5" s="128"/>
      <c r="GY5" s="128"/>
      <c r="GZ5" s="128"/>
      <c r="HA5" s="128"/>
      <c r="HB5" s="128"/>
      <c r="HC5" s="128"/>
      <c r="HD5" s="128"/>
      <c r="HE5" s="128"/>
      <c r="HF5" s="128"/>
      <c r="HG5" s="128"/>
      <c r="HH5" s="128"/>
      <c r="HI5" s="128"/>
      <c r="HJ5" s="128"/>
      <c r="HK5" s="128"/>
      <c r="HL5" s="128"/>
      <c r="HM5" s="128"/>
      <c r="HN5" s="128"/>
      <c r="HO5" s="128"/>
      <c r="HP5" s="128"/>
      <c r="HQ5" s="128"/>
      <c r="HR5" s="128"/>
      <c r="HS5" s="128"/>
      <c r="HT5" s="128"/>
      <c r="HU5" s="128"/>
      <c r="HV5" s="128"/>
      <c r="HW5" s="128"/>
      <c r="HX5" s="128"/>
      <c r="HY5" s="128"/>
      <c r="HZ5" s="128"/>
      <c r="IA5" s="128"/>
      <c r="IB5" s="128"/>
      <c r="IC5" s="128"/>
    </row>
    <row r="6" spans="1:237" x14ac:dyDescent="0.3">
      <c r="A6" s="375">
        <f t="shared" si="0"/>
        <v>46252</v>
      </c>
      <c r="B6" s="450" t="str">
        <f>VLOOKUP(E6,'Deal ps'!A:E,5,0)</f>
        <v>TD2353151</v>
      </c>
      <c r="C6" s="451">
        <f>VLOOKUP(B6,'Deal ps'!E:K,7,0)</f>
        <v>55966</v>
      </c>
      <c r="D6" s="455">
        <f t="shared" si="1"/>
        <v>81395.611465454102</v>
      </c>
      <c r="E6" s="435">
        <v>50445</v>
      </c>
      <c r="F6" s="436">
        <v>800000</v>
      </c>
      <c r="G6" s="516" t="str">
        <f>VLOOKUP(E6,'Deal ps'!A:F,6,0)</f>
        <v>CK_THIENVI</v>
      </c>
      <c r="H6" s="438">
        <f>_xlfn.XLOOKUP(E6,Newdeals[BondsDeals_Id],Newdeals[TradeDate],,0)</f>
        <v>46262</v>
      </c>
      <c r="I6" s="439">
        <f>VLOOKUP(E6,'Deal ps'!A:I,9,0)</f>
        <v>4.2</v>
      </c>
      <c r="J6" s="436">
        <f>_xlfn.XLOOKUP(E6,'Deal ps'!A:A,'Deal ps'!N:N,,0)</f>
        <v>99979</v>
      </c>
      <c r="K6" s="436">
        <f>VLOOKUP(E6,'Deal ps'!A:O,15,0)/VLOOKUP(E6,'Deal ps'!A:L,12,0)</f>
        <v>1887</v>
      </c>
      <c r="L6" s="440">
        <f t="shared" si="2"/>
        <v>81492800000</v>
      </c>
      <c r="M6" s="441">
        <v>50430</v>
      </c>
      <c r="N6" s="438">
        <f>_xlfn.XLOOKUP(M6,BS!BA:BA,BS!BF:BF,,0)</f>
        <v>46261</v>
      </c>
      <c r="O6" s="436">
        <f>_xlfn.XLOOKUP(M6,BS!BA:BA,BS!BD:BD,,0)</f>
        <v>800000</v>
      </c>
      <c r="P6" s="442">
        <f>_xlfn.XLOOKUP(M6,BS!BA:BA,BS!BQ:BQ,,0)*F6</f>
        <v>-16881395.611468397</v>
      </c>
      <c r="Q6" s="470">
        <f t="shared" si="3"/>
        <v>81492718604.388535</v>
      </c>
      <c r="R6" s="440">
        <f t="shared" si="4"/>
        <v>-566136000000</v>
      </c>
      <c r="S6" s="11" t="str">
        <f>_xlfn.XLOOKUP(A6&amp;"B"&amp;B6&amp;G6&amp;SUMIFS(F:F,E:E,E6),'Deal ps'!AO:AO,'Deal ps'!A:A,"-",0)</f>
        <v>-</v>
      </c>
      <c r="T6" s="508" t="str">
        <f>_xlfn.XLOOKUP(S6,'Deal ps'!A:A,'Deal ps'!C:C,"-",0)</f>
        <v>-</v>
      </c>
      <c r="U6" s="443">
        <f>_xlfn.XLOOKUP(S6,'Deal ps'!A:A,'Deal ps'!I:I,0,0)</f>
        <v>0</v>
      </c>
      <c r="V6" s="444">
        <f>_xlfn.XLOOKUP(S6,'Deal ps'!A:A,'Deal ps'!N:N,0,0)</f>
        <v>0</v>
      </c>
      <c r="W6" s="442">
        <f t="shared" si="5"/>
        <v>0</v>
      </c>
      <c r="X6" s="456">
        <f t="shared" si="6"/>
        <v>0</v>
      </c>
      <c r="Y6" s="233">
        <f>VLOOKUP(B6,FNRP!D:I,6,0)</f>
        <v>92330</v>
      </c>
      <c r="Z6" s="233">
        <f t="shared" si="7"/>
        <v>6119200000</v>
      </c>
      <c r="AA6" s="233">
        <f t="shared" si="8"/>
        <v>0</v>
      </c>
      <c r="AB6" s="445">
        <f>VLOOKUP(E6,'Deal ps'!A:AH,34,0)</f>
        <v>4.7101924540000004</v>
      </c>
      <c r="AC6" s="446">
        <f t="shared" si="9"/>
        <v>-51.019245400000024</v>
      </c>
      <c r="AD6" s="446">
        <f t="shared" si="10"/>
        <v>0</v>
      </c>
      <c r="AF6" s="544" t="s">
        <v>3548</v>
      </c>
      <c r="AG6" s="525">
        <f>AG5-CD3</f>
        <v>-1141.1438652286361</v>
      </c>
      <c r="AH6" s="525">
        <f>AH5-CE3</f>
        <v>-23.488064771363952</v>
      </c>
      <c r="AI6" s="525">
        <f>AI5-CF3</f>
        <v>-1164.63193</v>
      </c>
      <c r="AJ6" s="525">
        <f>AJ5-CG3</f>
        <v>-863.43369347066039</v>
      </c>
      <c r="AK6" s="525">
        <f>AK5-CH3</f>
        <v>-3906.2128600024785</v>
      </c>
      <c r="AL6" s="525">
        <f>AL5-CI3</f>
        <v>-15545.577558699297</v>
      </c>
      <c r="AN6" s="128"/>
      <c r="AO6" s="128">
        <v>48885</v>
      </c>
      <c r="AP6" s="128" t="s">
        <v>615</v>
      </c>
      <c r="AQ6" s="128" t="s">
        <v>824</v>
      </c>
      <c r="AR6" s="375" t="s">
        <v>3594</v>
      </c>
      <c r="AS6" s="375">
        <v>46059</v>
      </c>
      <c r="AT6" s="375">
        <v>46247</v>
      </c>
      <c r="AU6" s="530">
        <v>115841</v>
      </c>
      <c r="AV6" s="532">
        <v>48879</v>
      </c>
      <c r="AW6" s="530">
        <v>5000000</v>
      </c>
      <c r="AX6" s="534">
        <f>_xlfn.XLOOKUP(Sell_unvalid[[#This Row],[DEAL_BUY_ID]],BS!BA:BA,BS!BE:BE,,0)</f>
        <v>116712</v>
      </c>
      <c r="AY6" s="534">
        <f>_xlfn.XLOOKUP(Sell_unvalid[[#This Row],[BOND_CODE]],FNRP!D:D,FNRP!I:I,_xlfn.XLOOKUP(Sell_unvalid[[#This Row],[BOND_CODE]],FNRP!AV:AV,FNRP!BA:BA,,0),0)</f>
        <v>113876</v>
      </c>
      <c r="AZ6" s="534">
        <f>_xlfn.XLOOKUP(Sell_unvalid[[#This Row],[DEAL_BUY_ID]],BS!BA:BA,BS!BQ:BQ,,0)*Sell_unvalid[[#This Row],[QUANTITY]]</f>
        <v>74700646709.882584</v>
      </c>
      <c r="BA6" s="534">
        <f>(Sell_unvalid[[#This Row],[Giá MtM]]-10^5)*Sell_unvalid[[#This Row],[QUANTITY]]-Sell_unvalid[[#This Row],[PTCK remain]]</f>
        <v>-5320646709.8825836</v>
      </c>
      <c r="BB6" s="534">
        <f>(Sell_unvalid[[#This Row],[PRICE]]-10^5)*Sell_unvalid[[#This Row],[QUANTITY]]-Sell_unvalid[[#This Row],[PTCK remain]]</f>
        <v>4504353290.1174164</v>
      </c>
      <c r="BC6" s="534" t="str">
        <f>IF(AND(Sell_unvalid[[#This Row],[VALUE_DATE]]&lt;=RPT,Sell_unvalid[[#This Row],[TRANSACTION_STATUS]]="N"),"Check","Ok")</f>
        <v>Ok</v>
      </c>
      <c r="BD6" s="534"/>
      <c r="BE6" s="615"/>
      <c r="BF6" s="128">
        <v>50321</v>
      </c>
      <c r="BG6" s="128" t="s">
        <v>615</v>
      </c>
      <c r="BH6" s="128" t="s">
        <v>824</v>
      </c>
      <c r="BI6" s="531" t="s">
        <v>3594</v>
      </c>
      <c r="BJ6" s="375">
        <v>46240</v>
      </c>
      <c r="BK6" s="531">
        <v>46245</v>
      </c>
      <c r="BL6" s="530">
        <v>450000</v>
      </c>
      <c r="BM6" s="530">
        <v>115116</v>
      </c>
      <c r="BN6" s="534">
        <f>_xlfn.XLOOKUP(Buy_unvalid[[#This Row],[BOND_CODE]],FNRP!D:D,FNRP!I:I,,0)</f>
        <v>113876</v>
      </c>
      <c r="BO6" s="534">
        <f>_xlfn.XLOOKUP(Buy_unvalid[[#This Row],[DEAL_BUY_ID]],BS!BA:BA,BS!BQ:BQ,_xlfn.XLOOKUP(Buy_unvalid[[#This Row],[DEAL_BUY_ID]],BS!AL:AL,BS!AR:AR,,0),0)*Buy_unvalid[[#This Row],[QUANTITY]]</f>
        <v>6768608796.0520687</v>
      </c>
      <c r="BP6" s="534">
        <f>(Buy_unvalid[[#This Row],[Giá MtM]]-10^5)*Buy_unvalid[[#This Row],[QUANTITY]]-Buy_unvalid[[#This Row],[PTCK remain]]</f>
        <v>-524408796.05206871</v>
      </c>
      <c r="BQ6" s="534" t="str">
        <f>IF(AND(Buy_unvalid[[#This Row],[VALUE_DATE]]&lt;=RPT,Buy_unvalid[[#This Row],[TRANSACTION_STATUS]]="N"),"Check","Ok")</f>
        <v>Ok</v>
      </c>
      <c r="BS6" s="331"/>
      <c r="BT6" s="848">
        <v>49127</v>
      </c>
      <c r="BU6" s="849">
        <v>46287</v>
      </c>
      <c r="BV6" s="848">
        <v>49123</v>
      </c>
      <c r="BW6" s="848"/>
      <c r="BX6" s="530">
        <v>3000000</v>
      </c>
      <c r="BY6" s="735">
        <f>_xlfn.XLOOKUP(Est_NIM[[#This Row],[DEAL_BUY_ID]],BS!AL:AL,BS!AU:AU,_xlfn.XLOOKUP(Est_NIM[[#This Row],[DEAL_BUY_ID]],BS!BA:BA,BS!BJ:BJ,,0),0)</f>
        <v>3.97</v>
      </c>
      <c r="BZ6" s="534">
        <f>Est_NIM[[#This Row],[QUANT]]*Est_NIM[[#This Row],[YIELD]]</f>
        <v>11910000</v>
      </c>
      <c r="CA6" s="331"/>
      <c r="CB6" s="331"/>
      <c r="CC6" t="s">
        <v>3567</v>
      </c>
      <c r="CE6" s="331"/>
      <c r="CF6" s="331"/>
      <c r="CG6" s="331">
        <v>8.4062653746542804</v>
      </c>
      <c r="CH6">
        <v>3730</v>
      </c>
      <c r="CI6">
        <v>14282</v>
      </c>
      <c r="CJ6" s="128"/>
      <c r="CK6" s="331"/>
      <c r="CL6" s="331"/>
      <c r="CM6" s="128"/>
      <c r="CN6" s="128"/>
      <c r="CO6" s="128"/>
      <c r="CP6" s="128"/>
      <c r="CQ6" s="128"/>
      <c r="CR6" s="128"/>
      <c r="CS6" s="128"/>
      <c r="CT6" s="128"/>
      <c r="CU6" s="128"/>
      <c r="CV6" s="128"/>
      <c r="CW6" s="128"/>
      <c r="CX6" s="128"/>
      <c r="CY6" s="128"/>
      <c r="CZ6" s="128"/>
      <c r="DA6" s="128"/>
      <c r="DB6" s="128"/>
      <c r="DC6" s="128"/>
      <c r="DD6" s="128"/>
      <c r="DE6" s="128"/>
      <c r="DF6" s="128"/>
      <c r="DG6" s="128"/>
      <c r="DH6" s="128"/>
      <c r="DI6" s="128"/>
      <c r="DJ6" s="128"/>
      <c r="DK6" s="128"/>
      <c r="DL6" s="128"/>
      <c r="DM6" s="128"/>
      <c r="DN6" s="128"/>
      <c r="DO6" s="128"/>
      <c r="DP6" s="128"/>
      <c r="DQ6" s="128"/>
      <c r="DR6" s="128"/>
      <c r="DS6" s="128"/>
      <c r="DT6" s="128"/>
      <c r="DU6" s="530"/>
      <c r="DV6" s="530"/>
      <c r="DW6" s="530"/>
      <c r="DX6" s="530"/>
      <c r="DY6" s="530"/>
      <c r="DZ6" s="530"/>
      <c r="EA6" s="530"/>
      <c r="EB6" s="530"/>
      <c r="EC6" s="530"/>
      <c r="ED6" s="530"/>
      <c r="EE6" s="530"/>
      <c r="EF6" s="530"/>
      <c r="EG6" s="530"/>
      <c r="EH6" s="530"/>
      <c r="EI6" s="530"/>
      <c r="EJ6" s="530"/>
      <c r="EK6" s="530"/>
      <c r="EL6" s="530"/>
      <c r="EM6" s="530"/>
      <c r="EN6" s="530"/>
      <c r="EO6" s="530"/>
      <c r="EP6" s="530"/>
      <c r="EQ6" s="530"/>
      <c r="ER6" s="530"/>
      <c r="ES6" s="530"/>
      <c r="ET6" s="530"/>
      <c r="EU6" s="530"/>
      <c r="EV6" s="530"/>
      <c r="EW6" s="530"/>
      <c r="EX6" s="530"/>
      <c r="EY6" s="530"/>
      <c r="EZ6" s="530"/>
      <c r="FA6" s="530"/>
      <c r="FB6" s="530"/>
      <c r="FC6" s="530"/>
      <c r="FD6" s="530"/>
      <c r="FE6" s="530"/>
      <c r="FF6" s="530"/>
      <c r="FG6" s="530"/>
      <c r="FH6" s="530"/>
      <c r="FI6" s="530"/>
      <c r="FJ6" s="530"/>
      <c r="FK6" s="530"/>
      <c r="FL6" s="530"/>
      <c r="FM6" s="530"/>
      <c r="FN6" s="530"/>
      <c r="FO6" s="530"/>
      <c r="FP6" s="530"/>
      <c r="FQ6" s="530"/>
      <c r="GF6" s="128"/>
      <c r="GG6" s="128"/>
      <c r="GH6" s="128"/>
      <c r="GI6" s="128"/>
      <c r="GJ6" s="128"/>
      <c r="GK6" s="128"/>
      <c r="GL6" s="128"/>
      <c r="GM6" s="128"/>
      <c r="GN6" s="128"/>
      <c r="GO6" s="128"/>
      <c r="GP6" s="128"/>
      <c r="GQ6" s="128"/>
      <c r="GR6" s="128"/>
      <c r="GS6" s="128"/>
      <c r="GT6" s="128"/>
      <c r="GU6" s="128"/>
      <c r="GV6" s="128"/>
      <c r="GW6" s="128"/>
      <c r="GX6" s="128"/>
      <c r="GY6" s="128"/>
      <c r="GZ6" s="128"/>
      <c r="HA6" s="128"/>
      <c r="HB6" s="128"/>
      <c r="HC6" s="128"/>
      <c r="HD6" s="128"/>
      <c r="HE6" s="128"/>
      <c r="HF6" s="128"/>
      <c r="HG6" s="128"/>
      <c r="HH6" s="128"/>
      <c r="HI6" s="128"/>
      <c r="HJ6" s="128"/>
      <c r="HK6" s="128"/>
      <c r="HL6" s="128"/>
      <c r="HM6" s="128"/>
      <c r="HN6" s="128"/>
      <c r="HO6" s="128"/>
      <c r="HP6" s="128"/>
      <c r="HQ6" s="128"/>
      <c r="HR6" s="128"/>
      <c r="HS6" s="128"/>
      <c r="HT6" s="128"/>
      <c r="HU6" s="128"/>
      <c r="HV6" s="128"/>
      <c r="HW6" s="128"/>
      <c r="HX6" s="128"/>
      <c r="HY6" s="128"/>
      <c r="HZ6" s="128"/>
      <c r="IA6" s="128"/>
      <c r="IB6" s="128"/>
      <c r="IC6" s="128"/>
    </row>
    <row r="7" spans="1:237" x14ac:dyDescent="0.3">
      <c r="A7" s="375">
        <f t="shared" si="0"/>
        <v>46252</v>
      </c>
      <c r="B7" s="450" t="str">
        <f>VLOOKUP(E7,'Deal ps'!A:E,5,0)</f>
        <v>TL1535300</v>
      </c>
      <c r="C7" s="451">
        <f>VLOOKUP(B7,'Deal ps'!E:K,7,0)</f>
        <v>49528</v>
      </c>
      <c r="D7" s="455">
        <f t="shared" si="1"/>
        <v>-57566281.662612915</v>
      </c>
      <c r="E7" s="435">
        <v>50447</v>
      </c>
      <c r="F7" s="436">
        <v>560000</v>
      </c>
      <c r="G7" s="516" t="str">
        <f>VLOOKUP(E7,'Deal ps'!A:F,6,0)</f>
        <v>CK_THIENVI</v>
      </c>
      <c r="H7" s="438">
        <f>_xlfn.XLOOKUP(E7,Newdeals[BondsDeals_Id],Newdeals[TradeDate],,0)</f>
        <v>46262</v>
      </c>
      <c r="I7" s="439">
        <f>VLOOKUP(E7,'Deal ps'!A:I,9,0)</f>
        <v>4.4550000000000001</v>
      </c>
      <c r="J7" s="436">
        <f>_xlfn.XLOOKUP(E7,'Deal ps'!A:A,'Deal ps'!N:N,,0)</f>
        <v>123827</v>
      </c>
      <c r="K7" s="436">
        <f>VLOOKUP(E7,'Deal ps'!A:O,15,0)/VLOOKUP(E7,'Deal ps'!A:L,12,0)</f>
        <v>573</v>
      </c>
      <c r="L7" s="440">
        <f t="shared" si="2"/>
        <v>69664000000</v>
      </c>
      <c r="M7" s="441">
        <v>50400</v>
      </c>
      <c r="N7" s="438">
        <f>_xlfn.XLOOKUP(M7,BS!BA:BA,BS!BF:BF,,0)</f>
        <v>46260</v>
      </c>
      <c r="O7" s="436">
        <f>_xlfn.XLOOKUP(M7,BS!BA:BA,BS!BD:BD,,0)</f>
        <v>810000</v>
      </c>
      <c r="P7" s="442">
        <f>_xlfn.XLOOKUP(M7,BS!BA:BA,BS!BQ:BQ,,0)*F7</f>
        <v>13400686281.662617</v>
      </c>
      <c r="Q7" s="470">
        <f t="shared" si="3"/>
        <v>69721566281.662613</v>
      </c>
      <c r="R7" s="440">
        <f t="shared" si="4"/>
        <v>-383943280000</v>
      </c>
      <c r="S7" s="11" t="str">
        <f>_xlfn.XLOOKUP(A7&amp;"B"&amp;B7&amp;G7&amp;SUMIFS(F:F,E:E,E7),'Deal ps'!AO:AO,'Deal ps'!A:A,"-",0)</f>
        <v>-</v>
      </c>
      <c r="T7" s="508" t="str">
        <f>_xlfn.XLOOKUP(S7,'Deal ps'!A:A,'Deal ps'!C:C,"-",0)</f>
        <v>-</v>
      </c>
      <c r="U7" s="443">
        <f>_xlfn.XLOOKUP(S7,'Deal ps'!A:A,'Deal ps'!I:I,0,0)</f>
        <v>0</v>
      </c>
      <c r="V7" s="444">
        <f>_xlfn.XLOOKUP(S7,'Deal ps'!A:A,'Deal ps'!N:N,0,0)</f>
        <v>0</v>
      </c>
      <c r="W7" s="442">
        <f t="shared" si="5"/>
        <v>0</v>
      </c>
      <c r="X7" s="456">
        <f t="shared" si="6"/>
        <v>0</v>
      </c>
      <c r="Y7" s="233">
        <f>VLOOKUP(B7,FNRP!D:I,6,0)</f>
        <v>124387</v>
      </c>
      <c r="Z7" s="233">
        <f t="shared" si="7"/>
        <v>-313600000</v>
      </c>
      <c r="AA7" s="233">
        <f t="shared" si="8"/>
        <v>0</v>
      </c>
      <c r="AB7" s="445">
        <f>VLOOKUP(E7,'Deal ps'!A:AH,34,0)</f>
        <v>4.4001344930000004</v>
      </c>
      <c r="AC7" s="446">
        <f t="shared" si="9"/>
        <v>5.4865506999999702</v>
      </c>
      <c r="AD7" s="446">
        <f t="shared" si="10"/>
        <v>0</v>
      </c>
      <c r="AF7" s="557" t="s">
        <v>3567</v>
      </c>
      <c r="AG7" s="558"/>
      <c r="AH7" s="558"/>
      <c r="AI7" s="559"/>
      <c r="AJ7" s="543">
        <f>SUMIFS(BB:BB,AR:AR,"&lt;&gt;V")/10^9</f>
        <v>-9.9015234706604165</v>
      </c>
      <c r="AN7" s="128"/>
      <c r="AO7" s="128">
        <v>48886</v>
      </c>
      <c r="AP7" s="128" t="s">
        <v>615</v>
      </c>
      <c r="AQ7" s="128" t="s">
        <v>824</v>
      </c>
      <c r="AR7" s="375" t="s">
        <v>3594</v>
      </c>
      <c r="AS7" s="375">
        <v>46059</v>
      </c>
      <c r="AT7" s="375">
        <v>46247</v>
      </c>
      <c r="AU7" s="530">
        <v>115841</v>
      </c>
      <c r="AV7" s="532">
        <v>48880</v>
      </c>
      <c r="AW7" s="530">
        <v>3100000</v>
      </c>
      <c r="AX7" s="534">
        <f>_xlfn.XLOOKUP(Sell_unvalid[[#This Row],[DEAL_BUY_ID]],BS!BA:BA,BS!BE:BE,,0)</f>
        <v>116712</v>
      </c>
      <c r="AY7" s="534">
        <f>_xlfn.XLOOKUP(Sell_unvalid[[#This Row],[BOND_CODE]],FNRP!D:D,FNRP!I:I,_xlfn.XLOOKUP(Sell_unvalid[[#This Row],[BOND_CODE]],FNRP!AV:AV,FNRP!BA:BA,,0),0)</f>
        <v>113876</v>
      </c>
      <c r="AZ7" s="534">
        <f>_xlfn.XLOOKUP(Sell_unvalid[[#This Row],[DEAL_BUY_ID]],BS!BA:BA,BS!BQ:BQ,,0)*Sell_unvalid[[#This Row],[QUANTITY]]</f>
        <v>46314400960.127197</v>
      </c>
      <c r="BA7" s="534">
        <f>(Sell_unvalid[[#This Row],[Giá MtM]]-10^5)*Sell_unvalid[[#This Row],[QUANTITY]]-Sell_unvalid[[#This Row],[PTCK remain]]</f>
        <v>-3298800960.1271973</v>
      </c>
      <c r="BB7" s="534">
        <f>(Sell_unvalid[[#This Row],[PRICE]]-10^5)*Sell_unvalid[[#This Row],[QUANTITY]]-Sell_unvalid[[#This Row],[PTCK remain]]</f>
        <v>2792699039.8728027</v>
      </c>
      <c r="BC7" s="534" t="str">
        <f>IF(AND(Sell_unvalid[[#This Row],[VALUE_DATE]]&lt;=RPT,Sell_unvalid[[#This Row],[TRANSACTION_STATUS]]="N"),"Check","Ok")</f>
        <v>Ok</v>
      </c>
      <c r="BD7" s="534"/>
      <c r="BE7" s="615"/>
      <c r="BF7" s="128">
        <v>50434</v>
      </c>
      <c r="BG7" s="128" t="s">
        <v>2862</v>
      </c>
      <c r="BH7" s="128" t="s">
        <v>824</v>
      </c>
      <c r="BI7" s="531" t="s">
        <v>2234</v>
      </c>
      <c r="BJ7" s="375">
        <v>46251</v>
      </c>
      <c r="BK7" s="375">
        <v>46259</v>
      </c>
      <c r="BL7" s="530">
        <v>1340000</v>
      </c>
      <c r="BM7" s="530">
        <v>96807</v>
      </c>
      <c r="BN7" s="534">
        <f>_xlfn.XLOOKUP(Buy_unvalid[[#This Row],[BOND_CODE]],FNRP!D:D,FNRP!I:I,,0)</f>
        <v>88187</v>
      </c>
      <c r="BO7" s="534">
        <f>_xlfn.XLOOKUP(Buy_unvalid[[#This Row],[DEAL_BUY_ID]],BS!BA:BA,BS!BQ:BQ,_xlfn.XLOOKUP(Buy_unvalid[[#This Row],[DEAL_BUY_ID]],BS!AL:AL,BS!AR:AR,,0),0)*Buy_unvalid[[#This Row],[QUANTITY]]</f>
        <v>-4287384068.038693</v>
      </c>
      <c r="BP7" s="534">
        <f>(Buy_unvalid[[#This Row],[Giá MtM]]-10^5)*Buy_unvalid[[#This Row],[QUANTITY]]-Buy_unvalid[[#This Row],[PTCK remain]]</f>
        <v>-11542035931.961308</v>
      </c>
      <c r="BQ7" s="534" t="str">
        <f>IF(AND(Buy_unvalid[[#This Row],[VALUE_DATE]]&lt;=RPT,Buy_unvalid[[#This Row],[TRANSACTION_STATUS]]="N"),"Check","Ok")</f>
        <v>Ok</v>
      </c>
      <c r="BS7" s="128"/>
      <c r="BT7" s="848">
        <v>49128</v>
      </c>
      <c r="BU7" s="849">
        <v>46287</v>
      </c>
      <c r="BV7" s="848">
        <v>49124</v>
      </c>
      <c r="BW7" s="848"/>
      <c r="BX7" s="530">
        <v>5000000</v>
      </c>
      <c r="BY7" s="735">
        <f>_xlfn.XLOOKUP(Est_NIM[[#This Row],[DEAL_BUY_ID]],BS!AL:AL,BS!AU:AU,_xlfn.XLOOKUP(Est_NIM[[#This Row],[DEAL_BUY_ID]],BS!BA:BA,BS!BJ:BJ,,0),0)</f>
        <v>3.97</v>
      </c>
      <c r="BZ7" s="534">
        <f>Est_NIM[[#This Row],[QUANT]]*Est_NIM[[#This Row],[YIELD]]</f>
        <v>19850000</v>
      </c>
      <c r="CA7" s="128"/>
      <c r="CB7" s="128"/>
      <c r="CC7" t="s">
        <v>3701</v>
      </c>
      <c r="CE7" s="331"/>
      <c r="CF7" s="331"/>
      <c r="CG7" s="331">
        <v>-65.671221694725247</v>
      </c>
      <c r="CH7">
        <v>3730</v>
      </c>
      <c r="CI7">
        <v>14282</v>
      </c>
      <c r="CJ7" s="128"/>
      <c r="CK7" s="128"/>
      <c r="CL7" s="128"/>
      <c r="CM7" s="128"/>
      <c r="CN7" s="128"/>
      <c r="CO7" s="128"/>
      <c r="CP7" s="128"/>
      <c r="CQ7" s="128"/>
      <c r="CR7" s="128"/>
      <c r="CS7" s="128"/>
      <c r="CT7" s="128"/>
      <c r="CU7" s="128"/>
      <c r="CV7" s="128"/>
      <c r="CW7" s="128"/>
      <c r="CX7" s="128"/>
      <c r="CY7" s="128"/>
      <c r="CZ7" s="128"/>
      <c r="DA7" s="128"/>
      <c r="DB7" s="128"/>
      <c r="DC7" s="128"/>
      <c r="DD7" s="128"/>
      <c r="DE7" s="128"/>
      <c r="DF7" s="128"/>
      <c r="DG7" s="128"/>
      <c r="DH7" s="128"/>
      <c r="DI7" s="128"/>
      <c r="DJ7" s="128"/>
      <c r="DK7" s="128"/>
      <c r="DL7" s="128"/>
      <c r="DM7" s="128"/>
      <c r="DN7" s="128"/>
      <c r="DO7" s="128"/>
      <c r="DP7" s="128"/>
      <c r="DQ7" s="128"/>
      <c r="DR7" s="128"/>
      <c r="DS7" s="128"/>
      <c r="DT7" s="128"/>
      <c r="DU7" s="530"/>
      <c r="DV7" s="530"/>
      <c r="DW7" s="530"/>
      <c r="DX7" s="530"/>
      <c r="DY7" s="530"/>
      <c r="DZ7" s="530"/>
      <c r="EA7" s="530"/>
      <c r="EB7" s="530"/>
      <c r="EC7" s="530"/>
      <c r="ED7" s="530"/>
      <c r="EE7" s="530"/>
      <c r="EF7" s="530"/>
      <c r="EG7" s="530"/>
      <c r="EH7" s="530"/>
      <c r="EI7" s="530"/>
      <c r="EJ7" s="530"/>
      <c r="EK7" s="530"/>
      <c r="EL7" s="530"/>
      <c r="EM7" s="530"/>
      <c r="EN7" s="530"/>
      <c r="EO7" s="530"/>
      <c r="EP7" s="530"/>
      <c r="EQ7" s="530"/>
      <c r="ER7" s="530"/>
      <c r="ES7" s="530"/>
      <c r="ET7" s="530"/>
      <c r="EU7" s="530"/>
      <c r="EV7" s="530"/>
      <c r="EW7" s="530"/>
      <c r="EX7" s="530"/>
      <c r="EY7" s="530"/>
      <c r="EZ7" s="530"/>
      <c r="FA7" s="530"/>
      <c r="FB7" s="530"/>
      <c r="FC7" s="530"/>
      <c r="FD7" s="530"/>
      <c r="FE7" s="530"/>
      <c r="FF7" s="530"/>
      <c r="FG7" s="530"/>
      <c r="FH7" s="530"/>
      <c r="FI7" s="530"/>
      <c r="FJ7" s="530"/>
      <c r="FK7" s="530"/>
      <c r="FL7" s="530"/>
      <c r="FM7" s="530"/>
      <c r="FN7" s="530"/>
      <c r="FO7" s="530"/>
      <c r="FP7" s="530"/>
      <c r="FQ7" s="530"/>
      <c r="GF7" s="128"/>
      <c r="GG7" s="128"/>
      <c r="GH7" s="128"/>
      <c r="GI7" s="128"/>
      <c r="GJ7" s="128"/>
      <c r="GK7" s="128"/>
      <c r="GL7" s="128"/>
      <c r="GM7" s="128"/>
      <c r="GN7" s="128"/>
      <c r="GO7" s="128"/>
      <c r="GP7" s="128"/>
      <c r="GQ7" s="128"/>
      <c r="GR7" s="128"/>
      <c r="GS7" s="128"/>
      <c r="GT7" s="128"/>
      <c r="GU7" s="128"/>
      <c r="GV7" s="128"/>
      <c r="GW7" s="128"/>
      <c r="GX7" s="128"/>
      <c r="GY7" s="128"/>
      <c r="GZ7" s="128"/>
      <c r="HA7" s="128"/>
      <c r="HB7" s="128"/>
      <c r="HC7" s="128"/>
      <c r="HD7" s="128"/>
      <c r="HE7" s="128"/>
      <c r="HF7" s="128"/>
      <c r="HG7" s="128"/>
      <c r="HH7" s="128"/>
      <c r="HI7" s="128"/>
      <c r="HJ7" s="128"/>
      <c r="HK7" s="128"/>
      <c r="HL7" s="128"/>
      <c r="HM7" s="128"/>
      <c r="HN7" s="128"/>
      <c r="HO7" s="128"/>
      <c r="HP7" s="128"/>
      <c r="HQ7" s="128"/>
      <c r="HR7" s="128"/>
      <c r="HS7" s="128"/>
      <c r="HT7" s="128"/>
      <c r="HU7" s="128"/>
      <c r="HV7" s="128"/>
      <c r="HW7" s="128"/>
      <c r="HX7" s="128"/>
      <c r="HY7" s="128"/>
      <c r="HZ7" s="128"/>
      <c r="IA7" s="128"/>
      <c r="IB7" s="128"/>
      <c r="IC7" s="128"/>
    </row>
    <row r="8" spans="1:237" x14ac:dyDescent="0.3">
      <c r="AF8" s="557" t="s">
        <v>3701</v>
      </c>
      <c r="AG8" s="558"/>
      <c r="AH8" s="558"/>
      <c r="AI8" s="559"/>
      <c r="AJ8" s="572">
        <f>SUMIFS(BB:BB,AR:AR,"V",AT:AT,"&gt;"&amp;RPT)/10^9</f>
        <v>-46.913671166757275</v>
      </c>
      <c r="AN8" s="128"/>
      <c r="AO8" s="128">
        <v>48886</v>
      </c>
      <c r="AP8" s="128" t="s">
        <v>615</v>
      </c>
      <c r="AQ8" s="128" t="s">
        <v>824</v>
      </c>
      <c r="AR8" s="375" t="s">
        <v>3594</v>
      </c>
      <c r="AS8" s="375">
        <v>46059</v>
      </c>
      <c r="AT8" s="375">
        <v>46247</v>
      </c>
      <c r="AU8" s="530">
        <v>115841</v>
      </c>
      <c r="AV8" s="532">
        <v>50307</v>
      </c>
      <c r="AW8" s="530">
        <v>850000</v>
      </c>
      <c r="AX8" s="534">
        <f>_xlfn.XLOOKUP(Sell_unvalid[[#This Row],[DEAL_BUY_ID]],BS!BA:BA,BS!BE:BE,,0)</f>
        <v>115116</v>
      </c>
      <c r="AY8" s="534">
        <f>_xlfn.XLOOKUP(Sell_unvalid[[#This Row],[BOND_CODE]],FNRP!D:D,FNRP!I:I,_xlfn.XLOOKUP(Sell_unvalid[[#This Row],[BOND_CODE]],FNRP!AV:AV,FNRP!BA:BA,,0),0)</f>
        <v>113876</v>
      </c>
      <c r="AZ8" s="534">
        <f>_xlfn.XLOOKUP(Sell_unvalid[[#This Row],[DEAL_BUY_ID]],BS!BA:BA,BS!BQ:BQ,,0)*Sell_unvalid[[#This Row],[QUANTITY]]</f>
        <v>12785149948.098352</v>
      </c>
      <c r="BA8" s="534">
        <f>(Sell_unvalid[[#This Row],[Giá MtM]]-10^5)*Sell_unvalid[[#This Row],[QUANTITY]]-Sell_unvalid[[#This Row],[PTCK remain]]</f>
        <v>-990549948.09835243</v>
      </c>
      <c r="BB8" s="534">
        <f>(Sell_unvalid[[#This Row],[PRICE]]-10^5)*Sell_unvalid[[#This Row],[QUANTITY]]-Sell_unvalid[[#This Row],[PTCK remain]]</f>
        <v>679700051.90164757</v>
      </c>
      <c r="BC8" s="534" t="str">
        <f>IF(AND(Sell_unvalid[[#This Row],[VALUE_DATE]]&lt;=RPT,Sell_unvalid[[#This Row],[TRANSACTION_STATUS]]="N"),"Check","Ok")</f>
        <v>Ok</v>
      </c>
      <c r="BD8" s="534"/>
      <c r="BE8" s="615"/>
      <c r="BF8" s="128">
        <v>50438</v>
      </c>
      <c r="BG8" s="128" t="s">
        <v>3317</v>
      </c>
      <c r="BH8" s="128" t="s">
        <v>824</v>
      </c>
      <c r="BI8" s="531" t="s">
        <v>2234</v>
      </c>
      <c r="BJ8" s="375">
        <v>46251</v>
      </c>
      <c r="BK8" s="375">
        <v>46262</v>
      </c>
      <c r="BL8" s="530">
        <v>110000</v>
      </c>
      <c r="BM8" s="530">
        <v>98606</v>
      </c>
      <c r="BN8" s="534">
        <f>_xlfn.XLOOKUP(Buy_unvalid[[#This Row],[BOND_CODE]],FNRP!D:D,FNRP!I:I,,0)</f>
        <v>91987</v>
      </c>
      <c r="BO8" s="534">
        <f>_xlfn.XLOOKUP(Buy_unvalid[[#This Row],[DEAL_BUY_ID]],BS!BA:BA,BS!BQ:BQ,_xlfn.XLOOKUP(Buy_unvalid[[#This Row],[DEAL_BUY_ID]],BS!AL:AL,BS!AR:AR,,0),0)*Buy_unvalid[[#This Row],[QUANTITY]]</f>
        <v>-153747443.56550285</v>
      </c>
      <c r="BP8" s="534">
        <f>(Buy_unvalid[[#This Row],[Giá MtM]]-10^5)*Buy_unvalid[[#This Row],[QUANTITY]]-Buy_unvalid[[#This Row],[PTCK remain]]</f>
        <v>-727682556.43449712</v>
      </c>
      <c r="BQ8" s="534" t="str">
        <f>IF(AND(Buy_unvalid[[#This Row],[VALUE_DATE]]&lt;=RPT,Buy_unvalid[[#This Row],[TRANSACTION_STATUS]]="N"),"Check","Ok")</f>
        <v>Ok</v>
      </c>
      <c r="BS8" s="128"/>
      <c r="BT8" s="848">
        <v>49129</v>
      </c>
      <c r="BU8" s="849">
        <v>46287</v>
      </c>
      <c r="BV8" s="848">
        <v>49125</v>
      </c>
      <c r="BW8" s="848"/>
      <c r="BX8" s="530">
        <v>2000000</v>
      </c>
      <c r="BY8" s="735">
        <f>_xlfn.XLOOKUP(Est_NIM[[#This Row],[DEAL_BUY_ID]],BS!AL:AL,BS!AU:AU,_xlfn.XLOOKUP(Est_NIM[[#This Row],[DEAL_BUY_ID]],BS!BA:BA,BS!BJ:BJ,,0),0)</f>
        <v>3.97</v>
      </c>
      <c r="BZ8" s="534">
        <f>Est_NIM[[#This Row],[QUANT]]*Est_NIM[[#This Row],[YIELD]]</f>
        <v>7940000</v>
      </c>
      <c r="CA8" s="128"/>
      <c r="CB8" s="128"/>
      <c r="CE8" s="331"/>
      <c r="CF8" s="331"/>
      <c r="CG8" s="331"/>
      <c r="CH8">
        <v>3730</v>
      </c>
      <c r="CI8">
        <v>14282</v>
      </c>
      <c r="CL8" s="128"/>
      <c r="CM8" s="128"/>
      <c r="CN8" s="128"/>
      <c r="CO8" s="128"/>
      <c r="CP8" s="128"/>
      <c r="CQ8" s="128"/>
      <c r="CR8" s="128"/>
      <c r="CS8" s="128"/>
      <c r="CT8" s="128"/>
      <c r="CU8" s="128"/>
      <c r="CV8" s="128"/>
      <c r="CW8" s="128"/>
      <c r="CX8" s="128"/>
      <c r="CY8" s="128"/>
      <c r="CZ8" s="128"/>
      <c r="DA8" s="128"/>
      <c r="DB8" s="128"/>
      <c r="DC8" s="128"/>
      <c r="DD8" s="128"/>
      <c r="DE8" s="128"/>
      <c r="DF8" s="128"/>
      <c r="DG8" s="128"/>
      <c r="DH8" s="128"/>
      <c r="DI8" s="128"/>
      <c r="DJ8" s="128"/>
      <c r="DK8" s="128"/>
      <c r="DL8" s="128"/>
      <c r="DM8" s="128"/>
      <c r="DN8" s="128"/>
      <c r="DO8" s="128"/>
      <c r="DP8" s="128"/>
      <c r="DQ8" s="128"/>
      <c r="DR8" s="128"/>
      <c r="DS8" s="128"/>
      <c r="DT8" s="128"/>
      <c r="DU8" s="128"/>
      <c r="DV8" s="128"/>
      <c r="DW8" s="530"/>
      <c r="DX8" s="530"/>
      <c r="DY8" s="530"/>
      <c r="DZ8" s="530"/>
      <c r="EA8" s="530"/>
      <c r="EB8" s="530"/>
      <c r="EC8" s="530"/>
      <c r="ED8" s="530"/>
      <c r="EE8" s="530"/>
      <c r="EF8" s="530"/>
      <c r="EG8" s="530"/>
      <c r="EH8" s="530"/>
      <c r="EI8" s="530"/>
      <c r="EJ8" s="530"/>
      <c r="EK8" s="530"/>
      <c r="EL8" s="530"/>
      <c r="EM8" s="530"/>
      <c r="EN8" s="530"/>
      <c r="EO8" s="530"/>
      <c r="EP8" s="530"/>
      <c r="EQ8" s="530"/>
      <c r="ER8" s="530"/>
      <c r="ES8" s="530"/>
      <c r="ET8" s="530"/>
      <c r="EU8" s="530"/>
      <c r="EV8" s="530"/>
      <c r="EW8" s="530"/>
      <c r="EX8" s="530"/>
      <c r="EY8" s="530"/>
      <c r="EZ8" s="530"/>
      <c r="FA8" s="530"/>
      <c r="FB8" s="530"/>
      <c r="FC8" s="530"/>
      <c r="FD8" s="530"/>
      <c r="FE8" s="530"/>
      <c r="FF8" s="530"/>
      <c r="FG8" s="530"/>
      <c r="FH8" s="530"/>
      <c r="FI8" s="530"/>
      <c r="FJ8" s="530"/>
      <c r="FK8" s="530"/>
      <c r="FL8" s="530"/>
      <c r="FM8" s="530"/>
      <c r="FN8" s="530"/>
      <c r="FO8" s="530"/>
      <c r="FP8" s="530"/>
      <c r="FQ8" s="530"/>
      <c r="GH8" s="128"/>
      <c r="GI8" s="128"/>
      <c r="GJ8" s="128"/>
      <c r="GK8" s="128"/>
      <c r="GL8" s="128"/>
      <c r="GM8" s="128"/>
      <c r="GN8" s="128"/>
      <c r="GO8" s="128"/>
      <c r="GP8" s="128"/>
      <c r="GQ8" s="128"/>
      <c r="GR8" s="128"/>
      <c r="GS8" s="128"/>
      <c r="GT8" s="128"/>
      <c r="GU8" s="128"/>
      <c r="GV8" s="128"/>
      <c r="GW8" s="128"/>
      <c r="GX8" s="128"/>
      <c r="GY8" s="128"/>
      <c r="GZ8" s="128"/>
      <c r="HA8" s="128"/>
      <c r="HB8" s="128"/>
      <c r="HC8" s="128"/>
      <c r="HD8" s="128"/>
      <c r="HE8" s="128"/>
      <c r="HF8" s="128"/>
      <c r="HG8" s="128"/>
      <c r="HH8" s="128"/>
      <c r="HI8" s="128"/>
      <c r="HJ8" s="128"/>
      <c r="HK8" s="128"/>
      <c r="HL8" s="128"/>
      <c r="HM8" s="128"/>
      <c r="HN8" s="128"/>
      <c r="HO8" s="128"/>
      <c r="HP8" s="128"/>
      <c r="HQ8" s="128"/>
      <c r="HR8" s="128"/>
      <c r="HS8" s="128"/>
      <c r="HT8" s="128"/>
      <c r="HU8" s="128"/>
      <c r="HV8" s="128"/>
      <c r="HW8" s="128"/>
      <c r="HX8" s="128"/>
      <c r="HY8" s="128"/>
      <c r="HZ8" s="128"/>
      <c r="IA8" s="128"/>
      <c r="IB8" s="128"/>
      <c r="IC8" s="128"/>
    </row>
    <row r="9" spans="1:237" x14ac:dyDescent="0.3">
      <c r="AN9" s="128"/>
      <c r="AO9" s="128">
        <v>48886</v>
      </c>
      <c r="AP9" s="128" t="s">
        <v>615</v>
      </c>
      <c r="AQ9" s="128" t="s">
        <v>824</v>
      </c>
      <c r="AR9" s="375" t="s">
        <v>3594</v>
      </c>
      <c r="AS9" s="375">
        <v>46059</v>
      </c>
      <c r="AT9" s="375">
        <v>46247</v>
      </c>
      <c r="AU9" s="530">
        <v>115841</v>
      </c>
      <c r="AV9" s="532">
        <v>50321</v>
      </c>
      <c r="AW9" s="530">
        <v>450000</v>
      </c>
      <c r="AX9" s="534">
        <f>_xlfn.XLOOKUP(Sell_unvalid[[#This Row],[DEAL_BUY_ID]],BS!BA:BA,BS!BE:BE,,0)</f>
        <v>115116</v>
      </c>
      <c r="AY9" s="534">
        <f>_xlfn.XLOOKUP(Sell_unvalid[[#This Row],[BOND_CODE]],FNRP!D:D,FNRP!I:I,_xlfn.XLOOKUP(Sell_unvalid[[#This Row],[BOND_CODE]],FNRP!AV:AV,FNRP!BA:BA,,0),0)</f>
        <v>113876</v>
      </c>
      <c r="AZ9" s="534">
        <f>_xlfn.XLOOKUP(Sell_unvalid[[#This Row],[DEAL_BUY_ID]],BS!BA:BA,BS!BQ:BQ,,0)*Sell_unvalid[[#This Row],[QUANTITY]]</f>
        <v>6768608796.0520687</v>
      </c>
      <c r="BA9" s="534">
        <f>(Sell_unvalid[[#This Row],[Giá MtM]]-10^5)*Sell_unvalid[[#This Row],[QUANTITY]]-Sell_unvalid[[#This Row],[PTCK remain]]</f>
        <v>-524408796.05206871</v>
      </c>
      <c r="BB9" s="534">
        <f>(Sell_unvalid[[#This Row],[PRICE]]-10^5)*Sell_unvalid[[#This Row],[QUANTITY]]-Sell_unvalid[[#This Row],[PTCK remain]]</f>
        <v>359841203.94793129</v>
      </c>
      <c r="BC9" s="534" t="str">
        <f>IF(AND(Sell_unvalid[[#This Row],[VALUE_DATE]]&lt;=RPT,Sell_unvalid[[#This Row],[TRANSACTION_STATUS]]="N"),"Check","Ok")</f>
        <v>Ok</v>
      </c>
      <c r="BD9" s="534"/>
      <c r="BE9" s="615"/>
      <c r="BF9" s="128">
        <v>50432</v>
      </c>
      <c r="BG9" s="128" t="s">
        <v>667</v>
      </c>
      <c r="BH9" s="128" t="s">
        <v>824</v>
      </c>
      <c r="BI9" s="531" t="s">
        <v>2234</v>
      </c>
      <c r="BJ9" s="375">
        <v>46251</v>
      </c>
      <c r="BK9" s="375">
        <v>46259</v>
      </c>
      <c r="BL9" s="530">
        <v>500000</v>
      </c>
      <c r="BM9" s="530">
        <v>115688</v>
      </c>
      <c r="BN9" s="534">
        <f>_xlfn.XLOOKUP(Buy_unvalid[[#This Row],[BOND_CODE]],FNRP!D:D,FNRP!I:I,,0)</f>
        <v>104176</v>
      </c>
      <c r="BO9" s="534">
        <f>_xlfn.XLOOKUP(Buy_unvalid[[#This Row],[DEAL_BUY_ID]],BS!BA:BA,BS!BQ:BQ,_xlfn.XLOOKUP(Buy_unvalid[[#This Row],[DEAL_BUY_ID]],BS!AL:AL,BS!AR:AR,,0),0)*Buy_unvalid[[#This Row],[QUANTITY]]</f>
        <v>7861071911.5519962</v>
      </c>
      <c r="BP9" s="534">
        <f>(Buy_unvalid[[#This Row],[Giá MtM]]-10^5)*Buy_unvalid[[#This Row],[QUANTITY]]-Buy_unvalid[[#This Row],[PTCK remain]]</f>
        <v>-5773071911.5519962</v>
      </c>
      <c r="BQ9" s="534" t="str">
        <f>IF(AND(Buy_unvalid[[#This Row],[VALUE_DATE]]&lt;=RPT,Buy_unvalid[[#This Row],[TRANSACTION_STATUS]]="N"),"Check","Ok")</f>
        <v>Ok</v>
      </c>
      <c r="BS9" s="128"/>
      <c r="BT9" s="848">
        <v>49129</v>
      </c>
      <c r="BU9" s="849">
        <v>46287</v>
      </c>
      <c r="BV9" s="848">
        <v>49473</v>
      </c>
      <c r="BW9" s="848"/>
      <c r="BX9" s="530">
        <v>2400000</v>
      </c>
      <c r="BY9" s="735">
        <f>_xlfn.XLOOKUP(Est_NIM[[#This Row],[DEAL_BUY_ID]],BS!AL:AL,BS!AU:AU,_xlfn.XLOOKUP(Est_NIM[[#This Row],[DEAL_BUY_ID]],BS!BA:BA,BS!BJ:BJ,,0),0)</f>
        <v>3.9790999999999999</v>
      </c>
      <c r="BZ9" s="534">
        <f>Est_NIM[[#This Row],[QUANT]]*Est_NIM[[#This Row],[YIELD]]</f>
        <v>9549840</v>
      </c>
      <c r="CA9" s="128"/>
      <c r="CB9" s="128"/>
      <c r="CE9" s="331"/>
      <c r="CF9" s="331"/>
      <c r="CG9" s="331"/>
      <c r="CH9">
        <v>3730</v>
      </c>
      <c r="CI9">
        <v>14282</v>
      </c>
      <c r="CL9" s="128"/>
      <c r="CM9" s="128"/>
      <c r="CN9" s="128"/>
      <c r="CO9" s="128"/>
      <c r="CP9" s="128"/>
      <c r="CQ9" s="128"/>
      <c r="CR9" s="128"/>
      <c r="CS9" s="128"/>
      <c r="CT9" s="128"/>
      <c r="CU9" s="128"/>
      <c r="CV9" s="128"/>
      <c r="CW9" s="128"/>
      <c r="CX9" s="128"/>
      <c r="CY9" s="128"/>
      <c r="CZ9" s="128"/>
      <c r="DA9" s="128"/>
      <c r="DB9" s="128"/>
      <c r="DC9" s="128"/>
      <c r="DD9" s="128"/>
      <c r="DE9" s="128"/>
      <c r="DF9" s="128"/>
      <c r="DG9" s="128"/>
      <c r="DH9" s="128"/>
      <c r="DI9" s="128"/>
      <c r="DJ9" s="128"/>
      <c r="DK9" s="128"/>
      <c r="DL9" s="128"/>
      <c r="DM9" s="128"/>
      <c r="DN9" s="128"/>
      <c r="DO9" s="128"/>
      <c r="DP9" s="128"/>
      <c r="DQ9" s="128"/>
      <c r="DR9" s="128"/>
      <c r="DS9" s="128"/>
      <c r="DT9" s="128"/>
      <c r="DU9" s="128"/>
      <c r="DV9" s="128"/>
      <c r="DW9" s="530"/>
      <c r="DX9" s="530"/>
      <c r="DY9" s="530"/>
      <c r="DZ9" s="530"/>
      <c r="EA9" s="530"/>
      <c r="EB9" s="530"/>
      <c r="EC9" s="530"/>
      <c r="ED9" s="530"/>
      <c r="EE9" s="530"/>
      <c r="EF9" s="530"/>
      <c r="EG9" s="530"/>
      <c r="EH9" s="530"/>
      <c r="EI9" s="530"/>
      <c r="EJ9" s="530"/>
      <c r="EK9" s="530"/>
      <c r="EL9" s="530"/>
      <c r="EM9" s="530"/>
      <c r="EN9" s="530"/>
      <c r="EO9" s="530"/>
      <c r="EP9" s="530"/>
      <c r="EQ9" s="530"/>
      <c r="ER9" s="530"/>
      <c r="ES9" s="530"/>
      <c r="ET9" s="530"/>
      <c r="EU9" s="530"/>
      <c r="EV9" s="530"/>
      <c r="EW9" s="530"/>
      <c r="EX9" s="530"/>
      <c r="EY9" s="530"/>
      <c r="EZ9" s="530"/>
      <c r="FA9" s="530"/>
      <c r="FB9" s="530"/>
      <c r="FC9" s="530"/>
      <c r="FD9" s="530"/>
      <c r="FE9" s="530"/>
      <c r="FF9" s="530"/>
      <c r="FG9" s="530"/>
      <c r="FH9" s="530"/>
      <c r="FI9" s="530"/>
      <c r="FJ9" s="530"/>
      <c r="FK9" s="530"/>
      <c r="FL9" s="530"/>
      <c r="FM9" s="530"/>
      <c r="FN9" s="530"/>
      <c r="FO9" s="530"/>
      <c r="FP9" s="530"/>
      <c r="FQ9" s="530"/>
      <c r="GH9" s="128"/>
      <c r="GI9" s="128"/>
      <c r="GJ9" s="128"/>
      <c r="GK9" s="128"/>
      <c r="GL9" s="128"/>
      <c r="GM9" s="128"/>
      <c r="GN9" s="128"/>
      <c r="GO9" s="128"/>
      <c r="GP9" s="128"/>
      <c r="GQ9" s="128"/>
      <c r="GR9" s="128"/>
      <c r="GS9" s="128"/>
      <c r="GT9" s="128"/>
      <c r="GU9" s="128"/>
      <c r="GV9" s="128"/>
      <c r="GW9" s="128"/>
      <c r="GX9" s="128"/>
      <c r="GY9" s="128"/>
      <c r="GZ9" s="128"/>
      <c r="HA9" s="128"/>
      <c r="HB9" s="128"/>
      <c r="HC9" s="128"/>
      <c r="HD9" s="128"/>
      <c r="HE9" s="128"/>
      <c r="HF9" s="128"/>
      <c r="HG9" s="128"/>
      <c r="HH9" s="128"/>
      <c r="HI9" s="128"/>
      <c r="HJ9" s="128"/>
      <c r="HK9" s="128"/>
      <c r="HL9" s="128"/>
      <c r="HM9" s="128"/>
      <c r="HN9" s="128"/>
      <c r="HO9" s="128"/>
      <c r="HP9" s="128"/>
      <c r="HQ9" s="128"/>
      <c r="HR9" s="128"/>
      <c r="HS9" s="128"/>
      <c r="HT9" s="128"/>
      <c r="HU9" s="128"/>
      <c r="HV9" s="128"/>
      <c r="HW9" s="128"/>
      <c r="HX9" s="128"/>
      <c r="HY9" s="128"/>
      <c r="HZ9" s="128"/>
      <c r="IA9" s="128"/>
      <c r="IB9" s="128"/>
      <c r="IC9" s="128"/>
    </row>
    <row r="10" spans="1:237" x14ac:dyDescent="0.3">
      <c r="AK10" s="555"/>
      <c r="AN10" s="128"/>
      <c r="AO10" s="128">
        <v>48889</v>
      </c>
      <c r="AP10" s="128" t="s">
        <v>718</v>
      </c>
      <c r="AQ10" s="128" t="s">
        <v>824</v>
      </c>
      <c r="AR10" s="375" t="s">
        <v>3594</v>
      </c>
      <c r="AS10" s="375">
        <v>46059</v>
      </c>
      <c r="AT10" s="375">
        <v>46247</v>
      </c>
      <c r="AU10" s="530">
        <v>146334</v>
      </c>
      <c r="AV10" s="532">
        <v>48883</v>
      </c>
      <c r="AW10" s="530">
        <v>190000</v>
      </c>
      <c r="AX10" s="534">
        <f>_xlfn.XLOOKUP(Sell_unvalid[[#This Row],[DEAL_BUY_ID]],BS!BA:BA,BS!BE:BE,,0)</f>
        <v>146663</v>
      </c>
      <c r="AY10" s="534">
        <f>_xlfn.XLOOKUP(Sell_unvalid[[#This Row],[BOND_CODE]],FNRP!D:D,FNRP!I:I,_xlfn.XLOOKUP(Sell_unvalid[[#This Row],[BOND_CODE]],FNRP!AV:AV,FNRP!BA:BA,,0),0)</f>
        <v>142132</v>
      </c>
      <c r="AZ10" s="534">
        <f>_xlfn.XLOOKUP(Sell_unvalid[[#This Row],[DEAL_BUY_ID]],BS!BA:BA,BS!BQ:BQ,,0)*Sell_unvalid[[#This Row],[QUANTITY]]</f>
        <v>8634971388.2731342</v>
      </c>
      <c r="BA10" s="534">
        <f>(Sell_unvalid[[#This Row],[Giá MtM]]-10^5)*Sell_unvalid[[#This Row],[QUANTITY]]-Sell_unvalid[[#This Row],[PTCK remain]]</f>
        <v>-629891388.27313423</v>
      </c>
      <c r="BB10" s="534">
        <f>(Sell_unvalid[[#This Row],[PRICE]]-10^5)*Sell_unvalid[[#This Row],[QUANTITY]]-Sell_unvalid[[#This Row],[PTCK remain]]</f>
        <v>168488611.72686577</v>
      </c>
      <c r="BC10" s="534" t="str">
        <f>IF(AND(Sell_unvalid[[#This Row],[VALUE_DATE]]&lt;=RPT,Sell_unvalid[[#This Row],[TRANSACTION_STATUS]]="N"),"Check","Ok")</f>
        <v>Ok</v>
      </c>
      <c r="BD10" s="534"/>
      <c r="BE10" s="615"/>
      <c r="BF10" s="128">
        <v>50436</v>
      </c>
      <c r="BG10" s="128" t="s">
        <v>2836</v>
      </c>
      <c r="BH10" s="128" t="s">
        <v>824</v>
      </c>
      <c r="BI10" s="531" t="s">
        <v>2234</v>
      </c>
      <c r="BJ10" s="375">
        <v>46251</v>
      </c>
      <c r="BK10" s="375">
        <v>46262</v>
      </c>
      <c r="BL10" s="530">
        <v>2000000</v>
      </c>
      <c r="BM10" s="530">
        <v>97620</v>
      </c>
      <c r="BN10" s="534">
        <f>_xlfn.XLOOKUP(Buy_unvalid[[#This Row],[BOND_CODE]],FNRP!D:D,FNRP!I:I,,0)</f>
        <v>89135</v>
      </c>
      <c r="BO10" s="534">
        <f>_xlfn.XLOOKUP(Buy_unvalid[[#This Row],[DEAL_BUY_ID]],BS!BA:BA,BS!BQ:BQ,_xlfn.XLOOKUP(Buy_unvalid[[#This Row],[DEAL_BUY_ID]],BS!AL:AL,BS!AR:AR,,0),0)*Buy_unvalid[[#This Row],[QUANTITY]]</f>
        <v>-4775446976.6490812</v>
      </c>
      <c r="BP10" s="534">
        <f>(Buy_unvalid[[#This Row],[Giá MtM]]-10^5)*Buy_unvalid[[#This Row],[QUANTITY]]-Buy_unvalid[[#This Row],[PTCK remain]]</f>
        <v>-16954553023.350918</v>
      </c>
      <c r="BQ10" s="534" t="str">
        <f>IF(AND(Buy_unvalid[[#This Row],[VALUE_DATE]]&lt;=RPT,Buy_unvalid[[#This Row],[TRANSACTION_STATUS]]="N"),"Check","Ok")</f>
        <v>Ok</v>
      </c>
      <c r="BS10" s="128"/>
      <c r="BT10" s="848">
        <v>49586</v>
      </c>
      <c r="BU10" s="849">
        <v>46451</v>
      </c>
      <c r="BV10" s="848">
        <v>49582</v>
      </c>
      <c r="BW10" s="848"/>
      <c r="BX10" s="530">
        <v>3000000</v>
      </c>
      <c r="BY10" s="735">
        <f>_xlfn.XLOOKUP(Est_NIM[[#This Row],[DEAL_BUY_ID]],BS!AL:AL,BS!AU:AU,_xlfn.XLOOKUP(Est_NIM[[#This Row],[DEAL_BUY_ID]],BS!BA:BA,BS!BJ:BJ,,0),0)</f>
        <v>4.4000000000000004</v>
      </c>
      <c r="BZ10" s="534">
        <f>Est_NIM[[#This Row],[QUANT]]*Est_NIM[[#This Row],[YIELD]]</f>
        <v>13200000.000000002</v>
      </c>
      <c r="CA10" s="128"/>
      <c r="CB10" s="128"/>
      <c r="CE10" s="331"/>
      <c r="CF10" s="331"/>
      <c r="CG10" s="331"/>
      <c r="CH10">
        <v>3730</v>
      </c>
      <c r="CI10">
        <v>14282</v>
      </c>
      <c r="CL10" s="128"/>
      <c r="CM10" s="128"/>
      <c r="CN10" s="128"/>
      <c r="CO10" s="128"/>
      <c r="CP10" s="128"/>
      <c r="CQ10" s="128"/>
      <c r="CR10" s="128"/>
      <c r="CS10" s="128"/>
      <c r="CT10" s="128"/>
      <c r="CU10" s="128"/>
      <c r="CV10" s="128"/>
      <c r="CW10" s="128"/>
      <c r="CX10" s="128"/>
      <c r="CY10" s="128"/>
      <c r="CZ10" s="128"/>
      <c r="DA10" s="128"/>
      <c r="DB10" s="128"/>
      <c r="DC10" s="128"/>
      <c r="DD10" s="128"/>
      <c r="DE10" s="128"/>
      <c r="DF10" s="128"/>
      <c r="DG10" s="128"/>
      <c r="DH10" s="128"/>
      <c r="DI10" s="128"/>
      <c r="DJ10" s="128"/>
      <c r="DK10" s="128"/>
      <c r="DL10" s="128"/>
      <c r="DM10" s="128"/>
      <c r="DN10" s="128"/>
      <c r="DO10" s="128"/>
      <c r="DP10" s="128"/>
      <c r="DQ10" s="128"/>
      <c r="DR10" s="128"/>
      <c r="DS10" s="128"/>
      <c r="DT10" s="128"/>
      <c r="DU10" s="128"/>
      <c r="DV10" s="128"/>
      <c r="DW10" s="530"/>
      <c r="DX10" s="530"/>
      <c r="DY10" s="530"/>
      <c r="DZ10" s="530"/>
      <c r="EA10" s="530"/>
      <c r="EB10" s="530"/>
      <c r="EC10" s="530"/>
      <c r="ED10" s="530"/>
      <c r="EE10" s="530"/>
      <c r="EF10" s="530"/>
      <c r="EG10" s="530"/>
      <c r="EH10" s="530"/>
      <c r="EI10" s="530"/>
      <c r="EJ10" s="530"/>
      <c r="EK10" s="530"/>
      <c r="EL10" s="530"/>
      <c r="EM10" s="530"/>
      <c r="EN10" s="530"/>
      <c r="EO10" s="530"/>
      <c r="EP10" s="530"/>
      <c r="EQ10" s="530"/>
      <c r="ER10" s="530"/>
      <c r="ES10" s="530"/>
      <c r="ET10" s="530"/>
      <c r="EU10" s="530"/>
      <c r="EV10" s="530"/>
      <c r="EW10" s="530"/>
      <c r="EX10" s="530"/>
      <c r="EY10" s="530"/>
      <c r="EZ10" s="530"/>
      <c r="FA10" s="530"/>
      <c r="FB10" s="530"/>
      <c r="FC10" s="530"/>
      <c r="FD10" s="530"/>
      <c r="FE10" s="530"/>
      <c r="FF10" s="530"/>
      <c r="FG10" s="530"/>
      <c r="FH10" s="530"/>
      <c r="FI10" s="530"/>
      <c r="FJ10" s="530"/>
      <c r="FK10" s="530"/>
      <c r="FL10" s="530"/>
      <c r="FM10" s="530"/>
      <c r="FN10" s="530"/>
      <c r="FO10" s="530"/>
      <c r="FP10" s="530"/>
      <c r="FQ10" s="530"/>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8"/>
      <c r="HQ10" s="128"/>
      <c r="HR10" s="128"/>
      <c r="HS10" s="128"/>
      <c r="HT10" s="128"/>
      <c r="HU10" s="128"/>
      <c r="HV10" s="128"/>
      <c r="HW10" s="128"/>
      <c r="HX10" s="128"/>
      <c r="HY10" s="128"/>
      <c r="HZ10" s="128"/>
      <c r="IA10" s="128"/>
      <c r="IB10" s="128"/>
      <c r="IC10" s="128"/>
    </row>
    <row r="11" spans="1:237" x14ac:dyDescent="0.3">
      <c r="AF11" s="795" t="s">
        <v>3907</v>
      </c>
      <c r="AG11" s="796" t="s">
        <v>3903</v>
      </c>
      <c r="AH11" s="797" t="s">
        <v>3904</v>
      </c>
      <c r="AI11" s="797" t="s">
        <v>3905</v>
      </c>
      <c r="AJ11" s="798" t="s">
        <v>3906</v>
      </c>
      <c r="AK11" s="799" t="s">
        <v>3925</v>
      </c>
      <c r="AL11" s="800" t="s">
        <v>3926</v>
      </c>
      <c r="AN11" s="128"/>
      <c r="AO11" s="128">
        <v>48889</v>
      </c>
      <c r="AP11" s="128" t="s">
        <v>718</v>
      </c>
      <c r="AQ11" s="128" t="s">
        <v>824</v>
      </c>
      <c r="AR11" s="375" t="s">
        <v>3594</v>
      </c>
      <c r="AS11" s="375">
        <v>46059</v>
      </c>
      <c r="AT11" s="375">
        <v>46247</v>
      </c>
      <c r="AU11" s="530">
        <v>146334</v>
      </c>
      <c r="AV11" s="128">
        <v>49187</v>
      </c>
      <c r="AW11" s="530">
        <v>700000</v>
      </c>
      <c r="AX11" s="534">
        <f>_xlfn.XLOOKUP(Sell_unvalid[[#This Row],[DEAL_BUY_ID]],BS!BA:BA,BS!BE:BE,,0)</f>
        <v>155894</v>
      </c>
      <c r="AY11" s="534">
        <f>_xlfn.XLOOKUP(Sell_unvalid[[#This Row],[BOND_CODE]],FNRP!D:D,FNRP!I:I,_xlfn.XLOOKUP(Sell_unvalid[[#This Row],[BOND_CODE]],FNRP!AV:AV,FNRP!BA:BA,,0),0)</f>
        <v>142132</v>
      </c>
      <c r="AZ11" s="534">
        <f>_xlfn.XLOOKUP(Sell_unvalid[[#This Row],[DEAL_BUY_ID]],BS!BA:BA,BS!BQ:BQ,,0)*Sell_unvalid[[#This Row],[QUANTITY]]</f>
        <v>38300754846.445061</v>
      </c>
      <c r="BA11" s="534">
        <f>(Sell_unvalid[[#This Row],[Giá MtM]]-10^5)*Sell_unvalid[[#This Row],[QUANTITY]]-Sell_unvalid[[#This Row],[PTCK remain]]</f>
        <v>-8808354846.4450607</v>
      </c>
      <c r="BB11" s="534">
        <f>(Sell_unvalid[[#This Row],[PRICE]]-10^5)*Sell_unvalid[[#This Row],[QUANTITY]]-Sell_unvalid[[#This Row],[PTCK remain]]</f>
        <v>-5866954846.4450607</v>
      </c>
      <c r="BC11" s="534" t="str">
        <f>IF(AND(Sell_unvalid[[#This Row],[VALUE_DATE]]&lt;=RPT,Sell_unvalid[[#This Row],[TRANSACTION_STATUS]]="N"),"Check","Ok")</f>
        <v>Ok</v>
      </c>
      <c r="BD11" s="534"/>
      <c r="BE11" s="615"/>
      <c r="BF11" s="128">
        <v>49823</v>
      </c>
      <c r="BG11" s="128" t="s">
        <v>3026</v>
      </c>
      <c r="BH11" s="128" t="s">
        <v>824</v>
      </c>
      <c r="BI11" s="531" t="s">
        <v>3594</v>
      </c>
      <c r="BJ11" s="375">
        <v>46160</v>
      </c>
      <c r="BK11" s="375">
        <v>46212</v>
      </c>
      <c r="BL11" s="530">
        <v>1650000</v>
      </c>
      <c r="BM11" s="530">
        <v>75415</v>
      </c>
      <c r="BN11" s="534">
        <f>_xlfn.XLOOKUP(Buy_unvalid[[#This Row],[BOND_CODE]],FNRP!D:D,FNRP!I:I,,0)</f>
        <v>70844</v>
      </c>
      <c r="BO11" s="534">
        <f>_xlfn.XLOOKUP(Buy_unvalid[[#This Row],[DEAL_BUY_ID]],BS!BA:BA,BS!BQ:BQ,_xlfn.XLOOKUP(Buy_unvalid[[#This Row],[DEAL_BUY_ID]],BS!AL:AL,BS!AR:AR,,0),0)*Buy_unvalid[[#This Row],[QUANTITY]]</f>
        <v>-40400585066.790176</v>
      </c>
      <c r="BP11" s="534">
        <f>(Buy_unvalid[[#This Row],[Giá MtM]]-10^5)*Buy_unvalid[[#This Row],[QUANTITY]]-Buy_unvalid[[#This Row],[PTCK remain]]</f>
        <v>-7706814933.2098236</v>
      </c>
      <c r="BQ11" s="534" t="str">
        <f>IF(AND(Buy_unvalid[[#This Row],[VALUE_DATE]]&lt;=RPT,Buy_unvalid[[#This Row],[TRANSACTION_STATUS]]="N"),"Check","Ok")</f>
        <v>Ok</v>
      </c>
      <c r="BS11" s="128"/>
      <c r="BT11" s="848">
        <v>49585</v>
      </c>
      <c r="BU11" s="849">
        <v>46451</v>
      </c>
      <c r="BV11" s="848">
        <v>49581</v>
      </c>
      <c r="BW11" s="848"/>
      <c r="BX11" s="530">
        <v>6550000</v>
      </c>
      <c r="BY11" s="735">
        <f>_xlfn.XLOOKUP(Est_NIM[[#This Row],[DEAL_BUY_ID]],BS!AL:AL,BS!AU:AU,_xlfn.XLOOKUP(Est_NIM[[#This Row],[DEAL_BUY_ID]],BS!BA:BA,BS!BJ:BJ,,0),0)</f>
        <v>4.1500000000000004</v>
      </c>
      <c r="BZ11" s="534">
        <f>Est_NIM[[#This Row],[QUANT]]*Est_NIM[[#This Row],[YIELD]]</f>
        <v>27182500.000000004</v>
      </c>
      <c r="CA11" s="128"/>
      <c r="CB11" s="128"/>
      <c r="CE11" s="331"/>
      <c r="CF11" s="331"/>
      <c r="CG11" s="331"/>
      <c r="CH11">
        <v>3730</v>
      </c>
      <c r="CI11">
        <v>14282</v>
      </c>
      <c r="CL11" s="128"/>
      <c r="CM11" s="128"/>
      <c r="CN11" s="128"/>
      <c r="CO11" s="128"/>
      <c r="CP11" s="128"/>
      <c r="CQ11" s="128"/>
      <c r="CR11" s="128"/>
      <c r="CS11" s="128"/>
      <c r="CT11" s="128"/>
      <c r="CU11" s="128"/>
      <c r="CV11" s="128"/>
      <c r="CW11" s="128"/>
      <c r="CX11" s="128"/>
      <c r="CY11" s="128"/>
      <c r="CZ11" s="128"/>
      <c r="DA11" s="128"/>
      <c r="DB11" s="128"/>
      <c r="DC11" s="128"/>
      <c r="DD11" s="128"/>
      <c r="DE11" s="128"/>
      <c r="DF11" s="128"/>
      <c r="DG11" s="128"/>
      <c r="DH11" s="128"/>
      <c r="DI11" s="128"/>
      <c r="DJ11" s="128"/>
      <c r="DK11" s="128"/>
      <c r="DL11" s="128"/>
      <c r="DM11" s="128"/>
      <c r="DN11" s="128"/>
      <c r="DO11" s="128"/>
      <c r="DP11" s="128"/>
      <c r="DQ11" s="128"/>
      <c r="DR11" s="128"/>
      <c r="DS11" s="128"/>
      <c r="DT11" s="128"/>
      <c r="DU11" s="128"/>
      <c r="DV11" s="128"/>
      <c r="DW11" s="530"/>
      <c r="DX11" s="530"/>
      <c r="DY11" s="530"/>
      <c r="DZ11" s="530"/>
      <c r="EA11" s="530"/>
      <c r="EB11" s="530"/>
      <c r="EC11" s="530"/>
      <c r="ED11" s="530"/>
      <c r="EE11" s="530"/>
      <c r="EF11" s="530"/>
      <c r="EG11" s="530"/>
      <c r="EH11" s="530"/>
      <c r="EI11" s="530"/>
      <c r="EJ11" s="530"/>
      <c r="EK11" s="530"/>
      <c r="EL11" s="530"/>
      <c r="EM11" s="530"/>
      <c r="EN11" s="530"/>
      <c r="EO11" s="530"/>
      <c r="EP11" s="530"/>
      <c r="EQ11" s="530"/>
      <c r="ER11" s="530"/>
      <c r="ES11" s="530"/>
      <c r="ET11" s="530"/>
      <c r="EU11" s="530"/>
      <c r="EV11" s="530"/>
      <c r="EW11" s="530"/>
      <c r="EX11" s="530"/>
      <c r="EY11" s="530"/>
      <c r="EZ11" s="530"/>
      <c r="FA11" s="530"/>
      <c r="FB11" s="530"/>
      <c r="FC11" s="530"/>
      <c r="FD11" s="530"/>
      <c r="FE11" s="530"/>
      <c r="FF11" s="530"/>
      <c r="FG11" s="530"/>
      <c r="FH11" s="530"/>
      <c r="FI11" s="530"/>
      <c r="FJ11" s="530"/>
      <c r="FK11" s="530"/>
      <c r="FL11" s="530"/>
      <c r="FM11" s="530"/>
      <c r="FN11" s="530"/>
      <c r="FO11" s="530"/>
      <c r="FP11" s="530"/>
      <c r="FQ11" s="530"/>
      <c r="GH11" s="128"/>
      <c r="GI11" s="128"/>
      <c r="GJ11" s="128"/>
      <c r="GK11" s="128"/>
      <c r="GL11" s="128"/>
      <c r="GM11" s="128"/>
      <c r="GN11" s="128"/>
      <c r="GO11" s="128"/>
      <c r="GP11" s="128"/>
      <c r="GQ11" s="128"/>
      <c r="GR11" s="128"/>
      <c r="GS11" s="128"/>
      <c r="GT11" s="128"/>
      <c r="GU11" s="128"/>
      <c r="GV11" s="128"/>
      <c r="GW11" s="128"/>
      <c r="GX11" s="128"/>
      <c r="GY11" s="128"/>
      <c r="GZ11" s="128"/>
      <c r="HA11" s="128"/>
      <c r="HB11" s="128"/>
      <c r="HC11" s="128"/>
      <c r="HD11" s="128"/>
      <c r="HE11" s="128"/>
      <c r="HF11" s="128"/>
      <c r="HG11" s="128"/>
      <c r="HH11" s="128"/>
      <c r="HI11" s="128"/>
      <c r="HJ11" s="128"/>
      <c r="HK11" s="128"/>
      <c r="HL11" s="128"/>
      <c r="HM11" s="128"/>
      <c r="HN11" s="128"/>
      <c r="HO11" s="128"/>
      <c r="HP11" s="128"/>
      <c r="HQ11" s="128"/>
      <c r="HR11" s="128"/>
      <c r="HS11" s="128"/>
      <c r="HT11" s="128"/>
      <c r="HU11" s="128"/>
      <c r="HV11" s="128"/>
      <c r="HW11" s="128"/>
      <c r="HX11" s="128"/>
      <c r="HY11" s="128"/>
      <c r="HZ11" s="128"/>
      <c r="IA11" s="128"/>
      <c r="IB11" s="128"/>
      <c r="IC11" s="128"/>
    </row>
    <row r="12" spans="1:237" x14ac:dyDescent="0.3">
      <c r="AF12" s="380">
        <v>0</v>
      </c>
      <c r="AG12" s="770">
        <f t="shared" ref="AG12:AG24" si="11">EOMONTH(RPT,AF12)</f>
        <v>46265</v>
      </c>
      <c r="AH12" s="572">
        <f>-SUMIFS(BX:BX,BU:BU,"&lt;="&amp;AG12,BU:BU,"&gt;"&amp;RPT,BW:BW,"&lt;&gt;rp_sec")/10^4</f>
        <v>794</v>
      </c>
      <c r="AI12" s="572">
        <f>BS!C4+AH12</f>
        <v>39207.699999999997</v>
      </c>
      <c r="AJ12" s="771">
        <f>(SUMIFS(BZ:BZ,BU:BU,"&gt;"&amp;AG12)+SUMIFS(BZ:BZ,BW:BW,"rp_sec"))/10^4/AI12</f>
        <v>3.9104489691607514</v>
      </c>
      <c r="AK12" s="771" t="str">
        <f t="shared" ref="AK12:AK24" si="12">IF(YEAR(AG12)=YEAR(RPT),"Est YTM T"&amp;MONTH(AG12),"")</f>
        <v>Est YTM T8</v>
      </c>
      <c r="AL12" s="794" t="str">
        <f t="shared" ref="AL12:AL24" si="13">IF(YEAR(AG12)=YEAR(RPT),"Est Posi OnBS T"&amp;MONTH(AG12),"")</f>
        <v>Est Posi OnBS T8</v>
      </c>
      <c r="AN12" s="128"/>
      <c r="AO12" s="128">
        <v>48889</v>
      </c>
      <c r="AP12" s="128" t="s">
        <v>718</v>
      </c>
      <c r="AQ12" s="128" t="s">
        <v>824</v>
      </c>
      <c r="AR12" s="375" t="s">
        <v>3594</v>
      </c>
      <c r="AS12" s="375">
        <v>46059</v>
      </c>
      <c r="AT12" s="375">
        <v>46247</v>
      </c>
      <c r="AU12" s="530">
        <v>146334</v>
      </c>
      <c r="AV12" s="128">
        <v>50270</v>
      </c>
      <c r="AW12" s="530">
        <v>700000</v>
      </c>
      <c r="AX12" s="534">
        <f>_xlfn.XLOOKUP(Sell_unvalid[[#This Row],[DEAL_BUY_ID]],BS!BA:BA,BS!BE:BE,,0)</f>
        <v>145744</v>
      </c>
      <c r="AY12" s="534">
        <f>_xlfn.XLOOKUP(Sell_unvalid[[#This Row],[BOND_CODE]],FNRP!D:D,FNRP!I:I,_xlfn.XLOOKUP(Sell_unvalid[[#This Row],[BOND_CODE]],FNRP!AV:AV,FNRP!BA:BA,,0),0)</f>
        <v>142132</v>
      </c>
      <c r="AZ12" s="534">
        <f>_xlfn.XLOOKUP(Sell_unvalid[[#This Row],[DEAL_BUY_ID]],BS!BA:BA,BS!BQ:BQ,,0)*Sell_unvalid[[#This Row],[QUANTITY]]</f>
        <v>31984790126.967613</v>
      </c>
      <c r="BA12" s="534">
        <f>(Sell_unvalid[[#This Row],[Giá MtM]]-10^5)*Sell_unvalid[[#This Row],[QUANTITY]]-Sell_unvalid[[#This Row],[PTCK remain]]</f>
        <v>-2492390126.9676132</v>
      </c>
      <c r="BB12" s="534">
        <f>(Sell_unvalid[[#This Row],[PRICE]]-10^5)*Sell_unvalid[[#This Row],[QUANTITY]]-Sell_unvalid[[#This Row],[PTCK remain]]</f>
        <v>449009873.03238678</v>
      </c>
      <c r="BC12" s="534" t="str">
        <f>IF(AND(Sell_unvalid[[#This Row],[VALUE_DATE]]&lt;=RPT,Sell_unvalid[[#This Row],[TRANSACTION_STATUS]]="N"),"Check","Ok")</f>
        <v>Ok</v>
      </c>
      <c r="BD12" s="534"/>
      <c r="BE12" s="615"/>
      <c r="BF12" s="128">
        <v>49825</v>
      </c>
      <c r="BG12" s="128" t="s">
        <v>3026</v>
      </c>
      <c r="BH12" s="128" t="s">
        <v>824</v>
      </c>
      <c r="BI12" s="531" t="s">
        <v>3594</v>
      </c>
      <c r="BJ12" s="375">
        <v>46160</v>
      </c>
      <c r="BK12" s="375">
        <v>46213</v>
      </c>
      <c r="BL12" s="530">
        <v>2700000</v>
      </c>
      <c r="BM12" s="530">
        <v>75448</v>
      </c>
      <c r="BN12" s="534">
        <f>_xlfn.XLOOKUP(Buy_unvalid[[#This Row],[BOND_CODE]],FNRP!D:D,FNRP!I:I,,0)</f>
        <v>70844</v>
      </c>
      <c r="BO12" s="534">
        <f>_xlfn.XLOOKUP(Buy_unvalid[[#This Row],[DEAL_BUY_ID]],BS!BA:BA,BS!BQ:BQ,_xlfn.XLOOKUP(Buy_unvalid[[#This Row],[DEAL_BUY_ID]],BS!AL:AL,BS!AR:AR,,0),0)*Buy_unvalid[[#This Row],[QUANTITY]]</f>
        <v>-66026994134.413887</v>
      </c>
      <c r="BP12" s="534">
        <f>(Buy_unvalid[[#This Row],[Giá MtM]]-10^5)*Buy_unvalid[[#This Row],[QUANTITY]]-Buy_unvalid[[#This Row],[PTCK remain]]</f>
        <v>-12694205865.586113</v>
      </c>
      <c r="BQ12" s="534" t="str">
        <f>IF(AND(Buy_unvalid[[#This Row],[VALUE_DATE]]&lt;=RPT,Buy_unvalid[[#This Row],[TRANSACTION_STATUS]]="N"),"Check","Ok")</f>
        <v>Ok</v>
      </c>
      <c r="BS12" s="128"/>
      <c r="BT12" s="848">
        <v>49476</v>
      </c>
      <c r="BU12" s="849">
        <v>46269</v>
      </c>
      <c r="BV12" s="848">
        <v>49474</v>
      </c>
      <c r="BW12" s="848"/>
      <c r="BX12" s="530">
        <v>5500000</v>
      </c>
      <c r="BY12" s="735">
        <f>_xlfn.XLOOKUP(Est_NIM[[#This Row],[DEAL_BUY_ID]],BS!AL:AL,BS!AU:AU,_xlfn.XLOOKUP(Est_NIM[[#This Row],[DEAL_BUY_ID]],BS!BA:BA,BS!BJ:BJ,,0),0)</f>
        <v>4.5199999999999996</v>
      </c>
      <c r="BZ12" s="534">
        <f>Est_NIM[[#This Row],[QUANT]]*Est_NIM[[#This Row],[YIELD]]</f>
        <v>24859999.999999996</v>
      </c>
      <c r="CA12" s="128"/>
      <c r="CB12" s="128"/>
      <c r="CE12" s="331"/>
      <c r="CF12" s="331"/>
      <c r="CG12" s="331"/>
      <c r="CH12">
        <v>3730</v>
      </c>
      <c r="CI12">
        <v>14282</v>
      </c>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8"/>
      <c r="DS12" s="128"/>
      <c r="DT12" s="128"/>
      <c r="DU12" s="128"/>
      <c r="DV12" s="128"/>
      <c r="DW12" s="530"/>
      <c r="DX12" s="530"/>
      <c r="DY12" s="530"/>
      <c r="DZ12" s="530"/>
      <c r="EA12" s="530"/>
      <c r="EB12" s="530"/>
      <c r="EC12" s="530"/>
      <c r="ED12" s="530"/>
      <c r="EE12" s="530"/>
      <c r="EF12" s="530"/>
      <c r="EG12" s="530"/>
      <c r="EH12" s="530"/>
      <c r="EI12" s="530"/>
      <c r="EJ12" s="530"/>
      <c r="EK12" s="530"/>
      <c r="EL12" s="530"/>
      <c r="EM12" s="530"/>
      <c r="EN12" s="530"/>
      <c r="EO12" s="530"/>
      <c r="EP12" s="530"/>
      <c r="EQ12" s="530"/>
      <c r="ER12" s="530"/>
      <c r="ES12" s="530"/>
      <c r="ET12" s="530"/>
      <c r="EU12" s="530"/>
      <c r="EV12" s="530"/>
      <c r="EW12" s="530"/>
      <c r="EX12" s="530"/>
      <c r="EY12" s="530"/>
      <c r="EZ12" s="530"/>
      <c r="FA12" s="530"/>
      <c r="FB12" s="530"/>
      <c r="FC12" s="530"/>
      <c r="FD12" s="530"/>
      <c r="FE12" s="530"/>
      <c r="FF12" s="530"/>
      <c r="FG12" s="530"/>
      <c r="FH12" s="530"/>
      <c r="FI12" s="530"/>
      <c r="FJ12" s="530"/>
      <c r="FK12" s="530"/>
      <c r="FL12" s="530"/>
      <c r="FM12" s="530"/>
      <c r="FN12" s="530"/>
      <c r="FO12" s="530"/>
      <c r="FP12" s="530"/>
      <c r="FQ12" s="530"/>
      <c r="GH12" s="128"/>
      <c r="GI12" s="128"/>
      <c r="GJ12" s="128"/>
      <c r="GK12" s="128"/>
      <c r="GL12" s="128"/>
      <c r="GM12" s="128"/>
      <c r="GN12" s="128"/>
      <c r="GO12" s="128"/>
      <c r="GP12" s="128"/>
      <c r="GQ12" s="128"/>
      <c r="GR12" s="128"/>
      <c r="GS12" s="128"/>
      <c r="GT12" s="128"/>
      <c r="GU12" s="128"/>
      <c r="GV12" s="128"/>
      <c r="GW12" s="128"/>
      <c r="GX12" s="128"/>
      <c r="GY12" s="128"/>
      <c r="GZ12" s="128"/>
      <c r="HA12" s="128"/>
      <c r="HB12" s="128"/>
      <c r="HC12" s="128"/>
      <c r="HD12" s="128"/>
      <c r="HE12" s="128"/>
      <c r="HF12" s="128"/>
      <c r="HG12" s="128"/>
      <c r="HH12" s="128"/>
      <c r="HI12" s="128"/>
      <c r="HJ12" s="128"/>
      <c r="HK12" s="128"/>
      <c r="HL12" s="128"/>
      <c r="HM12" s="128"/>
      <c r="HN12" s="128"/>
      <c r="HO12" s="128"/>
      <c r="HP12" s="128"/>
      <c r="HQ12" s="128"/>
      <c r="HR12" s="128"/>
      <c r="HS12" s="128"/>
      <c r="HT12" s="128"/>
      <c r="HU12" s="128"/>
      <c r="HV12" s="128"/>
      <c r="HW12" s="128"/>
      <c r="HX12" s="128"/>
      <c r="HY12" s="128"/>
      <c r="HZ12" s="128"/>
      <c r="IA12" s="128"/>
      <c r="IB12" s="128"/>
      <c r="IC12" s="128"/>
    </row>
    <row r="13" spans="1:237" x14ac:dyDescent="0.3">
      <c r="AF13" s="380">
        <v>1</v>
      </c>
      <c r="AG13" s="770">
        <f t="shared" si="11"/>
        <v>46295</v>
      </c>
      <c r="AH13" s="572">
        <f>-SUMIFS(BX:BX,BU:BU,"&lt;="&amp;AG13,BU:BU,"&gt;"&amp;AG12,BW:BW,"&lt;&gt;rp_sec")/10^4</f>
        <v>-1390</v>
      </c>
      <c r="AI13" s="572">
        <f>AI12+AH13</f>
        <v>37817.699999999997</v>
      </c>
      <c r="AJ13" s="771">
        <f>(SUMIFS(BZ:BZ,BU:BU,"&gt;"&amp;AG13)+SUMIFS(BZ:BZ,BW:BW,"rp_sec"))/10^4/AI13</f>
        <v>3.8993797202940423</v>
      </c>
      <c r="AK13" s="771" t="str">
        <f t="shared" si="12"/>
        <v>Est YTM T9</v>
      </c>
      <c r="AL13" s="794" t="str">
        <f t="shared" si="13"/>
        <v>Est Posi OnBS T9</v>
      </c>
      <c r="AO13" s="128">
        <v>48889</v>
      </c>
      <c r="AP13" s="128" t="s">
        <v>718</v>
      </c>
      <c r="AQ13" s="128" t="s">
        <v>824</v>
      </c>
      <c r="AR13" s="375" t="s">
        <v>3594</v>
      </c>
      <c r="AS13" s="375">
        <v>46059</v>
      </c>
      <c r="AT13" s="375">
        <v>46247</v>
      </c>
      <c r="AU13" s="530">
        <v>146334</v>
      </c>
      <c r="AV13" s="128">
        <v>50274</v>
      </c>
      <c r="AW13" s="530">
        <v>680000</v>
      </c>
      <c r="AX13" s="534">
        <f>_xlfn.XLOOKUP(Sell_unvalid[[#This Row],[DEAL_BUY_ID]],BS!BA:BA,BS!BE:BE,,0)</f>
        <v>145819</v>
      </c>
      <c r="AY13" s="534">
        <f>_xlfn.XLOOKUP(Sell_unvalid[[#This Row],[BOND_CODE]],FNRP!D:D,FNRP!I:I,_xlfn.XLOOKUP(Sell_unvalid[[#This Row],[BOND_CODE]],FNRP!AV:AV,FNRP!BA:BA,,0),0)</f>
        <v>142132</v>
      </c>
      <c r="AZ13" s="534">
        <f>_xlfn.XLOOKUP(Sell_unvalid[[#This Row],[DEAL_BUY_ID]],BS!BA:BA,BS!BQ:BQ,,0)*Sell_unvalid[[#This Row],[QUANTITY]]</f>
        <v>31104159462.529991</v>
      </c>
      <c r="BA13" s="534">
        <f>(Sell_unvalid[[#This Row],[Giá MtM]]-10^5)*Sell_unvalid[[#This Row],[QUANTITY]]-Sell_unvalid[[#This Row],[PTCK remain]]</f>
        <v>-2454399462.5299911</v>
      </c>
      <c r="BB13" s="534">
        <f>(Sell_unvalid[[#This Row],[PRICE]]-10^5)*Sell_unvalid[[#This Row],[QUANTITY]]-Sell_unvalid[[#This Row],[PTCK remain]]</f>
        <v>402960537.47000885</v>
      </c>
      <c r="BC13" s="534" t="str">
        <f>IF(AND(Sell_unvalid[[#This Row],[VALUE_DATE]]&lt;=RPT,Sell_unvalid[[#This Row],[TRANSACTION_STATUS]]="N"),"Check","Ok")</f>
        <v>Ok</v>
      </c>
      <c r="BD13" s="534"/>
      <c r="BE13" s="615"/>
      <c r="BF13" s="128">
        <v>49812</v>
      </c>
      <c r="BG13" s="128" t="s">
        <v>615</v>
      </c>
      <c r="BH13" s="128" t="s">
        <v>824</v>
      </c>
      <c r="BI13" s="128" t="s">
        <v>3594</v>
      </c>
      <c r="BJ13" s="375">
        <v>46160</v>
      </c>
      <c r="BK13" s="375">
        <v>46211</v>
      </c>
      <c r="BL13" s="128">
        <v>1500000</v>
      </c>
      <c r="BM13" s="128">
        <v>118276</v>
      </c>
      <c r="BN13" s="534">
        <f>_xlfn.XLOOKUP(Buy_unvalid[[#This Row],[BOND_CODE]],FNRP!D:D,FNRP!I:I,,0)</f>
        <v>113876</v>
      </c>
      <c r="BO13" s="534">
        <f>_xlfn.XLOOKUP(Buy_unvalid[[#This Row],[DEAL_BUY_ID]],BS!BA:BA,BS!BQ:BQ,_xlfn.XLOOKUP(Buy_unvalid[[#This Row],[DEAL_BUY_ID]],BS!AL:AL,BS!AR:AR,,0),0)*Buy_unvalid[[#This Row],[QUANTITY]]</f>
        <v>26714243025.697418</v>
      </c>
      <c r="BP13" s="534">
        <f>(Buy_unvalid[[#This Row],[Giá MtM]]-10^5)*Buy_unvalid[[#This Row],[QUANTITY]]-Buy_unvalid[[#This Row],[PTCK remain]]</f>
        <v>-5900243025.6974182</v>
      </c>
      <c r="BQ13" s="534" t="str">
        <f>IF(AND(Buy_unvalid[[#This Row],[VALUE_DATE]]&lt;=RPT,Buy_unvalid[[#This Row],[TRANSACTION_STATUS]]="N"),"Check","Ok")</f>
        <v>Ok</v>
      </c>
      <c r="BS13" s="128"/>
      <c r="BT13" s="848">
        <v>49477</v>
      </c>
      <c r="BU13" s="849">
        <v>46269</v>
      </c>
      <c r="BV13" s="848">
        <v>49475</v>
      </c>
      <c r="BW13" s="848"/>
      <c r="BX13" s="530">
        <v>6000000</v>
      </c>
      <c r="BY13" s="735">
        <f>_xlfn.XLOOKUP(Est_NIM[[#This Row],[DEAL_BUY_ID]],BS!AL:AL,BS!AU:AU,_xlfn.XLOOKUP(Est_NIM[[#This Row],[DEAL_BUY_ID]],BS!BA:BA,BS!BJ:BJ,,0),0)</f>
        <v>4.5199999999999996</v>
      </c>
      <c r="BZ13" s="534">
        <f>Est_NIM[[#This Row],[QUANT]]*Est_NIM[[#This Row],[YIELD]]</f>
        <v>27119999.999999996</v>
      </c>
      <c r="CA13" s="128"/>
      <c r="CB13" s="128"/>
      <c r="CE13" s="331"/>
      <c r="CF13" s="331"/>
      <c r="CG13" s="331"/>
      <c r="CH13">
        <v>3730</v>
      </c>
      <c r="CI13">
        <v>14282</v>
      </c>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8"/>
      <c r="DS13" s="128"/>
      <c r="DT13" s="128"/>
      <c r="DU13" s="128"/>
      <c r="DV13" s="128"/>
      <c r="DW13" s="530"/>
      <c r="DX13" s="530"/>
      <c r="DY13" s="530"/>
      <c r="DZ13" s="530"/>
      <c r="EA13" s="530"/>
      <c r="EB13" s="530"/>
      <c r="EC13" s="530"/>
      <c r="ED13" s="530"/>
      <c r="EE13" s="530"/>
      <c r="EF13" s="530"/>
      <c r="EG13" s="530"/>
      <c r="EH13" s="530"/>
      <c r="EI13" s="530"/>
      <c r="EJ13" s="530"/>
      <c r="EK13" s="530"/>
      <c r="EL13" s="530"/>
      <c r="EM13" s="530"/>
      <c r="EN13" s="530"/>
      <c r="EO13" s="530"/>
      <c r="EP13" s="530"/>
      <c r="EQ13" s="530"/>
      <c r="ER13" s="530"/>
      <c r="ES13" s="530"/>
      <c r="ET13" s="530"/>
      <c r="EU13" s="530"/>
      <c r="EV13" s="530"/>
      <c r="EW13" s="530"/>
      <c r="EX13" s="530"/>
      <c r="EY13" s="530"/>
      <c r="EZ13" s="530"/>
      <c r="FA13" s="530"/>
      <c r="FB13" s="530"/>
      <c r="FC13" s="530"/>
      <c r="FD13" s="530"/>
      <c r="FE13" s="530"/>
      <c r="FF13" s="530"/>
      <c r="FG13" s="530"/>
      <c r="FH13" s="530"/>
      <c r="FI13" s="530"/>
      <c r="FJ13" s="530"/>
      <c r="FK13" s="530"/>
      <c r="FL13" s="530"/>
      <c r="FM13" s="530"/>
      <c r="FN13" s="530"/>
      <c r="FO13" s="530"/>
      <c r="FP13" s="530"/>
      <c r="FQ13" s="530"/>
      <c r="GH13" s="128"/>
      <c r="GI13" s="128"/>
      <c r="GJ13" s="128"/>
      <c r="GK13" s="128"/>
      <c r="GL13" s="128"/>
      <c r="GM13" s="128"/>
      <c r="GN13" s="128"/>
      <c r="GO13" s="128"/>
      <c r="GP13" s="128"/>
      <c r="GQ13" s="128"/>
      <c r="GR13" s="128"/>
      <c r="GS13" s="128"/>
      <c r="GT13" s="128"/>
      <c r="GU13" s="128"/>
      <c r="GV13" s="128"/>
      <c r="GW13" s="128"/>
      <c r="GX13" s="128"/>
      <c r="GY13" s="128"/>
      <c r="GZ13" s="128"/>
      <c r="HA13" s="128"/>
      <c r="HB13" s="128"/>
      <c r="HC13" s="128"/>
      <c r="HD13" s="128"/>
      <c r="HE13" s="128"/>
      <c r="HF13" s="128"/>
      <c r="HG13" s="128"/>
      <c r="HH13" s="128"/>
      <c r="HI13" s="128"/>
      <c r="HJ13" s="128"/>
      <c r="HK13" s="128"/>
      <c r="HL13" s="128"/>
      <c r="HM13" s="128"/>
      <c r="HN13" s="128"/>
      <c r="HO13" s="128"/>
      <c r="HP13" s="128"/>
      <c r="HQ13" s="128"/>
      <c r="HR13" s="128"/>
      <c r="HS13" s="128"/>
      <c r="HT13" s="128"/>
      <c r="HU13" s="128"/>
      <c r="HV13" s="128"/>
      <c r="HW13" s="128"/>
      <c r="HX13" s="128"/>
      <c r="HY13" s="128"/>
      <c r="HZ13" s="128"/>
      <c r="IA13" s="128"/>
      <c r="IB13" s="128"/>
      <c r="IC13" s="128"/>
    </row>
    <row r="14" spans="1:237" x14ac:dyDescent="0.3">
      <c r="AF14" s="380">
        <v>2</v>
      </c>
      <c r="AG14" s="770">
        <f t="shared" si="11"/>
        <v>46326</v>
      </c>
      <c r="AH14" s="572">
        <f>-SUMIFS(BX:BX,BU:BU,"&lt;="&amp;AG14,BU:BU,"&gt;"&amp;AG13,BW:BW,"&lt;&gt;rp_sec")/10^4</f>
        <v>-770</v>
      </c>
      <c r="AI14" s="572">
        <f t="shared" ref="AI14:AI24" si="14">AI13+AH14</f>
        <v>37047.699999999997</v>
      </c>
      <c r="AJ14" s="771">
        <f>(SUMIFS(BZ:BZ,BU:BU,"&gt;"&amp;AG14)+SUMIFS(BZ:BZ,BW:BW,"rp_sec"))/10^4/AI14</f>
        <v>3.8806612137369934</v>
      </c>
      <c r="AK14" s="771" t="str">
        <f t="shared" si="12"/>
        <v>Est YTM T10</v>
      </c>
      <c r="AL14" s="794" t="str">
        <f t="shared" si="13"/>
        <v>Est Posi OnBS T10</v>
      </c>
      <c r="AO14" s="128">
        <v>48889</v>
      </c>
      <c r="AP14" s="128" t="s">
        <v>718</v>
      </c>
      <c r="AQ14" s="128" t="s">
        <v>824</v>
      </c>
      <c r="AR14" s="375" t="s">
        <v>3594</v>
      </c>
      <c r="AS14" s="375">
        <v>46059</v>
      </c>
      <c r="AT14" s="375">
        <v>46247</v>
      </c>
      <c r="AU14" s="530">
        <v>146334</v>
      </c>
      <c r="AV14" s="128">
        <v>50278</v>
      </c>
      <c r="AW14" s="530">
        <v>1260000</v>
      </c>
      <c r="AX14" s="534">
        <f>_xlfn.XLOOKUP(Sell_unvalid[[#This Row],[DEAL_BUY_ID]],BS!BA:BA,BS!BE:BE,,0)</f>
        <v>145786</v>
      </c>
      <c r="AY14" s="534">
        <f>_xlfn.XLOOKUP(Sell_unvalid[[#This Row],[BOND_CODE]],FNRP!D:D,FNRP!I:I,_xlfn.XLOOKUP(Sell_unvalid[[#This Row],[BOND_CODE]],FNRP!AV:AV,FNRP!BA:BA,,0),0)</f>
        <v>142132</v>
      </c>
      <c r="AZ14" s="534">
        <f>_xlfn.XLOOKUP(Sell_unvalid[[#This Row],[DEAL_BUY_ID]],BS!BA:BA,BS!BQ:BQ,,0)*Sell_unvalid[[#This Row],[QUANTITY]]</f>
        <v>57592667965.385635</v>
      </c>
      <c r="BA14" s="534">
        <f>(Sell_unvalid[[#This Row],[Giá MtM]]-10^5)*Sell_unvalid[[#This Row],[QUANTITY]]-Sell_unvalid[[#This Row],[PTCK remain]]</f>
        <v>-4506347965.3856354</v>
      </c>
      <c r="BB14" s="534">
        <f>(Sell_unvalid[[#This Row],[PRICE]]-10^5)*Sell_unvalid[[#This Row],[QUANTITY]]-Sell_unvalid[[#This Row],[PTCK remain]]</f>
        <v>788172034.61436462</v>
      </c>
      <c r="BC14" s="534" t="str">
        <f>IF(AND(Sell_unvalid[[#This Row],[VALUE_DATE]]&lt;=RPT,Sell_unvalid[[#This Row],[TRANSACTION_STATUS]]="N"),"Check","Ok")</f>
        <v>Ok</v>
      </c>
      <c r="BD14" s="534"/>
      <c r="BE14" s="615"/>
      <c r="BF14" s="128">
        <v>49937</v>
      </c>
      <c r="BG14" s="128" t="s">
        <v>660</v>
      </c>
      <c r="BH14" s="128" t="s">
        <v>824</v>
      </c>
      <c r="BI14" s="128" t="s">
        <v>3594</v>
      </c>
      <c r="BJ14" s="375">
        <v>46177</v>
      </c>
      <c r="BK14" s="375">
        <v>46213</v>
      </c>
      <c r="BL14" s="128">
        <v>3600000</v>
      </c>
      <c r="BM14" s="128">
        <v>112373</v>
      </c>
      <c r="BN14" s="534">
        <f>_xlfn.XLOOKUP(Buy_unvalid[[#This Row],[BOND_CODE]],FNRP!D:D,FNRP!I:I,,0)</f>
        <v>104987</v>
      </c>
      <c r="BO14" s="534">
        <f>_xlfn.XLOOKUP(Buy_unvalid[[#This Row],[DEAL_BUY_ID]],BS!BA:BA,BS!BQ:BQ,_xlfn.XLOOKUP(Buy_unvalid[[#This Row],[DEAL_BUY_ID]],BS!AL:AL,BS!AR:AR,,0),0)*Buy_unvalid[[#This Row],[QUANTITY]]</f>
        <v>43791879099.359756</v>
      </c>
      <c r="BP14" s="534">
        <f>(Buy_unvalid[[#This Row],[Giá MtM]]-10^5)*Buy_unvalid[[#This Row],[QUANTITY]]-Buy_unvalid[[#This Row],[PTCK remain]]</f>
        <v>-25838679099.359756</v>
      </c>
      <c r="BQ14" s="534" t="str">
        <f>IF(AND(Buy_unvalid[[#This Row],[VALUE_DATE]]&lt;=RPT,Buy_unvalid[[#This Row],[TRANSACTION_STATUS]]="N"),"Check","Ok")</f>
        <v>Ok</v>
      </c>
      <c r="BS14" s="128"/>
      <c r="BT14" s="848">
        <v>50216</v>
      </c>
      <c r="BU14" s="849">
        <v>46386</v>
      </c>
      <c r="BV14" s="848">
        <v>50212</v>
      </c>
      <c r="BW14" s="848"/>
      <c r="BX14" s="530">
        <v>2000000</v>
      </c>
      <c r="BY14" s="735">
        <f>_xlfn.XLOOKUP(Est_NIM[[#This Row],[DEAL_BUY_ID]],BS!AL:AL,BS!AU:AU,_xlfn.XLOOKUP(Est_NIM[[#This Row],[DEAL_BUY_ID]],BS!BA:BA,BS!BJ:BJ,,0),0)</f>
        <v>4.8</v>
      </c>
      <c r="BZ14" s="534">
        <f>Est_NIM[[#This Row],[QUANT]]*Est_NIM[[#This Row],[YIELD]]</f>
        <v>9600000</v>
      </c>
      <c r="CA14" s="128"/>
      <c r="CB14" s="128"/>
      <c r="CE14" s="331"/>
      <c r="CF14" s="331"/>
      <c r="CG14" s="331"/>
      <c r="CH14">
        <v>3730</v>
      </c>
      <c r="CI14">
        <v>14282</v>
      </c>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8"/>
      <c r="DS14" s="128"/>
      <c r="DT14" s="128"/>
      <c r="DU14" s="128"/>
      <c r="DV14" s="128"/>
      <c r="DW14" s="530"/>
      <c r="DX14" s="530"/>
      <c r="DY14" s="530"/>
      <c r="DZ14" s="530"/>
      <c r="EA14" s="530"/>
      <c r="EB14" s="530"/>
      <c r="EC14" s="530"/>
      <c r="ED14" s="530"/>
      <c r="EE14" s="530"/>
      <c r="EF14" s="530"/>
      <c r="EG14" s="530"/>
      <c r="EH14" s="530"/>
      <c r="EI14" s="530"/>
      <c r="EJ14" s="530"/>
      <c r="EK14" s="530"/>
      <c r="EL14" s="530"/>
      <c r="EM14" s="530"/>
      <c r="EN14" s="530"/>
      <c r="EO14" s="530"/>
      <c r="EP14" s="530"/>
      <c r="EQ14" s="530"/>
      <c r="ER14" s="530"/>
      <c r="ES14" s="530"/>
      <c r="ET14" s="530"/>
      <c r="EU14" s="530"/>
      <c r="EV14" s="530"/>
      <c r="EW14" s="530"/>
      <c r="EX14" s="530"/>
      <c r="EY14" s="530"/>
      <c r="EZ14" s="530"/>
      <c r="FA14" s="530"/>
      <c r="FB14" s="530"/>
      <c r="FC14" s="530"/>
      <c r="FD14" s="530"/>
      <c r="FE14" s="530"/>
      <c r="FF14" s="530"/>
      <c r="FG14" s="530"/>
      <c r="FH14" s="530"/>
      <c r="FI14" s="530"/>
      <c r="FJ14" s="530"/>
      <c r="FK14" s="530"/>
      <c r="FL14" s="530"/>
      <c r="FM14" s="530"/>
      <c r="FN14" s="530"/>
      <c r="FO14" s="530"/>
      <c r="FP14" s="530"/>
      <c r="FQ14" s="530"/>
      <c r="GH14" s="128"/>
      <c r="GI14" s="128"/>
      <c r="GJ14" s="128"/>
      <c r="GK14" s="128"/>
      <c r="GL14" s="128"/>
      <c r="GM14" s="128"/>
      <c r="GN14" s="128"/>
      <c r="GO14" s="128"/>
      <c r="GP14" s="128"/>
      <c r="GQ14" s="128"/>
      <c r="GR14" s="128"/>
      <c r="GS14" s="128"/>
      <c r="GT14" s="128"/>
      <c r="GU14" s="128"/>
      <c r="GV14" s="128"/>
      <c r="GW14" s="128"/>
      <c r="GX14" s="128"/>
      <c r="GY14" s="128"/>
      <c r="GZ14" s="128"/>
      <c r="HA14" s="128"/>
      <c r="HB14" s="128"/>
      <c r="HC14" s="128"/>
      <c r="HD14" s="128"/>
      <c r="HE14" s="128"/>
      <c r="HF14" s="128"/>
      <c r="HG14" s="128"/>
      <c r="HH14" s="128"/>
      <c r="HI14" s="128"/>
      <c r="HJ14" s="128"/>
      <c r="HK14" s="128"/>
      <c r="HL14" s="128"/>
      <c r="HM14" s="128"/>
      <c r="HN14" s="128"/>
      <c r="HO14" s="128"/>
      <c r="HP14" s="128"/>
      <c r="HQ14" s="128"/>
      <c r="HR14" s="128"/>
      <c r="HS14" s="128"/>
      <c r="HT14" s="128"/>
      <c r="HU14" s="128"/>
      <c r="HV14" s="128"/>
      <c r="HW14" s="128"/>
      <c r="HX14" s="128"/>
      <c r="HY14" s="128"/>
      <c r="HZ14" s="128"/>
      <c r="IA14" s="128"/>
      <c r="IB14" s="128"/>
      <c r="IC14" s="128"/>
    </row>
    <row r="15" spans="1:237" x14ac:dyDescent="0.3">
      <c r="AF15" s="380">
        <v>3</v>
      </c>
      <c r="AG15" s="770">
        <f t="shared" si="11"/>
        <v>46356</v>
      </c>
      <c r="AH15" s="572">
        <f>-SUMIFS(BX:BX,BU:BU,"&lt;="&amp;AG15,BU:BU,"&gt;"&amp;AG14,BW:BW,"&lt;&gt;rp_sec")/10^4</f>
        <v>-3202</v>
      </c>
      <c r="AI15" s="572">
        <f t="shared" si="14"/>
        <v>33845.699999999997</v>
      </c>
      <c r="AJ15" s="771">
        <f>(SUMIFS(BZ:BZ,BU:BU,"&gt;"&amp;AG15)+SUMIFS(BZ:BZ,BW:BW,"rp_sec"))/10^4/AI15</f>
        <v>3.807212509954411</v>
      </c>
      <c r="AK15" s="771" t="str">
        <f t="shared" si="12"/>
        <v>Est YTM T11</v>
      </c>
      <c r="AL15" s="794" t="str">
        <f t="shared" si="13"/>
        <v>Est Posi OnBS T11</v>
      </c>
      <c r="AO15" s="128">
        <v>48889</v>
      </c>
      <c r="AP15" s="128" t="s">
        <v>718</v>
      </c>
      <c r="AQ15" s="128" t="s">
        <v>824</v>
      </c>
      <c r="AR15" s="375" t="s">
        <v>3594</v>
      </c>
      <c r="AS15" s="375">
        <v>46059</v>
      </c>
      <c r="AT15" s="375">
        <v>46247</v>
      </c>
      <c r="AU15" s="530">
        <v>146334</v>
      </c>
      <c r="AV15" s="128">
        <v>50302</v>
      </c>
      <c r="AW15" s="530">
        <v>335000</v>
      </c>
      <c r="AX15" s="534">
        <f>_xlfn.XLOOKUP(Sell_unvalid[[#This Row],[DEAL_BUY_ID]],BS!BA:BA,BS!BE:BE,,0)</f>
        <v>145756</v>
      </c>
      <c r="AY15" s="534">
        <f>_xlfn.XLOOKUP(Sell_unvalid[[#This Row],[BOND_CODE]],FNRP!D:D,FNRP!I:I,_xlfn.XLOOKUP(Sell_unvalid[[#This Row],[BOND_CODE]],FNRP!AV:AV,FNRP!BA:BA,,0),0)</f>
        <v>142132</v>
      </c>
      <c r="AZ15" s="534">
        <f>_xlfn.XLOOKUP(Sell_unvalid[[#This Row],[DEAL_BUY_ID]],BS!BA:BA,BS!BQ:BQ,,0)*Sell_unvalid[[#This Row],[QUANTITY]]</f>
        <v>15311022180.413464</v>
      </c>
      <c r="BA15" s="534">
        <f>(Sell_unvalid[[#This Row],[Giá MtM]]-10^5)*Sell_unvalid[[#This Row],[QUANTITY]]-Sell_unvalid[[#This Row],[PTCK remain]]</f>
        <v>-1196802180.4134636</v>
      </c>
      <c r="BB15" s="534">
        <f>(Sell_unvalid[[#This Row],[PRICE]]-10^5)*Sell_unvalid[[#This Row],[QUANTITY]]-Sell_unvalid[[#This Row],[PTCK remain]]</f>
        <v>210867819.58653641</v>
      </c>
      <c r="BC15" s="534" t="str">
        <f>IF(AND(Sell_unvalid[[#This Row],[VALUE_DATE]]&lt;=RPT,Sell_unvalid[[#This Row],[TRANSACTION_STATUS]]="N"),"Check","Ok")</f>
        <v>Ok</v>
      </c>
      <c r="BD15" s="534"/>
      <c r="BE15" s="615"/>
      <c r="BF15" s="128">
        <v>49939</v>
      </c>
      <c r="BG15" s="128" t="s">
        <v>3317</v>
      </c>
      <c r="BH15" s="128" t="s">
        <v>824</v>
      </c>
      <c r="BI15" s="128" t="s">
        <v>3594</v>
      </c>
      <c r="BJ15" s="375">
        <v>46177</v>
      </c>
      <c r="BK15" s="375">
        <v>46212</v>
      </c>
      <c r="BL15" s="128">
        <v>3000000</v>
      </c>
      <c r="BM15" s="128">
        <v>98387</v>
      </c>
      <c r="BN15" s="534">
        <f>_xlfn.XLOOKUP(Buy_unvalid[[#This Row],[BOND_CODE]],FNRP!D:D,FNRP!I:I,,0)</f>
        <v>91987</v>
      </c>
      <c r="BO15" s="534">
        <f>_xlfn.XLOOKUP(Buy_unvalid[[#This Row],[DEAL_BUY_ID]],BS!BA:BA,BS!BQ:BQ,_xlfn.XLOOKUP(Buy_unvalid[[#This Row],[DEAL_BUY_ID]],BS!AL:AL,BS!AR:AR,,0),0)*Buy_unvalid[[#This Row],[QUANTITY]]</f>
        <v>-4778600950.9724503</v>
      </c>
      <c r="BP15" s="534">
        <f>(Buy_unvalid[[#This Row],[Giá MtM]]-10^5)*Buy_unvalid[[#This Row],[QUANTITY]]-Buy_unvalid[[#This Row],[PTCK remain]]</f>
        <v>-19260399049.02755</v>
      </c>
      <c r="BQ15" s="534" t="str">
        <f>IF(AND(Buy_unvalid[[#This Row],[VALUE_DATE]]&lt;=RPT,Buy_unvalid[[#This Row],[TRANSACTION_STATUS]]="N"),"Check","Ok")</f>
        <v>Ok</v>
      </c>
      <c r="BS15" s="128"/>
      <c r="BT15" s="848">
        <v>50217</v>
      </c>
      <c r="BU15" s="849">
        <v>46386</v>
      </c>
      <c r="BV15" s="848">
        <v>50213</v>
      </c>
      <c r="BW15" s="848"/>
      <c r="BX15" s="530">
        <v>8620000</v>
      </c>
      <c r="BY15" s="735">
        <f>_xlfn.XLOOKUP(Est_NIM[[#This Row],[DEAL_BUY_ID]],BS!AL:AL,BS!AU:AU,_xlfn.XLOOKUP(Est_NIM[[#This Row],[DEAL_BUY_ID]],BS!BA:BA,BS!BJ:BJ,,0),0)</f>
        <v>4.8</v>
      </c>
      <c r="BZ15" s="534">
        <f>Est_NIM[[#This Row],[QUANT]]*Est_NIM[[#This Row],[YIELD]]</f>
        <v>41376000</v>
      </c>
      <c r="CA15" s="128"/>
      <c r="CB15" s="128"/>
      <c r="CE15" s="331"/>
      <c r="CF15" s="331"/>
      <c r="CG15" s="331"/>
      <c r="CH15">
        <v>3730</v>
      </c>
      <c r="CI15">
        <v>14282</v>
      </c>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8"/>
      <c r="DS15" s="128"/>
      <c r="DT15" s="128"/>
      <c r="DU15" s="128"/>
      <c r="DV15" s="128"/>
      <c r="DW15" s="530"/>
      <c r="DX15" s="530"/>
      <c r="DY15" s="530"/>
      <c r="DZ15" s="530"/>
      <c r="EA15" s="530"/>
      <c r="EB15" s="530"/>
      <c r="EC15" s="530"/>
      <c r="ED15" s="530"/>
      <c r="EE15" s="530"/>
      <c r="EF15" s="530"/>
      <c r="EG15" s="530"/>
      <c r="EH15" s="530"/>
      <c r="EI15" s="530"/>
      <c r="EJ15" s="530"/>
      <c r="EK15" s="530"/>
      <c r="EL15" s="530"/>
      <c r="EM15" s="530"/>
      <c r="EN15" s="530"/>
      <c r="EO15" s="530"/>
      <c r="EP15" s="530"/>
      <c r="EQ15" s="530"/>
      <c r="ER15" s="530"/>
      <c r="ES15" s="530"/>
      <c r="ET15" s="530"/>
      <c r="EU15" s="530"/>
      <c r="EV15" s="530"/>
      <c r="EW15" s="530"/>
      <c r="EX15" s="530"/>
      <c r="EY15" s="530"/>
      <c r="EZ15" s="530"/>
      <c r="FA15" s="530"/>
      <c r="FB15" s="530"/>
      <c r="FC15" s="530"/>
      <c r="FD15" s="530"/>
      <c r="FE15" s="530"/>
      <c r="FF15" s="530"/>
      <c r="FG15" s="530"/>
      <c r="FH15" s="530"/>
      <c r="FI15" s="530"/>
      <c r="FJ15" s="530"/>
      <c r="FK15" s="530"/>
      <c r="FL15" s="530"/>
      <c r="FM15" s="530"/>
      <c r="FN15" s="530"/>
      <c r="FO15" s="530"/>
      <c r="FP15" s="530"/>
      <c r="FQ15" s="530"/>
      <c r="GH15" s="128"/>
      <c r="GI15" s="128"/>
      <c r="GJ15" s="128"/>
      <c r="GK15" s="128"/>
      <c r="GL15" s="128"/>
      <c r="GM15" s="128"/>
      <c r="GN15" s="128"/>
      <c r="GO15" s="128"/>
      <c r="GP15" s="128"/>
      <c r="GQ15" s="128"/>
      <c r="GR15" s="128"/>
      <c r="GS15" s="128"/>
      <c r="GT15" s="128"/>
      <c r="GU15" s="128"/>
      <c r="GV15" s="128"/>
      <c r="GW15" s="128"/>
      <c r="GX15" s="128"/>
      <c r="GY15" s="128"/>
      <c r="GZ15" s="128"/>
      <c r="HA15" s="128"/>
      <c r="HB15" s="128"/>
      <c r="HC15" s="128"/>
      <c r="HD15" s="128"/>
      <c r="HE15" s="128"/>
      <c r="HF15" s="128"/>
      <c r="HG15" s="128"/>
      <c r="HH15" s="128"/>
      <c r="HI15" s="128"/>
      <c r="HJ15" s="128"/>
      <c r="HK15" s="128"/>
      <c r="HL15" s="128"/>
      <c r="HM15" s="128"/>
      <c r="HN15" s="128"/>
      <c r="HO15" s="128"/>
      <c r="HP15" s="128"/>
      <c r="HQ15" s="128"/>
      <c r="HR15" s="128"/>
      <c r="HS15" s="128"/>
      <c r="HT15" s="128"/>
      <c r="HU15" s="128"/>
      <c r="HV15" s="128"/>
      <c r="HW15" s="128"/>
      <c r="HX15" s="128"/>
      <c r="HY15" s="128"/>
      <c r="HZ15" s="128"/>
      <c r="IA15" s="128"/>
      <c r="IB15" s="128"/>
      <c r="IC15" s="128"/>
    </row>
    <row r="16" spans="1:237" x14ac:dyDescent="0.3">
      <c r="AF16" s="380">
        <v>4</v>
      </c>
      <c r="AG16" s="770">
        <f t="shared" si="11"/>
        <v>46387</v>
      </c>
      <c r="AH16" s="572">
        <f>-SUMIFS(BX:BX,BU:BU,"&lt;="&amp;AG16,BU:BU,"&gt;"&amp;AG15,BW:BW,"&lt;&gt;rp_sec")/10^4</f>
        <v>-5799</v>
      </c>
      <c r="AI16" s="572">
        <f t="shared" si="14"/>
        <v>28046.699999999997</v>
      </c>
      <c r="AJ16" s="771">
        <f>(SUMIFS(BZ:BZ,BU:BU,"&gt;"&amp;AG16)+SUMIFS(BZ:BZ,BW:BW,"rp_sec"))/10^4/AI16</f>
        <v>3.6071082319190495</v>
      </c>
      <c r="AK16" s="771" t="str">
        <f t="shared" si="12"/>
        <v>Est YTM T12</v>
      </c>
      <c r="AL16" s="794" t="str">
        <f t="shared" si="13"/>
        <v>Est Posi OnBS T12</v>
      </c>
      <c r="AO16" s="128">
        <v>48889</v>
      </c>
      <c r="AP16" s="128" t="s">
        <v>718</v>
      </c>
      <c r="AQ16" s="128" t="s">
        <v>824</v>
      </c>
      <c r="AR16" s="375" t="s">
        <v>3594</v>
      </c>
      <c r="AS16" s="375">
        <v>46059</v>
      </c>
      <c r="AT16" s="375">
        <v>46247</v>
      </c>
      <c r="AU16" s="530">
        <v>146334</v>
      </c>
      <c r="AV16" s="128">
        <v>50311</v>
      </c>
      <c r="AW16" s="530">
        <v>335000</v>
      </c>
      <c r="AX16" s="534">
        <f>_xlfn.XLOOKUP(Sell_unvalid[[#This Row],[DEAL_BUY_ID]],BS!BA:BA,BS!BE:BE,,0)</f>
        <v>145756</v>
      </c>
      <c r="AY16" s="534">
        <f>_xlfn.XLOOKUP(Sell_unvalid[[#This Row],[BOND_CODE]],FNRP!D:D,FNRP!I:I,_xlfn.XLOOKUP(Sell_unvalid[[#This Row],[BOND_CODE]],FNRP!AV:AV,FNRP!BA:BA,,0),0)</f>
        <v>142132</v>
      </c>
      <c r="AZ16" s="534">
        <f>_xlfn.XLOOKUP(Sell_unvalid[[#This Row],[DEAL_BUY_ID]],BS!BA:BA,BS!BQ:BQ,,0)*Sell_unvalid[[#This Row],[QUANTITY]]</f>
        <v>15311022180.413464</v>
      </c>
      <c r="BA16" s="534">
        <f>(Sell_unvalid[[#This Row],[Giá MtM]]-10^5)*Sell_unvalid[[#This Row],[QUANTITY]]-Sell_unvalid[[#This Row],[PTCK remain]]</f>
        <v>-1196802180.4134636</v>
      </c>
      <c r="BB16" s="534">
        <f>(Sell_unvalid[[#This Row],[PRICE]]-10^5)*Sell_unvalid[[#This Row],[QUANTITY]]-Sell_unvalid[[#This Row],[PTCK remain]]</f>
        <v>210867819.58653641</v>
      </c>
      <c r="BC16" s="534" t="str">
        <f>IF(AND(Sell_unvalid[[#This Row],[VALUE_DATE]]&lt;=RPT,Sell_unvalid[[#This Row],[TRANSACTION_STATUS]]="N"),"Check","Ok")</f>
        <v>Ok</v>
      </c>
      <c r="BD16" s="534"/>
      <c r="BE16" s="615"/>
      <c r="BF16" s="128">
        <v>49935</v>
      </c>
      <c r="BG16" s="128" t="s">
        <v>2799</v>
      </c>
      <c r="BH16" s="128" t="s">
        <v>824</v>
      </c>
      <c r="BI16" s="128" t="s">
        <v>3594</v>
      </c>
      <c r="BJ16" s="375">
        <v>46177</v>
      </c>
      <c r="BK16" s="375">
        <v>46211</v>
      </c>
      <c r="BL16" s="128">
        <v>2500000</v>
      </c>
      <c r="BM16" s="128">
        <v>95244</v>
      </c>
      <c r="BN16" s="534">
        <f>_xlfn.XLOOKUP(Buy_unvalid[[#This Row],[BOND_CODE]],FNRP!D:D,FNRP!I:I,,0)</f>
        <v>86137</v>
      </c>
      <c r="BO16" s="534">
        <f>_xlfn.XLOOKUP(Buy_unvalid[[#This Row],[DEAL_BUY_ID]],BS!BA:BA,BS!BQ:BQ,_xlfn.XLOOKUP(Buy_unvalid[[#This Row],[DEAL_BUY_ID]],BS!AL:AL,BS!AR:AR,,0),0)*Buy_unvalid[[#This Row],[QUANTITY]]</f>
        <v>-11708279983.226101</v>
      </c>
      <c r="BP16" s="534">
        <f>(Buy_unvalid[[#This Row],[Giá MtM]]-10^5)*Buy_unvalid[[#This Row],[QUANTITY]]-Buy_unvalid[[#This Row],[PTCK remain]]</f>
        <v>-22949220016.773899</v>
      </c>
      <c r="BQ16" s="534" t="str">
        <f>IF(AND(Buy_unvalid[[#This Row],[VALUE_DATE]]&lt;=RPT,Buy_unvalid[[#This Row],[TRANSACTION_STATUS]]="N"),"Check","Ok")</f>
        <v>Ok</v>
      </c>
      <c r="BS16" s="128"/>
      <c r="BT16" s="848">
        <v>49587</v>
      </c>
      <c r="BU16" s="849">
        <v>46451</v>
      </c>
      <c r="BV16" s="848">
        <v>49583</v>
      </c>
      <c r="BW16" s="848"/>
      <c r="BX16" s="530">
        <v>1410000</v>
      </c>
      <c r="BY16" s="735">
        <f>_xlfn.XLOOKUP(Est_NIM[[#This Row],[DEAL_BUY_ID]],BS!AL:AL,BS!AU:AU,_xlfn.XLOOKUP(Est_NIM[[#This Row],[DEAL_BUY_ID]],BS!BA:BA,BS!BJ:BJ,,0),0)</f>
        <v>4.5999999999999996</v>
      </c>
      <c r="BZ16" s="534">
        <f>Est_NIM[[#This Row],[QUANT]]*Est_NIM[[#This Row],[YIELD]]</f>
        <v>6485999.9999999991</v>
      </c>
      <c r="CA16" s="128"/>
      <c r="CB16" s="128"/>
      <c r="CE16" s="331"/>
      <c r="CF16" s="331"/>
      <c r="CG16" s="331"/>
      <c r="CH16">
        <v>3730</v>
      </c>
      <c r="CI16">
        <v>14282</v>
      </c>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8"/>
      <c r="DS16" s="128"/>
      <c r="DT16" s="128"/>
      <c r="DU16" s="128"/>
      <c r="DV16" s="128"/>
      <c r="DW16" s="530"/>
      <c r="DX16" s="530"/>
      <c r="DY16" s="530"/>
      <c r="DZ16" s="530"/>
      <c r="EA16" s="530"/>
      <c r="EB16" s="530"/>
      <c r="EC16" s="530"/>
      <c r="ED16" s="530"/>
      <c r="EE16" s="530"/>
      <c r="EF16" s="530"/>
      <c r="EG16" s="530"/>
      <c r="EH16" s="530"/>
      <c r="EI16" s="530"/>
      <c r="EJ16" s="530"/>
      <c r="EK16" s="530"/>
      <c r="EL16" s="530"/>
      <c r="EM16" s="530"/>
      <c r="EN16" s="530"/>
      <c r="EO16" s="530"/>
      <c r="EP16" s="530"/>
      <c r="EQ16" s="530"/>
      <c r="ER16" s="530"/>
      <c r="ES16" s="530"/>
      <c r="ET16" s="530"/>
      <c r="EU16" s="530"/>
      <c r="EV16" s="530"/>
      <c r="EW16" s="530"/>
      <c r="EX16" s="530"/>
      <c r="EY16" s="530"/>
      <c r="EZ16" s="530"/>
      <c r="FA16" s="530"/>
      <c r="FB16" s="530"/>
      <c r="FC16" s="530"/>
      <c r="FD16" s="530"/>
      <c r="FE16" s="530"/>
      <c r="FF16" s="530"/>
      <c r="FG16" s="530"/>
      <c r="FH16" s="530"/>
      <c r="FI16" s="530"/>
      <c r="FJ16" s="530"/>
      <c r="FK16" s="530"/>
      <c r="FL16" s="530"/>
      <c r="FM16" s="530"/>
      <c r="FN16" s="530"/>
      <c r="FO16" s="530"/>
      <c r="FP16" s="530"/>
      <c r="FQ16" s="530"/>
      <c r="GH16" s="128"/>
      <c r="GI16" s="128"/>
      <c r="GJ16" s="128"/>
      <c r="GK16" s="128"/>
      <c r="GL16" s="128"/>
      <c r="GM16" s="128"/>
      <c r="GN16" s="128"/>
      <c r="GO16" s="128"/>
      <c r="GP16" s="128"/>
      <c r="GQ16" s="128"/>
      <c r="GR16" s="128"/>
      <c r="GS16" s="128"/>
      <c r="GT16" s="128"/>
      <c r="GU16" s="128"/>
      <c r="GV16" s="128"/>
      <c r="GW16" s="128"/>
      <c r="GX16" s="128"/>
      <c r="GY16" s="128"/>
      <c r="GZ16" s="128"/>
      <c r="HA16" s="128"/>
      <c r="HB16" s="128"/>
      <c r="HC16" s="128"/>
      <c r="HD16" s="128"/>
      <c r="HE16" s="128"/>
      <c r="HF16" s="128"/>
      <c r="HG16" s="128"/>
      <c r="HH16" s="128"/>
      <c r="HI16" s="128"/>
      <c r="HJ16" s="128"/>
      <c r="HK16" s="128"/>
      <c r="HL16" s="128"/>
      <c r="HM16" s="128"/>
      <c r="HN16" s="128"/>
      <c r="HO16" s="128"/>
      <c r="HP16" s="128"/>
      <c r="HQ16" s="128"/>
      <c r="HR16" s="128"/>
      <c r="HS16" s="128"/>
      <c r="HT16" s="128"/>
      <c r="HU16" s="128"/>
      <c r="HV16" s="128"/>
      <c r="HW16" s="128"/>
      <c r="HX16" s="128"/>
      <c r="HY16" s="128"/>
      <c r="HZ16" s="128"/>
      <c r="IA16" s="128"/>
      <c r="IB16" s="128"/>
      <c r="IC16" s="128"/>
    </row>
    <row r="17" spans="32:237" x14ac:dyDescent="0.3">
      <c r="AF17" s="380">
        <v>5</v>
      </c>
      <c r="AG17" s="770">
        <f t="shared" si="11"/>
        <v>46418</v>
      </c>
      <c r="AH17" s="572">
        <f>-SUMIFS(BX:BX,BU:BU,"&lt;="&amp;AG17,BU:BU,"&gt;"&amp;AG16,BW:BW,"&lt;&gt;rp_sec")/10^4</f>
        <v>0</v>
      </c>
      <c r="AI17" s="572">
        <f t="shared" si="14"/>
        <v>28046.699999999997</v>
      </c>
      <c r="AJ17" s="771">
        <f>(SUMIFS(BZ:BZ,BU:BU,"&gt;"&amp;AG17)+SUMIFS(BZ:BZ,BW:BW,"rp_sec"))/10^4/AI17</f>
        <v>3.6071082319190495</v>
      </c>
      <c r="AK17" s="771" t="str">
        <f t="shared" si="12"/>
        <v/>
      </c>
      <c r="AL17" s="794" t="str">
        <f t="shared" si="13"/>
        <v/>
      </c>
      <c r="AO17" s="128">
        <v>48889</v>
      </c>
      <c r="AP17" s="128" t="s">
        <v>718</v>
      </c>
      <c r="AQ17" s="128" t="s">
        <v>824</v>
      </c>
      <c r="AR17" s="375" t="s">
        <v>3594</v>
      </c>
      <c r="AS17" s="375">
        <v>46059</v>
      </c>
      <c r="AT17" s="375">
        <v>46247</v>
      </c>
      <c r="AU17" s="530">
        <v>146334</v>
      </c>
      <c r="AV17" s="128">
        <v>50317</v>
      </c>
      <c r="AW17" s="530">
        <v>700000</v>
      </c>
      <c r="AX17" s="534">
        <f>_xlfn.XLOOKUP(Sell_unvalid[[#This Row],[DEAL_BUY_ID]],BS!BA:BA,BS!BE:BE,,0)</f>
        <v>145756</v>
      </c>
      <c r="AY17" s="534">
        <f>_xlfn.XLOOKUP(Sell_unvalid[[#This Row],[BOND_CODE]],FNRP!D:D,FNRP!I:I,_xlfn.XLOOKUP(Sell_unvalid[[#This Row],[BOND_CODE]],FNRP!AV:AV,FNRP!BA:BA,,0),0)</f>
        <v>142132</v>
      </c>
      <c r="AZ17" s="534">
        <f>_xlfn.XLOOKUP(Sell_unvalid[[#This Row],[DEAL_BUY_ID]],BS!BA:BA,BS!BQ:BQ,,0)*Sell_unvalid[[#This Row],[QUANTITY]]</f>
        <v>31993180675.490822</v>
      </c>
      <c r="BA17" s="534">
        <f>(Sell_unvalid[[#This Row],[Giá MtM]]-10^5)*Sell_unvalid[[#This Row],[QUANTITY]]-Sell_unvalid[[#This Row],[PTCK remain]]</f>
        <v>-2500780675.4908218</v>
      </c>
      <c r="BB17" s="534">
        <f>(Sell_unvalid[[#This Row],[PRICE]]-10^5)*Sell_unvalid[[#This Row],[QUANTITY]]-Sell_unvalid[[#This Row],[PTCK remain]]</f>
        <v>440619324.50917816</v>
      </c>
      <c r="BC17" s="534" t="str">
        <f>IF(AND(Sell_unvalid[[#This Row],[VALUE_DATE]]&lt;=RPT,Sell_unvalid[[#This Row],[TRANSACTION_STATUS]]="N"),"Check","Ok")</f>
        <v>Ok</v>
      </c>
      <c r="BD17" s="534"/>
      <c r="BE17" s="615"/>
      <c r="BF17" s="128">
        <v>49936</v>
      </c>
      <c r="BG17" s="128" t="s">
        <v>3051</v>
      </c>
      <c r="BH17" s="128" t="s">
        <v>824</v>
      </c>
      <c r="BI17" s="375" t="s">
        <v>3594</v>
      </c>
      <c r="BJ17" s="375">
        <v>46177</v>
      </c>
      <c r="BK17" s="375">
        <v>46211</v>
      </c>
      <c r="BL17" s="530">
        <v>2000000</v>
      </c>
      <c r="BM17" s="530">
        <v>99164</v>
      </c>
      <c r="BN17" s="534">
        <f>_xlfn.XLOOKUP(Buy_unvalid[[#This Row],[BOND_CODE]],FNRP!D:D,FNRP!I:I,,0)</f>
        <v>89638</v>
      </c>
      <c r="BO17" s="534">
        <f>_xlfn.XLOOKUP(Buy_unvalid[[#This Row],[DEAL_BUY_ID]],BS!BA:BA,BS!BQ:BQ,_xlfn.XLOOKUP(Buy_unvalid[[#This Row],[DEAL_BUY_ID]],BS!AL:AL,BS!AR:AR,,0),0)*Buy_unvalid[[#This Row],[QUANTITY]]</f>
        <v>-1649397624.8762901</v>
      </c>
      <c r="BP17" s="534">
        <f>(Buy_unvalid[[#This Row],[Giá MtM]]-10^5)*Buy_unvalid[[#This Row],[QUANTITY]]-Buy_unvalid[[#This Row],[PTCK remain]]</f>
        <v>-19074602375.123711</v>
      </c>
      <c r="BQ17" s="534" t="str">
        <f>IF(AND(Buy_unvalid[[#This Row],[VALUE_DATE]]&lt;=RPT,Buy_unvalid[[#This Row],[TRANSACTION_STATUS]]="N"),"Check","Ok")</f>
        <v>Ok</v>
      </c>
      <c r="BS17" s="128"/>
      <c r="BT17" s="848">
        <v>49587</v>
      </c>
      <c r="BU17" s="849">
        <v>46451</v>
      </c>
      <c r="BV17" s="848">
        <v>49641</v>
      </c>
      <c r="BW17" s="848"/>
      <c r="BX17" s="530">
        <v>2000000</v>
      </c>
      <c r="BY17" s="735">
        <f>_xlfn.XLOOKUP(Est_NIM[[#This Row],[DEAL_BUY_ID]],BS!AL:AL,BS!AU:AU,_xlfn.XLOOKUP(Est_NIM[[#This Row],[DEAL_BUY_ID]],BS!BA:BA,BS!BJ:BJ,,0),0)</f>
        <v>4.3499999999999996</v>
      </c>
      <c r="BZ17" s="534">
        <f>Est_NIM[[#This Row],[QUANT]]*Est_NIM[[#This Row],[YIELD]]</f>
        <v>8700000</v>
      </c>
      <c r="CA17" s="128"/>
      <c r="CB17" s="128"/>
      <c r="CE17" s="331"/>
      <c r="CF17" s="331"/>
      <c r="CG17" s="331"/>
      <c r="CH17">
        <v>3730</v>
      </c>
      <c r="CI17">
        <v>14282</v>
      </c>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8"/>
      <c r="DS17" s="128"/>
      <c r="DT17" s="128"/>
      <c r="DU17" s="128"/>
      <c r="DV17" s="128"/>
      <c r="DW17" s="530"/>
      <c r="DX17" s="530"/>
      <c r="DY17" s="530"/>
      <c r="DZ17" s="530"/>
      <c r="EA17" s="530"/>
      <c r="EB17" s="530"/>
      <c r="EC17" s="530"/>
      <c r="ED17" s="530"/>
      <c r="EE17" s="530"/>
      <c r="EF17" s="530"/>
      <c r="EG17" s="530"/>
      <c r="EH17" s="530"/>
      <c r="EI17" s="530"/>
      <c r="EJ17" s="530"/>
      <c r="EK17" s="530"/>
      <c r="EL17" s="530"/>
      <c r="EM17" s="530"/>
      <c r="EN17" s="530"/>
      <c r="EO17" s="530"/>
      <c r="EP17" s="530"/>
      <c r="EQ17" s="530"/>
      <c r="ER17" s="530"/>
      <c r="ES17" s="530"/>
      <c r="ET17" s="530"/>
      <c r="EU17" s="530"/>
      <c r="EV17" s="530"/>
      <c r="EW17" s="530"/>
      <c r="EX17" s="530"/>
      <c r="EY17" s="530"/>
      <c r="EZ17" s="530"/>
      <c r="FA17" s="530"/>
      <c r="FB17" s="530"/>
      <c r="FC17" s="530"/>
      <c r="FD17" s="530"/>
      <c r="FE17" s="530"/>
      <c r="FF17" s="530"/>
      <c r="FG17" s="530"/>
      <c r="FH17" s="530"/>
      <c r="FI17" s="530"/>
      <c r="FJ17" s="530"/>
      <c r="FK17" s="530"/>
      <c r="FL17" s="530"/>
      <c r="FM17" s="530"/>
      <c r="FN17" s="530"/>
      <c r="FO17" s="530"/>
      <c r="FP17" s="530"/>
      <c r="FQ17" s="530"/>
      <c r="GH17" s="128"/>
      <c r="GI17" s="128"/>
      <c r="GJ17" s="128"/>
      <c r="GK17" s="128"/>
      <c r="GL17" s="128"/>
      <c r="GM17" s="128"/>
      <c r="GN17" s="128"/>
      <c r="GO17" s="128"/>
      <c r="GP17" s="128"/>
      <c r="GQ17" s="128"/>
      <c r="GR17" s="128"/>
      <c r="GS17" s="128"/>
      <c r="GT17" s="128"/>
      <c r="GU17" s="128"/>
      <c r="GV17" s="128"/>
      <c r="GW17" s="128"/>
      <c r="GX17" s="128"/>
      <c r="GY17" s="128"/>
      <c r="GZ17" s="128"/>
      <c r="HA17" s="128"/>
      <c r="HB17" s="128"/>
      <c r="HC17" s="128"/>
      <c r="HD17" s="128"/>
      <c r="HE17" s="128"/>
      <c r="HF17" s="128"/>
      <c r="HG17" s="128"/>
      <c r="HH17" s="128"/>
      <c r="HI17" s="128"/>
      <c r="HJ17" s="128"/>
      <c r="HK17" s="128"/>
      <c r="HL17" s="128"/>
      <c r="HM17" s="128"/>
      <c r="HN17" s="128"/>
      <c r="HO17" s="128"/>
      <c r="HP17" s="128"/>
      <c r="HQ17" s="128"/>
      <c r="HR17" s="128"/>
      <c r="HS17" s="128"/>
      <c r="HT17" s="128"/>
      <c r="HU17" s="128"/>
      <c r="HV17" s="128"/>
      <c r="HW17" s="128"/>
      <c r="HX17" s="128"/>
      <c r="HY17" s="128"/>
      <c r="HZ17" s="128"/>
      <c r="IA17" s="128"/>
      <c r="IB17" s="128"/>
      <c r="IC17" s="128"/>
    </row>
    <row r="18" spans="32:237" x14ac:dyDescent="0.3">
      <c r="AF18" s="380">
        <v>6</v>
      </c>
      <c r="AG18" s="770">
        <f t="shared" si="11"/>
        <v>46446</v>
      </c>
      <c r="AH18" s="572">
        <f>-SUMIFS(BX:BX,BU:BU,"&lt;="&amp;AG18,BU:BU,"&gt;"&amp;AG17,BW:BW,"&lt;&gt;rp_sec")/10^4</f>
        <v>-2136</v>
      </c>
      <c r="AI18" s="572">
        <f t="shared" si="14"/>
        <v>25910.699999999997</v>
      </c>
      <c r="AJ18" s="771">
        <f>(SUMIFS(BZ:BZ,BU:BU,"&gt;"&amp;AG18)+SUMIFS(BZ:BZ,BW:BW,"rp_sec"))/10^4/AI18</f>
        <v>3.5269059673480072</v>
      </c>
      <c r="AK18" s="771" t="str">
        <f t="shared" si="12"/>
        <v/>
      </c>
      <c r="AL18" s="794" t="str">
        <f t="shared" si="13"/>
        <v/>
      </c>
      <c r="AO18" s="128">
        <v>49588</v>
      </c>
      <c r="AP18" s="128" t="s">
        <v>593</v>
      </c>
      <c r="AQ18" s="128" t="s">
        <v>824</v>
      </c>
      <c r="AR18" s="375" t="s">
        <v>3594</v>
      </c>
      <c r="AS18" s="375">
        <v>46134</v>
      </c>
      <c r="AT18" s="375">
        <v>46451</v>
      </c>
      <c r="AU18" s="530">
        <v>111326</v>
      </c>
      <c r="AV18" s="128">
        <v>49584</v>
      </c>
      <c r="AW18" s="530">
        <v>5950000</v>
      </c>
      <c r="AX18" s="534">
        <f>_xlfn.XLOOKUP(Sell_unvalid[[#This Row],[DEAL_BUY_ID]],BS!BA:BA,BS!BE:BE,,0)</f>
        <v>112553</v>
      </c>
      <c r="AY18" s="534">
        <f>_xlfn.XLOOKUP(Sell_unvalid[[#This Row],[BOND_CODE]],FNRP!D:D,FNRP!I:I,_xlfn.XLOOKUP(Sell_unvalid[[#This Row],[BOND_CODE]],FNRP!AV:AV,FNRP!BA:BA,,0),0)</f>
        <v>112331</v>
      </c>
      <c r="AZ18" s="534">
        <f>_xlfn.XLOOKUP(Sell_unvalid[[#This Row],[DEAL_BUY_ID]],BS!BA:BA,BS!BQ:BQ,,0)*Sell_unvalid[[#This Row],[QUANTITY]]</f>
        <v>66412969386.285835</v>
      </c>
      <c r="BA18" s="534">
        <f>(Sell_unvalid[[#This Row],[Giá MtM]]-10^5)*Sell_unvalid[[#This Row],[QUANTITY]]-Sell_unvalid[[#This Row],[PTCK remain]]</f>
        <v>6956480613.7141647</v>
      </c>
      <c r="BB18" s="534">
        <f>(Sell_unvalid[[#This Row],[PRICE]]-10^5)*Sell_unvalid[[#This Row],[QUANTITY]]-Sell_unvalid[[#This Row],[PTCK remain]]</f>
        <v>976730613.71416473</v>
      </c>
      <c r="BC18" s="534" t="str">
        <f>IF(AND(Sell_unvalid[[#This Row],[VALUE_DATE]]&lt;=RPT,Sell_unvalid[[#This Row],[TRANSACTION_STATUS]]="N"),"Check","Ok")</f>
        <v>Ok</v>
      </c>
      <c r="BD18" s="534"/>
      <c r="BE18" s="615"/>
      <c r="BF18" s="128">
        <v>49938</v>
      </c>
      <c r="BG18" s="128" t="s">
        <v>3051</v>
      </c>
      <c r="BH18" s="128" t="s">
        <v>824</v>
      </c>
      <c r="BI18" s="128" t="s">
        <v>3594</v>
      </c>
      <c r="BJ18" s="375">
        <v>46177</v>
      </c>
      <c r="BK18" s="375">
        <v>46212</v>
      </c>
      <c r="BL18" s="128">
        <v>2000000</v>
      </c>
      <c r="BM18" s="128">
        <v>93952</v>
      </c>
      <c r="BN18" s="534">
        <f>_xlfn.XLOOKUP(Buy_unvalid[[#This Row],[BOND_CODE]],FNRP!D:D,FNRP!I:I,,0)</f>
        <v>89638</v>
      </c>
      <c r="BO18" s="534">
        <f>_xlfn.XLOOKUP(Buy_unvalid[[#This Row],[DEAL_BUY_ID]],BS!BA:BA,BS!BQ:BQ,_xlfn.XLOOKUP(Buy_unvalid[[#This Row],[DEAL_BUY_ID]],BS!AL:AL,BS!AR:AR,,0),0)*Buy_unvalid[[#This Row],[QUANTITY]]</f>
        <v>-11938349807.871834</v>
      </c>
      <c r="BP18" s="534">
        <f>(Buy_unvalid[[#This Row],[Giá MtM]]-10^5)*Buy_unvalid[[#This Row],[QUANTITY]]-Buy_unvalid[[#This Row],[PTCK remain]]</f>
        <v>-8785650192.1281662</v>
      </c>
      <c r="BQ18" s="534" t="str">
        <f>IF(AND(Buy_unvalid[[#This Row],[VALUE_DATE]]&lt;=RPT,Buy_unvalid[[#This Row],[TRANSACTION_STATUS]]="N"),"Check","Ok")</f>
        <v>Ok</v>
      </c>
      <c r="BS18" s="128"/>
      <c r="BT18" s="848">
        <v>50431</v>
      </c>
      <c r="BU18" s="849">
        <v>46258</v>
      </c>
      <c r="BV18" s="848">
        <v>44037</v>
      </c>
      <c r="BW18" s="848"/>
      <c r="BX18" s="530">
        <v>500000</v>
      </c>
      <c r="BY18" s="735">
        <f>_xlfn.XLOOKUP(Est_NIM[[#This Row],[DEAL_BUY_ID]],BS!AL:AL,BS!AU:AU,_xlfn.XLOOKUP(Est_NIM[[#This Row],[DEAL_BUY_ID]],BS!BA:BA,BS!BJ:BJ,,0),0)</f>
        <v>2.6599815850000001</v>
      </c>
      <c r="BZ18" s="534">
        <f>Est_NIM[[#This Row],[QUANT]]*Est_NIM[[#This Row],[YIELD]]</f>
        <v>1329990.7925</v>
      </c>
      <c r="CA18" s="128"/>
      <c r="CB18" s="128"/>
      <c r="CE18" s="331"/>
      <c r="CF18" s="331"/>
      <c r="CG18" s="331"/>
      <c r="CH18">
        <v>3730</v>
      </c>
      <c r="CI18">
        <v>14282</v>
      </c>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8"/>
      <c r="DS18" s="128"/>
      <c r="DT18" s="128"/>
      <c r="DU18" s="128"/>
      <c r="DV18" s="128"/>
      <c r="DW18" s="530"/>
      <c r="DX18" s="530"/>
      <c r="DY18" s="530"/>
      <c r="DZ18" s="530"/>
      <c r="EA18" s="530"/>
      <c r="EB18" s="530"/>
      <c r="EC18" s="530"/>
      <c r="ED18" s="530"/>
      <c r="EE18" s="530"/>
      <c r="EF18" s="530"/>
      <c r="EG18" s="530"/>
      <c r="EH18" s="530"/>
      <c r="EI18" s="530"/>
      <c r="EJ18" s="530"/>
      <c r="EK18" s="530"/>
      <c r="EL18" s="530"/>
      <c r="EM18" s="530"/>
      <c r="EN18" s="530"/>
      <c r="EO18" s="530"/>
      <c r="EP18" s="530"/>
      <c r="EQ18" s="530"/>
      <c r="ER18" s="530"/>
      <c r="ES18" s="530"/>
      <c r="ET18" s="530"/>
      <c r="EU18" s="530"/>
      <c r="EV18" s="530"/>
      <c r="EW18" s="530"/>
      <c r="EX18" s="530"/>
      <c r="EY18" s="530"/>
      <c r="EZ18" s="530"/>
      <c r="FA18" s="530"/>
      <c r="FB18" s="530"/>
      <c r="FC18" s="530"/>
      <c r="FD18" s="530"/>
      <c r="FE18" s="530"/>
      <c r="FF18" s="530"/>
      <c r="FG18" s="530"/>
      <c r="FH18" s="530"/>
      <c r="FI18" s="530"/>
      <c r="FJ18" s="530"/>
      <c r="FK18" s="530"/>
      <c r="FL18" s="530"/>
      <c r="FM18" s="530"/>
      <c r="FN18" s="530"/>
      <c r="FO18" s="530"/>
      <c r="FP18" s="530"/>
      <c r="FQ18" s="530"/>
      <c r="GH18" s="128"/>
      <c r="GI18" s="128"/>
      <c r="GJ18" s="128"/>
      <c r="GK18" s="128"/>
      <c r="GL18" s="128"/>
      <c r="GM18" s="128"/>
      <c r="GN18" s="128"/>
      <c r="GO18" s="128"/>
      <c r="GP18" s="128"/>
      <c r="GQ18" s="128"/>
      <c r="GR18" s="128"/>
      <c r="GS18" s="128"/>
      <c r="GT18" s="128"/>
      <c r="GU18" s="128"/>
      <c r="GV18" s="128"/>
      <c r="GW18" s="128"/>
      <c r="GX18" s="128"/>
      <c r="GY18" s="128"/>
      <c r="GZ18" s="128"/>
      <c r="HA18" s="128"/>
      <c r="HB18" s="128"/>
      <c r="HC18" s="128"/>
      <c r="HD18" s="128"/>
      <c r="HE18" s="128"/>
      <c r="HF18" s="128"/>
      <c r="HG18" s="128"/>
      <c r="HH18" s="128"/>
      <c r="HI18" s="128"/>
      <c r="HJ18" s="128"/>
      <c r="HK18" s="128"/>
      <c r="HL18" s="128"/>
      <c r="HM18" s="128"/>
      <c r="HN18" s="128"/>
      <c r="HO18" s="128"/>
      <c r="HP18" s="128"/>
      <c r="HQ18" s="128"/>
      <c r="HR18" s="128"/>
      <c r="HS18" s="128"/>
      <c r="HT18" s="128"/>
      <c r="HU18" s="128"/>
      <c r="HV18" s="128"/>
      <c r="HW18" s="128"/>
      <c r="HX18" s="128"/>
      <c r="HY18" s="128"/>
      <c r="HZ18" s="128"/>
      <c r="IA18" s="128"/>
      <c r="IB18" s="128"/>
      <c r="IC18" s="128"/>
    </row>
    <row r="19" spans="32:237" x14ac:dyDescent="0.3">
      <c r="AF19" s="380">
        <v>7</v>
      </c>
      <c r="AG19" s="770">
        <f t="shared" si="11"/>
        <v>46477</v>
      </c>
      <c r="AH19" s="572">
        <f>-SUMIFS(BX:BX,BU:BU,"&lt;="&amp;AG19,BU:BU,"&gt;"&amp;AG18,BW:BW,"&lt;&gt;rp_sec")/10^4</f>
        <v>-7147.7</v>
      </c>
      <c r="AI19" s="572">
        <f t="shared" si="14"/>
        <v>18762.999999999996</v>
      </c>
      <c r="AJ19" s="771">
        <f>(SUMIFS(BZ:BZ,BU:BU,"&gt;"&amp;AG19)+SUMIFS(BZ:BZ,BW:BW,"rp_sec"))/10^4/AI19</f>
        <v>3.235594267876353</v>
      </c>
      <c r="AK19" s="771" t="str">
        <f t="shared" si="12"/>
        <v/>
      </c>
      <c r="AL19" s="794" t="str">
        <f t="shared" si="13"/>
        <v/>
      </c>
      <c r="AO19" s="128">
        <v>48517</v>
      </c>
      <c r="AP19" s="128" t="s">
        <v>615</v>
      </c>
      <c r="AQ19" s="128" t="s">
        <v>824</v>
      </c>
      <c r="AR19" s="375" t="s">
        <v>3594</v>
      </c>
      <c r="AS19" s="375">
        <v>46031</v>
      </c>
      <c r="AT19" s="375">
        <v>46219</v>
      </c>
      <c r="AU19" s="530">
        <v>117463</v>
      </c>
      <c r="AV19" s="128">
        <v>50040</v>
      </c>
      <c r="AW19" s="530">
        <v>3660000</v>
      </c>
      <c r="AX19" s="534">
        <f>_xlfn.XLOOKUP(Sell_unvalid[[#This Row],[DEAL_BUY_ID]],BS!BA:BA,BS!BE:BE,,0)</f>
        <v>116380</v>
      </c>
      <c r="AY19" s="534">
        <f>_xlfn.XLOOKUP(Sell_unvalid[[#This Row],[BOND_CODE]],FNRP!D:D,FNRP!I:I,_xlfn.XLOOKUP(Sell_unvalid[[#This Row],[BOND_CODE]],FNRP!AV:AV,FNRP!BA:BA,,0),0)</f>
        <v>113876</v>
      </c>
      <c r="AZ19" s="534">
        <f>_xlfn.XLOOKUP(Sell_unvalid[[#This Row],[DEAL_BUY_ID]],BS!BA:BA,BS!BQ:BQ,,0)*Sell_unvalid[[#This Row],[QUANTITY]]</f>
        <v>58136259855.053238</v>
      </c>
      <c r="BA19" s="534">
        <f>(Sell_unvalid[[#This Row],[Giá MtM]]-10^5)*Sell_unvalid[[#This Row],[QUANTITY]]-Sell_unvalid[[#This Row],[PTCK remain]]</f>
        <v>-7350099855.0532379</v>
      </c>
      <c r="BB19" s="534">
        <f>(Sell_unvalid[[#This Row],[PRICE]]-10^5)*Sell_unvalid[[#This Row],[QUANTITY]]-Sell_unvalid[[#This Row],[PTCK remain]]</f>
        <v>5778320144.9467621</v>
      </c>
      <c r="BC19" s="534" t="str">
        <f>IF(AND(Sell_unvalid[[#This Row],[VALUE_DATE]]&lt;=RPT,Sell_unvalid[[#This Row],[TRANSACTION_STATUS]]="N"),"Check","Ok")</f>
        <v>Ok</v>
      </c>
      <c r="BD19" s="534"/>
      <c r="BE19" s="615"/>
      <c r="BF19" s="128">
        <v>50111</v>
      </c>
      <c r="BG19" s="128" t="s">
        <v>660</v>
      </c>
      <c r="BH19" s="128" t="s">
        <v>824</v>
      </c>
      <c r="BI19" s="128" t="s">
        <v>3594</v>
      </c>
      <c r="BJ19" s="375">
        <v>46196</v>
      </c>
      <c r="BK19" s="375">
        <v>46241</v>
      </c>
      <c r="BL19" s="128">
        <v>3600000</v>
      </c>
      <c r="BM19" s="128">
        <v>112241</v>
      </c>
      <c r="BN19" s="534">
        <f>_xlfn.XLOOKUP(Buy_unvalid[[#This Row],[BOND_CODE]],FNRP!D:D,FNRP!I:I,,0)</f>
        <v>104987</v>
      </c>
      <c r="BO19" s="534">
        <f>_xlfn.XLOOKUP(Buy_unvalid[[#This Row],[DEAL_BUY_ID]],BS!BA:BA,BS!BQ:BQ,_xlfn.XLOOKUP(Buy_unvalid[[#This Row],[DEAL_BUY_ID]],BS!AL:AL,BS!AR:AR,,0),0)*Buy_unvalid[[#This Row],[QUANTITY]]</f>
        <v>43841447834.986603</v>
      </c>
      <c r="BP19" s="534">
        <f>(Buy_unvalid[[#This Row],[Giá MtM]]-10^5)*Buy_unvalid[[#This Row],[QUANTITY]]-Buy_unvalid[[#This Row],[PTCK remain]]</f>
        <v>-25888247834.986603</v>
      </c>
      <c r="BQ19" s="534" t="str">
        <f>IF(AND(Buy_unvalid[[#This Row],[VALUE_DATE]]&lt;=RPT,Buy_unvalid[[#This Row],[TRANSACTION_STATUS]]="N"),"Check","Ok")</f>
        <v>Ok</v>
      </c>
      <c r="BS19" s="128"/>
      <c r="BT19" s="848">
        <v>50253</v>
      </c>
      <c r="BU19" s="849">
        <v>46385</v>
      </c>
      <c r="BV19" s="848">
        <v>50248</v>
      </c>
      <c r="BW19" s="848"/>
      <c r="BX19" s="530">
        <v>1000000</v>
      </c>
      <c r="BY19" s="735">
        <f>_xlfn.XLOOKUP(Est_NIM[[#This Row],[DEAL_BUY_ID]],BS!AL:AL,BS!AU:AU,_xlfn.XLOOKUP(Est_NIM[[#This Row],[DEAL_BUY_ID]],BS!BA:BA,BS!BJ:BJ,,0),0)</f>
        <v>4.72</v>
      </c>
      <c r="BZ19" s="534">
        <f>Est_NIM[[#This Row],[QUANT]]*Est_NIM[[#This Row],[YIELD]]</f>
        <v>4720000</v>
      </c>
      <c r="CA19" s="128"/>
      <c r="CB19" s="128"/>
      <c r="CE19" s="331"/>
      <c r="CF19" s="331"/>
      <c r="CG19" s="331"/>
      <c r="CH19">
        <v>3730</v>
      </c>
      <c r="CI19">
        <v>14282</v>
      </c>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8"/>
      <c r="DS19" s="128"/>
      <c r="DT19" s="128"/>
      <c r="DU19" s="128"/>
      <c r="DV19" s="128"/>
      <c r="DW19" s="530"/>
      <c r="DX19" s="530"/>
      <c r="DY19" s="530"/>
      <c r="DZ19" s="530"/>
      <c r="EA19" s="530"/>
      <c r="EB19" s="530"/>
      <c r="EC19" s="530"/>
      <c r="ED19" s="530"/>
      <c r="EE19" s="530"/>
      <c r="EF19" s="530"/>
      <c r="EG19" s="530"/>
      <c r="EH19" s="530"/>
      <c r="EI19" s="530"/>
      <c r="EJ19" s="530"/>
      <c r="EK19" s="530"/>
      <c r="EL19" s="530"/>
      <c r="EM19" s="530"/>
      <c r="EN19" s="530"/>
      <c r="EO19" s="530"/>
      <c r="EP19" s="530"/>
      <c r="EQ19" s="530"/>
      <c r="ER19" s="530"/>
      <c r="ES19" s="530"/>
      <c r="ET19" s="530"/>
      <c r="EU19" s="530"/>
      <c r="EV19" s="530"/>
      <c r="EW19" s="530"/>
      <c r="EX19" s="530"/>
      <c r="EY19" s="530"/>
      <c r="EZ19" s="530"/>
      <c r="FA19" s="530"/>
      <c r="FB19" s="530"/>
      <c r="FC19" s="530"/>
      <c r="FD19" s="530"/>
      <c r="FE19" s="530"/>
      <c r="FF19" s="530"/>
      <c r="FG19" s="530"/>
      <c r="FH19" s="530"/>
      <c r="FI19" s="530"/>
      <c r="FJ19" s="530"/>
      <c r="FK19" s="530"/>
      <c r="FL19" s="530"/>
      <c r="FM19" s="530"/>
      <c r="FN19" s="530"/>
      <c r="FO19" s="530"/>
      <c r="FP19" s="530"/>
      <c r="FQ19" s="530"/>
      <c r="GH19" s="128"/>
      <c r="GI19" s="128"/>
      <c r="GJ19" s="128"/>
      <c r="GK19" s="128"/>
      <c r="GL19" s="128"/>
      <c r="GM19" s="128"/>
      <c r="GN19" s="128"/>
      <c r="GO19" s="128"/>
      <c r="GP19" s="128"/>
      <c r="GQ19" s="128"/>
      <c r="GR19" s="128"/>
      <c r="GS19" s="128"/>
      <c r="GT19" s="128"/>
      <c r="GU19" s="128"/>
      <c r="GV19" s="128"/>
      <c r="GW19" s="128"/>
      <c r="GX19" s="128"/>
      <c r="GY19" s="128"/>
      <c r="GZ19" s="128"/>
      <c r="HA19" s="128"/>
      <c r="HB19" s="128"/>
      <c r="HC19" s="128"/>
      <c r="HD19" s="128"/>
      <c r="HE19" s="128"/>
      <c r="HF19" s="128"/>
      <c r="HG19" s="128"/>
      <c r="HH19" s="128"/>
      <c r="HI19" s="128"/>
      <c r="HJ19" s="128"/>
      <c r="HK19" s="128"/>
      <c r="HL19" s="128"/>
      <c r="HM19" s="128"/>
      <c r="HN19" s="128"/>
      <c r="HO19" s="128"/>
      <c r="HP19" s="128"/>
      <c r="HQ19" s="128"/>
      <c r="HR19" s="128"/>
      <c r="HS19" s="128"/>
      <c r="HT19" s="128"/>
      <c r="HU19" s="128"/>
      <c r="HV19" s="128"/>
      <c r="HW19" s="128"/>
      <c r="HX19" s="128"/>
      <c r="HY19" s="128"/>
      <c r="HZ19" s="128"/>
      <c r="IA19" s="128"/>
      <c r="IB19" s="128"/>
      <c r="IC19" s="128"/>
    </row>
    <row r="20" spans="32:237" x14ac:dyDescent="0.3">
      <c r="AF20" s="380">
        <v>8</v>
      </c>
      <c r="AG20" s="770">
        <f t="shared" si="11"/>
        <v>46507</v>
      </c>
      <c r="AH20" s="572">
        <f>-SUMIFS(BX:BX,BU:BU,"&lt;="&amp;AG20,BU:BU,"&gt;"&amp;AG19,BW:BW,"&lt;&gt;rp_sec")/10^4</f>
        <v>0</v>
      </c>
      <c r="AI20" s="572">
        <f t="shared" si="14"/>
        <v>18762.999999999996</v>
      </c>
      <c r="AJ20" s="771">
        <f>(SUMIFS(BZ:BZ,BU:BU,"&gt;"&amp;AG20)+SUMIFS(BZ:BZ,BW:BW,"rp_sec"))/10^4/AI20</f>
        <v>3.235594267876353</v>
      </c>
      <c r="AK20" s="771" t="str">
        <f t="shared" si="12"/>
        <v/>
      </c>
      <c r="AL20" s="794" t="str">
        <f t="shared" si="13"/>
        <v/>
      </c>
      <c r="AO20" s="128">
        <v>48518</v>
      </c>
      <c r="AP20" s="128" t="s">
        <v>615</v>
      </c>
      <c r="AQ20" s="128" t="s">
        <v>824</v>
      </c>
      <c r="AR20" s="375" t="s">
        <v>3594</v>
      </c>
      <c r="AS20" s="375">
        <v>46031</v>
      </c>
      <c r="AT20" s="375">
        <v>46219</v>
      </c>
      <c r="AU20" s="530">
        <v>117463</v>
      </c>
      <c r="AV20" s="128">
        <v>49754</v>
      </c>
      <c r="AW20" s="530">
        <v>600000</v>
      </c>
      <c r="AX20" s="534">
        <f>_xlfn.XLOOKUP(Sell_unvalid[[#This Row],[DEAL_BUY_ID]],BS!BA:BA,BS!BE:BE,,0)</f>
        <v>118222</v>
      </c>
      <c r="AY20" s="534">
        <f>_xlfn.XLOOKUP(Sell_unvalid[[#This Row],[BOND_CODE]],FNRP!D:D,FNRP!I:I,_xlfn.XLOOKUP(Sell_unvalid[[#This Row],[BOND_CODE]],FNRP!AV:AV,FNRP!BA:BA,,0),0)</f>
        <v>113876</v>
      </c>
      <c r="AZ20" s="534">
        <f>_xlfn.XLOOKUP(Sell_unvalid[[#This Row],[DEAL_BUY_ID]],BS!BA:BA,BS!BQ:BQ,,0)*Sell_unvalid[[#This Row],[QUANTITY]]</f>
        <v>10303181028.20306</v>
      </c>
      <c r="BA20" s="534">
        <f>(Sell_unvalid[[#This Row],[Giá MtM]]-10^5)*Sell_unvalid[[#This Row],[QUANTITY]]-Sell_unvalid[[#This Row],[PTCK remain]]</f>
        <v>-1977581028.2030602</v>
      </c>
      <c r="BB20" s="534">
        <f>(Sell_unvalid[[#This Row],[PRICE]]-10^5)*Sell_unvalid[[#This Row],[QUANTITY]]-Sell_unvalid[[#This Row],[PTCK remain]]</f>
        <v>174618971.79693985</v>
      </c>
      <c r="BC20" s="534" t="str">
        <f>IF(AND(Sell_unvalid[[#This Row],[VALUE_DATE]]&lt;=RPT,Sell_unvalid[[#This Row],[TRANSACTION_STATUS]]="N"),"Check","Ok")</f>
        <v>Ok</v>
      </c>
      <c r="BD20" s="534"/>
      <c r="BE20" s="615"/>
      <c r="BF20" s="128">
        <v>50107</v>
      </c>
      <c r="BG20" s="128" t="s">
        <v>729</v>
      </c>
      <c r="BH20" s="128" t="s">
        <v>824</v>
      </c>
      <c r="BI20" s="128" t="s">
        <v>3594</v>
      </c>
      <c r="BJ20" s="375">
        <v>46196</v>
      </c>
      <c r="BK20" s="375">
        <v>46245</v>
      </c>
      <c r="BL20" s="128">
        <v>3750000</v>
      </c>
      <c r="BM20" s="128">
        <v>109922</v>
      </c>
      <c r="BN20" s="534">
        <f>_xlfn.XLOOKUP(Buy_unvalid[[#This Row],[BOND_CODE]],FNRP!D:D,FNRP!I:I,,0)</f>
        <v>107139</v>
      </c>
      <c r="BO20" s="534">
        <f>_xlfn.XLOOKUP(Buy_unvalid[[#This Row],[DEAL_BUY_ID]],BS!BA:BA,BS!BQ:BQ,_xlfn.XLOOKUP(Buy_unvalid[[#This Row],[DEAL_BUY_ID]],BS!AL:AL,BS!AR:AR,,0),0)*Buy_unvalid[[#This Row],[QUANTITY]]</f>
        <v>37173544484.059334</v>
      </c>
      <c r="BP20" s="534">
        <f>(Buy_unvalid[[#This Row],[Giá MtM]]-10^5)*Buy_unvalid[[#This Row],[QUANTITY]]-Buy_unvalid[[#This Row],[PTCK remain]]</f>
        <v>-10402294484.059334</v>
      </c>
      <c r="BQ20" s="534" t="str">
        <f>IF(AND(Buy_unvalid[[#This Row],[VALUE_DATE]]&lt;=RPT,Buy_unvalid[[#This Row],[TRANSACTION_STATUS]]="N"),"Check","Ok")</f>
        <v>Ok</v>
      </c>
      <c r="BS20" s="128"/>
      <c r="BT20" s="848">
        <v>50251</v>
      </c>
      <c r="BU20" s="849">
        <v>46385</v>
      </c>
      <c r="BV20" s="848">
        <v>50246</v>
      </c>
      <c r="BW20" s="848"/>
      <c r="BX20" s="530">
        <v>500000</v>
      </c>
      <c r="BY20" s="735">
        <f>_xlfn.XLOOKUP(Est_NIM[[#This Row],[DEAL_BUY_ID]],BS!AL:AL,BS!AU:AU,_xlfn.XLOOKUP(Est_NIM[[#This Row],[DEAL_BUY_ID]],BS!BA:BA,BS!BJ:BJ,,0),0)</f>
        <v>4.87</v>
      </c>
      <c r="BZ20" s="534">
        <f>Est_NIM[[#This Row],[QUANT]]*Est_NIM[[#This Row],[YIELD]]</f>
        <v>2435000</v>
      </c>
      <c r="CA20" s="128"/>
      <c r="CB20" s="128"/>
      <c r="CE20" s="331"/>
      <c r="CF20" s="331"/>
      <c r="CG20" s="331"/>
      <c r="CH20">
        <v>3730</v>
      </c>
      <c r="CI20">
        <v>14282</v>
      </c>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8"/>
      <c r="DS20" s="128"/>
      <c r="DT20" s="128"/>
      <c r="DU20" s="128"/>
      <c r="DV20" s="128"/>
      <c r="DW20" s="128"/>
      <c r="DX20" s="530"/>
      <c r="DY20" s="530"/>
      <c r="DZ20" s="530"/>
      <c r="EA20" s="530"/>
      <c r="EB20" s="530"/>
      <c r="EC20" s="530"/>
      <c r="ED20" s="530"/>
      <c r="EE20" s="530"/>
      <c r="EF20" s="530"/>
      <c r="EG20" s="530"/>
      <c r="EH20" s="530"/>
      <c r="EI20" s="530"/>
      <c r="EJ20" s="530"/>
      <c r="EK20" s="530"/>
      <c r="EL20" s="530"/>
      <c r="EM20" s="530"/>
      <c r="EN20" s="530"/>
      <c r="EO20" s="530"/>
      <c r="EP20" s="530"/>
      <c r="EQ20" s="530"/>
      <c r="ER20" s="530"/>
      <c r="ES20" s="530"/>
      <c r="ET20" s="530"/>
      <c r="EU20" s="530"/>
      <c r="EV20" s="530"/>
      <c r="EW20" s="530"/>
      <c r="EX20" s="530"/>
      <c r="EY20" s="530"/>
      <c r="EZ20" s="530"/>
      <c r="FA20" s="530"/>
      <c r="FB20" s="530"/>
      <c r="FC20" s="530"/>
      <c r="FD20" s="530"/>
      <c r="FE20" s="530"/>
      <c r="FF20" s="530"/>
      <c r="FG20" s="530"/>
      <c r="FH20" s="530"/>
      <c r="FI20" s="530"/>
      <c r="FJ20" s="530"/>
      <c r="FK20" s="530"/>
      <c r="FL20" s="530"/>
      <c r="FM20" s="530"/>
      <c r="FN20" s="530"/>
      <c r="FO20" s="530"/>
      <c r="FP20" s="530"/>
      <c r="FQ20" s="530"/>
      <c r="GI20" s="128"/>
      <c r="GJ20" s="128"/>
      <c r="GK20" s="128"/>
      <c r="GL20" s="128"/>
      <c r="GM20" s="128"/>
      <c r="GN20" s="128"/>
      <c r="GO20" s="128"/>
      <c r="GP20" s="128"/>
      <c r="GQ20" s="128"/>
      <c r="GR20" s="128"/>
      <c r="GS20" s="128"/>
      <c r="GT20" s="128"/>
      <c r="GU20" s="128"/>
      <c r="GV20" s="128"/>
      <c r="GW20" s="128"/>
      <c r="GX20" s="128"/>
      <c r="GY20" s="128"/>
      <c r="GZ20" s="128"/>
      <c r="HA20" s="128"/>
      <c r="HB20" s="128"/>
      <c r="HC20" s="128"/>
      <c r="HD20" s="128"/>
      <c r="HE20" s="128"/>
      <c r="HF20" s="128"/>
      <c r="HG20" s="128"/>
      <c r="HH20" s="128"/>
      <c r="HI20" s="128"/>
      <c r="HJ20" s="128"/>
      <c r="HK20" s="128"/>
      <c r="HL20" s="128"/>
      <c r="HM20" s="128"/>
      <c r="HN20" s="128"/>
      <c r="HO20" s="128"/>
      <c r="HP20" s="128"/>
      <c r="HQ20" s="128"/>
      <c r="HR20" s="128"/>
      <c r="HS20" s="128"/>
      <c r="HT20" s="128"/>
      <c r="HU20" s="128"/>
      <c r="HV20" s="128"/>
      <c r="HW20" s="128"/>
      <c r="HX20" s="128"/>
      <c r="HY20" s="128"/>
      <c r="HZ20" s="128"/>
      <c r="IA20" s="128"/>
      <c r="IB20" s="128"/>
      <c r="IC20" s="128"/>
    </row>
    <row r="21" spans="32:237" x14ac:dyDescent="0.3">
      <c r="AF21" s="380">
        <v>9</v>
      </c>
      <c r="AG21" s="770">
        <f t="shared" si="11"/>
        <v>46538</v>
      </c>
      <c r="AH21" s="572">
        <f>-SUMIFS(BX:BX,BU:BU,"&lt;="&amp;AG21,BU:BU,"&gt;"&amp;AG20,BW:BW,"&lt;&gt;rp_sec")/10^4</f>
        <v>0</v>
      </c>
      <c r="AI21" s="572">
        <f t="shared" si="14"/>
        <v>18762.999999999996</v>
      </c>
      <c r="AJ21" s="771">
        <f>(SUMIFS(BZ:BZ,BU:BU,"&gt;"&amp;AG21)+SUMIFS(BZ:BZ,BW:BW,"rp_sec"))/10^4/AI21</f>
        <v>3.235594267876353</v>
      </c>
      <c r="AK21" s="771" t="str">
        <f t="shared" si="12"/>
        <v/>
      </c>
      <c r="AL21" s="794" t="str">
        <f t="shared" si="13"/>
        <v/>
      </c>
      <c r="AO21" s="128">
        <v>48518</v>
      </c>
      <c r="AP21" s="128" t="s">
        <v>615</v>
      </c>
      <c r="AQ21" s="128" t="s">
        <v>824</v>
      </c>
      <c r="AR21" s="375" t="s">
        <v>3594</v>
      </c>
      <c r="AS21" s="375">
        <v>46031</v>
      </c>
      <c r="AT21" s="375">
        <v>46219</v>
      </c>
      <c r="AU21" s="530">
        <v>117463</v>
      </c>
      <c r="AV21" s="128">
        <v>49812</v>
      </c>
      <c r="AW21" s="530">
        <v>1500000</v>
      </c>
      <c r="AX21" s="534">
        <f>_xlfn.XLOOKUP(Sell_unvalid[[#This Row],[DEAL_BUY_ID]],BS!BA:BA,BS!BE:BE,,0)</f>
        <v>118276</v>
      </c>
      <c r="AY21" s="534">
        <f>_xlfn.XLOOKUP(Sell_unvalid[[#This Row],[BOND_CODE]],FNRP!D:D,FNRP!I:I,_xlfn.XLOOKUP(Sell_unvalid[[#This Row],[BOND_CODE]],FNRP!AV:AV,FNRP!BA:BA,,0),0)</f>
        <v>113876</v>
      </c>
      <c r="AZ21" s="534">
        <f>_xlfn.XLOOKUP(Sell_unvalid[[#This Row],[DEAL_BUY_ID]],BS!BA:BA,BS!BQ:BQ,,0)*Sell_unvalid[[#This Row],[QUANTITY]]</f>
        <v>26714243025.697418</v>
      </c>
      <c r="BA21" s="534">
        <f>(Sell_unvalid[[#This Row],[Giá MtM]]-10^5)*Sell_unvalid[[#This Row],[QUANTITY]]-Sell_unvalid[[#This Row],[PTCK remain]]</f>
        <v>-5900243025.6974182</v>
      </c>
      <c r="BB21" s="534">
        <f>(Sell_unvalid[[#This Row],[PRICE]]-10^5)*Sell_unvalid[[#This Row],[QUANTITY]]-Sell_unvalid[[#This Row],[PTCK remain]]</f>
        <v>-519743025.69741821</v>
      </c>
      <c r="BC21" s="534" t="str">
        <f>IF(AND(Sell_unvalid[[#This Row],[VALUE_DATE]]&lt;=RPT,Sell_unvalid[[#This Row],[TRANSACTION_STATUS]]="N"),"Check","Ok")</f>
        <v>Ok</v>
      </c>
      <c r="BD21" s="534"/>
      <c r="BE21" s="615"/>
      <c r="BF21" s="128">
        <v>50109</v>
      </c>
      <c r="BG21" s="128" t="s">
        <v>681</v>
      </c>
      <c r="BH21" s="128" t="s">
        <v>824</v>
      </c>
      <c r="BI21" s="128" t="s">
        <v>3594</v>
      </c>
      <c r="BJ21" s="375">
        <v>46196</v>
      </c>
      <c r="BK21" s="375">
        <v>46241</v>
      </c>
      <c r="BL21" s="128">
        <v>1550000</v>
      </c>
      <c r="BM21" s="128">
        <v>127114</v>
      </c>
      <c r="BN21" s="534">
        <f>_xlfn.XLOOKUP(Buy_unvalid[[#This Row],[BOND_CODE]],FNRP!D:D,FNRP!I:I,,0)</f>
        <v>124796</v>
      </c>
      <c r="BO21" s="534">
        <f>_xlfn.XLOOKUP(Buy_unvalid[[#This Row],[DEAL_BUY_ID]],BS!BA:BA,BS!BQ:BQ,_xlfn.XLOOKUP(Buy_unvalid[[#This Row],[DEAL_BUY_ID]],BS!AL:AL,BS!AR:AR,,0),0)*Buy_unvalid[[#This Row],[QUANTITY]]</f>
        <v>41880710620.602676</v>
      </c>
      <c r="BP21" s="534">
        <f>(Buy_unvalid[[#This Row],[Giá MtM]]-10^5)*Buy_unvalid[[#This Row],[QUANTITY]]-Buy_unvalid[[#This Row],[PTCK remain]]</f>
        <v>-3446910620.6026764</v>
      </c>
      <c r="BQ21" s="534" t="str">
        <f>IF(AND(Buy_unvalid[[#This Row],[VALUE_DATE]]&lt;=RPT,Buy_unvalid[[#This Row],[TRANSACTION_STATUS]]="N"),"Check","Ok")</f>
        <v>Ok</v>
      </c>
      <c r="BS21" s="128"/>
      <c r="BT21" s="848">
        <v>50249</v>
      </c>
      <c r="BU21" s="849">
        <v>46385</v>
      </c>
      <c r="BV21" s="848">
        <v>50244</v>
      </c>
      <c r="BW21" s="848"/>
      <c r="BX21" s="530">
        <v>9500000</v>
      </c>
      <c r="BY21" s="735">
        <f>_xlfn.XLOOKUP(Est_NIM[[#This Row],[DEAL_BUY_ID]],BS!AL:AL,BS!AU:AU,_xlfn.XLOOKUP(Est_NIM[[#This Row],[DEAL_BUY_ID]],BS!BA:BA,BS!BJ:BJ,,0),0)</f>
        <v>4.72</v>
      </c>
      <c r="BZ21" s="534">
        <f>Est_NIM[[#This Row],[QUANT]]*Est_NIM[[#This Row],[YIELD]]</f>
        <v>44840000</v>
      </c>
      <c r="CA21" s="128"/>
      <c r="CB21" s="128"/>
      <c r="CE21" s="331"/>
      <c r="CF21" s="331"/>
      <c r="CG21" s="331"/>
      <c r="CH21">
        <v>3730</v>
      </c>
      <c r="CI21">
        <v>14282</v>
      </c>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8"/>
      <c r="DS21" s="128"/>
      <c r="DT21" s="128"/>
      <c r="DU21" s="128"/>
      <c r="DV21" s="128"/>
      <c r="DW21" s="128"/>
      <c r="DX21" s="530"/>
      <c r="DY21" s="530"/>
      <c r="DZ21" s="530"/>
      <c r="EA21" s="530"/>
      <c r="EB21" s="530"/>
      <c r="EC21" s="530"/>
      <c r="ED21" s="530"/>
      <c r="EE21" s="530"/>
      <c r="EF21" s="530"/>
      <c r="EG21" s="530"/>
      <c r="EH21" s="530"/>
      <c r="EI21" s="530"/>
      <c r="EJ21" s="530"/>
      <c r="EK21" s="530"/>
      <c r="EL21" s="530"/>
      <c r="EM21" s="530"/>
      <c r="EN21" s="530"/>
      <c r="EO21" s="530"/>
      <c r="EP21" s="530"/>
      <c r="EQ21" s="530"/>
      <c r="ER21" s="530"/>
      <c r="ES21" s="530"/>
      <c r="ET21" s="530"/>
      <c r="EU21" s="530"/>
      <c r="EV21" s="530"/>
      <c r="EW21" s="530"/>
      <c r="EX21" s="530"/>
      <c r="EY21" s="530"/>
      <c r="EZ21" s="530"/>
      <c r="FA21" s="530"/>
      <c r="FB21" s="530"/>
      <c r="FC21" s="530"/>
      <c r="FD21" s="530"/>
      <c r="FE21" s="530"/>
      <c r="FF21" s="530"/>
      <c r="FG21" s="530"/>
      <c r="FH21" s="530"/>
      <c r="FI21" s="530"/>
      <c r="FJ21" s="530"/>
      <c r="FK21" s="530"/>
      <c r="FL21" s="530"/>
      <c r="FM21" s="530"/>
      <c r="FN21" s="530"/>
      <c r="FO21" s="530"/>
      <c r="FP21" s="530"/>
      <c r="FQ21" s="530"/>
      <c r="GI21" s="128"/>
      <c r="GJ21" s="128"/>
      <c r="GK21" s="128"/>
      <c r="GL21" s="128"/>
      <c r="GM21" s="128"/>
      <c r="GN21" s="128"/>
      <c r="GO21" s="128"/>
      <c r="GP21" s="128"/>
      <c r="GQ21" s="128"/>
      <c r="GR21" s="128"/>
      <c r="GS21" s="128"/>
      <c r="GT21" s="128"/>
      <c r="GU21" s="128"/>
      <c r="GV21" s="128"/>
      <c r="GW21" s="128"/>
      <c r="GX21" s="128"/>
      <c r="GY21" s="128"/>
      <c r="GZ21" s="128"/>
      <c r="HA21" s="128"/>
      <c r="HB21" s="128"/>
      <c r="HC21" s="128"/>
      <c r="HD21" s="128"/>
      <c r="HE21" s="128"/>
      <c r="HF21" s="128"/>
      <c r="HG21" s="128"/>
      <c r="HH21" s="128"/>
      <c r="HI21" s="128"/>
      <c r="HJ21" s="128"/>
      <c r="HK21" s="128"/>
      <c r="HL21" s="128"/>
      <c r="HM21" s="128"/>
      <c r="HN21" s="128"/>
      <c r="HO21" s="128"/>
      <c r="HP21" s="128"/>
      <c r="HQ21" s="128"/>
      <c r="HR21" s="128"/>
      <c r="HS21" s="128"/>
      <c r="HT21" s="128"/>
      <c r="HU21" s="128"/>
      <c r="HV21" s="128"/>
      <c r="HW21" s="128"/>
      <c r="HX21" s="128"/>
      <c r="HY21" s="128"/>
      <c r="HZ21" s="128"/>
      <c r="IA21" s="128"/>
      <c r="IB21" s="128"/>
      <c r="IC21" s="128"/>
    </row>
    <row r="22" spans="32:237" x14ac:dyDescent="0.3">
      <c r="AF22" s="380">
        <v>10</v>
      </c>
      <c r="AG22" s="770">
        <f t="shared" si="11"/>
        <v>46568</v>
      </c>
      <c r="AH22" s="572">
        <f>-SUMIFS(BX:BX,BU:BU,"&lt;="&amp;AG22,BU:BU,"&gt;"&amp;AG21,BW:BW,"&lt;&gt;rp_sec")/10^4</f>
        <v>0</v>
      </c>
      <c r="AI22" s="572">
        <f t="shared" si="14"/>
        <v>18762.999999999996</v>
      </c>
      <c r="AJ22" s="771">
        <f>(SUMIFS(BZ:BZ,BU:BU,"&gt;"&amp;AG22)+SUMIFS(BZ:BZ,BW:BW,"rp_sec"))/10^4/AI22</f>
        <v>3.235594267876353</v>
      </c>
      <c r="AK22" s="771" t="str">
        <f t="shared" si="12"/>
        <v/>
      </c>
      <c r="AL22" s="794" t="str">
        <f t="shared" si="13"/>
        <v/>
      </c>
      <c r="AO22" s="128">
        <v>49130</v>
      </c>
      <c r="AP22" s="128" t="s">
        <v>598</v>
      </c>
      <c r="AQ22" s="128" t="s">
        <v>824</v>
      </c>
      <c r="AR22" s="375" t="s">
        <v>3594</v>
      </c>
      <c r="AS22" s="375">
        <v>46091</v>
      </c>
      <c r="AT22" s="375">
        <v>46287</v>
      </c>
      <c r="AU22" s="530">
        <v>109511</v>
      </c>
      <c r="AV22" s="128">
        <v>49126</v>
      </c>
      <c r="AW22" s="530">
        <v>2100000</v>
      </c>
      <c r="AX22" s="534">
        <f>_xlfn.XLOOKUP(Sell_unvalid[[#This Row],[DEAL_BUY_ID]],BS!BA:BA,BS!BE:BE,,0)</f>
        <v>109935</v>
      </c>
      <c r="AY22" s="534">
        <f>_xlfn.XLOOKUP(Sell_unvalid[[#This Row],[BOND_CODE]],FNRP!D:D,FNRP!I:I,_xlfn.XLOOKUP(Sell_unvalid[[#This Row],[BOND_CODE]],FNRP!AV:AV,FNRP!BA:BA,,0),0)</f>
        <v>109512</v>
      </c>
      <c r="AZ22" s="534">
        <f>_xlfn.XLOOKUP(Sell_unvalid[[#This Row],[DEAL_BUY_ID]],BS!BA:BA,BS!BQ:BQ,,0)*Sell_unvalid[[#This Row],[QUANTITY]]</f>
        <v>18320451728.239223</v>
      </c>
      <c r="BA22" s="534">
        <f>(Sell_unvalid[[#This Row],[Giá MtM]]-10^5)*Sell_unvalid[[#This Row],[QUANTITY]]-Sell_unvalid[[#This Row],[PTCK remain]]</f>
        <v>1654748271.7607765</v>
      </c>
      <c r="BB22" s="534">
        <f>(Sell_unvalid[[#This Row],[PRICE]]-10^5)*Sell_unvalid[[#This Row],[QUANTITY]]-Sell_unvalid[[#This Row],[PTCK remain]]</f>
        <v>1652648271.7607765</v>
      </c>
      <c r="BC22" s="534" t="str">
        <f>IF(AND(Sell_unvalid[[#This Row],[VALUE_DATE]]&lt;=RPT,Sell_unvalid[[#This Row],[TRANSACTION_STATUS]]="N"),"Check","Ok")</f>
        <v>Ok</v>
      </c>
      <c r="BD22" s="534"/>
      <c r="BE22" s="615"/>
      <c r="BF22" s="128">
        <v>50105</v>
      </c>
      <c r="BG22" s="128" t="s">
        <v>3051</v>
      </c>
      <c r="BH22" s="128" t="s">
        <v>824</v>
      </c>
      <c r="BI22" s="128" t="s">
        <v>3594</v>
      </c>
      <c r="BJ22" s="375">
        <v>46196</v>
      </c>
      <c r="BK22" s="375">
        <v>46245</v>
      </c>
      <c r="BL22" s="128">
        <v>2000000</v>
      </c>
      <c r="BM22" s="128">
        <v>93902</v>
      </c>
      <c r="BN22" s="534">
        <f>_xlfn.XLOOKUP(Buy_unvalid[[#This Row],[BOND_CODE]],FNRP!D:D,FNRP!I:I,,0)</f>
        <v>89638</v>
      </c>
      <c r="BO22" s="534">
        <f>_xlfn.XLOOKUP(Buy_unvalid[[#This Row],[DEAL_BUY_ID]],BS!BA:BA,BS!BQ:BQ,_xlfn.XLOOKUP(Buy_unvalid[[#This Row],[DEAL_BUY_ID]],BS!AL:AL,BS!AR:AR,,0),0)*Buy_unvalid[[#This Row],[QUANTITY]]</f>
        <v>-12164666257.141104</v>
      </c>
      <c r="BP22" s="534">
        <f>(Buy_unvalid[[#This Row],[Giá MtM]]-10^5)*Buy_unvalid[[#This Row],[QUANTITY]]-Buy_unvalid[[#This Row],[PTCK remain]]</f>
        <v>-8559333742.8588963</v>
      </c>
      <c r="BQ22" s="534" t="str">
        <f>IF(AND(Buy_unvalid[[#This Row],[VALUE_DATE]]&lt;=RPT,Buy_unvalid[[#This Row],[TRANSACTION_STATUS]]="N"),"Check","Ok")</f>
        <v>Ok</v>
      </c>
      <c r="BS22" s="128"/>
      <c r="BT22" s="848">
        <v>50252</v>
      </c>
      <c r="BU22" s="849">
        <v>46385</v>
      </c>
      <c r="BV22" s="848">
        <v>50247</v>
      </c>
      <c r="BW22" s="848"/>
      <c r="BX22" s="530">
        <v>1500000</v>
      </c>
      <c r="BY22" s="735">
        <f>_xlfn.XLOOKUP(Est_NIM[[#This Row],[DEAL_BUY_ID]],BS!AL:AL,BS!AU:AU,_xlfn.XLOOKUP(Est_NIM[[#This Row],[DEAL_BUY_ID]],BS!BA:BA,BS!BJ:BJ,,0),0)</f>
        <v>4.72</v>
      </c>
      <c r="BZ22" s="534">
        <f>Est_NIM[[#This Row],[QUANT]]*Est_NIM[[#This Row],[YIELD]]</f>
        <v>7080000</v>
      </c>
      <c r="CA22" s="128"/>
      <c r="CB22" s="128"/>
      <c r="CE22" s="331"/>
      <c r="CF22" s="331"/>
      <c r="CG22" s="331"/>
      <c r="CH22">
        <v>3730</v>
      </c>
      <c r="CI22">
        <v>14282</v>
      </c>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8"/>
      <c r="DS22" s="128"/>
      <c r="DT22" s="128"/>
      <c r="DU22" s="128"/>
      <c r="DV22" s="128"/>
      <c r="DW22" s="128"/>
      <c r="DX22" s="530"/>
      <c r="DY22" s="530"/>
      <c r="DZ22" s="530"/>
      <c r="EA22" s="530"/>
      <c r="EB22" s="530"/>
      <c r="EC22" s="530"/>
      <c r="ED22" s="530"/>
      <c r="EE22" s="530"/>
      <c r="EF22" s="530"/>
      <c r="EG22" s="530"/>
      <c r="EH22" s="530"/>
      <c r="EI22" s="530"/>
      <c r="EJ22" s="530"/>
      <c r="EK22" s="530"/>
      <c r="EL22" s="530"/>
      <c r="EM22" s="530"/>
      <c r="EN22" s="530"/>
      <c r="EO22" s="530"/>
      <c r="EP22" s="530"/>
      <c r="EQ22" s="530"/>
      <c r="ER22" s="530"/>
      <c r="ES22" s="530"/>
      <c r="ET22" s="530"/>
      <c r="EU22" s="530"/>
      <c r="EV22" s="530"/>
      <c r="EW22" s="530"/>
      <c r="EX22" s="530"/>
      <c r="EY22" s="530"/>
      <c r="EZ22" s="530"/>
      <c r="FA22" s="530"/>
      <c r="FB22" s="530"/>
      <c r="FC22" s="530"/>
      <c r="FD22" s="530"/>
      <c r="FE22" s="530"/>
      <c r="FF22" s="530"/>
      <c r="FG22" s="530"/>
      <c r="FH22" s="530"/>
      <c r="FI22" s="530"/>
      <c r="FJ22" s="530"/>
      <c r="FK22" s="530"/>
      <c r="FL22" s="530"/>
      <c r="FM22" s="530"/>
      <c r="FN22" s="530"/>
      <c r="FO22" s="530"/>
      <c r="FP22" s="530"/>
      <c r="FQ22" s="530"/>
      <c r="GI22" s="128"/>
      <c r="GJ22" s="128"/>
      <c r="GK22" s="128"/>
      <c r="GL22" s="128"/>
      <c r="GM22" s="128"/>
      <c r="GN22" s="128"/>
      <c r="GO22" s="128"/>
      <c r="GP22" s="128"/>
      <c r="GQ22" s="128"/>
      <c r="GR22" s="128"/>
      <c r="GS22" s="128"/>
      <c r="GT22" s="128"/>
      <c r="GU22" s="128"/>
      <c r="GV22" s="128"/>
      <c r="GW22" s="128"/>
      <c r="GX22" s="128"/>
      <c r="GY22" s="128"/>
      <c r="GZ22" s="128"/>
      <c r="HA22" s="128"/>
      <c r="HB22" s="128"/>
      <c r="HC22" s="128"/>
      <c r="HD22" s="128"/>
      <c r="HE22" s="128"/>
      <c r="HF22" s="128"/>
      <c r="HG22" s="128"/>
      <c r="HH22" s="128"/>
      <c r="HI22" s="128"/>
      <c r="HJ22" s="128"/>
      <c r="HK22" s="128"/>
      <c r="HL22" s="128"/>
      <c r="HM22" s="128"/>
      <c r="HN22" s="128"/>
      <c r="HO22" s="128"/>
      <c r="HP22" s="128"/>
      <c r="HQ22" s="128"/>
      <c r="HR22" s="128"/>
      <c r="HS22" s="128"/>
      <c r="HT22" s="128"/>
      <c r="HU22" s="128"/>
      <c r="HV22" s="128"/>
      <c r="HW22" s="128"/>
      <c r="HX22" s="128"/>
      <c r="HY22" s="128"/>
      <c r="HZ22" s="128"/>
      <c r="IA22" s="128"/>
      <c r="IB22" s="128"/>
      <c r="IC22" s="128"/>
    </row>
    <row r="23" spans="32:237" x14ac:dyDescent="0.3">
      <c r="AF23" s="380">
        <v>11</v>
      </c>
      <c r="AG23" s="770">
        <f t="shared" si="11"/>
        <v>46599</v>
      </c>
      <c r="AH23" s="572">
        <f>-SUMIFS(BX:BX,BU:BU,"&lt;="&amp;AG23,BU:BU,"&gt;"&amp;AG22,BW:BW,"&lt;&gt;rp_sec")/10^4</f>
        <v>-1250</v>
      </c>
      <c r="AI23" s="572">
        <f t="shared" si="14"/>
        <v>17512.999999999996</v>
      </c>
      <c r="AJ23" s="771">
        <f>(SUMIFS(BZ:BZ,BU:BU,"&gt;"&amp;AG23)+SUMIFS(BZ:BZ,BW:BW,"rp_sec"))/10^4/AI23</f>
        <v>3.1162927681244796</v>
      </c>
      <c r="AK23" s="771" t="str">
        <f t="shared" si="12"/>
        <v/>
      </c>
      <c r="AL23" s="794" t="str">
        <f t="shared" si="13"/>
        <v/>
      </c>
      <c r="AO23" s="128">
        <v>49130</v>
      </c>
      <c r="AP23" s="128" t="s">
        <v>598</v>
      </c>
      <c r="AQ23" s="128" t="s">
        <v>824</v>
      </c>
      <c r="AR23" s="375" t="s">
        <v>3594</v>
      </c>
      <c r="AS23" s="375">
        <v>46091</v>
      </c>
      <c r="AT23" s="375">
        <v>46287</v>
      </c>
      <c r="AU23" s="530">
        <v>109511</v>
      </c>
      <c r="AV23" s="128">
        <v>49951</v>
      </c>
      <c r="AW23" s="530">
        <v>390000</v>
      </c>
      <c r="AX23" s="534">
        <f>_xlfn.XLOOKUP(Sell_unvalid[[#This Row],[DEAL_BUY_ID]],BS!BA:BA,BS!BE:BE,,0)</f>
        <v>109280</v>
      </c>
      <c r="AY23" s="534">
        <f>_xlfn.XLOOKUP(Sell_unvalid[[#This Row],[BOND_CODE]],FNRP!D:D,FNRP!I:I,_xlfn.XLOOKUP(Sell_unvalid[[#This Row],[BOND_CODE]],FNRP!AV:AV,FNRP!BA:BA,,0),0)</f>
        <v>109512</v>
      </c>
      <c r="AZ23" s="534">
        <f>_xlfn.XLOOKUP(Sell_unvalid[[#This Row],[DEAL_BUY_ID]],BS!BA:BA,BS!BQ:BQ,,0)*Sell_unvalid[[#This Row],[QUANTITY]]</f>
        <v>3415003858.9332533</v>
      </c>
      <c r="BA23" s="534">
        <f>(Sell_unvalid[[#This Row],[Giá MtM]]-10^5)*Sell_unvalid[[#This Row],[QUANTITY]]-Sell_unvalid[[#This Row],[PTCK remain]]</f>
        <v>294676141.06674671</v>
      </c>
      <c r="BB23" s="534">
        <f>(Sell_unvalid[[#This Row],[PRICE]]-10^5)*Sell_unvalid[[#This Row],[QUANTITY]]-Sell_unvalid[[#This Row],[PTCK remain]]</f>
        <v>294286141.06674671</v>
      </c>
      <c r="BC23" s="534" t="str">
        <f>IF(AND(Sell_unvalid[[#This Row],[VALUE_DATE]]&lt;=RPT,Sell_unvalid[[#This Row],[TRANSACTION_STATUS]]="N"),"Check","Ok")</f>
        <v>Ok</v>
      </c>
      <c r="BD23" s="534"/>
      <c r="BE23" s="615"/>
      <c r="BF23" s="128">
        <v>50163</v>
      </c>
      <c r="BG23" s="128" t="s">
        <v>2786</v>
      </c>
      <c r="BH23" s="128" t="s">
        <v>824</v>
      </c>
      <c r="BI23" s="128" t="s">
        <v>3594</v>
      </c>
      <c r="BJ23" s="375">
        <v>46204</v>
      </c>
      <c r="BK23" s="375">
        <v>46227</v>
      </c>
      <c r="BL23" s="128">
        <v>500000</v>
      </c>
      <c r="BM23" s="128">
        <v>96144</v>
      </c>
      <c r="BN23" s="534">
        <f>_xlfn.XLOOKUP(Buy_unvalid[[#This Row],[BOND_CODE]],FNRP!D:D,FNRP!I:I,,0)</f>
        <v>82446</v>
      </c>
      <c r="BO23" s="534">
        <f>_xlfn.XLOOKUP(Buy_unvalid[[#This Row],[DEAL_BUY_ID]],BS!BA:BA,BS!BQ:BQ,_xlfn.XLOOKUP(Buy_unvalid[[#This Row],[DEAL_BUY_ID]],BS!AL:AL,BS!AR:AR,,0),0)*Buy_unvalid[[#This Row],[QUANTITY]]</f>
        <v>-1916921871.8396599</v>
      </c>
      <c r="BP23" s="534">
        <f>(Buy_unvalid[[#This Row],[Giá MtM]]-10^5)*Buy_unvalid[[#This Row],[QUANTITY]]-Buy_unvalid[[#This Row],[PTCK remain]]</f>
        <v>-6860078128.1603403</v>
      </c>
      <c r="BQ23" s="534" t="str">
        <f>IF(AND(Buy_unvalid[[#This Row],[VALUE_DATE]]&lt;=RPT,Buy_unvalid[[#This Row],[TRANSACTION_STATUS]]="N"),"Check","Ok")</f>
        <v>Ok</v>
      </c>
      <c r="BS23" s="128"/>
      <c r="BT23" s="848">
        <v>50055</v>
      </c>
      <c r="BU23" s="849">
        <v>46301</v>
      </c>
      <c r="BV23" s="848">
        <v>50053</v>
      </c>
      <c r="BW23" s="848"/>
      <c r="BX23" s="530">
        <v>5200000</v>
      </c>
      <c r="BY23" s="735">
        <f>_xlfn.XLOOKUP(Est_NIM[[#This Row],[DEAL_BUY_ID]],BS!AL:AL,BS!AU:AU,_xlfn.XLOOKUP(Est_NIM[[#This Row],[DEAL_BUY_ID]],BS!BA:BA,BS!BJ:BJ,,0),0)</f>
        <v>4.8</v>
      </c>
      <c r="BZ23" s="534">
        <f>Est_NIM[[#This Row],[QUANT]]*Est_NIM[[#This Row],[YIELD]]</f>
        <v>24960000</v>
      </c>
      <c r="CA23" s="128"/>
      <c r="CB23" s="128"/>
      <c r="CE23" s="331"/>
      <c r="CF23" s="331"/>
      <c r="CG23" s="331"/>
      <c r="CH23">
        <v>3730</v>
      </c>
      <c r="CI23">
        <v>14282</v>
      </c>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8"/>
      <c r="DS23" s="128"/>
      <c r="DT23" s="128"/>
      <c r="DU23" s="128"/>
      <c r="DV23" s="128"/>
      <c r="DW23" s="128"/>
      <c r="DX23" s="530"/>
      <c r="DY23" s="530"/>
      <c r="DZ23" s="530"/>
      <c r="EA23" s="530"/>
      <c r="EB23" s="530"/>
      <c r="EC23" s="530"/>
      <c r="ED23" s="530"/>
      <c r="EE23" s="530"/>
      <c r="EF23" s="530"/>
      <c r="EG23" s="530"/>
      <c r="EH23" s="530"/>
      <c r="EI23" s="530"/>
      <c r="EJ23" s="530"/>
      <c r="EK23" s="530"/>
      <c r="EL23" s="530"/>
      <c r="EM23" s="530"/>
      <c r="EN23" s="530"/>
      <c r="EO23" s="530"/>
      <c r="EP23" s="530"/>
      <c r="EQ23" s="530"/>
      <c r="ER23" s="530"/>
      <c r="ES23" s="530"/>
      <c r="ET23" s="530"/>
      <c r="EU23" s="530"/>
      <c r="EV23" s="530"/>
      <c r="EW23" s="530"/>
      <c r="EX23" s="530"/>
      <c r="EY23" s="530"/>
      <c r="EZ23" s="530"/>
      <c r="FA23" s="530"/>
      <c r="FB23" s="530"/>
      <c r="FC23" s="530"/>
      <c r="FD23" s="530"/>
      <c r="FE23" s="530"/>
      <c r="FF23" s="530"/>
      <c r="FG23" s="530"/>
      <c r="FH23" s="530"/>
      <c r="FI23" s="530"/>
      <c r="FJ23" s="530"/>
      <c r="FK23" s="530"/>
      <c r="FL23" s="530"/>
      <c r="FM23" s="530"/>
      <c r="FN23" s="530"/>
      <c r="FO23" s="530"/>
      <c r="FP23" s="530"/>
      <c r="FQ23" s="530"/>
      <c r="GI23" s="128"/>
      <c r="GJ23" s="128"/>
      <c r="GK23" s="128"/>
      <c r="GL23" s="128"/>
      <c r="GM23" s="128"/>
      <c r="GN23" s="128"/>
      <c r="GO23" s="128"/>
      <c r="GP23" s="128"/>
      <c r="GQ23" s="128"/>
      <c r="GR23" s="128"/>
      <c r="GS23" s="128"/>
      <c r="GT23" s="128"/>
      <c r="GU23" s="128"/>
      <c r="GV23" s="128"/>
      <c r="GW23" s="128"/>
      <c r="GX23" s="128"/>
      <c r="GY23" s="128"/>
      <c r="GZ23" s="128"/>
      <c r="HA23" s="128"/>
      <c r="HB23" s="128"/>
      <c r="HC23" s="128"/>
      <c r="HD23" s="128"/>
      <c r="HE23" s="128"/>
      <c r="HF23" s="128"/>
      <c r="HG23" s="128"/>
      <c r="HH23" s="128"/>
      <c r="HI23" s="128"/>
      <c r="HJ23" s="128"/>
      <c r="HK23" s="128"/>
      <c r="HL23" s="128"/>
      <c r="HM23" s="128"/>
      <c r="HN23" s="128"/>
      <c r="HO23" s="128"/>
      <c r="HP23" s="128"/>
      <c r="HQ23" s="128"/>
      <c r="HR23" s="128"/>
      <c r="HS23" s="128"/>
      <c r="HT23" s="128"/>
      <c r="HU23" s="128"/>
      <c r="HV23" s="128"/>
      <c r="HW23" s="128"/>
      <c r="HX23" s="128"/>
      <c r="HY23" s="128"/>
      <c r="HZ23" s="128"/>
      <c r="IA23" s="128"/>
      <c r="IB23" s="128"/>
      <c r="IC23" s="128"/>
    </row>
    <row r="24" spans="32:237" x14ac:dyDescent="0.3">
      <c r="AF24" s="801">
        <v>12</v>
      </c>
      <c r="AG24" s="802">
        <f t="shared" si="11"/>
        <v>46630</v>
      </c>
      <c r="AH24" s="539">
        <f>-SUMIFS(BX:BX,BU:BU,"&lt;="&amp;AG24,BU:BU,"&gt;"&amp;AG23,BW:BW,"&lt;&gt;rp_sec")/10^4</f>
        <v>0</v>
      </c>
      <c r="AI24" s="539">
        <f t="shared" si="14"/>
        <v>17512.999999999996</v>
      </c>
      <c r="AJ24" s="803">
        <f>(SUMIFS(BZ:BZ,BU:BU,"&gt;"&amp;AG24)+SUMIFS(BZ:BZ,BW:BW,"rp_sec"))/10^4/AI24</f>
        <v>3.1162927681244796</v>
      </c>
      <c r="AK24" s="803" t="str">
        <f t="shared" si="12"/>
        <v/>
      </c>
      <c r="AL24" s="804" t="str">
        <f t="shared" si="13"/>
        <v/>
      </c>
      <c r="AO24" s="128">
        <v>49130</v>
      </c>
      <c r="AP24" s="128" t="s">
        <v>598</v>
      </c>
      <c r="AQ24" s="128" t="s">
        <v>824</v>
      </c>
      <c r="AR24" s="375" t="s">
        <v>3594</v>
      </c>
      <c r="AS24" s="375">
        <v>46091</v>
      </c>
      <c r="AT24" s="375">
        <v>46287</v>
      </c>
      <c r="AU24" s="530">
        <v>109511</v>
      </c>
      <c r="AV24" s="128">
        <v>49953</v>
      </c>
      <c r="AW24" s="530">
        <v>510000</v>
      </c>
      <c r="AX24" s="534">
        <f>_xlfn.XLOOKUP(Sell_unvalid[[#This Row],[DEAL_BUY_ID]],BS!BA:BA,BS!BE:BE,,0)</f>
        <v>109285</v>
      </c>
      <c r="AY24" s="534">
        <f>_xlfn.XLOOKUP(Sell_unvalid[[#This Row],[BOND_CODE]],FNRP!D:D,FNRP!I:I,_xlfn.XLOOKUP(Sell_unvalid[[#This Row],[BOND_CODE]],FNRP!AV:AV,FNRP!BA:BA,,0),0)</f>
        <v>109512</v>
      </c>
      <c r="AZ24" s="534">
        <f>_xlfn.XLOOKUP(Sell_unvalid[[#This Row],[DEAL_BUY_ID]],BS!BA:BA,BS!BQ:BQ,,0)*Sell_unvalid[[#This Row],[QUANTITY]]</f>
        <v>4468180291.7965136</v>
      </c>
      <c r="BA24" s="534">
        <f>(Sell_unvalid[[#This Row],[Giá MtM]]-10^5)*Sell_unvalid[[#This Row],[QUANTITY]]-Sell_unvalid[[#This Row],[PTCK remain]]</f>
        <v>382939708.20348644</v>
      </c>
      <c r="BB24" s="534">
        <f>(Sell_unvalid[[#This Row],[PRICE]]-10^5)*Sell_unvalid[[#This Row],[QUANTITY]]-Sell_unvalid[[#This Row],[PTCK remain]]</f>
        <v>382429708.20348644</v>
      </c>
      <c r="BC24" s="534" t="str">
        <f>IF(AND(Sell_unvalid[[#This Row],[VALUE_DATE]]&lt;=RPT,Sell_unvalid[[#This Row],[TRANSACTION_STATUS]]="N"),"Check","Ok")</f>
        <v>Ok</v>
      </c>
      <c r="BD24" s="534"/>
      <c r="BE24" s="615"/>
      <c r="BF24" s="128">
        <v>50165</v>
      </c>
      <c r="BG24" s="128" t="s">
        <v>3317</v>
      </c>
      <c r="BH24" s="128" t="s">
        <v>824</v>
      </c>
      <c r="BI24" s="375" t="s">
        <v>3594</v>
      </c>
      <c r="BJ24" s="375">
        <v>46204</v>
      </c>
      <c r="BK24" s="375">
        <v>46227</v>
      </c>
      <c r="BL24" s="530">
        <v>110000</v>
      </c>
      <c r="BM24" s="530">
        <v>98638</v>
      </c>
      <c r="BN24" s="534">
        <f>_xlfn.XLOOKUP(Buy_unvalid[[#This Row],[BOND_CODE]],FNRP!D:D,FNRP!I:I,,0)</f>
        <v>91987</v>
      </c>
      <c r="BO24" s="534">
        <f>_xlfn.XLOOKUP(Buy_unvalid[[#This Row],[DEAL_BUY_ID]],BS!BA:BA,BS!BQ:BQ,_xlfn.XLOOKUP(Buy_unvalid[[#This Row],[DEAL_BUY_ID]],BS!AL:AL,BS!AR:AR,,0),0)*Buy_unvalid[[#This Row],[QUANTITY]]</f>
        <v>-148686301.99233872</v>
      </c>
      <c r="BP24" s="534">
        <f>(Buy_unvalid[[#This Row],[Giá MtM]]-10^5)*Buy_unvalid[[#This Row],[QUANTITY]]-Buy_unvalid[[#This Row],[PTCK remain]]</f>
        <v>-732743698.00766134</v>
      </c>
      <c r="BQ24" s="534" t="str">
        <f>IF(AND(Buy_unvalid[[#This Row],[VALUE_DATE]]&lt;=RPT,Buy_unvalid[[#This Row],[TRANSACTION_STATUS]]="N"),"Check","Ok")</f>
        <v>Ok</v>
      </c>
      <c r="BS24" s="128"/>
      <c r="BT24" s="848">
        <v>50056</v>
      </c>
      <c r="BU24" s="849">
        <v>46301</v>
      </c>
      <c r="BV24" s="848">
        <v>50054</v>
      </c>
      <c r="BW24" s="848"/>
      <c r="BX24" s="530">
        <v>2500000</v>
      </c>
      <c r="BY24" s="735">
        <f>_xlfn.XLOOKUP(Est_NIM[[#This Row],[DEAL_BUY_ID]],BS!AL:AL,BS!AU:AU,_xlfn.XLOOKUP(Est_NIM[[#This Row],[DEAL_BUY_ID]],BS!BA:BA,BS!BJ:BJ,,0),0)</f>
        <v>4.8</v>
      </c>
      <c r="BZ24" s="534">
        <f>Est_NIM[[#This Row],[QUANT]]*Est_NIM[[#This Row],[YIELD]]</f>
        <v>12000000</v>
      </c>
      <c r="CA24" s="128"/>
      <c r="CB24" s="128"/>
      <c r="CE24" s="331"/>
      <c r="CF24" s="331"/>
      <c r="CG24" s="331"/>
      <c r="CH24">
        <v>3730</v>
      </c>
      <c r="CI24">
        <v>14282</v>
      </c>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8"/>
      <c r="DS24" s="128"/>
      <c r="DT24" s="128"/>
      <c r="DU24" s="128"/>
      <c r="DV24" s="128"/>
      <c r="DW24" s="128"/>
      <c r="DX24" s="530"/>
      <c r="DY24" s="530"/>
      <c r="DZ24" s="530"/>
      <c r="EA24" s="530"/>
      <c r="EB24" s="530"/>
      <c r="EC24" s="530"/>
      <c r="ED24" s="530"/>
      <c r="EE24" s="530"/>
      <c r="EF24" s="530"/>
      <c r="EG24" s="530"/>
      <c r="EH24" s="530"/>
      <c r="EI24" s="530"/>
      <c r="EJ24" s="530"/>
      <c r="EK24" s="530"/>
      <c r="EL24" s="530"/>
      <c r="EM24" s="530"/>
      <c r="EN24" s="530"/>
      <c r="EO24" s="530"/>
      <c r="EP24" s="530"/>
      <c r="EQ24" s="530"/>
      <c r="ER24" s="530"/>
      <c r="ES24" s="530"/>
      <c r="ET24" s="530"/>
      <c r="EU24" s="530"/>
      <c r="EV24" s="530"/>
      <c r="EW24" s="530"/>
      <c r="EX24" s="530"/>
      <c r="EY24" s="530"/>
      <c r="EZ24" s="530"/>
      <c r="FA24" s="530"/>
      <c r="FB24" s="530"/>
      <c r="FC24" s="530"/>
      <c r="FD24" s="530"/>
      <c r="FE24" s="530"/>
      <c r="FF24" s="530"/>
      <c r="FG24" s="530"/>
      <c r="FH24" s="530"/>
      <c r="FI24" s="530"/>
      <c r="FJ24" s="530"/>
      <c r="FK24" s="530"/>
      <c r="FL24" s="530"/>
      <c r="FM24" s="530"/>
      <c r="FN24" s="530"/>
      <c r="FO24" s="530"/>
      <c r="FP24" s="530"/>
      <c r="FQ24" s="530"/>
      <c r="GI24" s="128"/>
      <c r="GJ24" s="128"/>
      <c r="GK24" s="128"/>
      <c r="GL24" s="128"/>
      <c r="GM24" s="128"/>
      <c r="GN24" s="128"/>
      <c r="GO24" s="128"/>
      <c r="GP24" s="128"/>
      <c r="GQ24" s="128"/>
      <c r="GR24" s="128"/>
      <c r="GS24" s="128"/>
      <c r="GT24" s="128"/>
      <c r="GU24" s="128"/>
      <c r="GV24" s="128"/>
      <c r="GW24" s="128"/>
      <c r="GX24" s="128"/>
      <c r="GY24" s="128"/>
      <c r="GZ24" s="128"/>
      <c r="HA24" s="128"/>
      <c r="HB24" s="128"/>
      <c r="HC24" s="128"/>
      <c r="HD24" s="128"/>
      <c r="HE24" s="128"/>
      <c r="HF24" s="128"/>
      <c r="HG24" s="128"/>
      <c r="HH24" s="128"/>
      <c r="HI24" s="128"/>
      <c r="HJ24" s="128"/>
      <c r="HK24" s="128"/>
      <c r="HL24" s="128"/>
      <c r="HM24" s="128"/>
      <c r="HN24" s="128"/>
      <c r="HO24" s="128"/>
      <c r="HP24" s="128"/>
      <c r="HQ24" s="128"/>
      <c r="HR24" s="128"/>
      <c r="HS24" s="128"/>
      <c r="HT24" s="128"/>
      <c r="HU24" s="128"/>
      <c r="HV24" s="128"/>
      <c r="HW24" s="128"/>
      <c r="HX24" s="128"/>
      <c r="HY24" s="128"/>
      <c r="HZ24" s="128"/>
      <c r="IA24" s="128"/>
      <c r="IB24" s="128"/>
      <c r="IC24" s="128"/>
    </row>
    <row r="25" spans="32:237" x14ac:dyDescent="0.3">
      <c r="AO25" s="128">
        <v>50269</v>
      </c>
      <c r="AP25" s="128" t="s">
        <v>718</v>
      </c>
      <c r="AQ25" s="128" t="s">
        <v>824</v>
      </c>
      <c r="AR25" s="375" t="s">
        <v>3594</v>
      </c>
      <c r="AS25" s="375">
        <v>46233</v>
      </c>
      <c r="AT25" s="375">
        <v>46237</v>
      </c>
      <c r="AU25" s="530">
        <v>145917</v>
      </c>
      <c r="AV25" s="532">
        <v>48883</v>
      </c>
      <c r="AW25" s="530">
        <v>700000</v>
      </c>
      <c r="AX25" s="534">
        <f>_xlfn.XLOOKUP(Sell_unvalid[[#This Row],[DEAL_BUY_ID]],BS!BA:BA,BS!BE:BE,,0)</f>
        <v>146663</v>
      </c>
      <c r="AY25" s="534">
        <f>_xlfn.XLOOKUP(Sell_unvalid[[#This Row],[BOND_CODE]],FNRP!D:D,FNRP!I:I,_xlfn.XLOOKUP(Sell_unvalid[[#This Row],[BOND_CODE]],FNRP!AV:AV,FNRP!BA:BA,,0),0)</f>
        <v>142132</v>
      </c>
      <c r="AZ25" s="534">
        <f>_xlfn.XLOOKUP(Sell_unvalid[[#This Row],[DEAL_BUY_ID]],BS!BA:BA,BS!BQ:BQ,,0)*Sell_unvalid[[#This Row],[QUANTITY]]</f>
        <v>31813052483.111549</v>
      </c>
      <c r="BA25" s="534">
        <f>(Sell_unvalid[[#This Row],[Giá MtM]]-10^5)*Sell_unvalid[[#This Row],[QUANTITY]]-Sell_unvalid[[#This Row],[PTCK remain]]</f>
        <v>-2320652483.1115494</v>
      </c>
      <c r="BB25" s="534">
        <f>(Sell_unvalid[[#This Row],[PRICE]]-10^5)*Sell_unvalid[[#This Row],[QUANTITY]]-Sell_unvalid[[#This Row],[PTCK remain]]</f>
        <v>328847516.88845062</v>
      </c>
      <c r="BC25" s="534" t="str">
        <f>IF(AND(Sell_unvalid[[#This Row],[VALUE_DATE]]&lt;=RPT,Sell_unvalid[[#This Row],[TRANSACTION_STATUS]]="N"),"Check","Ok")</f>
        <v>Ok</v>
      </c>
      <c r="BD25" s="534"/>
      <c r="BE25" s="615"/>
      <c r="BF25" s="128">
        <v>50161</v>
      </c>
      <c r="BG25" s="128" t="s">
        <v>3051</v>
      </c>
      <c r="BH25" s="128" t="s">
        <v>824</v>
      </c>
      <c r="BI25" s="128" t="s">
        <v>3594</v>
      </c>
      <c r="BJ25" s="375">
        <v>46204</v>
      </c>
      <c r="BK25" s="375">
        <v>46227</v>
      </c>
      <c r="BL25" s="128">
        <v>1500000</v>
      </c>
      <c r="BM25" s="128">
        <v>95540</v>
      </c>
      <c r="BN25" s="534">
        <f>_xlfn.XLOOKUP(Buy_unvalid[[#This Row],[BOND_CODE]],FNRP!D:D,FNRP!I:I,,0)</f>
        <v>89638</v>
      </c>
      <c r="BO25" s="534">
        <f>_xlfn.XLOOKUP(Buy_unvalid[[#This Row],[DEAL_BUY_ID]],BS!BA:BA,BS!BQ:BQ,_xlfn.XLOOKUP(Buy_unvalid[[#This Row],[DEAL_BUY_ID]],BS!AL:AL,BS!AR:AR,,0),0)*Buy_unvalid[[#This Row],[QUANTITY]]</f>
        <v>-6634523584.3294659</v>
      </c>
      <c r="BP25" s="534">
        <f>(Buy_unvalid[[#This Row],[Giá MtM]]-10^5)*Buy_unvalid[[#This Row],[QUANTITY]]-Buy_unvalid[[#This Row],[PTCK remain]]</f>
        <v>-8908476415.6705341</v>
      </c>
      <c r="BQ25" s="534" t="str">
        <f>IF(AND(Buy_unvalid[[#This Row],[VALUE_DATE]]&lt;=RPT,Buy_unvalid[[#This Row],[TRANSACTION_STATUS]]="N"),"Check","Ok")</f>
        <v>Ok</v>
      </c>
      <c r="BS25" s="128"/>
      <c r="BT25" s="848">
        <v>50401</v>
      </c>
      <c r="BU25" s="849">
        <v>46254</v>
      </c>
      <c r="BV25" s="848">
        <v>50384</v>
      </c>
      <c r="BW25" s="848"/>
      <c r="BX25" s="530">
        <v>1000000</v>
      </c>
      <c r="BY25" s="735">
        <f>_xlfn.XLOOKUP(Est_NIM[[#This Row],[DEAL_BUY_ID]],BS!AL:AL,BS!AU:AU,_xlfn.XLOOKUP(Est_NIM[[#This Row],[DEAL_BUY_ID]],BS!BA:BA,BS!BJ:BJ,,0),0)</f>
        <v>4.32</v>
      </c>
      <c r="BZ25" s="534">
        <f>Est_NIM[[#This Row],[QUANT]]*Est_NIM[[#This Row],[YIELD]]</f>
        <v>4320000</v>
      </c>
      <c r="CA25" s="128"/>
      <c r="CB25" s="128"/>
      <c r="CE25" s="331"/>
      <c r="CF25" s="331"/>
      <c r="CG25" s="331"/>
      <c r="CH25">
        <v>3730</v>
      </c>
      <c r="CI25">
        <v>14282</v>
      </c>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8"/>
      <c r="DS25" s="128"/>
      <c r="DT25" s="128"/>
      <c r="DU25" s="128"/>
      <c r="DV25" s="128"/>
      <c r="DW25" s="128"/>
      <c r="DX25" s="530"/>
      <c r="DY25" s="530"/>
      <c r="DZ25" s="530"/>
      <c r="EA25" s="530"/>
      <c r="EB25" s="530"/>
      <c r="EC25" s="530"/>
      <c r="ED25" s="530"/>
      <c r="EE25" s="530"/>
      <c r="EF25" s="530"/>
      <c r="EG25" s="530"/>
      <c r="EH25" s="530"/>
      <c r="EI25" s="530"/>
      <c r="EJ25" s="530"/>
      <c r="EK25" s="530"/>
      <c r="EL25" s="530"/>
      <c r="EM25" s="530"/>
      <c r="EN25" s="530"/>
      <c r="EO25" s="530"/>
      <c r="EP25" s="530"/>
      <c r="EQ25" s="530"/>
      <c r="ER25" s="530"/>
      <c r="ES25" s="530"/>
      <c r="ET25" s="530"/>
      <c r="EU25" s="530"/>
      <c r="EV25" s="530"/>
      <c r="EW25" s="530"/>
      <c r="EX25" s="530"/>
      <c r="EY25" s="530"/>
      <c r="EZ25" s="530"/>
      <c r="FA25" s="530"/>
      <c r="FB25" s="530"/>
      <c r="FC25" s="530"/>
      <c r="FD25" s="530"/>
      <c r="FE25" s="530"/>
      <c r="FF25" s="530"/>
      <c r="FG25" s="530"/>
      <c r="FH25" s="530"/>
      <c r="FI25" s="530"/>
      <c r="FJ25" s="530"/>
      <c r="FK25" s="530"/>
      <c r="FL25" s="530"/>
      <c r="FM25" s="530"/>
      <c r="FN25" s="530"/>
      <c r="FO25" s="530"/>
      <c r="FP25" s="530"/>
      <c r="FQ25" s="530"/>
      <c r="GI25" s="128"/>
      <c r="GJ25" s="128"/>
      <c r="GK25" s="128"/>
      <c r="GL25" s="128"/>
      <c r="GM25" s="128"/>
      <c r="GN25" s="128"/>
      <c r="GO25" s="128"/>
      <c r="GP25" s="128"/>
      <c r="GQ25" s="128"/>
      <c r="GR25" s="128"/>
      <c r="GS25" s="128"/>
      <c r="GT25" s="128"/>
      <c r="GU25" s="128"/>
      <c r="GV25" s="128"/>
      <c r="GW25" s="128"/>
      <c r="GX25" s="128"/>
      <c r="GY25" s="128"/>
      <c r="GZ25" s="128"/>
      <c r="HA25" s="128"/>
      <c r="HB25" s="128"/>
      <c r="HC25" s="128"/>
      <c r="HD25" s="128"/>
      <c r="HE25" s="128"/>
      <c r="HF25" s="128"/>
      <c r="HG25" s="128"/>
      <c r="HH25" s="128"/>
      <c r="HI25" s="128"/>
      <c r="HJ25" s="128"/>
      <c r="HK25" s="128"/>
      <c r="HL25" s="128"/>
      <c r="HM25" s="128"/>
      <c r="HN25" s="128"/>
      <c r="HO25" s="128"/>
      <c r="HP25" s="128"/>
      <c r="HQ25" s="128"/>
      <c r="HR25" s="128"/>
      <c r="HS25" s="128"/>
      <c r="HT25" s="128"/>
      <c r="HU25" s="128"/>
      <c r="HV25" s="128"/>
      <c r="HW25" s="128"/>
      <c r="HX25" s="128"/>
      <c r="HY25" s="128"/>
      <c r="HZ25" s="128"/>
      <c r="IA25" s="128"/>
      <c r="IB25" s="128"/>
      <c r="IC25" s="128"/>
    </row>
    <row r="26" spans="32:237" x14ac:dyDescent="0.3">
      <c r="AO26" s="128">
        <v>50271</v>
      </c>
      <c r="AP26" s="128" t="s">
        <v>718</v>
      </c>
      <c r="AQ26" s="128" t="s">
        <v>824</v>
      </c>
      <c r="AR26" s="375" t="s">
        <v>3594</v>
      </c>
      <c r="AS26" s="375">
        <v>46233</v>
      </c>
      <c r="AT26" s="375">
        <v>46237</v>
      </c>
      <c r="AU26" s="530">
        <v>145917</v>
      </c>
      <c r="AV26" s="128">
        <v>48883</v>
      </c>
      <c r="AW26" s="530">
        <v>2200000</v>
      </c>
      <c r="AX26" s="534">
        <f>_xlfn.XLOOKUP(Sell_unvalid[[#This Row],[DEAL_BUY_ID]],BS!BA:BA,BS!BE:BE,,0)</f>
        <v>146663</v>
      </c>
      <c r="AY26" s="534">
        <f>_xlfn.XLOOKUP(Sell_unvalid[[#This Row],[BOND_CODE]],FNRP!D:D,FNRP!I:I,_xlfn.XLOOKUP(Sell_unvalid[[#This Row],[BOND_CODE]],FNRP!AV:AV,FNRP!BA:BA,,0),0)</f>
        <v>142132</v>
      </c>
      <c r="AZ26" s="534">
        <f>_xlfn.XLOOKUP(Sell_unvalid[[#This Row],[DEAL_BUY_ID]],BS!BA:BA,BS!BQ:BQ,,0)*Sell_unvalid[[#This Row],[QUANTITY]]</f>
        <v>99983879232.636292</v>
      </c>
      <c r="BA26" s="534">
        <f>(Sell_unvalid[[#This Row],[Giá MtM]]-10^5)*Sell_unvalid[[#This Row],[QUANTITY]]-Sell_unvalid[[#This Row],[PTCK remain]]</f>
        <v>-7293479232.6362915</v>
      </c>
      <c r="BB26" s="534">
        <f>(Sell_unvalid[[#This Row],[PRICE]]-10^5)*Sell_unvalid[[#This Row],[QUANTITY]]-Sell_unvalid[[#This Row],[PTCK remain]]</f>
        <v>1033520767.3637085</v>
      </c>
      <c r="BC26" s="534" t="str">
        <f>IF(AND(Sell_unvalid[[#This Row],[VALUE_DATE]]&lt;=RPT,Sell_unvalid[[#This Row],[TRANSACTION_STATUS]]="N"),"Check","Ok")</f>
        <v>Ok</v>
      </c>
      <c r="BD26" s="534"/>
      <c r="BE26" s="615"/>
      <c r="BF26" s="128">
        <v>50223</v>
      </c>
      <c r="BG26" s="128" t="s">
        <v>2497</v>
      </c>
      <c r="BH26" s="128" t="s">
        <v>824</v>
      </c>
      <c r="BI26" s="375" t="s">
        <v>2234</v>
      </c>
      <c r="BJ26" s="375">
        <v>46225</v>
      </c>
      <c r="BK26" s="375">
        <v>46272</v>
      </c>
      <c r="BL26" s="530">
        <v>4500000</v>
      </c>
      <c r="BM26" s="530">
        <v>93845</v>
      </c>
      <c r="BN26" s="534">
        <f>_xlfn.XLOOKUP(Buy_unvalid[[#This Row],[BOND_CODE]],FNRP!D:D,FNRP!I:I,,0)</f>
        <v>92330</v>
      </c>
      <c r="BO26" s="534">
        <f>_xlfn.XLOOKUP(Buy_unvalid[[#This Row],[DEAL_BUY_ID]],BS!BA:BA,BS!BQ:BQ,_xlfn.XLOOKUP(Buy_unvalid[[#This Row],[DEAL_BUY_ID]],BS!AL:AL,BS!AR:AR,,0),0)*Buy_unvalid[[#This Row],[QUANTITY]]</f>
        <v>-27752465825.49295</v>
      </c>
      <c r="BP26" s="534">
        <f>(Buy_unvalid[[#This Row],[Giá MtM]]-10^5)*Buy_unvalid[[#This Row],[QUANTITY]]-Buy_unvalid[[#This Row],[PTCK remain]]</f>
        <v>-6762534174.5070496</v>
      </c>
      <c r="BQ26" s="534" t="str">
        <f>IF(AND(Buy_unvalid[[#This Row],[VALUE_DATE]]&lt;=RPT,Buy_unvalid[[#This Row],[TRANSACTION_STATUS]]="N"),"Check","Ok")</f>
        <v>Ok</v>
      </c>
      <c r="BS26" s="128"/>
      <c r="BT26" s="848">
        <v>50425</v>
      </c>
      <c r="BU26" s="849">
        <v>46255</v>
      </c>
      <c r="BV26" s="848">
        <v>49700</v>
      </c>
      <c r="BW26" s="848"/>
      <c r="BX26" s="530">
        <v>1000000</v>
      </c>
      <c r="BY26" s="735">
        <f>_xlfn.XLOOKUP(Est_NIM[[#This Row],[DEAL_BUY_ID]],BS!AL:AL,BS!AU:AU,_xlfn.XLOOKUP(Est_NIM[[#This Row],[DEAL_BUY_ID]],BS!BA:BA,BS!BJ:BJ,,0),0)</f>
        <v>3.0305</v>
      </c>
      <c r="BZ26" s="534">
        <f>Est_NIM[[#This Row],[QUANT]]*Est_NIM[[#This Row],[YIELD]]</f>
        <v>3030500</v>
      </c>
      <c r="CA26" s="128"/>
      <c r="CB26" s="128"/>
      <c r="CE26" s="331"/>
      <c r="CF26" s="331"/>
      <c r="CG26" s="331"/>
      <c r="CH26">
        <v>3730</v>
      </c>
      <c r="CI26">
        <v>14282</v>
      </c>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8"/>
      <c r="DS26" s="128"/>
      <c r="DT26" s="128"/>
      <c r="DU26" s="128"/>
      <c r="DV26" s="128"/>
      <c r="DW26" s="128"/>
      <c r="DX26" s="530"/>
      <c r="DY26" s="530"/>
      <c r="DZ26" s="530"/>
      <c r="EA26" s="530"/>
      <c r="EB26" s="530"/>
      <c r="EC26" s="530"/>
      <c r="ED26" s="530"/>
      <c r="EE26" s="530"/>
      <c r="EF26" s="530"/>
      <c r="EG26" s="530"/>
      <c r="EH26" s="530"/>
      <c r="EI26" s="530"/>
      <c r="EJ26" s="530"/>
      <c r="EK26" s="530"/>
      <c r="EL26" s="530"/>
      <c r="EM26" s="530"/>
      <c r="EN26" s="530"/>
      <c r="EO26" s="530"/>
      <c r="EP26" s="530"/>
      <c r="EQ26" s="530"/>
      <c r="ER26" s="530"/>
      <c r="ES26" s="530"/>
      <c r="ET26" s="530"/>
      <c r="EU26" s="530"/>
      <c r="EV26" s="530"/>
      <c r="EW26" s="530"/>
      <c r="EX26" s="530"/>
      <c r="EY26" s="530"/>
      <c r="EZ26" s="530"/>
      <c r="FA26" s="530"/>
      <c r="FB26" s="530"/>
      <c r="FC26" s="530"/>
      <c r="FD26" s="530"/>
      <c r="FE26" s="530"/>
      <c r="FF26" s="530"/>
      <c r="FG26" s="530"/>
      <c r="FH26" s="530"/>
      <c r="FI26" s="530"/>
      <c r="FJ26" s="530"/>
      <c r="FK26" s="530"/>
      <c r="FL26" s="530"/>
      <c r="FM26" s="530"/>
      <c r="FN26" s="530"/>
      <c r="FO26" s="530"/>
      <c r="FP26" s="530"/>
      <c r="FQ26" s="530"/>
      <c r="GI26" s="128"/>
      <c r="GJ26" s="128"/>
      <c r="GK26" s="128"/>
      <c r="GL26" s="128"/>
      <c r="GM26" s="128"/>
      <c r="GN26" s="128"/>
      <c r="GO26" s="128"/>
      <c r="GP26" s="128"/>
      <c r="GQ26" s="128"/>
      <c r="GR26" s="128"/>
      <c r="GS26" s="128"/>
      <c r="GT26" s="128"/>
      <c r="GU26" s="128"/>
      <c r="GV26" s="128"/>
      <c r="GW26" s="128"/>
      <c r="GX26" s="128"/>
      <c r="GY26" s="128"/>
      <c r="GZ26" s="128"/>
      <c r="HA26" s="128"/>
      <c r="HB26" s="128"/>
      <c r="HC26" s="128"/>
      <c r="HD26" s="128"/>
      <c r="HE26" s="128"/>
      <c r="HF26" s="128"/>
      <c r="HG26" s="128"/>
      <c r="HH26" s="128"/>
      <c r="HI26" s="128"/>
      <c r="HJ26" s="128"/>
      <c r="HK26" s="128"/>
      <c r="HL26" s="128"/>
      <c r="HM26" s="128"/>
      <c r="HN26" s="128"/>
      <c r="HO26" s="128"/>
      <c r="HP26" s="128"/>
      <c r="HQ26" s="128"/>
      <c r="HR26" s="128"/>
      <c r="HS26" s="128"/>
      <c r="HT26" s="128"/>
      <c r="HU26" s="128"/>
      <c r="HV26" s="128"/>
      <c r="HW26" s="128"/>
      <c r="HX26" s="128"/>
      <c r="HY26" s="128"/>
      <c r="HZ26" s="128"/>
      <c r="IA26" s="128"/>
      <c r="IB26" s="128"/>
      <c r="IC26" s="128"/>
    </row>
    <row r="27" spans="32:237" x14ac:dyDescent="0.3">
      <c r="AO27" s="128">
        <v>50306</v>
      </c>
      <c r="AP27" s="128" t="s">
        <v>615</v>
      </c>
      <c r="AQ27" s="128" t="s">
        <v>824</v>
      </c>
      <c r="AR27" s="375" t="s">
        <v>3594</v>
      </c>
      <c r="AS27" s="375">
        <v>46239</v>
      </c>
      <c r="AT27" s="375">
        <v>46244</v>
      </c>
      <c r="AU27" s="530">
        <v>115134</v>
      </c>
      <c r="AV27" s="128">
        <v>48880</v>
      </c>
      <c r="AW27" s="530">
        <v>450000</v>
      </c>
      <c r="AX27" s="534">
        <f>_xlfn.XLOOKUP(Sell_unvalid[[#This Row],[DEAL_BUY_ID]],BS!BA:BA,BS!BE:BE,,0)</f>
        <v>116712</v>
      </c>
      <c r="AY27" s="534">
        <f>_xlfn.XLOOKUP(Sell_unvalid[[#This Row],[BOND_CODE]],FNRP!D:D,FNRP!I:I,_xlfn.XLOOKUP(Sell_unvalid[[#This Row],[BOND_CODE]],FNRP!AV:AV,FNRP!BA:BA,,0),0)</f>
        <v>113876</v>
      </c>
      <c r="AZ27" s="534">
        <f>_xlfn.XLOOKUP(Sell_unvalid[[#This Row],[DEAL_BUY_ID]],BS!BA:BA,BS!BQ:BQ,,0)*Sell_unvalid[[#This Row],[QUANTITY]]</f>
        <v>6723058203.889432</v>
      </c>
      <c r="BA27" s="534">
        <f>(Sell_unvalid[[#This Row],[Giá MtM]]-10^5)*Sell_unvalid[[#This Row],[QUANTITY]]-Sell_unvalid[[#This Row],[PTCK remain]]</f>
        <v>-478858203.88943195</v>
      </c>
      <c r="BB27" s="534">
        <f>(Sell_unvalid[[#This Row],[PRICE]]-10^5)*Sell_unvalid[[#This Row],[QUANTITY]]-Sell_unvalid[[#This Row],[PTCK remain]]</f>
        <v>87241796.110568047</v>
      </c>
      <c r="BC27" s="534" t="str">
        <f>IF(AND(Sell_unvalid[[#This Row],[VALUE_DATE]]&lt;=RPT,Sell_unvalid[[#This Row],[TRANSACTION_STATUS]]="N"),"Check","Ok")</f>
        <v>Ok</v>
      </c>
      <c r="BD27" s="534"/>
      <c r="BE27" s="615"/>
      <c r="BF27" s="128">
        <v>50225</v>
      </c>
      <c r="BG27" s="128" t="s">
        <v>2497</v>
      </c>
      <c r="BH27" s="128" t="s">
        <v>824</v>
      </c>
      <c r="BI27" s="128" t="s">
        <v>2234</v>
      </c>
      <c r="BJ27" s="375">
        <v>46225</v>
      </c>
      <c r="BK27" s="375">
        <v>46272</v>
      </c>
      <c r="BL27" s="128">
        <v>2000000</v>
      </c>
      <c r="BM27" s="128">
        <v>93824</v>
      </c>
      <c r="BN27" s="534">
        <f>_xlfn.XLOOKUP(Buy_unvalid[[#This Row],[BOND_CODE]],FNRP!D:D,FNRP!I:I,,0)</f>
        <v>92330</v>
      </c>
      <c r="BO27" s="534">
        <f>_xlfn.XLOOKUP(Buy_unvalid[[#This Row],[DEAL_BUY_ID]],BS!BA:BA,BS!BQ:BQ,_xlfn.XLOOKUP(Buy_unvalid[[#This Row],[DEAL_BUY_ID]],BS!AL:AL,BS!AR:AR,,0),0)*Buy_unvalid[[#This Row],[QUANTITY]]</f>
        <v>-12376511574.734827</v>
      </c>
      <c r="BP27" s="534">
        <f>(Buy_unvalid[[#This Row],[Giá MtM]]-10^5)*Buy_unvalid[[#This Row],[QUANTITY]]-Buy_unvalid[[#This Row],[PTCK remain]]</f>
        <v>-2963488425.265173</v>
      </c>
      <c r="BQ27" s="534" t="str">
        <f>IF(AND(Buy_unvalid[[#This Row],[VALUE_DATE]]&lt;=RPT,Buy_unvalid[[#This Row],[TRANSACTION_STATUS]]="N"),"Check","Ok")</f>
        <v>Ok</v>
      </c>
      <c r="BS27" s="128"/>
      <c r="BT27" s="848">
        <v>50333</v>
      </c>
      <c r="BU27" s="849">
        <v>46598</v>
      </c>
      <c r="BV27" s="848">
        <v>50424</v>
      </c>
      <c r="BW27" s="848"/>
      <c r="BX27" s="530">
        <v>500000</v>
      </c>
      <c r="BY27" s="735">
        <f>_xlfn.XLOOKUP(Est_NIM[[#This Row],[DEAL_BUY_ID]],BS!AL:AL,BS!AU:AU,_xlfn.XLOOKUP(Est_NIM[[#This Row],[DEAL_BUY_ID]],BS!BA:BA,BS!BJ:BJ,,0),0)</f>
        <v>2.2999999999999998</v>
      </c>
      <c r="BZ27" s="534">
        <f>Est_NIM[[#This Row],[QUANT]]*Est_NIM[[#This Row],[YIELD]]</f>
        <v>1150000</v>
      </c>
      <c r="CA27" s="128"/>
      <c r="CB27" s="128"/>
      <c r="CE27" s="331"/>
      <c r="CF27" s="331"/>
      <c r="CG27" s="331"/>
      <c r="CH27">
        <v>3730</v>
      </c>
      <c r="CI27">
        <v>14282</v>
      </c>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8"/>
      <c r="DS27" s="128"/>
      <c r="DT27" s="128"/>
      <c r="DU27" s="128"/>
      <c r="DV27" s="128"/>
      <c r="DW27" s="128"/>
      <c r="DX27" s="530"/>
      <c r="DY27" s="530"/>
      <c r="DZ27" s="530"/>
      <c r="EA27" s="530"/>
      <c r="EB27" s="530"/>
      <c r="EC27" s="530"/>
      <c r="ED27" s="530"/>
      <c r="EE27" s="530"/>
      <c r="EF27" s="530"/>
      <c r="EG27" s="530"/>
      <c r="EH27" s="530"/>
      <c r="EI27" s="530"/>
      <c r="EJ27" s="530"/>
      <c r="EK27" s="530"/>
      <c r="EL27" s="530"/>
      <c r="EM27" s="530"/>
      <c r="EN27" s="530"/>
      <c r="EO27" s="530"/>
      <c r="EP27" s="530"/>
      <c r="EQ27" s="530"/>
      <c r="ER27" s="530"/>
      <c r="ES27" s="530"/>
      <c r="ET27" s="530"/>
      <c r="EU27" s="530"/>
      <c r="EV27" s="530"/>
      <c r="EW27" s="530"/>
      <c r="EX27" s="530"/>
      <c r="EY27" s="530"/>
      <c r="EZ27" s="530"/>
      <c r="FA27" s="530"/>
      <c r="FB27" s="530"/>
      <c r="FC27" s="530"/>
      <c r="FD27" s="530"/>
      <c r="FE27" s="530"/>
      <c r="FF27" s="530"/>
      <c r="FG27" s="530"/>
      <c r="FH27" s="530"/>
      <c r="FI27" s="530"/>
      <c r="FJ27" s="530"/>
      <c r="FK27" s="530"/>
      <c r="FL27" s="530"/>
      <c r="FM27" s="530"/>
      <c r="FN27" s="530"/>
      <c r="FO27" s="530"/>
      <c r="FP27" s="530"/>
      <c r="FQ27" s="530"/>
      <c r="GI27" s="128"/>
      <c r="GJ27" s="128"/>
      <c r="GK27" s="128"/>
      <c r="GL27" s="128"/>
      <c r="GM27" s="128"/>
      <c r="GN27" s="128"/>
      <c r="GO27" s="128"/>
      <c r="GP27" s="128"/>
      <c r="GQ27" s="128"/>
      <c r="GR27" s="128"/>
      <c r="GS27" s="128"/>
      <c r="GT27" s="128"/>
      <c r="GU27" s="128"/>
      <c r="GV27" s="128"/>
      <c r="GW27" s="128"/>
      <c r="GX27" s="128"/>
      <c r="GY27" s="128"/>
      <c r="GZ27" s="128"/>
      <c r="HA27" s="128"/>
      <c r="HB27" s="128"/>
      <c r="HC27" s="128"/>
      <c r="HD27" s="128"/>
      <c r="HE27" s="128"/>
      <c r="HF27" s="128"/>
      <c r="HG27" s="128"/>
      <c r="HH27" s="128"/>
      <c r="HI27" s="128"/>
      <c r="HJ27" s="128"/>
      <c r="HK27" s="128"/>
      <c r="HL27" s="128"/>
      <c r="HM27" s="128"/>
      <c r="HN27" s="128"/>
      <c r="HO27" s="128"/>
      <c r="HP27" s="128"/>
      <c r="HQ27" s="128"/>
      <c r="HR27" s="128"/>
      <c r="HS27" s="128"/>
      <c r="HT27" s="128"/>
      <c r="HU27" s="128"/>
      <c r="HV27" s="128"/>
      <c r="HW27" s="128"/>
      <c r="HX27" s="128"/>
      <c r="HY27" s="128"/>
      <c r="HZ27" s="128"/>
      <c r="IA27" s="128"/>
      <c r="IB27" s="128"/>
      <c r="IC27" s="128"/>
    </row>
    <row r="28" spans="32:237" x14ac:dyDescent="0.3">
      <c r="AO28" s="128">
        <v>50305</v>
      </c>
      <c r="AP28" s="128" t="s">
        <v>615</v>
      </c>
      <c r="AQ28" s="128" t="s">
        <v>824</v>
      </c>
      <c r="AR28" s="128" t="s">
        <v>3594</v>
      </c>
      <c r="AS28" s="375">
        <v>46239</v>
      </c>
      <c r="AT28" s="375">
        <v>46244</v>
      </c>
      <c r="AU28" s="530">
        <v>115134</v>
      </c>
      <c r="AV28" s="128">
        <v>48880</v>
      </c>
      <c r="AW28" s="530">
        <v>850000</v>
      </c>
      <c r="AX28" s="534">
        <f>_xlfn.XLOOKUP(Sell_unvalid[[#This Row],[DEAL_BUY_ID]],BS!BA:BA,BS!BE:BE,,0)</f>
        <v>116712</v>
      </c>
      <c r="AY28" s="534">
        <f>_xlfn.XLOOKUP(Sell_unvalid[[#This Row],[BOND_CODE]],FNRP!D:D,FNRP!I:I,_xlfn.XLOOKUP(Sell_unvalid[[#This Row],[BOND_CODE]],FNRP!AV:AV,FNRP!BA:BA,,0),0)</f>
        <v>113876</v>
      </c>
      <c r="AZ28" s="534">
        <f>_xlfn.XLOOKUP(Sell_unvalid[[#This Row],[DEAL_BUY_ID]],BS!BA:BA,BS!BQ:BQ,,0)*Sell_unvalid[[#This Row],[QUANTITY]]</f>
        <v>12699109940.680038</v>
      </c>
      <c r="BA28" s="534">
        <f>(Sell_unvalid[[#This Row],[Giá MtM]]-10^5)*Sell_unvalid[[#This Row],[QUANTITY]]-Sell_unvalid[[#This Row],[PTCK remain]]</f>
        <v>-904509940.68003845</v>
      </c>
      <c r="BB28" s="534">
        <f>(Sell_unvalid[[#This Row],[PRICE]]-10^5)*Sell_unvalid[[#This Row],[QUANTITY]]-Sell_unvalid[[#This Row],[PTCK remain]]</f>
        <v>164790059.31996155</v>
      </c>
      <c r="BC28" s="534" t="str">
        <f>IF(AND(Sell_unvalid[[#This Row],[VALUE_DATE]]&lt;=RPT,Sell_unvalid[[#This Row],[TRANSACTION_STATUS]]="N"),"Check","Ok")</f>
        <v>Ok</v>
      </c>
      <c r="BD28" s="534"/>
      <c r="BE28" s="615"/>
      <c r="BF28" s="128">
        <v>50227</v>
      </c>
      <c r="BG28" s="128" t="s">
        <v>2497</v>
      </c>
      <c r="BH28" s="128" t="s">
        <v>824</v>
      </c>
      <c r="BI28" s="128" t="s">
        <v>2234</v>
      </c>
      <c r="BJ28" s="375">
        <v>46225</v>
      </c>
      <c r="BK28" s="375">
        <v>46273</v>
      </c>
      <c r="BL28" s="128">
        <v>3000000</v>
      </c>
      <c r="BM28" s="128">
        <v>93843</v>
      </c>
      <c r="BN28" s="534">
        <f>_xlfn.XLOOKUP(Buy_unvalid[[#This Row],[BOND_CODE]],FNRP!D:D,FNRP!I:I,,0)</f>
        <v>92330</v>
      </c>
      <c r="BO28" s="534">
        <f>_xlfn.XLOOKUP(Buy_unvalid[[#This Row],[DEAL_BUY_ID]],BS!BA:BA,BS!BQ:BQ,_xlfn.XLOOKUP(Buy_unvalid[[#This Row],[DEAL_BUY_ID]],BS!AL:AL,BS!AR:AR,,0),0)*Buy_unvalid[[#This Row],[QUANTITY]]</f>
        <v>-18508082522.481285</v>
      </c>
      <c r="BP28" s="534">
        <f>(Buy_unvalid[[#This Row],[Giá MtM]]-10^5)*Buy_unvalid[[#This Row],[QUANTITY]]-Buy_unvalid[[#This Row],[PTCK remain]]</f>
        <v>-4501917477.5187149</v>
      </c>
      <c r="BQ28" s="534" t="str">
        <f>IF(AND(Buy_unvalid[[#This Row],[VALUE_DATE]]&lt;=RPT,Buy_unvalid[[#This Row],[TRANSACTION_STATUS]]="N"),"Check","Ok")</f>
        <v>Ok</v>
      </c>
      <c r="BS28" s="128"/>
      <c r="BT28" s="848">
        <v>50423</v>
      </c>
      <c r="BU28" s="849">
        <v>46255</v>
      </c>
      <c r="BV28" s="848">
        <v>50382</v>
      </c>
      <c r="BW28" s="848"/>
      <c r="BX28" s="530">
        <v>500000</v>
      </c>
      <c r="BY28" s="735">
        <f>_xlfn.XLOOKUP(Est_NIM[[#This Row],[DEAL_BUY_ID]],BS!AL:AL,BS!AU:AU,_xlfn.XLOOKUP(Est_NIM[[#This Row],[DEAL_BUY_ID]],BS!BA:BA,BS!BJ:BJ,,0),0)</f>
        <v>4.4831000000000003</v>
      </c>
      <c r="BZ28" s="534">
        <f>Est_NIM[[#This Row],[QUANT]]*Est_NIM[[#This Row],[YIELD]]</f>
        <v>2241550</v>
      </c>
      <c r="CA28" s="128"/>
      <c r="CB28" s="128"/>
      <c r="CE28" s="331"/>
      <c r="CF28" s="331"/>
      <c r="CG28" s="331"/>
      <c r="CH28">
        <v>3730</v>
      </c>
      <c r="CI28">
        <v>14282</v>
      </c>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8"/>
      <c r="DS28" s="128"/>
      <c r="DT28" s="128"/>
      <c r="DU28" s="128"/>
      <c r="DV28" s="128"/>
      <c r="DW28" s="128"/>
      <c r="DX28" s="530"/>
      <c r="DY28" s="530"/>
      <c r="DZ28" s="530"/>
      <c r="EA28" s="530"/>
      <c r="EB28" s="530"/>
      <c r="EC28" s="530"/>
      <c r="ED28" s="530"/>
      <c r="EE28" s="530"/>
      <c r="EF28" s="530"/>
      <c r="EG28" s="530"/>
      <c r="EH28" s="530"/>
      <c r="EI28" s="530"/>
      <c r="EJ28" s="530"/>
      <c r="EK28" s="530"/>
      <c r="EL28" s="530"/>
      <c r="EM28" s="530"/>
      <c r="EN28" s="530"/>
      <c r="EO28" s="530"/>
      <c r="EP28" s="530"/>
      <c r="EQ28" s="530"/>
      <c r="ER28" s="530"/>
      <c r="ES28" s="530"/>
      <c r="ET28" s="530"/>
      <c r="EU28" s="530"/>
      <c r="EV28" s="530"/>
      <c r="EW28" s="530"/>
      <c r="EX28" s="530"/>
      <c r="EY28" s="530"/>
      <c r="EZ28" s="530"/>
      <c r="FA28" s="530"/>
      <c r="FB28" s="530"/>
      <c r="FC28" s="530"/>
      <c r="FD28" s="530"/>
      <c r="FE28" s="530"/>
      <c r="FF28" s="530"/>
      <c r="FG28" s="530"/>
      <c r="FH28" s="530"/>
      <c r="FI28" s="530"/>
      <c r="FJ28" s="530"/>
      <c r="FK28" s="530"/>
      <c r="FL28" s="530"/>
      <c r="FM28" s="530"/>
      <c r="FN28" s="530"/>
      <c r="FO28" s="530"/>
      <c r="FP28" s="530"/>
      <c r="FQ28" s="530"/>
      <c r="GI28" s="128"/>
      <c r="GJ28" s="128"/>
      <c r="GK28" s="128"/>
      <c r="GL28" s="128"/>
      <c r="GM28" s="128"/>
      <c r="GN28" s="128"/>
      <c r="GO28" s="128"/>
      <c r="GP28" s="128"/>
      <c r="GQ28" s="128"/>
      <c r="GR28" s="128"/>
      <c r="GS28" s="128"/>
      <c r="GT28" s="128"/>
      <c r="GU28" s="128"/>
      <c r="GV28" s="128"/>
      <c r="GW28" s="128"/>
      <c r="GX28" s="128"/>
      <c r="GY28" s="128"/>
      <c r="GZ28" s="128"/>
      <c r="HA28" s="128"/>
      <c r="HB28" s="128"/>
      <c r="HC28" s="128"/>
      <c r="HD28" s="128"/>
      <c r="HE28" s="128"/>
      <c r="HF28" s="128"/>
      <c r="HG28" s="128"/>
      <c r="HH28" s="128"/>
      <c r="HI28" s="128"/>
      <c r="HJ28" s="128"/>
      <c r="HK28" s="128"/>
      <c r="HL28" s="128"/>
      <c r="HM28" s="128"/>
      <c r="HN28" s="128"/>
      <c r="HO28" s="128"/>
      <c r="HP28" s="128"/>
      <c r="HQ28" s="128"/>
      <c r="HR28" s="128"/>
      <c r="HS28" s="128"/>
      <c r="HT28" s="128"/>
      <c r="HU28" s="128"/>
      <c r="HV28" s="128"/>
      <c r="HW28" s="128"/>
      <c r="HX28" s="128"/>
      <c r="HY28" s="128"/>
      <c r="HZ28" s="128"/>
      <c r="IA28" s="128"/>
      <c r="IB28" s="128"/>
      <c r="IC28" s="128"/>
    </row>
    <row r="29" spans="32:237" x14ac:dyDescent="0.3">
      <c r="AJ29" s="362"/>
      <c r="AO29" s="128">
        <v>49127</v>
      </c>
      <c r="AP29" s="128" t="s">
        <v>608</v>
      </c>
      <c r="AQ29" s="128" t="s">
        <v>824</v>
      </c>
      <c r="AR29" s="128" t="s">
        <v>3594</v>
      </c>
      <c r="AS29" s="375">
        <v>46091</v>
      </c>
      <c r="AT29" s="375">
        <v>46287</v>
      </c>
      <c r="AU29" s="530">
        <v>112036</v>
      </c>
      <c r="AV29" s="128">
        <v>49123</v>
      </c>
      <c r="AW29" s="530">
        <v>3000000</v>
      </c>
      <c r="AX29" s="534">
        <f>_xlfn.XLOOKUP(Sell_unvalid[[#This Row],[DEAL_BUY_ID]],BS!BA:BA,BS!BE:BE,,0)</f>
        <v>112720</v>
      </c>
      <c r="AY29" s="534">
        <f>_xlfn.XLOOKUP(Sell_unvalid[[#This Row],[BOND_CODE]],FNRP!D:D,FNRP!I:I,_xlfn.XLOOKUP(Sell_unvalid[[#This Row],[BOND_CODE]],FNRP!AV:AV,FNRP!BA:BA,,0),0)</f>
        <v>111831</v>
      </c>
      <c r="AZ29" s="534">
        <f>_xlfn.XLOOKUP(Sell_unvalid[[#This Row],[DEAL_BUY_ID]],BS!BA:BA,BS!BQ:BQ,,0)*Sell_unvalid[[#This Row],[QUANTITY]]</f>
        <v>33947468703.026161</v>
      </c>
      <c r="BA29" s="534">
        <f>(Sell_unvalid[[#This Row],[Giá MtM]]-10^5)*Sell_unvalid[[#This Row],[QUANTITY]]-Sell_unvalid[[#This Row],[PTCK remain]]</f>
        <v>1545531296.9738388</v>
      </c>
      <c r="BB29" s="534">
        <f>(Sell_unvalid[[#This Row],[PRICE]]-10^5)*Sell_unvalid[[#This Row],[QUANTITY]]-Sell_unvalid[[#This Row],[PTCK remain]]</f>
        <v>2160531296.9738388</v>
      </c>
      <c r="BC29" s="534" t="str">
        <f>IF(AND(Sell_unvalid[[#This Row],[VALUE_DATE]]&lt;=RPT,Sell_unvalid[[#This Row],[TRANSACTION_STATUS]]="N"),"Check","Ok")</f>
        <v>Ok</v>
      </c>
      <c r="BD29" s="534"/>
      <c r="BE29" s="615"/>
      <c r="BF29" s="128">
        <v>50229</v>
      </c>
      <c r="BG29" s="128" t="s">
        <v>2497</v>
      </c>
      <c r="BH29" s="128" t="s">
        <v>824</v>
      </c>
      <c r="BI29" s="128" t="s">
        <v>2234</v>
      </c>
      <c r="BJ29" s="375">
        <v>46225</v>
      </c>
      <c r="BK29" s="375">
        <v>46273</v>
      </c>
      <c r="BL29" s="128">
        <v>3500000</v>
      </c>
      <c r="BM29" s="128">
        <v>93840</v>
      </c>
      <c r="BN29" s="534">
        <f>_xlfn.XLOOKUP(Buy_unvalid[[#This Row],[BOND_CODE]],FNRP!D:D,FNRP!I:I,,0)</f>
        <v>92330</v>
      </c>
      <c r="BO29" s="534">
        <f>_xlfn.XLOOKUP(Buy_unvalid[[#This Row],[DEAL_BUY_ID]],BS!BA:BA,BS!BQ:BQ,_xlfn.XLOOKUP(Buy_unvalid[[#This Row],[DEAL_BUY_ID]],BS!AL:AL,BS!AR:AR,,0),0)*Buy_unvalid[[#This Row],[QUANTITY]]</f>
        <v>-21603284608.013988</v>
      </c>
      <c r="BP29" s="534">
        <f>(Buy_unvalid[[#This Row],[Giá MtM]]-10^5)*Buy_unvalid[[#This Row],[QUANTITY]]-Buy_unvalid[[#This Row],[PTCK remain]]</f>
        <v>-5241715391.9860115</v>
      </c>
      <c r="BQ29" s="534" t="str">
        <f>IF(AND(Buy_unvalid[[#This Row],[VALUE_DATE]]&lt;=RPT,Buy_unvalid[[#This Row],[TRANSACTION_STATUS]]="N"),"Check","Ok")</f>
        <v>Ok</v>
      </c>
      <c r="BS29" s="128"/>
      <c r="BT29" s="848">
        <v>50063</v>
      </c>
      <c r="BU29" s="849">
        <v>46335</v>
      </c>
      <c r="BV29" s="848">
        <v>50059</v>
      </c>
      <c r="BW29" s="848"/>
      <c r="BX29" s="530">
        <v>2000000</v>
      </c>
      <c r="BY29" s="735">
        <f>_xlfn.XLOOKUP(Est_NIM[[#This Row],[DEAL_BUY_ID]],BS!AL:AL,BS!AU:AU,_xlfn.XLOOKUP(Est_NIM[[#This Row],[DEAL_BUY_ID]],BS!BA:BA,BS!BJ:BJ,,0),0)</f>
        <v>4.7</v>
      </c>
      <c r="BZ29" s="534">
        <f>Est_NIM[[#This Row],[QUANT]]*Est_NIM[[#This Row],[YIELD]]</f>
        <v>9400000</v>
      </c>
      <c r="CA29" s="128"/>
      <c r="CB29" s="128"/>
      <c r="CE29" s="331"/>
      <c r="CF29" s="331"/>
      <c r="CG29" s="331"/>
      <c r="CH29">
        <v>3730</v>
      </c>
      <c r="CI29">
        <v>14282</v>
      </c>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c r="DU29" s="128"/>
      <c r="DV29" s="128"/>
      <c r="DW29" s="128"/>
      <c r="DX29" s="530"/>
      <c r="DY29" s="530"/>
      <c r="DZ29" s="530"/>
      <c r="EA29" s="530"/>
      <c r="EB29" s="530"/>
      <c r="EC29" s="530"/>
      <c r="ED29" s="530"/>
      <c r="EE29" s="530"/>
      <c r="EF29" s="530"/>
      <c r="EG29" s="530"/>
      <c r="EH29" s="530"/>
      <c r="EI29" s="530"/>
      <c r="EJ29" s="530"/>
      <c r="EK29" s="530"/>
      <c r="EL29" s="530"/>
      <c r="EM29" s="530"/>
      <c r="EN29" s="530"/>
      <c r="EO29" s="530"/>
      <c r="EP29" s="530"/>
      <c r="EQ29" s="530"/>
      <c r="ER29" s="530"/>
      <c r="ES29" s="530"/>
      <c r="ET29" s="530"/>
      <c r="EU29" s="530"/>
      <c r="EV29" s="530"/>
      <c r="EW29" s="530"/>
      <c r="EX29" s="530"/>
      <c r="EY29" s="530"/>
      <c r="EZ29" s="530"/>
      <c r="FA29" s="530"/>
      <c r="FB29" s="530"/>
      <c r="FC29" s="530"/>
      <c r="FD29" s="530"/>
      <c r="FE29" s="530"/>
      <c r="FF29" s="530"/>
      <c r="FG29" s="530"/>
      <c r="FH29" s="530"/>
      <c r="FI29" s="530"/>
      <c r="FJ29" s="530"/>
      <c r="FK29" s="530"/>
      <c r="FL29" s="530"/>
      <c r="FM29" s="530"/>
      <c r="FN29" s="530"/>
      <c r="FO29" s="530"/>
      <c r="FP29" s="530"/>
      <c r="FQ29" s="530"/>
      <c r="GI29" s="128"/>
      <c r="GJ29" s="128"/>
      <c r="GK29" s="128"/>
      <c r="GL29" s="128"/>
      <c r="GM29" s="128"/>
      <c r="GN29" s="128"/>
      <c r="GO29" s="128"/>
      <c r="GP29" s="128"/>
      <c r="GQ29" s="128"/>
      <c r="GR29" s="128"/>
      <c r="GS29" s="128"/>
      <c r="GT29" s="128"/>
      <c r="GU29" s="128"/>
      <c r="GV29" s="128"/>
      <c r="GW29" s="128"/>
      <c r="GX29" s="128"/>
      <c r="GY29" s="128"/>
      <c r="GZ29" s="128"/>
      <c r="HA29" s="128"/>
      <c r="HB29" s="128"/>
      <c r="HC29" s="128"/>
      <c r="HD29" s="128"/>
      <c r="HE29" s="128"/>
      <c r="HF29" s="128"/>
      <c r="HG29" s="128"/>
      <c r="HH29" s="128"/>
      <c r="HI29" s="128"/>
      <c r="HJ29" s="128"/>
      <c r="HK29" s="128"/>
      <c r="HL29" s="128"/>
      <c r="HM29" s="128"/>
      <c r="HN29" s="128"/>
      <c r="HO29" s="128"/>
      <c r="HP29" s="128"/>
      <c r="HQ29" s="128"/>
      <c r="HR29" s="128"/>
      <c r="HS29" s="128"/>
      <c r="HT29" s="128"/>
      <c r="HU29" s="128"/>
      <c r="HV29" s="128"/>
      <c r="HW29" s="128"/>
      <c r="HX29" s="128"/>
      <c r="HY29" s="128"/>
      <c r="HZ29" s="128"/>
      <c r="IA29" s="128"/>
      <c r="IB29" s="128"/>
      <c r="IC29" s="128"/>
    </row>
    <row r="30" spans="32:237" x14ac:dyDescent="0.3">
      <c r="AO30" s="128">
        <v>49128</v>
      </c>
      <c r="AP30" s="128" t="s">
        <v>608</v>
      </c>
      <c r="AQ30" s="128" t="s">
        <v>824</v>
      </c>
      <c r="AR30" s="128" t="s">
        <v>3594</v>
      </c>
      <c r="AS30" s="375">
        <v>46091</v>
      </c>
      <c r="AT30" s="375">
        <v>46287</v>
      </c>
      <c r="AU30" s="530">
        <v>112036</v>
      </c>
      <c r="AV30" s="128">
        <v>49124</v>
      </c>
      <c r="AW30" s="530">
        <v>5000000</v>
      </c>
      <c r="AX30" s="534">
        <f>_xlfn.XLOOKUP(Sell_unvalid[[#This Row],[DEAL_BUY_ID]],BS!BA:BA,BS!BE:BE,,0)</f>
        <v>112720</v>
      </c>
      <c r="AY30" s="534">
        <f>_xlfn.XLOOKUP(Sell_unvalid[[#This Row],[BOND_CODE]],FNRP!D:D,FNRP!I:I,_xlfn.XLOOKUP(Sell_unvalid[[#This Row],[BOND_CODE]],FNRP!AV:AV,FNRP!BA:BA,,0),0)</f>
        <v>111831</v>
      </c>
      <c r="AZ30" s="534">
        <f>_xlfn.XLOOKUP(Sell_unvalid[[#This Row],[DEAL_BUY_ID]],BS!BA:BA,BS!BQ:BQ,,0)*Sell_unvalid[[#This Row],[QUANTITY]]</f>
        <v>56579114505.043602</v>
      </c>
      <c r="BA30" s="534">
        <f>(Sell_unvalid[[#This Row],[Giá MtM]]-10^5)*Sell_unvalid[[#This Row],[QUANTITY]]-Sell_unvalid[[#This Row],[PTCK remain]]</f>
        <v>2575885494.956398</v>
      </c>
      <c r="BB30" s="534">
        <f>(Sell_unvalid[[#This Row],[PRICE]]-10^5)*Sell_unvalid[[#This Row],[QUANTITY]]-Sell_unvalid[[#This Row],[PTCK remain]]</f>
        <v>3600885494.956398</v>
      </c>
      <c r="BC30" s="534" t="str">
        <f>IF(AND(Sell_unvalid[[#This Row],[VALUE_DATE]]&lt;=RPT,Sell_unvalid[[#This Row],[TRANSACTION_STATUS]]="N"),"Check","Ok")</f>
        <v>Ok</v>
      </c>
      <c r="BD30" s="534"/>
      <c r="BE30" s="615"/>
      <c r="BF30" s="128">
        <v>50309</v>
      </c>
      <c r="BG30" s="128" t="s">
        <v>3051</v>
      </c>
      <c r="BH30" s="128" t="s">
        <v>824</v>
      </c>
      <c r="BI30" s="128" t="s">
        <v>2234</v>
      </c>
      <c r="BJ30" s="375">
        <v>46239</v>
      </c>
      <c r="BK30" s="375">
        <v>46260</v>
      </c>
      <c r="BL30" s="128">
        <v>1600000</v>
      </c>
      <c r="BM30" s="128">
        <v>93871</v>
      </c>
      <c r="BN30" s="534">
        <f>_xlfn.XLOOKUP(Buy_unvalid[[#This Row],[BOND_CODE]],FNRP!D:D,FNRP!I:I,,0)</f>
        <v>89638</v>
      </c>
      <c r="BO30" s="534">
        <f>_xlfn.XLOOKUP(Buy_unvalid[[#This Row],[DEAL_BUY_ID]],BS!BA:BA,BS!BQ:BQ,_xlfn.XLOOKUP(Buy_unvalid[[#This Row],[DEAL_BUY_ID]],BS!AL:AL,BS!AR:AR,,0),0)*Buy_unvalid[[#This Row],[QUANTITY]]</f>
        <v>-9828713266.9932194</v>
      </c>
      <c r="BP30" s="534">
        <f>(Buy_unvalid[[#This Row],[Giá MtM]]-10^5)*Buy_unvalid[[#This Row],[QUANTITY]]-Buy_unvalid[[#This Row],[PTCK remain]]</f>
        <v>-6750486733.0067806</v>
      </c>
      <c r="BQ30" s="534" t="str">
        <f>IF(AND(Buy_unvalid[[#This Row],[VALUE_DATE]]&lt;=RPT,Buy_unvalid[[#This Row],[TRANSACTION_STATUS]]="N"),"Check","Ok")</f>
        <v>Ok</v>
      </c>
      <c r="BS30" s="128"/>
      <c r="BT30" s="848">
        <v>50064</v>
      </c>
      <c r="BU30" s="849">
        <v>46335</v>
      </c>
      <c r="BV30" s="848">
        <v>50060</v>
      </c>
      <c r="BW30" s="848"/>
      <c r="BX30" s="530">
        <v>2500000</v>
      </c>
      <c r="BY30" s="735">
        <f>_xlfn.XLOOKUP(Est_NIM[[#This Row],[DEAL_BUY_ID]],BS!AL:AL,BS!AU:AU,_xlfn.XLOOKUP(Est_NIM[[#This Row],[DEAL_BUY_ID]],BS!BA:BA,BS!BJ:BJ,,0),0)</f>
        <v>4.7</v>
      </c>
      <c r="BZ30" s="534">
        <f>Est_NIM[[#This Row],[QUANT]]*Est_NIM[[#This Row],[YIELD]]</f>
        <v>11750000</v>
      </c>
      <c r="CA30" s="128"/>
      <c r="CB30" s="128"/>
      <c r="CE30" s="331"/>
      <c r="CF30" s="331"/>
      <c r="CG30" s="331"/>
      <c r="CH30">
        <v>3730</v>
      </c>
      <c r="CI30">
        <v>14282</v>
      </c>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8"/>
      <c r="DS30" s="128"/>
      <c r="DT30" s="128"/>
      <c r="DU30" s="128"/>
      <c r="DV30" s="128"/>
      <c r="DW30" s="128"/>
      <c r="DX30" s="530"/>
      <c r="DY30" s="530"/>
      <c r="DZ30" s="530"/>
      <c r="EA30" s="530"/>
      <c r="EB30" s="530"/>
      <c r="EC30" s="530"/>
      <c r="ED30" s="530"/>
      <c r="EE30" s="530"/>
      <c r="EF30" s="530"/>
      <c r="EG30" s="530"/>
      <c r="EH30" s="530"/>
      <c r="EI30" s="530"/>
      <c r="EJ30" s="530"/>
      <c r="EK30" s="530"/>
      <c r="EL30" s="530"/>
      <c r="EM30" s="530"/>
      <c r="EN30" s="530"/>
      <c r="EO30" s="530"/>
      <c r="EP30" s="530"/>
      <c r="EQ30" s="530"/>
      <c r="ER30" s="530"/>
      <c r="ES30" s="530"/>
      <c r="ET30" s="530"/>
      <c r="EU30" s="530"/>
      <c r="EV30" s="530"/>
      <c r="EW30" s="530"/>
      <c r="EX30" s="530"/>
      <c r="EY30" s="530"/>
      <c r="EZ30" s="530"/>
      <c r="FA30" s="530"/>
      <c r="FB30" s="530"/>
      <c r="FC30" s="530"/>
      <c r="FD30" s="530"/>
      <c r="FE30" s="530"/>
      <c r="FF30" s="530"/>
      <c r="FG30" s="530"/>
      <c r="FH30" s="530"/>
      <c r="FI30" s="530"/>
      <c r="FJ30" s="530"/>
      <c r="FK30" s="530"/>
      <c r="FL30" s="530"/>
      <c r="FM30" s="530"/>
      <c r="FN30" s="530"/>
      <c r="FO30" s="530"/>
      <c r="FP30" s="530"/>
      <c r="FQ30" s="530"/>
      <c r="GI30" s="128"/>
      <c r="GJ30" s="128"/>
      <c r="GK30" s="128"/>
      <c r="GL30" s="128"/>
      <c r="GM30" s="128"/>
      <c r="GN30" s="128"/>
      <c r="GO30" s="128"/>
      <c r="GP30" s="128"/>
      <c r="GQ30" s="128"/>
      <c r="GR30" s="128"/>
      <c r="GS30" s="128"/>
      <c r="GT30" s="128"/>
      <c r="GU30" s="128"/>
      <c r="GV30" s="128"/>
      <c r="GW30" s="128"/>
      <c r="GX30" s="128"/>
      <c r="GY30" s="128"/>
      <c r="GZ30" s="128"/>
      <c r="HA30" s="128"/>
      <c r="HB30" s="128"/>
      <c r="HC30" s="128"/>
      <c r="HD30" s="128"/>
      <c r="HE30" s="128"/>
      <c r="HF30" s="128"/>
      <c r="HG30" s="128"/>
      <c r="HH30" s="128"/>
      <c r="HI30" s="128"/>
      <c r="HJ30" s="128"/>
      <c r="HK30" s="128"/>
      <c r="HL30" s="128"/>
      <c r="HM30" s="128"/>
      <c r="HN30" s="128"/>
      <c r="HO30" s="128"/>
      <c r="HP30" s="128"/>
      <c r="HQ30" s="128"/>
      <c r="HR30" s="128"/>
      <c r="HS30" s="128"/>
      <c r="HT30" s="128"/>
      <c r="HU30" s="128"/>
      <c r="HV30" s="128"/>
      <c r="HW30" s="128"/>
      <c r="HX30" s="128"/>
      <c r="HY30" s="128"/>
      <c r="HZ30" s="128"/>
      <c r="IA30" s="128"/>
      <c r="IB30" s="128"/>
      <c r="IC30" s="128"/>
    </row>
    <row r="31" spans="32:237" x14ac:dyDescent="0.3">
      <c r="AO31" s="128">
        <v>49129</v>
      </c>
      <c r="AP31" s="128" t="s">
        <v>608</v>
      </c>
      <c r="AQ31" s="128" t="s">
        <v>824</v>
      </c>
      <c r="AR31" s="128" t="s">
        <v>3594</v>
      </c>
      <c r="AS31" s="375">
        <v>46091</v>
      </c>
      <c r="AT31" s="375">
        <v>46287</v>
      </c>
      <c r="AU31" s="530">
        <v>112036</v>
      </c>
      <c r="AV31" s="128">
        <v>49125</v>
      </c>
      <c r="AW31" s="530">
        <v>2000000</v>
      </c>
      <c r="AX31" s="534">
        <f>_xlfn.XLOOKUP(Sell_unvalid[[#This Row],[DEAL_BUY_ID]],BS!BA:BA,BS!BE:BE,,0)</f>
        <v>112720</v>
      </c>
      <c r="AY31" s="534">
        <f>_xlfn.XLOOKUP(Sell_unvalid[[#This Row],[BOND_CODE]],FNRP!D:D,FNRP!I:I,_xlfn.XLOOKUP(Sell_unvalid[[#This Row],[BOND_CODE]],FNRP!AV:AV,FNRP!BA:BA,,0),0)</f>
        <v>111831</v>
      </c>
      <c r="AZ31" s="534">
        <f>_xlfn.XLOOKUP(Sell_unvalid[[#This Row],[DEAL_BUY_ID]],BS!BA:BA,BS!BQ:BQ,,0)*Sell_unvalid[[#This Row],[QUANTITY]]</f>
        <v>22631645802.017441</v>
      </c>
      <c r="BA31" s="534">
        <f>(Sell_unvalid[[#This Row],[Giá MtM]]-10^5)*Sell_unvalid[[#This Row],[QUANTITY]]-Sell_unvalid[[#This Row],[PTCK remain]]</f>
        <v>1030354197.9825592</v>
      </c>
      <c r="BB31" s="534">
        <f>(Sell_unvalid[[#This Row],[PRICE]]-10^5)*Sell_unvalid[[#This Row],[QUANTITY]]-Sell_unvalid[[#This Row],[PTCK remain]]</f>
        <v>1440354197.9825592</v>
      </c>
      <c r="BC31" s="534" t="str">
        <f>IF(AND(Sell_unvalid[[#This Row],[VALUE_DATE]]&lt;=RPT,Sell_unvalid[[#This Row],[TRANSACTION_STATUS]]="N"),"Check","Ok")</f>
        <v>Ok</v>
      </c>
      <c r="BD31" s="534"/>
      <c r="BE31" s="615"/>
      <c r="BF31" s="128">
        <v>49997</v>
      </c>
      <c r="BG31" s="128" t="s">
        <v>2371</v>
      </c>
      <c r="BH31" s="128" t="s">
        <v>824</v>
      </c>
      <c r="BI31" s="531" t="s">
        <v>3594</v>
      </c>
      <c r="BJ31" s="375">
        <v>46184</v>
      </c>
      <c r="BK31" s="375">
        <v>46205</v>
      </c>
      <c r="BL31" s="530">
        <v>2010000</v>
      </c>
      <c r="BM31" s="530">
        <v>78448</v>
      </c>
      <c r="BN31" s="534">
        <f>_xlfn.XLOOKUP(Buy_unvalid[[#This Row],[BOND_CODE]],FNRP!D:D,FNRP!I:I,,0)</f>
        <v>73584</v>
      </c>
      <c r="BO31" s="534">
        <f>_xlfn.XLOOKUP(Buy_unvalid[[#This Row],[DEAL_BUY_ID]],BS!BA:BA,BS!BQ:BQ,_xlfn.XLOOKUP(Buy_unvalid[[#This Row],[DEAL_BUY_ID]],BS!AL:AL,BS!AR:AR,,0),0)*Buy_unvalid[[#This Row],[QUANTITY]]</f>
        <v>-43095928685.072525</v>
      </c>
      <c r="BP31" s="534">
        <f>(Buy_unvalid[[#This Row],[Giá MtM]]-10^5)*Buy_unvalid[[#This Row],[QUANTITY]]-Buy_unvalid[[#This Row],[PTCK remain]]</f>
        <v>-10000231314.927475</v>
      </c>
      <c r="BQ31" s="534" t="str">
        <f>IF(AND(Buy_unvalid[[#This Row],[VALUE_DATE]]&lt;=RPT,Buy_unvalid[[#This Row],[TRANSACTION_STATUS]]="N"),"Check","Ok")</f>
        <v>Ok</v>
      </c>
      <c r="BS31" s="128"/>
      <c r="BT31" s="848">
        <v>50417</v>
      </c>
      <c r="BU31" s="849">
        <v>46254</v>
      </c>
      <c r="BV31" s="848">
        <v>47715</v>
      </c>
      <c r="BW31" s="848"/>
      <c r="BX31" s="530">
        <v>1000000</v>
      </c>
      <c r="BY31" s="735">
        <f>_xlfn.XLOOKUP(Est_NIM[[#This Row],[DEAL_BUY_ID]],BS!AL:AL,BS!AU:AU,_xlfn.XLOOKUP(Est_NIM[[#This Row],[DEAL_BUY_ID]],BS!BA:BA,BS!BJ:BJ,,0),0)</f>
        <v>2.8338000000000001</v>
      </c>
      <c r="BZ31" s="534">
        <f>Est_NIM[[#This Row],[QUANT]]*Est_NIM[[#This Row],[YIELD]]</f>
        <v>2833800</v>
      </c>
      <c r="CA31" s="128"/>
      <c r="CB31" s="128"/>
      <c r="CE31" s="331"/>
      <c r="CF31" s="331"/>
      <c r="CG31" s="331"/>
      <c r="CH31">
        <v>3730</v>
      </c>
      <c r="CI31">
        <v>14282</v>
      </c>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8"/>
      <c r="DS31" s="128"/>
      <c r="DT31" s="128"/>
      <c r="DU31" s="128"/>
      <c r="DV31" s="128"/>
      <c r="DW31" s="128"/>
      <c r="DX31" s="530"/>
      <c r="DY31" s="530"/>
      <c r="DZ31" s="530"/>
      <c r="EA31" s="530"/>
      <c r="EB31" s="530"/>
      <c r="EC31" s="530"/>
      <c r="ED31" s="530"/>
      <c r="EE31" s="530"/>
      <c r="EF31" s="530"/>
      <c r="EG31" s="530"/>
      <c r="EH31" s="530"/>
      <c r="EI31" s="530"/>
      <c r="EJ31" s="530"/>
      <c r="EK31" s="530"/>
      <c r="EL31" s="530"/>
      <c r="EM31" s="530"/>
      <c r="EN31" s="530"/>
      <c r="EO31" s="530"/>
      <c r="EP31" s="530"/>
      <c r="EQ31" s="530"/>
      <c r="ER31" s="530"/>
      <c r="ES31" s="530"/>
      <c r="ET31" s="530"/>
      <c r="EU31" s="530"/>
      <c r="EV31" s="530"/>
      <c r="EW31" s="530"/>
      <c r="EX31" s="530"/>
      <c r="EY31" s="530"/>
      <c r="EZ31" s="530"/>
      <c r="FA31" s="530"/>
      <c r="FB31" s="530"/>
      <c r="FC31" s="530"/>
      <c r="FD31" s="530"/>
      <c r="FE31" s="530"/>
      <c r="FF31" s="530"/>
      <c r="FG31" s="530"/>
      <c r="FH31" s="530"/>
      <c r="FI31" s="530"/>
      <c r="FJ31" s="530"/>
      <c r="FK31" s="530"/>
      <c r="FL31" s="530"/>
      <c r="FM31" s="530"/>
      <c r="FN31" s="530"/>
      <c r="FO31" s="530"/>
      <c r="FP31" s="530"/>
      <c r="FQ31" s="530"/>
      <c r="GI31" s="128"/>
      <c r="GJ31" s="128"/>
      <c r="GK31" s="128"/>
      <c r="GL31" s="128"/>
      <c r="GM31" s="128"/>
      <c r="GN31" s="128"/>
      <c r="GO31" s="128"/>
      <c r="GP31" s="128"/>
      <c r="GQ31" s="128"/>
      <c r="GR31" s="128"/>
      <c r="GS31" s="128"/>
      <c r="GT31" s="128"/>
      <c r="GU31" s="128"/>
      <c r="GV31" s="128"/>
      <c r="GW31" s="128"/>
      <c r="GX31" s="128"/>
      <c r="GY31" s="128"/>
      <c r="GZ31" s="128"/>
      <c r="HA31" s="128"/>
      <c r="HB31" s="128"/>
      <c r="HC31" s="128"/>
      <c r="HD31" s="128"/>
      <c r="HE31" s="128"/>
      <c r="HF31" s="128"/>
      <c r="HG31" s="128"/>
      <c r="HH31" s="128"/>
      <c r="HI31" s="128"/>
      <c r="HJ31" s="128"/>
      <c r="HK31" s="128"/>
      <c r="HL31" s="128"/>
      <c r="HM31" s="128"/>
      <c r="HN31" s="128"/>
      <c r="HO31" s="128"/>
      <c r="HP31" s="128"/>
      <c r="HQ31" s="128"/>
      <c r="HR31" s="128"/>
      <c r="HS31" s="128"/>
      <c r="HT31" s="128"/>
      <c r="HU31" s="128"/>
      <c r="HV31" s="128"/>
      <c r="HW31" s="128"/>
      <c r="HX31" s="128"/>
      <c r="HY31" s="128"/>
      <c r="HZ31" s="128"/>
      <c r="IA31" s="128"/>
      <c r="IB31" s="128"/>
      <c r="IC31" s="128"/>
    </row>
    <row r="32" spans="32:237" x14ac:dyDescent="0.3">
      <c r="AO32" s="128">
        <v>49129</v>
      </c>
      <c r="AP32" s="128" t="s">
        <v>608</v>
      </c>
      <c r="AQ32" s="128" t="s">
        <v>824</v>
      </c>
      <c r="AR32" s="128" t="s">
        <v>3594</v>
      </c>
      <c r="AS32" s="375">
        <v>46091</v>
      </c>
      <c r="AT32" s="375">
        <v>46287</v>
      </c>
      <c r="AU32" s="530">
        <v>112036</v>
      </c>
      <c r="AV32" s="128">
        <v>49473</v>
      </c>
      <c r="AW32" s="530">
        <v>2400000</v>
      </c>
      <c r="AX32" s="534">
        <f>_xlfn.XLOOKUP(Sell_unvalid[[#This Row],[DEAL_BUY_ID]],BS!BA:BA,BS!BE:BE,,0)</f>
        <v>112381</v>
      </c>
      <c r="AY32" s="534">
        <f>_xlfn.XLOOKUP(Sell_unvalid[[#This Row],[BOND_CODE]],FNRP!D:D,FNRP!I:I,_xlfn.XLOOKUP(Sell_unvalid[[#This Row],[BOND_CODE]],FNRP!AV:AV,FNRP!BA:BA,,0),0)</f>
        <v>111831</v>
      </c>
      <c r="AZ32" s="534">
        <f>_xlfn.XLOOKUP(Sell_unvalid[[#This Row],[DEAL_BUY_ID]],BS!BA:BA,BS!BQ:BQ,,0)*Sell_unvalid[[#This Row],[QUANTITY]]</f>
        <v>27106107064.537716</v>
      </c>
      <c r="BA32" s="534">
        <f>(Sell_unvalid[[#This Row],[Giá MtM]]-10^5)*Sell_unvalid[[#This Row],[QUANTITY]]-Sell_unvalid[[#This Row],[PTCK remain]]</f>
        <v>1288292935.4622841</v>
      </c>
      <c r="BB32" s="534">
        <f>(Sell_unvalid[[#This Row],[PRICE]]-10^5)*Sell_unvalid[[#This Row],[QUANTITY]]-Sell_unvalid[[#This Row],[PTCK remain]]</f>
        <v>1780292935.4622841</v>
      </c>
      <c r="BC32" s="534" t="str">
        <f>IF(AND(Sell_unvalid[[#This Row],[VALUE_DATE]]&lt;=RPT,Sell_unvalid[[#This Row],[TRANSACTION_STATUS]]="N"),"Check","Ok")</f>
        <v>Ok</v>
      </c>
      <c r="BD32" s="534"/>
      <c r="BE32" s="615"/>
      <c r="BF32" s="128">
        <v>49995</v>
      </c>
      <c r="BG32" s="128" t="s">
        <v>3026</v>
      </c>
      <c r="BH32" s="128" t="s">
        <v>824</v>
      </c>
      <c r="BI32" s="531" t="s">
        <v>3594</v>
      </c>
      <c r="BJ32" s="375">
        <v>46184</v>
      </c>
      <c r="BK32" s="375">
        <v>46205</v>
      </c>
      <c r="BL32" s="530">
        <v>1550000</v>
      </c>
      <c r="BM32" s="530">
        <v>73946</v>
      </c>
      <c r="BN32" s="534">
        <f>_xlfn.XLOOKUP(Buy_unvalid[[#This Row],[BOND_CODE]],FNRP!D:D,FNRP!I:I,,0)</f>
        <v>70844</v>
      </c>
      <c r="BO32" s="534">
        <f>_xlfn.XLOOKUP(Buy_unvalid[[#This Row],[DEAL_BUY_ID]],BS!BA:BA,BS!BQ:BQ,_xlfn.XLOOKUP(Buy_unvalid[[#This Row],[DEAL_BUY_ID]],BS!AL:AL,BS!AR:AR,,0),0)*Buy_unvalid[[#This Row],[QUANTITY]]</f>
        <v>-40190672284.983795</v>
      </c>
      <c r="BP32" s="534">
        <f>(Buy_unvalid[[#This Row],[Giá MtM]]-10^5)*Buy_unvalid[[#This Row],[QUANTITY]]-Buy_unvalid[[#This Row],[PTCK remain]]</f>
        <v>-5001127715.0162048</v>
      </c>
      <c r="BQ32" s="534" t="str">
        <f>IF(AND(Buy_unvalid[[#This Row],[VALUE_DATE]]&lt;=RPT,Buy_unvalid[[#This Row],[TRANSACTION_STATUS]]="N"),"Check","Ok")</f>
        <v>Ok</v>
      </c>
      <c r="BS32" s="128"/>
      <c r="BT32" s="848">
        <v>50250</v>
      </c>
      <c r="BU32" s="849">
        <v>46385</v>
      </c>
      <c r="BV32" s="848">
        <v>50245</v>
      </c>
      <c r="BW32" s="848"/>
      <c r="BX32" s="530">
        <v>500000</v>
      </c>
      <c r="BY32" s="735">
        <f>_xlfn.XLOOKUP(Est_NIM[[#This Row],[DEAL_BUY_ID]],BS!AL:AL,BS!AU:AU,_xlfn.XLOOKUP(Est_NIM[[#This Row],[DEAL_BUY_ID]],BS!BA:BA,BS!BJ:BJ,,0),0)</f>
        <v>4.5199999999999996</v>
      </c>
      <c r="BZ32" s="534">
        <f>Est_NIM[[#This Row],[QUANT]]*Est_NIM[[#This Row],[YIELD]]</f>
        <v>2260000</v>
      </c>
      <c r="CA32" s="128"/>
      <c r="CB32" s="128"/>
      <c r="CE32" s="331"/>
      <c r="CF32" s="331"/>
      <c r="CG32" s="331"/>
      <c r="CH32">
        <v>3730</v>
      </c>
      <c r="CI32">
        <v>14282</v>
      </c>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8"/>
      <c r="DS32" s="128"/>
      <c r="DT32" s="128"/>
      <c r="DU32" s="128"/>
      <c r="DV32" s="128"/>
      <c r="DW32" s="128"/>
      <c r="DX32" s="530"/>
      <c r="DY32" s="530"/>
      <c r="DZ32" s="530"/>
      <c r="EA32" s="530"/>
      <c r="EB32" s="530"/>
      <c r="EC32" s="530"/>
      <c r="ED32" s="530"/>
      <c r="EE32" s="530"/>
      <c r="EF32" s="530"/>
      <c r="EG32" s="530"/>
      <c r="EH32" s="530"/>
      <c r="EI32" s="530"/>
      <c r="EJ32" s="530"/>
      <c r="EK32" s="530"/>
      <c r="EL32" s="530"/>
      <c r="EM32" s="530"/>
      <c r="EN32" s="530"/>
      <c r="EO32" s="530"/>
      <c r="EP32" s="530"/>
      <c r="EQ32" s="530"/>
      <c r="ER32" s="530"/>
      <c r="ES32" s="530"/>
      <c r="ET32" s="530"/>
      <c r="EU32" s="530"/>
      <c r="EV32" s="530"/>
      <c r="EW32" s="530"/>
      <c r="EX32" s="530"/>
      <c r="EY32" s="530"/>
      <c r="EZ32" s="530"/>
      <c r="FA32" s="530"/>
      <c r="FB32" s="530"/>
      <c r="FC32" s="530"/>
      <c r="FD32" s="530"/>
      <c r="FE32" s="530"/>
      <c r="FF32" s="530"/>
      <c r="FG32" s="530"/>
      <c r="FH32" s="530"/>
      <c r="FI32" s="530"/>
      <c r="FJ32" s="530"/>
      <c r="FK32" s="530"/>
      <c r="FL32" s="530"/>
      <c r="FM32" s="530"/>
      <c r="FN32" s="530"/>
      <c r="FO32" s="530"/>
      <c r="FP32" s="530"/>
      <c r="FQ32" s="530"/>
      <c r="GI32" s="128"/>
      <c r="GJ32" s="128"/>
      <c r="GK32" s="128"/>
      <c r="GL32" s="128"/>
      <c r="GM32" s="128"/>
      <c r="GN32" s="128"/>
      <c r="GO32" s="128"/>
      <c r="GP32" s="128"/>
      <c r="GQ32" s="128"/>
      <c r="GR32" s="128"/>
      <c r="GS32" s="128"/>
      <c r="GT32" s="128"/>
      <c r="GU32" s="128"/>
      <c r="GV32" s="128"/>
      <c r="GW32" s="128"/>
      <c r="GX32" s="128"/>
      <c r="GY32" s="128"/>
      <c r="GZ32" s="128"/>
      <c r="HA32" s="128"/>
      <c r="HB32" s="128"/>
      <c r="HC32" s="128"/>
      <c r="HD32" s="128"/>
      <c r="HE32" s="128"/>
      <c r="HF32" s="128"/>
      <c r="HG32" s="128"/>
      <c r="HH32" s="128"/>
      <c r="HI32" s="128"/>
      <c r="HJ32" s="128"/>
      <c r="HK32" s="128"/>
      <c r="HL32" s="128"/>
      <c r="HM32" s="128"/>
      <c r="HN32" s="128"/>
      <c r="HO32" s="128"/>
      <c r="HP32" s="128"/>
      <c r="HQ32" s="128"/>
      <c r="HR32" s="128"/>
      <c r="HS32" s="128"/>
      <c r="HT32" s="128"/>
      <c r="HU32" s="128"/>
      <c r="HV32" s="128"/>
      <c r="HW32" s="128"/>
      <c r="HX32" s="128"/>
      <c r="HY32" s="128"/>
      <c r="HZ32" s="128"/>
      <c r="IA32" s="128"/>
      <c r="IB32" s="128"/>
      <c r="IC32" s="128"/>
    </row>
    <row r="33" spans="41:237" x14ac:dyDescent="0.3">
      <c r="AO33" s="128">
        <v>50108</v>
      </c>
      <c r="AP33" s="128" t="s">
        <v>681</v>
      </c>
      <c r="AQ33" s="128" t="s">
        <v>824</v>
      </c>
      <c r="AR33" s="128" t="s">
        <v>3594</v>
      </c>
      <c r="AS33" s="375">
        <v>46196</v>
      </c>
      <c r="AT33" s="375">
        <v>46216</v>
      </c>
      <c r="AU33" s="530">
        <v>127161</v>
      </c>
      <c r="AV33" s="128">
        <v>48881</v>
      </c>
      <c r="AW33" s="530">
        <v>1550000</v>
      </c>
      <c r="AX33" s="534">
        <f>_xlfn.XLOOKUP(Sell_unvalid[[#This Row],[DEAL_BUY_ID]],BS!BA:BA,BS!BE:BE,,0)</f>
        <v>128162</v>
      </c>
      <c r="AY33" s="534">
        <f>_xlfn.XLOOKUP(Sell_unvalid[[#This Row],[BOND_CODE]],FNRP!D:D,FNRP!I:I,_xlfn.XLOOKUP(Sell_unvalid[[#This Row],[BOND_CODE]],FNRP!AV:AV,FNRP!BA:BA,,0),0)</f>
        <v>124796</v>
      </c>
      <c r="AZ33" s="534">
        <f>_xlfn.XLOOKUP(Sell_unvalid[[#This Row],[DEAL_BUY_ID]],BS!BA:BA,BS!BQ:BQ,,0)*Sell_unvalid[[#This Row],[QUANTITY]]</f>
        <v>41367710545.531349</v>
      </c>
      <c r="BA33" s="534">
        <f>(Sell_unvalid[[#This Row],[Giá MtM]]-10^5)*Sell_unvalid[[#This Row],[QUANTITY]]-Sell_unvalid[[#This Row],[PTCK remain]]</f>
        <v>-2933910545.5313492</v>
      </c>
      <c r="BB33" s="534">
        <f>(Sell_unvalid[[#This Row],[PRICE]]-10^5)*Sell_unvalid[[#This Row],[QUANTITY]]-Sell_unvalid[[#This Row],[PTCK remain]]</f>
        <v>731839454.46865082</v>
      </c>
      <c r="BC33" s="534" t="str">
        <f>IF(AND(Sell_unvalid[[#This Row],[VALUE_DATE]]&lt;=RPT,Sell_unvalid[[#This Row],[TRANSACTION_STATUS]]="N"),"Check","Ok")</f>
        <v>Ok</v>
      </c>
      <c r="BD33" s="534"/>
      <c r="BE33" s="615"/>
      <c r="BF33" s="128">
        <v>50050</v>
      </c>
      <c r="BG33" s="128" t="s">
        <v>720</v>
      </c>
      <c r="BH33" s="128" t="s">
        <v>824</v>
      </c>
      <c r="BI33" s="128" t="s">
        <v>3594</v>
      </c>
      <c r="BJ33" s="375">
        <v>46188</v>
      </c>
      <c r="BK33" s="375">
        <v>46205</v>
      </c>
      <c r="BL33" s="128">
        <v>1650000</v>
      </c>
      <c r="BM33" s="128">
        <v>153425</v>
      </c>
      <c r="BN33" s="534">
        <f>_xlfn.XLOOKUP(Buy_unvalid[[#This Row],[BOND_CODE]],FNRP!D:D,FNRP!I:I,,0)</f>
        <v>141623</v>
      </c>
      <c r="BO33" s="534">
        <f>_xlfn.XLOOKUP(Buy_unvalid[[#This Row],[DEAL_BUY_ID]],BS!BA:BA,BS!BQ:BQ,_xlfn.XLOOKUP(Buy_unvalid[[#This Row],[DEAL_BUY_ID]],BS!AL:AL,BS!AR:AR,,0),0)*Buy_unvalid[[#This Row],[QUANTITY]]</f>
        <v>87580592088.523346</v>
      </c>
      <c r="BP33" s="534">
        <f>(Buy_unvalid[[#This Row],[Giá MtM]]-10^5)*Buy_unvalid[[#This Row],[QUANTITY]]-Buy_unvalid[[#This Row],[PTCK remain]]</f>
        <v>-18902642088.523346</v>
      </c>
      <c r="BQ33" s="534" t="str">
        <f>IF(AND(Buy_unvalid[[#This Row],[VALUE_DATE]]&lt;=RPT,Buy_unvalid[[#This Row],[TRANSACTION_STATUS]]="N"),"Check","Ok")</f>
        <v>Ok</v>
      </c>
      <c r="BS33" s="128"/>
      <c r="BT33" s="848">
        <v>50010</v>
      </c>
      <c r="BU33" s="849">
        <v>46330</v>
      </c>
      <c r="BV33" s="848">
        <v>50008</v>
      </c>
      <c r="BW33" s="848"/>
      <c r="BX33" s="530">
        <v>9000000</v>
      </c>
      <c r="BY33" s="735">
        <f>_xlfn.XLOOKUP(Est_NIM[[#This Row],[DEAL_BUY_ID]],BS!AL:AL,BS!AU:AU,_xlfn.XLOOKUP(Est_NIM[[#This Row],[DEAL_BUY_ID]],BS!BA:BA,BS!BJ:BJ,,0),0)</f>
        <v>4.6500000000000004</v>
      </c>
      <c r="BZ33" s="534">
        <f>Est_NIM[[#This Row],[QUANT]]*Est_NIM[[#This Row],[YIELD]]</f>
        <v>41850000</v>
      </c>
      <c r="CA33" s="128"/>
      <c r="CB33" s="128"/>
      <c r="CE33" s="331"/>
      <c r="CF33" s="331"/>
      <c r="CG33" s="331"/>
      <c r="CH33">
        <v>3730</v>
      </c>
      <c r="CI33">
        <v>14282</v>
      </c>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8"/>
      <c r="DS33" s="128"/>
      <c r="DT33" s="128"/>
      <c r="DU33" s="128"/>
      <c r="DV33" s="128"/>
      <c r="DW33" s="128"/>
      <c r="DX33" s="530"/>
      <c r="DY33" s="530"/>
      <c r="DZ33" s="530"/>
      <c r="EA33" s="530"/>
      <c r="EB33" s="530"/>
      <c r="EC33" s="530"/>
      <c r="ED33" s="530"/>
      <c r="EE33" s="530"/>
      <c r="EF33" s="530"/>
      <c r="EG33" s="530"/>
      <c r="EH33" s="530"/>
      <c r="EI33" s="530"/>
      <c r="EJ33" s="530"/>
      <c r="EK33" s="530"/>
      <c r="EL33" s="530"/>
      <c r="EM33" s="530"/>
      <c r="EN33" s="530"/>
      <c r="EO33" s="530"/>
      <c r="EP33" s="530"/>
      <c r="EQ33" s="530"/>
      <c r="ER33" s="530"/>
      <c r="ES33" s="530"/>
      <c r="ET33" s="530"/>
      <c r="EU33" s="530"/>
      <c r="EV33" s="530"/>
      <c r="EW33" s="530"/>
      <c r="EX33" s="530"/>
      <c r="EY33" s="530"/>
      <c r="EZ33" s="530"/>
      <c r="FA33" s="530"/>
      <c r="FB33" s="530"/>
      <c r="FC33" s="530"/>
      <c r="FD33" s="530"/>
      <c r="FE33" s="530"/>
      <c r="FF33" s="530"/>
      <c r="FG33" s="530"/>
      <c r="FH33" s="530"/>
      <c r="FI33" s="530"/>
      <c r="FJ33" s="530"/>
      <c r="FK33" s="530"/>
      <c r="FL33" s="530"/>
      <c r="FM33" s="530"/>
      <c r="FN33" s="530"/>
      <c r="FO33" s="530"/>
      <c r="FP33" s="530"/>
      <c r="FQ33" s="530"/>
      <c r="GI33" s="128"/>
      <c r="GJ33" s="128"/>
      <c r="GK33" s="128"/>
      <c r="GL33" s="128"/>
      <c r="GM33" s="128"/>
      <c r="GN33" s="128"/>
      <c r="GO33" s="128"/>
      <c r="GP33" s="128"/>
      <c r="GQ33" s="128"/>
      <c r="GR33" s="128"/>
      <c r="GS33" s="128"/>
      <c r="GT33" s="128"/>
      <c r="GU33" s="128"/>
      <c r="GV33" s="128"/>
      <c r="GW33" s="128"/>
      <c r="GX33" s="128"/>
      <c r="GY33" s="128"/>
      <c r="GZ33" s="128"/>
      <c r="HA33" s="128"/>
      <c r="HB33" s="128"/>
      <c r="HC33" s="128"/>
      <c r="HD33" s="128"/>
      <c r="HE33" s="128"/>
      <c r="HF33" s="128"/>
      <c r="HG33" s="128"/>
      <c r="HH33" s="128"/>
      <c r="HI33" s="128"/>
      <c r="HJ33" s="128"/>
      <c r="HK33" s="128"/>
      <c r="HL33" s="128"/>
      <c r="HM33" s="128"/>
      <c r="HN33" s="128"/>
      <c r="HO33" s="128"/>
      <c r="HP33" s="128"/>
      <c r="HQ33" s="128"/>
      <c r="HR33" s="128"/>
      <c r="HS33" s="128"/>
      <c r="HT33" s="128"/>
      <c r="HU33" s="128"/>
      <c r="HV33" s="128"/>
      <c r="HW33" s="128"/>
      <c r="HX33" s="128"/>
      <c r="HY33" s="128"/>
      <c r="HZ33" s="128"/>
      <c r="IA33" s="128"/>
      <c r="IB33" s="128"/>
      <c r="IC33" s="128"/>
    </row>
    <row r="34" spans="41:237" x14ac:dyDescent="0.3">
      <c r="AO34" s="128">
        <v>47908</v>
      </c>
      <c r="AP34" s="128" t="s">
        <v>682</v>
      </c>
      <c r="AQ34" s="128" t="s">
        <v>824</v>
      </c>
      <c r="AR34" s="128" t="s">
        <v>3594</v>
      </c>
      <c r="AS34" s="375">
        <v>45966</v>
      </c>
      <c r="AT34" s="375">
        <v>46245</v>
      </c>
      <c r="AU34" s="530">
        <v>131422</v>
      </c>
      <c r="AV34" s="128">
        <v>47982</v>
      </c>
      <c r="AW34" s="530">
        <v>500000</v>
      </c>
      <c r="AX34" s="534">
        <f>_xlfn.XLOOKUP(Sell_unvalid[[#This Row],[DEAL_BUY_ID]],BS!BA:BA,BS!BE:BE,,0)</f>
        <v>136339</v>
      </c>
      <c r="AY34" s="534">
        <f>_xlfn.XLOOKUP(Sell_unvalid[[#This Row],[BOND_CODE]],FNRP!D:D,FNRP!I:I,_xlfn.XLOOKUP(Sell_unvalid[[#This Row],[BOND_CODE]],FNRP!AV:AV,FNRP!BA:BA,,0),0)</f>
        <v>126022</v>
      </c>
      <c r="AZ34" s="534">
        <f>_xlfn.XLOOKUP(Sell_unvalid[[#This Row],[DEAL_BUY_ID]],BS!BA:BA,BS!BQ:BQ,,0)*Sell_unvalid[[#This Row],[QUANTITY]]</f>
        <v>16900176209.345642</v>
      </c>
      <c r="BA34" s="534">
        <f>(Sell_unvalid[[#This Row],[Giá MtM]]-10^5)*Sell_unvalid[[#This Row],[QUANTITY]]-Sell_unvalid[[#This Row],[PTCK remain]]</f>
        <v>-3889176209.3456421</v>
      </c>
      <c r="BB34" s="534">
        <f>(Sell_unvalid[[#This Row],[PRICE]]-10^5)*Sell_unvalid[[#This Row],[QUANTITY]]-Sell_unvalid[[#This Row],[PTCK remain]]</f>
        <v>-1189176209.3456421</v>
      </c>
      <c r="BC34" s="534" t="str">
        <f>IF(AND(Sell_unvalid[[#This Row],[VALUE_DATE]]&lt;=RPT,Sell_unvalid[[#This Row],[TRANSACTION_STATUS]]="N"),"Check","Ok")</f>
        <v>Ok</v>
      </c>
      <c r="BD34" s="534"/>
      <c r="BE34" s="615"/>
      <c r="BF34" s="128">
        <v>50072</v>
      </c>
      <c r="BG34" s="128" t="s">
        <v>720</v>
      </c>
      <c r="BH34" s="128" t="s">
        <v>824</v>
      </c>
      <c r="BI34" s="128" t="s">
        <v>3594</v>
      </c>
      <c r="BJ34" s="375">
        <v>46189</v>
      </c>
      <c r="BK34" s="375">
        <v>46205</v>
      </c>
      <c r="BL34" s="128">
        <v>950000</v>
      </c>
      <c r="BM34" s="128">
        <v>153368</v>
      </c>
      <c r="BN34" s="534">
        <f>_xlfn.XLOOKUP(Buy_unvalid[[#This Row],[BOND_CODE]],FNRP!D:D,FNRP!I:I,,0)</f>
        <v>141623</v>
      </c>
      <c r="BO34" s="534">
        <f>_xlfn.XLOOKUP(Buy_unvalid[[#This Row],[DEAL_BUY_ID]],BS!BA:BA,BS!BQ:BQ,_xlfn.XLOOKUP(Buy_unvalid[[#This Row],[DEAL_BUY_ID]],BS!AL:AL,BS!AR:AR,,0),0)*Buy_unvalid[[#This Row],[QUANTITY]]</f>
        <v>50371390248.232201</v>
      </c>
      <c r="BP34" s="534">
        <f>(Buy_unvalid[[#This Row],[Giá MtM]]-10^5)*Buy_unvalid[[#This Row],[QUANTITY]]-Buy_unvalid[[#This Row],[PTCK remain]]</f>
        <v>-10829540248.232201</v>
      </c>
      <c r="BQ34" s="534" t="str">
        <f>IF(AND(Buy_unvalid[[#This Row],[VALUE_DATE]]&lt;=RPT,Buy_unvalid[[#This Row],[TRANSACTION_STATUS]]="N"),"Check","Ok")</f>
        <v>Ok</v>
      </c>
      <c r="BS34" s="128"/>
      <c r="BT34" s="848">
        <v>50011</v>
      </c>
      <c r="BU34" s="849">
        <v>46330</v>
      </c>
      <c r="BV34" s="848">
        <v>50009</v>
      </c>
      <c r="BW34" s="848"/>
      <c r="BX34" s="530">
        <v>9640000</v>
      </c>
      <c r="BY34" s="735">
        <f>_xlfn.XLOOKUP(Est_NIM[[#This Row],[DEAL_BUY_ID]],BS!AL:AL,BS!AU:AU,_xlfn.XLOOKUP(Est_NIM[[#This Row],[DEAL_BUY_ID]],BS!BA:BA,BS!BJ:BJ,,0),0)</f>
        <v>4.6500000000000004</v>
      </c>
      <c r="BZ34" s="534">
        <f>Est_NIM[[#This Row],[QUANT]]*Est_NIM[[#This Row],[YIELD]]</f>
        <v>44826000</v>
      </c>
      <c r="CA34" s="128"/>
      <c r="CB34" s="128"/>
      <c r="CE34" s="331"/>
      <c r="CF34" s="331"/>
      <c r="CG34" s="331"/>
      <c r="CH34">
        <v>3730</v>
      </c>
      <c r="CI34">
        <v>14282</v>
      </c>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8"/>
      <c r="DS34" s="128"/>
      <c r="DT34" s="128"/>
      <c r="DU34" s="128"/>
      <c r="DV34" s="128"/>
      <c r="DW34" s="128"/>
      <c r="DX34" s="530"/>
      <c r="DY34" s="530"/>
      <c r="DZ34" s="530"/>
      <c r="EA34" s="530"/>
      <c r="EB34" s="530"/>
      <c r="EC34" s="530"/>
      <c r="ED34" s="530"/>
      <c r="EE34" s="530"/>
      <c r="EF34" s="530"/>
      <c r="EG34" s="530"/>
      <c r="EH34" s="530"/>
      <c r="EI34" s="530"/>
      <c r="EJ34" s="530"/>
      <c r="EK34" s="530"/>
      <c r="EL34" s="530"/>
      <c r="EM34" s="530"/>
      <c r="EN34" s="530"/>
      <c r="EO34" s="530"/>
      <c r="EP34" s="530"/>
      <c r="EQ34" s="530"/>
      <c r="ER34" s="530"/>
      <c r="ES34" s="530"/>
      <c r="ET34" s="530"/>
      <c r="EU34" s="530"/>
      <c r="EV34" s="530"/>
      <c r="EW34" s="530"/>
      <c r="EX34" s="530"/>
      <c r="EY34" s="530"/>
      <c r="EZ34" s="530"/>
      <c r="FA34" s="530"/>
      <c r="FB34" s="530"/>
      <c r="FC34" s="530"/>
      <c r="FD34" s="530"/>
      <c r="FE34" s="530"/>
      <c r="FF34" s="530"/>
      <c r="FG34" s="530"/>
      <c r="FH34" s="530"/>
      <c r="FI34" s="530"/>
      <c r="FJ34" s="530"/>
      <c r="FK34" s="530"/>
      <c r="FL34" s="530"/>
      <c r="FM34" s="530"/>
      <c r="FN34" s="530"/>
      <c r="FO34" s="530"/>
      <c r="FP34" s="530"/>
      <c r="FQ34" s="530"/>
      <c r="GI34" s="128"/>
      <c r="GJ34" s="128"/>
      <c r="GK34" s="128"/>
      <c r="GL34" s="128"/>
      <c r="GM34" s="128"/>
      <c r="GN34" s="128"/>
      <c r="GO34" s="128"/>
      <c r="GP34" s="128"/>
      <c r="GQ34" s="128"/>
      <c r="GR34" s="128"/>
      <c r="GS34" s="128"/>
      <c r="GT34" s="128"/>
      <c r="GU34" s="128"/>
      <c r="GV34" s="128"/>
      <c r="GW34" s="128"/>
      <c r="GX34" s="128"/>
      <c r="GY34" s="128"/>
      <c r="GZ34" s="128"/>
      <c r="HA34" s="128"/>
      <c r="HB34" s="128"/>
      <c r="HC34" s="128"/>
      <c r="HD34" s="128"/>
      <c r="HE34" s="128"/>
      <c r="HF34" s="128"/>
      <c r="HG34" s="128"/>
      <c r="HH34" s="128"/>
      <c r="HI34" s="128"/>
      <c r="HJ34" s="128"/>
      <c r="HK34" s="128"/>
      <c r="HL34" s="128"/>
      <c r="HM34" s="128"/>
      <c r="HN34" s="128"/>
      <c r="HO34" s="128"/>
      <c r="HP34" s="128"/>
      <c r="HQ34" s="128"/>
      <c r="HR34" s="128"/>
      <c r="HS34" s="128"/>
      <c r="HT34" s="128"/>
      <c r="HU34" s="128"/>
      <c r="HV34" s="128"/>
      <c r="HW34" s="128"/>
      <c r="HX34" s="128"/>
      <c r="HY34" s="128"/>
      <c r="HZ34" s="128"/>
      <c r="IA34" s="128"/>
      <c r="IB34" s="128"/>
      <c r="IC34" s="128"/>
    </row>
    <row r="35" spans="41:237" x14ac:dyDescent="0.3">
      <c r="AO35" s="128">
        <v>49586</v>
      </c>
      <c r="AP35" s="128" t="s">
        <v>684</v>
      </c>
      <c r="AQ35" s="128" t="s">
        <v>824</v>
      </c>
      <c r="AR35" s="128" t="s">
        <v>3594</v>
      </c>
      <c r="AS35" s="375">
        <v>46134</v>
      </c>
      <c r="AT35" s="375">
        <v>46451</v>
      </c>
      <c r="AU35" s="530">
        <v>126275</v>
      </c>
      <c r="AV35" s="128">
        <v>49582</v>
      </c>
      <c r="AW35" s="530">
        <v>3000000</v>
      </c>
      <c r="AX35" s="534">
        <f>_xlfn.XLOOKUP(Sell_unvalid[[#This Row],[DEAL_BUY_ID]],BS!BA:BA,BS!BE:BE,,0)</f>
        <v>125588</v>
      </c>
      <c r="AY35" s="534">
        <f>_xlfn.XLOOKUP(Sell_unvalid[[#This Row],[BOND_CODE]],FNRP!D:D,FNRP!I:I,_xlfn.XLOOKUP(Sell_unvalid[[#This Row],[BOND_CODE]],FNRP!AV:AV,FNRP!BA:BA,,0),0)</f>
        <v>124359</v>
      </c>
      <c r="AZ35" s="534">
        <f>_xlfn.XLOOKUP(Sell_unvalid[[#This Row],[DEAL_BUY_ID]],BS!BA:BA,BS!BQ:BQ,,0)*Sell_unvalid[[#This Row],[QUANTITY]]</f>
        <v>74515155563.331711</v>
      </c>
      <c r="BA35" s="534">
        <f>(Sell_unvalid[[#This Row],[Giá MtM]]-10^5)*Sell_unvalid[[#This Row],[QUANTITY]]-Sell_unvalid[[#This Row],[PTCK remain]]</f>
        <v>-1438155563.3317108</v>
      </c>
      <c r="BB35" s="534">
        <f>(Sell_unvalid[[#This Row],[PRICE]]-10^5)*Sell_unvalid[[#This Row],[QUANTITY]]-Sell_unvalid[[#This Row],[PTCK remain]]</f>
        <v>4309844436.6682892</v>
      </c>
      <c r="BC35" s="534" t="str">
        <f>IF(AND(Sell_unvalid[[#This Row],[VALUE_DATE]]&lt;=RPT,Sell_unvalid[[#This Row],[TRANSACTION_STATUS]]="N"),"Check","Ok")</f>
        <v>Ok</v>
      </c>
      <c r="BD35" s="534"/>
      <c r="BE35" s="692"/>
      <c r="BF35" s="128">
        <v>50074</v>
      </c>
      <c r="BG35" s="128" t="s">
        <v>717</v>
      </c>
      <c r="BH35" s="128" t="s">
        <v>824</v>
      </c>
      <c r="BI35" s="128" t="s">
        <v>3594</v>
      </c>
      <c r="BJ35" s="375">
        <v>46190</v>
      </c>
      <c r="BK35" s="375">
        <v>46205</v>
      </c>
      <c r="BL35" s="128">
        <v>580000</v>
      </c>
      <c r="BM35" s="128">
        <v>153270</v>
      </c>
      <c r="BN35" s="534">
        <f>_xlfn.XLOOKUP(Buy_unvalid[[#This Row],[BOND_CODE]],FNRP!D:D,FNRP!I:I,,0)</f>
        <v>142049</v>
      </c>
      <c r="BO35" s="534">
        <f>_xlfn.XLOOKUP(Buy_unvalid[[#This Row],[DEAL_BUY_ID]],BS!BA:BA,BS!BQ:BQ,_xlfn.XLOOKUP(Buy_unvalid[[#This Row],[DEAL_BUY_ID]],BS!AL:AL,BS!AR:AR,,0),0)*Buy_unvalid[[#This Row],[QUANTITY]]</f>
        <v>30688408589.797115</v>
      </c>
      <c r="BP35" s="534">
        <f>(Buy_unvalid[[#This Row],[Giá MtM]]-10^5)*Buy_unvalid[[#This Row],[QUANTITY]]-Buy_unvalid[[#This Row],[PTCK remain]]</f>
        <v>-6299988589.7971153</v>
      </c>
      <c r="BQ35" s="534" t="str">
        <f>IF(AND(Buy_unvalid[[#This Row],[VALUE_DATE]]&lt;=RPT,Buy_unvalid[[#This Row],[TRANSACTION_STATUS]]="N"),"Check","Ok")</f>
        <v>Ok</v>
      </c>
      <c r="BS35" s="128"/>
      <c r="BT35" s="848">
        <v>50061</v>
      </c>
      <c r="BU35" s="849">
        <v>46335</v>
      </c>
      <c r="BV35" s="848">
        <v>50057</v>
      </c>
      <c r="BW35" s="848"/>
      <c r="BX35" s="530">
        <v>7210000</v>
      </c>
      <c r="BY35" s="735">
        <f>_xlfn.XLOOKUP(Est_NIM[[#This Row],[DEAL_BUY_ID]],BS!AL:AL,BS!AU:AU,_xlfn.XLOOKUP(Est_NIM[[#This Row],[DEAL_BUY_ID]],BS!BA:BA,BS!BJ:BJ,,0),0)</f>
        <v>4.6500000000000004</v>
      </c>
      <c r="BZ35" s="534">
        <f>Est_NIM[[#This Row],[QUANT]]*Est_NIM[[#This Row],[YIELD]]</f>
        <v>33526500.000000004</v>
      </c>
      <c r="CA35" s="128"/>
      <c r="CB35" s="128"/>
      <c r="CE35" s="331"/>
      <c r="CF35" s="331"/>
      <c r="CG35" s="331"/>
      <c r="CH35">
        <v>3730</v>
      </c>
      <c r="CI35">
        <v>14282</v>
      </c>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8"/>
      <c r="DS35" s="128"/>
      <c r="DT35" s="128"/>
      <c r="DU35" s="128"/>
      <c r="DV35" s="128"/>
      <c r="DW35" s="128"/>
      <c r="DX35" s="530"/>
      <c r="DY35" s="530"/>
      <c r="DZ35" s="530"/>
      <c r="EA35" s="530"/>
      <c r="EB35" s="530"/>
      <c r="EC35" s="530"/>
      <c r="ED35" s="530"/>
      <c r="EE35" s="530"/>
      <c r="EF35" s="530"/>
      <c r="EG35" s="530"/>
      <c r="EH35" s="530"/>
      <c r="EI35" s="530"/>
      <c r="EJ35" s="530"/>
      <c r="EK35" s="530"/>
      <c r="EL35" s="530"/>
      <c r="EM35" s="530"/>
      <c r="EN35" s="530"/>
      <c r="EO35" s="530"/>
      <c r="EP35" s="530"/>
      <c r="EQ35" s="530"/>
      <c r="ER35" s="530"/>
      <c r="ES35" s="530"/>
      <c r="ET35" s="530"/>
      <c r="EU35" s="530"/>
      <c r="EV35" s="530"/>
      <c r="EW35" s="530"/>
      <c r="EX35" s="530"/>
      <c r="EY35" s="530"/>
      <c r="EZ35" s="530"/>
      <c r="FA35" s="530"/>
      <c r="FB35" s="530"/>
      <c r="FC35" s="530"/>
      <c r="FD35" s="530"/>
      <c r="FE35" s="530"/>
      <c r="FF35" s="530"/>
      <c r="FG35" s="530"/>
      <c r="FH35" s="530"/>
      <c r="FI35" s="530"/>
      <c r="FJ35" s="530"/>
      <c r="FK35" s="530"/>
      <c r="FL35" s="530"/>
      <c r="FM35" s="530"/>
      <c r="FN35" s="530"/>
      <c r="FO35" s="530"/>
      <c r="FP35" s="530"/>
      <c r="FQ35" s="530"/>
      <c r="GI35" s="128"/>
      <c r="GJ35" s="128"/>
      <c r="GK35" s="128"/>
      <c r="GL35" s="128"/>
      <c r="GM35" s="128"/>
      <c r="GN35" s="128"/>
      <c r="GO35" s="128"/>
      <c r="GP35" s="128"/>
      <c r="GQ35" s="128"/>
      <c r="GR35" s="128"/>
      <c r="GS35" s="128"/>
      <c r="GT35" s="128"/>
      <c r="GU35" s="128"/>
      <c r="GV35" s="128"/>
      <c r="GW35" s="128"/>
      <c r="GX35" s="128"/>
      <c r="GY35" s="128"/>
      <c r="GZ35" s="128"/>
      <c r="HA35" s="128"/>
      <c r="HB35" s="128"/>
      <c r="HC35" s="128"/>
      <c r="HD35" s="128"/>
      <c r="HE35" s="128"/>
      <c r="HF35" s="128"/>
      <c r="HG35" s="128"/>
      <c r="HH35" s="128"/>
      <c r="HI35" s="128"/>
      <c r="HJ35" s="128"/>
      <c r="HK35" s="128"/>
      <c r="HL35" s="128"/>
      <c r="HM35" s="128"/>
      <c r="HN35" s="128"/>
      <c r="HO35" s="128"/>
      <c r="HP35" s="128"/>
      <c r="HQ35" s="128"/>
      <c r="HR35" s="128"/>
      <c r="HS35" s="128"/>
      <c r="HT35" s="128"/>
      <c r="HU35" s="128"/>
      <c r="HV35" s="128"/>
      <c r="HW35" s="128"/>
      <c r="HX35" s="128"/>
      <c r="HY35" s="128"/>
      <c r="HZ35" s="128"/>
      <c r="IA35" s="128"/>
      <c r="IB35" s="128"/>
      <c r="IC35" s="128"/>
    </row>
    <row r="36" spans="41:237" x14ac:dyDescent="0.3">
      <c r="AO36" s="128">
        <v>49585</v>
      </c>
      <c r="AP36" s="128" t="s">
        <v>616</v>
      </c>
      <c r="AQ36" s="128" t="s">
        <v>824</v>
      </c>
      <c r="AR36" s="128" t="s">
        <v>3594</v>
      </c>
      <c r="AS36" s="375">
        <v>46134</v>
      </c>
      <c r="AT36" s="375">
        <v>46451</v>
      </c>
      <c r="AU36" s="530">
        <v>115131</v>
      </c>
      <c r="AV36" s="128">
        <v>49581</v>
      </c>
      <c r="AW36" s="530">
        <v>6550000</v>
      </c>
      <c r="AX36" s="534">
        <f>_xlfn.XLOOKUP(Sell_unvalid[[#This Row],[DEAL_BUY_ID]],BS!BA:BA,BS!BE:BE,,0)</f>
        <v>115215</v>
      </c>
      <c r="AY36" s="534">
        <f>_xlfn.XLOOKUP(Sell_unvalid[[#This Row],[BOND_CODE]],FNRP!D:D,FNRP!I:I,_xlfn.XLOOKUP(Sell_unvalid[[#This Row],[BOND_CODE]],FNRP!AV:AV,FNRP!BA:BA,,0),0)</f>
        <v>114320</v>
      </c>
      <c r="AZ36" s="534">
        <f>_xlfn.XLOOKUP(Sell_unvalid[[#This Row],[DEAL_BUY_ID]],BS!BA:BA,BS!BQ:BQ,,0)*Sell_unvalid[[#This Row],[QUANTITY]]</f>
        <v>93236193633.078888</v>
      </c>
      <c r="BA36" s="534">
        <f>(Sell_unvalid[[#This Row],[Giá MtM]]-10^5)*Sell_unvalid[[#This Row],[QUANTITY]]-Sell_unvalid[[#This Row],[PTCK remain]]</f>
        <v>559806366.92111206</v>
      </c>
      <c r="BB36" s="534">
        <f>(Sell_unvalid[[#This Row],[PRICE]]-10^5)*Sell_unvalid[[#This Row],[QUANTITY]]-Sell_unvalid[[#This Row],[PTCK remain]]</f>
        <v>5871856366.9211121</v>
      </c>
      <c r="BC36" s="534" t="str">
        <f>IF(AND(Sell_unvalid[[#This Row],[VALUE_DATE]]&lt;=RPT,Sell_unvalid[[#This Row],[TRANSACTION_STATUS]]="N"),"Check","Ok")</f>
        <v>Ok</v>
      </c>
      <c r="BD36" s="534"/>
      <c r="BE36" s="615"/>
      <c r="BF36" s="128">
        <v>50221</v>
      </c>
      <c r="BG36" s="128" t="s">
        <v>3051</v>
      </c>
      <c r="BH36" s="128" t="s">
        <v>824</v>
      </c>
      <c r="BI36" s="375" t="s">
        <v>3594</v>
      </c>
      <c r="BJ36" s="375">
        <v>46225</v>
      </c>
      <c r="BK36" s="375">
        <v>46233</v>
      </c>
      <c r="BL36" s="530">
        <v>1500000</v>
      </c>
      <c r="BM36" s="530">
        <v>95733</v>
      </c>
      <c r="BN36" s="534">
        <f>_xlfn.XLOOKUP(Buy_unvalid[[#This Row],[BOND_CODE]],FNRP!D:D,FNRP!I:I,,0)</f>
        <v>89638</v>
      </c>
      <c r="BO36" s="534">
        <f>_xlfn.XLOOKUP(Buy_unvalid[[#This Row],[DEAL_BUY_ID]],BS!BA:BA,BS!BQ:BQ,_xlfn.XLOOKUP(Buy_unvalid[[#This Row],[DEAL_BUY_ID]],BS!AL:AL,BS!AR:AR,,0),0)*Buy_unvalid[[#This Row],[QUANTITY]]</f>
        <v>-6359082764.3783102</v>
      </c>
      <c r="BP36" s="534">
        <f>(Buy_unvalid[[#This Row],[Giá MtM]]-10^5)*Buy_unvalid[[#This Row],[QUANTITY]]-Buy_unvalid[[#This Row],[PTCK remain]]</f>
        <v>-9183917235.6216888</v>
      </c>
      <c r="BQ36" s="534" t="str">
        <f>IF(AND(Buy_unvalid[[#This Row],[VALUE_DATE]]&lt;=RPT,Buy_unvalid[[#This Row],[TRANSACTION_STATUS]]="N"),"Check","Ok")</f>
        <v>Ok</v>
      </c>
      <c r="BS36" s="128"/>
      <c r="BT36" s="848">
        <v>50062</v>
      </c>
      <c r="BU36" s="849">
        <v>46335</v>
      </c>
      <c r="BV36" s="848">
        <v>50058</v>
      </c>
      <c r="BW36" s="848"/>
      <c r="BX36" s="530">
        <v>1670000</v>
      </c>
      <c r="BY36" s="735">
        <f>_xlfn.XLOOKUP(Est_NIM[[#This Row],[DEAL_BUY_ID]],BS!AL:AL,BS!AU:AU,_xlfn.XLOOKUP(Est_NIM[[#This Row],[DEAL_BUY_ID]],BS!BA:BA,BS!BJ:BJ,,0),0)</f>
        <v>4.6500000000000004</v>
      </c>
      <c r="BZ36" s="534">
        <f>Est_NIM[[#This Row],[QUANT]]*Est_NIM[[#This Row],[YIELD]]</f>
        <v>7765500.0000000009</v>
      </c>
      <c r="CA36" s="128"/>
      <c r="CB36" s="128"/>
      <c r="CE36" s="331"/>
      <c r="CF36" s="331"/>
      <c r="CG36" s="331"/>
      <c r="CH36">
        <v>3730</v>
      </c>
      <c r="CI36">
        <v>14282</v>
      </c>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8"/>
      <c r="DS36" s="128"/>
      <c r="DT36" s="128"/>
      <c r="DU36" s="128"/>
      <c r="DV36" s="128"/>
      <c r="DW36" s="128"/>
      <c r="DX36" s="530"/>
      <c r="DY36" s="530"/>
      <c r="DZ36" s="530"/>
      <c r="EA36" s="530"/>
      <c r="EB36" s="530"/>
      <c r="EC36" s="530"/>
      <c r="ED36" s="530"/>
      <c r="EE36" s="530"/>
      <c r="EF36" s="530"/>
      <c r="EG36" s="530"/>
      <c r="EH36" s="530"/>
      <c r="EI36" s="530"/>
      <c r="EJ36" s="530"/>
      <c r="EK36" s="530"/>
      <c r="EL36" s="530"/>
      <c r="EM36" s="530"/>
      <c r="EN36" s="530"/>
      <c r="EO36" s="530"/>
      <c r="EP36" s="530"/>
      <c r="EQ36" s="530"/>
      <c r="ER36" s="530"/>
      <c r="ES36" s="530"/>
      <c r="ET36" s="530"/>
      <c r="EU36" s="530"/>
      <c r="EV36" s="530"/>
      <c r="EW36" s="530"/>
      <c r="EX36" s="530"/>
      <c r="EY36" s="530"/>
      <c r="EZ36" s="530"/>
      <c r="FA36" s="530"/>
      <c r="FB36" s="530"/>
      <c r="FC36" s="530"/>
      <c r="FD36" s="530"/>
      <c r="FE36" s="530"/>
      <c r="FF36" s="530"/>
      <c r="FG36" s="530"/>
      <c r="FH36" s="530"/>
      <c r="FI36" s="530"/>
      <c r="FJ36" s="530"/>
      <c r="FK36" s="530"/>
      <c r="FL36" s="530"/>
      <c r="FM36" s="530"/>
      <c r="FN36" s="530"/>
      <c r="FO36" s="530"/>
      <c r="FP36" s="530"/>
      <c r="FQ36" s="530"/>
      <c r="GI36" s="128"/>
      <c r="GJ36" s="128"/>
      <c r="GK36" s="128"/>
      <c r="GL36" s="128"/>
      <c r="GM36" s="128"/>
      <c r="GN36" s="128"/>
      <c r="GO36" s="128"/>
      <c r="GP36" s="128"/>
      <c r="GQ36" s="128"/>
      <c r="GR36" s="128"/>
      <c r="GS36" s="128"/>
      <c r="GT36" s="128"/>
      <c r="GU36" s="128"/>
      <c r="GV36" s="128"/>
      <c r="GW36" s="128"/>
      <c r="GX36" s="128"/>
      <c r="GY36" s="128"/>
      <c r="GZ36" s="128"/>
      <c r="HA36" s="128"/>
      <c r="HB36" s="128"/>
      <c r="HC36" s="128"/>
      <c r="HD36" s="128"/>
      <c r="HE36" s="128"/>
      <c r="HF36" s="128"/>
      <c r="HG36" s="128"/>
      <c r="HH36" s="128"/>
      <c r="HI36" s="128"/>
      <c r="HJ36" s="128"/>
      <c r="HK36" s="128"/>
      <c r="HL36" s="128"/>
      <c r="HM36" s="128"/>
      <c r="HN36" s="128"/>
      <c r="HO36" s="128"/>
      <c r="HP36" s="128"/>
      <c r="HQ36" s="128"/>
      <c r="HR36" s="128"/>
      <c r="HS36" s="128"/>
      <c r="HT36" s="128"/>
      <c r="HU36" s="128"/>
      <c r="HV36" s="128"/>
      <c r="HW36" s="128"/>
      <c r="HX36" s="128"/>
      <c r="HY36" s="128"/>
      <c r="HZ36" s="128"/>
      <c r="IA36" s="128"/>
      <c r="IB36" s="128"/>
      <c r="IC36" s="128"/>
    </row>
    <row r="37" spans="41:237" x14ac:dyDescent="0.3">
      <c r="AO37" s="128">
        <v>49476</v>
      </c>
      <c r="AP37" s="128" t="s">
        <v>1193</v>
      </c>
      <c r="AQ37" s="128" t="s">
        <v>824</v>
      </c>
      <c r="AR37" s="128" t="s">
        <v>3594</v>
      </c>
      <c r="AS37" s="375">
        <v>46122</v>
      </c>
      <c r="AT37" s="375">
        <v>46269</v>
      </c>
      <c r="AU37" s="530">
        <v>143571</v>
      </c>
      <c r="AV37" s="128">
        <v>49474</v>
      </c>
      <c r="AW37" s="530">
        <v>5500000</v>
      </c>
      <c r="AX37" s="534">
        <f>_xlfn.XLOOKUP(Sell_unvalid[[#This Row],[DEAL_BUY_ID]],BS!BA:BA,BS!BE:BE,,0)</f>
        <v>144419</v>
      </c>
      <c r="AY37" s="534">
        <f>_xlfn.XLOOKUP(Sell_unvalid[[#This Row],[BOND_CODE]],FNRP!D:D,FNRP!I:I,_xlfn.XLOOKUP(Sell_unvalid[[#This Row],[BOND_CODE]],FNRP!AV:AV,FNRP!BA:BA,,0),0)</f>
        <v>141546</v>
      </c>
      <c r="AZ37" s="534">
        <f>_xlfn.XLOOKUP(Sell_unvalid[[#This Row],[DEAL_BUY_ID]],BS!BA:BA,BS!BQ:BQ,,0)*Sell_unvalid[[#This Row],[QUANTITY]]</f>
        <v>240145685818.54782</v>
      </c>
      <c r="BA37" s="534">
        <f>(Sell_unvalid[[#This Row],[Giá MtM]]-10^5)*Sell_unvalid[[#This Row],[QUANTITY]]-Sell_unvalid[[#This Row],[PTCK remain]]</f>
        <v>-11642685818.547821</v>
      </c>
      <c r="BB37" s="534">
        <f>(Sell_unvalid[[#This Row],[PRICE]]-10^5)*Sell_unvalid[[#This Row],[QUANTITY]]-Sell_unvalid[[#This Row],[PTCK remain]]</f>
        <v>-505185818.54782104</v>
      </c>
      <c r="BC37" s="534" t="str">
        <f>IF(AND(Sell_unvalid[[#This Row],[VALUE_DATE]]&lt;=RPT,Sell_unvalid[[#This Row],[TRANSACTION_STATUS]]="N"),"Check","Ok")</f>
        <v>Ok</v>
      </c>
      <c r="BD37" s="534"/>
      <c r="BE37" s="615"/>
      <c r="BF37" s="128">
        <v>50262</v>
      </c>
      <c r="BG37" s="128" t="s">
        <v>2497</v>
      </c>
      <c r="BH37" s="128" t="s">
        <v>824</v>
      </c>
      <c r="BI37" s="375" t="s">
        <v>3594</v>
      </c>
      <c r="BJ37" s="375">
        <v>46232</v>
      </c>
      <c r="BK37" s="375">
        <v>46240</v>
      </c>
      <c r="BL37" s="530">
        <v>800000</v>
      </c>
      <c r="BM37" s="530">
        <v>103210</v>
      </c>
      <c r="BN37" s="534">
        <f>_xlfn.XLOOKUP(Buy_unvalid[[#This Row],[BOND_CODE]],FNRP!D:D,FNRP!I:I,,0)</f>
        <v>92330</v>
      </c>
      <c r="BO37" s="534">
        <f>_xlfn.XLOOKUP(Buy_unvalid[[#This Row],[DEAL_BUY_ID]],BS!BA:BA,BS!BQ:BQ,_xlfn.XLOOKUP(Buy_unvalid[[#This Row],[DEAL_BUY_ID]],BS!AL:AL,BS!AR:AR,,0),0)*Buy_unvalid[[#This Row],[QUANTITY]]</f>
        <v>2564622272.1754136</v>
      </c>
      <c r="BP37" s="534">
        <f>(Buy_unvalid[[#This Row],[Giá MtM]]-10^5)*Buy_unvalid[[#This Row],[QUANTITY]]-Buy_unvalid[[#This Row],[PTCK remain]]</f>
        <v>-8700622272.1754131</v>
      </c>
      <c r="BQ37" s="534" t="str">
        <f>IF(AND(Buy_unvalid[[#This Row],[VALUE_DATE]]&lt;=RPT,Buy_unvalid[[#This Row],[TRANSACTION_STATUS]]="N"),"Check","Ok")</f>
        <v>Ok</v>
      </c>
      <c r="BS37" s="128"/>
      <c r="BT37" s="848">
        <v>50218</v>
      </c>
      <c r="BU37" s="849">
        <v>46386</v>
      </c>
      <c r="BV37" s="848">
        <v>50214</v>
      </c>
      <c r="BW37" s="848"/>
      <c r="BX37" s="530">
        <v>3370000</v>
      </c>
      <c r="BY37" s="735">
        <f>_xlfn.XLOOKUP(Est_NIM[[#This Row],[DEAL_BUY_ID]],BS!AL:AL,BS!AU:AU,_xlfn.XLOOKUP(Est_NIM[[#This Row],[DEAL_BUY_ID]],BS!BA:BA,BS!BJ:BJ,,0),0)</f>
        <v>4.87</v>
      </c>
      <c r="BZ37" s="534">
        <f>Est_NIM[[#This Row],[QUANT]]*Est_NIM[[#This Row],[YIELD]]</f>
        <v>16411900</v>
      </c>
      <c r="CA37" s="128"/>
      <c r="CB37" s="128"/>
      <c r="CE37" s="331"/>
      <c r="CF37" s="331"/>
      <c r="CG37" s="331"/>
      <c r="CH37">
        <v>3730</v>
      </c>
      <c r="CI37">
        <v>14282</v>
      </c>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8"/>
      <c r="DS37" s="128"/>
      <c r="DT37" s="128"/>
      <c r="DU37" s="128"/>
      <c r="DV37" s="128"/>
      <c r="DW37" s="128"/>
      <c r="DX37" s="530"/>
      <c r="DY37" s="530"/>
      <c r="DZ37" s="530"/>
      <c r="EA37" s="530"/>
      <c r="EB37" s="530"/>
      <c r="EC37" s="530"/>
      <c r="ED37" s="530"/>
      <c r="EE37" s="530"/>
      <c r="EF37" s="530"/>
      <c r="EG37" s="530"/>
      <c r="EH37" s="530"/>
      <c r="EI37" s="530"/>
      <c r="EJ37" s="530"/>
      <c r="EK37" s="530"/>
      <c r="EL37" s="530"/>
      <c r="EM37" s="530"/>
      <c r="EN37" s="530"/>
      <c r="EO37" s="530"/>
      <c r="EP37" s="530"/>
      <c r="EQ37" s="530"/>
      <c r="ER37" s="530"/>
      <c r="ES37" s="530"/>
      <c r="ET37" s="530"/>
      <c r="EU37" s="530"/>
      <c r="EV37" s="530"/>
      <c r="EW37" s="530"/>
      <c r="EX37" s="530"/>
      <c r="EY37" s="530"/>
      <c r="EZ37" s="530"/>
      <c r="FA37" s="530"/>
      <c r="FB37" s="530"/>
      <c r="FC37" s="530"/>
      <c r="FD37" s="530"/>
      <c r="FE37" s="530"/>
      <c r="FF37" s="530"/>
      <c r="FG37" s="530"/>
      <c r="FH37" s="530"/>
      <c r="FI37" s="530"/>
      <c r="FJ37" s="530"/>
      <c r="FK37" s="530"/>
      <c r="FL37" s="530"/>
      <c r="FM37" s="530"/>
      <c r="FN37" s="530"/>
      <c r="FO37" s="530"/>
      <c r="FP37" s="530"/>
      <c r="FQ37" s="530"/>
      <c r="GI37" s="128"/>
      <c r="GJ37" s="128"/>
      <c r="GK37" s="128"/>
      <c r="GL37" s="128"/>
      <c r="GM37" s="128"/>
      <c r="GN37" s="128"/>
      <c r="GO37" s="128"/>
      <c r="GP37" s="128"/>
      <c r="GQ37" s="128"/>
      <c r="GR37" s="128"/>
      <c r="GS37" s="128"/>
      <c r="GT37" s="128"/>
      <c r="GU37" s="128"/>
      <c r="GV37" s="128"/>
      <c r="GW37" s="128"/>
      <c r="GX37" s="128"/>
      <c r="GY37" s="128"/>
      <c r="GZ37" s="128"/>
      <c r="HA37" s="128"/>
      <c r="HB37" s="128"/>
      <c r="HC37" s="128"/>
      <c r="HD37" s="128"/>
      <c r="HE37" s="128"/>
      <c r="HF37" s="128"/>
      <c r="HG37" s="128"/>
      <c r="HH37" s="128"/>
      <c r="HI37" s="128"/>
      <c r="HJ37" s="128"/>
      <c r="HK37" s="128"/>
      <c r="HL37" s="128"/>
      <c r="HM37" s="128"/>
      <c r="HN37" s="128"/>
      <c r="HO37" s="128"/>
      <c r="HP37" s="128"/>
      <c r="HQ37" s="128"/>
      <c r="HR37" s="128"/>
      <c r="HS37" s="128"/>
      <c r="HT37" s="128"/>
      <c r="HU37" s="128"/>
      <c r="HV37" s="128"/>
      <c r="HW37" s="128"/>
      <c r="HX37" s="128"/>
      <c r="HY37" s="128"/>
      <c r="HZ37" s="128"/>
      <c r="IA37" s="128"/>
      <c r="IB37" s="128"/>
      <c r="IC37" s="128"/>
    </row>
    <row r="38" spans="41:237" x14ac:dyDescent="0.3">
      <c r="AO38" s="128">
        <v>49477</v>
      </c>
      <c r="AP38" s="128" t="s">
        <v>1193</v>
      </c>
      <c r="AQ38" s="128" t="s">
        <v>824</v>
      </c>
      <c r="AR38" s="375" t="s">
        <v>3594</v>
      </c>
      <c r="AS38" s="375">
        <v>46122</v>
      </c>
      <c r="AT38" s="375">
        <v>46269</v>
      </c>
      <c r="AU38" s="530">
        <v>143571</v>
      </c>
      <c r="AV38" s="532">
        <v>49475</v>
      </c>
      <c r="AW38" s="530">
        <v>6000000</v>
      </c>
      <c r="AX38" s="534">
        <f>_xlfn.XLOOKUP(Sell_unvalid[[#This Row],[DEAL_BUY_ID]],BS!BA:BA,BS!BE:BE,,0)</f>
        <v>144419</v>
      </c>
      <c r="AY38" s="534">
        <f>_xlfn.XLOOKUP(Sell_unvalid[[#This Row],[BOND_CODE]],FNRP!D:D,FNRP!I:I,_xlfn.XLOOKUP(Sell_unvalid[[#This Row],[BOND_CODE]],FNRP!AV:AV,FNRP!BA:BA,,0),0)</f>
        <v>141546</v>
      </c>
      <c r="AZ38" s="534">
        <f>_xlfn.XLOOKUP(Sell_unvalid[[#This Row],[DEAL_BUY_ID]],BS!BA:BA,BS!BQ:BQ,,0)*Sell_unvalid[[#This Row],[QUANTITY]]</f>
        <v>261977111802.05219</v>
      </c>
      <c r="BA38" s="534">
        <f>(Sell_unvalid[[#This Row],[Giá MtM]]-10^5)*Sell_unvalid[[#This Row],[QUANTITY]]-Sell_unvalid[[#This Row],[PTCK remain]]</f>
        <v>-12701111802.052185</v>
      </c>
      <c r="BB38" s="534">
        <f>(Sell_unvalid[[#This Row],[PRICE]]-10^5)*Sell_unvalid[[#This Row],[QUANTITY]]-Sell_unvalid[[#This Row],[PTCK remain]]</f>
        <v>-551111802.05218506</v>
      </c>
      <c r="BC38" s="534" t="str">
        <f>IF(AND(Sell_unvalid[[#This Row],[VALUE_DATE]]&lt;=RPT,Sell_unvalid[[#This Row],[TRANSACTION_STATUS]]="N"),"Check","Ok")</f>
        <v>Ok</v>
      </c>
      <c r="BD38" s="534"/>
      <c r="BE38" s="615"/>
      <c r="BF38" s="128">
        <v>50264</v>
      </c>
      <c r="BG38" s="128" t="s">
        <v>2499</v>
      </c>
      <c r="BH38" s="128" t="s">
        <v>824</v>
      </c>
      <c r="BI38" s="375" t="s">
        <v>3594</v>
      </c>
      <c r="BJ38" s="375">
        <v>46232</v>
      </c>
      <c r="BK38" s="375">
        <v>46240</v>
      </c>
      <c r="BL38" s="530">
        <v>2000000</v>
      </c>
      <c r="BM38" s="530">
        <v>111200</v>
      </c>
      <c r="BN38" s="534">
        <f>_xlfn.XLOOKUP(Buy_unvalid[[#This Row],[BOND_CODE]],FNRP!D:D,FNRP!I:I,,0)</f>
        <v>102776</v>
      </c>
      <c r="BO38" s="534">
        <f>_xlfn.XLOOKUP(Buy_unvalid[[#This Row],[DEAL_BUY_ID]],BS!BA:BA,BS!BQ:BQ,_xlfn.XLOOKUP(Buy_unvalid[[#This Row],[DEAL_BUY_ID]],BS!AL:AL,BS!AR:AR,,0),0)*Buy_unvalid[[#This Row],[QUANTITY]]</f>
        <v>22273639375.872398</v>
      </c>
      <c r="BP38" s="534">
        <f>(Buy_unvalid[[#This Row],[Giá MtM]]-10^5)*Buy_unvalid[[#This Row],[QUANTITY]]-Buy_unvalid[[#This Row],[PTCK remain]]</f>
        <v>-16721639375.872398</v>
      </c>
      <c r="BQ38" s="534" t="str">
        <f>IF(AND(Buy_unvalid[[#This Row],[VALUE_DATE]]&lt;=RPT,Buy_unvalid[[#This Row],[TRANSACTION_STATUS]]="N"),"Check","Ok")</f>
        <v>Ok</v>
      </c>
      <c r="BS38" s="128"/>
      <c r="BT38" s="848">
        <v>50219</v>
      </c>
      <c r="BU38" s="849">
        <v>46386</v>
      </c>
      <c r="BV38" s="848">
        <v>50215</v>
      </c>
      <c r="BW38" s="848"/>
      <c r="BX38" s="530">
        <v>1000000</v>
      </c>
      <c r="BY38" s="735">
        <f>_xlfn.XLOOKUP(Est_NIM[[#This Row],[DEAL_BUY_ID]],BS!AL:AL,BS!AU:AU,_xlfn.XLOOKUP(Est_NIM[[#This Row],[DEAL_BUY_ID]],BS!BA:BA,BS!BJ:BJ,,0),0)</f>
        <v>4.87</v>
      </c>
      <c r="BZ38" s="534">
        <f>Est_NIM[[#This Row],[QUANT]]*Est_NIM[[#This Row],[YIELD]]</f>
        <v>4870000</v>
      </c>
      <c r="CA38" s="128"/>
      <c r="CB38" s="128"/>
      <c r="CE38" s="331"/>
      <c r="CF38" s="331"/>
      <c r="CG38" s="331"/>
      <c r="CH38">
        <v>3730</v>
      </c>
      <c r="CI38">
        <v>14282</v>
      </c>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8"/>
      <c r="DS38" s="128"/>
      <c r="DT38" s="128"/>
      <c r="DU38" s="128"/>
      <c r="DV38" s="128"/>
      <c r="DW38" s="128"/>
      <c r="DX38" s="530"/>
      <c r="DY38" s="530"/>
      <c r="DZ38" s="530"/>
      <c r="EA38" s="530"/>
      <c r="EB38" s="530"/>
      <c r="EC38" s="530"/>
      <c r="ED38" s="530"/>
      <c r="EE38" s="530"/>
      <c r="EF38" s="530"/>
      <c r="EG38" s="530"/>
      <c r="EH38" s="530"/>
      <c r="EI38" s="530"/>
      <c r="EJ38" s="530"/>
      <c r="EK38" s="530"/>
      <c r="EL38" s="530"/>
      <c r="EM38" s="530"/>
      <c r="EN38" s="530"/>
      <c r="EO38" s="530"/>
      <c r="EP38" s="530"/>
      <c r="EQ38" s="530"/>
      <c r="ER38" s="530"/>
      <c r="ES38" s="530"/>
      <c r="ET38" s="530"/>
      <c r="EU38" s="530"/>
      <c r="EV38" s="530"/>
      <c r="EW38" s="530"/>
      <c r="EX38" s="530"/>
      <c r="EY38" s="530"/>
      <c r="EZ38" s="530"/>
      <c r="FA38" s="530"/>
      <c r="FB38" s="530"/>
      <c r="FC38" s="530"/>
      <c r="FD38" s="530"/>
      <c r="FE38" s="530"/>
      <c r="FF38" s="530"/>
      <c r="FG38" s="530"/>
      <c r="FH38" s="530"/>
      <c r="FI38" s="530"/>
      <c r="FJ38" s="530"/>
      <c r="FK38" s="530"/>
      <c r="FL38" s="530"/>
      <c r="FM38" s="530"/>
      <c r="FN38" s="530"/>
      <c r="FO38" s="530"/>
      <c r="FP38" s="530"/>
      <c r="FQ38" s="530"/>
      <c r="GI38" s="128"/>
      <c r="GJ38" s="128"/>
      <c r="GK38" s="128"/>
      <c r="GL38" s="128"/>
      <c r="GM38" s="128"/>
      <c r="GN38" s="128"/>
      <c r="GO38" s="128"/>
      <c r="GP38" s="128"/>
      <c r="GQ38" s="128"/>
      <c r="GR38" s="128"/>
      <c r="GS38" s="128"/>
      <c r="GT38" s="128"/>
      <c r="GU38" s="128"/>
      <c r="GV38" s="128"/>
      <c r="GW38" s="128"/>
      <c r="GX38" s="128"/>
      <c r="GY38" s="128"/>
      <c r="GZ38" s="128"/>
      <c r="HA38" s="128"/>
      <c r="HB38" s="128"/>
      <c r="HC38" s="128"/>
      <c r="HD38" s="128"/>
      <c r="HE38" s="128"/>
      <c r="HF38" s="128"/>
      <c r="HG38" s="128"/>
      <c r="HH38" s="128"/>
      <c r="HI38" s="128"/>
      <c r="HJ38" s="128"/>
      <c r="HK38" s="128"/>
      <c r="HL38" s="128"/>
      <c r="HM38" s="128"/>
      <c r="HN38" s="128"/>
      <c r="HO38" s="128"/>
      <c r="HP38" s="128"/>
      <c r="HQ38" s="128"/>
      <c r="HR38" s="128"/>
      <c r="HS38" s="128"/>
      <c r="HT38" s="128"/>
      <c r="HU38" s="128"/>
      <c r="HV38" s="128"/>
      <c r="HW38" s="128"/>
      <c r="HX38" s="128"/>
      <c r="HY38" s="128"/>
      <c r="HZ38" s="128"/>
      <c r="IA38" s="128"/>
      <c r="IB38" s="128"/>
      <c r="IC38" s="128"/>
    </row>
    <row r="39" spans="41:237" x14ac:dyDescent="0.3">
      <c r="AO39" s="128">
        <v>50283</v>
      </c>
      <c r="AP39" s="128" t="s">
        <v>681</v>
      </c>
      <c r="AQ39" s="128" t="s">
        <v>824</v>
      </c>
      <c r="AR39" s="375" t="s">
        <v>3594</v>
      </c>
      <c r="AS39" s="375">
        <v>46238</v>
      </c>
      <c r="AT39" s="375">
        <v>46240</v>
      </c>
      <c r="AU39" s="530">
        <v>127007</v>
      </c>
      <c r="AV39" s="664">
        <v>48881</v>
      </c>
      <c r="AW39" s="530">
        <v>950000</v>
      </c>
      <c r="AX39" s="534">
        <f>_xlfn.XLOOKUP(Sell_unvalid[[#This Row],[DEAL_BUY_ID]],BS!BA:BA,BS!BE:BE,,0)</f>
        <v>128162</v>
      </c>
      <c r="AY39" s="534">
        <f>_xlfn.XLOOKUP(Sell_unvalid[[#This Row],[BOND_CODE]],FNRP!D:D,FNRP!I:I,_xlfn.XLOOKUP(Sell_unvalid[[#This Row],[BOND_CODE]],FNRP!AV:AV,FNRP!BA:BA,,0),0)</f>
        <v>124796</v>
      </c>
      <c r="AZ39" s="534">
        <f>_xlfn.XLOOKUP(Sell_unvalid[[#This Row],[DEAL_BUY_ID]],BS!BA:BA,BS!BQ:BQ,,0)*Sell_unvalid[[#This Row],[QUANTITY]]</f>
        <v>25354403237.583729</v>
      </c>
      <c r="BA39" s="534">
        <f>(Sell_unvalid[[#This Row],[Giá MtM]]-10^5)*Sell_unvalid[[#This Row],[QUANTITY]]-Sell_unvalid[[#This Row],[PTCK remain]]</f>
        <v>-1798203237.5837288</v>
      </c>
      <c r="BB39" s="534">
        <f>(Sell_unvalid[[#This Row],[PRICE]]-10^5)*Sell_unvalid[[#This Row],[QUANTITY]]-Sell_unvalid[[#This Row],[PTCK remain]]</f>
        <v>302246762.41627121</v>
      </c>
      <c r="BC39" s="534" t="str">
        <f>IF(AND(Sell_unvalid[[#This Row],[VALUE_DATE]]&lt;=RPT,Sell_unvalid[[#This Row],[TRANSACTION_STATUS]]="N"),"Check","Ok")</f>
        <v>Ok</v>
      </c>
      <c r="BD39" s="534"/>
      <c r="BE39" s="615"/>
      <c r="BF39" s="128">
        <v>50323</v>
      </c>
      <c r="BG39" s="128" t="s">
        <v>2836</v>
      </c>
      <c r="BH39" s="128" t="s">
        <v>824</v>
      </c>
      <c r="BI39" s="375" t="s">
        <v>2234</v>
      </c>
      <c r="BJ39" s="375">
        <v>46240</v>
      </c>
      <c r="BK39" s="375">
        <v>46255</v>
      </c>
      <c r="BL39" s="530">
        <v>2000000</v>
      </c>
      <c r="BM39" s="530">
        <v>97633</v>
      </c>
      <c r="BN39" s="534">
        <f>_xlfn.XLOOKUP(Buy_unvalid[[#This Row],[BOND_CODE]],FNRP!D:D,FNRP!I:I,,0)</f>
        <v>89135</v>
      </c>
      <c r="BO39" s="534">
        <f>_xlfn.XLOOKUP(Buy_unvalid[[#This Row],[DEAL_BUY_ID]],BS!BA:BA,BS!BQ:BQ,_xlfn.XLOOKUP(Buy_unvalid[[#This Row],[DEAL_BUY_ID]],BS!AL:AL,BS!AR:AR,,0),0)*Buy_unvalid[[#This Row],[QUANTITY]]</f>
        <v>-4736291408.9477625</v>
      </c>
      <c r="BP39" s="534">
        <f>(Buy_unvalid[[#This Row],[Giá MtM]]-10^5)*Buy_unvalid[[#This Row],[QUANTITY]]-Buy_unvalid[[#This Row],[PTCK remain]]</f>
        <v>-16993708591.052238</v>
      </c>
      <c r="BQ39" s="534" t="str">
        <f>IF(AND(Buy_unvalid[[#This Row],[VALUE_DATE]]&lt;=RPT,Buy_unvalid[[#This Row],[TRANSACTION_STATUS]]="N"),"Check","Ok")</f>
        <v>Ok</v>
      </c>
      <c r="BS39" s="128"/>
      <c r="BT39" s="848">
        <v>50419</v>
      </c>
      <c r="BU39" s="849">
        <v>46254</v>
      </c>
      <c r="BV39" s="848">
        <v>45624</v>
      </c>
      <c r="BW39" s="848"/>
      <c r="BX39" s="530">
        <v>500000</v>
      </c>
      <c r="BY39" s="735">
        <f>_xlfn.XLOOKUP(Est_NIM[[#This Row],[DEAL_BUY_ID]],BS!AL:AL,BS!AU:AU,_xlfn.XLOOKUP(Est_NIM[[#This Row],[DEAL_BUY_ID]],BS!BA:BA,BS!BJ:BJ,,0),0)</f>
        <v>2.6040000000000001</v>
      </c>
      <c r="BZ39" s="534">
        <f>Est_NIM[[#This Row],[QUANT]]*Est_NIM[[#This Row],[YIELD]]</f>
        <v>1302000</v>
      </c>
      <c r="CA39" s="128"/>
      <c r="CB39" s="128"/>
      <c r="CE39" s="331"/>
      <c r="CF39" s="331"/>
      <c r="CG39" s="331"/>
      <c r="CH39">
        <v>3730</v>
      </c>
      <c r="CI39">
        <v>14282</v>
      </c>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8"/>
      <c r="DS39" s="128"/>
      <c r="DT39" s="128"/>
      <c r="DU39" s="128"/>
      <c r="DV39" s="128"/>
      <c r="DW39" s="128"/>
      <c r="DX39" s="530"/>
      <c r="DY39" s="530"/>
      <c r="DZ39" s="530"/>
      <c r="EA39" s="530"/>
      <c r="EB39" s="530"/>
      <c r="EC39" s="530"/>
      <c r="ED39" s="530"/>
      <c r="EE39" s="530"/>
      <c r="EF39" s="530"/>
      <c r="EG39" s="530"/>
      <c r="EH39" s="530"/>
      <c r="EI39" s="530"/>
      <c r="EJ39" s="530"/>
      <c r="EK39" s="530"/>
      <c r="EL39" s="530"/>
      <c r="EM39" s="530"/>
      <c r="EN39" s="530"/>
      <c r="EO39" s="530"/>
      <c r="EP39" s="530"/>
      <c r="EQ39" s="530"/>
      <c r="ER39" s="530"/>
      <c r="ES39" s="530"/>
      <c r="ET39" s="530"/>
      <c r="EU39" s="530"/>
      <c r="EV39" s="530"/>
      <c r="EW39" s="530"/>
      <c r="EX39" s="530"/>
      <c r="EY39" s="530"/>
      <c r="EZ39" s="530"/>
      <c r="FA39" s="530"/>
      <c r="FB39" s="530"/>
      <c r="FC39" s="530"/>
      <c r="FD39" s="530"/>
      <c r="FE39" s="530"/>
      <c r="FF39" s="530"/>
      <c r="FG39" s="530"/>
      <c r="FH39" s="530"/>
      <c r="FI39" s="530"/>
      <c r="FJ39" s="530"/>
      <c r="FK39" s="530"/>
      <c r="FL39" s="530"/>
      <c r="FM39" s="530"/>
      <c r="FN39" s="530"/>
      <c r="FO39" s="530"/>
      <c r="FP39" s="530"/>
      <c r="FQ39" s="530"/>
      <c r="GI39" s="128"/>
      <c r="GJ39" s="128"/>
      <c r="GK39" s="128"/>
      <c r="GL39" s="128"/>
      <c r="GM39" s="128"/>
      <c r="GN39" s="128"/>
      <c r="GO39" s="128"/>
      <c r="GP39" s="128"/>
      <c r="GQ39" s="128"/>
      <c r="GR39" s="128"/>
      <c r="GS39" s="128"/>
      <c r="GT39" s="128"/>
      <c r="GU39" s="128"/>
      <c r="GV39" s="128"/>
      <c r="GW39" s="128"/>
      <c r="GX39" s="128"/>
      <c r="GY39" s="128"/>
      <c r="GZ39" s="128"/>
      <c r="HA39" s="128"/>
      <c r="HB39" s="128"/>
      <c r="HC39" s="128"/>
      <c r="HD39" s="128"/>
      <c r="HE39" s="128"/>
      <c r="HF39" s="128"/>
      <c r="HG39" s="128"/>
      <c r="HH39" s="128"/>
      <c r="HI39" s="128"/>
      <c r="HJ39" s="128"/>
      <c r="HK39" s="128"/>
      <c r="HL39" s="128"/>
      <c r="HM39" s="128"/>
      <c r="HN39" s="128"/>
      <c r="HO39" s="128"/>
      <c r="HP39" s="128"/>
      <c r="HQ39" s="128"/>
      <c r="HR39" s="128"/>
      <c r="HS39" s="128"/>
      <c r="HT39" s="128"/>
      <c r="HU39" s="128"/>
      <c r="HV39" s="128"/>
      <c r="HW39" s="128"/>
      <c r="HX39" s="128"/>
      <c r="HY39" s="128"/>
      <c r="HZ39" s="128"/>
      <c r="IA39" s="128"/>
      <c r="IB39" s="128"/>
      <c r="IC39" s="128"/>
    </row>
    <row r="40" spans="41:237" x14ac:dyDescent="0.3">
      <c r="AO40" s="128">
        <v>50287</v>
      </c>
      <c r="AP40" s="128" t="s">
        <v>681</v>
      </c>
      <c r="AQ40" s="128" t="s">
        <v>824</v>
      </c>
      <c r="AR40" s="375" t="s">
        <v>3594</v>
      </c>
      <c r="AS40" s="375">
        <v>46238</v>
      </c>
      <c r="AT40" s="375">
        <v>46241</v>
      </c>
      <c r="AU40" s="530">
        <v>130099</v>
      </c>
      <c r="AV40" s="532">
        <v>49333</v>
      </c>
      <c r="AW40" s="530">
        <v>1000000</v>
      </c>
      <c r="AX40" s="534">
        <f>_xlfn.XLOOKUP(Sell_unvalid[[#This Row],[DEAL_BUY_ID]],BS!BA:BA,BS!BE:BE,,0)</f>
        <v>131036</v>
      </c>
      <c r="AY40" s="534">
        <f>_xlfn.XLOOKUP(Sell_unvalid[[#This Row],[BOND_CODE]],FNRP!D:D,FNRP!I:I,_xlfn.XLOOKUP(Sell_unvalid[[#This Row],[BOND_CODE]],FNRP!AV:AV,FNRP!BA:BA,,0),0)</f>
        <v>124796</v>
      </c>
      <c r="AZ40" s="534">
        <f>_xlfn.XLOOKUP(Sell_unvalid[[#This Row],[DEAL_BUY_ID]],BS!BA:BA,BS!BQ:BQ,,0)*Sell_unvalid[[#This Row],[QUANTITY]]</f>
        <v>29823255768.951298</v>
      </c>
      <c r="BA40" s="534">
        <f>(Sell_unvalid[[#This Row],[Giá MtM]]-10^5)*Sell_unvalid[[#This Row],[QUANTITY]]-Sell_unvalid[[#This Row],[PTCK remain]]</f>
        <v>-5027255768.9512978</v>
      </c>
      <c r="BB40" s="534">
        <f>(Sell_unvalid[[#This Row],[PRICE]]-10^5)*Sell_unvalid[[#This Row],[QUANTITY]]-Sell_unvalid[[#This Row],[PTCK remain]]</f>
        <v>275744231.04870224</v>
      </c>
      <c r="BC40" s="534" t="str">
        <f>IF(AND(Sell_unvalid[[#This Row],[VALUE_DATE]]&lt;=RPT,Sell_unvalid[[#This Row],[TRANSACTION_STATUS]]="N"),"Check","Ok")</f>
        <v>Ok</v>
      </c>
      <c r="BD40" s="534"/>
      <c r="BE40" s="615"/>
      <c r="BF40" s="128">
        <v>50325</v>
      </c>
      <c r="BG40" s="128" t="s">
        <v>2862</v>
      </c>
      <c r="BH40" s="128" t="s">
        <v>824</v>
      </c>
      <c r="BI40" s="375" t="s">
        <v>2234</v>
      </c>
      <c r="BJ40" s="375">
        <v>46240</v>
      </c>
      <c r="BK40" s="375">
        <v>46255</v>
      </c>
      <c r="BL40" s="530">
        <v>1340000</v>
      </c>
      <c r="BM40" s="530">
        <v>96797</v>
      </c>
      <c r="BN40" s="534">
        <f>_xlfn.XLOOKUP(Buy_unvalid[[#This Row],[BOND_CODE]],FNRP!D:D,FNRP!I:I,,0)</f>
        <v>88187</v>
      </c>
      <c r="BO40" s="534">
        <f>_xlfn.XLOOKUP(Buy_unvalid[[#This Row],[DEAL_BUY_ID]],BS!BA:BA,BS!BQ:BQ,_xlfn.XLOOKUP(Buy_unvalid[[#This Row],[DEAL_BUY_ID]],BS!AL:AL,BS!AR:AR,,0),0)*Buy_unvalid[[#This Row],[QUANTITY]]</f>
        <v>-4294334179.8883076</v>
      </c>
      <c r="BP40" s="534">
        <f>(Buy_unvalid[[#This Row],[Giá MtM]]-10^5)*Buy_unvalid[[#This Row],[QUANTITY]]-Buy_unvalid[[#This Row],[PTCK remain]]</f>
        <v>-11535085820.111692</v>
      </c>
      <c r="BQ40" s="534" t="str">
        <f>IF(AND(Buy_unvalid[[#This Row],[VALUE_DATE]]&lt;=RPT,Buy_unvalid[[#This Row],[TRANSACTION_STATUS]]="N"),"Check","Ok")</f>
        <v>Ok</v>
      </c>
      <c r="BS40" s="128"/>
      <c r="BT40" s="848">
        <v>49303</v>
      </c>
      <c r="BU40" s="849">
        <v>46444</v>
      </c>
      <c r="BV40" s="848">
        <v>49300</v>
      </c>
      <c r="BW40" s="848"/>
      <c r="BX40" s="530">
        <v>7000000</v>
      </c>
      <c r="BY40" s="735">
        <f>_xlfn.XLOOKUP(Est_NIM[[#This Row],[DEAL_BUY_ID]],BS!AL:AL,BS!AU:AU,_xlfn.XLOOKUP(Est_NIM[[#This Row],[DEAL_BUY_ID]],BS!BA:BA,BS!BJ:BJ,,0),0)</f>
        <v>4.58</v>
      </c>
      <c r="BZ40" s="534">
        <f>Est_NIM[[#This Row],[QUANT]]*Est_NIM[[#This Row],[YIELD]]</f>
        <v>32060000</v>
      </c>
      <c r="CA40" s="128"/>
      <c r="CB40" s="128"/>
      <c r="CE40" s="331"/>
      <c r="CF40" s="331"/>
      <c r="CG40" s="331"/>
      <c r="CH40">
        <v>3730</v>
      </c>
      <c r="CI40">
        <v>14282</v>
      </c>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8"/>
      <c r="DS40" s="128"/>
      <c r="DT40" s="128"/>
      <c r="DU40" s="128"/>
      <c r="DV40" s="128"/>
      <c r="DW40" s="128"/>
      <c r="DX40" s="530"/>
      <c r="DY40" s="530"/>
      <c r="DZ40" s="530"/>
      <c r="EA40" s="530"/>
      <c r="EB40" s="530"/>
      <c r="EC40" s="530"/>
      <c r="ED40" s="530"/>
      <c r="EE40" s="530"/>
      <c r="EF40" s="530"/>
      <c r="EG40" s="530"/>
      <c r="EH40" s="530"/>
      <c r="EI40" s="530"/>
      <c r="EJ40" s="530"/>
      <c r="EK40" s="530"/>
      <c r="EL40" s="530"/>
      <c r="EM40" s="530"/>
      <c r="EN40" s="530"/>
      <c r="EO40" s="530"/>
      <c r="EP40" s="530"/>
      <c r="EQ40" s="530"/>
      <c r="ER40" s="530"/>
      <c r="ES40" s="530"/>
      <c r="ET40" s="530"/>
      <c r="EU40" s="530"/>
      <c r="EV40" s="530"/>
      <c r="EW40" s="530"/>
      <c r="EX40" s="530"/>
      <c r="EY40" s="530"/>
      <c r="EZ40" s="530"/>
      <c r="FA40" s="530"/>
      <c r="FB40" s="530"/>
      <c r="FC40" s="530"/>
      <c r="FD40" s="530"/>
      <c r="FE40" s="530"/>
      <c r="FF40" s="530"/>
      <c r="FG40" s="530"/>
      <c r="FH40" s="530"/>
      <c r="FI40" s="530"/>
      <c r="FJ40" s="530"/>
      <c r="FK40" s="530"/>
      <c r="FL40" s="530"/>
      <c r="FM40" s="530"/>
      <c r="FN40" s="530"/>
      <c r="FO40" s="530"/>
      <c r="FP40" s="530"/>
      <c r="FQ40" s="530"/>
      <c r="GI40" s="128"/>
      <c r="GJ40" s="128"/>
      <c r="GK40" s="128"/>
      <c r="GL40" s="128"/>
      <c r="GM40" s="128"/>
      <c r="GN40" s="128"/>
      <c r="GO40" s="128"/>
      <c r="GP40" s="128"/>
      <c r="GQ40" s="128"/>
      <c r="GR40" s="128"/>
      <c r="GS40" s="128"/>
      <c r="GT40" s="128"/>
      <c r="GU40" s="128"/>
      <c r="GV40" s="128"/>
      <c r="GW40" s="128"/>
      <c r="GX40" s="128"/>
      <c r="GY40" s="128"/>
      <c r="GZ40" s="128"/>
      <c r="HA40" s="128"/>
      <c r="HB40" s="128"/>
      <c r="HC40" s="128"/>
      <c r="HD40" s="128"/>
      <c r="HE40" s="128"/>
      <c r="HF40" s="128"/>
      <c r="HG40" s="128"/>
      <c r="HH40" s="128"/>
      <c r="HI40" s="128"/>
      <c r="HJ40" s="128"/>
      <c r="HK40" s="128"/>
      <c r="HL40" s="128"/>
      <c r="HM40" s="128"/>
      <c r="HN40" s="128"/>
      <c r="HO40" s="128"/>
      <c r="HP40" s="128"/>
      <c r="HQ40" s="128"/>
      <c r="HR40" s="128"/>
      <c r="HS40" s="128"/>
      <c r="HT40" s="128"/>
      <c r="HU40" s="128"/>
      <c r="HV40" s="128"/>
      <c r="HW40" s="128"/>
      <c r="HX40" s="128"/>
      <c r="HY40" s="128"/>
      <c r="HZ40" s="128"/>
      <c r="IA40" s="128"/>
      <c r="IB40" s="128"/>
      <c r="IC40" s="128"/>
    </row>
    <row r="41" spans="41:237" x14ac:dyDescent="0.3">
      <c r="AO41" s="128">
        <v>50318</v>
      </c>
      <c r="AP41" s="128" t="s">
        <v>681</v>
      </c>
      <c r="AQ41" s="128" t="s">
        <v>824</v>
      </c>
      <c r="AR41" s="375" t="s">
        <v>3594</v>
      </c>
      <c r="AS41" s="375">
        <v>46239</v>
      </c>
      <c r="AT41" s="375">
        <v>46245</v>
      </c>
      <c r="AU41" s="530">
        <v>127042</v>
      </c>
      <c r="AV41" s="532">
        <v>50109</v>
      </c>
      <c r="AW41" s="530">
        <v>1350000</v>
      </c>
      <c r="AX41" s="534">
        <f>_xlfn.XLOOKUP(Sell_unvalid[[#This Row],[DEAL_BUY_ID]],BS!BA:BA,BS!BE:BE,,0)</f>
        <v>127114</v>
      </c>
      <c r="AY41" s="534">
        <f>_xlfn.XLOOKUP(Sell_unvalid[[#This Row],[BOND_CODE]],FNRP!D:D,FNRP!I:I,_xlfn.XLOOKUP(Sell_unvalid[[#This Row],[BOND_CODE]],FNRP!AV:AV,FNRP!BA:BA,,0),0)</f>
        <v>124796</v>
      </c>
      <c r="AZ41" s="534">
        <f>_xlfn.XLOOKUP(Sell_unvalid[[#This Row],[DEAL_BUY_ID]],BS!BA:BA,BS!BQ:BQ,,0)*Sell_unvalid[[#This Row],[QUANTITY]]</f>
        <v>36476747959.879753</v>
      </c>
      <c r="BA41" s="534">
        <f>(Sell_unvalid[[#This Row],[Giá MtM]]-10^5)*Sell_unvalid[[#This Row],[QUANTITY]]-Sell_unvalid[[#This Row],[PTCK remain]]</f>
        <v>-3002147959.8797531</v>
      </c>
      <c r="BB41" s="534">
        <f>(Sell_unvalid[[#This Row],[PRICE]]-10^5)*Sell_unvalid[[#This Row],[QUANTITY]]-Sell_unvalid[[#This Row],[PTCK remain]]</f>
        <v>29952040.120246887</v>
      </c>
      <c r="BC41" s="534" t="str">
        <f>IF(AND(Sell_unvalid[[#This Row],[VALUE_DATE]]&lt;=RPT,Sell_unvalid[[#This Row],[TRANSACTION_STATUS]]="N"),"Check","Ok")</f>
        <v>Ok</v>
      </c>
      <c r="BD41" s="534"/>
      <c r="BE41" s="615"/>
      <c r="BF41" s="128">
        <v>50171</v>
      </c>
      <c r="BG41" s="128" t="s">
        <v>717</v>
      </c>
      <c r="BH41" s="128" t="s">
        <v>824</v>
      </c>
      <c r="BI41" s="375" t="s">
        <v>3594</v>
      </c>
      <c r="BJ41" s="375">
        <v>46212</v>
      </c>
      <c r="BK41" s="375">
        <v>46213</v>
      </c>
      <c r="BL41" s="530">
        <v>8800000</v>
      </c>
      <c r="BM41" s="530">
        <v>140660</v>
      </c>
      <c r="BN41" s="534">
        <f>_xlfn.XLOOKUP(Buy_unvalid[[#This Row],[BOND_CODE]],FNRP!D:D,FNRP!I:I,,0)</f>
        <v>142049</v>
      </c>
      <c r="BO41" s="534">
        <f>_xlfn.XLOOKUP(Buy_unvalid[[#This Row],[DEAL_BUY_ID]],BS!BA:BA,BS!BQ:BQ,_xlfn.XLOOKUP(Buy_unvalid[[#This Row],[DEAL_BUY_ID]],BS!AL:AL,BS!AR:AR,,0),0)*Buy_unvalid[[#This Row],[QUANTITY]]</f>
        <v>355793946552.81</v>
      </c>
      <c r="BP41" s="534">
        <f>(Buy_unvalid[[#This Row],[Giá MtM]]-10^5)*Buy_unvalid[[#This Row],[QUANTITY]]-Buy_unvalid[[#This Row],[PTCK remain]]</f>
        <v>14237253447.190002</v>
      </c>
      <c r="BQ41" s="534" t="str">
        <f>IF(AND(Buy_unvalid[[#This Row],[VALUE_DATE]]&lt;=RPT,Buy_unvalid[[#This Row],[TRANSACTION_STATUS]]="N"),"Check","Ok")</f>
        <v>Ok</v>
      </c>
      <c r="BS41" s="128"/>
      <c r="BT41" s="848">
        <v>49304</v>
      </c>
      <c r="BU41" s="849">
        <v>46444</v>
      </c>
      <c r="BV41" s="848">
        <v>49301</v>
      </c>
      <c r="BW41" s="848"/>
      <c r="BX41" s="530">
        <v>7000000</v>
      </c>
      <c r="BY41" s="735">
        <f>_xlfn.XLOOKUP(Est_NIM[[#This Row],[DEAL_BUY_ID]],BS!AL:AL,BS!AU:AU,_xlfn.XLOOKUP(Est_NIM[[#This Row],[DEAL_BUY_ID]],BS!BA:BA,BS!BJ:BJ,,0),0)</f>
        <v>4.58</v>
      </c>
      <c r="BZ41" s="534">
        <f>Est_NIM[[#This Row],[QUANT]]*Est_NIM[[#This Row],[YIELD]]</f>
        <v>32060000</v>
      </c>
      <c r="CA41" s="128"/>
      <c r="CB41" s="128"/>
      <c r="CE41" s="331"/>
      <c r="CF41" s="331"/>
      <c r="CG41" s="331"/>
      <c r="CH41">
        <v>3730</v>
      </c>
      <c r="CI41">
        <v>14282</v>
      </c>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8"/>
      <c r="DS41" s="128"/>
      <c r="DT41" s="128"/>
      <c r="DU41" s="128"/>
      <c r="DV41" s="128"/>
      <c r="DW41" s="128"/>
      <c r="DX41" s="530"/>
      <c r="DY41" s="530"/>
      <c r="DZ41" s="530"/>
      <c r="EA41" s="530"/>
      <c r="EB41" s="530"/>
      <c r="EC41" s="530"/>
      <c r="ED41" s="530"/>
      <c r="EE41" s="530"/>
      <c r="EF41" s="530"/>
      <c r="EG41" s="530"/>
      <c r="EH41" s="530"/>
      <c r="EI41" s="530"/>
      <c r="EJ41" s="530"/>
      <c r="EK41" s="530"/>
      <c r="EL41" s="530"/>
      <c r="EM41" s="530"/>
      <c r="EN41" s="530"/>
      <c r="EO41" s="530"/>
      <c r="EP41" s="530"/>
      <c r="EQ41" s="530"/>
      <c r="ER41" s="530"/>
      <c r="ES41" s="530"/>
      <c r="ET41" s="530"/>
      <c r="EU41" s="530"/>
      <c r="EV41" s="530"/>
      <c r="EW41" s="530"/>
      <c r="EX41" s="530"/>
      <c r="EY41" s="530"/>
      <c r="EZ41" s="530"/>
      <c r="FA41" s="530"/>
      <c r="FB41" s="530"/>
      <c r="FC41" s="530"/>
      <c r="FD41" s="530"/>
      <c r="FE41" s="530"/>
      <c r="FF41" s="530"/>
      <c r="FG41" s="530"/>
      <c r="FH41" s="530"/>
      <c r="FI41" s="530"/>
      <c r="FJ41" s="530"/>
      <c r="FK41" s="530"/>
      <c r="FL41" s="530"/>
      <c r="FM41" s="530"/>
      <c r="FN41" s="530"/>
      <c r="FO41" s="530"/>
      <c r="FP41" s="530"/>
      <c r="FQ41" s="530"/>
      <c r="GI41" s="128"/>
      <c r="GJ41" s="128"/>
      <c r="GK41" s="128"/>
      <c r="GL41" s="128"/>
      <c r="GM41" s="128"/>
      <c r="GN41" s="128"/>
      <c r="GO41" s="128"/>
      <c r="GP41" s="128"/>
      <c r="GQ41" s="128"/>
      <c r="GR41" s="128"/>
      <c r="GS41" s="128"/>
      <c r="GT41" s="128"/>
      <c r="GU41" s="128"/>
      <c r="GV41" s="128"/>
      <c r="GW41" s="128"/>
      <c r="GX41" s="128"/>
      <c r="GY41" s="128"/>
      <c r="GZ41" s="128"/>
      <c r="HA41" s="128"/>
      <c r="HB41" s="128"/>
      <c r="HC41" s="128"/>
      <c r="HD41" s="128"/>
      <c r="HE41" s="128"/>
      <c r="HF41" s="128"/>
      <c r="HG41" s="128"/>
      <c r="HH41" s="128"/>
      <c r="HI41" s="128"/>
      <c r="HJ41" s="128"/>
      <c r="HK41" s="128"/>
      <c r="HL41" s="128"/>
      <c r="HM41" s="128"/>
      <c r="HN41" s="128"/>
      <c r="HO41" s="128"/>
      <c r="HP41" s="128"/>
      <c r="HQ41" s="128"/>
      <c r="HR41" s="128"/>
      <c r="HS41" s="128"/>
      <c r="HT41" s="128"/>
      <c r="HU41" s="128"/>
      <c r="HV41" s="128"/>
      <c r="HW41" s="128"/>
      <c r="HX41" s="128"/>
      <c r="HY41" s="128"/>
      <c r="HZ41" s="128"/>
      <c r="IA41" s="128"/>
      <c r="IB41" s="128"/>
      <c r="IC41" s="128"/>
    </row>
    <row r="42" spans="41:237" x14ac:dyDescent="0.3">
      <c r="AO42" s="128">
        <v>50318</v>
      </c>
      <c r="AP42" s="128" t="s">
        <v>681</v>
      </c>
      <c r="AQ42" s="128" t="s">
        <v>824</v>
      </c>
      <c r="AR42" s="375" t="s">
        <v>3594</v>
      </c>
      <c r="AS42" s="375">
        <v>46239</v>
      </c>
      <c r="AT42" s="375">
        <v>46245</v>
      </c>
      <c r="AU42" s="530">
        <v>127042</v>
      </c>
      <c r="AV42" s="532">
        <v>50284</v>
      </c>
      <c r="AW42" s="530">
        <v>950000</v>
      </c>
      <c r="AX42" s="534">
        <f>_xlfn.XLOOKUP(Sell_unvalid[[#This Row],[DEAL_BUY_ID]],BS!BA:BA,BS!BE:BE,,0)</f>
        <v>127001</v>
      </c>
      <c r="AY42" s="534">
        <f>_xlfn.XLOOKUP(Sell_unvalid[[#This Row],[BOND_CODE]],FNRP!D:D,FNRP!I:I,_xlfn.XLOOKUP(Sell_unvalid[[#This Row],[BOND_CODE]],FNRP!AV:AV,FNRP!BA:BA,,0),0)</f>
        <v>124796</v>
      </c>
      <c r="AZ42" s="534">
        <f>_xlfn.XLOOKUP(Sell_unvalid[[#This Row],[DEAL_BUY_ID]],BS!BA:BA,BS!BQ:BQ,,0)*Sell_unvalid[[#This Row],[QUANTITY]]</f>
        <v>25561845597.322147</v>
      </c>
      <c r="BA42" s="534">
        <f>(Sell_unvalid[[#This Row],[Giá MtM]]-10^5)*Sell_unvalid[[#This Row],[QUANTITY]]-Sell_unvalid[[#This Row],[PTCK remain]]</f>
        <v>-2005645597.3221474</v>
      </c>
      <c r="BB42" s="534">
        <f>(Sell_unvalid[[#This Row],[PRICE]]-10^5)*Sell_unvalid[[#This Row],[QUANTITY]]-Sell_unvalid[[#This Row],[PTCK remain]]</f>
        <v>128054402.67785263</v>
      </c>
      <c r="BC42" s="534" t="str">
        <f>IF(AND(Sell_unvalid[[#This Row],[VALUE_DATE]]&lt;=RPT,Sell_unvalid[[#This Row],[TRANSACTION_STATUS]]="N"),"Check","Ok")</f>
        <v>Ok</v>
      </c>
      <c r="BD42" s="534"/>
      <c r="BE42" s="615"/>
      <c r="BF42" s="128">
        <v>50170</v>
      </c>
      <c r="BG42" s="128" t="s">
        <v>717</v>
      </c>
      <c r="BH42" s="128" t="s">
        <v>824</v>
      </c>
      <c r="BI42" s="375" t="s">
        <v>3594</v>
      </c>
      <c r="BJ42" s="375">
        <v>46212</v>
      </c>
      <c r="BK42" s="375">
        <v>46213</v>
      </c>
      <c r="BL42" s="530">
        <v>5000000</v>
      </c>
      <c r="BM42" s="530">
        <v>140660</v>
      </c>
      <c r="BN42" s="534">
        <f>_xlfn.XLOOKUP(Buy_unvalid[[#This Row],[BOND_CODE]],FNRP!D:D,FNRP!I:I,,0)</f>
        <v>142049</v>
      </c>
      <c r="BO42" s="534">
        <f>_xlfn.XLOOKUP(Buy_unvalid[[#This Row],[DEAL_BUY_ID]],BS!BA:BA,BS!BQ:BQ,_xlfn.XLOOKUP(Buy_unvalid[[#This Row],[DEAL_BUY_ID]],BS!AL:AL,BS!AR:AR,,0),0)*Buy_unvalid[[#This Row],[QUANTITY]]</f>
        <v>202155651450.46021</v>
      </c>
      <c r="BP42" s="534">
        <f>(Buy_unvalid[[#This Row],[Giá MtM]]-10^5)*Buy_unvalid[[#This Row],[QUANTITY]]-Buy_unvalid[[#This Row],[PTCK remain]]</f>
        <v>8089348549.5397949</v>
      </c>
      <c r="BQ42" s="534" t="str">
        <f>IF(AND(Buy_unvalid[[#This Row],[VALUE_DATE]]&lt;=RPT,Buy_unvalid[[#This Row],[TRANSACTION_STATUS]]="N"),"Check","Ok")</f>
        <v>Ok</v>
      </c>
      <c r="BS42" s="128"/>
      <c r="BT42" s="848">
        <v>49305</v>
      </c>
      <c r="BU42" s="849">
        <v>46444</v>
      </c>
      <c r="BV42" s="848">
        <v>49302</v>
      </c>
      <c r="BW42" s="848"/>
      <c r="BX42" s="530">
        <v>7360000</v>
      </c>
      <c r="BY42" s="735">
        <f>_xlfn.XLOOKUP(Est_NIM[[#This Row],[DEAL_BUY_ID]],BS!AL:AL,BS!AU:AU,_xlfn.XLOOKUP(Est_NIM[[#This Row],[DEAL_BUY_ID]],BS!BA:BA,BS!BJ:BJ,,0),0)</f>
        <v>4.58</v>
      </c>
      <c r="BZ42" s="534">
        <f>Est_NIM[[#This Row],[QUANT]]*Est_NIM[[#This Row],[YIELD]]</f>
        <v>33708800</v>
      </c>
      <c r="CA42" s="128"/>
      <c r="CB42" s="128"/>
      <c r="CE42" s="331"/>
      <c r="CF42" s="331"/>
      <c r="CG42" s="331"/>
      <c r="CH42">
        <v>3730</v>
      </c>
      <c r="CI42">
        <v>14282</v>
      </c>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8"/>
      <c r="DS42" s="128"/>
      <c r="DT42" s="128"/>
      <c r="DU42" s="128"/>
      <c r="DV42" s="128"/>
      <c r="DW42" s="128"/>
      <c r="DX42" s="530"/>
      <c r="DY42" s="530"/>
      <c r="DZ42" s="530"/>
      <c r="EA42" s="530"/>
      <c r="EB42" s="530"/>
      <c r="EC42" s="530"/>
      <c r="ED42" s="530"/>
      <c r="EE42" s="530"/>
      <c r="EF42" s="530"/>
      <c r="EG42" s="530"/>
      <c r="EH42" s="530"/>
      <c r="EI42" s="530"/>
      <c r="EJ42" s="530"/>
      <c r="EK42" s="530"/>
      <c r="EL42" s="530"/>
      <c r="EM42" s="530"/>
      <c r="EN42" s="530"/>
      <c r="EO42" s="530"/>
      <c r="EP42" s="530"/>
      <c r="EQ42" s="530"/>
      <c r="ER42" s="530"/>
      <c r="ES42" s="530"/>
      <c r="ET42" s="530"/>
      <c r="EU42" s="530"/>
      <c r="EV42" s="530"/>
      <c r="EW42" s="530"/>
      <c r="EX42" s="530"/>
      <c r="EY42" s="530"/>
      <c r="EZ42" s="530"/>
      <c r="FA42" s="530"/>
      <c r="FB42" s="530"/>
      <c r="FC42" s="530"/>
      <c r="FD42" s="530"/>
      <c r="FE42" s="530"/>
      <c r="FF42" s="530"/>
      <c r="FG42" s="530"/>
      <c r="FH42" s="530"/>
      <c r="FI42" s="530"/>
      <c r="FJ42" s="530"/>
      <c r="FK42" s="530"/>
      <c r="FL42" s="530"/>
      <c r="FM42" s="530"/>
      <c r="FN42" s="530"/>
      <c r="FO42" s="530"/>
      <c r="FP42" s="530"/>
      <c r="FQ42" s="530"/>
      <c r="GI42" s="128"/>
      <c r="GJ42" s="128"/>
      <c r="GK42" s="128"/>
      <c r="GL42" s="128"/>
      <c r="GM42" s="128"/>
      <c r="GN42" s="128"/>
      <c r="GO42" s="128"/>
      <c r="GP42" s="128"/>
      <c r="GQ42" s="128"/>
      <c r="GR42" s="128"/>
      <c r="GS42" s="128"/>
      <c r="GT42" s="128"/>
      <c r="GU42" s="128"/>
      <c r="GV42" s="128"/>
      <c r="GW42" s="128"/>
      <c r="GX42" s="128"/>
      <c r="GY42" s="128"/>
      <c r="GZ42" s="128"/>
      <c r="HA42" s="128"/>
      <c r="HB42" s="128"/>
      <c r="HC42" s="128"/>
      <c r="HD42" s="128"/>
      <c r="HE42" s="128"/>
      <c r="HF42" s="128"/>
      <c r="HG42" s="128"/>
      <c r="HH42" s="128"/>
      <c r="HI42" s="128"/>
      <c r="HJ42" s="128"/>
      <c r="HK42" s="128"/>
      <c r="HL42" s="128"/>
      <c r="HM42" s="128"/>
      <c r="HN42" s="128"/>
      <c r="HO42" s="128"/>
      <c r="HP42" s="128"/>
      <c r="HQ42" s="128"/>
      <c r="HR42" s="128"/>
      <c r="HS42" s="128"/>
      <c r="HT42" s="128"/>
      <c r="HU42" s="128"/>
      <c r="HV42" s="128"/>
      <c r="HW42" s="128"/>
      <c r="HX42" s="128"/>
      <c r="HY42" s="128"/>
      <c r="HZ42" s="128"/>
      <c r="IA42" s="128"/>
      <c r="IB42" s="128"/>
      <c r="IC42" s="128"/>
    </row>
    <row r="43" spans="41:237" x14ac:dyDescent="0.3">
      <c r="AO43" s="128">
        <v>47907</v>
      </c>
      <c r="AP43" s="128" t="s">
        <v>720</v>
      </c>
      <c r="AQ43" s="128" t="s">
        <v>824</v>
      </c>
      <c r="AR43" s="375" t="s">
        <v>3594</v>
      </c>
      <c r="AS43" s="375">
        <v>45966</v>
      </c>
      <c r="AT43" s="375">
        <v>46245</v>
      </c>
      <c r="AU43" s="530">
        <v>152058</v>
      </c>
      <c r="AV43" s="532">
        <v>50266</v>
      </c>
      <c r="AW43" s="530">
        <v>2550000</v>
      </c>
      <c r="AX43" s="534">
        <f>_xlfn.XLOOKUP(Sell_unvalid[[#This Row],[DEAL_BUY_ID]],BS!BA:BA,BS!BE:BE,,0)</f>
        <v>152170</v>
      </c>
      <c r="AY43" s="534">
        <f>_xlfn.XLOOKUP(Sell_unvalid[[#This Row],[BOND_CODE]],FNRP!D:D,FNRP!I:I,_xlfn.XLOOKUP(Sell_unvalid[[#This Row],[BOND_CODE]],FNRP!AV:AV,FNRP!BA:BA,,0),0)</f>
        <v>141623</v>
      </c>
      <c r="AZ43" s="534">
        <f>_xlfn.XLOOKUP(Sell_unvalid[[#This Row],[DEAL_BUY_ID]],BS!BA:BA,BS!BQ:BQ,,0)*Sell_unvalid[[#This Row],[QUANTITY]]</f>
        <v>132817299370.44276</v>
      </c>
      <c r="BA43" s="534">
        <f>(Sell_unvalid[[#This Row],[Giá MtM]]-10^5)*Sell_unvalid[[#This Row],[QUANTITY]]-Sell_unvalid[[#This Row],[PTCK remain]]</f>
        <v>-26678649370.442764</v>
      </c>
      <c r="BB43" s="534">
        <f>(Sell_unvalid[[#This Row],[PRICE]]-10^5)*Sell_unvalid[[#This Row],[QUANTITY]]-Sell_unvalid[[#This Row],[PTCK remain]]</f>
        <v>-69399370.442764282</v>
      </c>
      <c r="BC43" s="534" t="str">
        <f>IF(AND(Sell_unvalid[[#This Row],[VALUE_DATE]]&lt;=RPT,Sell_unvalid[[#This Row],[TRANSACTION_STATUS]]="N"),"Check","Ok")</f>
        <v>Ok</v>
      </c>
      <c r="BD43" s="534"/>
      <c r="BE43" s="615"/>
      <c r="BF43" s="128">
        <v>50200</v>
      </c>
      <c r="BG43" s="128" t="s">
        <v>717</v>
      </c>
      <c r="BH43" s="128" t="s">
        <v>824</v>
      </c>
      <c r="BI43" s="375" t="s">
        <v>3594</v>
      </c>
      <c r="BJ43" s="375">
        <v>46223</v>
      </c>
      <c r="BK43" s="375">
        <v>46225</v>
      </c>
      <c r="BL43" s="530">
        <v>8000000</v>
      </c>
      <c r="BM43" s="530">
        <v>139825</v>
      </c>
      <c r="BN43" s="534">
        <f>_xlfn.XLOOKUP(Buy_unvalid[[#This Row],[BOND_CODE]],FNRP!D:D,FNRP!I:I,,0)</f>
        <v>142049</v>
      </c>
      <c r="BO43" s="534">
        <f>_xlfn.XLOOKUP(Buy_unvalid[[#This Row],[DEAL_BUY_ID]],BS!BA:BA,BS!BQ:BQ,_xlfn.XLOOKUP(Buy_unvalid[[#This Row],[DEAL_BUY_ID]],BS!AL:AL,BS!AR:AR,,0),0)*Buy_unvalid[[#This Row],[QUANTITY]]</f>
        <v>317341870568.10437</v>
      </c>
      <c r="BP43" s="534">
        <f>(Buy_unvalid[[#This Row],[Giá MtM]]-10^5)*Buy_unvalid[[#This Row],[QUANTITY]]-Buy_unvalid[[#This Row],[PTCK remain]]</f>
        <v>19050129431.89563</v>
      </c>
      <c r="BQ43" s="534" t="str">
        <f>IF(AND(Buy_unvalid[[#This Row],[VALUE_DATE]]&lt;=RPT,Buy_unvalid[[#This Row],[TRANSACTION_STATUS]]="N"),"Check","Ok")</f>
        <v>Ok</v>
      </c>
      <c r="BS43" s="128"/>
      <c r="BT43" s="848">
        <v>49311</v>
      </c>
      <c r="BU43" s="849">
        <v>46448</v>
      </c>
      <c r="BV43" s="848">
        <v>49308</v>
      </c>
      <c r="BW43" s="848"/>
      <c r="BX43" s="530">
        <v>6200000</v>
      </c>
      <c r="BY43" s="735">
        <f>_xlfn.XLOOKUP(Est_NIM[[#This Row],[DEAL_BUY_ID]],BS!AL:AL,BS!AU:AU,_xlfn.XLOOKUP(Est_NIM[[#This Row],[DEAL_BUY_ID]],BS!BA:BA,BS!BJ:BJ,,0),0)</f>
        <v>4.5999999999999996</v>
      </c>
      <c r="BZ43" s="534">
        <f>Est_NIM[[#This Row],[QUANT]]*Est_NIM[[#This Row],[YIELD]]</f>
        <v>28519999.999999996</v>
      </c>
      <c r="CA43" s="128"/>
      <c r="CB43" s="128"/>
      <c r="CE43" s="331"/>
      <c r="CF43" s="331"/>
      <c r="CG43" s="331"/>
      <c r="CH43">
        <v>3730</v>
      </c>
      <c r="CI43">
        <v>14282</v>
      </c>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8"/>
      <c r="DS43" s="128"/>
      <c r="DT43" s="128"/>
      <c r="DU43" s="128"/>
      <c r="DV43" s="128"/>
      <c r="DW43" s="128"/>
      <c r="DX43" s="530"/>
      <c r="DY43" s="530"/>
      <c r="DZ43" s="530"/>
      <c r="EA43" s="530"/>
      <c r="EB43" s="530"/>
      <c r="EC43" s="530"/>
      <c r="ED43" s="530"/>
      <c r="EE43" s="530"/>
      <c r="EF43" s="530"/>
      <c r="EG43" s="530"/>
      <c r="EH43" s="530"/>
      <c r="EI43" s="530"/>
      <c r="EJ43" s="530"/>
      <c r="EK43" s="530"/>
      <c r="EL43" s="530"/>
      <c r="EM43" s="530"/>
      <c r="EN43" s="530"/>
      <c r="EO43" s="530"/>
      <c r="EP43" s="530"/>
      <c r="EQ43" s="530"/>
      <c r="ER43" s="530"/>
      <c r="ES43" s="530"/>
      <c r="ET43" s="530"/>
      <c r="EU43" s="530"/>
      <c r="EV43" s="530"/>
      <c r="EW43" s="530"/>
      <c r="EX43" s="530"/>
      <c r="EY43" s="530"/>
      <c r="EZ43" s="530"/>
      <c r="FA43" s="530"/>
      <c r="FB43" s="530"/>
      <c r="FC43" s="530"/>
      <c r="FD43" s="530"/>
      <c r="FE43" s="530"/>
      <c r="FF43" s="530"/>
      <c r="FG43" s="530"/>
      <c r="FH43" s="530"/>
      <c r="FI43" s="530"/>
      <c r="FJ43" s="530"/>
      <c r="FK43" s="530"/>
      <c r="FL43" s="530"/>
      <c r="FM43" s="530"/>
      <c r="FN43" s="530"/>
      <c r="FO43" s="530"/>
      <c r="FP43" s="530"/>
      <c r="FQ43" s="530"/>
      <c r="GI43" s="128"/>
      <c r="GJ43" s="128"/>
      <c r="GK43" s="128"/>
      <c r="GL43" s="128"/>
      <c r="GM43" s="128"/>
      <c r="GN43" s="128"/>
      <c r="GO43" s="128"/>
      <c r="GP43" s="128"/>
      <c r="GQ43" s="128"/>
      <c r="GR43" s="128"/>
      <c r="GS43" s="128"/>
      <c r="GT43" s="128"/>
      <c r="GU43" s="128"/>
      <c r="GV43" s="128"/>
      <c r="GW43" s="128"/>
      <c r="GX43" s="128"/>
      <c r="GY43" s="128"/>
      <c r="GZ43" s="128"/>
      <c r="HA43" s="128"/>
      <c r="HB43" s="128"/>
      <c r="HC43" s="128"/>
      <c r="HD43" s="128"/>
      <c r="HE43" s="128"/>
      <c r="HF43" s="128"/>
      <c r="HG43" s="128"/>
      <c r="HH43" s="128"/>
      <c r="HI43" s="128"/>
      <c r="HJ43" s="128"/>
      <c r="HK43" s="128"/>
      <c r="HL43" s="128"/>
      <c r="HM43" s="128"/>
      <c r="HN43" s="128"/>
      <c r="HO43" s="128"/>
      <c r="HP43" s="128"/>
      <c r="HQ43" s="128"/>
      <c r="HR43" s="128"/>
      <c r="HS43" s="128"/>
      <c r="HT43" s="128"/>
      <c r="HU43" s="128"/>
      <c r="HV43" s="128"/>
      <c r="HW43" s="128"/>
      <c r="HX43" s="128"/>
      <c r="HY43" s="128"/>
      <c r="HZ43" s="128"/>
      <c r="IA43" s="128"/>
      <c r="IB43" s="128"/>
      <c r="IC43" s="128"/>
    </row>
    <row r="44" spans="41:237" x14ac:dyDescent="0.3">
      <c r="AO44" s="128">
        <v>47907</v>
      </c>
      <c r="AP44" s="128" t="s">
        <v>720</v>
      </c>
      <c r="AQ44" s="128" t="s">
        <v>824</v>
      </c>
      <c r="AR44" s="375" t="s">
        <v>3594</v>
      </c>
      <c r="AS44" s="375">
        <v>45966</v>
      </c>
      <c r="AT44" s="375">
        <v>46245</v>
      </c>
      <c r="AU44" s="530">
        <v>152058</v>
      </c>
      <c r="AV44" s="532">
        <v>50276</v>
      </c>
      <c r="AW44" s="530">
        <v>550000</v>
      </c>
      <c r="AX44" s="534">
        <f>_xlfn.XLOOKUP(Sell_unvalid[[#This Row],[DEAL_BUY_ID]],BS!BA:BA,BS!BE:BE,,0)</f>
        <v>153206</v>
      </c>
      <c r="AY44" s="534">
        <f>_xlfn.XLOOKUP(Sell_unvalid[[#This Row],[BOND_CODE]],FNRP!D:D,FNRP!I:I,_xlfn.XLOOKUP(Sell_unvalid[[#This Row],[BOND_CODE]],FNRP!AV:AV,FNRP!BA:BA,,0),0)</f>
        <v>141623</v>
      </c>
      <c r="AZ44" s="534">
        <f>_xlfn.XLOOKUP(Sell_unvalid[[#This Row],[DEAL_BUY_ID]],BS!BA:BA,BS!BQ:BQ,,0)*Sell_unvalid[[#This Row],[QUANTITY]]</f>
        <v>29215740982.168739</v>
      </c>
      <c r="BA44" s="534">
        <f>(Sell_unvalid[[#This Row],[Giá MtM]]-10^5)*Sell_unvalid[[#This Row],[QUANTITY]]-Sell_unvalid[[#This Row],[PTCK remain]]</f>
        <v>-6323090982.1687393</v>
      </c>
      <c r="BB44" s="534">
        <f>(Sell_unvalid[[#This Row],[PRICE]]-10^5)*Sell_unvalid[[#This Row],[QUANTITY]]-Sell_unvalid[[#This Row],[PTCK remain]]</f>
        <v>-583840982.16873932</v>
      </c>
      <c r="BC44" s="534" t="str">
        <f>IF(AND(Sell_unvalid[[#This Row],[VALUE_DATE]]&lt;=RPT,Sell_unvalid[[#This Row],[TRANSACTION_STATUS]]="N"),"Check","Ok")</f>
        <v>Ok</v>
      </c>
      <c r="BD44" s="534"/>
      <c r="BE44" s="615"/>
      <c r="BF44" s="128">
        <v>50201</v>
      </c>
      <c r="BG44" s="128" t="s">
        <v>717</v>
      </c>
      <c r="BH44" s="128" t="s">
        <v>824</v>
      </c>
      <c r="BI44" s="375" t="s">
        <v>3594</v>
      </c>
      <c r="BJ44" s="375">
        <v>46223</v>
      </c>
      <c r="BK44" s="375">
        <v>46225</v>
      </c>
      <c r="BL44" s="530">
        <v>8200000</v>
      </c>
      <c r="BM44" s="530">
        <v>139825</v>
      </c>
      <c r="BN44" s="534">
        <f>_xlfn.XLOOKUP(Buy_unvalid[[#This Row],[BOND_CODE]],FNRP!D:D,FNRP!I:I,,0)</f>
        <v>142049</v>
      </c>
      <c r="BO44" s="534">
        <f>_xlfn.XLOOKUP(Buy_unvalid[[#This Row],[DEAL_BUY_ID]],BS!BA:BA,BS!BQ:BQ,_xlfn.XLOOKUP(Buy_unvalid[[#This Row],[DEAL_BUY_ID]],BS!AL:AL,BS!AR:AR,,0),0)*Buy_unvalid[[#This Row],[QUANTITY]]</f>
        <v>325275417332.30701</v>
      </c>
      <c r="BP44" s="534">
        <f>(Buy_unvalid[[#This Row],[Giá MtM]]-10^5)*Buy_unvalid[[#This Row],[QUANTITY]]-Buy_unvalid[[#This Row],[PTCK remain]]</f>
        <v>19526382667.692993</v>
      </c>
      <c r="BQ44" s="534" t="str">
        <f>IF(AND(Buy_unvalid[[#This Row],[VALUE_DATE]]&lt;=RPT,Buy_unvalid[[#This Row],[TRANSACTION_STATUS]]="N"),"Check","Ok")</f>
        <v>Ok</v>
      </c>
      <c r="BS44" s="128"/>
      <c r="BT44" s="848">
        <v>49311</v>
      </c>
      <c r="BU44" s="849">
        <v>46448</v>
      </c>
      <c r="BV44" s="848">
        <v>50262</v>
      </c>
      <c r="BW44" s="848"/>
      <c r="BX44" s="530">
        <v>800000</v>
      </c>
      <c r="BY44" s="735">
        <f>_xlfn.XLOOKUP(Est_NIM[[#This Row],[DEAL_BUY_ID]],BS!AL:AL,BS!AU:AU,_xlfn.XLOOKUP(Est_NIM[[#This Row],[DEAL_BUY_ID]],BS!BA:BA,BS!BJ:BJ,,0),0)</f>
        <v>4.0007000000000001</v>
      </c>
      <c r="BZ44" s="534">
        <f>Est_NIM[[#This Row],[QUANT]]*Est_NIM[[#This Row],[YIELD]]</f>
        <v>3200560</v>
      </c>
      <c r="CA44" s="128"/>
      <c r="CB44" s="128"/>
      <c r="CE44" s="331"/>
      <c r="CF44" s="331"/>
      <c r="CG44" s="331"/>
      <c r="CH44">
        <v>3730</v>
      </c>
      <c r="CI44">
        <v>14282</v>
      </c>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8"/>
      <c r="DS44" s="128"/>
      <c r="DT44" s="128"/>
      <c r="DU44" s="128"/>
      <c r="DV44" s="128"/>
      <c r="DW44" s="128"/>
      <c r="DX44" s="530"/>
      <c r="DY44" s="530"/>
      <c r="DZ44" s="530"/>
      <c r="EA44" s="530"/>
      <c r="EB44" s="530"/>
      <c r="EC44" s="530"/>
      <c r="ED44" s="530"/>
      <c r="EE44" s="530"/>
      <c r="EF44" s="530"/>
      <c r="EG44" s="530"/>
      <c r="EH44" s="530"/>
      <c r="EI44" s="530"/>
      <c r="EJ44" s="530"/>
      <c r="EK44" s="530"/>
      <c r="EL44" s="530"/>
      <c r="EM44" s="530"/>
      <c r="EN44" s="530"/>
      <c r="EO44" s="530"/>
      <c r="EP44" s="530"/>
      <c r="EQ44" s="530"/>
      <c r="ER44" s="530"/>
      <c r="ES44" s="530"/>
      <c r="ET44" s="530"/>
      <c r="EU44" s="530"/>
      <c r="EV44" s="530"/>
      <c r="EW44" s="530"/>
      <c r="EX44" s="530"/>
      <c r="EY44" s="530"/>
      <c r="EZ44" s="530"/>
      <c r="FA44" s="530"/>
      <c r="FB44" s="530"/>
      <c r="FC44" s="530"/>
      <c r="FD44" s="530"/>
      <c r="FE44" s="530"/>
      <c r="FF44" s="530"/>
      <c r="FG44" s="530"/>
      <c r="FH44" s="530"/>
      <c r="FI44" s="530"/>
      <c r="FJ44" s="530"/>
      <c r="FK44" s="530"/>
      <c r="FL44" s="530"/>
      <c r="FM44" s="530"/>
      <c r="FN44" s="530"/>
      <c r="FO44" s="530"/>
      <c r="FP44" s="530"/>
      <c r="FQ44" s="530"/>
      <c r="GI44" s="128"/>
      <c r="GJ44" s="128"/>
      <c r="GK44" s="128"/>
      <c r="GL44" s="128"/>
      <c r="GM44" s="128"/>
      <c r="GN44" s="128"/>
      <c r="GO44" s="128"/>
      <c r="GP44" s="128"/>
      <c r="GQ44" s="128"/>
      <c r="GR44" s="128"/>
      <c r="GS44" s="128"/>
      <c r="GT44" s="128"/>
      <c r="GU44" s="128"/>
      <c r="GV44" s="128"/>
      <c r="GW44" s="128"/>
      <c r="GX44" s="128"/>
      <c r="GY44" s="128"/>
      <c r="GZ44" s="128"/>
      <c r="HA44" s="128"/>
      <c r="HB44" s="128"/>
      <c r="HC44" s="128"/>
      <c r="HD44" s="128"/>
      <c r="HE44" s="128"/>
      <c r="HF44" s="128"/>
      <c r="HG44" s="128"/>
      <c r="HH44" s="128"/>
      <c r="HI44" s="128"/>
      <c r="HJ44" s="128"/>
      <c r="HK44" s="128"/>
      <c r="HL44" s="128"/>
      <c r="HM44" s="128"/>
      <c r="HN44" s="128"/>
      <c r="HO44" s="128"/>
      <c r="HP44" s="128"/>
      <c r="HQ44" s="128"/>
      <c r="HR44" s="128"/>
      <c r="HS44" s="128"/>
      <c r="HT44" s="128"/>
      <c r="HU44" s="128"/>
      <c r="HV44" s="128"/>
      <c r="HW44" s="128"/>
      <c r="HX44" s="128"/>
      <c r="HY44" s="128"/>
      <c r="HZ44" s="128"/>
      <c r="IA44" s="128"/>
      <c r="IB44" s="128"/>
      <c r="IC44" s="128"/>
    </row>
    <row r="45" spans="41:237" x14ac:dyDescent="0.3">
      <c r="AO45" s="128">
        <v>47907</v>
      </c>
      <c r="AP45" s="128" t="s">
        <v>720</v>
      </c>
      <c r="AQ45" s="128" t="s">
        <v>824</v>
      </c>
      <c r="AR45" s="375" t="s">
        <v>3594</v>
      </c>
      <c r="AS45" s="375">
        <v>45966</v>
      </c>
      <c r="AT45" s="375">
        <v>46245</v>
      </c>
      <c r="AU45" s="530">
        <v>152058</v>
      </c>
      <c r="AV45" s="532">
        <v>50290</v>
      </c>
      <c r="AW45" s="530">
        <v>1000000</v>
      </c>
      <c r="AX45" s="534">
        <f>_xlfn.XLOOKUP(Sell_unvalid[[#This Row],[DEAL_BUY_ID]],BS!BA:BA,BS!BE:BE,,0)</f>
        <v>153146</v>
      </c>
      <c r="AY45" s="534">
        <f>_xlfn.XLOOKUP(Sell_unvalid[[#This Row],[BOND_CODE]],FNRP!D:D,FNRP!I:I,_xlfn.XLOOKUP(Sell_unvalid[[#This Row],[BOND_CODE]],FNRP!AV:AV,FNRP!BA:BA,,0),0)</f>
        <v>141623</v>
      </c>
      <c r="AZ45" s="534">
        <f>_xlfn.XLOOKUP(Sell_unvalid[[#This Row],[DEAL_BUY_ID]],BS!BA:BA,BS!BQ:BQ,,0)*Sell_unvalid[[#This Row],[QUANTITY]]</f>
        <v>53081296285.624535</v>
      </c>
      <c r="BA45" s="534">
        <f>(Sell_unvalid[[#This Row],[Giá MtM]]-10^5)*Sell_unvalid[[#This Row],[QUANTITY]]-Sell_unvalid[[#This Row],[PTCK remain]]</f>
        <v>-11458296285.624535</v>
      </c>
      <c r="BB45" s="534">
        <f>(Sell_unvalid[[#This Row],[PRICE]]-10^5)*Sell_unvalid[[#This Row],[QUANTITY]]-Sell_unvalid[[#This Row],[PTCK remain]]</f>
        <v>-1023296285.6245346</v>
      </c>
      <c r="BC45" s="534" t="str">
        <f>IF(AND(Sell_unvalid[[#This Row],[VALUE_DATE]]&lt;=RPT,Sell_unvalid[[#This Row],[TRANSACTION_STATUS]]="N"),"Check","Ok")</f>
        <v>Ok</v>
      </c>
      <c r="BD45" s="534"/>
      <c r="BE45" s="615"/>
      <c r="BF45" s="128">
        <v>50212</v>
      </c>
      <c r="BG45" s="128" t="s">
        <v>721</v>
      </c>
      <c r="BH45" s="128" t="s">
        <v>824</v>
      </c>
      <c r="BI45" s="128" t="s">
        <v>3594</v>
      </c>
      <c r="BJ45" s="375">
        <v>46224</v>
      </c>
      <c r="BK45" s="375">
        <v>46226</v>
      </c>
      <c r="BL45" s="128">
        <v>2000000</v>
      </c>
      <c r="BM45" s="128">
        <v>139806</v>
      </c>
      <c r="BN45" s="534">
        <f>_xlfn.XLOOKUP(Buy_unvalid[[#This Row],[BOND_CODE]],FNRP!D:D,FNRP!I:I,,0)</f>
        <v>141888</v>
      </c>
      <c r="BO45" s="534">
        <f>_xlfn.XLOOKUP(Buy_unvalid[[#This Row],[DEAL_BUY_ID]],BS!BA:BA,BS!BQ:BQ,_xlfn.XLOOKUP(Buy_unvalid[[#This Row],[DEAL_BUY_ID]],BS!AL:AL,BS!AR:AR,,0),0)*Buy_unvalid[[#This Row],[QUANTITY]]</f>
        <v>79325317977.482803</v>
      </c>
      <c r="BP45" s="534">
        <f>(Buy_unvalid[[#This Row],[Giá MtM]]-10^5)*Buy_unvalid[[#This Row],[QUANTITY]]-Buy_unvalid[[#This Row],[PTCK remain]]</f>
        <v>4450682022.5171967</v>
      </c>
      <c r="BQ45" s="534" t="str">
        <f>IF(AND(Buy_unvalid[[#This Row],[VALUE_DATE]]&lt;=RPT,Buy_unvalid[[#This Row],[TRANSACTION_STATUS]]="N"),"Check","Ok")</f>
        <v>Ok</v>
      </c>
      <c r="BS45" s="128"/>
      <c r="BT45" s="848">
        <v>49312</v>
      </c>
      <c r="BU45" s="849">
        <v>46448</v>
      </c>
      <c r="BV45" s="848">
        <v>49310</v>
      </c>
      <c r="BW45" s="848"/>
      <c r="BX45" s="530">
        <v>2300000</v>
      </c>
      <c r="BY45" s="735">
        <f>_xlfn.XLOOKUP(Est_NIM[[#This Row],[DEAL_BUY_ID]],BS!AL:AL,BS!AU:AU,_xlfn.XLOOKUP(Est_NIM[[#This Row],[DEAL_BUY_ID]],BS!BA:BA,BS!BJ:BJ,,0),0)</f>
        <v>4.5999999999999996</v>
      </c>
      <c r="BZ45" s="534">
        <f>Est_NIM[[#This Row],[QUANT]]*Est_NIM[[#This Row],[YIELD]]</f>
        <v>10580000</v>
      </c>
      <c r="CA45" s="128"/>
      <c r="CB45" s="128"/>
      <c r="CE45" s="331"/>
      <c r="CF45" s="331"/>
      <c r="CG45" s="331"/>
      <c r="CH45">
        <v>3730</v>
      </c>
      <c r="CI45">
        <v>14282</v>
      </c>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8"/>
      <c r="DS45" s="128"/>
      <c r="DT45" s="128"/>
      <c r="DU45" s="128"/>
      <c r="DV45" s="128"/>
      <c r="DW45" s="128"/>
      <c r="DX45" s="530"/>
      <c r="DY45" s="530"/>
      <c r="DZ45" s="530"/>
      <c r="EA45" s="530"/>
      <c r="EB45" s="530"/>
      <c r="EC45" s="530"/>
      <c r="ED45" s="530"/>
      <c r="EE45" s="530"/>
      <c r="EF45" s="530"/>
      <c r="EG45" s="530"/>
      <c r="EH45" s="530"/>
      <c r="EI45" s="530"/>
      <c r="EJ45" s="530"/>
      <c r="EK45" s="530"/>
      <c r="EL45" s="530"/>
      <c r="EM45" s="530"/>
      <c r="EN45" s="530"/>
      <c r="EO45" s="530"/>
      <c r="EP45" s="530"/>
      <c r="EQ45" s="530"/>
      <c r="ER45" s="530"/>
      <c r="ES45" s="530"/>
      <c r="ET45" s="530"/>
      <c r="EU45" s="530"/>
      <c r="EV45" s="530"/>
      <c r="EW45" s="530"/>
      <c r="EX45" s="530"/>
      <c r="EY45" s="530"/>
      <c r="EZ45" s="530"/>
      <c r="FA45" s="530"/>
      <c r="FB45" s="530"/>
      <c r="FC45" s="530"/>
      <c r="FD45" s="530"/>
      <c r="FE45" s="530"/>
      <c r="FF45" s="530"/>
      <c r="FG45" s="530"/>
      <c r="FH45" s="530"/>
      <c r="FI45" s="530"/>
      <c r="FJ45" s="530"/>
      <c r="FK45" s="530"/>
      <c r="FL45" s="530"/>
      <c r="FM45" s="530"/>
      <c r="FN45" s="530"/>
      <c r="FO45" s="530"/>
      <c r="FP45" s="530"/>
      <c r="FQ45" s="530"/>
      <c r="GI45" s="128"/>
      <c r="GJ45" s="128"/>
      <c r="GK45" s="128"/>
      <c r="GL45" s="128"/>
      <c r="GM45" s="128"/>
      <c r="GN45" s="128"/>
      <c r="GO45" s="128"/>
      <c r="GP45" s="128"/>
      <c r="GQ45" s="128"/>
      <c r="GR45" s="128"/>
      <c r="GS45" s="128"/>
      <c r="GT45" s="128"/>
      <c r="GU45" s="128"/>
      <c r="GV45" s="128"/>
      <c r="GW45" s="128"/>
      <c r="GX45" s="128"/>
      <c r="GY45" s="128"/>
      <c r="GZ45" s="128"/>
      <c r="HA45" s="128"/>
      <c r="HB45" s="128"/>
      <c r="HC45" s="128"/>
      <c r="HD45" s="128"/>
      <c r="HE45" s="128"/>
      <c r="HF45" s="128"/>
      <c r="HG45" s="128"/>
      <c r="HH45" s="128"/>
      <c r="HI45" s="128"/>
      <c r="HJ45" s="128"/>
      <c r="HK45" s="128"/>
      <c r="HL45" s="128"/>
      <c r="HM45" s="128"/>
      <c r="HN45" s="128"/>
      <c r="HO45" s="128"/>
      <c r="HP45" s="128"/>
      <c r="HQ45" s="128"/>
      <c r="HR45" s="128"/>
      <c r="HS45" s="128"/>
      <c r="HT45" s="128"/>
      <c r="HU45" s="128"/>
      <c r="HV45" s="128"/>
      <c r="HW45" s="128"/>
      <c r="HX45" s="128"/>
      <c r="HY45" s="128"/>
      <c r="HZ45" s="128"/>
      <c r="IA45" s="128"/>
      <c r="IB45" s="128"/>
      <c r="IC45" s="128"/>
    </row>
    <row r="46" spans="41:237" x14ac:dyDescent="0.3">
      <c r="AO46" s="128">
        <v>47906</v>
      </c>
      <c r="AP46" s="128" t="s">
        <v>720</v>
      </c>
      <c r="AQ46" s="128" t="s">
        <v>824</v>
      </c>
      <c r="AR46" s="128" t="s">
        <v>3594</v>
      </c>
      <c r="AS46" s="375">
        <v>45966</v>
      </c>
      <c r="AT46" s="375">
        <v>46245</v>
      </c>
      <c r="AU46" s="530">
        <v>152058</v>
      </c>
      <c r="AV46" s="128">
        <v>47903</v>
      </c>
      <c r="AW46" s="530">
        <v>2185000</v>
      </c>
      <c r="AX46" s="534">
        <f>_xlfn.XLOOKUP(Sell_unvalid[[#This Row],[DEAL_BUY_ID]],BS!BA:BA,BS!BE:BE,,0)</f>
        <v>152703</v>
      </c>
      <c r="AY46" s="534">
        <f>_xlfn.XLOOKUP(Sell_unvalid[[#This Row],[BOND_CODE]],FNRP!D:D,FNRP!I:I,_xlfn.XLOOKUP(Sell_unvalid[[#This Row],[BOND_CODE]],FNRP!AV:AV,FNRP!BA:BA,,0),0)</f>
        <v>141623</v>
      </c>
      <c r="AZ46" s="534">
        <f>_xlfn.XLOOKUP(Sell_unvalid[[#This Row],[DEAL_BUY_ID]],BS!BA:BA,BS!BQ:BQ,,0)*Sell_unvalid[[#This Row],[QUANTITY]]</f>
        <v>110862919912.19974</v>
      </c>
      <c r="BA46" s="534">
        <f>(Sell_unvalid[[#This Row],[Giá MtM]]-10^5)*Sell_unvalid[[#This Row],[QUANTITY]]-Sell_unvalid[[#This Row],[PTCK remain]]</f>
        <v>-19916664912.199738</v>
      </c>
      <c r="BB46" s="534">
        <f>(Sell_unvalid[[#This Row],[PRICE]]-10^5)*Sell_unvalid[[#This Row],[QUANTITY]]-Sell_unvalid[[#This Row],[PTCK remain]]</f>
        <v>2883810087.8002625</v>
      </c>
      <c r="BC46" s="534" t="str">
        <f>IF(AND(Sell_unvalid[[#This Row],[VALUE_DATE]]&lt;=RPT,Sell_unvalid[[#This Row],[TRANSACTION_STATUS]]="N"),"Check","Ok")</f>
        <v>Ok</v>
      </c>
      <c r="BD46" s="534"/>
      <c r="BE46" s="615"/>
      <c r="BF46" s="128">
        <v>50213</v>
      </c>
      <c r="BG46" s="128" t="s">
        <v>721</v>
      </c>
      <c r="BH46" s="128" t="s">
        <v>824</v>
      </c>
      <c r="BI46" s="128" t="s">
        <v>3594</v>
      </c>
      <c r="BJ46" s="375">
        <v>46224</v>
      </c>
      <c r="BK46" s="375">
        <v>46226</v>
      </c>
      <c r="BL46" s="128">
        <v>8620000</v>
      </c>
      <c r="BM46" s="128">
        <v>139806</v>
      </c>
      <c r="BN46" s="534">
        <f>_xlfn.XLOOKUP(Buy_unvalid[[#This Row],[BOND_CODE]],FNRP!D:D,FNRP!I:I,,0)</f>
        <v>141888</v>
      </c>
      <c r="BO46" s="534">
        <f>_xlfn.XLOOKUP(Buy_unvalid[[#This Row],[DEAL_BUY_ID]],BS!BA:BA,BS!BQ:BQ,_xlfn.XLOOKUP(Buy_unvalid[[#This Row],[DEAL_BUY_ID]],BS!AL:AL,BS!AR:AR,,0),0)*Buy_unvalid[[#This Row],[QUANTITY]]</f>
        <v>341892120482.95087</v>
      </c>
      <c r="BP46" s="534">
        <f>(Buy_unvalid[[#This Row],[Giá MtM]]-10^5)*Buy_unvalid[[#This Row],[QUANTITY]]-Buy_unvalid[[#This Row],[PTCK remain]]</f>
        <v>19182439517.049133</v>
      </c>
      <c r="BQ46" s="534" t="str">
        <f>IF(AND(Buy_unvalid[[#This Row],[VALUE_DATE]]&lt;=RPT,Buy_unvalid[[#This Row],[TRANSACTION_STATUS]]="N"),"Check","Ok")</f>
        <v>Ok</v>
      </c>
      <c r="BS46" s="128"/>
      <c r="BT46" s="848">
        <v>49312</v>
      </c>
      <c r="BU46" s="849">
        <v>46448</v>
      </c>
      <c r="BV46" s="848">
        <v>50102</v>
      </c>
      <c r="BW46" s="848"/>
      <c r="BX46" s="530">
        <v>700000</v>
      </c>
      <c r="BY46" s="735">
        <f>_xlfn.XLOOKUP(Est_NIM[[#This Row],[DEAL_BUY_ID]],BS!AL:AL,BS!AU:AU,_xlfn.XLOOKUP(Est_NIM[[#This Row],[DEAL_BUY_ID]],BS!BA:BA,BS!BJ:BJ,,0),0)</f>
        <v>4.1254999999999997</v>
      </c>
      <c r="BZ46" s="534">
        <f>Est_NIM[[#This Row],[QUANT]]*Est_NIM[[#This Row],[YIELD]]</f>
        <v>2887850</v>
      </c>
      <c r="CA46" s="128"/>
      <c r="CB46" s="128"/>
      <c r="CE46" s="331"/>
      <c r="CF46" s="331"/>
      <c r="CG46" s="331"/>
      <c r="CH46">
        <v>3730</v>
      </c>
      <c r="CI46">
        <v>14282</v>
      </c>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8"/>
      <c r="DS46" s="128"/>
      <c r="DT46" s="128"/>
      <c r="DU46" s="128"/>
      <c r="DV46" s="128"/>
      <c r="DW46" s="128"/>
      <c r="DX46" s="530"/>
      <c r="DY46" s="530"/>
      <c r="DZ46" s="530"/>
      <c r="EA46" s="530"/>
      <c r="EB46" s="530"/>
      <c r="EC46" s="530"/>
      <c r="ED46" s="530"/>
      <c r="EE46" s="530"/>
      <c r="EF46" s="530"/>
      <c r="EG46" s="530"/>
      <c r="EH46" s="530"/>
      <c r="EI46" s="530"/>
      <c r="EJ46" s="530"/>
      <c r="EK46" s="530"/>
      <c r="EL46" s="530"/>
      <c r="EM46" s="530"/>
      <c r="EN46" s="530"/>
      <c r="EO46" s="530"/>
      <c r="EP46" s="530"/>
      <c r="EQ46" s="530"/>
      <c r="ER46" s="530"/>
      <c r="ES46" s="530"/>
      <c r="ET46" s="530"/>
      <c r="EU46" s="530"/>
      <c r="EV46" s="530"/>
      <c r="EW46" s="530"/>
      <c r="EX46" s="530"/>
      <c r="EY46" s="530"/>
      <c r="EZ46" s="530"/>
      <c r="FA46" s="530"/>
      <c r="FB46" s="530"/>
      <c r="FC46" s="530"/>
      <c r="FD46" s="530"/>
      <c r="FE46" s="530"/>
      <c r="FF46" s="530"/>
      <c r="FG46" s="530"/>
      <c r="FH46" s="530"/>
      <c r="FI46" s="530"/>
      <c r="FJ46" s="530"/>
      <c r="FK46" s="530"/>
      <c r="FL46" s="530"/>
      <c r="FM46" s="530"/>
      <c r="FN46" s="530"/>
      <c r="FO46" s="530"/>
      <c r="FP46" s="530"/>
      <c r="FQ46" s="530"/>
      <c r="GI46" s="128"/>
      <c r="GJ46" s="128"/>
      <c r="GK46" s="128"/>
      <c r="GL46" s="128"/>
      <c r="GM46" s="128"/>
      <c r="GN46" s="128"/>
      <c r="GO46" s="128"/>
      <c r="GP46" s="128"/>
      <c r="GQ46" s="128"/>
      <c r="GR46" s="128"/>
      <c r="GS46" s="128"/>
      <c r="GT46" s="128"/>
      <c r="GU46" s="128"/>
      <c r="GV46" s="128"/>
      <c r="GW46" s="128"/>
      <c r="GX46" s="128"/>
      <c r="GY46" s="128"/>
      <c r="GZ46" s="128"/>
      <c r="HA46" s="128"/>
      <c r="HB46" s="128"/>
      <c r="HC46" s="128"/>
      <c r="HD46" s="128"/>
      <c r="HE46" s="128"/>
      <c r="HF46" s="128"/>
      <c r="HG46" s="128"/>
      <c r="HH46" s="128"/>
      <c r="HI46" s="128"/>
      <c r="HJ46" s="128"/>
      <c r="HK46" s="128"/>
      <c r="HL46" s="128"/>
      <c r="HM46" s="128"/>
      <c r="HN46" s="128"/>
      <c r="HO46" s="128"/>
      <c r="HP46" s="128"/>
      <c r="HQ46" s="128"/>
      <c r="HR46" s="128"/>
      <c r="HS46" s="128"/>
      <c r="HT46" s="128"/>
      <c r="HU46" s="128"/>
      <c r="HV46" s="128"/>
      <c r="HW46" s="128"/>
      <c r="HX46" s="128"/>
      <c r="HY46" s="128"/>
      <c r="HZ46" s="128"/>
      <c r="IA46" s="128"/>
      <c r="IB46" s="128"/>
      <c r="IC46" s="128"/>
    </row>
    <row r="47" spans="41:237" x14ac:dyDescent="0.3">
      <c r="AO47" s="128">
        <v>47906</v>
      </c>
      <c r="AP47" s="128" t="s">
        <v>720</v>
      </c>
      <c r="AQ47" s="128" t="s">
        <v>824</v>
      </c>
      <c r="AR47" s="375" t="s">
        <v>3594</v>
      </c>
      <c r="AS47" s="375">
        <v>45966</v>
      </c>
      <c r="AT47" s="375">
        <v>46245</v>
      </c>
      <c r="AU47" s="530">
        <v>152058</v>
      </c>
      <c r="AV47" s="128">
        <v>49957</v>
      </c>
      <c r="AW47" s="530">
        <v>800000</v>
      </c>
      <c r="AX47" s="534">
        <f>_xlfn.XLOOKUP(Sell_unvalid[[#This Row],[DEAL_BUY_ID]],BS!BA:BA,BS!BE:BE,,0)</f>
        <v>151525</v>
      </c>
      <c r="AY47" s="534">
        <f>_xlfn.XLOOKUP(Sell_unvalid[[#This Row],[BOND_CODE]],FNRP!D:D,FNRP!I:I,_xlfn.XLOOKUP(Sell_unvalid[[#This Row],[BOND_CODE]],FNRP!AV:AV,FNRP!BA:BA,,0),0)</f>
        <v>141623</v>
      </c>
      <c r="AZ47" s="534">
        <f>_xlfn.XLOOKUP(Sell_unvalid[[#This Row],[DEAL_BUY_ID]],BS!BA:BA,BS!BQ:BQ,,0)*Sell_unvalid[[#This Row],[QUANTITY]]</f>
        <v>40875927752.73806</v>
      </c>
      <c r="BA47" s="534">
        <f>(Sell_unvalid[[#This Row],[Giá MtM]]-10^5)*Sell_unvalid[[#This Row],[QUANTITY]]-Sell_unvalid[[#This Row],[PTCK remain]]</f>
        <v>-7577527752.73806</v>
      </c>
      <c r="BB47" s="534">
        <f>(Sell_unvalid[[#This Row],[PRICE]]-10^5)*Sell_unvalid[[#This Row],[QUANTITY]]-Sell_unvalid[[#This Row],[PTCK remain]]</f>
        <v>770472247.26194</v>
      </c>
      <c r="BC47" s="534" t="str">
        <f>IF(AND(Sell_unvalid[[#This Row],[VALUE_DATE]]&lt;=RPT,Sell_unvalid[[#This Row],[TRANSACTION_STATUS]]="N"),"Check","Ok")</f>
        <v>Ok</v>
      </c>
      <c r="BD47" s="534"/>
      <c r="BE47" s="615"/>
      <c r="BF47" s="128">
        <v>50214</v>
      </c>
      <c r="BG47" s="128" t="s">
        <v>2371</v>
      </c>
      <c r="BH47" s="128" t="s">
        <v>824</v>
      </c>
      <c r="BI47" s="128" t="s">
        <v>3594</v>
      </c>
      <c r="BJ47" s="375">
        <v>46224</v>
      </c>
      <c r="BK47" s="375">
        <v>46226</v>
      </c>
      <c r="BL47" s="128">
        <v>3370000</v>
      </c>
      <c r="BM47" s="128">
        <v>71576</v>
      </c>
      <c r="BN47" s="534">
        <f>_xlfn.XLOOKUP(Buy_unvalid[[#This Row],[BOND_CODE]],FNRP!D:D,FNRP!I:I,,0)</f>
        <v>73584</v>
      </c>
      <c r="BO47" s="534">
        <f>_xlfn.XLOOKUP(Buy_unvalid[[#This Row],[DEAL_BUY_ID]],BS!BA:BA,BS!BQ:BQ,_xlfn.XLOOKUP(Buy_unvalid[[#This Row],[DEAL_BUY_ID]],BS!AL:AL,BS!AR:AR,,0),0)*Buy_unvalid[[#This Row],[QUANTITY]]</f>
        <v>-95509367651.034592</v>
      </c>
      <c r="BP47" s="534">
        <f>(Buy_unvalid[[#This Row],[Giá MtM]]-10^5)*Buy_unvalid[[#This Row],[QUANTITY]]-Buy_unvalid[[#This Row],[PTCK remain]]</f>
        <v>6487447651.0345917</v>
      </c>
      <c r="BQ47" s="534" t="str">
        <f>IF(AND(Buy_unvalid[[#This Row],[VALUE_DATE]]&lt;=RPT,Buy_unvalid[[#This Row],[TRANSACTION_STATUS]]="N"),"Check","Ok")</f>
        <v>Ok</v>
      </c>
      <c r="BS47" s="128"/>
      <c r="BT47" s="848">
        <v>49312</v>
      </c>
      <c r="BU47" s="849">
        <v>46448</v>
      </c>
      <c r="BV47" s="848">
        <v>50225</v>
      </c>
      <c r="BW47" s="848"/>
      <c r="BX47" s="530">
        <v>2000000</v>
      </c>
      <c r="BY47" s="735">
        <f>_xlfn.XLOOKUP(Est_NIM[[#This Row],[DEAL_BUY_ID]],BS!AL:AL,BS!AU:AU,_xlfn.XLOOKUP(Est_NIM[[#This Row],[DEAL_BUY_ID]],BS!BA:BA,BS!BJ:BJ,,0),0)</f>
        <v>4.2</v>
      </c>
      <c r="BZ47" s="534">
        <f>Est_NIM[[#This Row],[QUANT]]*Est_NIM[[#This Row],[YIELD]]</f>
        <v>8400000</v>
      </c>
      <c r="CA47" s="128"/>
      <c r="CB47" s="128"/>
      <c r="CE47" s="331"/>
      <c r="CF47" s="331"/>
      <c r="CG47" s="331"/>
      <c r="CH47">
        <v>3730</v>
      </c>
      <c r="CI47">
        <v>14282</v>
      </c>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8"/>
      <c r="DS47" s="128"/>
      <c r="DT47" s="128"/>
      <c r="DU47" s="128"/>
      <c r="DV47" s="128"/>
      <c r="DW47" s="128"/>
      <c r="DX47" s="530"/>
      <c r="DY47" s="530"/>
      <c r="DZ47" s="530"/>
      <c r="EA47" s="530"/>
      <c r="EB47" s="530"/>
      <c r="EC47" s="530"/>
      <c r="ED47" s="530"/>
      <c r="EE47" s="530"/>
      <c r="EF47" s="530"/>
      <c r="EG47" s="530"/>
      <c r="EH47" s="530"/>
      <c r="EI47" s="530"/>
      <c r="EJ47" s="530"/>
      <c r="EK47" s="530"/>
      <c r="EL47" s="530"/>
      <c r="EM47" s="530"/>
      <c r="EN47" s="530"/>
      <c r="EO47" s="530"/>
      <c r="EP47" s="530"/>
      <c r="EQ47" s="530"/>
      <c r="ER47" s="530"/>
      <c r="ES47" s="530"/>
      <c r="ET47" s="530"/>
      <c r="EU47" s="530"/>
      <c r="EV47" s="530"/>
      <c r="EW47" s="530"/>
      <c r="EX47" s="530"/>
      <c r="EY47" s="530"/>
      <c r="EZ47" s="530"/>
      <c r="FA47" s="530"/>
      <c r="FB47" s="530"/>
      <c r="FC47" s="530"/>
      <c r="FD47" s="530"/>
      <c r="FE47" s="530"/>
      <c r="FF47" s="530"/>
      <c r="FG47" s="530"/>
      <c r="FH47" s="530"/>
      <c r="FI47" s="530"/>
      <c r="FJ47" s="530"/>
      <c r="FK47" s="530"/>
      <c r="FL47" s="530"/>
      <c r="FM47" s="530"/>
      <c r="FN47" s="530"/>
      <c r="FO47" s="530"/>
      <c r="FP47" s="530"/>
      <c r="FQ47" s="530"/>
      <c r="GI47" s="128"/>
      <c r="GJ47" s="128"/>
      <c r="GK47" s="128"/>
      <c r="GL47" s="128"/>
      <c r="GM47" s="128"/>
      <c r="GN47" s="128"/>
      <c r="GO47" s="128"/>
      <c r="GP47" s="128"/>
      <c r="GQ47" s="128"/>
      <c r="GR47" s="128"/>
      <c r="GS47" s="128"/>
      <c r="GT47" s="128"/>
      <c r="GU47" s="128"/>
      <c r="GV47" s="128"/>
      <c r="GW47" s="128"/>
      <c r="GX47" s="128"/>
      <c r="GY47" s="128"/>
      <c r="GZ47" s="128"/>
      <c r="HA47" s="128"/>
      <c r="HB47" s="128"/>
      <c r="HC47" s="128"/>
      <c r="HD47" s="128"/>
      <c r="HE47" s="128"/>
      <c r="HF47" s="128"/>
      <c r="HG47" s="128"/>
      <c r="HH47" s="128"/>
      <c r="HI47" s="128"/>
      <c r="HJ47" s="128"/>
      <c r="HK47" s="128"/>
      <c r="HL47" s="128"/>
      <c r="HM47" s="128"/>
      <c r="HN47" s="128"/>
      <c r="HO47" s="128"/>
      <c r="HP47" s="128"/>
      <c r="HQ47" s="128"/>
      <c r="HR47" s="128"/>
      <c r="HS47" s="128"/>
      <c r="HT47" s="128"/>
      <c r="HU47" s="128"/>
      <c r="HV47" s="128"/>
      <c r="HW47" s="128"/>
      <c r="HX47" s="128"/>
      <c r="HY47" s="128"/>
      <c r="HZ47" s="128"/>
      <c r="IA47" s="128"/>
      <c r="IB47" s="128"/>
      <c r="IC47" s="128"/>
    </row>
    <row r="48" spans="41:237" x14ac:dyDescent="0.3">
      <c r="AO48" s="128">
        <v>47906</v>
      </c>
      <c r="AP48" s="128" t="s">
        <v>720</v>
      </c>
      <c r="AQ48" s="128" t="s">
        <v>824</v>
      </c>
      <c r="AR48" s="375" t="s">
        <v>3594</v>
      </c>
      <c r="AS48" s="375">
        <v>45966</v>
      </c>
      <c r="AT48" s="375">
        <v>46245</v>
      </c>
      <c r="AU48" s="530">
        <v>152058</v>
      </c>
      <c r="AV48" s="532">
        <v>50266</v>
      </c>
      <c r="AW48" s="530">
        <v>2000000</v>
      </c>
      <c r="AX48" s="534">
        <f>_xlfn.XLOOKUP(Sell_unvalid[[#This Row],[DEAL_BUY_ID]],BS!BA:BA,BS!BE:BE,,0)</f>
        <v>152170</v>
      </c>
      <c r="AY48" s="534">
        <f>_xlfn.XLOOKUP(Sell_unvalid[[#This Row],[BOND_CODE]],FNRP!D:D,FNRP!I:I,_xlfn.XLOOKUP(Sell_unvalid[[#This Row],[BOND_CODE]],FNRP!AV:AV,FNRP!BA:BA,,0),0)</f>
        <v>141623</v>
      </c>
      <c r="AZ48" s="534">
        <f>_xlfn.XLOOKUP(Sell_unvalid[[#This Row],[DEAL_BUY_ID]],BS!BA:BA,BS!BQ:BQ,,0)*Sell_unvalid[[#This Row],[QUANTITY]]</f>
        <v>104170430878.77864</v>
      </c>
      <c r="BA48" s="534">
        <f>(Sell_unvalid[[#This Row],[Giá MtM]]-10^5)*Sell_unvalid[[#This Row],[QUANTITY]]-Sell_unvalid[[#This Row],[PTCK remain]]</f>
        <v>-20924430878.778641</v>
      </c>
      <c r="BB48" s="534">
        <f>(Sell_unvalid[[#This Row],[PRICE]]-10^5)*Sell_unvalid[[#This Row],[QUANTITY]]-Sell_unvalid[[#This Row],[PTCK remain]]</f>
        <v>-54430878.778640747</v>
      </c>
      <c r="BC48" s="534" t="str">
        <f>IF(AND(Sell_unvalid[[#This Row],[VALUE_DATE]]&lt;=RPT,Sell_unvalid[[#This Row],[TRANSACTION_STATUS]]="N"),"Check","Ok")</f>
        <v>Ok</v>
      </c>
      <c r="BD48" s="534"/>
      <c r="BE48" s="615"/>
      <c r="BF48" s="128">
        <v>50215</v>
      </c>
      <c r="BG48" s="128" t="s">
        <v>2371</v>
      </c>
      <c r="BH48" s="128" t="s">
        <v>824</v>
      </c>
      <c r="BI48" s="375" t="s">
        <v>3594</v>
      </c>
      <c r="BJ48" s="375">
        <v>46224</v>
      </c>
      <c r="BK48" s="375">
        <v>46226</v>
      </c>
      <c r="BL48" s="530">
        <v>1000000</v>
      </c>
      <c r="BM48" s="530">
        <v>71576</v>
      </c>
      <c r="BN48" s="534">
        <f>_xlfn.XLOOKUP(Buy_unvalid[[#This Row],[BOND_CODE]],FNRP!D:D,FNRP!I:I,,0)</f>
        <v>73584</v>
      </c>
      <c r="BO48" s="534">
        <f>_xlfn.XLOOKUP(Buy_unvalid[[#This Row],[DEAL_BUY_ID]],BS!BA:BA,BS!BQ:BQ,_xlfn.XLOOKUP(Buy_unvalid[[#This Row],[DEAL_BUY_ID]],BS!AL:AL,BS!AR:AR,,0),0)*Buy_unvalid[[#This Row],[QUANTITY]]</f>
        <v>-28341058650.158634</v>
      </c>
      <c r="BP48" s="534">
        <f>(Buy_unvalid[[#This Row],[Giá MtM]]-10^5)*Buy_unvalid[[#This Row],[QUANTITY]]-Buy_unvalid[[#This Row],[PTCK remain]]</f>
        <v>1925058650.1586342</v>
      </c>
      <c r="BQ48" s="534" t="str">
        <f>IF(AND(Buy_unvalid[[#This Row],[VALUE_DATE]]&lt;=RPT,Buy_unvalid[[#This Row],[TRANSACTION_STATUS]]="N"),"Check","Ok")</f>
        <v>Ok</v>
      </c>
      <c r="BS48" s="128"/>
      <c r="BT48" s="848">
        <v>49312</v>
      </c>
      <c r="BU48" s="849">
        <v>46448</v>
      </c>
      <c r="BV48" s="848">
        <v>50227</v>
      </c>
      <c r="BW48" s="848"/>
      <c r="BX48" s="530">
        <v>3000000</v>
      </c>
      <c r="BY48" s="735">
        <f>_xlfn.XLOOKUP(Est_NIM[[#This Row],[DEAL_BUY_ID]],BS!AL:AL,BS!AU:AU,_xlfn.XLOOKUP(Est_NIM[[#This Row],[DEAL_BUY_ID]],BS!BA:BA,BS!BJ:BJ,,0),0)</f>
        <v>4.2</v>
      </c>
      <c r="BZ48" s="534">
        <f>Est_NIM[[#This Row],[QUANT]]*Est_NIM[[#This Row],[YIELD]]</f>
        <v>12600000</v>
      </c>
      <c r="CA48" s="128"/>
      <c r="CB48" s="128"/>
      <c r="CE48" s="331"/>
      <c r="CF48" s="331"/>
      <c r="CG48" s="331"/>
      <c r="CH48">
        <v>3730</v>
      </c>
      <c r="CI48">
        <v>14282</v>
      </c>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8"/>
      <c r="DS48" s="128"/>
      <c r="DT48" s="128"/>
      <c r="DU48" s="128"/>
      <c r="DV48" s="128"/>
      <c r="DW48" s="128"/>
      <c r="DX48" s="530"/>
      <c r="DY48" s="530"/>
      <c r="DZ48" s="530"/>
      <c r="EA48" s="530"/>
      <c r="EB48" s="530"/>
      <c r="EC48" s="530"/>
      <c r="ED48" s="530"/>
      <c r="EE48" s="530"/>
      <c r="EF48" s="530"/>
      <c r="EG48" s="530"/>
      <c r="EH48" s="530"/>
      <c r="EI48" s="530"/>
      <c r="EJ48" s="530"/>
      <c r="EK48" s="530"/>
      <c r="EL48" s="530"/>
      <c r="EM48" s="530"/>
      <c r="EN48" s="530"/>
      <c r="EO48" s="530"/>
      <c r="EP48" s="530"/>
      <c r="EQ48" s="530"/>
      <c r="ER48" s="530"/>
      <c r="ES48" s="530"/>
      <c r="ET48" s="530"/>
      <c r="EU48" s="530"/>
      <c r="EV48" s="530"/>
      <c r="EW48" s="530"/>
      <c r="EX48" s="530"/>
      <c r="EY48" s="530"/>
      <c r="EZ48" s="530"/>
      <c r="FA48" s="530"/>
      <c r="FB48" s="530"/>
      <c r="FC48" s="530"/>
      <c r="FD48" s="530"/>
      <c r="FE48" s="530"/>
      <c r="FF48" s="530"/>
      <c r="FG48" s="530"/>
      <c r="FH48" s="530"/>
      <c r="FI48" s="530"/>
      <c r="FJ48" s="530"/>
      <c r="FK48" s="530"/>
      <c r="FL48" s="530"/>
      <c r="FM48" s="530"/>
      <c r="FN48" s="530"/>
      <c r="FO48" s="530"/>
      <c r="FP48" s="530"/>
      <c r="FQ48" s="530"/>
      <c r="GI48" s="128"/>
      <c r="GJ48" s="128"/>
      <c r="GK48" s="128"/>
      <c r="GL48" s="128"/>
      <c r="GM48" s="128"/>
      <c r="GN48" s="128"/>
      <c r="GO48" s="128"/>
      <c r="GP48" s="128"/>
      <c r="GQ48" s="128"/>
      <c r="GR48" s="128"/>
      <c r="GS48" s="128"/>
      <c r="GT48" s="128"/>
      <c r="GU48" s="128"/>
      <c r="GV48" s="128"/>
      <c r="GW48" s="128"/>
      <c r="GX48" s="128"/>
      <c r="GY48" s="128"/>
      <c r="GZ48" s="128"/>
      <c r="HA48" s="128"/>
      <c r="HB48" s="128"/>
      <c r="HC48" s="128"/>
      <c r="HD48" s="128"/>
      <c r="HE48" s="128"/>
      <c r="HF48" s="128"/>
      <c r="HG48" s="128"/>
      <c r="HH48" s="128"/>
      <c r="HI48" s="128"/>
      <c r="HJ48" s="128"/>
      <c r="HK48" s="128"/>
      <c r="HL48" s="128"/>
      <c r="HM48" s="128"/>
      <c r="HN48" s="128"/>
      <c r="HO48" s="128"/>
      <c r="HP48" s="128"/>
      <c r="HQ48" s="128"/>
      <c r="HR48" s="128"/>
      <c r="HS48" s="128"/>
      <c r="HT48" s="128"/>
      <c r="HU48" s="128"/>
      <c r="HV48" s="128"/>
      <c r="HW48" s="128"/>
      <c r="HX48" s="128"/>
      <c r="HY48" s="128"/>
      <c r="HZ48" s="128"/>
      <c r="IA48" s="128"/>
      <c r="IB48" s="128"/>
      <c r="IC48" s="128"/>
    </row>
    <row r="49" spans="39:237" x14ac:dyDescent="0.3">
      <c r="AO49" s="128">
        <v>50216</v>
      </c>
      <c r="AP49" s="128" t="s">
        <v>721</v>
      </c>
      <c r="AQ49" s="128" t="s">
        <v>824</v>
      </c>
      <c r="AR49" s="375" t="s">
        <v>3594</v>
      </c>
      <c r="AS49" s="375">
        <v>46224</v>
      </c>
      <c r="AT49" s="375">
        <v>46386</v>
      </c>
      <c r="AU49" s="530">
        <v>138804</v>
      </c>
      <c r="AV49" s="128">
        <v>50212</v>
      </c>
      <c r="AW49" s="530">
        <v>2000000</v>
      </c>
      <c r="AX49" s="534">
        <f>_xlfn.XLOOKUP(Sell_unvalid[[#This Row],[DEAL_BUY_ID]],BS!BA:BA,BS!BE:BE,,0)</f>
        <v>139806</v>
      </c>
      <c r="AY49" s="534">
        <f>_xlfn.XLOOKUP(Sell_unvalid[[#This Row],[BOND_CODE]],FNRP!D:D,FNRP!I:I,_xlfn.XLOOKUP(Sell_unvalid[[#This Row],[BOND_CODE]],FNRP!AV:AV,FNRP!BA:BA,,0),0)</f>
        <v>141888</v>
      </c>
      <c r="AZ49" s="534">
        <f>_xlfn.XLOOKUP(Sell_unvalid[[#This Row],[DEAL_BUY_ID]],BS!BA:BA,BS!BQ:BQ,,0)*Sell_unvalid[[#This Row],[QUANTITY]]</f>
        <v>79325317977.482803</v>
      </c>
      <c r="BA49" s="534">
        <f>(Sell_unvalid[[#This Row],[Giá MtM]]-10^5)*Sell_unvalid[[#This Row],[QUANTITY]]-Sell_unvalid[[#This Row],[PTCK remain]]</f>
        <v>4450682022.5171967</v>
      </c>
      <c r="BB49" s="534">
        <f>(Sell_unvalid[[#This Row],[PRICE]]-10^5)*Sell_unvalid[[#This Row],[QUANTITY]]-Sell_unvalid[[#This Row],[PTCK remain]]</f>
        <v>-1717317977.4828033</v>
      </c>
      <c r="BC49" s="534" t="str">
        <f>IF(AND(Sell_unvalid[[#This Row],[VALUE_DATE]]&lt;=RPT,Sell_unvalid[[#This Row],[TRANSACTION_STATUS]]="N"),"Check","Ok")</f>
        <v>Ok</v>
      </c>
      <c r="BD49" s="534"/>
      <c r="BE49" s="615"/>
      <c r="BF49" s="128">
        <v>50248</v>
      </c>
      <c r="BG49" s="128" t="s">
        <v>710</v>
      </c>
      <c r="BH49" s="128" t="s">
        <v>824</v>
      </c>
      <c r="BI49" s="375" t="s">
        <v>3594</v>
      </c>
      <c r="BJ49" s="375">
        <v>46230</v>
      </c>
      <c r="BK49" s="375">
        <v>46231</v>
      </c>
      <c r="BL49" s="530">
        <v>1000000</v>
      </c>
      <c r="BM49" s="530">
        <v>108124</v>
      </c>
      <c r="BN49" s="534">
        <f>_xlfn.XLOOKUP(Buy_unvalid[[#This Row],[BOND_CODE]],FNRP!D:D,FNRP!I:I,,0)</f>
        <v>110155</v>
      </c>
      <c r="BO49" s="534">
        <f>_xlfn.XLOOKUP(Buy_unvalid[[#This Row],[DEAL_BUY_ID]],BS!BA:BA,BS!BQ:BQ,_xlfn.XLOOKUP(Buy_unvalid[[#This Row],[DEAL_BUY_ID]],BS!AL:AL,BS!AR:AR,,0),0)*Buy_unvalid[[#This Row],[QUANTITY]]</f>
        <v>8085016236.3043737</v>
      </c>
      <c r="BP49" s="534">
        <f>(Buy_unvalid[[#This Row],[Giá MtM]]-10^5)*Buy_unvalid[[#This Row],[QUANTITY]]-Buy_unvalid[[#This Row],[PTCK remain]]</f>
        <v>2069983763.6956263</v>
      </c>
      <c r="BQ49" s="534" t="str">
        <f>IF(AND(Buy_unvalid[[#This Row],[VALUE_DATE]]&lt;=RPT,Buy_unvalid[[#This Row],[TRANSACTION_STATUS]]="N"),"Check","Ok")</f>
        <v>Ok</v>
      </c>
      <c r="BS49" s="128"/>
      <c r="BT49" s="848">
        <v>49313</v>
      </c>
      <c r="BU49" s="849">
        <v>46448</v>
      </c>
      <c r="BV49" s="848">
        <v>50223</v>
      </c>
      <c r="BW49" s="848"/>
      <c r="BX49" s="530">
        <v>4500000</v>
      </c>
      <c r="BY49" s="735">
        <f>_xlfn.XLOOKUP(Est_NIM[[#This Row],[DEAL_BUY_ID]],BS!AL:AL,BS!AU:AU,_xlfn.XLOOKUP(Est_NIM[[#This Row],[DEAL_BUY_ID]],BS!BA:BA,BS!BJ:BJ,,0),0)</f>
        <v>4.2</v>
      </c>
      <c r="BZ49" s="534">
        <f>Est_NIM[[#This Row],[QUANT]]*Est_NIM[[#This Row],[YIELD]]</f>
        <v>18900000</v>
      </c>
      <c r="CA49" s="128"/>
      <c r="CB49" s="128"/>
      <c r="CE49" s="331"/>
      <c r="CF49" s="331"/>
      <c r="CG49" s="331"/>
      <c r="CH49">
        <v>3730</v>
      </c>
      <c r="CI49">
        <v>14282</v>
      </c>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8"/>
      <c r="DS49" s="128"/>
      <c r="DT49" s="128"/>
      <c r="DU49" s="128"/>
      <c r="DV49" s="128"/>
      <c r="DW49" s="128"/>
      <c r="DX49" s="530"/>
      <c r="DY49" s="530"/>
      <c r="DZ49" s="530"/>
      <c r="EA49" s="530"/>
      <c r="EB49" s="530"/>
      <c r="EC49" s="530"/>
      <c r="ED49" s="530"/>
      <c r="EE49" s="530"/>
      <c r="EF49" s="530"/>
      <c r="EG49" s="530"/>
      <c r="EH49" s="530"/>
      <c r="EI49" s="530"/>
      <c r="EJ49" s="530"/>
      <c r="EK49" s="530"/>
      <c r="EL49" s="530"/>
      <c r="EM49" s="530"/>
      <c r="EN49" s="530"/>
      <c r="EO49" s="530"/>
      <c r="EP49" s="530"/>
      <c r="EQ49" s="530"/>
      <c r="ER49" s="530"/>
      <c r="ES49" s="530"/>
      <c r="ET49" s="530"/>
      <c r="EU49" s="530"/>
      <c r="EV49" s="530"/>
      <c r="EW49" s="530"/>
      <c r="EX49" s="530"/>
      <c r="EY49" s="530"/>
      <c r="EZ49" s="530"/>
      <c r="FA49" s="530"/>
      <c r="FB49" s="530"/>
      <c r="FC49" s="530"/>
      <c r="FD49" s="530"/>
      <c r="FE49" s="530"/>
      <c r="FF49" s="530"/>
      <c r="FG49" s="530"/>
      <c r="FH49" s="530"/>
      <c r="FI49" s="530"/>
      <c r="FJ49" s="530"/>
      <c r="FK49" s="530"/>
      <c r="FL49" s="530"/>
      <c r="FM49" s="530"/>
      <c r="FN49" s="530"/>
      <c r="FO49" s="530"/>
      <c r="FP49" s="530"/>
      <c r="FQ49" s="530"/>
      <c r="GI49" s="128"/>
      <c r="GJ49" s="128"/>
      <c r="GK49" s="128"/>
      <c r="GL49" s="128"/>
      <c r="GM49" s="128"/>
      <c r="GN49" s="128"/>
      <c r="GO49" s="128"/>
      <c r="GP49" s="128"/>
      <c r="GQ49" s="128"/>
      <c r="GR49" s="128"/>
      <c r="GS49" s="128"/>
      <c r="GT49" s="128"/>
      <c r="GU49" s="128"/>
      <c r="GV49" s="128"/>
      <c r="GW49" s="128"/>
      <c r="GX49" s="128"/>
      <c r="GY49" s="128"/>
      <c r="GZ49" s="128"/>
      <c r="HA49" s="128"/>
      <c r="HB49" s="128"/>
      <c r="HC49" s="128"/>
      <c r="HD49" s="128"/>
      <c r="HE49" s="128"/>
      <c r="HF49" s="128"/>
      <c r="HG49" s="128"/>
      <c r="HH49" s="128"/>
      <c r="HI49" s="128"/>
      <c r="HJ49" s="128"/>
      <c r="HK49" s="128"/>
      <c r="HL49" s="128"/>
      <c r="HM49" s="128"/>
      <c r="HN49" s="128"/>
      <c r="HO49" s="128"/>
      <c r="HP49" s="128"/>
      <c r="HQ49" s="128"/>
      <c r="HR49" s="128"/>
      <c r="HS49" s="128"/>
      <c r="HT49" s="128"/>
      <c r="HU49" s="128"/>
      <c r="HV49" s="128"/>
      <c r="HW49" s="128"/>
      <c r="HX49" s="128"/>
      <c r="HY49" s="128"/>
      <c r="HZ49" s="128"/>
      <c r="IA49" s="128"/>
      <c r="IB49" s="128"/>
      <c r="IC49" s="128"/>
    </row>
    <row r="50" spans="39:237" x14ac:dyDescent="0.3">
      <c r="AO50" s="128">
        <v>50217</v>
      </c>
      <c r="AP50" s="128" t="s">
        <v>721</v>
      </c>
      <c r="AQ50" s="128" t="s">
        <v>824</v>
      </c>
      <c r="AR50" s="375" t="s">
        <v>3594</v>
      </c>
      <c r="AS50" s="375">
        <v>46224</v>
      </c>
      <c r="AT50" s="375">
        <v>46386</v>
      </c>
      <c r="AU50" s="530">
        <v>138804</v>
      </c>
      <c r="AV50" s="128">
        <v>50213</v>
      </c>
      <c r="AW50" s="530">
        <v>8620000</v>
      </c>
      <c r="AX50" s="534">
        <f>_xlfn.XLOOKUP(Sell_unvalid[[#This Row],[DEAL_BUY_ID]],BS!BA:BA,BS!BE:BE,,0)</f>
        <v>139806</v>
      </c>
      <c r="AY50" s="534">
        <f>_xlfn.XLOOKUP(Sell_unvalid[[#This Row],[BOND_CODE]],FNRP!D:D,FNRP!I:I,_xlfn.XLOOKUP(Sell_unvalid[[#This Row],[BOND_CODE]],FNRP!AV:AV,FNRP!BA:BA,,0),0)</f>
        <v>141888</v>
      </c>
      <c r="AZ50" s="534">
        <f>_xlfn.XLOOKUP(Sell_unvalid[[#This Row],[DEAL_BUY_ID]],BS!BA:BA,BS!BQ:BQ,,0)*Sell_unvalid[[#This Row],[QUANTITY]]</f>
        <v>341892120482.95087</v>
      </c>
      <c r="BA50" s="534">
        <f>(Sell_unvalid[[#This Row],[Giá MtM]]-10^5)*Sell_unvalid[[#This Row],[QUANTITY]]-Sell_unvalid[[#This Row],[PTCK remain]]</f>
        <v>19182439517.049133</v>
      </c>
      <c r="BB50" s="534">
        <f>(Sell_unvalid[[#This Row],[PRICE]]-10^5)*Sell_unvalid[[#This Row],[QUANTITY]]-Sell_unvalid[[#This Row],[PTCK remain]]</f>
        <v>-7401640482.9508667</v>
      </c>
      <c r="BC50" s="534" t="str">
        <f>IF(AND(Sell_unvalid[[#This Row],[VALUE_DATE]]&lt;=RPT,Sell_unvalid[[#This Row],[TRANSACTION_STATUS]]="N"),"Check","Ok")</f>
        <v>Ok</v>
      </c>
      <c r="BD50" s="534"/>
      <c r="BE50" s="615"/>
      <c r="BF50" s="128">
        <v>50245</v>
      </c>
      <c r="BG50" s="128" t="s">
        <v>706</v>
      </c>
      <c r="BH50" s="128" t="s">
        <v>824</v>
      </c>
      <c r="BI50" s="375" t="s">
        <v>3594</v>
      </c>
      <c r="BJ50" s="375">
        <v>46230</v>
      </c>
      <c r="BK50" s="375">
        <v>46231</v>
      </c>
      <c r="BL50" s="530">
        <v>500000</v>
      </c>
      <c r="BM50" s="530">
        <v>81825</v>
      </c>
      <c r="BN50" s="534">
        <f>_xlfn.XLOOKUP(Buy_unvalid[[#This Row],[BOND_CODE]],FNRP!D:D,FNRP!I:I,,0)</f>
        <v>82354</v>
      </c>
      <c r="BO50" s="534">
        <f>_xlfn.XLOOKUP(Buy_unvalid[[#This Row],[DEAL_BUY_ID]],BS!BA:BA,BS!BQ:BQ,_xlfn.XLOOKUP(Buy_unvalid[[#This Row],[DEAL_BUY_ID]],BS!AL:AL,BS!AR:AR,,0),0)*Buy_unvalid[[#This Row],[QUANTITY]]</f>
        <v>-9035183547.28092</v>
      </c>
      <c r="BP50" s="534">
        <f>(Buy_unvalid[[#This Row],[Giá MtM]]-10^5)*Buy_unvalid[[#This Row],[QUANTITY]]-Buy_unvalid[[#This Row],[PTCK remain]]</f>
        <v>212183547.28092003</v>
      </c>
      <c r="BQ50" s="534" t="str">
        <f>IF(AND(Buy_unvalid[[#This Row],[VALUE_DATE]]&lt;=RPT,Buy_unvalid[[#This Row],[TRANSACTION_STATUS]]="N"),"Check","Ok")</f>
        <v>Ok</v>
      </c>
      <c r="BS50" s="128"/>
      <c r="BT50" s="848">
        <v>49313</v>
      </c>
      <c r="BU50" s="849">
        <v>46448</v>
      </c>
      <c r="BV50" s="848">
        <v>50229</v>
      </c>
      <c r="BW50" s="848"/>
      <c r="BX50" s="530">
        <v>3500000</v>
      </c>
      <c r="BY50" s="735">
        <f>_xlfn.XLOOKUP(Est_NIM[[#This Row],[DEAL_BUY_ID]],BS!AL:AL,BS!AU:AU,_xlfn.XLOOKUP(Est_NIM[[#This Row],[DEAL_BUY_ID]],BS!BA:BA,BS!BJ:BJ,,0),0)</f>
        <v>4.2</v>
      </c>
      <c r="BZ50" s="534">
        <f>Est_NIM[[#This Row],[QUANT]]*Est_NIM[[#This Row],[YIELD]]</f>
        <v>14700000</v>
      </c>
      <c r="CA50" s="128"/>
      <c r="CB50" s="128"/>
      <c r="CE50" s="331"/>
      <c r="CF50" s="331"/>
      <c r="CG50" s="331"/>
      <c r="CH50">
        <v>3730</v>
      </c>
      <c r="CI50">
        <v>14282</v>
      </c>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8"/>
      <c r="DS50" s="128"/>
      <c r="DT50" s="128"/>
      <c r="DU50" s="128"/>
      <c r="DV50" s="128"/>
      <c r="DW50" s="128"/>
      <c r="DX50" s="530"/>
      <c r="DY50" s="530"/>
      <c r="DZ50" s="530"/>
      <c r="EA50" s="530"/>
      <c r="EB50" s="530"/>
      <c r="EC50" s="530"/>
      <c r="ED50" s="530"/>
      <c r="EE50" s="530"/>
      <c r="EF50" s="530"/>
      <c r="EG50" s="530"/>
      <c r="EH50" s="530"/>
      <c r="EI50" s="530"/>
      <c r="EJ50" s="530"/>
      <c r="EK50" s="530"/>
      <c r="EL50" s="530"/>
      <c r="EM50" s="530"/>
      <c r="EN50" s="530"/>
      <c r="EO50" s="530"/>
      <c r="EP50" s="530"/>
      <c r="EQ50" s="530"/>
      <c r="ER50" s="530"/>
      <c r="ES50" s="530"/>
      <c r="ET50" s="530"/>
      <c r="EU50" s="530"/>
      <c r="EV50" s="530"/>
      <c r="EW50" s="530"/>
      <c r="EX50" s="530"/>
      <c r="EY50" s="530"/>
      <c r="EZ50" s="530"/>
      <c r="FA50" s="530"/>
      <c r="FB50" s="530"/>
      <c r="FC50" s="530"/>
      <c r="FD50" s="530"/>
      <c r="FE50" s="530"/>
      <c r="FF50" s="530"/>
      <c r="FG50" s="530"/>
      <c r="FH50" s="530"/>
      <c r="FI50" s="530"/>
      <c r="FJ50" s="530"/>
      <c r="FK50" s="530"/>
      <c r="FL50" s="530"/>
      <c r="FM50" s="530"/>
      <c r="FN50" s="530"/>
      <c r="FO50" s="530"/>
      <c r="FP50" s="530"/>
      <c r="FQ50" s="530"/>
      <c r="GI50" s="128"/>
      <c r="GJ50" s="128"/>
      <c r="GK50" s="128"/>
      <c r="GL50" s="128"/>
      <c r="GM50" s="128"/>
      <c r="GN50" s="128"/>
      <c r="GO50" s="128"/>
      <c r="GP50" s="128"/>
      <c r="GQ50" s="128"/>
      <c r="GR50" s="128"/>
      <c r="GS50" s="128"/>
      <c r="GT50" s="128"/>
      <c r="GU50" s="128"/>
      <c r="GV50" s="128"/>
      <c r="GW50" s="128"/>
      <c r="GX50" s="128"/>
      <c r="GY50" s="128"/>
      <c r="GZ50" s="128"/>
      <c r="HA50" s="128"/>
      <c r="HB50" s="128"/>
      <c r="HC50" s="128"/>
      <c r="HD50" s="128"/>
      <c r="HE50" s="128"/>
      <c r="HF50" s="128"/>
      <c r="HG50" s="128"/>
      <c r="HH50" s="128"/>
      <c r="HI50" s="128"/>
      <c r="HJ50" s="128"/>
      <c r="HK50" s="128"/>
      <c r="HL50" s="128"/>
      <c r="HM50" s="128"/>
      <c r="HN50" s="128"/>
      <c r="HO50" s="128"/>
      <c r="HP50" s="128"/>
      <c r="HQ50" s="128"/>
      <c r="HR50" s="128"/>
      <c r="HS50" s="128"/>
      <c r="HT50" s="128"/>
      <c r="HU50" s="128"/>
      <c r="HV50" s="128"/>
      <c r="HW50" s="128"/>
      <c r="HX50" s="128"/>
      <c r="HY50" s="128"/>
      <c r="HZ50" s="128"/>
      <c r="IA50" s="128"/>
      <c r="IB50" s="128"/>
      <c r="IC50" s="128"/>
    </row>
    <row r="51" spans="39:237" x14ac:dyDescent="0.3">
      <c r="AM51" s="233">
        <f>AL51*10^4</f>
        <v>0</v>
      </c>
      <c r="AO51" s="128">
        <v>50273</v>
      </c>
      <c r="AP51" s="128" t="s">
        <v>718</v>
      </c>
      <c r="AQ51" s="128" t="s">
        <v>824</v>
      </c>
      <c r="AR51" s="128" t="s">
        <v>3594</v>
      </c>
      <c r="AS51" s="375">
        <v>46237</v>
      </c>
      <c r="AT51" s="375">
        <v>46239</v>
      </c>
      <c r="AU51" s="530">
        <v>145893</v>
      </c>
      <c r="AV51" s="128">
        <v>50272</v>
      </c>
      <c r="AW51" s="530">
        <v>1350000</v>
      </c>
      <c r="AX51" s="534">
        <f>_xlfn.XLOOKUP(Sell_unvalid[[#This Row],[DEAL_BUY_ID]],BS!BA:BA,BS!BE:BE,,0)</f>
        <v>145896</v>
      </c>
      <c r="AY51" s="534">
        <f>_xlfn.XLOOKUP(Sell_unvalid[[#This Row],[BOND_CODE]],FNRP!D:D,FNRP!I:I,_xlfn.XLOOKUP(Sell_unvalid[[#This Row],[BOND_CODE]],FNRP!AV:AV,FNRP!BA:BA,,0),0)</f>
        <v>142132</v>
      </c>
      <c r="AZ51" s="534">
        <f>_xlfn.XLOOKUP(Sell_unvalid[[#This Row],[DEAL_BUY_ID]],BS!BA:BA,BS!BQ:BQ,,0)*Sell_unvalid[[#This Row],[QUANTITY]]</f>
        <v>61829621099.585999</v>
      </c>
      <c r="BA51" s="534">
        <f>(Sell_unvalid[[#This Row],[Giá MtM]]-10^5)*Sell_unvalid[[#This Row],[QUANTITY]]-Sell_unvalid[[#This Row],[PTCK remain]]</f>
        <v>-4951421099.5859985</v>
      </c>
      <c r="BB51" s="534">
        <f>(Sell_unvalid[[#This Row],[PRICE]]-10^5)*Sell_unvalid[[#This Row],[QUANTITY]]-Sell_unvalid[[#This Row],[PTCK remain]]</f>
        <v>125928900.41400146</v>
      </c>
      <c r="BC51" s="534" t="str">
        <f>IF(AND(Sell_unvalid[[#This Row],[VALUE_DATE]]&lt;=RPT,Sell_unvalid[[#This Row],[TRANSACTION_STATUS]]="N"),"Check","Ok")</f>
        <v>Ok</v>
      </c>
      <c r="BD51" s="534"/>
      <c r="BE51" s="615"/>
      <c r="BF51" s="128">
        <v>50246</v>
      </c>
      <c r="BG51" s="128" t="s">
        <v>728</v>
      </c>
      <c r="BH51" s="128" t="s">
        <v>824</v>
      </c>
      <c r="BI51" s="375" t="s">
        <v>3594</v>
      </c>
      <c r="BJ51" s="375">
        <v>46230</v>
      </c>
      <c r="BK51" s="375">
        <v>46231</v>
      </c>
      <c r="BL51" s="530">
        <v>500000</v>
      </c>
      <c r="BM51" s="530">
        <v>112509</v>
      </c>
      <c r="BN51" s="534">
        <f>_xlfn.XLOOKUP(Buy_unvalid[[#This Row],[BOND_CODE]],FNRP!D:D,FNRP!I:I,,0)</f>
        <v>115288</v>
      </c>
      <c r="BO51" s="534">
        <f>_xlfn.XLOOKUP(Buy_unvalid[[#This Row],[DEAL_BUY_ID]],BS!BA:BA,BS!BQ:BQ,_xlfn.XLOOKUP(Buy_unvalid[[#This Row],[DEAL_BUY_ID]],BS!AL:AL,BS!AR:AR,,0),0)*Buy_unvalid[[#This Row],[QUANTITY]]</f>
        <v>6237888932.0537252</v>
      </c>
      <c r="BP51" s="534">
        <f>(Buy_unvalid[[#This Row],[Giá MtM]]-10^5)*Buy_unvalid[[#This Row],[QUANTITY]]-Buy_unvalid[[#This Row],[PTCK remain]]</f>
        <v>1406111067.9462748</v>
      </c>
      <c r="BQ51" s="534" t="str">
        <f>IF(AND(Buy_unvalid[[#This Row],[VALUE_DATE]]&lt;=RPT,Buy_unvalid[[#This Row],[TRANSACTION_STATUS]]="N"),"Check","Ok")</f>
        <v>Ok</v>
      </c>
      <c r="BS51" s="128"/>
      <c r="BT51" s="848">
        <v>49324</v>
      </c>
      <c r="BU51" s="849">
        <v>46449</v>
      </c>
      <c r="BV51" s="848">
        <v>49321</v>
      </c>
      <c r="BW51" s="848"/>
      <c r="BX51" s="530">
        <v>3100000</v>
      </c>
      <c r="BY51" s="735">
        <f>_xlfn.XLOOKUP(Est_NIM[[#This Row],[DEAL_BUY_ID]],BS!AL:AL,BS!AU:AU,_xlfn.XLOOKUP(Est_NIM[[#This Row],[DEAL_BUY_ID]],BS!BA:BA,BS!BJ:BJ,,0),0)</f>
        <v>4.6100000000000003</v>
      </c>
      <c r="BZ51" s="534">
        <f>Est_NIM[[#This Row],[QUANT]]*Est_NIM[[#This Row],[YIELD]]</f>
        <v>14291000.000000002</v>
      </c>
      <c r="CA51" s="128"/>
      <c r="CB51" s="128"/>
      <c r="CE51" s="331"/>
      <c r="CF51" s="331"/>
      <c r="CG51" s="331"/>
      <c r="CH51">
        <v>3730</v>
      </c>
      <c r="CI51">
        <v>14282</v>
      </c>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8"/>
      <c r="DS51" s="128"/>
      <c r="DT51" s="128"/>
      <c r="DU51" s="128"/>
      <c r="DV51" s="128"/>
      <c r="DW51" s="128"/>
      <c r="DX51" s="530"/>
      <c r="DY51" s="530"/>
      <c r="DZ51" s="530"/>
      <c r="EA51" s="530"/>
      <c r="EB51" s="530"/>
      <c r="EC51" s="530"/>
      <c r="ED51" s="530"/>
      <c r="EE51" s="530"/>
      <c r="EF51" s="530"/>
      <c r="EG51" s="530"/>
      <c r="EH51" s="530"/>
      <c r="EI51" s="530"/>
      <c r="EJ51" s="530"/>
      <c r="EK51" s="530"/>
      <c r="EL51" s="530"/>
      <c r="EM51" s="530"/>
      <c r="EN51" s="530"/>
      <c r="EO51" s="530"/>
      <c r="EP51" s="530"/>
      <c r="EQ51" s="530"/>
      <c r="ER51" s="530"/>
      <c r="ES51" s="530"/>
      <c r="ET51" s="530"/>
      <c r="EU51" s="530"/>
      <c r="EV51" s="530"/>
      <c r="EW51" s="530"/>
      <c r="EX51" s="530"/>
      <c r="EY51" s="530"/>
      <c r="EZ51" s="530"/>
      <c r="FA51" s="530"/>
      <c r="FB51" s="530"/>
      <c r="FC51" s="530"/>
      <c r="FD51" s="530"/>
      <c r="FE51" s="530"/>
      <c r="FF51" s="530"/>
      <c r="FG51" s="530"/>
      <c r="FH51" s="530"/>
      <c r="FI51" s="530"/>
      <c r="FJ51" s="530"/>
      <c r="FK51" s="530"/>
      <c r="FL51" s="530"/>
      <c r="FM51" s="530"/>
      <c r="FN51" s="530"/>
      <c r="FO51" s="530"/>
      <c r="FP51" s="530"/>
      <c r="FQ51" s="530"/>
      <c r="GI51" s="128"/>
      <c r="GJ51" s="128"/>
      <c r="GK51" s="128"/>
      <c r="GL51" s="128"/>
      <c r="GM51" s="128"/>
      <c r="GN51" s="128"/>
      <c r="GO51" s="128"/>
      <c r="GP51" s="128"/>
      <c r="GQ51" s="128"/>
      <c r="GR51" s="128"/>
      <c r="GS51" s="128"/>
      <c r="GT51" s="128"/>
      <c r="GU51" s="128"/>
      <c r="GV51" s="128"/>
      <c r="GW51" s="128"/>
      <c r="GX51" s="128"/>
      <c r="GY51" s="128"/>
      <c r="GZ51" s="128"/>
      <c r="HA51" s="128"/>
      <c r="HB51" s="128"/>
      <c r="HC51" s="128"/>
      <c r="HD51" s="128"/>
      <c r="HE51" s="128"/>
      <c r="HF51" s="128"/>
      <c r="HG51" s="128"/>
      <c r="HH51" s="128"/>
      <c r="HI51" s="128"/>
      <c r="HJ51" s="128"/>
      <c r="HK51" s="128"/>
      <c r="HL51" s="128"/>
      <c r="HM51" s="128"/>
      <c r="HN51" s="128"/>
      <c r="HO51" s="128"/>
      <c r="HP51" s="128"/>
      <c r="HQ51" s="128"/>
      <c r="HR51" s="128"/>
      <c r="HS51" s="128"/>
      <c r="HT51" s="128"/>
      <c r="HU51" s="128"/>
      <c r="HV51" s="128"/>
      <c r="HW51" s="128"/>
      <c r="HX51" s="128"/>
      <c r="HY51" s="128"/>
      <c r="HZ51" s="128"/>
      <c r="IA51" s="128"/>
      <c r="IB51" s="128"/>
      <c r="IC51" s="128"/>
    </row>
    <row r="52" spans="39:237" x14ac:dyDescent="0.3">
      <c r="AO52" s="128">
        <v>50277</v>
      </c>
      <c r="AP52" s="128" t="s">
        <v>718</v>
      </c>
      <c r="AQ52" s="128" t="s">
        <v>824</v>
      </c>
      <c r="AR52" s="128" t="s">
        <v>3594</v>
      </c>
      <c r="AS52" s="375">
        <v>46238</v>
      </c>
      <c r="AT52" s="375">
        <v>46240</v>
      </c>
      <c r="AU52" s="530">
        <v>145790</v>
      </c>
      <c r="AV52" s="128">
        <v>48883</v>
      </c>
      <c r="AW52" s="530">
        <v>610000</v>
      </c>
      <c r="AX52" s="534">
        <f>_xlfn.XLOOKUP(Sell_unvalid[[#This Row],[DEAL_BUY_ID]],BS!BA:BA,BS!BE:BE,,0)</f>
        <v>146663</v>
      </c>
      <c r="AY52" s="534">
        <f>_xlfn.XLOOKUP(Sell_unvalid[[#This Row],[BOND_CODE]],FNRP!D:D,FNRP!I:I,_xlfn.XLOOKUP(Sell_unvalid[[#This Row],[BOND_CODE]],FNRP!AV:AV,FNRP!BA:BA,,0),0)</f>
        <v>142132</v>
      </c>
      <c r="AZ52" s="534">
        <f>_xlfn.XLOOKUP(Sell_unvalid[[#This Row],[DEAL_BUY_ID]],BS!BA:BA,BS!BQ:BQ,,0)*Sell_unvalid[[#This Row],[QUANTITY]]</f>
        <v>27722802878.140064</v>
      </c>
      <c r="BA52" s="534">
        <f>(Sell_unvalid[[#This Row],[Giá MtM]]-10^5)*Sell_unvalid[[#This Row],[QUANTITY]]-Sell_unvalid[[#This Row],[PTCK remain]]</f>
        <v>-2022282878.1400642</v>
      </c>
      <c r="BB52" s="534">
        <f>(Sell_unvalid[[#This Row],[PRICE]]-10^5)*Sell_unvalid[[#This Row],[QUANTITY]]-Sell_unvalid[[#This Row],[PTCK remain]]</f>
        <v>209097121.85993576</v>
      </c>
      <c r="BC52" s="534" t="str">
        <f>IF(AND(Sell_unvalid[[#This Row],[VALUE_DATE]]&lt;=RPT,Sell_unvalid[[#This Row],[TRANSACTION_STATUS]]="N"),"Check","Ok")</f>
        <v>Ok</v>
      </c>
      <c r="BD52" s="534"/>
      <c r="BE52" s="615"/>
      <c r="BF52" s="128">
        <v>50247</v>
      </c>
      <c r="BG52" s="128" t="s">
        <v>712</v>
      </c>
      <c r="BH52" s="128" t="s">
        <v>824</v>
      </c>
      <c r="BI52" s="128" t="s">
        <v>3594</v>
      </c>
      <c r="BJ52" s="375">
        <v>46230</v>
      </c>
      <c r="BK52" s="375">
        <v>46231</v>
      </c>
      <c r="BL52" s="128">
        <v>1500000</v>
      </c>
      <c r="BM52" s="128">
        <v>89010</v>
      </c>
      <c r="BN52" s="534">
        <f>_xlfn.XLOOKUP(Buy_unvalid[[#This Row],[BOND_CODE]],FNRP!D:D,FNRP!I:I,,0)</f>
        <v>90735</v>
      </c>
      <c r="BO52" s="534">
        <f>_xlfn.XLOOKUP(Buy_unvalid[[#This Row],[DEAL_BUY_ID]],BS!BA:BA,BS!BQ:BQ,_xlfn.XLOOKUP(Buy_unvalid[[#This Row],[DEAL_BUY_ID]],BS!AL:AL,BS!AR:AR,,0),0)*Buy_unvalid[[#This Row],[QUANTITY]]</f>
        <v>-16410588337.064939</v>
      </c>
      <c r="BP52" s="534">
        <f>(Buy_unvalid[[#This Row],[Giá MtM]]-10^5)*Buy_unvalid[[#This Row],[QUANTITY]]-Buy_unvalid[[#This Row],[PTCK remain]]</f>
        <v>2513088337.0649395</v>
      </c>
      <c r="BQ52" s="534" t="str">
        <f>IF(AND(Buy_unvalid[[#This Row],[VALUE_DATE]]&lt;=RPT,Buy_unvalid[[#This Row],[TRANSACTION_STATUS]]="N"),"Check","Ok")</f>
        <v>Ok</v>
      </c>
      <c r="BS52" s="128"/>
      <c r="BT52" s="848">
        <v>49324</v>
      </c>
      <c r="BU52" s="849">
        <v>46449</v>
      </c>
      <c r="BV52" s="848">
        <v>49493</v>
      </c>
      <c r="BW52" s="848"/>
      <c r="BX52" s="530">
        <v>1000000</v>
      </c>
      <c r="BY52" s="735">
        <f>_xlfn.XLOOKUP(Est_NIM[[#This Row],[DEAL_BUY_ID]],BS!AL:AL,BS!AU:AU,_xlfn.XLOOKUP(Est_NIM[[#This Row],[DEAL_BUY_ID]],BS!BA:BA,BS!BJ:BJ,,0),0)</f>
        <v>4.0999999999999996</v>
      </c>
      <c r="BZ52" s="534">
        <f>Est_NIM[[#This Row],[QUANT]]*Est_NIM[[#This Row],[YIELD]]</f>
        <v>4099999.9999999995</v>
      </c>
      <c r="CA52" s="128"/>
      <c r="CB52" s="128"/>
      <c r="CE52" s="331"/>
      <c r="CF52" s="331"/>
      <c r="CG52" s="331"/>
      <c r="CH52">
        <v>3730</v>
      </c>
      <c r="CI52">
        <v>14282</v>
      </c>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8"/>
      <c r="DS52" s="128"/>
      <c r="DT52" s="128"/>
      <c r="DU52" s="128"/>
      <c r="DV52" s="128"/>
      <c r="DW52" s="128"/>
      <c r="DX52" s="530"/>
      <c r="DY52" s="530"/>
      <c r="DZ52" s="530"/>
      <c r="EA52" s="530"/>
      <c r="EB52" s="530"/>
      <c r="EC52" s="530"/>
      <c r="ED52" s="530"/>
      <c r="EE52" s="530"/>
      <c r="EF52" s="530"/>
      <c r="EG52" s="530"/>
      <c r="EH52" s="530"/>
      <c r="EI52" s="530"/>
      <c r="EJ52" s="530"/>
      <c r="EK52" s="530"/>
      <c r="EL52" s="530"/>
      <c r="EM52" s="530"/>
      <c r="EN52" s="530"/>
      <c r="EO52" s="530"/>
      <c r="EP52" s="530"/>
      <c r="EQ52" s="530"/>
      <c r="ER52" s="530"/>
      <c r="ES52" s="530"/>
      <c r="ET52" s="530"/>
      <c r="EU52" s="530"/>
      <c r="EV52" s="530"/>
      <c r="EW52" s="530"/>
      <c r="EX52" s="530"/>
      <c r="EY52" s="530"/>
      <c r="EZ52" s="530"/>
      <c r="FA52" s="530"/>
      <c r="FB52" s="530"/>
      <c r="FC52" s="530"/>
      <c r="FD52" s="530"/>
      <c r="FE52" s="530"/>
      <c r="FF52" s="530"/>
      <c r="FG52" s="530"/>
      <c r="FH52" s="530"/>
      <c r="FI52" s="530"/>
      <c r="FJ52" s="530"/>
      <c r="FK52" s="530"/>
      <c r="FL52" s="530"/>
      <c r="FM52" s="530"/>
      <c r="FN52" s="530"/>
      <c r="FO52" s="530"/>
      <c r="FP52" s="530"/>
      <c r="FQ52" s="530"/>
      <c r="GI52" s="128"/>
      <c r="GJ52" s="128"/>
      <c r="GK52" s="128"/>
      <c r="GL52" s="128"/>
      <c r="GM52" s="128"/>
      <c r="GN52" s="128"/>
      <c r="GO52" s="128"/>
      <c r="GP52" s="128"/>
      <c r="GQ52" s="128"/>
      <c r="GR52" s="128"/>
      <c r="GS52" s="128"/>
      <c r="GT52" s="128"/>
      <c r="GU52" s="128"/>
      <c r="GV52" s="128"/>
      <c r="GW52" s="128"/>
      <c r="GX52" s="128"/>
      <c r="GY52" s="128"/>
      <c r="GZ52" s="128"/>
      <c r="HA52" s="128"/>
      <c r="HB52" s="128"/>
      <c r="HC52" s="128"/>
      <c r="HD52" s="128"/>
      <c r="HE52" s="128"/>
      <c r="HF52" s="128"/>
      <c r="HG52" s="128"/>
      <c r="HH52" s="128"/>
      <c r="HI52" s="128"/>
      <c r="HJ52" s="128"/>
      <c r="HK52" s="128"/>
      <c r="HL52" s="128"/>
      <c r="HM52" s="128"/>
      <c r="HN52" s="128"/>
      <c r="HO52" s="128"/>
      <c r="HP52" s="128"/>
      <c r="HQ52" s="128"/>
      <c r="HR52" s="128"/>
      <c r="HS52" s="128"/>
      <c r="HT52" s="128"/>
      <c r="HU52" s="128"/>
      <c r="HV52" s="128"/>
      <c r="HW52" s="128"/>
      <c r="HX52" s="128"/>
      <c r="HY52" s="128"/>
      <c r="HZ52" s="128"/>
      <c r="IA52" s="128"/>
      <c r="IB52" s="128"/>
      <c r="IC52" s="128"/>
    </row>
    <row r="53" spans="39:237" x14ac:dyDescent="0.3">
      <c r="AO53" s="128">
        <v>50277</v>
      </c>
      <c r="AP53" s="128" t="s">
        <v>718</v>
      </c>
      <c r="AQ53" s="128" t="s">
        <v>824</v>
      </c>
      <c r="AR53" s="128" t="s">
        <v>3594</v>
      </c>
      <c r="AS53" s="375">
        <v>46238</v>
      </c>
      <c r="AT53" s="375">
        <v>46240</v>
      </c>
      <c r="AU53" s="530">
        <v>145790</v>
      </c>
      <c r="AV53" s="128">
        <v>49194</v>
      </c>
      <c r="AW53" s="530">
        <v>500000</v>
      </c>
      <c r="AX53" s="534">
        <f>_xlfn.XLOOKUP(Sell_unvalid[[#This Row],[DEAL_BUY_ID]],BS!BA:BA,BS!BE:BE,,0)</f>
        <v>152213</v>
      </c>
      <c r="AY53" s="534">
        <f>_xlfn.XLOOKUP(Sell_unvalid[[#This Row],[BOND_CODE]],FNRP!D:D,FNRP!I:I,_xlfn.XLOOKUP(Sell_unvalid[[#This Row],[BOND_CODE]],FNRP!AV:AV,FNRP!BA:BA,,0),0)</f>
        <v>142132</v>
      </c>
      <c r="AZ53" s="534">
        <f>_xlfn.XLOOKUP(Sell_unvalid[[#This Row],[DEAL_BUY_ID]],BS!BA:BA,BS!BQ:BQ,,0)*Sell_unvalid[[#This Row],[QUANTITY]]</f>
        <v>25570255082.435482</v>
      </c>
      <c r="BA53" s="534">
        <f>(Sell_unvalid[[#This Row],[Giá MtM]]-10^5)*Sell_unvalid[[#This Row],[QUANTITY]]-Sell_unvalid[[#This Row],[PTCK remain]]</f>
        <v>-4504255082.435482</v>
      </c>
      <c r="BB53" s="534">
        <f>(Sell_unvalid[[#This Row],[PRICE]]-10^5)*Sell_unvalid[[#This Row],[QUANTITY]]-Sell_unvalid[[#This Row],[PTCK remain]]</f>
        <v>-2675255082.435482</v>
      </c>
      <c r="BC53" s="534" t="str">
        <f>IF(AND(Sell_unvalid[[#This Row],[VALUE_DATE]]&lt;=RPT,Sell_unvalid[[#This Row],[TRANSACTION_STATUS]]="N"),"Check","Ok")</f>
        <v>Ok</v>
      </c>
      <c r="BD53" s="534"/>
      <c r="BE53" s="615"/>
      <c r="BF53" s="128">
        <v>50244</v>
      </c>
      <c r="BG53" s="128" t="s">
        <v>712</v>
      </c>
      <c r="BH53" s="128" t="s">
        <v>824</v>
      </c>
      <c r="BI53" s="128" t="s">
        <v>3594</v>
      </c>
      <c r="BJ53" s="375">
        <v>46230</v>
      </c>
      <c r="BK53" s="375">
        <v>46231</v>
      </c>
      <c r="BL53" s="128">
        <v>9500000</v>
      </c>
      <c r="BM53" s="128">
        <v>89010</v>
      </c>
      <c r="BN53" s="534">
        <f>_xlfn.XLOOKUP(Buy_unvalid[[#This Row],[BOND_CODE]],FNRP!D:D,FNRP!I:I,,0)</f>
        <v>90735</v>
      </c>
      <c r="BO53" s="534">
        <f>_xlfn.XLOOKUP(Buy_unvalid[[#This Row],[DEAL_BUY_ID]],BS!BA:BA,BS!BQ:BQ,_xlfn.XLOOKUP(Buy_unvalid[[#This Row],[DEAL_BUY_ID]],BS!AL:AL,BS!AR:AR,,0),0)*Buy_unvalid[[#This Row],[QUANTITY]]</f>
        <v>-103933726134.74461</v>
      </c>
      <c r="BP53" s="534">
        <f>(Buy_unvalid[[#This Row],[Giá MtM]]-10^5)*Buy_unvalid[[#This Row],[QUANTITY]]-Buy_unvalid[[#This Row],[PTCK remain]]</f>
        <v>15916226134.744614</v>
      </c>
      <c r="BQ53" s="534" t="str">
        <f>IF(AND(Buy_unvalid[[#This Row],[VALUE_DATE]]&lt;=RPT,Buy_unvalid[[#This Row],[TRANSACTION_STATUS]]="N"),"Check","Ok")</f>
        <v>Ok</v>
      </c>
      <c r="BS53" s="128"/>
      <c r="BT53" s="848">
        <v>49324</v>
      </c>
      <c r="BU53" s="849">
        <v>46449</v>
      </c>
      <c r="BV53" s="848">
        <v>49505</v>
      </c>
      <c r="BW53" s="848"/>
      <c r="BX53" s="530">
        <v>700000</v>
      </c>
      <c r="BY53" s="735">
        <f>_xlfn.XLOOKUP(Est_NIM[[#This Row],[DEAL_BUY_ID]],BS!AL:AL,BS!AU:AU,_xlfn.XLOOKUP(Est_NIM[[#This Row],[DEAL_BUY_ID]],BS!BA:BA,BS!BJ:BJ,,0),0)</f>
        <v>4.0999999999999996</v>
      </c>
      <c r="BZ53" s="534">
        <f>Est_NIM[[#This Row],[QUANT]]*Est_NIM[[#This Row],[YIELD]]</f>
        <v>2869999.9999999995</v>
      </c>
      <c r="CA53" s="128"/>
      <c r="CB53" s="128"/>
      <c r="CE53" s="331"/>
      <c r="CF53" s="331"/>
      <c r="CG53" s="331"/>
      <c r="CH53">
        <v>3730</v>
      </c>
      <c r="CI53">
        <v>14282</v>
      </c>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8"/>
      <c r="DS53" s="128"/>
      <c r="DT53" s="128"/>
      <c r="DU53" s="128"/>
      <c r="DV53" s="128"/>
      <c r="DW53" s="128"/>
      <c r="DX53" s="530"/>
      <c r="DY53" s="530"/>
      <c r="DZ53" s="530"/>
      <c r="EA53" s="530"/>
      <c r="EB53" s="530"/>
      <c r="EC53" s="530"/>
      <c r="ED53" s="530"/>
      <c r="EE53" s="530"/>
      <c r="EF53" s="530"/>
      <c r="EG53" s="530"/>
      <c r="EH53" s="530"/>
      <c r="EI53" s="530"/>
      <c r="EJ53" s="530"/>
      <c r="EK53" s="530"/>
      <c r="EL53" s="530"/>
      <c r="EM53" s="530"/>
      <c r="EN53" s="530"/>
      <c r="EO53" s="530"/>
      <c r="EP53" s="530"/>
      <c r="EQ53" s="530"/>
      <c r="ER53" s="530"/>
      <c r="ES53" s="530"/>
      <c r="ET53" s="530"/>
      <c r="EU53" s="530"/>
      <c r="EV53" s="530"/>
      <c r="EW53" s="530"/>
      <c r="EX53" s="530"/>
      <c r="EY53" s="530"/>
      <c r="EZ53" s="530"/>
      <c r="FA53" s="530"/>
      <c r="FB53" s="530"/>
      <c r="FC53" s="530"/>
      <c r="FD53" s="530"/>
      <c r="FE53" s="530"/>
      <c r="FF53" s="530"/>
      <c r="FG53" s="530"/>
      <c r="FH53" s="530"/>
      <c r="FI53" s="530"/>
      <c r="FJ53" s="530"/>
      <c r="FK53" s="530"/>
      <c r="FL53" s="530"/>
      <c r="FM53" s="530"/>
      <c r="FN53" s="530"/>
      <c r="FO53" s="530"/>
      <c r="FP53" s="530"/>
      <c r="FQ53" s="530"/>
      <c r="GI53" s="128"/>
      <c r="GJ53" s="128"/>
      <c r="GK53" s="128"/>
      <c r="GL53" s="128"/>
      <c r="GM53" s="128"/>
      <c r="GN53" s="128"/>
      <c r="GO53" s="128"/>
      <c r="GP53" s="128"/>
      <c r="GQ53" s="128"/>
      <c r="GR53" s="128"/>
      <c r="GS53" s="128"/>
      <c r="GT53" s="128"/>
      <c r="GU53" s="128"/>
      <c r="GV53" s="128"/>
      <c r="GW53" s="128"/>
      <c r="GX53" s="128"/>
      <c r="GY53" s="128"/>
      <c r="GZ53" s="128"/>
      <c r="HA53" s="128"/>
      <c r="HB53" s="128"/>
      <c r="HC53" s="128"/>
      <c r="HD53" s="128"/>
      <c r="HE53" s="128"/>
      <c r="HF53" s="128"/>
      <c r="HG53" s="128"/>
      <c r="HH53" s="128"/>
      <c r="HI53" s="128"/>
      <c r="HJ53" s="128"/>
      <c r="HK53" s="128"/>
      <c r="HL53" s="128"/>
      <c r="HM53" s="128"/>
      <c r="HN53" s="128"/>
      <c r="HO53" s="128"/>
      <c r="HP53" s="128"/>
      <c r="HQ53" s="128"/>
      <c r="HR53" s="128"/>
      <c r="HS53" s="128"/>
      <c r="HT53" s="128"/>
      <c r="HU53" s="128"/>
      <c r="HV53" s="128"/>
      <c r="HW53" s="128"/>
      <c r="HX53" s="128"/>
      <c r="HY53" s="128"/>
      <c r="HZ53" s="128"/>
      <c r="IA53" s="128"/>
      <c r="IB53" s="128"/>
      <c r="IC53" s="128"/>
    </row>
    <row r="54" spans="39:237" x14ac:dyDescent="0.3">
      <c r="AO54" s="128">
        <v>50277</v>
      </c>
      <c r="AP54" s="128" t="s">
        <v>718</v>
      </c>
      <c r="AQ54" s="128" t="s">
        <v>824</v>
      </c>
      <c r="AR54" s="128" t="s">
        <v>3594</v>
      </c>
      <c r="AS54" s="375">
        <v>46238</v>
      </c>
      <c r="AT54" s="375">
        <v>46240</v>
      </c>
      <c r="AU54" s="530">
        <v>145790</v>
      </c>
      <c r="AV54" s="128">
        <v>50272</v>
      </c>
      <c r="AW54" s="530">
        <v>850000</v>
      </c>
      <c r="AX54" s="534">
        <f>_xlfn.XLOOKUP(Sell_unvalid[[#This Row],[DEAL_BUY_ID]],BS!BA:BA,BS!BE:BE,,0)</f>
        <v>145896</v>
      </c>
      <c r="AY54" s="534">
        <f>_xlfn.XLOOKUP(Sell_unvalid[[#This Row],[BOND_CODE]],FNRP!D:D,FNRP!I:I,_xlfn.XLOOKUP(Sell_unvalid[[#This Row],[BOND_CODE]],FNRP!AV:AV,FNRP!BA:BA,,0),0)</f>
        <v>142132</v>
      </c>
      <c r="AZ54" s="534">
        <f>_xlfn.XLOOKUP(Sell_unvalid[[#This Row],[DEAL_BUY_ID]],BS!BA:BA,BS!BQ:BQ,,0)*Sell_unvalid[[#This Row],[QUANTITY]]</f>
        <v>38929761433.07267</v>
      </c>
      <c r="BA54" s="534">
        <f>(Sell_unvalid[[#This Row],[Giá MtM]]-10^5)*Sell_unvalid[[#This Row],[QUANTITY]]-Sell_unvalid[[#This Row],[PTCK remain]]</f>
        <v>-3117561433.07267</v>
      </c>
      <c r="BB54" s="534">
        <f>(Sell_unvalid[[#This Row],[PRICE]]-10^5)*Sell_unvalid[[#This Row],[QUANTITY]]-Sell_unvalid[[#This Row],[PTCK remain]]</f>
        <v>-8261433.0726699829</v>
      </c>
      <c r="BC54" s="534" t="str">
        <f>IF(AND(Sell_unvalid[[#This Row],[VALUE_DATE]]&lt;=RPT,Sell_unvalid[[#This Row],[TRANSACTION_STATUS]]="N"),"Check","Ok")</f>
        <v>Ok</v>
      </c>
      <c r="BD54" s="534"/>
      <c r="BE54" s="615"/>
      <c r="BF54" s="128">
        <v>50332</v>
      </c>
      <c r="BG54" s="128" t="s">
        <v>702</v>
      </c>
      <c r="BH54" s="128" t="s">
        <v>824</v>
      </c>
      <c r="BI54" s="375" t="s">
        <v>3594</v>
      </c>
      <c r="BJ54" s="375">
        <v>46245</v>
      </c>
      <c r="BK54" s="375">
        <v>46247</v>
      </c>
      <c r="BL54" s="530">
        <v>500000</v>
      </c>
      <c r="BM54" s="530">
        <v>82385</v>
      </c>
      <c r="BN54" s="534">
        <f>_xlfn.XLOOKUP(Buy_unvalid[[#This Row],[BOND_CODE]],FNRP!D:D,FNRP!I:I,,0)</f>
        <v>82987</v>
      </c>
      <c r="BO54" s="534">
        <f>_xlfn.XLOOKUP(Buy_unvalid[[#This Row],[DEAL_BUY_ID]],BS!BA:BA,BS!BQ:BQ,_xlfn.XLOOKUP(Buy_unvalid[[#This Row],[DEAL_BUY_ID]],BS!AL:AL,BS!AR:AR,,0),0)*Buy_unvalid[[#This Row],[QUANTITY]]</f>
        <v>-8793180284.0252647</v>
      </c>
      <c r="BP54" s="534">
        <f>(Buy_unvalid[[#This Row],[Giá MtM]]-10^5)*Buy_unvalid[[#This Row],[QUANTITY]]-Buy_unvalid[[#This Row],[PTCK remain]]</f>
        <v>286680284.02526474</v>
      </c>
      <c r="BQ54" s="534" t="str">
        <f>IF(AND(Buy_unvalid[[#This Row],[VALUE_DATE]]&lt;=RPT,Buy_unvalid[[#This Row],[TRANSACTION_STATUS]]="N"),"Check","Ok")</f>
        <v>Ok</v>
      </c>
      <c r="BS54" s="128"/>
      <c r="BT54" s="848">
        <v>49324</v>
      </c>
      <c r="BU54" s="849">
        <v>46449</v>
      </c>
      <c r="BV54" s="848">
        <v>49634</v>
      </c>
      <c r="BW54" s="848"/>
      <c r="BX54" s="530">
        <v>500000</v>
      </c>
      <c r="BY54" s="735">
        <f>_xlfn.XLOOKUP(Est_NIM[[#This Row],[DEAL_BUY_ID]],BS!AL:AL,BS!AU:AU,_xlfn.XLOOKUP(Est_NIM[[#This Row],[DEAL_BUY_ID]],BS!BA:BA,BS!BJ:BJ,,0),0)</f>
        <v>4.09</v>
      </c>
      <c r="BZ54" s="534">
        <f>Est_NIM[[#This Row],[QUANT]]*Est_NIM[[#This Row],[YIELD]]</f>
        <v>2045000</v>
      </c>
      <c r="CA54" s="128"/>
      <c r="CB54" s="128"/>
      <c r="CE54" s="331"/>
      <c r="CF54" s="331"/>
      <c r="CG54" s="331"/>
      <c r="CH54">
        <v>3730</v>
      </c>
      <c r="CI54">
        <v>14282</v>
      </c>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c r="DU54" s="128"/>
      <c r="DV54" s="128"/>
      <c r="DW54" s="128"/>
      <c r="DX54" s="530"/>
      <c r="DY54" s="530"/>
      <c r="DZ54" s="530"/>
      <c r="EA54" s="530"/>
      <c r="EB54" s="530"/>
      <c r="EC54" s="530"/>
      <c r="ED54" s="530"/>
      <c r="EE54" s="530"/>
      <c r="EF54" s="530"/>
      <c r="EG54" s="530"/>
      <c r="EH54" s="530"/>
      <c r="EI54" s="530"/>
      <c r="EJ54" s="530"/>
      <c r="EK54" s="530"/>
      <c r="EL54" s="530"/>
      <c r="EM54" s="530"/>
      <c r="EN54" s="530"/>
      <c r="EO54" s="530"/>
      <c r="EP54" s="530"/>
      <c r="EQ54" s="530"/>
      <c r="ER54" s="530"/>
      <c r="ES54" s="530"/>
      <c r="ET54" s="530"/>
      <c r="EU54" s="530"/>
      <c r="EV54" s="530"/>
      <c r="EW54" s="530"/>
      <c r="EX54" s="530"/>
      <c r="EY54" s="530"/>
      <c r="EZ54" s="530"/>
      <c r="FA54" s="530"/>
      <c r="FB54" s="530"/>
      <c r="FC54" s="530"/>
      <c r="FD54" s="530"/>
      <c r="FE54" s="530"/>
      <c r="FF54" s="530"/>
      <c r="FG54" s="530"/>
      <c r="FH54" s="530"/>
      <c r="FI54" s="530"/>
      <c r="FJ54" s="530"/>
      <c r="FK54" s="530"/>
      <c r="FL54" s="530"/>
      <c r="FM54" s="530"/>
      <c r="FN54" s="530"/>
      <c r="FO54" s="530"/>
      <c r="FP54" s="530"/>
      <c r="FQ54" s="530"/>
      <c r="GI54" s="128"/>
      <c r="GJ54" s="128"/>
      <c r="GK54" s="128"/>
      <c r="GL54" s="128"/>
      <c r="GM54" s="128"/>
      <c r="GN54" s="128"/>
      <c r="GO54" s="128"/>
      <c r="GP54" s="128"/>
      <c r="GQ54" s="128"/>
      <c r="GR54" s="128"/>
      <c r="GS54" s="128"/>
      <c r="GT54" s="128"/>
      <c r="GU54" s="128"/>
      <c r="GV54" s="128"/>
      <c r="GW54" s="128"/>
      <c r="GX54" s="128"/>
      <c r="GY54" s="128"/>
      <c r="GZ54" s="128"/>
      <c r="HA54" s="128"/>
      <c r="HB54" s="128"/>
      <c r="HC54" s="128"/>
      <c r="HD54" s="128"/>
      <c r="HE54" s="128"/>
      <c r="HF54" s="128"/>
      <c r="HG54" s="128"/>
      <c r="HH54" s="128"/>
      <c r="HI54" s="128"/>
      <c r="HJ54" s="128"/>
      <c r="HK54" s="128"/>
      <c r="HL54" s="128"/>
      <c r="HM54" s="128"/>
      <c r="HN54" s="128"/>
      <c r="HO54" s="128"/>
      <c r="HP54" s="128"/>
      <c r="HQ54" s="128"/>
      <c r="HR54" s="128"/>
      <c r="HS54" s="128"/>
      <c r="HT54" s="128"/>
      <c r="HU54" s="128"/>
      <c r="HV54" s="128"/>
      <c r="HW54" s="128"/>
      <c r="HX54" s="128"/>
      <c r="HY54" s="128"/>
      <c r="HZ54" s="128"/>
      <c r="IA54" s="128"/>
      <c r="IB54" s="128"/>
      <c r="IC54" s="128"/>
    </row>
    <row r="55" spans="39:237" x14ac:dyDescent="0.3">
      <c r="AO55" s="128">
        <v>50301</v>
      </c>
      <c r="AP55" s="128" t="s">
        <v>718</v>
      </c>
      <c r="AQ55" s="128" t="s">
        <v>824</v>
      </c>
      <c r="AR55" s="128" t="s">
        <v>3594</v>
      </c>
      <c r="AS55" s="375">
        <v>46239</v>
      </c>
      <c r="AT55" s="375">
        <v>46244</v>
      </c>
      <c r="AU55" s="530">
        <v>145807</v>
      </c>
      <c r="AV55" s="128">
        <v>50274</v>
      </c>
      <c r="AW55" s="530">
        <v>335000</v>
      </c>
      <c r="AX55" s="534">
        <f>_xlfn.XLOOKUP(Sell_unvalid[[#This Row],[DEAL_BUY_ID]],BS!BA:BA,BS!BE:BE,,0)</f>
        <v>145819</v>
      </c>
      <c r="AY55" s="534">
        <f>_xlfn.XLOOKUP(Sell_unvalid[[#This Row],[BOND_CODE]],FNRP!D:D,FNRP!I:I,_xlfn.XLOOKUP(Sell_unvalid[[#This Row],[BOND_CODE]],FNRP!AV:AV,FNRP!BA:BA,,0),0)</f>
        <v>142132</v>
      </c>
      <c r="AZ55" s="534">
        <f>_xlfn.XLOOKUP(Sell_unvalid[[#This Row],[DEAL_BUY_ID]],BS!BA:BA,BS!BQ:BQ,,0)*Sell_unvalid[[#This Row],[QUANTITY]]</f>
        <v>15323372676.393452</v>
      </c>
      <c r="BA55" s="534">
        <f>(Sell_unvalid[[#This Row],[Giá MtM]]-10^5)*Sell_unvalid[[#This Row],[QUANTITY]]-Sell_unvalid[[#This Row],[PTCK remain]]</f>
        <v>-1209152676.3934517</v>
      </c>
      <c r="BB55" s="534">
        <f>(Sell_unvalid[[#This Row],[PRICE]]-10^5)*Sell_unvalid[[#This Row],[QUANTITY]]-Sell_unvalid[[#This Row],[PTCK remain]]</f>
        <v>21972323.606548309</v>
      </c>
      <c r="BC55" s="534" t="str">
        <f>IF(AND(Sell_unvalid[[#This Row],[VALUE_DATE]]&lt;=RPT,Sell_unvalid[[#This Row],[TRANSACTION_STATUS]]="N"),"Check","Ok")</f>
        <v>Ok</v>
      </c>
      <c r="BD55" s="534"/>
      <c r="BE55" s="615"/>
      <c r="BF55" s="128">
        <v>50331</v>
      </c>
      <c r="BG55" s="128" t="s">
        <v>1209</v>
      </c>
      <c r="BH55" s="128" t="s">
        <v>824</v>
      </c>
      <c r="BI55" s="375" t="s">
        <v>3594</v>
      </c>
      <c r="BJ55" s="375">
        <v>46245</v>
      </c>
      <c r="BK55" s="375">
        <v>46247</v>
      </c>
      <c r="BL55" s="530">
        <v>10000000</v>
      </c>
      <c r="BM55" s="530">
        <v>123337</v>
      </c>
      <c r="BN55" s="534">
        <f>_xlfn.XLOOKUP(Buy_unvalid[[#This Row],[BOND_CODE]],FNRP!D:D,FNRP!I:I,,0)</f>
        <v>124387</v>
      </c>
      <c r="BO55" s="534">
        <f>_xlfn.XLOOKUP(Buy_unvalid[[#This Row],[DEAL_BUY_ID]],BS!BA:BA,BS!BQ:BQ,_xlfn.XLOOKUP(Buy_unvalid[[#This Row],[DEAL_BUY_ID]],BS!AL:AL,BS!AR:AR,,0),0)*Buy_unvalid[[#This Row],[QUANTITY]]</f>
        <v>232939268432.19373</v>
      </c>
      <c r="BP55" s="534">
        <f>(Buy_unvalid[[#This Row],[Giá MtM]]-10^5)*Buy_unvalid[[#This Row],[QUANTITY]]-Buy_unvalid[[#This Row],[PTCK remain]]</f>
        <v>10930731567.806274</v>
      </c>
      <c r="BQ55" s="534" t="str">
        <f>IF(AND(Buy_unvalid[[#This Row],[VALUE_DATE]]&lt;=RPT,Buy_unvalid[[#This Row],[TRANSACTION_STATUS]]="N"),"Check","Ok")</f>
        <v>Ok</v>
      </c>
      <c r="BS55" s="128"/>
      <c r="BT55" s="848">
        <v>49324</v>
      </c>
      <c r="BU55" s="849">
        <v>46449</v>
      </c>
      <c r="BV55" s="848">
        <v>49718</v>
      </c>
      <c r="BW55" s="848"/>
      <c r="BX55" s="530">
        <v>1000000</v>
      </c>
      <c r="BY55" s="735">
        <f>_xlfn.XLOOKUP(Est_NIM[[#This Row],[DEAL_BUY_ID]],BS!AL:AL,BS!AU:AU,_xlfn.XLOOKUP(Est_NIM[[#This Row],[DEAL_BUY_ID]],BS!BA:BA,BS!BJ:BJ,,0),0)</f>
        <v>4.3040000000000003</v>
      </c>
      <c r="BZ55" s="534">
        <f>Est_NIM[[#This Row],[QUANT]]*Est_NIM[[#This Row],[YIELD]]</f>
        <v>4304000</v>
      </c>
      <c r="CA55" s="128"/>
      <c r="CB55" s="128"/>
      <c r="CE55" s="331"/>
      <c r="CF55" s="331"/>
      <c r="CG55" s="331"/>
      <c r="CH55">
        <v>3730</v>
      </c>
      <c r="CI55">
        <v>14282</v>
      </c>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8"/>
      <c r="DS55" s="128"/>
      <c r="DT55" s="128"/>
      <c r="DU55" s="128"/>
      <c r="DV55" s="128"/>
      <c r="DW55" s="128"/>
      <c r="DX55" s="530"/>
      <c r="DY55" s="530"/>
      <c r="DZ55" s="530"/>
      <c r="EA55" s="530"/>
      <c r="EB55" s="530"/>
      <c r="EC55" s="530"/>
      <c r="ED55" s="530"/>
      <c r="EE55" s="530"/>
      <c r="EF55" s="530"/>
      <c r="EG55" s="530"/>
      <c r="EH55" s="530"/>
      <c r="EI55" s="530"/>
      <c r="EJ55" s="530"/>
      <c r="EK55" s="530"/>
      <c r="EL55" s="530"/>
      <c r="EM55" s="530"/>
      <c r="EN55" s="530"/>
      <c r="EO55" s="530"/>
      <c r="EP55" s="530"/>
      <c r="EQ55" s="530"/>
      <c r="ER55" s="530"/>
      <c r="ES55" s="530"/>
      <c r="ET55" s="530"/>
      <c r="EU55" s="530"/>
      <c r="EV55" s="530"/>
      <c r="EW55" s="530"/>
      <c r="EX55" s="530"/>
      <c r="EY55" s="530"/>
      <c r="EZ55" s="530"/>
      <c r="FA55" s="530"/>
      <c r="FB55" s="530"/>
      <c r="FC55" s="530"/>
      <c r="FD55" s="530"/>
      <c r="FE55" s="530"/>
      <c r="FF55" s="530"/>
      <c r="FG55" s="530"/>
      <c r="FH55" s="530"/>
      <c r="FI55" s="530"/>
      <c r="FJ55" s="530"/>
      <c r="FK55" s="530"/>
      <c r="FL55" s="530"/>
      <c r="FM55" s="530"/>
      <c r="FN55" s="530"/>
      <c r="FO55" s="530"/>
      <c r="FP55" s="530"/>
      <c r="FQ55" s="530"/>
      <c r="GI55" s="128"/>
      <c r="GJ55" s="128"/>
      <c r="GK55" s="128"/>
      <c r="GL55" s="128"/>
      <c r="GM55" s="128"/>
      <c r="GN55" s="128"/>
      <c r="GO55" s="128"/>
      <c r="GP55" s="128"/>
      <c r="GQ55" s="128"/>
      <c r="GR55" s="128"/>
      <c r="GS55" s="128"/>
      <c r="GT55" s="128"/>
      <c r="GU55" s="128"/>
      <c r="GV55" s="128"/>
      <c r="GW55" s="128"/>
      <c r="GX55" s="128"/>
      <c r="GY55" s="128"/>
      <c r="GZ55" s="128"/>
      <c r="HA55" s="128"/>
      <c r="HB55" s="128"/>
      <c r="HC55" s="128"/>
      <c r="HD55" s="128"/>
      <c r="HE55" s="128"/>
      <c r="HF55" s="128"/>
      <c r="HG55" s="128"/>
      <c r="HH55" s="128"/>
      <c r="HI55" s="128"/>
      <c r="HJ55" s="128"/>
      <c r="HK55" s="128"/>
      <c r="HL55" s="128"/>
      <c r="HM55" s="128"/>
      <c r="HN55" s="128"/>
      <c r="HO55" s="128"/>
      <c r="HP55" s="128"/>
      <c r="HQ55" s="128"/>
      <c r="HR55" s="128"/>
      <c r="HS55" s="128"/>
      <c r="HT55" s="128"/>
      <c r="HU55" s="128"/>
      <c r="HV55" s="128"/>
      <c r="HW55" s="128"/>
      <c r="HX55" s="128"/>
      <c r="HY55" s="128"/>
      <c r="HZ55" s="128"/>
      <c r="IA55" s="128"/>
      <c r="IB55" s="128"/>
      <c r="IC55" s="128"/>
    </row>
    <row r="56" spans="39:237" x14ac:dyDescent="0.3">
      <c r="AO56" s="128">
        <v>50310</v>
      </c>
      <c r="AP56" s="128" t="s">
        <v>718</v>
      </c>
      <c r="AQ56" s="128" t="s">
        <v>824</v>
      </c>
      <c r="AR56" s="128" t="s">
        <v>3594</v>
      </c>
      <c r="AS56" s="375">
        <v>46239</v>
      </c>
      <c r="AT56" s="375">
        <v>46244</v>
      </c>
      <c r="AU56" s="530">
        <v>145807</v>
      </c>
      <c r="AV56" s="128">
        <v>50274</v>
      </c>
      <c r="AW56" s="530">
        <v>335000</v>
      </c>
      <c r="AX56" s="534">
        <f>_xlfn.XLOOKUP(Sell_unvalid[[#This Row],[DEAL_BUY_ID]],BS!BA:BA,BS!BE:BE,,0)</f>
        <v>145819</v>
      </c>
      <c r="AY56" s="534">
        <f>_xlfn.XLOOKUP(Sell_unvalid[[#This Row],[BOND_CODE]],FNRP!D:D,FNRP!I:I,_xlfn.XLOOKUP(Sell_unvalid[[#This Row],[BOND_CODE]],FNRP!AV:AV,FNRP!BA:BA,,0),0)</f>
        <v>142132</v>
      </c>
      <c r="AZ56" s="534">
        <f>_xlfn.XLOOKUP(Sell_unvalid[[#This Row],[DEAL_BUY_ID]],BS!BA:BA,BS!BQ:BQ,,0)*Sell_unvalid[[#This Row],[QUANTITY]]</f>
        <v>15323372676.393452</v>
      </c>
      <c r="BA56" s="534">
        <f>(Sell_unvalid[[#This Row],[Giá MtM]]-10^5)*Sell_unvalid[[#This Row],[QUANTITY]]-Sell_unvalid[[#This Row],[PTCK remain]]</f>
        <v>-1209152676.3934517</v>
      </c>
      <c r="BB56" s="534">
        <f>(Sell_unvalid[[#This Row],[PRICE]]-10^5)*Sell_unvalid[[#This Row],[QUANTITY]]-Sell_unvalid[[#This Row],[PTCK remain]]</f>
        <v>21972323.606548309</v>
      </c>
      <c r="BC56" s="534" t="str">
        <f>IF(AND(Sell_unvalid[[#This Row],[VALUE_DATE]]&lt;=RPT,Sell_unvalid[[#This Row],[TRANSACTION_STATUS]]="N"),"Check","Ok")</f>
        <v>Ok</v>
      </c>
      <c r="BD56" s="534"/>
      <c r="BE56" s="615"/>
      <c r="BF56" s="128">
        <v>50330</v>
      </c>
      <c r="BG56" s="128" t="s">
        <v>1209</v>
      </c>
      <c r="BH56" s="128" t="s">
        <v>824</v>
      </c>
      <c r="BI56" s="375" t="s">
        <v>3594</v>
      </c>
      <c r="BJ56" s="375">
        <v>46245</v>
      </c>
      <c r="BK56" s="375">
        <v>46247</v>
      </c>
      <c r="BL56" s="530">
        <v>2000000</v>
      </c>
      <c r="BM56" s="530">
        <v>123337</v>
      </c>
      <c r="BN56" s="534">
        <f>_xlfn.XLOOKUP(Buy_unvalid[[#This Row],[BOND_CODE]],FNRP!D:D,FNRP!I:I,,0)</f>
        <v>124387</v>
      </c>
      <c r="BO56" s="534">
        <f>_xlfn.XLOOKUP(Buy_unvalid[[#This Row],[DEAL_BUY_ID]],BS!BA:BA,BS!BQ:BQ,_xlfn.XLOOKUP(Buy_unvalid[[#This Row],[DEAL_BUY_ID]],BS!AL:AL,BS!AR:AR,,0),0)*Buy_unvalid[[#This Row],[QUANTITY]]</f>
        <v>46587853686.438744</v>
      </c>
      <c r="BP56" s="534">
        <f>(Buy_unvalid[[#This Row],[Giá MtM]]-10^5)*Buy_unvalid[[#This Row],[QUANTITY]]-Buy_unvalid[[#This Row],[PTCK remain]]</f>
        <v>2186146313.5612564</v>
      </c>
      <c r="BQ56" s="534" t="str">
        <f>IF(AND(Buy_unvalid[[#This Row],[VALUE_DATE]]&lt;=RPT,Buy_unvalid[[#This Row],[TRANSACTION_STATUS]]="N"),"Check","Ok")</f>
        <v>Ok</v>
      </c>
      <c r="BS56" s="128"/>
      <c r="BT56" s="848">
        <v>49324</v>
      </c>
      <c r="BU56" s="849">
        <v>46449</v>
      </c>
      <c r="BV56" s="848">
        <v>49782</v>
      </c>
      <c r="BW56" s="848"/>
      <c r="BX56" s="530">
        <v>1000000</v>
      </c>
      <c r="BY56" s="735">
        <f>_xlfn.XLOOKUP(Est_NIM[[#This Row],[DEAL_BUY_ID]],BS!AL:AL,BS!AU:AU,_xlfn.XLOOKUP(Est_NIM[[#This Row],[DEAL_BUY_ID]],BS!BA:BA,BS!BJ:BJ,,0),0)</f>
        <v>4.0019999999999998</v>
      </c>
      <c r="BZ56" s="534">
        <f>Est_NIM[[#This Row],[QUANT]]*Est_NIM[[#This Row],[YIELD]]</f>
        <v>4002000</v>
      </c>
      <c r="CA56" s="128"/>
      <c r="CB56" s="128"/>
      <c r="CE56" s="331"/>
      <c r="CF56" s="331"/>
      <c r="CG56" s="331"/>
      <c r="CH56">
        <v>3730</v>
      </c>
      <c r="CI56">
        <v>14282</v>
      </c>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8"/>
      <c r="DS56" s="128"/>
      <c r="DT56" s="128"/>
      <c r="DU56" s="128"/>
      <c r="DV56" s="128"/>
      <c r="DW56" s="128"/>
      <c r="DX56" s="530"/>
      <c r="DY56" s="530"/>
      <c r="DZ56" s="530"/>
      <c r="EA56" s="530"/>
      <c r="EB56" s="530"/>
      <c r="EC56" s="530"/>
      <c r="ED56" s="530"/>
      <c r="EE56" s="530"/>
      <c r="EF56" s="530"/>
      <c r="EG56" s="530"/>
      <c r="EH56" s="530"/>
      <c r="EI56" s="530"/>
      <c r="EJ56" s="530"/>
      <c r="EK56" s="530"/>
      <c r="EL56" s="530"/>
      <c r="EM56" s="530"/>
      <c r="EN56" s="530"/>
      <c r="EO56" s="530"/>
      <c r="EP56" s="530"/>
      <c r="EQ56" s="530"/>
      <c r="ER56" s="530"/>
      <c r="ES56" s="530"/>
      <c r="ET56" s="530"/>
      <c r="EU56" s="530"/>
      <c r="EV56" s="530"/>
      <c r="EW56" s="530"/>
      <c r="EX56" s="530"/>
      <c r="EY56" s="530"/>
      <c r="EZ56" s="530"/>
      <c r="FA56" s="530"/>
      <c r="FB56" s="530"/>
      <c r="FC56" s="530"/>
      <c r="FD56" s="530"/>
      <c r="FE56" s="530"/>
      <c r="FF56" s="530"/>
      <c r="FG56" s="530"/>
      <c r="FH56" s="530"/>
      <c r="FI56" s="530"/>
      <c r="FJ56" s="530"/>
      <c r="FK56" s="530"/>
      <c r="FL56" s="530"/>
      <c r="FM56" s="530"/>
      <c r="FN56" s="530"/>
      <c r="FO56" s="530"/>
      <c r="FP56" s="530"/>
      <c r="FQ56" s="530"/>
      <c r="GI56" s="128"/>
      <c r="GJ56" s="128"/>
      <c r="GK56" s="128"/>
      <c r="GL56" s="128"/>
      <c r="GM56" s="128"/>
      <c r="GN56" s="128"/>
      <c r="GO56" s="128"/>
      <c r="GP56" s="128"/>
      <c r="GQ56" s="128"/>
      <c r="GR56" s="128"/>
      <c r="GS56" s="128"/>
      <c r="GT56" s="128"/>
      <c r="GU56" s="128"/>
      <c r="GV56" s="128"/>
      <c r="GW56" s="128"/>
      <c r="GX56" s="128"/>
      <c r="GY56" s="128"/>
      <c r="GZ56" s="128"/>
      <c r="HA56" s="128"/>
      <c r="HB56" s="128"/>
      <c r="HC56" s="128"/>
      <c r="HD56" s="128"/>
      <c r="HE56" s="128"/>
      <c r="HF56" s="128"/>
      <c r="HG56" s="128"/>
      <c r="HH56" s="128"/>
      <c r="HI56" s="128"/>
      <c r="HJ56" s="128"/>
      <c r="HK56" s="128"/>
      <c r="HL56" s="128"/>
      <c r="HM56" s="128"/>
      <c r="HN56" s="128"/>
      <c r="HO56" s="128"/>
      <c r="HP56" s="128"/>
      <c r="HQ56" s="128"/>
      <c r="HR56" s="128"/>
      <c r="HS56" s="128"/>
      <c r="HT56" s="128"/>
      <c r="HU56" s="128"/>
      <c r="HV56" s="128"/>
      <c r="HW56" s="128"/>
      <c r="HX56" s="128"/>
      <c r="HY56" s="128"/>
      <c r="HZ56" s="128"/>
      <c r="IA56" s="128"/>
      <c r="IB56" s="128"/>
      <c r="IC56" s="128"/>
    </row>
    <row r="57" spans="39:237" x14ac:dyDescent="0.3">
      <c r="AO57" s="128">
        <v>50316</v>
      </c>
      <c r="AP57" s="128" t="s">
        <v>718</v>
      </c>
      <c r="AQ57" s="128" t="s">
        <v>824</v>
      </c>
      <c r="AR57" s="128" t="s">
        <v>3594</v>
      </c>
      <c r="AS57" s="375">
        <v>46239</v>
      </c>
      <c r="AT57" s="375">
        <v>46244</v>
      </c>
      <c r="AU57" s="530">
        <v>145807</v>
      </c>
      <c r="AV57" s="128">
        <v>50278</v>
      </c>
      <c r="AW57" s="530">
        <v>700000</v>
      </c>
      <c r="AX57" s="534">
        <f>_xlfn.XLOOKUP(Sell_unvalid[[#This Row],[DEAL_BUY_ID]],BS!BA:BA,BS!BE:BE,,0)</f>
        <v>145786</v>
      </c>
      <c r="AY57" s="534">
        <f>_xlfn.XLOOKUP(Sell_unvalid[[#This Row],[BOND_CODE]],FNRP!D:D,FNRP!I:I,_xlfn.XLOOKUP(Sell_unvalid[[#This Row],[BOND_CODE]],FNRP!AV:AV,FNRP!BA:BA,,0),0)</f>
        <v>142132</v>
      </c>
      <c r="AZ57" s="534">
        <f>_xlfn.XLOOKUP(Sell_unvalid[[#This Row],[DEAL_BUY_ID]],BS!BA:BA,BS!BQ:BQ,,0)*Sell_unvalid[[#This Row],[QUANTITY]]</f>
        <v>31995926647.436466</v>
      </c>
      <c r="BA57" s="534">
        <f>(Sell_unvalid[[#This Row],[Giá MtM]]-10^5)*Sell_unvalid[[#This Row],[QUANTITY]]-Sell_unvalid[[#This Row],[PTCK remain]]</f>
        <v>-2503526647.4364662</v>
      </c>
      <c r="BB57" s="534">
        <f>(Sell_unvalid[[#This Row],[PRICE]]-10^5)*Sell_unvalid[[#This Row],[QUANTITY]]-Sell_unvalid[[#This Row],[PTCK remain]]</f>
        <v>68973352.563533783</v>
      </c>
      <c r="BC57" s="534" t="str">
        <f>IF(AND(Sell_unvalid[[#This Row],[VALUE_DATE]]&lt;=RPT,Sell_unvalid[[#This Row],[TRANSACTION_STATUS]]="N"),"Check","Ok")</f>
        <v>Ok</v>
      </c>
      <c r="BD57" s="534"/>
      <c r="BE57" s="615"/>
      <c r="BF57" s="128">
        <v>50151</v>
      </c>
      <c r="BG57" s="128" t="s">
        <v>2862</v>
      </c>
      <c r="BH57" s="128" t="s">
        <v>824</v>
      </c>
      <c r="BI57" s="128" t="s">
        <v>3594</v>
      </c>
      <c r="BJ57" s="375">
        <v>46199</v>
      </c>
      <c r="BK57" s="375">
        <v>46205</v>
      </c>
      <c r="BL57" s="128">
        <v>1340000</v>
      </c>
      <c r="BM57" s="128">
        <v>96755</v>
      </c>
      <c r="BN57" s="534">
        <f>_xlfn.XLOOKUP(Buy_unvalid[[#This Row],[BOND_CODE]],FNRP!D:D,FNRP!I:I,,0)</f>
        <v>88187</v>
      </c>
      <c r="BO57" s="534">
        <f>_xlfn.XLOOKUP(Buy_unvalid[[#This Row],[DEAL_BUY_ID]],BS!BA:BA,BS!BQ:BQ,_xlfn.XLOOKUP(Buy_unvalid[[#This Row],[DEAL_BUY_ID]],BS!AL:AL,BS!AR:AR,,0),0)*Buy_unvalid[[#This Row],[QUANTITY]]</f>
        <v>-4279436068.2016826</v>
      </c>
      <c r="BP57" s="534">
        <f>(Buy_unvalid[[#This Row],[Giá MtM]]-10^5)*Buy_unvalid[[#This Row],[QUANTITY]]-Buy_unvalid[[#This Row],[PTCK remain]]</f>
        <v>-11549983931.798317</v>
      </c>
      <c r="BQ57" s="534" t="str">
        <f>IF(AND(Buy_unvalid[[#This Row],[VALUE_DATE]]&lt;=RPT,Buy_unvalid[[#This Row],[TRANSACTION_STATUS]]="N"),"Check","Ok")</f>
        <v>Ok</v>
      </c>
      <c r="BS57" s="128"/>
      <c r="BT57" s="848">
        <v>49324</v>
      </c>
      <c r="BU57" s="849">
        <v>46449</v>
      </c>
      <c r="BV57" s="848">
        <v>49993</v>
      </c>
      <c r="BW57" s="848"/>
      <c r="BX57" s="530">
        <v>700000</v>
      </c>
      <c r="BY57" s="735">
        <f>_xlfn.XLOOKUP(Est_NIM[[#This Row],[DEAL_BUY_ID]],BS!AL:AL,BS!AU:AU,_xlfn.XLOOKUP(Est_NIM[[#This Row],[DEAL_BUY_ID]],BS!BA:BA,BS!BJ:BJ,,0),0)</f>
        <v>4.0045000000000002</v>
      </c>
      <c r="BZ57" s="534">
        <f>Est_NIM[[#This Row],[QUANT]]*Est_NIM[[#This Row],[YIELD]]</f>
        <v>2803150</v>
      </c>
      <c r="CA57" s="128"/>
      <c r="CB57" s="128"/>
      <c r="CE57" s="331"/>
      <c r="CF57" s="331"/>
      <c r="CG57" s="331"/>
      <c r="CH57">
        <v>3730</v>
      </c>
      <c r="CI57">
        <v>14282</v>
      </c>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8"/>
      <c r="DS57" s="128"/>
      <c r="DT57" s="128"/>
      <c r="DU57" s="128"/>
      <c r="DV57" s="128"/>
      <c r="DW57" s="128"/>
      <c r="DX57" s="530"/>
      <c r="DY57" s="530"/>
      <c r="DZ57" s="530"/>
      <c r="EA57" s="530"/>
      <c r="EB57" s="530"/>
      <c r="EC57" s="530"/>
      <c r="ED57" s="530"/>
      <c r="EE57" s="530"/>
      <c r="EF57" s="530"/>
      <c r="EG57" s="530"/>
      <c r="EH57" s="530"/>
      <c r="EI57" s="530"/>
      <c r="EJ57" s="530"/>
      <c r="EK57" s="530"/>
      <c r="EL57" s="530"/>
      <c r="EM57" s="530"/>
      <c r="EN57" s="530"/>
      <c r="EO57" s="530"/>
      <c r="EP57" s="530"/>
      <c r="EQ57" s="530"/>
      <c r="ER57" s="530"/>
      <c r="ES57" s="530"/>
      <c r="ET57" s="530"/>
      <c r="EU57" s="530"/>
      <c r="EV57" s="530"/>
      <c r="EW57" s="530"/>
      <c r="EX57" s="530"/>
      <c r="EY57" s="530"/>
      <c r="EZ57" s="530"/>
      <c r="FA57" s="530"/>
      <c r="FB57" s="530"/>
      <c r="FC57" s="530"/>
      <c r="FD57" s="530"/>
      <c r="FE57" s="530"/>
      <c r="FF57" s="530"/>
      <c r="FG57" s="530"/>
      <c r="FH57" s="530"/>
      <c r="FI57" s="530"/>
      <c r="FJ57" s="530"/>
      <c r="FK57" s="530"/>
      <c r="FL57" s="530"/>
      <c r="FM57" s="530"/>
      <c r="FN57" s="530"/>
      <c r="FO57" s="530"/>
      <c r="FP57" s="530"/>
      <c r="FQ57" s="530"/>
      <c r="GI57" s="128"/>
      <c r="GJ57" s="128"/>
      <c r="GK57" s="128"/>
      <c r="GL57" s="128"/>
      <c r="GM57" s="128"/>
      <c r="GN57" s="128"/>
      <c r="GO57" s="128"/>
      <c r="GP57" s="128"/>
      <c r="GQ57" s="128"/>
      <c r="GR57" s="128"/>
      <c r="GS57" s="128"/>
      <c r="GT57" s="128"/>
      <c r="GU57" s="128"/>
      <c r="GV57" s="128"/>
      <c r="GW57" s="128"/>
      <c r="GX57" s="128"/>
      <c r="GY57" s="128"/>
      <c r="GZ57" s="128"/>
      <c r="HA57" s="128"/>
      <c r="HB57" s="128"/>
      <c r="HC57" s="128"/>
      <c r="HD57" s="128"/>
      <c r="HE57" s="128"/>
      <c r="HF57" s="128"/>
      <c r="HG57" s="128"/>
      <c r="HH57" s="128"/>
      <c r="HI57" s="128"/>
      <c r="HJ57" s="128"/>
      <c r="HK57" s="128"/>
      <c r="HL57" s="128"/>
      <c r="HM57" s="128"/>
      <c r="HN57" s="128"/>
      <c r="HO57" s="128"/>
      <c r="HP57" s="128"/>
      <c r="HQ57" s="128"/>
      <c r="HR57" s="128"/>
      <c r="HS57" s="128"/>
      <c r="HT57" s="128"/>
      <c r="HU57" s="128"/>
      <c r="HV57" s="128"/>
      <c r="HW57" s="128"/>
      <c r="HX57" s="128"/>
      <c r="HY57" s="128"/>
      <c r="HZ57" s="128"/>
      <c r="IA57" s="128"/>
      <c r="IB57" s="128"/>
      <c r="IC57" s="128"/>
    </row>
    <row r="58" spans="39:237" x14ac:dyDescent="0.3">
      <c r="AO58" s="128">
        <v>50238</v>
      </c>
      <c r="AP58" s="128" t="s">
        <v>720</v>
      </c>
      <c r="AQ58" s="128" t="s">
        <v>824</v>
      </c>
      <c r="AR58" s="128" t="s">
        <v>3594</v>
      </c>
      <c r="AS58" s="375">
        <v>46226</v>
      </c>
      <c r="AT58" s="375">
        <v>46230</v>
      </c>
      <c r="AU58" s="530">
        <v>151373</v>
      </c>
      <c r="AV58" s="128">
        <v>49908</v>
      </c>
      <c r="AW58" s="530">
        <v>500000</v>
      </c>
      <c r="AX58" s="534">
        <f>_xlfn.XLOOKUP(Sell_unvalid[[#This Row],[DEAL_BUY_ID]],BS!BA:BA,BS!BE:BE,,0)</f>
        <v>151572</v>
      </c>
      <c r="AY58" s="534">
        <f>_xlfn.XLOOKUP(Sell_unvalid[[#This Row],[BOND_CODE]],FNRP!D:D,FNRP!I:I,_xlfn.XLOOKUP(Sell_unvalid[[#This Row],[BOND_CODE]],FNRP!AV:AV,FNRP!BA:BA,,0),0)</f>
        <v>141623</v>
      </c>
      <c r="AZ58" s="534">
        <f>_xlfn.XLOOKUP(Sell_unvalid[[#This Row],[DEAL_BUY_ID]],BS!BA:BA,BS!BQ:BQ,,0)*Sell_unvalid[[#This Row],[QUANTITY]]</f>
        <v>25546420119.597946</v>
      </c>
      <c r="BA58" s="534">
        <f>(Sell_unvalid[[#This Row],[Giá MtM]]-10^5)*Sell_unvalid[[#This Row],[QUANTITY]]-Sell_unvalid[[#This Row],[PTCK remain]]</f>
        <v>-4734920119.5979462</v>
      </c>
      <c r="BB58" s="534">
        <f>(Sell_unvalid[[#This Row],[PRICE]]-10^5)*Sell_unvalid[[#This Row],[QUANTITY]]-Sell_unvalid[[#This Row],[PTCK remain]]</f>
        <v>140079880.40205383</v>
      </c>
      <c r="BC58" s="534" t="str">
        <f>IF(AND(Sell_unvalid[[#This Row],[VALUE_DATE]]&lt;=RPT,Sell_unvalid[[#This Row],[TRANSACTION_STATUS]]="N"),"Check","Ok")</f>
        <v>Ok</v>
      </c>
      <c r="BD58" s="534"/>
      <c r="BE58" s="615"/>
      <c r="BF58" s="128">
        <v>50149</v>
      </c>
      <c r="BG58" s="128" t="s">
        <v>3051</v>
      </c>
      <c r="BH58" s="128" t="s">
        <v>824</v>
      </c>
      <c r="BI58" s="128" t="s">
        <v>3594</v>
      </c>
      <c r="BJ58" s="375">
        <v>46199</v>
      </c>
      <c r="BK58" s="375">
        <v>46205</v>
      </c>
      <c r="BL58" s="128">
        <v>1500000</v>
      </c>
      <c r="BM58" s="128">
        <v>95502</v>
      </c>
      <c r="BN58" s="534">
        <f>_xlfn.XLOOKUP(Buy_unvalid[[#This Row],[BOND_CODE]],FNRP!D:D,FNRP!I:I,,0)</f>
        <v>89638</v>
      </c>
      <c r="BO58" s="534">
        <f>_xlfn.XLOOKUP(Buy_unvalid[[#This Row],[DEAL_BUY_ID]],BS!BA:BA,BS!BQ:BQ,_xlfn.XLOOKUP(Buy_unvalid[[#This Row],[DEAL_BUY_ID]],BS!AL:AL,BS!AR:AR,,0),0)*Buy_unvalid[[#This Row],[QUANTITY]]</f>
        <v>-6644801343.8694048</v>
      </c>
      <c r="BP58" s="534">
        <f>(Buy_unvalid[[#This Row],[Giá MtM]]-10^5)*Buy_unvalid[[#This Row],[QUANTITY]]-Buy_unvalid[[#This Row],[PTCK remain]]</f>
        <v>-8898198656.1305962</v>
      </c>
      <c r="BQ58" s="534" t="str">
        <f>IF(AND(Buy_unvalid[[#This Row],[VALUE_DATE]]&lt;=RPT,Buy_unvalid[[#This Row],[TRANSACTION_STATUS]]="N"),"Check","Ok")</f>
        <v>Ok</v>
      </c>
      <c r="BS58" s="128"/>
      <c r="BT58" s="848">
        <v>49325</v>
      </c>
      <c r="BU58" s="849">
        <v>46449</v>
      </c>
      <c r="BV58" s="848">
        <v>49322</v>
      </c>
      <c r="BW58" s="848"/>
      <c r="BX58" s="530">
        <v>2933000</v>
      </c>
      <c r="BY58" s="735">
        <f>_xlfn.XLOOKUP(Est_NIM[[#This Row],[DEAL_BUY_ID]],BS!AL:AL,BS!AU:AU,_xlfn.XLOOKUP(Est_NIM[[#This Row],[DEAL_BUY_ID]],BS!BA:BA,BS!BJ:BJ,,0),0)</f>
        <v>4.6100000000000003</v>
      </c>
      <c r="BZ58" s="534">
        <f>Est_NIM[[#This Row],[QUANT]]*Est_NIM[[#This Row],[YIELD]]</f>
        <v>13521130.000000002</v>
      </c>
      <c r="CA58" s="128"/>
      <c r="CB58" s="128"/>
      <c r="CE58" s="331"/>
      <c r="CF58" s="331"/>
      <c r="CG58" s="331"/>
      <c r="CH58">
        <v>3730</v>
      </c>
      <c r="CI58">
        <v>14282</v>
      </c>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c r="DU58" s="128"/>
      <c r="DV58" s="128"/>
      <c r="DW58" s="128"/>
      <c r="DX58" s="530"/>
      <c r="DY58" s="530"/>
      <c r="DZ58" s="530"/>
      <c r="EA58" s="530"/>
      <c r="EB58" s="530"/>
      <c r="EC58" s="530"/>
      <c r="ED58" s="530"/>
      <c r="EE58" s="530"/>
      <c r="EF58" s="530"/>
      <c r="EG58" s="530"/>
      <c r="EH58" s="530"/>
      <c r="EI58" s="530"/>
      <c r="EJ58" s="530"/>
      <c r="EK58" s="530"/>
      <c r="EL58" s="530"/>
      <c r="EM58" s="530"/>
      <c r="EN58" s="530"/>
      <c r="EO58" s="530"/>
      <c r="EP58" s="530"/>
      <c r="EQ58" s="530"/>
      <c r="ER58" s="530"/>
      <c r="ES58" s="530"/>
      <c r="ET58" s="530"/>
      <c r="EU58" s="530"/>
      <c r="EV58" s="530"/>
      <c r="EW58" s="530"/>
      <c r="EX58" s="530"/>
      <c r="EY58" s="530"/>
      <c r="EZ58" s="530"/>
      <c r="FA58" s="530"/>
      <c r="FB58" s="530"/>
      <c r="FC58" s="530"/>
      <c r="FD58" s="530"/>
      <c r="FE58" s="530"/>
      <c r="FF58" s="530"/>
      <c r="FG58" s="530"/>
      <c r="FH58" s="530"/>
      <c r="FI58" s="530"/>
      <c r="FJ58" s="530"/>
      <c r="FK58" s="530"/>
      <c r="FL58" s="530"/>
      <c r="FM58" s="530"/>
      <c r="FN58" s="530"/>
      <c r="FO58" s="530"/>
      <c r="FP58" s="530"/>
      <c r="FQ58" s="530"/>
      <c r="GI58" s="128"/>
      <c r="GJ58" s="128"/>
      <c r="GK58" s="128"/>
      <c r="GL58" s="128"/>
      <c r="GM58" s="128"/>
      <c r="GN58" s="128"/>
      <c r="GO58" s="128"/>
      <c r="GP58" s="128"/>
      <c r="GQ58" s="128"/>
      <c r="GR58" s="128"/>
      <c r="GS58" s="128"/>
      <c r="GT58" s="128"/>
      <c r="GU58" s="128"/>
      <c r="GV58" s="128"/>
      <c r="GW58" s="128"/>
      <c r="GX58" s="128"/>
      <c r="GY58" s="128"/>
      <c r="GZ58" s="128"/>
      <c r="HA58" s="128"/>
      <c r="HB58" s="128"/>
      <c r="HC58" s="128"/>
      <c r="HD58" s="128"/>
      <c r="HE58" s="128"/>
      <c r="HF58" s="128"/>
      <c r="HG58" s="128"/>
      <c r="HH58" s="128"/>
      <c r="HI58" s="128"/>
      <c r="HJ58" s="128"/>
      <c r="HK58" s="128"/>
      <c r="HL58" s="128"/>
      <c r="HM58" s="128"/>
      <c r="HN58" s="128"/>
      <c r="HO58" s="128"/>
      <c r="HP58" s="128"/>
      <c r="HQ58" s="128"/>
      <c r="HR58" s="128"/>
      <c r="HS58" s="128"/>
      <c r="HT58" s="128"/>
      <c r="HU58" s="128"/>
      <c r="HV58" s="128"/>
      <c r="HW58" s="128"/>
      <c r="HX58" s="128"/>
      <c r="HY58" s="128"/>
      <c r="HZ58" s="128"/>
      <c r="IA58" s="128"/>
      <c r="IB58" s="128"/>
      <c r="IC58" s="128"/>
    </row>
    <row r="59" spans="39:237" x14ac:dyDescent="0.3">
      <c r="AO59" s="128">
        <v>50265</v>
      </c>
      <c r="AP59" s="128" t="s">
        <v>720</v>
      </c>
      <c r="AQ59" s="128" t="s">
        <v>824</v>
      </c>
      <c r="AR59" s="128" t="s">
        <v>3594</v>
      </c>
      <c r="AS59" s="375">
        <v>46233</v>
      </c>
      <c r="AT59" s="375">
        <v>46238</v>
      </c>
      <c r="AU59" s="530">
        <v>152211</v>
      </c>
      <c r="AV59" s="128">
        <v>49908</v>
      </c>
      <c r="AW59" s="530">
        <v>1500000</v>
      </c>
      <c r="AX59" s="534">
        <f>_xlfn.XLOOKUP(Sell_unvalid[[#This Row],[DEAL_BUY_ID]],BS!BA:BA,BS!BE:BE,,0)</f>
        <v>151572</v>
      </c>
      <c r="AY59" s="534">
        <f>_xlfn.XLOOKUP(Sell_unvalid[[#This Row],[BOND_CODE]],FNRP!D:D,FNRP!I:I,_xlfn.XLOOKUP(Sell_unvalid[[#This Row],[BOND_CODE]],FNRP!AV:AV,FNRP!BA:BA,,0),0)</f>
        <v>141623</v>
      </c>
      <c r="AZ59" s="534">
        <f>_xlfn.XLOOKUP(Sell_unvalid[[#This Row],[DEAL_BUY_ID]],BS!BA:BA,BS!BQ:BQ,,0)*Sell_unvalid[[#This Row],[QUANTITY]]</f>
        <v>76639260358.793839</v>
      </c>
      <c r="BA59" s="534">
        <f>(Sell_unvalid[[#This Row],[Giá MtM]]-10^5)*Sell_unvalid[[#This Row],[QUANTITY]]-Sell_unvalid[[#This Row],[PTCK remain]]</f>
        <v>-14204760358.793839</v>
      </c>
      <c r="BB59" s="534">
        <f>(Sell_unvalid[[#This Row],[PRICE]]-10^5)*Sell_unvalid[[#This Row],[QUANTITY]]-Sell_unvalid[[#This Row],[PTCK remain]]</f>
        <v>1677239641.2061615</v>
      </c>
      <c r="BC59" s="534" t="str">
        <f>IF(AND(Sell_unvalid[[#This Row],[VALUE_DATE]]&lt;=RPT,Sell_unvalid[[#This Row],[TRANSACTION_STATUS]]="N"),"Check","Ok")</f>
        <v>Ok</v>
      </c>
      <c r="BD59" s="534"/>
      <c r="BE59" s="615"/>
      <c r="BF59" s="128">
        <v>50147</v>
      </c>
      <c r="BG59" s="128" t="s">
        <v>2786</v>
      </c>
      <c r="BH59" s="128" t="s">
        <v>824</v>
      </c>
      <c r="BI59" s="128" t="s">
        <v>3594</v>
      </c>
      <c r="BJ59" s="375">
        <v>46199</v>
      </c>
      <c r="BK59" s="375">
        <v>46205</v>
      </c>
      <c r="BL59" s="128">
        <v>500000</v>
      </c>
      <c r="BM59" s="128">
        <v>96126</v>
      </c>
      <c r="BN59" s="534">
        <f>_xlfn.XLOOKUP(Buy_unvalid[[#This Row],[BOND_CODE]],FNRP!D:D,FNRP!I:I,,0)</f>
        <v>82446</v>
      </c>
      <c r="BO59" s="534">
        <f>_xlfn.XLOOKUP(Buy_unvalid[[#This Row],[DEAL_BUY_ID]],BS!BA:BA,BS!BQ:BQ,_xlfn.XLOOKUP(Buy_unvalid[[#This Row],[DEAL_BUY_ID]],BS!AL:AL,BS!AR:AR,,0),0)*Buy_unvalid[[#This Row],[QUANTITY]]</f>
        <v>-1916085033.9721181</v>
      </c>
      <c r="BP59" s="534">
        <f>(Buy_unvalid[[#This Row],[Giá MtM]]-10^5)*Buy_unvalid[[#This Row],[QUANTITY]]-Buy_unvalid[[#This Row],[PTCK remain]]</f>
        <v>-6860914966.0278816</v>
      </c>
      <c r="BQ59" s="534" t="str">
        <f>IF(AND(Buy_unvalid[[#This Row],[VALUE_DATE]]&lt;=RPT,Buy_unvalid[[#This Row],[TRANSACTION_STATUS]]="N"),"Check","Ok")</f>
        <v>Ok</v>
      </c>
      <c r="BS59" s="128"/>
      <c r="BT59" s="848">
        <v>49325</v>
      </c>
      <c r="BU59" s="849">
        <v>46449</v>
      </c>
      <c r="BV59" s="848">
        <v>49896</v>
      </c>
      <c r="BW59" s="848"/>
      <c r="BX59" s="530">
        <v>700000</v>
      </c>
      <c r="BY59" s="735">
        <f>_xlfn.XLOOKUP(Est_NIM[[#This Row],[DEAL_BUY_ID]],BS!AL:AL,BS!AU:AU,_xlfn.XLOOKUP(Est_NIM[[#This Row],[DEAL_BUY_ID]],BS!BA:BA,BS!BJ:BJ,,0),0)</f>
        <v>3.8014999999999999</v>
      </c>
      <c r="BZ59" s="534">
        <f>Est_NIM[[#This Row],[QUANT]]*Est_NIM[[#This Row],[YIELD]]</f>
        <v>2661050</v>
      </c>
      <c r="CA59" s="128"/>
      <c r="CB59" s="128"/>
      <c r="CE59" s="331"/>
      <c r="CF59" s="331"/>
      <c r="CG59" s="331"/>
      <c r="CH59">
        <v>3730</v>
      </c>
      <c r="CI59">
        <v>14282</v>
      </c>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8"/>
      <c r="DS59" s="128"/>
      <c r="DT59" s="128"/>
      <c r="DU59" s="128"/>
      <c r="DV59" s="128"/>
      <c r="DW59" s="128"/>
      <c r="DX59" s="530"/>
      <c r="DY59" s="530"/>
      <c r="DZ59" s="530"/>
      <c r="EA59" s="530"/>
      <c r="EB59" s="530"/>
      <c r="EC59" s="530"/>
      <c r="ED59" s="530"/>
      <c r="EE59" s="530"/>
      <c r="EF59" s="530"/>
      <c r="EG59" s="530"/>
      <c r="EH59" s="530"/>
      <c r="EI59" s="530"/>
      <c r="EJ59" s="530"/>
      <c r="EK59" s="530"/>
      <c r="EL59" s="530"/>
      <c r="EM59" s="530"/>
      <c r="EN59" s="530"/>
      <c r="EO59" s="530"/>
      <c r="EP59" s="530"/>
      <c r="EQ59" s="530"/>
      <c r="ER59" s="530"/>
      <c r="ES59" s="530"/>
      <c r="ET59" s="530"/>
      <c r="EU59" s="530"/>
      <c r="EV59" s="530"/>
      <c r="EW59" s="530"/>
      <c r="EX59" s="530"/>
      <c r="EY59" s="530"/>
      <c r="EZ59" s="530"/>
      <c r="FA59" s="530"/>
      <c r="FB59" s="530"/>
      <c r="FC59" s="530"/>
      <c r="FD59" s="530"/>
      <c r="FE59" s="530"/>
      <c r="FF59" s="530"/>
      <c r="FG59" s="530"/>
      <c r="FH59" s="530"/>
      <c r="FI59" s="530"/>
      <c r="FJ59" s="530"/>
      <c r="FK59" s="530"/>
      <c r="FL59" s="530"/>
      <c r="FM59" s="530"/>
      <c r="FN59" s="530"/>
      <c r="FO59" s="530"/>
      <c r="FP59" s="530"/>
      <c r="FQ59" s="530"/>
      <c r="GI59" s="128"/>
      <c r="GJ59" s="128"/>
      <c r="GK59" s="128"/>
      <c r="GL59" s="128"/>
      <c r="GM59" s="128"/>
      <c r="GN59" s="128"/>
      <c r="GO59" s="128"/>
      <c r="GP59" s="128"/>
      <c r="GQ59" s="128"/>
      <c r="GR59" s="128"/>
      <c r="GS59" s="128"/>
      <c r="GT59" s="128"/>
      <c r="GU59" s="128"/>
      <c r="GV59" s="128"/>
      <c r="GW59" s="128"/>
      <c r="GX59" s="128"/>
      <c r="GY59" s="128"/>
      <c r="GZ59" s="128"/>
      <c r="HA59" s="128"/>
      <c r="HB59" s="128"/>
      <c r="HC59" s="128"/>
      <c r="HD59" s="128"/>
      <c r="HE59" s="128"/>
      <c r="HF59" s="128"/>
      <c r="HG59" s="128"/>
      <c r="HH59" s="128"/>
      <c r="HI59" s="128"/>
      <c r="HJ59" s="128"/>
      <c r="HK59" s="128"/>
      <c r="HL59" s="128"/>
      <c r="HM59" s="128"/>
      <c r="HN59" s="128"/>
      <c r="HO59" s="128"/>
      <c r="HP59" s="128"/>
      <c r="HQ59" s="128"/>
      <c r="HR59" s="128"/>
      <c r="HS59" s="128"/>
      <c r="HT59" s="128"/>
      <c r="HU59" s="128"/>
      <c r="HV59" s="128"/>
      <c r="HW59" s="128"/>
      <c r="HX59" s="128"/>
      <c r="HY59" s="128"/>
      <c r="HZ59" s="128"/>
      <c r="IA59" s="128"/>
      <c r="IB59" s="128"/>
      <c r="IC59" s="128"/>
    </row>
    <row r="60" spans="39:237" x14ac:dyDescent="0.3">
      <c r="AO60" s="128">
        <v>50265</v>
      </c>
      <c r="AP60" s="128" t="s">
        <v>720</v>
      </c>
      <c r="AQ60" s="128" t="s">
        <v>824</v>
      </c>
      <c r="AR60" s="128" t="s">
        <v>3594</v>
      </c>
      <c r="AS60" s="375">
        <v>46233</v>
      </c>
      <c r="AT60" s="375">
        <v>46238</v>
      </c>
      <c r="AU60" s="530">
        <v>152211</v>
      </c>
      <c r="AV60" s="128">
        <v>50050</v>
      </c>
      <c r="AW60" s="530">
        <v>1650000</v>
      </c>
      <c r="AX60" s="534">
        <f>_xlfn.XLOOKUP(Sell_unvalid[[#This Row],[DEAL_BUY_ID]],BS!BA:BA,BS!BE:BE,,0)</f>
        <v>153425</v>
      </c>
      <c r="AY60" s="534">
        <f>_xlfn.XLOOKUP(Sell_unvalid[[#This Row],[BOND_CODE]],FNRP!D:D,FNRP!I:I,_xlfn.XLOOKUP(Sell_unvalid[[#This Row],[BOND_CODE]],FNRP!AV:AV,FNRP!BA:BA,,0),0)</f>
        <v>141623</v>
      </c>
      <c r="AZ60" s="534">
        <f>_xlfn.XLOOKUP(Sell_unvalid[[#This Row],[DEAL_BUY_ID]],BS!BA:BA,BS!BQ:BQ,,0)*Sell_unvalid[[#This Row],[QUANTITY]]</f>
        <v>87580592088.523346</v>
      </c>
      <c r="BA60" s="534">
        <f>(Sell_unvalid[[#This Row],[Giá MtM]]-10^5)*Sell_unvalid[[#This Row],[QUANTITY]]-Sell_unvalid[[#This Row],[PTCK remain]]</f>
        <v>-18902642088.523346</v>
      </c>
      <c r="BB60" s="534">
        <f>(Sell_unvalid[[#This Row],[PRICE]]-10^5)*Sell_unvalid[[#This Row],[QUANTITY]]-Sell_unvalid[[#This Row],[PTCK remain]]</f>
        <v>-1432442088.5233459</v>
      </c>
      <c r="BC60" s="534" t="str">
        <f>IF(AND(Sell_unvalid[[#This Row],[VALUE_DATE]]&lt;=RPT,Sell_unvalid[[#This Row],[TRANSACTION_STATUS]]="N"),"Check","Ok")</f>
        <v>Ok</v>
      </c>
      <c r="BD60" s="534"/>
      <c r="BE60" s="615"/>
      <c r="BF60" s="128">
        <v>50207</v>
      </c>
      <c r="BG60" s="128" t="s">
        <v>2497</v>
      </c>
      <c r="BH60" s="128" t="s">
        <v>824</v>
      </c>
      <c r="BI60" s="128" t="s">
        <v>3594</v>
      </c>
      <c r="BJ60" s="375">
        <v>46223</v>
      </c>
      <c r="BK60" s="375">
        <v>46226</v>
      </c>
      <c r="BL60" s="128">
        <v>320000</v>
      </c>
      <c r="BM60" s="128">
        <v>103183</v>
      </c>
      <c r="BN60" s="534">
        <f>_xlfn.XLOOKUP(Buy_unvalid[[#This Row],[BOND_CODE]],FNRP!D:D,FNRP!I:I,,0)</f>
        <v>92330</v>
      </c>
      <c r="BO60" s="534">
        <f>_xlfn.XLOOKUP(Buy_unvalid[[#This Row],[DEAL_BUY_ID]],BS!BA:BA,BS!BQ:BQ,_xlfn.XLOOKUP(Buy_unvalid[[#This Row],[DEAL_BUY_ID]],BS!AL:AL,BS!AR:AR,,0),0)*Buy_unvalid[[#This Row],[QUANTITY]]</f>
        <v>1015788933.3070791</v>
      </c>
      <c r="BP60" s="534">
        <f>(Buy_unvalid[[#This Row],[Giá MtM]]-10^5)*Buy_unvalid[[#This Row],[QUANTITY]]-Buy_unvalid[[#This Row],[PTCK remain]]</f>
        <v>-3470188933.3070793</v>
      </c>
      <c r="BQ60" s="534" t="str">
        <f>IF(AND(Buy_unvalid[[#This Row],[VALUE_DATE]]&lt;=RPT,Buy_unvalid[[#This Row],[TRANSACTION_STATUS]]="N"),"Check","Ok")</f>
        <v>Ok</v>
      </c>
      <c r="BS60" s="128"/>
      <c r="BT60" s="848">
        <v>49325</v>
      </c>
      <c r="BU60" s="849">
        <v>46449</v>
      </c>
      <c r="BV60" s="848">
        <v>49910</v>
      </c>
      <c r="BW60" s="848"/>
      <c r="BX60" s="530">
        <v>700000</v>
      </c>
      <c r="BY60" s="735">
        <f>_xlfn.XLOOKUP(Est_NIM[[#This Row],[DEAL_BUY_ID]],BS!AL:AL,BS!AU:AU,_xlfn.XLOOKUP(Est_NIM[[#This Row],[DEAL_BUY_ID]],BS!BA:BA,BS!BJ:BJ,,0),0)</f>
        <v>4.0061999999999998</v>
      </c>
      <c r="BZ60" s="534">
        <f>Est_NIM[[#This Row],[QUANT]]*Est_NIM[[#This Row],[YIELD]]</f>
        <v>2804340</v>
      </c>
      <c r="CA60" s="128"/>
      <c r="CB60" s="128"/>
      <c r="CE60" s="331"/>
      <c r="CF60" s="331"/>
      <c r="CG60" s="331"/>
      <c r="CH60">
        <v>3730</v>
      </c>
      <c r="CI60">
        <v>14282</v>
      </c>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8"/>
      <c r="DS60" s="128"/>
      <c r="DT60" s="128"/>
      <c r="DU60" s="128"/>
      <c r="DV60" s="128"/>
      <c r="DW60" s="128"/>
      <c r="DX60" s="530"/>
      <c r="DY60" s="530"/>
      <c r="DZ60" s="530"/>
      <c r="EA60" s="530"/>
      <c r="EB60" s="530"/>
      <c r="EC60" s="530"/>
      <c r="ED60" s="530"/>
      <c r="EE60" s="530"/>
      <c r="EF60" s="530"/>
      <c r="EG60" s="530"/>
      <c r="EH60" s="530"/>
      <c r="EI60" s="530"/>
      <c r="EJ60" s="530"/>
      <c r="EK60" s="530"/>
      <c r="EL60" s="530"/>
      <c r="EM60" s="530"/>
      <c r="EN60" s="530"/>
      <c r="EO60" s="530"/>
      <c r="EP60" s="530"/>
      <c r="EQ60" s="530"/>
      <c r="ER60" s="530"/>
      <c r="ES60" s="530"/>
      <c r="ET60" s="530"/>
      <c r="EU60" s="530"/>
      <c r="EV60" s="530"/>
      <c r="EW60" s="530"/>
      <c r="EX60" s="530"/>
      <c r="EY60" s="530"/>
      <c r="EZ60" s="530"/>
      <c r="FA60" s="530"/>
      <c r="FB60" s="530"/>
      <c r="FC60" s="530"/>
      <c r="FD60" s="530"/>
      <c r="FE60" s="530"/>
      <c r="FF60" s="530"/>
      <c r="FG60" s="530"/>
      <c r="FH60" s="530"/>
      <c r="FI60" s="530"/>
      <c r="FJ60" s="530"/>
      <c r="FK60" s="530"/>
      <c r="FL60" s="530"/>
      <c r="FM60" s="530"/>
      <c r="FN60" s="530"/>
      <c r="FO60" s="530"/>
      <c r="FP60" s="530"/>
      <c r="FQ60" s="530"/>
      <c r="GI60" s="128"/>
      <c r="GJ60" s="128"/>
      <c r="GK60" s="128"/>
      <c r="GL60" s="128"/>
      <c r="GM60" s="128"/>
      <c r="GN60" s="128"/>
      <c r="GO60" s="128"/>
      <c r="GP60" s="128"/>
      <c r="GQ60" s="128"/>
      <c r="GR60" s="128"/>
      <c r="GS60" s="128"/>
      <c r="GT60" s="128"/>
      <c r="GU60" s="128"/>
      <c r="GV60" s="128"/>
      <c r="GW60" s="128"/>
      <c r="GX60" s="128"/>
      <c r="GY60" s="128"/>
      <c r="GZ60" s="128"/>
      <c r="HA60" s="128"/>
      <c r="HB60" s="128"/>
      <c r="HC60" s="128"/>
      <c r="HD60" s="128"/>
      <c r="HE60" s="128"/>
      <c r="HF60" s="128"/>
      <c r="HG60" s="128"/>
      <c r="HH60" s="128"/>
      <c r="HI60" s="128"/>
      <c r="HJ60" s="128"/>
      <c r="HK60" s="128"/>
      <c r="HL60" s="128"/>
      <c r="HM60" s="128"/>
      <c r="HN60" s="128"/>
      <c r="HO60" s="128"/>
      <c r="HP60" s="128"/>
      <c r="HQ60" s="128"/>
      <c r="HR60" s="128"/>
      <c r="HS60" s="128"/>
      <c r="HT60" s="128"/>
      <c r="HU60" s="128"/>
      <c r="HV60" s="128"/>
      <c r="HW60" s="128"/>
      <c r="HX60" s="128"/>
      <c r="HY60" s="128"/>
      <c r="HZ60" s="128"/>
      <c r="IA60" s="128"/>
      <c r="IB60" s="128"/>
      <c r="IC60" s="128"/>
    </row>
    <row r="61" spans="39:237" x14ac:dyDescent="0.3">
      <c r="AO61" s="128">
        <v>50265</v>
      </c>
      <c r="AP61" s="128" t="s">
        <v>720</v>
      </c>
      <c r="AQ61" s="128" t="s">
        <v>824</v>
      </c>
      <c r="AR61" s="128" t="s">
        <v>3594</v>
      </c>
      <c r="AS61" s="375">
        <v>46233</v>
      </c>
      <c r="AT61" s="375">
        <v>46238</v>
      </c>
      <c r="AU61" s="530">
        <v>152211</v>
      </c>
      <c r="AV61" s="128">
        <v>50072</v>
      </c>
      <c r="AW61" s="530">
        <v>400000</v>
      </c>
      <c r="AX61" s="534">
        <f>_xlfn.XLOOKUP(Sell_unvalid[[#This Row],[DEAL_BUY_ID]],BS!BA:BA,BS!BE:BE,,0)</f>
        <v>153368</v>
      </c>
      <c r="AY61" s="534">
        <f>_xlfn.XLOOKUP(Sell_unvalid[[#This Row],[BOND_CODE]],FNRP!D:D,FNRP!I:I,_xlfn.XLOOKUP(Sell_unvalid[[#This Row],[BOND_CODE]],FNRP!AV:AV,FNRP!BA:BA,,0),0)</f>
        <v>141623</v>
      </c>
      <c r="AZ61" s="534">
        <f>_xlfn.XLOOKUP(Sell_unvalid[[#This Row],[DEAL_BUY_ID]],BS!BA:BA,BS!BQ:BQ,,0)*Sell_unvalid[[#This Row],[QUANTITY]]</f>
        <v>21209006420.308296</v>
      </c>
      <c r="BA61" s="534">
        <f>(Sell_unvalid[[#This Row],[Giá MtM]]-10^5)*Sell_unvalid[[#This Row],[QUANTITY]]-Sell_unvalid[[#This Row],[PTCK remain]]</f>
        <v>-4559806420.3082962</v>
      </c>
      <c r="BB61" s="534">
        <f>(Sell_unvalid[[#This Row],[PRICE]]-10^5)*Sell_unvalid[[#This Row],[QUANTITY]]-Sell_unvalid[[#This Row],[PTCK remain]]</f>
        <v>-324606420.3082962</v>
      </c>
      <c r="BC61" s="534" t="str">
        <f>IF(AND(Sell_unvalid[[#This Row],[VALUE_DATE]]&lt;=RPT,Sell_unvalid[[#This Row],[TRANSACTION_STATUS]]="N"),"Check","Ok")</f>
        <v>Ok</v>
      </c>
      <c r="BD61" s="534"/>
      <c r="BE61" s="615"/>
      <c r="BF61" s="128">
        <v>50205</v>
      </c>
      <c r="BG61" s="128" t="s">
        <v>3026</v>
      </c>
      <c r="BH61" s="128" t="s">
        <v>824</v>
      </c>
      <c r="BI61" s="128" t="s">
        <v>3594</v>
      </c>
      <c r="BJ61" s="375">
        <v>46223</v>
      </c>
      <c r="BK61" s="375">
        <v>46226</v>
      </c>
      <c r="BL61" s="128">
        <v>2250000</v>
      </c>
      <c r="BM61" s="128">
        <v>74721</v>
      </c>
      <c r="BN61" s="534">
        <f>_xlfn.XLOOKUP(Buy_unvalid[[#This Row],[BOND_CODE]],FNRP!D:D,FNRP!I:I,,0)</f>
        <v>70844</v>
      </c>
      <c r="BO61" s="534">
        <f>_xlfn.XLOOKUP(Buy_unvalid[[#This Row],[DEAL_BUY_ID]],BS!BA:BA,BS!BQ:BQ,_xlfn.XLOOKUP(Buy_unvalid[[#This Row],[DEAL_BUY_ID]],BS!AL:AL,BS!AR:AR,,0),0)*Buy_unvalid[[#This Row],[QUANTITY]]</f>
        <v>-56724469011.300247</v>
      </c>
      <c r="BP61" s="534">
        <f>(Buy_unvalid[[#This Row],[Giá MtM]]-10^5)*Buy_unvalid[[#This Row],[QUANTITY]]-Buy_unvalid[[#This Row],[PTCK remain]]</f>
        <v>-8876530988.6997528</v>
      </c>
      <c r="BQ61" s="534" t="str">
        <f>IF(AND(Buy_unvalid[[#This Row],[VALUE_DATE]]&lt;=RPT,Buy_unvalid[[#This Row],[TRANSACTION_STATUS]]="N"),"Check","Ok")</f>
        <v>Ok</v>
      </c>
      <c r="BS61" s="128"/>
      <c r="BT61" s="848">
        <v>49325</v>
      </c>
      <c r="BU61" s="849">
        <v>46449</v>
      </c>
      <c r="BV61" s="848">
        <v>49947</v>
      </c>
      <c r="BW61" s="848"/>
      <c r="BX61" s="530">
        <v>1500000</v>
      </c>
      <c r="BY61" s="735">
        <f>_xlfn.XLOOKUP(Est_NIM[[#This Row],[DEAL_BUY_ID]],BS!AL:AL,BS!AU:AU,_xlfn.XLOOKUP(Est_NIM[[#This Row],[DEAL_BUY_ID]],BS!BA:BA,BS!BJ:BJ,,0),0)</f>
        <v>4.0049999999999999</v>
      </c>
      <c r="BZ61" s="534">
        <f>Est_NIM[[#This Row],[QUANT]]*Est_NIM[[#This Row],[YIELD]]</f>
        <v>6007500</v>
      </c>
      <c r="CA61" s="128"/>
      <c r="CB61" s="128"/>
      <c r="CE61" s="331"/>
      <c r="CF61" s="331"/>
      <c r="CG61" s="331"/>
      <c r="CH61">
        <v>3730</v>
      </c>
      <c r="CI61">
        <v>14282</v>
      </c>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8"/>
      <c r="DS61" s="128"/>
      <c r="DT61" s="128"/>
      <c r="DU61" s="128"/>
      <c r="DV61" s="128"/>
      <c r="DW61" s="128"/>
      <c r="DX61" s="530"/>
      <c r="DY61" s="530"/>
      <c r="DZ61" s="530"/>
      <c r="EA61" s="530"/>
      <c r="EB61" s="530"/>
      <c r="EC61" s="530"/>
      <c r="ED61" s="530"/>
      <c r="EE61" s="530"/>
      <c r="EF61" s="530"/>
      <c r="EG61" s="530"/>
      <c r="EH61" s="530"/>
      <c r="EI61" s="530"/>
      <c r="EJ61" s="530"/>
      <c r="EK61" s="530"/>
      <c r="EL61" s="530"/>
      <c r="EM61" s="530"/>
      <c r="EN61" s="530"/>
      <c r="EO61" s="530"/>
      <c r="EP61" s="530"/>
      <c r="EQ61" s="530"/>
      <c r="ER61" s="530"/>
      <c r="ES61" s="530"/>
      <c r="ET61" s="530"/>
      <c r="EU61" s="530"/>
      <c r="EV61" s="530"/>
      <c r="EW61" s="530"/>
      <c r="EX61" s="530"/>
      <c r="EY61" s="530"/>
      <c r="EZ61" s="530"/>
      <c r="FA61" s="530"/>
      <c r="FB61" s="530"/>
      <c r="FC61" s="530"/>
      <c r="FD61" s="530"/>
      <c r="FE61" s="530"/>
      <c r="FF61" s="530"/>
      <c r="FG61" s="530"/>
      <c r="FH61" s="530"/>
      <c r="FI61" s="530"/>
      <c r="FJ61" s="530"/>
      <c r="FK61" s="530"/>
      <c r="FL61" s="530"/>
      <c r="FM61" s="530"/>
      <c r="FN61" s="530"/>
      <c r="FO61" s="530"/>
      <c r="FP61" s="530"/>
      <c r="FQ61" s="530"/>
      <c r="GI61" s="128"/>
      <c r="GJ61" s="128"/>
      <c r="GK61" s="128"/>
      <c r="GL61" s="128"/>
      <c r="GM61" s="128"/>
      <c r="GN61" s="128"/>
      <c r="GO61" s="128"/>
      <c r="GP61" s="128"/>
      <c r="GQ61" s="128"/>
      <c r="GR61" s="128"/>
      <c r="GS61" s="128"/>
      <c r="GT61" s="128"/>
      <c r="GU61" s="128"/>
      <c r="GV61" s="128"/>
      <c r="GW61" s="128"/>
      <c r="GX61" s="128"/>
      <c r="GY61" s="128"/>
      <c r="GZ61" s="128"/>
      <c r="HA61" s="128"/>
      <c r="HB61" s="128"/>
      <c r="HC61" s="128"/>
      <c r="HD61" s="128"/>
      <c r="HE61" s="128"/>
      <c r="HF61" s="128"/>
      <c r="HG61" s="128"/>
      <c r="HH61" s="128"/>
      <c r="HI61" s="128"/>
      <c r="HJ61" s="128"/>
      <c r="HK61" s="128"/>
      <c r="HL61" s="128"/>
      <c r="HM61" s="128"/>
      <c r="HN61" s="128"/>
      <c r="HO61" s="128"/>
      <c r="HP61" s="128"/>
      <c r="HQ61" s="128"/>
      <c r="HR61" s="128"/>
      <c r="HS61" s="128"/>
      <c r="HT61" s="128"/>
      <c r="HU61" s="128"/>
      <c r="HV61" s="128"/>
      <c r="HW61" s="128"/>
      <c r="HX61" s="128"/>
      <c r="HY61" s="128"/>
      <c r="HZ61" s="128"/>
      <c r="IA61" s="128"/>
      <c r="IB61" s="128"/>
      <c r="IC61" s="128"/>
    </row>
    <row r="62" spans="39:237" x14ac:dyDescent="0.3">
      <c r="AO62" s="128">
        <v>50265</v>
      </c>
      <c r="AP62" s="128" t="s">
        <v>720</v>
      </c>
      <c r="AQ62" s="128" t="s">
        <v>824</v>
      </c>
      <c r="AR62" s="128" t="s">
        <v>3594</v>
      </c>
      <c r="AS62" s="375">
        <v>46233</v>
      </c>
      <c r="AT62" s="375">
        <v>46238</v>
      </c>
      <c r="AU62" s="530">
        <v>152211</v>
      </c>
      <c r="AV62" s="128">
        <v>50077</v>
      </c>
      <c r="AW62" s="530">
        <v>500000</v>
      </c>
      <c r="AX62" s="534">
        <f>_xlfn.XLOOKUP(Sell_unvalid[[#This Row],[DEAL_BUY_ID]],BS!BA:BA,BS!BE:BE,,0)</f>
        <v>151624</v>
      </c>
      <c r="AY62" s="534">
        <f>_xlfn.XLOOKUP(Sell_unvalid[[#This Row],[BOND_CODE]],FNRP!D:D,FNRP!I:I,_xlfn.XLOOKUP(Sell_unvalid[[#This Row],[BOND_CODE]],FNRP!AV:AV,FNRP!BA:BA,,0),0)</f>
        <v>141623</v>
      </c>
      <c r="AZ62" s="534">
        <f>_xlfn.XLOOKUP(Sell_unvalid[[#This Row],[DEAL_BUY_ID]],BS!BA:BA,BS!BQ:BQ,,0)*Sell_unvalid[[#This Row],[QUANTITY]]</f>
        <v>25644908133.376732</v>
      </c>
      <c r="BA62" s="534">
        <f>(Sell_unvalid[[#This Row],[Giá MtM]]-10^5)*Sell_unvalid[[#This Row],[QUANTITY]]-Sell_unvalid[[#This Row],[PTCK remain]]</f>
        <v>-4833408133.3767319</v>
      </c>
      <c r="BB62" s="534">
        <f>(Sell_unvalid[[#This Row],[PRICE]]-10^5)*Sell_unvalid[[#This Row],[QUANTITY]]-Sell_unvalid[[#This Row],[PTCK remain]]</f>
        <v>460591866.62326813</v>
      </c>
      <c r="BC62" s="534" t="str">
        <f>IF(AND(Sell_unvalid[[#This Row],[VALUE_DATE]]&lt;=RPT,Sell_unvalid[[#This Row],[TRANSACTION_STATUS]]="N"),"Check","Ok")</f>
        <v>Ok</v>
      </c>
      <c r="BD62" s="534"/>
      <c r="BE62" s="615"/>
      <c r="BF62" s="128">
        <v>50384</v>
      </c>
      <c r="BG62" s="128" t="s">
        <v>636</v>
      </c>
      <c r="BH62" s="128" t="s">
        <v>824</v>
      </c>
      <c r="BI62" s="128" t="s">
        <v>3594</v>
      </c>
      <c r="BJ62" s="375">
        <v>46246</v>
      </c>
      <c r="BK62" s="375">
        <v>46251</v>
      </c>
      <c r="BL62" s="128">
        <v>1000000</v>
      </c>
      <c r="BM62" s="128">
        <v>91637</v>
      </c>
      <c r="BN62" s="534">
        <f>_xlfn.XLOOKUP(Buy_unvalid[[#This Row],[BOND_CODE]],FNRP!D:D,FNRP!I:I,,0)</f>
        <v>92544</v>
      </c>
      <c r="BO62" s="534">
        <f>_xlfn.XLOOKUP(Buy_unvalid[[#This Row],[DEAL_BUY_ID]],BS!BA:BA,BS!BQ:BQ,_xlfn.XLOOKUP(Buy_unvalid[[#This Row],[DEAL_BUY_ID]],BS!AL:AL,BS!AR:AR,,0),0)*Buy_unvalid[[#This Row],[QUANTITY]]</f>
        <v>-8352508175.8118429</v>
      </c>
      <c r="BP62" s="534">
        <f>(Buy_unvalid[[#This Row],[Giá MtM]]-10^5)*Buy_unvalid[[#This Row],[QUANTITY]]-Buy_unvalid[[#This Row],[PTCK remain]]</f>
        <v>896508175.81184292</v>
      </c>
      <c r="BQ62" s="534" t="str">
        <f>IF(AND(Buy_unvalid[[#This Row],[VALUE_DATE]]&lt;=RPT,Buy_unvalid[[#This Row],[TRANSACTION_STATUS]]="N"),"Check","Ok")</f>
        <v>Ok</v>
      </c>
      <c r="BS62" s="128"/>
      <c r="BT62" s="848">
        <v>49326</v>
      </c>
      <c r="BU62" s="849">
        <v>46449</v>
      </c>
      <c r="BV62" s="848">
        <v>49336</v>
      </c>
      <c r="BW62" s="848"/>
      <c r="BX62" s="530">
        <v>900000</v>
      </c>
      <c r="BY62" s="735">
        <f>_xlfn.XLOOKUP(Est_NIM[[#This Row],[DEAL_BUY_ID]],BS!AL:AL,BS!AU:AU,_xlfn.XLOOKUP(Est_NIM[[#This Row],[DEAL_BUY_ID]],BS!BA:BA,BS!BJ:BJ,,0),0)</f>
        <v>4.6100000000000003</v>
      </c>
      <c r="BZ62" s="534">
        <f>Est_NIM[[#This Row],[QUANT]]*Est_NIM[[#This Row],[YIELD]]</f>
        <v>4149000.0000000005</v>
      </c>
      <c r="CA62" s="128"/>
      <c r="CB62" s="128"/>
      <c r="CE62" s="331"/>
      <c r="CF62" s="331"/>
      <c r="CG62" s="331"/>
      <c r="CH62">
        <v>3730</v>
      </c>
      <c r="CI62">
        <v>14282</v>
      </c>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c r="DU62" s="128"/>
      <c r="DV62" s="128"/>
      <c r="DW62" s="128"/>
      <c r="DX62" s="530"/>
      <c r="DY62" s="530"/>
      <c r="DZ62" s="530"/>
      <c r="EA62" s="530"/>
      <c r="EB62" s="530"/>
      <c r="EC62" s="530"/>
      <c r="ED62" s="530"/>
      <c r="EE62" s="530"/>
      <c r="EF62" s="530"/>
      <c r="EG62" s="530"/>
      <c r="EH62" s="530"/>
      <c r="EI62" s="530"/>
      <c r="EJ62" s="530"/>
      <c r="EK62" s="530"/>
      <c r="EL62" s="530"/>
      <c r="EM62" s="530"/>
      <c r="EN62" s="530"/>
      <c r="EO62" s="530"/>
      <c r="EP62" s="530"/>
      <c r="EQ62" s="530"/>
      <c r="ER62" s="530"/>
      <c r="ES62" s="530"/>
      <c r="ET62" s="530"/>
      <c r="EU62" s="530"/>
      <c r="EV62" s="530"/>
      <c r="EW62" s="530"/>
      <c r="EX62" s="530"/>
      <c r="EY62" s="530"/>
      <c r="EZ62" s="530"/>
      <c r="FA62" s="530"/>
      <c r="FB62" s="530"/>
      <c r="FC62" s="530"/>
      <c r="FD62" s="530"/>
      <c r="FE62" s="530"/>
      <c r="FF62" s="530"/>
      <c r="FG62" s="530"/>
      <c r="FH62" s="530"/>
      <c r="FI62" s="530"/>
      <c r="FJ62" s="530"/>
      <c r="FK62" s="530"/>
      <c r="FL62" s="530"/>
      <c r="FM62" s="530"/>
      <c r="FN62" s="530"/>
      <c r="FO62" s="530"/>
      <c r="FP62" s="530"/>
      <c r="FQ62" s="530"/>
      <c r="GI62" s="128"/>
      <c r="GJ62" s="128"/>
      <c r="GK62" s="128"/>
      <c r="GL62" s="128"/>
      <c r="GM62" s="128"/>
      <c r="GN62" s="128"/>
      <c r="GO62" s="128"/>
      <c r="GP62" s="128"/>
      <c r="GQ62" s="128"/>
      <c r="GR62" s="128"/>
      <c r="GS62" s="128"/>
      <c r="GT62" s="128"/>
      <c r="GU62" s="128"/>
      <c r="GV62" s="128"/>
      <c r="GW62" s="128"/>
      <c r="GX62" s="128"/>
      <c r="GY62" s="128"/>
      <c r="GZ62" s="128"/>
      <c r="HA62" s="128"/>
      <c r="HB62" s="128"/>
      <c r="HC62" s="128"/>
      <c r="HD62" s="128"/>
      <c r="HE62" s="128"/>
      <c r="HF62" s="128"/>
      <c r="HG62" s="128"/>
      <c r="HH62" s="128"/>
      <c r="HI62" s="128"/>
      <c r="HJ62" s="128"/>
      <c r="HK62" s="128"/>
      <c r="HL62" s="128"/>
      <c r="HM62" s="128"/>
      <c r="HN62" s="128"/>
      <c r="HO62" s="128"/>
      <c r="HP62" s="128"/>
      <c r="HQ62" s="128"/>
      <c r="HR62" s="128"/>
      <c r="HS62" s="128"/>
      <c r="HT62" s="128"/>
      <c r="HU62" s="128"/>
      <c r="HV62" s="128"/>
      <c r="HW62" s="128"/>
      <c r="HX62" s="128"/>
      <c r="HY62" s="128"/>
      <c r="HZ62" s="128"/>
      <c r="IA62" s="128"/>
      <c r="IB62" s="128"/>
      <c r="IC62" s="128"/>
    </row>
    <row r="63" spans="39:237" x14ac:dyDescent="0.3">
      <c r="AO63" s="128">
        <v>50265</v>
      </c>
      <c r="AP63" s="128" t="s">
        <v>720</v>
      </c>
      <c r="AQ63" s="128" t="s">
        <v>824</v>
      </c>
      <c r="AR63" s="128" t="s">
        <v>3594</v>
      </c>
      <c r="AS63" s="375">
        <v>46233</v>
      </c>
      <c r="AT63" s="375">
        <v>46238</v>
      </c>
      <c r="AU63" s="530">
        <v>152211</v>
      </c>
      <c r="AV63" s="128">
        <v>50239</v>
      </c>
      <c r="AW63" s="530">
        <v>500000</v>
      </c>
      <c r="AX63" s="534">
        <f>_xlfn.XLOOKUP(Sell_unvalid[[#This Row],[DEAL_BUY_ID]],BS!BA:BA,BS!BE:BE,,0)</f>
        <v>151344</v>
      </c>
      <c r="AY63" s="534">
        <f>_xlfn.XLOOKUP(Sell_unvalid[[#This Row],[BOND_CODE]],FNRP!D:D,FNRP!I:I,_xlfn.XLOOKUP(Sell_unvalid[[#This Row],[BOND_CODE]],FNRP!AV:AV,FNRP!BA:BA,,0),0)</f>
        <v>141623</v>
      </c>
      <c r="AZ63" s="534">
        <f>_xlfn.XLOOKUP(Sell_unvalid[[#This Row],[DEAL_BUY_ID]],BS!BA:BA,BS!BQ:BQ,,0)*Sell_unvalid[[#This Row],[QUANTITY]]</f>
        <v>25595280040.676502</v>
      </c>
      <c r="BA63" s="534">
        <f>(Sell_unvalid[[#This Row],[Giá MtM]]-10^5)*Sell_unvalid[[#This Row],[QUANTITY]]-Sell_unvalid[[#This Row],[PTCK remain]]</f>
        <v>-4783780040.6765022</v>
      </c>
      <c r="BB63" s="534">
        <f>(Sell_unvalid[[#This Row],[PRICE]]-10^5)*Sell_unvalid[[#This Row],[QUANTITY]]-Sell_unvalid[[#This Row],[PTCK remain]]</f>
        <v>510219959.32349777</v>
      </c>
      <c r="BC63" s="534" t="str">
        <f>IF(AND(Sell_unvalid[[#This Row],[VALUE_DATE]]&lt;=RPT,Sell_unvalid[[#This Row],[TRANSACTION_STATUS]]="N"),"Check","Ok")</f>
        <v>Ok</v>
      </c>
      <c r="BD63" s="534"/>
      <c r="BE63" s="615"/>
      <c r="BF63" s="128">
        <v>50380</v>
      </c>
      <c r="BG63" s="128" t="s">
        <v>2497</v>
      </c>
      <c r="BH63" s="128" t="s">
        <v>824</v>
      </c>
      <c r="BI63" s="128" t="s">
        <v>3594</v>
      </c>
      <c r="BJ63" s="375">
        <v>46246</v>
      </c>
      <c r="BK63" s="375">
        <v>46251</v>
      </c>
      <c r="BL63" s="128">
        <v>800000</v>
      </c>
      <c r="BM63" s="128">
        <v>106603</v>
      </c>
      <c r="BN63" s="534">
        <f>_xlfn.XLOOKUP(Buy_unvalid[[#This Row],[BOND_CODE]],FNRP!D:D,FNRP!I:I,,0)</f>
        <v>92330</v>
      </c>
      <c r="BO63" s="534">
        <f>_xlfn.XLOOKUP(Buy_unvalid[[#This Row],[DEAL_BUY_ID]],BS!BA:BA,BS!BQ:BQ,_xlfn.XLOOKUP(Buy_unvalid[[#This Row],[DEAL_BUY_ID]],BS!AL:AL,BS!AR:AR,,0),0)*Buy_unvalid[[#This Row],[QUANTITY]]</f>
        <v>5281706966.349165</v>
      </c>
      <c r="BP63" s="534">
        <f>(Buy_unvalid[[#This Row],[Giá MtM]]-10^5)*Buy_unvalid[[#This Row],[QUANTITY]]-Buy_unvalid[[#This Row],[PTCK remain]]</f>
        <v>-11417706966.349165</v>
      </c>
      <c r="BQ63" s="534" t="str">
        <f>IF(AND(Buy_unvalid[[#This Row],[VALUE_DATE]]&lt;=RPT,Buy_unvalid[[#This Row],[TRANSACTION_STATUS]]="N"),"Check","Ok")</f>
        <v>Ok</v>
      </c>
      <c r="BS63" s="128"/>
      <c r="BT63" s="848">
        <v>49326</v>
      </c>
      <c r="BU63" s="849">
        <v>46449</v>
      </c>
      <c r="BV63" s="848">
        <v>49559</v>
      </c>
      <c r="BW63" s="848"/>
      <c r="BX63" s="530">
        <v>1300000</v>
      </c>
      <c r="BY63" s="735">
        <f>_xlfn.XLOOKUP(Est_NIM[[#This Row],[DEAL_BUY_ID]],BS!AL:AL,BS!AU:AU,_xlfn.XLOOKUP(Est_NIM[[#This Row],[DEAL_BUY_ID]],BS!BA:BA,BS!BJ:BJ,,0),0)</f>
        <v>4.37</v>
      </c>
      <c r="BZ63" s="534">
        <f>Est_NIM[[#This Row],[QUANT]]*Est_NIM[[#This Row],[YIELD]]</f>
        <v>5681000</v>
      </c>
      <c r="CA63" s="128"/>
      <c r="CB63" s="128"/>
      <c r="CE63" s="331"/>
      <c r="CF63" s="331"/>
      <c r="CG63" s="331"/>
      <c r="CH63">
        <v>3730</v>
      </c>
      <c r="CI63">
        <v>14282</v>
      </c>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8"/>
      <c r="DS63" s="128"/>
      <c r="DT63" s="128"/>
      <c r="DU63" s="128"/>
      <c r="DV63" s="128"/>
      <c r="DW63" s="128"/>
      <c r="DX63" s="530"/>
      <c r="DY63" s="530"/>
      <c r="DZ63" s="530"/>
      <c r="EA63" s="530"/>
      <c r="EB63" s="530"/>
      <c r="EC63" s="530"/>
      <c r="ED63" s="530"/>
      <c r="EE63" s="530"/>
      <c r="EF63" s="530"/>
      <c r="EG63" s="530"/>
      <c r="EH63" s="530"/>
      <c r="EI63" s="530"/>
      <c r="EJ63" s="530"/>
      <c r="EK63" s="530"/>
      <c r="EL63" s="530"/>
      <c r="EM63" s="530"/>
      <c r="EN63" s="530"/>
      <c r="EO63" s="530"/>
      <c r="EP63" s="530"/>
      <c r="EQ63" s="530"/>
      <c r="ER63" s="530"/>
      <c r="ES63" s="530"/>
      <c r="ET63" s="530"/>
      <c r="EU63" s="530"/>
      <c r="EV63" s="530"/>
      <c r="EW63" s="530"/>
      <c r="EX63" s="530"/>
      <c r="EY63" s="530"/>
      <c r="EZ63" s="530"/>
      <c r="FA63" s="530"/>
      <c r="FB63" s="530"/>
      <c r="FC63" s="530"/>
      <c r="FD63" s="530"/>
      <c r="FE63" s="530"/>
      <c r="FF63" s="530"/>
      <c r="FG63" s="530"/>
      <c r="FH63" s="530"/>
      <c r="FI63" s="530"/>
      <c r="FJ63" s="530"/>
      <c r="FK63" s="530"/>
      <c r="FL63" s="530"/>
      <c r="FM63" s="530"/>
      <c r="FN63" s="530"/>
      <c r="FO63" s="530"/>
      <c r="FP63" s="530"/>
      <c r="FQ63" s="530"/>
      <c r="GI63" s="128"/>
      <c r="GJ63" s="128"/>
      <c r="GK63" s="128"/>
      <c r="GL63" s="128"/>
      <c r="GM63" s="128"/>
      <c r="GN63" s="128"/>
      <c r="GO63" s="128"/>
      <c r="GP63" s="128"/>
      <c r="GQ63" s="128"/>
      <c r="GR63" s="128"/>
      <c r="GS63" s="128"/>
      <c r="GT63" s="128"/>
      <c r="GU63" s="128"/>
      <c r="GV63" s="128"/>
      <c r="GW63" s="128"/>
      <c r="GX63" s="128"/>
      <c r="GY63" s="128"/>
      <c r="GZ63" s="128"/>
      <c r="HA63" s="128"/>
      <c r="HB63" s="128"/>
      <c r="HC63" s="128"/>
      <c r="HD63" s="128"/>
      <c r="HE63" s="128"/>
      <c r="HF63" s="128"/>
      <c r="HG63" s="128"/>
      <c r="HH63" s="128"/>
      <c r="HI63" s="128"/>
      <c r="HJ63" s="128"/>
      <c r="HK63" s="128"/>
      <c r="HL63" s="128"/>
      <c r="HM63" s="128"/>
      <c r="HN63" s="128"/>
      <c r="HO63" s="128"/>
      <c r="HP63" s="128"/>
      <c r="HQ63" s="128"/>
      <c r="HR63" s="128"/>
      <c r="HS63" s="128"/>
      <c r="HT63" s="128"/>
      <c r="HU63" s="128"/>
      <c r="HV63" s="128"/>
      <c r="HW63" s="128"/>
      <c r="HX63" s="128"/>
      <c r="HY63" s="128"/>
      <c r="HZ63" s="128"/>
      <c r="IA63" s="128"/>
      <c r="IB63" s="128"/>
      <c r="IC63" s="128"/>
    </row>
    <row r="64" spans="39:237" x14ac:dyDescent="0.3">
      <c r="AO64" s="128">
        <v>50275</v>
      </c>
      <c r="AP64" s="128" t="s">
        <v>720</v>
      </c>
      <c r="AQ64" s="128" t="s">
        <v>824</v>
      </c>
      <c r="AR64" s="128" t="s">
        <v>3594</v>
      </c>
      <c r="AS64" s="375">
        <v>46238</v>
      </c>
      <c r="AT64" s="375">
        <v>46240</v>
      </c>
      <c r="AU64" s="530">
        <v>153211</v>
      </c>
      <c r="AV64" s="128">
        <v>50072</v>
      </c>
      <c r="AW64" s="530">
        <v>550000</v>
      </c>
      <c r="AX64" s="534">
        <f>_xlfn.XLOOKUP(Sell_unvalid[[#This Row],[DEAL_BUY_ID]],BS!BA:BA,BS!BE:BE,,0)</f>
        <v>153368</v>
      </c>
      <c r="AY64" s="534">
        <f>_xlfn.XLOOKUP(Sell_unvalid[[#This Row],[BOND_CODE]],FNRP!D:D,FNRP!I:I,_xlfn.XLOOKUP(Sell_unvalid[[#This Row],[BOND_CODE]],FNRP!AV:AV,FNRP!BA:BA,,0),0)</f>
        <v>141623</v>
      </c>
      <c r="AZ64" s="534">
        <f>_xlfn.XLOOKUP(Sell_unvalid[[#This Row],[DEAL_BUY_ID]],BS!BA:BA,BS!BQ:BQ,,0)*Sell_unvalid[[#This Row],[QUANTITY]]</f>
        <v>29162383827.923908</v>
      </c>
      <c r="BA64" s="534">
        <f>(Sell_unvalid[[#This Row],[Giá MtM]]-10^5)*Sell_unvalid[[#This Row],[QUANTITY]]-Sell_unvalid[[#This Row],[PTCK remain]]</f>
        <v>-6269733827.9239082</v>
      </c>
      <c r="BB64" s="534">
        <f>(Sell_unvalid[[#This Row],[PRICE]]-10^5)*Sell_unvalid[[#This Row],[QUANTITY]]-Sell_unvalid[[#This Row],[PTCK remain]]</f>
        <v>103666172.07609177</v>
      </c>
      <c r="BC64" s="534" t="str">
        <f>IF(AND(Sell_unvalid[[#This Row],[VALUE_DATE]]&lt;=RPT,Sell_unvalid[[#This Row],[TRANSACTION_STATUS]]="N"),"Check","Ok")</f>
        <v>Ok</v>
      </c>
      <c r="BD64" s="534"/>
      <c r="BE64" s="615"/>
      <c r="BF64" s="128">
        <v>50382</v>
      </c>
      <c r="BG64" s="128" t="s">
        <v>702</v>
      </c>
      <c r="BH64" s="128" t="s">
        <v>824</v>
      </c>
      <c r="BI64" s="128" t="s">
        <v>3594</v>
      </c>
      <c r="BJ64" s="375">
        <v>46246</v>
      </c>
      <c r="BK64" s="375">
        <v>46251</v>
      </c>
      <c r="BL64" s="128">
        <v>500000</v>
      </c>
      <c r="BM64" s="128">
        <v>82729</v>
      </c>
      <c r="BN64" s="534">
        <f>_xlfn.XLOOKUP(Buy_unvalid[[#This Row],[BOND_CODE]],FNRP!D:D,FNRP!I:I,,0)</f>
        <v>82987</v>
      </c>
      <c r="BO64" s="534">
        <f>_xlfn.XLOOKUP(Buy_unvalid[[#This Row],[DEAL_BUY_ID]],BS!BA:BA,BS!BQ:BQ,_xlfn.XLOOKUP(Buy_unvalid[[#This Row],[DEAL_BUY_ID]],BS!AL:AL,BS!AR:AR,,0),0)*Buy_unvalid[[#This Row],[QUANTITY]]</f>
        <v>-8630519184.8413868</v>
      </c>
      <c r="BP64" s="534">
        <f>(Buy_unvalid[[#This Row],[Giá MtM]]-10^5)*Buy_unvalid[[#This Row],[QUANTITY]]-Buy_unvalid[[#This Row],[PTCK remain]]</f>
        <v>124019184.8413868</v>
      </c>
      <c r="BQ64" s="534" t="str">
        <f>IF(AND(Buy_unvalid[[#This Row],[VALUE_DATE]]&lt;=RPT,Buy_unvalid[[#This Row],[TRANSACTION_STATUS]]="N"),"Check","Ok")</f>
        <v>Ok</v>
      </c>
      <c r="BS64" s="128"/>
      <c r="BT64" s="848">
        <v>49326</v>
      </c>
      <c r="BU64" s="849">
        <v>46449</v>
      </c>
      <c r="BV64" s="848">
        <v>49835</v>
      </c>
      <c r="BW64" s="848"/>
      <c r="BX64" s="530">
        <v>700000</v>
      </c>
      <c r="BY64" s="735">
        <f>_xlfn.XLOOKUP(Est_NIM[[#This Row],[DEAL_BUY_ID]],BS!AL:AL,BS!AU:AU,_xlfn.XLOOKUP(Est_NIM[[#This Row],[DEAL_BUY_ID]],BS!BA:BA,BS!BJ:BJ,,0),0)</f>
        <v>4.0999999999999996</v>
      </c>
      <c r="BZ64" s="534">
        <f>Est_NIM[[#This Row],[QUANT]]*Est_NIM[[#This Row],[YIELD]]</f>
        <v>2869999.9999999995</v>
      </c>
      <c r="CA64" s="128"/>
      <c r="CB64" s="128"/>
      <c r="CE64" s="331"/>
      <c r="CF64" s="331"/>
      <c r="CG64" s="331"/>
      <c r="CH64">
        <v>3730</v>
      </c>
      <c r="CI64">
        <v>14282</v>
      </c>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8"/>
      <c r="DS64" s="128"/>
      <c r="DT64" s="128"/>
      <c r="DU64" s="128"/>
      <c r="DV64" s="128"/>
      <c r="DW64" s="128"/>
      <c r="DX64" s="530"/>
      <c r="DY64" s="530"/>
      <c r="DZ64" s="530"/>
      <c r="EA64" s="530"/>
      <c r="EB64" s="530"/>
      <c r="EC64" s="530"/>
      <c r="ED64" s="530"/>
      <c r="EE64" s="530"/>
      <c r="EF64" s="530"/>
      <c r="EG64" s="530"/>
      <c r="EH64" s="530"/>
      <c r="EI64" s="530"/>
      <c r="EJ64" s="530"/>
      <c r="EK64" s="530"/>
      <c r="EL64" s="530"/>
      <c r="EM64" s="530"/>
      <c r="EN64" s="530"/>
      <c r="EO64" s="530"/>
      <c r="EP64" s="530"/>
      <c r="EQ64" s="530"/>
      <c r="ER64" s="530"/>
      <c r="ES64" s="530"/>
      <c r="ET64" s="530"/>
      <c r="EU64" s="530"/>
      <c r="EV64" s="530"/>
      <c r="EW64" s="530"/>
      <c r="EX64" s="530"/>
      <c r="EY64" s="530"/>
      <c r="EZ64" s="530"/>
      <c r="FA64" s="530"/>
      <c r="FB64" s="530"/>
      <c r="FC64" s="530"/>
      <c r="FD64" s="530"/>
      <c r="FE64" s="530"/>
      <c r="FF64" s="530"/>
      <c r="FG64" s="530"/>
      <c r="FH64" s="530"/>
      <c r="FI64" s="530"/>
      <c r="FJ64" s="530"/>
      <c r="FK64" s="530"/>
      <c r="FL64" s="530"/>
      <c r="FM64" s="530"/>
      <c r="FN64" s="530"/>
      <c r="FO64" s="530"/>
      <c r="FP64" s="530"/>
      <c r="FQ64" s="530"/>
      <c r="GI64" s="128"/>
      <c r="GJ64" s="128"/>
      <c r="GK64" s="128"/>
      <c r="GL64" s="128"/>
      <c r="GM64" s="128"/>
      <c r="GN64" s="128"/>
      <c r="GO64" s="128"/>
      <c r="GP64" s="128"/>
      <c r="GQ64" s="128"/>
      <c r="GR64" s="128"/>
      <c r="GS64" s="128"/>
      <c r="GT64" s="128"/>
      <c r="GU64" s="128"/>
      <c r="GV64" s="128"/>
      <c r="GW64" s="128"/>
      <c r="GX64" s="128"/>
      <c r="GY64" s="128"/>
      <c r="GZ64" s="128"/>
      <c r="HA64" s="128"/>
      <c r="HB64" s="128"/>
      <c r="HC64" s="128"/>
      <c r="HD64" s="128"/>
      <c r="HE64" s="128"/>
      <c r="HF64" s="128"/>
      <c r="HG64" s="128"/>
      <c r="HH64" s="128"/>
      <c r="HI64" s="128"/>
      <c r="HJ64" s="128"/>
      <c r="HK64" s="128"/>
      <c r="HL64" s="128"/>
      <c r="HM64" s="128"/>
      <c r="HN64" s="128"/>
      <c r="HO64" s="128"/>
      <c r="HP64" s="128"/>
      <c r="HQ64" s="128"/>
      <c r="HR64" s="128"/>
      <c r="HS64" s="128"/>
      <c r="HT64" s="128"/>
      <c r="HU64" s="128"/>
      <c r="HV64" s="128"/>
      <c r="HW64" s="128"/>
      <c r="HX64" s="128"/>
      <c r="HY64" s="128"/>
      <c r="HZ64" s="128"/>
      <c r="IA64" s="128"/>
      <c r="IB64" s="128"/>
      <c r="IC64" s="128"/>
    </row>
    <row r="65" spans="41:237" x14ac:dyDescent="0.3">
      <c r="AO65" s="128">
        <v>50289</v>
      </c>
      <c r="AP65" s="128" t="s">
        <v>720</v>
      </c>
      <c r="AQ65" s="128" t="s">
        <v>824</v>
      </c>
      <c r="AR65" s="128" t="s">
        <v>3594</v>
      </c>
      <c r="AS65" s="375">
        <v>46238</v>
      </c>
      <c r="AT65" s="375">
        <v>46241</v>
      </c>
      <c r="AU65" s="530">
        <v>153252</v>
      </c>
      <c r="AV65" s="128">
        <v>47942</v>
      </c>
      <c r="AW65" s="530">
        <v>580000</v>
      </c>
      <c r="AX65" s="534">
        <f>_xlfn.XLOOKUP(Sell_unvalid[[#This Row],[DEAL_BUY_ID]],BS!BA:BA,BS!BE:BE,,0)</f>
        <v>154517</v>
      </c>
      <c r="AY65" s="534">
        <f>_xlfn.XLOOKUP(Sell_unvalid[[#This Row],[BOND_CODE]],FNRP!D:D,FNRP!I:I,_xlfn.XLOOKUP(Sell_unvalid[[#This Row],[BOND_CODE]],FNRP!AV:AV,FNRP!BA:BA,,0),0)</f>
        <v>141623</v>
      </c>
      <c r="AZ65" s="534">
        <f>_xlfn.XLOOKUP(Sell_unvalid[[#This Row],[DEAL_BUY_ID]],BS!BA:BA,BS!BQ:BQ,,0)*Sell_unvalid[[#This Row],[QUANTITY]]</f>
        <v>30460840920.8922</v>
      </c>
      <c r="BA65" s="534">
        <f>(Sell_unvalid[[#This Row],[Giá MtM]]-10^5)*Sell_unvalid[[#This Row],[QUANTITY]]-Sell_unvalid[[#This Row],[PTCK remain]]</f>
        <v>-6319500920.8922005</v>
      </c>
      <c r="BB65" s="534">
        <f>(Sell_unvalid[[#This Row],[PRICE]]-10^5)*Sell_unvalid[[#This Row],[QUANTITY]]-Sell_unvalid[[#This Row],[PTCK remain]]</f>
        <v>425319079.10779953</v>
      </c>
      <c r="BC65" s="534" t="str">
        <f>IF(AND(Sell_unvalid[[#This Row],[VALUE_DATE]]&lt;=RPT,Sell_unvalid[[#This Row],[TRANSACTION_STATUS]]="N"),"Check","Ok")</f>
        <v>Ok</v>
      </c>
      <c r="BD65" s="534"/>
      <c r="BE65" s="615"/>
      <c r="BF65" s="128">
        <v>50408</v>
      </c>
      <c r="BG65" s="128" t="s">
        <v>3517</v>
      </c>
      <c r="BH65" s="128" t="s">
        <v>824</v>
      </c>
      <c r="BI65" s="128" t="s">
        <v>3594</v>
      </c>
      <c r="BJ65" s="375">
        <v>46247</v>
      </c>
      <c r="BK65" s="375">
        <v>46253</v>
      </c>
      <c r="BL65" s="128">
        <v>2000000</v>
      </c>
      <c r="BM65" s="128">
        <v>98330</v>
      </c>
      <c r="BN65" s="534">
        <f>_xlfn.XLOOKUP(Buy_unvalid[[#This Row],[BOND_CODE]],FNRP!D:D,FNRP!I:I,,0)</f>
        <v>95519</v>
      </c>
      <c r="BO65" s="534">
        <f>_xlfn.XLOOKUP(Buy_unvalid[[#This Row],[DEAL_BUY_ID]],BS!BA:BA,BS!BQ:BQ,_xlfn.XLOOKUP(Buy_unvalid[[#This Row],[DEAL_BUY_ID]],BS!AL:AL,BS!AR:AR,,0),0)*Buy_unvalid[[#This Row],[QUANTITY]]</f>
        <v>-3340657534.2465658</v>
      </c>
      <c r="BP65" s="534">
        <f>(Buy_unvalid[[#This Row],[Giá MtM]]-10^5)*Buy_unvalid[[#This Row],[QUANTITY]]-Buy_unvalid[[#This Row],[PTCK remain]]</f>
        <v>-5621342465.7534342</v>
      </c>
      <c r="BQ65" s="534" t="str">
        <f>IF(AND(Buy_unvalid[[#This Row],[VALUE_DATE]]&lt;=RPT,Buy_unvalid[[#This Row],[TRANSACTION_STATUS]]="N"),"Check","Ok")</f>
        <v>Ok</v>
      </c>
      <c r="BS65" s="128"/>
      <c r="BT65" s="848">
        <v>49326</v>
      </c>
      <c r="BU65" s="849">
        <v>46449</v>
      </c>
      <c r="BV65" s="848">
        <v>49852</v>
      </c>
      <c r="BW65" s="848"/>
      <c r="BX65" s="530">
        <v>1000000</v>
      </c>
      <c r="BY65" s="735">
        <f>_xlfn.XLOOKUP(Est_NIM[[#This Row],[DEAL_BUY_ID]],BS!AL:AL,BS!AU:AU,_xlfn.XLOOKUP(Est_NIM[[#This Row],[DEAL_BUY_ID]],BS!BA:BA,BS!BJ:BJ,,0),0)</f>
        <v>4.2946999999999997</v>
      </c>
      <c r="BZ65" s="534">
        <f>Est_NIM[[#This Row],[QUANT]]*Est_NIM[[#This Row],[YIELD]]</f>
        <v>4294700</v>
      </c>
      <c r="CA65" s="128"/>
      <c r="CB65" s="128"/>
      <c r="CE65" s="331"/>
      <c r="CF65" s="331"/>
      <c r="CG65" s="331"/>
      <c r="CH65">
        <v>3730</v>
      </c>
      <c r="CI65">
        <v>14282</v>
      </c>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8"/>
      <c r="DS65" s="128"/>
      <c r="DT65" s="128"/>
      <c r="DU65" s="128"/>
      <c r="DV65" s="128"/>
      <c r="DW65" s="128"/>
      <c r="DX65" s="530"/>
      <c r="DY65" s="530"/>
      <c r="DZ65" s="530"/>
      <c r="EA65" s="530"/>
      <c r="EB65" s="530"/>
      <c r="EC65" s="530"/>
      <c r="ED65" s="530"/>
      <c r="EE65" s="530"/>
      <c r="EF65" s="530"/>
      <c r="EG65" s="530"/>
      <c r="EH65" s="530"/>
      <c r="EI65" s="530"/>
      <c r="EJ65" s="530"/>
      <c r="EK65" s="530"/>
      <c r="EL65" s="530"/>
      <c r="EM65" s="530"/>
      <c r="EN65" s="530"/>
      <c r="EO65" s="530"/>
      <c r="EP65" s="530"/>
      <c r="EQ65" s="530"/>
      <c r="ER65" s="530"/>
      <c r="ES65" s="530"/>
      <c r="ET65" s="530"/>
      <c r="EU65" s="530"/>
      <c r="EV65" s="530"/>
      <c r="EW65" s="530"/>
      <c r="EX65" s="530"/>
      <c r="EY65" s="530"/>
      <c r="EZ65" s="530"/>
      <c r="FA65" s="530"/>
      <c r="FB65" s="530"/>
      <c r="FC65" s="530"/>
      <c r="FD65" s="530"/>
      <c r="FE65" s="530"/>
      <c r="FF65" s="530"/>
      <c r="FG65" s="530"/>
      <c r="FH65" s="530"/>
      <c r="FI65" s="530"/>
      <c r="FJ65" s="530"/>
      <c r="FK65" s="530"/>
      <c r="FL65" s="530"/>
      <c r="FM65" s="530"/>
      <c r="FN65" s="530"/>
      <c r="FO65" s="530"/>
      <c r="FP65" s="530"/>
      <c r="FQ65" s="530"/>
      <c r="GI65" s="128"/>
      <c r="GJ65" s="128"/>
      <c r="GK65" s="128"/>
      <c r="GL65" s="128"/>
      <c r="GM65" s="128"/>
      <c r="GN65" s="128"/>
      <c r="GO65" s="128"/>
      <c r="GP65" s="128"/>
      <c r="GQ65" s="128"/>
      <c r="GR65" s="128"/>
      <c r="GS65" s="128"/>
      <c r="GT65" s="128"/>
      <c r="GU65" s="128"/>
      <c r="GV65" s="128"/>
      <c r="GW65" s="128"/>
      <c r="GX65" s="128"/>
      <c r="GY65" s="128"/>
      <c r="GZ65" s="128"/>
      <c r="HA65" s="128"/>
      <c r="HB65" s="128"/>
      <c r="HC65" s="128"/>
      <c r="HD65" s="128"/>
      <c r="HE65" s="128"/>
      <c r="HF65" s="128"/>
      <c r="HG65" s="128"/>
      <c r="HH65" s="128"/>
      <c r="HI65" s="128"/>
      <c r="HJ65" s="128"/>
      <c r="HK65" s="128"/>
      <c r="HL65" s="128"/>
      <c r="HM65" s="128"/>
      <c r="HN65" s="128"/>
      <c r="HO65" s="128"/>
      <c r="HP65" s="128"/>
      <c r="HQ65" s="128"/>
      <c r="HR65" s="128"/>
      <c r="HS65" s="128"/>
      <c r="HT65" s="128"/>
      <c r="HU65" s="128"/>
      <c r="HV65" s="128"/>
      <c r="HW65" s="128"/>
      <c r="HX65" s="128"/>
      <c r="HY65" s="128"/>
      <c r="HZ65" s="128"/>
      <c r="IA65" s="128"/>
      <c r="IB65" s="128"/>
      <c r="IC65" s="128"/>
    </row>
    <row r="66" spans="41:237" x14ac:dyDescent="0.3">
      <c r="AO66" s="128">
        <v>50289</v>
      </c>
      <c r="AP66" s="128" t="s">
        <v>720</v>
      </c>
      <c r="AQ66" s="128" t="s">
        <v>824</v>
      </c>
      <c r="AR66" s="128" t="s">
        <v>3594</v>
      </c>
      <c r="AS66" s="375">
        <v>46238</v>
      </c>
      <c r="AT66" s="375">
        <v>46241</v>
      </c>
      <c r="AU66" s="530">
        <v>153252</v>
      </c>
      <c r="AV66" s="128">
        <v>47944</v>
      </c>
      <c r="AW66" s="530">
        <v>420000</v>
      </c>
      <c r="AX66" s="534">
        <f>_xlfn.XLOOKUP(Sell_unvalid[[#This Row],[DEAL_BUY_ID]],BS!BA:BA,BS!BE:BE,,0)</f>
        <v>154517</v>
      </c>
      <c r="AY66" s="534">
        <f>_xlfn.XLOOKUP(Sell_unvalid[[#This Row],[BOND_CODE]],FNRP!D:D,FNRP!I:I,_xlfn.XLOOKUP(Sell_unvalid[[#This Row],[BOND_CODE]],FNRP!AV:AV,FNRP!BA:BA,,0),0)</f>
        <v>141623</v>
      </c>
      <c r="AZ66" s="534">
        <f>_xlfn.XLOOKUP(Sell_unvalid[[#This Row],[DEAL_BUY_ID]],BS!BA:BA,BS!BQ:BQ,,0)*Sell_unvalid[[#This Row],[QUANTITY]]</f>
        <v>22057850322.025387</v>
      </c>
      <c r="BA66" s="534">
        <f>(Sell_unvalid[[#This Row],[Giá MtM]]-10^5)*Sell_unvalid[[#This Row],[QUANTITY]]-Sell_unvalid[[#This Row],[PTCK remain]]</f>
        <v>-4576190322.0253868</v>
      </c>
      <c r="BB66" s="534">
        <f>(Sell_unvalid[[#This Row],[PRICE]]-10^5)*Sell_unvalid[[#This Row],[QUANTITY]]-Sell_unvalid[[#This Row],[PTCK remain]]</f>
        <v>307989677.97461319</v>
      </c>
      <c r="BC66" s="534" t="str">
        <f>IF(AND(Sell_unvalid[[#This Row],[VALUE_DATE]]&lt;=RPT,Sell_unvalid[[#This Row],[TRANSACTION_STATUS]]="N"),"Check","Ok")</f>
        <v>Ok</v>
      </c>
      <c r="BD66" s="534"/>
      <c r="BE66" s="615"/>
      <c r="BF66" s="128">
        <v>50342</v>
      </c>
      <c r="BG66" s="128" t="s">
        <v>2781</v>
      </c>
      <c r="BH66" s="128" t="s">
        <v>4054</v>
      </c>
      <c r="BI66" s="128" t="s">
        <v>3594</v>
      </c>
      <c r="BJ66" s="375">
        <v>46245</v>
      </c>
      <c r="BK66" s="375">
        <v>46245</v>
      </c>
      <c r="BL66" s="128">
        <v>3000000</v>
      </c>
      <c r="BM66" s="128">
        <v>101292</v>
      </c>
      <c r="BN66" s="534">
        <f>_xlfn.XLOOKUP(Buy_unvalid[[#This Row],[BOND_CODE]],FNRP!D:D,FNRP!I:I,,0)</f>
        <v>89050</v>
      </c>
      <c r="BO66" s="534">
        <f>_xlfn.XLOOKUP(Buy_unvalid[[#This Row],[DEAL_BUY_ID]],BS!BA:BA,BS!BQ:BQ,_xlfn.XLOOKUP(Buy_unvalid[[#This Row],[DEAL_BUY_ID]],BS!AL:AL,BS!AR:AR,,0),0)*Buy_unvalid[[#This Row],[QUANTITY]]</f>
        <v>3865403751.539084</v>
      </c>
      <c r="BP66" s="534">
        <f>(Buy_unvalid[[#This Row],[Giá MtM]]-10^5)*Buy_unvalid[[#This Row],[QUANTITY]]-Buy_unvalid[[#This Row],[PTCK remain]]</f>
        <v>-36715403751.539085</v>
      </c>
      <c r="BQ66" s="534" t="str">
        <f>IF(AND(Buy_unvalid[[#This Row],[VALUE_DATE]]&lt;=RPT,Buy_unvalid[[#This Row],[TRANSACTION_STATUS]]="N"),"Check","Ok")</f>
        <v>Ok</v>
      </c>
      <c r="BS66" s="128"/>
      <c r="BT66" s="848">
        <v>49326</v>
      </c>
      <c r="BU66" s="849">
        <v>46449</v>
      </c>
      <c r="BV66" s="848">
        <v>50169</v>
      </c>
      <c r="BW66" s="848"/>
      <c r="BX66" s="530">
        <v>800000</v>
      </c>
      <c r="BY66" s="735">
        <f>_xlfn.XLOOKUP(Est_NIM[[#This Row],[DEAL_BUY_ID]],BS!AL:AL,BS!AU:AU,_xlfn.XLOOKUP(Est_NIM[[#This Row],[DEAL_BUY_ID]],BS!BA:BA,BS!BJ:BJ,,0),0)</f>
        <v>3.7913000000000001</v>
      </c>
      <c r="BZ66" s="534">
        <f>Est_NIM[[#This Row],[QUANT]]*Est_NIM[[#This Row],[YIELD]]</f>
        <v>3033040</v>
      </c>
      <c r="CA66" s="128"/>
      <c r="CB66" s="128"/>
      <c r="CE66" s="331"/>
      <c r="CF66" s="331"/>
      <c r="CG66" s="331"/>
      <c r="CH66">
        <v>3730</v>
      </c>
      <c r="CI66">
        <v>14282</v>
      </c>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8"/>
      <c r="DS66" s="128"/>
      <c r="DT66" s="128"/>
      <c r="DU66" s="128"/>
      <c r="DV66" s="128"/>
      <c r="DW66" s="128"/>
      <c r="DX66" s="530"/>
      <c r="DY66" s="530"/>
      <c r="DZ66" s="530"/>
      <c r="EA66" s="530"/>
      <c r="EB66" s="530"/>
      <c r="EC66" s="530"/>
      <c r="ED66" s="530"/>
      <c r="EE66" s="530"/>
      <c r="EF66" s="530"/>
      <c r="EG66" s="530"/>
      <c r="EH66" s="530"/>
      <c r="EI66" s="530"/>
      <c r="EJ66" s="530"/>
      <c r="EK66" s="530"/>
      <c r="EL66" s="530"/>
      <c r="EM66" s="530"/>
      <c r="EN66" s="530"/>
      <c r="EO66" s="530"/>
      <c r="EP66" s="530"/>
      <c r="EQ66" s="530"/>
      <c r="ER66" s="530"/>
      <c r="ES66" s="530"/>
      <c r="ET66" s="530"/>
      <c r="EU66" s="530"/>
      <c r="EV66" s="530"/>
      <c r="EW66" s="530"/>
      <c r="EX66" s="530"/>
      <c r="EY66" s="530"/>
      <c r="EZ66" s="530"/>
      <c r="FA66" s="530"/>
      <c r="FB66" s="530"/>
      <c r="FC66" s="530"/>
      <c r="FD66" s="530"/>
      <c r="FE66" s="530"/>
      <c r="FF66" s="530"/>
      <c r="FG66" s="530"/>
      <c r="FH66" s="530"/>
      <c r="FI66" s="530"/>
      <c r="FJ66" s="530"/>
      <c r="FK66" s="530"/>
      <c r="FL66" s="530"/>
      <c r="FM66" s="530"/>
      <c r="FN66" s="530"/>
      <c r="FO66" s="530"/>
      <c r="FP66" s="530"/>
      <c r="FQ66" s="530"/>
      <c r="GI66" s="128"/>
      <c r="GJ66" s="128"/>
      <c r="GK66" s="128"/>
      <c r="GL66" s="128"/>
      <c r="GM66" s="128"/>
      <c r="GN66" s="128"/>
      <c r="GO66" s="128"/>
      <c r="GP66" s="128"/>
      <c r="GQ66" s="128"/>
      <c r="GR66" s="128"/>
      <c r="GS66" s="128"/>
      <c r="GT66" s="128"/>
      <c r="GU66" s="128"/>
      <c r="GV66" s="128"/>
      <c r="GW66" s="128"/>
      <c r="GX66" s="128"/>
      <c r="GY66" s="128"/>
      <c r="GZ66" s="128"/>
      <c r="HA66" s="128"/>
      <c r="HB66" s="128"/>
      <c r="HC66" s="128"/>
      <c r="HD66" s="128"/>
      <c r="HE66" s="128"/>
      <c r="HF66" s="128"/>
      <c r="HG66" s="128"/>
      <c r="HH66" s="128"/>
      <c r="HI66" s="128"/>
      <c r="HJ66" s="128"/>
      <c r="HK66" s="128"/>
      <c r="HL66" s="128"/>
      <c r="HM66" s="128"/>
      <c r="HN66" s="128"/>
      <c r="HO66" s="128"/>
      <c r="HP66" s="128"/>
      <c r="HQ66" s="128"/>
      <c r="HR66" s="128"/>
      <c r="HS66" s="128"/>
      <c r="HT66" s="128"/>
      <c r="HU66" s="128"/>
      <c r="HV66" s="128"/>
      <c r="HW66" s="128"/>
      <c r="HX66" s="128"/>
      <c r="HY66" s="128"/>
      <c r="HZ66" s="128"/>
      <c r="IA66" s="128"/>
      <c r="IB66" s="128"/>
      <c r="IC66" s="128"/>
    </row>
    <row r="67" spans="41:237" x14ac:dyDescent="0.3">
      <c r="AO67" s="128">
        <v>49587</v>
      </c>
      <c r="AP67" s="128" t="s">
        <v>724</v>
      </c>
      <c r="AQ67" s="128" t="s">
        <v>824</v>
      </c>
      <c r="AR67" s="375" t="s">
        <v>3594</v>
      </c>
      <c r="AS67" s="375">
        <v>46134</v>
      </c>
      <c r="AT67" s="375">
        <v>46451</v>
      </c>
      <c r="AU67" s="530">
        <v>141130</v>
      </c>
      <c r="AV67" s="532">
        <v>49583</v>
      </c>
      <c r="AW67" s="530">
        <v>1410000</v>
      </c>
      <c r="AX67" s="534">
        <f>_xlfn.XLOOKUP(Sell_unvalid[[#This Row],[DEAL_BUY_ID]],BS!BA:BA,BS!BE:BE,,0)</f>
        <v>139840</v>
      </c>
      <c r="AY67" s="534">
        <f>_xlfn.XLOOKUP(Sell_unvalid[[#This Row],[BOND_CODE]],FNRP!D:D,FNRP!I:I,_xlfn.XLOOKUP(Sell_unvalid[[#This Row],[BOND_CODE]],FNRP!AV:AV,FNRP!BA:BA,,0),0)</f>
        <v>138272</v>
      </c>
      <c r="AZ67" s="534">
        <f>_xlfn.XLOOKUP(Sell_unvalid[[#This Row],[DEAL_BUY_ID]],BS!BA:BA,BS!BQ:BQ,,0)*Sell_unvalid[[#This Row],[QUANTITY]]</f>
        <v>55316655831.138359</v>
      </c>
      <c r="BA67" s="534">
        <f>(Sell_unvalid[[#This Row],[Giá MtM]]-10^5)*Sell_unvalid[[#This Row],[QUANTITY]]-Sell_unvalid[[#This Row],[PTCK remain]]</f>
        <v>-1353135831.1383591</v>
      </c>
      <c r="BB67" s="534">
        <f>(Sell_unvalid[[#This Row],[PRICE]]-10^5)*Sell_unvalid[[#This Row],[QUANTITY]]-Sell_unvalid[[#This Row],[PTCK remain]]</f>
        <v>2676644168.8616409</v>
      </c>
      <c r="BC67" s="534" t="str">
        <f>IF(AND(Sell_unvalid[[#This Row],[VALUE_DATE]]&lt;=RPT,Sell_unvalid[[#This Row],[TRANSACTION_STATUS]]="N"),"Check","Ok")</f>
        <v>Ok</v>
      </c>
      <c r="BD67" s="534"/>
      <c r="BE67" s="615"/>
      <c r="BF67" s="128">
        <v>50344</v>
      </c>
      <c r="BG67" s="128" t="s">
        <v>2781</v>
      </c>
      <c r="BH67" s="128" t="s">
        <v>4054</v>
      </c>
      <c r="BI67" s="128" t="s">
        <v>3594</v>
      </c>
      <c r="BJ67" s="375">
        <v>46245</v>
      </c>
      <c r="BK67" s="375">
        <v>46245</v>
      </c>
      <c r="BL67" s="128">
        <v>2000000</v>
      </c>
      <c r="BM67" s="128">
        <v>101292</v>
      </c>
      <c r="BN67" s="534">
        <f>_xlfn.XLOOKUP(Buy_unvalid[[#This Row],[BOND_CODE]],FNRP!D:D,FNRP!I:I,,0)</f>
        <v>89050</v>
      </c>
      <c r="BO67" s="534">
        <f>_xlfn.XLOOKUP(Buy_unvalid[[#This Row],[DEAL_BUY_ID]],BS!BA:BA,BS!BQ:BQ,_xlfn.XLOOKUP(Buy_unvalid[[#This Row],[DEAL_BUY_ID]],BS!AL:AL,BS!AR:AR,,0),0)*Buy_unvalid[[#This Row],[QUANTITY]]</f>
        <v>2576935834.3593893</v>
      </c>
      <c r="BP67" s="534">
        <f>(Buy_unvalid[[#This Row],[Giá MtM]]-10^5)*Buy_unvalid[[#This Row],[QUANTITY]]-Buy_unvalid[[#This Row],[PTCK remain]]</f>
        <v>-24476935834.35939</v>
      </c>
      <c r="BQ67" s="534" t="str">
        <f>IF(AND(Buy_unvalid[[#This Row],[VALUE_DATE]]&lt;=RPT,Buy_unvalid[[#This Row],[TRANSACTION_STATUS]]="N"),"Check","Ok")</f>
        <v>Ok</v>
      </c>
      <c r="BS67" s="128"/>
      <c r="BT67" s="848">
        <v>49326</v>
      </c>
      <c r="BU67" s="849">
        <v>46449</v>
      </c>
      <c r="BV67" s="848">
        <v>50187</v>
      </c>
      <c r="BW67" s="848"/>
      <c r="BX67" s="530">
        <v>480000</v>
      </c>
      <c r="BY67" s="735">
        <f>_xlfn.XLOOKUP(Est_NIM[[#This Row],[DEAL_BUY_ID]],BS!AL:AL,BS!AU:AU,_xlfn.XLOOKUP(Est_NIM[[#This Row],[DEAL_BUY_ID]],BS!BA:BA,BS!BJ:BJ,,0),0)</f>
        <v>3.9018999999999999</v>
      </c>
      <c r="BZ67" s="534">
        <f>Est_NIM[[#This Row],[QUANT]]*Est_NIM[[#This Row],[YIELD]]</f>
        <v>1872912</v>
      </c>
      <c r="CA67" s="128"/>
      <c r="CB67" s="128"/>
      <c r="CE67" s="331"/>
      <c r="CF67" s="331"/>
      <c r="CG67" s="331"/>
      <c r="CH67">
        <v>3730</v>
      </c>
      <c r="CI67">
        <v>14282</v>
      </c>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8"/>
      <c r="DS67" s="128"/>
      <c r="DT67" s="128"/>
      <c r="DU67" s="128"/>
      <c r="DV67" s="128"/>
      <c r="DW67" s="128"/>
      <c r="DX67" s="530"/>
      <c r="DY67" s="530"/>
      <c r="DZ67" s="530"/>
      <c r="EA67" s="530"/>
      <c r="EB67" s="530"/>
      <c r="EC67" s="530"/>
      <c r="ED67" s="530"/>
      <c r="EE67" s="530"/>
      <c r="EF67" s="530"/>
      <c r="EG67" s="530"/>
      <c r="EH67" s="530"/>
      <c r="EI67" s="530"/>
      <c r="EJ67" s="530"/>
      <c r="EK67" s="530"/>
      <c r="EL67" s="530"/>
      <c r="EM67" s="530"/>
      <c r="EN67" s="530"/>
      <c r="EO67" s="530"/>
      <c r="EP67" s="530"/>
      <c r="EQ67" s="530"/>
      <c r="ER67" s="530"/>
      <c r="ES67" s="530"/>
      <c r="ET67" s="530"/>
      <c r="EU67" s="530"/>
      <c r="EV67" s="530"/>
      <c r="EW67" s="530"/>
      <c r="EX67" s="530"/>
      <c r="EY67" s="530"/>
      <c r="EZ67" s="530"/>
      <c r="FA67" s="530"/>
      <c r="FB67" s="530"/>
      <c r="FC67" s="530"/>
      <c r="FD67" s="530"/>
      <c r="FE67" s="530"/>
      <c r="FF67" s="530"/>
      <c r="FG67" s="530"/>
      <c r="FH67" s="530"/>
      <c r="FI67" s="530"/>
      <c r="FJ67" s="530"/>
      <c r="FK67" s="530"/>
      <c r="FL67" s="530"/>
      <c r="FM67" s="530"/>
      <c r="FN67" s="530"/>
      <c r="FO67" s="530"/>
      <c r="FP67" s="530"/>
      <c r="FQ67" s="530"/>
      <c r="GI67" s="128"/>
      <c r="GJ67" s="128"/>
      <c r="GK67" s="128"/>
      <c r="GL67" s="128"/>
      <c r="GM67" s="128"/>
      <c r="GN67" s="128"/>
      <c r="GO67" s="128"/>
      <c r="GP67" s="128"/>
      <c r="GQ67" s="128"/>
      <c r="GR67" s="128"/>
      <c r="GS67" s="128"/>
      <c r="GT67" s="128"/>
      <c r="GU67" s="128"/>
      <c r="GV67" s="128"/>
      <c r="GW67" s="128"/>
      <c r="GX67" s="128"/>
      <c r="GY67" s="128"/>
      <c r="GZ67" s="128"/>
      <c r="HA67" s="128"/>
      <c r="HB67" s="128"/>
      <c r="HC67" s="128"/>
      <c r="HD67" s="128"/>
      <c r="HE67" s="128"/>
      <c r="HF67" s="128"/>
      <c r="HG67" s="128"/>
      <c r="HH67" s="128"/>
      <c r="HI67" s="128"/>
      <c r="HJ67" s="128"/>
      <c r="HK67" s="128"/>
      <c r="HL67" s="128"/>
      <c r="HM67" s="128"/>
      <c r="HN67" s="128"/>
      <c r="HO67" s="128"/>
      <c r="HP67" s="128"/>
      <c r="HQ67" s="128"/>
      <c r="HR67" s="128"/>
      <c r="HS67" s="128"/>
      <c r="HT67" s="128"/>
      <c r="HU67" s="128"/>
      <c r="HV67" s="128"/>
      <c r="HW67" s="128"/>
      <c r="HX67" s="128"/>
      <c r="HY67" s="128"/>
      <c r="HZ67" s="128"/>
      <c r="IA67" s="128"/>
      <c r="IB67" s="128"/>
      <c r="IC67" s="128"/>
    </row>
    <row r="68" spans="41:237" x14ac:dyDescent="0.3">
      <c r="AO68" s="128">
        <v>49587</v>
      </c>
      <c r="AP68" s="128" t="s">
        <v>724</v>
      </c>
      <c r="AQ68" s="128" t="s">
        <v>824</v>
      </c>
      <c r="AR68" s="375" t="s">
        <v>3594</v>
      </c>
      <c r="AS68" s="375">
        <v>46134</v>
      </c>
      <c r="AT68" s="375">
        <v>46451</v>
      </c>
      <c r="AU68" s="530">
        <v>141130</v>
      </c>
      <c r="AV68" s="532">
        <v>49641</v>
      </c>
      <c r="AW68" s="530">
        <v>2000000</v>
      </c>
      <c r="AX68" s="534">
        <f>_xlfn.XLOOKUP(Sell_unvalid[[#This Row],[DEAL_BUY_ID]],BS!BA:BA,BS!BE:BE,,0)</f>
        <v>144092</v>
      </c>
      <c r="AY68" s="534">
        <f>_xlfn.XLOOKUP(Sell_unvalid[[#This Row],[BOND_CODE]],FNRP!D:D,FNRP!I:I,_xlfn.XLOOKUP(Sell_unvalid[[#This Row],[BOND_CODE]],FNRP!AV:AV,FNRP!BA:BA,,0),0)</f>
        <v>138272</v>
      </c>
      <c r="AZ68" s="534">
        <f>_xlfn.XLOOKUP(Sell_unvalid[[#This Row],[DEAL_BUY_ID]],BS!BA:BA,BS!BQ:BQ,,0)*Sell_unvalid[[#This Row],[QUANTITY]]</f>
        <v>86985682692.256058</v>
      </c>
      <c r="BA68" s="534">
        <f>(Sell_unvalid[[#This Row],[Giá MtM]]-10^5)*Sell_unvalid[[#This Row],[QUANTITY]]-Sell_unvalid[[#This Row],[PTCK remain]]</f>
        <v>-10441682692.256058</v>
      </c>
      <c r="BB68" s="534">
        <f>(Sell_unvalid[[#This Row],[PRICE]]-10^5)*Sell_unvalid[[#This Row],[QUANTITY]]-Sell_unvalid[[#This Row],[PTCK remain]]</f>
        <v>-4725682692.2560577</v>
      </c>
      <c r="BC68" s="534" t="str">
        <f>IF(AND(Sell_unvalid[[#This Row],[VALUE_DATE]]&lt;=RPT,Sell_unvalid[[#This Row],[TRANSACTION_STATUS]]="N"),"Check","Ok")</f>
        <v>Ok</v>
      </c>
      <c r="BD68" s="534"/>
      <c r="BE68" s="615"/>
      <c r="BF68" s="128">
        <v>50340</v>
      </c>
      <c r="BG68" s="128" t="s">
        <v>568</v>
      </c>
      <c r="BH68" s="128" t="s">
        <v>4054</v>
      </c>
      <c r="BI68" s="375" t="s">
        <v>3594</v>
      </c>
      <c r="BJ68" s="375">
        <v>46245</v>
      </c>
      <c r="BK68" s="375">
        <v>46245</v>
      </c>
      <c r="BL68" s="530">
        <v>3000000</v>
      </c>
      <c r="BM68" s="530">
        <v>102193</v>
      </c>
      <c r="BN68" s="534">
        <f>_xlfn.XLOOKUP(Buy_unvalid[[#This Row],[BOND_CODE]],FNRP!D:D,FNRP!I:I,,0)</f>
        <v>101065</v>
      </c>
      <c r="BO68" s="534">
        <f>_xlfn.XLOOKUP(Buy_unvalid[[#This Row],[DEAL_BUY_ID]],BS!BA:BA,BS!BQ:BQ,_xlfn.XLOOKUP(Buy_unvalid[[#This Row],[DEAL_BUY_ID]],BS!AL:AL,BS!AR:AR,,0),0)*Buy_unvalid[[#This Row],[QUANTITY]]</f>
        <v>6298607574.5366488</v>
      </c>
      <c r="BP68" s="534">
        <f>(Buy_unvalid[[#This Row],[Giá MtM]]-10^5)*Buy_unvalid[[#This Row],[QUANTITY]]-Buy_unvalid[[#This Row],[PTCK remain]]</f>
        <v>-3103607574.5366488</v>
      </c>
      <c r="BQ68" s="534" t="str">
        <f>IF(AND(Buy_unvalid[[#This Row],[VALUE_DATE]]&lt;=RPT,Buy_unvalid[[#This Row],[TRANSACTION_STATUS]]="N"),"Check","Ok")</f>
        <v>Ok</v>
      </c>
      <c r="BS68" s="128"/>
      <c r="BT68" s="848">
        <v>49326</v>
      </c>
      <c r="BU68" s="849">
        <v>46449</v>
      </c>
      <c r="BV68" s="848">
        <v>50207</v>
      </c>
      <c r="BW68" s="848"/>
      <c r="BX68" s="530">
        <v>320000</v>
      </c>
      <c r="BY68" s="735">
        <f>_xlfn.XLOOKUP(Est_NIM[[#This Row],[DEAL_BUY_ID]],BS!AL:AL,BS!AU:AU,_xlfn.XLOOKUP(Est_NIM[[#This Row],[DEAL_BUY_ID]],BS!BA:BA,BS!BJ:BJ,,0),0)</f>
        <v>4.0025000000000004</v>
      </c>
      <c r="BZ68" s="534">
        <f>Est_NIM[[#This Row],[QUANT]]*Est_NIM[[#This Row],[YIELD]]</f>
        <v>1280800.0000000002</v>
      </c>
      <c r="CA68" s="128"/>
      <c r="CB68" s="128"/>
      <c r="CE68" s="331"/>
      <c r="CF68" s="331"/>
      <c r="CG68" s="331"/>
      <c r="CH68">
        <v>3730</v>
      </c>
      <c r="CI68">
        <v>14282</v>
      </c>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8"/>
      <c r="DS68" s="128"/>
      <c r="DT68" s="128"/>
      <c r="DU68" s="128"/>
      <c r="DV68" s="128"/>
      <c r="DW68" s="128"/>
      <c r="DX68" s="530"/>
      <c r="DY68" s="530"/>
      <c r="DZ68" s="530"/>
      <c r="EA68" s="530"/>
      <c r="EB68" s="530"/>
      <c r="EC68" s="530"/>
      <c r="ED68" s="530"/>
      <c r="EE68" s="530"/>
      <c r="EF68" s="530"/>
      <c r="EG68" s="530"/>
      <c r="EH68" s="530"/>
      <c r="EI68" s="530"/>
      <c r="EJ68" s="530"/>
      <c r="EK68" s="530"/>
      <c r="EL68" s="530"/>
      <c r="EM68" s="530"/>
      <c r="EN68" s="530"/>
      <c r="EO68" s="530"/>
      <c r="EP68" s="530"/>
      <c r="EQ68" s="530"/>
      <c r="ER68" s="530"/>
      <c r="ES68" s="530"/>
      <c r="ET68" s="530"/>
      <c r="EU68" s="530"/>
      <c r="EV68" s="530"/>
      <c r="EW68" s="530"/>
      <c r="EX68" s="530"/>
      <c r="EY68" s="530"/>
      <c r="EZ68" s="530"/>
      <c r="FA68" s="530"/>
      <c r="FB68" s="530"/>
      <c r="FC68" s="530"/>
      <c r="FD68" s="530"/>
      <c r="FE68" s="530"/>
      <c r="FF68" s="530"/>
      <c r="FG68" s="530"/>
      <c r="FH68" s="530"/>
      <c r="FI68" s="530"/>
      <c r="FJ68" s="530"/>
      <c r="FK68" s="530"/>
      <c r="FL68" s="530"/>
      <c r="FM68" s="530"/>
      <c r="FN68" s="530"/>
      <c r="FO68" s="530"/>
      <c r="FP68" s="530"/>
      <c r="FQ68" s="530"/>
      <c r="GI68" s="128"/>
      <c r="GJ68" s="128"/>
      <c r="GK68" s="128"/>
      <c r="GL68" s="128"/>
      <c r="GM68" s="128"/>
      <c r="GN68" s="128"/>
      <c r="GO68" s="128"/>
      <c r="GP68" s="128"/>
      <c r="GQ68" s="128"/>
      <c r="GR68" s="128"/>
      <c r="GS68" s="128"/>
      <c r="GT68" s="128"/>
      <c r="GU68" s="128"/>
      <c r="GV68" s="128"/>
      <c r="GW68" s="128"/>
      <c r="GX68" s="128"/>
      <c r="GY68" s="128"/>
      <c r="GZ68" s="128"/>
      <c r="HA68" s="128"/>
      <c r="HB68" s="128"/>
      <c r="HC68" s="128"/>
      <c r="HD68" s="128"/>
      <c r="HE68" s="128"/>
      <c r="HF68" s="128"/>
      <c r="HG68" s="128"/>
      <c r="HH68" s="128"/>
      <c r="HI68" s="128"/>
      <c r="HJ68" s="128"/>
      <c r="HK68" s="128"/>
      <c r="HL68" s="128"/>
      <c r="HM68" s="128"/>
      <c r="HN68" s="128"/>
      <c r="HO68" s="128"/>
      <c r="HP68" s="128"/>
      <c r="HQ68" s="128"/>
      <c r="HR68" s="128"/>
      <c r="HS68" s="128"/>
      <c r="HT68" s="128"/>
      <c r="HU68" s="128"/>
      <c r="HV68" s="128"/>
      <c r="HW68" s="128"/>
      <c r="HX68" s="128"/>
      <c r="HY68" s="128"/>
      <c r="HZ68" s="128"/>
      <c r="IA68" s="128"/>
      <c r="IB68" s="128"/>
      <c r="IC68" s="128"/>
    </row>
    <row r="69" spans="41:237" x14ac:dyDescent="0.3">
      <c r="AO69" s="128">
        <v>50110</v>
      </c>
      <c r="AP69" s="128" t="s">
        <v>660</v>
      </c>
      <c r="AQ69" s="128" t="s">
        <v>824</v>
      </c>
      <c r="AR69" s="375" t="s">
        <v>3594</v>
      </c>
      <c r="AS69" s="375">
        <v>46196</v>
      </c>
      <c r="AT69" s="375">
        <v>46216</v>
      </c>
      <c r="AU69" s="530">
        <v>112358</v>
      </c>
      <c r="AV69" s="532">
        <v>49937</v>
      </c>
      <c r="AW69" s="530">
        <v>3600000</v>
      </c>
      <c r="AX69" s="534">
        <f>_xlfn.XLOOKUP(Sell_unvalid[[#This Row],[DEAL_BUY_ID]],BS!BA:BA,BS!BE:BE,,0)</f>
        <v>112373</v>
      </c>
      <c r="AY69" s="534">
        <f>_xlfn.XLOOKUP(Sell_unvalid[[#This Row],[BOND_CODE]],FNRP!D:D,FNRP!I:I,_xlfn.XLOOKUP(Sell_unvalid[[#This Row],[BOND_CODE]],FNRP!AV:AV,FNRP!BA:BA,,0),0)</f>
        <v>104987</v>
      </c>
      <c r="AZ69" s="534">
        <f>_xlfn.XLOOKUP(Sell_unvalid[[#This Row],[DEAL_BUY_ID]],BS!BA:BA,BS!BQ:BQ,,0)*Sell_unvalid[[#This Row],[QUANTITY]]</f>
        <v>43791879099.359756</v>
      </c>
      <c r="BA69" s="534">
        <f>(Sell_unvalid[[#This Row],[Giá MtM]]-10^5)*Sell_unvalid[[#This Row],[QUANTITY]]-Sell_unvalid[[#This Row],[PTCK remain]]</f>
        <v>-25838679099.359756</v>
      </c>
      <c r="BB69" s="534">
        <f>(Sell_unvalid[[#This Row],[PRICE]]-10^5)*Sell_unvalid[[#This Row],[QUANTITY]]-Sell_unvalid[[#This Row],[PTCK remain]]</f>
        <v>696920900.64024353</v>
      </c>
      <c r="BC69" s="534" t="str">
        <f>IF(AND(Sell_unvalid[[#This Row],[VALUE_DATE]]&lt;=RPT,Sell_unvalid[[#This Row],[TRANSACTION_STATUS]]="N"),"Check","Ok")</f>
        <v>Ok</v>
      </c>
      <c r="BD69" s="534"/>
      <c r="BE69" s="615"/>
      <c r="BF69" s="128">
        <v>50338</v>
      </c>
      <c r="BG69" s="128" t="s">
        <v>655</v>
      </c>
      <c r="BH69" s="128" t="s">
        <v>4054</v>
      </c>
      <c r="BI69" s="375" t="s">
        <v>3594</v>
      </c>
      <c r="BJ69" s="375">
        <v>46245</v>
      </c>
      <c r="BK69" s="375">
        <v>46245</v>
      </c>
      <c r="BL69" s="530">
        <v>340000</v>
      </c>
      <c r="BM69" s="530">
        <v>99745</v>
      </c>
      <c r="BN69" s="534">
        <f>_xlfn.XLOOKUP(Buy_unvalid[[#This Row],[BOND_CODE]],FNRP!D:D,FNRP!I:I,,0)</f>
        <v>107331</v>
      </c>
      <c r="BO69" s="534">
        <f>_xlfn.XLOOKUP(Buy_unvalid[[#This Row],[DEAL_BUY_ID]],BS!BA:BA,BS!BQ:BQ,_xlfn.XLOOKUP(Buy_unvalid[[#This Row],[DEAL_BUY_ID]],BS!AL:AL,BS!AR:AR,,0),0)*Buy_unvalid[[#This Row],[QUANTITY]]</f>
        <v>-86231877.027967572</v>
      </c>
      <c r="BP69" s="534">
        <f>(Buy_unvalid[[#This Row],[Giá MtM]]-10^5)*Buy_unvalid[[#This Row],[QUANTITY]]-Buy_unvalid[[#This Row],[PTCK remain]]</f>
        <v>2578771877.0279675</v>
      </c>
      <c r="BQ69" s="534" t="str">
        <f>IF(AND(Buy_unvalid[[#This Row],[VALUE_DATE]]&lt;=RPT,Buy_unvalid[[#This Row],[TRANSACTION_STATUS]]="N"),"Check","Ok")</f>
        <v>Ok</v>
      </c>
      <c r="BS69" s="128"/>
      <c r="BT69" s="848">
        <v>49326</v>
      </c>
      <c r="BU69" s="849">
        <v>46449</v>
      </c>
      <c r="BV69" s="848">
        <v>50237</v>
      </c>
      <c r="BW69" s="848"/>
      <c r="BX69" s="530">
        <v>800000</v>
      </c>
      <c r="BY69" s="735">
        <f>_xlfn.XLOOKUP(Est_NIM[[#This Row],[DEAL_BUY_ID]],BS!AL:AL,BS!AU:AU,_xlfn.XLOOKUP(Est_NIM[[#This Row],[DEAL_BUY_ID]],BS!BA:BA,BS!BJ:BJ,,0),0)</f>
        <v>4.4130000000000003</v>
      </c>
      <c r="BZ69" s="534">
        <f>Est_NIM[[#This Row],[QUANT]]*Est_NIM[[#This Row],[YIELD]]</f>
        <v>3530400</v>
      </c>
      <c r="CA69" s="128"/>
      <c r="CB69" s="128"/>
      <c r="CE69" s="331"/>
      <c r="CF69" s="331"/>
      <c r="CG69" s="331"/>
      <c r="CH69">
        <v>3730</v>
      </c>
      <c r="CI69">
        <v>14282</v>
      </c>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8"/>
      <c r="DS69" s="128"/>
      <c r="DT69" s="128"/>
      <c r="DU69" s="128"/>
      <c r="DV69" s="128"/>
      <c r="DW69" s="128"/>
      <c r="DX69" s="530"/>
      <c r="DY69" s="530"/>
      <c r="DZ69" s="530"/>
      <c r="EA69" s="530"/>
      <c r="EB69" s="530"/>
      <c r="EC69" s="530"/>
      <c r="ED69" s="530"/>
      <c r="EE69" s="530"/>
      <c r="EF69" s="530"/>
      <c r="EG69" s="530"/>
      <c r="EH69" s="530"/>
      <c r="EI69" s="530"/>
      <c r="EJ69" s="530"/>
      <c r="EK69" s="530"/>
      <c r="EL69" s="530"/>
      <c r="EM69" s="530"/>
      <c r="EN69" s="530"/>
      <c r="EO69" s="530"/>
      <c r="EP69" s="530"/>
      <c r="EQ69" s="530"/>
      <c r="ER69" s="530"/>
      <c r="ES69" s="530"/>
      <c r="ET69" s="530"/>
      <c r="EU69" s="530"/>
      <c r="EV69" s="530"/>
      <c r="EW69" s="530"/>
      <c r="EX69" s="530"/>
      <c r="EY69" s="530"/>
      <c r="EZ69" s="530"/>
      <c r="FA69" s="530"/>
      <c r="FB69" s="530"/>
      <c r="FC69" s="530"/>
      <c r="FD69" s="530"/>
      <c r="FE69" s="530"/>
      <c r="FF69" s="530"/>
      <c r="FG69" s="530"/>
      <c r="FH69" s="530"/>
      <c r="FI69" s="530"/>
      <c r="FJ69" s="530"/>
      <c r="FK69" s="530"/>
      <c r="FL69" s="530"/>
      <c r="FM69" s="530"/>
      <c r="FN69" s="530"/>
      <c r="FO69" s="530"/>
      <c r="FP69" s="530"/>
      <c r="FQ69" s="530"/>
      <c r="GI69" s="128"/>
      <c r="GJ69" s="128"/>
      <c r="GK69" s="128"/>
      <c r="GL69" s="128"/>
      <c r="GM69" s="128"/>
      <c r="GN69" s="128"/>
      <c r="GO69" s="128"/>
      <c r="GP69" s="128"/>
      <c r="GQ69" s="128"/>
      <c r="GR69" s="128"/>
      <c r="GS69" s="128"/>
      <c r="GT69" s="128"/>
      <c r="GU69" s="128"/>
      <c r="GV69" s="128"/>
      <c r="GW69" s="128"/>
      <c r="GX69" s="128"/>
      <c r="GY69" s="128"/>
      <c r="GZ69" s="128"/>
      <c r="HA69" s="128"/>
      <c r="HB69" s="128"/>
      <c r="HC69" s="128"/>
      <c r="HD69" s="128"/>
      <c r="HE69" s="128"/>
      <c r="HF69" s="128"/>
      <c r="HG69" s="128"/>
      <c r="HH69" s="128"/>
      <c r="HI69" s="128"/>
      <c r="HJ69" s="128"/>
      <c r="HK69" s="128"/>
      <c r="HL69" s="128"/>
      <c r="HM69" s="128"/>
      <c r="HN69" s="128"/>
      <c r="HO69" s="128"/>
      <c r="HP69" s="128"/>
      <c r="HQ69" s="128"/>
      <c r="HR69" s="128"/>
      <c r="HS69" s="128"/>
      <c r="HT69" s="128"/>
      <c r="HU69" s="128"/>
      <c r="HV69" s="128"/>
      <c r="HW69" s="128"/>
      <c r="HX69" s="128"/>
      <c r="HY69" s="128"/>
      <c r="HZ69" s="128"/>
      <c r="IA69" s="128"/>
      <c r="IB69" s="128"/>
      <c r="IC69" s="128"/>
    </row>
    <row r="70" spans="41:237" x14ac:dyDescent="0.3">
      <c r="AO70" s="128">
        <v>50431</v>
      </c>
      <c r="AP70" s="128" t="s">
        <v>667</v>
      </c>
      <c r="AQ70" s="128" t="s">
        <v>824</v>
      </c>
      <c r="AR70" s="375" t="s">
        <v>2234</v>
      </c>
      <c r="AS70" s="375">
        <v>46251</v>
      </c>
      <c r="AT70" s="375">
        <v>46258</v>
      </c>
      <c r="AU70" s="530">
        <v>115697</v>
      </c>
      <c r="AV70" s="532">
        <v>44037</v>
      </c>
      <c r="AW70" s="530">
        <v>500000</v>
      </c>
      <c r="AX70" s="534">
        <f>_xlfn.XLOOKUP(Sell_unvalid[[#This Row],[DEAL_BUY_ID]],BS!BA:BA,BS!BE:BE,,0)</f>
        <v>119235</v>
      </c>
      <c r="AY70" s="534">
        <f>_xlfn.XLOOKUP(Sell_unvalid[[#This Row],[BOND_CODE]],FNRP!D:D,FNRP!I:I,_xlfn.XLOOKUP(Sell_unvalid[[#This Row],[BOND_CODE]],FNRP!AV:AV,FNRP!BA:BA,,0),0)</f>
        <v>104176</v>
      </c>
      <c r="AZ70" s="534">
        <f>_xlfn.XLOOKUP(Sell_unvalid[[#This Row],[DEAL_BUY_ID]],BS!BA:BA,BS!BQ:BQ,,0)*Sell_unvalid[[#This Row],[QUANTITY]]</f>
        <v>7677573626.5641203</v>
      </c>
      <c r="BA70" s="534">
        <f>(Sell_unvalid[[#This Row],[Giá MtM]]-10^5)*Sell_unvalid[[#This Row],[QUANTITY]]-Sell_unvalid[[#This Row],[PTCK remain]]</f>
        <v>-5589573626.5641203</v>
      </c>
      <c r="BB70" s="534">
        <f>(Sell_unvalid[[#This Row],[PRICE]]-10^5)*Sell_unvalid[[#This Row],[QUANTITY]]-Sell_unvalid[[#This Row],[PTCK remain]]</f>
        <v>170926373.43587971</v>
      </c>
      <c r="BC70" s="534" t="str">
        <f>IF(AND(Sell_unvalid[[#This Row],[VALUE_DATE]]&lt;=RPT,Sell_unvalid[[#This Row],[TRANSACTION_STATUS]]="N"),"Check","Ok")</f>
        <v>Ok</v>
      </c>
      <c r="BD70" s="534"/>
      <c r="BE70" s="615"/>
      <c r="BF70" s="128">
        <v>50346</v>
      </c>
      <c r="BG70" s="128" t="s">
        <v>2852</v>
      </c>
      <c r="BH70" s="128" t="s">
        <v>4054</v>
      </c>
      <c r="BI70" s="375" t="s">
        <v>3594</v>
      </c>
      <c r="BJ70" s="375">
        <v>46245</v>
      </c>
      <c r="BK70" s="375">
        <v>46245</v>
      </c>
      <c r="BL70" s="530">
        <v>500000</v>
      </c>
      <c r="BM70" s="530">
        <v>98076</v>
      </c>
      <c r="BN70" s="534">
        <f>_xlfn.XLOOKUP(Buy_unvalid[[#This Row],[BOND_CODE]],FNRP!D:D,FNRP!I:I,,0)</f>
        <v>87596</v>
      </c>
      <c r="BO70" s="534">
        <f>_xlfn.XLOOKUP(Buy_unvalid[[#This Row],[DEAL_BUY_ID]],BS!BA:BA,BS!BQ:BQ,_xlfn.XLOOKUP(Buy_unvalid[[#This Row],[DEAL_BUY_ID]],BS!AL:AL,BS!AR:AR,,0),0)*Buy_unvalid[[#This Row],[QUANTITY]]</f>
        <v>-959347045.00978327</v>
      </c>
      <c r="BP70" s="534">
        <f>(Buy_unvalid[[#This Row],[Giá MtM]]-10^5)*Buy_unvalid[[#This Row],[QUANTITY]]-Buy_unvalid[[#This Row],[PTCK remain]]</f>
        <v>-5242652954.9902172</v>
      </c>
      <c r="BQ70" s="534" t="str">
        <f>IF(AND(Buy_unvalid[[#This Row],[VALUE_DATE]]&lt;=RPT,Buy_unvalid[[#This Row],[TRANSACTION_STATUS]]="N"),"Check","Ok")</f>
        <v>Ok</v>
      </c>
      <c r="BS70" s="128"/>
      <c r="BT70" s="848">
        <v>49329</v>
      </c>
      <c r="BU70" s="849">
        <v>46450</v>
      </c>
      <c r="BV70" s="848">
        <v>49327</v>
      </c>
      <c r="BW70" s="848"/>
      <c r="BX70" s="530">
        <v>2934000</v>
      </c>
      <c r="BY70" s="735">
        <f>_xlfn.XLOOKUP(Est_NIM[[#This Row],[DEAL_BUY_ID]],BS!AL:AL,BS!AU:AU,_xlfn.XLOOKUP(Est_NIM[[#This Row],[DEAL_BUY_ID]],BS!BA:BA,BS!BJ:BJ,,0),0)</f>
        <v>4.6100000000000003</v>
      </c>
      <c r="BZ70" s="534">
        <f>Est_NIM[[#This Row],[QUANT]]*Est_NIM[[#This Row],[YIELD]]</f>
        <v>13525740.000000002</v>
      </c>
      <c r="CA70" s="128"/>
      <c r="CB70" s="128"/>
      <c r="CE70" s="331"/>
      <c r="CF70" s="331"/>
      <c r="CG70" s="331"/>
      <c r="CH70">
        <v>3730</v>
      </c>
      <c r="CI70">
        <v>14282</v>
      </c>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8"/>
      <c r="DS70" s="128"/>
      <c r="DT70" s="128"/>
      <c r="DU70" s="128"/>
      <c r="DV70" s="128"/>
      <c r="DW70" s="128"/>
      <c r="DX70" s="530"/>
      <c r="DY70" s="530"/>
      <c r="DZ70" s="530"/>
      <c r="EA70" s="530"/>
      <c r="EB70" s="530"/>
      <c r="EC70" s="530"/>
      <c r="ED70" s="530"/>
      <c r="EE70" s="530"/>
      <c r="EF70" s="530"/>
      <c r="EG70" s="530"/>
      <c r="EH70" s="530"/>
      <c r="EI70" s="530"/>
      <c r="EJ70" s="530"/>
      <c r="EK70" s="530"/>
      <c r="EL70" s="530"/>
      <c r="EM70" s="530"/>
      <c r="EN70" s="530"/>
      <c r="EO70" s="530"/>
      <c r="EP70" s="530"/>
      <c r="EQ70" s="530"/>
      <c r="ER70" s="530"/>
      <c r="ES70" s="530"/>
      <c r="ET70" s="530"/>
      <c r="EU70" s="530"/>
      <c r="EV70" s="530"/>
      <c r="EW70" s="530"/>
      <c r="EX70" s="530"/>
      <c r="EY70" s="530"/>
      <c r="EZ70" s="530"/>
      <c r="FA70" s="530"/>
      <c r="FB70" s="530"/>
      <c r="FC70" s="530"/>
      <c r="FD70" s="530"/>
      <c r="FE70" s="530"/>
      <c r="FF70" s="530"/>
      <c r="FG70" s="530"/>
      <c r="FH70" s="530"/>
      <c r="FI70" s="530"/>
      <c r="FJ70" s="530"/>
      <c r="FK70" s="530"/>
      <c r="FL70" s="530"/>
      <c r="FM70" s="530"/>
      <c r="FN70" s="530"/>
      <c r="FO70" s="530"/>
      <c r="FP70" s="530"/>
      <c r="FQ70" s="530"/>
      <c r="GJ70" s="128"/>
      <c r="GK70" s="128"/>
      <c r="GL70" s="128"/>
      <c r="GM70" s="128"/>
      <c r="GN70" s="128"/>
      <c r="GO70" s="128"/>
      <c r="GP70" s="128"/>
      <c r="GQ70" s="128"/>
      <c r="GR70" s="128"/>
      <c r="GS70" s="128"/>
      <c r="GT70" s="128"/>
      <c r="GU70" s="128"/>
      <c r="GV70" s="128"/>
      <c r="GW70" s="128"/>
      <c r="GX70" s="128"/>
      <c r="GY70" s="128"/>
      <c r="GZ70" s="128"/>
      <c r="HA70" s="128"/>
      <c r="HB70" s="128"/>
      <c r="HC70" s="128"/>
      <c r="HD70" s="128"/>
      <c r="HE70" s="128"/>
      <c r="HF70" s="128"/>
      <c r="HG70" s="128"/>
      <c r="HH70" s="128"/>
      <c r="HI70" s="128"/>
      <c r="HJ70" s="128"/>
      <c r="HK70" s="128"/>
      <c r="HL70" s="128"/>
      <c r="HM70" s="128"/>
      <c r="HN70" s="128"/>
      <c r="HO70" s="128"/>
      <c r="HP70" s="128"/>
      <c r="HQ70" s="128"/>
      <c r="HR70" s="128"/>
      <c r="HS70" s="128"/>
      <c r="HT70" s="128"/>
      <c r="HU70" s="128"/>
      <c r="HV70" s="128"/>
      <c r="HW70" s="128"/>
      <c r="HX70" s="128"/>
      <c r="HY70" s="128"/>
      <c r="HZ70" s="128"/>
      <c r="IA70" s="128"/>
      <c r="IB70" s="128"/>
      <c r="IC70" s="128"/>
    </row>
    <row r="71" spans="41:237" x14ac:dyDescent="0.3">
      <c r="AO71" s="128">
        <v>48890</v>
      </c>
      <c r="AP71" s="128" t="s">
        <v>666</v>
      </c>
      <c r="AQ71" s="128" t="s">
        <v>824</v>
      </c>
      <c r="AR71" s="375" t="s">
        <v>3594</v>
      </c>
      <c r="AS71" s="375">
        <v>46059</v>
      </c>
      <c r="AT71" s="375">
        <v>46247</v>
      </c>
      <c r="AU71" s="530">
        <v>106224</v>
      </c>
      <c r="AV71" s="532">
        <v>48884</v>
      </c>
      <c r="AW71" s="530">
        <v>500000</v>
      </c>
      <c r="AX71" s="534">
        <f>_xlfn.XLOOKUP(Sell_unvalid[[#This Row],[DEAL_BUY_ID]],BS!BA:BA,BS!BE:BE,,0)</f>
        <v>106113</v>
      </c>
      <c r="AY71" s="534">
        <f>_xlfn.XLOOKUP(Sell_unvalid[[#This Row],[BOND_CODE]],FNRP!D:D,FNRP!I:I,_xlfn.XLOOKUP(Sell_unvalid[[#This Row],[BOND_CODE]],FNRP!AV:AV,FNRP!BA:BA,,0),0)</f>
        <v>104787</v>
      </c>
      <c r="AZ71" s="534">
        <f>_xlfn.XLOOKUP(Sell_unvalid[[#This Row],[DEAL_BUY_ID]],BS!BA:BA,BS!BQ:BQ,,0)*Sell_unvalid[[#This Row],[QUANTITY]]</f>
        <v>2856808867.564187</v>
      </c>
      <c r="BA71" s="534">
        <f>(Sell_unvalid[[#This Row],[Giá MtM]]-10^5)*Sell_unvalid[[#This Row],[QUANTITY]]-Sell_unvalid[[#This Row],[PTCK remain]]</f>
        <v>-463308867.56418705</v>
      </c>
      <c r="BB71" s="534">
        <f>(Sell_unvalid[[#This Row],[PRICE]]-10^5)*Sell_unvalid[[#This Row],[QUANTITY]]-Sell_unvalid[[#This Row],[PTCK remain]]</f>
        <v>255191132.43581295</v>
      </c>
      <c r="BC71" s="534" t="str">
        <f>IF(AND(Sell_unvalid[[#This Row],[VALUE_DATE]]&lt;=RPT,Sell_unvalid[[#This Row],[TRANSACTION_STATUS]]="N"),"Check","Ok")</f>
        <v>Ok</v>
      </c>
      <c r="BD71" s="534"/>
      <c r="BE71" s="615"/>
      <c r="BF71" s="128">
        <v>50387</v>
      </c>
      <c r="BG71" s="128" t="s">
        <v>2503</v>
      </c>
      <c r="BH71" s="128" t="s">
        <v>4054</v>
      </c>
      <c r="BI71" s="128" t="s">
        <v>3594</v>
      </c>
      <c r="BJ71" s="375">
        <v>46246</v>
      </c>
      <c r="BK71" s="375">
        <v>46246</v>
      </c>
      <c r="BL71" s="128">
        <v>2000000</v>
      </c>
      <c r="BM71" s="128">
        <v>106927</v>
      </c>
      <c r="BN71" s="534">
        <f>_xlfn.XLOOKUP(Buy_unvalid[[#This Row],[BOND_CODE]],FNRP!D:D,FNRP!I:I,,0)</f>
        <v>90235</v>
      </c>
      <c r="BO71" s="534">
        <f>_xlfn.XLOOKUP(Buy_unvalid[[#This Row],[DEAL_BUY_ID]],BS!BA:BA,BS!BQ:BQ,_xlfn.XLOOKUP(Buy_unvalid[[#This Row],[DEAL_BUY_ID]],BS!AL:AL,BS!AR:AR,,0),0)*Buy_unvalid[[#This Row],[QUANTITY]]</f>
        <v>13831447318.514807</v>
      </c>
      <c r="BP71" s="534">
        <f>(Buy_unvalid[[#This Row],[Giá MtM]]-10^5)*Buy_unvalid[[#This Row],[QUANTITY]]-Buy_unvalid[[#This Row],[PTCK remain]]</f>
        <v>-33361447318.514809</v>
      </c>
      <c r="BQ71" s="534" t="str">
        <f>IF(AND(Buy_unvalid[[#This Row],[VALUE_DATE]]&lt;=RPT,Buy_unvalid[[#This Row],[TRANSACTION_STATUS]]="N"),"Check","Ok")</f>
        <v>Ok</v>
      </c>
      <c r="BS71" s="128"/>
      <c r="BT71" s="848">
        <v>49329</v>
      </c>
      <c r="BU71" s="849">
        <v>46450</v>
      </c>
      <c r="BV71" s="848">
        <v>49327</v>
      </c>
      <c r="BW71" s="848"/>
      <c r="BX71" s="530">
        <v>800000</v>
      </c>
      <c r="BY71" s="735">
        <f>_xlfn.XLOOKUP(Est_NIM[[#This Row],[DEAL_BUY_ID]],BS!AL:AL,BS!AU:AU,_xlfn.XLOOKUP(Est_NIM[[#This Row],[DEAL_BUY_ID]],BS!BA:BA,BS!BJ:BJ,,0),0)</f>
        <v>4.6100000000000003</v>
      </c>
      <c r="BZ71" s="534">
        <f>Est_NIM[[#This Row],[QUANT]]*Est_NIM[[#This Row],[YIELD]]</f>
        <v>3688000.0000000005</v>
      </c>
      <c r="CA71" s="128"/>
      <c r="CB71" s="128"/>
      <c r="CE71" s="331"/>
      <c r="CF71" s="331"/>
      <c r="CG71" s="331"/>
      <c r="CH71">
        <v>3730</v>
      </c>
      <c r="CI71">
        <v>14282</v>
      </c>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8"/>
      <c r="DS71" s="128"/>
      <c r="DT71" s="128"/>
      <c r="DU71" s="128"/>
      <c r="DV71" s="128"/>
      <c r="DW71" s="128"/>
      <c r="DX71" s="530"/>
      <c r="DY71" s="530"/>
      <c r="DZ71" s="530"/>
      <c r="EA71" s="530"/>
      <c r="EB71" s="530"/>
      <c r="EC71" s="530"/>
      <c r="ED71" s="530"/>
      <c r="EE71" s="530"/>
      <c r="EF71" s="530"/>
      <c r="EG71" s="530"/>
      <c r="EH71" s="530"/>
      <c r="EI71" s="530"/>
      <c r="EJ71" s="530"/>
      <c r="EK71" s="530"/>
      <c r="EL71" s="530"/>
      <c r="EM71" s="530"/>
      <c r="EN71" s="530"/>
      <c r="EO71" s="530"/>
      <c r="EP71" s="530"/>
      <c r="EQ71" s="530"/>
      <c r="ER71" s="530"/>
      <c r="ES71" s="530"/>
      <c r="ET71" s="530"/>
      <c r="EU71" s="530"/>
      <c r="EV71" s="530"/>
      <c r="EW71" s="530"/>
      <c r="EX71" s="530"/>
      <c r="EY71" s="530"/>
      <c r="EZ71" s="530"/>
      <c r="FA71" s="530"/>
      <c r="FB71" s="530"/>
      <c r="FC71" s="530"/>
      <c r="FD71" s="530"/>
      <c r="FE71" s="530"/>
      <c r="FF71" s="530"/>
      <c r="FG71" s="530"/>
      <c r="FH71" s="530"/>
      <c r="FI71" s="530"/>
      <c r="FJ71" s="530"/>
      <c r="FK71" s="530"/>
      <c r="FL71" s="530"/>
      <c r="FM71" s="530"/>
      <c r="FN71" s="530"/>
      <c r="FO71" s="530"/>
      <c r="FP71" s="530"/>
      <c r="FQ71" s="530"/>
      <c r="GJ71" s="128"/>
      <c r="GK71" s="128"/>
      <c r="GL71" s="128"/>
      <c r="GM71" s="128"/>
      <c r="GN71" s="128"/>
      <c r="GO71" s="128"/>
      <c r="GP71" s="128"/>
      <c r="GQ71" s="128"/>
      <c r="GR71" s="128"/>
      <c r="GS71" s="128"/>
      <c r="GT71" s="128"/>
      <c r="GU71" s="128"/>
      <c r="GV71" s="128"/>
      <c r="GW71" s="128"/>
      <c r="GX71" s="128"/>
      <c r="GY71" s="128"/>
      <c r="GZ71" s="128"/>
      <c r="HA71" s="128"/>
      <c r="HB71" s="128"/>
      <c r="HC71" s="128"/>
      <c r="HD71" s="128"/>
      <c r="HE71" s="128"/>
      <c r="HF71" s="128"/>
      <c r="HG71" s="128"/>
      <c r="HH71" s="128"/>
      <c r="HI71" s="128"/>
      <c r="HJ71" s="128"/>
      <c r="HK71" s="128"/>
      <c r="HL71" s="128"/>
      <c r="HM71" s="128"/>
      <c r="HN71" s="128"/>
      <c r="HO71" s="128"/>
      <c r="HP71" s="128"/>
      <c r="HQ71" s="128"/>
      <c r="HR71" s="128"/>
      <c r="HS71" s="128"/>
      <c r="HT71" s="128"/>
      <c r="HU71" s="128"/>
      <c r="HV71" s="128"/>
      <c r="HW71" s="128"/>
      <c r="HX71" s="128"/>
      <c r="HY71" s="128"/>
      <c r="HZ71" s="128"/>
      <c r="IA71" s="128"/>
      <c r="IB71" s="128"/>
      <c r="IC71" s="128"/>
    </row>
    <row r="72" spans="41:237" x14ac:dyDescent="0.3">
      <c r="AO72" s="128">
        <v>50253</v>
      </c>
      <c r="AP72" s="128" t="s">
        <v>710</v>
      </c>
      <c r="AQ72" s="128" t="s">
        <v>824</v>
      </c>
      <c r="AR72" s="375" t="s">
        <v>3594</v>
      </c>
      <c r="AS72" s="375">
        <v>46230</v>
      </c>
      <c r="AT72" s="375">
        <v>46385</v>
      </c>
      <c r="AU72" s="530">
        <v>107590</v>
      </c>
      <c r="AV72" s="532">
        <v>50248</v>
      </c>
      <c r="AW72" s="530">
        <v>1000000</v>
      </c>
      <c r="AX72" s="534">
        <f>_xlfn.XLOOKUP(Sell_unvalid[[#This Row],[DEAL_BUY_ID]],BS!BA:BA,BS!BE:BE,,0)</f>
        <v>108124</v>
      </c>
      <c r="AY72" s="534">
        <f>_xlfn.XLOOKUP(Sell_unvalid[[#This Row],[BOND_CODE]],FNRP!D:D,FNRP!I:I,_xlfn.XLOOKUP(Sell_unvalid[[#This Row],[BOND_CODE]],FNRP!AV:AV,FNRP!BA:BA,,0),0)</f>
        <v>110155</v>
      </c>
      <c r="AZ72" s="534">
        <f>_xlfn.XLOOKUP(Sell_unvalid[[#This Row],[DEAL_BUY_ID]],BS!BA:BA,BS!BQ:BQ,,0)*Sell_unvalid[[#This Row],[QUANTITY]]</f>
        <v>8085016236.3043737</v>
      </c>
      <c r="BA72" s="534">
        <f>(Sell_unvalid[[#This Row],[Giá MtM]]-10^5)*Sell_unvalid[[#This Row],[QUANTITY]]-Sell_unvalid[[#This Row],[PTCK remain]]</f>
        <v>2069983763.6956263</v>
      </c>
      <c r="BB72" s="534">
        <f>(Sell_unvalid[[#This Row],[PRICE]]-10^5)*Sell_unvalid[[#This Row],[QUANTITY]]-Sell_unvalid[[#This Row],[PTCK remain]]</f>
        <v>-495016236.30437374</v>
      </c>
      <c r="BC72" s="534" t="str">
        <f>IF(AND(Sell_unvalid[[#This Row],[VALUE_DATE]]&lt;=RPT,Sell_unvalid[[#This Row],[TRANSACTION_STATUS]]="N"),"Check","Ok")</f>
        <v>Ok</v>
      </c>
      <c r="BD72" s="534"/>
      <c r="BE72" s="615"/>
      <c r="BF72" s="128">
        <v>50389</v>
      </c>
      <c r="BG72" s="128" t="s">
        <v>2503</v>
      </c>
      <c r="BH72" s="128" t="s">
        <v>4054</v>
      </c>
      <c r="BI72" s="128" t="s">
        <v>3594</v>
      </c>
      <c r="BJ72" s="375">
        <v>46246</v>
      </c>
      <c r="BK72" s="375">
        <v>46246</v>
      </c>
      <c r="BL72" s="128">
        <v>1500000</v>
      </c>
      <c r="BM72" s="128">
        <v>106927</v>
      </c>
      <c r="BN72" s="534">
        <f>_xlfn.XLOOKUP(Buy_unvalid[[#This Row],[BOND_CODE]],FNRP!D:D,FNRP!I:I,,0)</f>
        <v>90235</v>
      </c>
      <c r="BO72" s="534">
        <f>_xlfn.XLOOKUP(Buy_unvalid[[#This Row],[DEAL_BUY_ID]],BS!BA:BA,BS!BQ:BQ,_xlfn.XLOOKUP(Buy_unvalid[[#This Row],[DEAL_BUY_ID]],BS!AL:AL,BS!AR:AR,,0),0)*Buy_unvalid[[#This Row],[QUANTITY]]</f>
        <v>10373585488.886105</v>
      </c>
      <c r="BP72" s="534">
        <f>(Buy_unvalid[[#This Row],[Giá MtM]]-10^5)*Buy_unvalid[[#This Row],[QUANTITY]]-Buy_unvalid[[#This Row],[PTCK remain]]</f>
        <v>-25021085488.886105</v>
      </c>
      <c r="BQ72" s="534" t="str">
        <f>IF(AND(Buy_unvalid[[#This Row],[VALUE_DATE]]&lt;=RPT,Buy_unvalid[[#This Row],[TRANSACTION_STATUS]]="N"),"Check","Ok")</f>
        <v>Ok</v>
      </c>
      <c r="BS72" s="128"/>
      <c r="BT72" s="848">
        <v>49329</v>
      </c>
      <c r="BU72" s="849">
        <v>46450</v>
      </c>
      <c r="BV72" s="848">
        <v>49327</v>
      </c>
      <c r="BW72" s="848"/>
      <c r="BX72" s="530">
        <v>700000</v>
      </c>
      <c r="BY72" s="735">
        <f>_xlfn.XLOOKUP(Est_NIM[[#This Row],[DEAL_BUY_ID]],BS!AL:AL,BS!AU:AU,_xlfn.XLOOKUP(Est_NIM[[#This Row],[DEAL_BUY_ID]],BS!BA:BA,BS!BJ:BJ,,0),0)</f>
        <v>4.6100000000000003</v>
      </c>
      <c r="BZ72" s="534">
        <f>Est_NIM[[#This Row],[QUANT]]*Est_NIM[[#This Row],[YIELD]]</f>
        <v>3227000</v>
      </c>
      <c r="CA72" s="128"/>
      <c r="CB72" s="128"/>
      <c r="CE72" s="331"/>
      <c r="CF72" s="331"/>
      <c r="CG72" s="331"/>
      <c r="CH72">
        <v>3730</v>
      </c>
      <c r="CI72">
        <v>14282</v>
      </c>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8"/>
      <c r="DS72" s="128"/>
      <c r="DT72" s="128"/>
      <c r="DU72" s="128"/>
      <c r="DV72" s="128"/>
      <c r="DW72" s="128"/>
      <c r="DX72" s="530"/>
      <c r="DY72" s="530"/>
      <c r="DZ72" s="530"/>
      <c r="EA72" s="530"/>
      <c r="EB72" s="530"/>
      <c r="EC72" s="530"/>
      <c r="ED72" s="530"/>
      <c r="EE72" s="530"/>
      <c r="EF72" s="530"/>
      <c r="EG72" s="530"/>
      <c r="EH72" s="530"/>
      <c r="EI72" s="530"/>
      <c r="EJ72" s="530"/>
      <c r="EK72" s="530"/>
      <c r="EL72" s="530"/>
      <c r="EM72" s="530"/>
      <c r="EN72" s="530"/>
      <c r="EO72" s="530"/>
      <c r="EP72" s="530"/>
      <c r="EQ72" s="530"/>
      <c r="ER72" s="530"/>
      <c r="ES72" s="530"/>
      <c r="ET72" s="530"/>
      <c r="EU72" s="530"/>
      <c r="EV72" s="530"/>
      <c r="EW72" s="530"/>
      <c r="EX72" s="530"/>
      <c r="EY72" s="530"/>
      <c r="EZ72" s="530"/>
      <c r="FA72" s="530"/>
      <c r="FB72" s="530"/>
      <c r="FC72" s="530"/>
      <c r="FD72" s="530"/>
      <c r="FE72" s="530"/>
      <c r="FF72" s="530"/>
      <c r="FG72" s="530"/>
      <c r="FH72" s="530"/>
      <c r="FI72" s="530"/>
      <c r="FJ72" s="530"/>
      <c r="FK72" s="530"/>
      <c r="FL72" s="530"/>
      <c r="FM72" s="530"/>
      <c r="FN72" s="530"/>
      <c r="FO72" s="530"/>
      <c r="FP72" s="530"/>
      <c r="FQ72" s="530"/>
      <c r="GJ72" s="128"/>
      <c r="GK72" s="128"/>
      <c r="GL72" s="128"/>
      <c r="GM72" s="128"/>
      <c r="GN72" s="128"/>
      <c r="GO72" s="128"/>
      <c r="GP72" s="128"/>
      <c r="GQ72" s="128"/>
      <c r="GR72" s="128"/>
      <c r="GS72" s="128"/>
      <c r="GT72" s="128"/>
      <c r="GU72" s="128"/>
      <c r="GV72" s="128"/>
      <c r="GW72" s="128"/>
      <c r="GX72" s="128"/>
      <c r="GY72" s="128"/>
      <c r="GZ72" s="128"/>
      <c r="HA72" s="128"/>
      <c r="HB72" s="128"/>
      <c r="HC72" s="128"/>
      <c r="HD72" s="128"/>
      <c r="HE72" s="128"/>
      <c r="HF72" s="128"/>
      <c r="HG72" s="128"/>
      <c r="HH72" s="128"/>
      <c r="HI72" s="128"/>
      <c r="HJ72" s="128"/>
      <c r="HK72" s="128"/>
      <c r="HL72" s="128"/>
      <c r="HM72" s="128"/>
      <c r="HN72" s="128"/>
      <c r="HO72" s="128"/>
      <c r="HP72" s="128"/>
      <c r="HQ72" s="128"/>
      <c r="HR72" s="128"/>
      <c r="HS72" s="128"/>
      <c r="HT72" s="128"/>
      <c r="HU72" s="128"/>
      <c r="HV72" s="128"/>
      <c r="HW72" s="128"/>
      <c r="HX72" s="128"/>
      <c r="HY72" s="128"/>
      <c r="HZ72" s="128"/>
      <c r="IA72" s="128"/>
      <c r="IB72" s="128"/>
      <c r="IC72" s="128"/>
    </row>
    <row r="73" spans="41:237" x14ac:dyDescent="0.3">
      <c r="AO73" s="128">
        <v>50251</v>
      </c>
      <c r="AP73" s="128" t="s">
        <v>728</v>
      </c>
      <c r="AQ73" s="128" t="s">
        <v>824</v>
      </c>
      <c r="AR73" s="375" t="s">
        <v>3594</v>
      </c>
      <c r="AS73" s="375">
        <v>46230</v>
      </c>
      <c r="AT73" s="375">
        <v>46385</v>
      </c>
      <c r="AU73" s="530">
        <v>111962</v>
      </c>
      <c r="AV73" s="532">
        <v>50246</v>
      </c>
      <c r="AW73" s="530">
        <v>500000</v>
      </c>
      <c r="AX73" s="534">
        <f>_xlfn.XLOOKUP(Sell_unvalid[[#This Row],[DEAL_BUY_ID]],BS!BA:BA,BS!BE:BE,,0)</f>
        <v>112509</v>
      </c>
      <c r="AY73" s="534">
        <f>_xlfn.XLOOKUP(Sell_unvalid[[#This Row],[BOND_CODE]],FNRP!D:D,FNRP!I:I,_xlfn.XLOOKUP(Sell_unvalid[[#This Row],[BOND_CODE]],FNRP!AV:AV,FNRP!BA:BA,,0),0)</f>
        <v>115288</v>
      </c>
      <c r="AZ73" s="534">
        <f>_xlfn.XLOOKUP(Sell_unvalid[[#This Row],[DEAL_BUY_ID]],BS!BA:BA,BS!BQ:BQ,,0)*Sell_unvalid[[#This Row],[QUANTITY]]</f>
        <v>6237888932.0537252</v>
      </c>
      <c r="BA73" s="534">
        <f>(Sell_unvalid[[#This Row],[Giá MtM]]-10^5)*Sell_unvalid[[#This Row],[QUANTITY]]-Sell_unvalid[[#This Row],[PTCK remain]]</f>
        <v>1406111067.9462748</v>
      </c>
      <c r="BB73" s="534">
        <f>(Sell_unvalid[[#This Row],[PRICE]]-10^5)*Sell_unvalid[[#This Row],[QUANTITY]]-Sell_unvalid[[#This Row],[PTCK remain]]</f>
        <v>-256888932.05372524</v>
      </c>
      <c r="BC73" s="534" t="str">
        <f>IF(AND(Sell_unvalid[[#This Row],[VALUE_DATE]]&lt;=RPT,Sell_unvalid[[#This Row],[TRANSACTION_STATUS]]="N"),"Check","Ok")</f>
        <v>Ok</v>
      </c>
      <c r="BD73" s="534"/>
      <c r="BE73" s="615"/>
      <c r="BF73" s="128">
        <v>50457</v>
      </c>
      <c r="BG73" s="128" t="s">
        <v>2839</v>
      </c>
      <c r="BH73" s="128" t="s">
        <v>4054</v>
      </c>
      <c r="BI73" s="128" t="s">
        <v>3594</v>
      </c>
      <c r="BJ73" s="375">
        <v>46252</v>
      </c>
      <c r="BK73" s="375">
        <v>46252</v>
      </c>
      <c r="BL73" s="128">
        <v>2000000</v>
      </c>
      <c r="BM73" s="128">
        <v>99646</v>
      </c>
      <c r="BN73" s="534">
        <f>_xlfn.XLOOKUP(Buy_unvalid[[#This Row],[BOND_CODE]],FNRP!D:D,FNRP!I:I,,0)</f>
        <v>89029</v>
      </c>
      <c r="BO73" s="534">
        <f>_xlfn.XLOOKUP(Buy_unvalid[[#This Row],[DEAL_BUY_ID]],BS!BA:BA,BS!BQ:BQ,_xlfn.XLOOKUP(Buy_unvalid[[#This Row],[DEAL_BUY_ID]],BS!AL:AL,BS!AR:AR,,0),0)*Buy_unvalid[[#This Row],[QUANTITY]]</f>
        <v>-708140881.42401373</v>
      </c>
      <c r="BP73" s="534">
        <f>(Buy_unvalid[[#This Row],[Giá MtM]]-10^5)*Buy_unvalid[[#This Row],[QUANTITY]]-Buy_unvalid[[#This Row],[PTCK remain]]</f>
        <v>-21233859118.575985</v>
      </c>
      <c r="BQ73" s="534" t="str">
        <f>IF(AND(Buy_unvalid[[#This Row],[VALUE_DATE]]&lt;=RPT,Buy_unvalid[[#This Row],[TRANSACTION_STATUS]]="N"),"Check","Ok")</f>
        <v>Ok</v>
      </c>
      <c r="BS73" s="128"/>
      <c r="BT73" s="848">
        <v>49329</v>
      </c>
      <c r="BU73" s="849">
        <v>46450</v>
      </c>
      <c r="BV73" s="848">
        <v>49394</v>
      </c>
      <c r="BW73" s="848"/>
      <c r="BX73" s="530">
        <v>500000</v>
      </c>
      <c r="BY73" s="735">
        <f>_xlfn.XLOOKUP(Est_NIM[[#This Row],[DEAL_BUY_ID]],BS!AL:AL,BS!AU:AU,_xlfn.XLOOKUP(Est_NIM[[#This Row],[DEAL_BUY_ID]],BS!BA:BA,BS!BJ:BJ,,0),0)</f>
        <v>4.3</v>
      </c>
      <c r="BZ73" s="534">
        <f>Est_NIM[[#This Row],[QUANT]]*Est_NIM[[#This Row],[YIELD]]</f>
        <v>2150000</v>
      </c>
      <c r="CA73" s="128"/>
      <c r="CB73" s="128"/>
      <c r="CE73" s="331"/>
      <c r="CF73" s="331"/>
      <c r="CG73" s="331"/>
      <c r="CH73">
        <v>3730</v>
      </c>
      <c r="CI73">
        <v>14282</v>
      </c>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8"/>
      <c r="DS73" s="128"/>
      <c r="DT73" s="128"/>
      <c r="DU73" s="128"/>
      <c r="DV73" s="128"/>
      <c r="DW73" s="128"/>
      <c r="DX73" s="530"/>
      <c r="DY73" s="530"/>
      <c r="DZ73" s="530"/>
      <c r="EA73" s="530"/>
      <c r="EB73" s="530"/>
      <c r="EC73" s="530"/>
      <c r="ED73" s="530"/>
      <c r="EE73" s="530"/>
      <c r="EF73" s="530"/>
      <c r="EG73" s="530"/>
      <c r="EH73" s="530"/>
      <c r="EI73" s="530"/>
      <c r="EJ73" s="530"/>
      <c r="EK73" s="530"/>
      <c r="EL73" s="530"/>
      <c r="EM73" s="530"/>
      <c r="EN73" s="530"/>
      <c r="EO73" s="530"/>
      <c r="EP73" s="530"/>
      <c r="EQ73" s="530"/>
      <c r="ER73" s="530"/>
      <c r="ES73" s="530"/>
      <c r="ET73" s="530"/>
      <c r="EU73" s="530"/>
      <c r="EV73" s="530"/>
      <c r="EW73" s="530"/>
      <c r="EX73" s="530"/>
      <c r="EY73" s="530"/>
      <c r="EZ73" s="530"/>
      <c r="FA73" s="530"/>
      <c r="FB73" s="530"/>
      <c r="FC73" s="530"/>
      <c r="FD73" s="530"/>
      <c r="FE73" s="530"/>
      <c r="FF73" s="530"/>
      <c r="FG73" s="530"/>
      <c r="FH73" s="530"/>
      <c r="FI73" s="530"/>
      <c r="FJ73" s="530"/>
      <c r="FK73" s="530"/>
      <c r="FL73" s="530"/>
      <c r="FM73" s="530"/>
      <c r="FN73" s="530"/>
      <c r="FO73" s="530"/>
      <c r="FP73" s="530"/>
      <c r="FQ73" s="530"/>
      <c r="GJ73" s="128"/>
      <c r="GK73" s="128"/>
      <c r="GL73" s="128"/>
      <c r="GM73" s="128"/>
      <c r="GN73" s="128"/>
      <c r="GO73" s="128"/>
      <c r="GP73" s="128"/>
      <c r="GQ73" s="128"/>
      <c r="GR73" s="128"/>
      <c r="GS73" s="128"/>
      <c r="GT73" s="128"/>
      <c r="GU73" s="128"/>
      <c r="GV73" s="128"/>
      <c r="GW73" s="128"/>
      <c r="GX73" s="128"/>
      <c r="GY73" s="128"/>
      <c r="GZ73" s="128"/>
      <c r="HA73" s="128"/>
      <c r="HB73" s="128"/>
      <c r="HC73" s="128"/>
      <c r="HD73" s="128"/>
      <c r="HE73" s="128"/>
      <c r="HF73" s="128"/>
      <c r="HG73" s="128"/>
      <c r="HH73" s="128"/>
      <c r="HI73" s="128"/>
      <c r="HJ73" s="128"/>
      <c r="HK73" s="128"/>
      <c r="HL73" s="128"/>
      <c r="HM73" s="128"/>
      <c r="HN73" s="128"/>
      <c r="HO73" s="128"/>
      <c r="HP73" s="128"/>
      <c r="HQ73" s="128"/>
      <c r="HR73" s="128"/>
      <c r="HS73" s="128"/>
      <c r="HT73" s="128"/>
      <c r="HU73" s="128"/>
      <c r="HV73" s="128"/>
      <c r="HW73" s="128"/>
      <c r="HX73" s="128"/>
      <c r="HY73" s="128"/>
      <c r="HZ73" s="128"/>
      <c r="IA73" s="128"/>
      <c r="IB73" s="128"/>
      <c r="IC73" s="128"/>
    </row>
    <row r="74" spans="41:237" x14ac:dyDescent="0.3">
      <c r="AO74" s="128">
        <v>48888</v>
      </c>
      <c r="AP74" s="128" t="s">
        <v>729</v>
      </c>
      <c r="AQ74" s="128" t="s">
        <v>824</v>
      </c>
      <c r="AR74" s="375" t="s">
        <v>3594</v>
      </c>
      <c r="AS74" s="375">
        <v>46059</v>
      </c>
      <c r="AT74" s="375">
        <v>46247</v>
      </c>
      <c r="AU74" s="530">
        <v>110547</v>
      </c>
      <c r="AV74" s="532">
        <v>50280</v>
      </c>
      <c r="AW74" s="530">
        <v>500000</v>
      </c>
      <c r="AX74" s="534">
        <f>_xlfn.XLOOKUP(Sell_unvalid[[#This Row],[DEAL_BUY_ID]],BS!BA:BA,BS!BE:BE,,0)</f>
        <v>117548</v>
      </c>
      <c r="AY74" s="534">
        <f>_xlfn.XLOOKUP(Sell_unvalid[[#This Row],[BOND_CODE]],FNRP!D:D,FNRP!I:I,_xlfn.XLOOKUP(Sell_unvalid[[#This Row],[BOND_CODE]],FNRP!AV:AV,FNRP!BA:BA,,0),0)</f>
        <v>107139</v>
      </c>
      <c r="AZ74" s="534">
        <f>_xlfn.XLOOKUP(Sell_unvalid[[#This Row],[DEAL_BUY_ID]],BS!BA:BA,BS!BQ:BQ,,0)*Sell_unvalid[[#This Row],[QUANTITY]]</f>
        <v>8761705506.197691</v>
      </c>
      <c r="BA74" s="534">
        <f>(Sell_unvalid[[#This Row],[Giá MtM]]-10^5)*Sell_unvalid[[#This Row],[QUANTITY]]-Sell_unvalid[[#This Row],[PTCK remain]]</f>
        <v>-5192205506.197691</v>
      </c>
      <c r="BB74" s="534">
        <f>(Sell_unvalid[[#This Row],[PRICE]]-10^5)*Sell_unvalid[[#This Row],[QUANTITY]]-Sell_unvalid[[#This Row],[PTCK remain]]</f>
        <v>-3488205506.197691</v>
      </c>
      <c r="BC74" s="534" t="str">
        <f>IF(AND(Sell_unvalid[[#This Row],[VALUE_DATE]]&lt;=RPT,Sell_unvalid[[#This Row],[TRANSACTION_STATUS]]="N"),"Check","Ok")</f>
        <v>Ok</v>
      </c>
      <c r="BD74" s="534"/>
      <c r="BE74" s="615"/>
      <c r="BF74" s="128">
        <v>50461</v>
      </c>
      <c r="BG74" s="128" t="s">
        <v>2835</v>
      </c>
      <c r="BH74" s="128" t="s">
        <v>4054</v>
      </c>
      <c r="BI74" s="375" t="s">
        <v>3594</v>
      </c>
      <c r="BJ74" s="375">
        <v>46252</v>
      </c>
      <c r="BK74" s="375">
        <v>46252</v>
      </c>
      <c r="BL74" s="530">
        <v>4000000</v>
      </c>
      <c r="BM74" s="530">
        <v>97579</v>
      </c>
      <c r="BN74" s="534">
        <f>_xlfn.XLOOKUP(Buy_unvalid[[#This Row],[BOND_CODE]],FNRP!D:D,FNRP!I:I,,0)</f>
        <v>82677</v>
      </c>
      <c r="BO74" s="534">
        <f>_xlfn.XLOOKUP(Buy_unvalid[[#This Row],[DEAL_BUY_ID]],BS!BA:BA,BS!BQ:BQ,_xlfn.XLOOKUP(Buy_unvalid[[#This Row],[DEAL_BUY_ID]],BS!AL:AL,BS!AR:AR,,0),0)*Buy_unvalid[[#This Row],[QUANTITY]]</f>
        <v>-9682409119.4495716</v>
      </c>
      <c r="BP74" s="534">
        <f>(Buy_unvalid[[#This Row],[Giá MtM]]-10^5)*Buy_unvalid[[#This Row],[QUANTITY]]-Buy_unvalid[[#This Row],[PTCK remain]]</f>
        <v>-59609590880.55043</v>
      </c>
      <c r="BQ74" s="534" t="str">
        <f>IF(AND(Buy_unvalid[[#This Row],[VALUE_DATE]]&lt;=RPT,Buy_unvalid[[#This Row],[TRANSACTION_STATUS]]="N"),"Check","Ok")</f>
        <v>Ok</v>
      </c>
      <c r="BS74" s="128"/>
      <c r="BT74" s="848">
        <v>49329</v>
      </c>
      <c r="BU74" s="849">
        <v>46450</v>
      </c>
      <c r="BV74" s="848">
        <v>49492</v>
      </c>
      <c r="BW74" s="848"/>
      <c r="BX74" s="530">
        <v>300000</v>
      </c>
      <c r="BY74" s="735">
        <f>_xlfn.XLOOKUP(Est_NIM[[#This Row],[DEAL_BUY_ID]],BS!AL:AL,BS!AU:AU,_xlfn.XLOOKUP(Est_NIM[[#This Row],[DEAL_BUY_ID]],BS!BA:BA,BS!BJ:BJ,,0),0)</f>
        <v>4.0999999999999996</v>
      </c>
      <c r="BZ74" s="534">
        <f>Est_NIM[[#This Row],[QUANT]]*Est_NIM[[#This Row],[YIELD]]</f>
        <v>1230000</v>
      </c>
      <c r="CA74" s="128"/>
      <c r="CB74" s="128"/>
      <c r="CE74" s="331"/>
      <c r="CF74" s="331"/>
      <c r="CG74" s="331"/>
      <c r="CH74">
        <v>3730</v>
      </c>
      <c r="CI74">
        <v>14282</v>
      </c>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8"/>
      <c r="DS74" s="128"/>
      <c r="DT74" s="128"/>
      <c r="DU74" s="128"/>
      <c r="DV74" s="128"/>
      <c r="DW74" s="128"/>
      <c r="DX74" s="530"/>
      <c r="DY74" s="530"/>
      <c r="DZ74" s="530"/>
      <c r="EA74" s="530"/>
      <c r="EB74" s="530"/>
      <c r="EC74" s="530"/>
      <c r="ED74" s="530"/>
      <c r="EE74" s="530"/>
      <c r="EF74" s="530"/>
      <c r="EG74" s="530"/>
      <c r="EH74" s="530"/>
      <c r="EI74" s="530"/>
      <c r="EJ74" s="530"/>
      <c r="EK74" s="530"/>
      <c r="EL74" s="530"/>
      <c r="EM74" s="530"/>
      <c r="EN74" s="530"/>
      <c r="EO74" s="530"/>
      <c r="EP74" s="530"/>
      <c r="EQ74" s="530"/>
      <c r="ER74" s="530"/>
      <c r="ES74" s="530"/>
      <c r="ET74" s="530"/>
      <c r="EU74" s="530"/>
      <c r="EV74" s="530"/>
      <c r="EW74" s="530"/>
      <c r="EX74" s="530"/>
      <c r="EY74" s="530"/>
      <c r="EZ74" s="530"/>
      <c r="FA74" s="530"/>
      <c r="FB74" s="530"/>
      <c r="FC74" s="530"/>
      <c r="FD74" s="530"/>
      <c r="FE74" s="530"/>
      <c r="FF74" s="530"/>
      <c r="FG74" s="530"/>
      <c r="FH74" s="530"/>
      <c r="FI74" s="530"/>
      <c r="FJ74" s="530"/>
      <c r="FK74" s="530"/>
      <c r="FL74" s="530"/>
      <c r="FM74" s="530"/>
      <c r="FN74" s="530"/>
      <c r="FO74" s="530"/>
      <c r="FP74" s="530"/>
      <c r="FQ74" s="530"/>
      <c r="GJ74" s="128"/>
      <c r="GK74" s="128"/>
      <c r="GL74" s="128"/>
      <c r="GM74" s="128"/>
      <c r="GN74" s="128"/>
      <c r="GO74" s="128"/>
      <c r="GP74" s="128"/>
      <c r="GQ74" s="128"/>
      <c r="GR74" s="128"/>
      <c r="GS74" s="128"/>
      <c r="GT74" s="128"/>
      <c r="GU74" s="128"/>
      <c r="GV74" s="128"/>
      <c r="GW74" s="128"/>
      <c r="GX74" s="128"/>
      <c r="GY74" s="128"/>
      <c r="GZ74" s="128"/>
      <c r="HA74" s="128"/>
      <c r="HB74" s="128"/>
      <c r="HC74" s="128"/>
      <c r="HD74" s="128"/>
      <c r="HE74" s="128"/>
      <c r="HF74" s="128"/>
      <c r="HG74" s="128"/>
      <c r="HH74" s="128"/>
      <c r="HI74" s="128"/>
      <c r="HJ74" s="128"/>
      <c r="HK74" s="128"/>
      <c r="HL74" s="128"/>
      <c r="HM74" s="128"/>
      <c r="HN74" s="128"/>
      <c r="HO74" s="128"/>
      <c r="HP74" s="128"/>
      <c r="HQ74" s="128"/>
      <c r="HR74" s="128"/>
      <c r="HS74" s="128"/>
      <c r="HT74" s="128"/>
      <c r="HU74" s="128"/>
      <c r="HV74" s="128"/>
      <c r="HW74" s="128"/>
      <c r="HX74" s="128"/>
      <c r="HY74" s="128"/>
      <c r="HZ74" s="128"/>
      <c r="IA74" s="128"/>
      <c r="IB74" s="128"/>
      <c r="IC74" s="128"/>
    </row>
    <row r="75" spans="41:237" x14ac:dyDescent="0.3">
      <c r="AO75" s="128">
        <v>49898</v>
      </c>
      <c r="AP75" s="128" t="s">
        <v>729</v>
      </c>
      <c r="AQ75" s="128" t="s">
        <v>824</v>
      </c>
      <c r="AR75" s="375" t="s">
        <v>3594</v>
      </c>
      <c r="AS75" s="375">
        <v>46174</v>
      </c>
      <c r="AT75" s="375">
        <v>46248</v>
      </c>
      <c r="AU75" s="530">
        <v>107554</v>
      </c>
      <c r="AV75" s="532">
        <v>50107</v>
      </c>
      <c r="AW75" s="530">
        <v>2000000</v>
      </c>
      <c r="AX75" s="534">
        <f>_xlfn.XLOOKUP(Sell_unvalid[[#This Row],[DEAL_BUY_ID]],BS!BA:BA,BS!BE:BE,,0)</f>
        <v>109922</v>
      </c>
      <c r="AY75" s="534">
        <f>_xlfn.XLOOKUP(Sell_unvalid[[#This Row],[BOND_CODE]],FNRP!D:D,FNRP!I:I,_xlfn.XLOOKUP(Sell_unvalid[[#This Row],[BOND_CODE]],FNRP!AV:AV,FNRP!BA:BA,,0),0)</f>
        <v>107139</v>
      </c>
      <c r="AZ75" s="534">
        <f>_xlfn.XLOOKUP(Sell_unvalid[[#This Row],[DEAL_BUY_ID]],BS!BA:BA,BS!BQ:BQ,,0)*Sell_unvalid[[#This Row],[QUANTITY]]</f>
        <v>19825890391.49831</v>
      </c>
      <c r="BA75" s="534">
        <f>(Sell_unvalid[[#This Row],[Giá MtM]]-10^5)*Sell_unvalid[[#This Row],[QUANTITY]]-Sell_unvalid[[#This Row],[PTCK remain]]</f>
        <v>-5547890391.4983101</v>
      </c>
      <c r="BB75" s="534">
        <f>(Sell_unvalid[[#This Row],[PRICE]]-10^5)*Sell_unvalid[[#This Row],[QUANTITY]]-Sell_unvalid[[#This Row],[PTCK remain]]</f>
        <v>-4717890391.4983101</v>
      </c>
      <c r="BC75" s="534" t="str">
        <f>IF(AND(Sell_unvalid[[#This Row],[VALUE_DATE]]&lt;=RPT,Sell_unvalid[[#This Row],[TRANSACTION_STATUS]]="N"),"Check","Ok")</f>
        <v>Ok</v>
      </c>
      <c r="BD75" s="534"/>
      <c r="BE75" s="615"/>
      <c r="BF75" s="128">
        <v>50459</v>
      </c>
      <c r="BG75" s="128" t="s">
        <v>695</v>
      </c>
      <c r="BH75" s="128" t="s">
        <v>4054</v>
      </c>
      <c r="BI75" s="128" t="s">
        <v>3594</v>
      </c>
      <c r="BJ75" s="375">
        <v>46252</v>
      </c>
      <c r="BK75" s="375">
        <v>46252</v>
      </c>
      <c r="BL75" s="128">
        <v>1000000</v>
      </c>
      <c r="BM75" s="128">
        <v>99831</v>
      </c>
      <c r="BN75" s="534">
        <f>_xlfn.XLOOKUP(Buy_unvalid[[#This Row],[BOND_CODE]],FNRP!D:D,FNRP!I:I,,0)</f>
        <v>85262</v>
      </c>
      <c r="BO75" s="534">
        <f>_xlfn.XLOOKUP(Buy_unvalid[[#This Row],[DEAL_BUY_ID]],BS!BA:BA,BS!BQ:BQ,_xlfn.XLOOKUP(Buy_unvalid[[#This Row],[DEAL_BUY_ID]],BS!AL:AL,BS!AR:AR,,0),0)*Buy_unvalid[[#This Row],[QUANTITY]]</f>
        <v>-168484502.11059856</v>
      </c>
      <c r="BP75" s="534">
        <f>(Buy_unvalid[[#This Row],[Giá MtM]]-10^5)*Buy_unvalid[[#This Row],[QUANTITY]]-Buy_unvalid[[#This Row],[PTCK remain]]</f>
        <v>-14569515497.8894</v>
      </c>
      <c r="BQ75" s="534" t="str">
        <f>IF(AND(Buy_unvalid[[#This Row],[VALUE_DATE]]&lt;=RPT,Buy_unvalid[[#This Row],[TRANSACTION_STATUS]]="N"),"Check","Ok")</f>
        <v>Ok</v>
      </c>
      <c r="BS75" s="128"/>
      <c r="BT75" s="848">
        <v>49329</v>
      </c>
      <c r="BU75" s="849">
        <v>46450</v>
      </c>
      <c r="BV75" s="848">
        <v>49716</v>
      </c>
      <c r="BW75" s="848"/>
      <c r="BX75" s="530">
        <v>700000</v>
      </c>
      <c r="BY75" s="735">
        <f>_xlfn.XLOOKUP(Est_NIM[[#This Row],[DEAL_BUY_ID]],BS!AL:AL,BS!AU:AU,_xlfn.XLOOKUP(Est_NIM[[#This Row],[DEAL_BUY_ID]],BS!BA:BA,BS!BJ:BJ,,0),0)</f>
        <v>4.0395000000000003</v>
      </c>
      <c r="BZ75" s="534">
        <f>Est_NIM[[#This Row],[QUANT]]*Est_NIM[[#This Row],[YIELD]]</f>
        <v>2827650</v>
      </c>
      <c r="CA75" s="128"/>
      <c r="CB75" s="128"/>
      <c r="CE75" s="331"/>
      <c r="CF75" s="331"/>
      <c r="CG75" s="331"/>
      <c r="CH75">
        <v>3730</v>
      </c>
      <c r="CI75">
        <v>14282</v>
      </c>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8"/>
      <c r="DS75" s="128"/>
      <c r="DT75" s="128"/>
      <c r="DU75" s="128"/>
      <c r="DV75" s="128"/>
      <c r="DW75" s="128"/>
      <c r="DX75" s="530"/>
      <c r="DY75" s="530"/>
      <c r="DZ75" s="530"/>
      <c r="EA75" s="530"/>
      <c r="EB75" s="530"/>
      <c r="EC75" s="530"/>
      <c r="ED75" s="530"/>
      <c r="EE75" s="530"/>
      <c r="EF75" s="530"/>
      <c r="EG75" s="530"/>
      <c r="EH75" s="530"/>
      <c r="EI75" s="530"/>
      <c r="EJ75" s="530"/>
      <c r="EK75" s="530"/>
      <c r="EL75" s="530"/>
      <c r="EM75" s="530"/>
      <c r="EN75" s="530"/>
      <c r="EO75" s="530"/>
      <c r="EP75" s="530"/>
      <c r="EQ75" s="530"/>
      <c r="ER75" s="530"/>
      <c r="ES75" s="530"/>
      <c r="ET75" s="530"/>
      <c r="EU75" s="530"/>
      <c r="EV75" s="530"/>
      <c r="EW75" s="530"/>
      <c r="EX75" s="530"/>
      <c r="EY75" s="530"/>
      <c r="EZ75" s="530"/>
      <c r="FA75" s="530"/>
      <c r="FB75" s="530"/>
      <c r="FC75" s="530"/>
      <c r="FD75" s="530"/>
      <c r="FE75" s="530"/>
      <c r="FF75" s="530"/>
      <c r="FG75" s="530"/>
      <c r="FH75" s="530"/>
      <c r="FI75" s="530"/>
      <c r="FJ75" s="530"/>
      <c r="FK75" s="530"/>
      <c r="FL75" s="530"/>
      <c r="FM75" s="530"/>
      <c r="FN75" s="530"/>
      <c r="FO75" s="530"/>
      <c r="FP75" s="530"/>
      <c r="FQ75" s="530"/>
      <c r="GJ75" s="128"/>
      <c r="GK75" s="128"/>
      <c r="GL75" s="128"/>
      <c r="GM75" s="128"/>
      <c r="GN75" s="128"/>
      <c r="GO75" s="128"/>
      <c r="GP75" s="128"/>
      <c r="GQ75" s="128"/>
      <c r="GR75" s="128"/>
      <c r="GS75" s="128"/>
      <c r="GT75" s="128"/>
      <c r="GU75" s="128"/>
      <c r="GV75" s="128"/>
      <c r="GW75" s="128"/>
      <c r="GX75" s="128"/>
      <c r="GY75" s="128"/>
      <c r="GZ75" s="128"/>
      <c r="HA75" s="128"/>
      <c r="HB75" s="128"/>
      <c r="HC75" s="128"/>
      <c r="HD75" s="128"/>
      <c r="HE75" s="128"/>
      <c r="HF75" s="128"/>
      <c r="HG75" s="128"/>
      <c r="HH75" s="128"/>
      <c r="HI75" s="128"/>
      <c r="HJ75" s="128"/>
      <c r="HK75" s="128"/>
      <c r="HL75" s="128"/>
      <c r="HM75" s="128"/>
      <c r="HN75" s="128"/>
      <c r="HO75" s="128"/>
      <c r="HP75" s="128"/>
      <c r="HQ75" s="128"/>
      <c r="HR75" s="128"/>
      <c r="HS75" s="128"/>
      <c r="HT75" s="128"/>
      <c r="HU75" s="128"/>
      <c r="HV75" s="128"/>
      <c r="HW75" s="128"/>
      <c r="HX75" s="128"/>
      <c r="HY75" s="128"/>
      <c r="HZ75" s="128"/>
      <c r="IA75" s="128"/>
      <c r="IB75" s="128"/>
      <c r="IC75" s="128"/>
    </row>
    <row r="76" spans="41:237" x14ac:dyDescent="0.3">
      <c r="AO76" s="128">
        <v>49898</v>
      </c>
      <c r="AP76" s="128" t="s">
        <v>729</v>
      </c>
      <c r="AQ76" s="128" t="s">
        <v>824</v>
      </c>
      <c r="AR76" s="375" t="s">
        <v>3594</v>
      </c>
      <c r="AS76" s="375">
        <v>46174</v>
      </c>
      <c r="AT76" s="375">
        <v>46248</v>
      </c>
      <c r="AU76" s="530">
        <v>107554</v>
      </c>
      <c r="AV76" s="532">
        <v>50315</v>
      </c>
      <c r="AW76" s="530">
        <v>250000</v>
      </c>
      <c r="AX76" s="534">
        <f>_xlfn.XLOOKUP(Sell_unvalid[[#This Row],[DEAL_BUY_ID]],BS!BA:BA,BS!BE:BE,,0)</f>
        <v>107680</v>
      </c>
      <c r="AY76" s="534">
        <f>_xlfn.XLOOKUP(Sell_unvalid[[#This Row],[BOND_CODE]],FNRP!D:D,FNRP!I:I,_xlfn.XLOOKUP(Sell_unvalid[[#This Row],[BOND_CODE]],FNRP!AV:AV,FNRP!BA:BA,,0),0)</f>
        <v>107139</v>
      </c>
      <c r="AZ76" s="534">
        <f>_xlfn.XLOOKUP(Sell_unvalid[[#This Row],[DEAL_BUY_ID]],BS!BA:BA,BS!BQ:BQ,,0)*Sell_unvalid[[#This Row],[QUANTITY]]</f>
        <v>1918598234.7502379</v>
      </c>
      <c r="BA76" s="534">
        <f>(Sell_unvalid[[#This Row],[Giá MtM]]-10^5)*Sell_unvalid[[#This Row],[QUANTITY]]-Sell_unvalid[[#This Row],[PTCK remain]]</f>
        <v>-133848234.75023794</v>
      </c>
      <c r="BB76" s="534">
        <f>(Sell_unvalid[[#This Row],[PRICE]]-10^5)*Sell_unvalid[[#This Row],[QUANTITY]]-Sell_unvalid[[#This Row],[PTCK remain]]</f>
        <v>-30098234.750237942</v>
      </c>
      <c r="BC76" s="534" t="str">
        <f>IF(AND(Sell_unvalid[[#This Row],[VALUE_DATE]]&lt;=RPT,Sell_unvalid[[#This Row],[TRANSACTION_STATUS]]="N"),"Check","Ok")</f>
        <v>Ok</v>
      </c>
      <c r="BD76" s="534"/>
      <c r="BE76" s="615"/>
      <c r="BF76" s="128">
        <v>50091</v>
      </c>
      <c r="BG76" s="128" t="s">
        <v>636</v>
      </c>
      <c r="BH76" s="128" t="s">
        <v>824</v>
      </c>
      <c r="BI76" s="128" t="s">
        <v>3594</v>
      </c>
      <c r="BJ76" s="375">
        <v>46192</v>
      </c>
      <c r="BK76" s="375">
        <v>46216</v>
      </c>
      <c r="BL76" s="128">
        <v>1000000</v>
      </c>
      <c r="BM76" s="128">
        <v>92313</v>
      </c>
      <c r="BN76" s="534">
        <f>_xlfn.XLOOKUP(Buy_unvalid[[#This Row],[BOND_CODE]],FNRP!D:D,FNRP!I:I,,0)</f>
        <v>92544</v>
      </c>
      <c r="BO76" s="534">
        <f>_xlfn.XLOOKUP(Buy_unvalid[[#This Row],[DEAL_BUY_ID]],BS!BA:BA,BS!BQ:BQ,_xlfn.XLOOKUP(Buy_unvalid[[#This Row],[DEAL_BUY_ID]],BS!AL:AL,BS!AR:AR,,0),0)*Buy_unvalid[[#This Row],[QUANTITY]]</f>
        <v>-7514139000.3162518</v>
      </c>
      <c r="BP76" s="534">
        <f>(Buy_unvalid[[#This Row],[Giá MtM]]-10^5)*Buy_unvalid[[#This Row],[QUANTITY]]-Buy_unvalid[[#This Row],[PTCK remain]]</f>
        <v>58139000.316251755</v>
      </c>
      <c r="BQ76" s="534" t="str">
        <f>IF(AND(Buy_unvalid[[#This Row],[VALUE_DATE]]&lt;=RPT,Buy_unvalid[[#This Row],[TRANSACTION_STATUS]]="N"),"Check","Ok")</f>
        <v>Ok</v>
      </c>
      <c r="BS76" s="128"/>
      <c r="BT76" s="848">
        <v>49329</v>
      </c>
      <c r="BU76" s="849">
        <v>46450</v>
      </c>
      <c r="BV76" s="848">
        <v>50036</v>
      </c>
      <c r="BW76" s="848"/>
      <c r="BX76" s="530">
        <v>700000</v>
      </c>
      <c r="BY76" s="735">
        <f>_xlfn.XLOOKUP(Est_NIM[[#This Row],[DEAL_BUY_ID]],BS!AL:AL,BS!AU:AU,_xlfn.XLOOKUP(Est_NIM[[#This Row],[DEAL_BUY_ID]],BS!BA:BA,BS!BJ:BJ,,0),0)</f>
        <v>4</v>
      </c>
      <c r="BZ76" s="534">
        <f>Est_NIM[[#This Row],[QUANT]]*Est_NIM[[#This Row],[YIELD]]</f>
        <v>2800000</v>
      </c>
      <c r="CA76" s="128"/>
      <c r="CB76" s="128"/>
      <c r="CE76" s="331"/>
      <c r="CF76" s="331"/>
      <c r="CG76" s="331"/>
      <c r="CH76">
        <v>3730</v>
      </c>
      <c r="CI76">
        <v>14282</v>
      </c>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8"/>
      <c r="DS76" s="128"/>
      <c r="DT76" s="128"/>
      <c r="DU76" s="128"/>
      <c r="DV76" s="128"/>
      <c r="DW76" s="128"/>
      <c r="DX76" s="530"/>
      <c r="DY76" s="530"/>
      <c r="DZ76" s="530"/>
      <c r="EA76" s="530"/>
      <c r="EB76" s="530"/>
      <c r="EC76" s="530"/>
      <c r="ED76" s="530"/>
      <c r="EE76" s="530"/>
      <c r="EF76" s="530"/>
      <c r="EG76" s="530"/>
      <c r="EH76" s="530"/>
      <c r="EI76" s="530"/>
      <c r="EJ76" s="530"/>
      <c r="EK76" s="530"/>
      <c r="EL76" s="530"/>
      <c r="EM76" s="530"/>
      <c r="EN76" s="530"/>
      <c r="EO76" s="530"/>
      <c r="EP76" s="530"/>
      <c r="EQ76" s="530"/>
      <c r="ER76" s="530"/>
      <c r="ES76" s="530"/>
      <c r="ET76" s="530"/>
      <c r="EU76" s="530"/>
      <c r="EV76" s="530"/>
      <c r="EW76" s="530"/>
      <c r="EX76" s="530"/>
      <c r="EY76" s="530"/>
      <c r="EZ76" s="530"/>
      <c r="FA76" s="530"/>
      <c r="FB76" s="530"/>
      <c r="FC76" s="530"/>
      <c r="FD76" s="530"/>
      <c r="FE76" s="530"/>
      <c r="FF76" s="530"/>
      <c r="FG76" s="530"/>
      <c r="FH76" s="530"/>
      <c r="FI76" s="530"/>
      <c r="FJ76" s="530"/>
      <c r="FK76" s="530"/>
      <c r="FL76" s="530"/>
      <c r="FM76" s="530"/>
      <c r="FN76" s="530"/>
      <c r="FO76" s="530"/>
      <c r="FP76" s="530"/>
      <c r="FQ76" s="530"/>
      <c r="GJ76" s="128"/>
      <c r="GK76" s="128"/>
      <c r="GL76" s="128"/>
      <c r="GM76" s="128"/>
      <c r="GN76" s="128"/>
      <c r="GO76" s="128"/>
      <c r="GP76" s="128"/>
      <c r="GQ76" s="128"/>
      <c r="GR76" s="128"/>
      <c r="GS76" s="128"/>
      <c r="GT76" s="128"/>
      <c r="GU76" s="128"/>
      <c r="GV76" s="128"/>
      <c r="GW76" s="128"/>
      <c r="GX76" s="128"/>
      <c r="GY76" s="128"/>
      <c r="GZ76" s="128"/>
      <c r="HA76" s="128"/>
      <c r="HB76" s="128"/>
      <c r="HC76" s="128"/>
      <c r="HD76" s="128"/>
      <c r="HE76" s="128"/>
      <c r="HF76" s="128"/>
      <c r="HG76" s="128"/>
      <c r="HH76" s="128"/>
      <c r="HI76" s="128"/>
      <c r="HJ76" s="128"/>
      <c r="HK76" s="128"/>
      <c r="HL76" s="128"/>
      <c r="HM76" s="128"/>
      <c r="HN76" s="128"/>
      <c r="HO76" s="128"/>
      <c r="HP76" s="128"/>
      <c r="HQ76" s="128"/>
      <c r="HR76" s="128"/>
      <c r="HS76" s="128"/>
      <c r="HT76" s="128"/>
      <c r="HU76" s="128"/>
      <c r="HV76" s="128"/>
      <c r="HW76" s="128"/>
      <c r="HX76" s="128"/>
      <c r="HY76" s="128"/>
      <c r="HZ76" s="128"/>
      <c r="IA76" s="128"/>
      <c r="IB76" s="128"/>
      <c r="IC76" s="128"/>
    </row>
    <row r="77" spans="41:237" x14ac:dyDescent="0.3">
      <c r="AO77" s="128">
        <v>49898</v>
      </c>
      <c r="AP77" s="128" t="s">
        <v>729</v>
      </c>
      <c r="AQ77" s="128" t="s">
        <v>824</v>
      </c>
      <c r="AR77" s="375" t="s">
        <v>3594</v>
      </c>
      <c r="AS77" s="375">
        <v>46174</v>
      </c>
      <c r="AT77" s="375">
        <v>46248</v>
      </c>
      <c r="AU77" s="530">
        <v>107554</v>
      </c>
      <c r="AV77" s="532">
        <v>50329</v>
      </c>
      <c r="AW77" s="530">
        <v>1750000</v>
      </c>
      <c r="AX77" s="534">
        <f>_xlfn.XLOOKUP(Sell_unvalid[[#This Row],[DEAL_BUY_ID]],BS!BA:BA,BS!BE:BE,,0)</f>
        <v>109885</v>
      </c>
      <c r="AY77" s="534">
        <f>_xlfn.XLOOKUP(Sell_unvalid[[#This Row],[BOND_CODE]],FNRP!D:D,FNRP!I:I,_xlfn.XLOOKUP(Sell_unvalid[[#This Row],[BOND_CODE]],FNRP!AV:AV,FNRP!BA:BA,,0),0)</f>
        <v>107139</v>
      </c>
      <c r="AZ77" s="534">
        <f>_xlfn.XLOOKUP(Sell_unvalid[[#This Row],[DEAL_BUY_ID]],BS!BA:BA,BS!BQ:BQ,,0)*Sell_unvalid[[#This Row],[QUANTITY]]</f>
        <v>17286196080.196602</v>
      </c>
      <c r="BA77" s="534">
        <f>(Sell_unvalid[[#This Row],[Giá MtM]]-10^5)*Sell_unvalid[[#This Row],[QUANTITY]]-Sell_unvalid[[#This Row],[PTCK remain]]</f>
        <v>-4792946080.1966019</v>
      </c>
      <c r="BB77" s="534">
        <f>(Sell_unvalid[[#This Row],[PRICE]]-10^5)*Sell_unvalid[[#This Row],[QUANTITY]]-Sell_unvalid[[#This Row],[PTCK remain]]</f>
        <v>-4066696080.1966019</v>
      </c>
      <c r="BC77" s="534" t="str">
        <f>IF(AND(Sell_unvalid[[#This Row],[VALUE_DATE]]&lt;=RPT,Sell_unvalid[[#This Row],[TRANSACTION_STATUS]]="N"),"Check","Ok")</f>
        <v>Ok</v>
      </c>
      <c r="BD77" s="534"/>
      <c r="BE77" s="615"/>
      <c r="BF77" s="128">
        <v>50089</v>
      </c>
      <c r="BG77" s="128" t="s">
        <v>2836</v>
      </c>
      <c r="BH77" s="128" t="s">
        <v>824</v>
      </c>
      <c r="BI77" s="128" t="s">
        <v>3594</v>
      </c>
      <c r="BJ77" s="375">
        <v>46192</v>
      </c>
      <c r="BK77" s="375">
        <v>46216</v>
      </c>
      <c r="BL77" s="128">
        <v>1000000</v>
      </c>
      <c r="BM77" s="128">
        <v>97085</v>
      </c>
      <c r="BN77" s="534">
        <f>_xlfn.XLOOKUP(Buy_unvalid[[#This Row],[BOND_CODE]],FNRP!D:D,FNRP!I:I,,0)</f>
        <v>89135</v>
      </c>
      <c r="BO77" s="534">
        <f>_xlfn.XLOOKUP(Buy_unvalid[[#This Row],[DEAL_BUY_ID]],BS!BA:BA,BS!BQ:BQ,_xlfn.XLOOKUP(Buy_unvalid[[#This Row],[DEAL_BUY_ID]],BS!AL:AL,BS!AR:AR,,0),0)*Buy_unvalid[[#This Row],[QUANTITY]]</f>
        <v>-2878165216.6180701</v>
      </c>
      <c r="BP77" s="534">
        <f>(Buy_unvalid[[#This Row],[Giá MtM]]-10^5)*Buy_unvalid[[#This Row],[QUANTITY]]-Buy_unvalid[[#This Row],[PTCK remain]]</f>
        <v>-7986834783.3819294</v>
      </c>
      <c r="BQ77" s="534" t="str">
        <f>IF(AND(Buy_unvalid[[#This Row],[VALUE_DATE]]&lt;=RPT,Buy_unvalid[[#This Row],[TRANSACTION_STATUS]]="N"),"Check","Ok")</f>
        <v>Ok</v>
      </c>
      <c r="BS77" s="128"/>
      <c r="BT77" s="848">
        <v>49329</v>
      </c>
      <c r="BU77" s="849">
        <v>46450</v>
      </c>
      <c r="BV77" s="848">
        <v>50380</v>
      </c>
      <c r="BW77" s="848"/>
      <c r="BX77" s="530">
        <v>700000</v>
      </c>
      <c r="BY77" s="735">
        <f>_xlfn.XLOOKUP(Est_NIM[[#This Row],[DEAL_BUY_ID]],BS!AL:AL,BS!AU:AU,_xlfn.XLOOKUP(Est_NIM[[#This Row],[DEAL_BUY_ID]],BS!BA:BA,BS!BJ:BJ,,0),0)</f>
        <v>3.8</v>
      </c>
      <c r="BZ77" s="534">
        <f>Est_NIM[[#This Row],[QUANT]]*Est_NIM[[#This Row],[YIELD]]</f>
        <v>2660000</v>
      </c>
      <c r="CA77" s="128"/>
      <c r="CB77" s="128"/>
      <c r="CE77" s="331"/>
      <c r="CF77" s="331"/>
      <c r="CG77" s="331"/>
      <c r="CH77">
        <v>3730</v>
      </c>
      <c r="CI77">
        <v>14282</v>
      </c>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8"/>
      <c r="DS77" s="128"/>
      <c r="DT77" s="128"/>
      <c r="DU77" s="128"/>
      <c r="DV77" s="128"/>
      <c r="DW77" s="128"/>
      <c r="DX77" s="530"/>
      <c r="DY77" s="530"/>
      <c r="DZ77" s="530"/>
      <c r="EA77" s="530"/>
      <c r="EB77" s="530"/>
      <c r="EC77" s="530"/>
      <c r="ED77" s="530"/>
      <c r="EE77" s="530"/>
      <c r="EF77" s="530"/>
      <c r="EG77" s="530"/>
      <c r="EH77" s="530"/>
      <c r="EI77" s="530"/>
      <c r="EJ77" s="530"/>
      <c r="EK77" s="530"/>
      <c r="EL77" s="530"/>
      <c r="EM77" s="530"/>
      <c r="EN77" s="530"/>
      <c r="EO77" s="530"/>
      <c r="EP77" s="530"/>
      <c r="EQ77" s="530"/>
      <c r="ER77" s="530"/>
      <c r="ES77" s="530"/>
      <c r="ET77" s="530"/>
      <c r="EU77" s="530"/>
      <c r="EV77" s="530"/>
      <c r="EW77" s="530"/>
      <c r="EX77" s="530"/>
      <c r="EY77" s="530"/>
      <c r="EZ77" s="530"/>
      <c r="FA77" s="530"/>
      <c r="FB77" s="530"/>
      <c r="FC77" s="530"/>
      <c r="FD77" s="530"/>
      <c r="FE77" s="530"/>
      <c r="FF77" s="530"/>
      <c r="FG77" s="530"/>
      <c r="FH77" s="530"/>
      <c r="FI77" s="530"/>
      <c r="FJ77" s="530"/>
      <c r="FK77" s="530"/>
      <c r="FL77" s="530"/>
      <c r="FM77" s="530"/>
      <c r="FN77" s="530"/>
      <c r="FO77" s="530"/>
      <c r="FP77" s="530"/>
      <c r="FQ77" s="530"/>
      <c r="GJ77" s="128"/>
      <c r="GK77" s="128"/>
      <c r="GL77" s="128"/>
      <c r="GM77" s="128"/>
      <c r="GN77" s="128"/>
      <c r="GO77" s="128"/>
      <c r="GP77" s="128"/>
      <c r="GQ77" s="128"/>
      <c r="GR77" s="128"/>
      <c r="GS77" s="128"/>
      <c r="GT77" s="128"/>
      <c r="GU77" s="128"/>
      <c r="GV77" s="128"/>
      <c r="GW77" s="128"/>
      <c r="GX77" s="128"/>
      <c r="GY77" s="128"/>
      <c r="GZ77" s="128"/>
      <c r="HA77" s="128"/>
      <c r="HB77" s="128"/>
      <c r="HC77" s="128"/>
      <c r="HD77" s="128"/>
      <c r="HE77" s="128"/>
      <c r="HF77" s="128"/>
      <c r="HG77" s="128"/>
      <c r="HH77" s="128"/>
      <c r="HI77" s="128"/>
      <c r="HJ77" s="128"/>
      <c r="HK77" s="128"/>
      <c r="HL77" s="128"/>
      <c r="HM77" s="128"/>
      <c r="HN77" s="128"/>
      <c r="HO77" s="128"/>
      <c r="HP77" s="128"/>
      <c r="HQ77" s="128"/>
      <c r="HR77" s="128"/>
      <c r="HS77" s="128"/>
      <c r="HT77" s="128"/>
      <c r="HU77" s="128"/>
      <c r="HV77" s="128"/>
      <c r="HW77" s="128"/>
      <c r="HX77" s="128"/>
      <c r="HY77" s="128"/>
      <c r="HZ77" s="128"/>
      <c r="IA77" s="128"/>
      <c r="IB77" s="128"/>
      <c r="IC77" s="128"/>
    </row>
    <row r="78" spans="41:237" x14ac:dyDescent="0.3">
      <c r="AO78" s="128">
        <v>50106</v>
      </c>
      <c r="AP78" s="128" t="s">
        <v>729</v>
      </c>
      <c r="AQ78" s="128" t="s">
        <v>824</v>
      </c>
      <c r="AR78" s="375" t="s">
        <v>3594</v>
      </c>
      <c r="AS78" s="375">
        <v>46196</v>
      </c>
      <c r="AT78" s="375">
        <v>46213</v>
      </c>
      <c r="AU78" s="530">
        <v>109937</v>
      </c>
      <c r="AV78" s="532">
        <v>49897</v>
      </c>
      <c r="AW78" s="530">
        <v>3750000</v>
      </c>
      <c r="AX78" s="534">
        <f>_xlfn.XLOOKUP(Sell_unvalid[[#This Row],[DEAL_BUY_ID]],BS!BA:BA,BS!BE:BE,,0)</f>
        <v>107704</v>
      </c>
      <c r="AY78" s="534">
        <f>_xlfn.XLOOKUP(Sell_unvalid[[#This Row],[BOND_CODE]],FNRP!D:D,FNRP!I:I,_xlfn.XLOOKUP(Sell_unvalid[[#This Row],[BOND_CODE]],FNRP!AV:AV,FNRP!BA:BA,,0),0)</f>
        <v>107139</v>
      </c>
      <c r="AZ78" s="534">
        <f>_xlfn.XLOOKUP(Sell_unvalid[[#This Row],[DEAL_BUY_ID]],BS!BA:BA,BS!BQ:BQ,,0)*Sell_unvalid[[#This Row],[QUANTITY]]</f>
        <v>28623944839.973579</v>
      </c>
      <c r="BA78" s="534">
        <f>(Sell_unvalid[[#This Row],[Giá MtM]]-10^5)*Sell_unvalid[[#This Row],[QUANTITY]]-Sell_unvalid[[#This Row],[PTCK remain]]</f>
        <v>-1852694839.9735794</v>
      </c>
      <c r="BB78" s="534">
        <f>(Sell_unvalid[[#This Row],[PRICE]]-10^5)*Sell_unvalid[[#This Row],[QUANTITY]]-Sell_unvalid[[#This Row],[PTCK remain]]</f>
        <v>8639805160.0264206</v>
      </c>
      <c r="BC78" s="534" t="str">
        <f>IF(AND(Sell_unvalid[[#This Row],[VALUE_DATE]]&lt;=RPT,Sell_unvalid[[#This Row],[TRANSACTION_STATUS]]="N"),"Check","Ok")</f>
        <v>Ok</v>
      </c>
      <c r="BD78" s="534"/>
      <c r="BE78" s="615"/>
      <c r="BF78" s="128">
        <v>50319</v>
      </c>
      <c r="BG78" s="128" t="s">
        <v>681</v>
      </c>
      <c r="BH78" s="128" t="s">
        <v>824</v>
      </c>
      <c r="BI78" s="128" t="s">
        <v>3594</v>
      </c>
      <c r="BJ78" s="375">
        <v>46239</v>
      </c>
      <c r="BK78" s="375">
        <v>46246</v>
      </c>
      <c r="BL78" s="128">
        <v>2300000</v>
      </c>
      <c r="BM78" s="128">
        <v>126995</v>
      </c>
      <c r="BN78" s="534">
        <f>_xlfn.XLOOKUP(Buy_unvalid[[#This Row],[BOND_CODE]],FNRP!D:D,FNRP!I:I,,0)</f>
        <v>124796</v>
      </c>
      <c r="BO78" s="534">
        <f>_xlfn.XLOOKUP(Buy_unvalid[[#This Row],[DEAL_BUY_ID]],BS!BA:BA,BS!BQ:BQ,_xlfn.XLOOKUP(Buy_unvalid[[#This Row],[DEAL_BUY_ID]],BS!AL:AL,BS!AR:AR,,0),0)*Buy_unvalid[[#This Row],[QUANTITY]]</f>
        <v>61961417749.039841</v>
      </c>
      <c r="BP78" s="534">
        <f>(Buy_unvalid[[#This Row],[Giá MtM]]-10^5)*Buy_unvalid[[#This Row],[QUANTITY]]-Buy_unvalid[[#This Row],[PTCK remain]]</f>
        <v>-4930617749.0398407</v>
      </c>
      <c r="BQ78" s="534" t="str">
        <f>IF(AND(Buy_unvalid[[#This Row],[VALUE_DATE]]&lt;=RPT,Buy_unvalid[[#This Row],[TRANSACTION_STATUS]]="N"),"Check","Ok")</f>
        <v>Ok</v>
      </c>
      <c r="BS78" s="128"/>
      <c r="BT78" s="848">
        <v>49329</v>
      </c>
      <c r="BU78" s="849">
        <v>46450</v>
      </c>
      <c r="BV78" s="848">
        <v>50444</v>
      </c>
      <c r="BW78" s="848"/>
      <c r="BX78" s="530">
        <v>800000</v>
      </c>
      <c r="BY78" s="735">
        <f>_xlfn.XLOOKUP(Est_NIM[[#This Row],[DEAL_BUY_ID]],BS!AL:AL,BS!AU:AU,_xlfn.XLOOKUP(Est_NIM[[#This Row],[DEAL_BUY_ID]],BS!BA:BA,BS!BJ:BJ,,0),0)</f>
        <v>4.2</v>
      </c>
      <c r="BZ78" s="534">
        <f>Est_NIM[[#This Row],[QUANT]]*Est_NIM[[#This Row],[YIELD]]</f>
        <v>3360000</v>
      </c>
      <c r="CA78" s="128"/>
      <c r="CB78" s="128"/>
      <c r="CE78" s="331"/>
      <c r="CF78" s="331"/>
      <c r="CG78" s="331"/>
      <c r="CH78">
        <v>3730</v>
      </c>
      <c r="CI78">
        <v>14282</v>
      </c>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8"/>
      <c r="DS78" s="128"/>
      <c r="DT78" s="128"/>
      <c r="DU78" s="128"/>
      <c r="DV78" s="128"/>
      <c r="DW78" s="128"/>
      <c r="DX78" s="530"/>
      <c r="DY78" s="530"/>
      <c r="DZ78" s="530"/>
      <c r="EA78" s="530"/>
      <c r="EB78" s="530"/>
      <c r="EC78" s="530"/>
      <c r="ED78" s="530"/>
      <c r="EE78" s="530"/>
      <c r="EF78" s="530"/>
      <c r="EG78" s="530"/>
      <c r="EH78" s="530"/>
      <c r="EI78" s="530"/>
      <c r="EJ78" s="530"/>
      <c r="EK78" s="530"/>
      <c r="EL78" s="530"/>
      <c r="EM78" s="530"/>
      <c r="EN78" s="530"/>
      <c r="EO78" s="530"/>
      <c r="EP78" s="530"/>
      <c r="EQ78" s="530"/>
      <c r="ER78" s="530"/>
      <c r="ES78" s="530"/>
      <c r="ET78" s="530"/>
      <c r="EU78" s="530"/>
      <c r="EV78" s="530"/>
      <c r="EW78" s="530"/>
      <c r="EX78" s="530"/>
      <c r="EY78" s="530"/>
      <c r="EZ78" s="530"/>
      <c r="FA78" s="530"/>
      <c r="FB78" s="530"/>
      <c r="FC78" s="530"/>
      <c r="FD78" s="530"/>
      <c r="FE78" s="530"/>
      <c r="FF78" s="530"/>
      <c r="FG78" s="530"/>
      <c r="FH78" s="530"/>
      <c r="FI78" s="530"/>
      <c r="FJ78" s="530"/>
      <c r="FK78" s="530"/>
      <c r="FL78" s="530"/>
      <c r="FM78" s="530"/>
      <c r="FN78" s="530"/>
      <c r="FO78" s="530"/>
      <c r="FP78" s="530"/>
      <c r="FQ78" s="530"/>
      <c r="GJ78" s="128"/>
      <c r="GK78" s="128"/>
      <c r="GL78" s="128"/>
      <c r="GM78" s="128"/>
      <c r="GN78" s="128"/>
      <c r="GO78" s="128"/>
      <c r="GP78" s="128"/>
      <c r="GQ78" s="128"/>
      <c r="GR78" s="128"/>
      <c r="GS78" s="128"/>
      <c r="GT78" s="128"/>
      <c r="GU78" s="128"/>
      <c r="GV78" s="128"/>
      <c r="GW78" s="128"/>
      <c r="GX78" s="128"/>
      <c r="GY78" s="128"/>
      <c r="GZ78" s="128"/>
      <c r="HA78" s="128"/>
      <c r="HB78" s="128"/>
      <c r="HC78" s="128"/>
      <c r="HD78" s="128"/>
      <c r="HE78" s="128"/>
      <c r="HF78" s="128"/>
      <c r="HG78" s="128"/>
      <c r="HH78" s="128"/>
      <c r="HI78" s="128"/>
      <c r="HJ78" s="128"/>
      <c r="HK78" s="128"/>
      <c r="HL78" s="128"/>
      <c r="HM78" s="128"/>
      <c r="HN78" s="128"/>
      <c r="HO78" s="128"/>
      <c r="HP78" s="128"/>
      <c r="HQ78" s="128"/>
      <c r="HR78" s="128"/>
      <c r="HS78" s="128"/>
      <c r="HT78" s="128"/>
      <c r="HU78" s="128"/>
      <c r="HV78" s="128"/>
      <c r="HW78" s="128"/>
      <c r="HX78" s="128"/>
      <c r="HY78" s="128"/>
      <c r="HZ78" s="128"/>
      <c r="IA78" s="128"/>
      <c r="IB78" s="128"/>
      <c r="IC78" s="128"/>
    </row>
    <row r="79" spans="41:237" x14ac:dyDescent="0.3">
      <c r="AO79" s="128">
        <v>50279</v>
      </c>
      <c r="AP79" s="128" t="s">
        <v>729</v>
      </c>
      <c r="AQ79" s="128" t="s">
        <v>824</v>
      </c>
      <c r="AR79" s="375" t="s">
        <v>3594</v>
      </c>
      <c r="AS79" s="375">
        <v>46238</v>
      </c>
      <c r="AT79" s="375">
        <v>46240</v>
      </c>
      <c r="AU79" s="530">
        <v>117550</v>
      </c>
      <c r="AV79" s="532">
        <v>49294</v>
      </c>
      <c r="AW79" s="530">
        <v>500000</v>
      </c>
      <c r="AX79" s="534">
        <f>_xlfn.XLOOKUP(Sell_unvalid[[#This Row],[DEAL_BUY_ID]],BS!BA:BA,BS!BE:BE,,0)</f>
        <v>117696</v>
      </c>
      <c r="AY79" s="534">
        <f>_xlfn.XLOOKUP(Sell_unvalid[[#This Row],[BOND_CODE]],FNRP!D:D,FNRP!I:I,_xlfn.XLOOKUP(Sell_unvalid[[#This Row],[BOND_CODE]],FNRP!AV:AV,FNRP!BA:BA,,0),0)</f>
        <v>107139</v>
      </c>
      <c r="AZ79" s="534">
        <f>_xlfn.XLOOKUP(Sell_unvalid[[#This Row],[DEAL_BUY_ID]],BS!BA:BA,BS!BQ:BQ,,0)*Sell_unvalid[[#This Row],[QUANTITY]]</f>
        <v>8704449657.7737923</v>
      </c>
      <c r="BA79" s="534">
        <f>(Sell_unvalid[[#This Row],[Giá MtM]]-10^5)*Sell_unvalid[[#This Row],[QUANTITY]]-Sell_unvalid[[#This Row],[PTCK remain]]</f>
        <v>-5134949657.7737923</v>
      </c>
      <c r="BB79" s="534">
        <f>(Sell_unvalid[[#This Row],[PRICE]]-10^5)*Sell_unvalid[[#This Row],[QUANTITY]]-Sell_unvalid[[#This Row],[PTCK remain]]</f>
        <v>70550342.226207733</v>
      </c>
      <c r="BC79" s="534" t="str">
        <f>IF(AND(Sell_unvalid[[#This Row],[VALUE_DATE]]&lt;=RPT,Sell_unvalid[[#This Row],[TRANSACTION_STATUS]]="N"),"Check","Ok")</f>
        <v>Ok</v>
      </c>
      <c r="BD79" s="534"/>
      <c r="BE79" s="615"/>
      <c r="BF79" s="128">
        <v>50209</v>
      </c>
      <c r="BG79" s="128" t="s">
        <v>1209</v>
      </c>
      <c r="BH79" s="128" t="s">
        <v>824</v>
      </c>
      <c r="BI79" s="128" t="s">
        <v>3594</v>
      </c>
      <c r="BJ79" s="375">
        <v>46224</v>
      </c>
      <c r="BK79" s="375">
        <v>46231</v>
      </c>
      <c r="BL79" s="128">
        <v>8480000</v>
      </c>
      <c r="BM79" s="128">
        <v>124096</v>
      </c>
      <c r="BN79" s="534">
        <f>_xlfn.XLOOKUP(Buy_unvalid[[#This Row],[BOND_CODE]],FNRP!D:D,FNRP!I:I,,0)</f>
        <v>124387</v>
      </c>
      <c r="BO79" s="534">
        <f>_xlfn.XLOOKUP(Buy_unvalid[[#This Row],[DEAL_BUY_ID]],BS!BA:BA,BS!BQ:BQ,_xlfn.XLOOKUP(Buy_unvalid[[#This Row],[DEAL_BUY_ID]],BS!AL:AL,BS!AR:AR,,0),0)*Buy_unvalid[[#This Row],[QUANTITY]]</f>
        <v>202973382626.79642</v>
      </c>
      <c r="BP79" s="534">
        <f>(Buy_unvalid[[#This Row],[Giá MtM]]-10^5)*Buy_unvalid[[#This Row],[QUANTITY]]-Buy_unvalid[[#This Row],[PTCK remain]]</f>
        <v>3828377373.2035828</v>
      </c>
      <c r="BQ79" s="534" t="str">
        <f>IF(AND(Buy_unvalid[[#This Row],[VALUE_DATE]]&lt;=RPT,Buy_unvalid[[#This Row],[TRANSACTION_STATUS]]="N"),"Check","Ok")</f>
        <v>Ok</v>
      </c>
      <c r="BS79" s="128"/>
      <c r="BT79" s="848">
        <v>49329</v>
      </c>
      <c r="BU79" s="849">
        <v>46450</v>
      </c>
      <c r="BV79" s="848">
        <v>50446</v>
      </c>
      <c r="BW79" s="848"/>
      <c r="BX79" s="530">
        <v>800000</v>
      </c>
      <c r="BY79" s="735">
        <f>_xlfn.XLOOKUP(Est_NIM[[#This Row],[DEAL_BUY_ID]],BS!AL:AL,BS!AU:AU,_xlfn.XLOOKUP(Est_NIM[[#This Row],[DEAL_BUY_ID]],BS!BA:BA,BS!BJ:BJ,,0),0)</f>
        <v>4.2</v>
      </c>
      <c r="BZ79" s="534">
        <f>Est_NIM[[#This Row],[QUANT]]*Est_NIM[[#This Row],[YIELD]]</f>
        <v>3360000</v>
      </c>
      <c r="CA79" s="128"/>
      <c r="CB79" s="128"/>
      <c r="CE79" s="331"/>
      <c r="CF79" s="331"/>
      <c r="CG79" s="331"/>
      <c r="CH79">
        <v>3730</v>
      </c>
      <c r="CI79">
        <v>14282</v>
      </c>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8"/>
      <c r="DS79" s="128"/>
      <c r="DT79" s="128"/>
      <c r="DU79" s="128"/>
      <c r="DV79" s="128"/>
      <c r="DW79" s="128"/>
      <c r="DX79" s="530"/>
      <c r="DY79" s="530"/>
      <c r="DZ79" s="530"/>
      <c r="EA79" s="530"/>
      <c r="EB79" s="530"/>
      <c r="EC79" s="530"/>
      <c r="ED79" s="530"/>
      <c r="EE79" s="530"/>
      <c r="EF79" s="530"/>
      <c r="EG79" s="530"/>
      <c r="EH79" s="530"/>
      <c r="EI79" s="530"/>
      <c r="EJ79" s="530"/>
      <c r="EK79" s="530"/>
      <c r="EL79" s="530"/>
      <c r="EM79" s="530"/>
      <c r="EN79" s="530"/>
      <c r="EO79" s="530"/>
      <c r="EP79" s="530"/>
      <c r="EQ79" s="530"/>
      <c r="ER79" s="530"/>
      <c r="ES79" s="530"/>
      <c r="ET79" s="530"/>
      <c r="EU79" s="530"/>
      <c r="EV79" s="530"/>
      <c r="EW79" s="530"/>
      <c r="EX79" s="530"/>
      <c r="EY79" s="530"/>
      <c r="EZ79" s="530"/>
      <c r="FA79" s="530"/>
      <c r="FB79" s="530"/>
      <c r="FC79" s="530"/>
      <c r="FD79" s="530"/>
      <c r="FE79" s="530"/>
      <c r="FF79" s="530"/>
      <c r="FG79" s="530"/>
      <c r="FH79" s="530"/>
      <c r="FI79" s="530"/>
      <c r="FJ79" s="530"/>
      <c r="FK79" s="530"/>
      <c r="FL79" s="530"/>
      <c r="FM79" s="530"/>
      <c r="FN79" s="530"/>
      <c r="FO79" s="530"/>
      <c r="FP79" s="530"/>
      <c r="FQ79" s="530"/>
      <c r="GJ79" s="128"/>
      <c r="GK79" s="128"/>
      <c r="GL79" s="128"/>
      <c r="GM79" s="128"/>
      <c r="GN79" s="128"/>
      <c r="GO79" s="128"/>
      <c r="GP79" s="128"/>
      <c r="GQ79" s="128"/>
      <c r="GR79" s="128"/>
      <c r="GS79" s="128"/>
      <c r="GT79" s="128"/>
      <c r="GU79" s="128"/>
      <c r="GV79" s="128"/>
      <c r="GW79" s="128"/>
      <c r="GX79" s="128"/>
      <c r="GY79" s="128"/>
      <c r="GZ79" s="128"/>
      <c r="HA79" s="128"/>
      <c r="HB79" s="128"/>
      <c r="HC79" s="128"/>
      <c r="HD79" s="128"/>
      <c r="HE79" s="128"/>
      <c r="HF79" s="128"/>
      <c r="HG79" s="128"/>
      <c r="HH79" s="128"/>
      <c r="HI79" s="128"/>
      <c r="HJ79" s="128"/>
      <c r="HK79" s="128"/>
      <c r="HL79" s="128"/>
      <c r="HM79" s="128"/>
      <c r="HN79" s="128"/>
      <c r="HO79" s="128"/>
      <c r="HP79" s="128"/>
      <c r="HQ79" s="128"/>
      <c r="HR79" s="128"/>
      <c r="HS79" s="128"/>
      <c r="HT79" s="128"/>
      <c r="HU79" s="128"/>
      <c r="HV79" s="128"/>
      <c r="HW79" s="128"/>
      <c r="HX79" s="128"/>
      <c r="HY79" s="128"/>
      <c r="HZ79" s="128"/>
      <c r="IA79" s="128"/>
      <c r="IB79" s="128"/>
      <c r="IC79" s="128"/>
    </row>
    <row r="80" spans="41:237" x14ac:dyDescent="0.3">
      <c r="AO80" s="128">
        <v>50281</v>
      </c>
      <c r="AP80" s="128" t="s">
        <v>729</v>
      </c>
      <c r="AQ80" s="128" t="s">
        <v>824</v>
      </c>
      <c r="AR80" s="375" t="s">
        <v>3594</v>
      </c>
      <c r="AS80" s="375">
        <v>46238</v>
      </c>
      <c r="AT80" s="375">
        <v>46240</v>
      </c>
      <c r="AU80" s="530">
        <v>107682</v>
      </c>
      <c r="AV80" s="532">
        <v>49897</v>
      </c>
      <c r="AW80" s="530">
        <v>250000</v>
      </c>
      <c r="AX80" s="534">
        <f>_xlfn.XLOOKUP(Sell_unvalid[[#This Row],[DEAL_BUY_ID]],BS!BA:BA,BS!BE:BE,,0)</f>
        <v>107704</v>
      </c>
      <c r="AY80" s="534">
        <f>_xlfn.XLOOKUP(Sell_unvalid[[#This Row],[BOND_CODE]],FNRP!D:D,FNRP!I:I,_xlfn.XLOOKUP(Sell_unvalid[[#This Row],[BOND_CODE]],FNRP!AV:AV,FNRP!BA:BA,,0),0)</f>
        <v>107139</v>
      </c>
      <c r="AZ80" s="534">
        <f>_xlfn.XLOOKUP(Sell_unvalid[[#This Row],[DEAL_BUY_ID]],BS!BA:BA,BS!BQ:BQ,,0)*Sell_unvalid[[#This Row],[QUANTITY]]</f>
        <v>1908262989.3315721</v>
      </c>
      <c r="BA80" s="534">
        <f>(Sell_unvalid[[#This Row],[Giá MtM]]-10^5)*Sell_unvalid[[#This Row],[QUANTITY]]-Sell_unvalid[[#This Row],[PTCK remain]]</f>
        <v>-123512989.33157206</v>
      </c>
      <c r="BB80" s="534">
        <f>(Sell_unvalid[[#This Row],[PRICE]]-10^5)*Sell_unvalid[[#This Row],[QUANTITY]]-Sell_unvalid[[#This Row],[PTCK remain]]</f>
        <v>12237010.668427944</v>
      </c>
      <c r="BC80" s="534" t="str">
        <f>IF(AND(Sell_unvalid[[#This Row],[VALUE_DATE]]&lt;=RPT,Sell_unvalid[[#This Row],[TRANSACTION_STATUS]]="N"),"Check","Ok")</f>
        <v>Ok</v>
      </c>
      <c r="BD80" s="534"/>
      <c r="BE80" s="615"/>
      <c r="BF80" s="128">
        <v>50211</v>
      </c>
      <c r="BG80" s="128" t="s">
        <v>636</v>
      </c>
      <c r="BH80" s="128" t="s">
        <v>824</v>
      </c>
      <c r="BI80" s="128" t="s">
        <v>3594</v>
      </c>
      <c r="BJ80" s="375">
        <v>46224</v>
      </c>
      <c r="BK80" s="375">
        <v>46231</v>
      </c>
      <c r="BL80" s="128">
        <v>1000000</v>
      </c>
      <c r="BM80" s="128">
        <v>91560</v>
      </c>
      <c r="BN80" s="534">
        <f>_xlfn.XLOOKUP(Buy_unvalid[[#This Row],[BOND_CODE]],FNRP!D:D,FNRP!I:I,,0)</f>
        <v>92544</v>
      </c>
      <c r="BO80" s="534">
        <f>_xlfn.XLOOKUP(Buy_unvalid[[#This Row],[DEAL_BUY_ID]],BS!BA:BA,BS!BQ:BQ,_xlfn.XLOOKUP(Buy_unvalid[[#This Row],[DEAL_BUY_ID]],BS!AL:AL,BS!AR:AR,,0),0)*Buy_unvalid[[#This Row],[QUANTITY]]</f>
        <v>-8326493579.0295839</v>
      </c>
      <c r="BP80" s="534">
        <f>(Buy_unvalid[[#This Row],[Giá MtM]]-10^5)*Buy_unvalid[[#This Row],[QUANTITY]]-Buy_unvalid[[#This Row],[PTCK remain]]</f>
        <v>870493579.02958393</v>
      </c>
      <c r="BQ80" s="534" t="str">
        <f>IF(AND(Buy_unvalid[[#This Row],[VALUE_DATE]]&lt;=RPT,Buy_unvalid[[#This Row],[TRANSACTION_STATUS]]="N"),"Check","Ok")</f>
        <v>Ok</v>
      </c>
      <c r="BS80" s="128"/>
      <c r="BT80" s="848">
        <v>49330</v>
      </c>
      <c r="BU80" s="849">
        <v>46450</v>
      </c>
      <c r="BV80" s="848">
        <v>49657</v>
      </c>
      <c r="BW80" s="848"/>
      <c r="BX80" s="530">
        <v>500000</v>
      </c>
      <c r="BY80" s="735">
        <f>_xlfn.XLOOKUP(Est_NIM[[#This Row],[DEAL_BUY_ID]],BS!AL:AL,BS!AU:AU,_xlfn.XLOOKUP(Est_NIM[[#This Row],[DEAL_BUY_ID]],BS!BA:BA,BS!BJ:BJ,,0),0)</f>
        <v>4.1002999999999998</v>
      </c>
      <c r="BZ80" s="534">
        <f>Est_NIM[[#This Row],[QUANT]]*Est_NIM[[#This Row],[YIELD]]</f>
        <v>2050150</v>
      </c>
      <c r="CA80" s="128"/>
      <c r="CB80" s="128"/>
      <c r="CE80" s="331"/>
      <c r="CF80" s="331"/>
      <c r="CG80" s="331"/>
      <c r="CH80">
        <v>3730</v>
      </c>
      <c r="CI80">
        <v>14282</v>
      </c>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8"/>
      <c r="DS80" s="128"/>
      <c r="DT80" s="128"/>
      <c r="DU80" s="128"/>
      <c r="DV80" s="128"/>
      <c r="DW80" s="128"/>
      <c r="DX80" s="530"/>
      <c r="DY80" s="530"/>
      <c r="DZ80" s="530"/>
      <c r="EA80" s="530"/>
      <c r="EB80" s="530"/>
      <c r="EC80" s="530"/>
      <c r="ED80" s="530"/>
      <c r="EE80" s="530"/>
      <c r="EF80" s="530"/>
      <c r="EG80" s="530"/>
      <c r="EH80" s="530"/>
      <c r="EI80" s="530"/>
      <c r="EJ80" s="530"/>
      <c r="EK80" s="530"/>
      <c r="EL80" s="530"/>
      <c r="EM80" s="530"/>
      <c r="EN80" s="530"/>
      <c r="EO80" s="530"/>
      <c r="EP80" s="530"/>
      <c r="EQ80" s="530"/>
      <c r="ER80" s="530"/>
      <c r="ES80" s="530"/>
      <c r="ET80" s="530"/>
      <c r="EU80" s="530"/>
      <c r="EV80" s="530"/>
      <c r="EW80" s="530"/>
      <c r="EX80" s="530"/>
      <c r="EY80" s="530"/>
      <c r="EZ80" s="530"/>
      <c r="FA80" s="530"/>
      <c r="FB80" s="530"/>
      <c r="FC80" s="530"/>
      <c r="FD80" s="530"/>
      <c r="FE80" s="530"/>
      <c r="FF80" s="530"/>
      <c r="FG80" s="530"/>
      <c r="FH80" s="530"/>
      <c r="FI80" s="530"/>
      <c r="FJ80" s="530"/>
      <c r="FK80" s="530"/>
      <c r="FL80" s="530"/>
      <c r="FM80" s="530"/>
      <c r="FN80" s="530"/>
      <c r="FO80" s="530"/>
      <c r="FP80" s="530"/>
      <c r="FQ80" s="530"/>
      <c r="GJ80" s="128"/>
      <c r="GK80" s="128"/>
      <c r="GL80" s="128"/>
      <c r="GM80" s="128"/>
      <c r="GN80" s="128"/>
      <c r="GO80" s="128"/>
      <c r="GP80" s="128"/>
      <c r="GQ80" s="128"/>
      <c r="GR80" s="128"/>
      <c r="GS80" s="128"/>
      <c r="GT80" s="128"/>
      <c r="GU80" s="128"/>
      <c r="GV80" s="128"/>
      <c r="GW80" s="128"/>
      <c r="GX80" s="128"/>
      <c r="GY80" s="128"/>
      <c r="GZ80" s="128"/>
      <c r="HA80" s="128"/>
      <c r="HB80" s="128"/>
      <c r="HC80" s="128"/>
      <c r="HD80" s="128"/>
      <c r="HE80" s="128"/>
      <c r="HF80" s="128"/>
      <c r="HG80" s="128"/>
      <c r="HH80" s="128"/>
      <c r="HI80" s="128"/>
      <c r="HJ80" s="128"/>
      <c r="HK80" s="128"/>
      <c r="HL80" s="128"/>
      <c r="HM80" s="128"/>
      <c r="HN80" s="128"/>
      <c r="HO80" s="128"/>
      <c r="HP80" s="128"/>
      <c r="HQ80" s="128"/>
      <c r="HR80" s="128"/>
      <c r="HS80" s="128"/>
      <c r="HT80" s="128"/>
      <c r="HU80" s="128"/>
      <c r="HV80" s="128"/>
      <c r="HW80" s="128"/>
      <c r="HX80" s="128"/>
      <c r="HY80" s="128"/>
      <c r="HZ80" s="128"/>
      <c r="IA80" s="128"/>
      <c r="IB80" s="128"/>
      <c r="IC80" s="128"/>
    </row>
    <row r="81" spans="41:237" x14ac:dyDescent="0.3">
      <c r="AO81" s="128">
        <v>50314</v>
      </c>
      <c r="AP81" s="128" t="s">
        <v>729</v>
      </c>
      <c r="AQ81" s="128" t="s">
        <v>824</v>
      </c>
      <c r="AR81" s="375" t="s">
        <v>3594</v>
      </c>
      <c r="AS81" s="375">
        <v>46239</v>
      </c>
      <c r="AT81" s="375">
        <v>46246</v>
      </c>
      <c r="AU81" s="530">
        <v>107680</v>
      </c>
      <c r="AV81" s="532">
        <v>50282</v>
      </c>
      <c r="AW81" s="530">
        <v>250000</v>
      </c>
      <c r="AX81" s="534">
        <f>_xlfn.XLOOKUP(Sell_unvalid[[#This Row],[DEAL_BUY_ID]],BS!BA:BA,BS!BE:BE,,0)</f>
        <v>107681</v>
      </c>
      <c r="AY81" s="534">
        <f>_xlfn.XLOOKUP(Sell_unvalid[[#This Row],[BOND_CODE]],FNRP!D:D,FNRP!I:I,_xlfn.XLOOKUP(Sell_unvalid[[#This Row],[BOND_CODE]],FNRP!AV:AV,FNRP!BA:BA,,0),0)</f>
        <v>107139</v>
      </c>
      <c r="AZ81" s="534">
        <f>_xlfn.XLOOKUP(Sell_unvalid[[#This Row],[DEAL_BUY_ID]],BS!BA:BA,BS!BQ:BQ,,0)*Sell_unvalid[[#This Row],[QUANTITY]]</f>
        <v>1917605415.5056615</v>
      </c>
      <c r="BA81" s="534">
        <f>(Sell_unvalid[[#This Row],[Giá MtM]]-10^5)*Sell_unvalid[[#This Row],[QUANTITY]]-Sell_unvalid[[#This Row],[PTCK remain]]</f>
        <v>-132855415.50566149</v>
      </c>
      <c r="BB81" s="534">
        <f>(Sell_unvalid[[#This Row],[PRICE]]-10^5)*Sell_unvalid[[#This Row],[QUANTITY]]-Sell_unvalid[[#This Row],[PTCK remain]]</f>
        <v>2394584.4943385124</v>
      </c>
      <c r="BC81" s="534" t="str">
        <f>IF(AND(Sell_unvalid[[#This Row],[VALUE_DATE]]&lt;=RPT,Sell_unvalid[[#This Row],[TRANSACTION_STATUS]]="N"),"Check","Ok")</f>
        <v>Ok</v>
      </c>
      <c r="BD81" s="534"/>
      <c r="BE81" s="615"/>
      <c r="BF81" s="128">
        <v>50274</v>
      </c>
      <c r="BG81" s="128" t="s">
        <v>718</v>
      </c>
      <c r="BH81" s="128" t="s">
        <v>824</v>
      </c>
      <c r="BI81" s="128" t="s">
        <v>3594</v>
      </c>
      <c r="BJ81" s="375">
        <v>46237</v>
      </c>
      <c r="BK81" s="375">
        <v>46241</v>
      </c>
      <c r="BL81" s="128">
        <v>1350000</v>
      </c>
      <c r="BM81" s="128">
        <v>145819</v>
      </c>
      <c r="BN81" s="534">
        <f>_xlfn.XLOOKUP(Buy_unvalid[[#This Row],[BOND_CODE]],FNRP!D:D,FNRP!I:I,,0)</f>
        <v>142132</v>
      </c>
      <c r="BO81" s="534">
        <f>_xlfn.XLOOKUP(Buy_unvalid[[#This Row],[DEAL_BUY_ID]],BS!BA:BA,BS!BQ:BQ,_xlfn.XLOOKUP(Buy_unvalid[[#This Row],[DEAL_BUY_ID]],BS!AL:AL,BS!AR:AR,,0),0)*Buy_unvalid[[#This Row],[QUANTITY]]</f>
        <v>61750904815.316895</v>
      </c>
      <c r="BP81" s="534">
        <f>(Buy_unvalid[[#This Row],[Giá MtM]]-10^5)*Buy_unvalid[[#This Row],[QUANTITY]]-Buy_unvalid[[#This Row],[PTCK remain]]</f>
        <v>-4872704815.3168945</v>
      </c>
      <c r="BQ81" s="534" t="str">
        <f>IF(AND(Buy_unvalid[[#This Row],[VALUE_DATE]]&lt;=RPT,Buy_unvalid[[#This Row],[TRANSACTION_STATUS]]="N"),"Check","Ok")</f>
        <v>Ok</v>
      </c>
      <c r="BS81" s="128"/>
      <c r="BT81" s="848">
        <v>50403</v>
      </c>
      <c r="BU81" s="849">
        <v>46258</v>
      </c>
      <c r="BV81" s="848">
        <v>50085</v>
      </c>
      <c r="BW81" s="848"/>
      <c r="BX81" s="530">
        <v>700000</v>
      </c>
      <c r="BY81" s="735">
        <f>_xlfn.XLOOKUP(Est_NIM[[#This Row],[DEAL_BUY_ID]],BS!AL:AL,BS!AU:AU,_xlfn.XLOOKUP(Est_NIM[[#This Row],[DEAL_BUY_ID]],BS!BA:BA,BS!BJ:BJ,,0),0)</f>
        <v>3.6036000000000001</v>
      </c>
      <c r="BZ81" s="534">
        <f>Est_NIM[[#This Row],[QUANT]]*Est_NIM[[#This Row],[YIELD]]</f>
        <v>2522520</v>
      </c>
      <c r="CA81" s="128"/>
      <c r="CB81" s="128"/>
      <c r="CE81" s="331"/>
      <c r="CF81" s="331"/>
      <c r="CG81" s="331"/>
      <c r="CH81">
        <v>3730</v>
      </c>
      <c r="CI81">
        <v>14282</v>
      </c>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8"/>
      <c r="DS81" s="128"/>
      <c r="DT81" s="128"/>
      <c r="DU81" s="128"/>
      <c r="DV81" s="128"/>
      <c r="DW81" s="128"/>
      <c r="DX81" s="530"/>
      <c r="DY81" s="530"/>
      <c r="DZ81" s="530"/>
      <c r="EA81" s="530"/>
      <c r="EB81" s="530"/>
      <c r="EC81" s="530"/>
      <c r="ED81" s="530"/>
      <c r="EE81" s="530"/>
      <c r="EF81" s="530"/>
      <c r="EG81" s="530"/>
      <c r="EH81" s="530"/>
      <c r="EI81" s="530"/>
      <c r="EJ81" s="530"/>
      <c r="EK81" s="530"/>
      <c r="EL81" s="530"/>
      <c r="EM81" s="530"/>
      <c r="EN81" s="530"/>
      <c r="EO81" s="530"/>
      <c r="EP81" s="530"/>
      <c r="EQ81" s="530"/>
      <c r="ER81" s="530"/>
      <c r="ES81" s="530"/>
      <c r="ET81" s="530"/>
      <c r="EU81" s="530"/>
      <c r="EV81" s="530"/>
      <c r="EW81" s="530"/>
      <c r="EX81" s="530"/>
      <c r="EY81" s="530"/>
      <c r="EZ81" s="530"/>
      <c r="FA81" s="530"/>
      <c r="FB81" s="530"/>
      <c r="FC81" s="530"/>
      <c r="FD81" s="530"/>
      <c r="FE81" s="530"/>
      <c r="FF81" s="530"/>
      <c r="FG81" s="530"/>
      <c r="FH81" s="530"/>
      <c r="FI81" s="530"/>
      <c r="FJ81" s="530"/>
      <c r="FK81" s="530"/>
      <c r="FL81" s="530"/>
      <c r="FM81" s="530"/>
      <c r="FN81" s="530"/>
      <c r="FO81" s="530"/>
      <c r="FP81" s="530"/>
      <c r="FQ81" s="530"/>
      <c r="GJ81" s="128"/>
      <c r="GK81" s="128"/>
      <c r="GL81" s="128"/>
      <c r="GM81" s="128"/>
      <c r="GN81" s="128"/>
      <c r="GO81" s="128"/>
      <c r="GP81" s="128"/>
      <c r="GQ81" s="128"/>
      <c r="GR81" s="128"/>
      <c r="GS81" s="128"/>
      <c r="GT81" s="128"/>
      <c r="GU81" s="128"/>
      <c r="GV81" s="128"/>
      <c r="GW81" s="128"/>
      <c r="GX81" s="128"/>
      <c r="GY81" s="128"/>
      <c r="GZ81" s="128"/>
      <c r="HA81" s="128"/>
      <c r="HB81" s="128"/>
      <c r="HC81" s="128"/>
      <c r="HD81" s="128"/>
      <c r="HE81" s="128"/>
      <c r="HF81" s="128"/>
      <c r="HG81" s="128"/>
      <c r="HH81" s="128"/>
      <c r="HI81" s="128"/>
      <c r="HJ81" s="128"/>
      <c r="HK81" s="128"/>
      <c r="HL81" s="128"/>
      <c r="HM81" s="128"/>
      <c r="HN81" s="128"/>
      <c r="HO81" s="128"/>
      <c r="HP81" s="128"/>
      <c r="HQ81" s="128"/>
      <c r="HR81" s="128"/>
      <c r="HS81" s="128"/>
      <c r="HT81" s="128"/>
      <c r="HU81" s="128"/>
      <c r="HV81" s="128"/>
      <c r="HW81" s="128"/>
      <c r="HX81" s="128"/>
      <c r="HY81" s="128"/>
      <c r="HZ81" s="128"/>
      <c r="IA81" s="128"/>
      <c r="IB81" s="128"/>
      <c r="IC81" s="128"/>
    </row>
    <row r="82" spans="41:237" x14ac:dyDescent="0.3">
      <c r="AO82" s="128">
        <v>50328</v>
      </c>
      <c r="AP82" s="128" t="s">
        <v>729</v>
      </c>
      <c r="AQ82" s="128" t="s">
        <v>824</v>
      </c>
      <c r="AR82" s="375" t="s">
        <v>3594</v>
      </c>
      <c r="AS82" s="375">
        <v>46244</v>
      </c>
      <c r="AT82" s="375">
        <v>46246</v>
      </c>
      <c r="AU82" s="530">
        <v>109921</v>
      </c>
      <c r="AV82" s="532">
        <v>50107</v>
      </c>
      <c r="AW82" s="530">
        <v>1750000</v>
      </c>
      <c r="AX82" s="534">
        <f>_xlfn.XLOOKUP(Sell_unvalid[[#This Row],[DEAL_BUY_ID]],BS!BA:BA,BS!BE:BE,,0)</f>
        <v>109922</v>
      </c>
      <c r="AY82" s="534">
        <f>_xlfn.XLOOKUP(Sell_unvalid[[#This Row],[BOND_CODE]],FNRP!D:D,FNRP!I:I,_xlfn.XLOOKUP(Sell_unvalid[[#This Row],[BOND_CODE]],FNRP!AV:AV,FNRP!BA:BA,,0),0)</f>
        <v>107139</v>
      </c>
      <c r="AZ82" s="534">
        <f>_xlfn.XLOOKUP(Sell_unvalid[[#This Row],[DEAL_BUY_ID]],BS!BA:BA,BS!BQ:BQ,,0)*Sell_unvalid[[#This Row],[QUANTITY]]</f>
        <v>17347654092.56102</v>
      </c>
      <c r="BA82" s="534">
        <f>(Sell_unvalid[[#This Row],[Giá MtM]]-10^5)*Sell_unvalid[[#This Row],[QUANTITY]]-Sell_unvalid[[#This Row],[PTCK remain]]</f>
        <v>-4854404092.5610199</v>
      </c>
      <c r="BB82" s="534">
        <f>(Sell_unvalid[[#This Row],[PRICE]]-10^5)*Sell_unvalid[[#This Row],[QUANTITY]]-Sell_unvalid[[#This Row],[PTCK remain]]</f>
        <v>14095907.438980103</v>
      </c>
      <c r="BC82" s="534" t="str">
        <f>IF(AND(Sell_unvalid[[#This Row],[VALUE_DATE]]&lt;=RPT,Sell_unvalid[[#This Row],[TRANSACTION_STATUS]]="N"),"Check","Ok")</f>
        <v>Ok</v>
      </c>
      <c r="BD82" s="534"/>
      <c r="BE82" s="615"/>
      <c r="BF82" s="128">
        <v>50302</v>
      </c>
      <c r="BG82" s="128" t="s">
        <v>718</v>
      </c>
      <c r="BH82" s="128" t="s">
        <v>824</v>
      </c>
      <c r="BI82" s="128" t="s">
        <v>3594</v>
      </c>
      <c r="BJ82" s="375">
        <v>46239</v>
      </c>
      <c r="BK82" s="375">
        <v>46245</v>
      </c>
      <c r="BL82" s="128">
        <v>335000</v>
      </c>
      <c r="BM82" s="128">
        <v>145756</v>
      </c>
      <c r="BN82" s="534">
        <f>_xlfn.XLOOKUP(Buy_unvalid[[#This Row],[BOND_CODE]],FNRP!D:D,FNRP!I:I,,0)</f>
        <v>142132</v>
      </c>
      <c r="BO82" s="534">
        <f>_xlfn.XLOOKUP(Buy_unvalid[[#This Row],[DEAL_BUY_ID]],BS!BA:BA,BS!BQ:BQ,_xlfn.XLOOKUP(Buy_unvalid[[#This Row],[DEAL_BUY_ID]],BS!AL:AL,BS!AR:AR,,0),0)*Buy_unvalid[[#This Row],[QUANTITY]]</f>
        <v>15311022180.413464</v>
      </c>
      <c r="BP82" s="534">
        <f>(Buy_unvalid[[#This Row],[Giá MtM]]-10^5)*Buy_unvalid[[#This Row],[QUANTITY]]-Buy_unvalid[[#This Row],[PTCK remain]]</f>
        <v>-1196802180.4134636</v>
      </c>
      <c r="BQ82" s="534" t="str">
        <f>IF(AND(Buy_unvalid[[#This Row],[VALUE_DATE]]&lt;=RPT,Buy_unvalid[[#This Row],[TRANSACTION_STATUS]]="N"),"Check","Ok")</f>
        <v>Ok</v>
      </c>
      <c r="BS82" s="128"/>
      <c r="BT82" s="848">
        <v>50403</v>
      </c>
      <c r="BU82" s="849">
        <v>46258</v>
      </c>
      <c r="BV82" s="848">
        <v>50380</v>
      </c>
      <c r="BW82" s="848"/>
      <c r="BX82" s="530">
        <v>100000</v>
      </c>
      <c r="BY82" s="735">
        <f>_xlfn.XLOOKUP(Est_NIM[[#This Row],[DEAL_BUY_ID]],BS!AL:AL,BS!AU:AU,_xlfn.XLOOKUP(Est_NIM[[#This Row],[DEAL_BUY_ID]],BS!BA:BA,BS!BJ:BJ,,0),0)</f>
        <v>3.8</v>
      </c>
      <c r="BZ82" s="534">
        <f>Est_NIM[[#This Row],[QUANT]]*Est_NIM[[#This Row],[YIELD]]</f>
        <v>380000</v>
      </c>
      <c r="CA82" s="128"/>
      <c r="CB82" s="128"/>
      <c r="CE82" s="331"/>
      <c r="CF82" s="331"/>
      <c r="CG82" s="331"/>
      <c r="CH82">
        <v>3730</v>
      </c>
      <c r="CI82">
        <v>14282</v>
      </c>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8"/>
      <c r="DS82" s="128"/>
      <c r="DT82" s="128"/>
      <c r="DU82" s="128"/>
      <c r="DV82" s="128"/>
      <c r="DW82" s="128"/>
      <c r="DX82" s="530"/>
      <c r="DY82" s="530"/>
      <c r="DZ82" s="530"/>
      <c r="EA82" s="530"/>
      <c r="EB82" s="530"/>
      <c r="EC82" s="530"/>
      <c r="ED82" s="530"/>
      <c r="EE82" s="530"/>
      <c r="EF82" s="530"/>
      <c r="EG82" s="530"/>
      <c r="EH82" s="530"/>
      <c r="EI82" s="530"/>
      <c r="EJ82" s="530"/>
      <c r="EK82" s="530"/>
      <c r="EL82" s="530"/>
      <c r="EM82" s="530"/>
      <c r="EN82" s="530"/>
      <c r="EO82" s="530"/>
      <c r="EP82" s="530"/>
      <c r="EQ82" s="530"/>
      <c r="ER82" s="530"/>
      <c r="ES82" s="530"/>
      <c r="ET82" s="530"/>
      <c r="EU82" s="530"/>
      <c r="EV82" s="530"/>
      <c r="EW82" s="530"/>
      <c r="EX82" s="530"/>
      <c r="EY82" s="530"/>
      <c r="EZ82" s="530"/>
      <c r="FA82" s="530"/>
      <c r="FB82" s="530"/>
      <c r="FC82" s="530"/>
      <c r="FD82" s="530"/>
      <c r="FE82" s="530"/>
      <c r="FF82" s="530"/>
      <c r="FG82" s="530"/>
      <c r="FH82" s="530"/>
      <c r="FI82" s="530"/>
      <c r="FJ82" s="530"/>
      <c r="FK82" s="530"/>
      <c r="FL82" s="530"/>
      <c r="FM82" s="530"/>
      <c r="FN82" s="530"/>
      <c r="FO82" s="530"/>
      <c r="FP82" s="530"/>
      <c r="FQ82" s="530"/>
      <c r="GJ82" s="128"/>
      <c r="GK82" s="128"/>
      <c r="GL82" s="128"/>
      <c r="GM82" s="128"/>
      <c r="GN82" s="128"/>
      <c r="GO82" s="128"/>
      <c r="GP82" s="128"/>
      <c r="GQ82" s="128"/>
      <c r="GR82" s="128"/>
      <c r="GS82" s="128"/>
      <c r="GT82" s="128"/>
      <c r="GU82" s="128"/>
      <c r="GV82" s="128"/>
      <c r="GW82" s="128"/>
      <c r="GX82" s="128"/>
      <c r="GY82" s="128"/>
      <c r="GZ82" s="128"/>
      <c r="HA82" s="128"/>
      <c r="HB82" s="128"/>
      <c r="HC82" s="128"/>
      <c r="HD82" s="128"/>
      <c r="HE82" s="128"/>
      <c r="HF82" s="128"/>
      <c r="HG82" s="128"/>
      <c r="HH82" s="128"/>
      <c r="HI82" s="128"/>
      <c r="HJ82" s="128"/>
      <c r="HK82" s="128"/>
      <c r="HL82" s="128"/>
      <c r="HM82" s="128"/>
      <c r="HN82" s="128"/>
      <c r="HO82" s="128"/>
      <c r="HP82" s="128"/>
      <c r="HQ82" s="128"/>
      <c r="HR82" s="128"/>
      <c r="HS82" s="128"/>
      <c r="HT82" s="128"/>
      <c r="HU82" s="128"/>
      <c r="HV82" s="128"/>
      <c r="HW82" s="128"/>
      <c r="HX82" s="128"/>
      <c r="HY82" s="128"/>
      <c r="HZ82" s="128"/>
      <c r="IA82" s="128"/>
      <c r="IB82" s="128"/>
      <c r="IC82" s="128"/>
    </row>
    <row r="83" spans="41:237" x14ac:dyDescent="0.3">
      <c r="AO83" s="128">
        <v>49900</v>
      </c>
      <c r="AP83" s="128" t="s">
        <v>688</v>
      </c>
      <c r="AQ83" s="128" t="s">
        <v>824</v>
      </c>
      <c r="AR83" s="375" t="s">
        <v>3594</v>
      </c>
      <c r="AS83" s="375">
        <v>46174</v>
      </c>
      <c r="AT83" s="375">
        <v>46248</v>
      </c>
      <c r="AU83" s="530">
        <v>89683</v>
      </c>
      <c r="AV83" s="532">
        <v>49899</v>
      </c>
      <c r="AW83" s="530">
        <v>1000000</v>
      </c>
      <c r="AX83" s="534">
        <f>_xlfn.XLOOKUP(Sell_unvalid[[#This Row],[DEAL_BUY_ID]],BS!BA:BA,BS!BE:BE,,0)</f>
        <v>89548</v>
      </c>
      <c r="AY83" s="534">
        <f>_xlfn.XLOOKUP(Sell_unvalid[[#This Row],[BOND_CODE]],FNRP!D:D,FNRP!I:I,_xlfn.XLOOKUP(Sell_unvalid[[#This Row],[BOND_CODE]],FNRP!AV:AV,FNRP!BA:BA,,0),0)</f>
        <v>89735</v>
      </c>
      <c r="AZ83" s="534">
        <f>_xlfn.XLOOKUP(Sell_unvalid[[#This Row],[DEAL_BUY_ID]],BS!BA:BA,BS!BQ:BQ,,0)*Sell_unvalid[[#This Row],[QUANTITY]]</f>
        <v>-10210446637.073618</v>
      </c>
      <c r="BA83" s="534">
        <f>(Sell_unvalid[[#This Row],[Giá MtM]]-10^5)*Sell_unvalid[[#This Row],[QUANTITY]]-Sell_unvalid[[#This Row],[PTCK remain]]</f>
        <v>-54553362.926382065</v>
      </c>
      <c r="BB83" s="534">
        <f>(Sell_unvalid[[#This Row],[PRICE]]-10^5)*Sell_unvalid[[#This Row],[QUANTITY]]-Sell_unvalid[[#This Row],[PTCK remain]]</f>
        <v>-106553362.92638206</v>
      </c>
      <c r="BC83" s="534" t="str">
        <f>IF(AND(Sell_unvalid[[#This Row],[VALUE_DATE]]&lt;=RPT,Sell_unvalid[[#This Row],[TRANSACTION_STATUS]]="N"),"Check","Ok")</f>
        <v>Ok</v>
      </c>
      <c r="BD83" s="534"/>
      <c r="BE83" s="615"/>
      <c r="BF83" s="128">
        <v>50311</v>
      </c>
      <c r="BG83" s="128" t="s">
        <v>718</v>
      </c>
      <c r="BH83" s="128" t="s">
        <v>824</v>
      </c>
      <c r="BI83" s="128" t="s">
        <v>3594</v>
      </c>
      <c r="BJ83" s="375">
        <v>46239</v>
      </c>
      <c r="BK83" s="375">
        <v>46245</v>
      </c>
      <c r="BL83" s="128">
        <v>335000</v>
      </c>
      <c r="BM83" s="128">
        <v>145756</v>
      </c>
      <c r="BN83" s="534">
        <f>_xlfn.XLOOKUP(Buy_unvalid[[#This Row],[BOND_CODE]],FNRP!D:D,FNRP!I:I,,0)</f>
        <v>142132</v>
      </c>
      <c r="BO83" s="534">
        <f>_xlfn.XLOOKUP(Buy_unvalid[[#This Row],[DEAL_BUY_ID]],BS!BA:BA,BS!BQ:BQ,_xlfn.XLOOKUP(Buy_unvalid[[#This Row],[DEAL_BUY_ID]],BS!AL:AL,BS!AR:AR,,0),0)*Buy_unvalid[[#This Row],[QUANTITY]]</f>
        <v>15311022180.413464</v>
      </c>
      <c r="BP83" s="534">
        <f>(Buy_unvalid[[#This Row],[Giá MtM]]-10^5)*Buy_unvalid[[#This Row],[QUANTITY]]-Buy_unvalid[[#This Row],[PTCK remain]]</f>
        <v>-1196802180.4134636</v>
      </c>
      <c r="BQ83" s="534" t="str">
        <f>IF(AND(Buy_unvalid[[#This Row],[VALUE_DATE]]&lt;=RPT,Buy_unvalid[[#This Row],[TRANSACTION_STATUS]]="N"),"Check","Ok")</f>
        <v>Ok</v>
      </c>
      <c r="BS83" s="128"/>
      <c r="BT83" s="848">
        <v>50429</v>
      </c>
      <c r="BU83" s="849">
        <v>46255</v>
      </c>
      <c r="BV83" s="848">
        <v>50313</v>
      </c>
      <c r="BW83" s="848"/>
      <c r="BX83" s="530">
        <v>800000</v>
      </c>
      <c r="BY83" s="735">
        <f>_xlfn.XLOOKUP(Est_NIM[[#This Row],[DEAL_BUY_ID]],BS!AL:AL,BS!AU:AU,_xlfn.XLOOKUP(Est_NIM[[#This Row],[DEAL_BUY_ID]],BS!BA:BA,BS!BJ:BJ,,0),0)</f>
        <v>4.2027000000000001</v>
      </c>
      <c r="BZ83" s="534">
        <f>Est_NIM[[#This Row],[QUANT]]*Est_NIM[[#This Row],[YIELD]]</f>
        <v>3362160</v>
      </c>
      <c r="CA83" s="128"/>
      <c r="CB83" s="128"/>
      <c r="CE83" s="331"/>
      <c r="CF83" s="331"/>
      <c r="CG83" s="331"/>
      <c r="CH83">
        <v>3730</v>
      </c>
      <c r="CI83">
        <v>14282</v>
      </c>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8"/>
      <c r="DS83" s="128"/>
      <c r="DT83" s="128"/>
      <c r="DU83" s="128"/>
      <c r="DV83" s="128"/>
      <c r="DW83" s="128"/>
      <c r="DX83" s="530"/>
      <c r="DY83" s="530"/>
      <c r="DZ83" s="530"/>
      <c r="EA83" s="530"/>
      <c r="EB83" s="530"/>
      <c r="EC83" s="530"/>
      <c r="ED83" s="530"/>
      <c r="EE83" s="530"/>
      <c r="EF83" s="530"/>
      <c r="EG83" s="530"/>
      <c r="EH83" s="530"/>
      <c r="EI83" s="530"/>
      <c r="EJ83" s="530"/>
      <c r="EK83" s="530"/>
      <c r="EL83" s="530"/>
      <c r="EM83" s="530"/>
      <c r="EN83" s="530"/>
      <c r="EO83" s="530"/>
      <c r="EP83" s="530"/>
      <c r="EQ83" s="530"/>
      <c r="ER83" s="530"/>
      <c r="ES83" s="530"/>
      <c r="ET83" s="530"/>
      <c r="EU83" s="530"/>
      <c r="EV83" s="530"/>
      <c r="EW83" s="530"/>
      <c r="EX83" s="530"/>
      <c r="EY83" s="530"/>
      <c r="EZ83" s="530"/>
      <c r="FA83" s="530"/>
      <c r="FB83" s="530"/>
      <c r="FC83" s="530"/>
      <c r="FD83" s="530"/>
      <c r="FE83" s="530"/>
      <c r="FF83" s="530"/>
      <c r="FG83" s="530"/>
      <c r="FH83" s="530"/>
      <c r="FI83" s="530"/>
      <c r="FJ83" s="530"/>
      <c r="FK83" s="530"/>
      <c r="FL83" s="530"/>
      <c r="FM83" s="530"/>
      <c r="FN83" s="530"/>
      <c r="FO83" s="530"/>
      <c r="FP83" s="530"/>
      <c r="FQ83" s="530"/>
      <c r="GJ83" s="128"/>
      <c r="GK83" s="128"/>
      <c r="GL83" s="128"/>
      <c r="GM83" s="128"/>
      <c r="GN83" s="128"/>
      <c r="GO83" s="128"/>
      <c r="GP83" s="128"/>
      <c r="GQ83" s="128"/>
      <c r="GR83" s="128"/>
      <c r="GS83" s="128"/>
      <c r="GT83" s="128"/>
      <c r="GU83" s="128"/>
      <c r="GV83" s="128"/>
      <c r="GW83" s="128"/>
      <c r="GX83" s="128"/>
      <c r="GY83" s="128"/>
      <c r="GZ83" s="128"/>
      <c r="HA83" s="128"/>
      <c r="HB83" s="128"/>
      <c r="HC83" s="128"/>
      <c r="HD83" s="128"/>
      <c r="HE83" s="128"/>
      <c r="HF83" s="128"/>
      <c r="HG83" s="128"/>
      <c r="HH83" s="128"/>
      <c r="HI83" s="128"/>
      <c r="HJ83" s="128"/>
      <c r="HK83" s="128"/>
      <c r="HL83" s="128"/>
      <c r="HM83" s="128"/>
      <c r="HN83" s="128"/>
      <c r="HO83" s="128"/>
      <c r="HP83" s="128"/>
      <c r="HQ83" s="128"/>
      <c r="HR83" s="128"/>
      <c r="HS83" s="128"/>
      <c r="HT83" s="128"/>
      <c r="HU83" s="128"/>
      <c r="HV83" s="128"/>
      <c r="HW83" s="128"/>
      <c r="HX83" s="128"/>
      <c r="HY83" s="128"/>
      <c r="HZ83" s="128"/>
      <c r="IA83" s="128"/>
      <c r="IB83" s="128"/>
      <c r="IC83" s="128"/>
    </row>
    <row r="84" spans="41:237" x14ac:dyDescent="0.3">
      <c r="AO84" s="128">
        <v>48523</v>
      </c>
      <c r="AP84" s="128" t="s">
        <v>712</v>
      </c>
      <c r="AQ84" s="128" t="s">
        <v>824</v>
      </c>
      <c r="AR84" s="128" t="s">
        <v>3594</v>
      </c>
      <c r="AS84" s="375">
        <v>46034</v>
      </c>
      <c r="AT84" s="375">
        <v>46223</v>
      </c>
      <c r="AU84" s="530">
        <v>92631</v>
      </c>
      <c r="AV84" s="128">
        <v>49761</v>
      </c>
      <c r="AW84" s="530">
        <v>1000000</v>
      </c>
      <c r="AX84" s="534">
        <f>_xlfn.XLOOKUP(Sell_unvalid[[#This Row],[DEAL_BUY_ID]],BS!BA:BA,BS!BE:BE,,0)</f>
        <v>99980</v>
      </c>
      <c r="AY84" s="534">
        <f>_xlfn.XLOOKUP(Sell_unvalid[[#This Row],[BOND_CODE]],FNRP!D:D,FNRP!I:I,_xlfn.XLOOKUP(Sell_unvalid[[#This Row],[BOND_CODE]],FNRP!AV:AV,FNRP!BA:BA,,0),0)</f>
        <v>90735</v>
      </c>
      <c r="AZ84" s="534">
        <f>_xlfn.XLOOKUP(Sell_unvalid[[#This Row],[DEAL_BUY_ID]],BS!BA:BA,BS!BQ:BQ,,0)*Sell_unvalid[[#This Row],[QUANTITY]]</f>
        <v>-19490176.423417956</v>
      </c>
      <c r="BA84" s="534">
        <f>(Sell_unvalid[[#This Row],[Giá MtM]]-10^5)*Sell_unvalid[[#This Row],[QUANTITY]]-Sell_unvalid[[#This Row],[PTCK remain]]</f>
        <v>-9245509823.576582</v>
      </c>
      <c r="BB84" s="534">
        <f>(Sell_unvalid[[#This Row],[PRICE]]-10^5)*Sell_unvalid[[#This Row],[QUANTITY]]-Sell_unvalid[[#This Row],[PTCK remain]]</f>
        <v>-7349509823.576582</v>
      </c>
      <c r="BC84" s="534" t="str">
        <f>IF(AND(Sell_unvalid[[#This Row],[VALUE_DATE]]&lt;=RPT,Sell_unvalid[[#This Row],[TRANSACTION_STATUS]]="N"),"Check","Ok")</f>
        <v>Ok</v>
      </c>
      <c r="BD84" s="534"/>
      <c r="BE84" s="615"/>
      <c r="BF84" s="128">
        <v>50399</v>
      </c>
      <c r="BG84" s="128" t="s">
        <v>1209</v>
      </c>
      <c r="BH84" s="128" t="s">
        <v>824</v>
      </c>
      <c r="BI84" s="128" t="s">
        <v>2234</v>
      </c>
      <c r="BJ84" s="375">
        <v>46247</v>
      </c>
      <c r="BK84" s="375">
        <v>46259</v>
      </c>
      <c r="BL84" s="128">
        <v>810000</v>
      </c>
      <c r="BM84" s="128">
        <v>123888</v>
      </c>
      <c r="BN84" s="534">
        <f>_xlfn.XLOOKUP(Buy_unvalid[[#This Row],[BOND_CODE]],FNRP!D:D,FNRP!I:I,,0)</f>
        <v>124387</v>
      </c>
      <c r="BO84" s="534">
        <f>_xlfn.XLOOKUP(Buy_unvalid[[#This Row],[DEAL_BUY_ID]],BS!BA:BA,BS!BQ:BQ,_xlfn.XLOOKUP(Buy_unvalid[[#This Row],[DEAL_BUY_ID]],BS!AL:AL,BS!AR:AR,,0),0)*Buy_unvalid[[#This Row],[QUANTITY]]</f>
        <v>19384638499.059242</v>
      </c>
      <c r="BP84" s="534">
        <f>(Buy_unvalid[[#This Row],[Giá MtM]]-10^5)*Buy_unvalid[[#This Row],[QUANTITY]]-Buy_unvalid[[#This Row],[PTCK remain]]</f>
        <v>368831500.94075775</v>
      </c>
      <c r="BQ84" s="534" t="str">
        <f>IF(AND(Buy_unvalid[[#This Row],[VALUE_DATE]]&lt;=RPT,Buy_unvalid[[#This Row],[TRANSACTION_STATUS]]="N"),"Check","Ok")</f>
        <v>Ok</v>
      </c>
      <c r="BS84" s="128"/>
      <c r="BT84" s="848">
        <v>50443</v>
      </c>
      <c r="BU84" s="849">
        <v>46261</v>
      </c>
      <c r="BV84" s="848">
        <v>50404</v>
      </c>
      <c r="BW84" s="848"/>
      <c r="BX84" s="530">
        <v>800000</v>
      </c>
      <c r="BY84" s="735">
        <f>_xlfn.XLOOKUP(Est_NIM[[#This Row],[DEAL_BUY_ID]],BS!AL:AL,BS!AU:AU,_xlfn.XLOOKUP(Est_NIM[[#This Row],[DEAL_BUY_ID]],BS!BA:BA,BS!BJ:BJ,,0),0)</f>
        <v>4.2</v>
      </c>
      <c r="BZ84" s="534">
        <f>Est_NIM[[#This Row],[QUANT]]*Est_NIM[[#This Row],[YIELD]]</f>
        <v>3360000</v>
      </c>
      <c r="CA84" s="128"/>
      <c r="CB84" s="128"/>
      <c r="CE84" s="331"/>
      <c r="CF84" s="331"/>
      <c r="CG84" s="331"/>
      <c r="CH84">
        <v>3730</v>
      </c>
      <c r="CI84">
        <v>14282</v>
      </c>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8"/>
      <c r="DS84" s="128"/>
      <c r="DT84" s="128"/>
      <c r="DU84" s="128"/>
      <c r="DV84" s="128"/>
      <c r="DW84" s="128"/>
      <c r="DX84" s="530"/>
      <c r="DY84" s="530"/>
      <c r="DZ84" s="530"/>
      <c r="EA84" s="530"/>
      <c r="EB84" s="530"/>
      <c r="EC84" s="530"/>
      <c r="ED84" s="530"/>
      <c r="EE84" s="530"/>
      <c r="EF84" s="530"/>
      <c r="EG84" s="530"/>
      <c r="EH84" s="530"/>
      <c r="EI84" s="530"/>
      <c r="EJ84" s="530"/>
      <c r="EK84" s="530"/>
      <c r="EL84" s="530"/>
      <c r="EM84" s="530"/>
      <c r="EN84" s="530"/>
      <c r="EO84" s="530"/>
      <c r="EP84" s="530"/>
      <c r="EQ84" s="530"/>
      <c r="ER84" s="530"/>
      <c r="ES84" s="530"/>
      <c r="ET84" s="530"/>
      <c r="EU84" s="530"/>
      <c r="EV84" s="530"/>
      <c r="EW84" s="530"/>
      <c r="EX84" s="530"/>
      <c r="EY84" s="530"/>
      <c r="EZ84" s="530"/>
      <c r="FA84" s="530"/>
      <c r="FB84" s="530"/>
      <c r="FC84" s="530"/>
      <c r="FD84" s="530"/>
      <c r="FE84" s="530"/>
      <c r="FF84" s="530"/>
      <c r="FG84" s="530"/>
      <c r="FH84" s="530"/>
      <c r="FI84" s="530"/>
      <c r="FJ84" s="530"/>
      <c r="FK84" s="530"/>
      <c r="FL84" s="530"/>
      <c r="FM84" s="530"/>
      <c r="FN84" s="530"/>
      <c r="FO84" s="530"/>
      <c r="FP84" s="530"/>
      <c r="FQ84" s="530"/>
      <c r="GJ84" s="128"/>
      <c r="GK84" s="128"/>
      <c r="GL84" s="128"/>
      <c r="GM84" s="128"/>
      <c r="GN84" s="128"/>
      <c r="GO84" s="128"/>
      <c r="GP84" s="128"/>
      <c r="GQ84" s="128"/>
      <c r="GR84" s="128"/>
      <c r="GS84" s="128"/>
      <c r="GT84" s="128"/>
      <c r="GU84" s="128"/>
      <c r="GV84" s="128"/>
      <c r="GW84" s="128"/>
      <c r="GX84" s="128"/>
      <c r="GY84" s="128"/>
      <c r="GZ84" s="128"/>
      <c r="HA84" s="128"/>
      <c r="HB84" s="128"/>
      <c r="HC84" s="128"/>
      <c r="HD84" s="128"/>
      <c r="HE84" s="128"/>
      <c r="HF84" s="128"/>
      <c r="HG84" s="128"/>
      <c r="HH84" s="128"/>
      <c r="HI84" s="128"/>
      <c r="HJ84" s="128"/>
      <c r="HK84" s="128"/>
      <c r="HL84" s="128"/>
      <c r="HM84" s="128"/>
      <c r="HN84" s="128"/>
      <c r="HO84" s="128"/>
      <c r="HP84" s="128"/>
      <c r="HQ84" s="128"/>
      <c r="HR84" s="128"/>
      <c r="HS84" s="128"/>
      <c r="HT84" s="128"/>
      <c r="HU84" s="128"/>
      <c r="HV84" s="128"/>
      <c r="HW84" s="128"/>
      <c r="HX84" s="128"/>
      <c r="HY84" s="128"/>
      <c r="HZ84" s="128"/>
      <c r="IA84" s="128"/>
      <c r="IB84" s="128"/>
      <c r="IC84" s="128"/>
    </row>
    <row r="85" spans="41:237" x14ac:dyDescent="0.3">
      <c r="AO85" s="128">
        <v>48523</v>
      </c>
      <c r="AP85" s="128" t="s">
        <v>712</v>
      </c>
      <c r="AQ85" s="128" t="s">
        <v>824</v>
      </c>
      <c r="AR85" s="128" t="s">
        <v>3594</v>
      </c>
      <c r="AS85" s="375">
        <v>46034</v>
      </c>
      <c r="AT85" s="375">
        <v>46223</v>
      </c>
      <c r="AU85" s="530">
        <v>92631</v>
      </c>
      <c r="AV85" s="128">
        <v>49912</v>
      </c>
      <c r="AW85" s="530">
        <v>500000</v>
      </c>
      <c r="AX85" s="534">
        <f>_xlfn.XLOOKUP(Sell_unvalid[[#This Row],[DEAL_BUY_ID]],BS!BA:BA,BS!BE:BE,,0)</f>
        <v>99868</v>
      </c>
      <c r="AY85" s="534">
        <f>_xlfn.XLOOKUP(Sell_unvalid[[#This Row],[BOND_CODE]],FNRP!D:D,FNRP!I:I,_xlfn.XLOOKUP(Sell_unvalid[[#This Row],[BOND_CODE]],FNRP!AV:AV,FNRP!BA:BA,,0),0)</f>
        <v>90735</v>
      </c>
      <c r="AZ85" s="534">
        <f>_xlfn.XLOOKUP(Sell_unvalid[[#This Row],[DEAL_BUY_ID]],BS!BA:BA,BS!BQ:BQ,,0)*Sell_unvalid[[#This Row],[QUANTITY]]</f>
        <v>-65102116.935483582</v>
      </c>
      <c r="BA85" s="534">
        <f>(Sell_unvalid[[#This Row],[Giá MtM]]-10^5)*Sell_unvalid[[#This Row],[QUANTITY]]-Sell_unvalid[[#This Row],[PTCK remain]]</f>
        <v>-4567397883.0645161</v>
      </c>
      <c r="BB85" s="534">
        <f>(Sell_unvalid[[#This Row],[PRICE]]-10^5)*Sell_unvalid[[#This Row],[QUANTITY]]-Sell_unvalid[[#This Row],[PTCK remain]]</f>
        <v>-3619397883.0645165</v>
      </c>
      <c r="BC85" s="534" t="str">
        <f>IF(AND(Sell_unvalid[[#This Row],[VALUE_DATE]]&lt;=RPT,Sell_unvalid[[#This Row],[TRANSACTION_STATUS]]="N"),"Check","Ok")</f>
        <v>Ok</v>
      </c>
      <c r="BD85" s="534"/>
      <c r="BE85" s="615"/>
      <c r="BF85" s="128">
        <v>50400</v>
      </c>
      <c r="BG85" s="128" t="s">
        <v>1209</v>
      </c>
      <c r="BH85" s="128" t="s">
        <v>824</v>
      </c>
      <c r="BI85" s="128" t="s">
        <v>2234</v>
      </c>
      <c r="BJ85" s="375">
        <v>46247</v>
      </c>
      <c r="BK85" s="375">
        <v>46261</v>
      </c>
      <c r="BL85" s="128">
        <v>810000</v>
      </c>
      <c r="BM85" s="128">
        <v>123871</v>
      </c>
      <c r="BN85" s="534">
        <f>_xlfn.XLOOKUP(Buy_unvalid[[#This Row],[BOND_CODE]],FNRP!D:D,FNRP!I:I,,0)</f>
        <v>124387</v>
      </c>
      <c r="BO85" s="534">
        <f>_xlfn.XLOOKUP(Buy_unvalid[[#This Row],[DEAL_BUY_ID]],BS!BA:BA,BS!BQ:BQ,_xlfn.XLOOKUP(Buy_unvalid[[#This Row],[DEAL_BUY_ID]],BS!AL:AL,BS!AR:AR,,0),0)*Buy_unvalid[[#This Row],[QUANTITY]]</f>
        <v>19383135514.547714</v>
      </c>
      <c r="BP85" s="534">
        <f>(Buy_unvalid[[#This Row],[Giá MtM]]-10^5)*Buy_unvalid[[#This Row],[QUANTITY]]-Buy_unvalid[[#This Row],[PTCK remain]]</f>
        <v>370334485.45228577</v>
      </c>
      <c r="BQ85" s="534" t="str">
        <f>IF(AND(Buy_unvalid[[#This Row],[VALUE_DATE]]&lt;=RPT,Buy_unvalid[[#This Row],[TRANSACTION_STATUS]]="N"),"Check","Ok")</f>
        <v>Ok</v>
      </c>
      <c r="BS85" s="128"/>
      <c r="BT85" s="848">
        <v>50445</v>
      </c>
      <c r="BU85" s="849">
        <v>46268</v>
      </c>
      <c r="BV85" s="848">
        <v>50430</v>
      </c>
      <c r="BW85" s="848"/>
      <c r="BX85" s="530">
        <v>800000</v>
      </c>
      <c r="BY85" s="735">
        <f>_xlfn.XLOOKUP(Est_NIM[[#This Row],[DEAL_BUY_ID]],BS!AL:AL,BS!AU:AU,_xlfn.XLOOKUP(Est_NIM[[#This Row],[DEAL_BUY_ID]],BS!BA:BA,BS!BJ:BJ,,0),0)</f>
        <v>4.2</v>
      </c>
      <c r="BZ85" s="534">
        <f>Est_NIM[[#This Row],[QUANT]]*Est_NIM[[#This Row],[YIELD]]</f>
        <v>3360000</v>
      </c>
      <c r="CA85" s="128"/>
      <c r="CB85" s="128"/>
      <c r="CE85" s="331"/>
      <c r="CF85" s="331"/>
      <c r="CG85" s="331"/>
      <c r="CH85">
        <v>3730</v>
      </c>
      <c r="CI85">
        <v>14282</v>
      </c>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8"/>
      <c r="DS85" s="128"/>
      <c r="DT85" s="128"/>
      <c r="DU85" s="128"/>
      <c r="DV85" s="128"/>
      <c r="DW85" s="128"/>
      <c r="DX85" s="530"/>
      <c r="DY85" s="530"/>
      <c r="DZ85" s="530"/>
      <c r="EA85" s="530"/>
      <c r="EB85" s="530"/>
      <c r="EC85" s="530"/>
      <c r="ED85" s="530"/>
      <c r="EE85" s="530"/>
      <c r="EF85" s="530"/>
      <c r="EG85" s="530"/>
      <c r="EH85" s="530"/>
      <c r="EI85" s="530"/>
      <c r="EJ85" s="530"/>
      <c r="EK85" s="530"/>
      <c r="EL85" s="530"/>
      <c r="EM85" s="530"/>
      <c r="EN85" s="530"/>
      <c r="EO85" s="530"/>
      <c r="EP85" s="530"/>
      <c r="EQ85" s="530"/>
      <c r="ER85" s="530"/>
      <c r="ES85" s="530"/>
      <c r="ET85" s="530"/>
      <c r="EU85" s="530"/>
      <c r="EV85" s="530"/>
      <c r="EW85" s="530"/>
      <c r="EX85" s="530"/>
      <c r="EY85" s="530"/>
      <c r="EZ85" s="530"/>
      <c r="FA85" s="530"/>
      <c r="FB85" s="530"/>
      <c r="FC85" s="530"/>
      <c r="FD85" s="530"/>
      <c r="FE85" s="530"/>
      <c r="FF85" s="530"/>
      <c r="FG85" s="530"/>
      <c r="FH85" s="530"/>
      <c r="FI85" s="530"/>
      <c r="FJ85" s="530"/>
      <c r="FK85" s="530"/>
      <c r="FL85" s="530"/>
      <c r="FM85" s="530"/>
      <c r="FN85" s="530"/>
      <c r="FO85" s="530"/>
      <c r="FP85" s="530"/>
      <c r="FQ85" s="530"/>
      <c r="GJ85" s="128"/>
      <c r="GK85" s="128"/>
      <c r="GL85" s="128"/>
      <c r="GM85" s="128"/>
      <c r="GN85" s="128"/>
      <c r="GO85" s="128"/>
      <c r="GP85" s="128"/>
      <c r="GQ85" s="128"/>
      <c r="GR85" s="128"/>
      <c r="GS85" s="128"/>
      <c r="GT85" s="128"/>
      <c r="GU85" s="128"/>
      <c r="GV85" s="128"/>
      <c r="GW85" s="128"/>
      <c r="GX85" s="128"/>
      <c r="GY85" s="128"/>
      <c r="GZ85" s="128"/>
      <c r="HA85" s="128"/>
      <c r="HB85" s="128"/>
      <c r="HC85" s="128"/>
      <c r="HD85" s="128"/>
      <c r="HE85" s="128"/>
      <c r="HF85" s="128"/>
      <c r="HG85" s="128"/>
      <c r="HH85" s="128"/>
      <c r="HI85" s="128"/>
      <c r="HJ85" s="128"/>
      <c r="HK85" s="128"/>
      <c r="HL85" s="128"/>
      <c r="HM85" s="128"/>
      <c r="HN85" s="128"/>
      <c r="HO85" s="128"/>
      <c r="HP85" s="128"/>
      <c r="HQ85" s="128"/>
      <c r="HR85" s="128"/>
      <c r="HS85" s="128"/>
      <c r="HT85" s="128"/>
      <c r="HU85" s="128"/>
      <c r="HV85" s="128"/>
      <c r="HW85" s="128"/>
      <c r="HX85" s="128"/>
      <c r="HY85" s="128"/>
      <c r="HZ85" s="128"/>
      <c r="IA85" s="128"/>
      <c r="IB85" s="128"/>
      <c r="IC85" s="128"/>
    </row>
    <row r="86" spans="41:237" x14ac:dyDescent="0.3">
      <c r="AO86" s="128">
        <v>48523</v>
      </c>
      <c r="AP86" s="128" t="s">
        <v>712</v>
      </c>
      <c r="AQ86" s="128" t="s">
        <v>824</v>
      </c>
      <c r="AR86" s="128" t="s">
        <v>3594</v>
      </c>
      <c r="AS86" s="375">
        <v>46034</v>
      </c>
      <c r="AT86" s="375">
        <v>46223</v>
      </c>
      <c r="AU86" s="530">
        <v>92631</v>
      </c>
      <c r="AV86" s="128">
        <v>50076</v>
      </c>
      <c r="AW86" s="530">
        <v>2500000</v>
      </c>
      <c r="AX86" s="534">
        <f>_xlfn.XLOOKUP(Sell_unvalid[[#This Row],[DEAL_BUY_ID]],BS!BA:BA,BS!BE:BE,,0)</f>
        <v>92292</v>
      </c>
      <c r="AY86" s="534">
        <f>_xlfn.XLOOKUP(Sell_unvalid[[#This Row],[BOND_CODE]],FNRP!D:D,FNRP!I:I,_xlfn.XLOOKUP(Sell_unvalid[[#This Row],[BOND_CODE]],FNRP!AV:AV,FNRP!BA:BA,,0),0)</f>
        <v>90735</v>
      </c>
      <c r="AZ86" s="534">
        <f>_xlfn.XLOOKUP(Sell_unvalid[[#This Row],[DEAL_BUY_ID]],BS!BA:BA,BS!BQ:BQ,,0)*Sell_unvalid[[#This Row],[QUANTITY]]</f>
        <v>-19083130188.297218</v>
      </c>
      <c r="BA86" s="534">
        <f>(Sell_unvalid[[#This Row],[Giá MtM]]-10^5)*Sell_unvalid[[#This Row],[QUANTITY]]-Sell_unvalid[[#This Row],[PTCK remain]]</f>
        <v>-4079369811.7027817</v>
      </c>
      <c r="BB86" s="534">
        <f>(Sell_unvalid[[#This Row],[PRICE]]-10^5)*Sell_unvalid[[#This Row],[QUANTITY]]-Sell_unvalid[[#This Row],[PTCK remain]]</f>
        <v>660630188.29721832</v>
      </c>
      <c r="BC86" s="534" t="str">
        <f>IF(AND(Sell_unvalid[[#This Row],[VALUE_DATE]]&lt;=RPT,Sell_unvalid[[#This Row],[TRANSACTION_STATUS]]="N"),"Check","Ok")</f>
        <v>Ok</v>
      </c>
      <c r="BD86" s="534"/>
      <c r="BE86" s="615"/>
      <c r="BF86" s="128">
        <v>50446</v>
      </c>
      <c r="BG86" s="128" t="s">
        <v>2497</v>
      </c>
      <c r="BH86" s="128" t="s">
        <v>824</v>
      </c>
      <c r="BI86" s="128" t="s">
        <v>2234</v>
      </c>
      <c r="BJ86" s="375">
        <v>46252</v>
      </c>
      <c r="BK86" s="375">
        <v>46269</v>
      </c>
      <c r="BL86" s="128">
        <v>800000</v>
      </c>
      <c r="BM86" s="128">
        <v>99915</v>
      </c>
      <c r="BN86" s="534">
        <f>_xlfn.XLOOKUP(Buy_unvalid[[#This Row],[BOND_CODE]],FNRP!D:D,FNRP!I:I,,0)</f>
        <v>92330</v>
      </c>
      <c r="BO86" s="534">
        <f>_xlfn.XLOOKUP(Buy_unvalid[[#This Row],[DEAL_BUY_ID]],BS!BA:BA,BS!BQ:BQ,_xlfn.XLOOKUP(Buy_unvalid[[#This Row],[DEAL_BUY_ID]],BS!AL:AL,BS!AR:AR,,0),0)*Buy_unvalid[[#This Row],[QUANTITY]]</f>
        <v>-67815821.020769104</v>
      </c>
      <c r="BP86" s="534">
        <f>(Buy_unvalid[[#This Row],[Giá MtM]]-10^5)*Buy_unvalid[[#This Row],[QUANTITY]]-Buy_unvalid[[#This Row],[PTCK remain]]</f>
        <v>-6068184178.9792309</v>
      </c>
      <c r="BQ86" s="534" t="str">
        <f>IF(AND(Buy_unvalid[[#This Row],[VALUE_DATE]]&lt;=RPT,Buy_unvalid[[#This Row],[TRANSACTION_STATUS]]="N"),"Check","Ok")</f>
        <v>Ok</v>
      </c>
      <c r="BS86" s="128"/>
      <c r="BT86" s="848">
        <v>50427</v>
      </c>
      <c r="BU86" s="849">
        <v>46255</v>
      </c>
      <c r="BV86" s="848">
        <v>49987</v>
      </c>
      <c r="BW86" s="848"/>
      <c r="BX86" s="530">
        <v>3000000</v>
      </c>
      <c r="BY86" s="735">
        <f>_xlfn.XLOOKUP(Est_NIM[[#This Row],[DEAL_BUY_ID]],BS!AL:AL,BS!AU:AU,_xlfn.XLOOKUP(Est_NIM[[#This Row],[DEAL_BUY_ID]],BS!BA:BA,BS!BJ:BJ,,0),0)</f>
        <v>3.0255000000000001</v>
      </c>
      <c r="BZ86" s="534">
        <f>Est_NIM[[#This Row],[QUANT]]*Est_NIM[[#This Row],[YIELD]]</f>
        <v>9076500</v>
      </c>
      <c r="CA86" s="128"/>
      <c r="CB86" s="128"/>
      <c r="CE86" s="331"/>
      <c r="CF86" s="331"/>
      <c r="CG86" s="331"/>
      <c r="CH86">
        <v>3730</v>
      </c>
      <c r="CI86">
        <v>14282</v>
      </c>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8"/>
      <c r="DS86" s="128"/>
      <c r="DT86" s="128"/>
      <c r="DU86" s="128"/>
      <c r="DV86" s="128"/>
      <c r="DW86" s="128"/>
      <c r="DX86" s="530"/>
      <c r="DY86" s="530"/>
      <c r="DZ86" s="530"/>
      <c r="EA86" s="530"/>
      <c r="EB86" s="530"/>
      <c r="EC86" s="530"/>
      <c r="ED86" s="530"/>
      <c r="EE86" s="530"/>
      <c r="EF86" s="530"/>
      <c r="EG86" s="530"/>
      <c r="EH86" s="530"/>
      <c r="EI86" s="530"/>
      <c r="EJ86" s="530"/>
      <c r="EK86" s="530"/>
      <c r="EL86" s="530"/>
      <c r="EM86" s="530"/>
      <c r="EN86" s="530"/>
      <c r="EO86" s="530"/>
      <c r="EP86" s="530"/>
      <c r="EQ86" s="530"/>
      <c r="ER86" s="530"/>
      <c r="ES86" s="530"/>
      <c r="ET86" s="530"/>
      <c r="EU86" s="530"/>
      <c r="EV86" s="530"/>
      <c r="EW86" s="530"/>
      <c r="EX86" s="530"/>
      <c r="EY86" s="530"/>
      <c r="EZ86" s="530"/>
      <c r="FA86" s="530"/>
      <c r="FB86" s="530"/>
      <c r="FC86" s="530"/>
      <c r="FD86" s="530"/>
      <c r="FE86" s="530"/>
      <c r="FF86" s="530"/>
      <c r="FG86" s="530"/>
      <c r="FH86" s="530"/>
      <c r="FI86" s="530"/>
      <c r="FJ86" s="530"/>
      <c r="FK86" s="530"/>
      <c r="FL86" s="530"/>
      <c r="FM86" s="530"/>
      <c r="FN86" s="530"/>
      <c r="FO86" s="530"/>
      <c r="FP86" s="530"/>
      <c r="FQ86" s="530"/>
      <c r="GJ86" s="128"/>
      <c r="GK86" s="128"/>
      <c r="GL86" s="128"/>
      <c r="GM86" s="128"/>
      <c r="GN86" s="128"/>
      <c r="GO86" s="128"/>
      <c r="GP86" s="128"/>
      <c r="GQ86" s="128"/>
      <c r="GR86" s="128"/>
      <c r="GS86" s="128"/>
      <c r="GT86" s="128"/>
      <c r="GU86" s="128"/>
      <c r="GV86" s="128"/>
      <c r="GW86" s="128"/>
      <c r="GX86" s="128"/>
      <c r="GY86" s="128"/>
      <c r="GZ86" s="128"/>
      <c r="HA86" s="128"/>
      <c r="HB86" s="128"/>
      <c r="HC86" s="128"/>
      <c r="HD86" s="128"/>
      <c r="HE86" s="128"/>
      <c r="HF86" s="128"/>
      <c r="HG86" s="128"/>
      <c r="HH86" s="128"/>
      <c r="HI86" s="128"/>
      <c r="HJ86" s="128"/>
      <c r="HK86" s="128"/>
      <c r="HL86" s="128"/>
      <c r="HM86" s="128"/>
      <c r="HN86" s="128"/>
      <c r="HO86" s="128"/>
      <c r="HP86" s="128"/>
      <c r="HQ86" s="128"/>
      <c r="HR86" s="128"/>
      <c r="HS86" s="128"/>
      <c r="HT86" s="128"/>
      <c r="HU86" s="128"/>
      <c r="HV86" s="128"/>
      <c r="HW86" s="128"/>
      <c r="HX86" s="128"/>
      <c r="HY86" s="128"/>
      <c r="HZ86" s="128"/>
      <c r="IA86" s="128"/>
      <c r="IB86" s="128"/>
      <c r="IC86" s="128"/>
    </row>
    <row r="87" spans="41:237" x14ac:dyDescent="0.3">
      <c r="AO87" s="128">
        <v>48523</v>
      </c>
      <c r="AP87" s="128" t="s">
        <v>712</v>
      </c>
      <c r="AQ87" s="128" t="s">
        <v>824</v>
      </c>
      <c r="AR87" s="128" t="s">
        <v>3594</v>
      </c>
      <c r="AS87" s="375">
        <v>46034</v>
      </c>
      <c r="AT87" s="375">
        <v>46223</v>
      </c>
      <c r="AU87" s="530">
        <v>92631</v>
      </c>
      <c r="AV87" s="128">
        <v>50167</v>
      </c>
      <c r="AW87" s="530">
        <v>5500000</v>
      </c>
      <c r="AX87" s="534">
        <f>_xlfn.XLOOKUP(Sell_unvalid[[#This Row],[DEAL_BUY_ID]],BS!BA:BA,BS!BE:BE,,0)</f>
        <v>93297</v>
      </c>
      <c r="AY87" s="534">
        <f>_xlfn.XLOOKUP(Sell_unvalid[[#This Row],[BOND_CODE]],FNRP!D:D,FNRP!I:I,_xlfn.XLOOKUP(Sell_unvalid[[#This Row],[BOND_CODE]],FNRP!AV:AV,FNRP!BA:BA,,0),0)</f>
        <v>90735</v>
      </c>
      <c r="AZ87" s="534">
        <f>_xlfn.XLOOKUP(Sell_unvalid[[#This Row],[DEAL_BUY_ID]],BS!BA:BA,BS!BQ:BQ,,0)*Sell_unvalid[[#This Row],[QUANTITY]]</f>
        <v>-36620024268.887077</v>
      </c>
      <c r="BA87" s="534">
        <f>(Sell_unvalid[[#This Row],[Giá MtM]]-10^5)*Sell_unvalid[[#This Row],[QUANTITY]]-Sell_unvalid[[#This Row],[PTCK remain]]</f>
        <v>-14337475731.112923</v>
      </c>
      <c r="BB87" s="534">
        <f>(Sell_unvalid[[#This Row],[PRICE]]-10^5)*Sell_unvalid[[#This Row],[QUANTITY]]-Sell_unvalid[[#This Row],[PTCK remain]]</f>
        <v>-3909475731.1129227</v>
      </c>
      <c r="BC87" s="534" t="str">
        <f>IF(AND(Sell_unvalid[[#This Row],[VALUE_DATE]]&lt;=RPT,Sell_unvalid[[#This Row],[TRANSACTION_STATUS]]="N"),"Check","Ok")</f>
        <v>Ok</v>
      </c>
      <c r="BD87" s="534"/>
      <c r="BE87" s="615"/>
      <c r="BF87" s="128">
        <v>50448</v>
      </c>
      <c r="BG87" s="128" t="s">
        <v>1209</v>
      </c>
      <c r="BH87" s="128" t="s">
        <v>824</v>
      </c>
      <c r="BI87" s="128" t="s">
        <v>2234</v>
      </c>
      <c r="BJ87" s="375">
        <v>46252</v>
      </c>
      <c r="BK87" s="375">
        <v>46269</v>
      </c>
      <c r="BL87" s="128">
        <v>560000</v>
      </c>
      <c r="BM87" s="128">
        <v>123820</v>
      </c>
      <c r="BN87" s="534">
        <f>_xlfn.XLOOKUP(Buy_unvalid[[#This Row],[BOND_CODE]],FNRP!D:D,FNRP!I:I,,0)</f>
        <v>124387</v>
      </c>
      <c r="BO87" s="534">
        <f>_xlfn.XLOOKUP(Buy_unvalid[[#This Row],[DEAL_BUY_ID]],BS!BA:BA,BS!BQ:BQ,_xlfn.XLOOKUP(Buy_unvalid[[#This Row],[DEAL_BUY_ID]],BS!AL:AL,BS!AR:AR,,0),0)*Buy_unvalid[[#This Row],[QUANTITY]]</f>
        <v>13404958366.084221</v>
      </c>
      <c r="BP87" s="534">
        <f>(Buy_unvalid[[#This Row],[Giá MtM]]-10^5)*Buy_unvalid[[#This Row],[QUANTITY]]-Buy_unvalid[[#This Row],[PTCK remain]]</f>
        <v>251761633.91577911</v>
      </c>
      <c r="BQ87" s="534" t="str">
        <f>IF(AND(Buy_unvalid[[#This Row],[VALUE_DATE]]&lt;=RPT,Buy_unvalid[[#This Row],[TRANSACTION_STATUS]]="N"),"Check","Ok")</f>
        <v>Ok</v>
      </c>
      <c r="BS87" s="128"/>
      <c r="BT87" s="848">
        <v>50435</v>
      </c>
      <c r="BU87" s="849">
        <v>46259</v>
      </c>
      <c r="BV87" s="848">
        <v>50323</v>
      </c>
      <c r="BW87" s="848"/>
      <c r="BX87" s="530">
        <v>2000000</v>
      </c>
      <c r="BY87" s="735">
        <f>_xlfn.XLOOKUP(Est_NIM[[#This Row],[DEAL_BUY_ID]],BS!AL:AL,BS!AU:AU,_xlfn.XLOOKUP(Est_NIM[[#This Row],[DEAL_BUY_ID]],BS!BA:BA,BS!BJ:BJ,,0),0)</f>
        <v>2.7</v>
      </c>
      <c r="BZ87" s="534">
        <f>Est_NIM[[#This Row],[QUANT]]*Est_NIM[[#This Row],[YIELD]]</f>
        <v>5400000</v>
      </c>
      <c r="CA87" s="128"/>
      <c r="CB87" s="128"/>
      <c r="CE87" s="331"/>
      <c r="CF87" s="331"/>
      <c r="CG87" s="331"/>
      <c r="CH87">
        <v>3730</v>
      </c>
      <c r="CI87">
        <v>14282</v>
      </c>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8"/>
      <c r="DS87" s="128"/>
      <c r="DT87" s="128"/>
      <c r="DU87" s="128"/>
      <c r="DV87" s="128"/>
      <c r="DW87" s="128"/>
      <c r="DX87" s="128"/>
      <c r="DY87" s="128"/>
      <c r="DZ87" s="530"/>
      <c r="EA87" s="530"/>
      <c r="EB87" s="530"/>
      <c r="EC87" s="530"/>
      <c r="ED87" s="530"/>
      <c r="EE87" s="530"/>
      <c r="EF87" s="530"/>
      <c r="EG87" s="530"/>
      <c r="EH87" s="530"/>
      <c r="EI87" s="530"/>
      <c r="EJ87" s="530"/>
      <c r="EK87" s="530"/>
      <c r="EL87" s="530"/>
      <c r="EM87" s="530"/>
      <c r="EN87" s="530"/>
      <c r="EO87" s="530"/>
      <c r="EP87" s="530"/>
      <c r="EQ87" s="530"/>
      <c r="ER87" s="530"/>
      <c r="ES87" s="530"/>
      <c r="ET87" s="530"/>
      <c r="EU87" s="530"/>
      <c r="EV87" s="530"/>
      <c r="EW87" s="530"/>
      <c r="EX87" s="530"/>
      <c r="EY87" s="530"/>
      <c r="EZ87" s="530"/>
      <c r="FA87" s="530"/>
      <c r="FB87" s="530"/>
      <c r="FC87" s="530"/>
      <c r="FD87" s="530"/>
      <c r="FE87" s="530"/>
      <c r="FF87" s="530"/>
      <c r="FG87" s="530"/>
      <c r="FH87" s="530"/>
      <c r="FI87" s="530"/>
      <c r="FJ87" s="530"/>
      <c r="FK87" s="530"/>
      <c r="FL87" s="530"/>
      <c r="FM87" s="530"/>
      <c r="FN87" s="530"/>
      <c r="FO87" s="530"/>
      <c r="FP87" s="530"/>
      <c r="FQ87" s="530"/>
      <c r="GL87" s="128"/>
      <c r="GM87" s="128"/>
      <c r="GN87" s="128"/>
      <c r="GO87" s="128"/>
      <c r="GP87" s="128"/>
      <c r="GQ87" s="128"/>
      <c r="GR87" s="128"/>
      <c r="GS87" s="128"/>
      <c r="GT87" s="128"/>
      <c r="GU87" s="128"/>
      <c r="GV87" s="128"/>
      <c r="GW87" s="128"/>
      <c r="GX87" s="128"/>
      <c r="GY87" s="128"/>
      <c r="GZ87" s="128"/>
      <c r="HA87" s="128"/>
      <c r="HB87" s="128"/>
      <c r="HC87" s="128"/>
      <c r="HD87" s="128"/>
      <c r="HE87" s="128"/>
      <c r="HF87" s="128"/>
      <c r="HG87" s="128"/>
      <c r="HH87" s="128"/>
      <c r="HI87" s="128"/>
      <c r="HJ87" s="128"/>
      <c r="HK87" s="128"/>
      <c r="HL87" s="128"/>
      <c r="HM87" s="128"/>
      <c r="HN87" s="128"/>
      <c r="HO87" s="128"/>
      <c r="HP87" s="128"/>
      <c r="HQ87" s="128"/>
      <c r="HR87" s="128"/>
      <c r="HS87" s="128"/>
      <c r="HT87" s="128"/>
      <c r="HU87" s="128"/>
      <c r="HV87" s="128"/>
      <c r="HW87" s="128"/>
      <c r="HX87" s="128"/>
      <c r="HY87" s="128"/>
      <c r="HZ87" s="128"/>
      <c r="IA87" s="128"/>
      <c r="IB87" s="128"/>
      <c r="IC87" s="128"/>
    </row>
    <row r="88" spans="41:237" x14ac:dyDescent="0.3">
      <c r="AO88" s="128">
        <v>48524</v>
      </c>
      <c r="AP88" s="128" t="s">
        <v>712</v>
      </c>
      <c r="AQ88" s="128" t="s">
        <v>824</v>
      </c>
      <c r="AR88" s="128" t="s">
        <v>3594</v>
      </c>
      <c r="AS88" s="375">
        <v>46034</v>
      </c>
      <c r="AT88" s="375">
        <v>46223</v>
      </c>
      <c r="AU88" s="530">
        <v>92631</v>
      </c>
      <c r="AV88" s="128">
        <v>50167</v>
      </c>
      <c r="AW88" s="530">
        <v>1500000</v>
      </c>
      <c r="AX88" s="534">
        <f>_xlfn.XLOOKUP(Sell_unvalid[[#This Row],[DEAL_BUY_ID]],BS!BA:BA,BS!BE:BE,,0)</f>
        <v>93297</v>
      </c>
      <c r="AY88" s="534">
        <f>_xlfn.XLOOKUP(Sell_unvalid[[#This Row],[BOND_CODE]],FNRP!D:D,FNRP!I:I,_xlfn.XLOOKUP(Sell_unvalid[[#This Row],[BOND_CODE]],FNRP!AV:AV,FNRP!BA:BA,,0),0)</f>
        <v>90735</v>
      </c>
      <c r="AZ88" s="534">
        <f>_xlfn.XLOOKUP(Sell_unvalid[[#This Row],[DEAL_BUY_ID]],BS!BA:BA,BS!BQ:BQ,,0)*Sell_unvalid[[#This Row],[QUANTITY]]</f>
        <v>-9987279346.060112</v>
      </c>
      <c r="BA88" s="534">
        <f>(Sell_unvalid[[#This Row],[Giá MtM]]-10^5)*Sell_unvalid[[#This Row],[QUANTITY]]-Sell_unvalid[[#This Row],[PTCK remain]]</f>
        <v>-3910220653.939888</v>
      </c>
      <c r="BB88" s="534">
        <f>(Sell_unvalid[[#This Row],[PRICE]]-10^5)*Sell_unvalid[[#This Row],[QUANTITY]]-Sell_unvalid[[#This Row],[PTCK remain]]</f>
        <v>-1066220653.939888</v>
      </c>
      <c r="BC88" s="534" t="str">
        <f>IF(AND(Sell_unvalid[[#This Row],[VALUE_DATE]]&lt;=RPT,Sell_unvalid[[#This Row],[TRANSACTION_STATUS]]="N"),"Check","Ok")</f>
        <v>Ok</v>
      </c>
      <c r="BD88" s="534"/>
      <c r="BE88" s="615"/>
      <c r="BF88" s="128">
        <v>50076</v>
      </c>
      <c r="BG88" s="128" t="s">
        <v>712</v>
      </c>
      <c r="BH88" s="128" t="s">
        <v>824</v>
      </c>
      <c r="BI88" s="128" t="s">
        <v>3594</v>
      </c>
      <c r="BJ88" s="375">
        <v>46190</v>
      </c>
      <c r="BK88" s="375">
        <v>46205</v>
      </c>
      <c r="BL88" s="128">
        <v>2500000</v>
      </c>
      <c r="BM88" s="128">
        <v>92292</v>
      </c>
      <c r="BN88" s="534">
        <f>_xlfn.XLOOKUP(Buy_unvalid[[#This Row],[BOND_CODE]],FNRP!D:D,FNRP!I:I,,0)</f>
        <v>90735</v>
      </c>
      <c r="BO88" s="534">
        <f>_xlfn.XLOOKUP(Buy_unvalid[[#This Row],[DEAL_BUY_ID]],BS!BA:BA,BS!BQ:BQ,_xlfn.XLOOKUP(Buy_unvalid[[#This Row],[DEAL_BUY_ID]],BS!AL:AL,BS!AR:AR,,0),0)*Buy_unvalid[[#This Row],[QUANTITY]]</f>
        <v>-19083130188.297218</v>
      </c>
      <c r="BP88" s="534">
        <f>(Buy_unvalid[[#This Row],[Giá MtM]]-10^5)*Buy_unvalid[[#This Row],[QUANTITY]]-Buy_unvalid[[#This Row],[PTCK remain]]</f>
        <v>-4079369811.7027817</v>
      </c>
      <c r="BQ88" s="534" t="str">
        <f>IF(AND(Buy_unvalid[[#This Row],[VALUE_DATE]]&lt;=RPT,Buy_unvalid[[#This Row],[TRANSACTION_STATUS]]="N"),"Check","Ok")</f>
        <v>Ok</v>
      </c>
      <c r="BS88" s="128"/>
      <c r="BT88" s="848">
        <v>50433</v>
      </c>
      <c r="BU88" s="849">
        <v>46258</v>
      </c>
      <c r="BV88" s="848">
        <v>50325</v>
      </c>
      <c r="BW88" s="848"/>
      <c r="BX88" s="530">
        <v>1340000</v>
      </c>
      <c r="BY88" s="735">
        <f>_xlfn.XLOOKUP(Est_NIM[[#This Row],[DEAL_BUY_ID]],BS!AL:AL,BS!AU:AU,_xlfn.XLOOKUP(Est_NIM[[#This Row],[DEAL_BUY_ID]],BS!BA:BA,BS!BJ:BJ,,0),0)</f>
        <v>2.6</v>
      </c>
      <c r="BZ88" s="534">
        <f>Est_NIM[[#This Row],[QUANT]]*Est_NIM[[#This Row],[YIELD]]</f>
        <v>3484000</v>
      </c>
      <c r="CA88" s="128"/>
      <c r="CB88" s="128"/>
      <c r="CE88" s="331"/>
      <c r="CF88" s="331"/>
      <c r="CG88" s="331"/>
      <c r="CH88">
        <v>3730</v>
      </c>
      <c r="CI88">
        <v>14282</v>
      </c>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8"/>
      <c r="DS88" s="128"/>
      <c r="DT88" s="128"/>
      <c r="DU88" s="128"/>
      <c r="DV88" s="128"/>
      <c r="DW88" s="128"/>
      <c r="DX88" s="128"/>
      <c r="DY88" s="128"/>
      <c r="DZ88" s="530"/>
      <c r="EA88" s="530"/>
      <c r="EB88" s="530"/>
      <c r="EC88" s="530"/>
      <c r="ED88" s="530"/>
      <c r="EE88" s="530"/>
      <c r="EF88" s="530"/>
      <c r="EG88" s="530"/>
      <c r="EH88" s="530"/>
      <c r="EI88" s="530"/>
      <c r="EJ88" s="530"/>
      <c r="EK88" s="530"/>
      <c r="EL88" s="530"/>
      <c r="EM88" s="530"/>
      <c r="EN88" s="530"/>
      <c r="EO88" s="530"/>
      <c r="EP88" s="530"/>
      <c r="EQ88" s="530"/>
      <c r="ER88" s="530"/>
      <c r="ES88" s="530"/>
      <c r="ET88" s="530"/>
      <c r="EU88" s="530"/>
      <c r="EV88" s="530"/>
      <c r="EW88" s="530"/>
      <c r="EX88" s="530"/>
      <c r="EY88" s="530"/>
      <c r="EZ88" s="530"/>
      <c r="FA88" s="530"/>
      <c r="FB88" s="530"/>
      <c r="FC88" s="530"/>
      <c r="FD88" s="530"/>
      <c r="FE88" s="530"/>
      <c r="FF88" s="530"/>
      <c r="FG88" s="530"/>
      <c r="FH88" s="530"/>
      <c r="FI88" s="530"/>
      <c r="FJ88" s="530"/>
      <c r="FK88" s="530"/>
      <c r="FL88" s="530"/>
      <c r="FM88" s="530"/>
      <c r="FN88" s="530"/>
      <c r="FO88" s="530"/>
      <c r="FP88" s="530"/>
      <c r="FQ88" s="530"/>
      <c r="GL88" s="128"/>
      <c r="GM88" s="128"/>
      <c r="GN88" s="128"/>
      <c r="GO88" s="128"/>
      <c r="GP88" s="128"/>
      <c r="GQ88" s="128"/>
      <c r="GR88" s="128"/>
      <c r="GS88" s="128"/>
      <c r="GT88" s="128"/>
      <c r="GU88" s="128"/>
      <c r="GV88" s="128"/>
      <c r="GW88" s="128"/>
      <c r="GX88" s="128"/>
      <c r="GY88" s="128"/>
      <c r="GZ88" s="128"/>
      <c r="HA88" s="128"/>
      <c r="HB88" s="128"/>
      <c r="HC88" s="128"/>
      <c r="HD88" s="128"/>
      <c r="HE88" s="128"/>
      <c r="HF88" s="128"/>
      <c r="HG88" s="128"/>
      <c r="HH88" s="128"/>
      <c r="HI88" s="128"/>
      <c r="HJ88" s="128"/>
      <c r="HK88" s="128"/>
      <c r="HL88" s="128"/>
      <c r="HM88" s="128"/>
      <c r="HN88" s="128"/>
      <c r="HO88" s="128"/>
      <c r="HP88" s="128"/>
      <c r="HQ88" s="128"/>
      <c r="HR88" s="128"/>
      <c r="HS88" s="128"/>
      <c r="HT88" s="128"/>
      <c r="HU88" s="128"/>
      <c r="HV88" s="128"/>
      <c r="HW88" s="128"/>
      <c r="HX88" s="128"/>
      <c r="HY88" s="128"/>
      <c r="HZ88" s="128"/>
      <c r="IA88" s="128"/>
      <c r="IB88" s="128"/>
      <c r="IC88" s="128"/>
    </row>
    <row r="89" spans="41:237" x14ac:dyDescent="0.3">
      <c r="AO89" s="128">
        <v>50166</v>
      </c>
      <c r="AP89" s="128" t="s">
        <v>712</v>
      </c>
      <c r="AQ89" s="128" t="s">
        <v>824</v>
      </c>
      <c r="AR89" s="128" t="s">
        <v>3594</v>
      </c>
      <c r="AS89" s="375">
        <v>46210</v>
      </c>
      <c r="AT89" s="375">
        <v>46212</v>
      </c>
      <c r="AU89" s="530">
        <v>93328</v>
      </c>
      <c r="AV89" s="128">
        <v>49495</v>
      </c>
      <c r="AW89" s="530">
        <v>5500000</v>
      </c>
      <c r="AX89" s="534">
        <f>_xlfn.XLOOKUP(Sell_unvalid[[#This Row],[DEAL_BUY_ID]],BS!BA:BA,BS!BE:BE,,0)</f>
        <v>92230</v>
      </c>
      <c r="AY89" s="534">
        <f>_xlfn.XLOOKUP(Sell_unvalid[[#This Row],[BOND_CODE]],FNRP!D:D,FNRP!I:I,_xlfn.XLOOKUP(Sell_unvalid[[#This Row],[BOND_CODE]],FNRP!AV:AV,FNRP!BA:BA,,0),0)</f>
        <v>90735</v>
      </c>
      <c r="AZ89" s="534">
        <f>_xlfn.XLOOKUP(Sell_unvalid[[#This Row],[DEAL_BUY_ID]],BS!BA:BA,BS!BQ:BQ,,0)*Sell_unvalid[[#This Row],[QUANTITY]]</f>
        <v>-41676064107.677002</v>
      </c>
      <c r="BA89" s="534">
        <f>(Sell_unvalid[[#This Row],[Giá MtM]]-10^5)*Sell_unvalid[[#This Row],[QUANTITY]]-Sell_unvalid[[#This Row],[PTCK remain]]</f>
        <v>-9281435892.322998</v>
      </c>
      <c r="BB89" s="534">
        <f>(Sell_unvalid[[#This Row],[PRICE]]-10^5)*Sell_unvalid[[#This Row],[QUANTITY]]-Sell_unvalid[[#This Row],[PTCK remain]]</f>
        <v>4980064107.677002</v>
      </c>
      <c r="BC89" s="534" t="str">
        <f>IF(AND(Sell_unvalid[[#This Row],[VALUE_DATE]]&lt;=RPT,Sell_unvalid[[#This Row],[TRANSACTION_STATUS]]="N"),"Check","Ok")</f>
        <v>Ok</v>
      </c>
      <c r="BD89" s="534"/>
      <c r="BE89" s="615"/>
      <c r="BF89" s="128">
        <v>50077</v>
      </c>
      <c r="BG89" s="128" t="s">
        <v>720</v>
      </c>
      <c r="BH89" s="128" t="s">
        <v>824</v>
      </c>
      <c r="BI89" s="128" t="s">
        <v>3594</v>
      </c>
      <c r="BJ89" s="375">
        <v>46190</v>
      </c>
      <c r="BK89" s="375">
        <v>46205</v>
      </c>
      <c r="BL89" s="128">
        <v>500000</v>
      </c>
      <c r="BM89" s="128">
        <v>151624</v>
      </c>
      <c r="BN89" s="534">
        <f>_xlfn.XLOOKUP(Buy_unvalid[[#This Row],[BOND_CODE]],FNRP!D:D,FNRP!I:I,,0)</f>
        <v>141623</v>
      </c>
      <c r="BO89" s="534">
        <f>_xlfn.XLOOKUP(Buy_unvalid[[#This Row],[DEAL_BUY_ID]],BS!BA:BA,BS!BQ:BQ,_xlfn.XLOOKUP(Buy_unvalid[[#This Row],[DEAL_BUY_ID]],BS!AL:AL,BS!AR:AR,,0),0)*Buy_unvalid[[#This Row],[QUANTITY]]</f>
        <v>25644908133.376732</v>
      </c>
      <c r="BP89" s="534">
        <f>(Buy_unvalid[[#This Row],[Giá MtM]]-10^5)*Buy_unvalid[[#This Row],[QUANTITY]]-Buy_unvalid[[#This Row],[PTCK remain]]</f>
        <v>-4833408133.3767319</v>
      </c>
      <c r="BQ89" s="534" t="str">
        <f>IF(AND(Buy_unvalid[[#This Row],[VALUE_DATE]]&lt;=RPT,Buy_unvalid[[#This Row],[TRANSACTION_STATUS]]="N"),"Check","Ok")</f>
        <v>Ok</v>
      </c>
      <c r="BS89" s="128"/>
      <c r="BT89" s="848">
        <v>50421</v>
      </c>
      <c r="BU89" s="849">
        <v>46254</v>
      </c>
      <c r="BV89" s="848">
        <v>50408</v>
      </c>
      <c r="BW89" s="848"/>
      <c r="BX89" s="530">
        <v>2000000</v>
      </c>
      <c r="BY89" s="735">
        <f>_xlfn.XLOOKUP(Est_NIM[[#This Row],[DEAL_BUY_ID]],BS!AL:AL,BS!AU:AU,_xlfn.XLOOKUP(Est_NIM[[#This Row],[DEAL_BUY_ID]],BS!BA:BA,BS!BJ:BJ,,0),0)</f>
        <v>2.7</v>
      </c>
      <c r="BZ89" s="534">
        <f>Est_NIM[[#This Row],[QUANT]]*Est_NIM[[#This Row],[YIELD]]</f>
        <v>5400000</v>
      </c>
      <c r="CA89" s="128"/>
      <c r="CB89" s="128"/>
      <c r="CE89" s="331"/>
      <c r="CF89" s="331"/>
      <c r="CG89" s="331"/>
      <c r="CH89">
        <v>3730</v>
      </c>
      <c r="CI89">
        <v>14282</v>
      </c>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8"/>
      <c r="DS89" s="128"/>
      <c r="DT89" s="128"/>
      <c r="DU89" s="128"/>
      <c r="DV89" s="128"/>
      <c r="DW89" s="128"/>
      <c r="DX89" s="128"/>
      <c r="DY89" s="128"/>
      <c r="DZ89" s="530"/>
      <c r="EA89" s="530"/>
      <c r="EB89" s="530"/>
      <c r="EC89" s="530"/>
      <c r="ED89" s="530"/>
      <c r="EE89" s="530"/>
      <c r="EF89" s="530"/>
      <c r="EG89" s="530"/>
      <c r="EH89" s="530"/>
      <c r="EI89" s="530"/>
      <c r="EJ89" s="530"/>
      <c r="EK89" s="530"/>
      <c r="EL89" s="530"/>
      <c r="EM89" s="530"/>
      <c r="EN89" s="530"/>
      <c r="EO89" s="530"/>
      <c r="EP89" s="530"/>
      <c r="EQ89" s="530"/>
      <c r="ER89" s="530"/>
      <c r="ES89" s="530"/>
      <c r="ET89" s="530"/>
      <c r="EU89" s="530"/>
      <c r="EV89" s="530"/>
      <c r="EW89" s="530"/>
      <c r="EX89" s="530"/>
      <c r="EY89" s="530"/>
      <c r="EZ89" s="530"/>
      <c r="FA89" s="530"/>
      <c r="FB89" s="530"/>
      <c r="FC89" s="530"/>
      <c r="FD89" s="530"/>
      <c r="FE89" s="530"/>
      <c r="FF89" s="530"/>
      <c r="FG89" s="530"/>
      <c r="FH89" s="530"/>
      <c r="FI89" s="530"/>
      <c r="FJ89" s="530"/>
      <c r="FK89" s="530"/>
      <c r="FL89" s="530"/>
      <c r="FM89" s="530"/>
      <c r="FN89" s="530"/>
      <c r="FO89" s="530"/>
      <c r="FP89" s="530"/>
      <c r="FQ89" s="530"/>
      <c r="GL89" s="128"/>
      <c r="GM89" s="128"/>
      <c r="GN89" s="128"/>
      <c r="GO89" s="128"/>
      <c r="GP89" s="128"/>
      <c r="GQ89" s="128"/>
      <c r="GR89" s="128"/>
      <c r="GS89" s="128"/>
      <c r="GT89" s="128"/>
      <c r="GU89" s="128"/>
      <c r="GV89" s="128"/>
      <c r="GW89" s="128"/>
      <c r="GX89" s="128"/>
      <c r="GY89" s="128"/>
      <c r="GZ89" s="128"/>
      <c r="HA89" s="128"/>
      <c r="HB89" s="128"/>
      <c r="HC89" s="128"/>
      <c r="HD89" s="128"/>
      <c r="HE89" s="128"/>
      <c r="HF89" s="128"/>
      <c r="HG89" s="128"/>
      <c r="HH89" s="128"/>
      <c r="HI89" s="128"/>
      <c r="HJ89" s="128"/>
      <c r="HK89" s="128"/>
      <c r="HL89" s="128"/>
      <c r="HM89" s="128"/>
      <c r="HN89" s="128"/>
      <c r="HO89" s="128"/>
      <c r="HP89" s="128"/>
      <c r="HQ89" s="128"/>
      <c r="HR89" s="128"/>
      <c r="HS89" s="128"/>
      <c r="HT89" s="128"/>
      <c r="HU89" s="128"/>
      <c r="HV89" s="128"/>
      <c r="HW89" s="128"/>
      <c r="HX89" s="128"/>
      <c r="HY89" s="128"/>
      <c r="HZ89" s="128"/>
      <c r="IA89" s="128"/>
      <c r="IB89" s="128"/>
      <c r="IC89" s="128"/>
    </row>
    <row r="90" spans="41:237" x14ac:dyDescent="0.3">
      <c r="AO90" s="128">
        <v>50166</v>
      </c>
      <c r="AP90" s="128" t="s">
        <v>712</v>
      </c>
      <c r="AQ90" s="128" t="s">
        <v>824</v>
      </c>
      <c r="AR90" s="128" t="s">
        <v>3594</v>
      </c>
      <c r="AS90" s="375">
        <v>46210</v>
      </c>
      <c r="AT90" s="375">
        <v>46212</v>
      </c>
      <c r="AU90" s="530">
        <v>93328</v>
      </c>
      <c r="AV90" s="128">
        <v>49774</v>
      </c>
      <c r="AW90" s="530">
        <v>1500000</v>
      </c>
      <c r="AX90" s="534">
        <f>_xlfn.XLOOKUP(Sell_unvalid[[#This Row],[DEAL_BUY_ID]],BS!BA:BA,BS!BE:BE,,0)</f>
        <v>97100</v>
      </c>
      <c r="AY90" s="534">
        <f>_xlfn.XLOOKUP(Sell_unvalid[[#This Row],[BOND_CODE]],FNRP!D:D,FNRP!I:I,_xlfn.XLOOKUP(Sell_unvalid[[#This Row],[BOND_CODE]],FNRP!AV:AV,FNRP!BA:BA,,0),0)</f>
        <v>90735</v>
      </c>
      <c r="AZ90" s="534">
        <f>_xlfn.XLOOKUP(Sell_unvalid[[#This Row],[DEAL_BUY_ID]],BS!BA:BA,BS!BQ:BQ,,0)*Sell_unvalid[[#This Row],[QUANTITY]]</f>
        <v>-4270624648.7354465</v>
      </c>
      <c r="BA90" s="534">
        <f>(Sell_unvalid[[#This Row],[Giá MtM]]-10^5)*Sell_unvalid[[#This Row],[QUANTITY]]-Sell_unvalid[[#This Row],[PTCK remain]]</f>
        <v>-9626875351.2645531</v>
      </c>
      <c r="BB90" s="534">
        <f>(Sell_unvalid[[#This Row],[PRICE]]-10^5)*Sell_unvalid[[#This Row],[QUANTITY]]-Sell_unvalid[[#This Row],[PTCK remain]]</f>
        <v>-5737375351.2645531</v>
      </c>
      <c r="BC90" s="534" t="str">
        <f>IF(AND(Sell_unvalid[[#This Row],[VALUE_DATE]]&lt;=RPT,Sell_unvalid[[#This Row],[TRANSACTION_STATUS]]="N"),"Check","Ok")</f>
        <v>Ok</v>
      </c>
      <c r="BD90" s="534"/>
      <c r="BE90" s="615"/>
      <c r="BF90" s="128">
        <v>50169</v>
      </c>
      <c r="BG90" s="128" t="s">
        <v>2497</v>
      </c>
      <c r="BH90" s="128" t="s">
        <v>824</v>
      </c>
      <c r="BI90" s="128" t="s">
        <v>3594</v>
      </c>
      <c r="BJ90" s="375">
        <v>46210</v>
      </c>
      <c r="BK90" s="375">
        <v>46220</v>
      </c>
      <c r="BL90" s="128">
        <v>800000</v>
      </c>
      <c r="BM90" s="128">
        <v>106769</v>
      </c>
      <c r="BN90" s="534">
        <f>_xlfn.XLOOKUP(Buy_unvalid[[#This Row],[BOND_CODE]],FNRP!D:D,FNRP!I:I,,0)</f>
        <v>92330</v>
      </c>
      <c r="BO90" s="534">
        <f>_xlfn.XLOOKUP(Buy_unvalid[[#This Row],[DEAL_BUY_ID]],BS!BA:BA,BS!BQ:BQ,_xlfn.XLOOKUP(Buy_unvalid[[#This Row],[DEAL_BUY_ID]],BS!AL:AL,BS!AR:AR,,0),0)*Buy_unvalid[[#This Row],[QUANTITY]]</f>
        <v>5397027935.3103037</v>
      </c>
      <c r="BP90" s="534">
        <f>(Buy_unvalid[[#This Row],[Giá MtM]]-10^5)*Buy_unvalid[[#This Row],[QUANTITY]]-Buy_unvalid[[#This Row],[PTCK remain]]</f>
        <v>-11533027935.310303</v>
      </c>
      <c r="BQ90" s="534" t="str">
        <f>IF(AND(Buy_unvalid[[#This Row],[VALUE_DATE]]&lt;=RPT,Buy_unvalid[[#This Row],[TRANSACTION_STATUS]]="N"),"Check","Ok")</f>
        <v>Ok</v>
      </c>
      <c r="BS90" s="128"/>
      <c r="BT90" s="848">
        <v>50439</v>
      </c>
      <c r="BU90" s="849">
        <v>46261</v>
      </c>
      <c r="BV90" s="848">
        <v>50309</v>
      </c>
      <c r="BW90" s="848"/>
      <c r="BX90" s="530">
        <v>1600000</v>
      </c>
      <c r="BY90" s="735">
        <f>_xlfn.XLOOKUP(Est_NIM[[#This Row],[DEAL_BUY_ID]],BS!AL:AL,BS!AU:AU,_xlfn.XLOOKUP(Est_NIM[[#This Row],[DEAL_BUY_ID]],BS!BA:BA,BS!BJ:BJ,,0),0)</f>
        <v>2.9</v>
      </c>
      <c r="BZ90" s="534">
        <f>Est_NIM[[#This Row],[QUANT]]*Est_NIM[[#This Row],[YIELD]]</f>
        <v>4640000</v>
      </c>
      <c r="CA90" s="128"/>
      <c r="CB90" s="128"/>
      <c r="CE90" s="331"/>
      <c r="CF90" s="331"/>
      <c r="CG90" s="331"/>
      <c r="CH90">
        <v>3730</v>
      </c>
      <c r="CI90">
        <v>14282</v>
      </c>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8"/>
      <c r="DS90" s="128"/>
      <c r="DT90" s="128"/>
      <c r="DU90" s="128"/>
      <c r="DV90" s="128"/>
      <c r="DW90" s="128"/>
      <c r="DX90" s="128"/>
      <c r="DY90" s="128"/>
      <c r="DZ90" s="530"/>
      <c r="EA90" s="530"/>
      <c r="EB90" s="530"/>
      <c r="EC90" s="530"/>
      <c r="ED90" s="530"/>
      <c r="EE90" s="530"/>
      <c r="EF90" s="530"/>
      <c r="EG90" s="530"/>
      <c r="EH90" s="530"/>
      <c r="EI90" s="530"/>
      <c r="EJ90" s="530"/>
      <c r="EK90" s="530"/>
      <c r="EL90" s="530"/>
      <c r="EM90" s="530"/>
      <c r="EN90" s="530"/>
      <c r="EO90" s="530"/>
      <c r="EP90" s="530"/>
      <c r="EQ90" s="530"/>
      <c r="ER90" s="530"/>
      <c r="ES90" s="530"/>
      <c r="ET90" s="530"/>
      <c r="EU90" s="530"/>
      <c r="EV90" s="530"/>
      <c r="EW90" s="530"/>
      <c r="EX90" s="530"/>
      <c r="EY90" s="530"/>
      <c r="EZ90" s="530"/>
      <c r="FA90" s="530"/>
      <c r="FB90" s="530"/>
      <c r="FC90" s="530"/>
      <c r="FD90" s="530"/>
      <c r="FE90" s="530"/>
      <c r="FF90" s="530"/>
      <c r="FG90" s="530"/>
      <c r="FH90" s="530"/>
      <c r="FI90" s="530"/>
      <c r="FJ90" s="530"/>
      <c r="FK90" s="530"/>
      <c r="FL90" s="530"/>
      <c r="FM90" s="530"/>
      <c r="FN90" s="530"/>
      <c r="FO90" s="530"/>
      <c r="FP90" s="530"/>
      <c r="FQ90" s="530"/>
      <c r="GL90" s="128"/>
      <c r="GM90" s="128"/>
      <c r="GN90" s="128"/>
      <c r="GO90" s="128"/>
      <c r="GP90" s="128"/>
      <c r="GQ90" s="128"/>
      <c r="GR90" s="128"/>
      <c r="GS90" s="128"/>
      <c r="GT90" s="128"/>
      <c r="GU90" s="128"/>
      <c r="GV90" s="128"/>
      <c r="GW90" s="128"/>
      <c r="GX90" s="128"/>
      <c r="GY90" s="128"/>
      <c r="GZ90" s="128"/>
      <c r="HA90" s="128"/>
      <c r="HB90" s="128"/>
      <c r="HC90" s="128"/>
      <c r="HD90" s="128"/>
      <c r="HE90" s="128"/>
      <c r="HF90" s="128"/>
      <c r="HG90" s="128"/>
      <c r="HH90" s="128"/>
      <c r="HI90" s="128"/>
      <c r="HJ90" s="128"/>
      <c r="HK90" s="128"/>
      <c r="HL90" s="128"/>
      <c r="HM90" s="128"/>
      <c r="HN90" s="128"/>
      <c r="HO90" s="128"/>
      <c r="HP90" s="128"/>
      <c r="HQ90" s="128"/>
      <c r="HR90" s="128"/>
      <c r="HS90" s="128"/>
      <c r="HT90" s="128"/>
      <c r="HU90" s="128"/>
      <c r="HV90" s="128"/>
      <c r="HW90" s="128"/>
      <c r="HX90" s="128"/>
      <c r="HY90" s="128"/>
      <c r="HZ90" s="128"/>
      <c r="IA90" s="128"/>
      <c r="IB90" s="128"/>
      <c r="IC90" s="128"/>
    </row>
    <row r="91" spans="41:237" x14ac:dyDescent="0.3">
      <c r="AO91" s="128">
        <v>50249</v>
      </c>
      <c r="AP91" s="128" t="s">
        <v>712</v>
      </c>
      <c r="AQ91" s="128" t="s">
        <v>824</v>
      </c>
      <c r="AR91" s="128" t="s">
        <v>3594</v>
      </c>
      <c r="AS91" s="375">
        <v>46230</v>
      </c>
      <c r="AT91" s="375">
        <v>46385</v>
      </c>
      <c r="AU91" s="530">
        <v>88988</v>
      </c>
      <c r="AV91" s="128">
        <v>50244</v>
      </c>
      <c r="AW91" s="530">
        <v>9500000</v>
      </c>
      <c r="AX91" s="534">
        <f>_xlfn.XLOOKUP(Sell_unvalid[[#This Row],[DEAL_BUY_ID]],BS!BA:BA,BS!BE:BE,,0)</f>
        <v>89010</v>
      </c>
      <c r="AY91" s="534">
        <f>_xlfn.XLOOKUP(Sell_unvalid[[#This Row],[BOND_CODE]],FNRP!D:D,FNRP!I:I,_xlfn.XLOOKUP(Sell_unvalid[[#This Row],[BOND_CODE]],FNRP!AV:AV,FNRP!BA:BA,,0),0)</f>
        <v>90735</v>
      </c>
      <c r="AZ91" s="534">
        <f>_xlfn.XLOOKUP(Sell_unvalid[[#This Row],[DEAL_BUY_ID]],BS!BA:BA,BS!BQ:BQ,,0)*Sell_unvalid[[#This Row],[QUANTITY]]</f>
        <v>-103933726134.74461</v>
      </c>
      <c r="BA91" s="534">
        <f>(Sell_unvalid[[#This Row],[Giá MtM]]-10^5)*Sell_unvalid[[#This Row],[QUANTITY]]-Sell_unvalid[[#This Row],[PTCK remain]]</f>
        <v>15916226134.744614</v>
      </c>
      <c r="BB91" s="534">
        <f>(Sell_unvalid[[#This Row],[PRICE]]-10^5)*Sell_unvalid[[#This Row],[QUANTITY]]-Sell_unvalid[[#This Row],[PTCK remain]]</f>
        <v>-680273865.25538635</v>
      </c>
      <c r="BC91" s="534" t="str">
        <f>IF(AND(Sell_unvalid[[#This Row],[VALUE_DATE]]&lt;=RPT,Sell_unvalid[[#This Row],[TRANSACTION_STATUS]]="N"),"Check","Ok")</f>
        <v>Ok</v>
      </c>
      <c r="BD91" s="534"/>
      <c r="BE91" s="615"/>
      <c r="BF91" s="128">
        <v>50167</v>
      </c>
      <c r="BG91" s="128" t="s">
        <v>712</v>
      </c>
      <c r="BH91" s="128" t="s">
        <v>824</v>
      </c>
      <c r="BI91" s="128" t="s">
        <v>3594</v>
      </c>
      <c r="BJ91" s="375">
        <v>46210</v>
      </c>
      <c r="BK91" s="375">
        <v>46220</v>
      </c>
      <c r="BL91" s="128">
        <v>7000000</v>
      </c>
      <c r="BM91" s="128">
        <v>93297</v>
      </c>
      <c r="BN91" s="534">
        <f>_xlfn.XLOOKUP(Buy_unvalid[[#This Row],[BOND_CODE]],FNRP!D:D,FNRP!I:I,,0)</f>
        <v>90735</v>
      </c>
      <c r="BO91" s="534">
        <f>_xlfn.XLOOKUP(Buy_unvalid[[#This Row],[DEAL_BUY_ID]],BS!BA:BA,BS!BQ:BQ,_xlfn.XLOOKUP(Buy_unvalid[[#This Row],[DEAL_BUY_ID]],BS!AL:AL,BS!AR:AR,,0),0)*Buy_unvalid[[#This Row],[QUANTITY]]</f>
        <v>-46607303614.947189</v>
      </c>
      <c r="BP91" s="534">
        <f>(Buy_unvalid[[#This Row],[Giá MtM]]-10^5)*Buy_unvalid[[#This Row],[QUANTITY]]-Buy_unvalid[[#This Row],[PTCK remain]]</f>
        <v>-18247696385.052811</v>
      </c>
      <c r="BQ91" s="534" t="str">
        <f>IF(AND(Buy_unvalid[[#This Row],[VALUE_DATE]]&lt;=RPT,Buy_unvalid[[#This Row],[TRANSACTION_STATUS]]="N"),"Check","Ok")</f>
        <v>Ok</v>
      </c>
      <c r="BS91" s="128"/>
      <c r="BT91" s="848">
        <v>50437</v>
      </c>
      <c r="BU91" s="849">
        <v>46259</v>
      </c>
      <c r="BV91" s="848">
        <v>50165</v>
      </c>
      <c r="BW91" s="848"/>
      <c r="BX91" s="530">
        <v>110000</v>
      </c>
      <c r="BY91" s="735">
        <f>_xlfn.XLOOKUP(Est_NIM[[#This Row],[DEAL_BUY_ID]],BS!AL:AL,BS!AU:AU,_xlfn.XLOOKUP(Est_NIM[[#This Row],[DEAL_BUY_ID]],BS!BA:BA,BS!BJ:BJ,,0),0)</f>
        <v>3.4780000000000002</v>
      </c>
      <c r="BZ91" s="534">
        <f>Est_NIM[[#This Row],[QUANT]]*Est_NIM[[#This Row],[YIELD]]</f>
        <v>382580</v>
      </c>
      <c r="CA91" s="128"/>
      <c r="CB91" s="128"/>
      <c r="CE91" s="331"/>
      <c r="CF91" s="331"/>
      <c r="CG91" s="331"/>
      <c r="CH91">
        <v>3730</v>
      </c>
      <c r="CI91">
        <v>14282</v>
      </c>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8"/>
      <c r="DS91" s="128"/>
      <c r="DT91" s="128"/>
      <c r="DU91" s="128"/>
      <c r="DV91" s="128"/>
      <c r="DW91" s="128"/>
      <c r="DX91" s="128"/>
      <c r="DY91" s="128"/>
      <c r="DZ91" s="530"/>
      <c r="EA91" s="530"/>
      <c r="EB91" s="530"/>
      <c r="EC91" s="530"/>
      <c r="ED91" s="530"/>
      <c r="EE91" s="530"/>
      <c r="EF91" s="530"/>
      <c r="EG91" s="530"/>
      <c r="EH91" s="530"/>
      <c r="EI91" s="530"/>
      <c r="EJ91" s="530"/>
      <c r="EK91" s="530"/>
      <c r="EL91" s="530"/>
      <c r="EM91" s="530"/>
      <c r="EN91" s="530"/>
      <c r="EO91" s="530"/>
      <c r="EP91" s="530"/>
      <c r="EQ91" s="530"/>
      <c r="ER91" s="530"/>
      <c r="ES91" s="530"/>
      <c r="ET91" s="530"/>
      <c r="EU91" s="530"/>
      <c r="EV91" s="530"/>
      <c r="EW91" s="530"/>
      <c r="EX91" s="530"/>
      <c r="EY91" s="530"/>
      <c r="EZ91" s="530"/>
      <c r="FA91" s="530"/>
      <c r="FB91" s="530"/>
      <c r="FC91" s="530"/>
      <c r="FD91" s="530"/>
      <c r="FE91" s="530"/>
      <c r="FF91" s="530"/>
      <c r="FG91" s="530"/>
      <c r="FH91" s="530"/>
      <c r="FI91" s="530"/>
      <c r="FJ91" s="530"/>
      <c r="FK91" s="530"/>
      <c r="FL91" s="530"/>
      <c r="FM91" s="530"/>
      <c r="FN91" s="530"/>
      <c r="FO91" s="530"/>
      <c r="FP91" s="530"/>
      <c r="FQ91" s="530"/>
      <c r="GL91" s="128"/>
      <c r="GM91" s="128"/>
      <c r="GN91" s="128"/>
      <c r="GO91" s="128"/>
      <c r="GP91" s="128"/>
      <c r="GQ91" s="128"/>
      <c r="GR91" s="128"/>
      <c r="GS91" s="128"/>
      <c r="GT91" s="128"/>
      <c r="GU91" s="128"/>
      <c r="GV91" s="128"/>
      <c r="GW91" s="128"/>
      <c r="GX91" s="128"/>
      <c r="GY91" s="128"/>
      <c r="GZ91" s="128"/>
      <c r="HA91" s="128"/>
      <c r="HB91" s="128"/>
      <c r="HC91" s="128"/>
      <c r="HD91" s="128"/>
      <c r="HE91" s="128"/>
      <c r="HF91" s="128"/>
      <c r="HG91" s="128"/>
      <c r="HH91" s="128"/>
      <c r="HI91" s="128"/>
      <c r="HJ91" s="128"/>
      <c r="HK91" s="128"/>
      <c r="HL91" s="128"/>
      <c r="HM91" s="128"/>
      <c r="HN91" s="128"/>
      <c r="HO91" s="128"/>
      <c r="HP91" s="128"/>
      <c r="HQ91" s="128"/>
      <c r="HR91" s="128"/>
      <c r="HS91" s="128"/>
      <c r="HT91" s="128"/>
      <c r="HU91" s="128"/>
      <c r="HV91" s="128"/>
      <c r="HW91" s="128"/>
      <c r="HX91" s="128"/>
      <c r="HY91" s="128"/>
      <c r="HZ91" s="128"/>
      <c r="IA91" s="128"/>
      <c r="IB91" s="128"/>
      <c r="IC91" s="128"/>
    </row>
    <row r="92" spans="41:237" x14ac:dyDescent="0.3">
      <c r="AO92" s="128">
        <v>50252</v>
      </c>
      <c r="AP92" s="128" t="s">
        <v>712</v>
      </c>
      <c r="AQ92" s="128" t="s">
        <v>824</v>
      </c>
      <c r="AR92" s="128" t="s">
        <v>3594</v>
      </c>
      <c r="AS92" s="375">
        <v>46230</v>
      </c>
      <c r="AT92" s="375">
        <v>46385</v>
      </c>
      <c r="AU92" s="530">
        <v>88988</v>
      </c>
      <c r="AV92" s="128">
        <v>50247</v>
      </c>
      <c r="AW92" s="530">
        <v>1500000</v>
      </c>
      <c r="AX92" s="534">
        <f>_xlfn.XLOOKUP(Sell_unvalid[[#This Row],[DEAL_BUY_ID]],BS!BA:BA,BS!BE:BE,,0)</f>
        <v>89010</v>
      </c>
      <c r="AY92" s="534">
        <f>_xlfn.XLOOKUP(Sell_unvalid[[#This Row],[BOND_CODE]],FNRP!D:D,FNRP!I:I,_xlfn.XLOOKUP(Sell_unvalid[[#This Row],[BOND_CODE]],FNRP!AV:AV,FNRP!BA:BA,,0),0)</f>
        <v>90735</v>
      </c>
      <c r="AZ92" s="534">
        <f>_xlfn.XLOOKUP(Sell_unvalid[[#This Row],[DEAL_BUY_ID]],BS!BA:BA,BS!BQ:BQ,,0)*Sell_unvalid[[#This Row],[QUANTITY]]</f>
        <v>-16410588337.064939</v>
      </c>
      <c r="BA92" s="534">
        <f>(Sell_unvalid[[#This Row],[Giá MtM]]-10^5)*Sell_unvalid[[#This Row],[QUANTITY]]-Sell_unvalid[[#This Row],[PTCK remain]]</f>
        <v>2513088337.0649395</v>
      </c>
      <c r="BB92" s="534">
        <f>(Sell_unvalid[[#This Row],[PRICE]]-10^5)*Sell_unvalid[[#This Row],[QUANTITY]]-Sell_unvalid[[#This Row],[PTCK remain]]</f>
        <v>-107411662.9350605</v>
      </c>
      <c r="BC92" s="534" t="str">
        <f>IF(AND(Sell_unvalid[[#This Row],[VALUE_DATE]]&lt;=RPT,Sell_unvalid[[#This Row],[TRANSACTION_STATUS]]="N"),"Check","Ok")</f>
        <v>Ok</v>
      </c>
      <c r="BD92" s="534"/>
      <c r="BE92" s="615"/>
      <c r="BF92" s="128">
        <v>50192</v>
      </c>
      <c r="BG92" s="128" t="s">
        <v>2785</v>
      </c>
      <c r="BH92" s="128" t="s">
        <v>824</v>
      </c>
      <c r="BI92" s="128" t="s">
        <v>3594</v>
      </c>
      <c r="BJ92" s="375">
        <v>46217</v>
      </c>
      <c r="BK92" s="375">
        <v>46232</v>
      </c>
      <c r="BL92" s="128">
        <v>3000000</v>
      </c>
      <c r="BM92" s="128">
        <v>95255</v>
      </c>
      <c r="BN92" s="534">
        <f>_xlfn.XLOOKUP(Buy_unvalid[[#This Row],[BOND_CODE]],FNRP!D:D,FNRP!I:I,,0)</f>
        <v>87948</v>
      </c>
      <c r="BO92" s="534">
        <f>_xlfn.XLOOKUP(Buy_unvalid[[#This Row],[DEAL_BUY_ID]],BS!BA:BA,BS!BQ:BQ,_xlfn.XLOOKUP(Buy_unvalid[[#This Row],[DEAL_BUY_ID]],BS!AL:AL,BS!AR:AR,,0),0)*Buy_unvalid[[#This Row],[QUANTITY]]</f>
        <v>-14119712439.239901</v>
      </c>
      <c r="BP92" s="534">
        <f>(Buy_unvalid[[#This Row],[Giá MtM]]-10^5)*Buy_unvalid[[#This Row],[QUANTITY]]-Buy_unvalid[[#This Row],[PTCK remain]]</f>
        <v>-22036287560.760101</v>
      </c>
      <c r="BQ92" s="534" t="str">
        <f>IF(AND(Buy_unvalid[[#This Row],[VALUE_DATE]]&lt;=RPT,Buy_unvalid[[#This Row],[TRANSACTION_STATUS]]="N"),"Check","Ok")</f>
        <v>Ok</v>
      </c>
      <c r="BS92" s="128"/>
      <c r="BT92" s="848">
        <v>50334</v>
      </c>
      <c r="BU92" s="849">
        <v>46598</v>
      </c>
      <c r="BV92" s="848">
        <v>50330</v>
      </c>
      <c r="BW92" s="848"/>
      <c r="BX92" s="530">
        <v>190000</v>
      </c>
      <c r="BY92" s="735">
        <f>_xlfn.XLOOKUP(Est_NIM[[#This Row],[DEAL_BUY_ID]],BS!AL:AL,BS!AU:AU,_xlfn.XLOOKUP(Est_NIM[[#This Row],[DEAL_BUY_ID]],BS!BA:BA,BS!BJ:BJ,,0),0)</f>
        <v>4.53</v>
      </c>
      <c r="BZ92" s="534">
        <f>Est_NIM[[#This Row],[QUANT]]*Est_NIM[[#This Row],[YIELD]]</f>
        <v>860700</v>
      </c>
      <c r="CA92" s="128"/>
      <c r="CB92" s="128"/>
      <c r="CE92" s="331"/>
      <c r="CF92" s="331"/>
      <c r="CG92" s="331"/>
      <c r="CH92">
        <v>3730</v>
      </c>
      <c r="CI92">
        <v>14282</v>
      </c>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8"/>
      <c r="DS92" s="128"/>
      <c r="DT92" s="128"/>
      <c r="DU92" s="128"/>
      <c r="DV92" s="128"/>
      <c r="DW92" s="128"/>
      <c r="DX92" s="128"/>
      <c r="DY92" s="128"/>
      <c r="DZ92" s="530"/>
      <c r="EA92" s="530"/>
      <c r="EB92" s="530"/>
      <c r="EC92" s="530"/>
      <c r="ED92" s="530"/>
      <c r="EE92" s="530"/>
      <c r="EF92" s="530"/>
      <c r="EG92" s="530"/>
      <c r="EH92" s="530"/>
      <c r="EI92" s="530"/>
      <c r="EJ92" s="530"/>
      <c r="EK92" s="530"/>
      <c r="EL92" s="530"/>
      <c r="EM92" s="530"/>
      <c r="EN92" s="530"/>
      <c r="EO92" s="530"/>
      <c r="EP92" s="530"/>
      <c r="EQ92" s="530"/>
      <c r="ER92" s="530"/>
      <c r="ES92" s="530"/>
      <c r="ET92" s="530"/>
      <c r="EU92" s="530"/>
      <c r="EV92" s="530"/>
      <c r="EW92" s="530"/>
      <c r="EX92" s="530"/>
      <c r="EY92" s="530"/>
      <c r="EZ92" s="530"/>
      <c r="FA92" s="530"/>
      <c r="FB92" s="530"/>
      <c r="FC92" s="530"/>
      <c r="FD92" s="530"/>
      <c r="FE92" s="530"/>
      <c r="FF92" s="530"/>
      <c r="FG92" s="530"/>
      <c r="FH92" s="530"/>
      <c r="FI92" s="530"/>
      <c r="FJ92" s="530"/>
      <c r="FK92" s="530"/>
      <c r="FL92" s="530"/>
      <c r="FM92" s="530"/>
      <c r="FN92" s="530"/>
      <c r="FO92" s="530"/>
      <c r="FP92" s="530"/>
      <c r="FQ92" s="530"/>
      <c r="GL92" s="128"/>
      <c r="GM92" s="128"/>
      <c r="GN92" s="128"/>
      <c r="GO92" s="128"/>
      <c r="GP92" s="128"/>
      <c r="GQ92" s="128"/>
      <c r="GR92" s="128"/>
      <c r="GS92" s="128"/>
      <c r="GT92" s="128"/>
      <c r="GU92" s="128"/>
      <c r="GV92" s="128"/>
      <c r="GW92" s="128"/>
      <c r="GX92" s="128"/>
      <c r="GY92" s="128"/>
      <c r="GZ92" s="128"/>
      <c r="HA92" s="128"/>
      <c r="HB92" s="128"/>
      <c r="HC92" s="128"/>
      <c r="HD92" s="128"/>
      <c r="HE92" s="128"/>
      <c r="HF92" s="128"/>
      <c r="HG92" s="128"/>
      <c r="HH92" s="128"/>
      <c r="HI92" s="128"/>
      <c r="HJ92" s="128"/>
      <c r="HK92" s="128"/>
      <c r="HL92" s="128"/>
      <c r="HM92" s="128"/>
      <c r="HN92" s="128"/>
      <c r="HO92" s="128"/>
      <c r="HP92" s="128"/>
      <c r="HQ92" s="128"/>
      <c r="HR92" s="128"/>
      <c r="HS92" s="128"/>
      <c r="HT92" s="128"/>
      <c r="HU92" s="128"/>
      <c r="HV92" s="128"/>
      <c r="HW92" s="128"/>
      <c r="HX92" s="128"/>
      <c r="HY92" s="128"/>
      <c r="HZ92" s="128"/>
      <c r="IA92" s="128"/>
      <c r="IB92" s="128"/>
      <c r="IC92" s="128"/>
    </row>
    <row r="93" spans="41:237" x14ac:dyDescent="0.3">
      <c r="AO93" s="128">
        <v>48555</v>
      </c>
      <c r="AP93" s="128" t="s">
        <v>730</v>
      </c>
      <c r="AQ93" s="128" t="s">
        <v>824</v>
      </c>
      <c r="AR93" s="128" t="s">
        <v>3594</v>
      </c>
      <c r="AS93" s="375">
        <v>46037</v>
      </c>
      <c r="AT93" s="375">
        <v>46226</v>
      </c>
      <c r="AU93" s="530">
        <v>90691</v>
      </c>
      <c r="AV93" s="128">
        <v>49558</v>
      </c>
      <c r="AW93" s="530">
        <v>5700000</v>
      </c>
      <c r="AX93" s="534">
        <f>_xlfn.XLOOKUP(Sell_unvalid[[#This Row],[DEAL_BUY_ID]],BS!BA:BA,BS!BE:BE,,0)</f>
        <v>90106</v>
      </c>
      <c r="AY93" s="534">
        <f>_xlfn.XLOOKUP(Sell_unvalid[[#This Row],[BOND_CODE]],FNRP!D:D,FNRP!I:I,_xlfn.XLOOKUP(Sell_unvalid[[#This Row],[BOND_CODE]],FNRP!AV:AV,FNRP!BA:BA,,0),0)</f>
        <v>87506</v>
      </c>
      <c r="AZ93" s="534">
        <f>_xlfn.XLOOKUP(Sell_unvalid[[#This Row],[DEAL_BUY_ID]],BS!BA:BA,BS!BQ:BQ,,0)*Sell_unvalid[[#This Row],[QUANTITY]]</f>
        <v>-55668534011.280823</v>
      </c>
      <c r="BA93" s="534">
        <f>(Sell_unvalid[[#This Row],[Giá MtM]]-10^5)*Sell_unvalid[[#This Row],[QUANTITY]]-Sell_unvalid[[#This Row],[PTCK remain]]</f>
        <v>-15547265988.719177</v>
      </c>
      <c r="BB93" s="534">
        <f>(Sell_unvalid[[#This Row],[PRICE]]-10^5)*Sell_unvalid[[#This Row],[QUANTITY]]-Sell_unvalid[[#This Row],[PTCK remain]]</f>
        <v>2607234011.2808228</v>
      </c>
      <c r="BC93" s="534" t="str">
        <f>IF(AND(Sell_unvalid[[#This Row],[VALUE_DATE]]&lt;=RPT,Sell_unvalid[[#This Row],[TRANSACTION_STATUS]]="N"),"Check","Ok")</f>
        <v>Ok</v>
      </c>
      <c r="BD93" s="534"/>
      <c r="BE93" s="615"/>
      <c r="BF93" s="128">
        <v>50190</v>
      </c>
      <c r="BG93" s="128" t="s">
        <v>2499</v>
      </c>
      <c r="BH93" s="128" t="s">
        <v>824</v>
      </c>
      <c r="BI93" s="128" t="s">
        <v>3594</v>
      </c>
      <c r="BJ93" s="375">
        <v>46217</v>
      </c>
      <c r="BK93" s="375">
        <v>46232</v>
      </c>
      <c r="BL93" s="128">
        <v>2000000</v>
      </c>
      <c r="BM93" s="128">
        <v>111247</v>
      </c>
      <c r="BN93" s="534">
        <f>_xlfn.XLOOKUP(Buy_unvalid[[#This Row],[BOND_CODE]],FNRP!D:D,FNRP!I:I,,0)</f>
        <v>102776</v>
      </c>
      <c r="BO93" s="534">
        <f>_xlfn.XLOOKUP(Buy_unvalid[[#This Row],[DEAL_BUY_ID]],BS!BA:BA,BS!BQ:BQ,_xlfn.XLOOKUP(Buy_unvalid[[#This Row],[DEAL_BUY_ID]],BS!AL:AL,BS!AR:AR,,0),0)*Buy_unvalid[[#This Row],[QUANTITY]]</f>
        <v>22290523766.298073</v>
      </c>
      <c r="BP93" s="534">
        <f>(Buy_unvalid[[#This Row],[Giá MtM]]-10^5)*Buy_unvalid[[#This Row],[QUANTITY]]-Buy_unvalid[[#This Row],[PTCK remain]]</f>
        <v>-16738523766.298073</v>
      </c>
      <c r="BQ93" s="534" t="str">
        <f>IF(AND(Buy_unvalid[[#This Row],[VALUE_DATE]]&lt;=RPT,Buy_unvalid[[#This Row],[TRANSACTION_STATUS]]="N"),"Check","Ok")</f>
        <v>Ok</v>
      </c>
      <c r="BS93" s="128"/>
      <c r="BT93" s="848">
        <v>50334</v>
      </c>
      <c r="BU93" s="849">
        <v>46598</v>
      </c>
      <c r="BV93" s="848">
        <v>50399</v>
      </c>
      <c r="BW93" s="848"/>
      <c r="BX93" s="530">
        <v>810000</v>
      </c>
      <c r="BY93" s="735">
        <f>_xlfn.XLOOKUP(Est_NIM[[#This Row],[DEAL_BUY_ID]],BS!AL:AL,BS!AU:AU,_xlfn.XLOOKUP(Est_NIM[[#This Row],[DEAL_BUY_ID]],BS!BA:BA,BS!BJ:BJ,,0),0)</f>
        <v>7.75</v>
      </c>
      <c r="BZ93" s="534">
        <f>Est_NIM[[#This Row],[QUANT]]*Est_NIM[[#This Row],[YIELD]]</f>
        <v>6277500</v>
      </c>
      <c r="CA93" s="128"/>
      <c r="CB93" s="128"/>
      <c r="CE93" s="331"/>
      <c r="CF93" s="331"/>
      <c r="CG93" s="331"/>
      <c r="CH93">
        <v>3730</v>
      </c>
      <c r="CI93">
        <v>14282</v>
      </c>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8"/>
      <c r="DS93" s="128"/>
      <c r="DT93" s="128"/>
      <c r="DU93" s="128"/>
      <c r="DV93" s="128"/>
      <c r="DW93" s="128"/>
      <c r="DX93" s="128"/>
      <c r="DY93" s="128"/>
      <c r="DZ93" s="530"/>
      <c r="EA93" s="530"/>
      <c r="EB93" s="530"/>
      <c r="EC93" s="530"/>
      <c r="ED93" s="530"/>
      <c r="EE93" s="530"/>
      <c r="EF93" s="530"/>
      <c r="EG93" s="530"/>
      <c r="EH93" s="530"/>
      <c r="EI93" s="530"/>
      <c r="EJ93" s="530"/>
      <c r="EK93" s="530"/>
      <c r="EL93" s="530"/>
      <c r="EM93" s="530"/>
      <c r="EN93" s="530"/>
      <c r="EO93" s="530"/>
      <c r="EP93" s="530"/>
      <c r="EQ93" s="530"/>
      <c r="ER93" s="530"/>
      <c r="ES93" s="530"/>
      <c r="ET93" s="530"/>
      <c r="EU93" s="530"/>
      <c r="EV93" s="530"/>
      <c r="EW93" s="530"/>
      <c r="EX93" s="530"/>
      <c r="EY93" s="530"/>
      <c r="EZ93" s="530"/>
      <c r="FA93" s="530"/>
      <c r="FB93" s="530"/>
      <c r="FC93" s="530"/>
      <c r="FD93" s="530"/>
      <c r="FE93" s="530"/>
      <c r="FF93" s="530"/>
      <c r="FG93" s="530"/>
      <c r="FH93" s="530"/>
      <c r="FI93" s="530"/>
      <c r="FJ93" s="530"/>
      <c r="FK93" s="530"/>
      <c r="FL93" s="530"/>
      <c r="FM93" s="530"/>
      <c r="FN93" s="530"/>
      <c r="FO93" s="530"/>
      <c r="FP93" s="530"/>
      <c r="FQ93" s="530"/>
      <c r="GL93" s="128"/>
      <c r="GM93" s="128"/>
      <c r="GN93" s="128"/>
      <c r="GO93" s="128"/>
      <c r="GP93" s="128"/>
      <c r="GQ93" s="128"/>
      <c r="GR93" s="128"/>
      <c r="GS93" s="128"/>
      <c r="GT93" s="128"/>
      <c r="GU93" s="128"/>
      <c r="GV93" s="128"/>
      <c r="GW93" s="128"/>
      <c r="GX93" s="128"/>
      <c r="GY93" s="128"/>
      <c r="GZ93" s="128"/>
      <c r="HA93" s="128"/>
      <c r="HB93" s="128"/>
      <c r="HC93" s="128"/>
      <c r="HD93" s="128"/>
      <c r="HE93" s="128"/>
      <c r="HF93" s="128"/>
      <c r="HG93" s="128"/>
      <c r="HH93" s="128"/>
      <c r="HI93" s="128"/>
      <c r="HJ93" s="128"/>
      <c r="HK93" s="128"/>
      <c r="HL93" s="128"/>
      <c r="HM93" s="128"/>
      <c r="HN93" s="128"/>
      <c r="HO93" s="128"/>
      <c r="HP93" s="128"/>
      <c r="HQ93" s="128"/>
      <c r="HR93" s="128"/>
      <c r="HS93" s="128"/>
      <c r="HT93" s="128"/>
      <c r="HU93" s="128"/>
      <c r="HV93" s="128"/>
      <c r="HW93" s="128"/>
      <c r="HX93" s="128"/>
      <c r="HY93" s="128"/>
      <c r="HZ93" s="128"/>
      <c r="IA93" s="128"/>
      <c r="IB93" s="128"/>
      <c r="IC93" s="128"/>
    </row>
    <row r="94" spans="41:237" x14ac:dyDescent="0.3">
      <c r="AO94" s="128">
        <v>48555</v>
      </c>
      <c r="AP94" s="128" t="s">
        <v>730</v>
      </c>
      <c r="AQ94" s="128" t="s">
        <v>824</v>
      </c>
      <c r="AR94" s="128" t="s">
        <v>3594</v>
      </c>
      <c r="AS94" s="375">
        <v>46037</v>
      </c>
      <c r="AT94" s="375">
        <v>46226</v>
      </c>
      <c r="AU94" s="530">
        <v>90691</v>
      </c>
      <c r="AV94" s="128">
        <v>49733</v>
      </c>
      <c r="AW94" s="530">
        <v>1100000</v>
      </c>
      <c r="AX94" s="534">
        <f>_xlfn.XLOOKUP(Sell_unvalid[[#This Row],[DEAL_BUY_ID]],BS!BA:BA,BS!BE:BE,,0)</f>
        <v>90064</v>
      </c>
      <c r="AY94" s="534">
        <f>_xlfn.XLOOKUP(Sell_unvalid[[#This Row],[BOND_CODE]],FNRP!D:D,FNRP!I:I,_xlfn.XLOOKUP(Sell_unvalid[[#This Row],[BOND_CODE]],FNRP!AV:AV,FNRP!BA:BA,,0),0)</f>
        <v>87506</v>
      </c>
      <c r="AZ94" s="534">
        <f>_xlfn.XLOOKUP(Sell_unvalid[[#This Row],[DEAL_BUY_ID]],BS!BA:BA,BS!BQ:BQ,,0)*Sell_unvalid[[#This Row],[QUANTITY]]</f>
        <v>-10804152275.556265</v>
      </c>
      <c r="BA94" s="534">
        <f>(Sell_unvalid[[#This Row],[Giá MtM]]-10^5)*Sell_unvalid[[#This Row],[QUANTITY]]-Sell_unvalid[[#This Row],[PTCK remain]]</f>
        <v>-2939247724.4437351</v>
      </c>
      <c r="BB94" s="534">
        <f>(Sell_unvalid[[#This Row],[PRICE]]-10^5)*Sell_unvalid[[#This Row],[QUANTITY]]-Sell_unvalid[[#This Row],[PTCK remain]]</f>
        <v>564252275.55626488</v>
      </c>
      <c r="BC94" s="534" t="str">
        <f>IF(AND(Sell_unvalid[[#This Row],[VALUE_DATE]]&lt;=RPT,Sell_unvalid[[#This Row],[TRANSACTION_STATUS]]="N"),"Check","Ok")</f>
        <v>Ok</v>
      </c>
      <c r="BD94" s="534"/>
      <c r="BE94" s="615"/>
      <c r="BF94" s="128">
        <v>50194</v>
      </c>
      <c r="BG94" s="128" t="s">
        <v>2852</v>
      </c>
      <c r="BH94" s="128" t="s">
        <v>824</v>
      </c>
      <c r="BI94" s="128" t="s">
        <v>3594</v>
      </c>
      <c r="BJ94" s="375">
        <v>46217</v>
      </c>
      <c r="BK94" s="375">
        <v>46232</v>
      </c>
      <c r="BL94" s="128">
        <v>1000000</v>
      </c>
      <c r="BM94" s="128">
        <v>94313</v>
      </c>
      <c r="BN94" s="534">
        <f>_xlfn.XLOOKUP(Buy_unvalid[[#This Row],[BOND_CODE]],FNRP!D:D,FNRP!I:I,,0)</f>
        <v>87596</v>
      </c>
      <c r="BO94" s="534">
        <f>_xlfn.XLOOKUP(Buy_unvalid[[#This Row],[DEAL_BUY_ID]],BS!BA:BA,BS!BQ:BQ,_xlfn.XLOOKUP(Buy_unvalid[[#This Row],[DEAL_BUY_ID]],BS!AL:AL,BS!AR:AR,,0),0)*Buy_unvalid[[#This Row],[QUANTITY]]</f>
        <v>-5644259090.6213303</v>
      </c>
      <c r="BP94" s="534">
        <f>(Buy_unvalid[[#This Row],[Giá MtM]]-10^5)*Buy_unvalid[[#This Row],[QUANTITY]]-Buy_unvalid[[#This Row],[PTCK remain]]</f>
        <v>-6759740909.3786697</v>
      </c>
      <c r="BQ94" s="534" t="str">
        <f>IF(AND(Buy_unvalid[[#This Row],[VALUE_DATE]]&lt;=RPT,Buy_unvalid[[#This Row],[TRANSACTION_STATUS]]="N"),"Check","Ok")</f>
        <v>Ok</v>
      </c>
      <c r="BS94" s="128"/>
      <c r="BT94" s="848">
        <v>50334</v>
      </c>
      <c r="BU94" s="849">
        <v>46598</v>
      </c>
      <c r="BV94" s="848">
        <v>50400</v>
      </c>
      <c r="BW94" s="848"/>
      <c r="BX94" s="530">
        <v>250000</v>
      </c>
      <c r="BY94" s="735">
        <f>_xlfn.XLOOKUP(Est_NIM[[#This Row],[DEAL_BUY_ID]],BS!AL:AL,BS!AU:AU,_xlfn.XLOOKUP(Est_NIM[[#This Row],[DEAL_BUY_ID]],BS!BA:BA,BS!BJ:BJ,,0),0)</f>
        <v>7.75</v>
      </c>
      <c r="BZ94" s="534">
        <f>Est_NIM[[#This Row],[QUANT]]*Est_NIM[[#This Row],[YIELD]]</f>
        <v>1937500</v>
      </c>
      <c r="CA94" s="128"/>
      <c r="CB94" s="128"/>
      <c r="CE94" s="331"/>
      <c r="CF94" s="331"/>
      <c r="CG94" s="331"/>
      <c r="CH94">
        <v>3730</v>
      </c>
      <c r="CI94">
        <v>14282</v>
      </c>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8"/>
      <c r="DS94" s="128"/>
      <c r="DT94" s="128"/>
      <c r="DU94" s="128"/>
      <c r="DV94" s="128"/>
      <c r="DW94" s="128"/>
      <c r="DX94" s="128"/>
      <c r="DY94" s="128"/>
      <c r="DZ94" s="530"/>
      <c r="EA94" s="530"/>
      <c r="EB94" s="530"/>
      <c r="EC94" s="530"/>
      <c r="ED94" s="530"/>
      <c r="EE94" s="530"/>
      <c r="EF94" s="530"/>
      <c r="EG94" s="530"/>
      <c r="EH94" s="530"/>
      <c r="EI94" s="530"/>
      <c r="EJ94" s="530"/>
      <c r="EK94" s="530"/>
      <c r="EL94" s="530"/>
      <c r="EM94" s="530"/>
      <c r="EN94" s="530"/>
      <c r="EO94" s="530"/>
      <c r="EP94" s="530"/>
      <c r="EQ94" s="530"/>
      <c r="ER94" s="530"/>
      <c r="ES94" s="530"/>
      <c r="ET94" s="530"/>
      <c r="EU94" s="530"/>
      <c r="EV94" s="530"/>
      <c r="EW94" s="530"/>
      <c r="EX94" s="530"/>
      <c r="EY94" s="530"/>
      <c r="EZ94" s="530"/>
      <c r="FA94" s="530"/>
      <c r="FB94" s="530"/>
      <c r="FC94" s="530"/>
      <c r="FD94" s="530"/>
      <c r="FE94" s="530"/>
      <c r="FF94" s="530"/>
      <c r="FG94" s="530"/>
      <c r="FH94" s="530"/>
      <c r="FI94" s="530"/>
      <c r="FJ94" s="530"/>
      <c r="FK94" s="530"/>
      <c r="FL94" s="530"/>
      <c r="FM94" s="530"/>
      <c r="FN94" s="530"/>
      <c r="FO94" s="530"/>
      <c r="FP94" s="530"/>
      <c r="FQ94" s="530"/>
      <c r="GL94" s="128"/>
      <c r="GM94" s="128"/>
      <c r="GN94" s="128"/>
      <c r="GO94" s="128"/>
      <c r="GP94" s="128"/>
      <c r="GQ94" s="128"/>
      <c r="GR94" s="128"/>
      <c r="GS94" s="128"/>
      <c r="GT94" s="128"/>
      <c r="GU94" s="128"/>
      <c r="GV94" s="128"/>
      <c r="GW94" s="128"/>
      <c r="GX94" s="128"/>
      <c r="GY94" s="128"/>
      <c r="GZ94" s="128"/>
      <c r="HA94" s="128"/>
      <c r="HB94" s="128"/>
      <c r="HC94" s="128"/>
      <c r="HD94" s="128"/>
      <c r="HE94" s="128"/>
      <c r="HF94" s="128"/>
      <c r="HG94" s="128"/>
      <c r="HH94" s="128"/>
      <c r="HI94" s="128"/>
      <c r="HJ94" s="128"/>
      <c r="HK94" s="128"/>
      <c r="HL94" s="128"/>
      <c r="HM94" s="128"/>
      <c r="HN94" s="128"/>
      <c r="HO94" s="128"/>
      <c r="HP94" s="128"/>
      <c r="HQ94" s="128"/>
      <c r="HR94" s="128"/>
      <c r="HS94" s="128"/>
      <c r="HT94" s="128"/>
      <c r="HU94" s="128"/>
      <c r="HV94" s="128"/>
      <c r="HW94" s="128"/>
      <c r="HX94" s="128"/>
      <c r="HY94" s="128"/>
      <c r="HZ94" s="128"/>
      <c r="IA94" s="128"/>
      <c r="IB94" s="128"/>
      <c r="IC94" s="128"/>
    </row>
    <row r="95" spans="41:237" x14ac:dyDescent="0.3">
      <c r="AO95" s="128">
        <v>48555</v>
      </c>
      <c r="AP95" s="128" t="s">
        <v>730</v>
      </c>
      <c r="AQ95" s="128" t="s">
        <v>824</v>
      </c>
      <c r="AR95" s="128" t="s">
        <v>3594</v>
      </c>
      <c r="AS95" s="375">
        <v>46037</v>
      </c>
      <c r="AT95" s="375">
        <v>46226</v>
      </c>
      <c r="AU95" s="530">
        <v>90691</v>
      </c>
      <c r="AV95" s="128">
        <v>49963</v>
      </c>
      <c r="AW95" s="530">
        <v>2700000</v>
      </c>
      <c r="AX95" s="534">
        <f>_xlfn.XLOOKUP(Sell_unvalid[[#This Row],[DEAL_BUY_ID]],BS!BA:BA,BS!BE:BE,,0)</f>
        <v>89901</v>
      </c>
      <c r="AY95" s="534">
        <f>_xlfn.XLOOKUP(Sell_unvalid[[#This Row],[BOND_CODE]],FNRP!D:D,FNRP!I:I,_xlfn.XLOOKUP(Sell_unvalid[[#This Row],[BOND_CODE]],FNRP!AV:AV,FNRP!BA:BA,,0),0)</f>
        <v>87506</v>
      </c>
      <c r="AZ95" s="534">
        <f>_xlfn.XLOOKUP(Sell_unvalid[[#This Row],[DEAL_BUY_ID]],BS!BA:BA,BS!BQ:BQ,,0)*Sell_unvalid[[#This Row],[QUANTITY]]</f>
        <v>-27053274207.667976</v>
      </c>
      <c r="BA95" s="534">
        <f>(Sell_unvalid[[#This Row],[Giá MtM]]-10^5)*Sell_unvalid[[#This Row],[QUANTITY]]-Sell_unvalid[[#This Row],[PTCK remain]]</f>
        <v>-6680525792.3320236</v>
      </c>
      <c r="BB95" s="534">
        <f>(Sell_unvalid[[#This Row],[PRICE]]-10^5)*Sell_unvalid[[#This Row],[QUANTITY]]-Sell_unvalid[[#This Row],[PTCK remain]]</f>
        <v>1918974207.6679764</v>
      </c>
      <c r="BC95" s="534" t="str">
        <f>IF(AND(Sell_unvalid[[#This Row],[VALUE_DATE]]&lt;=RPT,Sell_unvalid[[#This Row],[TRANSACTION_STATUS]]="N"),"Check","Ok")</f>
        <v>Ok</v>
      </c>
      <c r="BD95" s="534"/>
      <c r="BE95" s="615"/>
      <c r="BF95" s="128">
        <v>50266</v>
      </c>
      <c r="BG95" s="128" t="s">
        <v>720</v>
      </c>
      <c r="BH95" s="128" t="s">
        <v>824</v>
      </c>
      <c r="BI95" s="128" t="s">
        <v>3594</v>
      </c>
      <c r="BJ95" s="375">
        <v>46233</v>
      </c>
      <c r="BK95" s="375">
        <v>46241</v>
      </c>
      <c r="BL95" s="128">
        <v>4550000</v>
      </c>
      <c r="BM95" s="128">
        <v>152170</v>
      </c>
      <c r="BN95" s="534">
        <f>_xlfn.XLOOKUP(Buy_unvalid[[#This Row],[BOND_CODE]],FNRP!D:D,FNRP!I:I,,0)</f>
        <v>141623</v>
      </c>
      <c r="BO95" s="534">
        <f>_xlfn.XLOOKUP(Buy_unvalid[[#This Row],[DEAL_BUY_ID]],BS!BA:BA,BS!BQ:BQ,_xlfn.XLOOKUP(Buy_unvalid[[#This Row],[DEAL_BUY_ID]],BS!AL:AL,BS!AR:AR,,0),0)*Buy_unvalid[[#This Row],[QUANTITY]]</f>
        <v>236987730249.22141</v>
      </c>
      <c r="BP95" s="534">
        <f>(Buy_unvalid[[#This Row],[Giá MtM]]-10^5)*Buy_unvalid[[#This Row],[QUANTITY]]-Buy_unvalid[[#This Row],[PTCK remain]]</f>
        <v>-47603080249.221405</v>
      </c>
      <c r="BQ95" s="534" t="str">
        <f>IF(AND(Buy_unvalid[[#This Row],[VALUE_DATE]]&lt;=RPT,Buy_unvalid[[#This Row],[TRANSACTION_STATUS]]="N"),"Check","Ok")</f>
        <v>Ok</v>
      </c>
      <c r="BS95" s="128"/>
      <c r="BT95" s="848">
        <v>50334</v>
      </c>
      <c r="BU95" s="849">
        <v>46598</v>
      </c>
      <c r="BV95" s="848">
        <v>50406</v>
      </c>
      <c r="BW95" s="848"/>
      <c r="BX95" s="530">
        <v>190000</v>
      </c>
      <c r="BY95" s="735">
        <f>_xlfn.XLOOKUP(Est_NIM[[#This Row],[DEAL_BUY_ID]],BS!AL:AL,BS!AU:AU,_xlfn.XLOOKUP(Est_NIM[[#This Row],[DEAL_BUY_ID]],BS!BA:BA,BS!BJ:BJ,,0),0)</f>
        <v>7.75</v>
      </c>
      <c r="BZ95" s="534">
        <f>Est_NIM[[#This Row],[QUANT]]*Est_NIM[[#This Row],[YIELD]]</f>
        <v>1472500</v>
      </c>
      <c r="CA95" s="128"/>
      <c r="CB95" s="128"/>
      <c r="CE95" s="331"/>
      <c r="CF95" s="331"/>
      <c r="CG95" s="331"/>
      <c r="CH95">
        <v>3730</v>
      </c>
      <c r="CI95">
        <v>14282</v>
      </c>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8"/>
      <c r="DS95" s="128"/>
      <c r="DT95" s="128"/>
      <c r="DU95" s="128"/>
      <c r="DV95" s="128"/>
      <c r="DW95" s="128"/>
      <c r="DX95" s="128"/>
      <c r="DY95" s="128"/>
      <c r="DZ95" s="530"/>
      <c r="EA95" s="530"/>
      <c r="EB95" s="530"/>
      <c r="EC95" s="530"/>
      <c r="ED95" s="530"/>
      <c r="EE95" s="530"/>
      <c r="EF95" s="530"/>
      <c r="EG95" s="530"/>
      <c r="EH95" s="530"/>
      <c r="EI95" s="530"/>
      <c r="EJ95" s="530"/>
      <c r="EK95" s="530"/>
      <c r="EL95" s="530"/>
      <c r="EM95" s="530"/>
      <c r="EN95" s="530"/>
      <c r="EO95" s="530"/>
      <c r="EP95" s="530"/>
      <c r="EQ95" s="530"/>
      <c r="ER95" s="530"/>
      <c r="ES95" s="530"/>
      <c r="ET95" s="530"/>
      <c r="EU95" s="530"/>
      <c r="EV95" s="530"/>
      <c r="EW95" s="530"/>
      <c r="EX95" s="530"/>
      <c r="EY95" s="530"/>
      <c r="EZ95" s="530"/>
      <c r="FA95" s="530"/>
      <c r="FB95" s="530"/>
      <c r="FC95" s="530"/>
      <c r="FD95" s="530"/>
      <c r="FE95" s="530"/>
      <c r="FF95" s="530"/>
      <c r="FG95" s="530"/>
      <c r="FH95" s="530"/>
      <c r="FI95" s="530"/>
      <c r="FJ95" s="530"/>
      <c r="FK95" s="530"/>
      <c r="FL95" s="530"/>
      <c r="FM95" s="530"/>
      <c r="FN95" s="530"/>
      <c r="FO95" s="530"/>
      <c r="FP95" s="530"/>
      <c r="FQ95" s="530"/>
      <c r="GL95" s="128"/>
      <c r="GM95" s="128"/>
      <c r="GN95" s="128"/>
      <c r="GO95" s="128"/>
      <c r="GP95" s="128"/>
      <c r="GQ95" s="128"/>
      <c r="GR95" s="128"/>
      <c r="GS95" s="128"/>
      <c r="GT95" s="128"/>
      <c r="GU95" s="128"/>
      <c r="GV95" s="128"/>
      <c r="GW95" s="128"/>
      <c r="GX95" s="128"/>
      <c r="GY95" s="128"/>
      <c r="GZ95" s="128"/>
      <c r="HA95" s="128"/>
      <c r="HB95" s="128"/>
      <c r="HC95" s="128"/>
      <c r="HD95" s="128"/>
      <c r="HE95" s="128"/>
      <c r="HF95" s="128"/>
      <c r="HG95" s="128"/>
      <c r="HH95" s="128"/>
      <c r="HI95" s="128"/>
      <c r="HJ95" s="128"/>
      <c r="HK95" s="128"/>
      <c r="HL95" s="128"/>
      <c r="HM95" s="128"/>
      <c r="HN95" s="128"/>
      <c r="HO95" s="128"/>
      <c r="HP95" s="128"/>
      <c r="HQ95" s="128"/>
      <c r="HR95" s="128"/>
      <c r="HS95" s="128"/>
      <c r="HT95" s="128"/>
      <c r="HU95" s="128"/>
      <c r="HV95" s="128"/>
      <c r="HW95" s="128"/>
      <c r="HX95" s="128"/>
      <c r="HY95" s="128"/>
      <c r="HZ95" s="128"/>
      <c r="IA95" s="128"/>
      <c r="IB95" s="128"/>
      <c r="IC95" s="128"/>
    </row>
    <row r="96" spans="41:237" x14ac:dyDescent="0.3">
      <c r="AO96" s="128">
        <v>49902</v>
      </c>
      <c r="AP96" s="128" t="s">
        <v>731</v>
      </c>
      <c r="AQ96" s="128" t="s">
        <v>824</v>
      </c>
      <c r="AR96" s="128" t="s">
        <v>3594</v>
      </c>
      <c r="AS96" s="375">
        <v>46174</v>
      </c>
      <c r="AT96" s="375">
        <v>46248</v>
      </c>
      <c r="AU96" s="530">
        <v>79111</v>
      </c>
      <c r="AV96" s="128">
        <v>49901</v>
      </c>
      <c r="AW96" s="530">
        <v>2110000</v>
      </c>
      <c r="AX96" s="534">
        <f>_xlfn.XLOOKUP(Sell_unvalid[[#This Row],[DEAL_BUY_ID]],BS!BA:BA,BS!BE:BE,,0)</f>
        <v>79102</v>
      </c>
      <c r="AY96" s="534">
        <f>_xlfn.XLOOKUP(Sell_unvalid[[#This Row],[BOND_CODE]],FNRP!D:D,FNRP!I:I,_xlfn.XLOOKUP(Sell_unvalid[[#This Row],[BOND_CODE]],FNRP!AV:AV,FNRP!BA:BA,,0),0)</f>
        <v>78672</v>
      </c>
      <c r="AZ96" s="534">
        <f>_xlfn.XLOOKUP(Sell_unvalid[[#This Row],[DEAL_BUY_ID]],BS!BA:BA,BS!BQ:BQ,,0)*Sell_unvalid[[#This Row],[QUANTITY]]</f>
        <v>-43709291608.884933</v>
      </c>
      <c r="BA96" s="534">
        <f>(Sell_unvalid[[#This Row],[Giá MtM]]-10^5)*Sell_unvalid[[#This Row],[QUANTITY]]-Sell_unvalid[[#This Row],[PTCK remain]]</f>
        <v>-1292788391.1150665</v>
      </c>
      <c r="BB96" s="534">
        <f>(Sell_unvalid[[#This Row],[PRICE]]-10^5)*Sell_unvalid[[#This Row],[QUANTITY]]-Sell_unvalid[[#This Row],[PTCK remain]]</f>
        <v>-366498391.11506653</v>
      </c>
      <c r="BC96" s="534" t="str">
        <f>IF(AND(Sell_unvalid[[#This Row],[VALUE_DATE]]&lt;=RPT,Sell_unvalid[[#This Row],[TRANSACTION_STATUS]]="N"),"Check","Ok")</f>
        <v>Ok</v>
      </c>
      <c r="BD96" s="534"/>
      <c r="BE96" s="615"/>
      <c r="BF96" s="128">
        <v>50278</v>
      </c>
      <c r="BG96" s="128" t="s">
        <v>718</v>
      </c>
      <c r="BH96" s="128" t="s">
        <v>824</v>
      </c>
      <c r="BI96" s="128" t="s">
        <v>3594</v>
      </c>
      <c r="BJ96" s="375">
        <v>46238</v>
      </c>
      <c r="BK96" s="375">
        <v>46241</v>
      </c>
      <c r="BL96" s="128">
        <v>1960000</v>
      </c>
      <c r="BM96" s="128">
        <v>145786</v>
      </c>
      <c r="BN96" s="534">
        <f>_xlfn.XLOOKUP(Buy_unvalid[[#This Row],[BOND_CODE]],FNRP!D:D,FNRP!I:I,,0)</f>
        <v>142132</v>
      </c>
      <c r="BO96" s="534">
        <f>_xlfn.XLOOKUP(Buy_unvalid[[#This Row],[DEAL_BUY_ID]],BS!BA:BA,BS!BQ:BQ,_xlfn.XLOOKUP(Buy_unvalid[[#This Row],[DEAL_BUY_ID]],BS!AL:AL,BS!AR:AR,,0),0)*Buy_unvalid[[#This Row],[QUANTITY]]</f>
        <v>89588594612.822098</v>
      </c>
      <c r="BP96" s="534">
        <f>(Buy_unvalid[[#This Row],[Giá MtM]]-10^5)*Buy_unvalid[[#This Row],[QUANTITY]]-Buy_unvalid[[#This Row],[PTCK remain]]</f>
        <v>-7009874612.8220978</v>
      </c>
      <c r="BQ96" s="534" t="str">
        <f>IF(AND(Buy_unvalid[[#This Row],[VALUE_DATE]]&lt;=RPT,Buy_unvalid[[#This Row],[TRANSACTION_STATUS]]="N"),"Check","Ok")</f>
        <v>Ok</v>
      </c>
      <c r="BS96" s="128"/>
      <c r="BT96" s="848">
        <v>50334</v>
      </c>
      <c r="BU96" s="849">
        <v>46598</v>
      </c>
      <c r="BV96" s="848">
        <v>50448</v>
      </c>
      <c r="BW96" s="848"/>
      <c r="BX96" s="530">
        <v>560000</v>
      </c>
      <c r="BY96" s="735">
        <f>_xlfn.XLOOKUP(Est_NIM[[#This Row],[DEAL_BUY_ID]],BS!AL:AL,BS!AU:AU,_xlfn.XLOOKUP(Est_NIM[[#This Row],[DEAL_BUY_ID]],BS!BA:BA,BS!BJ:BJ,,0),0)</f>
        <v>7.75</v>
      </c>
      <c r="BZ96" s="534">
        <f>Est_NIM[[#This Row],[QUANT]]*Est_NIM[[#This Row],[YIELD]]</f>
        <v>4340000</v>
      </c>
      <c r="CA96" s="128"/>
      <c r="CB96" s="128"/>
      <c r="CE96" s="331"/>
      <c r="CF96" s="331"/>
      <c r="CG96" s="331"/>
      <c r="CH96">
        <v>3730</v>
      </c>
      <c r="CI96">
        <v>14282</v>
      </c>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8"/>
      <c r="DS96" s="128"/>
      <c r="DT96" s="128"/>
      <c r="DU96" s="128"/>
      <c r="DV96" s="128"/>
      <c r="DW96" s="128"/>
      <c r="DX96" s="128"/>
      <c r="DY96" s="128"/>
      <c r="DZ96" s="530"/>
      <c r="EA96" s="530"/>
      <c r="EB96" s="530"/>
      <c r="EC96" s="530"/>
      <c r="ED96" s="530"/>
      <c r="EE96" s="530"/>
      <c r="EF96" s="530"/>
      <c r="EG96" s="530"/>
      <c r="EH96" s="530"/>
      <c r="EI96" s="530"/>
      <c r="EJ96" s="530"/>
      <c r="EK96" s="530"/>
      <c r="EL96" s="530"/>
      <c r="EM96" s="530"/>
      <c r="EN96" s="530"/>
      <c r="EO96" s="530"/>
      <c r="EP96" s="530"/>
      <c r="EQ96" s="530"/>
      <c r="ER96" s="530"/>
      <c r="ES96" s="530"/>
      <c r="ET96" s="530"/>
      <c r="EU96" s="530"/>
      <c r="EV96" s="530"/>
      <c r="EW96" s="530"/>
      <c r="EX96" s="530"/>
      <c r="EY96" s="530"/>
      <c r="EZ96" s="530"/>
      <c r="FA96" s="530"/>
      <c r="FB96" s="530"/>
      <c r="FC96" s="530"/>
      <c r="FD96" s="530"/>
      <c r="FE96" s="530"/>
      <c r="FF96" s="530"/>
      <c r="FG96" s="530"/>
      <c r="FH96" s="530"/>
      <c r="FI96" s="530"/>
      <c r="FJ96" s="530"/>
      <c r="FK96" s="530"/>
      <c r="FL96" s="530"/>
      <c r="FM96" s="530"/>
      <c r="FN96" s="530"/>
      <c r="FO96" s="530"/>
      <c r="FP96" s="530"/>
      <c r="FQ96" s="530"/>
      <c r="GL96" s="128"/>
      <c r="GM96" s="128"/>
      <c r="GN96" s="128"/>
      <c r="GO96" s="128"/>
      <c r="GP96" s="128"/>
      <c r="GQ96" s="128"/>
      <c r="GR96" s="128"/>
      <c r="GS96" s="128"/>
      <c r="GT96" s="128"/>
      <c r="GU96" s="128"/>
      <c r="GV96" s="128"/>
      <c r="GW96" s="128"/>
      <c r="GX96" s="128"/>
      <c r="GY96" s="128"/>
      <c r="GZ96" s="128"/>
      <c r="HA96" s="128"/>
      <c r="HB96" s="128"/>
      <c r="HC96" s="128"/>
      <c r="HD96" s="128"/>
      <c r="HE96" s="128"/>
      <c r="HF96" s="128"/>
      <c r="HG96" s="128"/>
      <c r="HH96" s="128"/>
      <c r="HI96" s="128"/>
      <c r="HJ96" s="128"/>
      <c r="HK96" s="128"/>
      <c r="HL96" s="128"/>
      <c r="HM96" s="128"/>
      <c r="HN96" s="128"/>
      <c r="HO96" s="128"/>
      <c r="HP96" s="128"/>
      <c r="HQ96" s="128"/>
      <c r="HR96" s="128"/>
      <c r="HS96" s="128"/>
      <c r="HT96" s="128"/>
      <c r="HU96" s="128"/>
      <c r="HV96" s="128"/>
      <c r="HW96" s="128"/>
      <c r="HX96" s="128"/>
      <c r="HY96" s="128"/>
      <c r="HZ96" s="128"/>
      <c r="IA96" s="128"/>
      <c r="IB96" s="128"/>
      <c r="IC96" s="128"/>
    </row>
    <row r="97" spans="41:237" x14ac:dyDescent="0.3">
      <c r="AO97" s="128">
        <v>50055</v>
      </c>
      <c r="AP97" s="128" t="s">
        <v>731</v>
      </c>
      <c r="AQ97" s="128" t="s">
        <v>824</v>
      </c>
      <c r="AR97" s="128" t="s">
        <v>3594</v>
      </c>
      <c r="AS97" s="375">
        <v>46189</v>
      </c>
      <c r="AT97" s="375">
        <v>46301</v>
      </c>
      <c r="AU97" s="530">
        <v>77297</v>
      </c>
      <c r="AV97" s="128">
        <v>50053</v>
      </c>
      <c r="AW97" s="530">
        <v>5200000</v>
      </c>
      <c r="AX97" s="534">
        <f>_xlfn.XLOOKUP(Sell_unvalid[[#This Row],[DEAL_BUY_ID]],BS!BA:BA,BS!BE:BE,,0)</f>
        <v>77304</v>
      </c>
      <c r="AY97" s="534">
        <f>_xlfn.XLOOKUP(Sell_unvalid[[#This Row],[BOND_CODE]],FNRP!D:D,FNRP!I:I,_xlfn.XLOOKUP(Sell_unvalid[[#This Row],[BOND_CODE]],FNRP!AV:AV,FNRP!BA:BA,,0),0)</f>
        <v>78672</v>
      </c>
      <c r="AZ97" s="534">
        <f>_xlfn.XLOOKUP(Sell_unvalid[[#This Row],[DEAL_BUY_ID]],BS!BA:BA,BS!BQ:BQ,,0)*Sell_unvalid[[#This Row],[QUANTITY]]</f>
        <v>-117182184070.37082</v>
      </c>
      <c r="BA97" s="534">
        <f>(Sell_unvalid[[#This Row],[Giá MtM]]-10^5)*Sell_unvalid[[#This Row],[QUANTITY]]-Sell_unvalid[[#This Row],[PTCK remain]]</f>
        <v>6276584070.3708191</v>
      </c>
      <c r="BB97" s="534">
        <f>(Sell_unvalid[[#This Row],[PRICE]]-10^5)*Sell_unvalid[[#This Row],[QUANTITY]]-Sell_unvalid[[#This Row],[PTCK remain]]</f>
        <v>-873415929.62918091</v>
      </c>
      <c r="BC97" s="534" t="str">
        <f>IF(AND(Sell_unvalid[[#This Row],[VALUE_DATE]]&lt;=RPT,Sell_unvalid[[#This Row],[TRANSACTION_STATUS]]="N"),"Check","Ok")</f>
        <v>Ok</v>
      </c>
      <c r="BD97" s="534"/>
      <c r="BE97" s="615"/>
      <c r="BF97" s="128">
        <v>50286</v>
      </c>
      <c r="BG97" s="128" t="s">
        <v>636</v>
      </c>
      <c r="BH97" s="128" t="s">
        <v>824</v>
      </c>
      <c r="BI97" s="128" t="s">
        <v>3594</v>
      </c>
      <c r="BJ97" s="375">
        <v>46238</v>
      </c>
      <c r="BK97" s="375">
        <v>46241</v>
      </c>
      <c r="BL97" s="128">
        <v>1000000</v>
      </c>
      <c r="BM97" s="128">
        <v>91606</v>
      </c>
      <c r="BN97" s="534">
        <f>_xlfn.XLOOKUP(Buy_unvalid[[#This Row],[BOND_CODE]],FNRP!D:D,FNRP!I:I,,0)</f>
        <v>92544</v>
      </c>
      <c r="BO97" s="534">
        <f>_xlfn.XLOOKUP(Buy_unvalid[[#This Row],[DEAL_BUY_ID]],BS!BA:BA,BS!BQ:BQ,_xlfn.XLOOKUP(Buy_unvalid[[#This Row],[DEAL_BUY_ID]],BS!AL:AL,BS!AR:AR,,0),0)*Buy_unvalid[[#This Row],[QUANTITY]]</f>
        <v>-8331479857.6897449</v>
      </c>
      <c r="BP97" s="534">
        <f>(Buy_unvalid[[#This Row],[Giá MtM]]-10^5)*Buy_unvalid[[#This Row],[QUANTITY]]-Buy_unvalid[[#This Row],[PTCK remain]]</f>
        <v>875479857.68974495</v>
      </c>
      <c r="BQ97" s="534" t="str">
        <f>IF(AND(Buy_unvalid[[#This Row],[VALUE_DATE]]&lt;=RPT,Buy_unvalid[[#This Row],[TRANSACTION_STATUS]]="N"),"Check","Ok")</f>
        <v>Ok</v>
      </c>
      <c r="BS97" s="128"/>
      <c r="BT97" s="848">
        <v>50335</v>
      </c>
      <c r="BU97" s="849">
        <v>46598</v>
      </c>
      <c r="BV97" s="848">
        <v>50331</v>
      </c>
      <c r="BW97" s="848"/>
      <c r="BX97" s="530">
        <v>10000000</v>
      </c>
      <c r="BY97" s="735">
        <f>_xlfn.XLOOKUP(Est_NIM[[#This Row],[DEAL_BUY_ID]],BS!AL:AL,BS!AU:AU,_xlfn.XLOOKUP(Est_NIM[[#This Row],[DEAL_BUY_ID]],BS!BA:BA,BS!BJ:BJ,,0),0)</f>
        <v>4.53</v>
      </c>
      <c r="BZ97" s="534">
        <f>Est_NIM[[#This Row],[QUANT]]*Est_NIM[[#This Row],[YIELD]]</f>
        <v>45300000</v>
      </c>
      <c r="CA97" s="128"/>
      <c r="CB97" s="128"/>
      <c r="CE97" s="331"/>
      <c r="CF97" s="331"/>
      <c r="CG97" s="331"/>
      <c r="CH97">
        <v>3730</v>
      </c>
      <c r="CI97">
        <v>14282</v>
      </c>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8"/>
      <c r="DS97" s="128"/>
      <c r="DT97" s="128"/>
      <c r="DU97" s="128"/>
      <c r="DV97" s="128"/>
      <c r="DW97" s="128"/>
      <c r="DX97" s="128"/>
      <c r="DY97" s="128"/>
      <c r="DZ97" s="530"/>
      <c r="EA97" s="530"/>
      <c r="EB97" s="530"/>
      <c r="EC97" s="530"/>
      <c r="ED97" s="530"/>
      <c r="EE97" s="530"/>
      <c r="EF97" s="530"/>
      <c r="EG97" s="530"/>
      <c r="EH97" s="530"/>
      <c r="EI97" s="530"/>
      <c r="EJ97" s="530"/>
      <c r="EK97" s="530"/>
      <c r="EL97" s="530"/>
      <c r="EM97" s="530"/>
      <c r="EN97" s="530"/>
      <c r="EO97" s="530"/>
      <c r="EP97" s="530"/>
      <c r="EQ97" s="530"/>
      <c r="ER97" s="530"/>
      <c r="ES97" s="530"/>
      <c r="ET97" s="530"/>
      <c r="EU97" s="530"/>
      <c r="EV97" s="530"/>
      <c r="EW97" s="530"/>
      <c r="EX97" s="530"/>
      <c r="EY97" s="530"/>
      <c r="EZ97" s="530"/>
      <c r="FA97" s="530"/>
      <c r="FB97" s="530"/>
      <c r="FC97" s="530"/>
      <c r="FD97" s="530"/>
      <c r="FE97" s="530"/>
      <c r="FF97" s="530"/>
      <c r="FG97" s="530"/>
      <c r="FH97" s="530"/>
      <c r="FI97" s="530"/>
      <c r="FJ97" s="530"/>
      <c r="FK97" s="530"/>
      <c r="FL97" s="530"/>
      <c r="FM97" s="530"/>
      <c r="FN97" s="530"/>
      <c r="FO97" s="530"/>
      <c r="FP97" s="530"/>
      <c r="FQ97" s="530"/>
      <c r="GL97" s="128"/>
      <c r="GM97" s="128"/>
      <c r="GN97" s="128"/>
      <c r="GO97" s="128"/>
      <c r="GP97" s="128"/>
      <c r="GQ97" s="128"/>
      <c r="GR97" s="128"/>
      <c r="GS97" s="128"/>
      <c r="GT97" s="128"/>
      <c r="GU97" s="128"/>
      <c r="GV97" s="128"/>
      <c r="GW97" s="128"/>
      <c r="GX97" s="128"/>
      <c r="GY97" s="128"/>
      <c r="GZ97" s="128"/>
      <c r="HA97" s="128"/>
      <c r="HB97" s="128"/>
      <c r="HC97" s="128"/>
      <c r="HD97" s="128"/>
      <c r="HE97" s="128"/>
      <c r="HF97" s="128"/>
      <c r="HG97" s="128"/>
      <c r="HH97" s="128"/>
      <c r="HI97" s="128"/>
      <c r="HJ97" s="128"/>
      <c r="HK97" s="128"/>
      <c r="HL97" s="128"/>
      <c r="HM97" s="128"/>
      <c r="HN97" s="128"/>
      <c r="HO97" s="128"/>
      <c r="HP97" s="128"/>
      <c r="HQ97" s="128"/>
      <c r="HR97" s="128"/>
      <c r="HS97" s="128"/>
      <c r="HT97" s="128"/>
      <c r="HU97" s="128"/>
      <c r="HV97" s="128"/>
      <c r="HW97" s="128"/>
      <c r="HX97" s="128"/>
      <c r="HY97" s="128"/>
      <c r="HZ97" s="128"/>
      <c r="IA97" s="128"/>
      <c r="IB97" s="128"/>
      <c r="IC97" s="128"/>
    </row>
    <row r="98" spans="41:237" x14ac:dyDescent="0.3">
      <c r="AO98" s="128">
        <v>50056</v>
      </c>
      <c r="AP98" s="128" t="s">
        <v>731</v>
      </c>
      <c r="AQ98" s="128" t="s">
        <v>824</v>
      </c>
      <c r="AR98" s="128" t="s">
        <v>3594</v>
      </c>
      <c r="AS98" s="375">
        <v>46189</v>
      </c>
      <c r="AT98" s="375">
        <v>46301</v>
      </c>
      <c r="AU98" s="530">
        <v>77297</v>
      </c>
      <c r="AV98" s="128">
        <v>50054</v>
      </c>
      <c r="AW98" s="530">
        <v>2500000</v>
      </c>
      <c r="AX98" s="534">
        <f>_xlfn.XLOOKUP(Sell_unvalid[[#This Row],[DEAL_BUY_ID]],BS!BA:BA,BS!BE:BE,,0)</f>
        <v>77304</v>
      </c>
      <c r="AY98" s="534">
        <f>_xlfn.XLOOKUP(Sell_unvalid[[#This Row],[BOND_CODE]],FNRP!D:D,FNRP!I:I,_xlfn.XLOOKUP(Sell_unvalid[[#This Row],[BOND_CODE]],FNRP!AV:AV,FNRP!BA:BA,,0),0)</f>
        <v>78672</v>
      </c>
      <c r="AZ98" s="534">
        <f>_xlfn.XLOOKUP(Sell_unvalid[[#This Row],[DEAL_BUY_ID]],BS!BA:BA,BS!BQ:BQ,,0)*Sell_unvalid[[#This Row],[QUANTITY]]</f>
        <v>-56337588495.370583</v>
      </c>
      <c r="BA98" s="534">
        <f>(Sell_unvalid[[#This Row],[Giá MtM]]-10^5)*Sell_unvalid[[#This Row],[QUANTITY]]-Sell_unvalid[[#This Row],[PTCK remain]]</f>
        <v>3017588495.3705826</v>
      </c>
      <c r="BB98" s="534">
        <f>(Sell_unvalid[[#This Row],[PRICE]]-10^5)*Sell_unvalid[[#This Row],[QUANTITY]]-Sell_unvalid[[#This Row],[PTCK remain]]</f>
        <v>-419911504.62941742</v>
      </c>
      <c r="BC98" s="534" t="str">
        <f>IF(AND(Sell_unvalid[[#This Row],[VALUE_DATE]]&lt;=RPT,Sell_unvalid[[#This Row],[TRANSACTION_STATUS]]="N"),"Check","Ok")</f>
        <v>Ok</v>
      </c>
      <c r="BD98" s="534"/>
      <c r="BE98" s="615"/>
      <c r="BF98" s="128">
        <v>50276</v>
      </c>
      <c r="BG98" s="128" t="s">
        <v>720</v>
      </c>
      <c r="BH98" s="128" t="s">
        <v>824</v>
      </c>
      <c r="BI98" s="128" t="s">
        <v>3594</v>
      </c>
      <c r="BJ98" s="375">
        <v>46238</v>
      </c>
      <c r="BK98" s="375">
        <v>46241</v>
      </c>
      <c r="BL98" s="128">
        <v>550000</v>
      </c>
      <c r="BM98" s="128">
        <v>153206</v>
      </c>
      <c r="BN98" s="534">
        <f>_xlfn.XLOOKUP(Buy_unvalid[[#This Row],[BOND_CODE]],FNRP!D:D,FNRP!I:I,,0)</f>
        <v>141623</v>
      </c>
      <c r="BO98" s="534">
        <f>_xlfn.XLOOKUP(Buy_unvalid[[#This Row],[DEAL_BUY_ID]],BS!BA:BA,BS!BQ:BQ,_xlfn.XLOOKUP(Buy_unvalid[[#This Row],[DEAL_BUY_ID]],BS!AL:AL,BS!AR:AR,,0),0)*Buy_unvalid[[#This Row],[QUANTITY]]</f>
        <v>29215740982.168739</v>
      </c>
      <c r="BP98" s="534">
        <f>(Buy_unvalid[[#This Row],[Giá MtM]]-10^5)*Buy_unvalid[[#This Row],[QUANTITY]]-Buy_unvalid[[#This Row],[PTCK remain]]</f>
        <v>-6323090982.1687393</v>
      </c>
      <c r="BQ98" s="534" t="str">
        <f>IF(AND(Buy_unvalid[[#This Row],[VALUE_DATE]]&lt;=RPT,Buy_unvalid[[#This Row],[TRANSACTION_STATUS]]="N"),"Check","Ok")</f>
        <v>Ok</v>
      </c>
      <c r="BS98" s="128"/>
      <c r="BT98" s="848">
        <v>50397</v>
      </c>
      <c r="BU98" s="849">
        <v>46258</v>
      </c>
      <c r="BV98" s="848">
        <v>50330</v>
      </c>
      <c r="BW98" s="848"/>
      <c r="BX98" s="530">
        <v>810000</v>
      </c>
      <c r="BY98" s="735">
        <f>_xlfn.XLOOKUP(Est_NIM[[#This Row],[DEAL_BUY_ID]],BS!AL:AL,BS!AU:AU,_xlfn.XLOOKUP(Est_NIM[[#This Row],[DEAL_BUY_ID]],BS!BA:BA,BS!BJ:BJ,,0),0)</f>
        <v>4.53</v>
      </c>
      <c r="BZ98" s="534">
        <f>Est_NIM[[#This Row],[QUANT]]*Est_NIM[[#This Row],[YIELD]]</f>
        <v>3669300</v>
      </c>
      <c r="CA98" s="128"/>
      <c r="CB98" s="128"/>
      <c r="CE98" s="331"/>
      <c r="CF98" s="331"/>
      <c r="CG98" s="331"/>
      <c r="CH98">
        <v>3730</v>
      </c>
      <c r="CI98">
        <v>14282</v>
      </c>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8"/>
      <c r="DS98" s="128"/>
      <c r="DT98" s="128"/>
      <c r="DU98" s="128"/>
      <c r="DV98" s="128"/>
      <c r="DW98" s="128"/>
      <c r="DX98" s="128"/>
      <c r="DY98" s="128"/>
      <c r="DZ98" s="530"/>
      <c r="EA98" s="530"/>
      <c r="EB98" s="530"/>
      <c r="EC98" s="530"/>
      <c r="ED98" s="530"/>
      <c r="EE98" s="530"/>
      <c r="EF98" s="530"/>
      <c r="EG98" s="530"/>
      <c r="EH98" s="530"/>
      <c r="EI98" s="530"/>
      <c r="EJ98" s="530"/>
      <c r="EK98" s="530"/>
      <c r="EL98" s="530"/>
      <c r="EM98" s="530"/>
      <c r="EN98" s="530"/>
      <c r="EO98" s="530"/>
      <c r="EP98" s="530"/>
      <c r="EQ98" s="530"/>
      <c r="ER98" s="530"/>
      <c r="ES98" s="530"/>
      <c r="ET98" s="530"/>
      <c r="EU98" s="530"/>
      <c r="EV98" s="530"/>
      <c r="EW98" s="530"/>
      <c r="EX98" s="530"/>
      <c r="EY98" s="530"/>
      <c r="EZ98" s="530"/>
      <c r="FA98" s="530"/>
      <c r="FB98" s="530"/>
      <c r="FC98" s="530"/>
      <c r="FD98" s="530"/>
      <c r="FE98" s="530"/>
      <c r="FF98" s="530"/>
      <c r="FG98" s="530"/>
      <c r="FH98" s="530"/>
      <c r="FI98" s="530"/>
      <c r="FJ98" s="530"/>
      <c r="FK98" s="530"/>
      <c r="FL98" s="530"/>
      <c r="FM98" s="530"/>
      <c r="FN98" s="530"/>
      <c r="FO98" s="530"/>
      <c r="FP98" s="530"/>
      <c r="FQ98" s="530"/>
      <c r="GL98" s="128"/>
      <c r="GM98" s="128"/>
      <c r="GN98" s="128"/>
      <c r="GO98" s="128"/>
      <c r="GP98" s="128"/>
      <c r="GQ98" s="128"/>
      <c r="GR98" s="128"/>
      <c r="GS98" s="128"/>
      <c r="GT98" s="128"/>
      <c r="GU98" s="128"/>
      <c r="GV98" s="128"/>
      <c r="GW98" s="128"/>
      <c r="GX98" s="128"/>
      <c r="GY98" s="128"/>
      <c r="GZ98" s="128"/>
      <c r="HA98" s="128"/>
      <c r="HB98" s="128"/>
      <c r="HC98" s="128"/>
      <c r="HD98" s="128"/>
      <c r="HE98" s="128"/>
      <c r="HF98" s="128"/>
      <c r="HG98" s="128"/>
      <c r="HH98" s="128"/>
      <c r="HI98" s="128"/>
      <c r="HJ98" s="128"/>
      <c r="HK98" s="128"/>
      <c r="HL98" s="128"/>
      <c r="HM98" s="128"/>
      <c r="HN98" s="128"/>
      <c r="HO98" s="128"/>
      <c r="HP98" s="128"/>
      <c r="HQ98" s="128"/>
      <c r="HR98" s="128"/>
      <c r="HS98" s="128"/>
      <c r="HT98" s="128"/>
      <c r="HU98" s="128"/>
      <c r="HV98" s="128"/>
      <c r="HW98" s="128"/>
      <c r="HX98" s="128"/>
      <c r="HY98" s="128"/>
      <c r="HZ98" s="128"/>
      <c r="IA98" s="128"/>
      <c r="IB98" s="128"/>
      <c r="IC98" s="128"/>
    </row>
    <row r="99" spans="41:237" x14ac:dyDescent="0.3">
      <c r="AO99" s="128">
        <v>50210</v>
      </c>
      <c r="AP99" s="128" t="s">
        <v>636</v>
      </c>
      <c r="AQ99" s="128" t="s">
        <v>824</v>
      </c>
      <c r="AR99" s="128" t="s">
        <v>3594</v>
      </c>
      <c r="AS99" s="375">
        <v>46224</v>
      </c>
      <c r="AT99" s="375">
        <v>46227</v>
      </c>
      <c r="AU99" s="530">
        <v>92360</v>
      </c>
      <c r="AV99" s="128">
        <v>50091</v>
      </c>
      <c r="AW99" s="530">
        <v>1000000</v>
      </c>
      <c r="AX99" s="534">
        <f>_xlfn.XLOOKUP(Sell_unvalid[[#This Row],[DEAL_BUY_ID]],BS!BA:BA,BS!BE:BE,,0)</f>
        <v>92313</v>
      </c>
      <c r="AY99" s="534">
        <f>_xlfn.XLOOKUP(Sell_unvalid[[#This Row],[BOND_CODE]],FNRP!D:D,FNRP!I:I,_xlfn.XLOOKUP(Sell_unvalid[[#This Row],[BOND_CODE]],FNRP!AV:AV,FNRP!BA:BA,,0),0)</f>
        <v>92544</v>
      </c>
      <c r="AZ99" s="534">
        <f>_xlfn.XLOOKUP(Sell_unvalid[[#This Row],[DEAL_BUY_ID]],BS!BA:BA,BS!BQ:BQ,,0)*Sell_unvalid[[#This Row],[QUANTITY]]</f>
        <v>-7514139000.3162518</v>
      </c>
      <c r="BA99" s="534">
        <f>(Sell_unvalid[[#This Row],[Giá MtM]]-10^5)*Sell_unvalid[[#This Row],[QUANTITY]]-Sell_unvalid[[#This Row],[PTCK remain]]</f>
        <v>58139000.316251755</v>
      </c>
      <c r="BB99" s="534">
        <f>(Sell_unvalid[[#This Row],[PRICE]]-10^5)*Sell_unvalid[[#This Row],[QUANTITY]]-Sell_unvalid[[#This Row],[PTCK remain]]</f>
        <v>-125860999.68374825</v>
      </c>
      <c r="BC99" s="534" t="str">
        <f>IF(AND(Sell_unvalid[[#This Row],[VALUE_DATE]]&lt;=RPT,Sell_unvalid[[#This Row],[TRANSACTION_STATUS]]="N"),"Check","Ok")</f>
        <v>Ok</v>
      </c>
      <c r="BD99" s="534"/>
      <c r="BE99" s="615"/>
      <c r="BF99" s="128">
        <v>50284</v>
      </c>
      <c r="BG99" s="128" t="s">
        <v>681</v>
      </c>
      <c r="BH99" s="128" t="s">
        <v>824</v>
      </c>
      <c r="BI99" s="128" t="s">
        <v>3594</v>
      </c>
      <c r="BJ99" s="375">
        <v>46238</v>
      </c>
      <c r="BK99" s="375">
        <v>46241</v>
      </c>
      <c r="BL99" s="128">
        <v>950000</v>
      </c>
      <c r="BM99" s="128">
        <v>127001</v>
      </c>
      <c r="BN99" s="534">
        <f>_xlfn.XLOOKUP(Buy_unvalid[[#This Row],[BOND_CODE]],FNRP!D:D,FNRP!I:I,,0)</f>
        <v>124796</v>
      </c>
      <c r="BO99" s="534">
        <f>_xlfn.XLOOKUP(Buy_unvalid[[#This Row],[DEAL_BUY_ID]],BS!BA:BA,BS!BQ:BQ,_xlfn.XLOOKUP(Buy_unvalid[[#This Row],[DEAL_BUY_ID]],BS!AL:AL,BS!AR:AR,,0),0)*Buy_unvalid[[#This Row],[QUANTITY]]</f>
        <v>25561845597.322147</v>
      </c>
      <c r="BP99" s="534">
        <f>(Buy_unvalid[[#This Row],[Giá MtM]]-10^5)*Buy_unvalid[[#This Row],[QUANTITY]]-Buy_unvalid[[#This Row],[PTCK remain]]</f>
        <v>-2005645597.3221474</v>
      </c>
      <c r="BQ99" s="534" t="str">
        <f>IF(AND(Buy_unvalid[[#This Row],[VALUE_DATE]]&lt;=RPT,Buy_unvalid[[#This Row],[TRANSACTION_STATUS]]="N"),"Check","Ok")</f>
        <v>Ok</v>
      </c>
      <c r="BS99" s="128"/>
      <c r="BT99" s="848">
        <v>50398</v>
      </c>
      <c r="BU99" s="849">
        <v>46260</v>
      </c>
      <c r="BV99" s="848">
        <v>50330</v>
      </c>
      <c r="BW99" s="848"/>
      <c r="BX99" s="530">
        <v>810000</v>
      </c>
      <c r="BY99" s="735">
        <f>_xlfn.XLOOKUP(Est_NIM[[#This Row],[DEAL_BUY_ID]],BS!AL:AL,BS!AU:AU,_xlfn.XLOOKUP(Est_NIM[[#This Row],[DEAL_BUY_ID]],BS!BA:BA,BS!BJ:BJ,,0),0)</f>
        <v>4.53</v>
      </c>
      <c r="BZ99" s="534">
        <f>Est_NIM[[#This Row],[QUANT]]*Est_NIM[[#This Row],[YIELD]]</f>
        <v>3669300</v>
      </c>
      <c r="CA99" s="128"/>
      <c r="CB99" s="128"/>
      <c r="CE99" s="331"/>
      <c r="CF99" s="331"/>
      <c r="CG99" s="331"/>
      <c r="CH99">
        <v>3730</v>
      </c>
      <c r="CI99">
        <v>14282</v>
      </c>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8"/>
      <c r="DS99" s="128"/>
      <c r="DT99" s="128"/>
      <c r="DU99" s="128"/>
      <c r="DV99" s="128"/>
      <c r="DW99" s="128"/>
      <c r="DX99" s="128"/>
      <c r="DY99" s="128"/>
      <c r="DZ99" s="530"/>
      <c r="EA99" s="530"/>
      <c r="EB99" s="530"/>
      <c r="EC99" s="530"/>
      <c r="ED99" s="530"/>
      <c r="EE99" s="530"/>
      <c r="EF99" s="530"/>
      <c r="EG99" s="530"/>
      <c r="EH99" s="530"/>
      <c r="EI99" s="530"/>
      <c r="EJ99" s="530"/>
      <c r="EK99" s="530"/>
      <c r="EL99" s="530"/>
      <c r="EM99" s="530"/>
      <c r="EN99" s="530"/>
      <c r="EO99" s="530"/>
      <c r="EP99" s="530"/>
      <c r="EQ99" s="530"/>
      <c r="ER99" s="530"/>
      <c r="ES99" s="530"/>
      <c r="ET99" s="530"/>
      <c r="EU99" s="530"/>
      <c r="EV99" s="530"/>
      <c r="EW99" s="530"/>
      <c r="EX99" s="530"/>
      <c r="EY99" s="530"/>
      <c r="EZ99" s="530"/>
      <c r="FA99" s="530"/>
      <c r="FB99" s="530"/>
      <c r="FC99" s="530"/>
      <c r="FD99" s="530"/>
      <c r="FE99" s="530"/>
      <c r="FF99" s="530"/>
      <c r="FG99" s="530"/>
      <c r="FH99" s="530"/>
      <c r="FI99" s="530"/>
      <c r="FJ99" s="530"/>
      <c r="FK99" s="530"/>
      <c r="FL99" s="530"/>
      <c r="FM99" s="530"/>
      <c r="FN99" s="530"/>
      <c r="FO99" s="530"/>
      <c r="FP99" s="530"/>
      <c r="FQ99" s="530"/>
      <c r="GL99" s="128"/>
      <c r="GM99" s="128"/>
      <c r="GN99" s="128"/>
      <c r="GO99" s="128"/>
      <c r="GP99" s="128"/>
      <c r="GQ99" s="128"/>
      <c r="GR99" s="128"/>
      <c r="GS99" s="128"/>
      <c r="GT99" s="128"/>
      <c r="GU99" s="128"/>
      <c r="GV99" s="128"/>
      <c r="GW99" s="128"/>
      <c r="GX99" s="128"/>
      <c r="GY99" s="128"/>
      <c r="GZ99" s="128"/>
      <c r="HA99" s="128"/>
      <c r="HB99" s="128"/>
      <c r="HC99" s="128"/>
      <c r="HD99" s="128"/>
      <c r="HE99" s="128"/>
      <c r="HF99" s="128"/>
      <c r="HG99" s="128"/>
      <c r="HH99" s="128"/>
      <c r="HI99" s="128"/>
      <c r="HJ99" s="128"/>
      <c r="HK99" s="128"/>
      <c r="HL99" s="128"/>
      <c r="HM99" s="128"/>
      <c r="HN99" s="128"/>
      <c r="HO99" s="128"/>
      <c r="HP99" s="128"/>
      <c r="HQ99" s="128"/>
      <c r="HR99" s="128"/>
      <c r="HS99" s="128"/>
      <c r="HT99" s="128"/>
      <c r="HU99" s="128"/>
      <c r="HV99" s="128"/>
      <c r="HW99" s="128"/>
      <c r="HX99" s="128"/>
      <c r="HY99" s="128"/>
      <c r="HZ99" s="128"/>
      <c r="IA99" s="128"/>
      <c r="IB99" s="128"/>
      <c r="IC99" s="128"/>
    </row>
    <row r="100" spans="41:237" x14ac:dyDescent="0.3">
      <c r="AO100" s="128">
        <v>50285</v>
      </c>
      <c r="AP100" s="128" t="s">
        <v>636</v>
      </c>
      <c r="AQ100" s="128" t="s">
        <v>824</v>
      </c>
      <c r="AR100" s="128" t="s">
        <v>3594</v>
      </c>
      <c r="AS100" s="375">
        <v>46238</v>
      </c>
      <c r="AT100" s="375">
        <v>46240</v>
      </c>
      <c r="AU100" s="530">
        <v>90572</v>
      </c>
      <c r="AV100" s="128">
        <v>50211</v>
      </c>
      <c r="AW100" s="530">
        <v>1000000</v>
      </c>
      <c r="AX100" s="534">
        <f>_xlfn.XLOOKUP(Sell_unvalid[[#This Row],[DEAL_BUY_ID]],BS!BA:BA,BS!BE:BE,,0)</f>
        <v>91560</v>
      </c>
      <c r="AY100" s="534">
        <f>_xlfn.XLOOKUP(Sell_unvalid[[#This Row],[BOND_CODE]],FNRP!D:D,FNRP!I:I,_xlfn.XLOOKUP(Sell_unvalid[[#This Row],[BOND_CODE]],FNRP!AV:AV,FNRP!BA:BA,,0),0)</f>
        <v>92544</v>
      </c>
      <c r="AZ100" s="534">
        <f>_xlfn.XLOOKUP(Sell_unvalid[[#This Row],[DEAL_BUY_ID]],BS!BA:BA,BS!BQ:BQ,,0)*Sell_unvalid[[#This Row],[QUANTITY]]</f>
        <v>-8326493579.0295839</v>
      </c>
      <c r="BA100" s="534">
        <f>(Sell_unvalid[[#This Row],[Giá MtM]]-10^5)*Sell_unvalid[[#This Row],[QUANTITY]]-Sell_unvalid[[#This Row],[PTCK remain]]</f>
        <v>870493579.02958393</v>
      </c>
      <c r="BB100" s="534">
        <f>(Sell_unvalid[[#This Row],[PRICE]]-10^5)*Sell_unvalid[[#This Row],[QUANTITY]]-Sell_unvalid[[#This Row],[PTCK remain]]</f>
        <v>-1101506420.9704161</v>
      </c>
      <c r="BC100" s="534" t="str">
        <f>IF(AND(Sell_unvalid[[#This Row],[VALUE_DATE]]&lt;=RPT,Sell_unvalid[[#This Row],[TRANSACTION_STATUS]]="N"),"Check","Ok")</f>
        <v>Ok</v>
      </c>
      <c r="BD100" s="534"/>
      <c r="BE100" s="615"/>
      <c r="BF100" s="128">
        <v>50280</v>
      </c>
      <c r="BG100" s="128" t="s">
        <v>729</v>
      </c>
      <c r="BH100" s="128" t="s">
        <v>824</v>
      </c>
      <c r="BI100" s="128" t="s">
        <v>3594</v>
      </c>
      <c r="BJ100" s="375">
        <v>46238</v>
      </c>
      <c r="BK100" s="375">
        <v>46241</v>
      </c>
      <c r="BL100" s="128">
        <v>500000</v>
      </c>
      <c r="BM100" s="128">
        <v>117548</v>
      </c>
      <c r="BN100" s="534">
        <f>_xlfn.XLOOKUP(Buy_unvalid[[#This Row],[BOND_CODE]],FNRP!D:D,FNRP!I:I,,0)</f>
        <v>107139</v>
      </c>
      <c r="BO100" s="534">
        <f>_xlfn.XLOOKUP(Buy_unvalid[[#This Row],[DEAL_BUY_ID]],BS!BA:BA,BS!BQ:BQ,_xlfn.XLOOKUP(Buy_unvalid[[#This Row],[DEAL_BUY_ID]],BS!AL:AL,BS!AR:AR,,0),0)*Buy_unvalid[[#This Row],[QUANTITY]]</f>
        <v>8761705506.197691</v>
      </c>
      <c r="BP100" s="534">
        <f>(Buy_unvalid[[#This Row],[Giá MtM]]-10^5)*Buy_unvalid[[#This Row],[QUANTITY]]-Buy_unvalid[[#This Row],[PTCK remain]]</f>
        <v>-5192205506.197691</v>
      </c>
      <c r="BQ100" s="534" t="str">
        <f>IF(AND(Buy_unvalid[[#This Row],[VALUE_DATE]]&lt;=RPT,Buy_unvalid[[#This Row],[TRANSACTION_STATUS]]="N"),"Check","Ok")</f>
        <v>Ok</v>
      </c>
      <c r="BS100" s="128"/>
      <c r="BT100" s="848">
        <v>50405</v>
      </c>
      <c r="BU100" s="849">
        <v>46258</v>
      </c>
      <c r="BV100" s="848">
        <v>50330</v>
      </c>
      <c r="BW100" s="848"/>
      <c r="BX100" s="530">
        <v>190000</v>
      </c>
      <c r="BY100" s="735">
        <f>_xlfn.XLOOKUP(Est_NIM[[#This Row],[DEAL_BUY_ID]],BS!AL:AL,BS!AU:AU,_xlfn.XLOOKUP(Est_NIM[[#This Row],[DEAL_BUY_ID]],BS!BA:BA,BS!BJ:BJ,,0),0)</f>
        <v>4.53</v>
      </c>
      <c r="BZ100" s="534">
        <f>Est_NIM[[#This Row],[QUANT]]*Est_NIM[[#This Row],[YIELD]]</f>
        <v>860700</v>
      </c>
      <c r="CA100" s="128"/>
      <c r="CB100" s="128"/>
      <c r="CE100" s="331"/>
      <c r="CF100" s="331"/>
      <c r="CG100" s="331"/>
      <c r="CH100">
        <v>3730</v>
      </c>
      <c r="CI100">
        <v>14282</v>
      </c>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8"/>
      <c r="DS100" s="128"/>
      <c r="DT100" s="128"/>
      <c r="DU100" s="128"/>
      <c r="DV100" s="128"/>
      <c r="DW100" s="128"/>
      <c r="DX100" s="128"/>
      <c r="DY100" s="128"/>
      <c r="DZ100" s="530"/>
      <c r="EA100" s="530"/>
      <c r="EB100" s="530"/>
      <c r="EC100" s="530"/>
      <c r="ED100" s="530"/>
      <c r="EE100" s="530"/>
      <c r="EF100" s="530"/>
      <c r="EG100" s="530"/>
      <c r="EH100" s="530"/>
      <c r="EI100" s="530"/>
      <c r="EJ100" s="530"/>
      <c r="EK100" s="530"/>
      <c r="EL100" s="530"/>
      <c r="EM100" s="530"/>
      <c r="EN100" s="530"/>
      <c r="EO100" s="530"/>
      <c r="EP100" s="530"/>
      <c r="EQ100" s="530"/>
      <c r="ER100" s="530"/>
      <c r="ES100" s="530"/>
      <c r="ET100" s="530"/>
      <c r="EU100" s="530"/>
      <c r="EV100" s="530"/>
      <c r="EW100" s="530"/>
      <c r="EX100" s="530"/>
      <c r="EY100" s="530"/>
      <c r="EZ100" s="530"/>
      <c r="FA100" s="530"/>
      <c r="FB100" s="530"/>
      <c r="FC100" s="530"/>
      <c r="FD100" s="530"/>
      <c r="FE100" s="530"/>
      <c r="FF100" s="530"/>
      <c r="FG100" s="530"/>
      <c r="FH100" s="530"/>
      <c r="FI100" s="530"/>
      <c r="FJ100" s="530"/>
      <c r="FK100" s="530"/>
      <c r="FL100" s="530"/>
      <c r="FM100" s="530"/>
      <c r="FN100" s="530"/>
      <c r="FO100" s="530"/>
      <c r="FP100" s="530"/>
      <c r="FQ100" s="530"/>
      <c r="GL100" s="128"/>
      <c r="GM100" s="128"/>
      <c r="GN100" s="128"/>
      <c r="GO100" s="128"/>
      <c r="GP100" s="128"/>
      <c r="GQ100" s="128"/>
      <c r="GR100" s="128"/>
      <c r="GS100" s="128"/>
      <c r="GT100" s="128"/>
      <c r="GU100" s="128"/>
      <c r="GV100" s="128"/>
      <c r="GW100" s="128"/>
      <c r="GX100" s="128"/>
      <c r="GY100" s="128"/>
      <c r="GZ100" s="128"/>
      <c r="HA100" s="128"/>
      <c r="HB100" s="128"/>
      <c r="HC100" s="128"/>
      <c r="HD100" s="128"/>
      <c r="HE100" s="128"/>
      <c r="HF100" s="128"/>
      <c r="HG100" s="128"/>
      <c r="HH100" s="128"/>
      <c r="HI100" s="128"/>
      <c r="HJ100" s="128"/>
      <c r="HK100" s="128"/>
      <c r="HL100" s="128"/>
      <c r="HM100" s="128"/>
      <c r="HN100" s="128"/>
      <c r="HO100" s="128"/>
      <c r="HP100" s="128"/>
      <c r="HQ100" s="128"/>
      <c r="HR100" s="128"/>
      <c r="HS100" s="128"/>
      <c r="HT100" s="128"/>
      <c r="HU100" s="128"/>
      <c r="HV100" s="128"/>
      <c r="HW100" s="128"/>
      <c r="HX100" s="128"/>
      <c r="HY100" s="128"/>
      <c r="HZ100" s="128"/>
      <c r="IA100" s="128"/>
      <c r="IB100" s="128"/>
      <c r="IC100" s="128"/>
    </row>
    <row r="101" spans="41:237" x14ac:dyDescent="0.3">
      <c r="AO101" s="128">
        <v>50383</v>
      </c>
      <c r="AP101" s="128" t="s">
        <v>636</v>
      </c>
      <c r="AQ101" s="128" t="s">
        <v>824</v>
      </c>
      <c r="AR101" s="128" t="s">
        <v>3594</v>
      </c>
      <c r="AS101" s="375">
        <v>46246</v>
      </c>
      <c r="AT101" s="375">
        <v>46248</v>
      </c>
      <c r="AU101" s="530">
        <v>91623</v>
      </c>
      <c r="AV101" s="128">
        <v>50286</v>
      </c>
      <c r="AW101" s="530">
        <v>1000000</v>
      </c>
      <c r="AX101" s="534">
        <f>_xlfn.XLOOKUP(Sell_unvalid[[#This Row],[DEAL_BUY_ID]],BS!BA:BA,BS!BE:BE,,0)</f>
        <v>91606</v>
      </c>
      <c r="AY101" s="534">
        <f>_xlfn.XLOOKUP(Sell_unvalid[[#This Row],[BOND_CODE]],FNRP!D:D,FNRP!I:I,_xlfn.XLOOKUP(Sell_unvalid[[#This Row],[BOND_CODE]],FNRP!AV:AV,FNRP!BA:BA,,0),0)</f>
        <v>92544</v>
      </c>
      <c r="AZ101" s="534">
        <f>_xlfn.XLOOKUP(Sell_unvalid[[#This Row],[DEAL_BUY_ID]],BS!BA:BA,BS!BQ:BQ,,0)*Sell_unvalid[[#This Row],[QUANTITY]]</f>
        <v>-8331479857.6897449</v>
      </c>
      <c r="BA101" s="534">
        <f>(Sell_unvalid[[#This Row],[Giá MtM]]-10^5)*Sell_unvalid[[#This Row],[QUANTITY]]-Sell_unvalid[[#This Row],[PTCK remain]]</f>
        <v>875479857.68974495</v>
      </c>
      <c r="BB101" s="534">
        <f>(Sell_unvalid[[#This Row],[PRICE]]-10^5)*Sell_unvalid[[#This Row],[QUANTITY]]-Sell_unvalid[[#This Row],[PTCK remain]]</f>
        <v>-45520142.310255051</v>
      </c>
      <c r="BC101" s="534" t="str">
        <f>IF(AND(Sell_unvalid[[#This Row],[VALUE_DATE]]&lt;=RPT,Sell_unvalid[[#This Row],[TRANSACTION_STATUS]]="N"),"Check","Ok")</f>
        <v>Ok</v>
      </c>
      <c r="BD101" s="534"/>
      <c r="BE101" s="615"/>
      <c r="BF101" s="128">
        <v>50282</v>
      </c>
      <c r="BG101" s="128" t="s">
        <v>729</v>
      </c>
      <c r="BH101" s="128" t="s">
        <v>824</v>
      </c>
      <c r="BI101" s="128" t="s">
        <v>3594</v>
      </c>
      <c r="BJ101" s="375">
        <v>46238</v>
      </c>
      <c r="BK101" s="375">
        <v>46241</v>
      </c>
      <c r="BL101" s="128">
        <v>250000</v>
      </c>
      <c r="BM101" s="128">
        <v>107681</v>
      </c>
      <c r="BN101" s="534">
        <f>_xlfn.XLOOKUP(Buy_unvalid[[#This Row],[BOND_CODE]],FNRP!D:D,FNRP!I:I,,0)</f>
        <v>107139</v>
      </c>
      <c r="BO101" s="534">
        <f>_xlfn.XLOOKUP(Buy_unvalid[[#This Row],[DEAL_BUY_ID]],BS!BA:BA,BS!BQ:BQ,_xlfn.XLOOKUP(Buy_unvalid[[#This Row],[DEAL_BUY_ID]],BS!AL:AL,BS!AR:AR,,0),0)*Buy_unvalid[[#This Row],[QUANTITY]]</f>
        <v>1917605415.5056615</v>
      </c>
      <c r="BP101" s="534">
        <f>(Buy_unvalid[[#This Row],[Giá MtM]]-10^5)*Buy_unvalid[[#This Row],[QUANTITY]]-Buy_unvalid[[#This Row],[PTCK remain]]</f>
        <v>-132855415.50566149</v>
      </c>
      <c r="BQ101" s="534" t="str">
        <f>IF(AND(Buy_unvalid[[#This Row],[VALUE_DATE]]&lt;=RPT,Buy_unvalid[[#This Row],[TRANSACTION_STATUS]]="N"),"Check","Ok")</f>
        <v>Ok</v>
      </c>
      <c r="BS101" s="128"/>
      <c r="BT101" s="848">
        <v>50447</v>
      </c>
      <c r="BU101" s="849">
        <v>46268</v>
      </c>
      <c r="BV101" s="848">
        <v>50400</v>
      </c>
      <c r="BW101" s="848"/>
      <c r="BX101" s="530">
        <v>560000</v>
      </c>
      <c r="BY101" s="735">
        <f>_xlfn.XLOOKUP(Est_NIM[[#This Row],[DEAL_BUY_ID]],BS!AL:AL,BS!AU:AU,_xlfn.XLOOKUP(Est_NIM[[#This Row],[DEAL_BUY_ID]],BS!BA:BA,BS!BJ:BJ,,0),0)</f>
        <v>7.75</v>
      </c>
      <c r="BZ101" s="534">
        <f>Est_NIM[[#This Row],[QUANT]]*Est_NIM[[#This Row],[YIELD]]</f>
        <v>4340000</v>
      </c>
      <c r="CA101" s="128"/>
      <c r="CB101" s="128"/>
      <c r="CE101" s="331"/>
      <c r="CF101" s="331"/>
      <c r="CG101" s="331"/>
      <c r="CH101">
        <v>3730</v>
      </c>
      <c r="CI101">
        <v>14282</v>
      </c>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8"/>
      <c r="DS101" s="128"/>
      <c r="DT101" s="128"/>
      <c r="DU101" s="128"/>
      <c r="DV101" s="128"/>
      <c r="DW101" s="128"/>
      <c r="DX101" s="128"/>
      <c r="DY101" s="128"/>
      <c r="DZ101" s="530"/>
      <c r="EA101" s="530"/>
      <c r="EB101" s="530"/>
      <c r="EC101" s="530"/>
      <c r="ED101" s="530"/>
      <c r="EE101" s="530"/>
      <c r="EF101" s="530"/>
      <c r="EG101" s="530"/>
      <c r="EH101" s="530"/>
      <c r="EI101" s="530"/>
      <c r="EJ101" s="530"/>
      <c r="EK101" s="530"/>
      <c r="EL101" s="530"/>
      <c r="EM101" s="530"/>
      <c r="EN101" s="530"/>
      <c r="EO101" s="530"/>
      <c r="EP101" s="530"/>
      <c r="EQ101" s="530"/>
      <c r="ER101" s="530"/>
      <c r="ES101" s="530"/>
      <c r="ET101" s="530"/>
      <c r="EU101" s="530"/>
      <c r="EV101" s="530"/>
      <c r="EW101" s="530"/>
      <c r="EX101" s="530"/>
      <c r="EY101" s="530"/>
      <c r="EZ101" s="530"/>
      <c r="FA101" s="530"/>
      <c r="FB101" s="530"/>
      <c r="FC101" s="530"/>
      <c r="FD101" s="530"/>
      <c r="FE101" s="530"/>
      <c r="FF101" s="530"/>
      <c r="FG101" s="530"/>
      <c r="FH101" s="530"/>
      <c r="FI101" s="530"/>
      <c r="FJ101" s="530"/>
      <c r="FK101" s="530"/>
      <c r="FL101" s="530"/>
      <c r="FM101" s="530"/>
      <c r="FN101" s="530"/>
      <c r="FO101" s="530"/>
      <c r="FP101" s="530"/>
      <c r="FQ101" s="530"/>
      <c r="GL101" s="128"/>
      <c r="GM101" s="128"/>
      <c r="GN101" s="128"/>
      <c r="GO101" s="128"/>
      <c r="GP101" s="128"/>
      <c r="GQ101" s="128"/>
      <c r="GR101" s="128"/>
      <c r="GS101" s="128"/>
      <c r="GT101" s="128"/>
      <c r="GU101" s="128"/>
      <c r="GV101" s="128"/>
      <c r="GW101" s="128"/>
      <c r="GX101" s="128"/>
      <c r="GY101" s="128"/>
      <c r="GZ101" s="128"/>
      <c r="HA101" s="128"/>
      <c r="HB101" s="128"/>
      <c r="HC101" s="128"/>
      <c r="HD101" s="128"/>
      <c r="HE101" s="128"/>
      <c r="HF101" s="128"/>
      <c r="HG101" s="128"/>
      <c r="HH101" s="128"/>
      <c r="HI101" s="128"/>
      <c r="HJ101" s="128"/>
      <c r="HK101" s="128"/>
      <c r="HL101" s="128"/>
      <c r="HM101" s="128"/>
      <c r="HN101" s="128"/>
      <c r="HO101" s="128"/>
      <c r="HP101" s="128"/>
      <c r="HQ101" s="128"/>
      <c r="HR101" s="128"/>
      <c r="HS101" s="128"/>
      <c r="HT101" s="128"/>
      <c r="HU101" s="128"/>
      <c r="HV101" s="128"/>
      <c r="HW101" s="128"/>
      <c r="HX101" s="128"/>
      <c r="HY101" s="128"/>
      <c r="HZ101" s="128"/>
      <c r="IA101" s="128"/>
      <c r="IB101" s="128"/>
      <c r="IC101" s="128"/>
    </row>
    <row r="102" spans="41:237" x14ac:dyDescent="0.3">
      <c r="AO102" s="128">
        <v>50401</v>
      </c>
      <c r="AP102" s="128" t="s">
        <v>636</v>
      </c>
      <c r="AQ102" s="128" t="s">
        <v>824</v>
      </c>
      <c r="AR102" s="128" t="s">
        <v>3594</v>
      </c>
      <c r="AS102" s="375">
        <v>46247</v>
      </c>
      <c r="AT102" s="375">
        <v>46254</v>
      </c>
      <c r="AU102" s="530">
        <v>91206</v>
      </c>
      <c r="AV102" s="128">
        <v>50384</v>
      </c>
      <c r="AW102" s="530">
        <v>1000000</v>
      </c>
      <c r="AX102" s="534">
        <f>_xlfn.XLOOKUP(Sell_unvalid[[#This Row],[DEAL_BUY_ID]],BS!BA:BA,BS!BE:BE,,0)</f>
        <v>91637</v>
      </c>
      <c r="AY102" s="534">
        <f>_xlfn.XLOOKUP(Sell_unvalid[[#This Row],[BOND_CODE]],FNRP!D:D,FNRP!I:I,_xlfn.XLOOKUP(Sell_unvalid[[#This Row],[BOND_CODE]],FNRP!AV:AV,FNRP!BA:BA,,0),0)</f>
        <v>92544</v>
      </c>
      <c r="AZ102" s="534">
        <f>_xlfn.XLOOKUP(Sell_unvalid[[#This Row],[DEAL_BUY_ID]],BS!BA:BA,BS!BQ:BQ,,0)*Sell_unvalid[[#This Row],[QUANTITY]]</f>
        <v>-8352508175.8118429</v>
      </c>
      <c r="BA102" s="534">
        <f>(Sell_unvalid[[#This Row],[Giá MtM]]-10^5)*Sell_unvalid[[#This Row],[QUANTITY]]-Sell_unvalid[[#This Row],[PTCK remain]]</f>
        <v>896508175.81184292</v>
      </c>
      <c r="BB102" s="534">
        <f>(Sell_unvalid[[#This Row],[PRICE]]-10^5)*Sell_unvalid[[#This Row],[QUANTITY]]-Sell_unvalid[[#This Row],[PTCK remain]]</f>
        <v>-441491824.18815708</v>
      </c>
      <c r="BC102" s="534" t="str">
        <f>IF(AND(Sell_unvalid[[#This Row],[VALUE_DATE]]&lt;=RPT,Sell_unvalid[[#This Row],[TRANSACTION_STATUS]]="N"),"Check","Ok")</f>
        <v>Ok</v>
      </c>
      <c r="BD102" s="534"/>
      <c r="BE102" s="615"/>
      <c r="BF102" s="128">
        <v>50430</v>
      </c>
      <c r="BG102" s="128" t="s">
        <v>2497</v>
      </c>
      <c r="BH102" s="128" t="s">
        <v>824</v>
      </c>
      <c r="BI102" s="128" t="s">
        <v>2234</v>
      </c>
      <c r="BJ102" s="375">
        <v>46251</v>
      </c>
      <c r="BK102" s="375">
        <v>46262</v>
      </c>
      <c r="BL102" s="128">
        <v>800000</v>
      </c>
      <c r="BM102" s="128">
        <v>99979</v>
      </c>
      <c r="BN102" s="534">
        <f>_xlfn.XLOOKUP(Buy_unvalid[[#This Row],[BOND_CODE]],FNRP!D:D,FNRP!I:I,,0)</f>
        <v>92330</v>
      </c>
      <c r="BO102" s="534">
        <f>_xlfn.XLOOKUP(Buy_unvalid[[#This Row],[DEAL_BUY_ID]],BS!BA:BA,BS!BQ:BQ,_xlfn.XLOOKUP(Buy_unvalid[[#This Row],[DEAL_BUY_ID]],BS!AL:AL,BS!AR:AR,,0),0)*Buy_unvalid[[#This Row],[QUANTITY]]</f>
        <v>-16881395.611468397</v>
      </c>
      <c r="BP102" s="534">
        <f>(Buy_unvalid[[#This Row],[Giá MtM]]-10^5)*Buy_unvalid[[#This Row],[QUANTITY]]-Buy_unvalid[[#This Row],[PTCK remain]]</f>
        <v>-6119118604.3885317</v>
      </c>
      <c r="BQ102" s="534" t="str">
        <f>IF(AND(Buy_unvalid[[#This Row],[VALUE_DATE]]&lt;=RPT,Buy_unvalid[[#This Row],[TRANSACTION_STATUS]]="N"),"Check","Ok")</f>
        <v>Ok</v>
      </c>
      <c r="BS102" s="128"/>
      <c r="BT102" s="848">
        <v>50172</v>
      </c>
      <c r="BU102" s="849">
        <v>46378</v>
      </c>
      <c r="BV102" s="848">
        <v>50170</v>
      </c>
      <c r="BW102" s="848"/>
      <c r="BX102" s="530">
        <v>5000000</v>
      </c>
      <c r="BY102" s="735">
        <f>_xlfn.XLOOKUP(Est_NIM[[#This Row],[DEAL_BUY_ID]],BS!AL:AL,BS!AU:AU,_xlfn.XLOOKUP(Est_NIM[[#This Row],[DEAL_BUY_ID]],BS!BA:BA,BS!BJ:BJ,,0),0)</f>
        <v>4.75</v>
      </c>
      <c r="BZ102" s="534">
        <f>Est_NIM[[#This Row],[QUANT]]*Est_NIM[[#This Row],[YIELD]]</f>
        <v>23750000</v>
      </c>
      <c r="CA102" s="128"/>
      <c r="CB102" s="128"/>
      <c r="CE102" s="331"/>
      <c r="CF102" s="331"/>
      <c r="CG102" s="331"/>
      <c r="CH102">
        <v>3730</v>
      </c>
      <c r="CI102">
        <v>14282</v>
      </c>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8"/>
      <c r="DS102" s="128"/>
      <c r="DT102" s="128"/>
      <c r="DU102" s="128"/>
      <c r="DV102" s="128"/>
      <c r="DW102" s="128"/>
      <c r="DX102" s="128"/>
      <c r="DY102" s="128"/>
      <c r="DZ102" s="530"/>
      <c r="EA102" s="530"/>
      <c r="EB102" s="530"/>
      <c r="EC102" s="530"/>
      <c r="ED102" s="530"/>
      <c r="EE102" s="530"/>
      <c r="EF102" s="530"/>
      <c r="EG102" s="530"/>
      <c r="EH102" s="530"/>
      <c r="EI102" s="530"/>
      <c r="EJ102" s="530"/>
      <c r="EK102" s="530"/>
      <c r="EL102" s="530"/>
      <c r="EM102" s="530"/>
      <c r="EN102" s="530"/>
      <c r="EO102" s="530"/>
      <c r="EP102" s="530"/>
      <c r="EQ102" s="530"/>
      <c r="ER102" s="530"/>
      <c r="ES102" s="530"/>
      <c r="ET102" s="530"/>
      <c r="EU102" s="530"/>
      <c r="EV102" s="530"/>
      <c r="EW102" s="530"/>
      <c r="EX102" s="530"/>
      <c r="EY102" s="530"/>
      <c r="EZ102" s="530"/>
      <c r="FA102" s="530"/>
      <c r="FB102" s="530"/>
      <c r="FC102" s="530"/>
      <c r="FD102" s="530"/>
      <c r="FE102" s="530"/>
      <c r="FF102" s="530"/>
      <c r="FG102" s="530"/>
      <c r="FH102" s="530"/>
      <c r="FI102" s="530"/>
      <c r="FJ102" s="530"/>
      <c r="FK102" s="530"/>
      <c r="FL102" s="530"/>
      <c r="FM102" s="530"/>
      <c r="FN102" s="530"/>
      <c r="FO102" s="530"/>
      <c r="FP102" s="530"/>
      <c r="FQ102" s="530"/>
      <c r="GL102" s="128"/>
      <c r="GM102" s="128"/>
      <c r="GN102" s="128"/>
      <c r="GO102" s="128"/>
      <c r="GP102" s="128"/>
      <c r="GQ102" s="128"/>
      <c r="GR102" s="128"/>
      <c r="GS102" s="128"/>
      <c r="GT102" s="128"/>
      <c r="GU102" s="128"/>
      <c r="GV102" s="128"/>
      <c r="GW102" s="128"/>
      <c r="GX102" s="128"/>
      <c r="GY102" s="128"/>
      <c r="GZ102" s="128"/>
      <c r="HA102" s="128"/>
      <c r="HB102" s="128"/>
      <c r="HC102" s="128"/>
      <c r="HD102" s="128"/>
      <c r="HE102" s="128"/>
      <c r="HF102" s="128"/>
      <c r="HG102" s="128"/>
      <c r="HH102" s="128"/>
      <c r="HI102" s="128"/>
      <c r="HJ102" s="128"/>
      <c r="HK102" s="128"/>
      <c r="HL102" s="128"/>
      <c r="HM102" s="128"/>
      <c r="HN102" s="128"/>
      <c r="HO102" s="128"/>
      <c r="HP102" s="128"/>
      <c r="HQ102" s="128"/>
      <c r="HR102" s="128"/>
      <c r="HS102" s="128"/>
      <c r="HT102" s="128"/>
      <c r="HU102" s="128"/>
      <c r="HV102" s="128"/>
      <c r="HW102" s="128"/>
      <c r="HX102" s="128"/>
      <c r="HY102" s="128"/>
      <c r="HZ102" s="128"/>
      <c r="IA102" s="128"/>
      <c r="IB102" s="128"/>
      <c r="IC102" s="128"/>
    </row>
    <row r="103" spans="41:237" x14ac:dyDescent="0.3">
      <c r="AO103" s="128">
        <v>50425</v>
      </c>
      <c r="AP103" s="128" t="s">
        <v>636</v>
      </c>
      <c r="AQ103" s="128" t="s">
        <v>824</v>
      </c>
      <c r="AR103" s="128" t="s">
        <v>2234</v>
      </c>
      <c r="AS103" s="375">
        <v>46251</v>
      </c>
      <c r="AT103" s="375">
        <v>46255</v>
      </c>
      <c r="AU103" s="530">
        <v>96621</v>
      </c>
      <c r="AV103" s="128">
        <v>49700</v>
      </c>
      <c r="AW103" s="530">
        <v>1000000</v>
      </c>
      <c r="AX103" s="534">
        <f>_xlfn.XLOOKUP(Sell_unvalid[[#This Row],[DEAL_BUY_ID]],BS!BA:BA,BS!BE:BE,,0)</f>
        <v>96414</v>
      </c>
      <c r="AY103" s="534">
        <f>_xlfn.XLOOKUP(Sell_unvalid[[#This Row],[BOND_CODE]],FNRP!D:D,FNRP!I:I,_xlfn.XLOOKUP(Sell_unvalid[[#This Row],[BOND_CODE]],FNRP!AV:AV,FNRP!BA:BA,,0),0)</f>
        <v>92544</v>
      </c>
      <c r="AZ103" s="534">
        <f>_xlfn.XLOOKUP(Sell_unvalid[[#This Row],[DEAL_BUY_ID]],BS!BA:BA,BS!BQ:BQ,,0)*Sell_unvalid[[#This Row],[QUANTITY]]</f>
        <v>-3370369374.9199829</v>
      </c>
      <c r="BA103" s="534">
        <f>(Sell_unvalid[[#This Row],[Giá MtM]]-10^5)*Sell_unvalid[[#This Row],[QUANTITY]]-Sell_unvalid[[#This Row],[PTCK remain]]</f>
        <v>-4085630625.0800171</v>
      </c>
      <c r="BB103" s="534">
        <f>(Sell_unvalid[[#This Row],[PRICE]]-10^5)*Sell_unvalid[[#This Row],[QUANTITY]]-Sell_unvalid[[#This Row],[PTCK remain]]</f>
        <v>-8630625.0800170898</v>
      </c>
      <c r="BC103" s="534" t="str">
        <f>IF(AND(Sell_unvalid[[#This Row],[VALUE_DATE]]&lt;=RPT,Sell_unvalid[[#This Row],[TRANSACTION_STATUS]]="N"),"Check","Ok")</f>
        <v>Ok</v>
      </c>
      <c r="BD103" s="534"/>
      <c r="BE103" s="615"/>
      <c r="BF103" s="128">
        <v>50426</v>
      </c>
      <c r="BG103" s="128" t="s">
        <v>636</v>
      </c>
      <c r="BH103" s="128" t="s">
        <v>824</v>
      </c>
      <c r="BI103" s="128" t="s">
        <v>2234</v>
      </c>
      <c r="BJ103" s="375">
        <v>46251</v>
      </c>
      <c r="BK103" s="375">
        <v>46262</v>
      </c>
      <c r="BL103" s="128">
        <v>1000000</v>
      </c>
      <c r="BM103" s="128">
        <v>96635</v>
      </c>
      <c r="BN103" s="534">
        <f>_xlfn.XLOOKUP(Buy_unvalid[[#This Row],[BOND_CODE]],FNRP!D:D,FNRP!I:I,,0)</f>
        <v>92544</v>
      </c>
      <c r="BO103" s="534">
        <f>_xlfn.XLOOKUP(Buy_unvalid[[#This Row],[DEAL_BUY_ID]],BS!BA:BA,BS!BQ:BQ,_xlfn.XLOOKUP(Buy_unvalid[[#This Row],[DEAL_BUY_ID]],BS!AL:AL,BS!AR:AR,,0),0)*Buy_unvalid[[#This Row],[QUANTITY]]</f>
        <v>-3384120984.5890384</v>
      </c>
      <c r="BP103" s="534">
        <f>(Buy_unvalid[[#This Row],[Giá MtM]]-10^5)*Buy_unvalid[[#This Row],[QUANTITY]]-Buy_unvalid[[#This Row],[PTCK remain]]</f>
        <v>-4071879015.4109616</v>
      </c>
      <c r="BQ103" s="534" t="str">
        <f>IF(AND(Buy_unvalid[[#This Row],[VALUE_DATE]]&lt;=RPT,Buy_unvalid[[#This Row],[TRANSACTION_STATUS]]="N"),"Check","Ok")</f>
        <v>Ok</v>
      </c>
      <c r="BS103" s="128"/>
      <c r="BT103" s="848">
        <v>50173</v>
      </c>
      <c r="BU103" s="849">
        <v>46378</v>
      </c>
      <c r="BV103" s="848">
        <v>50171</v>
      </c>
      <c r="BW103" s="848"/>
      <c r="BX103" s="530">
        <v>8800000</v>
      </c>
      <c r="BY103" s="735">
        <f>_xlfn.XLOOKUP(Est_NIM[[#This Row],[DEAL_BUY_ID]],BS!AL:AL,BS!AU:AU,_xlfn.XLOOKUP(Est_NIM[[#This Row],[DEAL_BUY_ID]],BS!BA:BA,BS!BJ:BJ,,0),0)</f>
        <v>4.75</v>
      </c>
      <c r="BZ103" s="534">
        <f>Est_NIM[[#This Row],[QUANT]]*Est_NIM[[#This Row],[YIELD]]</f>
        <v>41800000</v>
      </c>
      <c r="CA103" s="128"/>
      <c r="CB103" s="128"/>
      <c r="CE103" s="331"/>
      <c r="CF103" s="331"/>
      <c r="CG103" s="331"/>
      <c r="CH103">
        <v>3730</v>
      </c>
      <c r="CI103">
        <v>14282</v>
      </c>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8"/>
      <c r="DS103" s="128"/>
      <c r="DT103" s="128"/>
      <c r="DU103" s="128"/>
      <c r="DV103" s="128"/>
      <c r="DW103" s="128"/>
      <c r="DX103" s="128"/>
      <c r="DY103" s="128"/>
      <c r="DZ103" s="530"/>
      <c r="EA103" s="530"/>
      <c r="EB103" s="530"/>
      <c r="EC103" s="530"/>
      <c r="ED103" s="530"/>
      <c r="EE103" s="530"/>
      <c r="EF103" s="530"/>
      <c r="EG103" s="530"/>
      <c r="EH103" s="530"/>
      <c r="EI103" s="530"/>
      <c r="EJ103" s="530"/>
      <c r="EK103" s="530"/>
      <c r="EL103" s="530"/>
      <c r="EM103" s="530"/>
      <c r="EN103" s="530"/>
      <c r="EO103" s="530"/>
      <c r="EP103" s="530"/>
      <c r="EQ103" s="530"/>
      <c r="ER103" s="530"/>
      <c r="ES103" s="530"/>
      <c r="ET103" s="530"/>
      <c r="EU103" s="530"/>
      <c r="EV103" s="530"/>
      <c r="EW103" s="530"/>
      <c r="EX103" s="530"/>
      <c r="EY103" s="530"/>
      <c r="EZ103" s="530"/>
      <c r="FA103" s="530"/>
      <c r="FB103" s="530"/>
      <c r="FC103" s="530"/>
      <c r="FD103" s="530"/>
      <c r="FE103" s="530"/>
      <c r="FF103" s="530"/>
      <c r="FG103" s="530"/>
      <c r="FH103" s="530"/>
      <c r="FI103" s="530"/>
      <c r="FJ103" s="530"/>
      <c r="FK103" s="530"/>
      <c r="FL103" s="530"/>
      <c r="FM103" s="530"/>
      <c r="FN103" s="530"/>
      <c r="FO103" s="530"/>
      <c r="FP103" s="530"/>
      <c r="FQ103" s="530"/>
      <c r="GL103" s="128"/>
      <c r="GM103" s="128"/>
      <c r="GN103" s="128"/>
      <c r="GO103" s="128"/>
      <c r="GP103" s="128"/>
      <c r="GQ103" s="128"/>
      <c r="GR103" s="128"/>
      <c r="GS103" s="128"/>
      <c r="GT103" s="128"/>
      <c r="GU103" s="128"/>
      <c r="GV103" s="128"/>
      <c r="GW103" s="128"/>
      <c r="GX103" s="128"/>
      <c r="GY103" s="128"/>
      <c r="GZ103" s="128"/>
      <c r="HA103" s="128"/>
      <c r="HB103" s="128"/>
      <c r="HC103" s="128"/>
      <c r="HD103" s="128"/>
      <c r="HE103" s="128"/>
      <c r="HF103" s="128"/>
      <c r="HG103" s="128"/>
      <c r="HH103" s="128"/>
      <c r="HI103" s="128"/>
      <c r="HJ103" s="128"/>
      <c r="HK103" s="128"/>
      <c r="HL103" s="128"/>
      <c r="HM103" s="128"/>
      <c r="HN103" s="128"/>
      <c r="HO103" s="128"/>
      <c r="HP103" s="128"/>
      <c r="HQ103" s="128"/>
      <c r="HR103" s="128"/>
      <c r="HS103" s="128"/>
      <c r="HT103" s="128"/>
      <c r="HU103" s="128"/>
      <c r="HV103" s="128"/>
      <c r="HW103" s="128"/>
      <c r="HX103" s="128"/>
      <c r="HY103" s="128"/>
      <c r="HZ103" s="128"/>
      <c r="IA103" s="128"/>
      <c r="IB103" s="128"/>
      <c r="IC103" s="128"/>
    </row>
    <row r="104" spans="41:237" x14ac:dyDescent="0.3">
      <c r="AO104" s="128">
        <v>50333</v>
      </c>
      <c r="AP104" s="128" t="s">
        <v>702</v>
      </c>
      <c r="AQ104" s="128" t="s">
        <v>824</v>
      </c>
      <c r="AR104" s="128" t="s">
        <v>3594</v>
      </c>
      <c r="AS104" s="375">
        <v>46245</v>
      </c>
      <c r="AT104" s="375">
        <v>46598</v>
      </c>
      <c r="AU104" s="530">
        <v>85323</v>
      </c>
      <c r="AV104" s="128">
        <v>50424</v>
      </c>
      <c r="AW104" s="530">
        <v>500000</v>
      </c>
      <c r="AX104" s="534">
        <f>_xlfn.XLOOKUP(Sell_unvalid[[#This Row],[DEAL_BUY_ID]],BS!BA:BA,BS!BE:BE,,0)</f>
        <v>82770</v>
      </c>
      <c r="AY104" s="534">
        <f>_xlfn.XLOOKUP(Sell_unvalid[[#This Row],[BOND_CODE]],FNRP!D:D,FNRP!I:I,_xlfn.XLOOKUP(Sell_unvalid[[#This Row],[BOND_CODE]],FNRP!AV:AV,FNRP!BA:BA,,0),0)</f>
        <v>82987</v>
      </c>
      <c r="AZ104" s="534">
        <f>_xlfn.XLOOKUP(Sell_unvalid[[#This Row],[DEAL_BUY_ID]],BS!BA:BA,BS!BQ:BQ,,0)*Sell_unvalid[[#This Row],[QUANTITY]]</f>
        <v>-8636229132.8469582</v>
      </c>
      <c r="BA104" s="534">
        <f>(Sell_unvalid[[#This Row],[Giá MtM]]-10^5)*Sell_unvalid[[#This Row],[QUANTITY]]-Sell_unvalid[[#This Row],[PTCK remain]]</f>
        <v>129729132.84695816</v>
      </c>
      <c r="BB104" s="534">
        <f>(Sell_unvalid[[#This Row],[PRICE]]-10^5)*Sell_unvalid[[#This Row],[QUANTITY]]-Sell_unvalid[[#This Row],[PTCK remain]]</f>
        <v>1297729132.8469582</v>
      </c>
      <c r="BC104" s="534" t="str">
        <f>IF(AND(Sell_unvalid[[#This Row],[VALUE_DATE]]&lt;=RPT,Sell_unvalid[[#This Row],[TRANSACTION_STATUS]]="N"),"Check","Ok")</f>
        <v>Ok</v>
      </c>
      <c r="BD104" s="534"/>
      <c r="BE104" s="615"/>
      <c r="BF104" s="128">
        <v>50424</v>
      </c>
      <c r="BG104" s="128" t="s">
        <v>702</v>
      </c>
      <c r="BH104" s="128" t="s">
        <v>824</v>
      </c>
      <c r="BI104" s="128" t="s">
        <v>2234</v>
      </c>
      <c r="BJ104" s="375">
        <v>46251</v>
      </c>
      <c r="BK104" s="375">
        <v>46262</v>
      </c>
      <c r="BL104" s="128">
        <v>500000</v>
      </c>
      <c r="BM104" s="128">
        <v>82770</v>
      </c>
      <c r="BN104" s="534">
        <f>_xlfn.XLOOKUP(Buy_unvalid[[#This Row],[BOND_CODE]],FNRP!D:D,FNRP!I:I,,0)</f>
        <v>82987</v>
      </c>
      <c r="BO104" s="534">
        <f>_xlfn.XLOOKUP(Buy_unvalid[[#This Row],[DEAL_BUY_ID]],BS!BA:BA,BS!BQ:BQ,_xlfn.XLOOKUP(Buy_unvalid[[#This Row],[DEAL_BUY_ID]],BS!AL:AL,BS!AR:AR,,0),0)*Buy_unvalid[[#This Row],[QUANTITY]]</f>
        <v>-8636229132.8469582</v>
      </c>
      <c r="BP104" s="534">
        <f>(Buy_unvalid[[#This Row],[Giá MtM]]-10^5)*Buy_unvalid[[#This Row],[QUANTITY]]-Buy_unvalid[[#This Row],[PTCK remain]]</f>
        <v>129729132.84695816</v>
      </c>
      <c r="BQ104" s="534" t="str">
        <f>IF(AND(Buy_unvalid[[#This Row],[VALUE_DATE]]&lt;=RPT,Buy_unvalid[[#This Row],[TRANSACTION_STATUS]]="N"),"Check","Ok")</f>
        <v>Ok</v>
      </c>
      <c r="BS104" s="128"/>
      <c r="BT104" s="848">
        <v>50202</v>
      </c>
      <c r="BU104" s="849">
        <v>46378</v>
      </c>
      <c r="BV104" s="848">
        <v>50200</v>
      </c>
      <c r="BW104" s="848"/>
      <c r="BX104" s="530">
        <v>8000000</v>
      </c>
      <c r="BY104" s="735">
        <f>_xlfn.XLOOKUP(Est_NIM[[#This Row],[DEAL_BUY_ID]],BS!AL:AL,BS!AU:AU,_xlfn.XLOOKUP(Est_NIM[[#This Row],[DEAL_BUY_ID]],BS!BA:BA,BS!BJ:BJ,,0),0)</f>
        <v>4.8</v>
      </c>
      <c r="BZ104" s="534">
        <f>Est_NIM[[#This Row],[QUANT]]*Est_NIM[[#This Row],[YIELD]]</f>
        <v>38400000</v>
      </c>
      <c r="CA104" s="128"/>
      <c r="CB104" s="128"/>
      <c r="CE104" s="331"/>
      <c r="CF104" s="331"/>
      <c r="CG104" s="331"/>
      <c r="CH104">
        <v>3730</v>
      </c>
      <c r="CI104">
        <v>14282</v>
      </c>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8"/>
      <c r="DS104" s="128"/>
      <c r="DT104" s="128"/>
      <c r="DU104" s="128"/>
      <c r="DV104" s="128"/>
      <c r="DW104" s="128"/>
      <c r="DX104" s="128"/>
      <c r="DY104" s="128"/>
      <c r="DZ104" s="530"/>
      <c r="EA104" s="530"/>
      <c r="EB104" s="530"/>
      <c r="EC104" s="530"/>
      <c r="ED104" s="530"/>
      <c r="EE104" s="530"/>
      <c r="EF104" s="530"/>
      <c r="EG104" s="530"/>
      <c r="EH104" s="530"/>
      <c r="EI104" s="530"/>
      <c r="EJ104" s="530"/>
      <c r="EK104" s="530"/>
      <c r="EL104" s="530"/>
      <c r="EM104" s="530"/>
      <c r="EN104" s="530"/>
      <c r="EO104" s="530"/>
      <c r="EP104" s="530"/>
      <c r="EQ104" s="530"/>
      <c r="ER104" s="530"/>
      <c r="ES104" s="530"/>
      <c r="ET104" s="530"/>
      <c r="EU104" s="530"/>
      <c r="EV104" s="530"/>
      <c r="EW104" s="530"/>
      <c r="EX104" s="530"/>
      <c r="EY104" s="530"/>
      <c r="EZ104" s="530"/>
      <c r="FA104" s="530"/>
      <c r="FB104" s="530"/>
      <c r="FC104" s="530"/>
      <c r="FD104" s="530"/>
      <c r="FE104" s="530"/>
      <c r="FF104" s="530"/>
      <c r="FG104" s="530"/>
      <c r="FH104" s="530"/>
      <c r="FI104" s="530"/>
      <c r="FJ104" s="530"/>
      <c r="FK104" s="530"/>
      <c r="FL104" s="530"/>
      <c r="FM104" s="530"/>
      <c r="FN104" s="530"/>
      <c r="FO104" s="530"/>
      <c r="FP104" s="530"/>
      <c r="FQ104" s="530"/>
      <c r="GL104" s="128"/>
      <c r="GM104" s="128"/>
      <c r="GN104" s="128"/>
      <c r="GO104" s="128"/>
      <c r="GP104" s="128"/>
      <c r="GQ104" s="128"/>
      <c r="GR104" s="128"/>
      <c r="GS104" s="128"/>
      <c r="GT104" s="128"/>
      <c r="GU104" s="128"/>
      <c r="GV104" s="128"/>
      <c r="GW104" s="128"/>
      <c r="GX104" s="128"/>
      <c r="GY104" s="128"/>
      <c r="GZ104" s="128"/>
      <c r="HA104" s="128"/>
      <c r="HB104" s="128"/>
      <c r="HC104" s="128"/>
      <c r="HD104" s="128"/>
      <c r="HE104" s="128"/>
      <c r="HF104" s="128"/>
      <c r="HG104" s="128"/>
      <c r="HH104" s="128"/>
      <c r="HI104" s="128"/>
      <c r="HJ104" s="128"/>
      <c r="HK104" s="128"/>
      <c r="HL104" s="128"/>
      <c r="HM104" s="128"/>
      <c r="HN104" s="128"/>
      <c r="HO104" s="128"/>
      <c r="HP104" s="128"/>
      <c r="HQ104" s="128"/>
      <c r="HR104" s="128"/>
      <c r="HS104" s="128"/>
      <c r="HT104" s="128"/>
      <c r="HU104" s="128"/>
      <c r="HV104" s="128"/>
      <c r="HW104" s="128"/>
      <c r="HX104" s="128"/>
      <c r="HY104" s="128"/>
      <c r="HZ104" s="128"/>
      <c r="IA104" s="128"/>
      <c r="IB104" s="128"/>
      <c r="IC104" s="128"/>
    </row>
    <row r="105" spans="41:237" x14ac:dyDescent="0.3">
      <c r="AO105" s="128">
        <v>50381</v>
      </c>
      <c r="AP105" s="128" t="s">
        <v>702</v>
      </c>
      <c r="AQ105" s="128" t="s">
        <v>824</v>
      </c>
      <c r="AR105" s="128" t="s">
        <v>3594</v>
      </c>
      <c r="AS105" s="375">
        <v>46246</v>
      </c>
      <c r="AT105" s="375">
        <v>46248</v>
      </c>
      <c r="AU105" s="530">
        <v>82953</v>
      </c>
      <c r="AV105" s="128">
        <v>50332</v>
      </c>
      <c r="AW105" s="530">
        <v>500000</v>
      </c>
      <c r="AX105" s="534">
        <f>_xlfn.XLOOKUP(Sell_unvalid[[#This Row],[DEAL_BUY_ID]],BS!BA:BA,BS!BE:BE,,0)</f>
        <v>82385</v>
      </c>
      <c r="AY105" s="534">
        <f>_xlfn.XLOOKUP(Sell_unvalid[[#This Row],[BOND_CODE]],FNRP!D:D,FNRP!I:I,_xlfn.XLOOKUP(Sell_unvalid[[#This Row],[BOND_CODE]],FNRP!AV:AV,FNRP!BA:BA,,0),0)</f>
        <v>82987</v>
      </c>
      <c r="AZ105" s="534">
        <f>_xlfn.XLOOKUP(Sell_unvalid[[#This Row],[DEAL_BUY_ID]],BS!BA:BA,BS!BQ:BQ,,0)*Sell_unvalid[[#This Row],[QUANTITY]]</f>
        <v>-8793180284.0252647</v>
      </c>
      <c r="BA105" s="534">
        <f>(Sell_unvalid[[#This Row],[Giá MtM]]-10^5)*Sell_unvalid[[#This Row],[QUANTITY]]-Sell_unvalid[[#This Row],[PTCK remain]]</f>
        <v>286680284.02526474</v>
      </c>
      <c r="BB105" s="534">
        <f>(Sell_unvalid[[#This Row],[PRICE]]-10^5)*Sell_unvalid[[#This Row],[QUANTITY]]-Sell_unvalid[[#This Row],[PTCK remain]]</f>
        <v>269680284.02526474</v>
      </c>
      <c r="BC105" s="534" t="str">
        <f>IF(AND(Sell_unvalid[[#This Row],[VALUE_DATE]]&lt;=RPT,Sell_unvalid[[#This Row],[TRANSACTION_STATUS]]="N"),"Check","Ok")</f>
        <v>Ok</v>
      </c>
      <c r="BD105" s="534"/>
      <c r="BE105" s="615"/>
      <c r="BF105" s="128">
        <v>50428</v>
      </c>
      <c r="BG105" s="128" t="s">
        <v>2831</v>
      </c>
      <c r="BH105" s="128" t="s">
        <v>824</v>
      </c>
      <c r="BI105" s="128" t="s">
        <v>2234</v>
      </c>
      <c r="BJ105" s="375">
        <v>46251</v>
      </c>
      <c r="BK105" s="375">
        <v>46262</v>
      </c>
      <c r="BL105" s="128">
        <v>3000000</v>
      </c>
      <c r="BM105" s="128">
        <v>97727</v>
      </c>
      <c r="BN105" s="534">
        <f>_xlfn.XLOOKUP(Buy_unvalid[[#This Row],[BOND_CODE]],FNRP!D:D,FNRP!I:I,,0)</f>
        <v>89242</v>
      </c>
      <c r="BO105" s="534">
        <f>_xlfn.XLOOKUP(Buy_unvalid[[#This Row],[DEAL_BUY_ID]],BS!BA:BA,BS!BQ:BQ,_xlfn.XLOOKUP(Buy_unvalid[[#This Row],[DEAL_BUY_ID]],BS!AL:AL,BS!AR:AR,,0),0)*Buy_unvalid[[#This Row],[QUANTITY]]</f>
        <v>-6841747806.92276</v>
      </c>
      <c r="BP105" s="534">
        <f>(Buy_unvalid[[#This Row],[Giá MtM]]-10^5)*Buy_unvalid[[#This Row],[QUANTITY]]-Buy_unvalid[[#This Row],[PTCK remain]]</f>
        <v>-25432252193.07724</v>
      </c>
      <c r="BQ105" s="534" t="str">
        <f>IF(AND(Buy_unvalid[[#This Row],[VALUE_DATE]]&lt;=RPT,Buy_unvalid[[#This Row],[TRANSACTION_STATUS]]="N"),"Check","Ok")</f>
        <v>Ok</v>
      </c>
      <c r="BS105" s="128"/>
      <c r="BT105" s="848">
        <v>50203</v>
      </c>
      <c r="BU105" s="849">
        <v>46378</v>
      </c>
      <c r="BV105" s="848">
        <v>50201</v>
      </c>
      <c r="BW105" s="848"/>
      <c r="BX105" s="530">
        <v>8200000</v>
      </c>
      <c r="BY105" s="735">
        <f>_xlfn.XLOOKUP(Est_NIM[[#This Row],[DEAL_BUY_ID]],BS!AL:AL,BS!AU:AU,_xlfn.XLOOKUP(Est_NIM[[#This Row],[DEAL_BUY_ID]],BS!BA:BA,BS!BJ:BJ,,0),0)</f>
        <v>4.8</v>
      </c>
      <c r="BZ105" s="534">
        <f>Est_NIM[[#This Row],[QUANT]]*Est_NIM[[#This Row],[YIELD]]</f>
        <v>39360000</v>
      </c>
      <c r="CA105" s="128"/>
      <c r="CB105" s="128"/>
      <c r="CE105" s="331"/>
      <c r="CF105" s="331"/>
      <c r="CG105" s="331"/>
      <c r="CH105">
        <v>3730</v>
      </c>
      <c r="CI105">
        <v>14282</v>
      </c>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8"/>
      <c r="DS105" s="128"/>
      <c r="DT105" s="128"/>
      <c r="DU105" s="128"/>
      <c r="DV105" s="128"/>
      <c r="DW105" s="128"/>
      <c r="DX105" s="128"/>
      <c r="DY105" s="128"/>
      <c r="DZ105" s="530"/>
      <c r="EA105" s="530"/>
      <c r="EB105" s="530"/>
      <c r="EC105" s="530"/>
      <c r="ED105" s="530"/>
      <c r="EE105" s="530"/>
      <c r="EF105" s="530"/>
      <c r="EG105" s="530"/>
      <c r="EH105" s="530"/>
      <c r="EI105" s="530"/>
      <c r="EJ105" s="530"/>
      <c r="EK105" s="530"/>
      <c r="EL105" s="530"/>
      <c r="EM105" s="530"/>
      <c r="EN105" s="530"/>
      <c r="EO105" s="530"/>
      <c r="EP105" s="530"/>
      <c r="EQ105" s="530"/>
      <c r="ER105" s="530"/>
      <c r="ES105" s="530"/>
      <c r="ET105" s="530"/>
      <c r="EU105" s="530"/>
      <c r="EV105" s="530"/>
      <c r="EW105" s="530"/>
      <c r="EX105" s="530"/>
      <c r="EY105" s="530"/>
      <c r="EZ105" s="530"/>
      <c r="FA105" s="530"/>
      <c r="FB105" s="530"/>
      <c r="FC105" s="530"/>
      <c r="FD105" s="530"/>
      <c r="FE105" s="530"/>
      <c r="FF105" s="530"/>
      <c r="FG105" s="530"/>
      <c r="FH105" s="530"/>
      <c r="FI105" s="530"/>
      <c r="FJ105" s="530"/>
      <c r="FK105" s="530"/>
      <c r="FL105" s="530"/>
      <c r="FM105" s="530"/>
      <c r="FN105" s="530"/>
      <c r="FO105" s="530"/>
      <c r="FP105" s="530"/>
      <c r="FQ105" s="530"/>
      <c r="GL105" s="128"/>
      <c r="GM105" s="128"/>
      <c r="GN105" s="128"/>
      <c r="GO105" s="128"/>
      <c r="GP105" s="128"/>
      <c r="GQ105" s="128"/>
      <c r="GR105" s="128"/>
      <c r="GS105" s="128"/>
      <c r="GT105" s="128"/>
      <c r="GU105" s="128"/>
      <c r="GV105" s="128"/>
      <c r="GW105" s="128"/>
      <c r="GX105" s="128"/>
      <c r="GY105" s="128"/>
      <c r="GZ105" s="128"/>
      <c r="HA105" s="128"/>
      <c r="HB105" s="128"/>
      <c r="HC105" s="128"/>
      <c r="HD105" s="128"/>
      <c r="HE105" s="128"/>
      <c r="HF105" s="128"/>
      <c r="HG105" s="128"/>
      <c r="HH105" s="128"/>
      <c r="HI105" s="128"/>
      <c r="HJ105" s="128"/>
      <c r="HK105" s="128"/>
      <c r="HL105" s="128"/>
      <c r="HM105" s="128"/>
      <c r="HN105" s="128"/>
      <c r="HO105" s="128"/>
      <c r="HP105" s="128"/>
      <c r="HQ105" s="128"/>
      <c r="HR105" s="128"/>
      <c r="HS105" s="128"/>
      <c r="HT105" s="128"/>
      <c r="HU105" s="128"/>
      <c r="HV105" s="128"/>
      <c r="HW105" s="128"/>
      <c r="HX105" s="128"/>
      <c r="HY105" s="128"/>
      <c r="HZ105" s="128"/>
      <c r="IA105" s="128"/>
      <c r="IB105" s="128"/>
      <c r="IC105" s="128"/>
    </row>
    <row r="106" spans="41:237" x14ac:dyDescent="0.3">
      <c r="AO106" s="128">
        <v>50423</v>
      </c>
      <c r="AP106" s="128" t="s">
        <v>702</v>
      </c>
      <c r="AQ106" s="128" t="s">
        <v>824</v>
      </c>
      <c r="AR106" s="128" t="s">
        <v>2234</v>
      </c>
      <c r="AS106" s="375">
        <v>46251</v>
      </c>
      <c r="AT106" s="375">
        <v>46255</v>
      </c>
      <c r="AU106" s="530">
        <v>82744</v>
      </c>
      <c r="AV106" s="128">
        <v>50382</v>
      </c>
      <c r="AW106" s="530">
        <v>500000</v>
      </c>
      <c r="AX106" s="534">
        <f>_xlfn.XLOOKUP(Sell_unvalid[[#This Row],[DEAL_BUY_ID]],BS!BA:BA,BS!BE:BE,,0)</f>
        <v>82729</v>
      </c>
      <c r="AY106" s="534">
        <f>_xlfn.XLOOKUP(Sell_unvalid[[#This Row],[BOND_CODE]],FNRP!D:D,FNRP!I:I,_xlfn.XLOOKUP(Sell_unvalid[[#This Row],[BOND_CODE]],FNRP!AV:AV,FNRP!BA:BA,,0),0)</f>
        <v>82987</v>
      </c>
      <c r="AZ106" s="534">
        <f>_xlfn.XLOOKUP(Sell_unvalid[[#This Row],[DEAL_BUY_ID]],BS!BA:BA,BS!BQ:BQ,,0)*Sell_unvalid[[#This Row],[QUANTITY]]</f>
        <v>-8630519184.8413868</v>
      </c>
      <c r="BA106" s="534">
        <f>(Sell_unvalid[[#This Row],[Giá MtM]]-10^5)*Sell_unvalid[[#This Row],[QUANTITY]]-Sell_unvalid[[#This Row],[PTCK remain]]</f>
        <v>124019184.8413868</v>
      </c>
      <c r="BB106" s="534">
        <f>(Sell_unvalid[[#This Row],[PRICE]]-10^5)*Sell_unvalid[[#This Row],[QUANTITY]]-Sell_unvalid[[#This Row],[PTCK remain]]</f>
        <v>2519184.841386795</v>
      </c>
      <c r="BC106" s="534" t="str">
        <f>IF(AND(Sell_unvalid[[#This Row],[VALUE_DATE]]&lt;=RPT,Sell_unvalid[[#This Row],[TRANSACTION_STATUS]]="N"),"Check","Ok")</f>
        <v>Ok</v>
      </c>
      <c r="BD106" s="534"/>
      <c r="BE106" s="615"/>
      <c r="BF106" s="128">
        <v>50315</v>
      </c>
      <c r="BG106" s="128" t="s">
        <v>729</v>
      </c>
      <c r="BH106" s="128" t="s">
        <v>824</v>
      </c>
      <c r="BI106" s="128" t="s">
        <v>3594</v>
      </c>
      <c r="BJ106" s="375">
        <v>46239</v>
      </c>
      <c r="BK106" s="375">
        <v>46247</v>
      </c>
      <c r="BL106" s="128">
        <v>250000</v>
      </c>
      <c r="BM106" s="128">
        <v>107680</v>
      </c>
      <c r="BN106" s="534">
        <f>_xlfn.XLOOKUP(Buy_unvalid[[#This Row],[BOND_CODE]],FNRP!D:D,FNRP!I:I,,0)</f>
        <v>107139</v>
      </c>
      <c r="BO106" s="534">
        <f>_xlfn.XLOOKUP(Buy_unvalid[[#This Row],[DEAL_BUY_ID]],BS!BA:BA,BS!BQ:BQ,_xlfn.XLOOKUP(Buy_unvalid[[#This Row],[DEAL_BUY_ID]],BS!AL:AL,BS!AR:AR,,0),0)*Buy_unvalid[[#This Row],[QUANTITY]]</f>
        <v>1918598234.7502379</v>
      </c>
      <c r="BP106" s="534">
        <f>(Buy_unvalid[[#This Row],[Giá MtM]]-10^5)*Buy_unvalid[[#This Row],[QUANTITY]]-Buy_unvalid[[#This Row],[PTCK remain]]</f>
        <v>-133848234.75023794</v>
      </c>
      <c r="BQ106" s="534" t="str">
        <f>IF(AND(Buy_unvalid[[#This Row],[VALUE_DATE]]&lt;=RPT,Buy_unvalid[[#This Row],[TRANSACTION_STATUS]]="N"),"Check","Ok")</f>
        <v>Ok</v>
      </c>
      <c r="BS106" s="128"/>
      <c r="BT106" s="848"/>
      <c r="BU106" s="849">
        <v>46259</v>
      </c>
      <c r="BV106" s="848">
        <v>50304</v>
      </c>
      <c r="BW106" s="848"/>
      <c r="BX106" s="530">
        <v>-1000000</v>
      </c>
      <c r="BY106" s="735">
        <f>_xlfn.XLOOKUP(Est_NIM[[#This Row],[DEAL_BUY_ID]],BS!AL:AL,BS!AU:AU,_xlfn.XLOOKUP(Est_NIM[[#This Row],[DEAL_BUY_ID]],BS!BA:BA,BS!BJ:BJ,,0),0)</f>
        <v>2.7</v>
      </c>
      <c r="BZ106" s="534">
        <f>Est_NIM[[#This Row],[QUANT]]*Est_NIM[[#This Row],[YIELD]]</f>
        <v>-2700000</v>
      </c>
      <c r="CA106" s="128"/>
      <c r="CB106" s="128"/>
      <c r="CE106" s="331"/>
      <c r="CF106" s="331"/>
      <c r="CG106" s="331"/>
      <c r="CH106">
        <v>3730</v>
      </c>
      <c r="CI106">
        <v>14282</v>
      </c>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8"/>
      <c r="DS106" s="128"/>
      <c r="DT106" s="128"/>
      <c r="DU106" s="128"/>
      <c r="DV106" s="128"/>
      <c r="DW106" s="128"/>
      <c r="DX106" s="128"/>
      <c r="DY106" s="128"/>
      <c r="DZ106" s="530"/>
      <c r="EA106" s="530"/>
      <c r="EB106" s="530"/>
      <c r="EC106" s="530"/>
      <c r="ED106" s="530"/>
      <c r="EE106" s="530"/>
      <c r="EF106" s="530"/>
      <c r="EG106" s="530"/>
      <c r="EH106" s="530"/>
      <c r="EI106" s="530"/>
      <c r="EJ106" s="530"/>
      <c r="EK106" s="530"/>
      <c r="EL106" s="530"/>
      <c r="EM106" s="530"/>
      <c r="EN106" s="530"/>
      <c r="EO106" s="530"/>
      <c r="EP106" s="530"/>
      <c r="EQ106" s="530"/>
      <c r="ER106" s="530"/>
      <c r="ES106" s="530"/>
      <c r="ET106" s="530"/>
      <c r="EU106" s="530"/>
      <c r="EV106" s="530"/>
      <c r="EW106" s="530"/>
      <c r="EX106" s="530"/>
      <c r="EY106" s="530"/>
      <c r="EZ106" s="530"/>
      <c r="FA106" s="530"/>
      <c r="FB106" s="530"/>
      <c r="FC106" s="530"/>
      <c r="FD106" s="530"/>
      <c r="FE106" s="530"/>
      <c r="FF106" s="530"/>
      <c r="FG106" s="530"/>
      <c r="FH106" s="530"/>
      <c r="FI106" s="530"/>
      <c r="FJ106" s="530"/>
      <c r="FK106" s="530"/>
      <c r="FL106" s="530"/>
      <c r="FM106" s="530"/>
      <c r="FN106" s="530"/>
      <c r="FO106" s="530"/>
      <c r="FP106" s="530"/>
      <c r="FQ106" s="530"/>
      <c r="GL106" s="128"/>
      <c r="GM106" s="128"/>
      <c r="GN106" s="128"/>
      <c r="GO106" s="128"/>
      <c r="GP106" s="128"/>
      <c r="GQ106" s="128"/>
      <c r="GR106" s="128"/>
      <c r="GS106" s="128"/>
      <c r="GT106" s="128"/>
      <c r="GU106" s="128"/>
      <c r="GV106" s="128"/>
      <c r="GW106" s="128"/>
      <c r="GX106" s="128"/>
      <c r="GY106" s="128"/>
      <c r="GZ106" s="128"/>
      <c r="HA106" s="128"/>
      <c r="HB106" s="128"/>
      <c r="HC106" s="128"/>
      <c r="HD106" s="128"/>
      <c r="HE106" s="128"/>
      <c r="HF106" s="128"/>
      <c r="HG106" s="128"/>
      <c r="HH106" s="128"/>
      <c r="HI106" s="128"/>
      <c r="HJ106" s="128"/>
      <c r="HK106" s="128"/>
      <c r="HL106" s="128"/>
      <c r="HM106" s="128"/>
      <c r="HN106" s="128"/>
      <c r="HO106" s="128"/>
      <c r="HP106" s="128"/>
      <c r="HQ106" s="128"/>
      <c r="HR106" s="128"/>
      <c r="HS106" s="128"/>
      <c r="HT106" s="128"/>
      <c r="HU106" s="128"/>
      <c r="HV106" s="128"/>
      <c r="HW106" s="128"/>
      <c r="HX106" s="128"/>
      <c r="HY106" s="128"/>
      <c r="HZ106" s="128"/>
      <c r="IA106" s="128"/>
      <c r="IB106" s="128"/>
      <c r="IC106" s="128"/>
    </row>
    <row r="107" spans="41:237" x14ac:dyDescent="0.3">
      <c r="AO107" s="128">
        <v>50063</v>
      </c>
      <c r="AP107" s="128" t="s">
        <v>715</v>
      </c>
      <c r="AQ107" s="128" t="s">
        <v>824</v>
      </c>
      <c r="AR107" s="128" t="s">
        <v>3594</v>
      </c>
      <c r="AS107" s="375">
        <v>46189</v>
      </c>
      <c r="AT107" s="375">
        <v>46335</v>
      </c>
      <c r="AU107" s="530">
        <v>78565</v>
      </c>
      <c r="AV107" s="128">
        <v>50059</v>
      </c>
      <c r="AW107" s="530">
        <v>2000000</v>
      </c>
      <c r="AX107" s="534">
        <f>_xlfn.XLOOKUP(Sell_unvalid[[#This Row],[DEAL_BUY_ID]],BS!BA:BA,BS!BE:BE,,0)</f>
        <v>78369</v>
      </c>
      <c r="AY107" s="534">
        <f>_xlfn.XLOOKUP(Sell_unvalid[[#This Row],[BOND_CODE]],FNRP!D:D,FNRP!I:I,_xlfn.XLOOKUP(Sell_unvalid[[#This Row],[BOND_CODE]],FNRP!AV:AV,FNRP!BA:BA,,0),0)</f>
        <v>79629</v>
      </c>
      <c r="AZ107" s="534">
        <f>_xlfn.XLOOKUP(Sell_unvalid[[#This Row],[DEAL_BUY_ID]],BS!BA:BA,BS!BQ:BQ,,0)*Sell_unvalid[[#This Row],[QUANTITY]]</f>
        <v>-42778835529.00029</v>
      </c>
      <c r="BA107" s="534">
        <f>(Sell_unvalid[[#This Row],[Giá MtM]]-10^5)*Sell_unvalid[[#This Row],[QUANTITY]]-Sell_unvalid[[#This Row],[PTCK remain]]</f>
        <v>2036835529.0002899</v>
      </c>
      <c r="BB107" s="534">
        <f>(Sell_unvalid[[#This Row],[PRICE]]-10^5)*Sell_unvalid[[#This Row],[QUANTITY]]-Sell_unvalid[[#This Row],[PTCK remain]]</f>
        <v>-91164470.999710083</v>
      </c>
      <c r="BC107" s="534" t="str">
        <f>IF(AND(Sell_unvalid[[#This Row],[VALUE_DATE]]&lt;=RPT,Sell_unvalid[[#This Row],[TRANSACTION_STATUS]]="N"),"Check","Ok")</f>
        <v>Ok</v>
      </c>
      <c r="BD107" s="534"/>
      <c r="BE107" s="615"/>
      <c r="BF107" s="128">
        <v>50313</v>
      </c>
      <c r="BG107" s="128" t="s">
        <v>2497</v>
      </c>
      <c r="BH107" s="128" t="s">
        <v>824</v>
      </c>
      <c r="BI107" s="128" t="s">
        <v>3594</v>
      </c>
      <c r="BJ107" s="375">
        <v>46239</v>
      </c>
      <c r="BK107" s="375">
        <v>46247</v>
      </c>
      <c r="BL107" s="128">
        <v>800000</v>
      </c>
      <c r="BM107" s="128">
        <v>99937</v>
      </c>
      <c r="BN107" s="534">
        <f>_xlfn.XLOOKUP(Buy_unvalid[[#This Row],[BOND_CODE]],FNRP!D:D,FNRP!I:I,,0)</f>
        <v>92330</v>
      </c>
      <c r="BO107" s="534">
        <f>_xlfn.XLOOKUP(Buy_unvalid[[#This Row],[DEAL_BUY_ID]],BS!BA:BA,BS!BQ:BQ,_xlfn.XLOOKUP(Buy_unvalid[[#This Row],[DEAL_BUY_ID]],BS!AL:AL,BS!AR:AR,,0),0)*Buy_unvalid[[#This Row],[QUANTITY]]</f>
        <v>-50752210.540849999</v>
      </c>
      <c r="BP107" s="534">
        <f>(Buy_unvalid[[#This Row],[Giá MtM]]-10^5)*Buy_unvalid[[#This Row],[QUANTITY]]-Buy_unvalid[[#This Row],[PTCK remain]]</f>
        <v>-6085247789.4591503</v>
      </c>
      <c r="BQ107" s="534" t="str">
        <f>IF(AND(Buy_unvalid[[#This Row],[VALUE_DATE]]&lt;=RPT,Buy_unvalid[[#This Row],[TRANSACTION_STATUS]]="N"),"Check","Ok")</f>
        <v>Ok</v>
      </c>
      <c r="BS107" s="128"/>
      <c r="BT107" s="848"/>
      <c r="BU107" s="849">
        <v>46259</v>
      </c>
      <c r="BV107" s="848">
        <v>50434</v>
      </c>
      <c r="BW107" s="848"/>
      <c r="BX107" s="530">
        <v>-1340000</v>
      </c>
      <c r="BY107" s="735">
        <f>_xlfn.XLOOKUP(Est_NIM[[#This Row],[DEAL_BUY_ID]],BS!AL:AL,BS!AU:AU,_xlfn.XLOOKUP(Est_NIM[[#This Row],[DEAL_BUY_ID]],BS!BA:BA,BS!BJ:BJ,,0),0)</f>
        <v>2.6</v>
      </c>
      <c r="BZ107" s="534">
        <f>Est_NIM[[#This Row],[QUANT]]*Est_NIM[[#This Row],[YIELD]]</f>
        <v>-3484000</v>
      </c>
      <c r="CA107" s="128"/>
      <c r="CB107" s="128"/>
      <c r="CE107" s="331"/>
      <c r="CF107" s="331"/>
      <c r="CG107" s="331"/>
      <c r="CH107">
        <v>3730</v>
      </c>
      <c r="CI107">
        <v>14282</v>
      </c>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8"/>
      <c r="DS107" s="128"/>
      <c r="DT107" s="128"/>
      <c r="DU107" s="128"/>
      <c r="DV107" s="128"/>
      <c r="DW107" s="128"/>
      <c r="DX107" s="128"/>
      <c r="DY107" s="128"/>
      <c r="DZ107" s="530"/>
      <c r="EA107" s="530"/>
      <c r="EB107" s="530"/>
      <c r="EC107" s="530"/>
      <c r="ED107" s="530"/>
      <c r="EE107" s="530"/>
      <c r="EF107" s="530"/>
      <c r="EG107" s="530"/>
      <c r="EH107" s="530"/>
      <c r="EI107" s="530"/>
      <c r="EJ107" s="530"/>
      <c r="EK107" s="530"/>
      <c r="EL107" s="530"/>
      <c r="EM107" s="530"/>
      <c r="EN107" s="530"/>
      <c r="EO107" s="530"/>
      <c r="EP107" s="530"/>
      <c r="EQ107" s="530"/>
      <c r="ER107" s="530"/>
      <c r="ES107" s="530"/>
      <c r="ET107" s="530"/>
      <c r="EU107" s="530"/>
      <c r="EV107" s="530"/>
      <c r="EW107" s="530"/>
      <c r="EX107" s="530"/>
      <c r="EY107" s="530"/>
      <c r="EZ107" s="530"/>
      <c r="FA107" s="530"/>
      <c r="FB107" s="530"/>
      <c r="FC107" s="530"/>
      <c r="FD107" s="530"/>
      <c r="FE107" s="530"/>
      <c r="FF107" s="530"/>
      <c r="FG107" s="530"/>
      <c r="FH107" s="530"/>
      <c r="FI107" s="530"/>
      <c r="FJ107" s="530"/>
      <c r="FK107" s="530"/>
      <c r="FL107" s="530"/>
      <c r="FM107" s="530"/>
      <c r="FN107" s="530"/>
      <c r="FO107" s="530"/>
      <c r="FP107" s="530"/>
      <c r="FQ107" s="530"/>
      <c r="GL107" s="128"/>
      <c r="GM107" s="128"/>
      <c r="GN107" s="128"/>
      <c r="GO107" s="128"/>
      <c r="GP107" s="128"/>
      <c r="GQ107" s="128"/>
      <c r="GR107" s="128"/>
      <c r="GS107" s="128"/>
      <c r="GT107" s="128"/>
      <c r="GU107" s="128"/>
      <c r="GV107" s="128"/>
      <c r="GW107" s="128"/>
      <c r="GX107" s="128"/>
      <c r="GY107" s="128"/>
      <c r="GZ107" s="128"/>
      <c r="HA107" s="128"/>
      <c r="HB107" s="128"/>
      <c r="HC107" s="128"/>
      <c r="HD107" s="128"/>
      <c r="HE107" s="128"/>
      <c r="HF107" s="128"/>
      <c r="HG107" s="128"/>
      <c r="HH107" s="128"/>
      <c r="HI107" s="128"/>
      <c r="HJ107" s="128"/>
      <c r="HK107" s="128"/>
      <c r="HL107" s="128"/>
      <c r="HM107" s="128"/>
      <c r="HN107" s="128"/>
      <c r="HO107" s="128"/>
      <c r="HP107" s="128"/>
      <c r="HQ107" s="128"/>
      <c r="HR107" s="128"/>
      <c r="HS107" s="128"/>
      <c r="HT107" s="128"/>
      <c r="HU107" s="128"/>
      <c r="HV107" s="128"/>
      <c r="HW107" s="128"/>
      <c r="HX107" s="128"/>
      <c r="HY107" s="128"/>
      <c r="HZ107" s="128"/>
      <c r="IA107" s="128"/>
      <c r="IB107" s="128"/>
      <c r="IC107" s="128"/>
    </row>
    <row r="108" spans="41:237" x14ac:dyDescent="0.3">
      <c r="AO108" s="128">
        <v>50064</v>
      </c>
      <c r="AP108" s="128" t="s">
        <v>715</v>
      </c>
      <c r="AQ108" s="128" t="s">
        <v>824</v>
      </c>
      <c r="AR108" s="128" t="s">
        <v>3594</v>
      </c>
      <c r="AS108" s="375">
        <v>46189</v>
      </c>
      <c r="AT108" s="375">
        <v>46335</v>
      </c>
      <c r="AU108" s="530">
        <v>78565</v>
      </c>
      <c r="AV108" s="128">
        <v>50060</v>
      </c>
      <c r="AW108" s="530">
        <v>2500000</v>
      </c>
      <c r="AX108" s="534">
        <f>_xlfn.XLOOKUP(Sell_unvalid[[#This Row],[DEAL_BUY_ID]],BS!BA:BA,BS!BE:BE,,0)</f>
        <v>78369</v>
      </c>
      <c r="AY108" s="534">
        <f>_xlfn.XLOOKUP(Sell_unvalid[[#This Row],[BOND_CODE]],FNRP!D:D,FNRP!I:I,_xlfn.XLOOKUP(Sell_unvalid[[#This Row],[BOND_CODE]],FNRP!AV:AV,FNRP!BA:BA,,0),0)</f>
        <v>79629</v>
      </c>
      <c r="AZ108" s="534">
        <f>_xlfn.XLOOKUP(Sell_unvalid[[#This Row],[DEAL_BUY_ID]],BS!BA:BA,BS!BQ:BQ,,0)*Sell_unvalid[[#This Row],[QUANTITY]]</f>
        <v>-53473544411.250359</v>
      </c>
      <c r="BA108" s="534">
        <f>(Sell_unvalid[[#This Row],[Giá MtM]]-10^5)*Sell_unvalid[[#This Row],[QUANTITY]]-Sell_unvalid[[#This Row],[PTCK remain]]</f>
        <v>2546044411.2503586</v>
      </c>
      <c r="BB108" s="534">
        <f>(Sell_unvalid[[#This Row],[PRICE]]-10^5)*Sell_unvalid[[#This Row],[QUANTITY]]-Sell_unvalid[[#This Row],[PTCK remain]]</f>
        <v>-113955588.74964142</v>
      </c>
      <c r="BC108" s="534" t="str">
        <f>IF(AND(Sell_unvalid[[#This Row],[VALUE_DATE]]&lt;=RPT,Sell_unvalid[[#This Row],[TRANSACTION_STATUS]]="N"),"Check","Ok")</f>
        <v>Ok</v>
      </c>
      <c r="BD108" s="534"/>
      <c r="BE108" s="615"/>
      <c r="BF108" s="128">
        <v>50317</v>
      </c>
      <c r="BG108" s="128" t="s">
        <v>718</v>
      </c>
      <c r="BH108" s="128" t="s">
        <v>824</v>
      </c>
      <c r="BI108" s="128" t="s">
        <v>3594</v>
      </c>
      <c r="BJ108" s="128">
        <v>46239</v>
      </c>
      <c r="BK108" s="128">
        <v>46245</v>
      </c>
      <c r="BL108" s="128">
        <v>700000</v>
      </c>
      <c r="BM108" s="128">
        <v>145756</v>
      </c>
      <c r="BN108" s="534">
        <f>_xlfn.XLOOKUP(Buy_unvalid[[#This Row],[BOND_CODE]],FNRP!D:D,FNRP!I:I,,0)</f>
        <v>142132</v>
      </c>
      <c r="BO108" s="534">
        <f>_xlfn.XLOOKUP(Buy_unvalid[[#This Row],[DEAL_BUY_ID]],BS!BA:BA,BS!BQ:BQ,_xlfn.XLOOKUP(Buy_unvalid[[#This Row],[DEAL_BUY_ID]],BS!AL:AL,BS!AR:AR,,0),0)*Buy_unvalid[[#This Row],[QUANTITY]]</f>
        <v>31993180675.490822</v>
      </c>
      <c r="BP108" s="534">
        <f>(Buy_unvalid[[#This Row],[Giá MtM]]-10^5)*Buy_unvalid[[#This Row],[QUANTITY]]-Buy_unvalid[[#This Row],[PTCK remain]]</f>
        <v>-2500780675.4908218</v>
      </c>
      <c r="BQ108" s="534" t="str">
        <f>IF(AND(Buy_unvalid[[#This Row],[VALUE_DATE]]&lt;=RPT,Buy_unvalid[[#This Row],[TRANSACTION_STATUS]]="N"),"Check","Ok")</f>
        <v>Ok</v>
      </c>
      <c r="BS108" s="128"/>
      <c r="BT108" s="848"/>
      <c r="BU108" s="849">
        <v>46262</v>
      </c>
      <c r="BV108" s="848">
        <v>50438</v>
      </c>
      <c r="BW108" s="848"/>
      <c r="BX108" s="530">
        <v>-110000</v>
      </c>
      <c r="BY108" s="735">
        <f>_xlfn.XLOOKUP(Est_NIM[[#This Row],[DEAL_BUY_ID]],BS!AL:AL,BS!AU:AU,_xlfn.XLOOKUP(Est_NIM[[#This Row],[DEAL_BUY_ID]],BS!BA:BA,BS!BJ:BJ,,0),0)</f>
        <v>3.3</v>
      </c>
      <c r="BZ108" s="534">
        <f>Est_NIM[[#This Row],[QUANT]]*Est_NIM[[#This Row],[YIELD]]</f>
        <v>-363000</v>
      </c>
      <c r="CA108" s="128"/>
      <c r="CB108" s="128"/>
      <c r="CE108" s="331"/>
      <c r="CF108" s="331"/>
      <c r="CG108" s="331"/>
      <c r="CH108">
        <v>3730</v>
      </c>
      <c r="CI108">
        <v>14282</v>
      </c>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8"/>
      <c r="DS108" s="128"/>
      <c r="DT108" s="128"/>
      <c r="DU108" s="128"/>
      <c r="DV108" s="128"/>
      <c r="DW108" s="128"/>
      <c r="DX108" s="128"/>
      <c r="DY108" s="128"/>
      <c r="DZ108" s="530"/>
      <c r="EA108" s="530"/>
      <c r="EB108" s="530"/>
      <c r="EC108" s="530"/>
      <c r="ED108" s="530"/>
      <c r="EE108" s="530"/>
      <c r="EF108" s="530"/>
      <c r="EG108" s="530"/>
      <c r="EH108" s="530"/>
      <c r="EI108" s="530"/>
      <c r="EJ108" s="530"/>
      <c r="EK108" s="530"/>
      <c r="EL108" s="530"/>
      <c r="EM108" s="530"/>
      <c r="EN108" s="530"/>
      <c r="EO108" s="530"/>
      <c r="EP108" s="530"/>
      <c r="EQ108" s="530"/>
      <c r="ER108" s="530"/>
      <c r="ES108" s="530"/>
      <c r="ET108" s="530"/>
      <c r="EU108" s="530"/>
      <c r="EV108" s="530"/>
      <c r="EW108" s="530"/>
      <c r="EX108" s="530"/>
      <c r="EY108" s="530"/>
      <c r="EZ108" s="530"/>
      <c r="FA108" s="530"/>
      <c r="FB108" s="530"/>
      <c r="FC108" s="530"/>
      <c r="FD108" s="530"/>
      <c r="FE108" s="530"/>
      <c r="FF108" s="530"/>
      <c r="FG108" s="530"/>
      <c r="FH108" s="530"/>
      <c r="FI108" s="530"/>
      <c r="FJ108" s="530"/>
      <c r="FK108" s="530"/>
      <c r="FL108" s="530"/>
      <c r="FM108" s="530"/>
      <c r="FN108" s="530"/>
      <c r="FO108" s="530"/>
      <c r="FP108" s="530"/>
      <c r="FQ108" s="530"/>
      <c r="GL108" s="128"/>
      <c r="GM108" s="128"/>
      <c r="GN108" s="128"/>
      <c r="GO108" s="128"/>
      <c r="GP108" s="128"/>
      <c r="GQ108" s="128"/>
      <c r="GR108" s="128"/>
      <c r="GS108" s="128"/>
      <c r="GT108" s="128"/>
      <c r="GU108" s="128"/>
      <c r="GV108" s="128"/>
      <c r="GW108" s="128"/>
      <c r="GX108" s="128"/>
      <c r="GY108" s="128"/>
      <c r="GZ108" s="128"/>
      <c r="HA108" s="128"/>
      <c r="HB108" s="128"/>
      <c r="HC108" s="128"/>
      <c r="HD108" s="128"/>
      <c r="HE108" s="128"/>
      <c r="HF108" s="128"/>
      <c r="HG108" s="128"/>
      <c r="HH108" s="128"/>
      <c r="HI108" s="128"/>
      <c r="HJ108" s="128"/>
      <c r="HK108" s="128"/>
      <c r="HL108" s="128"/>
      <c r="HM108" s="128"/>
      <c r="HN108" s="128"/>
      <c r="HO108" s="128"/>
      <c r="HP108" s="128"/>
      <c r="HQ108" s="128"/>
      <c r="HR108" s="128"/>
      <c r="HS108" s="128"/>
      <c r="HT108" s="128"/>
      <c r="HU108" s="128"/>
      <c r="HV108" s="128"/>
      <c r="HW108" s="128"/>
      <c r="HX108" s="128"/>
      <c r="HY108" s="128"/>
      <c r="HZ108" s="128"/>
      <c r="IA108" s="128"/>
      <c r="IB108" s="128"/>
      <c r="IC108" s="128"/>
    </row>
    <row r="109" spans="41:237" x14ac:dyDescent="0.3">
      <c r="AO109" s="128">
        <v>49904</v>
      </c>
      <c r="AP109" s="128" t="s">
        <v>733</v>
      </c>
      <c r="AQ109" s="128" t="s">
        <v>824</v>
      </c>
      <c r="AR109" s="128" t="s">
        <v>3594</v>
      </c>
      <c r="AS109" s="375">
        <v>46174</v>
      </c>
      <c r="AT109" s="375">
        <v>46248</v>
      </c>
      <c r="AU109" s="530">
        <v>74339</v>
      </c>
      <c r="AV109" s="128">
        <v>49903</v>
      </c>
      <c r="AW109" s="530">
        <v>1000000</v>
      </c>
      <c r="AX109" s="534">
        <f>_xlfn.XLOOKUP(Sell_unvalid[[#This Row],[DEAL_BUY_ID]],BS!BA:BA,BS!BE:BE,,0)</f>
        <v>74307</v>
      </c>
      <c r="AY109" s="534">
        <f>_xlfn.XLOOKUP(Sell_unvalid[[#This Row],[BOND_CODE]],FNRP!D:D,FNRP!I:I,_xlfn.XLOOKUP(Sell_unvalid[[#This Row],[BOND_CODE]],FNRP!AV:AV,FNRP!BA:BA,,0),0)</f>
        <v>73842</v>
      </c>
      <c r="AZ109" s="534">
        <f>_xlfn.XLOOKUP(Sell_unvalid[[#This Row],[DEAL_BUY_ID]],BS!BA:BA,BS!BQ:BQ,,0)*Sell_unvalid[[#This Row],[QUANTITY]]</f>
        <v>-25475206656.678089</v>
      </c>
      <c r="BA109" s="534">
        <f>(Sell_unvalid[[#This Row],[Giá MtM]]-10^5)*Sell_unvalid[[#This Row],[QUANTITY]]-Sell_unvalid[[#This Row],[PTCK remain]]</f>
        <v>-682793343.32191086</v>
      </c>
      <c r="BB109" s="534">
        <f>(Sell_unvalid[[#This Row],[PRICE]]-10^5)*Sell_unvalid[[#This Row],[QUANTITY]]-Sell_unvalid[[#This Row],[PTCK remain]]</f>
        <v>-185793343.32191086</v>
      </c>
      <c r="BC109" s="534" t="str">
        <f>IF(AND(Sell_unvalid[[#This Row],[VALUE_DATE]]&lt;=RPT,Sell_unvalid[[#This Row],[TRANSACTION_STATUS]]="N"),"Check","Ok")</f>
        <v>Ok</v>
      </c>
      <c r="BD109" s="534"/>
      <c r="BE109" s="615"/>
      <c r="BF109" s="128">
        <v>50199</v>
      </c>
      <c r="BG109" s="128" t="s">
        <v>2371</v>
      </c>
      <c r="BH109" s="128" t="s">
        <v>824</v>
      </c>
      <c r="BI109" s="128" t="s">
        <v>3594</v>
      </c>
      <c r="BJ109" s="128">
        <v>46220</v>
      </c>
      <c r="BK109" s="128">
        <v>46225</v>
      </c>
      <c r="BL109" s="128">
        <v>620000</v>
      </c>
      <c r="BM109" s="128">
        <v>75980</v>
      </c>
      <c r="BN109" s="534">
        <f>_xlfn.XLOOKUP(Buy_unvalid[[#This Row],[BOND_CODE]],FNRP!D:D,FNRP!I:I,,0)</f>
        <v>73584</v>
      </c>
      <c r="BO109" s="534">
        <f>_xlfn.XLOOKUP(Buy_unvalid[[#This Row],[DEAL_BUY_ID]],BS!BA:BA,BS!BQ:BQ,_xlfn.XLOOKUP(Buy_unvalid[[#This Row],[DEAL_BUY_ID]],BS!AL:AL,BS!AR:AR,,0),0)*Buy_unvalid[[#This Row],[QUANTITY]]</f>
        <v>-14847337547.43589</v>
      </c>
      <c r="BP109" s="534">
        <f>(Buy_unvalid[[#This Row],[Giá MtM]]-10^5)*Buy_unvalid[[#This Row],[QUANTITY]]-Buy_unvalid[[#This Row],[PTCK remain]]</f>
        <v>-1530582452.5641098</v>
      </c>
      <c r="BQ109" s="534" t="str">
        <f>IF(AND(Buy_unvalid[[#This Row],[VALUE_DATE]]&lt;=RPT,Buy_unvalid[[#This Row],[TRANSACTION_STATUS]]="N"),"Check","Ok")</f>
        <v>Ok</v>
      </c>
      <c r="BS109" s="128"/>
      <c r="BT109" s="848"/>
      <c r="BU109" s="849">
        <v>46259</v>
      </c>
      <c r="BV109" s="848">
        <v>50432</v>
      </c>
      <c r="BW109" s="848"/>
      <c r="BX109" s="530">
        <v>-500000</v>
      </c>
      <c r="BY109" s="735">
        <f>_xlfn.XLOOKUP(Est_NIM[[#This Row],[DEAL_BUY_ID]],BS!AL:AL,BS!AU:AU,_xlfn.XLOOKUP(Est_NIM[[#This Row],[DEAL_BUY_ID]],BS!BA:BA,BS!BJ:BJ,,0),0)</f>
        <v>5</v>
      </c>
      <c r="BZ109" s="534">
        <f>Est_NIM[[#This Row],[QUANT]]*Est_NIM[[#This Row],[YIELD]]</f>
        <v>-2500000</v>
      </c>
      <c r="CA109" s="128"/>
      <c r="CB109" s="128"/>
      <c r="CE109" s="331"/>
      <c r="CF109" s="331"/>
      <c r="CG109" s="331"/>
      <c r="CH109">
        <v>3730</v>
      </c>
      <c r="CI109">
        <v>14282</v>
      </c>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8"/>
      <c r="DS109" s="128"/>
      <c r="DT109" s="128"/>
      <c r="DU109" s="128"/>
      <c r="DV109" s="128"/>
      <c r="DW109" s="128"/>
      <c r="DX109" s="128"/>
      <c r="DY109" s="128"/>
      <c r="DZ109" s="530"/>
      <c r="EA109" s="530"/>
      <c r="EB109" s="530"/>
      <c r="EC109" s="530"/>
      <c r="ED109" s="530"/>
      <c r="EE109" s="530"/>
      <c r="EF109" s="530"/>
      <c r="EG109" s="530"/>
      <c r="EH109" s="530"/>
      <c r="EI109" s="530"/>
      <c r="EJ109" s="530"/>
      <c r="EK109" s="530"/>
      <c r="EL109" s="530"/>
      <c r="EM109" s="530"/>
      <c r="EN109" s="530"/>
      <c r="EO109" s="530"/>
      <c r="EP109" s="530"/>
      <c r="EQ109" s="530"/>
      <c r="ER109" s="530"/>
      <c r="ES109" s="530"/>
      <c r="ET109" s="530"/>
      <c r="EU109" s="530"/>
      <c r="EV109" s="530"/>
      <c r="EW109" s="530"/>
      <c r="EX109" s="530"/>
      <c r="EY109" s="530"/>
      <c r="EZ109" s="530"/>
      <c r="FA109" s="530"/>
      <c r="FB109" s="530"/>
      <c r="FC109" s="530"/>
      <c r="FD109" s="530"/>
      <c r="FE109" s="530"/>
      <c r="FF109" s="530"/>
      <c r="FG109" s="530"/>
      <c r="FH109" s="530"/>
      <c r="FI109" s="530"/>
      <c r="FJ109" s="530"/>
      <c r="FK109" s="530"/>
      <c r="FL109" s="530"/>
      <c r="FM109" s="530"/>
      <c r="FN109" s="530"/>
      <c r="FO109" s="530"/>
      <c r="FP109" s="530"/>
      <c r="FQ109" s="530"/>
      <c r="GL109" s="128"/>
      <c r="GM109" s="128"/>
      <c r="GN109" s="128"/>
      <c r="GO109" s="128"/>
      <c r="GP109" s="128"/>
      <c r="GQ109" s="128"/>
      <c r="GR109" s="128"/>
      <c r="GS109" s="128"/>
      <c r="GT109" s="128"/>
      <c r="GU109" s="128"/>
      <c r="GV109" s="128"/>
      <c r="GW109" s="128"/>
      <c r="GX109" s="128"/>
      <c r="GY109" s="128"/>
      <c r="GZ109" s="128"/>
      <c r="HA109" s="128"/>
      <c r="HB109" s="128"/>
      <c r="HC109" s="128"/>
      <c r="HD109" s="128"/>
      <c r="HE109" s="128"/>
      <c r="HF109" s="128"/>
      <c r="HG109" s="128"/>
      <c r="HH109" s="128"/>
      <c r="HI109" s="128"/>
      <c r="HJ109" s="128"/>
      <c r="HK109" s="128"/>
      <c r="HL109" s="128"/>
      <c r="HM109" s="128"/>
      <c r="HN109" s="128"/>
      <c r="HO109" s="128"/>
      <c r="HP109" s="128"/>
      <c r="HQ109" s="128"/>
      <c r="HR109" s="128"/>
      <c r="HS109" s="128"/>
      <c r="HT109" s="128"/>
      <c r="HU109" s="128"/>
      <c r="HV109" s="128"/>
      <c r="HW109" s="128"/>
      <c r="HX109" s="128"/>
      <c r="HY109" s="128"/>
      <c r="HZ109" s="128"/>
      <c r="IA109" s="128"/>
      <c r="IB109" s="128"/>
      <c r="IC109" s="128"/>
    </row>
    <row r="110" spans="41:237" x14ac:dyDescent="0.3">
      <c r="AO110" s="128">
        <v>50189</v>
      </c>
      <c r="AP110" s="128" t="s">
        <v>2499</v>
      </c>
      <c r="AQ110" s="128" t="s">
        <v>824</v>
      </c>
      <c r="AR110" s="128" t="s">
        <v>3594</v>
      </c>
      <c r="AS110" s="375">
        <v>46217</v>
      </c>
      <c r="AT110" s="375">
        <v>46219</v>
      </c>
      <c r="AU110" s="530">
        <v>111304</v>
      </c>
      <c r="AV110" s="128">
        <v>49688</v>
      </c>
      <c r="AW110" s="530">
        <v>2000000</v>
      </c>
      <c r="AX110" s="534">
        <f>_xlfn.XLOOKUP(Sell_unvalid[[#This Row],[DEAL_BUY_ID]],BS!BA:BA,BS!BE:BE,,0)</f>
        <v>111628</v>
      </c>
      <c r="AY110" s="534">
        <f>_xlfn.XLOOKUP(Sell_unvalid[[#This Row],[BOND_CODE]],FNRP!D:D,FNRP!I:I,_xlfn.XLOOKUP(Sell_unvalid[[#This Row],[BOND_CODE]],FNRP!AV:AV,FNRP!BA:BA,,0),0)</f>
        <v>102776</v>
      </c>
      <c r="AZ110" s="534">
        <f>_xlfn.XLOOKUP(Sell_unvalid[[#This Row],[DEAL_BUY_ID]],BS!BA:BA,BS!BQ:BQ,,0)*Sell_unvalid[[#This Row],[QUANTITY]]</f>
        <v>22260890991.69883</v>
      </c>
      <c r="BA110" s="534">
        <f>(Sell_unvalid[[#This Row],[Giá MtM]]-10^5)*Sell_unvalid[[#This Row],[QUANTITY]]-Sell_unvalid[[#This Row],[PTCK remain]]</f>
        <v>-16708890991.69883</v>
      </c>
      <c r="BB110" s="534">
        <f>(Sell_unvalid[[#This Row],[PRICE]]-10^5)*Sell_unvalid[[#This Row],[QUANTITY]]-Sell_unvalid[[#This Row],[PTCK remain]]</f>
        <v>347109008.30117035</v>
      </c>
      <c r="BC110" s="534" t="str">
        <f>IF(AND(Sell_unvalid[[#This Row],[VALUE_DATE]]&lt;=RPT,Sell_unvalid[[#This Row],[TRANSACTION_STATUS]]="N"),"Check","Ok")</f>
        <v>Ok</v>
      </c>
      <c r="BD110" s="534"/>
      <c r="BE110" s="615"/>
      <c r="BF110" s="128">
        <v>50418</v>
      </c>
      <c r="BG110" s="128" t="s">
        <v>2499</v>
      </c>
      <c r="BH110" s="128" t="s">
        <v>824</v>
      </c>
      <c r="BI110" s="128" t="s">
        <v>2234</v>
      </c>
      <c r="BJ110" s="128">
        <v>46251</v>
      </c>
      <c r="BK110" s="128">
        <v>46259</v>
      </c>
      <c r="BL110" s="128">
        <v>1000000</v>
      </c>
      <c r="BM110" s="128">
        <v>111117</v>
      </c>
      <c r="BN110" s="534">
        <f>_xlfn.XLOOKUP(Buy_unvalid[[#This Row],[BOND_CODE]],FNRP!D:D,FNRP!I:I,,0)</f>
        <v>102776</v>
      </c>
      <c r="BO110" s="534">
        <f>_xlfn.XLOOKUP(Buy_unvalid[[#This Row],[DEAL_BUY_ID]],BS!BA:BA,BS!BQ:BQ,_xlfn.XLOOKUP(Buy_unvalid[[#This Row],[DEAL_BUY_ID]],BS!AL:AL,BS!AR:AR,,0),0)*Buy_unvalid[[#This Row],[QUANTITY]]</f>
        <v>11145860198.829924</v>
      </c>
      <c r="BP110" s="534">
        <f>(Buy_unvalid[[#This Row],[Giá MtM]]-10^5)*Buy_unvalid[[#This Row],[QUANTITY]]-Buy_unvalid[[#This Row],[PTCK remain]]</f>
        <v>-8369860198.8299236</v>
      </c>
      <c r="BQ110" s="534" t="str">
        <f>IF(AND(Buy_unvalid[[#This Row],[VALUE_DATE]]&lt;=RPT,Buy_unvalid[[#This Row],[TRANSACTION_STATUS]]="N"),"Check","Ok")</f>
        <v>Ok</v>
      </c>
      <c r="BS110" s="128"/>
      <c r="BT110" s="848"/>
      <c r="BU110" s="849">
        <v>46262</v>
      </c>
      <c r="BV110" s="848">
        <v>50436</v>
      </c>
      <c r="BW110" s="848"/>
      <c r="BX110" s="530">
        <v>-2000000</v>
      </c>
      <c r="BY110" s="735">
        <f>_xlfn.XLOOKUP(Est_NIM[[#This Row],[DEAL_BUY_ID]],BS!AL:AL,BS!AU:AU,_xlfn.XLOOKUP(Est_NIM[[#This Row],[DEAL_BUY_ID]],BS!BA:BA,BS!BJ:BJ,,0),0)</f>
        <v>2.7</v>
      </c>
      <c r="BZ110" s="534">
        <f>Est_NIM[[#This Row],[QUANT]]*Est_NIM[[#This Row],[YIELD]]</f>
        <v>-5400000</v>
      </c>
      <c r="CA110" s="128"/>
      <c r="CB110" s="128"/>
      <c r="CE110" s="331"/>
      <c r="CF110" s="331"/>
      <c r="CG110" s="331"/>
      <c r="CH110">
        <v>3730</v>
      </c>
      <c r="CI110">
        <v>14282</v>
      </c>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8"/>
      <c r="DS110" s="128"/>
      <c r="DT110" s="128"/>
      <c r="DU110" s="128"/>
      <c r="DV110" s="128"/>
      <c r="DW110" s="128"/>
      <c r="DX110" s="128"/>
      <c r="DY110" s="128"/>
      <c r="DZ110" s="530"/>
      <c r="EA110" s="530"/>
      <c r="EB110" s="530"/>
      <c r="EC110" s="530"/>
      <c r="ED110" s="530"/>
      <c r="EE110" s="530"/>
      <c r="EF110" s="530"/>
      <c r="EG110" s="530"/>
      <c r="EH110" s="530"/>
      <c r="EI110" s="530"/>
      <c r="EJ110" s="530"/>
      <c r="EK110" s="530"/>
      <c r="EL110" s="530"/>
      <c r="EM110" s="530"/>
      <c r="EN110" s="530"/>
      <c r="EO110" s="530"/>
      <c r="EP110" s="530"/>
      <c r="EQ110" s="530"/>
      <c r="ER110" s="530"/>
      <c r="ES110" s="530"/>
      <c r="ET110" s="530"/>
      <c r="EU110" s="530"/>
      <c r="EV110" s="530"/>
      <c r="EW110" s="530"/>
      <c r="EX110" s="530"/>
      <c r="EY110" s="530"/>
      <c r="EZ110" s="530"/>
      <c r="FA110" s="530"/>
      <c r="FB110" s="530"/>
      <c r="FC110" s="530"/>
      <c r="FD110" s="530"/>
      <c r="FE110" s="530"/>
      <c r="FF110" s="530"/>
      <c r="FG110" s="530"/>
      <c r="FH110" s="530"/>
      <c r="FI110" s="530"/>
      <c r="FJ110" s="530"/>
      <c r="FK110" s="530"/>
      <c r="FL110" s="530"/>
      <c r="FM110" s="530"/>
      <c r="FN110" s="530"/>
      <c r="FO110" s="530"/>
      <c r="FP110" s="530"/>
      <c r="FQ110" s="530"/>
      <c r="GL110" s="128"/>
      <c r="GM110" s="128"/>
      <c r="GN110" s="128"/>
      <c r="GO110" s="128"/>
      <c r="GP110" s="128"/>
      <c r="GQ110" s="128"/>
      <c r="GR110" s="128"/>
      <c r="GS110" s="128"/>
      <c r="GT110" s="128"/>
      <c r="GU110" s="128"/>
      <c r="GV110" s="128"/>
      <c r="GW110" s="128"/>
      <c r="GX110" s="128"/>
      <c r="GY110" s="128"/>
      <c r="GZ110" s="128"/>
      <c r="HA110" s="128"/>
      <c r="HB110" s="128"/>
      <c r="HC110" s="128"/>
      <c r="HD110" s="128"/>
      <c r="HE110" s="128"/>
      <c r="HF110" s="128"/>
      <c r="HG110" s="128"/>
      <c r="HH110" s="128"/>
      <c r="HI110" s="128"/>
      <c r="HJ110" s="128"/>
      <c r="HK110" s="128"/>
      <c r="HL110" s="128"/>
      <c r="HM110" s="128"/>
      <c r="HN110" s="128"/>
      <c r="HO110" s="128"/>
      <c r="HP110" s="128"/>
      <c r="HQ110" s="128"/>
      <c r="HR110" s="128"/>
      <c r="HS110" s="128"/>
      <c r="HT110" s="128"/>
      <c r="HU110" s="128"/>
      <c r="HV110" s="128"/>
      <c r="HW110" s="128"/>
      <c r="HX110" s="128"/>
      <c r="HY110" s="128"/>
      <c r="HZ110" s="128"/>
      <c r="IA110" s="128"/>
      <c r="IB110" s="128"/>
      <c r="IC110" s="128"/>
    </row>
    <row r="111" spans="41:237" x14ac:dyDescent="0.3">
      <c r="AO111" s="128">
        <v>50263</v>
      </c>
      <c r="AP111" s="128" t="s">
        <v>2499</v>
      </c>
      <c r="AQ111" s="128" t="s">
        <v>824</v>
      </c>
      <c r="AR111" s="128" t="s">
        <v>3594</v>
      </c>
      <c r="AS111" s="375">
        <v>46232</v>
      </c>
      <c r="AT111" s="375">
        <v>46237</v>
      </c>
      <c r="AU111" s="530">
        <v>111225</v>
      </c>
      <c r="AV111" s="128">
        <v>50190</v>
      </c>
      <c r="AW111" s="530">
        <v>2000000</v>
      </c>
      <c r="AX111" s="534">
        <f>_xlfn.XLOOKUP(Sell_unvalid[[#This Row],[DEAL_BUY_ID]],BS!BA:BA,BS!BE:BE,,0)</f>
        <v>111247</v>
      </c>
      <c r="AY111" s="534">
        <f>_xlfn.XLOOKUP(Sell_unvalid[[#This Row],[BOND_CODE]],FNRP!D:D,FNRP!I:I,_xlfn.XLOOKUP(Sell_unvalid[[#This Row],[BOND_CODE]],FNRP!AV:AV,FNRP!BA:BA,,0),0)</f>
        <v>102776</v>
      </c>
      <c r="AZ111" s="534">
        <f>_xlfn.XLOOKUP(Sell_unvalid[[#This Row],[DEAL_BUY_ID]],BS!BA:BA,BS!BQ:BQ,,0)*Sell_unvalid[[#This Row],[QUANTITY]]</f>
        <v>22290523766.298073</v>
      </c>
      <c r="BA111" s="534">
        <f>(Sell_unvalid[[#This Row],[Giá MtM]]-10^5)*Sell_unvalid[[#This Row],[QUANTITY]]-Sell_unvalid[[#This Row],[PTCK remain]]</f>
        <v>-16738523766.298073</v>
      </c>
      <c r="BB111" s="534">
        <f>(Sell_unvalid[[#This Row],[PRICE]]-10^5)*Sell_unvalid[[#This Row],[QUANTITY]]-Sell_unvalid[[#This Row],[PTCK remain]]</f>
        <v>159476233.70192719</v>
      </c>
      <c r="BC111" s="534" t="str">
        <f>IF(AND(Sell_unvalid[[#This Row],[VALUE_DATE]]&lt;=RPT,Sell_unvalid[[#This Row],[TRANSACTION_STATUS]]="N"),"Check","Ok")</f>
        <v>Ok</v>
      </c>
      <c r="BD111" s="534"/>
      <c r="BE111" s="615"/>
      <c r="BF111" s="128">
        <v>50422</v>
      </c>
      <c r="BG111" s="128" t="s">
        <v>3517</v>
      </c>
      <c r="BH111" s="128" t="s">
        <v>824</v>
      </c>
      <c r="BI111" s="128" t="s">
        <v>2234</v>
      </c>
      <c r="BJ111" s="128">
        <v>46251</v>
      </c>
      <c r="BK111" s="128">
        <v>46259</v>
      </c>
      <c r="BL111" s="128">
        <v>2000000</v>
      </c>
      <c r="BM111" s="128">
        <v>98269</v>
      </c>
      <c r="BN111" s="534">
        <f>_xlfn.XLOOKUP(Buy_unvalid[[#This Row],[BOND_CODE]],FNRP!D:D,FNRP!I:I,,0)</f>
        <v>95519</v>
      </c>
      <c r="BO111" s="534">
        <f>_xlfn.XLOOKUP(Buy_unvalid[[#This Row],[DEAL_BUY_ID]],BS!BA:BA,BS!BQ:BQ,_xlfn.XLOOKUP(Buy_unvalid[[#This Row],[DEAL_BUY_ID]],BS!AL:AL,BS!AR:AR,,0),0)*Buy_unvalid[[#This Row],[QUANTITY]]</f>
        <v>-3475958281.0088563</v>
      </c>
      <c r="BP111" s="534">
        <f>(Buy_unvalid[[#This Row],[Giá MtM]]-10^5)*Buy_unvalid[[#This Row],[QUANTITY]]-Buy_unvalid[[#This Row],[PTCK remain]]</f>
        <v>-5486041718.9911442</v>
      </c>
      <c r="BQ111" s="534" t="str">
        <f>IF(AND(Buy_unvalid[[#This Row],[VALUE_DATE]]&lt;=RPT,Buy_unvalid[[#This Row],[TRANSACTION_STATUS]]="N"),"Check","Ok")</f>
        <v>Ok</v>
      </c>
      <c r="BS111" s="128"/>
      <c r="BT111" s="848"/>
      <c r="BU111" s="849">
        <v>46272</v>
      </c>
      <c r="BV111" s="848">
        <v>50223</v>
      </c>
      <c r="BW111" s="848"/>
      <c r="BX111" s="530">
        <v>-4500000</v>
      </c>
      <c r="BY111" s="735">
        <f>_xlfn.XLOOKUP(Est_NIM[[#This Row],[DEAL_BUY_ID]],BS!AL:AL,BS!AU:AU,_xlfn.XLOOKUP(Est_NIM[[#This Row],[DEAL_BUY_ID]],BS!BA:BA,BS!BJ:BJ,,0),0)</f>
        <v>4.2</v>
      </c>
      <c r="BZ111" s="534">
        <f>Est_NIM[[#This Row],[QUANT]]*Est_NIM[[#This Row],[YIELD]]</f>
        <v>-18900000</v>
      </c>
      <c r="CA111" s="128"/>
      <c r="CB111" s="128"/>
      <c r="CE111" s="331"/>
      <c r="CF111" s="331"/>
      <c r="CG111" s="331"/>
      <c r="CH111">
        <v>3730</v>
      </c>
      <c r="CI111">
        <v>14282</v>
      </c>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8"/>
      <c r="DS111" s="128"/>
      <c r="DT111" s="128"/>
      <c r="DU111" s="128"/>
      <c r="DV111" s="128"/>
      <c r="DW111" s="128"/>
      <c r="DX111" s="128"/>
      <c r="DY111" s="128"/>
      <c r="DZ111" s="530"/>
      <c r="EA111" s="530"/>
      <c r="EB111" s="530"/>
      <c r="EC111" s="530"/>
      <c r="ED111" s="530"/>
      <c r="EE111" s="530"/>
      <c r="EF111" s="530"/>
      <c r="EG111" s="530"/>
      <c r="EH111" s="530"/>
      <c r="EI111" s="530"/>
      <c r="EJ111" s="530"/>
      <c r="EK111" s="530"/>
      <c r="EL111" s="530"/>
      <c r="EM111" s="530"/>
      <c r="EN111" s="530"/>
      <c r="EO111" s="530"/>
      <c r="EP111" s="530"/>
      <c r="EQ111" s="530"/>
      <c r="ER111" s="530"/>
      <c r="ES111" s="530"/>
      <c r="ET111" s="530"/>
      <c r="EU111" s="530"/>
      <c r="EV111" s="530"/>
      <c r="EW111" s="530"/>
      <c r="EX111" s="530"/>
      <c r="EY111" s="530"/>
      <c r="EZ111" s="530"/>
      <c r="FA111" s="530"/>
      <c r="FB111" s="530"/>
      <c r="FC111" s="530"/>
      <c r="FD111" s="530"/>
      <c r="FE111" s="530"/>
      <c r="FF111" s="530"/>
      <c r="FG111" s="530"/>
      <c r="FH111" s="530"/>
      <c r="FI111" s="530"/>
      <c r="FJ111" s="530"/>
      <c r="FK111" s="530"/>
      <c r="FL111" s="530"/>
      <c r="FM111" s="530"/>
      <c r="FN111" s="530"/>
      <c r="FO111" s="530"/>
      <c r="FP111" s="530"/>
      <c r="FQ111" s="530"/>
      <c r="GL111" s="128"/>
      <c r="GM111" s="128"/>
      <c r="GN111" s="128"/>
      <c r="GO111" s="128"/>
      <c r="GP111" s="128"/>
      <c r="GQ111" s="128"/>
      <c r="GR111" s="128"/>
      <c r="GS111" s="128"/>
      <c r="GT111" s="128"/>
      <c r="GU111" s="128"/>
      <c r="GV111" s="128"/>
      <c r="GW111" s="128"/>
      <c r="GX111" s="128"/>
      <c r="GY111" s="128"/>
      <c r="GZ111" s="128"/>
      <c r="HA111" s="128"/>
      <c r="HB111" s="128"/>
      <c r="HC111" s="128"/>
      <c r="HD111" s="128"/>
      <c r="HE111" s="128"/>
      <c r="HF111" s="128"/>
      <c r="HG111" s="128"/>
      <c r="HH111" s="128"/>
      <c r="HI111" s="128"/>
      <c r="HJ111" s="128"/>
      <c r="HK111" s="128"/>
      <c r="HL111" s="128"/>
      <c r="HM111" s="128"/>
      <c r="HN111" s="128"/>
      <c r="HO111" s="128"/>
      <c r="HP111" s="128"/>
      <c r="HQ111" s="128"/>
      <c r="HR111" s="128"/>
      <c r="HS111" s="128"/>
      <c r="HT111" s="128"/>
      <c r="HU111" s="128"/>
      <c r="HV111" s="128"/>
      <c r="HW111" s="128"/>
      <c r="HX111" s="128"/>
      <c r="HY111" s="128"/>
      <c r="HZ111" s="128"/>
      <c r="IA111" s="128"/>
      <c r="IB111" s="128"/>
      <c r="IC111" s="128"/>
    </row>
    <row r="112" spans="41:237" x14ac:dyDescent="0.3">
      <c r="AO112" s="128">
        <v>50417</v>
      </c>
      <c r="AP112" s="128" t="s">
        <v>2499</v>
      </c>
      <c r="AQ112" s="128" t="s">
        <v>824</v>
      </c>
      <c r="AR112" s="128" t="s">
        <v>2234</v>
      </c>
      <c r="AS112" s="375">
        <v>46251</v>
      </c>
      <c r="AT112" s="375">
        <v>46254</v>
      </c>
      <c r="AU112" s="530">
        <v>111212</v>
      </c>
      <c r="AV112" s="128">
        <v>47715</v>
      </c>
      <c r="AW112" s="530">
        <v>1000000</v>
      </c>
      <c r="AX112" s="534">
        <f>_xlfn.XLOOKUP(Sell_unvalid[[#This Row],[DEAL_BUY_ID]],BS!BA:BA,BS!BE:BE,,0)</f>
        <v>112524</v>
      </c>
      <c r="AY112" s="534">
        <f>_xlfn.XLOOKUP(Sell_unvalid[[#This Row],[BOND_CODE]],FNRP!D:D,FNRP!I:I,_xlfn.XLOOKUP(Sell_unvalid[[#This Row],[BOND_CODE]],FNRP!AV:AV,FNRP!BA:BA,,0),0)</f>
        <v>102776</v>
      </c>
      <c r="AZ112" s="534">
        <f>_xlfn.XLOOKUP(Sell_unvalid[[#This Row],[DEAL_BUY_ID]],BS!BA:BA,BS!BQ:BQ,,0)*Sell_unvalid[[#This Row],[QUANTITY]]</f>
        <v>11076406024.451317</v>
      </c>
      <c r="BA112" s="534">
        <f>(Sell_unvalid[[#This Row],[Giá MtM]]-10^5)*Sell_unvalid[[#This Row],[QUANTITY]]-Sell_unvalid[[#This Row],[PTCK remain]]</f>
        <v>-8300406024.4513168</v>
      </c>
      <c r="BB112" s="534">
        <f>(Sell_unvalid[[#This Row],[PRICE]]-10^5)*Sell_unvalid[[#This Row],[QUANTITY]]-Sell_unvalid[[#This Row],[PTCK remain]]</f>
        <v>135593975.54868317</v>
      </c>
      <c r="BC112" s="534" t="str">
        <f>IF(AND(Sell_unvalid[[#This Row],[VALUE_DATE]]&lt;=RPT,Sell_unvalid[[#This Row],[TRANSACTION_STATUS]]="N"),"Check","Ok")</f>
        <v>Ok</v>
      </c>
      <c r="BD112" s="534"/>
      <c r="BE112" s="615"/>
      <c r="BF112" s="128">
        <v>50420</v>
      </c>
      <c r="BG112" s="128" t="s">
        <v>2398</v>
      </c>
      <c r="BH112" s="128" t="s">
        <v>824</v>
      </c>
      <c r="BI112" s="128" t="s">
        <v>2234</v>
      </c>
      <c r="BJ112" s="128">
        <v>46251</v>
      </c>
      <c r="BK112" s="128">
        <v>46259</v>
      </c>
      <c r="BL112" s="128">
        <v>500000</v>
      </c>
      <c r="BM112" s="128">
        <v>108789</v>
      </c>
      <c r="BN112" s="534">
        <f>_xlfn.XLOOKUP(Buy_unvalid[[#This Row],[BOND_CODE]],FNRP!D:D,FNRP!I:I,,0)</f>
        <v>98907</v>
      </c>
      <c r="BO112" s="534">
        <f>_xlfn.XLOOKUP(Buy_unvalid[[#This Row],[DEAL_BUY_ID]],BS!BA:BA,BS!BQ:BQ,_xlfn.XLOOKUP(Buy_unvalid[[#This Row],[DEAL_BUY_ID]],BS!AL:AL,BS!AR:AR,,0),0)*Buy_unvalid[[#This Row],[QUANTITY]]</f>
        <v>4405798836.7127876</v>
      </c>
      <c r="BP112" s="534">
        <f>(Buy_unvalid[[#This Row],[Giá MtM]]-10^5)*Buy_unvalid[[#This Row],[QUANTITY]]-Buy_unvalid[[#This Row],[PTCK remain]]</f>
        <v>-4952298836.7127876</v>
      </c>
      <c r="BQ112" s="534" t="str">
        <f>IF(AND(Buy_unvalid[[#This Row],[VALUE_DATE]]&lt;=RPT,Buy_unvalid[[#This Row],[TRANSACTION_STATUS]]="N"),"Check","Ok")</f>
        <v>Ok</v>
      </c>
      <c r="BS112" s="128"/>
      <c r="BT112" s="848"/>
      <c r="BU112" s="849">
        <v>46272</v>
      </c>
      <c r="BV112" s="848">
        <v>50225</v>
      </c>
      <c r="BW112" s="848"/>
      <c r="BX112" s="530">
        <v>-2000000</v>
      </c>
      <c r="BY112" s="735">
        <f>_xlfn.XLOOKUP(Est_NIM[[#This Row],[DEAL_BUY_ID]],BS!AL:AL,BS!AU:AU,_xlfn.XLOOKUP(Est_NIM[[#This Row],[DEAL_BUY_ID]],BS!BA:BA,BS!BJ:BJ,,0),0)</f>
        <v>4.2</v>
      </c>
      <c r="BZ112" s="534">
        <f>Est_NIM[[#This Row],[QUANT]]*Est_NIM[[#This Row],[YIELD]]</f>
        <v>-8400000</v>
      </c>
      <c r="CA112" s="128"/>
      <c r="CB112" s="128"/>
      <c r="CE112" s="331"/>
      <c r="CF112" s="331"/>
      <c r="CG112" s="331"/>
      <c r="CH112">
        <v>3730</v>
      </c>
      <c r="CI112">
        <v>14282</v>
      </c>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8"/>
      <c r="DS112" s="128"/>
      <c r="DT112" s="128"/>
      <c r="DU112" s="128"/>
      <c r="DV112" s="128"/>
      <c r="DW112" s="128"/>
      <c r="DX112" s="128"/>
      <c r="DY112" s="128"/>
      <c r="DZ112" s="530"/>
      <c r="EA112" s="530"/>
      <c r="EB112" s="530"/>
      <c r="EC112" s="530"/>
      <c r="ED112" s="530"/>
      <c r="EE112" s="530"/>
      <c r="EF112" s="530"/>
      <c r="EG112" s="530"/>
      <c r="EH112" s="530"/>
      <c r="EI112" s="530"/>
      <c r="EJ112" s="530"/>
      <c r="EK112" s="530"/>
      <c r="EL112" s="530"/>
      <c r="EM112" s="530"/>
      <c r="EN112" s="530"/>
      <c r="EO112" s="530"/>
      <c r="EP112" s="530"/>
      <c r="EQ112" s="530"/>
      <c r="ER112" s="530"/>
      <c r="ES112" s="530"/>
      <c r="ET112" s="530"/>
      <c r="EU112" s="530"/>
      <c r="EV112" s="530"/>
      <c r="EW112" s="530"/>
      <c r="EX112" s="530"/>
      <c r="EY112" s="530"/>
      <c r="EZ112" s="530"/>
      <c r="FA112" s="530"/>
      <c r="FB112" s="530"/>
      <c r="FC112" s="530"/>
      <c r="FD112" s="530"/>
      <c r="FE112" s="530"/>
      <c r="FF112" s="530"/>
      <c r="FG112" s="530"/>
      <c r="FH112" s="530"/>
      <c r="FI112" s="530"/>
      <c r="FJ112" s="530"/>
      <c r="FK112" s="530"/>
      <c r="FL112" s="530"/>
      <c r="FM112" s="530"/>
      <c r="FN112" s="530"/>
      <c r="FO112" s="530"/>
      <c r="FP112" s="530"/>
      <c r="FQ112" s="530"/>
      <c r="GL112" s="128"/>
      <c r="GM112" s="128"/>
      <c r="GN112" s="128"/>
      <c r="GO112" s="128"/>
      <c r="GP112" s="128"/>
      <c r="GQ112" s="128"/>
      <c r="GR112" s="128"/>
      <c r="GS112" s="128"/>
      <c r="GT112" s="128"/>
      <c r="GU112" s="128"/>
      <c r="GV112" s="128"/>
      <c r="GW112" s="128"/>
      <c r="GX112" s="128"/>
      <c r="GY112" s="128"/>
      <c r="GZ112" s="128"/>
      <c r="HA112" s="128"/>
      <c r="HB112" s="128"/>
      <c r="HC112" s="128"/>
      <c r="HD112" s="128"/>
      <c r="HE112" s="128"/>
      <c r="HF112" s="128"/>
      <c r="HG112" s="128"/>
      <c r="HH112" s="128"/>
      <c r="HI112" s="128"/>
      <c r="HJ112" s="128"/>
      <c r="HK112" s="128"/>
      <c r="HL112" s="128"/>
      <c r="HM112" s="128"/>
      <c r="HN112" s="128"/>
      <c r="HO112" s="128"/>
      <c r="HP112" s="128"/>
      <c r="HQ112" s="128"/>
      <c r="HR112" s="128"/>
      <c r="HS112" s="128"/>
      <c r="HT112" s="128"/>
      <c r="HU112" s="128"/>
      <c r="HV112" s="128"/>
      <c r="HW112" s="128"/>
      <c r="HX112" s="128"/>
      <c r="HY112" s="128"/>
      <c r="HZ112" s="128"/>
      <c r="IA112" s="128"/>
      <c r="IB112" s="128"/>
      <c r="IC112" s="128"/>
    </row>
    <row r="113" spans="41:237" x14ac:dyDescent="0.3">
      <c r="AO113" s="128">
        <v>50250</v>
      </c>
      <c r="AP113" s="128" t="s">
        <v>706</v>
      </c>
      <c r="AQ113" s="128" t="s">
        <v>824</v>
      </c>
      <c r="AR113" s="375" t="s">
        <v>3594</v>
      </c>
      <c r="AS113" s="375">
        <v>46230</v>
      </c>
      <c r="AT113" s="375">
        <v>46385</v>
      </c>
      <c r="AU113" s="530">
        <v>82221</v>
      </c>
      <c r="AV113" s="532">
        <v>50245</v>
      </c>
      <c r="AW113" s="530">
        <v>500000</v>
      </c>
      <c r="AX113" s="534">
        <f>_xlfn.XLOOKUP(Sell_unvalid[[#This Row],[DEAL_BUY_ID]],BS!BA:BA,BS!BE:BE,,0)</f>
        <v>81825</v>
      </c>
      <c r="AY113" s="534">
        <f>_xlfn.XLOOKUP(Sell_unvalid[[#This Row],[BOND_CODE]],FNRP!D:D,FNRP!I:I,_xlfn.XLOOKUP(Sell_unvalid[[#This Row],[BOND_CODE]],FNRP!AV:AV,FNRP!BA:BA,,0),0)</f>
        <v>82354</v>
      </c>
      <c r="AZ113" s="534">
        <f>_xlfn.XLOOKUP(Sell_unvalid[[#This Row],[DEAL_BUY_ID]],BS!BA:BA,BS!BQ:BQ,,0)*Sell_unvalid[[#This Row],[QUANTITY]]</f>
        <v>-9035183547.28092</v>
      </c>
      <c r="BA113" s="534">
        <f>(Sell_unvalid[[#This Row],[Giá MtM]]-10^5)*Sell_unvalid[[#This Row],[QUANTITY]]-Sell_unvalid[[#This Row],[PTCK remain]]</f>
        <v>212183547.28092003</v>
      </c>
      <c r="BB113" s="534">
        <f>(Sell_unvalid[[#This Row],[PRICE]]-10^5)*Sell_unvalid[[#This Row],[QUANTITY]]-Sell_unvalid[[#This Row],[PTCK remain]]</f>
        <v>145683547.28092003</v>
      </c>
      <c r="BC113" s="534" t="str">
        <f>IF(AND(Sell_unvalid[[#This Row],[VALUE_DATE]]&lt;=RPT,Sell_unvalid[[#This Row],[TRANSACTION_STATUS]]="N"),"Check","Ok")</f>
        <v>Ok</v>
      </c>
      <c r="BD113" s="534"/>
      <c r="BE113" s="615"/>
      <c r="BF113" s="128">
        <v>50440</v>
      </c>
      <c r="BG113" s="128" t="s">
        <v>3051</v>
      </c>
      <c r="BH113" s="128" t="s">
        <v>824</v>
      </c>
      <c r="BI113" s="128" t="s">
        <v>2234</v>
      </c>
      <c r="BJ113" s="128">
        <v>46252</v>
      </c>
      <c r="BK113" s="128">
        <v>46262</v>
      </c>
      <c r="BL113" s="128">
        <v>1600000</v>
      </c>
      <c r="BM113" s="128">
        <v>93875</v>
      </c>
      <c r="BN113" s="534">
        <f>_xlfn.XLOOKUP(Buy_unvalid[[#This Row],[BOND_CODE]],FNRP!D:D,FNRP!I:I,,0)</f>
        <v>89638</v>
      </c>
      <c r="BO113" s="534">
        <f>_xlfn.XLOOKUP(Buy_unvalid[[#This Row],[DEAL_BUY_ID]],BS!BA:BA,BS!BQ:BQ,_xlfn.XLOOKUP(Buy_unvalid[[#This Row],[DEAL_BUY_ID]],BS!AL:AL,BS!AR:AR,,0),0)*Buy_unvalid[[#This Row],[QUANTITY]]</f>
        <v>-9828449759.7776432</v>
      </c>
      <c r="BP113" s="534">
        <f>(Buy_unvalid[[#This Row],[Giá MtM]]-10^5)*Buy_unvalid[[#This Row],[QUANTITY]]-Buy_unvalid[[#This Row],[PTCK remain]]</f>
        <v>-6750750240.2223568</v>
      </c>
      <c r="BQ113" s="534" t="str">
        <f>IF(AND(Buy_unvalid[[#This Row],[VALUE_DATE]]&lt;=RPT,Buy_unvalid[[#This Row],[TRANSACTION_STATUS]]="N"),"Check","Ok")</f>
        <v>Ok</v>
      </c>
      <c r="BS113" s="128"/>
      <c r="BT113" s="848"/>
      <c r="BU113" s="849">
        <v>46273</v>
      </c>
      <c r="BV113" s="848">
        <v>50227</v>
      </c>
      <c r="BW113" s="848"/>
      <c r="BX113" s="530">
        <v>-3000000</v>
      </c>
      <c r="BY113" s="735">
        <f>_xlfn.XLOOKUP(Est_NIM[[#This Row],[DEAL_BUY_ID]],BS!AL:AL,BS!AU:AU,_xlfn.XLOOKUP(Est_NIM[[#This Row],[DEAL_BUY_ID]],BS!BA:BA,BS!BJ:BJ,,0),0)</f>
        <v>4.2</v>
      </c>
      <c r="BZ113" s="534">
        <f>Est_NIM[[#This Row],[QUANT]]*Est_NIM[[#This Row],[YIELD]]</f>
        <v>-12600000</v>
      </c>
      <c r="CA113" s="128"/>
      <c r="CB113" s="128"/>
      <c r="CE113" s="331"/>
      <c r="CF113" s="331"/>
      <c r="CG113" s="331"/>
      <c r="CH113">
        <v>3730</v>
      </c>
      <c r="CI113">
        <v>14282</v>
      </c>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8"/>
      <c r="DS113" s="128"/>
      <c r="DT113" s="128"/>
      <c r="DU113" s="128"/>
      <c r="DV113" s="128"/>
      <c r="DW113" s="128"/>
      <c r="DX113" s="128"/>
      <c r="DY113" s="128"/>
      <c r="DZ113" s="530"/>
      <c r="EA113" s="530"/>
      <c r="EB113" s="530"/>
      <c r="EC113" s="530"/>
      <c r="ED113" s="530"/>
      <c r="EE113" s="530"/>
      <c r="EF113" s="530"/>
      <c r="EG113" s="530"/>
      <c r="EH113" s="530"/>
      <c r="EI113" s="530"/>
      <c r="EJ113" s="530"/>
      <c r="EK113" s="530"/>
      <c r="EL113" s="530"/>
      <c r="EM113" s="530"/>
      <c r="EN113" s="530"/>
      <c r="EO113" s="530"/>
      <c r="EP113" s="530"/>
      <c r="EQ113" s="530"/>
      <c r="ER113" s="530"/>
      <c r="ES113" s="530"/>
      <c r="ET113" s="530"/>
      <c r="EU113" s="530"/>
      <c r="EV113" s="530"/>
      <c r="EW113" s="530"/>
      <c r="EX113" s="530"/>
      <c r="EY113" s="530"/>
      <c r="EZ113" s="530"/>
      <c r="FA113" s="530"/>
      <c r="FB113" s="530"/>
      <c r="FC113" s="530"/>
      <c r="FD113" s="530"/>
      <c r="FE113" s="530"/>
      <c r="FF113" s="530"/>
      <c r="FG113" s="530"/>
      <c r="FH113" s="530"/>
      <c r="FI113" s="530"/>
      <c r="FJ113" s="530"/>
      <c r="FK113" s="530"/>
      <c r="FL113" s="530"/>
      <c r="FM113" s="530"/>
      <c r="FN113" s="530"/>
      <c r="FO113" s="530"/>
      <c r="FP113" s="530"/>
      <c r="FQ113" s="530"/>
      <c r="GL113" s="128"/>
      <c r="GM113" s="128"/>
      <c r="GN113" s="128"/>
      <c r="GO113" s="128"/>
      <c r="GP113" s="128"/>
      <c r="GQ113" s="128"/>
      <c r="GR113" s="128"/>
      <c r="GS113" s="128"/>
      <c r="GT113" s="128"/>
      <c r="GU113" s="128"/>
      <c r="GV113" s="128"/>
      <c r="GW113" s="128"/>
      <c r="GX113" s="128"/>
      <c r="GY113" s="128"/>
      <c r="GZ113" s="128"/>
      <c r="HA113" s="128"/>
      <c r="HB113" s="128"/>
      <c r="HC113" s="128"/>
      <c r="HD113" s="128"/>
      <c r="HE113" s="128"/>
      <c r="HF113" s="128"/>
      <c r="HG113" s="128"/>
      <c r="HH113" s="128"/>
      <c r="HI113" s="128"/>
      <c r="HJ113" s="128"/>
      <c r="HK113" s="128"/>
      <c r="HL113" s="128"/>
      <c r="HM113" s="128"/>
      <c r="HN113" s="128"/>
      <c r="HO113" s="128"/>
      <c r="HP113" s="128"/>
      <c r="HQ113" s="128"/>
      <c r="HR113" s="128"/>
      <c r="HS113" s="128"/>
      <c r="HT113" s="128"/>
      <c r="HU113" s="128"/>
      <c r="HV113" s="128"/>
      <c r="HW113" s="128"/>
      <c r="HX113" s="128"/>
      <c r="HY113" s="128"/>
      <c r="HZ113" s="128"/>
      <c r="IA113" s="128"/>
      <c r="IB113" s="128"/>
      <c r="IC113" s="128"/>
    </row>
    <row r="114" spans="41:237" x14ac:dyDescent="0.3">
      <c r="AO114" s="128">
        <v>50010</v>
      </c>
      <c r="AP114" s="128" t="s">
        <v>2303</v>
      </c>
      <c r="AQ114" s="128" t="s">
        <v>824</v>
      </c>
      <c r="AR114" s="375" t="s">
        <v>3594</v>
      </c>
      <c r="AS114" s="375">
        <v>46185</v>
      </c>
      <c r="AT114" s="375">
        <v>46330</v>
      </c>
      <c r="AU114" s="530">
        <v>101880</v>
      </c>
      <c r="AV114" s="532">
        <v>50008</v>
      </c>
      <c r="AW114" s="530">
        <v>9000000</v>
      </c>
      <c r="AX114" s="534">
        <f>_xlfn.XLOOKUP(Sell_unvalid[[#This Row],[DEAL_BUY_ID]],BS!BA:BA,BS!BE:BE,,0)</f>
        <v>102150</v>
      </c>
      <c r="AY114" s="534">
        <f>_xlfn.XLOOKUP(Sell_unvalid[[#This Row],[BOND_CODE]],FNRP!D:D,FNRP!I:I,_xlfn.XLOOKUP(Sell_unvalid[[#This Row],[BOND_CODE]],FNRP!AV:AV,FNRP!BA:BA,,0),0)</f>
        <v>103625</v>
      </c>
      <c r="AZ114" s="534">
        <f>_xlfn.XLOOKUP(Sell_unvalid[[#This Row],[DEAL_BUY_ID]],BS!BA:BA,BS!BQ:BQ,,0)*Sell_unvalid[[#This Row],[QUANTITY]]</f>
        <v>19056684445.553478</v>
      </c>
      <c r="BA114" s="534">
        <f>(Sell_unvalid[[#This Row],[Giá MtM]]-10^5)*Sell_unvalid[[#This Row],[QUANTITY]]-Sell_unvalid[[#This Row],[PTCK remain]]</f>
        <v>13568315554.446522</v>
      </c>
      <c r="BB114" s="534">
        <f>(Sell_unvalid[[#This Row],[PRICE]]-10^5)*Sell_unvalid[[#This Row],[QUANTITY]]-Sell_unvalid[[#This Row],[PTCK remain]]</f>
        <v>-2136684445.5534782</v>
      </c>
      <c r="BC114" s="534" t="str">
        <f>IF(AND(Sell_unvalid[[#This Row],[VALUE_DATE]]&lt;=RPT,Sell_unvalid[[#This Row],[TRANSACTION_STATUS]]="N"),"Check","Ok")</f>
        <v>Ok</v>
      </c>
      <c r="BD114" s="534"/>
      <c r="BE114" s="615"/>
      <c r="BF114" s="128">
        <v>50444</v>
      </c>
      <c r="BG114" s="128" t="s">
        <v>2497</v>
      </c>
      <c r="BH114" s="128" t="s">
        <v>824</v>
      </c>
      <c r="BI114" s="128" t="s">
        <v>2234</v>
      </c>
      <c r="BJ114" s="128">
        <v>46252</v>
      </c>
      <c r="BK114" s="128">
        <v>46262</v>
      </c>
      <c r="BL114" s="128">
        <v>800000</v>
      </c>
      <c r="BM114" s="128">
        <v>95482</v>
      </c>
      <c r="BN114" s="534">
        <f>_xlfn.XLOOKUP(Buy_unvalid[[#This Row],[BOND_CODE]],FNRP!D:D,FNRP!I:I,,0)</f>
        <v>92330</v>
      </c>
      <c r="BO114" s="534">
        <f>_xlfn.XLOOKUP(Buy_unvalid[[#This Row],[DEAL_BUY_ID]],BS!BA:BA,BS!BQ:BQ,_xlfn.XLOOKUP(Buy_unvalid[[#This Row],[DEAL_BUY_ID]],BS!AL:AL,BS!AR:AR,,0),0)*Buy_unvalid[[#This Row],[QUANTITY]]</f>
        <v>-3617817999.0739584</v>
      </c>
      <c r="BP114" s="534">
        <f>(Buy_unvalid[[#This Row],[Giá MtM]]-10^5)*Buy_unvalid[[#This Row],[QUANTITY]]-Buy_unvalid[[#This Row],[PTCK remain]]</f>
        <v>-2518182000.9260416</v>
      </c>
      <c r="BQ114" s="534" t="str">
        <f>IF(AND(Buy_unvalid[[#This Row],[VALUE_DATE]]&lt;=RPT,Buy_unvalid[[#This Row],[TRANSACTION_STATUS]]="N"),"Check","Ok")</f>
        <v>Ok</v>
      </c>
      <c r="BS114" s="128"/>
      <c r="BT114" s="848"/>
      <c r="BU114" s="849">
        <v>46273</v>
      </c>
      <c r="BV114" s="848">
        <v>50229</v>
      </c>
      <c r="BW114" s="848"/>
      <c r="BX114" s="530">
        <v>-3500000</v>
      </c>
      <c r="BY114" s="735">
        <f>_xlfn.XLOOKUP(Est_NIM[[#This Row],[DEAL_BUY_ID]],BS!AL:AL,BS!AU:AU,_xlfn.XLOOKUP(Est_NIM[[#This Row],[DEAL_BUY_ID]],BS!BA:BA,BS!BJ:BJ,,0),0)</f>
        <v>4.2</v>
      </c>
      <c r="BZ114" s="534">
        <f>Est_NIM[[#This Row],[QUANT]]*Est_NIM[[#This Row],[YIELD]]</f>
        <v>-14700000</v>
      </c>
      <c r="CA114" s="128"/>
      <c r="CB114" s="128"/>
      <c r="CE114" s="331"/>
      <c r="CF114" s="331"/>
      <c r="CG114" s="331"/>
      <c r="CH114">
        <v>3730</v>
      </c>
      <c r="CI114">
        <v>14282</v>
      </c>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8"/>
      <c r="DS114" s="128"/>
      <c r="DT114" s="128"/>
      <c r="DU114" s="128"/>
      <c r="DV114" s="128"/>
      <c r="DW114" s="128"/>
      <c r="DX114" s="128"/>
      <c r="DY114" s="128"/>
      <c r="DZ114" s="530"/>
      <c r="EA114" s="530"/>
      <c r="EB114" s="530"/>
      <c r="EC114" s="530"/>
      <c r="ED114" s="530"/>
      <c r="EE114" s="530"/>
      <c r="EF114" s="530"/>
      <c r="EG114" s="530"/>
      <c r="EH114" s="530"/>
      <c r="EI114" s="530"/>
      <c r="EJ114" s="530"/>
      <c r="EK114" s="530"/>
      <c r="EL114" s="530"/>
      <c r="EM114" s="530"/>
      <c r="EN114" s="530"/>
      <c r="EO114" s="530"/>
      <c r="EP114" s="530"/>
      <c r="EQ114" s="530"/>
      <c r="ER114" s="530"/>
      <c r="ES114" s="530"/>
      <c r="ET114" s="530"/>
      <c r="EU114" s="530"/>
      <c r="EV114" s="530"/>
      <c r="EW114" s="530"/>
      <c r="EX114" s="530"/>
      <c r="EY114" s="530"/>
      <c r="EZ114" s="530"/>
      <c r="FA114" s="530"/>
      <c r="FB114" s="530"/>
      <c r="FC114" s="530"/>
      <c r="FD114" s="530"/>
      <c r="FE114" s="530"/>
      <c r="FF114" s="530"/>
      <c r="FG114" s="530"/>
      <c r="FH114" s="530"/>
      <c r="FI114" s="530"/>
      <c r="FJ114" s="530"/>
      <c r="FK114" s="530"/>
      <c r="FL114" s="530"/>
      <c r="FM114" s="530"/>
      <c r="FN114" s="530"/>
      <c r="FO114" s="530"/>
      <c r="FP114" s="530"/>
      <c r="FQ114" s="530"/>
      <c r="GL114" s="128"/>
      <c r="GM114" s="128"/>
      <c r="GN114" s="128"/>
      <c r="GO114" s="128"/>
      <c r="GP114" s="128"/>
      <c r="GQ114" s="128"/>
      <c r="GR114" s="128"/>
      <c r="GS114" s="128"/>
      <c r="GT114" s="128"/>
      <c r="GU114" s="128"/>
      <c r="GV114" s="128"/>
      <c r="GW114" s="128"/>
      <c r="GX114" s="128"/>
      <c r="GY114" s="128"/>
      <c r="GZ114" s="128"/>
      <c r="HA114" s="128"/>
      <c r="HB114" s="128"/>
      <c r="HC114" s="128"/>
      <c r="HD114" s="128"/>
      <c r="HE114" s="128"/>
      <c r="HF114" s="128"/>
      <c r="HG114" s="128"/>
      <c r="HH114" s="128"/>
      <c r="HI114" s="128"/>
      <c r="HJ114" s="128"/>
      <c r="HK114" s="128"/>
      <c r="HL114" s="128"/>
      <c r="HM114" s="128"/>
      <c r="HN114" s="128"/>
      <c r="HO114" s="128"/>
      <c r="HP114" s="128"/>
      <c r="HQ114" s="128"/>
      <c r="HR114" s="128"/>
      <c r="HS114" s="128"/>
      <c r="HT114" s="128"/>
      <c r="HU114" s="128"/>
      <c r="HV114" s="128"/>
      <c r="HW114" s="128"/>
      <c r="HX114" s="128"/>
      <c r="HY114" s="128"/>
      <c r="HZ114" s="128"/>
      <c r="IA114" s="128"/>
      <c r="IB114" s="128"/>
      <c r="IC114" s="128"/>
    </row>
    <row r="115" spans="41:237" x14ac:dyDescent="0.3">
      <c r="AO115" s="128">
        <v>50011</v>
      </c>
      <c r="AP115" s="128" t="s">
        <v>2303</v>
      </c>
      <c r="AQ115" s="128" t="s">
        <v>824</v>
      </c>
      <c r="AR115" s="375" t="s">
        <v>3594</v>
      </c>
      <c r="AS115" s="375">
        <v>46185</v>
      </c>
      <c r="AT115" s="375">
        <v>46330</v>
      </c>
      <c r="AU115" s="530">
        <v>101880</v>
      </c>
      <c r="AV115" s="532">
        <v>50009</v>
      </c>
      <c r="AW115" s="530">
        <v>9640000</v>
      </c>
      <c r="AX115" s="534">
        <f>_xlfn.XLOOKUP(Sell_unvalid[[#This Row],[DEAL_BUY_ID]],BS!BA:BA,BS!BE:BE,,0)</f>
        <v>102150</v>
      </c>
      <c r="AY115" s="534">
        <f>_xlfn.XLOOKUP(Sell_unvalid[[#This Row],[BOND_CODE]],FNRP!D:D,FNRP!I:I,_xlfn.XLOOKUP(Sell_unvalid[[#This Row],[BOND_CODE]],FNRP!AV:AV,FNRP!BA:BA,,0),0)</f>
        <v>103625</v>
      </c>
      <c r="AZ115" s="534">
        <f>_xlfn.XLOOKUP(Sell_unvalid[[#This Row],[DEAL_BUY_ID]],BS!BA:BA,BS!BQ:BQ,,0)*Sell_unvalid[[#This Row],[QUANTITY]]</f>
        <v>20411826450.570614</v>
      </c>
      <c r="BA115" s="534">
        <f>(Sell_unvalid[[#This Row],[Giá MtM]]-10^5)*Sell_unvalid[[#This Row],[QUANTITY]]-Sell_unvalid[[#This Row],[PTCK remain]]</f>
        <v>14533173549.429386</v>
      </c>
      <c r="BB115" s="534">
        <f>(Sell_unvalid[[#This Row],[PRICE]]-10^5)*Sell_unvalid[[#This Row],[QUANTITY]]-Sell_unvalid[[#This Row],[PTCK remain]]</f>
        <v>-2288626450.5706139</v>
      </c>
      <c r="BC115" s="534" t="str">
        <f>IF(AND(Sell_unvalid[[#This Row],[VALUE_DATE]]&lt;=RPT,Sell_unvalid[[#This Row],[TRANSACTION_STATUS]]="N"),"Check","Ok")</f>
        <v>Ok</v>
      </c>
      <c r="BD115" s="534"/>
      <c r="BE115" s="615"/>
      <c r="BF115" s="128">
        <v>50237</v>
      </c>
      <c r="BG115" s="128" t="s">
        <v>2497</v>
      </c>
      <c r="BH115" s="128" t="s">
        <v>824</v>
      </c>
      <c r="BI115" s="128" t="s">
        <v>3594</v>
      </c>
      <c r="BJ115" s="128">
        <v>46226</v>
      </c>
      <c r="BK115" s="128">
        <v>46231</v>
      </c>
      <c r="BL115" s="128">
        <v>800000</v>
      </c>
      <c r="BM115" s="128">
        <v>96680</v>
      </c>
      <c r="BN115" s="534">
        <f>_xlfn.XLOOKUP(Buy_unvalid[[#This Row],[BOND_CODE]],FNRP!D:D,FNRP!I:I,,0)</f>
        <v>92330</v>
      </c>
      <c r="BO115" s="534">
        <f>_xlfn.XLOOKUP(Buy_unvalid[[#This Row],[DEAL_BUY_ID]],BS!BA:BA,BS!BQ:BQ,_xlfn.XLOOKUP(Buy_unvalid[[#This Row],[DEAL_BUY_ID]],BS!AL:AL,BS!AR:AR,,0),0)*Buy_unvalid[[#This Row],[QUANTITY]]</f>
        <v>-2650292961.8450541</v>
      </c>
      <c r="BP115" s="534">
        <f>(Buy_unvalid[[#This Row],[Giá MtM]]-10^5)*Buy_unvalid[[#This Row],[QUANTITY]]-Buy_unvalid[[#This Row],[PTCK remain]]</f>
        <v>-3485707038.1549459</v>
      </c>
      <c r="BQ115" s="534" t="str">
        <f>IF(AND(Buy_unvalid[[#This Row],[VALUE_DATE]]&lt;=RPT,Buy_unvalid[[#This Row],[TRANSACTION_STATUS]]="N"),"Check","Ok")</f>
        <v>Ok</v>
      </c>
      <c r="BS115" s="128"/>
      <c r="BT115" s="848"/>
      <c r="BU115" s="849">
        <v>46260</v>
      </c>
      <c r="BV115" s="848">
        <v>50309</v>
      </c>
      <c r="BW115" s="848"/>
      <c r="BX115" s="530">
        <v>-1600000</v>
      </c>
      <c r="BY115" s="735">
        <f>_xlfn.XLOOKUP(Est_NIM[[#This Row],[DEAL_BUY_ID]],BS!AL:AL,BS!AU:AU,_xlfn.XLOOKUP(Est_NIM[[#This Row],[DEAL_BUY_ID]],BS!BA:BA,BS!BJ:BJ,,0),0)</f>
        <v>2.9</v>
      </c>
      <c r="BZ115" s="534">
        <f>Est_NIM[[#This Row],[QUANT]]*Est_NIM[[#This Row],[YIELD]]</f>
        <v>-4640000</v>
      </c>
      <c r="CA115" s="128"/>
      <c r="CB115" s="128"/>
      <c r="CE115" s="331"/>
      <c r="CF115" s="331"/>
      <c r="CG115" s="331"/>
      <c r="CH115">
        <v>3730</v>
      </c>
      <c r="CI115">
        <v>14282</v>
      </c>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8"/>
      <c r="DS115" s="128"/>
      <c r="DT115" s="128"/>
      <c r="DU115" s="128"/>
      <c r="DV115" s="128"/>
      <c r="DW115" s="128"/>
      <c r="DX115" s="128"/>
      <c r="DY115" s="128"/>
      <c r="DZ115" s="530"/>
      <c r="EA115" s="530"/>
      <c r="EB115" s="530"/>
      <c r="EC115" s="530"/>
      <c r="ED115" s="530"/>
      <c r="EE115" s="530"/>
      <c r="EF115" s="530"/>
      <c r="EG115" s="530"/>
      <c r="EH115" s="530"/>
      <c r="EI115" s="530"/>
      <c r="EJ115" s="530"/>
      <c r="EK115" s="530"/>
      <c r="EL115" s="530"/>
      <c r="EM115" s="530"/>
      <c r="EN115" s="530"/>
      <c r="EO115" s="530"/>
      <c r="EP115" s="530"/>
      <c r="EQ115" s="530"/>
      <c r="ER115" s="530"/>
      <c r="ES115" s="530"/>
      <c r="ET115" s="530"/>
      <c r="EU115" s="530"/>
      <c r="EV115" s="530"/>
      <c r="EW115" s="530"/>
      <c r="EX115" s="530"/>
      <c r="EY115" s="530"/>
      <c r="EZ115" s="530"/>
      <c r="FA115" s="530"/>
      <c r="FB115" s="530"/>
      <c r="FC115" s="530"/>
      <c r="FD115" s="530"/>
      <c r="FE115" s="530"/>
      <c r="FF115" s="530"/>
      <c r="FG115" s="530"/>
      <c r="FH115" s="530"/>
      <c r="FI115" s="530"/>
      <c r="FJ115" s="530"/>
      <c r="FK115" s="530"/>
      <c r="FL115" s="530"/>
      <c r="FM115" s="530"/>
      <c r="FN115" s="530"/>
      <c r="FO115" s="530"/>
      <c r="FP115" s="530"/>
      <c r="FQ115" s="530"/>
      <c r="GL115" s="128"/>
      <c r="GM115" s="128"/>
      <c r="GN115" s="128"/>
      <c r="GO115" s="128"/>
      <c r="GP115" s="128"/>
      <c r="GQ115" s="128"/>
      <c r="GR115" s="128"/>
      <c r="GS115" s="128"/>
      <c r="GT115" s="128"/>
      <c r="GU115" s="128"/>
      <c r="GV115" s="128"/>
      <c r="GW115" s="128"/>
      <c r="GX115" s="128"/>
      <c r="GY115" s="128"/>
      <c r="GZ115" s="128"/>
      <c r="HA115" s="128"/>
      <c r="HB115" s="128"/>
      <c r="HC115" s="128"/>
      <c r="HD115" s="128"/>
      <c r="HE115" s="128"/>
      <c r="HF115" s="128"/>
      <c r="HG115" s="128"/>
      <c r="HH115" s="128"/>
      <c r="HI115" s="128"/>
      <c r="HJ115" s="128"/>
      <c r="HK115" s="128"/>
      <c r="HL115" s="128"/>
      <c r="HM115" s="128"/>
      <c r="HN115" s="128"/>
      <c r="HO115" s="128"/>
      <c r="HP115" s="128"/>
      <c r="HQ115" s="128"/>
      <c r="HR115" s="128"/>
      <c r="HS115" s="128"/>
      <c r="HT115" s="128"/>
      <c r="HU115" s="128"/>
      <c r="HV115" s="128"/>
      <c r="HW115" s="128"/>
      <c r="HX115" s="128"/>
      <c r="HY115" s="128"/>
      <c r="HZ115" s="128"/>
      <c r="IA115" s="128"/>
      <c r="IB115" s="128"/>
      <c r="IC115" s="128"/>
    </row>
    <row r="116" spans="41:237" x14ac:dyDescent="0.3">
      <c r="AO116" s="128">
        <v>50061</v>
      </c>
      <c r="AP116" s="128" t="s">
        <v>2303</v>
      </c>
      <c r="AQ116" s="128" t="s">
        <v>824</v>
      </c>
      <c r="AR116" s="375" t="s">
        <v>3594</v>
      </c>
      <c r="AS116" s="375">
        <v>46189</v>
      </c>
      <c r="AT116" s="375">
        <v>46335</v>
      </c>
      <c r="AU116" s="530">
        <v>101871</v>
      </c>
      <c r="AV116" s="532">
        <v>50057</v>
      </c>
      <c r="AW116" s="530">
        <v>7210000</v>
      </c>
      <c r="AX116" s="534">
        <f>_xlfn.XLOOKUP(Sell_unvalid[[#This Row],[DEAL_BUY_ID]],BS!BA:BA,BS!BE:BE,,0)</f>
        <v>102150</v>
      </c>
      <c r="AY116" s="534">
        <f>_xlfn.XLOOKUP(Sell_unvalid[[#This Row],[BOND_CODE]],FNRP!D:D,FNRP!I:I,_xlfn.XLOOKUP(Sell_unvalid[[#This Row],[BOND_CODE]],FNRP!AV:AV,FNRP!BA:BA,,0),0)</f>
        <v>103625</v>
      </c>
      <c r="AZ116" s="534">
        <f>_xlfn.XLOOKUP(Sell_unvalid[[#This Row],[DEAL_BUY_ID]],BS!BA:BA,BS!BQ:BQ,,0)*Sell_unvalid[[#This Row],[QUANTITY]]</f>
        <v>15267166274.110546</v>
      </c>
      <c r="BA116" s="534">
        <f>(Sell_unvalid[[#This Row],[Giá MtM]]-10^5)*Sell_unvalid[[#This Row],[QUANTITY]]-Sell_unvalid[[#This Row],[PTCK remain]]</f>
        <v>10869083725.889454</v>
      </c>
      <c r="BB116" s="534">
        <f>(Sell_unvalid[[#This Row],[PRICE]]-10^5)*Sell_unvalid[[#This Row],[QUANTITY]]-Sell_unvalid[[#This Row],[PTCK remain]]</f>
        <v>-1777256274.1105461</v>
      </c>
      <c r="BC116" s="534" t="str">
        <f>IF(AND(Sell_unvalid[[#This Row],[VALUE_DATE]]&lt;=RPT,Sell_unvalid[[#This Row],[TRANSACTION_STATUS]]="N"),"Check","Ok")</f>
        <v>Ok</v>
      </c>
      <c r="BD116" s="534"/>
      <c r="BE116" s="615"/>
      <c r="BF116" s="128">
        <v>50239</v>
      </c>
      <c r="BG116" s="128" t="s">
        <v>720</v>
      </c>
      <c r="BH116" s="128" t="s">
        <v>824</v>
      </c>
      <c r="BI116" s="128" t="s">
        <v>3594</v>
      </c>
      <c r="BJ116" s="128">
        <v>46226</v>
      </c>
      <c r="BK116" s="128">
        <v>46231</v>
      </c>
      <c r="BL116" s="128">
        <v>500000</v>
      </c>
      <c r="BM116" s="128">
        <v>151344</v>
      </c>
      <c r="BN116" s="534">
        <f>_xlfn.XLOOKUP(Buy_unvalid[[#This Row],[BOND_CODE]],FNRP!D:D,FNRP!I:I,,0)</f>
        <v>141623</v>
      </c>
      <c r="BO116" s="534">
        <f>_xlfn.XLOOKUP(Buy_unvalid[[#This Row],[DEAL_BUY_ID]],BS!BA:BA,BS!BQ:BQ,_xlfn.XLOOKUP(Buy_unvalid[[#This Row],[DEAL_BUY_ID]],BS!AL:AL,BS!AR:AR,,0),0)*Buy_unvalid[[#This Row],[QUANTITY]]</f>
        <v>25595280040.676502</v>
      </c>
      <c r="BP116" s="534">
        <f>(Buy_unvalid[[#This Row],[Giá MtM]]-10^5)*Buy_unvalid[[#This Row],[QUANTITY]]-Buy_unvalid[[#This Row],[PTCK remain]]</f>
        <v>-4783780040.6765022</v>
      </c>
      <c r="BQ116" s="534" t="str">
        <f>IF(AND(Buy_unvalid[[#This Row],[VALUE_DATE]]&lt;=RPT,Buy_unvalid[[#This Row],[TRANSACTION_STATUS]]="N"),"Check","Ok")</f>
        <v>Ok</v>
      </c>
      <c r="BS116" s="128"/>
      <c r="BT116" s="848"/>
      <c r="BU116" s="849">
        <v>46255</v>
      </c>
      <c r="BV116" s="848">
        <v>50323</v>
      </c>
      <c r="BW116" s="848"/>
      <c r="BX116" s="530">
        <v>-2000000</v>
      </c>
      <c r="BY116" s="735">
        <f>_xlfn.XLOOKUP(Est_NIM[[#This Row],[DEAL_BUY_ID]],BS!AL:AL,BS!AU:AU,_xlfn.XLOOKUP(Est_NIM[[#This Row],[DEAL_BUY_ID]],BS!BA:BA,BS!BJ:BJ,,0),0)</f>
        <v>2.7</v>
      </c>
      <c r="BZ116" s="534">
        <f>Est_NIM[[#This Row],[QUANT]]*Est_NIM[[#This Row],[YIELD]]</f>
        <v>-5400000</v>
      </c>
      <c r="CA116" s="128"/>
      <c r="CB116" s="128"/>
      <c r="CE116" s="331"/>
      <c r="CF116" s="331"/>
      <c r="CG116" s="331"/>
      <c r="CH116">
        <v>3730</v>
      </c>
      <c r="CI116">
        <v>14282</v>
      </c>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8"/>
      <c r="DS116" s="128"/>
      <c r="DT116" s="128"/>
      <c r="DU116" s="128"/>
      <c r="DV116" s="128"/>
      <c r="DW116" s="128"/>
      <c r="DX116" s="128"/>
      <c r="DY116" s="128"/>
      <c r="DZ116" s="530"/>
      <c r="EA116" s="530"/>
      <c r="EB116" s="530"/>
      <c r="EC116" s="530"/>
      <c r="ED116" s="530"/>
      <c r="EE116" s="530"/>
      <c r="EF116" s="530"/>
      <c r="EG116" s="530"/>
      <c r="EH116" s="530"/>
      <c r="EI116" s="530"/>
      <c r="EJ116" s="530"/>
      <c r="EK116" s="530"/>
      <c r="EL116" s="530"/>
      <c r="EM116" s="530"/>
      <c r="EN116" s="530"/>
      <c r="EO116" s="530"/>
      <c r="EP116" s="530"/>
      <c r="EQ116" s="530"/>
      <c r="ER116" s="530"/>
      <c r="ES116" s="530"/>
      <c r="ET116" s="530"/>
      <c r="EU116" s="530"/>
      <c r="EV116" s="530"/>
      <c r="EW116" s="530"/>
      <c r="EX116" s="530"/>
      <c r="EY116" s="530"/>
      <c r="EZ116" s="530"/>
      <c r="FA116" s="530"/>
      <c r="FB116" s="530"/>
      <c r="FC116" s="530"/>
      <c r="FD116" s="530"/>
      <c r="FE116" s="530"/>
      <c r="FF116" s="530"/>
      <c r="FG116" s="530"/>
      <c r="FH116" s="530"/>
      <c r="FI116" s="530"/>
      <c r="FJ116" s="530"/>
      <c r="FK116" s="530"/>
      <c r="FL116" s="530"/>
      <c r="FM116" s="530"/>
      <c r="FN116" s="530"/>
      <c r="FO116" s="530"/>
      <c r="FP116" s="530"/>
      <c r="FQ116" s="530"/>
      <c r="GL116" s="128"/>
      <c r="GM116" s="128"/>
      <c r="GN116" s="128"/>
      <c r="GO116" s="128"/>
      <c r="GP116" s="128"/>
      <c r="GQ116" s="128"/>
      <c r="GR116" s="128"/>
      <c r="GS116" s="128"/>
      <c r="GT116" s="128"/>
      <c r="GU116" s="128"/>
      <c r="GV116" s="128"/>
      <c r="GW116" s="128"/>
      <c r="GX116" s="128"/>
      <c r="GY116" s="128"/>
      <c r="GZ116" s="128"/>
      <c r="HA116" s="128"/>
      <c r="HB116" s="128"/>
      <c r="HC116" s="128"/>
      <c r="HD116" s="128"/>
      <c r="HE116" s="128"/>
      <c r="HF116" s="128"/>
      <c r="HG116" s="128"/>
      <c r="HH116" s="128"/>
      <c r="HI116" s="128"/>
      <c r="HJ116" s="128"/>
      <c r="HK116" s="128"/>
      <c r="HL116" s="128"/>
      <c r="HM116" s="128"/>
      <c r="HN116" s="128"/>
      <c r="HO116" s="128"/>
      <c r="HP116" s="128"/>
      <c r="HQ116" s="128"/>
      <c r="HR116" s="128"/>
      <c r="HS116" s="128"/>
      <c r="HT116" s="128"/>
      <c r="HU116" s="128"/>
      <c r="HV116" s="128"/>
      <c r="HW116" s="128"/>
      <c r="HX116" s="128"/>
      <c r="HY116" s="128"/>
      <c r="HZ116" s="128"/>
      <c r="IA116" s="128"/>
      <c r="IB116" s="128"/>
      <c r="IC116" s="128"/>
    </row>
    <row r="117" spans="41:237" x14ac:dyDescent="0.3">
      <c r="AO117" s="128">
        <v>50062</v>
      </c>
      <c r="AP117" s="128" t="s">
        <v>2303</v>
      </c>
      <c r="AQ117" s="128" t="s">
        <v>824</v>
      </c>
      <c r="AR117" s="375" t="s">
        <v>3594</v>
      </c>
      <c r="AS117" s="375">
        <v>46189</v>
      </c>
      <c r="AT117" s="375">
        <v>46335</v>
      </c>
      <c r="AU117" s="530">
        <v>101871</v>
      </c>
      <c r="AV117" s="532">
        <v>50058</v>
      </c>
      <c r="AW117" s="530">
        <v>1670000</v>
      </c>
      <c r="AX117" s="534">
        <f>_xlfn.XLOOKUP(Sell_unvalid[[#This Row],[DEAL_BUY_ID]],BS!BA:BA,BS!BE:BE,,0)</f>
        <v>102150</v>
      </c>
      <c r="AY117" s="534">
        <f>_xlfn.XLOOKUP(Sell_unvalid[[#This Row],[BOND_CODE]],FNRP!D:D,FNRP!I:I,_xlfn.XLOOKUP(Sell_unvalid[[#This Row],[BOND_CODE]],FNRP!AV:AV,FNRP!BA:BA,,0),0)</f>
        <v>103625</v>
      </c>
      <c r="AZ117" s="534">
        <f>_xlfn.XLOOKUP(Sell_unvalid[[#This Row],[DEAL_BUY_ID]],BS!BA:BA,BS!BQ:BQ,,0)*Sell_unvalid[[#This Row],[QUANTITY]]</f>
        <v>3536222978.8855219</v>
      </c>
      <c r="BA117" s="534">
        <f>(Sell_unvalid[[#This Row],[Giá MtM]]-10^5)*Sell_unvalid[[#This Row],[QUANTITY]]-Sell_unvalid[[#This Row],[PTCK remain]]</f>
        <v>2517527021.1144781</v>
      </c>
      <c r="BB117" s="534">
        <f>(Sell_unvalid[[#This Row],[PRICE]]-10^5)*Sell_unvalid[[#This Row],[QUANTITY]]-Sell_unvalid[[#This Row],[PTCK remain]]</f>
        <v>-411652978.88552189</v>
      </c>
      <c r="BC117" s="534" t="str">
        <f>IF(AND(Sell_unvalid[[#This Row],[VALUE_DATE]]&lt;=RPT,Sell_unvalid[[#This Row],[TRANSACTION_STATUS]]="N"),"Check","Ok")</f>
        <v>Ok</v>
      </c>
      <c r="BD117" s="534"/>
      <c r="BE117" s="615"/>
      <c r="BF117" s="128">
        <v>50290</v>
      </c>
      <c r="BG117" s="128" t="s">
        <v>720</v>
      </c>
      <c r="BH117" s="128" t="s">
        <v>824</v>
      </c>
      <c r="BI117" s="128" t="s">
        <v>3594</v>
      </c>
      <c r="BJ117" s="128">
        <v>46238</v>
      </c>
      <c r="BK117" s="128">
        <v>46244</v>
      </c>
      <c r="BL117" s="128">
        <v>1000000</v>
      </c>
      <c r="BM117" s="128">
        <v>153146</v>
      </c>
      <c r="BN117" s="534">
        <f>_xlfn.XLOOKUP(Buy_unvalid[[#This Row],[BOND_CODE]],FNRP!D:D,FNRP!I:I,,0)</f>
        <v>141623</v>
      </c>
      <c r="BO117" s="534">
        <f>_xlfn.XLOOKUP(Buy_unvalid[[#This Row],[DEAL_BUY_ID]],BS!BA:BA,BS!BQ:BQ,_xlfn.XLOOKUP(Buy_unvalid[[#This Row],[DEAL_BUY_ID]],BS!AL:AL,BS!AR:AR,,0),0)*Buy_unvalid[[#This Row],[QUANTITY]]</f>
        <v>53081296285.624535</v>
      </c>
      <c r="BP117" s="534">
        <f>(Buy_unvalid[[#This Row],[Giá MtM]]-10^5)*Buy_unvalid[[#This Row],[QUANTITY]]-Buy_unvalid[[#This Row],[PTCK remain]]</f>
        <v>-11458296285.624535</v>
      </c>
      <c r="BQ117" s="534" t="str">
        <f>IF(AND(Buy_unvalid[[#This Row],[VALUE_DATE]]&lt;=RPT,Buy_unvalid[[#This Row],[TRANSACTION_STATUS]]="N"),"Check","Ok")</f>
        <v>Ok</v>
      </c>
      <c r="BS117" s="128"/>
      <c r="BT117" s="848"/>
      <c r="BU117" s="849">
        <v>46255</v>
      </c>
      <c r="BV117" s="848">
        <v>50325</v>
      </c>
      <c r="BW117" s="848"/>
      <c r="BX117" s="530">
        <v>-1340000</v>
      </c>
      <c r="BY117" s="735">
        <f>_xlfn.XLOOKUP(Est_NIM[[#This Row],[DEAL_BUY_ID]],BS!AL:AL,BS!AU:AU,_xlfn.XLOOKUP(Est_NIM[[#This Row],[DEAL_BUY_ID]],BS!BA:BA,BS!BJ:BJ,,0),0)</f>
        <v>2.6</v>
      </c>
      <c r="BZ117" s="534">
        <f>Est_NIM[[#This Row],[QUANT]]*Est_NIM[[#This Row],[YIELD]]</f>
        <v>-3484000</v>
      </c>
      <c r="CA117" s="128"/>
      <c r="CB117" s="128"/>
      <c r="CE117" s="331"/>
      <c r="CF117" s="331"/>
      <c r="CG117" s="331"/>
      <c r="CH117">
        <v>3730</v>
      </c>
      <c r="CI117">
        <v>14282</v>
      </c>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8"/>
      <c r="DS117" s="128"/>
      <c r="DT117" s="128"/>
      <c r="DU117" s="128"/>
      <c r="DV117" s="128"/>
      <c r="DW117" s="128"/>
      <c r="DX117" s="128"/>
      <c r="DY117" s="128"/>
      <c r="DZ117" s="530"/>
      <c r="EA117" s="530"/>
      <c r="EB117" s="530"/>
      <c r="EC117" s="530"/>
      <c r="ED117" s="530"/>
      <c r="EE117" s="530"/>
      <c r="EF117" s="530"/>
      <c r="EG117" s="530"/>
      <c r="EH117" s="530"/>
      <c r="EI117" s="530"/>
      <c r="EJ117" s="530"/>
      <c r="EK117" s="530"/>
      <c r="EL117" s="530"/>
      <c r="EM117" s="530"/>
      <c r="EN117" s="530"/>
      <c r="EO117" s="530"/>
      <c r="EP117" s="530"/>
      <c r="EQ117" s="530"/>
      <c r="ER117" s="530"/>
      <c r="ES117" s="530"/>
      <c r="ET117" s="530"/>
      <c r="EU117" s="530"/>
      <c r="EV117" s="530"/>
      <c r="EW117" s="530"/>
      <c r="EX117" s="530"/>
      <c r="EY117" s="530"/>
      <c r="EZ117" s="530"/>
      <c r="FA117" s="530"/>
      <c r="FB117" s="530"/>
      <c r="FC117" s="530"/>
      <c r="FD117" s="530"/>
      <c r="FE117" s="530"/>
      <c r="FF117" s="530"/>
      <c r="FG117" s="530"/>
      <c r="FH117" s="530"/>
      <c r="FI117" s="530"/>
      <c r="FJ117" s="530"/>
      <c r="FK117" s="530"/>
      <c r="FL117" s="530"/>
      <c r="FM117" s="530"/>
      <c r="FN117" s="530"/>
      <c r="FO117" s="530"/>
      <c r="FP117" s="530"/>
      <c r="FQ117" s="530"/>
      <c r="GL117" s="128"/>
      <c r="GM117" s="128"/>
      <c r="GN117" s="128"/>
      <c r="GO117" s="128"/>
      <c r="GP117" s="128"/>
      <c r="GQ117" s="128"/>
      <c r="GR117" s="128"/>
      <c r="GS117" s="128"/>
      <c r="GT117" s="128"/>
      <c r="GU117" s="128"/>
      <c r="GV117" s="128"/>
      <c r="GW117" s="128"/>
      <c r="GX117" s="128"/>
      <c r="GY117" s="128"/>
      <c r="GZ117" s="128"/>
      <c r="HA117" s="128"/>
      <c r="HB117" s="128"/>
      <c r="HC117" s="128"/>
      <c r="HD117" s="128"/>
      <c r="HE117" s="128"/>
      <c r="HF117" s="128"/>
      <c r="HG117" s="128"/>
      <c r="HH117" s="128"/>
      <c r="HI117" s="128"/>
      <c r="HJ117" s="128"/>
      <c r="HK117" s="128"/>
      <c r="HL117" s="128"/>
      <c r="HM117" s="128"/>
      <c r="HN117" s="128"/>
      <c r="HO117" s="128"/>
      <c r="HP117" s="128"/>
      <c r="HQ117" s="128"/>
      <c r="HR117" s="128"/>
      <c r="HS117" s="128"/>
      <c r="HT117" s="128"/>
      <c r="HU117" s="128"/>
      <c r="HV117" s="128"/>
      <c r="HW117" s="128"/>
      <c r="HX117" s="128"/>
      <c r="HY117" s="128"/>
      <c r="HZ117" s="128"/>
      <c r="IA117" s="128"/>
      <c r="IB117" s="128"/>
      <c r="IC117" s="128"/>
    </row>
    <row r="118" spans="41:237" x14ac:dyDescent="0.3">
      <c r="AO118" s="128">
        <v>48554</v>
      </c>
      <c r="AP118" s="128" t="s">
        <v>2371</v>
      </c>
      <c r="AQ118" s="128" t="s">
        <v>824</v>
      </c>
      <c r="AR118" s="375" t="s">
        <v>3594</v>
      </c>
      <c r="AS118" s="375">
        <v>46037</v>
      </c>
      <c r="AT118" s="375">
        <v>46226</v>
      </c>
      <c r="AU118" s="530">
        <v>76675</v>
      </c>
      <c r="AV118" s="532">
        <v>48571</v>
      </c>
      <c r="AW118" s="530">
        <v>6500000</v>
      </c>
      <c r="AX118" s="534">
        <f>_xlfn.XLOOKUP(Sell_unvalid[[#This Row],[DEAL_BUY_ID]],BS!BA:BA,BS!BE:BE,,0)</f>
        <v>77733</v>
      </c>
      <c r="AY118" s="534">
        <f>_xlfn.XLOOKUP(Sell_unvalid[[#This Row],[BOND_CODE]],FNRP!D:D,FNRP!I:I,_xlfn.XLOOKUP(Sell_unvalid[[#This Row],[BOND_CODE]],FNRP!AV:AV,FNRP!BA:BA,,0),0)</f>
        <v>73584</v>
      </c>
      <c r="AZ118" s="534">
        <f>_xlfn.XLOOKUP(Sell_unvalid[[#This Row],[DEAL_BUY_ID]],BS!BA:BA,BS!BQ:BQ,,0)*Sell_unvalid[[#This Row],[QUANTITY]]</f>
        <v>-142053791367.24011</v>
      </c>
      <c r="BA118" s="534">
        <f>(Sell_unvalid[[#This Row],[Giá MtM]]-10^5)*Sell_unvalid[[#This Row],[QUANTITY]]-Sell_unvalid[[#This Row],[PTCK remain]]</f>
        <v>-29650208632.759888</v>
      </c>
      <c r="BB118" s="534">
        <f>(Sell_unvalid[[#This Row],[PRICE]]-10^5)*Sell_unvalid[[#This Row],[QUANTITY]]-Sell_unvalid[[#This Row],[PTCK remain]]</f>
        <v>-9558708632.7598877</v>
      </c>
      <c r="BC118" s="534" t="str">
        <f>IF(AND(Sell_unvalid[[#This Row],[VALUE_DATE]]&lt;=RPT,Sell_unvalid[[#This Row],[TRANSACTION_STATUS]]="N"),"Check","Ok")</f>
        <v>Ok</v>
      </c>
      <c r="BD118" s="534"/>
      <c r="BE118" s="615"/>
      <c r="BF118" s="128">
        <v>50288</v>
      </c>
      <c r="BG118" s="128" t="s">
        <v>681</v>
      </c>
      <c r="BH118" s="128" t="s">
        <v>824</v>
      </c>
      <c r="BI118" s="128" t="s">
        <v>3594</v>
      </c>
      <c r="BJ118" s="128">
        <v>46238</v>
      </c>
      <c r="BK118" s="128">
        <v>46244</v>
      </c>
      <c r="BL118" s="128">
        <v>1000000</v>
      </c>
      <c r="BM118" s="128">
        <v>130017</v>
      </c>
      <c r="BN118" s="534">
        <f>_xlfn.XLOOKUP(Buy_unvalid[[#This Row],[BOND_CODE]],FNRP!D:D,FNRP!I:I,,0)</f>
        <v>124796</v>
      </c>
      <c r="BO118" s="534">
        <f>_xlfn.XLOOKUP(Buy_unvalid[[#This Row],[DEAL_BUY_ID]],BS!BA:BA,BS!BQ:BQ,_xlfn.XLOOKUP(Buy_unvalid[[#This Row],[DEAL_BUY_ID]],BS!AL:AL,BS!AR:AR,,0),0)*Buy_unvalid[[#This Row],[QUANTITY]]</f>
        <v>29938444215.097473</v>
      </c>
      <c r="BP118" s="534">
        <f>(Buy_unvalid[[#This Row],[Giá MtM]]-10^5)*Buy_unvalid[[#This Row],[QUANTITY]]-Buy_unvalid[[#This Row],[PTCK remain]]</f>
        <v>-5142444215.0974731</v>
      </c>
      <c r="BQ118" s="534" t="str">
        <f>IF(AND(Buy_unvalid[[#This Row],[VALUE_DATE]]&lt;=RPT,Buy_unvalid[[#This Row],[TRANSACTION_STATUS]]="N"),"Check","Ok")</f>
        <v>Ok</v>
      </c>
      <c r="BS118" s="128"/>
      <c r="BT118" s="848"/>
      <c r="BU118" s="849">
        <v>46253</v>
      </c>
      <c r="BV118" s="848">
        <v>50408</v>
      </c>
      <c r="BW118" s="848"/>
      <c r="BX118" s="530">
        <v>-2000000</v>
      </c>
      <c r="BY118" s="735">
        <f>_xlfn.XLOOKUP(Est_NIM[[#This Row],[DEAL_BUY_ID]],BS!AL:AL,BS!AU:AU,_xlfn.XLOOKUP(Est_NIM[[#This Row],[DEAL_BUY_ID]],BS!BA:BA,BS!BJ:BJ,,0),0)</f>
        <v>2.7</v>
      </c>
      <c r="BZ118" s="534">
        <f>Est_NIM[[#This Row],[QUANT]]*Est_NIM[[#This Row],[YIELD]]</f>
        <v>-5400000</v>
      </c>
      <c r="CA118" s="128"/>
      <c r="CB118" s="128"/>
      <c r="CE118" s="331"/>
      <c r="CF118" s="331"/>
      <c r="CG118" s="331"/>
      <c r="CH118">
        <v>3730</v>
      </c>
      <c r="CI118">
        <v>14282</v>
      </c>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8"/>
      <c r="DS118" s="128"/>
      <c r="DT118" s="128"/>
      <c r="DU118" s="128"/>
      <c r="DV118" s="128"/>
      <c r="DW118" s="128"/>
      <c r="DX118" s="128"/>
      <c r="DY118" s="128"/>
      <c r="DZ118" s="530"/>
      <c r="EA118" s="530"/>
      <c r="EB118" s="530"/>
      <c r="EC118" s="530"/>
      <c r="ED118" s="530"/>
      <c r="EE118" s="530"/>
      <c r="EF118" s="530"/>
      <c r="EG118" s="530"/>
      <c r="EH118" s="530"/>
      <c r="EI118" s="530"/>
      <c r="EJ118" s="530"/>
      <c r="EK118" s="530"/>
      <c r="EL118" s="530"/>
      <c r="EM118" s="530"/>
      <c r="EN118" s="530"/>
      <c r="EO118" s="530"/>
      <c r="EP118" s="530"/>
      <c r="EQ118" s="530"/>
      <c r="ER118" s="530"/>
      <c r="ES118" s="530"/>
      <c r="ET118" s="530"/>
      <c r="EU118" s="530"/>
      <c r="EV118" s="530"/>
      <c r="EW118" s="530"/>
      <c r="EX118" s="530"/>
      <c r="EY118" s="530"/>
      <c r="EZ118" s="530"/>
      <c r="FA118" s="530"/>
      <c r="FB118" s="530"/>
      <c r="FC118" s="530"/>
      <c r="FD118" s="530"/>
      <c r="FE118" s="530"/>
      <c r="FF118" s="530"/>
      <c r="FG118" s="530"/>
      <c r="FH118" s="530"/>
      <c r="FI118" s="530"/>
      <c r="FJ118" s="530"/>
      <c r="FK118" s="530"/>
      <c r="FL118" s="530"/>
      <c r="FM118" s="530"/>
      <c r="FN118" s="530"/>
      <c r="FO118" s="530"/>
      <c r="FP118" s="530"/>
      <c r="FQ118" s="530"/>
      <c r="GL118" s="128"/>
      <c r="GM118" s="128"/>
      <c r="GN118" s="128"/>
      <c r="GO118" s="128"/>
      <c r="GP118" s="128"/>
      <c r="GQ118" s="128"/>
      <c r="GR118" s="128"/>
      <c r="GS118" s="128"/>
      <c r="GT118" s="128"/>
      <c r="GU118" s="128"/>
      <c r="GV118" s="128"/>
      <c r="GW118" s="128"/>
      <c r="GX118" s="128"/>
      <c r="GY118" s="128"/>
      <c r="GZ118" s="128"/>
      <c r="HA118" s="128"/>
      <c r="HB118" s="128"/>
      <c r="HC118" s="128"/>
      <c r="HD118" s="128"/>
      <c r="HE118" s="128"/>
      <c r="HF118" s="128"/>
      <c r="HG118" s="128"/>
      <c r="HH118" s="128"/>
      <c r="HI118" s="128"/>
      <c r="HJ118" s="128"/>
      <c r="HK118" s="128"/>
      <c r="HL118" s="128"/>
      <c r="HM118" s="128"/>
      <c r="HN118" s="128"/>
      <c r="HO118" s="128"/>
      <c r="HP118" s="128"/>
      <c r="HQ118" s="128"/>
      <c r="HR118" s="128"/>
      <c r="HS118" s="128"/>
      <c r="HT118" s="128"/>
      <c r="HU118" s="128"/>
      <c r="HV118" s="128"/>
      <c r="HW118" s="128"/>
      <c r="HX118" s="128"/>
      <c r="HY118" s="128"/>
      <c r="HZ118" s="128"/>
      <c r="IA118" s="128"/>
      <c r="IB118" s="128"/>
      <c r="IC118" s="128"/>
    </row>
    <row r="119" spans="41:237" x14ac:dyDescent="0.3">
      <c r="AO119" s="128">
        <v>48597</v>
      </c>
      <c r="AP119" s="128" t="s">
        <v>2371</v>
      </c>
      <c r="AQ119" s="128" t="s">
        <v>824</v>
      </c>
      <c r="AR119" s="375" t="s">
        <v>3594</v>
      </c>
      <c r="AS119" s="375">
        <v>46041</v>
      </c>
      <c r="AT119" s="375">
        <v>46230</v>
      </c>
      <c r="AU119" s="530">
        <v>76673</v>
      </c>
      <c r="AV119" s="532">
        <v>49511</v>
      </c>
      <c r="AW119" s="530">
        <v>600000</v>
      </c>
      <c r="AX119" s="534">
        <f>_xlfn.XLOOKUP(Sell_unvalid[[#This Row],[DEAL_BUY_ID]],BS!BA:BA,BS!BE:BE,,0)</f>
        <v>81059</v>
      </c>
      <c r="AY119" s="534">
        <f>_xlfn.XLOOKUP(Sell_unvalid[[#This Row],[BOND_CODE]],FNRP!D:D,FNRP!I:I,_xlfn.XLOOKUP(Sell_unvalid[[#This Row],[BOND_CODE]],FNRP!AV:AV,FNRP!BA:BA,,0),0)</f>
        <v>73584</v>
      </c>
      <c r="AZ119" s="534">
        <f>_xlfn.XLOOKUP(Sell_unvalid[[#This Row],[DEAL_BUY_ID]],BS!BA:BA,BS!BQ:BQ,,0)*Sell_unvalid[[#This Row],[QUANTITY]]</f>
        <v>-11227998236.142735</v>
      </c>
      <c r="BA119" s="534">
        <f>(Sell_unvalid[[#This Row],[Giá MtM]]-10^5)*Sell_unvalid[[#This Row],[QUANTITY]]-Sell_unvalid[[#This Row],[PTCK remain]]</f>
        <v>-4621601763.8572655</v>
      </c>
      <c r="BB119" s="534">
        <f>(Sell_unvalid[[#This Row],[PRICE]]-10^5)*Sell_unvalid[[#This Row],[QUANTITY]]-Sell_unvalid[[#This Row],[PTCK remain]]</f>
        <v>-2768201763.8572655</v>
      </c>
      <c r="BC119" s="534" t="str">
        <f>IF(AND(Sell_unvalid[[#This Row],[VALUE_DATE]]&lt;=RPT,Sell_unvalid[[#This Row],[TRANSACTION_STATUS]]="N"),"Check","Ok")</f>
        <v>Ok</v>
      </c>
      <c r="BD119" s="534"/>
      <c r="BE119" s="615"/>
      <c r="BF119" s="128">
        <v>50329</v>
      </c>
      <c r="BG119" s="128" t="s">
        <v>729</v>
      </c>
      <c r="BH119" s="128" t="s">
        <v>824</v>
      </c>
      <c r="BI119" s="128" t="s">
        <v>3594</v>
      </c>
      <c r="BJ119" s="128">
        <v>46244</v>
      </c>
      <c r="BK119" s="128">
        <v>46247</v>
      </c>
      <c r="BL119" s="128">
        <v>1750000</v>
      </c>
      <c r="BM119" s="128">
        <v>109885</v>
      </c>
      <c r="BN119" s="534">
        <f>_xlfn.XLOOKUP(Buy_unvalid[[#This Row],[BOND_CODE]],FNRP!D:D,FNRP!I:I,,0)</f>
        <v>107139</v>
      </c>
      <c r="BO119" s="534">
        <f>_xlfn.XLOOKUP(Buy_unvalid[[#This Row],[DEAL_BUY_ID]],BS!BA:BA,BS!BQ:BQ,_xlfn.XLOOKUP(Buy_unvalid[[#This Row],[DEAL_BUY_ID]],BS!AL:AL,BS!AR:AR,,0),0)*Buy_unvalid[[#This Row],[QUANTITY]]</f>
        <v>17286196080.196602</v>
      </c>
      <c r="BP119" s="534">
        <f>(Buy_unvalid[[#This Row],[Giá MtM]]-10^5)*Buy_unvalid[[#This Row],[QUANTITY]]-Buy_unvalid[[#This Row],[PTCK remain]]</f>
        <v>-4792946080.1966019</v>
      </c>
      <c r="BQ119" s="534" t="str">
        <f>IF(AND(Buy_unvalid[[#This Row],[VALUE_DATE]]&lt;=RPT,Buy_unvalid[[#This Row],[TRANSACTION_STATUS]]="N"),"Check","Ok")</f>
        <v>Ok</v>
      </c>
      <c r="BS119" s="128"/>
      <c r="BT119" s="848"/>
      <c r="BU119" s="849">
        <v>46259</v>
      </c>
      <c r="BV119" s="848">
        <v>50399</v>
      </c>
      <c r="BW119" s="848"/>
      <c r="BX119" s="530">
        <v>-810000</v>
      </c>
      <c r="BY119" s="735">
        <f>_xlfn.XLOOKUP(Est_NIM[[#This Row],[DEAL_BUY_ID]],BS!AL:AL,BS!AU:AU,_xlfn.XLOOKUP(Est_NIM[[#This Row],[DEAL_BUY_ID]],BS!BA:BA,BS!BJ:BJ,,0),0)</f>
        <v>7.75</v>
      </c>
      <c r="BZ119" s="534">
        <f>Est_NIM[[#This Row],[QUANT]]*Est_NIM[[#This Row],[YIELD]]</f>
        <v>-6277500</v>
      </c>
      <c r="CA119" s="128"/>
      <c r="CB119" s="128"/>
      <c r="CE119" s="331"/>
      <c r="CF119" s="331"/>
      <c r="CG119" s="331"/>
      <c r="CH119">
        <v>3730</v>
      </c>
      <c r="CI119">
        <v>14282</v>
      </c>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8"/>
      <c r="DS119" s="128"/>
      <c r="DT119" s="128"/>
      <c r="DU119" s="128"/>
      <c r="DV119" s="128"/>
      <c r="DW119" s="128"/>
      <c r="DX119" s="128"/>
      <c r="DY119" s="128"/>
      <c r="DZ119" s="530"/>
      <c r="EA119" s="530"/>
      <c r="EB119" s="530"/>
      <c r="EC119" s="530"/>
      <c r="ED119" s="530"/>
      <c r="EE119" s="530"/>
      <c r="EF119" s="530"/>
      <c r="EG119" s="530"/>
      <c r="EH119" s="530"/>
      <c r="EI119" s="530"/>
      <c r="EJ119" s="530"/>
      <c r="EK119" s="530"/>
      <c r="EL119" s="530"/>
      <c r="EM119" s="530"/>
      <c r="EN119" s="530"/>
      <c r="EO119" s="530"/>
      <c r="EP119" s="530"/>
      <c r="EQ119" s="530"/>
      <c r="ER119" s="530"/>
      <c r="ES119" s="530"/>
      <c r="ET119" s="530"/>
      <c r="EU119" s="530"/>
      <c r="EV119" s="530"/>
      <c r="EW119" s="530"/>
      <c r="EX119" s="530"/>
      <c r="EY119" s="530"/>
      <c r="EZ119" s="530"/>
      <c r="FA119" s="530"/>
      <c r="FB119" s="530"/>
      <c r="FC119" s="530"/>
      <c r="FD119" s="530"/>
      <c r="FE119" s="530"/>
      <c r="FF119" s="530"/>
      <c r="FG119" s="530"/>
      <c r="FH119" s="530"/>
      <c r="FI119" s="530"/>
      <c r="FJ119" s="530"/>
      <c r="FK119" s="530"/>
      <c r="FL119" s="530"/>
      <c r="FM119" s="530"/>
      <c r="FN119" s="530"/>
      <c r="FO119" s="530"/>
      <c r="FP119" s="530"/>
      <c r="FQ119" s="530"/>
      <c r="GL119" s="128"/>
      <c r="GM119" s="128"/>
      <c r="GN119" s="128"/>
      <c r="GO119" s="128"/>
      <c r="GP119" s="128"/>
      <c r="GQ119" s="128"/>
      <c r="GR119" s="128"/>
      <c r="GS119" s="128"/>
      <c r="GT119" s="128"/>
      <c r="GU119" s="128"/>
      <c r="GV119" s="128"/>
      <c r="GW119" s="128"/>
      <c r="GX119" s="128"/>
      <c r="GY119" s="128"/>
      <c r="GZ119" s="128"/>
      <c r="HA119" s="128"/>
      <c r="HB119" s="128"/>
      <c r="HC119" s="128"/>
      <c r="HD119" s="128"/>
      <c r="HE119" s="128"/>
      <c r="HF119" s="128"/>
      <c r="HG119" s="128"/>
      <c r="HH119" s="128"/>
      <c r="HI119" s="128"/>
      <c r="HJ119" s="128"/>
      <c r="HK119" s="128"/>
      <c r="HL119" s="128"/>
      <c r="HM119" s="128"/>
      <c r="HN119" s="128"/>
      <c r="HO119" s="128"/>
      <c r="HP119" s="128"/>
      <c r="HQ119" s="128"/>
      <c r="HR119" s="128"/>
      <c r="HS119" s="128"/>
      <c r="HT119" s="128"/>
      <c r="HU119" s="128"/>
      <c r="HV119" s="128"/>
      <c r="HW119" s="128"/>
      <c r="HX119" s="128"/>
      <c r="HY119" s="128"/>
      <c r="HZ119" s="128"/>
      <c r="IA119" s="128"/>
      <c r="IB119" s="128"/>
      <c r="IC119" s="128"/>
    </row>
    <row r="120" spans="41:237" x14ac:dyDescent="0.3">
      <c r="AO120" s="128">
        <v>48597</v>
      </c>
      <c r="AP120" s="128" t="s">
        <v>2371</v>
      </c>
      <c r="AQ120" s="128" t="s">
        <v>824</v>
      </c>
      <c r="AR120" s="375" t="s">
        <v>3594</v>
      </c>
      <c r="AS120" s="375">
        <v>46041</v>
      </c>
      <c r="AT120" s="375">
        <v>46230</v>
      </c>
      <c r="AU120" s="530">
        <v>76673</v>
      </c>
      <c r="AV120" s="532">
        <v>49985</v>
      </c>
      <c r="AW120" s="530">
        <v>500000</v>
      </c>
      <c r="AX120" s="534">
        <f>_xlfn.XLOOKUP(Sell_unvalid[[#This Row],[DEAL_BUY_ID]],BS!BA:BA,BS!BE:BE,,0)</f>
        <v>75957</v>
      </c>
      <c r="AY120" s="534">
        <f>_xlfn.XLOOKUP(Sell_unvalid[[#This Row],[BOND_CODE]],FNRP!D:D,FNRP!I:I,_xlfn.XLOOKUP(Sell_unvalid[[#This Row],[BOND_CODE]],FNRP!AV:AV,FNRP!BA:BA,,0),0)</f>
        <v>73584</v>
      </c>
      <c r="AZ120" s="534">
        <f>_xlfn.XLOOKUP(Sell_unvalid[[#This Row],[DEAL_BUY_ID]],BS!BA:BA,BS!BQ:BQ,,0)*Sell_unvalid[[#This Row],[QUANTITY]]</f>
        <v>-11940176562.891834</v>
      </c>
      <c r="BA120" s="534">
        <f>(Sell_unvalid[[#This Row],[Giá MtM]]-10^5)*Sell_unvalid[[#This Row],[QUANTITY]]-Sell_unvalid[[#This Row],[PTCK remain]]</f>
        <v>-1267823437.1081657</v>
      </c>
      <c r="BB120" s="534">
        <f>(Sell_unvalid[[#This Row],[PRICE]]-10^5)*Sell_unvalid[[#This Row],[QUANTITY]]-Sell_unvalid[[#This Row],[PTCK remain]]</f>
        <v>276676562.89183426</v>
      </c>
      <c r="BC120" s="534" t="str">
        <f>IF(AND(Sell_unvalid[[#This Row],[VALUE_DATE]]&lt;=RPT,Sell_unvalid[[#This Row],[TRANSACTION_STATUS]]="N"),"Check","Ok")</f>
        <v>Ok</v>
      </c>
      <c r="BD120" s="534"/>
      <c r="BE120" s="615"/>
      <c r="BF120" s="128">
        <v>50159</v>
      </c>
      <c r="BG120" s="128" t="s">
        <v>2497</v>
      </c>
      <c r="BH120" s="128" t="s">
        <v>824</v>
      </c>
      <c r="BI120" s="128" t="s">
        <v>3594</v>
      </c>
      <c r="BJ120" s="128">
        <v>46202</v>
      </c>
      <c r="BK120" s="128">
        <v>46211</v>
      </c>
      <c r="BL120" s="128">
        <v>1600000</v>
      </c>
      <c r="BM120" s="128">
        <v>93756</v>
      </c>
      <c r="BN120" s="534">
        <f>_xlfn.XLOOKUP(Buy_unvalid[[#This Row],[BOND_CODE]],FNRP!D:D,FNRP!I:I,,0)</f>
        <v>92330</v>
      </c>
      <c r="BO120" s="534">
        <f>_xlfn.XLOOKUP(Buy_unvalid[[#This Row],[DEAL_BUY_ID]],BS!BA:BA,BS!BQ:BQ,_xlfn.XLOOKUP(Buy_unvalid[[#This Row],[DEAL_BUY_ID]],BS!AL:AL,BS!AR:AR,,0),0)*Buy_unvalid[[#This Row],[QUANTITY]]</f>
        <v>-9947757487.4844608</v>
      </c>
      <c r="BP120" s="534">
        <f>(Buy_unvalid[[#This Row],[Giá MtM]]-10^5)*Buy_unvalid[[#This Row],[QUANTITY]]-Buy_unvalid[[#This Row],[PTCK remain]]</f>
        <v>-2324242512.5155392</v>
      </c>
      <c r="BQ120" s="534" t="str">
        <f>IF(AND(Buy_unvalid[[#This Row],[VALUE_DATE]]&lt;=RPT,Buy_unvalid[[#This Row],[TRANSACTION_STATUS]]="N"),"Check","Ok")</f>
        <v>Ok</v>
      </c>
      <c r="BS120" s="128"/>
      <c r="BT120" s="848"/>
      <c r="BU120" s="849">
        <v>46261</v>
      </c>
      <c r="BV120" s="848">
        <v>50400</v>
      </c>
      <c r="BW120" s="848"/>
      <c r="BX120" s="530">
        <v>-810000</v>
      </c>
      <c r="BY120" s="735">
        <f>_xlfn.XLOOKUP(Est_NIM[[#This Row],[DEAL_BUY_ID]],BS!AL:AL,BS!AU:AU,_xlfn.XLOOKUP(Est_NIM[[#This Row],[DEAL_BUY_ID]],BS!BA:BA,BS!BJ:BJ,,0),0)</f>
        <v>7.75</v>
      </c>
      <c r="BZ120" s="534">
        <f>Est_NIM[[#This Row],[QUANT]]*Est_NIM[[#This Row],[YIELD]]</f>
        <v>-6277500</v>
      </c>
      <c r="CA120" s="128"/>
      <c r="CB120" s="128"/>
      <c r="CE120" s="331"/>
      <c r="CF120" s="331"/>
      <c r="CG120" s="331"/>
      <c r="CH120">
        <v>3730</v>
      </c>
      <c r="CI120">
        <v>14282</v>
      </c>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8"/>
      <c r="DS120" s="128"/>
      <c r="DT120" s="128"/>
      <c r="DU120" s="128"/>
      <c r="DV120" s="128"/>
      <c r="DW120" s="128"/>
      <c r="DX120" s="128"/>
      <c r="DY120" s="128"/>
      <c r="DZ120" s="530"/>
      <c r="EA120" s="530"/>
      <c r="EB120" s="530"/>
      <c r="EC120" s="530"/>
      <c r="ED120" s="530"/>
      <c r="EE120" s="530"/>
      <c r="EF120" s="530"/>
      <c r="EG120" s="530"/>
      <c r="EH120" s="530"/>
      <c r="EI120" s="530"/>
      <c r="EJ120" s="530"/>
      <c r="EK120" s="530"/>
      <c r="EL120" s="530"/>
      <c r="EM120" s="530"/>
      <c r="EN120" s="530"/>
      <c r="EO120" s="530"/>
      <c r="EP120" s="530"/>
      <c r="EQ120" s="530"/>
      <c r="ER120" s="530"/>
      <c r="ES120" s="530"/>
      <c r="ET120" s="530"/>
      <c r="EU120" s="530"/>
      <c r="EV120" s="530"/>
      <c r="EW120" s="530"/>
      <c r="EX120" s="530"/>
      <c r="EY120" s="530"/>
      <c r="EZ120" s="530"/>
      <c r="FA120" s="530"/>
      <c r="FB120" s="530"/>
      <c r="FC120" s="530"/>
      <c r="FD120" s="530"/>
      <c r="FE120" s="530"/>
      <c r="FF120" s="530"/>
      <c r="FG120" s="530"/>
      <c r="FH120" s="530"/>
      <c r="FI120" s="530"/>
      <c r="FJ120" s="530"/>
      <c r="FK120" s="530"/>
      <c r="FL120" s="530"/>
      <c r="FM120" s="530"/>
      <c r="FN120" s="530"/>
      <c r="FO120" s="530"/>
      <c r="FP120" s="530"/>
      <c r="FQ120" s="530"/>
      <c r="GL120" s="128"/>
      <c r="GM120" s="128"/>
      <c r="GN120" s="128"/>
      <c r="GO120" s="128"/>
      <c r="GP120" s="128"/>
      <c r="GQ120" s="128"/>
      <c r="GR120" s="128"/>
      <c r="GS120" s="128"/>
      <c r="GT120" s="128"/>
      <c r="GU120" s="128"/>
      <c r="GV120" s="128"/>
      <c r="GW120" s="128"/>
      <c r="GX120" s="128"/>
      <c r="GY120" s="128"/>
      <c r="GZ120" s="128"/>
      <c r="HA120" s="128"/>
      <c r="HB120" s="128"/>
      <c r="HC120" s="128"/>
      <c r="HD120" s="128"/>
      <c r="HE120" s="128"/>
      <c r="HF120" s="128"/>
      <c r="HG120" s="128"/>
      <c r="HH120" s="128"/>
      <c r="HI120" s="128"/>
      <c r="HJ120" s="128"/>
      <c r="HK120" s="128"/>
      <c r="HL120" s="128"/>
      <c r="HM120" s="128"/>
      <c r="HN120" s="128"/>
      <c r="HO120" s="128"/>
      <c r="HP120" s="128"/>
      <c r="HQ120" s="128"/>
      <c r="HR120" s="128"/>
      <c r="HS120" s="128"/>
      <c r="HT120" s="128"/>
      <c r="HU120" s="128"/>
      <c r="HV120" s="128"/>
      <c r="HW120" s="128"/>
      <c r="HX120" s="128"/>
      <c r="HY120" s="128"/>
      <c r="HZ120" s="128"/>
      <c r="IA120" s="128"/>
      <c r="IB120" s="128"/>
      <c r="IC120" s="128"/>
    </row>
    <row r="121" spans="41:237" x14ac:dyDescent="0.3">
      <c r="AO121" s="128">
        <v>48597</v>
      </c>
      <c r="AP121" s="128" t="s">
        <v>2371</v>
      </c>
      <c r="AQ121" s="128" t="s">
        <v>824</v>
      </c>
      <c r="AR121" s="128" t="s">
        <v>3594</v>
      </c>
      <c r="AS121" s="375">
        <v>46041</v>
      </c>
      <c r="AT121" s="375">
        <v>46230</v>
      </c>
      <c r="AU121" s="530">
        <v>76673</v>
      </c>
      <c r="AV121" s="128">
        <v>49997</v>
      </c>
      <c r="AW121" s="530">
        <v>2010000</v>
      </c>
      <c r="AX121" s="534">
        <f>_xlfn.XLOOKUP(Sell_unvalid[[#This Row],[DEAL_BUY_ID]],BS!BA:BA,BS!BE:BE,,0)</f>
        <v>78448</v>
      </c>
      <c r="AY121" s="534">
        <f>_xlfn.XLOOKUP(Sell_unvalid[[#This Row],[BOND_CODE]],FNRP!D:D,FNRP!I:I,_xlfn.XLOOKUP(Sell_unvalid[[#This Row],[BOND_CODE]],FNRP!AV:AV,FNRP!BA:BA,,0),0)</f>
        <v>73584</v>
      </c>
      <c r="AZ121" s="534">
        <f>_xlfn.XLOOKUP(Sell_unvalid[[#This Row],[DEAL_BUY_ID]],BS!BA:BA,BS!BQ:BQ,,0)*Sell_unvalid[[#This Row],[QUANTITY]]</f>
        <v>-43095928685.072525</v>
      </c>
      <c r="BA121" s="534">
        <f>(Sell_unvalid[[#This Row],[Giá MtM]]-10^5)*Sell_unvalid[[#This Row],[QUANTITY]]-Sell_unvalid[[#This Row],[PTCK remain]]</f>
        <v>-10000231314.927475</v>
      </c>
      <c r="BB121" s="534">
        <f>(Sell_unvalid[[#This Row],[PRICE]]-10^5)*Sell_unvalid[[#This Row],[QUANTITY]]-Sell_unvalid[[#This Row],[PTCK remain]]</f>
        <v>-3791341314.927475</v>
      </c>
      <c r="BC121" s="534" t="str">
        <f>IF(AND(Sell_unvalid[[#This Row],[VALUE_DATE]]&lt;=RPT,Sell_unvalid[[#This Row],[TRANSACTION_STATUS]]="N"),"Check","Ok")</f>
        <v>Ok</v>
      </c>
      <c r="BD121" s="534"/>
      <c r="BE121" s="615"/>
      <c r="BF121" s="128">
        <v>50187</v>
      </c>
      <c r="BG121" s="128" t="s">
        <v>2497</v>
      </c>
      <c r="BH121" s="128" t="s">
        <v>824</v>
      </c>
      <c r="BI121" s="128" t="s">
        <v>3594</v>
      </c>
      <c r="BJ121" s="128">
        <v>46216</v>
      </c>
      <c r="BK121" s="128">
        <v>46225</v>
      </c>
      <c r="BL121" s="128">
        <v>480000</v>
      </c>
      <c r="BM121" s="128">
        <v>104870</v>
      </c>
      <c r="BN121" s="534">
        <f>_xlfn.XLOOKUP(Buy_unvalid[[#This Row],[BOND_CODE]],FNRP!D:D,FNRP!I:I,,0)</f>
        <v>92330</v>
      </c>
      <c r="BO121" s="534">
        <f>_xlfn.XLOOKUP(Buy_unvalid[[#This Row],[DEAL_BUY_ID]],BS!BA:BA,BS!BQ:BQ,_xlfn.XLOOKUP(Buy_unvalid[[#This Row],[DEAL_BUY_ID]],BS!AL:AL,BS!AR:AR,,0),0)*Buy_unvalid[[#This Row],[QUANTITY]]</f>
        <v>2330723335.2599468</v>
      </c>
      <c r="BP121" s="534">
        <f>(Buy_unvalid[[#This Row],[Giá MtM]]-10^5)*Buy_unvalid[[#This Row],[QUANTITY]]-Buy_unvalid[[#This Row],[PTCK remain]]</f>
        <v>-6012323335.2599468</v>
      </c>
      <c r="BQ121" s="534" t="str">
        <f>IF(AND(Buy_unvalid[[#This Row],[VALUE_DATE]]&lt;=RPT,Buy_unvalid[[#This Row],[TRANSACTION_STATUS]]="N"),"Check","Ok")</f>
        <v>Ok</v>
      </c>
      <c r="BS121" s="128"/>
      <c r="BT121" s="848"/>
      <c r="BU121" s="849">
        <v>46269</v>
      </c>
      <c r="BV121" s="848">
        <v>50446</v>
      </c>
      <c r="BW121" s="848"/>
      <c r="BX121" s="530">
        <v>-800000</v>
      </c>
      <c r="BY121" s="735">
        <f>_xlfn.XLOOKUP(Est_NIM[[#This Row],[DEAL_BUY_ID]],BS!AL:AL,BS!AU:AU,_xlfn.XLOOKUP(Est_NIM[[#This Row],[DEAL_BUY_ID]],BS!BA:BA,BS!BJ:BJ,,0),0)</f>
        <v>4.2</v>
      </c>
      <c r="BZ121" s="534">
        <f>Est_NIM[[#This Row],[QUANT]]*Est_NIM[[#This Row],[YIELD]]</f>
        <v>-3360000</v>
      </c>
      <c r="CA121" s="128"/>
      <c r="CB121" s="128"/>
      <c r="CE121" s="331"/>
      <c r="CF121" s="331"/>
      <c r="CG121" s="331"/>
      <c r="CH121">
        <v>3730</v>
      </c>
      <c r="CI121">
        <v>14282</v>
      </c>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8"/>
      <c r="DS121" s="128"/>
      <c r="DT121" s="128"/>
      <c r="DU121" s="128"/>
      <c r="DV121" s="128"/>
      <c r="DW121" s="128"/>
      <c r="DX121" s="128"/>
      <c r="DY121" s="128"/>
      <c r="DZ121" s="530"/>
      <c r="EA121" s="530"/>
      <c r="EB121" s="530"/>
      <c r="EC121" s="530"/>
      <c r="ED121" s="530"/>
      <c r="EE121" s="530"/>
      <c r="EF121" s="530"/>
      <c r="EG121" s="530"/>
      <c r="EH121" s="530"/>
      <c r="EI121" s="530"/>
      <c r="EJ121" s="530"/>
      <c r="EK121" s="530"/>
      <c r="EL121" s="530"/>
      <c r="EM121" s="530"/>
      <c r="EN121" s="530"/>
      <c r="EO121" s="530"/>
      <c r="EP121" s="530"/>
      <c r="EQ121" s="530"/>
      <c r="ER121" s="530"/>
      <c r="ES121" s="530"/>
      <c r="ET121" s="530"/>
      <c r="EU121" s="530"/>
      <c r="EV121" s="530"/>
      <c r="EW121" s="530"/>
      <c r="EX121" s="530"/>
      <c r="EY121" s="530"/>
      <c r="EZ121" s="530"/>
      <c r="FA121" s="530"/>
      <c r="FB121" s="530"/>
      <c r="FC121" s="530"/>
      <c r="FD121" s="530"/>
      <c r="FE121" s="530"/>
      <c r="FF121" s="530"/>
      <c r="FG121" s="530"/>
      <c r="FH121" s="530"/>
      <c r="FI121" s="530"/>
      <c r="FJ121" s="530"/>
      <c r="FK121" s="530"/>
      <c r="FL121" s="530"/>
      <c r="FM121" s="530"/>
      <c r="FN121" s="530"/>
      <c r="FO121" s="530"/>
      <c r="FP121" s="530"/>
      <c r="FQ121" s="530"/>
      <c r="GL121" s="128"/>
      <c r="GM121" s="128"/>
      <c r="GN121" s="128"/>
      <c r="GO121" s="128"/>
      <c r="GP121" s="128"/>
      <c r="GQ121" s="128"/>
      <c r="GR121" s="128"/>
      <c r="GS121" s="128"/>
      <c r="GT121" s="128"/>
      <c r="GU121" s="128"/>
      <c r="GV121" s="128"/>
      <c r="GW121" s="128"/>
      <c r="GX121" s="128"/>
      <c r="GY121" s="128"/>
      <c r="GZ121" s="128"/>
      <c r="HA121" s="128"/>
      <c r="HB121" s="128"/>
      <c r="HC121" s="128"/>
      <c r="HD121" s="128"/>
      <c r="HE121" s="128"/>
      <c r="HF121" s="128"/>
      <c r="HG121" s="128"/>
      <c r="HH121" s="128"/>
      <c r="HI121" s="128"/>
      <c r="HJ121" s="128"/>
      <c r="HK121" s="128"/>
      <c r="HL121" s="128"/>
      <c r="HM121" s="128"/>
      <c r="HN121" s="128"/>
      <c r="HO121" s="128"/>
      <c r="HP121" s="128"/>
      <c r="HQ121" s="128"/>
      <c r="HR121" s="128"/>
      <c r="HS121" s="128"/>
      <c r="HT121" s="128"/>
      <c r="HU121" s="128"/>
      <c r="HV121" s="128"/>
      <c r="HW121" s="128"/>
      <c r="HX121" s="128"/>
      <c r="HY121" s="128"/>
      <c r="HZ121" s="128"/>
      <c r="IA121" s="128"/>
      <c r="IB121" s="128"/>
      <c r="IC121" s="128"/>
    </row>
    <row r="122" spans="41:237" x14ac:dyDescent="0.3">
      <c r="AO122" s="128">
        <v>48597</v>
      </c>
      <c r="AP122" s="128" t="s">
        <v>2371</v>
      </c>
      <c r="AQ122" s="128" t="s">
        <v>824</v>
      </c>
      <c r="AR122" s="128" t="s">
        <v>3594</v>
      </c>
      <c r="AS122" s="375">
        <v>46041</v>
      </c>
      <c r="AT122" s="375">
        <v>46230</v>
      </c>
      <c r="AU122" s="530">
        <v>76673</v>
      </c>
      <c r="AV122" s="128">
        <v>50199</v>
      </c>
      <c r="AW122" s="530">
        <v>620000</v>
      </c>
      <c r="AX122" s="534">
        <f>_xlfn.XLOOKUP(Sell_unvalid[[#This Row],[DEAL_BUY_ID]],BS!BA:BA,BS!BE:BE,,0)</f>
        <v>75980</v>
      </c>
      <c r="AY122" s="534">
        <f>_xlfn.XLOOKUP(Sell_unvalid[[#This Row],[BOND_CODE]],FNRP!D:D,FNRP!I:I,_xlfn.XLOOKUP(Sell_unvalid[[#This Row],[BOND_CODE]],FNRP!AV:AV,FNRP!BA:BA,,0),0)</f>
        <v>73584</v>
      </c>
      <c r="AZ122" s="534">
        <f>_xlfn.XLOOKUP(Sell_unvalid[[#This Row],[DEAL_BUY_ID]],BS!BA:BA,BS!BQ:BQ,,0)*Sell_unvalid[[#This Row],[QUANTITY]]</f>
        <v>-14847337547.43589</v>
      </c>
      <c r="BA122" s="534">
        <f>(Sell_unvalid[[#This Row],[Giá MtM]]-10^5)*Sell_unvalid[[#This Row],[QUANTITY]]-Sell_unvalid[[#This Row],[PTCK remain]]</f>
        <v>-1530582452.5641098</v>
      </c>
      <c r="BB122" s="534">
        <f>(Sell_unvalid[[#This Row],[PRICE]]-10^5)*Sell_unvalid[[#This Row],[QUANTITY]]-Sell_unvalid[[#This Row],[PTCK remain]]</f>
        <v>384597547.4358902</v>
      </c>
      <c r="BC122" s="534" t="str">
        <f>IF(AND(Sell_unvalid[[#This Row],[VALUE_DATE]]&lt;=RPT,Sell_unvalid[[#This Row],[TRANSACTION_STATUS]]="N"),"Check","Ok")</f>
        <v>Ok</v>
      </c>
      <c r="BD122" s="534"/>
      <c r="BE122" s="615"/>
      <c r="BF122" s="128">
        <v>50402</v>
      </c>
      <c r="BG122" s="128" t="s">
        <v>636</v>
      </c>
      <c r="BH122" s="128" t="s">
        <v>824</v>
      </c>
      <c r="BI122" s="128" t="s">
        <v>2234</v>
      </c>
      <c r="BJ122" s="128">
        <v>46247</v>
      </c>
      <c r="BK122" s="128">
        <v>46255</v>
      </c>
      <c r="BL122" s="128">
        <v>1000000</v>
      </c>
      <c r="BM122" s="128">
        <v>92706</v>
      </c>
      <c r="BN122" s="534">
        <f>_xlfn.XLOOKUP(Buy_unvalid[[#This Row],[BOND_CODE]],FNRP!D:D,FNRP!I:I,,0)</f>
        <v>92544</v>
      </c>
      <c r="BO122" s="534">
        <f>_xlfn.XLOOKUP(Buy_unvalid[[#This Row],[DEAL_BUY_ID]],BS!BA:BA,BS!BQ:BQ,_xlfn.XLOOKUP(Buy_unvalid[[#This Row],[DEAL_BUY_ID]],BS!AL:AL,BS!AR:AR,,0),0)*Buy_unvalid[[#This Row],[QUANTITY]]</f>
        <v>-7303077784.6919727</v>
      </c>
      <c r="BP122" s="534">
        <f>(Buy_unvalid[[#This Row],[Giá MtM]]-10^5)*Buy_unvalid[[#This Row],[QUANTITY]]-Buy_unvalid[[#This Row],[PTCK remain]]</f>
        <v>-152922215.30802727</v>
      </c>
      <c r="BQ122" s="534" t="str">
        <f>IF(AND(Buy_unvalid[[#This Row],[VALUE_DATE]]&lt;=RPT,Buy_unvalid[[#This Row],[TRANSACTION_STATUS]]="N"),"Check","Ok")</f>
        <v>Ok</v>
      </c>
      <c r="BS122" s="128"/>
      <c r="BT122" s="848"/>
      <c r="BU122" s="849">
        <v>46269</v>
      </c>
      <c r="BV122" s="848">
        <v>50448</v>
      </c>
      <c r="BW122" s="848"/>
      <c r="BX122" s="530">
        <v>-560000</v>
      </c>
      <c r="BY122" s="735">
        <f>_xlfn.XLOOKUP(Est_NIM[[#This Row],[DEAL_BUY_ID]],BS!AL:AL,BS!AU:AU,_xlfn.XLOOKUP(Est_NIM[[#This Row],[DEAL_BUY_ID]],BS!BA:BA,BS!BJ:BJ,,0),0)</f>
        <v>7.75</v>
      </c>
      <c r="BZ122" s="534">
        <f>Est_NIM[[#This Row],[QUANT]]*Est_NIM[[#This Row],[YIELD]]</f>
        <v>-4340000</v>
      </c>
      <c r="CA122" s="128"/>
      <c r="CB122" s="128"/>
      <c r="CE122" s="331"/>
      <c r="CF122" s="331"/>
      <c r="CG122" s="331"/>
      <c r="CH122">
        <v>3730</v>
      </c>
      <c r="CI122">
        <v>14282</v>
      </c>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8"/>
      <c r="DS122" s="128"/>
      <c r="DT122" s="128"/>
      <c r="DU122" s="128"/>
      <c r="DV122" s="128"/>
      <c r="DW122" s="128"/>
      <c r="DX122" s="128"/>
      <c r="DY122" s="128"/>
      <c r="DZ122" s="530"/>
      <c r="EA122" s="530"/>
      <c r="EB122" s="530"/>
      <c r="EC122" s="530"/>
      <c r="ED122" s="530"/>
      <c r="EE122" s="530"/>
      <c r="EF122" s="530"/>
      <c r="EG122" s="530"/>
      <c r="EH122" s="530"/>
      <c r="EI122" s="530"/>
      <c r="EJ122" s="530"/>
      <c r="EK122" s="530"/>
      <c r="EL122" s="530"/>
      <c r="EM122" s="530"/>
      <c r="EN122" s="530"/>
      <c r="EO122" s="530"/>
      <c r="EP122" s="530"/>
      <c r="EQ122" s="530"/>
      <c r="ER122" s="530"/>
      <c r="ES122" s="530"/>
      <c r="ET122" s="530"/>
      <c r="EU122" s="530"/>
      <c r="EV122" s="530"/>
      <c r="EW122" s="530"/>
      <c r="EX122" s="530"/>
      <c r="EY122" s="530"/>
      <c r="EZ122" s="530"/>
      <c r="FA122" s="530"/>
      <c r="FB122" s="530"/>
      <c r="FC122" s="530"/>
      <c r="FD122" s="530"/>
      <c r="FE122" s="530"/>
      <c r="FF122" s="530"/>
      <c r="FG122" s="530"/>
      <c r="FH122" s="530"/>
      <c r="FI122" s="530"/>
      <c r="FJ122" s="530"/>
      <c r="FK122" s="530"/>
      <c r="FL122" s="530"/>
      <c r="FM122" s="530"/>
      <c r="FN122" s="530"/>
      <c r="FO122" s="530"/>
      <c r="FP122" s="530"/>
      <c r="FQ122" s="530"/>
      <c r="GL122" s="128"/>
      <c r="GM122" s="128"/>
      <c r="GN122" s="128"/>
      <c r="GO122" s="128"/>
      <c r="GP122" s="128"/>
      <c r="GQ122" s="128"/>
      <c r="GR122" s="128"/>
      <c r="GS122" s="128"/>
      <c r="GT122" s="128"/>
      <c r="GU122" s="128"/>
      <c r="GV122" s="128"/>
      <c r="GW122" s="128"/>
      <c r="GX122" s="128"/>
      <c r="GY122" s="128"/>
      <c r="GZ122" s="128"/>
      <c r="HA122" s="128"/>
      <c r="HB122" s="128"/>
      <c r="HC122" s="128"/>
      <c r="HD122" s="128"/>
      <c r="HE122" s="128"/>
      <c r="HF122" s="128"/>
      <c r="HG122" s="128"/>
      <c r="HH122" s="128"/>
      <c r="HI122" s="128"/>
      <c r="HJ122" s="128"/>
      <c r="HK122" s="128"/>
      <c r="HL122" s="128"/>
      <c r="HM122" s="128"/>
      <c r="HN122" s="128"/>
      <c r="HO122" s="128"/>
      <c r="HP122" s="128"/>
      <c r="HQ122" s="128"/>
      <c r="HR122" s="128"/>
      <c r="HS122" s="128"/>
      <c r="HT122" s="128"/>
      <c r="HU122" s="128"/>
      <c r="HV122" s="128"/>
      <c r="HW122" s="128"/>
      <c r="HX122" s="128"/>
      <c r="HY122" s="128"/>
      <c r="HZ122" s="128"/>
      <c r="IA122" s="128"/>
      <c r="IB122" s="128"/>
      <c r="IC122" s="128"/>
    </row>
    <row r="123" spans="41:237" x14ac:dyDescent="0.3">
      <c r="AO123" s="128">
        <v>50198</v>
      </c>
      <c r="AP123" s="128" t="s">
        <v>2371</v>
      </c>
      <c r="AQ123" s="128" t="s">
        <v>824</v>
      </c>
      <c r="AR123" s="128" t="s">
        <v>3594</v>
      </c>
      <c r="AS123" s="375">
        <v>46220</v>
      </c>
      <c r="AT123" s="375">
        <v>46224</v>
      </c>
      <c r="AU123" s="530">
        <v>76004</v>
      </c>
      <c r="AV123" s="128">
        <v>49985</v>
      </c>
      <c r="AW123" s="530">
        <v>620000</v>
      </c>
      <c r="AX123" s="534">
        <f>_xlfn.XLOOKUP(Sell_unvalid[[#This Row],[DEAL_BUY_ID]],BS!BA:BA,BS!BE:BE,,0)</f>
        <v>75957</v>
      </c>
      <c r="AY123" s="534">
        <f>_xlfn.XLOOKUP(Sell_unvalid[[#This Row],[BOND_CODE]],FNRP!D:D,FNRP!I:I,_xlfn.XLOOKUP(Sell_unvalid[[#This Row],[BOND_CODE]],FNRP!AV:AV,FNRP!BA:BA,,0),0)</f>
        <v>73584</v>
      </c>
      <c r="AZ123" s="534">
        <f>_xlfn.XLOOKUP(Sell_unvalid[[#This Row],[DEAL_BUY_ID]],BS!BA:BA,BS!BQ:BQ,,0)*Sell_unvalid[[#This Row],[QUANTITY]]</f>
        <v>-14805818937.985874</v>
      </c>
      <c r="BA123" s="534">
        <f>(Sell_unvalid[[#This Row],[Giá MtM]]-10^5)*Sell_unvalid[[#This Row],[QUANTITY]]-Sell_unvalid[[#This Row],[PTCK remain]]</f>
        <v>-1572101062.0141258</v>
      </c>
      <c r="BB123" s="534">
        <f>(Sell_unvalid[[#This Row],[PRICE]]-10^5)*Sell_unvalid[[#This Row],[QUANTITY]]-Sell_unvalid[[#This Row],[PTCK remain]]</f>
        <v>-71701062.014125824</v>
      </c>
      <c r="BC123" s="534" t="str">
        <f>IF(AND(Sell_unvalid[[#This Row],[VALUE_DATE]]&lt;=RPT,Sell_unvalid[[#This Row],[TRANSACTION_STATUS]]="N"),"Check","Ok")</f>
        <v>Ok</v>
      </c>
      <c r="BD123" s="534"/>
      <c r="BE123" s="615"/>
      <c r="BF123" s="128">
        <v>50406</v>
      </c>
      <c r="BG123" s="128" t="s">
        <v>1209</v>
      </c>
      <c r="BH123" s="128" t="s">
        <v>824</v>
      </c>
      <c r="BI123" s="128" t="s">
        <v>2234</v>
      </c>
      <c r="BJ123" s="128">
        <v>46247</v>
      </c>
      <c r="BK123" s="128">
        <v>46259</v>
      </c>
      <c r="BL123" s="128">
        <v>190000</v>
      </c>
      <c r="BM123" s="128">
        <v>123262</v>
      </c>
      <c r="BN123" s="534">
        <f>_xlfn.XLOOKUP(Buy_unvalid[[#This Row],[BOND_CODE]],FNRP!D:D,FNRP!I:I,,0)</f>
        <v>124387</v>
      </c>
      <c r="BO123" s="534">
        <f>_xlfn.XLOOKUP(Buy_unvalid[[#This Row],[DEAL_BUY_ID]],BS!BA:BA,BS!BQ:BQ,_xlfn.XLOOKUP(Buy_unvalid[[#This Row],[DEAL_BUY_ID]],BS!AL:AL,BS!AR:AR,,0),0)*Buy_unvalid[[#This Row],[QUANTITY]]</f>
        <v>4427855663.6229935</v>
      </c>
      <c r="BP123" s="534">
        <f>(Buy_unvalid[[#This Row],[Giá MtM]]-10^5)*Buy_unvalid[[#This Row],[QUANTITY]]-Buy_unvalid[[#This Row],[PTCK remain]]</f>
        <v>205674336.37700653</v>
      </c>
      <c r="BQ123" s="534" t="str">
        <f>IF(AND(Buy_unvalid[[#This Row],[VALUE_DATE]]&lt;=RPT,Buy_unvalid[[#This Row],[TRANSACTION_STATUS]]="N"),"Check","Ok")</f>
        <v>Ok</v>
      </c>
      <c r="BS123" s="128"/>
      <c r="BT123" s="848"/>
      <c r="BU123" s="849">
        <v>46262</v>
      </c>
      <c r="BV123" s="848">
        <v>50430</v>
      </c>
      <c r="BW123" s="848"/>
      <c r="BX123" s="530">
        <v>-800000</v>
      </c>
      <c r="BY123" s="735">
        <f>_xlfn.XLOOKUP(Est_NIM[[#This Row],[DEAL_BUY_ID]],BS!AL:AL,BS!AU:AU,_xlfn.XLOOKUP(Est_NIM[[#This Row],[DEAL_BUY_ID]],BS!BA:BA,BS!BJ:BJ,,0),0)</f>
        <v>4.2</v>
      </c>
      <c r="BZ123" s="534">
        <f>Est_NIM[[#This Row],[QUANT]]*Est_NIM[[#This Row],[YIELD]]</f>
        <v>-3360000</v>
      </c>
      <c r="CA123" s="128"/>
      <c r="CB123" s="128"/>
      <c r="CE123" s="331"/>
      <c r="CF123" s="331"/>
      <c r="CG123" s="331"/>
      <c r="CH123">
        <v>3730</v>
      </c>
      <c r="CI123">
        <v>14282</v>
      </c>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8"/>
      <c r="DS123" s="128"/>
      <c r="DT123" s="128"/>
      <c r="DU123" s="128"/>
      <c r="DV123" s="128"/>
      <c r="DW123" s="128"/>
      <c r="DX123" s="128"/>
      <c r="DY123" s="128"/>
      <c r="DZ123" s="530"/>
      <c r="EA123" s="530"/>
      <c r="EB123" s="530"/>
      <c r="EC123" s="530"/>
      <c r="ED123" s="530"/>
      <c r="EE123" s="530"/>
      <c r="EF123" s="530"/>
      <c r="EG123" s="530"/>
      <c r="EH123" s="530"/>
      <c r="EI123" s="530"/>
      <c r="EJ123" s="530"/>
      <c r="EK123" s="530"/>
      <c r="EL123" s="530"/>
      <c r="EM123" s="530"/>
      <c r="EN123" s="530"/>
      <c r="EO123" s="530"/>
      <c r="EP123" s="530"/>
      <c r="EQ123" s="530"/>
      <c r="ER123" s="530"/>
      <c r="ES123" s="530"/>
      <c r="ET123" s="530"/>
      <c r="EU123" s="530"/>
      <c r="EV123" s="530"/>
      <c r="EW123" s="530"/>
      <c r="EX123" s="530"/>
      <c r="EY123" s="530"/>
      <c r="EZ123" s="530"/>
      <c r="FA123" s="530"/>
      <c r="FB123" s="530"/>
      <c r="FC123" s="530"/>
      <c r="FD123" s="530"/>
      <c r="FE123" s="530"/>
      <c r="FF123" s="530"/>
      <c r="FG123" s="530"/>
      <c r="FH123" s="530"/>
      <c r="FI123" s="530"/>
      <c r="FJ123" s="530"/>
      <c r="FK123" s="530"/>
      <c r="FL123" s="530"/>
      <c r="FM123" s="530"/>
      <c r="FN123" s="530"/>
      <c r="FO123" s="530"/>
      <c r="FP123" s="530"/>
      <c r="FQ123" s="530"/>
      <c r="GL123" s="128"/>
      <c r="GM123" s="128"/>
      <c r="GN123" s="128"/>
      <c r="GO123" s="128"/>
      <c r="GP123" s="128"/>
      <c r="GQ123" s="128"/>
      <c r="GR123" s="128"/>
      <c r="GS123" s="128"/>
      <c r="GT123" s="128"/>
      <c r="GU123" s="128"/>
      <c r="GV123" s="128"/>
      <c r="GW123" s="128"/>
      <c r="GX123" s="128"/>
      <c r="GY123" s="128"/>
      <c r="GZ123" s="128"/>
      <c r="HA123" s="128"/>
      <c r="HB123" s="128"/>
      <c r="HC123" s="128"/>
      <c r="HD123" s="128"/>
      <c r="HE123" s="128"/>
      <c r="HF123" s="128"/>
      <c r="HG123" s="128"/>
      <c r="HH123" s="128"/>
      <c r="HI123" s="128"/>
      <c r="HJ123" s="128"/>
      <c r="HK123" s="128"/>
      <c r="HL123" s="128"/>
      <c r="HM123" s="128"/>
      <c r="HN123" s="128"/>
      <c r="HO123" s="128"/>
      <c r="HP123" s="128"/>
      <c r="HQ123" s="128"/>
      <c r="HR123" s="128"/>
      <c r="HS123" s="128"/>
      <c r="HT123" s="128"/>
      <c r="HU123" s="128"/>
      <c r="HV123" s="128"/>
      <c r="HW123" s="128"/>
      <c r="HX123" s="128"/>
      <c r="HY123" s="128"/>
      <c r="HZ123" s="128"/>
      <c r="IA123" s="128"/>
      <c r="IB123" s="128"/>
      <c r="IC123" s="128"/>
    </row>
    <row r="124" spans="41:237" x14ac:dyDescent="0.3">
      <c r="AO124" s="128">
        <v>50218</v>
      </c>
      <c r="AP124" s="128" t="s">
        <v>2371</v>
      </c>
      <c r="AQ124" s="128" t="s">
        <v>824</v>
      </c>
      <c r="AR124" s="375" t="s">
        <v>3594</v>
      </c>
      <c r="AS124" s="375">
        <v>46224</v>
      </c>
      <c r="AT124" s="375">
        <v>46386</v>
      </c>
      <c r="AU124" s="530">
        <v>71555</v>
      </c>
      <c r="AV124" s="532">
        <v>50214</v>
      </c>
      <c r="AW124" s="530">
        <v>3370000</v>
      </c>
      <c r="AX124" s="534">
        <f>_xlfn.XLOOKUP(Sell_unvalid[[#This Row],[DEAL_BUY_ID]],BS!BA:BA,BS!BE:BE,,0)</f>
        <v>71576</v>
      </c>
      <c r="AY124" s="534">
        <f>_xlfn.XLOOKUP(Sell_unvalid[[#This Row],[BOND_CODE]],FNRP!D:D,FNRP!I:I,_xlfn.XLOOKUP(Sell_unvalid[[#This Row],[BOND_CODE]],FNRP!AV:AV,FNRP!BA:BA,,0),0)</f>
        <v>73584</v>
      </c>
      <c r="AZ124" s="534">
        <f>_xlfn.XLOOKUP(Sell_unvalid[[#This Row],[DEAL_BUY_ID]],BS!BA:BA,BS!BQ:BQ,,0)*Sell_unvalid[[#This Row],[QUANTITY]]</f>
        <v>-95509367651.034592</v>
      </c>
      <c r="BA124" s="534">
        <f>(Sell_unvalid[[#This Row],[Giá MtM]]-10^5)*Sell_unvalid[[#This Row],[QUANTITY]]-Sell_unvalid[[#This Row],[PTCK remain]]</f>
        <v>6487447651.0345917</v>
      </c>
      <c r="BB124" s="534">
        <f>(Sell_unvalid[[#This Row],[PRICE]]-10^5)*Sell_unvalid[[#This Row],[QUANTITY]]-Sell_unvalid[[#This Row],[PTCK remain]]</f>
        <v>-350282348.96540833</v>
      </c>
      <c r="BC124" s="534" t="str">
        <f>IF(AND(Sell_unvalid[[#This Row],[VALUE_DATE]]&lt;=RPT,Sell_unvalid[[#This Row],[TRANSACTION_STATUS]]="N"),"Check","Ok")</f>
        <v>Ok</v>
      </c>
      <c r="BD124" s="534"/>
      <c r="BE124" s="615"/>
      <c r="BF124" s="128">
        <v>50404</v>
      </c>
      <c r="BG124" s="128" t="s">
        <v>2497</v>
      </c>
      <c r="BH124" s="128" t="s">
        <v>824</v>
      </c>
      <c r="BI124" s="128" t="s">
        <v>2234</v>
      </c>
      <c r="BJ124" s="128">
        <v>46247</v>
      </c>
      <c r="BK124" s="128">
        <v>46259</v>
      </c>
      <c r="BL124" s="128">
        <v>800000</v>
      </c>
      <c r="BM124" s="128">
        <v>103175</v>
      </c>
      <c r="BN124" s="534">
        <f>_xlfn.XLOOKUP(Buy_unvalid[[#This Row],[BOND_CODE]],FNRP!D:D,FNRP!I:I,,0)</f>
        <v>92330</v>
      </c>
      <c r="BO124" s="534">
        <f>_xlfn.XLOOKUP(Buy_unvalid[[#This Row],[DEAL_BUY_ID]],BS!BA:BA,BS!BQ:BQ,_xlfn.XLOOKUP(Buy_unvalid[[#This Row],[DEAL_BUY_ID]],BS!AL:AL,BS!AR:AR,,0),0)*Buy_unvalid[[#This Row],[QUANTITY]]</f>
        <v>2541920902.7237744</v>
      </c>
      <c r="BP124" s="534">
        <f>(Buy_unvalid[[#This Row],[Giá MtM]]-10^5)*Buy_unvalid[[#This Row],[QUANTITY]]-Buy_unvalid[[#This Row],[PTCK remain]]</f>
        <v>-8677920902.723774</v>
      </c>
      <c r="BQ124" s="534" t="str">
        <f>IF(AND(Buy_unvalid[[#This Row],[VALUE_DATE]]&lt;=RPT,Buy_unvalid[[#This Row],[TRANSACTION_STATUS]]="N"),"Check","Ok")</f>
        <v>Ok</v>
      </c>
      <c r="BS124" s="128"/>
      <c r="BT124" s="848"/>
      <c r="BU124" s="849">
        <v>46262</v>
      </c>
      <c r="BV124" s="848">
        <v>50426</v>
      </c>
      <c r="BW124" s="848"/>
      <c r="BX124" s="530">
        <v>-1000000</v>
      </c>
      <c r="BY124" s="735">
        <f>_xlfn.XLOOKUP(Est_NIM[[#This Row],[DEAL_BUY_ID]],BS!AL:AL,BS!AU:AU,_xlfn.XLOOKUP(Est_NIM[[#This Row],[DEAL_BUY_ID]],BS!BA:BA,BS!BJ:BJ,,0),0)</f>
        <v>2.2000000000000002</v>
      </c>
      <c r="BZ124" s="534">
        <f>Est_NIM[[#This Row],[QUANT]]*Est_NIM[[#This Row],[YIELD]]</f>
        <v>-2200000</v>
      </c>
      <c r="CA124" s="128"/>
      <c r="CB124" s="128"/>
      <c r="CE124" s="331"/>
      <c r="CF124" s="331"/>
      <c r="CG124" s="331"/>
      <c r="CH124">
        <v>3730</v>
      </c>
      <c r="CI124">
        <v>14282</v>
      </c>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8"/>
      <c r="DS124" s="128"/>
      <c r="DT124" s="128"/>
      <c r="DU124" s="128"/>
      <c r="DV124" s="128"/>
      <c r="DW124" s="128"/>
      <c r="DX124" s="128"/>
      <c r="DY124" s="128"/>
      <c r="DZ124" s="530"/>
      <c r="EA124" s="530"/>
      <c r="EB124" s="530"/>
      <c r="EC124" s="530"/>
      <c r="ED124" s="530"/>
      <c r="EE124" s="530"/>
      <c r="EF124" s="530"/>
      <c r="EG124" s="530"/>
      <c r="EH124" s="530"/>
      <c r="EI124" s="530"/>
      <c r="EJ124" s="530"/>
      <c r="EK124" s="530"/>
      <c r="EL124" s="530"/>
      <c r="EM124" s="530"/>
      <c r="EN124" s="530"/>
      <c r="EO124" s="530"/>
      <c r="EP124" s="530"/>
      <c r="EQ124" s="530"/>
      <c r="ER124" s="530"/>
      <c r="ES124" s="530"/>
      <c r="ET124" s="530"/>
      <c r="EU124" s="530"/>
      <c r="EV124" s="530"/>
      <c r="EW124" s="530"/>
      <c r="EX124" s="530"/>
      <c r="EY124" s="530"/>
      <c r="EZ124" s="530"/>
      <c r="FA124" s="530"/>
      <c r="FB124" s="530"/>
      <c r="FC124" s="530"/>
      <c r="FD124" s="530"/>
      <c r="FE124" s="530"/>
      <c r="FF124" s="530"/>
      <c r="FG124" s="530"/>
      <c r="FH124" s="530"/>
      <c r="FI124" s="530"/>
      <c r="FJ124" s="530"/>
      <c r="FK124" s="530"/>
      <c r="FL124" s="530"/>
      <c r="FM124" s="530"/>
      <c r="FN124" s="530"/>
      <c r="FO124" s="530"/>
      <c r="FP124" s="530"/>
      <c r="FQ124" s="530"/>
      <c r="GL124" s="128"/>
      <c r="GM124" s="128"/>
      <c r="GN124" s="128"/>
      <c r="GO124" s="128"/>
      <c r="GP124" s="128"/>
      <c r="GQ124" s="128"/>
      <c r="GR124" s="128"/>
      <c r="GS124" s="128"/>
      <c r="GT124" s="128"/>
      <c r="GU124" s="128"/>
      <c r="GV124" s="128"/>
      <c r="GW124" s="128"/>
      <c r="GX124" s="128"/>
      <c r="GY124" s="128"/>
      <c r="GZ124" s="128"/>
      <c r="HA124" s="128"/>
      <c r="HB124" s="128"/>
      <c r="HC124" s="128"/>
      <c r="HD124" s="128"/>
      <c r="HE124" s="128"/>
      <c r="HF124" s="128"/>
      <c r="HG124" s="128"/>
      <c r="HH124" s="128"/>
      <c r="HI124" s="128"/>
      <c r="HJ124" s="128"/>
      <c r="HK124" s="128"/>
      <c r="HL124" s="128"/>
      <c r="HM124" s="128"/>
      <c r="HN124" s="128"/>
      <c r="HO124" s="128"/>
      <c r="HP124" s="128"/>
      <c r="HQ124" s="128"/>
      <c r="HR124" s="128"/>
      <c r="HS124" s="128"/>
      <c r="HT124" s="128"/>
      <c r="HU124" s="128"/>
      <c r="HV124" s="128"/>
      <c r="HW124" s="128"/>
      <c r="HX124" s="128"/>
      <c r="HY124" s="128"/>
      <c r="HZ124" s="128"/>
      <c r="IA124" s="128"/>
      <c r="IB124" s="128"/>
      <c r="IC124" s="128"/>
    </row>
    <row r="125" spans="41:237" x14ac:dyDescent="0.3">
      <c r="AO125" s="128">
        <v>50219</v>
      </c>
      <c r="AP125" s="128" t="s">
        <v>2371</v>
      </c>
      <c r="AQ125" s="128" t="s">
        <v>824</v>
      </c>
      <c r="AR125" s="375" t="s">
        <v>3594</v>
      </c>
      <c r="AS125" s="375">
        <v>46224</v>
      </c>
      <c r="AT125" s="375">
        <v>46386</v>
      </c>
      <c r="AU125" s="530">
        <v>71555</v>
      </c>
      <c r="AV125" s="128">
        <v>50215</v>
      </c>
      <c r="AW125" s="530">
        <v>1000000</v>
      </c>
      <c r="AX125" s="534">
        <f>_xlfn.XLOOKUP(Sell_unvalid[[#This Row],[DEAL_BUY_ID]],BS!BA:BA,BS!BE:BE,,0)</f>
        <v>71576</v>
      </c>
      <c r="AY125" s="534">
        <f>_xlfn.XLOOKUP(Sell_unvalid[[#This Row],[BOND_CODE]],FNRP!D:D,FNRP!I:I,_xlfn.XLOOKUP(Sell_unvalid[[#This Row],[BOND_CODE]],FNRP!AV:AV,FNRP!BA:BA,,0),0)</f>
        <v>73584</v>
      </c>
      <c r="AZ125" s="534">
        <f>_xlfn.XLOOKUP(Sell_unvalid[[#This Row],[DEAL_BUY_ID]],BS!BA:BA,BS!BQ:BQ,,0)*Sell_unvalid[[#This Row],[QUANTITY]]</f>
        <v>-28341058650.158634</v>
      </c>
      <c r="BA125" s="534">
        <f>(Sell_unvalid[[#This Row],[Giá MtM]]-10^5)*Sell_unvalid[[#This Row],[QUANTITY]]-Sell_unvalid[[#This Row],[PTCK remain]]</f>
        <v>1925058650.1586342</v>
      </c>
      <c r="BB125" s="534">
        <f>(Sell_unvalid[[#This Row],[PRICE]]-10^5)*Sell_unvalid[[#This Row],[QUANTITY]]-Sell_unvalid[[#This Row],[PTCK remain]]</f>
        <v>-103941349.84136581</v>
      </c>
      <c r="BC125" s="534" t="str">
        <f>IF(AND(Sell_unvalid[[#This Row],[VALUE_DATE]]&lt;=RPT,Sell_unvalid[[#This Row],[TRANSACTION_STATUS]]="N"),"Check","Ok")</f>
        <v>Ok</v>
      </c>
      <c r="BD125" s="534"/>
      <c r="BE125" s="615"/>
      <c r="BF125" s="128"/>
      <c r="BG125" s="128"/>
      <c r="BH125" s="375"/>
      <c r="BJ125" s="375"/>
      <c r="BL125" s="530"/>
      <c r="BN125" s="534"/>
      <c r="BO125" s="534"/>
      <c r="BP125" s="534"/>
      <c r="BS125" s="128"/>
      <c r="BT125" s="848"/>
      <c r="BU125" s="849">
        <v>46262</v>
      </c>
      <c r="BV125" s="848">
        <v>50424</v>
      </c>
      <c r="BW125" s="848"/>
      <c r="BX125" s="530">
        <v>-500000</v>
      </c>
      <c r="BY125" s="735">
        <f>_xlfn.XLOOKUP(Est_NIM[[#This Row],[DEAL_BUY_ID]],BS!AL:AL,BS!AU:AU,_xlfn.XLOOKUP(Est_NIM[[#This Row],[DEAL_BUY_ID]],BS!BA:BA,BS!BJ:BJ,,0),0)</f>
        <v>2.2999999999999998</v>
      </c>
      <c r="BZ125" s="534">
        <f>Est_NIM[[#This Row],[QUANT]]*Est_NIM[[#This Row],[YIELD]]</f>
        <v>-1150000</v>
      </c>
      <c r="CA125" s="128"/>
      <c r="CB125" s="128"/>
      <c r="CE125" s="331"/>
      <c r="CF125" s="331"/>
      <c r="CG125" s="331"/>
      <c r="CH125">
        <v>3730</v>
      </c>
      <c r="CI125">
        <v>14282</v>
      </c>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8"/>
      <c r="DS125" s="128"/>
      <c r="DT125" s="128"/>
      <c r="DU125" s="128"/>
      <c r="DV125" s="128"/>
      <c r="DW125" s="128"/>
      <c r="DX125" s="128"/>
      <c r="DY125" s="128"/>
      <c r="DZ125" s="530"/>
      <c r="EA125" s="530"/>
      <c r="EB125" s="530"/>
      <c r="EC125" s="530"/>
      <c r="ED125" s="530"/>
      <c r="EE125" s="530"/>
      <c r="EF125" s="530"/>
      <c r="EG125" s="530"/>
      <c r="EH125" s="530"/>
      <c r="EI125" s="530"/>
      <c r="EJ125" s="530"/>
      <c r="EK125" s="530"/>
      <c r="EL125" s="530"/>
      <c r="EM125" s="530"/>
      <c r="EN125" s="530"/>
      <c r="EO125" s="530"/>
      <c r="EP125" s="530"/>
      <c r="EQ125" s="530"/>
      <c r="ER125" s="530"/>
      <c r="ES125" s="530"/>
      <c r="ET125" s="530"/>
      <c r="EU125" s="530"/>
      <c r="EV125" s="530"/>
      <c r="EW125" s="530"/>
      <c r="EX125" s="530"/>
      <c r="EY125" s="530"/>
      <c r="EZ125" s="530"/>
      <c r="FA125" s="530"/>
      <c r="FB125" s="530"/>
      <c r="FC125" s="530"/>
      <c r="FD125" s="530"/>
      <c r="FE125" s="530"/>
      <c r="FF125" s="530"/>
      <c r="FG125" s="530"/>
      <c r="FH125" s="530"/>
      <c r="FI125" s="530"/>
      <c r="FJ125" s="530"/>
      <c r="FK125" s="530"/>
      <c r="FL125" s="530"/>
      <c r="FM125" s="530"/>
      <c r="FN125" s="530"/>
      <c r="FO125" s="530"/>
      <c r="FP125" s="530"/>
      <c r="FQ125" s="530"/>
      <c r="GL125" s="128"/>
      <c r="GM125" s="128"/>
      <c r="GN125" s="128"/>
      <c r="GO125" s="128"/>
      <c r="GP125" s="128"/>
      <c r="GQ125" s="128"/>
      <c r="GR125" s="128"/>
      <c r="GS125" s="128"/>
      <c r="GT125" s="128"/>
      <c r="GU125" s="128"/>
      <c r="GV125" s="128"/>
      <c r="GW125" s="128"/>
      <c r="GX125" s="128"/>
      <c r="GY125" s="128"/>
      <c r="GZ125" s="128"/>
      <c r="HA125" s="128"/>
      <c r="HB125" s="128"/>
      <c r="HC125" s="128"/>
      <c r="HD125" s="128"/>
      <c r="HE125" s="128"/>
      <c r="HF125" s="128"/>
      <c r="HG125" s="128"/>
      <c r="HH125" s="128"/>
      <c r="HI125" s="128"/>
      <c r="HJ125" s="128"/>
      <c r="HK125" s="128"/>
      <c r="HL125" s="128"/>
      <c r="HM125" s="128"/>
      <c r="HN125" s="128"/>
      <c r="HO125" s="128"/>
      <c r="HP125" s="128"/>
      <c r="HQ125" s="128"/>
      <c r="HR125" s="128"/>
      <c r="HS125" s="128"/>
      <c r="HT125" s="128"/>
      <c r="HU125" s="128"/>
      <c r="HV125" s="128"/>
      <c r="HW125" s="128"/>
      <c r="HX125" s="128"/>
      <c r="HY125" s="128"/>
      <c r="HZ125" s="128"/>
      <c r="IA125" s="128"/>
      <c r="IB125" s="128"/>
      <c r="IC125" s="128"/>
    </row>
    <row r="126" spans="41:237" x14ac:dyDescent="0.3">
      <c r="AO126" s="128">
        <v>50419</v>
      </c>
      <c r="AP126" s="128" t="s">
        <v>2398</v>
      </c>
      <c r="AQ126" s="128" t="s">
        <v>824</v>
      </c>
      <c r="AR126" s="128" t="s">
        <v>2234</v>
      </c>
      <c r="AS126" s="375">
        <v>46251</v>
      </c>
      <c r="AT126" s="375">
        <v>46254</v>
      </c>
      <c r="AU126" s="530">
        <v>108868</v>
      </c>
      <c r="AV126" s="128">
        <v>45624</v>
      </c>
      <c r="AW126" s="530">
        <v>500000</v>
      </c>
      <c r="AX126" s="534">
        <f>_xlfn.XLOOKUP(Sell_unvalid[[#This Row],[DEAL_BUY_ID]],BS!BA:BA,BS!BE:BE,,0)</f>
        <v>110641</v>
      </c>
      <c r="AY126" s="534">
        <f>_xlfn.XLOOKUP(Sell_unvalid[[#This Row],[BOND_CODE]],FNRP!D:D,FNRP!I:I,_xlfn.XLOOKUP(Sell_unvalid[[#This Row],[BOND_CODE]],FNRP!AV:AV,FNRP!BA:BA,,0),0)</f>
        <v>98907</v>
      </c>
      <c r="AZ126" s="534">
        <f>_xlfn.XLOOKUP(Sell_unvalid[[#This Row],[DEAL_BUY_ID]],BS!BA:BA,BS!BQ:BQ,,0)*Sell_unvalid[[#This Row],[QUANTITY]]</f>
        <v>4350158585.9964294</v>
      </c>
      <c r="BA126" s="534">
        <f>(Sell_unvalid[[#This Row],[Giá MtM]]-10^5)*Sell_unvalid[[#This Row],[QUANTITY]]-Sell_unvalid[[#This Row],[PTCK remain]]</f>
        <v>-4896658585.9964294</v>
      </c>
      <c r="BB126" s="534">
        <f>(Sell_unvalid[[#This Row],[PRICE]]-10^5)*Sell_unvalid[[#This Row],[QUANTITY]]-Sell_unvalid[[#This Row],[PTCK remain]]</f>
        <v>83841414.003570557</v>
      </c>
      <c r="BC126" s="534" t="str">
        <f>IF(AND(Sell_unvalid[[#This Row],[VALUE_DATE]]&lt;=RPT,Sell_unvalid[[#This Row],[TRANSACTION_STATUS]]="N"),"Check","Ok")</f>
        <v>Ok</v>
      </c>
      <c r="BD126" s="534"/>
      <c r="BE126" s="615"/>
      <c r="BF126" s="555"/>
      <c r="BG126" s="128"/>
      <c r="BH126" s="375"/>
      <c r="BJ126" s="375"/>
      <c r="BL126" s="530"/>
      <c r="BN126" s="534"/>
      <c r="BO126" s="534"/>
      <c r="BP126" s="534"/>
      <c r="BS126" s="128"/>
      <c r="BT126" s="848"/>
      <c r="BU126" s="849">
        <v>46262</v>
      </c>
      <c r="BV126" s="848">
        <v>50428</v>
      </c>
      <c r="BW126" s="848"/>
      <c r="BX126" s="530">
        <v>-3000000</v>
      </c>
      <c r="BY126" s="735">
        <f>_xlfn.XLOOKUP(Est_NIM[[#This Row],[DEAL_BUY_ID]],BS!AL:AL,BS!AU:AU,_xlfn.XLOOKUP(Est_NIM[[#This Row],[DEAL_BUY_ID]],BS!BA:BA,BS!BJ:BJ,,0),0)</f>
        <v>2.7</v>
      </c>
      <c r="BZ126" s="534">
        <f>Est_NIM[[#This Row],[QUANT]]*Est_NIM[[#This Row],[YIELD]]</f>
        <v>-8100000.0000000009</v>
      </c>
      <c r="CA126" s="128"/>
      <c r="CB126" s="128"/>
      <c r="CE126" s="331"/>
      <c r="CF126" s="331"/>
      <c r="CG126" s="331"/>
      <c r="CH126">
        <v>3730</v>
      </c>
      <c r="CI126">
        <v>14282</v>
      </c>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8"/>
      <c r="DS126" s="128"/>
      <c r="DT126" s="128"/>
      <c r="DU126" s="128"/>
      <c r="DV126" s="128"/>
      <c r="DW126" s="128"/>
      <c r="DX126" s="128"/>
      <c r="DY126" s="128"/>
      <c r="DZ126" s="530"/>
      <c r="EA126" s="530"/>
      <c r="EB126" s="530"/>
      <c r="EC126" s="530"/>
      <c r="ED126" s="530"/>
      <c r="EE126" s="530"/>
      <c r="EF126" s="530"/>
      <c r="EG126" s="530"/>
      <c r="EH126" s="530"/>
      <c r="EI126" s="530"/>
      <c r="EJ126" s="530"/>
      <c r="EK126" s="530"/>
      <c r="EL126" s="530"/>
      <c r="EM126" s="530"/>
      <c r="EN126" s="530"/>
      <c r="EO126" s="530"/>
      <c r="EP126" s="530"/>
      <c r="EQ126" s="530"/>
      <c r="ER126" s="530"/>
      <c r="ES126" s="530"/>
      <c r="ET126" s="530"/>
      <c r="EU126" s="530"/>
      <c r="EV126" s="530"/>
      <c r="EW126" s="530"/>
      <c r="EX126" s="530"/>
      <c r="EY126" s="530"/>
      <c r="EZ126" s="530"/>
      <c r="FA126" s="530"/>
      <c r="FB126" s="530"/>
      <c r="FC126" s="530"/>
      <c r="FD126" s="530"/>
      <c r="FE126" s="530"/>
      <c r="FF126" s="530"/>
      <c r="FG126" s="530"/>
      <c r="FH126" s="530"/>
      <c r="FI126" s="530"/>
      <c r="FJ126" s="530"/>
      <c r="FK126" s="530"/>
      <c r="FL126" s="530"/>
      <c r="FM126" s="530"/>
      <c r="FN126" s="530"/>
      <c r="FO126" s="530"/>
      <c r="FP126" s="530"/>
      <c r="FQ126" s="530"/>
      <c r="GL126" s="128"/>
      <c r="GM126" s="128"/>
      <c r="GN126" s="128"/>
      <c r="GO126" s="128"/>
      <c r="GP126" s="128"/>
      <c r="GQ126" s="128"/>
      <c r="GR126" s="128"/>
      <c r="GS126" s="128"/>
      <c r="GT126" s="128"/>
      <c r="GU126" s="128"/>
      <c r="GV126" s="128"/>
      <c r="GW126" s="128"/>
      <c r="GX126" s="128"/>
      <c r="GY126" s="128"/>
      <c r="GZ126" s="128"/>
      <c r="HA126" s="128"/>
      <c r="HB126" s="128"/>
      <c r="HC126" s="128"/>
      <c r="HD126" s="128"/>
      <c r="HE126" s="128"/>
      <c r="HF126" s="128"/>
      <c r="HG126" s="128"/>
      <c r="HH126" s="128"/>
      <c r="HI126" s="128"/>
      <c r="HJ126" s="128"/>
      <c r="HK126" s="128"/>
      <c r="HL126" s="128"/>
      <c r="HM126" s="128"/>
      <c r="HN126" s="128"/>
      <c r="HO126" s="128"/>
      <c r="HP126" s="128"/>
      <c r="HQ126" s="128"/>
      <c r="HR126" s="128"/>
      <c r="HS126" s="128"/>
      <c r="HT126" s="128"/>
      <c r="HU126" s="128"/>
      <c r="HV126" s="128"/>
      <c r="HW126" s="128"/>
      <c r="HX126" s="128"/>
      <c r="HY126" s="128"/>
      <c r="HZ126" s="128"/>
      <c r="IA126" s="128"/>
      <c r="IB126" s="128"/>
      <c r="IC126" s="128"/>
    </row>
    <row r="127" spans="41:237" x14ac:dyDescent="0.3">
      <c r="AO127" s="128">
        <v>50191</v>
      </c>
      <c r="AP127" s="128" t="s">
        <v>2785</v>
      </c>
      <c r="AQ127" s="128" t="s">
        <v>824</v>
      </c>
      <c r="AR127" s="128" t="s">
        <v>3594</v>
      </c>
      <c r="AS127" s="375">
        <v>46217</v>
      </c>
      <c r="AT127" s="375">
        <v>46219</v>
      </c>
      <c r="AU127" s="530">
        <v>95233</v>
      </c>
      <c r="AV127" s="128">
        <v>49708</v>
      </c>
      <c r="AW127" s="530">
        <v>1000000</v>
      </c>
      <c r="AX127" s="534">
        <f>_xlfn.XLOOKUP(Sell_unvalid[[#This Row],[DEAL_BUY_ID]],BS!BA:BA,BS!BE:BE,,0)</f>
        <v>95142</v>
      </c>
      <c r="AY127" s="534">
        <f>_xlfn.XLOOKUP(Sell_unvalid[[#This Row],[BOND_CODE]],FNRP!D:D,FNRP!I:I,_xlfn.XLOOKUP(Sell_unvalid[[#This Row],[BOND_CODE]],FNRP!AV:AV,FNRP!BA:BA,,0),0)</f>
        <v>87948</v>
      </c>
      <c r="AZ127" s="534">
        <f>_xlfn.XLOOKUP(Sell_unvalid[[#This Row],[DEAL_BUY_ID]],BS!BA:BA,BS!BQ:BQ,,0)*Sell_unvalid[[#This Row],[QUANTITY]]</f>
        <v>-4676960405.1894474</v>
      </c>
      <c r="BA127" s="534">
        <f>(Sell_unvalid[[#This Row],[Giá MtM]]-10^5)*Sell_unvalid[[#This Row],[QUANTITY]]-Sell_unvalid[[#This Row],[PTCK remain]]</f>
        <v>-7375039594.8105526</v>
      </c>
      <c r="BB127" s="534">
        <f>(Sell_unvalid[[#This Row],[PRICE]]-10^5)*Sell_unvalid[[#This Row],[QUANTITY]]-Sell_unvalid[[#This Row],[PTCK remain]]</f>
        <v>-90039594.810552597</v>
      </c>
      <c r="BC127" s="534" t="str">
        <f>IF(AND(Sell_unvalid[[#This Row],[VALUE_DATE]]&lt;=RPT,Sell_unvalid[[#This Row],[TRANSACTION_STATUS]]="N"),"Check","Ok")</f>
        <v>Ok</v>
      </c>
      <c r="BD127" s="534"/>
      <c r="BE127" s="615"/>
      <c r="BF127" s="128"/>
      <c r="BG127" s="128"/>
      <c r="BH127" s="375"/>
      <c r="BJ127" s="375"/>
      <c r="BL127" s="530"/>
      <c r="BN127" s="534"/>
      <c r="BO127" s="534"/>
      <c r="BP127" s="534"/>
      <c r="BS127" s="128"/>
      <c r="BT127" s="848"/>
      <c r="BU127" s="849">
        <v>46259</v>
      </c>
      <c r="BV127" s="848">
        <v>50418</v>
      </c>
      <c r="BW127" s="848"/>
      <c r="BX127" s="530">
        <v>-1000000</v>
      </c>
      <c r="BY127" s="735">
        <f>_xlfn.XLOOKUP(Est_NIM[[#This Row],[DEAL_BUY_ID]],BS!AL:AL,BS!AU:AU,_xlfn.XLOOKUP(Est_NIM[[#This Row],[DEAL_BUY_ID]],BS!BA:BA,BS!BJ:BJ,,0),0)</f>
        <v>4.8</v>
      </c>
      <c r="BZ127" s="534">
        <f>Est_NIM[[#This Row],[QUANT]]*Est_NIM[[#This Row],[YIELD]]</f>
        <v>-4800000</v>
      </c>
      <c r="CA127" s="128"/>
      <c r="CB127" s="128"/>
      <c r="CE127" s="331"/>
      <c r="CF127" s="331"/>
      <c r="CG127" s="331"/>
      <c r="CH127">
        <v>3730</v>
      </c>
      <c r="CI127">
        <v>14282</v>
      </c>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8"/>
      <c r="DS127" s="128"/>
      <c r="DT127" s="128"/>
      <c r="DU127" s="128"/>
      <c r="DV127" s="128"/>
      <c r="DW127" s="128"/>
      <c r="DX127" s="128"/>
      <c r="DY127" s="128"/>
      <c r="DZ127" s="530"/>
      <c r="EA127" s="530"/>
      <c r="EB127" s="530"/>
      <c r="EC127" s="530"/>
      <c r="ED127" s="530"/>
      <c r="EE127" s="530"/>
      <c r="EF127" s="530"/>
      <c r="EG127" s="530"/>
      <c r="EH127" s="530"/>
      <c r="EI127" s="530"/>
      <c r="EJ127" s="530"/>
      <c r="EK127" s="530"/>
      <c r="EL127" s="530"/>
      <c r="EM127" s="530"/>
      <c r="EN127" s="530"/>
      <c r="EO127" s="530"/>
      <c r="EP127" s="530"/>
      <c r="EQ127" s="530"/>
      <c r="ER127" s="530"/>
      <c r="ES127" s="530"/>
      <c r="ET127" s="530"/>
      <c r="EU127" s="530"/>
      <c r="EV127" s="530"/>
      <c r="EW127" s="530"/>
      <c r="EX127" s="530"/>
      <c r="EY127" s="530"/>
      <c r="EZ127" s="530"/>
      <c r="FA127" s="530"/>
      <c r="FB127" s="530"/>
      <c r="FC127" s="530"/>
      <c r="FD127" s="530"/>
      <c r="FE127" s="530"/>
      <c r="FF127" s="530"/>
      <c r="FG127" s="530"/>
      <c r="FH127" s="530"/>
      <c r="FI127" s="530"/>
      <c r="FJ127" s="530"/>
      <c r="FK127" s="530"/>
      <c r="FL127" s="530"/>
      <c r="FM127" s="530"/>
      <c r="FN127" s="530"/>
      <c r="FO127" s="530"/>
      <c r="FP127" s="530"/>
      <c r="FQ127" s="530"/>
      <c r="GL127" s="128"/>
      <c r="GM127" s="128"/>
      <c r="GN127" s="128"/>
      <c r="GO127" s="128"/>
      <c r="GP127" s="128"/>
      <c r="GQ127" s="128"/>
      <c r="GR127" s="128"/>
      <c r="GS127" s="128"/>
      <c r="GT127" s="128"/>
      <c r="GU127" s="128"/>
      <c r="GV127" s="128"/>
      <c r="GW127" s="128"/>
      <c r="GX127" s="128"/>
      <c r="GY127" s="128"/>
      <c r="GZ127" s="128"/>
      <c r="HA127" s="128"/>
      <c r="HB127" s="128"/>
      <c r="HC127" s="128"/>
      <c r="HD127" s="128"/>
      <c r="HE127" s="128"/>
      <c r="HF127" s="128"/>
      <c r="HG127" s="128"/>
      <c r="HH127" s="128"/>
      <c r="HI127" s="128"/>
      <c r="HJ127" s="128"/>
      <c r="HK127" s="128"/>
      <c r="HL127" s="128"/>
      <c r="HM127" s="128"/>
      <c r="HN127" s="128"/>
      <c r="HO127" s="128"/>
      <c r="HP127" s="128"/>
      <c r="HQ127" s="128"/>
      <c r="HR127" s="128"/>
      <c r="HS127" s="128"/>
      <c r="HT127" s="128"/>
      <c r="HU127" s="128"/>
      <c r="HV127" s="128"/>
      <c r="HW127" s="128"/>
      <c r="HX127" s="128"/>
      <c r="HY127" s="128"/>
      <c r="HZ127" s="128"/>
      <c r="IA127" s="128"/>
      <c r="IB127" s="128"/>
      <c r="IC127" s="128"/>
    </row>
    <row r="128" spans="41:237" x14ac:dyDescent="0.3">
      <c r="AO128" s="128">
        <v>50191</v>
      </c>
      <c r="AP128" s="128" t="s">
        <v>2785</v>
      </c>
      <c r="AQ128" s="128" t="s">
        <v>824</v>
      </c>
      <c r="AR128" s="128" t="s">
        <v>3594</v>
      </c>
      <c r="AS128" s="375">
        <v>46217</v>
      </c>
      <c r="AT128" s="375">
        <v>46219</v>
      </c>
      <c r="AU128" s="530">
        <v>95233</v>
      </c>
      <c r="AV128" s="128">
        <v>49709</v>
      </c>
      <c r="AW128" s="530">
        <v>1000000</v>
      </c>
      <c r="AX128" s="534">
        <f>_xlfn.XLOOKUP(Sell_unvalid[[#This Row],[DEAL_BUY_ID]],BS!BA:BA,BS!BE:BE,,0)</f>
        <v>95142</v>
      </c>
      <c r="AY128" s="534">
        <f>_xlfn.XLOOKUP(Sell_unvalid[[#This Row],[BOND_CODE]],FNRP!D:D,FNRP!I:I,_xlfn.XLOOKUP(Sell_unvalid[[#This Row],[BOND_CODE]],FNRP!AV:AV,FNRP!BA:BA,,0),0)</f>
        <v>87948</v>
      </c>
      <c r="AZ128" s="534">
        <f>_xlfn.XLOOKUP(Sell_unvalid[[#This Row],[DEAL_BUY_ID]],BS!BA:BA,BS!BQ:BQ,,0)*Sell_unvalid[[#This Row],[QUANTITY]]</f>
        <v>-4676960405.1894474</v>
      </c>
      <c r="BA128" s="534">
        <f>(Sell_unvalid[[#This Row],[Giá MtM]]-10^5)*Sell_unvalid[[#This Row],[QUANTITY]]-Sell_unvalid[[#This Row],[PTCK remain]]</f>
        <v>-7375039594.8105526</v>
      </c>
      <c r="BB128" s="534">
        <f>(Sell_unvalid[[#This Row],[PRICE]]-10^5)*Sell_unvalid[[#This Row],[QUANTITY]]-Sell_unvalid[[#This Row],[PTCK remain]]</f>
        <v>-90039594.810552597</v>
      </c>
      <c r="BC128" s="534" t="str">
        <f>IF(AND(Sell_unvalid[[#This Row],[VALUE_DATE]]&lt;=RPT,Sell_unvalid[[#This Row],[TRANSACTION_STATUS]]="N"),"Check","Ok")</f>
        <v>Ok</v>
      </c>
      <c r="BD128" s="534"/>
      <c r="BE128" s="615"/>
      <c r="BF128" s="128"/>
      <c r="BG128" s="128"/>
      <c r="BH128" s="375"/>
      <c r="BJ128" s="375"/>
      <c r="BL128" s="530"/>
      <c r="BN128" s="534"/>
      <c r="BO128" s="534"/>
      <c r="BP128" s="534"/>
      <c r="BR128" s="727"/>
      <c r="BS128" s="128"/>
      <c r="BT128" s="848"/>
      <c r="BU128" s="849">
        <v>46259</v>
      </c>
      <c r="BV128" s="848">
        <v>50422</v>
      </c>
      <c r="BW128" s="848"/>
      <c r="BX128" s="530">
        <v>-2000000</v>
      </c>
      <c r="BY128" s="735">
        <f>_xlfn.XLOOKUP(Est_NIM[[#This Row],[DEAL_BUY_ID]],BS!AL:AL,BS!AU:AU,_xlfn.XLOOKUP(Est_NIM[[#This Row],[DEAL_BUY_ID]],BS!BA:BA,BS!BJ:BJ,,0),0)</f>
        <v>2.7</v>
      </c>
      <c r="BZ128" s="534">
        <f>Est_NIM[[#This Row],[QUANT]]*Est_NIM[[#This Row],[YIELD]]</f>
        <v>-5400000</v>
      </c>
      <c r="CA128" s="128"/>
      <c r="CB128" s="128"/>
      <c r="CE128" s="331"/>
      <c r="CF128" s="331"/>
      <c r="CG128" s="331"/>
      <c r="CH128">
        <v>3730</v>
      </c>
      <c r="CI128">
        <v>14282</v>
      </c>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8"/>
      <c r="DS128" s="128"/>
      <c r="DT128" s="128"/>
      <c r="DU128" s="128"/>
      <c r="DV128" s="128"/>
      <c r="DW128" s="128"/>
      <c r="DX128" s="128"/>
      <c r="DY128" s="128"/>
      <c r="DZ128" s="530"/>
      <c r="EA128" s="530"/>
      <c r="EB128" s="530"/>
      <c r="EC128" s="530"/>
      <c r="ED128" s="530"/>
      <c r="EE128" s="530"/>
      <c r="EF128" s="530"/>
      <c r="EG128" s="530"/>
      <c r="EH128" s="530"/>
      <c r="EI128" s="530"/>
      <c r="EJ128" s="530"/>
      <c r="EK128" s="530"/>
      <c r="EL128" s="530"/>
      <c r="EM128" s="530"/>
      <c r="EN128" s="530"/>
      <c r="EO128" s="530"/>
      <c r="EP128" s="530"/>
      <c r="EQ128" s="530"/>
      <c r="ER128" s="530"/>
      <c r="ES128" s="530"/>
      <c r="ET128" s="530"/>
      <c r="EU128" s="530"/>
      <c r="EV128" s="530"/>
      <c r="EW128" s="530"/>
      <c r="EX128" s="530"/>
      <c r="EY128" s="530"/>
      <c r="EZ128" s="530"/>
      <c r="FA128" s="530"/>
      <c r="FB128" s="530"/>
      <c r="FC128" s="530"/>
      <c r="FD128" s="530"/>
      <c r="FE128" s="530"/>
      <c r="FF128" s="530"/>
      <c r="FG128" s="530"/>
      <c r="FH128" s="530"/>
      <c r="FI128" s="530"/>
      <c r="FJ128" s="530"/>
      <c r="FK128" s="530"/>
      <c r="FL128" s="530"/>
      <c r="FM128" s="530"/>
      <c r="FN128" s="530"/>
      <c r="FO128" s="530"/>
      <c r="FP128" s="530"/>
      <c r="FQ128" s="530"/>
      <c r="GL128" s="128"/>
      <c r="GM128" s="128"/>
      <c r="GN128" s="128"/>
      <c r="GO128" s="128"/>
      <c r="GP128" s="128"/>
      <c r="GQ128" s="128"/>
      <c r="GR128" s="128"/>
      <c r="GS128" s="128"/>
      <c r="GT128" s="128"/>
      <c r="GU128" s="128"/>
      <c r="GV128" s="128"/>
      <c r="GW128" s="128"/>
      <c r="GX128" s="128"/>
      <c r="GY128" s="128"/>
      <c r="GZ128" s="128"/>
      <c r="HA128" s="128"/>
      <c r="HB128" s="128"/>
      <c r="HC128" s="128"/>
      <c r="HD128" s="128"/>
      <c r="HE128" s="128"/>
      <c r="HF128" s="128"/>
      <c r="HG128" s="128"/>
      <c r="HH128" s="128"/>
      <c r="HI128" s="128"/>
      <c r="HJ128" s="128"/>
      <c r="HK128" s="128"/>
      <c r="HL128" s="128"/>
      <c r="HM128" s="128"/>
      <c r="HN128" s="128"/>
      <c r="HO128" s="128"/>
      <c r="HP128" s="128"/>
      <c r="HQ128" s="128"/>
      <c r="HR128" s="128"/>
      <c r="HS128" s="128"/>
      <c r="HT128" s="128"/>
      <c r="HU128" s="128"/>
      <c r="HV128" s="128"/>
      <c r="HW128" s="128"/>
      <c r="HX128" s="128"/>
      <c r="HY128" s="128"/>
      <c r="HZ128" s="128"/>
      <c r="IA128" s="128"/>
      <c r="IB128" s="128"/>
      <c r="IC128" s="128"/>
    </row>
    <row r="129" spans="41:237" x14ac:dyDescent="0.3">
      <c r="AO129" s="128">
        <v>50191</v>
      </c>
      <c r="AP129" s="128" t="s">
        <v>2785</v>
      </c>
      <c r="AQ129" s="128" t="s">
        <v>824</v>
      </c>
      <c r="AR129" s="128" t="s">
        <v>3594</v>
      </c>
      <c r="AS129" s="375">
        <v>46217</v>
      </c>
      <c r="AT129" s="375">
        <v>46219</v>
      </c>
      <c r="AU129" s="530">
        <v>95233</v>
      </c>
      <c r="AV129" s="128">
        <v>49710</v>
      </c>
      <c r="AW129" s="530">
        <v>1000000</v>
      </c>
      <c r="AX129" s="534">
        <f>_xlfn.XLOOKUP(Sell_unvalid[[#This Row],[DEAL_BUY_ID]],BS!BA:BA,BS!BE:BE,,0)</f>
        <v>95142</v>
      </c>
      <c r="AY129" s="534">
        <f>_xlfn.XLOOKUP(Sell_unvalid[[#This Row],[BOND_CODE]],FNRP!D:D,FNRP!I:I,_xlfn.XLOOKUP(Sell_unvalid[[#This Row],[BOND_CODE]],FNRP!AV:AV,FNRP!BA:BA,,0),0)</f>
        <v>87948</v>
      </c>
      <c r="AZ129" s="534">
        <f>_xlfn.XLOOKUP(Sell_unvalid[[#This Row],[DEAL_BUY_ID]],BS!BA:BA,BS!BQ:BQ,,0)*Sell_unvalid[[#This Row],[QUANTITY]]</f>
        <v>-4676960405.1894474</v>
      </c>
      <c r="BA129" s="534">
        <f>(Sell_unvalid[[#This Row],[Giá MtM]]-10^5)*Sell_unvalid[[#This Row],[QUANTITY]]-Sell_unvalid[[#This Row],[PTCK remain]]</f>
        <v>-7375039594.8105526</v>
      </c>
      <c r="BB129" s="534">
        <f>(Sell_unvalid[[#This Row],[PRICE]]-10^5)*Sell_unvalid[[#This Row],[QUANTITY]]-Sell_unvalid[[#This Row],[PTCK remain]]</f>
        <v>-90039594.810552597</v>
      </c>
      <c r="BC129" s="534" t="str">
        <f>IF(AND(Sell_unvalid[[#This Row],[VALUE_DATE]]&lt;=RPT,Sell_unvalid[[#This Row],[TRANSACTION_STATUS]]="N"),"Check","Ok")</f>
        <v>Ok</v>
      </c>
      <c r="BD129" s="534"/>
      <c r="BE129" s="615"/>
      <c r="BF129" s="128"/>
      <c r="BG129" s="128"/>
      <c r="BH129" s="375"/>
      <c r="BJ129" s="375"/>
      <c r="BL129" s="530"/>
      <c r="BN129" s="534"/>
      <c r="BO129" s="534"/>
      <c r="BP129" s="534"/>
      <c r="BR129" s="727"/>
      <c r="BS129" s="128"/>
      <c r="BT129" s="848"/>
      <c r="BU129" s="849">
        <v>46259</v>
      </c>
      <c r="BV129" s="848">
        <v>50420</v>
      </c>
      <c r="BW129" s="848"/>
      <c r="BX129" s="530">
        <v>-500000</v>
      </c>
      <c r="BY129" s="735">
        <f>_xlfn.XLOOKUP(Est_NIM[[#This Row],[DEAL_BUY_ID]],BS!AL:AL,BS!AU:AU,_xlfn.XLOOKUP(Est_NIM[[#This Row],[DEAL_BUY_ID]],BS!BA:BA,BS!BJ:BJ,,0),0)</f>
        <v>4.0999999999999996</v>
      </c>
      <c r="BZ129" s="534">
        <f>Est_NIM[[#This Row],[QUANT]]*Est_NIM[[#This Row],[YIELD]]</f>
        <v>-2049999.9999999998</v>
      </c>
      <c r="CA129" s="128"/>
      <c r="CB129" s="128"/>
      <c r="CE129" s="331"/>
      <c r="CF129" s="331"/>
      <c r="CG129" s="331"/>
      <c r="CH129">
        <v>3730</v>
      </c>
      <c r="CI129">
        <v>14282</v>
      </c>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8"/>
      <c r="DS129" s="128"/>
      <c r="DT129" s="128"/>
      <c r="DU129" s="128"/>
      <c r="DV129" s="128"/>
      <c r="DW129" s="128"/>
      <c r="DX129" s="128"/>
      <c r="DY129" s="128"/>
      <c r="DZ129" s="530"/>
      <c r="EA129" s="530"/>
      <c r="EB129" s="530"/>
      <c r="EC129" s="530"/>
      <c r="ED129" s="530"/>
      <c r="EE129" s="530"/>
      <c r="EF129" s="530"/>
      <c r="EG129" s="530"/>
      <c r="EH129" s="530"/>
      <c r="EI129" s="530"/>
      <c r="EJ129" s="530"/>
      <c r="EK129" s="530"/>
      <c r="EL129" s="530"/>
      <c r="EM129" s="530"/>
      <c r="EN129" s="530"/>
      <c r="EO129" s="530"/>
      <c r="EP129" s="530"/>
      <c r="EQ129" s="530"/>
      <c r="ER129" s="530"/>
      <c r="ES129" s="530"/>
      <c r="ET129" s="530"/>
      <c r="EU129" s="530"/>
      <c r="EV129" s="530"/>
      <c r="EW129" s="530"/>
      <c r="EX129" s="530"/>
      <c r="EY129" s="530"/>
      <c r="EZ129" s="530"/>
      <c r="FA129" s="530"/>
      <c r="FB129" s="530"/>
      <c r="FC129" s="530"/>
      <c r="FD129" s="530"/>
      <c r="FE129" s="530"/>
      <c r="FF129" s="530"/>
      <c r="FG129" s="530"/>
      <c r="FH129" s="530"/>
      <c r="FI129" s="530"/>
      <c r="FJ129" s="530"/>
      <c r="FK129" s="530"/>
      <c r="FL129" s="530"/>
      <c r="FM129" s="530"/>
      <c r="FN129" s="530"/>
      <c r="FO129" s="530"/>
      <c r="FP129" s="530"/>
      <c r="FQ129" s="530"/>
      <c r="GL129" s="128"/>
      <c r="GM129" s="128"/>
      <c r="GN129" s="128"/>
      <c r="GO129" s="128"/>
      <c r="GP129" s="128"/>
      <c r="GQ129" s="128"/>
      <c r="GR129" s="128"/>
      <c r="GS129" s="128"/>
      <c r="GT129" s="128"/>
      <c r="GU129" s="128"/>
      <c r="GV129" s="128"/>
      <c r="GW129" s="128"/>
      <c r="GX129" s="128"/>
      <c r="GY129" s="128"/>
      <c r="GZ129" s="128"/>
      <c r="HA129" s="128"/>
      <c r="HB129" s="128"/>
      <c r="HC129" s="128"/>
      <c r="HD129" s="128"/>
      <c r="HE129" s="128"/>
      <c r="HF129" s="128"/>
      <c r="HG129" s="128"/>
      <c r="HH129" s="128"/>
      <c r="HI129" s="128"/>
      <c r="HJ129" s="128"/>
      <c r="HK129" s="128"/>
      <c r="HL129" s="128"/>
      <c r="HM129" s="128"/>
      <c r="HN129" s="128"/>
      <c r="HO129" s="128"/>
      <c r="HP129" s="128"/>
      <c r="HQ129" s="128"/>
      <c r="HR129" s="128"/>
      <c r="HS129" s="128"/>
      <c r="HT129" s="128"/>
      <c r="HU129" s="128"/>
      <c r="HV129" s="128"/>
      <c r="HW129" s="128"/>
      <c r="HX129" s="128"/>
      <c r="HY129" s="128"/>
      <c r="HZ129" s="128"/>
      <c r="IA129" s="128"/>
      <c r="IB129" s="128"/>
      <c r="IC129" s="128"/>
    </row>
    <row r="130" spans="41:237" x14ac:dyDescent="0.3">
      <c r="AO130" s="128">
        <v>50162</v>
      </c>
      <c r="AP130" s="128" t="s">
        <v>2786</v>
      </c>
      <c r="AQ130" s="128" t="s">
        <v>824</v>
      </c>
      <c r="AR130" s="128" t="s">
        <v>3594</v>
      </c>
      <c r="AS130" s="375">
        <v>46204</v>
      </c>
      <c r="AT130" s="375">
        <v>46206</v>
      </c>
      <c r="AU130" s="530">
        <v>96127</v>
      </c>
      <c r="AV130" s="128">
        <v>50147</v>
      </c>
      <c r="AW130" s="530">
        <v>500000</v>
      </c>
      <c r="AX130" s="534">
        <f>_xlfn.XLOOKUP(Sell_unvalid[[#This Row],[DEAL_BUY_ID]],BS!BA:BA,BS!BE:BE,,0)</f>
        <v>96126</v>
      </c>
      <c r="AY130" s="534">
        <f>_xlfn.XLOOKUP(Sell_unvalid[[#This Row],[BOND_CODE]],FNRP!D:D,FNRP!I:I,_xlfn.XLOOKUP(Sell_unvalid[[#This Row],[BOND_CODE]],FNRP!AV:AV,FNRP!BA:BA,,0),0)</f>
        <v>82446</v>
      </c>
      <c r="AZ130" s="534">
        <f>_xlfn.XLOOKUP(Sell_unvalid[[#This Row],[DEAL_BUY_ID]],BS!BA:BA,BS!BQ:BQ,,0)*Sell_unvalid[[#This Row],[QUANTITY]]</f>
        <v>-1916085033.9721181</v>
      </c>
      <c r="BA130" s="534">
        <f>(Sell_unvalid[[#This Row],[Giá MtM]]-10^5)*Sell_unvalid[[#This Row],[QUANTITY]]-Sell_unvalid[[#This Row],[PTCK remain]]</f>
        <v>-6860914966.0278816</v>
      </c>
      <c r="BB130" s="534">
        <f>(Sell_unvalid[[#This Row],[PRICE]]-10^5)*Sell_unvalid[[#This Row],[QUANTITY]]-Sell_unvalid[[#This Row],[PTCK remain]]</f>
        <v>-20414966.027881861</v>
      </c>
      <c r="BC130" s="534" t="str">
        <f>IF(AND(Sell_unvalid[[#This Row],[VALUE_DATE]]&lt;=RPT,Sell_unvalid[[#This Row],[TRANSACTION_STATUS]]="N"),"Check","Ok")</f>
        <v>Ok</v>
      </c>
      <c r="BD130" s="534"/>
      <c r="BE130" s="615"/>
      <c r="BF130" s="128"/>
      <c r="BG130" s="128"/>
      <c r="BH130" s="375"/>
      <c r="BJ130" s="375"/>
      <c r="BL130" s="530"/>
      <c r="BN130" s="534"/>
      <c r="BO130" s="534"/>
      <c r="BP130" s="534"/>
      <c r="BR130" s="727"/>
      <c r="BS130" s="128"/>
      <c r="BT130" s="848"/>
      <c r="BU130" s="849">
        <v>46262</v>
      </c>
      <c r="BV130" s="848">
        <v>50440</v>
      </c>
      <c r="BW130" s="848"/>
      <c r="BX130" s="530">
        <v>-1600000</v>
      </c>
      <c r="BY130" s="735">
        <f>_xlfn.XLOOKUP(Est_NIM[[#This Row],[DEAL_BUY_ID]],BS!AL:AL,BS!AU:AU,_xlfn.XLOOKUP(Est_NIM[[#This Row],[DEAL_BUY_ID]],BS!BA:BA,BS!BJ:BJ,,0),0)</f>
        <v>2.9</v>
      </c>
      <c r="BZ130" s="534">
        <f>Est_NIM[[#This Row],[QUANT]]*Est_NIM[[#This Row],[YIELD]]</f>
        <v>-4640000</v>
      </c>
      <c r="CA130" s="128"/>
      <c r="CB130" s="128"/>
      <c r="CE130" s="331"/>
      <c r="CF130" s="331"/>
      <c r="CG130" s="331"/>
      <c r="CH130">
        <v>3730</v>
      </c>
      <c r="CI130">
        <v>14282</v>
      </c>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8"/>
      <c r="DS130" s="128"/>
      <c r="DT130" s="128"/>
      <c r="DU130" s="128"/>
      <c r="DV130" s="128"/>
      <c r="DW130" s="128"/>
      <c r="DX130" s="128"/>
      <c r="DY130" s="128"/>
      <c r="DZ130" s="530"/>
      <c r="EA130" s="530"/>
      <c r="EB130" s="530"/>
      <c r="EC130" s="530"/>
      <c r="ED130" s="530"/>
      <c r="EE130" s="530"/>
      <c r="EF130" s="530"/>
      <c r="EG130" s="530"/>
      <c r="EH130" s="530"/>
      <c r="EI130" s="530"/>
      <c r="EJ130" s="530"/>
      <c r="EK130" s="530"/>
      <c r="EL130" s="530"/>
      <c r="EM130" s="530"/>
      <c r="EN130" s="530"/>
      <c r="EO130" s="530"/>
      <c r="EP130" s="530"/>
      <c r="EQ130" s="530"/>
      <c r="ER130" s="530"/>
      <c r="ES130" s="530"/>
      <c r="ET130" s="530"/>
      <c r="EU130" s="530"/>
      <c r="EV130" s="530"/>
      <c r="EW130" s="530"/>
      <c r="EX130" s="530"/>
      <c r="EY130" s="530"/>
      <c r="EZ130" s="530"/>
      <c r="FA130" s="530"/>
      <c r="FB130" s="530"/>
      <c r="FC130" s="530"/>
      <c r="FD130" s="530"/>
      <c r="FE130" s="530"/>
      <c r="FF130" s="530"/>
      <c r="FG130" s="530"/>
      <c r="FH130" s="530"/>
      <c r="FI130" s="530"/>
      <c r="FJ130" s="530"/>
      <c r="FK130" s="530"/>
      <c r="FL130" s="530"/>
      <c r="FM130" s="530"/>
      <c r="FN130" s="530"/>
      <c r="FO130" s="530"/>
      <c r="FP130" s="530"/>
      <c r="FQ130" s="530"/>
      <c r="GL130" s="128"/>
      <c r="GM130" s="128"/>
      <c r="GN130" s="128"/>
      <c r="GO130" s="128"/>
      <c r="GP130" s="128"/>
      <c r="GQ130" s="128"/>
      <c r="GR130" s="128"/>
      <c r="GS130" s="128"/>
      <c r="GT130" s="128"/>
      <c r="GU130" s="128"/>
      <c r="GV130" s="128"/>
      <c r="GW130" s="128"/>
      <c r="GX130" s="128"/>
      <c r="GY130" s="128"/>
      <c r="GZ130" s="128"/>
      <c r="HA130" s="128"/>
      <c r="HB130" s="128"/>
      <c r="HC130" s="128"/>
      <c r="HD130" s="128"/>
      <c r="HE130" s="128"/>
      <c r="HF130" s="128"/>
      <c r="HG130" s="128"/>
      <c r="HH130" s="128"/>
      <c r="HI130" s="128"/>
      <c r="HJ130" s="128"/>
      <c r="HK130" s="128"/>
      <c r="HL130" s="128"/>
      <c r="HM130" s="128"/>
      <c r="HN130" s="128"/>
      <c r="HO130" s="128"/>
      <c r="HP130" s="128"/>
      <c r="HQ130" s="128"/>
      <c r="HR130" s="128"/>
      <c r="HS130" s="128"/>
      <c r="HT130" s="128"/>
      <c r="HU130" s="128"/>
      <c r="HV130" s="128"/>
      <c r="HW130" s="128"/>
      <c r="HX130" s="128"/>
      <c r="HY130" s="128"/>
      <c r="HZ130" s="128"/>
      <c r="IA130" s="128"/>
      <c r="IB130" s="128"/>
      <c r="IC130" s="128"/>
    </row>
    <row r="131" spans="41:237" x14ac:dyDescent="0.3">
      <c r="AO131" s="128">
        <v>49303</v>
      </c>
      <c r="AP131" s="128" t="s">
        <v>2497</v>
      </c>
      <c r="AQ131" s="128" t="s">
        <v>824</v>
      </c>
      <c r="AR131" s="128" t="s">
        <v>3594</v>
      </c>
      <c r="AS131" s="375">
        <v>46106</v>
      </c>
      <c r="AT131" s="375">
        <v>46444</v>
      </c>
      <c r="AU131" s="530">
        <v>95952</v>
      </c>
      <c r="AV131" s="128">
        <v>49300</v>
      </c>
      <c r="AW131" s="530">
        <v>7000000</v>
      </c>
      <c r="AX131" s="534">
        <f>_xlfn.XLOOKUP(Sell_unvalid[[#This Row],[DEAL_BUY_ID]],BS!BA:BA,BS!BE:BE,,0)</f>
        <v>94180</v>
      </c>
      <c r="AY131" s="534">
        <f>_xlfn.XLOOKUP(Sell_unvalid[[#This Row],[BOND_CODE]],FNRP!D:D,FNRP!I:I,_xlfn.XLOOKUP(Sell_unvalid[[#This Row],[BOND_CODE]],FNRP!AV:AV,FNRP!BA:BA,,0),0)</f>
        <v>92330</v>
      </c>
      <c r="AZ131" s="534">
        <f>_xlfn.XLOOKUP(Sell_unvalid[[#This Row],[DEAL_BUY_ID]],BS!BA:BA,BS!BQ:BQ,,0)*Sell_unvalid[[#This Row],[QUANTITY]]</f>
        <v>-40140949763.351929</v>
      </c>
      <c r="BA131" s="534">
        <f>(Sell_unvalid[[#This Row],[Giá MtM]]-10^5)*Sell_unvalid[[#This Row],[QUANTITY]]-Sell_unvalid[[#This Row],[PTCK remain]]</f>
        <v>-13549050236.648071</v>
      </c>
      <c r="BB131" s="534">
        <f>(Sell_unvalid[[#This Row],[PRICE]]-10^5)*Sell_unvalid[[#This Row],[QUANTITY]]-Sell_unvalid[[#This Row],[PTCK remain]]</f>
        <v>11804949763.351929</v>
      </c>
      <c r="BC131" s="534" t="str">
        <f>IF(AND(Sell_unvalid[[#This Row],[VALUE_DATE]]&lt;=RPT,Sell_unvalid[[#This Row],[TRANSACTION_STATUS]]="N"),"Check","Ok")</f>
        <v>Ok</v>
      </c>
      <c r="BD131" s="534"/>
      <c r="BE131" s="615"/>
      <c r="BF131" s="128"/>
      <c r="BG131" s="128"/>
      <c r="BH131" s="375"/>
      <c r="BJ131" s="375"/>
      <c r="BL131" s="530"/>
      <c r="BN131" s="534"/>
      <c r="BO131" s="534"/>
      <c r="BP131" s="534"/>
      <c r="BR131" s="727"/>
      <c r="BS131" s="128"/>
      <c r="BT131" s="848"/>
      <c r="BU131" s="849">
        <v>46262</v>
      </c>
      <c r="BV131" s="848">
        <v>50444</v>
      </c>
      <c r="BW131" s="848"/>
      <c r="BX131" s="530">
        <v>-800000</v>
      </c>
      <c r="BY131" s="735">
        <f>_xlfn.XLOOKUP(Est_NIM[[#This Row],[DEAL_BUY_ID]],BS!AL:AL,BS!AU:AU,_xlfn.XLOOKUP(Est_NIM[[#This Row],[DEAL_BUY_ID]],BS!BA:BA,BS!BJ:BJ,,0),0)</f>
        <v>4.2</v>
      </c>
      <c r="BZ131" s="534">
        <f>Est_NIM[[#This Row],[QUANT]]*Est_NIM[[#This Row],[YIELD]]</f>
        <v>-3360000</v>
      </c>
      <c r="CA131" s="128"/>
      <c r="CB131" s="128"/>
      <c r="CE131" s="331"/>
      <c r="CF131" s="331"/>
      <c r="CG131" s="331"/>
      <c r="CH131">
        <v>3730</v>
      </c>
      <c r="CI131">
        <v>14282</v>
      </c>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8"/>
      <c r="DS131" s="128"/>
      <c r="DT131" s="128"/>
      <c r="DU131" s="128"/>
      <c r="DV131" s="128"/>
      <c r="DW131" s="128"/>
      <c r="DX131" s="128"/>
      <c r="DY131" s="128"/>
      <c r="DZ131" s="530"/>
      <c r="EA131" s="530"/>
      <c r="EB131" s="530"/>
      <c r="EC131" s="530"/>
      <c r="ED131" s="530"/>
      <c r="EE131" s="530"/>
      <c r="EF131" s="530"/>
      <c r="EG131" s="530"/>
      <c r="EH131" s="530"/>
      <c r="EI131" s="530"/>
      <c r="EJ131" s="530"/>
      <c r="EK131" s="530"/>
      <c r="EL131" s="530"/>
      <c r="EM131" s="530"/>
      <c r="EN131" s="530"/>
      <c r="EO131" s="530"/>
      <c r="EP131" s="530"/>
      <c r="EQ131" s="530"/>
      <c r="ER131" s="530"/>
      <c r="ES131" s="530"/>
      <c r="ET131" s="530"/>
      <c r="EU131" s="530"/>
      <c r="EV131" s="530"/>
      <c r="EW131" s="530"/>
      <c r="EX131" s="530"/>
      <c r="EY131" s="530"/>
      <c r="EZ131" s="530"/>
      <c r="FA131" s="530"/>
      <c r="FB131" s="530"/>
      <c r="FC131" s="530"/>
      <c r="FD131" s="530"/>
      <c r="FE131" s="530"/>
      <c r="FF131" s="530"/>
      <c r="FG131" s="530"/>
      <c r="FH131" s="530"/>
      <c r="FI131" s="530"/>
      <c r="FJ131" s="530"/>
      <c r="FK131" s="530"/>
      <c r="FL131" s="530"/>
      <c r="FM131" s="530"/>
      <c r="FN131" s="530"/>
      <c r="FO131" s="530"/>
      <c r="FP131" s="530"/>
      <c r="FQ131" s="530"/>
      <c r="GL131" s="128"/>
      <c r="GM131" s="128"/>
      <c r="GN131" s="128"/>
      <c r="GO131" s="128"/>
      <c r="GP131" s="128"/>
      <c r="GQ131" s="128"/>
      <c r="GR131" s="128"/>
      <c r="GS131" s="128"/>
      <c r="GT131" s="128"/>
      <c r="GU131" s="128"/>
      <c r="GV131" s="128"/>
      <c r="GW131" s="128"/>
      <c r="GX131" s="128"/>
      <c r="GY131" s="128"/>
      <c r="GZ131" s="128"/>
      <c r="HA131" s="128"/>
      <c r="HB131" s="128"/>
      <c r="HC131" s="128"/>
      <c r="HD131" s="128"/>
      <c r="HE131" s="128"/>
      <c r="HF131" s="128"/>
      <c r="HG131" s="128"/>
      <c r="HH131" s="128"/>
      <c r="HI131" s="128"/>
      <c r="HJ131" s="128"/>
      <c r="HK131" s="128"/>
      <c r="HL131" s="128"/>
      <c r="HM131" s="128"/>
      <c r="HN131" s="128"/>
      <c r="HO131" s="128"/>
      <c r="HP131" s="128"/>
      <c r="HQ131" s="128"/>
      <c r="HR131" s="128"/>
      <c r="HS131" s="128"/>
      <c r="HT131" s="128"/>
      <c r="HU131" s="128"/>
      <c r="HV131" s="128"/>
      <c r="HW131" s="128"/>
      <c r="HX131" s="128"/>
      <c r="HY131" s="128"/>
      <c r="HZ131" s="128"/>
      <c r="IA131" s="128"/>
      <c r="IB131" s="128"/>
      <c r="IC131" s="128"/>
    </row>
    <row r="132" spans="41:237" x14ac:dyDescent="0.3">
      <c r="AO132" s="128">
        <v>49304</v>
      </c>
      <c r="AP132" s="128" t="s">
        <v>2497</v>
      </c>
      <c r="AQ132" s="128" t="s">
        <v>824</v>
      </c>
      <c r="AR132" s="128" t="s">
        <v>3594</v>
      </c>
      <c r="AS132" s="375">
        <v>46106</v>
      </c>
      <c r="AT132" s="375">
        <v>46444</v>
      </c>
      <c r="AU132" s="530">
        <v>95952</v>
      </c>
      <c r="AV132" s="128">
        <v>49301</v>
      </c>
      <c r="AW132" s="530">
        <v>7000000</v>
      </c>
      <c r="AX132" s="534">
        <f>_xlfn.XLOOKUP(Sell_unvalid[[#This Row],[DEAL_BUY_ID]],BS!BA:BA,BS!BE:BE,,0)</f>
        <v>94180</v>
      </c>
      <c r="AY132" s="534">
        <f>_xlfn.XLOOKUP(Sell_unvalid[[#This Row],[BOND_CODE]],FNRP!D:D,FNRP!I:I,_xlfn.XLOOKUP(Sell_unvalid[[#This Row],[BOND_CODE]],FNRP!AV:AV,FNRP!BA:BA,,0),0)</f>
        <v>92330</v>
      </c>
      <c r="AZ132" s="534">
        <f>_xlfn.XLOOKUP(Sell_unvalid[[#This Row],[DEAL_BUY_ID]],BS!BA:BA,BS!BQ:BQ,,0)*Sell_unvalid[[#This Row],[QUANTITY]]</f>
        <v>-40140949763.351929</v>
      </c>
      <c r="BA132" s="534">
        <f>(Sell_unvalid[[#This Row],[Giá MtM]]-10^5)*Sell_unvalid[[#This Row],[QUANTITY]]-Sell_unvalid[[#This Row],[PTCK remain]]</f>
        <v>-13549050236.648071</v>
      </c>
      <c r="BB132" s="534">
        <f>(Sell_unvalid[[#This Row],[PRICE]]-10^5)*Sell_unvalid[[#This Row],[QUANTITY]]-Sell_unvalid[[#This Row],[PTCK remain]]</f>
        <v>11804949763.351929</v>
      </c>
      <c r="BC132" s="534" t="str">
        <f>IF(AND(Sell_unvalid[[#This Row],[VALUE_DATE]]&lt;=RPT,Sell_unvalid[[#This Row],[TRANSACTION_STATUS]]="N"),"Check","Ok")</f>
        <v>Ok</v>
      </c>
      <c r="BD132" s="534"/>
      <c r="BE132" s="615"/>
      <c r="BF132" s="128"/>
      <c r="BG132" s="128"/>
      <c r="BH132" s="375"/>
      <c r="BJ132" s="375"/>
      <c r="BL132" s="530"/>
      <c r="BN132" s="534"/>
      <c r="BO132" s="534"/>
      <c r="BP132" s="534"/>
      <c r="BR132" s="727"/>
      <c r="BS132" s="128"/>
      <c r="BT132" s="848"/>
      <c r="BU132" s="849">
        <v>46255</v>
      </c>
      <c r="BV132" s="848">
        <v>50402</v>
      </c>
      <c r="BW132" s="848"/>
      <c r="BX132" s="530">
        <v>-1000000</v>
      </c>
      <c r="BY132" s="735">
        <f>_xlfn.XLOOKUP(Est_NIM[[#This Row],[DEAL_BUY_ID]],BS!AL:AL,BS!AU:AU,_xlfn.XLOOKUP(Est_NIM[[#This Row],[DEAL_BUY_ID]],BS!BA:BA,BS!BJ:BJ,,0),0)</f>
        <v>2.2000000000000002</v>
      </c>
      <c r="BZ132" s="534">
        <f>Est_NIM[[#This Row],[QUANT]]*Est_NIM[[#This Row],[YIELD]]</f>
        <v>-2200000</v>
      </c>
      <c r="CA132" s="128"/>
      <c r="CB132" s="128"/>
      <c r="CE132" s="331"/>
      <c r="CF132" s="331"/>
      <c r="CG132" s="331"/>
      <c r="CH132">
        <v>3730</v>
      </c>
      <c r="CI132">
        <v>14282</v>
      </c>
      <c r="CN132" s="128"/>
      <c r="CO132" s="128"/>
      <c r="CP132" s="128"/>
      <c r="CQ132" s="128"/>
      <c r="CR132" s="128"/>
      <c r="CS132" s="128"/>
      <c r="CT132" s="128"/>
      <c r="CU132" s="128"/>
      <c r="CV132" s="128"/>
      <c r="CW132" s="128"/>
      <c r="CX132" s="128"/>
      <c r="CY132" s="128"/>
      <c r="CZ132" s="128"/>
      <c r="DA132" s="128"/>
      <c r="DB132" s="128"/>
      <c r="DC132" s="128"/>
      <c r="DD132" s="128"/>
      <c r="DE132" s="128"/>
      <c r="DF132" s="128"/>
      <c r="DG132" s="128"/>
      <c r="DH132" s="128"/>
      <c r="DI132" s="128"/>
      <c r="DJ132" s="128"/>
      <c r="DK132" s="128"/>
      <c r="DL132" s="128"/>
      <c r="DM132" s="128"/>
      <c r="DN132" s="128"/>
      <c r="DO132" s="128"/>
      <c r="DP132" s="128"/>
      <c r="DQ132" s="128"/>
      <c r="DR132" s="128"/>
      <c r="DS132" s="128"/>
      <c r="DT132" s="128"/>
      <c r="DU132" s="128"/>
      <c r="DV132" s="128"/>
      <c r="DW132" s="128"/>
      <c r="DX132" s="128"/>
      <c r="DY132" s="128"/>
      <c r="DZ132" s="530"/>
      <c r="EA132" s="530"/>
      <c r="EB132" s="530"/>
      <c r="EC132" s="530"/>
      <c r="ED132" s="530"/>
      <c r="EE132" s="530"/>
      <c r="EF132" s="530"/>
      <c r="EG132" s="530"/>
      <c r="EH132" s="530"/>
      <c r="EI132" s="530"/>
      <c r="EJ132" s="530"/>
      <c r="EK132" s="530"/>
      <c r="EL132" s="530"/>
      <c r="EM132" s="530"/>
      <c r="EN132" s="530"/>
      <c r="EO132" s="530"/>
      <c r="EP132" s="530"/>
      <c r="EQ132" s="530"/>
      <c r="ER132" s="530"/>
      <c r="ES132" s="530"/>
      <c r="ET132" s="530"/>
      <c r="EU132" s="530"/>
      <c r="EV132" s="530"/>
      <c r="EW132" s="530"/>
      <c r="EX132" s="530"/>
      <c r="EY132" s="530"/>
      <c r="EZ132" s="530"/>
      <c r="FA132" s="530"/>
      <c r="FB132" s="530"/>
      <c r="FC132" s="530"/>
      <c r="FD132" s="530"/>
      <c r="FE132" s="530"/>
      <c r="FF132" s="530"/>
      <c r="FG132" s="530"/>
      <c r="FH132" s="530"/>
      <c r="FI132" s="530"/>
      <c r="FJ132" s="530"/>
      <c r="FK132" s="530"/>
      <c r="FL132" s="530"/>
      <c r="FM132" s="530"/>
      <c r="FN132" s="530"/>
      <c r="FO132" s="530"/>
      <c r="FP132" s="530"/>
      <c r="FQ132" s="530"/>
      <c r="GL132" s="128"/>
      <c r="GM132" s="128"/>
      <c r="GN132" s="128"/>
      <c r="GO132" s="128"/>
      <c r="GP132" s="128"/>
      <c r="GQ132" s="128"/>
      <c r="GR132" s="128"/>
      <c r="GS132" s="128"/>
      <c r="GT132" s="128"/>
      <c r="GU132" s="128"/>
      <c r="GV132" s="128"/>
      <c r="GW132" s="128"/>
      <c r="GX132" s="128"/>
      <c r="GY132" s="128"/>
      <c r="GZ132" s="128"/>
      <c r="HA132" s="128"/>
      <c r="HB132" s="128"/>
      <c r="HC132" s="128"/>
      <c r="HD132" s="128"/>
      <c r="HE132" s="128"/>
      <c r="HF132" s="128"/>
      <c r="HG132" s="128"/>
      <c r="HH132" s="128"/>
      <c r="HI132" s="128"/>
      <c r="HJ132" s="128"/>
      <c r="HK132" s="128"/>
      <c r="HL132" s="128"/>
      <c r="HM132" s="128"/>
      <c r="HN132" s="128"/>
      <c r="HO132" s="128"/>
      <c r="HP132" s="128"/>
      <c r="HQ132" s="128"/>
      <c r="HR132" s="128"/>
      <c r="HS132" s="128"/>
      <c r="HT132" s="128"/>
      <c r="HU132" s="128"/>
      <c r="HV132" s="128"/>
      <c r="HW132" s="128"/>
      <c r="HX132" s="128"/>
      <c r="HY132" s="128"/>
      <c r="HZ132" s="128"/>
      <c r="IA132" s="128"/>
      <c r="IB132" s="128"/>
      <c r="IC132" s="128"/>
    </row>
    <row r="133" spans="41:237" x14ac:dyDescent="0.3">
      <c r="AO133" s="128">
        <v>49305</v>
      </c>
      <c r="AP133" s="128" t="s">
        <v>2497</v>
      </c>
      <c r="AQ133" s="128" t="s">
        <v>824</v>
      </c>
      <c r="AR133" s="128" t="s">
        <v>3594</v>
      </c>
      <c r="AS133" s="375">
        <v>46106</v>
      </c>
      <c r="AT133" s="375">
        <v>46444</v>
      </c>
      <c r="AU133" s="530">
        <v>95952</v>
      </c>
      <c r="AV133" s="128">
        <v>49302</v>
      </c>
      <c r="AW133" s="530">
        <v>7360000</v>
      </c>
      <c r="AX133" s="534">
        <f>_xlfn.XLOOKUP(Sell_unvalid[[#This Row],[DEAL_BUY_ID]],BS!BA:BA,BS!BE:BE,,0)</f>
        <v>94180</v>
      </c>
      <c r="AY133" s="534">
        <f>_xlfn.XLOOKUP(Sell_unvalid[[#This Row],[BOND_CODE]],FNRP!D:D,FNRP!I:I,_xlfn.XLOOKUP(Sell_unvalid[[#This Row],[BOND_CODE]],FNRP!AV:AV,FNRP!BA:BA,,0),0)</f>
        <v>92330</v>
      </c>
      <c r="AZ133" s="534">
        <f>_xlfn.XLOOKUP(Sell_unvalid[[#This Row],[DEAL_BUY_ID]],BS!BA:BA,BS!BQ:BQ,,0)*Sell_unvalid[[#This Row],[QUANTITY]]</f>
        <v>-42205341465.467171</v>
      </c>
      <c r="BA133" s="534">
        <f>(Sell_unvalid[[#This Row],[Giá MtM]]-10^5)*Sell_unvalid[[#This Row],[QUANTITY]]-Sell_unvalid[[#This Row],[PTCK remain]]</f>
        <v>-14245858534.532829</v>
      </c>
      <c r="BB133" s="534">
        <f>(Sell_unvalid[[#This Row],[PRICE]]-10^5)*Sell_unvalid[[#This Row],[QUANTITY]]-Sell_unvalid[[#This Row],[PTCK remain]]</f>
        <v>12412061465.467171</v>
      </c>
      <c r="BC133" s="534" t="str">
        <f>IF(AND(Sell_unvalid[[#This Row],[VALUE_DATE]]&lt;=RPT,Sell_unvalid[[#This Row],[TRANSACTION_STATUS]]="N"),"Check","Ok")</f>
        <v>Ok</v>
      </c>
      <c r="BD133" s="534"/>
      <c r="BE133" s="615"/>
      <c r="BF133" s="128"/>
      <c r="BG133" s="128"/>
      <c r="BH133" s="375"/>
      <c r="BJ133" s="375"/>
      <c r="BL133" s="530"/>
      <c r="BN133" s="534"/>
      <c r="BO133" s="534"/>
      <c r="BP133" s="534"/>
      <c r="BR133" s="727"/>
      <c r="BS133" s="128"/>
      <c r="BT133" s="848"/>
      <c r="BU133" s="849">
        <v>46259</v>
      </c>
      <c r="BV133" s="848">
        <v>50406</v>
      </c>
      <c r="BW133" s="848"/>
      <c r="BX133" s="530">
        <v>-190000</v>
      </c>
      <c r="BY133" s="735">
        <f>_xlfn.XLOOKUP(Est_NIM[[#This Row],[DEAL_BUY_ID]],BS!AL:AL,BS!AU:AU,_xlfn.XLOOKUP(Est_NIM[[#This Row],[DEAL_BUY_ID]],BS!BA:BA,BS!BJ:BJ,,0),0)</f>
        <v>7.75</v>
      </c>
      <c r="BZ133" s="534">
        <f>Est_NIM[[#This Row],[QUANT]]*Est_NIM[[#This Row],[YIELD]]</f>
        <v>-1472500</v>
      </c>
      <c r="CA133" s="128"/>
      <c r="CB133" s="128"/>
      <c r="CE133" s="331"/>
      <c r="CF133" s="331"/>
      <c r="CG133" s="331"/>
      <c r="CH133">
        <v>3730</v>
      </c>
      <c r="CI133">
        <v>14282</v>
      </c>
      <c r="CN133" s="128"/>
      <c r="CO133" s="128"/>
      <c r="CP133" s="128"/>
      <c r="CQ133" s="128"/>
      <c r="CR133" s="128"/>
      <c r="CS133" s="128"/>
      <c r="CT133" s="128"/>
      <c r="CU133" s="128"/>
      <c r="CV133" s="128"/>
      <c r="CW133" s="128"/>
      <c r="CX133" s="128"/>
      <c r="CY133" s="128"/>
      <c r="CZ133" s="128"/>
      <c r="DA133" s="128"/>
      <c r="DB133" s="128"/>
      <c r="DC133" s="128"/>
      <c r="DD133" s="128"/>
      <c r="DE133" s="128"/>
      <c r="DF133" s="128"/>
      <c r="DG133" s="128"/>
      <c r="DH133" s="128"/>
      <c r="DI133" s="128"/>
      <c r="DJ133" s="128"/>
      <c r="DK133" s="128"/>
      <c r="DL133" s="128"/>
      <c r="DM133" s="128"/>
      <c r="DN133" s="128"/>
      <c r="DO133" s="128"/>
      <c r="DP133" s="128"/>
      <c r="DQ133" s="128"/>
      <c r="DR133" s="128"/>
      <c r="DS133" s="128"/>
      <c r="DT133" s="128"/>
      <c r="DU133" s="128"/>
      <c r="DV133" s="128"/>
      <c r="DW133" s="128"/>
      <c r="DX133" s="128"/>
      <c r="DY133" s="128"/>
      <c r="DZ133" s="530"/>
      <c r="EA133" s="530"/>
      <c r="EB133" s="530"/>
      <c r="EC133" s="530"/>
      <c r="ED133" s="530"/>
      <c r="EE133" s="530"/>
      <c r="EF133" s="530"/>
      <c r="EG133" s="530"/>
      <c r="EH133" s="530"/>
      <c r="EI133" s="530"/>
      <c r="EJ133" s="530"/>
      <c r="EK133" s="530"/>
      <c r="EL133" s="530"/>
      <c r="EM133" s="530"/>
      <c r="EN133" s="530"/>
      <c r="EO133" s="530"/>
      <c r="EP133" s="530"/>
      <c r="EQ133" s="530"/>
      <c r="ER133" s="530"/>
      <c r="ES133" s="530"/>
      <c r="ET133" s="530"/>
      <c r="EU133" s="530"/>
      <c r="EV133" s="530"/>
      <c r="EW133" s="530"/>
      <c r="EX133" s="530"/>
      <c r="EY133" s="530"/>
      <c r="EZ133" s="530"/>
      <c r="FA133" s="530"/>
      <c r="FB133" s="530"/>
      <c r="FC133" s="530"/>
      <c r="FD133" s="530"/>
      <c r="FE133" s="530"/>
      <c r="FF133" s="530"/>
      <c r="FG133" s="530"/>
      <c r="FH133" s="530"/>
      <c r="FI133" s="530"/>
      <c r="FJ133" s="530"/>
      <c r="FK133" s="530"/>
      <c r="FL133" s="530"/>
      <c r="FM133" s="530"/>
      <c r="FN133" s="530"/>
      <c r="FO133" s="530"/>
      <c r="FP133" s="530"/>
      <c r="FQ133" s="530"/>
      <c r="GL133" s="128"/>
      <c r="GM133" s="128"/>
      <c r="GN133" s="128"/>
      <c r="GO133" s="128"/>
      <c r="GP133" s="128"/>
      <c r="GQ133" s="128"/>
      <c r="GR133" s="128"/>
      <c r="GS133" s="128"/>
      <c r="GT133" s="128"/>
      <c r="GU133" s="128"/>
      <c r="GV133" s="128"/>
      <c r="GW133" s="128"/>
      <c r="GX133" s="128"/>
      <c r="GY133" s="128"/>
      <c r="GZ133" s="128"/>
      <c r="HA133" s="128"/>
      <c r="HB133" s="128"/>
      <c r="HC133" s="128"/>
      <c r="HD133" s="128"/>
      <c r="HE133" s="128"/>
      <c r="HF133" s="128"/>
      <c r="HG133" s="128"/>
      <c r="HH133" s="128"/>
      <c r="HI133" s="128"/>
      <c r="HJ133" s="128"/>
      <c r="HK133" s="128"/>
      <c r="HL133" s="128"/>
      <c r="HM133" s="128"/>
      <c r="HN133" s="128"/>
      <c r="HO133" s="128"/>
      <c r="HP133" s="128"/>
      <c r="HQ133" s="128"/>
      <c r="HR133" s="128"/>
      <c r="HS133" s="128"/>
      <c r="HT133" s="128"/>
      <c r="HU133" s="128"/>
      <c r="HV133" s="128"/>
      <c r="HW133" s="128"/>
      <c r="HX133" s="128"/>
      <c r="HY133" s="128"/>
      <c r="HZ133" s="128"/>
      <c r="IA133" s="128"/>
      <c r="IB133" s="128"/>
      <c r="IC133" s="128"/>
    </row>
    <row r="134" spans="41:237" x14ac:dyDescent="0.3">
      <c r="AO134" s="128">
        <v>49311</v>
      </c>
      <c r="AP134" s="128" t="s">
        <v>2497</v>
      </c>
      <c r="AQ134" s="128" t="s">
        <v>824</v>
      </c>
      <c r="AR134" s="128" t="s">
        <v>3594</v>
      </c>
      <c r="AS134" s="375">
        <v>46107</v>
      </c>
      <c r="AT134" s="375">
        <v>46448</v>
      </c>
      <c r="AU134" s="530">
        <v>95648</v>
      </c>
      <c r="AV134" s="128">
        <v>49308</v>
      </c>
      <c r="AW134" s="530">
        <v>6200000</v>
      </c>
      <c r="AX134" s="534">
        <f>_xlfn.XLOOKUP(Sell_unvalid[[#This Row],[DEAL_BUY_ID]],BS!BA:BA,BS!BE:BE,,0)</f>
        <v>93886</v>
      </c>
      <c r="AY134" s="534">
        <f>_xlfn.XLOOKUP(Sell_unvalid[[#This Row],[BOND_CODE]],FNRP!D:D,FNRP!I:I,_xlfn.XLOOKUP(Sell_unvalid[[#This Row],[BOND_CODE]],FNRP!AV:AV,FNRP!BA:BA,,0),0)</f>
        <v>92330</v>
      </c>
      <c r="AZ134" s="534">
        <f>_xlfn.XLOOKUP(Sell_unvalid[[#This Row],[DEAL_BUY_ID]],BS!BA:BA,BS!BQ:BQ,,0)*Sell_unvalid[[#This Row],[QUANTITY]]</f>
        <v>-37357841236.838303</v>
      </c>
      <c r="BA134" s="534">
        <f>(Sell_unvalid[[#This Row],[Giá MtM]]-10^5)*Sell_unvalid[[#This Row],[QUANTITY]]-Sell_unvalid[[#This Row],[PTCK remain]]</f>
        <v>-10196158763.161697</v>
      </c>
      <c r="BB134" s="534">
        <f>(Sell_unvalid[[#This Row],[PRICE]]-10^5)*Sell_unvalid[[#This Row],[QUANTITY]]-Sell_unvalid[[#This Row],[PTCK remain]]</f>
        <v>10375441236.838303</v>
      </c>
      <c r="BC134" s="534" t="str">
        <f>IF(AND(Sell_unvalid[[#This Row],[VALUE_DATE]]&lt;=RPT,Sell_unvalid[[#This Row],[TRANSACTION_STATUS]]="N"),"Check","Ok")</f>
        <v>Ok</v>
      </c>
      <c r="BD134" s="534"/>
      <c r="BE134" s="615"/>
      <c r="BF134" s="128"/>
      <c r="BG134" s="128"/>
      <c r="BH134" s="375"/>
      <c r="BJ134" s="375"/>
      <c r="BL134" s="530"/>
      <c r="BN134" s="534"/>
      <c r="BO134" s="534"/>
      <c r="BP134" s="534"/>
      <c r="BR134" s="727"/>
      <c r="BS134" s="128"/>
      <c r="BT134" s="848"/>
      <c r="BU134" s="849">
        <v>46259</v>
      </c>
      <c r="BV134" s="848">
        <v>50404</v>
      </c>
      <c r="BW134" s="848"/>
      <c r="BX134" s="530">
        <v>-800000</v>
      </c>
      <c r="BY134" s="735">
        <f>_xlfn.XLOOKUP(Est_NIM[[#This Row],[DEAL_BUY_ID]],BS!AL:AL,BS!AU:AU,_xlfn.XLOOKUP(Est_NIM[[#This Row],[DEAL_BUY_ID]],BS!BA:BA,BS!BJ:BJ,,0),0)</f>
        <v>4.2</v>
      </c>
      <c r="BZ134" s="534">
        <f>Est_NIM[[#This Row],[QUANT]]*Est_NIM[[#This Row],[YIELD]]</f>
        <v>-3360000</v>
      </c>
      <c r="CA134" s="128"/>
      <c r="CB134" s="128"/>
      <c r="CE134" s="331"/>
      <c r="CF134" s="331"/>
      <c r="CG134" s="331"/>
      <c r="CH134">
        <v>3730</v>
      </c>
      <c r="CI134">
        <v>14282</v>
      </c>
      <c r="CN134" s="128"/>
      <c r="CO134" s="128"/>
      <c r="CP134" s="128"/>
      <c r="CQ134" s="128"/>
      <c r="CR134" s="128"/>
      <c r="CS134" s="128"/>
      <c r="CT134" s="128"/>
      <c r="CU134" s="128"/>
      <c r="CV134" s="128"/>
      <c r="CW134" s="128"/>
      <c r="CX134" s="128"/>
      <c r="CY134" s="128"/>
      <c r="CZ134" s="128"/>
      <c r="DA134" s="128"/>
      <c r="DB134" s="128"/>
      <c r="DC134" s="128"/>
      <c r="DD134" s="128"/>
      <c r="DE134" s="128"/>
      <c r="DF134" s="128"/>
      <c r="DG134" s="128"/>
      <c r="DH134" s="128"/>
      <c r="DI134" s="128"/>
      <c r="DJ134" s="128"/>
      <c r="DK134" s="128"/>
      <c r="DL134" s="128"/>
      <c r="DM134" s="128"/>
      <c r="DN134" s="128"/>
      <c r="DO134" s="128"/>
      <c r="DP134" s="128"/>
      <c r="DQ134" s="128"/>
      <c r="DR134" s="128"/>
      <c r="DS134" s="128"/>
      <c r="DT134" s="128"/>
      <c r="DU134" s="128"/>
      <c r="DV134" s="128"/>
      <c r="DW134" s="128"/>
      <c r="DX134" s="128"/>
      <c r="DY134" s="128"/>
      <c r="DZ134" s="530"/>
      <c r="EA134" s="530"/>
      <c r="EB134" s="530"/>
      <c r="EC134" s="530"/>
      <c r="ED134" s="530"/>
      <c r="EE134" s="530"/>
      <c r="EF134" s="530"/>
      <c r="EG134" s="530"/>
      <c r="EH134" s="530"/>
      <c r="EI134" s="530"/>
      <c r="EJ134" s="530"/>
      <c r="EK134" s="530"/>
      <c r="EL134" s="530"/>
      <c r="EM134" s="530"/>
      <c r="EN134" s="530"/>
      <c r="EO134" s="530"/>
      <c r="EP134" s="530"/>
      <c r="EQ134" s="530"/>
      <c r="ER134" s="530"/>
      <c r="ES134" s="530"/>
      <c r="ET134" s="530"/>
      <c r="EU134" s="530"/>
      <c r="EV134" s="530"/>
      <c r="EW134" s="530"/>
      <c r="EX134" s="530"/>
      <c r="EY134" s="530"/>
      <c r="EZ134" s="530"/>
      <c r="FA134" s="530"/>
      <c r="FB134" s="530"/>
      <c r="FC134" s="530"/>
      <c r="FD134" s="530"/>
      <c r="FE134" s="530"/>
      <c r="FF134" s="530"/>
      <c r="FG134" s="530"/>
      <c r="FH134" s="530"/>
      <c r="FI134" s="530"/>
      <c r="FJ134" s="530"/>
      <c r="FK134" s="530"/>
      <c r="FL134" s="530"/>
      <c r="FM134" s="530"/>
      <c r="FN134" s="530"/>
      <c r="FO134" s="530"/>
      <c r="FP134" s="530"/>
      <c r="FQ134" s="530"/>
      <c r="GL134" s="128"/>
      <c r="GM134" s="128"/>
      <c r="GN134" s="128"/>
      <c r="GO134" s="128"/>
      <c r="GP134" s="128"/>
      <c r="GQ134" s="128"/>
      <c r="GR134" s="128"/>
      <c r="GS134" s="128"/>
      <c r="GT134" s="128"/>
      <c r="GU134" s="128"/>
      <c r="GV134" s="128"/>
      <c r="GW134" s="128"/>
      <c r="GX134" s="128"/>
      <c r="GY134" s="128"/>
      <c r="GZ134" s="128"/>
      <c r="HA134" s="128"/>
      <c r="HB134" s="128"/>
      <c r="HC134" s="128"/>
      <c r="HD134" s="128"/>
      <c r="HE134" s="128"/>
      <c r="HF134" s="128"/>
      <c r="HG134" s="128"/>
      <c r="HH134" s="128"/>
      <c r="HI134" s="128"/>
      <c r="HJ134" s="128"/>
      <c r="HK134" s="128"/>
      <c r="HL134" s="128"/>
      <c r="HM134" s="128"/>
      <c r="HN134" s="128"/>
      <c r="HO134" s="128"/>
      <c r="HP134" s="128"/>
      <c r="HQ134" s="128"/>
      <c r="HR134" s="128"/>
      <c r="HS134" s="128"/>
      <c r="HT134" s="128"/>
      <c r="HU134" s="128"/>
      <c r="HV134" s="128"/>
      <c r="HW134" s="128"/>
      <c r="HX134" s="128"/>
      <c r="HY134" s="128"/>
      <c r="HZ134" s="128"/>
      <c r="IA134" s="128"/>
      <c r="IB134" s="128"/>
      <c r="IC134" s="128"/>
    </row>
    <row r="135" spans="41:237" x14ac:dyDescent="0.3">
      <c r="AO135" s="128">
        <v>49311</v>
      </c>
      <c r="AP135" s="128" t="s">
        <v>2497</v>
      </c>
      <c r="AQ135" s="128" t="s">
        <v>824</v>
      </c>
      <c r="AR135" s="375" t="s">
        <v>3594</v>
      </c>
      <c r="AS135" s="375">
        <v>46107</v>
      </c>
      <c r="AT135" s="375">
        <v>46448</v>
      </c>
      <c r="AU135" s="530">
        <v>95648</v>
      </c>
      <c r="AV135" s="128">
        <v>50262</v>
      </c>
      <c r="AW135" s="530">
        <v>800000</v>
      </c>
      <c r="AX135" s="534">
        <f>_xlfn.XLOOKUP(Sell_unvalid[[#This Row],[DEAL_BUY_ID]],BS!BA:BA,BS!BE:BE,,0)</f>
        <v>103210</v>
      </c>
      <c r="AY135" s="534">
        <f>_xlfn.XLOOKUP(Sell_unvalid[[#This Row],[BOND_CODE]],FNRP!D:D,FNRP!I:I,_xlfn.XLOOKUP(Sell_unvalid[[#This Row],[BOND_CODE]],FNRP!AV:AV,FNRP!BA:BA,,0),0)</f>
        <v>92330</v>
      </c>
      <c r="AZ135" s="534">
        <f>_xlfn.XLOOKUP(Sell_unvalid[[#This Row],[DEAL_BUY_ID]],BS!BA:BA,BS!BQ:BQ,,0)*Sell_unvalid[[#This Row],[QUANTITY]]</f>
        <v>2564622272.1754136</v>
      </c>
      <c r="BA135" s="534">
        <f>(Sell_unvalid[[#This Row],[Giá MtM]]-10^5)*Sell_unvalid[[#This Row],[QUANTITY]]-Sell_unvalid[[#This Row],[PTCK remain]]</f>
        <v>-8700622272.1754131</v>
      </c>
      <c r="BB135" s="534">
        <f>(Sell_unvalid[[#This Row],[PRICE]]-10^5)*Sell_unvalid[[#This Row],[QUANTITY]]-Sell_unvalid[[#This Row],[PTCK remain]]</f>
        <v>-6046222272.1754131</v>
      </c>
      <c r="BC135" s="534" t="str">
        <f>IF(AND(Sell_unvalid[[#This Row],[VALUE_DATE]]&lt;=RPT,Sell_unvalid[[#This Row],[TRANSACTION_STATUS]]="N"),"Check","Ok")</f>
        <v>Ok</v>
      </c>
      <c r="BD135" s="534"/>
      <c r="BE135" s="615"/>
      <c r="BF135" s="128"/>
      <c r="BG135" s="128"/>
      <c r="BH135" s="375"/>
      <c r="BJ135" s="375"/>
      <c r="BL135" s="530"/>
      <c r="BN135" s="534"/>
      <c r="BO135" s="534"/>
      <c r="BP135" s="534"/>
      <c r="BR135" s="727"/>
      <c r="BS135" s="128"/>
      <c r="BT135" s="848"/>
      <c r="BU135" s="849">
        <v>45378</v>
      </c>
      <c r="BV135" s="848">
        <v>41818</v>
      </c>
      <c r="BW135" s="848" t="s">
        <v>3901</v>
      </c>
      <c r="BX135" s="530">
        <v>1500000</v>
      </c>
      <c r="BY135" s="735">
        <f>_xlfn.XLOOKUP(Est_NIM[[#This Row],[DEAL_BUY_ID]],BS!AL:AL,BS!AU:AU,_xlfn.XLOOKUP(Est_NIM[[#This Row],[DEAL_BUY_ID]],BS!BA:BA,BS!BJ:BJ,,0),0)</f>
        <v>3.0272999999999999</v>
      </c>
      <c r="BZ135" s="534">
        <f>Est_NIM[[#This Row],[QUANT]]*Est_NIM[[#This Row],[YIELD]]</f>
        <v>4540950</v>
      </c>
      <c r="CA135" s="128"/>
      <c r="CB135" s="128"/>
      <c r="CE135" s="331"/>
      <c r="CF135" s="331"/>
      <c r="CG135" s="331"/>
      <c r="CH135">
        <v>3730</v>
      </c>
      <c r="CI135">
        <v>14282</v>
      </c>
      <c r="CN135" s="128"/>
      <c r="CO135" s="128"/>
      <c r="CP135" s="128"/>
      <c r="CQ135" s="128"/>
      <c r="CR135" s="128"/>
      <c r="CS135" s="128"/>
      <c r="CT135" s="128"/>
      <c r="CU135" s="128"/>
      <c r="CV135" s="128"/>
      <c r="CW135" s="128"/>
      <c r="CX135" s="128"/>
      <c r="CY135" s="128"/>
      <c r="CZ135" s="128"/>
      <c r="DA135" s="128"/>
      <c r="DB135" s="128"/>
      <c r="DC135" s="128"/>
      <c r="DD135" s="128"/>
      <c r="DE135" s="128"/>
      <c r="DF135" s="128"/>
      <c r="DG135" s="128"/>
      <c r="DH135" s="128"/>
      <c r="DI135" s="128"/>
      <c r="DJ135" s="128"/>
      <c r="DK135" s="128"/>
      <c r="DL135" s="128"/>
      <c r="DM135" s="128"/>
      <c r="DN135" s="128"/>
      <c r="DO135" s="128"/>
      <c r="DP135" s="128"/>
      <c r="DQ135" s="128"/>
      <c r="DR135" s="128"/>
      <c r="DS135" s="128"/>
      <c r="DT135" s="128"/>
      <c r="DU135" s="128"/>
      <c r="DV135" s="128"/>
      <c r="DW135" s="128"/>
      <c r="DX135" s="128"/>
      <c r="DY135" s="128"/>
      <c r="DZ135" s="530"/>
      <c r="EA135" s="530"/>
      <c r="EB135" s="530"/>
      <c r="EC135" s="530"/>
      <c r="ED135" s="530"/>
      <c r="EE135" s="530"/>
      <c r="EF135" s="530"/>
      <c r="EG135" s="530"/>
      <c r="EH135" s="530"/>
      <c r="EI135" s="530"/>
      <c r="EJ135" s="530"/>
      <c r="EK135" s="530"/>
      <c r="EL135" s="530"/>
      <c r="EM135" s="530"/>
      <c r="EN135" s="530"/>
      <c r="EO135" s="530"/>
      <c r="EP135" s="530"/>
      <c r="EQ135" s="530"/>
      <c r="ER135" s="530"/>
      <c r="ES135" s="530"/>
      <c r="ET135" s="530"/>
      <c r="EU135" s="530"/>
      <c r="EV135" s="530"/>
      <c r="EW135" s="530"/>
      <c r="EX135" s="530"/>
      <c r="EY135" s="530"/>
      <c r="EZ135" s="530"/>
      <c r="FA135" s="530"/>
      <c r="FB135" s="530"/>
      <c r="FC135" s="530"/>
      <c r="FD135" s="530"/>
      <c r="FE135" s="530"/>
      <c r="FF135" s="530"/>
      <c r="FG135" s="530"/>
      <c r="FH135" s="530"/>
      <c r="FI135" s="530"/>
      <c r="FJ135" s="530"/>
      <c r="FK135" s="530"/>
      <c r="FL135" s="530"/>
      <c r="FM135" s="530"/>
      <c r="FN135" s="530"/>
      <c r="FO135" s="530"/>
      <c r="FP135" s="530"/>
      <c r="FQ135" s="530"/>
      <c r="GL135" s="128"/>
      <c r="GM135" s="128"/>
      <c r="GN135" s="128"/>
      <c r="GO135" s="128"/>
      <c r="GP135" s="128"/>
      <c r="GQ135" s="128"/>
      <c r="GR135" s="128"/>
      <c r="GS135" s="128"/>
      <c r="GT135" s="128"/>
      <c r="GU135" s="128"/>
      <c r="GV135" s="128"/>
      <c r="GW135" s="128"/>
      <c r="GX135" s="128"/>
      <c r="GY135" s="128"/>
      <c r="GZ135" s="128"/>
      <c r="HA135" s="128"/>
      <c r="HB135" s="128"/>
      <c r="HC135" s="128"/>
      <c r="HD135" s="128"/>
      <c r="HE135" s="128"/>
      <c r="HF135" s="128"/>
      <c r="HG135" s="128"/>
      <c r="HH135" s="128"/>
      <c r="HI135" s="128"/>
      <c r="HJ135" s="128"/>
      <c r="HK135" s="128"/>
      <c r="HL135" s="128"/>
      <c r="HM135" s="128"/>
      <c r="HN135" s="128"/>
      <c r="HO135" s="128"/>
      <c r="HP135" s="128"/>
      <c r="HQ135" s="128"/>
      <c r="HR135" s="128"/>
      <c r="HS135" s="128"/>
      <c r="HT135" s="128"/>
      <c r="HU135" s="128"/>
      <c r="HV135" s="128"/>
      <c r="HW135" s="128"/>
      <c r="HX135" s="128"/>
      <c r="HY135" s="128"/>
      <c r="HZ135" s="128"/>
      <c r="IA135" s="128"/>
      <c r="IB135" s="128"/>
      <c r="IC135" s="128"/>
    </row>
    <row r="136" spans="41:237" x14ac:dyDescent="0.3">
      <c r="AO136" s="128">
        <v>49312</v>
      </c>
      <c r="AP136" s="128" t="s">
        <v>2497</v>
      </c>
      <c r="AQ136" s="128" t="s">
        <v>824</v>
      </c>
      <c r="AR136" s="375" t="s">
        <v>3594</v>
      </c>
      <c r="AS136" s="375">
        <v>46107</v>
      </c>
      <c r="AT136" s="375">
        <v>46448</v>
      </c>
      <c r="AU136" s="530">
        <v>95648</v>
      </c>
      <c r="AV136" s="128">
        <v>49310</v>
      </c>
      <c r="AW136" s="530">
        <v>2300000</v>
      </c>
      <c r="AX136" s="534">
        <f>_xlfn.XLOOKUP(Sell_unvalid[[#This Row],[DEAL_BUY_ID]],BS!BA:BA,BS!BE:BE,,0)</f>
        <v>93886</v>
      </c>
      <c r="AY136" s="534">
        <f>_xlfn.XLOOKUP(Sell_unvalid[[#This Row],[BOND_CODE]],FNRP!D:D,FNRP!I:I,_xlfn.XLOOKUP(Sell_unvalid[[#This Row],[BOND_CODE]],FNRP!AV:AV,FNRP!BA:BA,,0),0)</f>
        <v>92330</v>
      </c>
      <c r="AZ136" s="534">
        <f>_xlfn.XLOOKUP(Sell_unvalid[[#This Row],[DEAL_BUY_ID]],BS!BA:BA,BS!BQ:BQ,,0)*Sell_unvalid[[#This Row],[QUANTITY]]</f>
        <v>-13858554007.214211</v>
      </c>
      <c r="BA136" s="534">
        <f>(Sell_unvalid[[#This Row],[Giá MtM]]-10^5)*Sell_unvalid[[#This Row],[QUANTITY]]-Sell_unvalid[[#This Row],[PTCK remain]]</f>
        <v>-3782445992.7857895</v>
      </c>
      <c r="BB136" s="534">
        <f>(Sell_unvalid[[#This Row],[PRICE]]-10^5)*Sell_unvalid[[#This Row],[QUANTITY]]-Sell_unvalid[[#This Row],[PTCK remain]]</f>
        <v>3848954007.2142105</v>
      </c>
      <c r="BC136" s="534" t="str">
        <f>IF(AND(Sell_unvalid[[#This Row],[VALUE_DATE]]&lt;=RPT,Sell_unvalid[[#This Row],[TRANSACTION_STATUS]]="N"),"Check","Ok")</f>
        <v>Ok</v>
      </c>
      <c r="BD136" s="534"/>
      <c r="BE136" s="615"/>
      <c r="BF136" s="128"/>
      <c r="BG136" s="128"/>
      <c r="BH136" s="375"/>
      <c r="BJ136" s="375"/>
      <c r="BL136" s="530"/>
      <c r="BN136" s="534"/>
      <c r="BO136" s="534"/>
      <c r="BP136" s="534"/>
      <c r="BR136" s="727"/>
      <c r="BS136" s="128"/>
      <c r="BT136" s="848"/>
      <c r="BU136" s="849">
        <v>45378</v>
      </c>
      <c r="BV136" s="848">
        <v>41820</v>
      </c>
      <c r="BW136" s="848" t="s">
        <v>3901</v>
      </c>
      <c r="BX136" s="530">
        <v>1000000</v>
      </c>
      <c r="BY136" s="735">
        <f>_xlfn.XLOOKUP(Est_NIM[[#This Row],[DEAL_BUY_ID]],BS!AL:AL,BS!AU:AU,_xlfn.XLOOKUP(Est_NIM[[#This Row],[DEAL_BUY_ID]],BS!BA:BA,BS!BJ:BJ,,0),0)</f>
        <v>3.0272999999999999</v>
      </c>
      <c r="BZ136" s="534">
        <f>Est_NIM[[#This Row],[QUANT]]*Est_NIM[[#This Row],[YIELD]]</f>
        <v>3027300</v>
      </c>
      <c r="CA136" s="128"/>
      <c r="CB136" s="128"/>
      <c r="CE136" s="331"/>
      <c r="CF136" s="331"/>
      <c r="CG136" s="331"/>
      <c r="CH136">
        <v>3730</v>
      </c>
      <c r="CI136">
        <v>14282</v>
      </c>
      <c r="CN136" s="128"/>
      <c r="CO136" s="128"/>
      <c r="CP136" s="128"/>
      <c r="CQ136" s="128"/>
      <c r="CR136" s="128"/>
      <c r="CS136" s="128"/>
      <c r="CT136" s="128"/>
      <c r="CU136" s="128"/>
      <c r="CV136" s="128"/>
      <c r="CW136" s="128"/>
      <c r="CX136" s="128"/>
      <c r="CY136" s="128"/>
      <c r="CZ136" s="128"/>
      <c r="DA136" s="128"/>
      <c r="DB136" s="128"/>
      <c r="DC136" s="128"/>
      <c r="DD136" s="128"/>
      <c r="DE136" s="128"/>
      <c r="DF136" s="128"/>
      <c r="DG136" s="128"/>
      <c r="DH136" s="128"/>
      <c r="DI136" s="128"/>
      <c r="DJ136" s="128"/>
      <c r="DK136" s="128"/>
      <c r="DL136" s="128"/>
      <c r="DM136" s="128"/>
      <c r="DN136" s="128"/>
      <c r="DO136" s="128"/>
      <c r="DP136" s="128"/>
      <c r="DQ136" s="128"/>
      <c r="DR136" s="128"/>
      <c r="DS136" s="128"/>
      <c r="DT136" s="128"/>
      <c r="DU136" s="128"/>
      <c r="DV136" s="128"/>
      <c r="DW136" s="128"/>
      <c r="DX136" s="128"/>
      <c r="DY136" s="128"/>
      <c r="DZ136" s="530"/>
      <c r="EA136" s="530"/>
      <c r="EB136" s="530"/>
      <c r="EC136" s="530"/>
      <c r="ED136" s="530"/>
      <c r="EE136" s="530"/>
      <c r="EF136" s="530"/>
      <c r="EG136" s="530"/>
      <c r="EH136" s="530"/>
      <c r="EI136" s="530"/>
      <c r="EJ136" s="530"/>
      <c r="EK136" s="530"/>
      <c r="EL136" s="530"/>
      <c r="EM136" s="530"/>
      <c r="EN136" s="530"/>
      <c r="EO136" s="530"/>
      <c r="EP136" s="530"/>
      <c r="EQ136" s="530"/>
      <c r="ER136" s="530"/>
      <c r="ES136" s="530"/>
      <c r="ET136" s="530"/>
      <c r="EU136" s="530"/>
      <c r="EV136" s="530"/>
      <c r="EW136" s="530"/>
      <c r="EX136" s="530"/>
      <c r="EY136" s="530"/>
      <c r="EZ136" s="530"/>
      <c r="FA136" s="530"/>
      <c r="FB136" s="530"/>
      <c r="FC136" s="530"/>
      <c r="FD136" s="530"/>
      <c r="FE136" s="530"/>
      <c r="FF136" s="530"/>
      <c r="FG136" s="530"/>
      <c r="FH136" s="530"/>
      <c r="FI136" s="530"/>
      <c r="FJ136" s="530"/>
      <c r="FK136" s="530"/>
      <c r="FL136" s="530"/>
      <c r="FM136" s="530"/>
      <c r="FN136" s="530"/>
      <c r="FO136" s="530"/>
      <c r="FP136" s="530"/>
      <c r="FQ136" s="530"/>
      <c r="GL136" s="128"/>
      <c r="GM136" s="128"/>
      <c r="GN136" s="128"/>
      <c r="GO136" s="128"/>
      <c r="GP136" s="128"/>
      <c r="GQ136" s="128"/>
      <c r="GR136" s="128"/>
      <c r="GS136" s="128"/>
      <c r="GT136" s="128"/>
      <c r="GU136" s="128"/>
      <c r="GV136" s="128"/>
      <c r="GW136" s="128"/>
      <c r="GX136" s="128"/>
      <c r="GY136" s="128"/>
      <c r="GZ136" s="128"/>
      <c r="HA136" s="128"/>
      <c r="HB136" s="128"/>
      <c r="HC136" s="128"/>
      <c r="HD136" s="128"/>
      <c r="HE136" s="128"/>
      <c r="HF136" s="128"/>
      <c r="HG136" s="128"/>
      <c r="HH136" s="128"/>
      <c r="HI136" s="128"/>
      <c r="HJ136" s="128"/>
      <c r="HK136" s="128"/>
      <c r="HL136" s="128"/>
      <c r="HM136" s="128"/>
      <c r="HN136" s="128"/>
      <c r="HO136" s="128"/>
      <c r="HP136" s="128"/>
      <c r="HQ136" s="128"/>
      <c r="HR136" s="128"/>
      <c r="HS136" s="128"/>
      <c r="HT136" s="128"/>
      <c r="HU136" s="128"/>
      <c r="HV136" s="128"/>
      <c r="HW136" s="128"/>
      <c r="HX136" s="128"/>
      <c r="HY136" s="128"/>
      <c r="HZ136" s="128"/>
      <c r="IA136" s="128"/>
      <c r="IB136" s="128"/>
      <c r="IC136" s="128"/>
    </row>
    <row r="137" spans="41:237" x14ac:dyDescent="0.3">
      <c r="AO137" s="128">
        <v>49312</v>
      </c>
      <c r="AP137" s="128" t="s">
        <v>2497</v>
      </c>
      <c r="AQ137" s="128" t="s">
        <v>824</v>
      </c>
      <c r="AR137" s="375" t="s">
        <v>3594</v>
      </c>
      <c r="AS137" s="375">
        <v>46107</v>
      </c>
      <c r="AT137" s="375">
        <v>46448</v>
      </c>
      <c r="AU137" s="530">
        <v>95648</v>
      </c>
      <c r="AV137" s="128">
        <v>50102</v>
      </c>
      <c r="AW137" s="530">
        <v>700000</v>
      </c>
      <c r="AX137" s="534">
        <f>_xlfn.XLOOKUP(Sell_unvalid[[#This Row],[DEAL_BUY_ID]],BS!BA:BA,BS!BE:BE,,0)</f>
        <v>101176</v>
      </c>
      <c r="AY137" s="534">
        <f>_xlfn.XLOOKUP(Sell_unvalid[[#This Row],[BOND_CODE]],FNRP!D:D,FNRP!I:I,_xlfn.XLOOKUP(Sell_unvalid[[#This Row],[BOND_CODE]],FNRP!AV:AV,FNRP!BA:BA,,0),0)</f>
        <v>92330</v>
      </c>
      <c r="AZ137" s="534">
        <f>_xlfn.XLOOKUP(Sell_unvalid[[#This Row],[DEAL_BUY_ID]],BS!BA:BA,BS!BQ:BQ,,0)*Sell_unvalid[[#This Row],[QUANTITY]]</f>
        <v>819129139.75296104</v>
      </c>
      <c r="BA137" s="534">
        <f>(Sell_unvalid[[#This Row],[Giá MtM]]-10^5)*Sell_unvalid[[#This Row],[QUANTITY]]-Sell_unvalid[[#This Row],[PTCK remain]]</f>
        <v>-6188129139.7529612</v>
      </c>
      <c r="BB137" s="534">
        <f>(Sell_unvalid[[#This Row],[PRICE]]-10^5)*Sell_unvalid[[#This Row],[QUANTITY]]-Sell_unvalid[[#This Row],[PTCK remain]]</f>
        <v>-3865529139.7529612</v>
      </c>
      <c r="BC137" s="534" t="str">
        <f>IF(AND(Sell_unvalid[[#This Row],[VALUE_DATE]]&lt;=RPT,Sell_unvalid[[#This Row],[TRANSACTION_STATUS]]="N"),"Check","Ok")</f>
        <v>Ok</v>
      </c>
      <c r="BD137" s="534"/>
      <c r="BE137" s="615"/>
      <c r="BF137" s="128"/>
      <c r="BG137" s="128"/>
      <c r="BH137" s="375"/>
      <c r="BJ137" s="375"/>
      <c r="BL137" s="530"/>
      <c r="BN137" s="534"/>
      <c r="BO137" s="534"/>
      <c r="BP137" s="534"/>
      <c r="BR137" s="727"/>
      <c r="BS137" s="128"/>
      <c r="BT137" s="848"/>
      <c r="BU137" s="849">
        <v>45450</v>
      </c>
      <c r="BV137" s="848">
        <v>42756</v>
      </c>
      <c r="BW137" s="848" t="s">
        <v>3901</v>
      </c>
      <c r="BX137" s="530">
        <v>3000000</v>
      </c>
      <c r="BY137" s="735">
        <f>_xlfn.XLOOKUP(Est_NIM[[#This Row],[DEAL_BUY_ID]],BS!AL:AL,BS!AU:AU,_xlfn.XLOOKUP(Est_NIM[[#This Row],[DEAL_BUY_ID]],BS!BA:BA,BS!BJ:BJ,,0),0)</f>
        <v>3.3</v>
      </c>
      <c r="BZ137" s="534">
        <f>Est_NIM[[#This Row],[QUANT]]*Est_NIM[[#This Row],[YIELD]]</f>
        <v>9900000</v>
      </c>
      <c r="CA137" s="128"/>
      <c r="CB137" s="128"/>
      <c r="CE137" s="331"/>
      <c r="CF137" s="331"/>
      <c r="CG137" s="331"/>
      <c r="CH137">
        <v>3730</v>
      </c>
      <c r="CI137">
        <v>14282</v>
      </c>
      <c r="CN137" s="128"/>
      <c r="CO137" s="128"/>
      <c r="CP137" s="128"/>
      <c r="CQ137" s="128"/>
      <c r="CR137" s="128"/>
      <c r="CS137" s="128"/>
      <c r="CT137" s="128"/>
      <c r="CU137" s="128"/>
      <c r="CV137" s="128"/>
      <c r="CW137" s="128"/>
      <c r="CX137" s="128"/>
      <c r="CY137" s="128"/>
      <c r="CZ137" s="128"/>
      <c r="DA137" s="128"/>
      <c r="DB137" s="128"/>
      <c r="DC137" s="128"/>
      <c r="DD137" s="128"/>
      <c r="DE137" s="128"/>
      <c r="DF137" s="128"/>
      <c r="DG137" s="128"/>
      <c r="DH137" s="128"/>
      <c r="DI137" s="128"/>
      <c r="DJ137" s="128"/>
      <c r="DK137" s="128"/>
      <c r="DL137" s="128"/>
      <c r="DM137" s="128"/>
      <c r="DN137" s="128"/>
      <c r="DO137" s="128"/>
      <c r="DP137" s="128"/>
      <c r="DQ137" s="128"/>
      <c r="DR137" s="128"/>
      <c r="DS137" s="128"/>
      <c r="DT137" s="128"/>
      <c r="DU137" s="128"/>
      <c r="DV137" s="128"/>
      <c r="DW137" s="128"/>
      <c r="DX137" s="128"/>
      <c r="DY137" s="128"/>
      <c r="DZ137" s="530"/>
      <c r="EA137" s="530"/>
      <c r="EB137" s="530"/>
      <c r="EC137" s="530"/>
      <c r="ED137" s="530"/>
      <c r="EE137" s="530"/>
      <c r="EF137" s="530"/>
      <c r="EG137" s="530"/>
      <c r="EH137" s="530"/>
      <c r="EI137" s="530"/>
      <c r="EJ137" s="530"/>
      <c r="EK137" s="530"/>
      <c r="EL137" s="530"/>
      <c r="EM137" s="530"/>
      <c r="EN137" s="530"/>
      <c r="EO137" s="530"/>
      <c r="EP137" s="530"/>
      <c r="EQ137" s="530"/>
      <c r="ER137" s="530"/>
      <c r="ES137" s="530"/>
      <c r="ET137" s="530"/>
      <c r="EU137" s="530"/>
      <c r="EV137" s="530"/>
      <c r="EW137" s="530"/>
      <c r="EX137" s="530"/>
      <c r="EY137" s="530"/>
      <c r="EZ137" s="530"/>
      <c r="FA137" s="530"/>
      <c r="FB137" s="530"/>
      <c r="FC137" s="530"/>
      <c r="FD137" s="530"/>
      <c r="FE137" s="530"/>
      <c r="FF137" s="530"/>
      <c r="FG137" s="530"/>
      <c r="FH137" s="530"/>
      <c r="FI137" s="530"/>
      <c r="FJ137" s="530"/>
      <c r="FK137" s="530"/>
      <c r="FL137" s="530"/>
      <c r="FM137" s="530"/>
      <c r="FN137" s="530"/>
      <c r="FO137" s="530"/>
      <c r="FP137" s="530"/>
      <c r="FQ137" s="530"/>
      <c r="GL137" s="128"/>
      <c r="GM137" s="128"/>
      <c r="GN137" s="128"/>
      <c r="GO137" s="128"/>
      <c r="GP137" s="128"/>
      <c r="GQ137" s="128"/>
      <c r="GR137" s="128"/>
      <c r="GS137" s="128"/>
      <c r="GT137" s="128"/>
      <c r="GU137" s="128"/>
      <c r="GV137" s="128"/>
      <c r="GW137" s="128"/>
      <c r="GX137" s="128"/>
      <c r="GY137" s="128"/>
      <c r="GZ137" s="128"/>
      <c r="HA137" s="128"/>
      <c r="HB137" s="128"/>
      <c r="HC137" s="128"/>
      <c r="HD137" s="128"/>
      <c r="HE137" s="128"/>
      <c r="HF137" s="128"/>
      <c r="HG137" s="128"/>
      <c r="HH137" s="128"/>
      <c r="HI137" s="128"/>
      <c r="HJ137" s="128"/>
      <c r="HK137" s="128"/>
      <c r="HL137" s="128"/>
      <c r="HM137" s="128"/>
      <c r="HN137" s="128"/>
      <c r="HO137" s="128"/>
      <c r="HP137" s="128"/>
      <c r="HQ137" s="128"/>
      <c r="HR137" s="128"/>
      <c r="HS137" s="128"/>
      <c r="HT137" s="128"/>
      <c r="HU137" s="128"/>
      <c r="HV137" s="128"/>
      <c r="HW137" s="128"/>
      <c r="HX137" s="128"/>
      <c r="HY137" s="128"/>
      <c r="HZ137" s="128"/>
      <c r="IA137" s="128"/>
      <c r="IB137" s="128"/>
      <c r="IC137" s="128"/>
    </row>
    <row r="138" spans="41:237" x14ac:dyDescent="0.3">
      <c r="AO138" s="128">
        <v>49312</v>
      </c>
      <c r="AP138" s="128" t="s">
        <v>2497</v>
      </c>
      <c r="AQ138" s="128" t="s">
        <v>824</v>
      </c>
      <c r="AR138" s="375" t="s">
        <v>3594</v>
      </c>
      <c r="AS138" s="375">
        <v>46107</v>
      </c>
      <c r="AT138" s="375">
        <v>46448</v>
      </c>
      <c r="AU138" s="530">
        <v>95648</v>
      </c>
      <c r="AV138" s="128">
        <v>50225</v>
      </c>
      <c r="AW138" s="530">
        <v>2000000</v>
      </c>
      <c r="AX138" s="534">
        <f>_xlfn.XLOOKUP(Sell_unvalid[[#This Row],[DEAL_BUY_ID]],BS!BA:BA,BS!BE:BE,,0)</f>
        <v>93824</v>
      </c>
      <c r="AY138" s="534">
        <f>_xlfn.XLOOKUP(Sell_unvalid[[#This Row],[BOND_CODE]],FNRP!D:D,FNRP!I:I,_xlfn.XLOOKUP(Sell_unvalid[[#This Row],[BOND_CODE]],FNRP!AV:AV,FNRP!BA:BA,,0),0)</f>
        <v>92330</v>
      </c>
      <c r="AZ138" s="534">
        <f>_xlfn.XLOOKUP(Sell_unvalid[[#This Row],[DEAL_BUY_ID]],BS!BA:BA,BS!BQ:BQ,,0)*Sell_unvalid[[#This Row],[QUANTITY]]</f>
        <v>-12376511574.734827</v>
      </c>
      <c r="BA138" s="534">
        <f>(Sell_unvalid[[#This Row],[Giá MtM]]-10^5)*Sell_unvalid[[#This Row],[QUANTITY]]-Sell_unvalid[[#This Row],[PTCK remain]]</f>
        <v>-2963488425.265173</v>
      </c>
      <c r="BB138" s="534">
        <f>(Sell_unvalid[[#This Row],[PRICE]]-10^5)*Sell_unvalid[[#This Row],[QUANTITY]]-Sell_unvalid[[#This Row],[PTCK remain]]</f>
        <v>3672511574.734827</v>
      </c>
      <c r="BC138" s="534" t="str">
        <f>IF(AND(Sell_unvalid[[#This Row],[VALUE_DATE]]&lt;=RPT,Sell_unvalid[[#This Row],[TRANSACTION_STATUS]]="N"),"Check","Ok")</f>
        <v>Ok</v>
      </c>
      <c r="BD138" s="534"/>
      <c r="BE138" s="615"/>
      <c r="BF138" s="128"/>
      <c r="BG138" s="128"/>
      <c r="BH138" s="375"/>
      <c r="BJ138" s="375"/>
      <c r="BL138" s="530"/>
      <c r="BN138" s="534"/>
      <c r="BO138" s="534"/>
      <c r="BP138" s="534"/>
      <c r="BR138" s="727"/>
      <c r="BS138" s="128"/>
      <c r="BT138" s="848"/>
      <c r="BU138" s="849">
        <v>45461</v>
      </c>
      <c r="BV138" s="848">
        <v>42869</v>
      </c>
      <c r="BW138" s="848" t="s">
        <v>3901</v>
      </c>
      <c r="BX138" s="530">
        <v>2000000</v>
      </c>
      <c r="BY138" s="735">
        <f>_xlfn.XLOOKUP(Est_NIM[[#This Row],[DEAL_BUY_ID]],BS!AL:AL,BS!AU:AU,_xlfn.XLOOKUP(Est_NIM[[#This Row],[DEAL_BUY_ID]],BS!BA:BA,BS!BJ:BJ,,0),0)</f>
        <v>3.3</v>
      </c>
      <c r="BZ138" s="534">
        <f>Est_NIM[[#This Row],[QUANT]]*Est_NIM[[#This Row],[YIELD]]</f>
        <v>6600000</v>
      </c>
      <c r="CA138" s="128"/>
      <c r="CB138" s="128"/>
      <c r="CE138" s="331"/>
      <c r="CF138" s="331"/>
      <c r="CG138" s="331"/>
      <c r="CH138">
        <v>3730</v>
      </c>
      <c r="CI138">
        <v>14282</v>
      </c>
      <c r="CN138" s="128"/>
      <c r="CO138" s="128"/>
      <c r="CP138" s="128"/>
      <c r="CQ138" s="128"/>
      <c r="CR138" s="128"/>
      <c r="CS138" s="128"/>
      <c r="CT138" s="128"/>
      <c r="CU138" s="128"/>
      <c r="CV138" s="128"/>
      <c r="CW138" s="128"/>
      <c r="CX138" s="128"/>
      <c r="CY138" s="128"/>
      <c r="CZ138" s="128"/>
      <c r="DA138" s="128"/>
      <c r="DB138" s="128"/>
      <c r="DC138" s="128"/>
      <c r="DD138" s="128"/>
      <c r="DE138" s="128"/>
      <c r="DF138" s="128"/>
      <c r="DG138" s="128"/>
      <c r="DH138" s="128"/>
      <c r="DI138" s="128"/>
      <c r="DJ138" s="128"/>
      <c r="DK138" s="128"/>
      <c r="DL138" s="128"/>
      <c r="DM138" s="128"/>
      <c r="DN138" s="128"/>
      <c r="DO138" s="128"/>
      <c r="DP138" s="128"/>
      <c r="DQ138" s="128"/>
      <c r="DR138" s="128"/>
      <c r="DS138" s="128"/>
      <c r="DT138" s="128"/>
      <c r="DU138" s="128"/>
      <c r="DV138" s="128"/>
      <c r="DW138" s="128"/>
      <c r="DX138" s="128"/>
      <c r="DY138" s="128"/>
      <c r="DZ138" s="530"/>
      <c r="EA138" s="530"/>
      <c r="EB138" s="530"/>
      <c r="EC138" s="530"/>
      <c r="ED138" s="530"/>
      <c r="EE138" s="530"/>
      <c r="EF138" s="530"/>
      <c r="EG138" s="530"/>
      <c r="EH138" s="530"/>
      <c r="EI138" s="530"/>
      <c r="EJ138" s="530"/>
      <c r="EK138" s="530"/>
      <c r="EL138" s="530"/>
      <c r="EM138" s="530"/>
      <c r="EN138" s="530"/>
      <c r="EO138" s="530"/>
      <c r="EP138" s="530"/>
      <c r="EQ138" s="530"/>
      <c r="ER138" s="530"/>
      <c r="ES138" s="530"/>
      <c r="ET138" s="530"/>
      <c r="EU138" s="530"/>
      <c r="EV138" s="530"/>
      <c r="EW138" s="530"/>
      <c r="EX138" s="530"/>
      <c r="EY138" s="530"/>
      <c r="EZ138" s="530"/>
      <c r="FA138" s="530"/>
      <c r="FB138" s="530"/>
      <c r="FC138" s="530"/>
      <c r="FD138" s="530"/>
      <c r="FE138" s="530"/>
      <c r="FF138" s="530"/>
      <c r="FG138" s="530"/>
      <c r="FH138" s="530"/>
      <c r="FI138" s="530"/>
      <c r="FJ138" s="530"/>
      <c r="FK138" s="530"/>
      <c r="FL138" s="530"/>
      <c r="FM138" s="530"/>
      <c r="FN138" s="530"/>
      <c r="FO138" s="530"/>
      <c r="FP138" s="530"/>
      <c r="FQ138" s="530"/>
      <c r="GL138" s="128"/>
      <c r="GM138" s="128"/>
      <c r="GN138" s="128"/>
      <c r="GO138" s="128"/>
      <c r="GP138" s="128"/>
      <c r="GQ138" s="128"/>
      <c r="GR138" s="128"/>
      <c r="GS138" s="128"/>
      <c r="GT138" s="128"/>
      <c r="GU138" s="128"/>
      <c r="GV138" s="128"/>
      <c r="GW138" s="128"/>
      <c r="GX138" s="128"/>
      <c r="GY138" s="128"/>
      <c r="GZ138" s="128"/>
      <c r="HA138" s="128"/>
      <c r="HB138" s="128"/>
      <c r="HC138" s="128"/>
      <c r="HD138" s="128"/>
      <c r="HE138" s="128"/>
      <c r="HF138" s="128"/>
      <c r="HG138" s="128"/>
      <c r="HH138" s="128"/>
      <c r="HI138" s="128"/>
      <c r="HJ138" s="128"/>
      <c r="HK138" s="128"/>
      <c r="HL138" s="128"/>
      <c r="HM138" s="128"/>
      <c r="HN138" s="128"/>
      <c r="HO138" s="128"/>
      <c r="HP138" s="128"/>
      <c r="HQ138" s="128"/>
      <c r="HR138" s="128"/>
      <c r="HS138" s="128"/>
      <c r="HT138" s="128"/>
      <c r="HU138" s="128"/>
      <c r="HV138" s="128"/>
      <c r="HW138" s="128"/>
      <c r="HX138" s="128"/>
      <c r="HY138" s="128"/>
      <c r="HZ138" s="128"/>
      <c r="IA138" s="128"/>
      <c r="IB138" s="128"/>
      <c r="IC138" s="128"/>
    </row>
    <row r="139" spans="41:237" x14ac:dyDescent="0.3">
      <c r="AO139" s="128">
        <v>49312</v>
      </c>
      <c r="AP139" s="128" t="s">
        <v>2497</v>
      </c>
      <c r="AQ139" s="128" t="s">
        <v>824</v>
      </c>
      <c r="AR139" s="375" t="s">
        <v>3594</v>
      </c>
      <c r="AS139" s="375">
        <v>46107</v>
      </c>
      <c r="AT139" s="375">
        <v>46448</v>
      </c>
      <c r="AU139" s="530">
        <v>95648</v>
      </c>
      <c r="AV139" s="128">
        <v>50227</v>
      </c>
      <c r="AW139" s="530">
        <v>3000000</v>
      </c>
      <c r="AX139" s="534">
        <f>_xlfn.XLOOKUP(Sell_unvalid[[#This Row],[DEAL_BUY_ID]],BS!BA:BA,BS!BE:BE,,0)</f>
        <v>93843</v>
      </c>
      <c r="AY139" s="534">
        <f>_xlfn.XLOOKUP(Sell_unvalid[[#This Row],[BOND_CODE]],FNRP!D:D,FNRP!I:I,_xlfn.XLOOKUP(Sell_unvalid[[#This Row],[BOND_CODE]],FNRP!AV:AV,FNRP!BA:BA,,0),0)</f>
        <v>92330</v>
      </c>
      <c r="AZ139" s="534">
        <f>_xlfn.XLOOKUP(Sell_unvalid[[#This Row],[DEAL_BUY_ID]],BS!BA:BA,BS!BQ:BQ,,0)*Sell_unvalid[[#This Row],[QUANTITY]]</f>
        <v>-18508082522.481285</v>
      </c>
      <c r="BA139" s="534">
        <f>(Sell_unvalid[[#This Row],[Giá MtM]]-10^5)*Sell_unvalid[[#This Row],[QUANTITY]]-Sell_unvalid[[#This Row],[PTCK remain]]</f>
        <v>-4501917477.5187149</v>
      </c>
      <c r="BB139" s="534">
        <f>(Sell_unvalid[[#This Row],[PRICE]]-10^5)*Sell_unvalid[[#This Row],[QUANTITY]]-Sell_unvalid[[#This Row],[PTCK remain]]</f>
        <v>5452082522.4812851</v>
      </c>
      <c r="BC139" s="534" t="str">
        <f>IF(AND(Sell_unvalid[[#This Row],[VALUE_DATE]]&lt;=RPT,Sell_unvalid[[#This Row],[TRANSACTION_STATUS]]="N"),"Check","Ok")</f>
        <v>Ok</v>
      </c>
      <c r="BD139" s="534"/>
      <c r="BE139" s="615"/>
      <c r="BF139" s="128"/>
      <c r="BG139" s="128"/>
      <c r="BH139" s="375"/>
      <c r="BJ139" s="375"/>
      <c r="BL139" s="530"/>
      <c r="BN139" s="534"/>
      <c r="BO139" s="534"/>
      <c r="BP139" s="534"/>
      <c r="BR139" s="727"/>
      <c r="BS139" s="128"/>
      <c r="BT139" s="848"/>
      <c r="BU139" s="849">
        <v>45470</v>
      </c>
      <c r="BV139" s="848">
        <v>43063</v>
      </c>
      <c r="BW139" s="848" t="s">
        <v>3901</v>
      </c>
      <c r="BX139" s="530">
        <v>2000000</v>
      </c>
      <c r="BY139" s="735">
        <f>_xlfn.XLOOKUP(Est_NIM[[#This Row],[DEAL_BUY_ID]],BS!AL:AL,BS!AU:AU,_xlfn.XLOOKUP(Est_NIM[[#This Row],[DEAL_BUY_ID]],BS!BA:BA,BS!BJ:BJ,,0),0)</f>
        <v>3.2532000000000001</v>
      </c>
      <c r="BZ139" s="534">
        <f>Est_NIM[[#This Row],[QUANT]]*Est_NIM[[#This Row],[YIELD]]</f>
        <v>6506400</v>
      </c>
      <c r="CA139" s="128"/>
      <c r="CB139" s="128"/>
      <c r="CE139" s="331"/>
      <c r="CF139" s="331"/>
      <c r="CG139" s="331"/>
      <c r="CH139">
        <v>3730</v>
      </c>
      <c r="CI139">
        <v>14282</v>
      </c>
      <c r="CN139" s="128"/>
      <c r="CO139" s="128"/>
      <c r="CP139" s="128"/>
      <c r="CQ139" s="128"/>
      <c r="CR139" s="128"/>
      <c r="CS139" s="128"/>
      <c r="CT139" s="128"/>
      <c r="CU139" s="128"/>
      <c r="CV139" s="128"/>
      <c r="CW139" s="128"/>
      <c r="CX139" s="128"/>
      <c r="CY139" s="128"/>
      <c r="CZ139" s="128"/>
      <c r="DA139" s="128"/>
      <c r="DB139" s="128"/>
      <c r="DC139" s="128"/>
      <c r="DD139" s="128"/>
      <c r="DE139" s="128"/>
      <c r="DF139" s="128"/>
      <c r="DG139" s="128"/>
      <c r="DH139" s="128"/>
      <c r="DI139" s="128"/>
      <c r="DJ139" s="128"/>
      <c r="DK139" s="128"/>
      <c r="DL139" s="128"/>
      <c r="DM139" s="128"/>
      <c r="DN139" s="128"/>
      <c r="DO139" s="128"/>
      <c r="DP139" s="128"/>
      <c r="DQ139" s="128"/>
      <c r="DR139" s="128"/>
      <c r="DS139" s="128"/>
      <c r="DT139" s="128"/>
      <c r="DU139" s="128"/>
      <c r="DV139" s="128"/>
      <c r="DW139" s="128"/>
      <c r="DX139" s="128"/>
      <c r="DY139" s="128"/>
      <c r="DZ139" s="530"/>
      <c r="EA139" s="530"/>
      <c r="EB139" s="530"/>
      <c r="EC139" s="530"/>
      <c r="ED139" s="530"/>
      <c r="EE139" s="530"/>
      <c r="EF139" s="530"/>
      <c r="EG139" s="530"/>
      <c r="EH139" s="530"/>
      <c r="EI139" s="530"/>
      <c r="EJ139" s="530"/>
      <c r="EK139" s="530"/>
      <c r="EL139" s="530"/>
      <c r="EM139" s="530"/>
      <c r="EN139" s="530"/>
      <c r="EO139" s="530"/>
      <c r="EP139" s="530"/>
      <c r="EQ139" s="530"/>
      <c r="ER139" s="530"/>
      <c r="ES139" s="530"/>
      <c r="ET139" s="530"/>
      <c r="EU139" s="530"/>
      <c r="EV139" s="530"/>
      <c r="EW139" s="530"/>
      <c r="EX139" s="530"/>
      <c r="EY139" s="530"/>
      <c r="EZ139" s="530"/>
      <c r="FA139" s="530"/>
      <c r="FB139" s="530"/>
      <c r="FC139" s="530"/>
      <c r="FD139" s="530"/>
      <c r="FE139" s="530"/>
      <c r="FF139" s="530"/>
      <c r="FG139" s="530"/>
      <c r="FH139" s="530"/>
      <c r="FI139" s="530"/>
      <c r="FJ139" s="530"/>
      <c r="FK139" s="530"/>
      <c r="FL139" s="530"/>
      <c r="FM139" s="530"/>
      <c r="FN139" s="530"/>
      <c r="FO139" s="530"/>
      <c r="FP139" s="530"/>
      <c r="FQ139" s="530"/>
      <c r="GL139" s="128"/>
      <c r="GM139" s="128"/>
      <c r="GN139" s="128"/>
      <c r="GO139" s="128"/>
      <c r="GP139" s="128"/>
      <c r="GQ139" s="128"/>
      <c r="GR139" s="128"/>
      <c r="GS139" s="128"/>
      <c r="GT139" s="128"/>
      <c r="GU139" s="128"/>
      <c r="GV139" s="128"/>
      <c r="GW139" s="128"/>
      <c r="GX139" s="128"/>
      <c r="GY139" s="128"/>
      <c r="GZ139" s="128"/>
      <c r="HA139" s="128"/>
      <c r="HB139" s="128"/>
      <c r="HC139" s="128"/>
      <c r="HD139" s="128"/>
      <c r="HE139" s="128"/>
      <c r="HF139" s="128"/>
      <c r="HG139" s="128"/>
      <c r="HH139" s="128"/>
      <c r="HI139" s="128"/>
      <c r="HJ139" s="128"/>
      <c r="HK139" s="128"/>
      <c r="HL139" s="128"/>
      <c r="HM139" s="128"/>
      <c r="HN139" s="128"/>
      <c r="HO139" s="128"/>
      <c r="HP139" s="128"/>
      <c r="HQ139" s="128"/>
      <c r="HR139" s="128"/>
      <c r="HS139" s="128"/>
      <c r="HT139" s="128"/>
      <c r="HU139" s="128"/>
      <c r="HV139" s="128"/>
      <c r="HW139" s="128"/>
      <c r="HX139" s="128"/>
      <c r="HY139" s="128"/>
      <c r="HZ139" s="128"/>
      <c r="IA139" s="128"/>
      <c r="IB139" s="128"/>
      <c r="IC139" s="128"/>
    </row>
    <row r="140" spans="41:237" x14ac:dyDescent="0.3">
      <c r="AO140" s="128">
        <v>49313</v>
      </c>
      <c r="AP140" s="128" t="s">
        <v>2497</v>
      </c>
      <c r="AQ140" s="128" t="s">
        <v>824</v>
      </c>
      <c r="AR140" s="375" t="s">
        <v>3594</v>
      </c>
      <c r="AS140" s="375">
        <v>46107</v>
      </c>
      <c r="AT140" s="375">
        <v>46448</v>
      </c>
      <c r="AU140" s="530">
        <v>95648</v>
      </c>
      <c r="AV140" s="532">
        <v>50223</v>
      </c>
      <c r="AW140" s="530">
        <v>4500000</v>
      </c>
      <c r="AX140" s="534">
        <f>_xlfn.XLOOKUP(Sell_unvalid[[#This Row],[DEAL_BUY_ID]],BS!BA:BA,BS!BE:BE,,0)</f>
        <v>93845</v>
      </c>
      <c r="AY140" s="534">
        <f>_xlfn.XLOOKUP(Sell_unvalid[[#This Row],[BOND_CODE]],FNRP!D:D,FNRP!I:I,_xlfn.XLOOKUP(Sell_unvalid[[#This Row],[BOND_CODE]],FNRP!AV:AV,FNRP!BA:BA,,0),0)</f>
        <v>92330</v>
      </c>
      <c r="AZ140" s="534">
        <f>_xlfn.XLOOKUP(Sell_unvalid[[#This Row],[DEAL_BUY_ID]],BS!BA:BA,BS!BQ:BQ,,0)*Sell_unvalid[[#This Row],[QUANTITY]]</f>
        <v>-27752465825.49295</v>
      </c>
      <c r="BA140" s="534">
        <f>(Sell_unvalid[[#This Row],[Giá MtM]]-10^5)*Sell_unvalid[[#This Row],[QUANTITY]]-Sell_unvalid[[#This Row],[PTCK remain]]</f>
        <v>-6762534174.5070496</v>
      </c>
      <c r="BB140" s="534">
        <f>(Sell_unvalid[[#This Row],[PRICE]]-10^5)*Sell_unvalid[[#This Row],[QUANTITY]]-Sell_unvalid[[#This Row],[PTCK remain]]</f>
        <v>8168465825.4929504</v>
      </c>
      <c r="BC140" s="534" t="str">
        <f>IF(AND(Sell_unvalid[[#This Row],[VALUE_DATE]]&lt;=RPT,Sell_unvalid[[#This Row],[TRANSACTION_STATUS]]="N"),"Check","Ok")</f>
        <v>Ok</v>
      </c>
      <c r="BD140" s="534"/>
      <c r="BE140" s="615"/>
      <c r="BF140" s="128"/>
      <c r="BG140" s="128"/>
      <c r="BH140" s="375"/>
      <c r="BJ140" s="375"/>
      <c r="BL140" s="530"/>
      <c r="BN140" s="534"/>
      <c r="BO140" s="534"/>
      <c r="BP140" s="534"/>
      <c r="BR140" s="727"/>
      <c r="BS140" s="128"/>
      <c r="BT140" s="848"/>
      <c r="BU140" s="849">
        <v>45512</v>
      </c>
      <c r="BV140" s="848">
        <v>43543</v>
      </c>
      <c r="BW140" s="848" t="s">
        <v>3901</v>
      </c>
      <c r="BX140" s="530">
        <v>500000</v>
      </c>
      <c r="BY140" s="735">
        <f>_xlfn.XLOOKUP(Est_NIM[[#This Row],[DEAL_BUY_ID]],BS!AL:AL,BS!AU:AU,_xlfn.XLOOKUP(Est_NIM[[#This Row],[DEAL_BUY_ID]],BS!BA:BA,BS!BJ:BJ,,0),0)</f>
        <v>3.0199732369999999</v>
      </c>
      <c r="BZ140" s="534">
        <f>Est_NIM[[#This Row],[QUANT]]*Est_NIM[[#This Row],[YIELD]]</f>
        <v>1509986.6184999999</v>
      </c>
      <c r="CA140" s="128"/>
      <c r="CB140" s="128"/>
      <c r="CE140" s="331"/>
      <c r="CF140" s="331"/>
      <c r="CG140" s="331"/>
      <c r="CH140">
        <v>3730</v>
      </c>
      <c r="CI140">
        <v>14282</v>
      </c>
      <c r="CN140" s="128"/>
      <c r="CO140" s="128"/>
      <c r="CP140" s="128"/>
      <c r="CQ140" s="128"/>
      <c r="CR140" s="128"/>
      <c r="CS140" s="128"/>
      <c r="CT140" s="128"/>
      <c r="CU140" s="128"/>
      <c r="CV140" s="128"/>
      <c r="CW140" s="128"/>
      <c r="CX140" s="128"/>
      <c r="CY140" s="128"/>
      <c r="CZ140" s="128"/>
      <c r="DA140" s="128"/>
      <c r="DB140" s="128"/>
      <c r="DC140" s="128"/>
      <c r="DD140" s="128"/>
      <c r="DE140" s="128"/>
      <c r="DF140" s="128"/>
      <c r="DG140" s="128"/>
      <c r="DH140" s="128"/>
      <c r="DI140" s="128"/>
      <c r="DJ140" s="128"/>
      <c r="DK140" s="128"/>
      <c r="DL140" s="128"/>
      <c r="DM140" s="128"/>
      <c r="DN140" s="128"/>
      <c r="DO140" s="128"/>
      <c r="DP140" s="128"/>
      <c r="DQ140" s="128"/>
      <c r="DR140" s="128"/>
      <c r="DS140" s="128"/>
      <c r="DT140" s="128"/>
      <c r="DU140" s="128"/>
      <c r="DV140" s="128"/>
      <c r="DW140" s="128"/>
      <c r="DX140" s="128"/>
      <c r="DY140" s="128"/>
      <c r="DZ140" s="530"/>
      <c r="EA140" s="530"/>
      <c r="EB140" s="530"/>
      <c r="EC140" s="530"/>
      <c r="ED140" s="530"/>
      <c r="EE140" s="530"/>
      <c r="EF140" s="530"/>
      <c r="EG140" s="530"/>
      <c r="EH140" s="530"/>
      <c r="EI140" s="530"/>
      <c r="EJ140" s="530"/>
      <c r="EK140" s="530"/>
      <c r="EL140" s="530"/>
      <c r="EM140" s="530"/>
      <c r="EN140" s="530"/>
      <c r="EO140" s="530"/>
      <c r="EP140" s="530"/>
      <c r="EQ140" s="530"/>
      <c r="ER140" s="530"/>
      <c r="ES140" s="530"/>
      <c r="ET140" s="530"/>
      <c r="EU140" s="530"/>
      <c r="EV140" s="530"/>
      <c r="EW140" s="530"/>
      <c r="EX140" s="530"/>
      <c r="EY140" s="530"/>
      <c r="EZ140" s="530"/>
      <c r="FA140" s="530"/>
      <c r="FB140" s="530"/>
      <c r="FC140" s="530"/>
      <c r="FD140" s="530"/>
      <c r="FE140" s="530"/>
      <c r="FF140" s="530"/>
      <c r="FG140" s="530"/>
      <c r="FH140" s="530"/>
      <c r="FI140" s="530"/>
      <c r="FJ140" s="530"/>
      <c r="FK140" s="530"/>
      <c r="FL140" s="530"/>
      <c r="FM140" s="530"/>
      <c r="FN140" s="530"/>
      <c r="FO140" s="530"/>
      <c r="FP140" s="530"/>
      <c r="FQ140" s="530"/>
      <c r="GL140" s="128"/>
      <c r="GM140" s="128"/>
      <c r="GN140" s="128"/>
      <c r="GO140" s="128"/>
      <c r="GP140" s="128"/>
      <c r="GQ140" s="128"/>
      <c r="GR140" s="128"/>
      <c r="GS140" s="128"/>
      <c r="GT140" s="128"/>
      <c r="GU140" s="128"/>
      <c r="GV140" s="128"/>
      <c r="GW140" s="128"/>
      <c r="GX140" s="128"/>
      <c r="GY140" s="128"/>
      <c r="GZ140" s="128"/>
      <c r="HA140" s="128"/>
      <c r="HB140" s="128"/>
      <c r="HC140" s="128"/>
      <c r="HD140" s="128"/>
      <c r="HE140" s="128"/>
      <c r="HF140" s="128"/>
      <c r="HG140" s="128"/>
      <c r="HH140" s="128"/>
      <c r="HI140" s="128"/>
      <c r="HJ140" s="128"/>
      <c r="HK140" s="128"/>
      <c r="HL140" s="128"/>
      <c r="HM140" s="128"/>
      <c r="HN140" s="128"/>
      <c r="HO140" s="128"/>
      <c r="HP140" s="128"/>
      <c r="HQ140" s="128"/>
      <c r="HR140" s="128"/>
      <c r="HS140" s="128"/>
      <c r="HT140" s="128"/>
      <c r="HU140" s="128"/>
      <c r="HV140" s="128"/>
      <c r="HW140" s="128"/>
      <c r="HX140" s="128"/>
      <c r="HY140" s="128"/>
      <c r="HZ140" s="128"/>
      <c r="IA140" s="128"/>
      <c r="IB140" s="128"/>
      <c r="IC140" s="128"/>
    </row>
    <row r="141" spans="41:237" x14ac:dyDescent="0.3">
      <c r="AO141" s="128">
        <v>49313</v>
      </c>
      <c r="AP141" s="128" t="s">
        <v>2497</v>
      </c>
      <c r="AQ141" s="128" t="s">
        <v>824</v>
      </c>
      <c r="AR141" s="128" t="s">
        <v>3594</v>
      </c>
      <c r="AS141" s="375">
        <v>46107</v>
      </c>
      <c r="AT141" s="375">
        <v>46448</v>
      </c>
      <c r="AU141" s="530">
        <v>95648</v>
      </c>
      <c r="AV141" s="128">
        <v>50229</v>
      </c>
      <c r="AW141" s="530">
        <v>3500000</v>
      </c>
      <c r="AX141" s="534">
        <f>_xlfn.XLOOKUP(Sell_unvalid[[#This Row],[DEAL_BUY_ID]],BS!BA:BA,BS!BE:BE,,0)</f>
        <v>93840</v>
      </c>
      <c r="AY141" s="534">
        <f>_xlfn.XLOOKUP(Sell_unvalid[[#This Row],[BOND_CODE]],FNRP!D:D,FNRP!I:I,_xlfn.XLOOKUP(Sell_unvalid[[#This Row],[BOND_CODE]],FNRP!AV:AV,FNRP!BA:BA,,0),0)</f>
        <v>92330</v>
      </c>
      <c r="AZ141" s="534">
        <f>_xlfn.XLOOKUP(Sell_unvalid[[#This Row],[DEAL_BUY_ID]],BS!BA:BA,BS!BQ:BQ,,0)*Sell_unvalid[[#This Row],[QUANTITY]]</f>
        <v>-21603284608.013988</v>
      </c>
      <c r="BA141" s="534">
        <f>(Sell_unvalid[[#This Row],[Giá MtM]]-10^5)*Sell_unvalid[[#This Row],[QUANTITY]]-Sell_unvalid[[#This Row],[PTCK remain]]</f>
        <v>-5241715391.9860115</v>
      </c>
      <c r="BB141" s="534">
        <f>(Sell_unvalid[[#This Row],[PRICE]]-10^5)*Sell_unvalid[[#This Row],[QUANTITY]]-Sell_unvalid[[#This Row],[PTCK remain]]</f>
        <v>6371284608.0139885</v>
      </c>
      <c r="BC141" s="534" t="str">
        <f>IF(AND(Sell_unvalid[[#This Row],[VALUE_DATE]]&lt;=RPT,Sell_unvalid[[#This Row],[TRANSACTION_STATUS]]="N"),"Check","Ok")</f>
        <v>Ok</v>
      </c>
      <c r="BD141" s="534"/>
      <c r="BE141" s="615"/>
      <c r="BF141" s="128"/>
      <c r="BG141" s="128"/>
      <c r="BH141" s="375"/>
      <c r="BJ141" s="375"/>
      <c r="BL141" s="530"/>
      <c r="BN141" s="534"/>
      <c r="BO141" s="534"/>
      <c r="BP141" s="534"/>
      <c r="BR141" s="727"/>
      <c r="BS141" s="128"/>
      <c r="BT141" s="848"/>
      <c r="BU141" s="849">
        <v>45545</v>
      </c>
      <c r="BV141" s="848">
        <v>43842</v>
      </c>
      <c r="BW141" s="848" t="s">
        <v>3901</v>
      </c>
      <c r="BX141" s="530">
        <v>1000000</v>
      </c>
      <c r="BY141" s="735">
        <f>_xlfn.XLOOKUP(Est_NIM[[#This Row],[DEAL_BUY_ID]],BS!AL:AL,BS!AU:AU,_xlfn.XLOOKUP(Est_NIM[[#This Row],[DEAL_BUY_ID]],BS!BA:BA,BS!BJ:BJ,,0),0)</f>
        <v>3.1699825210000001</v>
      </c>
      <c r="BZ141" s="534">
        <f>Est_NIM[[#This Row],[QUANT]]*Est_NIM[[#This Row],[YIELD]]</f>
        <v>3169982.5210000002</v>
      </c>
      <c r="CA141" s="128"/>
      <c r="CB141" s="128"/>
      <c r="CE141" s="331"/>
      <c r="CF141" s="331"/>
      <c r="CG141" s="331"/>
      <c r="CH141">
        <v>3730</v>
      </c>
      <c r="CI141">
        <v>14282</v>
      </c>
      <c r="CN141" s="128"/>
      <c r="CO141" s="128"/>
      <c r="CP141" s="128"/>
      <c r="CQ141" s="128"/>
      <c r="CR141" s="128"/>
      <c r="CS141" s="128"/>
      <c r="CT141" s="128"/>
      <c r="CU141" s="128"/>
      <c r="CV141" s="128"/>
      <c r="CW141" s="128"/>
      <c r="CX141" s="128"/>
      <c r="CY141" s="128"/>
      <c r="CZ141" s="128"/>
      <c r="DA141" s="128"/>
      <c r="DB141" s="128"/>
      <c r="DC141" s="128"/>
      <c r="DD141" s="128"/>
      <c r="DE141" s="128"/>
      <c r="DF141" s="128"/>
      <c r="DG141" s="128"/>
      <c r="DH141" s="128"/>
      <c r="DI141" s="128"/>
      <c r="DJ141" s="128"/>
      <c r="DK141" s="128"/>
      <c r="DL141" s="128"/>
      <c r="DM141" s="128"/>
      <c r="DN141" s="128"/>
      <c r="DO141" s="128"/>
      <c r="DP141" s="128"/>
      <c r="DQ141" s="128"/>
      <c r="DR141" s="128"/>
      <c r="DS141" s="128"/>
      <c r="DT141" s="128"/>
      <c r="DU141" s="128"/>
      <c r="DV141" s="128"/>
      <c r="DW141" s="128"/>
      <c r="DX141" s="128"/>
      <c r="DY141" s="128"/>
      <c r="DZ141" s="530"/>
      <c r="EA141" s="530"/>
      <c r="EB141" s="530"/>
      <c r="EC141" s="530"/>
      <c r="ED141" s="530"/>
      <c r="EE141" s="530"/>
      <c r="EF141" s="530"/>
      <c r="EG141" s="530"/>
      <c r="EH141" s="530"/>
      <c r="EI141" s="530"/>
      <c r="EJ141" s="530"/>
      <c r="EK141" s="530"/>
      <c r="EL141" s="530"/>
      <c r="EM141" s="530"/>
      <c r="EN141" s="530"/>
      <c r="EO141" s="530"/>
      <c r="EP141" s="530"/>
      <c r="EQ141" s="530"/>
      <c r="ER141" s="530"/>
      <c r="ES141" s="530"/>
      <c r="ET141" s="530"/>
      <c r="EU141" s="530"/>
      <c r="EV141" s="530"/>
      <c r="EW141" s="530"/>
      <c r="EX141" s="530"/>
      <c r="EY141" s="530"/>
      <c r="EZ141" s="530"/>
      <c r="FA141" s="530"/>
      <c r="FB141" s="530"/>
      <c r="FC141" s="530"/>
      <c r="FD141" s="530"/>
      <c r="FE141" s="530"/>
      <c r="FF141" s="530"/>
      <c r="FG141" s="530"/>
      <c r="FH141" s="530"/>
      <c r="FI141" s="530"/>
      <c r="FJ141" s="530"/>
      <c r="FK141" s="530"/>
      <c r="FL141" s="530"/>
      <c r="FM141" s="530"/>
      <c r="FN141" s="530"/>
      <c r="FO141" s="530"/>
      <c r="FP141" s="530"/>
      <c r="FQ141" s="530"/>
      <c r="GL141" s="128"/>
      <c r="GM141" s="128"/>
      <c r="GN141" s="128"/>
      <c r="GO141" s="128"/>
      <c r="GP141" s="128"/>
      <c r="GQ141" s="128"/>
      <c r="GR141" s="128"/>
      <c r="GS141" s="128"/>
      <c r="GT141" s="128"/>
      <c r="GU141" s="128"/>
      <c r="GV141" s="128"/>
      <c r="GW141" s="128"/>
      <c r="GX141" s="128"/>
      <c r="GY141" s="128"/>
      <c r="GZ141" s="128"/>
      <c r="HA141" s="128"/>
      <c r="HB141" s="128"/>
      <c r="HC141" s="128"/>
      <c r="HD141" s="128"/>
      <c r="HE141" s="128"/>
      <c r="HF141" s="128"/>
      <c r="HG141" s="128"/>
      <c r="HH141" s="128"/>
      <c r="HI141" s="128"/>
      <c r="HJ141" s="128"/>
      <c r="HK141" s="128"/>
      <c r="HL141" s="128"/>
      <c r="HM141" s="128"/>
      <c r="HN141" s="128"/>
      <c r="HO141" s="128"/>
      <c r="HP141" s="128"/>
      <c r="HQ141" s="128"/>
      <c r="HR141" s="128"/>
      <c r="HS141" s="128"/>
      <c r="HT141" s="128"/>
      <c r="HU141" s="128"/>
      <c r="HV141" s="128"/>
      <c r="HW141" s="128"/>
      <c r="HX141" s="128"/>
      <c r="HY141" s="128"/>
      <c r="HZ141" s="128"/>
      <c r="IA141" s="128"/>
      <c r="IB141" s="128"/>
      <c r="IC141" s="128"/>
    </row>
    <row r="142" spans="41:237" x14ac:dyDescent="0.3">
      <c r="AO142" s="128">
        <v>49324</v>
      </c>
      <c r="AP142" s="128" t="s">
        <v>2497</v>
      </c>
      <c r="AQ142" s="128" t="s">
        <v>824</v>
      </c>
      <c r="AR142" s="128" t="s">
        <v>3594</v>
      </c>
      <c r="AS142" s="375">
        <v>46108</v>
      </c>
      <c r="AT142" s="375">
        <v>46449</v>
      </c>
      <c r="AU142" s="530">
        <v>95494</v>
      </c>
      <c r="AV142" s="128">
        <v>49321</v>
      </c>
      <c r="AW142" s="530">
        <v>3100000</v>
      </c>
      <c r="AX142" s="534">
        <f>_xlfn.XLOOKUP(Sell_unvalid[[#This Row],[DEAL_BUY_ID]],BS!BA:BA,BS!BE:BE,,0)</f>
        <v>93741</v>
      </c>
      <c r="AY142" s="534">
        <f>_xlfn.XLOOKUP(Sell_unvalid[[#This Row],[BOND_CODE]],FNRP!D:D,FNRP!I:I,_xlfn.XLOOKUP(Sell_unvalid[[#This Row],[BOND_CODE]],FNRP!AV:AV,FNRP!BA:BA,,0),0)</f>
        <v>92330</v>
      </c>
      <c r="AZ142" s="534">
        <f>_xlfn.XLOOKUP(Sell_unvalid[[#This Row],[DEAL_BUY_ID]],BS!BA:BA,BS!BQ:BQ,,0)*Sell_unvalid[[#This Row],[QUANTITY]]</f>
        <v>-19125433080.926731</v>
      </c>
      <c r="BA142" s="534">
        <f>(Sell_unvalid[[#This Row],[Giá MtM]]-10^5)*Sell_unvalid[[#This Row],[QUANTITY]]-Sell_unvalid[[#This Row],[PTCK remain]]</f>
        <v>-4651566919.0732689</v>
      </c>
      <c r="BB142" s="534">
        <f>(Sell_unvalid[[#This Row],[PRICE]]-10^5)*Sell_unvalid[[#This Row],[QUANTITY]]-Sell_unvalid[[#This Row],[PTCK remain]]</f>
        <v>5156833080.9267311</v>
      </c>
      <c r="BC142" s="534" t="str">
        <f>IF(AND(Sell_unvalid[[#This Row],[VALUE_DATE]]&lt;=RPT,Sell_unvalid[[#This Row],[TRANSACTION_STATUS]]="N"),"Check","Ok")</f>
        <v>Ok</v>
      </c>
      <c r="BD142" s="534"/>
      <c r="BE142" s="615"/>
      <c r="BF142" s="128"/>
      <c r="BG142" s="128"/>
      <c r="BH142" s="375"/>
      <c r="BJ142" s="375"/>
      <c r="BL142" s="530"/>
      <c r="BN142" s="534"/>
      <c r="BO142" s="534"/>
      <c r="BP142" s="534"/>
      <c r="BR142" s="727"/>
      <c r="BS142" s="128"/>
      <c r="BT142" s="848"/>
      <c r="BU142" s="849">
        <v>45646</v>
      </c>
      <c r="BV142" s="848">
        <v>44976</v>
      </c>
      <c r="BW142" s="848" t="s">
        <v>3901</v>
      </c>
      <c r="BX142" s="530">
        <v>2000000</v>
      </c>
      <c r="BY142" s="735">
        <f>_xlfn.XLOOKUP(Est_NIM[[#This Row],[DEAL_BUY_ID]],BS!AL:AL,BS!AU:AU,_xlfn.XLOOKUP(Est_NIM[[#This Row],[DEAL_BUY_ID]],BS!BA:BA,BS!BJ:BJ,,0),0)</f>
        <v>4.7907000000000002</v>
      </c>
      <c r="BZ142" s="534">
        <f>Est_NIM[[#This Row],[QUANT]]*Est_NIM[[#This Row],[YIELD]]</f>
        <v>9581400</v>
      </c>
      <c r="CA142" s="128"/>
      <c r="CB142" s="128"/>
      <c r="CE142" s="331"/>
      <c r="CF142" s="331"/>
      <c r="CG142" s="331"/>
      <c r="CH142">
        <v>3730</v>
      </c>
      <c r="CI142">
        <v>14282</v>
      </c>
      <c r="CN142" s="128"/>
      <c r="CO142" s="128"/>
      <c r="CP142" s="128"/>
      <c r="CQ142" s="128"/>
      <c r="CR142" s="128"/>
      <c r="CS142" s="128"/>
      <c r="CT142" s="128"/>
      <c r="CU142" s="128"/>
      <c r="CV142" s="128"/>
      <c r="CW142" s="128"/>
      <c r="CX142" s="128"/>
      <c r="CY142" s="128"/>
      <c r="CZ142" s="128"/>
      <c r="DA142" s="128"/>
      <c r="DB142" s="128"/>
      <c r="DC142" s="128"/>
      <c r="DD142" s="128"/>
      <c r="DE142" s="128"/>
      <c r="DF142" s="128"/>
      <c r="DG142" s="128"/>
      <c r="DH142" s="128"/>
      <c r="DI142" s="128"/>
      <c r="DJ142" s="128"/>
      <c r="DK142" s="128"/>
      <c r="DL142" s="128"/>
      <c r="DM142" s="128"/>
      <c r="DN142" s="128"/>
      <c r="DO142" s="128"/>
      <c r="DP142" s="128"/>
      <c r="DQ142" s="128"/>
      <c r="DR142" s="128"/>
      <c r="DS142" s="128"/>
      <c r="DT142" s="128"/>
      <c r="DU142" s="128"/>
      <c r="DV142" s="128"/>
      <c r="DW142" s="128"/>
      <c r="DX142" s="128"/>
      <c r="DY142" s="128"/>
      <c r="DZ142" s="530"/>
      <c r="EA142" s="530"/>
      <c r="EB142" s="530"/>
      <c r="EC142" s="530"/>
      <c r="ED142" s="530"/>
      <c r="EE142" s="530"/>
      <c r="EF142" s="530"/>
      <c r="EG142" s="530"/>
      <c r="EH142" s="530"/>
      <c r="EI142" s="530"/>
      <c r="EJ142" s="530"/>
      <c r="EK142" s="530"/>
      <c r="EL142" s="530"/>
      <c r="EM142" s="530"/>
      <c r="EN142" s="530"/>
      <c r="EO142" s="530"/>
      <c r="EP142" s="530"/>
      <c r="EQ142" s="530"/>
      <c r="ER142" s="530"/>
      <c r="ES142" s="530"/>
      <c r="ET142" s="530"/>
      <c r="EU142" s="530"/>
      <c r="EV142" s="530"/>
      <c r="EW142" s="530"/>
      <c r="EX142" s="530"/>
      <c r="EY142" s="530"/>
      <c r="EZ142" s="530"/>
      <c r="FA142" s="530"/>
      <c r="FB142" s="530"/>
      <c r="FC142" s="530"/>
      <c r="FD142" s="530"/>
      <c r="FE142" s="530"/>
      <c r="FF142" s="530"/>
      <c r="FG142" s="530"/>
      <c r="FH142" s="530"/>
      <c r="FI142" s="530"/>
      <c r="FJ142" s="530"/>
      <c r="FK142" s="530"/>
      <c r="FL142" s="530"/>
      <c r="FM142" s="530"/>
      <c r="FN142" s="530"/>
      <c r="FO142" s="530"/>
      <c r="FP142" s="530"/>
      <c r="FQ142" s="530"/>
      <c r="GL142" s="128"/>
      <c r="GM142" s="128"/>
      <c r="GN142" s="128"/>
      <c r="GO142" s="128"/>
      <c r="GP142" s="128"/>
      <c r="GQ142" s="128"/>
      <c r="GR142" s="128"/>
      <c r="GS142" s="128"/>
      <c r="GT142" s="128"/>
      <c r="GU142" s="128"/>
      <c r="GV142" s="128"/>
      <c r="GW142" s="128"/>
      <c r="GX142" s="128"/>
      <c r="GY142" s="128"/>
      <c r="GZ142" s="128"/>
      <c r="HA142" s="128"/>
      <c r="HB142" s="128"/>
      <c r="HC142" s="128"/>
      <c r="HD142" s="128"/>
      <c r="HE142" s="128"/>
      <c r="HF142" s="128"/>
      <c r="HG142" s="128"/>
      <c r="HH142" s="128"/>
      <c r="HI142" s="128"/>
      <c r="HJ142" s="128"/>
      <c r="HK142" s="128"/>
      <c r="HL142" s="128"/>
      <c r="HM142" s="128"/>
      <c r="HN142" s="128"/>
      <c r="HO142" s="128"/>
      <c r="HP142" s="128"/>
      <c r="HQ142" s="128"/>
      <c r="HR142" s="128"/>
      <c r="HS142" s="128"/>
      <c r="HT142" s="128"/>
      <c r="HU142" s="128"/>
      <c r="HV142" s="128"/>
      <c r="HW142" s="128"/>
      <c r="HX142" s="128"/>
      <c r="HY142" s="128"/>
      <c r="HZ142" s="128"/>
      <c r="IA142" s="128"/>
      <c r="IB142" s="128"/>
      <c r="IC142" s="128"/>
    </row>
    <row r="143" spans="41:237" x14ac:dyDescent="0.3">
      <c r="AO143" s="128">
        <v>49324</v>
      </c>
      <c r="AP143" s="128" t="s">
        <v>2497</v>
      </c>
      <c r="AQ143" s="128" t="s">
        <v>824</v>
      </c>
      <c r="AR143" s="128" t="s">
        <v>3594</v>
      </c>
      <c r="AS143" s="375">
        <v>46108</v>
      </c>
      <c r="AT143" s="375">
        <v>46449</v>
      </c>
      <c r="AU143" s="530">
        <v>95494</v>
      </c>
      <c r="AV143" s="128">
        <v>49493</v>
      </c>
      <c r="AW143" s="530">
        <v>1000000</v>
      </c>
      <c r="AX143" s="534">
        <f>_xlfn.XLOOKUP(Sell_unvalid[[#This Row],[DEAL_BUY_ID]],BS!BA:BA,BS!BE:BE,,0)</f>
        <v>101607</v>
      </c>
      <c r="AY143" s="534">
        <f>_xlfn.XLOOKUP(Sell_unvalid[[#This Row],[BOND_CODE]],FNRP!D:D,FNRP!I:I,_xlfn.XLOOKUP(Sell_unvalid[[#This Row],[BOND_CODE]],FNRP!AV:AV,FNRP!BA:BA,,0),0)</f>
        <v>92330</v>
      </c>
      <c r="AZ143" s="534">
        <f>_xlfn.XLOOKUP(Sell_unvalid[[#This Row],[DEAL_BUY_ID]],BS!BA:BA,BS!BQ:BQ,,0)*Sell_unvalid[[#This Row],[QUANTITY]]</f>
        <v>1587067633.9400678</v>
      </c>
      <c r="BA143" s="534">
        <f>(Sell_unvalid[[#This Row],[Giá MtM]]-10^5)*Sell_unvalid[[#This Row],[QUANTITY]]-Sell_unvalid[[#This Row],[PTCK remain]]</f>
        <v>-9257067633.9400673</v>
      </c>
      <c r="BB143" s="534">
        <f>(Sell_unvalid[[#This Row],[PRICE]]-10^5)*Sell_unvalid[[#This Row],[QUANTITY]]-Sell_unvalid[[#This Row],[PTCK remain]]</f>
        <v>-6093067633.9400673</v>
      </c>
      <c r="BC143" s="534" t="str">
        <f>IF(AND(Sell_unvalid[[#This Row],[VALUE_DATE]]&lt;=RPT,Sell_unvalid[[#This Row],[TRANSACTION_STATUS]]="N"),"Check","Ok")</f>
        <v>Ok</v>
      </c>
      <c r="BD143" s="534"/>
      <c r="BE143" s="615"/>
      <c r="BF143" s="128"/>
      <c r="BG143" s="128"/>
      <c r="BH143" s="375"/>
      <c r="BJ143" s="375"/>
      <c r="BL143" s="530"/>
      <c r="BN143" s="534"/>
      <c r="BO143" s="534"/>
      <c r="BP143" s="534"/>
      <c r="BR143" s="727"/>
      <c r="BS143" s="128"/>
      <c r="BT143" s="848"/>
      <c r="BU143" s="849">
        <v>45650</v>
      </c>
      <c r="BV143" s="848">
        <v>44999</v>
      </c>
      <c r="BW143" s="848" t="s">
        <v>3901</v>
      </c>
      <c r="BX143" s="530">
        <v>500000</v>
      </c>
      <c r="BY143" s="735">
        <f>_xlfn.XLOOKUP(Est_NIM[[#This Row],[DEAL_BUY_ID]],BS!AL:AL,BS!AU:AU,_xlfn.XLOOKUP(Est_NIM[[#This Row],[DEAL_BUY_ID]],BS!BA:BA,BS!BJ:BJ,,0),0)</f>
        <v>2.9000332919999998</v>
      </c>
      <c r="BZ143" s="534">
        <f>Est_NIM[[#This Row],[QUANT]]*Est_NIM[[#This Row],[YIELD]]</f>
        <v>1450016.6459999999</v>
      </c>
      <c r="CA143" s="128"/>
      <c r="CB143" s="128"/>
      <c r="CE143" s="331"/>
      <c r="CF143" s="331"/>
      <c r="CG143" s="331"/>
      <c r="CH143">
        <v>3730</v>
      </c>
      <c r="CI143">
        <v>14282</v>
      </c>
      <c r="CN143" s="128"/>
      <c r="CO143" s="128"/>
      <c r="CP143" s="128"/>
      <c r="CQ143" s="128"/>
      <c r="CR143" s="128"/>
      <c r="CS143" s="128"/>
      <c r="CT143" s="128"/>
      <c r="CU143" s="128"/>
      <c r="CV143" s="128"/>
      <c r="CW143" s="128"/>
      <c r="CX143" s="128"/>
      <c r="CY143" s="128"/>
      <c r="CZ143" s="128"/>
      <c r="DA143" s="128"/>
      <c r="DB143" s="128"/>
      <c r="DC143" s="128"/>
      <c r="DD143" s="128"/>
      <c r="DE143" s="128"/>
      <c r="DF143" s="128"/>
      <c r="DG143" s="128"/>
      <c r="DH143" s="128"/>
      <c r="DI143" s="128"/>
      <c r="DJ143" s="128"/>
      <c r="DK143" s="128"/>
      <c r="DL143" s="128"/>
      <c r="DM143" s="128"/>
      <c r="DN143" s="128"/>
      <c r="DO143" s="128"/>
      <c r="DP143" s="128"/>
      <c r="DQ143" s="128"/>
      <c r="DR143" s="128"/>
      <c r="DS143" s="128"/>
      <c r="DT143" s="128"/>
      <c r="DU143" s="128"/>
      <c r="DV143" s="128"/>
      <c r="DW143" s="128"/>
      <c r="DX143" s="128"/>
      <c r="DY143" s="128"/>
      <c r="DZ143" s="530"/>
      <c r="EA143" s="530"/>
      <c r="EB143" s="530"/>
      <c r="EC143" s="530"/>
      <c r="ED143" s="530"/>
      <c r="EE143" s="530"/>
      <c r="EF143" s="530"/>
      <c r="EG143" s="530"/>
      <c r="EH143" s="530"/>
      <c r="EI143" s="530"/>
      <c r="EJ143" s="530"/>
      <c r="EK143" s="530"/>
      <c r="EL143" s="530"/>
      <c r="EM143" s="530"/>
      <c r="EN143" s="530"/>
      <c r="EO143" s="530"/>
      <c r="EP143" s="530"/>
      <c r="EQ143" s="530"/>
      <c r="ER143" s="530"/>
      <c r="ES143" s="530"/>
      <c r="ET143" s="530"/>
      <c r="EU143" s="530"/>
      <c r="EV143" s="530"/>
      <c r="EW143" s="530"/>
      <c r="EX143" s="530"/>
      <c r="EY143" s="530"/>
      <c r="EZ143" s="530"/>
      <c r="FA143" s="530"/>
      <c r="FB143" s="530"/>
      <c r="FC143" s="530"/>
      <c r="FD143" s="530"/>
      <c r="FE143" s="530"/>
      <c r="FF143" s="530"/>
      <c r="FG143" s="530"/>
      <c r="FH143" s="530"/>
      <c r="FI143" s="530"/>
      <c r="FJ143" s="530"/>
      <c r="FK143" s="530"/>
      <c r="FL143" s="530"/>
      <c r="FM143" s="530"/>
      <c r="FN143" s="530"/>
      <c r="FO143" s="530"/>
      <c r="FP143" s="530"/>
      <c r="FQ143" s="530"/>
      <c r="GL143" s="128"/>
      <c r="GM143" s="128"/>
      <c r="GN143" s="128"/>
      <c r="GO143" s="128"/>
      <c r="GP143" s="128"/>
      <c r="GQ143" s="128"/>
      <c r="GR143" s="128"/>
      <c r="GS143" s="128"/>
      <c r="GT143" s="128"/>
      <c r="GU143" s="128"/>
      <c r="GV143" s="128"/>
      <c r="GW143" s="128"/>
      <c r="GX143" s="128"/>
      <c r="GY143" s="128"/>
      <c r="GZ143" s="128"/>
      <c r="HA143" s="128"/>
      <c r="HB143" s="128"/>
      <c r="HC143" s="128"/>
      <c r="HD143" s="128"/>
      <c r="HE143" s="128"/>
      <c r="HF143" s="128"/>
      <c r="HG143" s="128"/>
      <c r="HH143" s="128"/>
      <c r="HI143" s="128"/>
      <c r="HJ143" s="128"/>
      <c r="HK143" s="128"/>
      <c r="HL143" s="128"/>
      <c r="HM143" s="128"/>
      <c r="HN143" s="128"/>
      <c r="HO143" s="128"/>
      <c r="HP143" s="128"/>
      <c r="HQ143" s="128"/>
      <c r="HR143" s="128"/>
      <c r="HS143" s="128"/>
      <c r="HT143" s="128"/>
      <c r="HU143" s="128"/>
      <c r="HV143" s="128"/>
      <c r="HW143" s="128"/>
      <c r="HX143" s="128"/>
      <c r="HY143" s="128"/>
      <c r="HZ143" s="128"/>
      <c r="IA143" s="128"/>
      <c r="IB143" s="128"/>
      <c r="IC143" s="128"/>
    </row>
    <row r="144" spans="41:237" x14ac:dyDescent="0.3">
      <c r="AO144" s="128">
        <v>49324</v>
      </c>
      <c r="AP144" s="128" t="s">
        <v>2497</v>
      </c>
      <c r="AQ144" s="128" t="s">
        <v>824</v>
      </c>
      <c r="AR144" s="375" t="s">
        <v>3594</v>
      </c>
      <c r="AS144" s="375">
        <v>46108</v>
      </c>
      <c r="AT144" s="375">
        <v>46449</v>
      </c>
      <c r="AU144" s="530">
        <v>95494</v>
      </c>
      <c r="AV144" s="532">
        <v>49505</v>
      </c>
      <c r="AW144" s="530">
        <v>700000</v>
      </c>
      <c r="AX144" s="534">
        <f>_xlfn.XLOOKUP(Sell_unvalid[[#This Row],[DEAL_BUY_ID]],BS!BA:BA,BS!BE:BE,,0)</f>
        <v>101607</v>
      </c>
      <c r="AY144" s="534">
        <f>_xlfn.XLOOKUP(Sell_unvalid[[#This Row],[BOND_CODE]],FNRP!D:D,FNRP!I:I,_xlfn.XLOOKUP(Sell_unvalid[[#This Row],[BOND_CODE]],FNRP!AV:AV,FNRP!BA:BA,,0),0)</f>
        <v>92330</v>
      </c>
      <c r="AZ144" s="534">
        <f>_xlfn.XLOOKUP(Sell_unvalid[[#This Row],[DEAL_BUY_ID]],BS!BA:BA,BS!BQ:BQ,,0)*Sell_unvalid[[#This Row],[QUANTITY]]</f>
        <v>1110926353.7740204</v>
      </c>
      <c r="BA144" s="534">
        <f>(Sell_unvalid[[#This Row],[Giá MtM]]-10^5)*Sell_unvalid[[#This Row],[QUANTITY]]-Sell_unvalid[[#This Row],[PTCK remain]]</f>
        <v>-6479926353.7740202</v>
      </c>
      <c r="BB144" s="534">
        <f>(Sell_unvalid[[#This Row],[PRICE]]-10^5)*Sell_unvalid[[#This Row],[QUANTITY]]-Sell_unvalid[[#This Row],[PTCK remain]]</f>
        <v>-4265126353.7740202</v>
      </c>
      <c r="BC144" s="534" t="str">
        <f>IF(AND(Sell_unvalid[[#This Row],[VALUE_DATE]]&lt;=RPT,Sell_unvalid[[#This Row],[TRANSACTION_STATUS]]="N"),"Check","Ok")</f>
        <v>Ok</v>
      </c>
      <c r="BD144" s="534"/>
      <c r="BE144" s="615"/>
      <c r="BF144" s="128"/>
      <c r="BG144" s="128"/>
      <c r="BH144" s="375"/>
      <c r="BJ144" s="375"/>
      <c r="BL144" s="530"/>
      <c r="BN144" s="534"/>
      <c r="BO144" s="534"/>
      <c r="BP144" s="534"/>
      <c r="BR144" s="727"/>
      <c r="BS144" s="128"/>
      <c r="BT144" s="848"/>
      <c r="BU144" s="849">
        <v>45650</v>
      </c>
      <c r="BV144" s="848">
        <v>45000</v>
      </c>
      <c r="BW144" s="848" t="s">
        <v>3901</v>
      </c>
      <c r="BX144" s="530">
        <v>3000000</v>
      </c>
      <c r="BY144" s="735">
        <f>_xlfn.XLOOKUP(Est_NIM[[#This Row],[DEAL_BUY_ID]],BS!AL:AL,BS!AU:AU,_xlfn.XLOOKUP(Est_NIM[[#This Row],[DEAL_BUY_ID]],BS!BA:BA,BS!BJ:BJ,,0),0)</f>
        <v>2.9000332919999998</v>
      </c>
      <c r="BZ144" s="534">
        <f>Est_NIM[[#This Row],[QUANT]]*Est_NIM[[#This Row],[YIELD]]</f>
        <v>8700099.8760000002</v>
      </c>
      <c r="CA144" s="128"/>
      <c r="CB144" s="128"/>
      <c r="CE144" s="331"/>
      <c r="CF144" s="331"/>
      <c r="CG144" s="331"/>
      <c r="CH144">
        <v>3730</v>
      </c>
      <c r="CI144">
        <v>14282</v>
      </c>
      <c r="CN144" s="128"/>
      <c r="CO144" s="128"/>
      <c r="CP144" s="128"/>
      <c r="CQ144" s="128"/>
      <c r="CR144" s="128"/>
      <c r="CS144" s="128"/>
      <c r="CT144" s="128"/>
      <c r="CU144" s="128"/>
      <c r="CV144" s="128"/>
      <c r="CW144" s="128"/>
      <c r="CX144" s="128"/>
      <c r="CY144" s="128"/>
      <c r="CZ144" s="128"/>
      <c r="DA144" s="128"/>
      <c r="DB144" s="128"/>
      <c r="DC144" s="128"/>
      <c r="DD144" s="128"/>
      <c r="DE144" s="128"/>
      <c r="DF144" s="128"/>
      <c r="DG144" s="128"/>
      <c r="DH144" s="128"/>
      <c r="DI144" s="128"/>
      <c r="DJ144" s="128"/>
      <c r="DK144" s="128"/>
      <c r="DL144" s="128"/>
      <c r="DM144" s="128"/>
      <c r="DN144" s="128"/>
      <c r="DO144" s="128"/>
      <c r="DP144" s="128"/>
      <c r="DQ144" s="128"/>
      <c r="DR144" s="128"/>
      <c r="DS144" s="128"/>
      <c r="DT144" s="128"/>
      <c r="DU144" s="128"/>
      <c r="DV144" s="128"/>
      <c r="DW144" s="128"/>
      <c r="DX144" s="128"/>
      <c r="DY144" s="128"/>
      <c r="DZ144" s="530"/>
      <c r="EA144" s="530"/>
      <c r="EB144" s="530"/>
      <c r="EC144" s="530"/>
      <c r="ED144" s="530"/>
      <c r="EE144" s="530"/>
      <c r="EF144" s="530"/>
      <c r="EG144" s="530"/>
      <c r="EH144" s="530"/>
      <c r="EI144" s="530"/>
      <c r="EJ144" s="530"/>
      <c r="EK144" s="530"/>
      <c r="EL144" s="530"/>
      <c r="EM144" s="530"/>
      <c r="EN144" s="530"/>
      <c r="EO144" s="530"/>
      <c r="EP144" s="530"/>
      <c r="EQ144" s="530"/>
      <c r="ER144" s="530"/>
      <c r="ES144" s="530"/>
      <c r="ET144" s="530"/>
      <c r="EU144" s="530"/>
      <c r="EV144" s="530"/>
      <c r="EW144" s="530"/>
      <c r="EX144" s="530"/>
      <c r="EY144" s="530"/>
      <c r="EZ144" s="530"/>
      <c r="FA144" s="530"/>
      <c r="FB144" s="530"/>
      <c r="FC144" s="530"/>
      <c r="FD144" s="530"/>
      <c r="FE144" s="530"/>
      <c r="FF144" s="530"/>
      <c r="FG144" s="530"/>
      <c r="FH144" s="530"/>
      <c r="FI144" s="530"/>
      <c r="FJ144" s="530"/>
      <c r="FK144" s="530"/>
      <c r="FL144" s="530"/>
      <c r="FM144" s="530"/>
      <c r="FN144" s="530"/>
      <c r="FO144" s="530"/>
      <c r="FP144" s="530"/>
      <c r="FQ144" s="530"/>
      <c r="GL144" s="128"/>
      <c r="GM144" s="128"/>
      <c r="GN144" s="128"/>
      <c r="GO144" s="128"/>
      <c r="GP144" s="128"/>
      <c r="GQ144" s="128"/>
      <c r="GR144" s="128"/>
      <c r="GS144" s="128"/>
      <c r="GT144" s="128"/>
      <c r="GU144" s="128"/>
      <c r="GV144" s="128"/>
      <c r="GW144" s="128"/>
      <c r="GX144" s="128"/>
      <c r="GY144" s="128"/>
      <c r="GZ144" s="128"/>
      <c r="HA144" s="128"/>
      <c r="HB144" s="128"/>
      <c r="HC144" s="128"/>
      <c r="HD144" s="128"/>
      <c r="HE144" s="128"/>
      <c r="HF144" s="128"/>
      <c r="HG144" s="128"/>
      <c r="HH144" s="128"/>
      <c r="HI144" s="128"/>
      <c r="HJ144" s="128"/>
      <c r="HK144" s="128"/>
      <c r="HL144" s="128"/>
      <c r="HM144" s="128"/>
      <c r="HN144" s="128"/>
      <c r="HO144" s="128"/>
      <c r="HP144" s="128"/>
      <c r="HQ144" s="128"/>
      <c r="HR144" s="128"/>
      <c r="HS144" s="128"/>
      <c r="HT144" s="128"/>
      <c r="HU144" s="128"/>
      <c r="HV144" s="128"/>
      <c r="HW144" s="128"/>
      <c r="HX144" s="128"/>
      <c r="HY144" s="128"/>
      <c r="HZ144" s="128"/>
      <c r="IA144" s="128"/>
      <c r="IB144" s="128"/>
      <c r="IC144" s="128"/>
    </row>
    <row r="145" spans="41:237" x14ac:dyDescent="0.3">
      <c r="AO145" s="128">
        <v>49324</v>
      </c>
      <c r="AP145" s="128" t="s">
        <v>2497</v>
      </c>
      <c r="AQ145" s="128" t="s">
        <v>824</v>
      </c>
      <c r="AR145" s="375" t="s">
        <v>3594</v>
      </c>
      <c r="AS145" s="375">
        <v>46108</v>
      </c>
      <c r="AT145" s="375">
        <v>46449</v>
      </c>
      <c r="AU145" s="530">
        <v>95494</v>
      </c>
      <c r="AV145" s="532">
        <v>49634</v>
      </c>
      <c r="AW145" s="530">
        <v>500000</v>
      </c>
      <c r="AX145" s="534">
        <f>_xlfn.XLOOKUP(Sell_unvalid[[#This Row],[DEAL_BUY_ID]],BS!BA:BA,BS!BE:BE,,0)</f>
        <v>101757</v>
      </c>
      <c r="AY145" s="534">
        <f>_xlfn.XLOOKUP(Sell_unvalid[[#This Row],[BOND_CODE]],FNRP!D:D,FNRP!I:I,_xlfn.XLOOKUP(Sell_unvalid[[#This Row],[BOND_CODE]],FNRP!AV:AV,FNRP!BA:BA,,0),0)</f>
        <v>92330</v>
      </c>
      <c r="AZ145" s="534">
        <f>_xlfn.XLOOKUP(Sell_unvalid[[#This Row],[DEAL_BUY_ID]],BS!BA:BA,BS!BQ:BQ,,0)*Sell_unvalid[[#This Row],[QUANTITY]]</f>
        <v>872013229.08677304</v>
      </c>
      <c r="BA145" s="534">
        <f>(Sell_unvalid[[#This Row],[Giá MtM]]-10^5)*Sell_unvalid[[#This Row],[QUANTITY]]-Sell_unvalid[[#This Row],[PTCK remain]]</f>
        <v>-4707013229.0867729</v>
      </c>
      <c r="BB145" s="534">
        <f>(Sell_unvalid[[#This Row],[PRICE]]-10^5)*Sell_unvalid[[#This Row],[QUANTITY]]-Sell_unvalid[[#This Row],[PTCK remain]]</f>
        <v>-3125013229.0867729</v>
      </c>
      <c r="BC145" s="534" t="str">
        <f>IF(AND(Sell_unvalid[[#This Row],[VALUE_DATE]]&lt;=RPT,Sell_unvalid[[#This Row],[TRANSACTION_STATUS]]="N"),"Check","Ok")</f>
        <v>Ok</v>
      </c>
      <c r="BD145" s="534"/>
      <c r="BE145" s="615"/>
      <c r="BF145" s="128"/>
      <c r="BG145" s="128"/>
      <c r="BH145" s="375"/>
      <c r="BJ145" s="375"/>
      <c r="BL145" s="530"/>
      <c r="BN145" s="534"/>
      <c r="BO145" s="534"/>
      <c r="BP145" s="534"/>
      <c r="BR145" s="727"/>
      <c r="BS145" s="128"/>
      <c r="BT145" s="848"/>
      <c r="BU145" s="849">
        <v>45657</v>
      </c>
      <c r="BV145" s="848">
        <v>45116</v>
      </c>
      <c r="BW145" s="848" t="s">
        <v>3901</v>
      </c>
      <c r="BX145" s="530">
        <v>520000</v>
      </c>
      <c r="BY145" s="735">
        <f>_xlfn.XLOOKUP(Est_NIM[[#This Row],[DEAL_BUY_ID]],BS!AL:AL,BS!AU:AU,_xlfn.XLOOKUP(Est_NIM[[#This Row],[DEAL_BUY_ID]],BS!BA:BA,BS!BJ:BJ,,0),0)</f>
        <v>2.9961658070000001</v>
      </c>
      <c r="BZ145" s="534">
        <f>Est_NIM[[#This Row],[QUANT]]*Est_NIM[[#This Row],[YIELD]]</f>
        <v>1558006.21964</v>
      </c>
      <c r="CA145" s="128"/>
      <c r="CB145" s="128"/>
      <c r="CE145" s="331"/>
      <c r="CF145" s="331"/>
      <c r="CG145" s="331"/>
      <c r="CH145">
        <v>3730</v>
      </c>
      <c r="CI145">
        <v>14282</v>
      </c>
      <c r="CN145" s="128"/>
      <c r="CO145" s="128"/>
      <c r="CP145" s="128"/>
      <c r="CQ145" s="128"/>
      <c r="CR145" s="128"/>
      <c r="CS145" s="128"/>
      <c r="CT145" s="128"/>
      <c r="CU145" s="128"/>
      <c r="CV145" s="128"/>
      <c r="CW145" s="128"/>
      <c r="CX145" s="128"/>
      <c r="CY145" s="128"/>
      <c r="CZ145" s="128"/>
      <c r="DA145" s="128"/>
      <c r="DB145" s="128"/>
      <c r="DC145" s="128"/>
      <c r="DD145" s="128"/>
      <c r="DE145" s="128"/>
      <c r="DF145" s="128"/>
      <c r="DG145" s="128"/>
      <c r="DH145" s="128"/>
      <c r="DI145" s="128"/>
      <c r="DJ145" s="128"/>
      <c r="DK145" s="128"/>
      <c r="DL145" s="128"/>
      <c r="DM145" s="128"/>
      <c r="DN145" s="128"/>
      <c r="DO145" s="128"/>
      <c r="DP145" s="128"/>
      <c r="DQ145" s="128"/>
      <c r="DR145" s="128"/>
      <c r="DS145" s="128"/>
      <c r="DT145" s="128"/>
      <c r="DU145" s="128"/>
      <c r="DV145" s="128"/>
      <c r="DW145" s="128"/>
      <c r="DX145" s="128"/>
      <c r="DY145" s="128"/>
      <c r="DZ145" s="530"/>
      <c r="EA145" s="530"/>
      <c r="EB145" s="530"/>
      <c r="EC145" s="530"/>
      <c r="ED145" s="530"/>
      <c r="EE145" s="530"/>
      <c r="EF145" s="530"/>
      <c r="EG145" s="530"/>
      <c r="EH145" s="530"/>
      <c r="EI145" s="530"/>
      <c r="EJ145" s="530"/>
      <c r="EK145" s="530"/>
      <c r="EL145" s="530"/>
      <c r="EM145" s="530"/>
      <c r="EN145" s="530"/>
      <c r="EO145" s="530"/>
      <c r="EP145" s="530"/>
      <c r="EQ145" s="530"/>
      <c r="ER145" s="530"/>
      <c r="ES145" s="530"/>
      <c r="ET145" s="530"/>
      <c r="EU145" s="530"/>
      <c r="EV145" s="530"/>
      <c r="EW145" s="530"/>
      <c r="EX145" s="530"/>
      <c r="EY145" s="530"/>
      <c r="EZ145" s="530"/>
      <c r="FA145" s="530"/>
      <c r="FB145" s="530"/>
      <c r="FC145" s="530"/>
      <c r="FD145" s="530"/>
      <c r="FE145" s="530"/>
      <c r="FF145" s="530"/>
      <c r="FG145" s="530"/>
      <c r="FH145" s="530"/>
      <c r="FI145" s="530"/>
      <c r="FJ145" s="530"/>
      <c r="FK145" s="530"/>
      <c r="FL145" s="530"/>
      <c r="FM145" s="530"/>
      <c r="FN145" s="530"/>
      <c r="FO145" s="530"/>
      <c r="FP145" s="530"/>
      <c r="FQ145" s="530"/>
      <c r="GL145" s="128"/>
      <c r="GM145" s="128"/>
      <c r="GN145" s="128"/>
      <c r="GO145" s="128"/>
      <c r="GP145" s="128"/>
      <c r="GQ145" s="128"/>
      <c r="GR145" s="128"/>
      <c r="GS145" s="128"/>
      <c r="GT145" s="128"/>
      <c r="GU145" s="128"/>
      <c r="GV145" s="128"/>
      <c r="GW145" s="128"/>
      <c r="GX145" s="128"/>
      <c r="GY145" s="128"/>
      <c r="GZ145" s="128"/>
      <c r="HA145" s="128"/>
      <c r="HB145" s="128"/>
      <c r="HC145" s="128"/>
      <c r="HD145" s="128"/>
      <c r="HE145" s="128"/>
      <c r="HF145" s="128"/>
      <c r="HG145" s="128"/>
      <c r="HH145" s="128"/>
      <c r="HI145" s="128"/>
      <c r="HJ145" s="128"/>
      <c r="HK145" s="128"/>
      <c r="HL145" s="128"/>
      <c r="HM145" s="128"/>
      <c r="HN145" s="128"/>
      <c r="HO145" s="128"/>
      <c r="HP145" s="128"/>
      <c r="HQ145" s="128"/>
      <c r="HR145" s="128"/>
      <c r="HS145" s="128"/>
      <c r="HT145" s="128"/>
      <c r="HU145" s="128"/>
      <c r="HV145" s="128"/>
      <c r="HW145" s="128"/>
      <c r="HX145" s="128"/>
      <c r="HY145" s="128"/>
      <c r="HZ145" s="128"/>
      <c r="IA145" s="128"/>
      <c r="IB145" s="128"/>
      <c r="IC145" s="128"/>
    </row>
    <row r="146" spans="41:237" x14ac:dyDescent="0.3">
      <c r="AO146" s="128">
        <v>49324</v>
      </c>
      <c r="AP146" s="128" t="s">
        <v>2497</v>
      </c>
      <c r="AQ146" s="128" t="s">
        <v>824</v>
      </c>
      <c r="AR146" s="375" t="s">
        <v>3594</v>
      </c>
      <c r="AS146" s="375">
        <v>46108</v>
      </c>
      <c r="AT146" s="375">
        <v>46449</v>
      </c>
      <c r="AU146" s="530">
        <v>95494</v>
      </c>
      <c r="AV146" s="532">
        <v>49718</v>
      </c>
      <c r="AW146" s="530">
        <v>1000000</v>
      </c>
      <c r="AX146" s="534">
        <f>_xlfn.XLOOKUP(Sell_unvalid[[#This Row],[DEAL_BUY_ID]],BS!BA:BA,BS!BE:BE,,0)</f>
        <v>98352</v>
      </c>
      <c r="AY146" s="534">
        <f>_xlfn.XLOOKUP(Sell_unvalid[[#This Row],[BOND_CODE]],FNRP!D:D,FNRP!I:I,_xlfn.XLOOKUP(Sell_unvalid[[#This Row],[BOND_CODE]],FNRP!AV:AV,FNRP!BA:BA,,0),0)</f>
        <v>92330</v>
      </c>
      <c r="AZ146" s="534">
        <f>_xlfn.XLOOKUP(Sell_unvalid[[#This Row],[DEAL_BUY_ID]],BS!BA:BA,BS!BQ:BQ,,0)*Sell_unvalid[[#This Row],[QUANTITY]]</f>
        <v>-1631389297.4477928</v>
      </c>
      <c r="BA146" s="534">
        <f>(Sell_unvalid[[#This Row],[Giá MtM]]-10^5)*Sell_unvalid[[#This Row],[QUANTITY]]-Sell_unvalid[[#This Row],[PTCK remain]]</f>
        <v>-6038610702.552207</v>
      </c>
      <c r="BB146" s="534">
        <f>(Sell_unvalid[[#This Row],[PRICE]]-10^5)*Sell_unvalid[[#This Row],[QUANTITY]]-Sell_unvalid[[#This Row],[PTCK remain]]</f>
        <v>-2874610702.552207</v>
      </c>
      <c r="BC146" s="534" t="str">
        <f>IF(AND(Sell_unvalid[[#This Row],[VALUE_DATE]]&lt;=RPT,Sell_unvalid[[#This Row],[TRANSACTION_STATUS]]="N"),"Check","Ok")</f>
        <v>Ok</v>
      </c>
      <c r="BD146" s="534"/>
      <c r="BE146" s="615"/>
      <c r="BF146" s="128"/>
      <c r="BG146" s="128"/>
      <c r="BH146" s="375"/>
      <c r="BJ146" s="375"/>
      <c r="BL146" s="530"/>
      <c r="BN146" s="534"/>
      <c r="BO146" s="534"/>
      <c r="BP146" s="534"/>
      <c r="BR146" s="727"/>
      <c r="BS146" s="128"/>
      <c r="BT146" s="848"/>
      <c r="BU146" s="849">
        <v>45657</v>
      </c>
      <c r="BV146" s="848">
        <v>45148</v>
      </c>
      <c r="BW146" s="848" t="s">
        <v>3901</v>
      </c>
      <c r="BX146" s="530">
        <v>1000000</v>
      </c>
      <c r="BY146" s="735">
        <f>_xlfn.XLOOKUP(Est_NIM[[#This Row],[DEAL_BUY_ID]],BS!AL:AL,BS!AU:AU,_xlfn.XLOOKUP(Est_NIM[[#This Row],[DEAL_BUY_ID]],BS!BA:BA,BS!BJ:BJ,,0),0)</f>
        <v>3.9902000000000002</v>
      </c>
      <c r="BZ146" s="534">
        <f>Est_NIM[[#This Row],[QUANT]]*Est_NIM[[#This Row],[YIELD]]</f>
        <v>3990200</v>
      </c>
      <c r="CA146" s="128"/>
      <c r="CB146" s="128"/>
      <c r="CE146" s="331"/>
      <c r="CF146" s="331"/>
      <c r="CG146" s="331"/>
      <c r="CH146">
        <v>3730</v>
      </c>
      <c r="CI146">
        <v>14282</v>
      </c>
      <c r="CN146" s="128"/>
      <c r="CO146" s="128"/>
      <c r="CP146" s="128"/>
      <c r="CQ146" s="128"/>
      <c r="CR146" s="128"/>
      <c r="CS146" s="128"/>
      <c r="CT146" s="128"/>
      <c r="CU146" s="128"/>
      <c r="CV146" s="128"/>
      <c r="CW146" s="128"/>
      <c r="CX146" s="128"/>
      <c r="CY146" s="128"/>
      <c r="CZ146" s="128"/>
      <c r="DA146" s="128"/>
      <c r="DB146" s="128"/>
      <c r="DC146" s="128"/>
      <c r="DD146" s="128"/>
      <c r="DE146" s="128"/>
      <c r="DF146" s="128"/>
      <c r="DG146" s="128"/>
      <c r="DH146" s="128"/>
      <c r="DI146" s="128"/>
      <c r="DJ146" s="128"/>
      <c r="DK146" s="128"/>
      <c r="DL146" s="128"/>
      <c r="DM146" s="128"/>
      <c r="DN146" s="128"/>
      <c r="DO146" s="128"/>
      <c r="DP146" s="128"/>
      <c r="DQ146" s="128"/>
      <c r="DR146" s="128"/>
      <c r="DS146" s="128"/>
      <c r="DT146" s="128"/>
      <c r="DU146" s="128"/>
      <c r="DV146" s="128"/>
      <c r="DW146" s="128"/>
      <c r="DX146" s="128"/>
      <c r="DY146" s="128"/>
      <c r="DZ146" s="530"/>
      <c r="EA146" s="530"/>
      <c r="EB146" s="530"/>
      <c r="EC146" s="530"/>
      <c r="ED146" s="530"/>
      <c r="EE146" s="530"/>
      <c r="EF146" s="530"/>
      <c r="EG146" s="530"/>
      <c r="EH146" s="530"/>
      <c r="EI146" s="530"/>
      <c r="EJ146" s="530"/>
      <c r="EK146" s="530"/>
      <c r="EL146" s="530"/>
      <c r="EM146" s="530"/>
      <c r="EN146" s="530"/>
      <c r="EO146" s="530"/>
      <c r="EP146" s="530"/>
      <c r="EQ146" s="530"/>
      <c r="ER146" s="530"/>
      <c r="ES146" s="530"/>
      <c r="ET146" s="530"/>
      <c r="EU146" s="530"/>
      <c r="EV146" s="530"/>
      <c r="EW146" s="530"/>
      <c r="EX146" s="530"/>
      <c r="EY146" s="530"/>
      <c r="EZ146" s="530"/>
      <c r="FA146" s="530"/>
      <c r="FB146" s="530"/>
      <c r="FC146" s="530"/>
      <c r="FD146" s="530"/>
      <c r="FE146" s="530"/>
      <c r="FF146" s="530"/>
      <c r="FG146" s="530"/>
      <c r="FH146" s="530"/>
      <c r="FI146" s="530"/>
      <c r="FJ146" s="530"/>
      <c r="FK146" s="530"/>
      <c r="FL146" s="530"/>
      <c r="FM146" s="530"/>
      <c r="FN146" s="530"/>
      <c r="FO146" s="530"/>
      <c r="FP146" s="530"/>
      <c r="FQ146" s="530"/>
      <c r="GL146" s="128"/>
      <c r="GM146" s="128"/>
      <c r="GN146" s="128"/>
      <c r="GO146" s="128"/>
      <c r="GP146" s="128"/>
      <c r="GQ146" s="128"/>
      <c r="GR146" s="128"/>
      <c r="GS146" s="128"/>
      <c r="GT146" s="128"/>
      <c r="GU146" s="128"/>
      <c r="GV146" s="128"/>
      <c r="GW146" s="128"/>
      <c r="GX146" s="128"/>
      <c r="GY146" s="128"/>
      <c r="GZ146" s="128"/>
      <c r="HA146" s="128"/>
      <c r="HB146" s="128"/>
      <c r="HC146" s="128"/>
      <c r="HD146" s="128"/>
      <c r="HE146" s="128"/>
      <c r="HF146" s="128"/>
      <c r="HG146" s="128"/>
      <c r="HH146" s="128"/>
      <c r="HI146" s="128"/>
      <c r="HJ146" s="128"/>
      <c r="HK146" s="128"/>
      <c r="HL146" s="128"/>
      <c r="HM146" s="128"/>
      <c r="HN146" s="128"/>
      <c r="HO146" s="128"/>
      <c r="HP146" s="128"/>
      <c r="HQ146" s="128"/>
      <c r="HR146" s="128"/>
      <c r="HS146" s="128"/>
      <c r="HT146" s="128"/>
      <c r="HU146" s="128"/>
      <c r="HV146" s="128"/>
      <c r="HW146" s="128"/>
      <c r="HX146" s="128"/>
      <c r="HY146" s="128"/>
      <c r="HZ146" s="128"/>
      <c r="IA146" s="128"/>
      <c r="IB146" s="128"/>
      <c r="IC146" s="128"/>
    </row>
    <row r="147" spans="41:237" x14ac:dyDescent="0.3">
      <c r="AO147" s="128">
        <v>49324</v>
      </c>
      <c r="AP147" s="128" t="s">
        <v>2497</v>
      </c>
      <c r="AQ147" s="128" t="s">
        <v>824</v>
      </c>
      <c r="AR147" s="128" t="s">
        <v>3594</v>
      </c>
      <c r="AS147" s="375">
        <v>46108</v>
      </c>
      <c r="AT147" s="375">
        <v>46449</v>
      </c>
      <c r="AU147" s="530">
        <v>95494</v>
      </c>
      <c r="AV147" s="128">
        <v>49782</v>
      </c>
      <c r="AW147" s="530">
        <v>1000000</v>
      </c>
      <c r="AX147" s="534">
        <f>_xlfn.XLOOKUP(Sell_unvalid[[#This Row],[DEAL_BUY_ID]],BS!BA:BA,BS!BE:BE,,0)</f>
        <v>103211</v>
      </c>
      <c r="AY147" s="534">
        <f>_xlfn.XLOOKUP(Sell_unvalid[[#This Row],[BOND_CODE]],FNRP!D:D,FNRP!I:I,_xlfn.XLOOKUP(Sell_unvalid[[#This Row],[BOND_CODE]],FNRP!AV:AV,FNRP!BA:BA,,0),0)</f>
        <v>92330</v>
      </c>
      <c r="AZ147" s="534">
        <f>_xlfn.XLOOKUP(Sell_unvalid[[#This Row],[DEAL_BUY_ID]],BS!BA:BA,BS!BQ:BQ,,0)*Sell_unvalid[[#This Row],[QUANTITY]]</f>
        <v>3181437600.098392</v>
      </c>
      <c r="BA147" s="534">
        <f>(Sell_unvalid[[#This Row],[Giá MtM]]-10^5)*Sell_unvalid[[#This Row],[QUANTITY]]-Sell_unvalid[[#This Row],[PTCK remain]]</f>
        <v>-10851437600.098392</v>
      </c>
      <c r="BB147" s="534">
        <f>(Sell_unvalid[[#This Row],[PRICE]]-10^5)*Sell_unvalid[[#This Row],[QUANTITY]]-Sell_unvalid[[#This Row],[PTCK remain]]</f>
        <v>-7687437600.0983925</v>
      </c>
      <c r="BC147" s="534" t="str">
        <f>IF(AND(Sell_unvalid[[#This Row],[VALUE_DATE]]&lt;=RPT,Sell_unvalid[[#This Row],[TRANSACTION_STATUS]]="N"),"Check","Ok")</f>
        <v>Ok</v>
      </c>
      <c r="BD147" s="534"/>
      <c r="BE147" s="615"/>
      <c r="BF147" s="128"/>
      <c r="BG147" s="128"/>
      <c r="BH147" s="375"/>
      <c r="BJ147" s="375"/>
      <c r="BL147" s="530"/>
      <c r="BN147" s="534"/>
      <c r="BO147" s="534"/>
      <c r="BP147" s="534"/>
      <c r="BR147" s="727"/>
      <c r="BS147" s="128"/>
      <c r="BT147" s="848"/>
      <c r="BU147" s="849">
        <v>45814</v>
      </c>
      <c r="BV147" s="848">
        <v>46500</v>
      </c>
      <c r="BW147" s="848" t="s">
        <v>3901</v>
      </c>
      <c r="BX147" s="530">
        <v>500000</v>
      </c>
      <c r="BY147" s="735">
        <f>_xlfn.XLOOKUP(Est_NIM[[#This Row],[DEAL_BUY_ID]],BS!AL:AL,BS!AU:AU,_xlfn.XLOOKUP(Est_NIM[[#This Row],[DEAL_BUY_ID]],BS!BA:BA,BS!BJ:BJ,,0),0)</f>
        <v>2.8935</v>
      </c>
      <c r="BZ147" s="534">
        <f>Est_NIM[[#This Row],[QUANT]]*Est_NIM[[#This Row],[YIELD]]</f>
        <v>1446750</v>
      </c>
      <c r="CA147" s="128"/>
      <c r="CB147" s="128"/>
      <c r="CE147" s="331"/>
      <c r="CF147" s="331"/>
      <c r="CG147" s="331"/>
      <c r="CH147">
        <v>3730</v>
      </c>
      <c r="CI147">
        <v>14282</v>
      </c>
      <c r="CN147" s="128"/>
      <c r="CO147" s="128"/>
      <c r="CP147" s="128"/>
      <c r="CQ147" s="128"/>
      <c r="CR147" s="128"/>
      <c r="CS147" s="128"/>
      <c r="CT147" s="128"/>
      <c r="CU147" s="128"/>
      <c r="CV147" s="128"/>
      <c r="CW147" s="128"/>
      <c r="CX147" s="128"/>
      <c r="CY147" s="128"/>
      <c r="CZ147" s="128"/>
      <c r="DA147" s="128"/>
      <c r="DB147" s="128"/>
      <c r="DC147" s="128"/>
      <c r="DD147" s="128"/>
      <c r="DE147" s="128"/>
      <c r="DF147" s="128"/>
      <c r="DG147" s="128"/>
      <c r="DH147" s="128"/>
      <c r="DI147" s="128"/>
      <c r="DJ147" s="128"/>
      <c r="DK147" s="128"/>
      <c r="DL147" s="128"/>
      <c r="DM147" s="128"/>
      <c r="DN147" s="128"/>
      <c r="DO147" s="128"/>
      <c r="DP147" s="128"/>
      <c r="DQ147" s="128"/>
      <c r="DR147" s="128"/>
      <c r="DS147" s="128"/>
      <c r="DT147" s="128"/>
      <c r="DU147" s="128"/>
      <c r="DV147" s="128"/>
      <c r="DW147" s="128"/>
      <c r="DX147" s="128"/>
      <c r="DY147" s="128"/>
      <c r="DZ147" s="530"/>
      <c r="EA147" s="530"/>
      <c r="EB147" s="530"/>
      <c r="EC147" s="530"/>
      <c r="ED147" s="530"/>
      <c r="EE147" s="530"/>
      <c r="EF147" s="530"/>
      <c r="EG147" s="530"/>
      <c r="EH147" s="530"/>
      <c r="EI147" s="530"/>
      <c r="EJ147" s="530"/>
      <c r="EK147" s="530"/>
      <c r="EL147" s="530"/>
      <c r="EM147" s="530"/>
      <c r="EN147" s="530"/>
      <c r="EO147" s="530"/>
      <c r="EP147" s="530"/>
      <c r="EQ147" s="530"/>
      <c r="ER147" s="530"/>
      <c r="ES147" s="530"/>
      <c r="ET147" s="530"/>
      <c r="EU147" s="530"/>
      <c r="EV147" s="530"/>
      <c r="EW147" s="530"/>
      <c r="EX147" s="530"/>
      <c r="EY147" s="530"/>
      <c r="EZ147" s="530"/>
      <c r="FA147" s="530"/>
      <c r="FB147" s="530"/>
      <c r="FC147" s="530"/>
      <c r="FD147" s="530"/>
      <c r="FE147" s="530"/>
      <c r="FF147" s="530"/>
      <c r="FG147" s="530"/>
      <c r="FH147" s="530"/>
      <c r="FI147" s="530"/>
      <c r="FJ147" s="530"/>
      <c r="FK147" s="530"/>
      <c r="FL147" s="530"/>
      <c r="FM147" s="530"/>
      <c r="FN147" s="530"/>
      <c r="FO147" s="530"/>
      <c r="FP147" s="530"/>
      <c r="FQ147" s="530"/>
      <c r="GL147" s="128"/>
      <c r="GM147" s="128"/>
      <c r="GN147" s="128"/>
      <c r="GO147" s="128"/>
      <c r="GP147" s="128"/>
      <c r="GQ147" s="128"/>
      <c r="GR147" s="128"/>
      <c r="GS147" s="128"/>
      <c r="GT147" s="128"/>
      <c r="GU147" s="128"/>
      <c r="GV147" s="128"/>
      <c r="GW147" s="128"/>
      <c r="GX147" s="128"/>
      <c r="GY147" s="128"/>
      <c r="GZ147" s="128"/>
      <c r="HA147" s="128"/>
      <c r="HB147" s="128"/>
      <c r="HC147" s="128"/>
      <c r="HD147" s="128"/>
      <c r="HE147" s="128"/>
      <c r="HF147" s="128"/>
      <c r="HG147" s="128"/>
      <c r="HH147" s="128"/>
      <c r="HI147" s="128"/>
      <c r="HJ147" s="128"/>
      <c r="HK147" s="128"/>
      <c r="HL147" s="128"/>
      <c r="HM147" s="128"/>
      <c r="HN147" s="128"/>
      <c r="HO147" s="128"/>
      <c r="HP147" s="128"/>
      <c r="HQ147" s="128"/>
      <c r="HR147" s="128"/>
      <c r="HS147" s="128"/>
      <c r="HT147" s="128"/>
      <c r="HU147" s="128"/>
      <c r="HV147" s="128"/>
      <c r="HW147" s="128"/>
      <c r="HX147" s="128"/>
      <c r="HY147" s="128"/>
      <c r="HZ147" s="128"/>
      <c r="IA147" s="128"/>
      <c r="IB147" s="128"/>
      <c r="IC147" s="128"/>
    </row>
    <row r="148" spans="41:237" x14ac:dyDescent="0.3">
      <c r="AO148" s="128">
        <v>49324</v>
      </c>
      <c r="AP148" s="128" t="s">
        <v>2497</v>
      </c>
      <c r="AQ148" s="128" t="s">
        <v>824</v>
      </c>
      <c r="AR148" s="375" t="s">
        <v>3594</v>
      </c>
      <c r="AS148" s="375">
        <v>46108</v>
      </c>
      <c r="AT148" s="375">
        <v>46449</v>
      </c>
      <c r="AU148" s="530">
        <v>95494</v>
      </c>
      <c r="AV148" s="128">
        <v>49993</v>
      </c>
      <c r="AW148" s="530">
        <v>700000</v>
      </c>
      <c r="AX148" s="534">
        <f>_xlfn.XLOOKUP(Sell_unvalid[[#This Row],[DEAL_BUY_ID]],BS!BA:BA,BS!BE:BE,,0)</f>
        <v>103160</v>
      </c>
      <c r="AY148" s="534">
        <f>_xlfn.XLOOKUP(Sell_unvalid[[#This Row],[BOND_CODE]],FNRP!D:D,FNRP!I:I,_xlfn.XLOOKUP(Sell_unvalid[[#This Row],[BOND_CODE]],FNRP!AV:AV,FNRP!BA:BA,,0),0)</f>
        <v>92330</v>
      </c>
      <c r="AZ148" s="534">
        <f>_xlfn.XLOOKUP(Sell_unvalid[[#This Row],[DEAL_BUY_ID]],BS!BA:BA,BS!BQ:BQ,,0)*Sell_unvalid[[#This Row],[QUANTITY]]</f>
        <v>2197590845.6781607</v>
      </c>
      <c r="BA148" s="534">
        <f>(Sell_unvalid[[#This Row],[Giá MtM]]-10^5)*Sell_unvalid[[#This Row],[QUANTITY]]-Sell_unvalid[[#This Row],[PTCK remain]]</f>
        <v>-7566590845.6781607</v>
      </c>
      <c r="BB148" s="534">
        <f>(Sell_unvalid[[#This Row],[PRICE]]-10^5)*Sell_unvalid[[#This Row],[QUANTITY]]-Sell_unvalid[[#This Row],[PTCK remain]]</f>
        <v>-5351790845.6781607</v>
      </c>
      <c r="BC148" s="534" t="str">
        <f>IF(AND(Sell_unvalid[[#This Row],[VALUE_DATE]]&lt;=RPT,Sell_unvalid[[#This Row],[TRANSACTION_STATUS]]="N"),"Check","Ok")</f>
        <v>Ok</v>
      </c>
      <c r="BD148" s="534"/>
      <c r="BE148" s="615"/>
      <c r="BF148" s="128"/>
      <c r="BG148" s="128"/>
      <c r="BH148" s="375"/>
      <c r="BJ148" s="375"/>
      <c r="BL148" s="530"/>
      <c r="BN148" s="534"/>
      <c r="BO148" s="534"/>
      <c r="BP148" s="534"/>
      <c r="BR148" s="727"/>
      <c r="BS148" s="128"/>
      <c r="BT148" s="848"/>
      <c r="BU148" s="849">
        <v>45861</v>
      </c>
      <c r="BV148" s="848">
        <v>46900</v>
      </c>
      <c r="BW148" s="848" t="s">
        <v>3901</v>
      </c>
      <c r="BX148" s="530">
        <v>500000</v>
      </c>
      <c r="BY148" s="735">
        <f>_xlfn.XLOOKUP(Est_NIM[[#This Row],[DEAL_BUY_ID]],BS!AL:AL,BS!AU:AU,_xlfn.XLOOKUP(Est_NIM[[#This Row],[DEAL_BUY_ID]],BS!BA:BA,BS!BJ:BJ,,0),0)</f>
        <v>2.1644999999999999</v>
      </c>
      <c r="BZ148" s="534">
        <f>Est_NIM[[#This Row],[QUANT]]*Est_NIM[[#This Row],[YIELD]]</f>
        <v>1082250</v>
      </c>
      <c r="CA148" s="128"/>
      <c r="CB148" s="128"/>
      <c r="CE148" s="331"/>
      <c r="CF148" s="331"/>
      <c r="CG148" s="331"/>
      <c r="CH148">
        <v>3730</v>
      </c>
      <c r="CI148">
        <v>14282</v>
      </c>
      <c r="CN148" s="128"/>
      <c r="CO148" s="128"/>
      <c r="CP148" s="128"/>
      <c r="CQ148" s="128"/>
      <c r="CR148" s="128"/>
      <c r="CS148" s="128"/>
      <c r="CT148" s="128"/>
      <c r="CU148" s="128"/>
      <c r="CV148" s="128"/>
      <c r="CW148" s="128"/>
      <c r="CX148" s="128"/>
      <c r="CY148" s="128"/>
      <c r="CZ148" s="128"/>
      <c r="DA148" s="128"/>
      <c r="DB148" s="128"/>
      <c r="DC148" s="128"/>
      <c r="DD148" s="128"/>
      <c r="DE148" s="128"/>
      <c r="DF148" s="128"/>
      <c r="DG148" s="128"/>
      <c r="DH148" s="128"/>
      <c r="DI148" s="128"/>
      <c r="DJ148" s="128"/>
      <c r="DK148" s="128"/>
      <c r="DL148" s="128"/>
      <c r="DM148" s="128"/>
      <c r="DN148" s="128"/>
      <c r="DO148" s="128"/>
      <c r="DP148" s="128"/>
      <c r="DQ148" s="128"/>
      <c r="DR148" s="128"/>
      <c r="DS148" s="128"/>
      <c r="DT148" s="128"/>
      <c r="DU148" s="128"/>
      <c r="DV148" s="128"/>
      <c r="DW148" s="128"/>
      <c r="DX148" s="128"/>
      <c r="DY148" s="128"/>
      <c r="DZ148" s="530"/>
      <c r="EA148" s="530"/>
      <c r="EB148" s="530"/>
      <c r="EC148" s="530"/>
      <c r="ED148" s="530"/>
      <c r="EE148" s="530"/>
      <c r="EF148" s="530"/>
      <c r="EG148" s="530"/>
      <c r="EH148" s="530"/>
      <c r="EI148" s="530"/>
      <c r="EJ148" s="530"/>
      <c r="EK148" s="530"/>
      <c r="EL148" s="530"/>
      <c r="EM148" s="530"/>
      <c r="EN148" s="530"/>
      <c r="EO148" s="530"/>
      <c r="EP148" s="530"/>
      <c r="EQ148" s="530"/>
      <c r="ER148" s="530"/>
      <c r="ES148" s="530"/>
      <c r="ET148" s="530"/>
      <c r="EU148" s="530"/>
      <c r="EV148" s="530"/>
      <c r="EW148" s="530"/>
      <c r="EX148" s="530"/>
      <c r="EY148" s="530"/>
      <c r="EZ148" s="530"/>
      <c r="FA148" s="530"/>
      <c r="FB148" s="530"/>
      <c r="FC148" s="530"/>
      <c r="FD148" s="530"/>
      <c r="FE148" s="530"/>
      <c r="FF148" s="530"/>
      <c r="FG148" s="530"/>
      <c r="FH148" s="530"/>
      <c r="FI148" s="530"/>
      <c r="FJ148" s="530"/>
      <c r="FK148" s="530"/>
      <c r="FL148" s="530"/>
      <c r="FM148" s="530"/>
      <c r="FN148" s="530"/>
      <c r="FO148" s="530"/>
      <c r="FP148" s="530"/>
      <c r="FQ148" s="530"/>
      <c r="GL148" s="128"/>
      <c r="GM148" s="128"/>
      <c r="GN148" s="128"/>
      <c r="GO148" s="128"/>
      <c r="GP148" s="128"/>
      <c r="GQ148" s="128"/>
      <c r="GR148" s="128"/>
      <c r="GS148" s="128"/>
      <c r="GT148" s="128"/>
      <c r="GU148" s="128"/>
      <c r="GV148" s="128"/>
      <c r="GW148" s="128"/>
      <c r="GX148" s="128"/>
      <c r="GY148" s="128"/>
      <c r="GZ148" s="128"/>
      <c r="HA148" s="128"/>
      <c r="HB148" s="128"/>
      <c r="HC148" s="128"/>
      <c r="HD148" s="128"/>
      <c r="HE148" s="128"/>
      <c r="HF148" s="128"/>
      <c r="HG148" s="128"/>
      <c r="HH148" s="128"/>
      <c r="HI148" s="128"/>
      <c r="HJ148" s="128"/>
      <c r="HK148" s="128"/>
      <c r="HL148" s="128"/>
      <c r="HM148" s="128"/>
      <c r="HN148" s="128"/>
      <c r="HO148" s="128"/>
      <c r="HP148" s="128"/>
      <c r="HQ148" s="128"/>
      <c r="HR148" s="128"/>
      <c r="HS148" s="128"/>
      <c r="HT148" s="128"/>
      <c r="HU148" s="128"/>
      <c r="HV148" s="128"/>
      <c r="HW148" s="128"/>
      <c r="HX148" s="128"/>
      <c r="HY148" s="128"/>
      <c r="HZ148" s="128"/>
      <c r="IA148" s="128"/>
      <c r="IB148" s="128"/>
      <c r="IC148" s="128"/>
    </row>
    <row r="149" spans="41:237" x14ac:dyDescent="0.3">
      <c r="AO149" s="128">
        <v>49325</v>
      </c>
      <c r="AP149" s="128" t="s">
        <v>2497</v>
      </c>
      <c r="AQ149" s="128" t="s">
        <v>824</v>
      </c>
      <c r="AR149" s="128" t="s">
        <v>3594</v>
      </c>
      <c r="AS149" s="375">
        <v>46108</v>
      </c>
      <c r="AT149" s="375">
        <v>46449</v>
      </c>
      <c r="AU149" s="530">
        <v>95494</v>
      </c>
      <c r="AV149" s="128">
        <v>49322</v>
      </c>
      <c r="AW149" s="530">
        <v>2933000</v>
      </c>
      <c r="AX149" s="534">
        <f>_xlfn.XLOOKUP(Sell_unvalid[[#This Row],[DEAL_BUY_ID]],BS!BA:BA,BS!BE:BE,,0)</f>
        <v>93741</v>
      </c>
      <c r="AY149" s="534">
        <f>_xlfn.XLOOKUP(Sell_unvalid[[#This Row],[BOND_CODE]],FNRP!D:D,FNRP!I:I,_xlfn.XLOOKUP(Sell_unvalid[[#This Row],[BOND_CODE]],FNRP!AV:AV,FNRP!BA:BA,,0),0)</f>
        <v>92330</v>
      </c>
      <c r="AZ149" s="534">
        <f>_xlfn.XLOOKUP(Sell_unvalid[[#This Row],[DEAL_BUY_ID]],BS!BA:BA,BS!BQ:BQ,,0)*Sell_unvalid[[#This Row],[QUANTITY]]</f>
        <v>-18095127492.373585</v>
      </c>
      <c r="BA149" s="534">
        <f>(Sell_unvalid[[#This Row],[Giá MtM]]-10^5)*Sell_unvalid[[#This Row],[QUANTITY]]-Sell_unvalid[[#This Row],[PTCK remain]]</f>
        <v>-4400982507.6264153</v>
      </c>
      <c r="BB149" s="534">
        <f>(Sell_unvalid[[#This Row],[PRICE]]-10^5)*Sell_unvalid[[#This Row],[QUANTITY]]-Sell_unvalid[[#This Row],[PTCK remain]]</f>
        <v>4879029492.3735847</v>
      </c>
      <c r="BC149" s="534" t="str">
        <f>IF(AND(Sell_unvalid[[#This Row],[VALUE_DATE]]&lt;=RPT,Sell_unvalid[[#This Row],[TRANSACTION_STATUS]]="N"),"Check","Ok")</f>
        <v>Ok</v>
      </c>
      <c r="BD149" s="534"/>
      <c r="BE149" s="615"/>
      <c r="BF149" s="128"/>
      <c r="BG149" s="128"/>
      <c r="BH149" s="375"/>
      <c r="BJ149" s="375"/>
      <c r="BL149" s="530"/>
      <c r="BN149" s="534"/>
      <c r="BO149" s="534"/>
      <c r="BP149" s="534"/>
      <c r="BR149" s="727"/>
      <c r="BS149" s="128"/>
      <c r="BT149" s="848"/>
      <c r="BU149" s="849">
        <v>45876</v>
      </c>
      <c r="BV149" s="848">
        <v>47096</v>
      </c>
      <c r="BW149" s="848" t="s">
        <v>3901</v>
      </c>
      <c r="BX149" s="530">
        <v>500000</v>
      </c>
      <c r="BY149" s="735">
        <f>_xlfn.XLOOKUP(Est_NIM[[#This Row],[DEAL_BUY_ID]],BS!AL:AL,BS!AU:AU,_xlfn.XLOOKUP(Est_NIM[[#This Row],[DEAL_BUY_ID]],BS!BA:BA,BS!BJ:BJ,,0),0)</f>
        <v>2.4822000000000002</v>
      </c>
      <c r="BZ149" s="534">
        <f>Est_NIM[[#This Row],[QUANT]]*Est_NIM[[#This Row],[YIELD]]</f>
        <v>1241100</v>
      </c>
      <c r="CA149" s="128"/>
      <c r="CB149" s="128"/>
      <c r="CE149" s="331"/>
      <c r="CF149" s="331"/>
      <c r="CG149" s="331"/>
      <c r="CH149">
        <v>3730</v>
      </c>
      <c r="CI149">
        <v>14282</v>
      </c>
      <c r="CN149" s="128"/>
      <c r="CO149" s="128"/>
      <c r="CP149" s="128"/>
      <c r="CQ149" s="128"/>
      <c r="CR149" s="128"/>
      <c r="CS149" s="128"/>
      <c r="CT149" s="128"/>
      <c r="CU149" s="128"/>
      <c r="CV149" s="128"/>
      <c r="CW149" s="128"/>
      <c r="CX149" s="128"/>
      <c r="CY149" s="128"/>
      <c r="CZ149" s="128"/>
      <c r="DA149" s="128"/>
      <c r="DB149" s="128"/>
      <c r="DC149" s="128"/>
      <c r="DD149" s="128"/>
      <c r="DE149" s="128"/>
      <c r="DF149" s="128"/>
      <c r="DG149" s="128"/>
      <c r="DH149" s="128"/>
      <c r="DI149" s="128"/>
      <c r="DJ149" s="128"/>
      <c r="DK149" s="128"/>
      <c r="DL149" s="128"/>
      <c r="DM149" s="128"/>
      <c r="DN149" s="128"/>
      <c r="DO149" s="128"/>
      <c r="DP149" s="128"/>
      <c r="DQ149" s="128"/>
      <c r="DR149" s="128"/>
      <c r="DS149" s="128"/>
      <c r="DT149" s="128"/>
      <c r="DU149" s="128"/>
      <c r="DV149" s="128"/>
      <c r="DW149" s="128"/>
      <c r="DX149" s="128"/>
      <c r="DY149" s="128"/>
      <c r="DZ149" s="530"/>
      <c r="EA149" s="530"/>
      <c r="EB149" s="530"/>
      <c r="EC149" s="530"/>
      <c r="ED149" s="530"/>
      <c r="EE149" s="530"/>
      <c r="EF149" s="530"/>
      <c r="EG149" s="530"/>
      <c r="EH149" s="530"/>
      <c r="EI149" s="530"/>
      <c r="EJ149" s="530"/>
      <c r="EK149" s="530"/>
      <c r="EL149" s="530"/>
      <c r="EM149" s="530"/>
      <c r="EN149" s="530"/>
      <c r="EO149" s="530"/>
      <c r="EP149" s="530"/>
      <c r="EQ149" s="530"/>
      <c r="ER149" s="530"/>
      <c r="ES149" s="530"/>
      <c r="ET149" s="530"/>
      <c r="EU149" s="530"/>
      <c r="EV149" s="530"/>
      <c r="EW149" s="530"/>
      <c r="EX149" s="530"/>
      <c r="EY149" s="530"/>
      <c r="EZ149" s="530"/>
      <c r="FA149" s="530"/>
      <c r="FB149" s="530"/>
      <c r="FC149" s="530"/>
      <c r="FD149" s="530"/>
      <c r="FE149" s="530"/>
      <c r="FF149" s="530"/>
      <c r="FG149" s="530"/>
      <c r="FH149" s="530"/>
      <c r="FI149" s="530"/>
      <c r="FJ149" s="530"/>
      <c r="FK149" s="530"/>
      <c r="FL149" s="530"/>
      <c r="FM149" s="530"/>
      <c r="FN149" s="530"/>
      <c r="FO149" s="530"/>
      <c r="FP149" s="530"/>
      <c r="FQ149" s="530"/>
      <c r="GL149" s="128"/>
      <c r="GM149" s="128"/>
      <c r="GN149" s="128"/>
      <c r="GO149" s="128"/>
      <c r="GP149" s="128"/>
      <c r="GQ149" s="128"/>
      <c r="GR149" s="128"/>
      <c r="GS149" s="128"/>
      <c r="GT149" s="128"/>
      <c r="GU149" s="128"/>
      <c r="GV149" s="128"/>
      <c r="GW149" s="128"/>
      <c r="GX149" s="128"/>
      <c r="GY149" s="128"/>
      <c r="GZ149" s="128"/>
      <c r="HA149" s="128"/>
      <c r="HB149" s="128"/>
      <c r="HC149" s="128"/>
      <c r="HD149" s="128"/>
      <c r="HE149" s="128"/>
      <c r="HF149" s="128"/>
      <c r="HG149" s="128"/>
      <c r="HH149" s="128"/>
      <c r="HI149" s="128"/>
      <c r="HJ149" s="128"/>
      <c r="HK149" s="128"/>
      <c r="HL149" s="128"/>
      <c r="HM149" s="128"/>
      <c r="HN149" s="128"/>
      <c r="HO149" s="128"/>
      <c r="HP149" s="128"/>
      <c r="HQ149" s="128"/>
      <c r="HR149" s="128"/>
      <c r="HS149" s="128"/>
      <c r="HT149" s="128"/>
      <c r="HU149" s="128"/>
      <c r="HV149" s="128"/>
      <c r="HW149" s="128"/>
      <c r="HX149" s="128"/>
      <c r="HY149" s="128"/>
      <c r="HZ149" s="128"/>
      <c r="IA149" s="128"/>
      <c r="IB149" s="128"/>
      <c r="IC149" s="128"/>
    </row>
    <row r="150" spans="41:237" x14ac:dyDescent="0.3">
      <c r="AO150" s="128">
        <v>49325</v>
      </c>
      <c r="AP150" s="128" t="s">
        <v>2497</v>
      </c>
      <c r="AQ150" s="128" t="s">
        <v>824</v>
      </c>
      <c r="AR150" s="375" t="s">
        <v>3594</v>
      </c>
      <c r="AS150" s="375">
        <v>46108</v>
      </c>
      <c r="AT150" s="375">
        <v>46449</v>
      </c>
      <c r="AU150" s="530">
        <v>95494</v>
      </c>
      <c r="AV150" s="532">
        <v>49896</v>
      </c>
      <c r="AW150" s="530">
        <v>700000</v>
      </c>
      <c r="AX150" s="534">
        <f>_xlfn.XLOOKUP(Sell_unvalid[[#This Row],[DEAL_BUY_ID]],BS!BA:BA,BS!BE:BE,,0)</f>
        <v>106615</v>
      </c>
      <c r="AY150" s="534">
        <f>_xlfn.XLOOKUP(Sell_unvalid[[#This Row],[BOND_CODE]],FNRP!D:D,FNRP!I:I,_xlfn.XLOOKUP(Sell_unvalid[[#This Row],[BOND_CODE]],FNRP!AV:AV,FNRP!BA:BA,,0),0)</f>
        <v>92330</v>
      </c>
      <c r="AZ150" s="534">
        <f>_xlfn.XLOOKUP(Sell_unvalid[[#This Row],[DEAL_BUY_ID]],BS!BA:BA,BS!BQ:BQ,,0)*Sell_unvalid[[#This Row],[QUANTITY]]</f>
        <v>4593737846.6984711</v>
      </c>
      <c r="BA150" s="534">
        <f>(Sell_unvalid[[#This Row],[Giá MtM]]-10^5)*Sell_unvalid[[#This Row],[QUANTITY]]-Sell_unvalid[[#This Row],[PTCK remain]]</f>
        <v>-9962737846.6984711</v>
      </c>
      <c r="BB150" s="534">
        <f>(Sell_unvalid[[#This Row],[PRICE]]-10^5)*Sell_unvalid[[#This Row],[QUANTITY]]-Sell_unvalid[[#This Row],[PTCK remain]]</f>
        <v>-7747937846.6984711</v>
      </c>
      <c r="BC150" s="534" t="str">
        <f>IF(AND(Sell_unvalid[[#This Row],[VALUE_DATE]]&lt;=RPT,Sell_unvalid[[#This Row],[TRANSACTION_STATUS]]="N"),"Check","Ok")</f>
        <v>Ok</v>
      </c>
      <c r="BD150" s="534"/>
      <c r="BE150" s="615"/>
      <c r="BF150" s="128"/>
      <c r="BG150" s="128"/>
      <c r="BH150" s="375"/>
      <c r="BJ150" s="375"/>
      <c r="BL150" s="530"/>
      <c r="BN150" s="534"/>
      <c r="BO150" s="534"/>
      <c r="BP150" s="534"/>
      <c r="BR150" s="727"/>
      <c r="BS150" s="128"/>
      <c r="BT150" s="848"/>
      <c r="BU150" s="849">
        <v>45881</v>
      </c>
      <c r="BV150" s="848">
        <v>47189</v>
      </c>
      <c r="BW150" s="848" t="s">
        <v>3901</v>
      </c>
      <c r="BX150" s="530">
        <v>1000000</v>
      </c>
      <c r="BY150" s="735">
        <f>_xlfn.XLOOKUP(Est_NIM[[#This Row],[DEAL_BUY_ID]],BS!AL:AL,BS!AU:AU,_xlfn.XLOOKUP(Est_NIM[[#This Row],[DEAL_BUY_ID]],BS!BA:BA,BS!BJ:BJ,,0),0)</f>
        <v>3.2524999999999999</v>
      </c>
      <c r="BZ150" s="534">
        <f>Est_NIM[[#This Row],[QUANT]]*Est_NIM[[#This Row],[YIELD]]</f>
        <v>3252500</v>
      </c>
      <c r="CA150" s="128"/>
      <c r="CB150" s="128"/>
      <c r="CE150" s="331"/>
      <c r="CF150" s="331"/>
      <c r="CG150" s="331"/>
      <c r="CH150">
        <v>3730</v>
      </c>
      <c r="CI150">
        <v>14282</v>
      </c>
      <c r="CN150" s="128"/>
      <c r="CO150" s="128"/>
      <c r="CP150" s="128"/>
      <c r="CQ150" s="128"/>
      <c r="CR150" s="128"/>
      <c r="CS150" s="128"/>
      <c r="CT150" s="128"/>
      <c r="CU150" s="128"/>
      <c r="CV150" s="128"/>
      <c r="CW150" s="128"/>
      <c r="CX150" s="128"/>
      <c r="CY150" s="128"/>
      <c r="CZ150" s="128"/>
      <c r="DA150" s="128"/>
      <c r="DB150" s="128"/>
      <c r="DC150" s="128"/>
      <c r="DD150" s="128"/>
      <c r="DE150" s="128"/>
      <c r="DF150" s="128"/>
      <c r="DG150" s="128"/>
      <c r="DH150" s="128"/>
      <c r="DI150" s="128"/>
      <c r="DJ150" s="128"/>
      <c r="DK150" s="128"/>
      <c r="DL150" s="128"/>
      <c r="DM150" s="128"/>
      <c r="DN150" s="128"/>
      <c r="DO150" s="128"/>
      <c r="DP150" s="128"/>
      <c r="DQ150" s="128"/>
      <c r="DR150" s="128"/>
      <c r="DS150" s="128"/>
      <c r="DT150" s="128"/>
      <c r="DU150" s="128"/>
      <c r="DV150" s="128"/>
      <c r="DW150" s="128"/>
      <c r="DX150" s="128"/>
      <c r="DY150" s="128"/>
      <c r="DZ150" s="530"/>
      <c r="EA150" s="530"/>
      <c r="EB150" s="530"/>
      <c r="EC150" s="530"/>
      <c r="ED150" s="530"/>
      <c r="EE150" s="530"/>
      <c r="EF150" s="530"/>
      <c r="EG150" s="530"/>
      <c r="EH150" s="530"/>
      <c r="EI150" s="530"/>
      <c r="EJ150" s="530"/>
      <c r="EK150" s="530"/>
      <c r="EL150" s="530"/>
      <c r="EM150" s="530"/>
      <c r="EN150" s="530"/>
      <c r="EO150" s="530"/>
      <c r="EP150" s="530"/>
      <c r="EQ150" s="530"/>
      <c r="ER150" s="530"/>
      <c r="ES150" s="530"/>
      <c r="ET150" s="530"/>
      <c r="EU150" s="530"/>
      <c r="EV150" s="530"/>
      <c r="EW150" s="530"/>
      <c r="EX150" s="530"/>
      <c r="EY150" s="530"/>
      <c r="EZ150" s="530"/>
      <c r="FA150" s="530"/>
      <c r="FB150" s="530"/>
      <c r="FC150" s="530"/>
      <c r="FD150" s="530"/>
      <c r="FE150" s="530"/>
      <c r="FF150" s="530"/>
      <c r="FG150" s="530"/>
      <c r="FH150" s="530"/>
      <c r="FI150" s="530"/>
      <c r="FJ150" s="530"/>
      <c r="FK150" s="530"/>
      <c r="FL150" s="530"/>
      <c r="FM150" s="530"/>
      <c r="FN150" s="530"/>
      <c r="FO150" s="530"/>
      <c r="FP150" s="530"/>
      <c r="FQ150" s="530"/>
      <c r="GL150" s="128"/>
      <c r="GM150" s="128"/>
      <c r="GN150" s="128"/>
      <c r="GO150" s="128"/>
      <c r="GP150" s="128"/>
      <c r="GQ150" s="128"/>
      <c r="GR150" s="128"/>
      <c r="GS150" s="128"/>
      <c r="GT150" s="128"/>
      <c r="GU150" s="128"/>
      <c r="GV150" s="128"/>
      <c r="GW150" s="128"/>
      <c r="GX150" s="128"/>
      <c r="GY150" s="128"/>
      <c r="GZ150" s="128"/>
      <c r="HA150" s="128"/>
      <c r="HB150" s="128"/>
      <c r="HC150" s="128"/>
      <c r="HD150" s="128"/>
      <c r="HE150" s="128"/>
      <c r="HF150" s="128"/>
      <c r="HG150" s="128"/>
      <c r="HH150" s="128"/>
      <c r="HI150" s="128"/>
      <c r="HJ150" s="128"/>
      <c r="HK150" s="128"/>
      <c r="HL150" s="128"/>
      <c r="HM150" s="128"/>
      <c r="HN150" s="128"/>
      <c r="HO150" s="128"/>
      <c r="HP150" s="128"/>
      <c r="HQ150" s="128"/>
      <c r="HR150" s="128"/>
      <c r="HS150" s="128"/>
      <c r="HT150" s="128"/>
      <c r="HU150" s="128"/>
      <c r="HV150" s="128"/>
      <c r="HW150" s="128"/>
      <c r="HX150" s="128"/>
      <c r="HY150" s="128"/>
      <c r="HZ150" s="128"/>
      <c r="IA150" s="128"/>
      <c r="IB150" s="128"/>
      <c r="IC150" s="128"/>
    </row>
    <row r="151" spans="41:237" x14ac:dyDescent="0.3">
      <c r="AO151" s="128">
        <v>49325</v>
      </c>
      <c r="AP151" s="128" t="s">
        <v>2497</v>
      </c>
      <c r="AQ151" s="128" t="s">
        <v>824</v>
      </c>
      <c r="AR151" s="128" t="s">
        <v>3594</v>
      </c>
      <c r="AS151" s="375">
        <v>46108</v>
      </c>
      <c r="AT151" s="375">
        <v>46449</v>
      </c>
      <c r="AU151" s="530">
        <v>95494</v>
      </c>
      <c r="AV151" s="128">
        <v>49910</v>
      </c>
      <c r="AW151" s="530">
        <v>700000</v>
      </c>
      <c r="AX151" s="534">
        <f>_xlfn.XLOOKUP(Sell_unvalid[[#This Row],[DEAL_BUY_ID]],BS!BA:BA,BS!BE:BE,,0)</f>
        <v>103133</v>
      </c>
      <c r="AY151" s="534">
        <f>_xlfn.XLOOKUP(Sell_unvalid[[#This Row],[BOND_CODE]],FNRP!D:D,FNRP!I:I,_xlfn.XLOOKUP(Sell_unvalid[[#This Row],[BOND_CODE]],FNRP!AV:AV,FNRP!BA:BA,,0),0)</f>
        <v>92330</v>
      </c>
      <c r="AZ151" s="534">
        <f>_xlfn.XLOOKUP(Sell_unvalid[[#This Row],[DEAL_BUY_ID]],BS!BA:BA,BS!BQ:BQ,,0)*Sell_unvalid[[#This Row],[QUANTITY]]</f>
        <v>2177944578.3841114</v>
      </c>
      <c r="BA151" s="534">
        <f>(Sell_unvalid[[#This Row],[Giá MtM]]-10^5)*Sell_unvalid[[#This Row],[QUANTITY]]-Sell_unvalid[[#This Row],[PTCK remain]]</f>
        <v>-7546944578.3841114</v>
      </c>
      <c r="BB151" s="534">
        <f>(Sell_unvalid[[#This Row],[PRICE]]-10^5)*Sell_unvalid[[#This Row],[QUANTITY]]-Sell_unvalid[[#This Row],[PTCK remain]]</f>
        <v>-5332144578.3841114</v>
      </c>
      <c r="BC151" s="534" t="str">
        <f>IF(AND(Sell_unvalid[[#This Row],[VALUE_DATE]]&lt;=RPT,Sell_unvalid[[#This Row],[TRANSACTION_STATUS]]="N"),"Check","Ok")</f>
        <v>Ok</v>
      </c>
      <c r="BD151" s="534"/>
      <c r="BE151" s="615"/>
      <c r="BF151" s="128"/>
      <c r="BG151" s="128"/>
      <c r="BH151" s="375"/>
      <c r="BJ151" s="375"/>
      <c r="BL151" s="530"/>
      <c r="BN151" s="534"/>
      <c r="BO151" s="534"/>
      <c r="BP151" s="534"/>
      <c r="BR151" s="727"/>
      <c r="BS151" s="128"/>
      <c r="BT151" s="848"/>
      <c r="BU151" s="849">
        <v>45891</v>
      </c>
      <c r="BV151" s="848">
        <v>47255</v>
      </c>
      <c r="BW151" s="848" t="s">
        <v>3901</v>
      </c>
      <c r="BX151" s="530">
        <v>1000000</v>
      </c>
      <c r="BY151" s="735">
        <f>_xlfn.XLOOKUP(Est_NIM[[#This Row],[DEAL_BUY_ID]],BS!AL:AL,BS!AU:AU,_xlfn.XLOOKUP(Est_NIM[[#This Row],[DEAL_BUY_ID]],BS!BA:BA,BS!BJ:BJ,,0),0)</f>
        <v>3.1040999999999999</v>
      </c>
      <c r="BZ151" s="534">
        <f>Est_NIM[[#This Row],[QUANT]]*Est_NIM[[#This Row],[YIELD]]</f>
        <v>3104100</v>
      </c>
      <c r="CA151" s="128"/>
      <c r="CB151" s="128"/>
      <c r="CE151" s="331"/>
      <c r="CF151" s="331"/>
      <c r="CG151" s="331"/>
      <c r="CH151">
        <v>3730</v>
      </c>
      <c r="CI151">
        <v>14282</v>
      </c>
      <c r="CN151" s="128"/>
      <c r="CO151" s="128"/>
      <c r="CP151" s="128"/>
      <c r="CQ151" s="128"/>
      <c r="CR151" s="128"/>
      <c r="CS151" s="128"/>
      <c r="CT151" s="128"/>
      <c r="CU151" s="128"/>
      <c r="CV151" s="128"/>
      <c r="CW151" s="128"/>
      <c r="CX151" s="128"/>
      <c r="CY151" s="128"/>
      <c r="CZ151" s="128"/>
      <c r="DA151" s="128"/>
      <c r="DB151" s="128"/>
      <c r="DC151" s="128"/>
      <c r="DD151" s="128"/>
      <c r="DE151" s="128"/>
      <c r="DF151" s="128"/>
      <c r="DG151" s="128"/>
      <c r="DH151" s="128"/>
      <c r="DI151" s="128"/>
      <c r="DJ151" s="128"/>
      <c r="DK151" s="128"/>
      <c r="DL151" s="128"/>
      <c r="DM151" s="128"/>
      <c r="DN151" s="128"/>
      <c r="DO151" s="128"/>
      <c r="DP151" s="128"/>
      <c r="DQ151" s="128"/>
      <c r="DR151" s="128"/>
      <c r="DS151" s="128"/>
      <c r="DT151" s="128"/>
      <c r="DU151" s="128"/>
      <c r="DV151" s="128"/>
      <c r="DW151" s="128"/>
      <c r="DX151" s="128"/>
      <c r="DY151" s="128"/>
      <c r="DZ151" s="530"/>
      <c r="EA151" s="530"/>
      <c r="EB151" s="530"/>
      <c r="EC151" s="530"/>
      <c r="ED151" s="530"/>
      <c r="EE151" s="530"/>
      <c r="EF151" s="530"/>
      <c r="EG151" s="530"/>
      <c r="EH151" s="530"/>
      <c r="EI151" s="530"/>
      <c r="EJ151" s="530"/>
      <c r="EK151" s="530"/>
      <c r="EL151" s="530"/>
      <c r="EM151" s="530"/>
      <c r="EN151" s="530"/>
      <c r="EO151" s="530"/>
      <c r="EP151" s="530"/>
      <c r="EQ151" s="530"/>
      <c r="ER151" s="530"/>
      <c r="ES151" s="530"/>
      <c r="ET151" s="530"/>
      <c r="EU151" s="530"/>
      <c r="EV151" s="530"/>
      <c r="EW151" s="530"/>
      <c r="EX151" s="530"/>
      <c r="EY151" s="530"/>
      <c r="EZ151" s="530"/>
      <c r="FA151" s="530"/>
      <c r="FB151" s="530"/>
      <c r="FC151" s="530"/>
      <c r="FD151" s="530"/>
      <c r="FE151" s="530"/>
      <c r="FF151" s="530"/>
      <c r="FG151" s="530"/>
      <c r="FH151" s="530"/>
      <c r="FI151" s="530"/>
      <c r="FJ151" s="530"/>
      <c r="FK151" s="530"/>
      <c r="FL151" s="530"/>
      <c r="FM151" s="530"/>
      <c r="FN151" s="530"/>
      <c r="FO151" s="530"/>
      <c r="FP151" s="530"/>
      <c r="FQ151" s="530"/>
      <c r="GL151" s="128"/>
      <c r="GM151" s="128"/>
      <c r="GN151" s="128"/>
      <c r="GO151" s="128"/>
      <c r="GP151" s="128"/>
      <c r="GQ151" s="128"/>
      <c r="GR151" s="128"/>
      <c r="GS151" s="128"/>
      <c r="GT151" s="128"/>
      <c r="GU151" s="128"/>
      <c r="GV151" s="128"/>
      <c r="GW151" s="128"/>
      <c r="GX151" s="128"/>
      <c r="GY151" s="128"/>
      <c r="GZ151" s="128"/>
      <c r="HA151" s="128"/>
      <c r="HB151" s="128"/>
      <c r="HC151" s="128"/>
      <c r="HD151" s="128"/>
      <c r="HE151" s="128"/>
      <c r="HF151" s="128"/>
      <c r="HG151" s="128"/>
      <c r="HH151" s="128"/>
      <c r="HI151" s="128"/>
      <c r="HJ151" s="128"/>
      <c r="HK151" s="128"/>
      <c r="HL151" s="128"/>
      <c r="HM151" s="128"/>
      <c r="HN151" s="128"/>
      <c r="HO151" s="128"/>
      <c r="HP151" s="128"/>
      <c r="HQ151" s="128"/>
      <c r="HR151" s="128"/>
      <c r="HS151" s="128"/>
      <c r="HT151" s="128"/>
      <c r="HU151" s="128"/>
      <c r="HV151" s="128"/>
      <c r="HW151" s="128"/>
      <c r="HX151" s="128"/>
      <c r="HY151" s="128"/>
      <c r="HZ151" s="128"/>
      <c r="IA151" s="128"/>
      <c r="IB151" s="128"/>
      <c r="IC151" s="128"/>
    </row>
    <row r="152" spans="41:237" x14ac:dyDescent="0.3">
      <c r="AO152" s="128">
        <v>49325</v>
      </c>
      <c r="AP152" s="128" t="s">
        <v>2497</v>
      </c>
      <c r="AQ152" s="128" t="s">
        <v>824</v>
      </c>
      <c r="AR152" s="375" t="s">
        <v>3594</v>
      </c>
      <c r="AS152" s="375">
        <v>46108</v>
      </c>
      <c r="AT152" s="375">
        <v>46449</v>
      </c>
      <c r="AU152" s="530">
        <v>95494</v>
      </c>
      <c r="AV152" s="532">
        <v>49947</v>
      </c>
      <c r="AW152" s="530">
        <v>1500000</v>
      </c>
      <c r="AX152" s="534">
        <f>_xlfn.XLOOKUP(Sell_unvalid[[#This Row],[DEAL_BUY_ID]],BS!BA:BA,BS!BE:BE,,0)</f>
        <v>103153</v>
      </c>
      <c r="AY152" s="534">
        <f>_xlfn.XLOOKUP(Sell_unvalid[[#This Row],[BOND_CODE]],FNRP!D:D,FNRP!I:I,_xlfn.XLOOKUP(Sell_unvalid[[#This Row],[BOND_CODE]],FNRP!AV:AV,FNRP!BA:BA,,0),0)</f>
        <v>92330</v>
      </c>
      <c r="AZ152" s="534">
        <f>_xlfn.XLOOKUP(Sell_unvalid[[#This Row],[DEAL_BUY_ID]],BS!BA:BA,BS!BQ:BQ,,0)*Sell_unvalid[[#This Row],[QUANTITY]]</f>
        <v>4696812483.3703403</v>
      </c>
      <c r="BA152" s="534">
        <f>(Sell_unvalid[[#This Row],[Giá MtM]]-10^5)*Sell_unvalid[[#This Row],[QUANTITY]]-Sell_unvalid[[#This Row],[PTCK remain]]</f>
        <v>-16201812483.37034</v>
      </c>
      <c r="BB152" s="534">
        <f>(Sell_unvalid[[#This Row],[PRICE]]-10^5)*Sell_unvalid[[#This Row],[QUANTITY]]-Sell_unvalid[[#This Row],[PTCK remain]]</f>
        <v>-11455812483.37034</v>
      </c>
      <c r="BC152" s="534" t="str">
        <f>IF(AND(Sell_unvalid[[#This Row],[VALUE_DATE]]&lt;=RPT,Sell_unvalid[[#This Row],[TRANSACTION_STATUS]]="N"),"Check","Ok")</f>
        <v>Ok</v>
      </c>
      <c r="BD152" s="534"/>
      <c r="BE152" s="615"/>
      <c r="BF152" s="128"/>
      <c r="BG152" s="128"/>
      <c r="BH152" s="375"/>
      <c r="BJ152" s="375"/>
      <c r="BL152" s="530"/>
      <c r="BN152" s="534"/>
      <c r="BO152" s="534"/>
      <c r="BP152" s="534"/>
      <c r="BR152" s="727"/>
      <c r="BS152" s="128"/>
      <c r="BT152" s="848"/>
      <c r="BU152" s="849">
        <v>45891</v>
      </c>
      <c r="BV152" s="848">
        <v>47257</v>
      </c>
      <c r="BW152" s="848" t="s">
        <v>3901</v>
      </c>
      <c r="BX152" s="530">
        <v>500000</v>
      </c>
      <c r="BY152" s="735">
        <f>_xlfn.XLOOKUP(Est_NIM[[#This Row],[DEAL_BUY_ID]],BS!AL:AL,BS!AU:AU,_xlfn.XLOOKUP(Est_NIM[[#This Row],[DEAL_BUY_ID]],BS!BA:BA,BS!BJ:BJ,,0),0)</f>
        <v>3.439980555</v>
      </c>
      <c r="BZ152" s="534">
        <f>Est_NIM[[#This Row],[QUANT]]*Est_NIM[[#This Row],[YIELD]]</f>
        <v>1719990.2775000001</v>
      </c>
      <c r="CA152" s="128"/>
      <c r="CB152" s="128"/>
      <c r="CE152" s="331"/>
      <c r="CF152" s="331"/>
      <c r="CG152" s="331"/>
      <c r="CH152">
        <v>3730</v>
      </c>
      <c r="CI152">
        <v>14282</v>
      </c>
      <c r="CN152" s="128"/>
      <c r="CO152" s="128"/>
      <c r="CP152" s="128"/>
      <c r="CQ152" s="128"/>
      <c r="CR152" s="128"/>
      <c r="CS152" s="128"/>
      <c r="CT152" s="128"/>
      <c r="CU152" s="128"/>
      <c r="CV152" s="128"/>
      <c r="CW152" s="128"/>
      <c r="CX152" s="128"/>
      <c r="CY152" s="128"/>
      <c r="CZ152" s="128"/>
      <c r="DA152" s="128"/>
      <c r="DB152" s="128"/>
      <c r="DC152" s="128"/>
      <c r="DD152" s="128"/>
      <c r="DE152" s="128"/>
      <c r="DF152" s="128"/>
      <c r="DG152" s="128"/>
      <c r="DH152" s="128"/>
      <c r="DI152" s="128"/>
      <c r="DJ152" s="128"/>
      <c r="DK152" s="128"/>
      <c r="DL152" s="128"/>
      <c r="DM152" s="128"/>
      <c r="DN152" s="128"/>
      <c r="DO152" s="128"/>
      <c r="DP152" s="128"/>
      <c r="DQ152" s="128"/>
      <c r="DR152" s="128"/>
      <c r="DS152" s="128"/>
      <c r="DT152" s="128"/>
      <c r="DU152" s="128"/>
      <c r="DV152" s="128"/>
      <c r="DW152" s="128"/>
      <c r="DX152" s="128"/>
      <c r="DY152" s="128"/>
      <c r="DZ152" s="530"/>
      <c r="EA152" s="530"/>
      <c r="EB152" s="530"/>
      <c r="EC152" s="530"/>
      <c r="ED152" s="530"/>
      <c r="EE152" s="530"/>
      <c r="EF152" s="530"/>
      <c r="EG152" s="530"/>
      <c r="EH152" s="530"/>
      <c r="EI152" s="530"/>
      <c r="EJ152" s="530"/>
      <c r="EK152" s="530"/>
      <c r="EL152" s="530"/>
      <c r="EM152" s="530"/>
      <c r="EN152" s="530"/>
      <c r="EO152" s="530"/>
      <c r="EP152" s="530"/>
      <c r="EQ152" s="530"/>
      <c r="ER152" s="530"/>
      <c r="ES152" s="530"/>
      <c r="ET152" s="530"/>
      <c r="EU152" s="530"/>
      <c r="EV152" s="530"/>
      <c r="EW152" s="530"/>
      <c r="EX152" s="530"/>
      <c r="EY152" s="530"/>
      <c r="EZ152" s="530"/>
      <c r="FA152" s="530"/>
      <c r="FB152" s="530"/>
      <c r="FC152" s="530"/>
      <c r="FD152" s="530"/>
      <c r="FE152" s="530"/>
      <c r="FF152" s="530"/>
      <c r="FG152" s="530"/>
      <c r="FH152" s="530"/>
      <c r="FI152" s="530"/>
      <c r="FJ152" s="530"/>
      <c r="FK152" s="530"/>
      <c r="FL152" s="530"/>
      <c r="FM152" s="530"/>
      <c r="FN152" s="530"/>
      <c r="FO152" s="530"/>
      <c r="FP152" s="530"/>
      <c r="FQ152" s="530"/>
      <c r="GL152" s="128"/>
      <c r="GM152" s="128"/>
      <c r="GN152" s="128"/>
      <c r="GO152" s="128"/>
      <c r="GP152" s="128"/>
      <c r="GQ152" s="128"/>
      <c r="GR152" s="128"/>
      <c r="GS152" s="128"/>
      <c r="GT152" s="128"/>
      <c r="GU152" s="128"/>
      <c r="GV152" s="128"/>
      <c r="GW152" s="128"/>
      <c r="GX152" s="128"/>
      <c r="GY152" s="128"/>
      <c r="GZ152" s="128"/>
      <c r="HA152" s="128"/>
      <c r="HB152" s="128"/>
      <c r="HC152" s="128"/>
      <c r="HD152" s="128"/>
      <c r="HE152" s="128"/>
      <c r="HF152" s="128"/>
      <c r="HG152" s="128"/>
      <c r="HH152" s="128"/>
      <c r="HI152" s="128"/>
      <c r="HJ152" s="128"/>
      <c r="HK152" s="128"/>
      <c r="HL152" s="128"/>
      <c r="HM152" s="128"/>
      <c r="HN152" s="128"/>
      <c r="HO152" s="128"/>
      <c r="HP152" s="128"/>
      <c r="HQ152" s="128"/>
      <c r="HR152" s="128"/>
      <c r="HS152" s="128"/>
      <c r="HT152" s="128"/>
      <c r="HU152" s="128"/>
      <c r="HV152" s="128"/>
      <c r="HW152" s="128"/>
      <c r="HX152" s="128"/>
      <c r="HY152" s="128"/>
      <c r="HZ152" s="128"/>
      <c r="IA152" s="128"/>
      <c r="IB152" s="128"/>
      <c r="IC152" s="128"/>
    </row>
    <row r="153" spans="41:237" x14ac:dyDescent="0.3">
      <c r="AO153" s="128">
        <v>49326</v>
      </c>
      <c r="AP153" s="128" t="s">
        <v>2497</v>
      </c>
      <c r="AQ153" s="128" t="s">
        <v>824</v>
      </c>
      <c r="AR153" s="375" t="s">
        <v>3594</v>
      </c>
      <c r="AS153" s="375">
        <v>46108</v>
      </c>
      <c r="AT153" s="375">
        <v>46449</v>
      </c>
      <c r="AU153" s="530">
        <v>95494</v>
      </c>
      <c r="AV153" s="128">
        <v>49336</v>
      </c>
      <c r="AW153" s="530">
        <v>900000</v>
      </c>
      <c r="AX153" s="534">
        <f>_xlfn.XLOOKUP(Sell_unvalid[[#This Row],[DEAL_BUY_ID]],BS!BA:BA,BS!BE:BE,,0)</f>
        <v>93741</v>
      </c>
      <c r="AY153" s="534">
        <f>_xlfn.XLOOKUP(Sell_unvalid[[#This Row],[BOND_CODE]],FNRP!D:D,FNRP!I:I,_xlfn.XLOOKUP(Sell_unvalid[[#This Row],[BOND_CODE]],FNRP!AV:AV,FNRP!BA:BA,,0),0)</f>
        <v>92330</v>
      </c>
      <c r="AZ153" s="534">
        <f>_xlfn.XLOOKUP(Sell_unvalid[[#This Row],[DEAL_BUY_ID]],BS!BA:BA,BS!BQ:BQ,,0)*Sell_unvalid[[#This Row],[QUANTITY]]</f>
        <v>-5553684434.2849512</v>
      </c>
      <c r="BA153" s="534">
        <f>(Sell_unvalid[[#This Row],[Giá MtM]]-10^5)*Sell_unvalid[[#This Row],[QUANTITY]]-Sell_unvalid[[#This Row],[PTCK remain]]</f>
        <v>-1349315565.7150488</v>
      </c>
      <c r="BB153" s="534">
        <f>(Sell_unvalid[[#This Row],[PRICE]]-10^5)*Sell_unvalid[[#This Row],[QUANTITY]]-Sell_unvalid[[#This Row],[PTCK remain]]</f>
        <v>1498284434.2849512</v>
      </c>
      <c r="BC153" s="534" t="str">
        <f>IF(AND(Sell_unvalid[[#This Row],[VALUE_DATE]]&lt;=RPT,Sell_unvalid[[#This Row],[TRANSACTION_STATUS]]="N"),"Check","Ok")</f>
        <v>Ok</v>
      </c>
      <c r="BD153" s="534"/>
      <c r="BE153" s="615"/>
      <c r="BF153" s="128"/>
      <c r="BG153" s="128"/>
      <c r="BH153" s="375"/>
      <c r="BJ153" s="375"/>
      <c r="BL153" s="530"/>
      <c r="BN153" s="534"/>
      <c r="BO153" s="534"/>
      <c r="BP153" s="534"/>
      <c r="BR153" s="727"/>
      <c r="BS153" s="128"/>
      <c r="BT153" s="848"/>
      <c r="BU153" s="849">
        <v>45911</v>
      </c>
      <c r="BV153" s="848">
        <v>47399</v>
      </c>
      <c r="BW153" s="848" t="s">
        <v>3901</v>
      </c>
      <c r="BX153" s="530">
        <v>500000</v>
      </c>
      <c r="BY153" s="735">
        <f>_xlfn.XLOOKUP(Est_NIM[[#This Row],[DEAL_BUY_ID]],BS!AL:AL,BS!AU:AU,_xlfn.XLOOKUP(Est_NIM[[#This Row],[DEAL_BUY_ID]],BS!BA:BA,BS!BJ:BJ,,0),0)</f>
        <v>3.15</v>
      </c>
      <c r="BZ153" s="534">
        <f>Est_NIM[[#This Row],[QUANT]]*Est_NIM[[#This Row],[YIELD]]</f>
        <v>1575000</v>
      </c>
      <c r="CA153" s="128"/>
      <c r="CB153" s="128"/>
      <c r="CE153" s="331"/>
      <c r="CF153" s="331"/>
      <c r="CG153" s="331"/>
      <c r="CH153">
        <v>3730</v>
      </c>
      <c r="CI153">
        <v>14282</v>
      </c>
      <c r="CN153" s="128"/>
      <c r="CO153" s="128"/>
      <c r="CP153" s="128"/>
      <c r="CQ153" s="128"/>
      <c r="CR153" s="128"/>
      <c r="CS153" s="128"/>
      <c r="CT153" s="128"/>
      <c r="CU153" s="128"/>
      <c r="CV153" s="128"/>
      <c r="CW153" s="128"/>
      <c r="CX153" s="128"/>
      <c r="CY153" s="128"/>
      <c r="CZ153" s="128"/>
      <c r="DA153" s="128"/>
      <c r="DB153" s="128"/>
      <c r="DC153" s="128"/>
      <c r="DD153" s="128"/>
      <c r="DE153" s="128"/>
      <c r="DF153" s="128"/>
      <c r="DG153" s="128"/>
      <c r="DH153" s="128"/>
      <c r="DI153" s="128"/>
      <c r="DJ153" s="128"/>
      <c r="DK153" s="128"/>
      <c r="DL153" s="128"/>
      <c r="DM153" s="128"/>
      <c r="DN153" s="128"/>
      <c r="DO153" s="128"/>
      <c r="DP153" s="128"/>
      <c r="DQ153" s="128"/>
      <c r="DR153" s="128"/>
      <c r="DS153" s="128"/>
      <c r="DT153" s="128"/>
      <c r="DU153" s="128"/>
      <c r="DV153" s="128"/>
      <c r="DW153" s="128"/>
      <c r="DX153" s="128"/>
      <c r="DY153" s="128"/>
      <c r="DZ153" s="530"/>
      <c r="EA153" s="530"/>
      <c r="EB153" s="530"/>
      <c r="EC153" s="530"/>
      <c r="ED153" s="530"/>
      <c r="EE153" s="530"/>
      <c r="EF153" s="530"/>
      <c r="EG153" s="530"/>
      <c r="EH153" s="530"/>
      <c r="EI153" s="530"/>
      <c r="EJ153" s="530"/>
      <c r="EK153" s="530"/>
      <c r="EL153" s="530"/>
      <c r="EM153" s="530"/>
      <c r="EN153" s="530"/>
      <c r="EO153" s="530"/>
      <c r="EP153" s="530"/>
      <c r="EQ153" s="530"/>
      <c r="ER153" s="530"/>
      <c r="ES153" s="530"/>
      <c r="ET153" s="530"/>
      <c r="EU153" s="530"/>
      <c r="EV153" s="530"/>
      <c r="EW153" s="530"/>
      <c r="EX153" s="530"/>
      <c r="EY153" s="530"/>
      <c r="EZ153" s="530"/>
      <c r="FA153" s="530"/>
      <c r="FB153" s="530"/>
      <c r="FC153" s="530"/>
      <c r="FD153" s="530"/>
      <c r="FE153" s="530"/>
      <c r="FF153" s="530"/>
      <c r="FG153" s="530"/>
      <c r="FH153" s="530"/>
      <c r="FI153" s="530"/>
      <c r="FJ153" s="530"/>
      <c r="FK153" s="530"/>
      <c r="FL153" s="530"/>
      <c r="FM153" s="530"/>
      <c r="FN153" s="530"/>
      <c r="FO153" s="530"/>
      <c r="FP153" s="530"/>
      <c r="FQ153" s="530"/>
      <c r="GL153" s="128"/>
      <c r="GM153" s="128"/>
      <c r="GN153" s="128"/>
      <c r="GO153" s="128"/>
      <c r="GP153" s="128"/>
      <c r="GQ153" s="128"/>
      <c r="GR153" s="128"/>
      <c r="GS153" s="128"/>
      <c r="GT153" s="128"/>
      <c r="GU153" s="128"/>
      <c r="GV153" s="128"/>
      <c r="GW153" s="128"/>
      <c r="GX153" s="128"/>
      <c r="GY153" s="128"/>
      <c r="GZ153" s="128"/>
      <c r="HA153" s="128"/>
      <c r="HB153" s="128"/>
      <c r="HC153" s="128"/>
      <c r="HD153" s="128"/>
      <c r="HE153" s="128"/>
      <c r="HF153" s="128"/>
      <c r="HG153" s="128"/>
      <c r="HH153" s="128"/>
      <c r="HI153" s="128"/>
      <c r="HJ153" s="128"/>
      <c r="HK153" s="128"/>
      <c r="HL153" s="128"/>
      <c r="HM153" s="128"/>
      <c r="HN153" s="128"/>
      <c r="HO153" s="128"/>
      <c r="HP153" s="128"/>
      <c r="HQ153" s="128"/>
      <c r="HR153" s="128"/>
      <c r="HS153" s="128"/>
      <c r="HT153" s="128"/>
      <c r="HU153" s="128"/>
      <c r="HV153" s="128"/>
      <c r="HW153" s="128"/>
      <c r="HX153" s="128"/>
      <c r="HY153" s="128"/>
      <c r="HZ153" s="128"/>
      <c r="IA153" s="128"/>
      <c r="IB153" s="128"/>
      <c r="IC153" s="128"/>
    </row>
    <row r="154" spans="41:237" x14ac:dyDescent="0.3">
      <c r="AO154" s="128">
        <v>49326</v>
      </c>
      <c r="AP154" s="128" t="s">
        <v>2497</v>
      </c>
      <c r="AQ154" s="128" t="s">
        <v>824</v>
      </c>
      <c r="AR154" s="375" t="s">
        <v>3594</v>
      </c>
      <c r="AS154" s="375">
        <v>46108</v>
      </c>
      <c r="AT154" s="375">
        <v>46449</v>
      </c>
      <c r="AU154" s="530">
        <v>95494</v>
      </c>
      <c r="AV154" s="128">
        <v>49559</v>
      </c>
      <c r="AW154" s="530">
        <v>1300000</v>
      </c>
      <c r="AX154" s="534">
        <f>_xlfn.XLOOKUP(Sell_unvalid[[#This Row],[DEAL_BUY_ID]],BS!BA:BA,BS!BE:BE,,0)</f>
        <v>97333</v>
      </c>
      <c r="AY154" s="534">
        <f>_xlfn.XLOOKUP(Sell_unvalid[[#This Row],[BOND_CODE]],FNRP!D:D,FNRP!I:I,_xlfn.XLOOKUP(Sell_unvalid[[#This Row],[BOND_CODE]],FNRP!AV:AV,FNRP!BA:BA,,0),0)</f>
        <v>92330</v>
      </c>
      <c r="AZ154" s="534">
        <f>_xlfn.XLOOKUP(Sell_unvalid[[#This Row],[DEAL_BUY_ID]],BS!BA:BA,BS!BQ:BQ,,0)*Sell_unvalid[[#This Row],[QUANTITY]]</f>
        <v>-3427259930.5657263</v>
      </c>
      <c r="BA154" s="534">
        <f>(Sell_unvalid[[#This Row],[Giá MtM]]-10^5)*Sell_unvalid[[#This Row],[QUANTITY]]-Sell_unvalid[[#This Row],[PTCK remain]]</f>
        <v>-6543740069.4342737</v>
      </c>
      <c r="BB154" s="534">
        <f>(Sell_unvalid[[#This Row],[PRICE]]-10^5)*Sell_unvalid[[#This Row],[QUANTITY]]-Sell_unvalid[[#This Row],[PTCK remain]]</f>
        <v>-2430540069.4342737</v>
      </c>
      <c r="BC154" s="534" t="str">
        <f>IF(AND(Sell_unvalid[[#This Row],[VALUE_DATE]]&lt;=RPT,Sell_unvalid[[#This Row],[TRANSACTION_STATUS]]="N"),"Check","Ok")</f>
        <v>Ok</v>
      </c>
      <c r="BD154" s="534"/>
      <c r="BE154" s="615"/>
      <c r="BF154" s="128"/>
      <c r="BG154" s="128"/>
      <c r="BH154" s="375"/>
      <c r="BJ154" s="375"/>
      <c r="BL154" s="530"/>
      <c r="BN154" s="534"/>
      <c r="BO154" s="534"/>
      <c r="BP154" s="534"/>
      <c r="BR154" s="727"/>
      <c r="BS154" s="128"/>
      <c r="BT154" s="848"/>
      <c r="BU154" s="849">
        <v>45945</v>
      </c>
      <c r="BV154" s="848">
        <v>47454</v>
      </c>
      <c r="BW154" s="848" t="s">
        <v>3901</v>
      </c>
      <c r="BX154" s="530">
        <v>2000000</v>
      </c>
      <c r="BY154" s="735">
        <f>_xlfn.XLOOKUP(Est_NIM[[#This Row],[DEAL_BUY_ID]],BS!AL:AL,BS!AU:AU,_xlfn.XLOOKUP(Est_NIM[[#This Row],[DEAL_BUY_ID]],BS!BA:BA,BS!BJ:BJ,,0),0)</f>
        <v>2.9382000000000001</v>
      </c>
      <c r="BZ154" s="534">
        <f>Est_NIM[[#This Row],[QUANT]]*Est_NIM[[#This Row],[YIELD]]</f>
        <v>5876400</v>
      </c>
      <c r="CA154" s="128"/>
      <c r="CB154" s="128"/>
      <c r="CE154" s="331"/>
      <c r="CF154" s="331"/>
      <c r="CG154" s="331"/>
      <c r="CH154">
        <v>3730</v>
      </c>
      <c r="CI154">
        <v>14282</v>
      </c>
      <c r="CN154" s="128"/>
      <c r="CO154" s="128"/>
      <c r="CP154" s="128"/>
      <c r="CQ154" s="128"/>
      <c r="CR154" s="128"/>
      <c r="CS154" s="128"/>
      <c r="CT154" s="128"/>
      <c r="CU154" s="128"/>
      <c r="CV154" s="128"/>
      <c r="CW154" s="128"/>
      <c r="CX154" s="128"/>
      <c r="CY154" s="128"/>
      <c r="CZ154" s="128"/>
      <c r="DA154" s="128"/>
      <c r="DB154" s="128"/>
      <c r="DC154" s="128"/>
      <c r="DD154" s="128"/>
      <c r="DE154" s="128"/>
      <c r="DF154" s="128"/>
      <c r="DG154" s="128"/>
      <c r="DH154" s="128"/>
      <c r="DI154" s="128"/>
      <c r="DJ154" s="128"/>
      <c r="DK154" s="128"/>
      <c r="DL154" s="128"/>
      <c r="DM154" s="128"/>
      <c r="DN154" s="128"/>
      <c r="DO154" s="128"/>
      <c r="DP154" s="128"/>
      <c r="DQ154" s="128"/>
      <c r="DR154" s="128"/>
      <c r="DS154" s="128"/>
      <c r="DT154" s="128"/>
      <c r="DU154" s="128"/>
      <c r="DV154" s="128"/>
      <c r="DW154" s="128"/>
      <c r="DX154" s="128"/>
      <c r="DY154" s="128"/>
      <c r="DZ154" s="530"/>
      <c r="EA154" s="530"/>
      <c r="EB154" s="530"/>
      <c r="EC154" s="530"/>
      <c r="ED154" s="530"/>
      <c r="EE154" s="530"/>
      <c r="EF154" s="530"/>
      <c r="EG154" s="530"/>
      <c r="EH154" s="530"/>
      <c r="EI154" s="530"/>
      <c r="EJ154" s="530"/>
      <c r="EK154" s="530"/>
      <c r="EL154" s="530"/>
      <c r="EM154" s="530"/>
      <c r="EN154" s="530"/>
      <c r="EO154" s="530"/>
      <c r="EP154" s="530"/>
      <c r="EQ154" s="530"/>
      <c r="ER154" s="530"/>
      <c r="ES154" s="530"/>
      <c r="ET154" s="530"/>
      <c r="EU154" s="530"/>
      <c r="EV154" s="530"/>
      <c r="EW154" s="530"/>
      <c r="EX154" s="530"/>
      <c r="EY154" s="530"/>
      <c r="EZ154" s="530"/>
      <c r="FA154" s="530"/>
      <c r="FB154" s="530"/>
      <c r="FC154" s="530"/>
      <c r="FD154" s="530"/>
      <c r="FE154" s="530"/>
      <c r="FF154" s="530"/>
      <c r="FG154" s="530"/>
      <c r="FH154" s="530"/>
      <c r="FI154" s="530"/>
      <c r="FJ154" s="530"/>
      <c r="FK154" s="530"/>
      <c r="FL154" s="530"/>
      <c r="FM154" s="530"/>
      <c r="FN154" s="530"/>
      <c r="FO154" s="530"/>
      <c r="FP154" s="530"/>
      <c r="FQ154" s="530"/>
      <c r="GL154" s="128"/>
      <c r="GM154" s="128"/>
      <c r="GN154" s="128"/>
      <c r="GO154" s="128"/>
      <c r="GP154" s="128"/>
      <c r="GQ154" s="128"/>
      <c r="GR154" s="128"/>
      <c r="GS154" s="128"/>
      <c r="GT154" s="128"/>
      <c r="GU154" s="128"/>
      <c r="GV154" s="128"/>
      <c r="GW154" s="128"/>
      <c r="GX154" s="128"/>
      <c r="GY154" s="128"/>
      <c r="GZ154" s="128"/>
      <c r="HA154" s="128"/>
      <c r="HB154" s="128"/>
      <c r="HC154" s="128"/>
      <c r="HD154" s="128"/>
      <c r="HE154" s="128"/>
      <c r="HF154" s="128"/>
      <c r="HG154" s="128"/>
      <c r="HH154" s="128"/>
      <c r="HI154" s="128"/>
      <c r="HJ154" s="128"/>
      <c r="HK154" s="128"/>
      <c r="HL154" s="128"/>
      <c r="HM154" s="128"/>
      <c r="HN154" s="128"/>
      <c r="HO154" s="128"/>
      <c r="HP154" s="128"/>
      <c r="HQ154" s="128"/>
      <c r="HR154" s="128"/>
      <c r="HS154" s="128"/>
      <c r="HT154" s="128"/>
      <c r="HU154" s="128"/>
      <c r="HV154" s="128"/>
      <c r="HW154" s="128"/>
      <c r="HX154" s="128"/>
      <c r="HY154" s="128"/>
      <c r="HZ154" s="128"/>
      <c r="IA154" s="128"/>
      <c r="IB154" s="128"/>
      <c r="IC154" s="128"/>
    </row>
    <row r="155" spans="41:237" x14ac:dyDescent="0.3">
      <c r="AO155" s="128">
        <v>49326</v>
      </c>
      <c r="AP155" s="128" t="s">
        <v>2497</v>
      </c>
      <c r="AQ155" s="128" t="s">
        <v>824</v>
      </c>
      <c r="AR155" s="128" t="s">
        <v>3594</v>
      </c>
      <c r="AS155" s="375">
        <v>46108</v>
      </c>
      <c r="AT155" s="375">
        <v>46449</v>
      </c>
      <c r="AU155" s="530">
        <v>95494</v>
      </c>
      <c r="AV155" s="128">
        <v>49835</v>
      </c>
      <c r="AW155" s="530">
        <v>700000</v>
      </c>
      <c r="AX155" s="534">
        <f>_xlfn.XLOOKUP(Sell_unvalid[[#This Row],[DEAL_BUY_ID]],BS!BA:BA,BS!BE:BE,,0)</f>
        <v>101596</v>
      </c>
      <c r="AY155" s="534">
        <f>_xlfn.XLOOKUP(Sell_unvalid[[#This Row],[BOND_CODE]],FNRP!D:D,FNRP!I:I,_xlfn.XLOOKUP(Sell_unvalid[[#This Row],[BOND_CODE]],FNRP!AV:AV,FNRP!BA:BA,,0),0)</f>
        <v>92330</v>
      </c>
      <c r="AZ155" s="534">
        <f>_xlfn.XLOOKUP(Sell_unvalid[[#This Row],[DEAL_BUY_ID]],BS!BA:BA,BS!BQ:BQ,,0)*Sell_unvalid[[#This Row],[QUANTITY]]</f>
        <v>1107875754.473557</v>
      </c>
      <c r="BA155" s="534">
        <f>(Sell_unvalid[[#This Row],[Giá MtM]]-10^5)*Sell_unvalid[[#This Row],[QUANTITY]]-Sell_unvalid[[#This Row],[PTCK remain]]</f>
        <v>-6476875754.4735565</v>
      </c>
      <c r="BB155" s="534">
        <f>(Sell_unvalid[[#This Row],[PRICE]]-10^5)*Sell_unvalid[[#This Row],[QUANTITY]]-Sell_unvalid[[#This Row],[PTCK remain]]</f>
        <v>-4262075754.473557</v>
      </c>
      <c r="BC155" s="534" t="str">
        <f>IF(AND(Sell_unvalid[[#This Row],[VALUE_DATE]]&lt;=RPT,Sell_unvalid[[#This Row],[TRANSACTION_STATUS]]="N"),"Check","Ok")</f>
        <v>Ok</v>
      </c>
      <c r="BD155" s="534"/>
      <c r="BE155" s="615"/>
      <c r="BF155" s="128"/>
      <c r="BG155" s="128"/>
      <c r="BH155" s="375"/>
      <c r="BJ155" s="375"/>
      <c r="BL155" s="530"/>
      <c r="BN155" s="534"/>
      <c r="BO155" s="534"/>
      <c r="BP155" s="534"/>
      <c r="BR155" s="727"/>
      <c r="BS155" s="128"/>
      <c r="BT155" s="848"/>
      <c r="BU155" s="849">
        <v>45926</v>
      </c>
      <c r="BV155" s="848">
        <v>47490</v>
      </c>
      <c r="BW155" s="848" t="s">
        <v>3901</v>
      </c>
      <c r="BX155" s="530">
        <v>2000000</v>
      </c>
      <c r="BY155" s="735">
        <f>_xlfn.XLOOKUP(Est_NIM[[#This Row],[DEAL_BUY_ID]],BS!AL:AL,BS!AU:AU,_xlfn.XLOOKUP(Est_NIM[[#This Row],[DEAL_BUY_ID]],BS!BA:BA,BS!BJ:BJ,,0),0)</f>
        <v>3.45</v>
      </c>
      <c r="BZ155" s="534">
        <f>Est_NIM[[#This Row],[QUANT]]*Est_NIM[[#This Row],[YIELD]]</f>
        <v>6900000</v>
      </c>
      <c r="CA155" s="128"/>
      <c r="CB155" s="128"/>
      <c r="CE155" s="331"/>
      <c r="CF155" s="331"/>
      <c r="CG155" s="331"/>
      <c r="CH155">
        <v>3730</v>
      </c>
      <c r="CI155">
        <v>14282</v>
      </c>
      <c r="CN155" s="128"/>
      <c r="CO155" s="128"/>
      <c r="CP155" s="128"/>
      <c r="CQ155" s="128"/>
      <c r="CR155" s="128"/>
      <c r="CS155" s="128"/>
      <c r="CT155" s="128"/>
      <c r="CU155" s="128"/>
      <c r="CV155" s="128"/>
      <c r="CW155" s="128"/>
      <c r="CX155" s="128"/>
      <c r="CY155" s="128"/>
      <c r="CZ155" s="128"/>
      <c r="DA155" s="128"/>
      <c r="DB155" s="128"/>
      <c r="DC155" s="128"/>
      <c r="DD155" s="128"/>
      <c r="DE155" s="128"/>
      <c r="DF155" s="128"/>
      <c r="DG155" s="128"/>
      <c r="DH155" s="128"/>
      <c r="DI155" s="128"/>
      <c r="DJ155" s="128"/>
      <c r="DK155" s="128"/>
      <c r="DL155" s="128"/>
      <c r="DM155" s="128"/>
      <c r="DN155" s="128"/>
      <c r="DO155" s="128"/>
      <c r="DP155" s="128"/>
      <c r="DQ155" s="128"/>
      <c r="DR155" s="128"/>
      <c r="DS155" s="128"/>
      <c r="DT155" s="128"/>
      <c r="DU155" s="128"/>
      <c r="DV155" s="128"/>
      <c r="DW155" s="128"/>
      <c r="DX155" s="128"/>
      <c r="DY155" s="128"/>
      <c r="DZ155" s="530"/>
      <c r="EA155" s="530"/>
      <c r="EB155" s="530"/>
      <c r="EC155" s="530"/>
      <c r="ED155" s="530"/>
      <c r="EE155" s="530"/>
      <c r="EF155" s="530"/>
      <c r="EG155" s="530"/>
      <c r="EH155" s="530"/>
      <c r="EI155" s="530"/>
      <c r="EJ155" s="530"/>
      <c r="EK155" s="530"/>
      <c r="EL155" s="530"/>
      <c r="EM155" s="530"/>
      <c r="EN155" s="530"/>
      <c r="EO155" s="530"/>
      <c r="EP155" s="530"/>
      <c r="EQ155" s="530"/>
      <c r="ER155" s="530"/>
      <c r="ES155" s="530"/>
      <c r="ET155" s="530"/>
      <c r="EU155" s="530"/>
      <c r="EV155" s="530"/>
      <c r="EW155" s="530"/>
      <c r="EX155" s="530"/>
      <c r="EY155" s="530"/>
      <c r="EZ155" s="530"/>
      <c r="FA155" s="530"/>
      <c r="FB155" s="530"/>
      <c r="FC155" s="530"/>
      <c r="FD155" s="530"/>
      <c r="FE155" s="530"/>
      <c r="FF155" s="530"/>
      <c r="FG155" s="530"/>
      <c r="FH155" s="530"/>
      <c r="FI155" s="530"/>
      <c r="FJ155" s="530"/>
      <c r="FK155" s="530"/>
      <c r="FL155" s="530"/>
      <c r="FM155" s="530"/>
      <c r="FN155" s="530"/>
      <c r="FO155" s="530"/>
      <c r="FP155" s="530"/>
      <c r="FQ155" s="530"/>
      <c r="GL155" s="128"/>
      <c r="GM155" s="128"/>
      <c r="GN155" s="128"/>
      <c r="GO155" s="128"/>
      <c r="GP155" s="128"/>
      <c r="GQ155" s="128"/>
      <c r="GR155" s="128"/>
      <c r="GS155" s="128"/>
      <c r="GT155" s="128"/>
      <c r="GU155" s="128"/>
      <c r="GV155" s="128"/>
      <c r="GW155" s="128"/>
      <c r="GX155" s="128"/>
      <c r="GY155" s="128"/>
      <c r="GZ155" s="128"/>
      <c r="HA155" s="128"/>
      <c r="HB155" s="128"/>
      <c r="HC155" s="128"/>
      <c r="HD155" s="128"/>
      <c r="HE155" s="128"/>
      <c r="HF155" s="128"/>
      <c r="HG155" s="128"/>
      <c r="HH155" s="128"/>
      <c r="HI155" s="128"/>
      <c r="HJ155" s="128"/>
      <c r="HK155" s="128"/>
      <c r="HL155" s="128"/>
      <c r="HM155" s="128"/>
      <c r="HN155" s="128"/>
      <c r="HO155" s="128"/>
      <c r="HP155" s="128"/>
      <c r="HQ155" s="128"/>
      <c r="HR155" s="128"/>
      <c r="HS155" s="128"/>
      <c r="HT155" s="128"/>
      <c r="HU155" s="128"/>
      <c r="HV155" s="128"/>
      <c r="HW155" s="128"/>
      <c r="HX155" s="128"/>
      <c r="HY155" s="128"/>
      <c r="HZ155" s="128"/>
      <c r="IA155" s="128"/>
      <c r="IB155" s="128"/>
      <c r="IC155" s="128"/>
    </row>
    <row r="156" spans="41:237" x14ac:dyDescent="0.3">
      <c r="AO156" s="128">
        <v>49326</v>
      </c>
      <c r="AP156" s="128" t="s">
        <v>2497</v>
      </c>
      <c r="AQ156" s="128" t="s">
        <v>824</v>
      </c>
      <c r="AR156" s="128" t="s">
        <v>3594</v>
      </c>
      <c r="AS156" s="375">
        <v>46108</v>
      </c>
      <c r="AT156" s="375">
        <v>46449</v>
      </c>
      <c r="AU156" s="530">
        <v>95494</v>
      </c>
      <c r="AV156" s="128">
        <v>49852</v>
      </c>
      <c r="AW156" s="530">
        <v>1000000</v>
      </c>
      <c r="AX156" s="534">
        <f>_xlfn.XLOOKUP(Sell_unvalid[[#This Row],[DEAL_BUY_ID]],BS!BA:BA,BS!BE:BE,,0)</f>
        <v>98495</v>
      </c>
      <c r="AY156" s="534">
        <f>_xlfn.XLOOKUP(Sell_unvalid[[#This Row],[BOND_CODE]],FNRP!D:D,FNRP!I:I,_xlfn.XLOOKUP(Sell_unvalid[[#This Row],[BOND_CODE]],FNRP!AV:AV,FNRP!BA:BA,,0),0)</f>
        <v>92330</v>
      </c>
      <c r="AZ156" s="534">
        <f>_xlfn.XLOOKUP(Sell_unvalid[[#This Row],[DEAL_BUY_ID]],BS!BA:BA,BS!BQ:BQ,,0)*Sell_unvalid[[#This Row],[QUANTITY]]</f>
        <v>-1493953102.6662276</v>
      </c>
      <c r="BA156" s="534">
        <f>(Sell_unvalid[[#This Row],[Giá MtM]]-10^5)*Sell_unvalid[[#This Row],[QUANTITY]]-Sell_unvalid[[#This Row],[PTCK remain]]</f>
        <v>-6176046897.3337727</v>
      </c>
      <c r="BB156" s="534">
        <f>(Sell_unvalid[[#This Row],[PRICE]]-10^5)*Sell_unvalid[[#This Row],[QUANTITY]]-Sell_unvalid[[#This Row],[PTCK remain]]</f>
        <v>-3012046897.3337727</v>
      </c>
      <c r="BC156" s="534" t="str">
        <f>IF(AND(Sell_unvalid[[#This Row],[VALUE_DATE]]&lt;=RPT,Sell_unvalid[[#This Row],[TRANSACTION_STATUS]]="N"),"Check","Ok")</f>
        <v>Ok</v>
      </c>
      <c r="BD156" s="534"/>
      <c r="BE156" s="615"/>
      <c r="BF156" s="128"/>
      <c r="BG156" s="128"/>
      <c r="BH156" s="375"/>
      <c r="BJ156" s="375"/>
      <c r="BL156" s="530"/>
      <c r="BN156" s="534"/>
      <c r="BO156" s="534"/>
      <c r="BP156" s="534"/>
      <c r="BR156" s="727"/>
      <c r="BS156" s="128"/>
      <c r="BT156" s="848"/>
      <c r="BU156" s="849">
        <v>45932</v>
      </c>
      <c r="BV156" s="848">
        <v>47570</v>
      </c>
      <c r="BW156" s="848" t="s">
        <v>3901</v>
      </c>
      <c r="BX156" s="530">
        <v>2000000</v>
      </c>
      <c r="BY156" s="735">
        <f>_xlfn.XLOOKUP(Est_NIM[[#This Row],[DEAL_BUY_ID]],BS!AL:AL,BS!AU:AU,_xlfn.XLOOKUP(Est_NIM[[#This Row],[DEAL_BUY_ID]],BS!BA:BA,BS!BJ:BJ,,0),0)</f>
        <v>3.6401007239999998</v>
      </c>
      <c r="BZ156" s="534">
        <f>Est_NIM[[#This Row],[QUANT]]*Est_NIM[[#This Row],[YIELD]]</f>
        <v>7280201.4479999999</v>
      </c>
      <c r="CA156" s="128"/>
      <c r="CB156" s="128"/>
      <c r="CE156" s="331"/>
      <c r="CF156" s="331"/>
      <c r="CG156" s="331"/>
      <c r="CH156">
        <v>3730</v>
      </c>
      <c r="CI156">
        <v>14282</v>
      </c>
      <c r="CN156" s="128"/>
      <c r="CO156" s="128"/>
      <c r="CP156" s="128"/>
      <c r="CQ156" s="128"/>
      <c r="CR156" s="128"/>
      <c r="CS156" s="128"/>
      <c r="CT156" s="128"/>
      <c r="CU156" s="128"/>
      <c r="CV156" s="128"/>
      <c r="CW156" s="128"/>
      <c r="CX156" s="128"/>
      <c r="CY156" s="128"/>
      <c r="CZ156" s="128"/>
      <c r="DA156" s="128"/>
      <c r="DB156" s="128"/>
      <c r="DC156" s="128"/>
      <c r="DD156" s="128"/>
      <c r="DE156" s="128"/>
      <c r="DF156" s="128"/>
      <c r="DG156" s="128"/>
      <c r="DH156" s="128"/>
      <c r="DI156" s="128"/>
      <c r="DJ156" s="128"/>
      <c r="DK156" s="128"/>
      <c r="DL156" s="128"/>
      <c r="DM156" s="128"/>
      <c r="DN156" s="128"/>
      <c r="DO156" s="128"/>
      <c r="DP156" s="128"/>
      <c r="DQ156" s="128"/>
      <c r="DR156" s="128"/>
      <c r="DS156" s="128"/>
      <c r="DT156" s="128"/>
      <c r="DU156" s="128"/>
      <c r="DV156" s="128"/>
      <c r="DW156" s="128"/>
      <c r="DX156" s="128"/>
      <c r="DY156" s="128"/>
      <c r="DZ156" s="530"/>
      <c r="EA156" s="530"/>
      <c r="EB156" s="530"/>
      <c r="EC156" s="530"/>
      <c r="ED156" s="530"/>
      <c r="EE156" s="530"/>
      <c r="EF156" s="530"/>
      <c r="EG156" s="530"/>
      <c r="EH156" s="530"/>
      <c r="EI156" s="530"/>
      <c r="EJ156" s="530"/>
      <c r="EK156" s="530"/>
      <c r="EL156" s="530"/>
      <c r="EM156" s="530"/>
      <c r="EN156" s="530"/>
      <c r="EO156" s="530"/>
      <c r="EP156" s="530"/>
      <c r="EQ156" s="530"/>
      <c r="ER156" s="530"/>
      <c r="ES156" s="530"/>
      <c r="ET156" s="530"/>
      <c r="EU156" s="530"/>
      <c r="EV156" s="530"/>
      <c r="EW156" s="530"/>
      <c r="EX156" s="530"/>
      <c r="EY156" s="530"/>
      <c r="EZ156" s="530"/>
      <c r="FA156" s="530"/>
      <c r="FB156" s="530"/>
      <c r="FC156" s="530"/>
      <c r="FD156" s="530"/>
      <c r="FE156" s="530"/>
      <c r="FF156" s="530"/>
      <c r="FG156" s="530"/>
      <c r="FH156" s="530"/>
      <c r="FI156" s="530"/>
      <c r="FJ156" s="530"/>
      <c r="FK156" s="530"/>
      <c r="FL156" s="530"/>
      <c r="FM156" s="530"/>
      <c r="FN156" s="530"/>
      <c r="FO156" s="530"/>
      <c r="FP156" s="530"/>
      <c r="FQ156" s="530"/>
      <c r="GL156" s="128"/>
      <c r="GM156" s="128"/>
      <c r="GN156" s="128"/>
      <c r="GO156" s="128"/>
      <c r="GP156" s="128"/>
      <c r="GQ156" s="128"/>
      <c r="GR156" s="128"/>
      <c r="GS156" s="128"/>
      <c r="GT156" s="128"/>
      <c r="GU156" s="128"/>
      <c r="GV156" s="128"/>
      <c r="GW156" s="128"/>
      <c r="GX156" s="128"/>
      <c r="GY156" s="128"/>
      <c r="GZ156" s="128"/>
      <c r="HA156" s="128"/>
      <c r="HB156" s="128"/>
      <c r="HC156" s="128"/>
      <c r="HD156" s="128"/>
      <c r="HE156" s="128"/>
      <c r="HF156" s="128"/>
      <c r="HG156" s="128"/>
      <c r="HH156" s="128"/>
      <c r="HI156" s="128"/>
      <c r="HJ156" s="128"/>
      <c r="HK156" s="128"/>
      <c r="HL156" s="128"/>
      <c r="HM156" s="128"/>
      <c r="HN156" s="128"/>
      <c r="HO156" s="128"/>
      <c r="HP156" s="128"/>
      <c r="HQ156" s="128"/>
      <c r="HR156" s="128"/>
      <c r="HS156" s="128"/>
      <c r="HT156" s="128"/>
      <c r="HU156" s="128"/>
      <c r="HV156" s="128"/>
      <c r="HW156" s="128"/>
      <c r="HX156" s="128"/>
      <c r="HY156" s="128"/>
      <c r="HZ156" s="128"/>
      <c r="IA156" s="128"/>
      <c r="IB156" s="128"/>
      <c r="IC156" s="128"/>
    </row>
    <row r="157" spans="41:237" x14ac:dyDescent="0.3">
      <c r="AO157" s="128">
        <v>49326</v>
      </c>
      <c r="AP157" s="128" t="s">
        <v>2497</v>
      </c>
      <c r="AQ157" s="128" t="s">
        <v>824</v>
      </c>
      <c r="AR157" s="128" t="s">
        <v>3594</v>
      </c>
      <c r="AS157" s="375">
        <v>46108</v>
      </c>
      <c r="AT157" s="375">
        <v>46449</v>
      </c>
      <c r="AU157" s="530">
        <v>95494</v>
      </c>
      <c r="AV157" s="128">
        <v>50169</v>
      </c>
      <c r="AW157" s="530">
        <v>800000</v>
      </c>
      <c r="AX157" s="534">
        <f>_xlfn.XLOOKUP(Sell_unvalid[[#This Row],[DEAL_BUY_ID]],BS!BA:BA,BS!BE:BE,,0)</f>
        <v>106769</v>
      </c>
      <c r="AY157" s="534">
        <f>_xlfn.XLOOKUP(Sell_unvalid[[#This Row],[BOND_CODE]],FNRP!D:D,FNRP!I:I,_xlfn.XLOOKUP(Sell_unvalid[[#This Row],[BOND_CODE]],FNRP!AV:AV,FNRP!BA:BA,,0),0)</f>
        <v>92330</v>
      </c>
      <c r="AZ157" s="534">
        <f>_xlfn.XLOOKUP(Sell_unvalid[[#This Row],[DEAL_BUY_ID]],BS!BA:BA,BS!BQ:BQ,,0)*Sell_unvalid[[#This Row],[QUANTITY]]</f>
        <v>5397027935.3103037</v>
      </c>
      <c r="BA157" s="534">
        <f>(Sell_unvalid[[#This Row],[Giá MtM]]-10^5)*Sell_unvalid[[#This Row],[QUANTITY]]-Sell_unvalid[[#This Row],[PTCK remain]]</f>
        <v>-11533027935.310303</v>
      </c>
      <c r="BB157" s="534">
        <f>(Sell_unvalid[[#This Row],[PRICE]]-10^5)*Sell_unvalid[[#This Row],[QUANTITY]]-Sell_unvalid[[#This Row],[PTCK remain]]</f>
        <v>-9001827935.3103027</v>
      </c>
      <c r="BC157" s="534" t="str">
        <f>IF(AND(Sell_unvalid[[#This Row],[VALUE_DATE]]&lt;=RPT,Sell_unvalid[[#This Row],[TRANSACTION_STATUS]]="N"),"Check","Ok")</f>
        <v>Ok</v>
      </c>
      <c r="BD157" s="534"/>
      <c r="BE157" s="615"/>
      <c r="BF157" s="128"/>
      <c r="BG157" s="128"/>
      <c r="BH157" s="375"/>
      <c r="BJ157" s="375"/>
      <c r="BL157" s="530"/>
      <c r="BN157" s="534"/>
      <c r="BO157" s="534"/>
      <c r="BP157" s="534"/>
      <c r="BR157" s="727"/>
      <c r="BS157" s="128"/>
      <c r="BT157" s="848"/>
      <c r="BU157" s="849">
        <v>45952</v>
      </c>
      <c r="BV157" s="848">
        <v>47714</v>
      </c>
      <c r="BW157" s="848" t="s">
        <v>3901</v>
      </c>
      <c r="BX157" s="530">
        <v>500000</v>
      </c>
      <c r="BY157" s="735">
        <f>_xlfn.XLOOKUP(Est_NIM[[#This Row],[DEAL_BUY_ID]],BS!AL:AL,BS!AU:AU,_xlfn.XLOOKUP(Est_NIM[[#This Row],[DEAL_BUY_ID]],BS!BA:BA,BS!BJ:BJ,,0),0)</f>
        <v>2.94</v>
      </c>
      <c r="BZ157" s="534">
        <f>Est_NIM[[#This Row],[QUANT]]*Est_NIM[[#This Row],[YIELD]]</f>
        <v>1470000</v>
      </c>
      <c r="CA157" s="128"/>
      <c r="CB157" s="128"/>
      <c r="CE157" s="331"/>
      <c r="CF157" s="331"/>
      <c r="CG157" s="331"/>
      <c r="CH157">
        <v>3730</v>
      </c>
      <c r="CI157">
        <v>14282</v>
      </c>
      <c r="CN157" s="128"/>
      <c r="CO157" s="128"/>
      <c r="CP157" s="128"/>
      <c r="CQ157" s="128"/>
      <c r="CR157" s="128"/>
      <c r="CS157" s="128"/>
      <c r="CT157" s="128"/>
      <c r="CU157" s="128"/>
      <c r="CV157" s="128"/>
      <c r="CW157" s="128"/>
      <c r="CX157" s="128"/>
      <c r="CY157" s="128"/>
      <c r="CZ157" s="128"/>
      <c r="DA157" s="128"/>
      <c r="DB157" s="128"/>
      <c r="DC157" s="128"/>
      <c r="DD157" s="128"/>
      <c r="DE157" s="128"/>
      <c r="DF157" s="128"/>
      <c r="DG157" s="128"/>
      <c r="DH157" s="128"/>
      <c r="DI157" s="128"/>
      <c r="DJ157" s="128"/>
      <c r="DK157" s="128"/>
      <c r="DL157" s="128"/>
      <c r="DM157" s="128"/>
      <c r="DN157" s="128"/>
      <c r="DO157" s="128"/>
      <c r="DP157" s="128"/>
      <c r="DQ157" s="128"/>
      <c r="DR157" s="128"/>
      <c r="DS157" s="128"/>
      <c r="DT157" s="128"/>
      <c r="DU157" s="128"/>
      <c r="DV157" s="128"/>
      <c r="DW157" s="128"/>
      <c r="DX157" s="128"/>
      <c r="DY157" s="128"/>
      <c r="DZ157" s="530"/>
      <c r="EA157" s="530"/>
      <c r="EB157" s="530"/>
      <c r="EC157" s="530"/>
      <c r="ED157" s="530"/>
      <c r="EE157" s="530"/>
      <c r="EF157" s="530"/>
      <c r="EG157" s="530"/>
      <c r="EH157" s="530"/>
      <c r="EI157" s="530"/>
      <c r="EJ157" s="530"/>
      <c r="EK157" s="530"/>
      <c r="EL157" s="530"/>
      <c r="EM157" s="530"/>
      <c r="EN157" s="530"/>
      <c r="EO157" s="530"/>
      <c r="EP157" s="530"/>
      <c r="EQ157" s="530"/>
      <c r="ER157" s="530"/>
      <c r="ES157" s="530"/>
      <c r="ET157" s="530"/>
      <c r="EU157" s="530"/>
      <c r="EV157" s="530"/>
      <c r="EW157" s="530"/>
      <c r="EX157" s="530"/>
      <c r="EY157" s="530"/>
      <c r="EZ157" s="530"/>
      <c r="FA157" s="530"/>
      <c r="FB157" s="530"/>
      <c r="FC157" s="530"/>
      <c r="FD157" s="530"/>
      <c r="FE157" s="530"/>
      <c r="FF157" s="530"/>
      <c r="FG157" s="530"/>
      <c r="FH157" s="530"/>
      <c r="FI157" s="530"/>
      <c r="FJ157" s="530"/>
      <c r="FK157" s="530"/>
      <c r="FL157" s="530"/>
      <c r="FM157" s="530"/>
      <c r="FN157" s="530"/>
      <c r="FO157" s="530"/>
      <c r="FP157" s="530"/>
      <c r="FQ157" s="530"/>
      <c r="GL157" s="128"/>
      <c r="GM157" s="128"/>
      <c r="GN157" s="128"/>
      <c r="GO157" s="128"/>
      <c r="GP157" s="128"/>
      <c r="GQ157" s="128"/>
      <c r="GR157" s="128"/>
      <c r="GS157" s="128"/>
      <c r="GT157" s="128"/>
      <c r="GU157" s="128"/>
      <c r="GV157" s="128"/>
      <c r="GW157" s="128"/>
      <c r="GX157" s="128"/>
      <c r="GY157" s="128"/>
      <c r="GZ157" s="128"/>
      <c r="HA157" s="128"/>
      <c r="HB157" s="128"/>
      <c r="HC157" s="128"/>
      <c r="HD157" s="128"/>
      <c r="HE157" s="128"/>
      <c r="HF157" s="128"/>
      <c r="HG157" s="128"/>
      <c r="HH157" s="128"/>
      <c r="HI157" s="128"/>
      <c r="HJ157" s="128"/>
      <c r="HK157" s="128"/>
      <c r="HL157" s="128"/>
      <c r="HM157" s="128"/>
      <c r="HN157" s="128"/>
      <c r="HO157" s="128"/>
      <c r="HP157" s="128"/>
      <c r="HQ157" s="128"/>
      <c r="HR157" s="128"/>
      <c r="HS157" s="128"/>
      <c r="HT157" s="128"/>
      <c r="HU157" s="128"/>
      <c r="HV157" s="128"/>
      <c r="HW157" s="128"/>
      <c r="HX157" s="128"/>
      <c r="HY157" s="128"/>
      <c r="HZ157" s="128"/>
      <c r="IA157" s="128"/>
      <c r="IB157" s="128"/>
      <c r="IC157" s="128"/>
    </row>
    <row r="158" spans="41:237" x14ac:dyDescent="0.3">
      <c r="AO158" s="128">
        <v>49326</v>
      </c>
      <c r="AP158" s="128" t="s">
        <v>2497</v>
      </c>
      <c r="AQ158" s="128" t="s">
        <v>824</v>
      </c>
      <c r="AR158" s="128" t="s">
        <v>3594</v>
      </c>
      <c r="AS158" s="375">
        <v>46108</v>
      </c>
      <c r="AT158" s="375">
        <v>46449</v>
      </c>
      <c r="AU158" s="530">
        <v>95494</v>
      </c>
      <c r="AV158" s="128">
        <v>50187</v>
      </c>
      <c r="AW158" s="530">
        <v>480000</v>
      </c>
      <c r="AX158" s="534">
        <f>_xlfn.XLOOKUP(Sell_unvalid[[#This Row],[DEAL_BUY_ID]],BS!BA:BA,BS!BE:BE,,0)</f>
        <v>104870</v>
      </c>
      <c r="AY158" s="534">
        <f>_xlfn.XLOOKUP(Sell_unvalid[[#This Row],[BOND_CODE]],FNRP!D:D,FNRP!I:I,_xlfn.XLOOKUP(Sell_unvalid[[#This Row],[BOND_CODE]],FNRP!AV:AV,FNRP!BA:BA,,0),0)</f>
        <v>92330</v>
      </c>
      <c r="AZ158" s="534">
        <f>_xlfn.XLOOKUP(Sell_unvalid[[#This Row],[DEAL_BUY_ID]],BS!BA:BA,BS!BQ:BQ,,0)*Sell_unvalid[[#This Row],[QUANTITY]]</f>
        <v>2330723335.2599468</v>
      </c>
      <c r="BA158" s="534">
        <f>(Sell_unvalid[[#This Row],[Giá MtM]]-10^5)*Sell_unvalid[[#This Row],[QUANTITY]]-Sell_unvalid[[#This Row],[PTCK remain]]</f>
        <v>-6012323335.2599468</v>
      </c>
      <c r="BB158" s="534">
        <f>(Sell_unvalid[[#This Row],[PRICE]]-10^5)*Sell_unvalid[[#This Row],[QUANTITY]]-Sell_unvalid[[#This Row],[PTCK remain]]</f>
        <v>-4493603335.2599468</v>
      </c>
      <c r="BC158" s="534" t="str">
        <f>IF(AND(Sell_unvalid[[#This Row],[VALUE_DATE]]&lt;=RPT,Sell_unvalid[[#This Row],[TRANSACTION_STATUS]]="N"),"Check","Ok")</f>
        <v>Ok</v>
      </c>
      <c r="BD158" s="534"/>
      <c r="BE158" s="615"/>
      <c r="BF158" s="128"/>
      <c r="BG158" s="128"/>
      <c r="BH158" s="375"/>
      <c r="BJ158" s="375"/>
      <c r="BL158" s="530"/>
      <c r="BN158" s="534"/>
      <c r="BO158" s="534"/>
      <c r="BP158" s="534"/>
      <c r="BR158" s="727"/>
      <c r="BS158" s="128"/>
      <c r="BT158" s="848"/>
      <c r="BU158" s="849">
        <v>45952</v>
      </c>
      <c r="BV158" s="848">
        <v>47716</v>
      </c>
      <c r="BW158" s="848" t="s">
        <v>3901</v>
      </c>
      <c r="BX158" s="530">
        <v>1000000</v>
      </c>
      <c r="BY158" s="735">
        <f>_xlfn.XLOOKUP(Est_NIM[[#This Row],[DEAL_BUY_ID]],BS!AL:AL,BS!AU:AU,_xlfn.XLOOKUP(Est_NIM[[#This Row],[DEAL_BUY_ID]],BS!BA:BA,BS!BJ:BJ,,0),0)</f>
        <v>3.25</v>
      </c>
      <c r="BZ158" s="534">
        <f>Est_NIM[[#This Row],[QUANT]]*Est_NIM[[#This Row],[YIELD]]</f>
        <v>3250000</v>
      </c>
      <c r="CA158" s="128"/>
      <c r="CB158" s="128"/>
      <c r="CE158" s="331"/>
      <c r="CF158" s="331"/>
      <c r="CG158" s="331"/>
      <c r="CH158">
        <v>3730</v>
      </c>
      <c r="CI158">
        <v>14282</v>
      </c>
      <c r="CN158" s="128"/>
      <c r="CO158" s="128"/>
      <c r="CP158" s="128"/>
      <c r="CQ158" s="128"/>
      <c r="CR158" s="128"/>
      <c r="CS158" s="128"/>
      <c r="CT158" s="128"/>
      <c r="CU158" s="128"/>
      <c r="CV158" s="128"/>
      <c r="CW158" s="128"/>
      <c r="CX158" s="128"/>
      <c r="CY158" s="128"/>
      <c r="CZ158" s="128"/>
      <c r="DA158" s="128"/>
      <c r="DB158" s="128"/>
      <c r="DC158" s="128"/>
      <c r="DD158" s="128"/>
      <c r="DE158" s="128"/>
      <c r="DF158" s="128"/>
      <c r="DG158" s="128"/>
      <c r="DH158" s="128"/>
      <c r="DI158" s="128"/>
      <c r="DJ158" s="128"/>
      <c r="DK158" s="128"/>
      <c r="DL158" s="128"/>
      <c r="DM158" s="128"/>
      <c r="DN158" s="128"/>
      <c r="DO158" s="128"/>
      <c r="DP158" s="128"/>
      <c r="DQ158" s="128"/>
      <c r="DR158" s="128"/>
      <c r="DS158" s="128"/>
      <c r="DT158" s="128"/>
      <c r="DU158" s="128"/>
      <c r="DV158" s="128"/>
      <c r="DW158" s="128"/>
      <c r="DX158" s="128"/>
      <c r="DY158" s="128"/>
      <c r="DZ158" s="530"/>
      <c r="EA158" s="530"/>
      <c r="EB158" s="530"/>
      <c r="EC158" s="530"/>
      <c r="ED158" s="530"/>
      <c r="EE158" s="530"/>
      <c r="EF158" s="530"/>
      <c r="EG158" s="530"/>
      <c r="EH158" s="530"/>
      <c r="EI158" s="530"/>
      <c r="EJ158" s="530"/>
      <c r="EK158" s="530"/>
      <c r="EL158" s="530"/>
      <c r="EM158" s="530"/>
      <c r="EN158" s="530"/>
      <c r="EO158" s="530"/>
      <c r="EP158" s="530"/>
      <c r="EQ158" s="530"/>
      <c r="ER158" s="530"/>
      <c r="ES158" s="530"/>
      <c r="ET158" s="530"/>
      <c r="EU158" s="530"/>
      <c r="EV158" s="530"/>
      <c r="EW158" s="530"/>
      <c r="EX158" s="530"/>
      <c r="EY158" s="530"/>
      <c r="EZ158" s="530"/>
      <c r="FA158" s="530"/>
      <c r="FB158" s="530"/>
      <c r="FC158" s="530"/>
      <c r="FD158" s="530"/>
      <c r="FE158" s="530"/>
      <c r="FF158" s="530"/>
      <c r="FG158" s="530"/>
      <c r="FH158" s="530"/>
      <c r="FI158" s="530"/>
      <c r="FJ158" s="530"/>
      <c r="FK158" s="530"/>
      <c r="FL158" s="530"/>
      <c r="FM158" s="530"/>
      <c r="FN158" s="530"/>
      <c r="FO158" s="530"/>
      <c r="FP158" s="530"/>
      <c r="FQ158" s="530"/>
      <c r="GL158" s="128"/>
      <c r="GM158" s="128"/>
      <c r="GN158" s="128"/>
      <c r="GO158" s="128"/>
      <c r="GP158" s="128"/>
      <c r="GQ158" s="128"/>
      <c r="GR158" s="128"/>
      <c r="GS158" s="128"/>
      <c r="GT158" s="128"/>
      <c r="GU158" s="128"/>
      <c r="GV158" s="128"/>
      <c r="GW158" s="128"/>
      <c r="GX158" s="128"/>
      <c r="GY158" s="128"/>
      <c r="GZ158" s="128"/>
      <c r="HA158" s="128"/>
      <c r="HB158" s="128"/>
      <c r="HC158" s="128"/>
      <c r="HD158" s="128"/>
      <c r="HE158" s="128"/>
      <c r="HF158" s="128"/>
      <c r="HG158" s="128"/>
      <c r="HH158" s="128"/>
      <c r="HI158" s="128"/>
      <c r="HJ158" s="128"/>
      <c r="HK158" s="128"/>
      <c r="HL158" s="128"/>
      <c r="HM158" s="128"/>
      <c r="HN158" s="128"/>
      <c r="HO158" s="128"/>
      <c r="HP158" s="128"/>
      <c r="HQ158" s="128"/>
      <c r="HR158" s="128"/>
      <c r="HS158" s="128"/>
      <c r="HT158" s="128"/>
      <c r="HU158" s="128"/>
      <c r="HV158" s="128"/>
      <c r="HW158" s="128"/>
      <c r="HX158" s="128"/>
      <c r="HY158" s="128"/>
      <c r="HZ158" s="128"/>
      <c r="IA158" s="128"/>
      <c r="IB158" s="128"/>
      <c r="IC158" s="128"/>
    </row>
    <row r="159" spans="41:237" x14ac:dyDescent="0.3">
      <c r="AO159" s="128">
        <v>49326</v>
      </c>
      <c r="AP159" s="128" t="s">
        <v>2497</v>
      </c>
      <c r="AQ159" s="128" t="s">
        <v>824</v>
      </c>
      <c r="AR159" s="375" t="s">
        <v>3594</v>
      </c>
      <c r="AS159" s="375">
        <v>46108</v>
      </c>
      <c r="AT159" s="375">
        <v>46449</v>
      </c>
      <c r="AU159" s="530">
        <v>95494</v>
      </c>
      <c r="AV159" s="532">
        <v>50207</v>
      </c>
      <c r="AW159" s="530">
        <v>320000</v>
      </c>
      <c r="AX159" s="534">
        <f>_xlfn.XLOOKUP(Sell_unvalid[[#This Row],[DEAL_BUY_ID]],BS!BA:BA,BS!BE:BE,,0)</f>
        <v>103183</v>
      </c>
      <c r="AY159" s="534">
        <f>_xlfn.XLOOKUP(Sell_unvalid[[#This Row],[BOND_CODE]],FNRP!D:D,FNRP!I:I,_xlfn.XLOOKUP(Sell_unvalid[[#This Row],[BOND_CODE]],FNRP!AV:AV,FNRP!BA:BA,,0),0)</f>
        <v>92330</v>
      </c>
      <c r="AZ159" s="534">
        <f>_xlfn.XLOOKUP(Sell_unvalid[[#This Row],[DEAL_BUY_ID]],BS!BA:BA,BS!BQ:BQ,,0)*Sell_unvalid[[#This Row],[QUANTITY]]</f>
        <v>1015788933.3070791</v>
      </c>
      <c r="BA159" s="534">
        <f>(Sell_unvalid[[#This Row],[Giá MtM]]-10^5)*Sell_unvalid[[#This Row],[QUANTITY]]-Sell_unvalid[[#This Row],[PTCK remain]]</f>
        <v>-3470188933.3070793</v>
      </c>
      <c r="BB159" s="534">
        <f>(Sell_unvalid[[#This Row],[PRICE]]-10^5)*Sell_unvalid[[#This Row],[QUANTITY]]-Sell_unvalid[[#This Row],[PTCK remain]]</f>
        <v>-2457708933.3070793</v>
      </c>
      <c r="BC159" s="534" t="str">
        <f>IF(AND(Sell_unvalid[[#This Row],[VALUE_DATE]]&lt;=RPT,Sell_unvalid[[#This Row],[TRANSACTION_STATUS]]="N"),"Check","Ok")</f>
        <v>Ok</v>
      </c>
      <c r="BD159" s="534"/>
      <c r="BE159" s="615"/>
      <c r="BF159" s="128"/>
      <c r="BG159" s="128"/>
      <c r="BH159" s="375"/>
      <c r="BJ159" s="375"/>
      <c r="BL159" s="530"/>
      <c r="BN159" s="534"/>
      <c r="BO159" s="534"/>
      <c r="BP159" s="534"/>
      <c r="BR159" s="727"/>
      <c r="BS159" s="128"/>
      <c r="BT159" s="848"/>
      <c r="BU159" s="849">
        <v>45952</v>
      </c>
      <c r="BV159" s="848">
        <v>47722</v>
      </c>
      <c r="BW159" s="848" t="s">
        <v>3901</v>
      </c>
      <c r="BX159" s="530">
        <v>500000</v>
      </c>
      <c r="BY159" s="735">
        <f>_xlfn.XLOOKUP(Est_NIM[[#This Row],[DEAL_BUY_ID]],BS!AL:AL,BS!AU:AU,_xlfn.XLOOKUP(Est_NIM[[#This Row],[DEAL_BUY_ID]],BS!BA:BA,BS!BJ:BJ,,0),0)</f>
        <v>2.6055000000000001</v>
      </c>
      <c r="BZ159" s="534">
        <f>Est_NIM[[#This Row],[QUANT]]*Est_NIM[[#This Row],[YIELD]]</f>
        <v>1302750</v>
      </c>
      <c r="CA159" s="128"/>
      <c r="CB159" s="128"/>
      <c r="CE159" s="331"/>
      <c r="CF159" s="331"/>
      <c r="CG159" s="331"/>
      <c r="CH159">
        <v>3730</v>
      </c>
      <c r="CI159">
        <v>14282</v>
      </c>
      <c r="CN159" s="128"/>
      <c r="CO159" s="128"/>
      <c r="CP159" s="128"/>
      <c r="CQ159" s="128"/>
      <c r="CR159" s="128"/>
      <c r="CS159" s="128"/>
      <c r="CT159" s="128"/>
      <c r="CU159" s="128"/>
      <c r="CV159" s="128"/>
      <c r="CW159" s="128"/>
      <c r="CX159" s="128"/>
      <c r="CY159" s="128"/>
      <c r="CZ159" s="128"/>
      <c r="DA159" s="128"/>
      <c r="DB159" s="128"/>
      <c r="DC159" s="128"/>
      <c r="DD159" s="128"/>
      <c r="DE159" s="128"/>
      <c r="DF159" s="128"/>
      <c r="DG159" s="128"/>
      <c r="DH159" s="128"/>
      <c r="DI159" s="128"/>
      <c r="DJ159" s="128"/>
      <c r="DK159" s="128"/>
      <c r="DL159" s="128"/>
      <c r="DM159" s="128"/>
      <c r="DN159" s="128"/>
      <c r="DO159" s="128"/>
      <c r="DP159" s="128"/>
      <c r="DQ159" s="128"/>
      <c r="DR159" s="128"/>
      <c r="DS159" s="128"/>
      <c r="DT159" s="128"/>
      <c r="DU159" s="128"/>
      <c r="DV159" s="128"/>
      <c r="DW159" s="128"/>
      <c r="DX159" s="128"/>
      <c r="DY159" s="128"/>
      <c r="DZ159" s="530"/>
      <c r="EA159" s="530"/>
      <c r="EB159" s="530"/>
      <c r="EC159" s="530"/>
      <c r="ED159" s="530"/>
      <c r="EE159" s="530"/>
      <c r="EF159" s="530"/>
      <c r="EG159" s="530"/>
      <c r="EH159" s="530"/>
      <c r="EI159" s="530"/>
      <c r="EJ159" s="530"/>
      <c r="EK159" s="530"/>
      <c r="EL159" s="530"/>
      <c r="EM159" s="530"/>
      <c r="EN159" s="530"/>
      <c r="EO159" s="530"/>
      <c r="EP159" s="530"/>
      <c r="EQ159" s="530"/>
      <c r="ER159" s="530"/>
      <c r="ES159" s="530"/>
      <c r="ET159" s="530"/>
      <c r="EU159" s="530"/>
      <c r="EV159" s="530"/>
      <c r="EW159" s="530"/>
      <c r="EX159" s="530"/>
      <c r="EY159" s="530"/>
      <c r="EZ159" s="530"/>
      <c r="FA159" s="530"/>
      <c r="FB159" s="530"/>
      <c r="FC159" s="530"/>
      <c r="FD159" s="530"/>
      <c r="FE159" s="530"/>
      <c r="FF159" s="530"/>
      <c r="FG159" s="530"/>
      <c r="FH159" s="530"/>
      <c r="FI159" s="530"/>
      <c r="FJ159" s="530"/>
      <c r="FK159" s="530"/>
      <c r="FL159" s="530"/>
      <c r="FM159" s="530"/>
      <c r="FN159" s="530"/>
      <c r="FO159" s="530"/>
      <c r="FP159" s="530"/>
      <c r="FQ159" s="530"/>
      <c r="GL159" s="128"/>
      <c r="GM159" s="128"/>
      <c r="GN159" s="128"/>
      <c r="GO159" s="128"/>
      <c r="GP159" s="128"/>
      <c r="GQ159" s="128"/>
      <c r="GR159" s="128"/>
      <c r="GS159" s="128"/>
      <c r="GT159" s="128"/>
      <c r="GU159" s="128"/>
      <c r="GV159" s="128"/>
      <c r="GW159" s="128"/>
      <c r="GX159" s="128"/>
      <c r="GY159" s="128"/>
      <c r="GZ159" s="128"/>
      <c r="HA159" s="128"/>
      <c r="HB159" s="128"/>
      <c r="HC159" s="128"/>
      <c r="HD159" s="128"/>
      <c r="HE159" s="128"/>
      <c r="HF159" s="128"/>
      <c r="HG159" s="128"/>
      <c r="HH159" s="128"/>
      <c r="HI159" s="128"/>
      <c r="HJ159" s="128"/>
      <c r="HK159" s="128"/>
      <c r="HL159" s="128"/>
      <c r="HM159" s="128"/>
      <c r="HN159" s="128"/>
      <c r="HO159" s="128"/>
      <c r="HP159" s="128"/>
      <c r="HQ159" s="128"/>
      <c r="HR159" s="128"/>
      <c r="HS159" s="128"/>
      <c r="HT159" s="128"/>
      <c r="HU159" s="128"/>
      <c r="HV159" s="128"/>
      <c r="HW159" s="128"/>
      <c r="HX159" s="128"/>
      <c r="HY159" s="128"/>
      <c r="HZ159" s="128"/>
      <c r="IA159" s="128"/>
      <c r="IB159" s="128"/>
      <c r="IC159" s="128"/>
    </row>
    <row r="160" spans="41:237" x14ac:dyDescent="0.3">
      <c r="AO160" s="128">
        <v>49326</v>
      </c>
      <c r="AP160" s="128" t="s">
        <v>2497</v>
      </c>
      <c r="AQ160" s="128" t="s">
        <v>824</v>
      </c>
      <c r="AR160" s="375" t="s">
        <v>3594</v>
      </c>
      <c r="AS160" s="375">
        <v>46108</v>
      </c>
      <c r="AT160" s="375">
        <v>46449</v>
      </c>
      <c r="AU160" s="530">
        <v>95494</v>
      </c>
      <c r="AV160" s="532">
        <v>50237</v>
      </c>
      <c r="AW160" s="530">
        <v>800000</v>
      </c>
      <c r="AX160" s="534">
        <f>_xlfn.XLOOKUP(Sell_unvalid[[#This Row],[DEAL_BUY_ID]],BS!BA:BA,BS!BE:BE,,0)</f>
        <v>96680</v>
      </c>
      <c r="AY160" s="534">
        <f>_xlfn.XLOOKUP(Sell_unvalid[[#This Row],[BOND_CODE]],FNRP!D:D,FNRP!I:I,_xlfn.XLOOKUP(Sell_unvalid[[#This Row],[BOND_CODE]],FNRP!AV:AV,FNRP!BA:BA,,0),0)</f>
        <v>92330</v>
      </c>
      <c r="AZ160" s="534">
        <f>_xlfn.XLOOKUP(Sell_unvalid[[#This Row],[DEAL_BUY_ID]],BS!BA:BA,BS!BQ:BQ,,0)*Sell_unvalid[[#This Row],[QUANTITY]]</f>
        <v>-2650292961.8450541</v>
      </c>
      <c r="BA160" s="534">
        <f>(Sell_unvalid[[#This Row],[Giá MtM]]-10^5)*Sell_unvalid[[#This Row],[QUANTITY]]-Sell_unvalid[[#This Row],[PTCK remain]]</f>
        <v>-3485707038.1549459</v>
      </c>
      <c r="BB160" s="534">
        <f>(Sell_unvalid[[#This Row],[PRICE]]-10^5)*Sell_unvalid[[#This Row],[QUANTITY]]-Sell_unvalid[[#This Row],[PTCK remain]]</f>
        <v>-954507038.15494585</v>
      </c>
      <c r="BC160" s="534" t="str">
        <f>IF(AND(Sell_unvalid[[#This Row],[VALUE_DATE]]&lt;=RPT,Sell_unvalid[[#This Row],[TRANSACTION_STATUS]]="N"),"Check","Ok")</f>
        <v>Ok</v>
      </c>
      <c r="BD160" s="534"/>
      <c r="BE160" s="615"/>
      <c r="BF160" s="128"/>
      <c r="BG160" s="128"/>
      <c r="BH160" s="375"/>
      <c r="BJ160" s="375"/>
      <c r="BL160" s="530"/>
      <c r="BN160" s="534"/>
      <c r="BO160" s="534"/>
      <c r="BP160" s="534"/>
      <c r="BR160" s="727"/>
      <c r="BS160" s="128"/>
      <c r="BT160" s="848"/>
      <c r="BU160" s="849">
        <v>45952</v>
      </c>
      <c r="BV160" s="848">
        <v>47724</v>
      </c>
      <c r="BW160" s="848" t="s">
        <v>3901</v>
      </c>
      <c r="BX160" s="530">
        <v>500000</v>
      </c>
      <c r="BY160" s="735">
        <f>_xlfn.XLOOKUP(Est_NIM[[#This Row],[DEAL_BUY_ID]],BS!AL:AL,BS!AU:AU,_xlfn.XLOOKUP(Est_NIM[[#This Row],[DEAL_BUY_ID]],BS!BA:BA,BS!BJ:BJ,,0),0)</f>
        <v>2.5825</v>
      </c>
      <c r="BZ160" s="534">
        <f>Est_NIM[[#This Row],[QUANT]]*Est_NIM[[#This Row],[YIELD]]</f>
        <v>1291250</v>
      </c>
      <c r="CA160" s="128"/>
      <c r="CB160" s="128"/>
      <c r="CE160" s="331"/>
      <c r="CF160" s="331"/>
      <c r="CG160" s="331"/>
      <c r="CH160">
        <v>3730</v>
      </c>
      <c r="CI160">
        <v>14282</v>
      </c>
      <c r="CN160" s="128"/>
      <c r="CO160" s="128"/>
      <c r="CP160" s="128"/>
      <c r="CQ160" s="128"/>
      <c r="CR160" s="128"/>
      <c r="CS160" s="128"/>
      <c r="CT160" s="128"/>
      <c r="CU160" s="128"/>
      <c r="CV160" s="128"/>
      <c r="CW160" s="128"/>
      <c r="CX160" s="128"/>
      <c r="CY160" s="128"/>
      <c r="CZ160" s="128"/>
      <c r="DA160" s="128"/>
      <c r="DB160" s="128"/>
      <c r="DC160" s="128"/>
      <c r="DD160" s="128"/>
      <c r="DE160" s="128"/>
      <c r="DF160" s="128"/>
      <c r="DG160" s="128"/>
      <c r="DH160" s="128"/>
      <c r="DI160" s="128"/>
      <c r="DJ160" s="128"/>
      <c r="DK160" s="128"/>
      <c r="DL160" s="128"/>
      <c r="DM160" s="128"/>
      <c r="DN160" s="128"/>
      <c r="DO160" s="128"/>
      <c r="DP160" s="128"/>
      <c r="DQ160" s="128"/>
      <c r="DR160" s="128"/>
      <c r="DS160" s="128"/>
      <c r="DT160" s="128"/>
      <c r="DU160" s="128"/>
      <c r="DV160" s="128"/>
      <c r="DW160" s="128"/>
      <c r="DX160" s="128"/>
      <c r="DY160" s="128"/>
      <c r="DZ160" s="530"/>
      <c r="EA160" s="530"/>
      <c r="EB160" s="530"/>
      <c r="EC160" s="530"/>
      <c r="ED160" s="530"/>
      <c r="EE160" s="530"/>
      <c r="EF160" s="530"/>
      <c r="EG160" s="530"/>
      <c r="EH160" s="530"/>
      <c r="EI160" s="530"/>
      <c r="EJ160" s="530"/>
      <c r="EK160" s="530"/>
      <c r="EL160" s="530"/>
      <c r="EM160" s="530"/>
      <c r="EN160" s="530"/>
      <c r="EO160" s="530"/>
      <c r="EP160" s="530"/>
      <c r="EQ160" s="530"/>
      <c r="ER160" s="530"/>
      <c r="ES160" s="530"/>
      <c r="ET160" s="530"/>
      <c r="EU160" s="530"/>
      <c r="EV160" s="530"/>
      <c r="EW160" s="530"/>
      <c r="EX160" s="530"/>
      <c r="EY160" s="530"/>
      <c r="EZ160" s="530"/>
      <c r="FA160" s="530"/>
      <c r="FB160" s="530"/>
      <c r="FC160" s="530"/>
      <c r="FD160" s="530"/>
      <c r="FE160" s="530"/>
      <c r="FF160" s="530"/>
      <c r="FG160" s="530"/>
      <c r="FH160" s="530"/>
      <c r="FI160" s="530"/>
      <c r="FJ160" s="530"/>
      <c r="FK160" s="530"/>
      <c r="FL160" s="530"/>
      <c r="FM160" s="530"/>
      <c r="FN160" s="530"/>
      <c r="FO160" s="530"/>
      <c r="FP160" s="530"/>
      <c r="FQ160" s="530"/>
      <c r="GL160" s="128"/>
      <c r="GM160" s="128"/>
      <c r="GN160" s="128"/>
      <c r="GO160" s="128"/>
      <c r="GP160" s="128"/>
      <c r="GQ160" s="128"/>
      <c r="GR160" s="128"/>
      <c r="GS160" s="128"/>
      <c r="GT160" s="128"/>
      <c r="GU160" s="128"/>
      <c r="GV160" s="128"/>
      <c r="GW160" s="128"/>
      <c r="GX160" s="128"/>
      <c r="GY160" s="128"/>
      <c r="GZ160" s="128"/>
      <c r="HA160" s="128"/>
      <c r="HB160" s="128"/>
      <c r="HC160" s="128"/>
      <c r="HD160" s="128"/>
      <c r="HE160" s="128"/>
      <c r="HF160" s="128"/>
      <c r="HG160" s="128"/>
      <c r="HH160" s="128"/>
      <c r="HI160" s="128"/>
      <c r="HJ160" s="128"/>
      <c r="HK160" s="128"/>
      <c r="HL160" s="128"/>
      <c r="HM160" s="128"/>
      <c r="HN160" s="128"/>
      <c r="HO160" s="128"/>
      <c r="HP160" s="128"/>
      <c r="HQ160" s="128"/>
      <c r="HR160" s="128"/>
      <c r="HS160" s="128"/>
      <c r="HT160" s="128"/>
      <c r="HU160" s="128"/>
      <c r="HV160" s="128"/>
      <c r="HW160" s="128"/>
      <c r="HX160" s="128"/>
      <c r="HY160" s="128"/>
      <c r="HZ160" s="128"/>
      <c r="IA160" s="128"/>
      <c r="IB160" s="128"/>
      <c r="IC160" s="128"/>
    </row>
    <row r="161" spans="41:237" x14ac:dyDescent="0.3">
      <c r="AO161" s="128">
        <v>49329</v>
      </c>
      <c r="AP161" s="128" t="s">
        <v>2497</v>
      </c>
      <c r="AQ161" s="128" t="s">
        <v>824</v>
      </c>
      <c r="AR161" s="128" t="s">
        <v>3594</v>
      </c>
      <c r="AS161" s="375">
        <v>46111</v>
      </c>
      <c r="AT161" s="375">
        <v>46450</v>
      </c>
      <c r="AU161" s="530">
        <v>95495</v>
      </c>
      <c r="AV161" s="128">
        <v>49327</v>
      </c>
      <c r="AW161" s="530">
        <v>2934000</v>
      </c>
      <c r="AX161" s="534">
        <f>_xlfn.XLOOKUP(Sell_unvalid[[#This Row],[DEAL_BUY_ID]],BS!BA:BA,BS!BE:BE,,0)</f>
        <v>93740</v>
      </c>
      <c r="AY161" s="534">
        <f>_xlfn.XLOOKUP(Sell_unvalid[[#This Row],[BOND_CODE]],FNRP!D:D,FNRP!I:I,_xlfn.XLOOKUP(Sell_unvalid[[#This Row],[BOND_CODE]],FNRP!AV:AV,FNRP!BA:BA,,0),0)</f>
        <v>92330</v>
      </c>
      <c r="AZ161" s="534">
        <f>_xlfn.XLOOKUP(Sell_unvalid[[#This Row],[DEAL_BUY_ID]],BS!BA:BA,BS!BQ:BQ,,0)*Sell_unvalid[[#This Row],[QUANTITY]]</f>
        <v>-18104600088.44537</v>
      </c>
      <c r="BA161" s="534">
        <f>(Sell_unvalid[[#This Row],[Giá MtM]]-10^5)*Sell_unvalid[[#This Row],[QUANTITY]]-Sell_unvalid[[#This Row],[PTCK remain]]</f>
        <v>-4399179911.5546303</v>
      </c>
      <c r="BB161" s="534">
        <f>(Sell_unvalid[[#This Row],[PRICE]]-10^5)*Sell_unvalid[[#This Row],[QUANTITY]]-Sell_unvalid[[#This Row],[PTCK remain]]</f>
        <v>4886930088.4453697</v>
      </c>
      <c r="BC161" s="534" t="str">
        <f>IF(AND(Sell_unvalid[[#This Row],[VALUE_DATE]]&lt;=RPT,Sell_unvalid[[#This Row],[TRANSACTION_STATUS]]="N"),"Check","Ok")</f>
        <v>Ok</v>
      </c>
      <c r="BD161" s="534"/>
      <c r="BE161" s="615"/>
      <c r="BF161" s="128"/>
      <c r="BG161" s="128"/>
      <c r="BH161" s="375"/>
      <c r="BJ161" s="375"/>
      <c r="BL161" s="530"/>
      <c r="BN161" s="534"/>
      <c r="BO161" s="534"/>
      <c r="BP161" s="534"/>
      <c r="BR161" s="727"/>
      <c r="BS161" s="128"/>
      <c r="BT161" s="848"/>
      <c r="BU161" s="849">
        <v>45953</v>
      </c>
      <c r="BV161" s="848">
        <v>47730</v>
      </c>
      <c r="BW161" s="848" t="s">
        <v>3901</v>
      </c>
      <c r="BX161" s="530">
        <v>500000</v>
      </c>
      <c r="BY161" s="735">
        <f>_xlfn.XLOOKUP(Est_NIM[[#This Row],[DEAL_BUY_ID]],BS!AL:AL,BS!AU:AU,_xlfn.XLOOKUP(Est_NIM[[#This Row],[DEAL_BUY_ID]],BS!BA:BA,BS!BJ:BJ,,0),0)</f>
        <v>3.1543999999999999</v>
      </c>
      <c r="BZ161" s="534">
        <f>Est_NIM[[#This Row],[QUANT]]*Est_NIM[[#This Row],[YIELD]]</f>
        <v>1577200</v>
      </c>
      <c r="CA161" s="128"/>
      <c r="CB161" s="128"/>
      <c r="CE161" s="331"/>
      <c r="CF161" s="331"/>
      <c r="CG161" s="331"/>
      <c r="CH161">
        <v>3730</v>
      </c>
      <c r="CI161">
        <v>14282</v>
      </c>
      <c r="CN161" s="128"/>
      <c r="CO161" s="128"/>
      <c r="CP161" s="128"/>
      <c r="CQ161" s="128"/>
      <c r="CR161" s="128"/>
      <c r="CS161" s="128"/>
      <c r="CT161" s="128"/>
      <c r="CU161" s="128"/>
      <c r="CV161" s="128"/>
      <c r="CW161" s="128"/>
      <c r="CX161" s="128"/>
      <c r="CY161" s="128"/>
      <c r="CZ161" s="128"/>
      <c r="DA161" s="128"/>
      <c r="DB161" s="128"/>
      <c r="DC161" s="128"/>
      <c r="DD161" s="128"/>
      <c r="DE161" s="128"/>
      <c r="DF161" s="128"/>
      <c r="DG161" s="128"/>
      <c r="DH161" s="128"/>
      <c r="DI161" s="128"/>
      <c r="DJ161" s="128"/>
      <c r="DK161" s="128"/>
      <c r="DL161" s="128"/>
      <c r="DM161" s="128"/>
      <c r="DN161" s="128"/>
      <c r="DO161" s="128"/>
      <c r="DP161" s="128"/>
      <c r="DQ161" s="128"/>
      <c r="DR161" s="128"/>
      <c r="DS161" s="128"/>
      <c r="DT161" s="128"/>
      <c r="DU161" s="128"/>
      <c r="DV161" s="128"/>
      <c r="DW161" s="128"/>
      <c r="DX161" s="128"/>
      <c r="DY161" s="128"/>
      <c r="DZ161" s="530"/>
      <c r="EA161" s="530"/>
      <c r="EB161" s="530"/>
      <c r="EC161" s="530"/>
      <c r="ED161" s="530"/>
      <c r="EE161" s="530"/>
      <c r="EF161" s="530"/>
      <c r="EG161" s="530"/>
      <c r="EH161" s="530"/>
      <c r="EI161" s="530"/>
      <c r="EJ161" s="530"/>
      <c r="EK161" s="530"/>
      <c r="EL161" s="530"/>
      <c r="EM161" s="530"/>
      <c r="EN161" s="530"/>
      <c r="EO161" s="530"/>
      <c r="EP161" s="530"/>
      <c r="EQ161" s="530"/>
      <c r="ER161" s="530"/>
      <c r="ES161" s="530"/>
      <c r="ET161" s="530"/>
      <c r="EU161" s="530"/>
      <c r="EV161" s="530"/>
      <c r="EW161" s="530"/>
      <c r="EX161" s="530"/>
      <c r="EY161" s="530"/>
      <c r="EZ161" s="530"/>
      <c r="FA161" s="530"/>
      <c r="FB161" s="530"/>
      <c r="FC161" s="530"/>
      <c r="FD161" s="530"/>
      <c r="FE161" s="530"/>
      <c r="FF161" s="530"/>
      <c r="FG161" s="530"/>
      <c r="FH161" s="530"/>
      <c r="FI161" s="530"/>
      <c r="FJ161" s="530"/>
      <c r="FK161" s="530"/>
      <c r="FL161" s="530"/>
      <c r="FM161" s="530"/>
      <c r="FN161" s="530"/>
      <c r="FO161" s="530"/>
      <c r="FP161" s="530"/>
      <c r="FQ161" s="530"/>
      <c r="GL161" s="128"/>
      <c r="GM161" s="128"/>
      <c r="GN161" s="128"/>
      <c r="GO161" s="128"/>
      <c r="GP161" s="128"/>
      <c r="GQ161" s="128"/>
      <c r="GR161" s="128"/>
      <c r="GS161" s="128"/>
      <c r="GT161" s="128"/>
      <c r="GU161" s="128"/>
      <c r="GV161" s="128"/>
      <c r="GW161" s="128"/>
      <c r="GX161" s="128"/>
      <c r="GY161" s="128"/>
      <c r="GZ161" s="128"/>
      <c r="HA161" s="128"/>
      <c r="HB161" s="128"/>
      <c r="HC161" s="128"/>
      <c r="HD161" s="128"/>
      <c r="HE161" s="128"/>
      <c r="HF161" s="128"/>
      <c r="HG161" s="128"/>
      <c r="HH161" s="128"/>
      <c r="HI161" s="128"/>
      <c r="HJ161" s="128"/>
      <c r="HK161" s="128"/>
      <c r="HL161" s="128"/>
      <c r="HM161" s="128"/>
      <c r="HN161" s="128"/>
      <c r="HO161" s="128"/>
      <c r="HP161" s="128"/>
      <c r="HQ161" s="128"/>
      <c r="HR161" s="128"/>
      <c r="HS161" s="128"/>
      <c r="HT161" s="128"/>
      <c r="HU161" s="128"/>
      <c r="HV161" s="128"/>
      <c r="HW161" s="128"/>
      <c r="HX161" s="128"/>
      <c r="HY161" s="128"/>
      <c r="HZ161" s="128"/>
      <c r="IA161" s="128"/>
      <c r="IB161" s="128"/>
      <c r="IC161" s="128"/>
    </row>
    <row r="162" spans="41:237" x14ac:dyDescent="0.3">
      <c r="AO162" s="128">
        <v>49329</v>
      </c>
      <c r="AP162" s="128" t="s">
        <v>2497</v>
      </c>
      <c r="AQ162" s="128" t="s">
        <v>824</v>
      </c>
      <c r="AR162" s="375" t="s">
        <v>3594</v>
      </c>
      <c r="AS162" s="375">
        <v>46111</v>
      </c>
      <c r="AT162" s="375">
        <v>46450</v>
      </c>
      <c r="AU162" s="530">
        <v>95495</v>
      </c>
      <c r="AV162" s="532">
        <v>49327</v>
      </c>
      <c r="AW162" s="530">
        <v>800000</v>
      </c>
      <c r="AX162" s="534">
        <f>_xlfn.XLOOKUP(Sell_unvalid[[#This Row],[DEAL_BUY_ID]],BS!BA:BA,BS!BE:BE,,0)</f>
        <v>93740</v>
      </c>
      <c r="AY162" s="534">
        <f>_xlfn.XLOOKUP(Sell_unvalid[[#This Row],[BOND_CODE]],FNRP!D:D,FNRP!I:I,_xlfn.XLOOKUP(Sell_unvalid[[#This Row],[BOND_CODE]],FNRP!AV:AV,FNRP!BA:BA,,0),0)</f>
        <v>92330</v>
      </c>
      <c r="AZ162" s="534">
        <f>_xlfn.XLOOKUP(Sell_unvalid[[#This Row],[DEAL_BUY_ID]],BS!BA:BA,BS!BQ:BQ,,0)*Sell_unvalid[[#This Row],[QUANTITY]]</f>
        <v>-4936496274.9680624</v>
      </c>
      <c r="BA162" s="534">
        <f>(Sell_unvalid[[#This Row],[Giá MtM]]-10^5)*Sell_unvalid[[#This Row],[QUANTITY]]-Sell_unvalid[[#This Row],[PTCK remain]]</f>
        <v>-1199503725.0319376</v>
      </c>
      <c r="BB162" s="534">
        <f>(Sell_unvalid[[#This Row],[PRICE]]-10^5)*Sell_unvalid[[#This Row],[QUANTITY]]-Sell_unvalid[[#This Row],[PTCK remain]]</f>
        <v>1332496274.9680624</v>
      </c>
      <c r="BC162" s="534" t="str">
        <f>IF(AND(Sell_unvalid[[#This Row],[VALUE_DATE]]&lt;=RPT,Sell_unvalid[[#This Row],[TRANSACTION_STATUS]]="N"),"Check","Ok")</f>
        <v>Ok</v>
      </c>
      <c r="BD162" s="534"/>
      <c r="BE162" s="615"/>
      <c r="BF162" s="128"/>
      <c r="BG162" s="128"/>
      <c r="BH162" s="375"/>
      <c r="BJ162" s="375"/>
      <c r="BL162" s="530"/>
      <c r="BN162" s="534"/>
      <c r="BO162" s="534"/>
      <c r="BP162" s="534"/>
      <c r="BR162" s="727"/>
      <c r="BS162" s="128"/>
      <c r="BT162" s="848"/>
      <c r="BU162" s="849">
        <v>45957</v>
      </c>
      <c r="BV162" s="848">
        <v>47808</v>
      </c>
      <c r="BW162" s="848" t="s">
        <v>3901</v>
      </c>
      <c r="BX162" s="530">
        <v>1000000</v>
      </c>
      <c r="BY162" s="735">
        <f>_xlfn.XLOOKUP(Est_NIM[[#This Row],[DEAL_BUY_ID]],BS!AL:AL,BS!AU:AU,_xlfn.XLOOKUP(Est_NIM[[#This Row],[DEAL_BUY_ID]],BS!BA:BA,BS!BJ:BJ,,0),0)</f>
        <v>3.3</v>
      </c>
      <c r="BZ162" s="534">
        <f>Est_NIM[[#This Row],[QUANT]]*Est_NIM[[#This Row],[YIELD]]</f>
        <v>3300000</v>
      </c>
      <c r="CA162" s="128"/>
      <c r="CB162" s="128"/>
      <c r="CE162" s="331"/>
      <c r="CF162" s="331"/>
      <c r="CG162" s="331"/>
      <c r="CH162">
        <v>3730</v>
      </c>
      <c r="CI162">
        <v>14282</v>
      </c>
      <c r="CN162" s="128"/>
      <c r="CO162" s="128"/>
      <c r="CP162" s="128"/>
      <c r="CQ162" s="128"/>
      <c r="CR162" s="128"/>
      <c r="CS162" s="128"/>
      <c r="CT162" s="128"/>
      <c r="CU162" s="128"/>
      <c r="CV162" s="128"/>
      <c r="CW162" s="128"/>
      <c r="CX162" s="128"/>
      <c r="CY162" s="128"/>
      <c r="CZ162" s="128"/>
      <c r="DA162" s="128"/>
      <c r="DB162" s="128"/>
      <c r="DC162" s="128"/>
      <c r="DD162" s="128"/>
      <c r="DE162" s="128"/>
      <c r="DF162" s="128"/>
      <c r="DG162" s="128"/>
      <c r="DH162" s="128"/>
      <c r="DI162" s="128"/>
      <c r="DJ162" s="128"/>
      <c r="DK162" s="128"/>
      <c r="DL162" s="128"/>
      <c r="DM162" s="128"/>
      <c r="DN162" s="128"/>
      <c r="DO162" s="128"/>
      <c r="DP162" s="128"/>
      <c r="DQ162" s="128"/>
      <c r="DR162" s="128"/>
      <c r="DS162" s="128"/>
      <c r="DT162" s="128"/>
      <c r="DU162" s="128"/>
      <c r="DV162" s="128"/>
      <c r="DW162" s="128"/>
      <c r="DX162" s="128"/>
      <c r="DY162" s="128"/>
      <c r="DZ162" s="530"/>
      <c r="EA162" s="530"/>
      <c r="EB162" s="530"/>
      <c r="EC162" s="530"/>
      <c r="ED162" s="530"/>
      <c r="EE162" s="530"/>
      <c r="EF162" s="530"/>
      <c r="EG162" s="530"/>
      <c r="EH162" s="530"/>
      <c r="EI162" s="530"/>
      <c r="EJ162" s="530"/>
      <c r="EK162" s="530"/>
      <c r="EL162" s="530"/>
      <c r="EM162" s="530"/>
      <c r="EN162" s="530"/>
      <c r="EO162" s="530"/>
      <c r="EP162" s="530"/>
      <c r="EQ162" s="530"/>
      <c r="ER162" s="530"/>
      <c r="ES162" s="530"/>
      <c r="ET162" s="530"/>
      <c r="EU162" s="530"/>
      <c r="EV162" s="530"/>
      <c r="EW162" s="530"/>
      <c r="EX162" s="530"/>
      <c r="EY162" s="530"/>
      <c r="EZ162" s="530"/>
      <c r="FA162" s="530"/>
      <c r="FB162" s="530"/>
      <c r="FC162" s="530"/>
      <c r="FD162" s="530"/>
      <c r="FE162" s="530"/>
      <c r="FF162" s="530"/>
      <c r="FG162" s="530"/>
      <c r="FH162" s="530"/>
      <c r="FI162" s="530"/>
      <c r="FJ162" s="530"/>
      <c r="FK162" s="530"/>
      <c r="FL162" s="530"/>
      <c r="FM162" s="530"/>
      <c r="FN162" s="530"/>
      <c r="FO162" s="530"/>
      <c r="FP162" s="530"/>
      <c r="FQ162" s="530"/>
      <c r="GL162" s="128"/>
      <c r="GM162" s="128"/>
      <c r="GN162" s="128"/>
      <c r="GO162" s="128"/>
      <c r="GP162" s="128"/>
      <c r="GQ162" s="128"/>
      <c r="GR162" s="128"/>
      <c r="GS162" s="128"/>
      <c r="GT162" s="128"/>
      <c r="GU162" s="128"/>
      <c r="GV162" s="128"/>
      <c r="GW162" s="128"/>
      <c r="GX162" s="128"/>
      <c r="GY162" s="128"/>
      <c r="GZ162" s="128"/>
      <c r="HA162" s="128"/>
      <c r="HB162" s="128"/>
      <c r="HC162" s="128"/>
      <c r="HD162" s="128"/>
      <c r="HE162" s="128"/>
      <c r="HF162" s="128"/>
      <c r="HG162" s="128"/>
      <c r="HH162" s="128"/>
      <c r="HI162" s="128"/>
      <c r="HJ162" s="128"/>
      <c r="HK162" s="128"/>
      <c r="HL162" s="128"/>
      <c r="HM162" s="128"/>
      <c r="HN162" s="128"/>
      <c r="HO162" s="128"/>
      <c r="HP162" s="128"/>
      <c r="HQ162" s="128"/>
      <c r="HR162" s="128"/>
      <c r="HS162" s="128"/>
      <c r="HT162" s="128"/>
      <c r="HU162" s="128"/>
      <c r="HV162" s="128"/>
      <c r="HW162" s="128"/>
      <c r="HX162" s="128"/>
      <c r="HY162" s="128"/>
      <c r="HZ162" s="128"/>
      <c r="IA162" s="128"/>
      <c r="IB162" s="128"/>
      <c r="IC162" s="128"/>
    </row>
    <row r="163" spans="41:237" x14ac:dyDescent="0.3">
      <c r="AO163" s="128">
        <v>49329</v>
      </c>
      <c r="AP163" s="128" t="s">
        <v>2497</v>
      </c>
      <c r="AQ163" s="128" t="s">
        <v>824</v>
      </c>
      <c r="AR163" s="128" t="s">
        <v>3594</v>
      </c>
      <c r="AS163" s="375">
        <v>46111</v>
      </c>
      <c r="AT163" s="375">
        <v>46450</v>
      </c>
      <c r="AU163" s="530">
        <v>95495</v>
      </c>
      <c r="AV163" s="128">
        <v>49327</v>
      </c>
      <c r="AW163" s="530">
        <v>700000</v>
      </c>
      <c r="AX163" s="534">
        <f>_xlfn.XLOOKUP(Sell_unvalid[[#This Row],[DEAL_BUY_ID]],BS!BA:BA,BS!BE:BE,,0)</f>
        <v>93740</v>
      </c>
      <c r="AY163" s="534">
        <f>_xlfn.XLOOKUP(Sell_unvalid[[#This Row],[BOND_CODE]],FNRP!D:D,FNRP!I:I,_xlfn.XLOOKUP(Sell_unvalid[[#This Row],[BOND_CODE]],FNRP!AV:AV,FNRP!BA:BA,,0),0)</f>
        <v>92330</v>
      </c>
      <c r="AZ163" s="534">
        <f>_xlfn.XLOOKUP(Sell_unvalid[[#This Row],[DEAL_BUY_ID]],BS!BA:BA,BS!BQ:BQ,,0)*Sell_unvalid[[#This Row],[QUANTITY]]</f>
        <v>-4319434240.5970545</v>
      </c>
      <c r="BA163" s="534">
        <f>(Sell_unvalid[[#This Row],[Giá MtM]]-10^5)*Sell_unvalid[[#This Row],[QUANTITY]]-Sell_unvalid[[#This Row],[PTCK remain]]</f>
        <v>-1049565759.4029455</v>
      </c>
      <c r="BB163" s="534">
        <f>(Sell_unvalid[[#This Row],[PRICE]]-10^5)*Sell_unvalid[[#This Row],[QUANTITY]]-Sell_unvalid[[#This Row],[PTCK remain]]</f>
        <v>1165934240.5970545</v>
      </c>
      <c r="BC163" s="534" t="str">
        <f>IF(AND(Sell_unvalid[[#This Row],[VALUE_DATE]]&lt;=RPT,Sell_unvalid[[#This Row],[TRANSACTION_STATUS]]="N"),"Check","Ok")</f>
        <v>Ok</v>
      </c>
      <c r="BD163" s="534"/>
      <c r="BE163" s="615"/>
      <c r="BF163" s="128"/>
      <c r="BG163" s="128"/>
      <c r="BH163" s="375"/>
      <c r="BJ163" s="375"/>
      <c r="BL163" s="530"/>
      <c r="BN163" s="534"/>
      <c r="BO163" s="534"/>
      <c r="BP163" s="534"/>
      <c r="BR163" s="727"/>
      <c r="BS163" s="128"/>
      <c r="BT163" s="848"/>
      <c r="BU163" s="849">
        <v>45975</v>
      </c>
      <c r="BV163" s="848">
        <v>47986</v>
      </c>
      <c r="BW163" s="848" t="s">
        <v>3901</v>
      </c>
      <c r="BX163" s="530">
        <v>1000000</v>
      </c>
      <c r="BY163" s="735">
        <f>_xlfn.XLOOKUP(Est_NIM[[#This Row],[DEAL_BUY_ID]],BS!AL:AL,BS!AU:AU,_xlfn.XLOOKUP(Est_NIM[[#This Row],[DEAL_BUY_ID]],BS!BA:BA,BS!BJ:BJ,,0),0)</f>
        <v>3.1141000000000001</v>
      </c>
      <c r="BZ163" s="534">
        <f>Est_NIM[[#This Row],[QUANT]]*Est_NIM[[#This Row],[YIELD]]</f>
        <v>3114100</v>
      </c>
      <c r="CA163" s="128"/>
      <c r="CB163" s="128"/>
      <c r="CE163" s="331"/>
      <c r="CF163" s="331"/>
      <c r="CG163" s="331"/>
      <c r="CH163">
        <v>3730</v>
      </c>
      <c r="CI163">
        <v>14282</v>
      </c>
      <c r="CN163" s="128"/>
      <c r="CO163" s="128"/>
      <c r="CP163" s="128"/>
      <c r="CQ163" s="128"/>
      <c r="CR163" s="128"/>
      <c r="CS163" s="128"/>
      <c r="CT163" s="128"/>
      <c r="CU163" s="128"/>
      <c r="CV163" s="128"/>
      <c r="CW163" s="128"/>
      <c r="CX163" s="128"/>
      <c r="CY163" s="128"/>
      <c r="CZ163" s="128"/>
      <c r="DA163" s="128"/>
      <c r="DB163" s="128"/>
      <c r="DC163" s="128"/>
      <c r="DD163" s="128"/>
      <c r="DE163" s="128"/>
      <c r="DF163" s="128"/>
      <c r="DG163" s="128"/>
      <c r="DH163" s="128"/>
      <c r="DI163" s="128"/>
      <c r="DJ163" s="128"/>
      <c r="DK163" s="128"/>
      <c r="DL163" s="128"/>
      <c r="DM163" s="128"/>
      <c r="DN163" s="128"/>
      <c r="DO163" s="128"/>
      <c r="DP163" s="128"/>
      <c r="DQ163" s="128"/>
      <c r="DR163" s="128"/>
      <c r="DS163" s="128"/>
      <c r="DT163" s="128"/>
      <c r="DU163" s="128"/>
      <c r="DV163" s="128"/>
      <c r="DW163" s="128"/>
      <c r="DX163" s="128"/>
      <c r="DY163" s="128"/>
      <c r="DZ163" s="530"/>
      <c r="EA163" s="530"/>
      <c r="EB163" s="530"/>
      <c r="EC163" s="530"/>
      <c r="ED163" s="530"/>
      <c r="EE163" s="530"/>
      <c r="EF163" s="530"/>
      <c r="EG163" s="530"/>
      <c r="EH163" s="530"/>
      <c r="EI163" s="530"/>
      <c r="EJ163" s="530"/>
      <c r="EK163" s="530"/>
      <c r="EL163" s="530"/>
      <c r="EM163" s="530"/>
      <c r="EN163" s="530"/>
      <c r="EO163" s="530"/>
      <c r="EP163" s="530"/>
      <c r="EQ163" s="530"/>
      <c r="ER163" s="530"/>
      <c r="ES163" s="530"/>
      <c r="ET163" s="530"/>
      <c r="EU163" s="530"/>
      <c r="EV163" s="530"/>
      <c r="EW163" s="530"/>
      <c r="EX163" s="530"/>
      <c r="EY163" s="530"/>
      <c r="EZ163" s="530"/>
      <c r="FA163" s="530"/>
      <c r="FB163" s="530"/>
      <c r="FC163" s="530"/>
      <c r="FD163" s="530"/>
      <c r="FE163" s="530"/>
      <c r="FF163" s="530"/>
      <c r="FG163" s="530"/>
      <c r="FH163" s="530"/>
      <c r="FI163" s="530"/>
      <c r="FJ163" s="530"/>
      <c r="FK163" s="530"/>
      <c r="FL163" s="530"/>
      <c r="FM163" s="530"/>
      <c r="FN163" s="530"/>
      <c r="FO163" s="530"/>
      <c r="FP163" s="530"/>
      <c r="FQ163" s="530"/>
      <c r="GL163" s="128"/>
      <c r="GM163" s="128"/>
      <c r="GN163" s="128"/>
      <c r="GO163" s="128"/>
      <c r="GP163" s="128"/>
      <c r="GQ163" s="128"/>
      <c r="GR163" s="128"/>
      <c r="GS163" s="128"/>
      <c r="GT163" s="128"/>
      <c r="GU163" s="128"/>
      <c r="GV163" s="128"/>
      <c r="GW163" s="128"/>
      <c r="GX163" s="128"/>
      <c r="GY163" s="128"/>
      <c r="GZ163" s="128"/>
      <c r="HA163" s="128"/>
      <c r="HB163" s="128"/>
      <c r="HC163" s="128"/>
      <c r="HD163" s="128"/>
      <c r="HE163" s="128"/>
      <c r="HF163" s="128"/>
      <c r="HG163" s="128"/>
      <c r="HH163" s="128"/>
      <c r="HI163" s="128"/>
      <c r="HJ163" s="128"/>
      <c r="HK163" s="128"/>
      <c r="HL163" s="128"/>
      <c r="HM163" s="128"/>
      <c r="HN163" s="128"/>
      <c r="HO163" s="128"/>
      <c r="HP163" s="128"/>
      <c r="HQ163" s="128"/>
      <c r="HR163" s="128"/>
      <c r="HS163" s="128"/>
      <c r="HT163" s="128"/>
      <c r="HU163" s="128"/>
      <c r="HV163" s="128"/>
      <c r="HW163" s="128"/>
      <c r="HX163" s="128"/>
      <c r="HY163" s="128"/>
      <c r="HZ163" s="128"/>
      <c r="IA163" s="128"/>
      <c r="IB163" s="128"/>
      <c r="IC163" s="128"/>
    </row>
    <row r="164" spans="41:237" x14ac:dyDescent="0.3">
      <c r="AO164" s="128">
        <v>49329</v>
      </c>
      <c r="AP164" s="128" t="s">
        <v>2497</v>
      </c>
      <c r="AQ164" s="128" t="s">
        <v>824</v>
      </c>
      <c r="AR164" s="128" t="s">
        <v>3594</v>
      </c>
      <c r="AS164" s="375">
        <v>46111</v>
      </c>
      <c r="AT164" s="375">
        <v>46450</v>
      </c>
      <c r="AU164" s="530">
        <v>95495</v>
      </c>
      <c r="AV164" s="128">
        <v>49394</v>
      </c>
      <c r="AW164" s="530">
        <v>500000</v>
      </c>
      <c r="AX164" s="534">
        <f>_xlfn.XLOOKUP(Sell_unvalid[[#This Row],[DEAL_BUY_ID]],BS!BA:BA,BS!BE:BE,,0)</f>
        <v>98418</v>
      </c>
      <c r="AY164" s="534">
        <f>_xlfn.XLOOKUP(Sell_unvalid[[#This Row],[BOND_CODE]],FNRP!D:D,FNRP!I:I,_xlfn.XLOOKUP(Sell_unvalid[[#This Row],[BOND_CODE]],FNRP!AV:AV,FNRP!BA:BA,,0),0)</f>
        <v>92330</v>
      </c>
      <c r="AZ164" s="534">
        <f>_xlfn.XLOOKUP(Sell_unvalid[[#This Row],[DEAL_BUY_ID]],BS!BA:BA,BS!BQ:BQ,,0)*Sell_unvalid[[#This Row],[QUANTITY]]</f>
        <v>-780205203.94888163</v>
      </c>
      <c r="BA164" s="534">
        <f>(Sell_unvalid[[#This Row],[Giá MtM]]-10^5)*Sell_unvalid[[#This Row],[QUANTITY]]-Sell_unvalid[[#This Row],[PTCK remain]]</f>
        <v>-3054794796.0511184</v>
      </c>
      <c r="BB164" s="534">
        <f>(Sell_unvalid[[#This Row],[PRICE]]-10^5)*Sell_unvalid[[#This Row],[QUANTITY]]-Sell_unvalid[[#This Row],[PTCK remain]]</f>
        <v>-1472294796.0511184</v>
      </c>
      <c r="BC164" s="534" t="str">
        <f>IF(AND(Sell_unvalid[[#This Row],[VALUE_DATE]]&lt;=RPT,Sell_unvalid[[#This Row],[TRANSACTION_STATUS]]="N"),"Check","Ok")</f>
        <v>Ok</v>
      </c>
      <c r="BD164" s="534"/>
      <c r="BE164" s="615"/>
      <c r="BF164" s="128"/>
      <c r="BG164" s="128"/>
      <c r="BH164" s="375"/>
      <c r="BJ164" s="375"/>
      <c r="BL164" s="530"/>
      <c r="BN164" s="534"/>
      <c r="BO164" s="534"/>
      <c r="BP164" s="534"/>
      <c r="BR164" s="727"/>
      <c r="BS164" s="128"/>
      <c r="BT164" s="848"/>
      <c r="BU164" s="849">
        <v>45981</v>
      </c>
      <c r="BV164" s="848">
        <v>48066</v>
      </c>
      <c r="BW164" s="848" t="s">
        <v>3901</v>
      </c>
      <c r="BX164" s="530">
        <v>1790000</v>
      </c>
      <c r="BY164" s="735">
        <f>_xlfn.XLOOKUP(Est_NIM[[#This Row],[DEAL_BUY_ID]],BS!AL:AL,BS!AU:AU,_xlfn.XLOOKUP(Est_NIM[[#This Row],[DEAL_BUY_ID]],BS!BA:BA,BS!BJ:BJ,,0),0)</f>
        <v>3.0089999999999999</v>
      </c>
      <c r="BZ164" s="534">
        <f>Est_NIM[[#This Row],[QUANT]]*Est_NIM[[#This Row],[YIELD]]</f>
        <v>5386110</v>
      </c>
      <c r="CA164" s="128"/>
      <c r="CB164" s="128"/>
      <c r="CE164" s="331"/>
      <c r="CF164" s="331"/>
      <c r="CG164" s="331"/>
      <c r="CH164">
        <v>3730</v>
      </c>
      <c r="CI164">
        <v>14282</v>
      </c>
      <c r="CN164" s="128"/>
      <c r="CO164" s="128"/>
      <c r="CP164" s="128"/>
      <c r="CQ164" s="128"/>
      <c r="CR164" s="128"/>
      <c r="CS164" s="128"/>
      <c r="CT164" s="128"/>
      <c r="CU164" s="128"/>
      <c r="CV164" s="128"/>
      <c r="CW164" s="128"/>
      <c r="CX164" s="128"/>
      <c r="CY164" s="128"/>
      <c r="CZ164" s="128"/>
      <c r="DA164" s="128"/>
      <c r="DB164" s="128"/>
      <c r="DC164" s="128"/>
      <c r="DD164" s="128"/>
      <c r="DE164" s="128"/>
      <c r="DF164" s="128"/>
      <c r="DG164" s="128"/>
      <c r="DH164" s="128"/>
      <c r="DI164" s="128"/>
      <c r="DJ164" s="128"/>
      <c r="DK164" s="128"/>
      <c r="DL164" s="128"/>
      <c r="DM164" s="128"/>
      <c r="DN164" s="128"/>
      <c r="DO164" s="128"/>
      <c r="DP164" s="128"/>
      <c r="DQ164" s="128"/>
      <c r="DR164" s="128"/>
      <c r="DS164" s="128"/>
      <c r="DT164" s="128"/>
      <c r="DU164" s="128"/>
      <c r="DV164" s="128"/>
      <c r="DW164" s="128"/>
      <c r="DX164" s="128"/>
      <c r="DY164" s="128"/>
      <c r="DZ164" s="530"/>
      <c r="EA164" s="530"/>
      <c r="EB164" s="530"/>
      <c r="EC164" s="530"/>
      <c r="ED164" s="530"/>
      <c r="EE164" s="530"/>
      <c r="EF164" s="530"/>
      <c r="EG164" s="530"/>
      <c r="EH164" s="530"/>
      <c r="EI164" s="530"/>
      <c r="EJ164" s="530"/>
      <c r="EK164" s="530"/>
      <c r="EL164" s="530"/>
      <c r="EM164" s="530"/>
      <c r="EN164" s="530"/>
      <c r="EO164" s="530"/>
      <c r="EP164" s="530"/>
      <c r="EQ164" s="530"/>
      <c r="ER164" s="530"/>
      <c r="ES164" s="530"/>
      <c r="ET164" s="530"/>
      <c r="EU164" s="530"/>
      <c r="EV164" s="530"/>
      <c r="EW164" s="530"/>
      <c r="EX164" s="530"/>
      <c r="EY164" s="530"/>
      <c r="EZ164" s="530"/>
      <c r="FA164" s="530"/>
      <c r="FB164" s="530"/>
      <c r="FC164" s="530"/>
      <c r="FD164" s="530"/>
      <c r="FE164" s="530"/>
      <c r="FF164" s="530"/>
      <c r="FG164" s="530"/>
      <c r="FH164" s="530"/>
      <c r="FI164" s="530"/>
      <c r="FJ164" s="530"/>
      <c r="FK164" s="530"/>
      <c r="FL164" s="530"/>
      <c r="FM164" s="530"/>
      <c r="FN164" s="530"/>
      <c r="FO164" s="530"/>
      <c r="FP164" s="530"/>
      <c r="FQ164" s="530"/>
      <c r="GL164" s="128"/>
      <c r="GM164" s="128"/>
      <c r="GN164" s="128"/>
      <c r="GO164" s="128"/>
      <c r="GP164" s="128"/>
      <c r="GQ164" s="128"/>
      <c r="GR164" s="128"/>
      <c r="GS164" s="128"/>
      <c r="GT164" s="128"/>
      <c r="GU164" s="128"/>
      <c r="GV164" s="128"/>
      <c r="GW164" s="128"/>
      <c r="GX164" s="128"/>
      <c r="GY164" s="128"/>
      <c r="GZ164" s="128"/>
      <c r="HA164" s="128"/>
      <c r="HB164" s="128"/>
      <c r="HC164" s="128"/>
      <c r="HD164" s="128"/>
      <c r="HE164" s="128"/>
      <c r="HF164" s="128"/>
      <c r="HG164" s="128"/>
      <c r="HH164" s="128"/>
      <c r="HI164" s="128"/>
      <c r="HJ164" s="128"/>
      <c r="HK164" s="128"/>
      <c r="HL164" s="128"/>
      <c r="HM164" s="128"/>
      <c r="HN164" s="128"/>
      <c r="HO164" s="128"/>
      <c r="HP164" s="128"/>
      <c r="HQ164" s="128"/>
      <c r="HR164" s="128"/>
      <c r="HS164" s="128"/>
      <c r="HT164" s="128"/>
      <c r="HU164" s="128"/>
      <c r="HV164" s="128"/>
      <c r="HW164" s="128"/>
      <c r="HX164" s="128"/>
      <c r="HY164" s="128"/>
      <c r="HZ164" s="128"/>
      <c r="IA164" s="128"/>
      <c r="IB164" s="128"/>
      <c r="IC164" s="128"/>
    </row>
    <row r="165" spans="41:237" x14ac:dyDescent="0.3">
      <c r="AO165" s="128">
        <v>49329</v>
      </c>
      <c r="AP165" s="128" t="s">
        <v>2497</v>
      </c>
      <c r="AQ165" s="128" t="s">
        <v>824</v>
      </c>
      <c r="AR165" s="128" t="s">
        <v>3594</v>
      </c>
      <c r="AS165" s="375">
        <v>46111</v>
      </c>
      <c r="AT165" s="375">
        <v>46450</v>
      </c>
      <c r="AU165" s="530">
        <v>95495</v>
      </c>
      <c r="AV165" s="128">
        <v>49492</v>
      </c>
      <c r="AW165" s="530">
        <v>300000</v>
      </c>
      <c r="AX165" s="534">
        <f>_xlfn.XLOOKUP(Sell_unvalid[[#This Row],[DEAL_BUY_ID]],BS!BA:BA,BS!BE:BE,,0)</f>
        <v>101607</v>
      </c>
      <c r="AY165" s="534">
        <f>_xlfn.XLOOKUP(Sell_unvalid[[#This Row],[BOND_CODE]],FNRP!D:D,FNRP!I:I,_xlfn.XLOOKUP(Sell_unvalid[[#This Row],[BOND_CODE]],FNRP!AV:AV,FNRP!BA:BA,,0),0)</f>
        <v>92330</v>
      </c>
      <c r="AZ165" s="534">
        <f>_xlfn.XLOOKUP(Sell_unvalid[[#This Row],[DEAL_BUY_ID]],BS!BA:BA,BS!BQ:BQ,,0)*Sell_unvalid[[#This Row],[QUANTITY]]</f>
        <v>476120290.18202031</v>
      </c>
      <c r="BA165" s="534">
        <f>(Sell_unvalid[[#This Row],[Giá MtM]]-10^5)*Sell_unvalid[[#This Row],[QUANTITY]]-Sell_unvalid[[#This Row],[PTCK remain]]</f>
        <v>-2777120290.1820202</v>
      </c>
      <c r="BB165" s="534">
        <f>(Sell_unvalid[[#This Row],[PRICE]]-10^5)*Sell_unvalid[[#This Row],[QUANTITY]]-Sell_unvalid[[#This Row],[PTCK remain]]</f>
        <v>-1827620290.1820202</v>
      </c>
      <c r="BC165" s="534" t="str">
        <f>IF(AND(Sell_unvalid[[#This Row],[VALUE_DATE]]&lt;=RPT,Sell_unvalid[[#This Row],[TRANSACTION_STATUS]]="N"),"Check","Ok")</f>
        <v>Ok</v>
      </c>
      <c r="BD165" s="534"/>
      <c r="BE165" s="615"/>
      <c r="BF165" s="128"/>
      <c r="BG165" s="128"/>
      <c r="BH165" s="375"/>
      <c r="BJ165" s="375"/>
      <c r="BL165" s="530"/>
      <c r="BN165" s="534"/>
      <c r="BO165" s="534"/>
      <c r="BP165" s="534"/>
      <c r="BR165" s="727"/>
      <c r="BS165" s="128"/>
      <c r="BT165" s="848"/>
      <c r="BU165" s="849">
        <v>45988</v>
      </c>
      <c r="BV165" s="848">
        <v>48164</v>
      </c>
      <c r="BW165" s="848" t="s">
        <v>3901</v>
      </c>
      <c r="BX165" s="530">
        <v>1710000</v>
      </c>
      <c r="BY165" s="735">
        <f>_xlfn.XLOOKUP(Est_NIM[[#This Row],[DEAL_BUY_ID]],BS!AL:AL,BS!AU:AU,_xlfn.XLOOKUP(Est_NIM[[#This Row],[DEAL_BUY_ID]],BS!BA:BA,BS!BJ:BJ,,0),0)</f>
        <v>3.3024</v>
      </c>
      <c r="BZ165" s="534">
        <f>Est_NIM[[#This Row],[QUANT]]*Est_NIM[[#This Row],[YIELD]]</f>
        <v>5647104</v>
      </c>
      <c r="CA165" s="128"/>
      <c r="CB165" s="128"/>
      <c r="CE165" s="331"/>
      <c r="CF165" s="331"/>
      <c r="CG165" s="331"/>
      <c r="CH165">
        <v>3730</v>
      </c>
      <c r="CI165">
        <v>14282</v>
      </c>
      <c r="CN165" s="128"/>
      <c r="CO165" s="128"/>
      <c r="CP165" s="128"/>
      <c r="CQ165" s="128"/>
      <c r="CR165" s="128"/>
      <c r="CS165" s="128"/>
      <c r="CT165" s="128"/>
      <c r="CU165" s="128"/>
      <c r="CV165" s="128"/>
      <c r="CW165" s="128"/>
      <c r="CX165" s="128"/>
      <c r="CY165" s="128"/>
      <c r="CZ165" s="128"/>
      <c r="DA165" s="128"/>
      <c r="DB165" s="128"/>
      <c r="DC165" s="128"/>
      <c r="DD165" s="128"/>
      <c r="DE165" s="128"/>
      <c r="DF165" s="128"/>
      <c r="DG165" s="128"/>
      <c r="DH165" s="128"/>
      <c r="DI165" s="128"/>
      <c r="DJ165" s="128"/>
      <c r="DK165" s="128"/>
      <c r="DL165" s="128"/>
      <c r="DM165" s="128"/>
      <c r="DN165" s="128"/>
      <c r="DO165" s="128"/>
      <c r="DP165" s="128"/>
      <c r="DQ165" s="128"/>
      <c r="DR165" s="128"/>
      <c r="DS165" s="128"/>
      <c r="DT165" s="128"/>
      <c r="DU165" s="128"/>
      <c r="DV165" s="128"/>
      <c r="DW165" s="128"/>
      <c r="DX165" s="128"/>
      <c r="DY165" s="128"/>
      <c r="DZ165" s="530"/>
      <c r="EA165" s="530"/>
      <c r="EB165" s="530"/>
      <c r="EC165" s="530"/>
      <c r="ED165" s="530"/>
      <c r="EE165" s="530"/>
      <c r="EF165" s="530"/>
      <c r="EG165" s="530"/>
      <c r="EH165" s="530"/>
      <c r="EI165" s="530"/>
      <c r="EJ165" s="530"/>
      <c r="EK165" s="530"/>
      <c r="EL165" s="530"/>
      <c r="EM165" s="530"/>
      <c r="EN165" s="530"/>
      <c r="EO165" s="530"/>
      <c r="EP165" s="530"/>
      <c r="EQ165" s="530"/>
      <c r="ER165" s="530"/>
      <c r="ES165" s="530"/>
      <c r="ET165" s="530"/>
      <c r="EU165" s="530"/>
      <c r="EV165" s="530"/>
      <c r="EW165" s="530"/>
      <c r="EX165" s="530"/>
      <c r="EY165" s="530"/>
      <c r="EZ165" s="530"/>
      <c r="FA165" s="530"/>
      <c r="FB165" s="530"/>
      <c r="FC165" s="530"/>
      <c r="FD165" s="530"/>
      <c r="FE165" s="530"/>
      <c r="FF165" s="530"/>
      <c r="FG165" s="530"/>
      <c r="FH165" s="530"/>
      <c r="FI165" s="530"/>
      <c r="FJ165" s="530"/>
      <c r="FK165" s="530"/>
      <c r="FL165" s="530"/>
      <c r="FM165" s="530"/>
      <c r="FN165" s="530"/>
      <c r="FO165" s="530"/>
      <c r="FP165" s="530"/>
      <c r="FQ165" s="530"/>
      <c r="GL165" s="128"/>
      <c r="GM165" s="128"/>
      <c r="GN165" s="128"/>
      <c r="GO165" s="128"/>
      <c r="GP165" s="128"/>
      <c r="GQ165" s="128"/>
      <c r="GR165" s="128"/>
      <c r="GS165" s="128"/>
      <c r="GT165" s="128"/>
      <c r="GU165" s="128"/>
      <c r="GV165" s="128"/>
      <c r="GW165" s="128"/>
      <c r="GX165" s="128"/>
      <c r="GY165" s="128"/>
      <c r="GZ165" s="128"/>
      <c r="HA165" s="128"/>
      <c r="HB165" s="128"/>
      <c r="HC165" s="128"/>
      <c r="HD165" s="128"/>
      <c r="HE165" s="128"/>
      <c r="HF165" s="128"/>
      <c r="HG165" s="128"/>
      <c r="HH165" s="128"/>
      <c r="HI165" s="128"/>
      <c r="HJ165" s="128"/>
      <c r="HK165" s="128"/>
      <c r="HL165" s="128"/>
      <c r="HM165" s="128"/>
      <c r="HN165" s="128"/>
      <c r="HO165" s="128"/>
      <c r="HP165" s="128"/>
      <c r="HQ165" s="128"/>
      <c r="HR165" s="128"/>
      <c r="HS165" s="128"/>
      <c r="HT165" s="128"/>
      <c r="HU165" s="128"/>
      <c r="HV165" s="128"/>
      <c r="HW165" s="128"/>
      <c r="HX165" s="128"/>
      <c r="HY165" s="128"/>
      <c r="HZ165" s="128"/>
      <c r="IA165" s="128"/>
      <c r="IB165" s="128"/>
      <c r="IC165" s="128"/>
    </row>
    <row r="166" spans="41:237" x14ac:dyDescent="0.3">
      <c r="AO166" s="128">
        <v>49329</v>
      </c>
      <c r="AP166" s="128" t="s">
        <v>2497</v>
      </c>
      <c r="AQ166" s="128" t="s">
        <v>824</v>
      </c>
      <c r="AR166" s="375" t="s">
        <v>3594</v>
      </c>
      <c r="AS166" s="375">
        <v>46111</v>
      </c>
      <c r="AT166" s="375">
        <v>46450</v>
      </c>
      <c r="AU166" s="530">
        <v>95495</v>
      </c>
      <c r="AV166" s="128">
        <v>49716</v>
      </c>
      <c r="AW166" s="530">
        <v>700000</v>
      </c>
      <c r="AX166" s="534">
        <f>_xlfn.XLOOKUP(Sell_unvalid[[#This Row],[DEAL_BUY_ID]],BS!BA:BA,BS!BE:BE,,0)</f>
        <v>102591</v>
      </c>
      <c r="AY166" s="534">
        <f>_xlfn.XLOOKUP(Sell_unvalid[[#This Row],[BOND_CODE]],FNRP!D:D,FNRP!I:I,_xlfn.XLOOKUP(Sell_unvalid[[#This Row],[BOND_CODE]],FNRP!AV:AV,FNRP!BA:BA,,0),0)</f>
        <v>92330</v>
      </c>
      <c r="AZ166" s="534">
        <f>_xlfn.XLOOKUP(Sell_unvalid[[#This Row],[DEAL_BUY_ID]],BS!BA:BA,BS!BQ:BQ,,0)*Sell_unvalid[[#This Row],[QUANTITY]]</f>
        <v>1796044396.3259895</v>
      </c>
      <c r="BA166" s="534">
        <f>(Sell_unvalid[[#This Row],[Giá MtM]]-10^5)*Sell_unvalid[[#This Row],[QUANTITY]]-Sell_unvalid[[#This Row],[PTCK remain]]</f>
        <v>-7165044396.3259897</v>
      </c>
      <c r="BB166" s="534">
        <f>(Sell_unvalid[[#This Row],[PRICE]]-10^5)*Sell_unvalid[[#This Row],[QUANTITY]]-Sell_unvalid[[#This Row],[PTCK remain]]</f>
        <v>-4949544396.3259897</v>
      </c>
      <c r="BC166" s="534" t="str">
        <f>IF(AND(Sell_unvalid[[#This Row],[VALUE_DATE]]&lt;=RPT,Sell_unvalid[[#This Row],[TRANSACTION_STATUS]]="N"),"Check","Ok")</f>
        <v>Ok</v>
      </c>
      <c r="BD166" s="534"/>
      <c r="BE166" s="534"/>
      <c r="BF166" s="128"/>
      <c r="BG166" s="128"/>
      <c r="BH166" s="375"/>
      <c r="BJ166" s="375"/>
      <c r="BL166" s="530"/>
      <c r="BN166" s="534"/>
      <c r="BO166" s="534"/>
      <c r="BP166" s="534"/>
      <c r="BR166" s="727"/>
      <c r="BS166" s="128"/>
      <c r="BT166" s="848"/>
      <c r="BU166" s="849">
        <v>46003</v>
      </c>
      <c r="BV166" s="848">
        <v>48326</v>
      </c>
      <c r="BW166" s="848" t="s">
        <v>3901</v>
      </c>
      <c r="BX166" s="530">
        <v>500000</v>
      </c>
      <c r="BY166" s="735">
        <f>_xlfn.XLOOKUP(Est_NIM[[#This Row],[DEAL_BUY_ID]],BS!AL:AL,BS!AU:AU,_xlfn.XLOOKUP(Est_NIM[[#This Row],[DEAL_BUY_ID]],BS!BA:BA,BS!BJ:BJ,,0),0)</f>
        <v>3.8</v>
      </c>
      <c r="BZ166" s="534">
        <f>Est_NIM[[#This Row],[QUANT]]*Est_NIM[[#This Row],[YIELD]]</f>
        <v>1900000</v>
      </c>
      <c r="CA166" s="128"/>
      <c r="CB166" s="128"/>
      <c r="CE166" s="331"/>
      <c r="CF166" s="331"/>
      <c r="CG166" s="331"/>
      <c r="CH166">
        <v>3730</v>
      </c>
      <c r="CI166">
        <v>14282</v>
      </c>
      <c r="CN166" s="128"/>
      <c r="CO166" s="128"/>
      <c r="CP166" s="128"/>
      <c r="CQ166" s="128"/>
      <c r="CR166" s="128"/>
      <c r="CS166" s="128"/>
      <c r="CT166" s="128"/>
      <c r="CU166" s="128"/>
      <c r="CV166" s="128"/>
      <c r="CW166" s="128"/>
      <c r="CX166" s="128"/>
      <c r="CY166" s="128"/>
      <c r="CZ166" s="128"/>
      <c r="DA166" s="128"/>
      <c r="DB166" s="128"/>
      <c r="DC166" s="128"/>
      <c r="DD166" s="128"/>
      <c r="DE166" s="128"/>
      <c r="DF166" s="128"/>
      <c r="DG166" s="128"/>
      <c r="DH166" s="128"/>
      <c r="DI166" s="128"/>
      <c r="DJ166" s="128"/>
      <c r="DK166" s="128"/>
      <c r="DL166" s="128"/>
      <c r="DM166" s="128"/>
      <c r="DN166" s="128"/>
      <c r="DO166" s="128"/>
      <c r="DP166" s="128"/>
      <c r="DQ166" s="128"/>
      <c r="DR166" s="128"/>
      <c r="DS166" s="128"/>
      <c r="DT166" s="128"/>
      <c r="DU166" s="128"/>
      <c r="DV166" s="128"/>
      <c r="DW166" s="128"/>
      <c r="DX166" s="128"/>
      <c r="DY166" s="128"/>
      <c r="DZ166" s="530"/>
      <c r="EA166" s="530"/>
      <c r="EB166" s="530"/>
      <c r="EC166" s="530"/>
      <c r="ED166" s="530"/>
      <c r="EE166" s="530"/>
      <c r="EF166" s="530"/>
      <c r="EG166" s="530"/>
      <c r="EH166" s="530"/>
      <c r="EI166" s="530"/>
      <c r="EJ166" s="530"/>
      <c r="EK166" s="530"/>
      <c r="EL166" s="530"/>
      <c r="EM166" s="530"/>
      <c r="EN166" s="530"/>
      <c r="EO166" s="530"/>
      <c r="EP166" s="530"/>
      <c r="EQ166" s="530"/>
      <c r="ER166" s="530"/>
      <c r="ES166" s="530"/>
      <c r="ET166" s="530"/>
      <c r="EU166" s="530"/>
      <c r="EV166" s="530"/>
      <c r="EW166" s="530"/>
      <c r="EX166" s="530"/>
      <c r="EY166" s="530"/>
      <c r="EZ166" s="530"/>
      <c r="FA166" s="530"/>
      <c r="FB166" s="530"/>
      <c r="FC166" s="530"/>
      <c r="FD166" s="530"/>
      <c r="FE166" s="530"/>
      <c r="FF166" s="530"/>
      <c r="FG166" s="530"/>
      <c r="FH166" s="530"/>
      <c r="FI166" s="530"/>
      <c r="FJ166" s="530"/>
      <c r="FK166" s="530"/>
      <c r="FL166" s="530"/>
      <c r="FM166" s="530"/>
      <c r="FN166" s="530"/>
      <c r="FO166" s="530"/>
      <c r="FP166" s="530"/>
      <c r="FQ166" s="530"/>
      <c r="GL166" s="128"/>
      <c r="GM166" s="128"/>
      <c r="GN166" s="128"/>
      <c r="GO166" s="128"/>
      <c r="GP166" s="128"/>
      <c r="GQ166" s="128"/>
      <c r="GR166" s="128"/>
      <c r="GS166" s="128"/>
      <c r="GT166" s="128"/>
      <c r="GU166" s="128"/>
      <c r="GV166" s="128"/>
      <c r="GW166" s="128"/>
      <c r="GX166" s="128"/>
      <c r="GY166" s="128"/>
      <c r="GZ166" s="128"/>
      <c r="HA166" s="128"/>
      <c r="HB166" s="128"/>
      <c r="HC166" s="128"/>
      <c r="HD166" s="128"/>
      <c r="HE166" s="128"/>
      <c r="HF166" s="128"/>
      <c r="HG166" s="128"/>
      <c r="HH166" s="128"/>
      <c r="HI166" s="128"/>
      <c r="HJ166" s="128"/>
      <c r="HK166" s="128"/>
      <c r="HL166" s="128"/>
      <c r="HM166" s="128"/>
      <c r="HN166" s="128"/>
      <c r="HO166" s="128"/>
      <c r="HP166" s="128"/>
      <c r="HQ166" s="128"/>
      <c r="HR166" s="128"/>
      <c r="HS166" s="128"/>
      <c r="HT166" s="128"/>
      <c r="HU166" s="128"/>
      <c r="HV166" s="128"/>
      <c r="HW166" s="128"/>
      <c r="HX166" s="128"/>
      <c r="HY166" s="128"/>
      <c r="HZ166" s="128"/>
      <c r="IA166" s="128"/>
      <c r="IB166" s="128"/>
      <c r="IC166" s="128"/>
    </row>
    <row r="167" spans="41:237" x14ac:dyDescent="0.3">
      <c r="AO167" s="128">
        <v>49329</v>
      </c>
      <c r="AP167" s="128" t="s">
        <v>2497</v>
      </c>
      <c r="AQ167" s="128" t="s">
        <v>824</v>
      </c>
      <c r="AR167" s="375" t="s">
        <v>3594</v>
      </c>
      <c r="AS167" s="375">
        <v>46111</v>
      </c>
      <c r="AT167" s="375">
        <v>46450</v>
      </c>
      <c r="AU167" s="530">
        <v>95495</v>
      </c>
      <c r="AV167" s="128">
        <v>50036</v>
      </c>
      <c r="AW167" s="530">
        <v>700000</v>
      </c>
      <c r="AX167" s="534">
        <f>_xlfn.XLOOKUP(Sell_unvalid[[#This Row],[DEAL_BUY_ID]],BS!BA:BA,BS!BE:BE,,0)</f>
        <v>103234</v>
      </c>
      <c r="AY167" s="534">
        <f>_xlfn.XLOOKUP(Sell_unvalid[[#This Row],[BOND_CODE]],FNRP!D:D,FNRP!I:I,_xlfn.XLOOKUP(Sell_unvalid[[#This Row],[BOND_CODE]],FNRP!AV:AV,FNRP!BA:BA,,0),0)</f>
        <v>92330</v>
      </c>
      <c r="AZ167" s="534">
        <f>_xlfn.XLOOKUP(Sell_unvalid[[#This Row],[DEAL_BUY_ID]],BS!BA:BA,BS!BQ:BQ,,0)*Sell_unvalid[[#This Row],[QUANTITY]]</f>
        <v>2249947862.9352083</v>
      </c>
      <c r="BA167" s="534">
        <f>(Sell_unvalid[[#This Row],[Giá MtM]]-10^5)*Sell_unvalid[[#This Row],[QUANTITY]]-Sell_unvalid[[#This Row],[PTCK remain]]</f>
        <v>-7618947862.9352083</v>
      </c>
      <c r="BB167" s="534">
        <f>(Sell_unvalid[[#This Row],[PRICE]]-10^5)*Sell_unvalid[[#This Row],[QUANTITY]]-Sell_unvalid[[#This Row],[PTCK remain]]</f>
        <v>-5403447862.9352083</v>
      </c>
      <c r="BC167" s="534" t="str">
        <f>IF(AND(Sell_unvalid[[#This Row],[VALUE_DATE]]&lt;=RPT,Sell_unvalid[[#This Row],[TRANSACTION_STATUS]]="N"),"Check","Ok")</f>
        <v>Ok</v>
      </c>
      <c r="BD167" s="534"/>
      <c r="BE167" s="534"/>
      <c r="BF167" s="128"/>
      <c r="BG167" s="128"/>
      <c r="BH167" s="375"/>
      <c r="BJ167" s="375"/>
      <c r="BL167" s="530"/>
      <c r="BN167" s="534"/>
      <c r="BO167" s="534"/>
      <c r="BP167" s="534"/>
      <c r="BR167" s="727"/>
      <c r="BS167" s="128"/>
      <c r="BT167" s="848"/>
      <c r="BU167" s="849">
        <v>46030</v>
      </c>
      <c r="BV167" s="848">
        <v>48421</v>
      </c>
      <c r="BW167" s="848" t="s">
        <v>3901</v>
      </c>
      <c r="BX167" s="530">
        <v>500000</v>
      </c>
      <c r="BY167" s="735">
        <f>_xlfn.XLOOKUP(Est_NIM[[#This Row],[DEAL_BUY_ID]],BS!AL:AL,BS!AU:AU,_xlfn.XLOOKUP(Est_NIM[[#This Row],[DEAL_BUY_ID]],BS!BA:BA,BS!BJ:BJ,,0),0)</f>
        <v>3.12</v>
      </c>
      <c r="BZ167" s="534">
        <f>Est_NIM[[#This Row],[QUANT]]*Est_NIM[[#This Row],[YIELD]]</f>
        <v>1560000</v>
      </c>
      <c r="CA167" s="128"/>
      <c r="CB167" s="128"/>
      <c r="CE167" s="331"/>
      <c r="CF167" s="331"/>
      <c r="CG167" s="331"/>
      <c r="CH167">
        <v>3730</v>
      </c>
      <c r="CI167">
        <v>14282</v>
      </c>
      <c r="CN167" s="128"/>
      <c r="CO167" s="128"/>
      <c r="CP167" s="128"/>
      <c r="CQ167" s="128"/>
      <c r="CR167" s="128"/>
      <c r="CS167" s="128"/>
      <c r="CT167" s="128"/>
      <c r="CU167" s="128"/>
      <c r="CV167" s="128"/>
      <c r="CW167" s="128"/>
      <c r="CX167" s="128"/>
      <c r="CY167" s="128"/>
      <c r="CZ167" s="128"/>
      <c r="DA167" s="128"/>
      <c r="DB167" s="128"/>
      <c r="DC167" s="128"/>
      <c r="DD167" s="128"/>
      <c r="DE167" s="128"/>
      <c r="DF167" s="128"/>
      <c r="DG167" s="128"/>
      <c r="DH167" s="128"/>
      <c r="DI167" s="128"/>
      <c r="DJ167" s="128"/>
      <c r="DK167" s="128"/>
      <c r="DL167" s="128"/>
      <c r="DM167" s="128"/>
      <c r="DN167" s="128"/>
      <c r="DO167" s="128"/>
      <c r="DP167" s="128"/>
      <c r="DQ167" s="128"/>
      <c r="DR167" s="128"/>
      <c r="DS167" s="128"/>
      <c r="DT167" s="128"/>
      <c r="DU167" s="128"/>
      <c r="DV167" s="128"/>
      <c r="DW167" s="128"/>
      <c r="DX167" s="128"/>
      <c r="DY167" s="128"/>
      <c r="DZ167" s="530"/>
      <c r="EA167" s="530"/>
      <c r="EB167" s="530"/>
      <c r="EC167" s="530"/>
      <c r="ED167" s="530"/>
      <c r="EE167" s="530"/>
      <c r="EF167" s="530"/>
      <c r="EG167" s="530"/>
      <c r="EH167" s="530"/>
      <c r="EI167" s="530"/>
      <c r="EJ167" s="530"/>
      <c r="EK167" s="530"/>
      <c r="EL167" s="530"/>
      <c r="EM167" s="530"/>
      <c r="EN167" s="530"/>
      <c r="EO167" s="530"/>
      <c r="EP167" s="530"/>
      <c r="EQ167" s="530"/>
      <c r="ER167" s="530"/>
      <c r="ES167" s="530"/>
      <c r="ET167" s="530"/>
      <c r="EU167" s="530"/>
      <c r="EV167" s="530"/>
      <c r="EW167" s="530"/>
      <c r="EX167" s="530"/>
      <c r="EY167" s="530"/>
      <c r="EZ167" s="530"/>
      <c r="FA167" s="530"/>
      <c r="FB167" s="530"/>
      <c r="FC167" s="530"/>
      <c r="FD167" s="530"/>
      <c r="FE167" s="530"/>
      <c r="FF167" s="530"/>
      <c r="FG167" s="530"/>
      <c r="FH167" s="530"/>
      <c r="FI167" s="530"/>
      <c r="FJ167" s="530"/>
      <c r="FK167" s="530"/>
      <c r="FL167" s="530"/>
      <c r="FM167" s="530"/>
      <c r="FN167" s="530"/>
      <c r="FO167" s="530"/>
      <c r="FP167" s="530"/>
      <c r="FQ167" s="530"/>
      <c r="GL167" s="128"/>
      <c r="GM167" s="128"/>
      <c r="GN167" s="128"/>
      <c r="GO167" s="128"/>
      <c r="GP167" s="128"/>
      <c r="GQ167" s="128"/>
      <c r="GR167" s="128"/>
      <c r="GS167" s="128"/>
      <c r="GT167" s="128"/>
      <c r="GU167" s="128"/>
      <c r="GV167" s="128"/>
      <c r="GW167" s="128"/>
      <c r="GX167" s="128"/>
      <c r="GY167" s="128"/>
      <c r="GZ167" s="128"/>
      <c r="HA167" s="128"/>
      <c r="HB167" s="128"/>
      <c r="HC167" s="128"/>
      <c r="HD167" s="128"/>
      <c r="HE167" s="128"/>
      <c r="HF167" s="128"/>
      <c r="HG167" s="128"/>
      <c r="HH167" s="128"/>
      <c r="HI167" s="128"/>
      <c r="HJ167" s="128"/>
      <c r="HK167" s="128"/>
      <c r="HL167" s="128"/>
      <c r="HM167" s="128"/>
      <c r="HN167" s="128"/>
      <c r="HO167" s="128"/>
      <c r="HP167" s="128"/>
      <c r="HQ167" s="128"/>
      <c r="HR167" s="128"/>
      <c r="HS167" s="128"/>
      <c r="HT167" s="128"/>
      <c r="HU167" s="128"/>
      <c r="HV167" s="128"/>
      <c r="HW167" s="128"/>
      <c r="HX167" s="128"/>
      <c r="HY167" s="128"/>
      <c r="HZ167" s="128"/>
      <c r="IA167" s="128"/>
      <c r="IB167" s="128"/>
      <c r="IC167" s="128"/>
    </row>
    <row r="168" spans="41:237" x14ac:dyDescent="0.3">
      <c r="AO168" s="128">
        <v>49329</v>
      </c>
      <c r="AP168" s="128" t="s">
        <v>2497</v>
      </c>
      <c r="AQ168" s="128" t="s">
        <v>824</v>
      </c>
      <c r="AR168" s="128" t="s">
        <v>3594</v>
      </c>
      <c r="AS168" s="375">
        <v>46111</v>
      </c>
      <c r="AT168" s="375">
        <v>46450</v>
      </c>
      <c r="AU168" s="530">
        <v>95495</v>
      </c>
      <c r="AV168" s="128">
        <v>50380</v>
      </c>
      <c r="AW168" s="530">
        <v>700000</v>
      </c>
      <c r="AX168" s="534">
        <f>_xlfn.XLOOKUP(Sell_unvalid[[#This Row],[DEAL_BUY_ID]],BS!BA:BA,BS!BE:BE,,0)</f>
        <v>106603</v>
      </c>
      <c r="AY168" s="534">
        <f>_xlfn.XLOOKUP(Sell_unvalid[[#This Row],[BOND_CODE]],FNRP!D:D,FNRP!I:I,_xlfn.XLOOKUP(Sell_unvalid[[#This Row],[BOND_CODE]],FNRP!AV:AV,FNRP!BA:BA,,0),0)</f>
        <v>92330</v>
      </c>
      <c r="AZ168" s="534">
        <f>_xlfn.XLOOKUP(Sell_unvalid[[#This Row],[DEAL_BUY_ID]],BS!BA:BA,BS!BQ:BQ,,0)*Sell_unvalid[[#This Row],[QUANTITY]]</f>
        <v>4621493595.5555201</v>
      </c>
      <c r="BA168" s="534">
        <f>(Sell_unvalid[[#This Row],[Giá MtM]]-10^5)*Sell_unvalid[[#This Row],[QUANTITY]]-Sell_unvalid[[#This Row],[PTCK remain]]</f>
        <v>-9990493595.5555191</v>
      </c>
      <c r="BB168" s="534">
        <f>(Sell_unvalid[[#This Row],[PRICE]]-10^5)*Sell_unvalid[[#This Row],[QUANTITY]]-Sell_unvalid[[#This Row],[PTCK remain]]</f>
        <v>-7774993595.5555201</v>
      </c>
      <c r="BC168" s="534" t="str">
        <f>IF(AND(Sell_unvalid[[#This Row],[VALUE_DATE]]&lt;=RPT,Sell_unvalid[[#This Row],[TRANSACTION_STATUS]]="N"),"Check","Ok")</f>
        <v>Ok</v>
      </c>
      <c r="BD168" s="534"/>
      <c r="BE168" s="534"/>
      <c r="BF168" s="128"/>
      <c r="BG168" s="128"/>
      <c r="BH168" s="375"/>
      <c r="BJ168" s="375"/>
      <c r="BL168" s="530"/>
      <c r="BN168" s="534"/>
      <c r="BO168" s="534"/>
      <c r="BP168" s="534"/>
      <c r="BR168" s="727"/>
      <c r="BS168" s="128"/>
      <c r="BT168" s="848"/>
      <c r="BU168" s="849">
        <v>46059</v>
      </c>
      <c r="BV168" s="848">
        <v>48869</v>
      </c>
      <c r="BW168" s="848" t="s">
        <v>3901</v>
      </c>
      <c r="BX168" s="530">
        <v>2000000</v>
      </c>
      <c r="BY168" s="735">
        <f>_xlfn.XLOOKUP(Est_NIM[[#This Row],[DEAL_BUY_ID]],BS!AL:AL,BS!AU:AU,_xlfn.XLOOKUP(Est_NIM[[#This Row],[DEAL_BUY_ID]],BS!BA:BA,BS!BJ:BJ,,0),0)</f>
        <v>3.0045999999999999</v>
      </c>
      <c r="BZ168" s="534">
        <f>Est_NIM[[#This Row],[QUANT]]*Est_NIM[[#This Row],[YIELD]]</f>
        <v>6009200</v>
      </c>
      <c r="CA168" s="128"/>
      <c r="CB168" s="128"/>
      <c r="CE168" s="331"/>
      <c r="CF168" s="331"/>
      <c r="CG168" s="331"/>
      <c r="CH168">
        <v>3730</v>
      </c>
      <c r="CI168">
        <v>14282</v>
      </c>
      <c r="CN168" s="128"/>
      <c r="CO168" s="128"/>
      <c r="CP168" s="128"/>
      <c r="CQ168" s="128"/>
      <c r="CR168" s="128"/>
      <c r="CS168" s="128"/>
      <c r="CT168" s="128"/>
      <c r="CU168" s="128"/>
      <c r="CV168" s="128"/>
      <c r="CW168" s="128"/>
      <c r="CX168" s="128"/>
      <c r="CY168" s="128"/>
      <c r="CZ168" s="128"/>
      <c r="DA168" s="128"/>
      <c r="DB168" s="128"/>
      <c r="DC168" s="128"/>
      <c r="DD168" s="128"/>
      <c r="DE168" s="128"/>
      <c r="DF168" s="128"/>
      <c r="DG168" s="128"/>
      <c r="DH168" s="128"/>
      <c r="DI168" s="128"/>
      <c r="DJ168" s="128"/>
      <c r="DK168" s="128"/>
      <c r="DL168" s="128"/>
      <c r="DM168" s="128"/>
      <c r="DN168" s="128"/>
      <c r="DO168" s="128"/>
      <c r="DP168" s="128"/>
      <c r="DQ168" s="128"/>
      <c r="DR168" s="128"/>
      <c r="DS168" s="128"/>
      <c r="DT168" s="128"/>
      <c r="DU168" s="128"/>
      <c r="DV168" s="128"/>
      <c r="DW168" s="128"/>
      <c r="DX168" s="128"/>
      <c r="DY168" s="128"/>
      <c r="DZ168" s="530"/>
      <c r="EA168" s="530"/>
      <c r="EB168" s="530"/>
      <c r="EC168" s="530"/>
      <c r="ED168" s="530"/>
      <c r="EE168" s="530"/>
      <c r="EF168" s="530"/>
      <c r="EG168" s="530"/>
      <c r="EH168" s="530"/>
      <c r="EI168" s="530"/>
      <c r="EJ168" s="530"/>
      <c r="EK168" s="530"/>
      <c r="EL168" s="530"/>
      <c r="EM168" s="530"/>
      <c r="EN168" s="530"/>
      <c r="EO168" s="530"/>
      <c r="EP168" s="530"/>
      <c r="EQ168" s="530"/>
      <c r="ER168" s="530"/>
      <c r="ES168" s="530"/>
      <c r="ET168" s="530"/>
      <c r="EU168" s="530"/>
      <c r="EV168" s="530"/>
      <c r="EW168" s="530"/>
      <c r="EX168" s="530"/>
      <c r="EY168" s="530"/>
      <c r="EZ168" s="530"/>
      <c r="FA168" s="530"/>
      <c r="FB168" s="530"/>
      <c r="FC168" s="530"/>
      <c r="FD168" s="530"/>
      <c r="FE168" s="530"/>
      <c r="FF168" s="530"/>
      <c r="FG168" s="530"/>
      <c r="FH168" s="530"/>
      <c r="FI168" s="530"/>
      <c r="FJ168" s="530"/>
      <c r="FK168" s="530"/>
      <c r="FL168" s="530"/>
      <c r="FM168" s="530"/>
      <c r="FN168" s="530"/>
      <c r="FO168" s="530"/>
      <c r="FP168" s="530"/>
      <c r="FQ168" s="530"/>
      <c r="GL168" s="128"/>
      <c r="GM168" s="128"/>
      <c r="GN168" s="128"/>
      <c r="GO168" s="128"/>
      <c r="GP168" s="128"/>
      <c r="GQ168" s="128"/>
      <c r="GR168" s="128"/>
      <c r="GS168" s="128"/>
      <c r="GT168" s="128"/>
      <c r="GU168" s="128"/>
      <c r="GV168" s="128"/>
      <c r="GW168" s="128"/>
      <c r="GX168" s="128"/>
      <c r="GY168" s="128"/>
      <c r="GZ168" s="128"/>
      <c r="HA168" s="128"/>
      <c r="HB168" s="128"/>
      <c r="HC168" s="128"/>
      <c r="HD168" s="128"/>
      <c r="HE168" s="128"/>
      <c r="HF168" s="128"/>
      <c r="HG168" s="128"/>
      <c r="HH168" s="128"/>
      <c r="HI168" s="128"/>
      <c r="HJ168" s="128"/>
      <c r="HK168" s="128"/>
      <c r="HL168" s="128"/>
      <c r="HM168" s="128"/>
      <c r="HN168" s="128"/>
      <c r="HO168" s="128"/>
      <c r="HP168" s="128"/>
      <c r="HQ168" s="128"/>
      <c r="HR168" s="128"/>
      <c r="HS168" s="128"/>
      <c r="HT168" s="128"/>
      <c r="HU168" s="128"/>
      <c r="HV168" s="128"/>
      <c r="HW168" s="128"/>
      <c r="HX168" s="128"/>
      <c r="HY168" s="128"/>
      <c r="HZ168" s="128"/>
      <c r="IA168" s="128"/>
      <c r="IB168" s="128"/>
      <c r="IC168" s="128"/>
    </row>
    <row r="169" spans="41:237" x14ac:dyDescent="0.3">
      <c r="AO169" s="128">
        <v>49329</v>
      </c>
      <c r="AP169" s="128" t="s">
        <v>2497</v>
      </c>
      <c r="AQ169" s="128" t="s">
        <v>824</v>
      </c>
      <c r="AR169" s="128" t="s">
        <v>3594</v>
      </c>
      <c r="AS169" s="375">
        <v>46111</v>
      </c>
      <c r="AT169" s="375">
        <v>46450</v>
      </c>
      <c r="AU169" s="530">
        <v>95495</v>
      </c>
      <c r="AV169" s="128">
        <v>50444</v>
      </c>
      <c r="AW169" s="530">
        <v>800000</v>
      </c>
      <c r="AX169" s="534">
        <f>_xlfn.XLOOKUP(Sell_unvalid[[#This Row],[DEAL_BUY_ID]],BS!BA:BA,BS!BE:BE,,0)</f>
        <v>95482</v>
      </c>
      <c r="AY169" s="534">
        <f>_xlfn.XLOOKUP(Sell_unvalid[[#This Row],[BOND_CODE]],FNRP!D:D,FNRP!I:I,_xlfn.XLOOKUP(Sell_unvalid[[#This Row],[BOND_CODE]],FNRP!AV:AV,FNRP!BA:BA,,0),0)</f>
        <v>92330</v>
      </c>
      <c r="AZ169" s="534">
        <f>_xlfn.XLOOKUP(Sell_unvalid[[#This Row],[DEAL_BUY_ID]],BS!BA:BA,BS!BQ:BQ,,0)*Sell_unvalid[[#This Row],[QUANTITY]]</f>
        <v>-3617817999.0739584</v>
      </c>
      <c r="BA169" s="534">
        <f>(Sell_unvalid[[#This Row],[Giá MtM]]-10^5)*Sell_unvalid[[#This Row],[QUANTITY]]-Sell_unvalid[[#This Row],[PTCK remain]]</f>
        <v>-2518182000.9260416</v>
      </c>
      <c r="BB169" s="534">
        <f>(Sell_unvalid[[#This Row],[PRICE]]-10^5)*Sell_unvalid[[#This Row],[QUANTITY]]-Sell_unvalid[[#This Row],[PTCK remain]]</f>
        <v>13817999.073958397</v>
      </c>
      <c r="BC169" s="534" t="str">
        <f>IF(AND(Sell_unvalid[[#This Row],[VALUE_DATE]]&lt;=RPT,Sell_unvalid[[#This Row],[TRANSACTION_STATUS]]="N"),"Check","Ok")</f>
        <v>Ok</v>
      </c>
      <c r="BD169" s="534"/>
      <c r="BE169" s="534"/>
      <c r="BF169" s="128"/>
      <c r="BG169" s="128"/>
      <c r="BH169" s="375"/>
      <c r="BJ169" s="375"/>
      <c r="BL169" s="530"/>
      <c r="BN169" s="534"/>
      <c r="BO169" s="534"/>
      <c r="BP169" s="534"/>
      <c r="BR169" s="727"/>
      <c r="BS169" s="128"/>
      <c r="BT169" s="848"/>
      <c r="BU169" s="849">
        <v>46065</v>
      </c>
      <c r="BV169" s="848">
        <v>48970</v>
      </c>
      <c r="BW169" s="848" t="s">
        <v>3901</v>
      </c>
      <c r="BX169" s="530">
        <v>1390000</v>
      </c>
      <c r="BY169" s="735">
        <f>_xlfn.XLOOKUP(Est_NIM[[#This Row],[DEAL_BUY_ID]],BS!AL:AL,BS!AU:AU,_xlfn.XLOOKUP(Est_NIM[[#This Row],[DEAL_BUY_ID]],BS!BA:BA,BS!BJ:BJ,,0),0)</f>
        <v>3.4611999999999998</v>
      </c>
      <c r="BZ169" s="534">
        <f>Est_NIM[[#This Row],[QUANT]]*Est_NIM[[#This Row],[YIELD]]</f>
        <v>4811068</v>
      </c>
      <c r="CA169" s="128"/>
      <c r="CB169" s="128"/>
      <c r="CE169" s="331"/>
      <c r="CF169" s="331"/>
      <c r="CG169" s="331"/>
      <c r="CH169">
        <v>3730</v>
      </c>
      <c r="CI169">
        <v>14282</v>
      </c>
      <c r="CN169" s="128"/>
      <c r="CO169" s="128"/>
      <c r="CP169" s="128"/>
      <c r="CQ169" s="128"/>
      <c r="CR169" s="128"/>
      <c r="CS169" s="128"/>
      <c r="CT169" s="128"/>
      <c r="CU169" s="128"/>
      <c r="CV169" s="128"/>
      <c r="CW169" s="128"/>
      <c r="CX169" s="128"/>
      <c r="CY169" s="128"/>
      <c r="CZ169" s="128"/>
      <c r="DA169" s="128"/>
      <c r="DB169" s="128"/>
      <c r="DC169" s="128"/>
      <c r="DD169" s="128"/>
      <c r="DE169" s="128"/>
      <c r="DF169" s="128"/>
      <c r="DG169" s="128"/>
      <c r="DH169" s="128"/>
      <c r="DI169" s="128"/>
      <c r="DJ169" s="128"/>
      <c r="DK169" s="128"/>
      <c r="DL169" s="128"/>
      <c r="DM169" s="128"/>
      <c r="DN169" s="128"/>
      <c r="DO169" s="128"/>
      <c r="DP169" s="128"/>
      <c r="DQ169" s="128"/>
      <c r="DR169" s="128"/>
      <c r="DS169" s="128"/>
      <c r="DT169" s="128"/>
      <c r="DU169" s="128"/>
      <c r="DV169" s="128"/>
      <c r="DW169" s="128"/>
      <c r="DX169" s="128"/>
      <c r="DY169" s="128"/>
      <c r="DZ169" s="530"/>
      <c r="EA169" s="530"/>
      <c r="EB169" s="530"/>
      <c r="EC169" s="530"/>
      <c r="ED169" s="530"/>
      <c r="EE169" s="530"/>
      <c r="EF169" s="530"/>
      <c r="EG169" s="530"/>
      <c r="EH169" s="530"/>
      <c r="EI169" s="530"/>
      <c r="EJ169" s="530"/>
      <c r="EK169" s="530"/>
      <c r="EL169" s="530"/>
      <c r="EM169" s="530"/>
      <c r="EN169" s="530"/>
      <c r="EO169" s="530"/>
      <c r="EP169" s="530"/>
      <c r="EQ169" s="530"/>
      <c r="ER169" s="530"/>
      <c r="ES169" s="530"/>
      <c r="ET169" s="530"/>
      <c r="EU169" s="530"/>
      <c r="EV169" s="530"/>
      <c r="EW169" s="530"/>
      <c r="EX169" s="530"/>
      <c r="EY169" s="530"/>
      <c r="EZ169" s="530"/>
      <c r="FA169" s="530"/>
      <c r="FB169" s="530"/>
      <c r="FC169" s="530"/>
      <c r="FD169" s="530"/>
      <c r="FE169" s="530"/>
      <c r="FF169" s="530"/>
      <c r="FG169" s="530"/>
      <c r="FH169" s="530"/>
      <c r="FI169" s="530"/>
      <c r="FJ169" s="530"/>
      <c r="FK169" s="530"/>
      <c r="FL169" s="530"/>
      <c r="FM169" s="530"/>
      <c r="FN169" s="530"/>
      <c r="FO169" s="530"/>
      <c r="FP169" s="530"/>
      <c r="FQ169" s="530"/>
      <c r="GL169" s="128"/>
      <c r="GM169" s="128"/>
      <c r="GN169" s="128"/>
      <c r="GO169" s="128"/>
      <c r="GP169" s="128"/>
      <c r="GQ169" s="128"/>
      <c r="GR169" s="128"/>
      <c r="GS169" s="128"/>
      <c r="GT169" s="128"/>
      <c r="GU169" s="128"/>
      <c r="GV169" s="128"/>
      <c r="GW169" s="128"/>
      <c r="GX169" s="128"/>
      <c r="GY169" s="128"/>
      <c r="GZ169" s="128"/>
      <c r="HA169" s="128"/>
      <c r="HB169" s="128"/>
      <c r="HC169" s="128"/>
      <c r="HD169" s="128"/>
      <c r="HE169" s="128"/>
      <c r="HF169" s="128"/>
      <c r="HG169" s="128"/>
      <c r="HH169" s="128"/>
      <c r="HI169" s="128"/>
      <c r="HJ169" s="128"/>
      <c r="HK169" s="128"/>
      <c r="HL169" s="128"/>
      <c r="HM169" s="128"/>
      <c r="HN169" s="128"/>
      <c r="HO169" s="128"/>
      <c r="HP169" s="128"/>
      <c r="HQ169" s="128"/>
      <c r="HR169" s="128"/>
      <c r="HS169" s="128"/>
      <c r="HT169" s="128"/>
      <c r="HU169" s="128"/>
      <c r="HV169" s="128"/>
      <c r="HW169" s="128"/>
      <c r="HX169" s="128"/>
      <c r="HY169" s="128"/>
      <c r="HZ169" s="128"/>
      <c r="IA169" s="128"/>
      <c r="IB169" s="128"/>
      <c r="IC169" s="128"/>
    </row>
    <row r="170" spans="41:237" x14ac:dyDescent="0.3">
      <c r="AO170" s="128">
        <v>49329</v>
      </c>
      <c r="AP170" s="128" t="s">
        <v>2497</v>
      </c>
      <c r="AQ170" s="128" t="s">
        <v>824</v>
      </c>
      <c r="AR170" s="128" t="s">
        <v>3594</v>
      </c>
      <c r="AS170" s="375">
        <v>46111</v>
      </c>
      <c r="AT170" s="375">
        <v>46450</v>
      </c>
      <c r="AU170" s="530">
        <v>95495</v>
      </c>
      <c r="AV170" s="128">
        <v>50446</v>
      </c>
      <c r="AW170" s="530">
        <v>800000</v>
      </c>
      <c r="AX170" s="534">
        <f>_xlfn.XLOOKUP(Sell_unvalid[[#This Row],[DEAL_BUY_ID]],BS!BA:BA,BS!BE:BE,,0)</f>
        <v>99915</v>
      </c>
      <c r="AY170" s="534">
        <f>_xlfn.XLOOKUP(Sell_unvalid[[#This Row],[BOND_CODE]],FNRP!D:D,FNRP!I:I,_xlfn.XLOOKUP(Sell_unvalid[[#This Row],[BOND_CODE]],FNRP!AV:AV,FNRP!BA:BA,,0),0)</f>
        <v>92330</v>
      </c>
      <c r="AZ170" s="534">
        <f>_xlfn.XLOOKUP(Sell_unvalid[[#This Row],[DEAL_BUY_ID]],BS!BA:BA,BS!BQ:BQ,,0)*Sell_unvalid[[#This Row],[QUANTITY]]</f>
        <v>-67815821.020769104</v>
      </c>
      <c r="BA170" s="534">
        <f>(Sell_unvalid[[#This Row],[Giá MtM]]-10^5)*Sell_unvalid[[#This Row],[QUANTITY]]-Sell_unvalid[[#This Row],[PTCK remain]]</f>
        <v>-6068184178.9792309</v>
      </c>
      <c r="BB170" s="534">
        <f>(Sell_unvalid[[#This Row],[PRICE]]-10^5)*Sell_unvalid[[#This Row],[QUANTITY]]-Sell_unvalid[[#This Row],[PTCK remain]]</f>
        <v>-3536184178.9792309</v>
      </c>
      <c r="BC170" s="534" t="str">
        <f>IF(AND(Sell_unvalid[[#This Row],[VALUE_DATE]]&lt;=RPT,Sell_unvalid[[#This Row],[TRANSACTION_STATUS]]="N"),"Check","Ok")</f>
        <v>Ok</v>
      </c>
      <c r="BD170" s="534"/>
      <c r="BE170" s="534"/>
      <c r="BF170" s="128"/>
      <c r="BG170" s="128"/>
      <c r="BH170" s="375"/>
      <c r="BJ170" s="375"/>
      <c r="BL170" s="530"/>
      <c r="BN170" s="534"/>
      <c r="BO170" s="534"/>
      <c r="BP170" s="534"/>
      <c r="BR170" s="727"/>
      <c r="BS170" s="128"/>
      <c r="BT170" s="848"/>
      <c r="BU170" s="849">
        <v>46094</v>
      </c>
      <c r="BV170" s="848">
        <v>49112</v>
      </c>
      <c r="BW170" s="848" t="s">
        <v>3901</v>
      </c>
      <c r="BX170" s="530">
        <v>1000000</v>
      </c>
      <c r="BY170" s="735">
        <f>_xlfn.XLOOKUP(Est_NIM[[#This Row],[DEAL_BUY_ID]],BS!AL:AL,BS!AU:AU,_xlfn.XLOOKUP(Est_NIM[[#This Row],[DEAL_BUY_ID]],BS!BA:BA,BS!BJ:BJ,,0),0)</f>
        <v>3.6568000000000001</v>
      </c>
      <c r="BZ170" s="534">
        <f>Est_NIM[[#This Row],[QUANT]]*Est_NIM[[#This Row],[YIELD]]</f>
        <v>3656800</v>
      </c>
      <c r="CA170" s="128"/>
      <c r="CB170" s="128"/>
      <c r="CE170" s="331"/>
      <c r="CF170" s="331"/>
      <c r="CG170" s="331"/>
      <c r="CH170">
        <v>3730</v>
      </c>
      <c r="CI170">
        <v>14282</v>
      </c>
      <c r="CN170" s="128"/>
      <c r="CO170" s="128"/>
      <c r="CP170" s="128"/>
      <c r="CQ170" s="128"/>
      <c r="CR170" s="128"/>
      <c r="CS170" s="128"/>
      <c r="CT170" s="128"/>
      <c r="CU170" s="128"/>
      <c r="CV170" s="128"/>
      <c r="CW170" s="128"/>
      <c r="CX170" s="128"/>
      <c r="CY170" s="128"/>
      <c r="CZ170" s="128"/>
      <c r="DA170" s="128"/>
      <c r="DB170" s="128"/>
      <c r="DC170" s="128"/>
      <c r="DD170" s="128"/>
      <c r="DE170" s="128"/>
      <c r="DF170" s="128"/>
      <c r="DG170" s="128"/>
      <c r="DH170" s="128"/>
      <c r="DI170" s="128"/>
      <c r="DJ170" s="128"/>
      <c r="DK170" s="128"/>
      <c r="DL170" s="128"/>
      <c r="DM170" s="128"/>
      <c r="DN170" s="128"/>
      <c r="DO170" s="128"/>
      <c r="DP170" s="128"/>
      <c r="DQ170" s="128"/>
      <c r="DR170" s="128"/>
      <c r="DS170" s="128"/>
      <c r="DT170" s="128"/>
      <c r="DU170" s="128"/>
      <c r="DV170" s="128"/>
      <c r="DW170" s="128"/>
      <c r="DX170" s="128"/>
      <c r="DY170" s="128"/>
      <c r="DZ170" s="530"/>
      <c r="EA170" s="530"/>
      <c r="EB170" s="530"/>
      <c r="EC170" s="530"/>
      <c r="ED170" s="530"/>
      <c r="EE170" s="530"/>
      <c r="EF170" s="530"/>
      <c r="EG170" s="530"/>
      <c r="EH170" s="530"/>
      <c r="EI170" s="530"/>
      <c r="EJ170" s="530"/>
      <c r="EK170" s="530"/>
      <c r="EL170" s="530"/>
      <c r="EM170" s="530"/>
      <c r="EN170" s="530"/>
      <c r="EO170" s="530"/>
      <c r="EP170" s="530"/>
      <c r="EQ170" s="530"/>
      <c r="ER170" s="530"/>
      <c r="ES170" s="530"/>
      <c r="ET170" s="530"/>
      <c r="EU170" s="530"/>
      <c r="EV170" s="530"/>
      <c r="EW170" s="530"/>
      <c r="EX170" s="530"/>
      <c r="EY170" s="530"/>
      <c r="EZ170" s="530"/>
      <c r="FA170" s="530"/>
      <c r="FB170" s="530"/>
      <c r="FC170" s="530"/>
      <c r="FD170" s="530"/>
      <c r="FE170" s="530"/>
      <c r="FF170" s="530"/>
      <c r="FG170" s="530"/>
      <c r="FH170" s="530"/>
      <c r="FI170" s="530"/>
      <c r="FJ170" s="530"/>
      <c r="FK170" s="530"/>
      <c r="FL170" s="530"/>
      <c r="FM170" s="530"/>
      <c r="FN170" s="530"/>
      <c r="FO170" s="530"/>
      <c r="FP170" s="530"/>
      <c r="FQ170" s="530"/>
      <c r="GL170" s="128"/>
      <c r="GM170" s="128"/>
      <c r="GN170" s="128"/>
      <c r="GO170" s="128"/>
      <c r="GP170" s="128"/>
      <c r="GQ170" s="128"/>
      <c r="GR170" s="128"/>
      <c r="GS170" s="128"/>
      <c r="GT170" s="128"/>
      <c r="GU170" s="128"/>
      <c r="GV170" s="128"/>
      <c r="GW170" s="128"/>
      <c r="GX170" s="128"/>
      <c r="GY170" s="128"/>
      <c r="GZ170" s="128"/>
      <c r="HA170" s="128"/>
      <c r="HB170" s="128"/>
      <c r="HC170" s="128"/>
      <c r="HD170" s="128"/>
      <c r="HE170" s="128"/>
      <c r="HF170" s="128"/>
      <c r="HG170" s="128"/>
      <c r="HH170" s="128"/>
      <c r="HI170" s="128"/>
      <c r="HJ170" s="128"/>
      <c r="HK170" s="128"/>
      <c r="HL170" s="128"/>
      <c r="HM170" s="128"/>
      <c r="HN170" s="128"/>
      <c r="HO170" s="128"/>
      <c r="HP170" s="128"/>
      <c r="HQ170" s="128"/>
      <c r="HR170" s="128"/>
      <c r="HS170" s="128"/>
      <c r="HT170" s="128"/>
      <c r="HU170" s="128"/>
      <c r="HV170" s="128"/>
      <c r="HW170" s="128"/>
      <c r="HX170" s="128"/>
      <c r="HY170" s="128"/>
      <c r="HZ170" s="128"/>
      <c r="IA170" s="128"/>
      <c r="IB170" s="128"/>
      <c r="IC170" s="128"/>
    </row>
    <row r="171" spans="41:237" x14ac:dyDescent="0.3">
      <c r="AO171" s="128">
        <v>49330</v>
      </c>
      <c r="AP171" s="128" t="s">
        <v>2497</v>
      </c>
      <c r="AQ171" s="128" t="s">
        <v>824</v>
      </c>
      <c r="AR171" s="375" t="s">
        <v>3594</v>
      </c>
      <c r="AS171" s="375">
        <v>46111</v>
      </c>
      <c r="AT171" s="375">
        <v>46450</v>
      </c>
      <c r="AU171" s="530">
        <v>95495</v>
      </c>
      <c r="AV171" s="532">
        <v>49657</v>
      </c>
      <c r="AW171" s="530">
        <v>500000</v>
      </c>
      <c r="AX171" s="534">
        <f>_xlfn.XLOOKUP(Sell_unvalid[[#This Row],[DEAL_BUY_ID]],BS!BA:BA,BS!BE:BE,,0)</f>
        <v>101597</v>
      </c>
      <c r="AY171" s="534">
        <f>_xlfn.XLOOKUP(Sell_unvalid[[#This Row],[BOND_CODE]],FNRP!D:D,FNRP!I:I,_xlfn.XLOOKUP(Sell_unvalid[[#This Row],[BOND_CODE]],FNRP!AV:AV,FNRP!BA:BA,,0),0)</f>
        <v>92330</v>
      </c>
      <c r="AZ171" s="534">
        <f>_xlfn.XLOOKUP(Sell_unvalid[[#This Row],[DEAL_BUY_ID]],BS!BA:BA,BS!BQ:BQ,,0)*Sell_unvalid[[#This Row],[QUANTITY]]</f>
        <v>789811254.55900335</v>
      </c>
      <c r="BA171" s="534">
        <f>(Sell_unvalid[[#This Row],[Giá MtM]]-10^5)*Sell_unvalid[[#This Row],[QUANTITY]]-Sell_unvalid[[#This Row],[PTCK remain]]</f>
        <v>-4624811254.5590038</v>
      </c>
      <c r="BB171" s="534">
        <f>(Sell_unvalid[[#This Row],[PRICE]]-10^5)*Sell_unvalid[[#This Row],[QUANTITY]]-Sell_unvalid[[#This Row],[PTCK remain]]</f>
        <v>-3042311254.5590034</v>
      </c>
      <c r="BC171" s="534" t="str">
        <f>IF(AND(Sell_unvalid[[#This Row],[VALUE_DATE]]&lt;=RPT,Sell_unvalid[[#This Row],[TRANSACTION_STATUS]]="N"),"Check","Ok")</f>
        <v>Ok</v>
      </c>
      <c r="BD171" s="534"/>
      <c r="BE171" s="534"/>
      <c r="BF171" s="128"/>
      <c r="BG171" s="128"/>
      <c r="BH171" s="375"/>
      <c r="BJ171" s="375"/>
      <c r="BL171" s="530"/>
      <c r="BN171" s="534"/>
      <c r="BO171" s="534"/>
      <c r="BP171" s="534"/>
      <c r="BR171" s="727"/>
      <c r="BS171" s="128"/>
      <c r="BT171" s="848"/>
      <c r="BU171" s="849">
        <v>46092</v>
      </c>
      <c r="BV171" s="848">
        <v>49118</v>
      </c>
      <c r="BW171" s="848" t="s">
        <v>3901</v>
      </c>
      <c r="BX171" s="530">
        <v>1000000</v>
      </c>
      <c r="BY171" s="735">
        <f>_xlfn.XLOOKUP(Est_NIM[[#This Row],[DEAL_BUY_ID]],BS!AL:AL,BS!AU:AU,_xlfn.XLOOKUP(Est_NIM[[#This Row],[DEAL_BUY_ID]],BS!BA:BA,BS!BJ:BJ,,0),0)</f>
        <v>3.4049999999999998</v>
      </c>
      <c r="BZ171" s="534">
        <f>Est_NIM[[#This Row],[QUANT]]*Est_NIM[[#This Row],[YIELD]]</f>
        <v>3405000</v>
      </c>
      <c r="CA171" s="128"/>
      <c r="CB171" s="128"/>
      <c r="CE171" s="331"/>
      <c r="CF171" s="331"/>
      <c r="CG171" s="331"/>
      <c r="CH171">
        <v>3730</v>
      </c>
      <c r="CI171">
        <v>14282</v>
      </c>
      <c r="CN171" s="128"/>
      <c r="CO171" s="128"/>
      <c r="CP171" s="128"/>
      <c r="CQ171" s="128"/>
      <c r="CR171" s="128"/>
      <c r="CS171" s="128"/>
      <c r="CT171" s="128"/>
      <c r="CU171" s="128"/>
      <c r="CV171" s="128"/>
      <c r="CW171" s="128"/>
      <c r="CX171" s="128"/>
      <c r="CY171" s="128"/>
      <c r="CZ171" s="128"/>
      <c r="DA171" s="128"/>
      <c r="DB171" s="128"/>
      <c r="DC171" s="128"/>
      <c r="DD171" s="128"/>
      <c r="DE171" s="128"/>
      <c r="DF171" s="128"/>
      <c r="DG171" s="128"/>
      <c r="DH171" s="128"/>
      <c r="DI171" s="128"/>
      <c r="DJ171" s="128"/>
      <c r="DK171" s="128"/>
      <c r="DL171" s="128"/>
      <c r="DM171" s="128"/>
      <c r="DN171" s="128"/>
      <c r="DO171" s="128"/>
      <c r="DP171" s="128"/>
      <c r="DQ171" s="128"/>
      <c r="DR171" s="128"/>
      <c r="DS171" s="128"/>
      <c r="DT171" s="128"/>
      <c r="DU171" s="128"/>
      <c r="DV171" s="128"/>
      <c r="DW171" s="128"/>
      <c r="DX171" s="128"/>
      <c r="DY171" s="128"/>
      <c r="DZ171" s="530"/>
      <c r="EA171" s="530"/>
      <c r="EB171" s="530"/>
      <c r="EC171" s="530"/>
      <c r="ED171" s="530"/>
      <c r="EE171" s="530"/>
      <c r="EF171" s="530"/>
      <c r="EG171" s="530"/>
      <c r="EH171" s="530"/>
      <c r="EI171" s="530"/>
      <c r="EJ171" s="530"/>
      <c r="EK171" s="530"/>
      <c r="EL171" s="530"/>
      <c r="EM171" s="530"/>
      <c r="EN171" s="530"/>
      <c r="EO171" s="530"/>
      <c r="EP171" s="530"/>
      <c r="EQ171" s="530"/>
      <c r="ER171" s="530"/>
      <c r="ES171" s="530"/>
      <c r="ET171" s="530"/>
      <c r="EU171" s="530"/>
      <c r="EV171" s="530"/>
      <c r="EW171" s="530"/>
      <c r="EX171" s="530"/>
      <c r="EY171" s="530"/>
      <c r="EZ171" s="530"/>
      <c r="FA171" s="530"/>
      <c r="FB171" s="530"/>
      <c r="FC171" s="530"/>
      <c r="FD171" s="530"/>
      <c r="FE171" s="530"/>
      <c r="FF171" s="530"/>
      <c r="FG171" s="530"/>
      <c r="FH171" s="530"/>
      <c r="FI171" s="530"/>
      <c r="FJ171" s="530"/>
      <c r="FK171" s="530"/>
      <c r="FL171" s="530"/>
      <c r="FM171" s="530"/>
      <c r="FN171" s="530"/>
      <c r="FO171" s="530"/>
      <c r="FP171" s="530"/>
      <c r="FQ171" s="530"/>
      <c r="GL171" s="128"/>
      <c r="GM171" s="128"/>
      <c r="GN171" s="128"/>
      <c r="GO171" s="128"/>
      <c r="GP171" s="128"/>
      <c r="GQ171" s="128"/>
      <c r="GR171" s="128"/>
      <c r="GS171" s="128"/>
      <c r="GT171" s="128"/>
      <c r="GU171" s="128"/>
      <c r="GV171" s="128"/>
      <c r="GW171" s="128"/>
      <c r="GX171" s="128"/>
      <c r="GY171" s="128"/>
      <c r="GZ171" s="128"/>
      <c r="HA171" s="128"/>
      <c r="HB171" s="128"/>
      <c r="HC171" s="128"/>
      <c r="HD171" s="128"/>
      <c r="HE171" s="128"/>
      <c r="HF171" s="128"/>
      <c r="HG171" s="128"/>
      <c r="HH171" s="128"/>
      <c r="HI171" s="128"/>
      <c r="HJ171" s="128"/>
      <c r="HK171" s="128"/>
      <c r="HL171" s="128"/>
      <c r="HM171" s="128"/>
      <c r="HN171" s="128"/>
      <c r="HO171" s="128"/>
      <c r="HP171" s="128"/>
      <c r="HQ171" s="128"/>
      <c r="HR171" s="128"/>
      <c r="HS171" s="128"/>
      <c r="HT171" s="128"/>
      <c r="HU171" s="128"/>
      <c r="HV171" s="128"/>
      <c r="HW171" s="128"/>
      <c r="HX171" s="128"/>
      <c r="HY171" s="128"/>
      <c r="HZ171" s="128"/>
      <c r="IA171" s="128"/>
      <c r="IB171" s="128"/>
      <c r="IC171" s="128"/>
    </row>
    <row r="172" spans="41:237" x14ac:dyDescent="0.3">
      <c r="AO172" s="128">
        <v>50158</v>
      </c>
      <c r="AP172" s="128" t="s">
        <v>2497</v>
      </c>
      <c r="AQ172" s="128" t="s">
        <v>824</v>
      </c>
      <c r="AR172" s="375" t="s">
        <v>3594</v>
      </c>
      <c r="AS172" s="375">
        <v>46202</v>
      </c>
      <c r="AT172" s="375">
        <v>46210</v>
      </c>
      <c r="AU172" s="530">
        <v>91753</v>
      </c>
      <c r="AV172" s="532">
        <v>49336</v>
      </c>
      <c r="AW172" s="530">
        <v>1600000</v>
      </c>
      <c r="AX172" s="534">
        <f>_xlfn.XLOOKUP(Sell_unvalid[[#This Row],[DEAL_BUY_ID]],BS!BA:BA,BS!BE:BE,,0)</f>
        <v>93741</v>
      </c>
      <c r="AY172" s="534">
        <f>_xlfn.XLOOKUP(Sell_unvalid[[#This Row],[BOND_CODE]],FNRP!D:D,FNRP!I:I,_xlfn.XLOOKUP(Sell_unvalid[[#This Row],[BOND_CODE]],FNRP!AV:AV,FNRP!BA:BA,,0),0)</f>
        <v>92330</v>
      </c>
      <c r="AZ172" s="534">
        <f>_xlfn.XLOOKUP(Sell_unvalid[[#This Row],[DEAL_BUY_ID]],BS!BA:BA,BS!BQ:BQ,,0)*Sell_unvalid[[#This Row],[QUANTITY]]</f>
        <v>-9873216772.0621357</v>
      </c>
      <c r="BA172" s="534">
        <f>(Sell_unvalid[[#This Row],[Giá MtM]]-10^5)*Sell_unvalid[[#This Row],[QUANTITY]]-Sell_unvalid[[#This Row],[PTCK remain]]</f>
        <v>-2398783227.9378643</v>
      </c>
      <c r="BB172" s="534">
        <f>(Sell_unvalid[[#This Row],[PRICE]]-10^5)*Sell_unvalid[[#This Row],[QUANTITY]]-Sell_unvalid[[#This Row],[PTCK remain]]</f>
        <v>-3321983227.9378643</v>
      </c>
      <c r="BC172" s="534" t="str">
        <f>IF(AND(Sell_unvalid[[#This Row],[VALUE_DATE]]&lt;=RPT,Sell_unvalid[[#This Row],[TRANSACTION_STATUS]]="N"),"Check","Ok")</f>
        <v>Ok</v>
      </c>
      <c r="BD172" s="534"/>
      <c r="BE172" s="534"/>
      <c r="BF172" s="128"/>
      <c r="BG172" s="128"/>
      <c r="BH172" s="375"/>
      <c r="BJ172" s="375"/>
      <c r="BL172" s="530"/>
      <c r="BN172" s="534"/>
      <c r="BO172" s="534"/>
      <c r="BP172" s="534"/>
      <c r="BR172" s="727"/>
      <c r="BS172" s="128"/>
      <c r="BT172" s="848"/>
      <c r="BU172" s="849">
        <v>46092</v>
      </c>
      <c r="BV172" s="848">
        <v>49120</v>
      </c>
      <c r="BW172" s="848" t="s">
        <v>3901</v>
      </c>
      <c r="BX172" s="530">
        <v>1000000</v>
      </c>
      <c r="BY172" s="735">
        <f>_xlfn.XLOOKUP(Est_NIM[[#This Row],[DEAL_BUY_ID]],BS!AL:AL,BS!AU:AU,_xlfn.XLOOKUP(Est_NIM[[#This Row],[DEAL_BUY_ID]],BS!BA:BA,BS!BJ:BJ,,0),0)</f>
        <v>3.008</v>
      </c>
      <c r="BZ172" s="534">
        <f>Est_NIM[[#This Row],[QUANT]]*Est_NIM[[#This Row],[YIELD]]</f>
        <v>3008000</v>
      </c>
      <c r="CA172" s="128"/>
      <c r="CB172" s="128"/>
      <c r="CE172" s="331"/>
      <c r="CF172" s="331"/>
      <c r="CG172" s="331"/>
      <c r="CH172">
        <v>3730</v>
      </c>
      <c r="CI172">
        <v>14282</v>
      </c>
      <c r="CN172" s="128"/>
      <c r="CO172" s="128"/>
      <c r="CP172" s="128"/>
      <c r="CQ172" s="128"/>
      <c r="CR172" s="128"/>
      <c r="CS172" s="128"/>
      <c r="CT172" s="128"/>
      <c r="CU172" s="128"/>
      <c r="CV172" s="128"/>
      <c r="CW172" s="128"/>
      <c r="CX172" s="128"/>
      <c r="CY172" s="128"/>
      <c r="CZ172" s="128"/>
      <c r="DA172" s="128"/>
      <c r="DB172" s="128"/>
      <c r="DC172" s="128"/>
      <c r="DD172" s="128"/>
      <c r="DE172" s="128"/>
      <c r="DF172" s="128"/>
      <c r="DG172" s="128"/>
      <c r="DH172" s="128"/>
      <c r="DI172" s="128"/>
      <c r="DJ172" s="128"/>
      <c r="DK172" s="128"/>
      <c r="DL172" s="128"/>
      <c r="DM172" s="128"/>
      <c r="DN172" s="128"/>
      <c r="DO172" s="128"/>
      <c r="DP172" s="128"/>
      <c r="DQ172" s="128"/>
      <c r="DR172" s="128"/>
      <c r="DS172" s="128"/>
      <c r="DT172" s="128"/>
      <c r="DU172" s="128"/>
      <c r="DV172" s="128"/>
      <c r="DW172" s="128"/>
      <c r="DX172" s="128"/>
      <c r="DY172" s="128"/>
      <c r="DZ172" s="530"/>
      <c r="EA172" s="530"/>
      <c r="EB172" s="530"/>
      <c r="EC172" s="530"/>
      <c r="ED172" s="530"/>
      <c r="EE172" s="530"/>
      <c r="EF172" s="530"/>
      <c r="EG172" s="530"/>
      <c r="EH172" s="530"/>
      <c r="EI172" s="530"/>
      <c r="EJ172" s="530"/>
      <c r="EK172" s="530"/>
      <c r="EL172" s="530"/>
      <c r="EM172" s="530"/>
      <c r="EN172" s="530"/>
      <c r="EO172" s="530"/>
      <c r="EP172" s="530"/>
      <c r="EQ172" s="530"/>
      <c r="ER172" s="530"/>
      <c r="ES172" s="530"/>
      <c r="ET172" s="530"/>
      <c r="EU172" s="530"/>
      <c r="EV172" s="530"/>
      <c r="EW172" s="530"/>
      <c r="EX172" s="530"/>
      <c r="EY172" s="530"/>
      <c r="EZ172" s="530"/>
      <c r="FA172" s="530"/>
      <c r="FB172" s="530"/>
      <c r="FC172" s="530"/>
      <c r="FD172" s="530"/>
      <c r="FE172" s="530"/>
      <c r="FF172" s="530"/>
      <c r="FG172" s="530"/>
      <c r="FH172" s="530"/>
      <c r="FI172" s="530"/>
      <c r="FJ172" s="530"/>
      <c r="FK172" s="530"/>
      <c r="FL172" s="530"/>
      <c r="FM172" s="530"/>
      <c r="FN172" s="530"/>
      <c r="FO172" s="530"/>
      <c r="FP172" s="530"/>
      <c r="FQ172" s="530"/>
      <c r="GL172" s="128"/>
      <c r="GM172" s="128"/>
      <c r="GN172" s="128"/>
      <c r="GO172" s="128"/>
      <c r="GP172" s="128"/>
      <c r="GQ172" s="128"/>
      <c r="GR172" s="128"/>
      <c r="GS172" s="128"/>
      <c r="GT172" s="128"/>
      <c r="GU172" s="128"/>
      <c r="GV172" s="128"/>
      <c r="GW172" s="128"/>
      <c r="GX172" s="128"/>
      <c r="GY172" s="128"/>
      <c r="GZ172" s="128"/>
      <c r="HA172" s="128"/>
      <c r="HB172" s="128"/>
      <c r="HC172" s="128"/>
      <c r="HD172" s="128"/>
      <c r="HE172" s="128"/>
      <c r="HF172" s="128"/>
      <c r="HG172" s="128"/>
      <c r="HH172" s="128"/>
      <c r="HI172" s="128"/>
      <c r="HJ172" s="128"/>
      <c r="HK172" s="128"/>
      <c r="HL172" s="128"/>
      <c r="HM172" s="128"/>
      <c r="HN172" s="128"/>
      <c r="HO172" s="128"/>
      <c r="HP172" s="128"/>
      <c r="HQ172" s="128"/>
      <c r="HR172" s="128"/>
      <c r="HS172" s="128"/>
      <c r="HT172" s="128"/>
      <c r="HU172" s="128"/>
      <c r="HV172" s="128"/>
      <c r="HW172" s="128"/>
      <c r="HX172" s="128"/>
      <c r="HY172" s="128"/>
      <c r="HZ172" s="128"/>
      <c r="IA172" s="128"/>
      <c r="IB172" s="128"/>
      <c r="IC172" s="128"/>
    </row>
    <row r="173" spans="41:237" x14ac:dyDescent="0.3">
      <c r="AO173" s="128">
        <v>50168</v>
      </c>
      <c r="AP173" s="128" t="s">
        <v>2497</v>
      </c>
      <c r="AQ173" s="128" t="s">
        <v>824</v>
      </c>
      <c r="AR173" s="375" t="s">
        <v>3594</v>
      </c>
      <c r="AS173" s="375">
        <v>46210</v>
      </c>
      <c r="AT173" s="375">
        <v>46212</v>
      </c>
      <c r="AU173" s="530">
        <v>106622</v>
      </c>
      <c r="AV173" s="532">
        <v>50159</v>
      </c>
      <c r="AW173" s="530">
        <v>800000</v>
      </c>
      <c r="AX173" s="534">
        <f>_xlfn.XLOOKUP(Sell_unvalid[[#This Row],[DEAL_BUY_ID]],BS!BA:BA,BS!BE:BE,,0)</f>
        <v>93756</v>
      </c>
      <c r="AY173" s="534">
        <f>_xlfn.XLOOKUP(Sell_unvalid[[#This Row],[BOND_CODE]],FNRP!D:D,FNRP!I:I,_xlfn.XLOOKUP(Sell_unvalid[[#This Row],[BOND_CODE]],FNRP!AV:AV,FNRP!BA:BA,,0),0)</f>
        <v>92330</v>
      </c>
      <c r="AZ173" s="534">
        <f>_xlfn.XLOOKUP(Sell_unvalid[[#This Row],[DEAL_BUY_ID]],BS!BA:BA,BS!BQ:BQ,,0)*Sell_unvalid[[#This Row],[QUANTITY]]</f>
        <v>-4973878743.7422304</v>
      </c>
      <c r="BA173" s="534">
        <f>(Sell_unvalid[[#This Row],[Giá MtM]]-10^5)*Sell_unvalid[[#This Row],[QUANTITY]]-Sell_unvalid[[#This Row],[PTCK remain]]</f>
        <v>-1162121256.2577696</v>
      </c>
      <c r="BB173" s="534">
        <f>(Sell_unvalid[[#This Row],[PRICE]]-10^5)*Sell_unvalid[[#This Row],[QUANTITY]]-Sell_unvalid[[#This Row],[PTCK remain]]</f>
        <v>10271478743.742229</v>
      </c>
      <c r="BC173" s="534" t="str">
        <f>IF(AND(Sell_unvalid[[#This Row],[VALUE_DATE]]&lt;=RPT,Sell_unvalid[[#This Row],[TRANSACTION_STATUS]]="N"),"Check","Ok")</f>
        <v>Ok</v>
      </c>
      <c r="BD173" s="534"/>
      <c r="BE173" s="534"/>
      <c r="BF173" s="128"/>
      <c r="BG173" s="128"/>
      <c r="BH173" s="375"/>
      <c r="BJ173" s="375"/>
      <c r="BL173" s="530"/>
      <c r="BN173" s="534"/>
      <c r="BO173" s="534"/>
      <c r="BP173" s="534"/>
      <c r="BR173" s="727"/>
      <c r="BS173" s="128"/>
      <c r="BT173" s="848"/>
      <c r="BU173" s="849">
        <v>46098</v>
      </c>
      <c r="BV173" s="848">
        <v>49181</v>
      </c>
      <c r="BW173" s="848" t="s">
        <v>3901</v>
      </c>
      <c r="BX173" s="530">
        <v>2500000</v>
      </c>
      <c r="BY173" s="735">
        <f>_xlfn.XLOOKUP(Est_NIM[[#This Row],[DEAL_BUY_ID]],BS!AL:AL,BS!AU:AU,_xlfn.XLOOKUP(Est_NIM[[#This Row],[DEAL_BUY_ID]],BS!BA:BA,BS!BJ:BJ,,0),0)</f>
        <v>3.1</v>
      </c>
      <c r="BZ173" s="534">
        <f>Est_NIM[[#This Row],[QUANT]]*Est_NIM[[#This Row],[YIELD]]</f>
        <v>7750000</v>
      </c>
      <c r="CA173" s="128"/>
      <c r="CB173" s="128"/>
      <c r="CE173" s="331"/>
      <c r="CF173" s="331"/>
      <c r="CG173" s="331"/>
      <c r="CH173">
        <v>3730</v>
      </c>
      <c r="CI173">
        <v>14282</v>
      </c>
      <c r="CN173" s="128"/>
      <c r="CO173" s="128"/>
      <c r="CP173" s="128"/>
      <c r="CQ173" s="128"/>
      <c r="CR173" s="128"/>
      <c r="CS173" s="128"/>
      <c r="CT173" s="128"/>
      <c r="CU173" s="128"/>
      <c r="CV173" s="128"/>
      <c r="CW173" s="128"/>
      <c r="CX173" s="128"/>
      <c r="CY173" s="128"/>
      <c r="CZ173" s="128"/>
      <c r="DA173" s="128"/>
      <c r="DB173" s="128"/>
      <c r="DC173" s="128"/>
      <c r="DD173" s="128"/>
      <c r="DE173" s="128"/>
      <c r="DF173" s="128"/>
      <c r="DG173" s="128"/>
      <c r="DH173" s="128"/>
      <c r="DI173" s="128"/>
      <c r="DJ173" s="128"/>
      <c r="DK173" s="128"/>
      <c r="DL173" s="128"/>
      <c r="DM173" s="128"/>
      <c r="DN173" s="128"/>
      <c r="DO173" s="128"/>
      <c r="DP173" s="128"/>
      <c r="DQ173" s="128"/>
      <c r="DR173" s="128"/>
      <c r="DS173" s="128"/>
      <c r="DT173" s="128"/>
      <c r="DU173" s="128"/>
      <c r="DV173" s="128"/>
      <c r="DW173" s="128"/>
      <c r="DX173" s="128"/>
      <c r="DY173" s="128"/>
      <c r="DZ173" s="530"/>
      <c r="EA173" s="530"/>
      <c r="EB173" s="530"/>
      <c r="EC173" s="530"/>
      <c r="ED173" s="530"/>
      <c r="EE173" s="530"/>
      <c r="EF173" s="530"/>
      <c r="EG173" s="530"/>
      <c r="EH173" s="530"/>
      <c r="EI173" s="530"/>
      <c r="EJ173" s="530"/>
      <c r="EK173" s="530"/>
      <c r="EL173" s="530"/>
      <c r="EM173" s="530"/>
      <c r="EN173" s="530"/>
      <c r="EO173" s="530"/>
      <c r="EP173" s="530"/>
      <c r="EQ173" s="530"/>
      <c r="ER173" s="530"/>
      <c r="ES173" s="530"/>
      <c r="ET173" s="530"/>
      <c r="EU173" s="530"/>
      <c r="EV173" s="530"/>
      <c r="EW173" s="530"/>
      <c r="EX173" s="530"/>
      <c r="EY173" s="530"/>
      <c r="EZ173" s="530"/>
      <c r="FA173" s="530"/>
      <c r="FB173" s="530"/>
      <c r="FC173" s="530"/>
      <c r="FD173" s="530"/>
      <c r="FE173" s="530"/>
      <c r="FF173" s="530"/>
      <c r="FG173" s="530"/>
      <c r="FH173" s="530"/>
      <c r="FI173" s="530"/>
      <c r="FJ173" s="530"/>
      <c r="FK173" s="530"/>
      <c r="FL173" s="530"/>
      <c r="FM173" s="530"/>
      <c r="FN173" s="530"/>
      <c r="FO173" s="530"/>
      <c r="FP173" s="530"/>
      <c r="FQ173" s="530"/>
      <c r="GL173" s="128"/>
      <c r="GM173" s="128"/>
      <c r="GN173" s="128"/>
      <c r="GO173" s="128"/>
      <c r="GP173" s="128"/>
      <c r="GQ173" s="128"/>
      <c r="GR173" s="128"/>
      <c r="GS173" s="128"/>
      <c r="GT173" s="128"/>
      <c r="GU173" s="128"/>
      <c r="GV173" s="128"/>
      <c r="GW173" s="128"/>
      <c r="GX173" s="128"/>
      <c r="GY173" s="128"/>
      <c r="GZ173" s="128"/>
      <c r="HA173" s="128"/>
      <c r="HB173" s="128"/>
      <c r="HC173" s="128"/>
      <c r="HD173" s="128"/>
      <c r="HE173" s="128"/>
      <c r="HF173" s="128"/>
      <c r="HG173" s="128"/>
      <c r="HH173" s="128"/>
      <c r="HI173" s="128"/>
      <c r="HJ173" s="128"/>
      <c r="HK173" s="128"/>
      <c r="HL173" s="128"/>
      <c r="HM173" s="128"/>
      <c r="HN173" s="128"/>
      <c r="HO173" s="128"/>
      <c r="HP173" s="128"/>
      <c r="HQ173" s="128"/>
      <c r="HR173" s="128"/>
      <c r="HS173" s="128"/>
      <c r="HT173" s="128"/>
      <c r="HU173" s="128"/>
      <c r="HV173" s="128"/>
      <c r="HW173" s="128"/>
      <c r="HX173" s="128"/>
      <c r="HY173" s="128"/>
      <c r="HZ173" s="128"/>
      <c r="IA173" s="128"/>
      <c r="IB173" s="128"/>
      <c r="IC173" s="128"/>
    </row>
    <row r="174" spans="41:237" x14ac:dyDescent="0.3">
      <c r="AO174" s="128">
        <v>50186</v>
      </c>
      <c r="AP174" s="128" t="s">
        <v>2497</v>
      </c>
      <c r="AQ174" s="128" t="s">
        <v>824</v>
      </c>
      <c r="AR174" s="128" t="s">
        <v>3594</v>
      </c>
      <c r="AS174" s="375">
        <v>46216</v>
      </c>
      <c r="AT174" s="375">
        <v>46224</v>
      </c>
      <c r="AU174" s="530">
        <v>104902</v>
      </c>
      <c r="AV174" s="128">
        <v>50159</v>
      </c>
      <c r="AW174" s="530">
        <v>480000</v>
      </c>
      <c r="AX174" s="534">
        <f>_xlfn.XLOOKUP(Sell_unvalid[[#This Row],[DEAL_BUY_ID]],BS!BA:BA,BS!BE:BE,,0)</f>
        <v>93756</v>
      </c>
      <c r="AY174" s="534">
        <f>_xlfn.XLOOKUP(Sell_unvalid[[#This Row],[BOND_CODE]],FNRP!D:D,FNRP!I:I,_xlfn.XLOOKUP(Sell_unvalid[[#This Row],[BOND_CODE]],FNRP!AV:AV,FNRP!BA:BA,,0),0)</f>
        <v>92330</v>
      </c>
      <c r="AZ174" s="534">
        <f>_xlfn.XLOOKUP(Sell_unvalid[[#This Row],[DEAL_BUY_ID]],BS!BA:BA,BS!BQ:BQ,,0)*Sell_unvalid[[#This Row],[QUANTITY]]</f>
        <v>-2984327246.245338</v>
      </c>
      <c r="BA174" s="534">
        <f>(Sell_unvalid[[#This Row],[Giá MtM]]-10^5)*Sell_unvalid[[#This Row],[QUANTITY]]-Sell_unvalid[[#This Row],[PTCK remain]]</f>
        <v>-697272753.75466204</v>
      </c>
      <c r="BB174" s="534">
        <f>(Sell_unvalid[[#This Row],[PRICE]]-10^5)*Sell_unvalid[[#This Row],[QUANTITY]]-Sell_unvalid[[#This Row],[PTCK remain]]</f>
        <v>5337287246.2453384</v>
      </c>
      <c r="BC174" s="534" t="str">
        <f>IF(AND(Sell_unvalid[[#This Row],[VALUE_DATE]]&lt;=RPT,Sell_unvalid[[#This Row],[TRANSACTION_STATUS]]="N"),"Check","Ok")</f>
        <v>Ok</v>
      </c>
      <c r="BD174" s="534"/>
      <c r="BE174" s="534"/>
      <c r="BF174" s="128"/>
      <c r="BG174" s="128"/>
      <c r="BH174" s="375"/>
      <c r="BJ174" s="375"/>
      <c r="BL174" s="530"/>
      <c r="BN174" s="534"/>
      <c r="BO174" s="534"/>
      <c r="BP174" s="534"/>
      <c r="BR174" s="727"/>
      <c r="BS174" s="128"/>
      <c r="BT174" s="848"/>
      <c r="BU174" s="849">
        <v>46136</v>
      </c>
      <c r="BV174" s="848">
        <v>49561</v>
      </c>
      <c r="BW174" s="848" t="s">
        <v>3901</v>
      </c>
      <c r="BX174" s="530">
        <v>500000</v>
      </c>
      <c r="BY174" s="735">
        <f>_xlfn.XLOOKUP(Est_NIM[[#This Row],[DEAL_BUY_ID]],BS!AL:AL,BS!AU:AU,_xlfn.XLOOKUP(Est_NIM[[#This Row],[DEAL_BUY_ID]],BS!BA:BA,BS!BJ:BJ,,0),0)</f>
        <v>2.9148999999999998</v>
      </c>
      <c r="BZ174" s="534">
        <f>Est_NIM[[#This Row],[QUANT]]*Est_NIM[[#This Row],[YIELD]]</f>
        <v>1457450</v>
      </c>
      <c r="CA174" s="128"/>
      <c r="CB174" s="128"/>
      <c r="CE174" s="331"/>
      <c r="CF174" s="331"/>
      <c r="CG174" s="331"/>
      <c r="CH174">
        <v>3730</v>
      </c>
      <c r="CI174">
        <v>14282</v>
      </c>
      <c r="CN174" s="128"/>
      <c r="CO174" s="128"/>
      <c r="CP174" s="128"/>
      <c r="CQ174" s="128"/>
      <c r="CR174" s="128"/>
      <c r="CS174" s="128"/>
      <c r="CT174" s="128"/>
      <c r="CU174" s="128"/>
      <c r="CV174" s="128"/>
      <c r="CW174" s="128"/>
      <c r="CX174" s="128"/>
      <c r="CY174" s="128"/>
      <c r="CZ174" s="128"/>
      <c r="DA174" s="128"/>
      <c r="DB174" s="128"/>
      <c r="DC174" s="128"/>
      <c r="DD174" s="128"/>
      <c r="DE174" s="128"/>
      <c r="DF174" s="128"/>
      <c r="DG174" s="128"/>
      <c r="DH174" s="128"/>
      <c r="DI174" s="128"/>
      <c r="DJ174" s="128"/>
      <c r="DK174" s="128"/>
      <c r="DL174" s="128"/>
      <c r="DM174" s="128"/>
      <c r="DN174" s="128"/>
      <c r="DO174" s="128"/>
      <c r="DP174" s="128"/>
      <c r="DQ174" s="128"/>
      <c r="DR174" s="128"/>
      <c r="DS174" s="128"/>
      <c r="DT174" s="128"/>
      <c r="DU174" s="128"/>
      <c r="DV174" s="128"/>
      <c r="DW174" s="128"/>
      <c r="DX174" s="128"/>
      <c r="DY174" s="128"/>
      <c r="DZ174" s="530"/>
      <c r="EA174" s="530"/>
      <c r="EB174" s="530"/>
      <c r="EC174" s="530"/>
      <c r="ED174" s="530"/>
      <c r="EE174" s="530"/>
      <c r="EF174" s="530"/>
      <c r="EG174" s="530"/>
      <c r="EH174" s="530"/>
      <c r="EI174" s="530"/>
      <c r="EJ174" s="530"/>
      <c r="EK174" s="530"/>
      <c r="EL174" s="530"/>
      <c r="EM174" s="530"/>
      <c r="EN174" s="530"/>
      <c r="EO174" s="530"/>
      <c r="EP174" s="530"/>
      <c r="EQ174" s="530"/>
      <c r="ER174" s="530"/>
      <c r="ES174" s="530"/>
      <c r="ET174" s="530"/>
      <c r="EU174" s="530"/>
      <c r="EV174" s="530"/>
      <c r="EW174" s="530"/>
      <c r="EX174" s="530"/>
      <c r="EY174" s="530"/>
      <c r="EZ174" s="530"/>
      <c r="FA174" s="530"/>
      <c r="FB174" s="530"/>
      <c r="FC174" s="530"/>
      <c r="FD174" s="530"/>
      <c r="FE174" s="530"/>
      <c r="FF174" s="530"/>
      <c r="FG174" s="530"/>
      <c r="FH174" s="530"/>
      <c r="FI174" s="530"/>
      <c r="FJ174" s="530"/>
      <c r="FK174" s="530"/>
      <c r="FL174" s="530"/>
      <c r="FM174" s="530"/>
      <c r="FN174" s="530"/>
      <c r="FO174" s="530"/>
      <c r="FP174" s="530"/>
      <c r="FQ174" s="530"/>
      <c r="GL174" s="128"/>
      <c r="GM174" s="128"/>
      <c r="GN174" s="128"/>
      <c r="GO174" s="128"/>
      <c r="GP174" s="128"/>
      <c r="GQ174" s="128"/>
      <c r="GR174" s="128"/>
      <c r="GS174" s="128"/>
      <c r="GT174" s="128"/>
      <c r="GU174" s="128"/>
      <c r="GV174" s="128"/>
      <c r="GW174" s="128"/>
      <c r="GX174" s="128"/>
      <c r="GY174" s="128"/>
      <c r="GZ174" s="128"/>
      <c r="HA174" s="128"/>
      <c r="HB174" s="128"/>
      <c r="HC174" s="128"/>
      <c r="HD174" s="128"/>
      <c r="HE174" s="128"/>
      <c r="HF174" s="128"/>
      <c r="HG174" s="128"/>
      <c r="HH174" s="128"/>
      <c r="HI174" s="128"/>
      <c r="HJ174" s="128"/>
      <c r="HK174" s="128"/>
      <c r="HL174" s="128"/>
      <c r="HM174" s="128"/>
      <c r="HN174" s="128"/>
      <c r="HO174" s="128"/>
      <c r="HP174" s="128"/>
      <c r="HQ174" s="128"/>
      <c r="HR174" s="128"/>
      <c r="HS174" s="128"/>
      <c r="HT174" s="128"/>
      <c r="HU174" s="128"/>
      <c r="HV174" s="128"/>
      <c r="HW174" s="128"/>
      <c r="HX174" s="128"/>
      <c r="HY174" s="128"/>
      <c r="HZ174" s="128"/>
      <c r="IA174" s="128"/>
      <c r="IB174" s="128"/>
      <c r="IC174" s="128"/>
    </row>
    <row r="175" spans="41:237" x14ac:dyDescent="0.3">
      <c r="AO175" s="128">
        <v>50206</v>
      </c>
      <c r="AP175" s="128" t="s">
        <v>2497</v>
      </c>
      <c r="AQ175" s="128" t="s">
        <v>824</v>
      </c>
      <c r="AR175" s="128" t="s">
        <v>3594</v>
      </c>
      <c r="AS175" s="375">
        <v>46223</v>
      </c>
      <c r="AT175" s="375">
        <v>46225</v>
      </c>
      <c r="AU175" s="530">
        <v>103225</v>
      </c>
      <c r="AV175" s="128">
        <v>50159</v>
      </c>
      <c r="AW175" s="530">
        <v>320000</v>
      </c>
      <c r="AX175" s="534">
        <f>_xlfn.XLOOKUP(Sell_unvalid[[#This Row],[DEAL_BUY_ID]],BS!BA:BA,BS!BE:BE,,0)</f>
        <v>93756</v>
      </c>
      <c r="AY175" s="534">
        <f>_xlfn.XLOOKUP(Sell_unvalid[[#This Row],[BOND_CODE]],FNRP!D:D,FNRP!I:I,_xlfn.XLOOKUP(Sell_unvalid[[#This Row],[BOND_CODE]],FNRP!AV:AV,FNRP!BA:BA,,0),0)</f>
        <v>92330</v>
      </c>
      <c r="AZ175" s="534">
        <f>_xlfn.XLOOKUP(Sell_unvalid[[#This Row],[DEAL_BUY_ID]],BS!BA:BA,BS!BQ:BQ,,0)*Sell_unvalid[[#This Row],[QUANTITY]]</f>
        <v>-1989551497.4968922</v>
      </c>
      <c r="BA175" s="534">
        <f>(Sell_unvalid[[#This Row],[Giá MtM]]-10^5)*Sell_unvalid[[#This Row],[QUANTITY]]-Sell_unvalid[[#This Row],[PTCK remain]]</f>
        <v>-464848502.50310779</v>
      </c>
      <c r="BB175" s="534">
        <f>(Sell_unvalid[[#This Row],[PRICE]]-10^5)*Sell_unvalid[[#This Row],[QUANTITY]]-Sell_unvalid[[#This Row],[PTCK remain]]</f>
        <v>3021551497.496892</v>
      </c>
      <c r="BC175" s="534" t="str">
        <f>IF(AND(Sell_unvalid[[#This Row],[VALUE_DATE]]&lt;=RPT,Sell_unvalid[[#This Row],[TRANSACTION_STATUS]]="N"),"Check","Ok")</f>
        <v>Ok</v>
      </c>
      <c r="BD175" s="534"/>
      <c r="BE175" s="534"/>
      <c r="BF175" s="128"/>
      <c r="BG175" s="128"/>
      <c r="BH175" s="375"/>
      <c r="BJ175" s="375"/>
      <c r="BL175" s="530"/>
      <c r="BN175" s="534"/>
      <c r="BO175" s="534"/>
      <c r="BP175" s="534"/>
      <c r="BR175" s="727"/>
      <c r="BS175" s="128"/>
      <c r="BT175" s="848"/>
      <c r="BU175" s="849">
        <v>46149</v>
      </c>
      <c r="BV175" s="848">
        <v>49645</v>
      </c>
      <c r="BW175" s="848" t="s">
        <v>3901</v>
      </c>
      <c r="BX175" s="530">
        <v>1000000</v>
      </c>
      <c r="BY175" s="735">
        <f>_xlfn.XLOOKUP(Est_NIM[[#This Row],[DEAL_BUY_ID]],BS!AL:AL,BS!AU:AU,_xlfn.XLOOKUP(Est_NIM[[#This Row],[DEAL_BUY_ID]],BS!BA:BA,BS!BJ:BJ,,0),0)</f>
        <v>3.0129999999999999</v>
      </c>
      <c r="BZ175" s="534">
        <f>Est_NIM[[#This Row],[QUANT]]*Est_NIM[[#This Row],[YIELD]]</f>
        <v>3013000</v>
      </c>
      <c r="CA175" s="128"/>
      <c r="CB175" s="128"/>
      <c r="CE175" s="331"/>
      <c r="CF175" s="331"/>
      <c r="CG175" s="331"/>
      <c r="CH175">
        <v>3730</v>
      </c>
      <c r="CI175">
        <v>14282</v>
      </c>
      <c r="CN175" s="128"/>
      <c r="CO175" s="128"/>
      <c r="CP175" s="128"/>
      <c r="CQ175" s="128"/>
      <c r="CR175" s="128"/>
      <c r="CS175" s="128"/>
      <c r="CT175" s="128"/>
      <c r="CU175" s="128"/>
      <c r="CV175" s="128"/>
      <c r="CW175" s="128"/>
      <c r="CX175" s="128"/>
      <c r="CY175" s="128"/>
      <c r="CZ175" s="128"/>
      <c r="DA175" s="128"/>
      <c r="DB175" s="128"/>
      <c r="DC175" s="128"/>
      <c r="DD175" s="128"/>
      <c r="DE175" s="128"/>
      <c r="DF175" s="128"/>
      <c r="DG175" s="128"/>
      <c r="DH175" s="128"/>
      <c r="DI175" s="128"/>
      <c r="DJ175" s="128"/>
      <c r="DK175" s="128"/>
      <c r="DL175" s="128"/>
      <c r="DM175" s="128"/>
      <c r="DN175" s="128"/>
      <c r="DO175" s="128"/>
      <c r="DP175" s="128"/>
      <c r="DQ175" s="128"/>
      <c r="DR175" s="128"/>
      <c r="DS175" s="128"/>
      <c r="DT175" s="128"/>
      <c r="DU175" s="128"/>
      <c r="DV175" s="128"/>
      <c r="DW175" s="128"/>
      <c r="DX175" s="128"/>
      <c r="DY175" s="128"/>
      <c r="DZ175" s="530"/>
      <c r="EA175" s="530"/>
      <c r="EB175" s="530"/>
      <c r="EC175" s="530"/>
      <c r="ED175" s="530"/>
      <c r="EE175" s="530"/>
      <c r="EF175" s="530"/>
      <c r="EG175" s="530"/>
      <c r="EH175" s="530"/>
      <c r="EI175" s="530"/>
      <c r="EJ175" s="530"/>
      <c r="EK175" s="530"/>
      <c r="EL175" s="530"/>
      <c r="EM175" s="530"/>
      <c r="EN175" s="530"/>
      <c r="EO175" s="530"/>
      <c r="EP175" s="530"/>
      <c r="EQ175" s="530"/>
      <c r="ER175" s="530"/>
      <c r="ES175" s="530"/>
      <c r="ET175" s="530"/>
      <c r="EU175" s="530"/>
      <c r="EV175" s="530"/>
      <c r="EW175" s="530"/>
      <c r="EX175" s="530"/>
      <c r="EY175" s="530"/>
      <c r="EZ175" s="530"/>
      <c r="FA175" s="530"/>
      <c r="FB175" s="530"/>
      <c r="FC175" s="530"/>
      <c r="FD175" s="530"/>
      <c r="FE175" s="530"/>
      <c r="FF175" s="530"/>
      <c r="FG175" s="530"/>
      <c r="FH175" s="530"/>
      <c r="FI175" s="530"/>
      <c r="FJ175" s="530"/>
      <c r="FK175" s="530"/>
      <c r="FL175" s="530"/>
      <c r="FM175" s="530"/>
      <c r="FN175" s="530"/>
      <c r="FO175" s="530"/>
      <c r="FP175" s="530"/>
      <c r="FQ175" s="530"/>
      <c r="GL175" s="128"/>
      <c r="GM175" s="128"/>
      <c r="GN175" s="128"/>
      <c r="GO175" s="128"/>
      <c r="GP175" s="128"/>
      <c r="GQ175" s="128"/>
      <c r="GR175" s="128"/>
      <c r="GS175" s="128"/>
      <c r="GT175" s="128"/>
      <c r="GU175" s="128"/>
      <c r="GV175" s="128"/>
      <c r="GW175" s="128"/>
      <c r="GX175" s="128"/>
      <c r="GY175" s="128"/>
      <c r="GZ175" s="128"/>
      <c r="HA175" s="128"/>
      <c r="HB175" s="128"/>
      <c r="HC175" s="128"/>
      <c r="HD175" s="128"/>
      <c r="HE175" s="128"/>
      <c r="HF175" s="128"/>
      <c r="HG175" s="128"/>
      <c r="HH175" s="128"/>
      <c r="HI175" s="128"/>
      <c r="HJ175" s="128"/>
      <c r="HK175" s="128"/>
      <c r="HL175" s="128"/>
      <c r="HM175" s="128"/>
      <c r="HN175" s="128"/>
      <c r="HO175" s="128"/>
      <c r="HP175" s="128"/>
      <c r="HQ175" s="128"/>
      <c r="HR175" s="128"/>
      <c r="HS175" s="128"/>
      <c r="HT175" s="128"/>
      <c r="HU175" s="128"/>
      <c r="HV175" s="128"/>
      <c r="HW175" s="128"/>
      <c r="HX175" s="128"/>
      <c r="HY175" s="128"/>
      <c r="HZ175" s="128"/>
      <c r="IA175" s="128"/>
      <c r="IB175" s="128"/>
      <c r="IC175" s="128"/>
    </row>
    <row r="176" spans="41:237" x14ac:dyDescent="0.3">
      <c r="AO176" s="128">
        <v>50222</v>
      </c>
      <c r="AP176" s="128" t="s">
        <v>2497</v>
      </c>
      <c r="AQ176" s="128" t="s">
        <v>824</v>
      </c>
      <c r="AR176" s="128" t="s">
        <v>3594</v>
      </c>
      <c r="AS176" s="375">
        <v>46225</v>
      </c>
      <c r="AT176" s="375">
        <v>46239</v>
      </c>
      <c r="AU176" s="530">
        <v>93908</v>
      </c>
      <c r="AV176" s="128">
        <v>49309</v>
      </c>
      <c r="AW176" s="530">
        <v>4500000</v>
      </c>
      <c r="AX176" s="534">
        <f>_xlfn.XLOOKUP(Sell_unvalid[[#This Row],[DEAL_BUY_ID]],BS!BA:BA,BS!BE:BE,,0)</f>
        <v>93886</v>
      </c>
      <c r="AY176" s="534">
        <f>_xlfn.XLOOKUP(Sell_unvalid[[#This Row],[BOND_CODE]],FNRP!D:D,FNRP!I:I,_xlfn.XLOOKUP(Sell_unvalid[[#This Row],[BOND_CODE]],FNRP!AV:AV,FNRP!BA:BA,,0),0)</f>
        <v>92330</v>
      </c>
      <c r="AZ176" s="534">
        <f>_xlfn.XLOOKUP(Sell_unvalid[[#This Row],[DEAL_BUY_ID]],BS!BA:BA,BS!BQ:BQ,,0)*Sell_unvalid[[#This Row],[QUANTITY]]</f>
        <v>-27114562188.027802</v>
      </c>
      <c r="BA176" s="534">
        <f>(Sell_unvalid[[#This Row],[Giá MtM]]-10^5)*Sell_unvalid[[#This Row],[QUANTITY]]-Sell_unvalid[[#This Row],[PTCK remain]]</f>
        <v>-7400437811.9721985</v>
      </c>
      <c r="BB176" s="534">
        <f>(Sell_unvalid[[#This Row],[PRICE]]-10^5)*Sell_unvalid[[#This Row],[QUANTITY]]-Sell_unvalid[[#This Row],[PTCK remain]]</f>
        <v>-299437811.97219849</v>
      </c>
      <c r="BC176" s="534" t="str">
        <f>IF(AND(Sell_unvalid[[#This Row],[VALUE_DATE]]&lt;=RPT,Sell_unvalid[[#This Row],[TRANSACTION_STATUS]]="N"),"Check","Ok")</f>
        <v>Ok</v>
      </c>
      <c r="BD176" s="534"/>
      <c r="BE176" s="534"/>
      <c r="BF176" s="128"/>
      <c r="BG176" s="128"/>
      <c r="BH176" s="375"/>
      <c r="BJ176" s="375"/>
      <c r="BL176" s="530"/>
      <c r="BN176" s="534"/>
      <c r="BO176" s="534"/>
      <c r="BP176" s="534"/>
      <c r="BR176" s="727"/>
      <c r="BS176" s="128"/>
      <c r="BT176" s="848"/>
      <c r="BU176" s="849">
        <v>46150</v>
      </c>
      <c r="BV176" s="848">
        <v>49699</v>
      </c>
      <c r="BW176" s="848" t="s">
        <v>3901</v>
      </c>
      <c r="BX176" s="530">
        <v>500000</v>
      </c>
      <c r="BY176" s="735">
        <f>_xlfn.XLOOKUP(Est_NIM[[#This Row],[DEAL_BUY_ID]],BS!AL:AL,BS!AU:AU,_xlfn.XLOOKUP(Est_NIM[[#This Row],[DEAL_BUY_ID]],BS!BA:BA,BS!BJ:BJ,,0),0)</f>
        <v>3.41</v>
      </c>
      <c r="BZ176" s="534">
        <f>Est_NIM[[#This Row],[QUANT]]*Est_NIM[[#This Row],[YIELD]]</f>
        <v>1705000</v>
      </c>
      <c r="CA176" s="128"/>
      <c r="CB176" s="128"/>
      <c r="CE176" s="331"/>
      <c r="CF176" s="331"/>
      <c r="CG176" s="331"/>
      <c r="CH176">
        <v>3730</v>
      </c>
      <c r="CI176">
        <v>14282</v>
      </c>
      <c r="CN176" s="128"/>
      <c r="CO176" s="128"/>
      <c r="CP176" s="128"/>
      <c r="CQ176" s="128"/>
      <c r="CR176" s="128"/>
      <c r="CS176" s="128"/>
      <c r="CT176" s="128"/>
      <c r="CU176" s="128"/>
      <c r="CV176" s="128"/>
      <c r="CW176" s="128"/>
      <c r="CX176" s="128"/>
      <c r="CY176" s="128"/>
      <c r="CZ176" s="128"/>
      <c r="DA176" s="128"/>
      <c r="DB176" s="128"/>
      <c r="DC176" s="128"/>
      <c r="DD176" s="128"/>
      <c r="DE176" s="128"/>
      <c r="DF176" s="128"/>
      <c r="DG176" s="128"/>
      <c r="DH176" s="128"/>
      <c r="DI176" s="128"/>
      <c r="DJ176" s="128"/>
      <c r="DK176" s="128"/>
      <c r="DL176" s="128"/>
      <c r="DM176" s="128"/>
      <c r="DN176" s="128"/>
      <c r="DO176" s="128"/>
      <c r="DP176" s="128"/>
      <c r="DQ176" s="128"/>
      <c r="DR176" s="128"/>
      <c r="DS176" s="128"/>
      <c r="DT176" s="128"/>
      <c r="DU176" s="128"/>
      <c r="DV176" s="128"/>
      <c r="DW176" s="128"/>
      <c r="DX176" s="128"/>
      <c r="DY176" s="128"/>
      <c r="DZ176" s="530"/>
      <c r="EA176" s="530"/>
      <c r="EB176" s="530"/>
      <c r="EC176" s="530"/>
      <c r="ED176" s="530"/>
      <c r="EE176" s="530"/>
      <c r="EF176" s="530"/>
      <c r="EG176" s="530"/>
      <c r="EH176" s="530"/>
      <c r="EI176" s="530"/>
      <c r="EJ176" s="530"/>
      <c r="EK176" s="530"/>
      <c r="EL176" s="530"/>
      <c r="EM176" s="530"/>
      <c r="EN176" s="530"/>
      <c r="EO176" s="530"/>
      <c r="EP176" s="530"/>
      <c r="EQ176" s="530"/>
      <c r="ER176" s="530"/>
      <c r="ES176" s="530"/>
      <c r="ET176" s="530"/>
      <c r="EU176" s="530"/>
      <c r="EV176" s="530"/>
      <c r="EW176" s="530"/>
      <c r="EX176" s="530"/>
      <c r="EY176" s="530"/>
      <c r="EZ176" s="530"/>
      <c r="FA176" s="530"/>
      <c r="FB176" s="530"/>
      <c r="FC176" s="530"/>
      <c r="FD176" s="530"/>
      <c r="FE176" s="530"/>
      <c r="FF176" s="530"/>
      <c r="FG176" s="530"/>
      <c r="FH176" s="530"/>
      <c r="FI176" s="530"/>
      <c r="FJ176" s="530"/>
      <c r="FK176" s="530"/>
      <c r="FL176" s="530"/>
      <c r="FM176" s="530"/>
      <c r="FN176" s="530"/>
      <c r="FO176" s="530"/>
      <c r="FP176" s="530"/>
      <c r="FQ176" s="530"/>
      <c r="GL176" s="128"/>
      <c r="GM176" s="128"/>
      <c r="GN176" s="128"/>
      <c r="GO176" s="128"/>
      <c r="GP176" s="128"/>
      <c r="GQ176" s="128"/>
      <c r="GR176" s="128"/>
      <c r="GS176" s="128"/>
      <c r="GT176" s="128"/>
      <c r="GU176" s="128"/>
      <c r="GV176" s="128"/>
      <c r="GW176" s="128"/>
      <c r="GX176" s="128"/>
      <c r="GY176" s="128"/>
      <c r="GZ176" s="128"/>
      <c r="HA176" s="128"/>
      <c r="HB176" s="128"/>
      <c r="HC176" s="128"/>
      <c r="HD176" s="128"/>
      <c r="HE176" s="128"/>
      <c r="HF176" s="128"/>
      <c r="HG176" s="128"/>
      <c r="HH176" s="128"/>
      <c r="HI176" s="128"/>
      <c r="HJ176" s="128"/>
      <c r="HK176" s="128"/>
      <c r="HL176" s="128"/>
      <c r="HM176" s="128"/>
      <c r="HN176" s="128"/>
      <c r="HO176" s="128"/>
      <c r="HP176" s="128"/>
      <c r="HQ176" s="128"/>
      <c r="HR176" s="128"/>
      <c r="HS176" s="128"/>
      <c r="HT176" s="128"/>
      <c r="HU176" s="128"/>
      <c r="HV176" s="128"/>
      <c r="HW176" s="128"/>
      <c r="HX176" s="128"/>
      <c r="HY176" s="128"/>
      <c r="HZ176" s="128"/>
      <c r="IA176" s="128"/>
      <c r="IB176" s="128"/>
      <c r="IC176" s="128"/>
    </row>
    <row r="177" spans="41:237" x14ac:dyDescent="0.3">
      <c r="AO177" s="128">
        <v>50224</v>
      </c>
      <c r="AP177" s="128" t="s">
        <v>2497</v>
      </c>
      <c r="AQ177" s="128" t="s">
        <v>824</v>
      </c>
      <c r="AR177" s="128" t="s">
        <v>3594</v>
      </c>
      <c r="AS177" s="375">
        <v>46225</v>
      </c>
      <c r="AT177" s="375">
        <v>46239</v>
      </c>
      <c r="AU177" s="530">
        <v>93908</v>
      </c>
      <c r="AV177" s="128">
        <v>49309</v>
      </c>
      <c r="AW177" s="530">
        <v>2000000</v>
      </c>
      <c r="AX177" s="534">
        <f>_xlfn.XLOOKUP(Sell_unvalid[[#This Row],[DEAL_BUY_ID]],BS!BA:BA,BS!BE:BE,,0)</f>
        <v>93886</v>
      </c>
      <c r="AY177" s="534">
        <f>_xlfn.XLOOKUP(Sell_unvalid[[#This Row],[BOND_CODE]],FNRP!D:D,FNRP!I:I,_xlfn.XLOOKUP(Sell_unvalid[[#This Row],[BOND_CODE]],FNRP!AV:AV,FNRP!BA:BA,,0),0)</f>
        <v>92330</v>
      </c>
      <c r="AZ177" s="534">
        <f>_xlfn.XLOOKUP(Sell_unvalid[[#This Row],[DEAL_BUY_ID]],BS!BA:BA,BS!BQ:BQ,,0)*Sell_unvalid[[#This Row],[QUANTITY]]</f>
        <v>-12050916528.012356</v>
      </c>
      <c r="BA177" s="534">
        <f>(Sell_unvalid[[#This Row],[Giá MtM]]-10^5)*Sell_unvalid[[#This Row],[QUANTITY]]-Sell_unvalid[[#This Row],[PTCK remain]]</f>
        <v>-3289083471.9876442</v>
      </c>
      <c r="BB177" s="534">
        <f>(Sell_unvalid[[#This Row],[PRICE]]-10^5)*Sell_unvalid[[#This Row],[QUANTITY]]-Sell_unvalid[[#This Row],[PTCK remain]]</f>
        <v>-133083471.9876442</v>
      </c>
      <c r="BC177" s="534" t="str">
        <f>IF(AND(Sell_unvalid[[#This Row],[VALUE_DATE]]&lt;=RPT,Sell_unvalid[[#This Row],[TRANSACTION_STATUS]]="N"),"Check","Ok")</f>
        <v>Ok</v>
      </c>
      <c r="BD177" s="534"/>
      <c r="BE177" s="534"/>
      <c r="BF177" s="128"/>
      <c r="BG177" s="128"/>
      <c r="BH177" s="375"/>
      <c r="BJ177" s="375"/>
      <c r="BL177" s="530"/>
      <c r="BN177" s="534"/>
      <c r="BO177" s="534"/>
      <c r="BP177" s="534"/>
      <c r="BR177" s="727"/>
      <c r="BS177" s="128"/>
      <c r="BT177" s="848"/>
      <c r="BU177" s="849">
        <v>46150</v>
      </c>
      <c r="BV177" s="848">
        <v>49701</v>
      </c>
      <c r="BW177" s="848" t="s">
        <v>3901</v>
      </c>
      <c r="BX177" s="530">
        <v>1000000</v>
      </c>
      <c r="BY177" s="735">
        <f>_xlfn.XLOOKUP(Est_NIM[[#This Row],[DEAL_BUY_ID]],BS!AL:AL,BS!AU:AU,_xlfn.XLOOKUP(Est_NIM[[#This Row],[DEAL_BUY_ID]],BS!BA:BA,BS!BJ:BJ,,0),0)</f>
        <v>3.7</v>
      </c>
      <c r="BZ177" s="534">
        <f>Est_NIM[[#This Row],[QUANT]]*Est_NIM[[#This Row],[YIELD]]</f>
        <v>3700000</v>
      </c>
      <c r="CA177" s="128"/>
      <c r="CB177" s="128"/>
      <c r="CE177" s="331"/>
      <c r="CF177" s="331"/>
      <c r="CG177" s="331"/>
      <c r="CH177">
        <v>3730</v>
      </c>
      <c r="CI177">
        <v>14282</v>
      </c>
      <c r="CN177" s="128"/>
      <c r="CO177" s="128"/>
      <c r="CP177" s="128"/>
      <c r="CQ177" s="128"/>
      <c r="CR177" s="128"/>
      <c r="CS177" s="128"/>
      <c r="CT177" s="128"/>
      <c r="CU177" s="128"/>
      <c r="CV177" s="128"/>
      <c r="CW177" s="128"/>
      <c r="CX177" s="128"/>
      <c r="CY177" s="128"/>
      <c r="CZ177" s="128"/>
      <c r="DA177" s="128"/>
      <c r="DB177" s="128"/>
      <c r="DC177" s="128"/>
      <c r="DD177" s="128"/>
      <c r="DE177" s="128"/>
      <c r="DF177" s="128"/>
      <c r="DG177" s="128"/>
      <c r="DH177" s="128"/>
      <c r="DI177" s="128"/>
      <c r="DJ177" s="128"/>
      <c r="DK177" s="128"/>
      <c r="DL177" s="128"/>
      <c r="DM177" s="128"/>
      <c r="DN177" s="128"/>
      <c r="DO177" s="128"/>
      <c r="DP177" s="128"/>
      <c r="DQ177" s="128"/>
      <c r="DR177" s="128"/>
      <c r="DS177" s="128"/>
      <c r="DT177" s="128"/>
      <c r="DU177" s="128"/>
      <c r="DV177" s="128"/>
      <c r="DW177" s="128"/>
      <c r="DX177" s="128"/>
      <c r="DY177" s="128"/>
      <c r="DZ177" s="530"/>
      <c r="EA177" s="530"/>
      <c r="EB177" s="530"/>
      <c r="EC177" s="530"/>
      <c r="ED177" s="530"/>
      <c r="EE177" s="530"/>
      <c r="EF177" s="530"/>
      <c r="EG177" s="530"/>
      <c r="EH177" s="530"/>
      <c r="EI177" s="530"/>
      <c r="EJ177" s="530"/>
      <c r="EK177" s="530"/>
      <c r="EL177" s="530"/>
      <c r="EM177" s="530"/>
      <c r="EN177" s="530"/>
      <c r="EO177" s="530"/>
      <c r="EP177" s="530"/>
      <c r="EQ177" s="530"/>
      <c r="ER177" s="530"/>
      <c r="ES177" s="530"/>
      <c r="ET177" s="530"/>
      <c r="EU177" s="530"/>
      <c r="EV177" s="530"/>
      <c r="EW177" s="530"/>
      <c r="EX177" s="530"/>
      <c r="EY177" s="530"/>
      <c r="EZ177" s="530"/>
      <c r="FA177" s="530"/>
      <c r="FB177" s="530"/>
      <c r="FC177" s="530"/>
      <c r="FD177" s="530"/>
      <c r="FE177" s="530"/>
      <c r="FF177" s="530"/>
      <c r="FG177" s="530"/>
      <c r="FH177" s="530"/>
      <c r="FI177" s="530"/>
      <c r="FJ177" s="530"/>
      <c r="FK177" s="530"/>
      <c r="FL177" s="530"/>
      <c r="FM177" s="530"/>
      <c r="FN177" s="530"/>
      <c r="FO177" s="530"/>
      <c r="FP177" s="530"/>
      <c r="FQ177" s="530"/>
      <c r="GL177" s="128"/>
      <c r="GM177" s="128"/>
      <c r="GN177" s="128"/>
      <c r="GO177" s="128"/>
      <c r="GP177" s="128"/>
      <c r="GQ177" s="128"/>
      <c r="GR177" s="128"/>
      <c r="GS177" s="128"/>
      <c r="GT177" s="128"/>
      <c r="GU177" s="128"/>
      <c r="GV177" s="128"/>
      <c r="GW177" s="128"/>
      <c r="GX177" s="128"/>
      <c r="GY177" s="128"/>
      <c r="GZ177" s="128"/>
      <c r="HA177" s="128"/>
      <c r="HB177" s="128"/>
      <c r="HC177" s="128"/>
      <c r="HD177" s="128"/>
      <c r="HE177" s="128"/>
      <c r="HF177" s="128"/>
      <c r="HG177" s="128"/>
      <c r="HH177" s="128"/>
      <c r="HI177" s="128"/>
      <c r="HJ177" s="128"/>
      <c r="HK177" s="128"/>
      <c r="HL177" s="128"/>
      <c r="HM177" s="128"/>
      <c r="HN177" s="128"/>
      <c r="HO177" s="128"/>
      <c r="HP177" s="128"/>
      <c r="HQ177" s="128"/>
      <c r="HR177" s="128"/>
      <c r="HS177" s="128"/>
      <c r="HT177" s="128"/>
      <c r="HU177" s="128"/>
      <c r="HV177" s="128"/>
      <c r="HW177" s="128"/>
      <c r="HX177" s="128"/>
      <c r="HY177" s="128"/>
      <c r="HZ177" s="128"/>
      <c r="IA177" s="128"/>
      <c r="IB177" s="128"/>
      <c r="IC177" s="128"/>
    </row>
    <row r="178" spans="41:237" x14ac:dyDescent="0.3">
      <c r="AO178" s="128">
        <v>50226</v>
      </c>
      <c r="AP178" s="128" t="s">
        <v>2497</v>
      </c>
      <c r="AQ178" s="128" t="s">
        <v>824</v>
      </c>
      <c r="AR178" s="128" t="s">
        <v>3594</v>
      </c>
      <c r="AS178" s="375">
        <v>46225</v>
      </c>
      <c r="AT178" s="375">
        <v>46241</v>
      </c>
      <c r="AU178" s="530">
        <v>93909</v>
      </c>
      <c r="AV178" s="128">
        <v>49309</v>
      </c>
      <c r="AW178" s="530">
        <v>1500000</v>
      </c>
      <c r="AX178" s="534">
        <f>_xlfn.XLOOKUP(Sell_unvalid[[#This Row],[DEAL_BUY_ID]],BS!BA:BA,BS!BE:BE,,0)</f>
        <v>93886</v>
      </c>
      <c r="AY178" s="534">
        <f>_xlfn.XLOOKUP(Sell_unvalid[[#This Row],[BOND_CODE]],FNRP!D:D,FNRP!I:I,_xlfn.XLOOKUP(Sell_unvalid[[#This Row],[BOND_CODE]],FNRP!AV:AV,FNRP!BA:BA,,0),0)</f>
        <v>92330</v>
      </c>
      <c r="AZ178" s="534">
        <f>_xlfn.XLOOKUP(Sell_unvalid[[#This Row],[DEAL_BUY_ID]],BS!BA:BA,BS!BQ:BQ,,0)*Sell_unvalid[[#This Row],[QUANTITY]]</f>
        <v>-9038187396.0092678</v>
      </c>
      <c r="BA178" s="534">
        <f>(Sell_unvalid[[#This Row],[Giá MtM]]-10^5)*Sell_unvalid[[#This Row],[QUANTITY]]-Sell_unvalid[[#This Row],[PTCK remain]]</f>
        <v>-2466812603.9907322</v>
      </c>
      <c r="BB178" s="534">
        <f>(Sell_unvalid[[#This Row],[PRICE]]-10^5)*Sell_unvalid[[#This Row],[QUANTITY]]-Sell_unvalid[[#This Row],[PTCK remain]]</f>
        <v>-98312603.990732193</v>
      </c>
      <c r="BC178" s="534" t="str">
        <f>IF(AND(Sell_unvalid[[#This Row],[VALUE_DATE]]&lt;=RPT,Sell_unvalid[[#This Row],[TRANSACTION_STATUS]]="N"),"Check","Ok")</f>
        <v>Ok</v>
      </c>
      <c r="BD178" s="534"/>
      <c r="BE178" s="534"/>
      <c r="BF178" s="128"/>
      <c r="BG178" s="128"/>
      <c r="BH178" s="375"/>
      <c r="BJ178" s="375"/>
      <c r="BL178" s="530"/>
      <c r="BN178" s="534"/>
      <c r="BO178" s="534"/>
      <c r="BP178" s="534"/>
      <c r="BR178" s="727"/>
      <c r="BS178" s="128"/>
      <c r="BT178" s="848"/>
      <c r="BU178" s="849">
        <v>46156</v>
      </c>
      <c r="BV178" s="848">
        <v>49769</v>
      </c>
      <c r="BW178" s="848" t="s">
        <v>3901</v>
      </c>
      <c r="BX178" s="530">
        <v>2000000</v>
      </c>
      <c r="BY178" s="735">
        <f>_xlfn.XLOOKUP(Est_NIM[[#This Row],[DEAL_BUY_ID]],BS!AL:AL,BS!AU:AU,_xlfn.XLOOKUP(Est_NIM[[#This Row],[DEAL_BUY_ID]],BS!BA:BA,BS!BJ:BJ,,0),0)</f>
        <v>3.2526999999999999</v>
      </c>
      <c r="BZ178" s="534">
        <f>Est_NIM[[#This Row],[QUANT]]*Est_NIM[[#This Row],[YIELD]]</f>
        <v>6505400</v>
      </c>
      <c r="CA178" s="128"/>
      <c r="CB178" s="128"/>
      <c r="CE178" s="331"/>
      <c r="CF178" s="331"/>
      <c r="CG178" s="331"/>
      <c r="CH178">
        <v>3730</v>
      </c>
      <c r="CI178">
        <v>14282</v>
      </c>
      <c r="CN178" s="128"/>
      <c r="CO178" s="128"/>
      <c r="CP178" s="128"/>
      <c r="CQ178" s="128"/>
      <c r="CR178" s="128"/>
      <c r="CS178" s="128"/>
      <c r="CT178" s="128"/>
      <c r="CU178" s="128"/>
      <c r="CV178" s="128"/>
      <c r="CW178" s="128"/>
      <c r="CX178" s="128"/>
      <c r="CY178" s="128"/>
      <c r="CZ178" s="128"/>
      <c r="DA178" s="128"/>
      <c r="DB178" s="128"/>
      <c r="DC178" s="128"/>
      <c r="DD178" s="128"/>
      <c r="DE178" s="128"/>
      <c r="DF178" s="128"/>
      <c r="DG178" s="128"/>
      <c r="DH178" s="128"/>
      <c r="DI178" s="128"/>
      <c r="DJ178" s="128"/>
      <c r="DK178" s="128"/>
      <c r="DL178" s="128"/>
      <c r="DM178" s="128"/>
      <c r="DN178" s="128"/>
      <c r="DO178" s="128"/>
      <c r="DP178" s="128"/>
      <c r="DQ178" s="128"/>
      <c r="DR178" s="128"/>
      <c r="DS178" s="128"/>
      <c r="DT178" s="128"/>
      <c r="DU178" s="128"/>
      <c r="DV178" s="128"/>
      <c r="DW178" s="128"/>
      <c r="DX178" s="128"/>
      <c r="DY178" s="128"/>
      <c r="DZ178" s="530"/>
      <c r="EA178" s="530"/>
      <c r="EB178" s="530"/>
      <c r="EC178" s="530"/>
      <c r="ED178" s="530"/>
      <c r="EE178" s="530"/>
      <c r="EF178" s="530"/>
      <c r="EG178" s="530"/>
      <c r="EH178" s="530"/>
      <c r="EI178" s="530"/>
      <c r="EJ178" s="530"/>
      <c r="EK178" s="530"/>
      <c r="EL178" s="530"/>
      <c r="EM178" s="530"/>
      <c r="EN178" s="530"/>
      <c r="EO178" s="530"/>
      <c r="EP178" s="530"/>
      <c r="EQ178" s="530"/>
      <c r="ER178" s="530"/>
      <c r="ES178" s="530"/>
      <c r="ET178" s="530"/>
      <c r="EU178" s="530"/>
      <c r="EV178" s="530"/>
      <c r="EW178" s="530"/>
      <c r="EX178" s="530"/>
      <c r="EY178" s="530"/>
      <c r="EZ178" s="530"/>
      <c r="FA178" s="530"/>
      <c r="FB178" s="530"/>
      <c r="FC178" s="530"/>
      <c r="FD178" s="530"/>
      <c r="FE178" s="530"/>
      <c r="FF178" s="530"/>
      <c r="FG178" s="530"/>
      <c r="FH178" s="530"/>
      <c r="FI178" s="530"/>
      <c r="FJ178" s="530"/>
      <c r="FK178" s="530"/>
      <c r="FL178" s="530"/>
      <c r="FM178" s="530"/>
      <c r="FN178" s="530"/>
      <c r="FO178" s="530"/>
      <c r="FP178" s="530"/>
      <c r="FQ178" s="530"/>
      <c r="GL178" s="128"/>
      <c r="GM178" s="128"/>
      <c r="GN178" s="128"/>
      <c r="GO178" s="128"/>
      <c r="GP178" s="128"/>
      <c r="GQ178" s="128"/>
      <c r="GR178" s="128"/>
      <c r="GS178" s="128"/>
      <c r="GT178" s="128"/>
      <c r="GU178" s="128"/>
      <c r="GV178" s="128"/>
      <c r="GW178" s="128"/>
      <c r="GX178" s="128"/>
      <c r="GY178" s="128"/>
      <c r="GZ178" s="128"/>
      <c r="HA178" s="128"/>
      <c r="HB178" s="128"/>
      <c r="HC178" s="128"/>
      <c r="HD178" s="128"/>
      <c r="HE178" s="128"/>
      <c r="HF178" s="128"/>
      <c r="HG178" s="128"/>
      <c r="HH178" s="128"/>
      <c r="HI178" s="128"/>
      <c r="HJ178" s="128"/>
      <c r="HK178" s="128"/>
      <c r="HL178" s="128"/>
      <c r="HM178" s="128"/>
      <c r="HN178" s="128"/>
      <c r="HO178" s="128"/>
      <c r="HP178" s="128"/>
      <c r="HQ178" s="128"/>
      <c r="HR178" s="128"/>
      <c r="HS178" s="128"/>
      <c r="HT178" s="128"/>
      <c r="HU178" s="128"/>
      <c r="HV178" s="128"/>
      <c r="HW178" s="128"/>
      <c r="HX178" s="128"/>
      <c r="HY178" s="128"/>
      <c r="HZ178" s="128"/>
      <c r="IA178" s="128"/>
      <c r="IB178" s="128"/>
      <c r="IC178" s="128"/>
    </row>
    <row r="179" spans="41:237" x14ac:dyDescent="0.3">
      <c r="AO179" s="128">
        <v>50226</v>
      </c>
      <c r="AP179" s="128" t="s">
        <v>2497</v>
      </c>
      <c r="AQ179" s="128" t="s">
        <v>824</v>
      </c>
      <c r="AR179" s="128" t="s">
        <v>3594</v>
      </c>
      <c r="AS179" s="375">
        <v>46225</v>
      </c>
      <c r="AT179" s="375">
        <v>46241</v>
      </c>
      <c r="AU179" s="530">
        <v>93909</v>
      </c>
      <c r="AV179" s="128">
        <v>49310</v>
      </c>
      <c r="AW179" s="530">
        <v>1500000</v>
      </c>
      <c r="AX179" s="534">
        <f>_xlfn.XLOOKUP(Sell_unvalid[[#This Row],[DEAL_BUY_ID]],BS!BA:BA,BS!BE:BE,,0)</f>
        <v>93886</v>
      </c>
      <c r="AY179" s="534">
        <f>_xlfn.XLOOKUP(Sell_unvalid[[#This Row],[BOND_CODE]],FNRP!D:D,FNRP!I:I,_xlfn.XLOOKUP(Sell_unvalid[[#This Row],[BOND_CODE]],FNRP!AV:AV,FNRP!BA:BA,,0),0)</f>
        <v>92330</v>
      </c>
      <c r="AZ179" s="534">
        <f>_xlfn.XLOOKUP(Sell_unvalid[[#This Row],[DEAL_BUY_ID]],BS!BA:BA,BS!BQ:BQ,,0)*Sell_unvalid[[#This Row],[QUANTITY]]</f>
        <v>-9038187396.0092678</v>
      </c>
      <c r="BA179" s="534">
        <f>(Sell_unvalid[[#This Row],[Giá MtM]]-10^5)*Sell_unvalid[[#This Row],[QUANTITY]]-Sell_unvalid[[#This Row],[PTCK remain]]</f>
        <v>-2466812603.9907322</v>
      </c>
      <c r="BB179" s="534">
        <f>(Sell_unvalid[[#This Row],[PRICE]]-10^5)*Sell_unvalid[[#This Row],[QUANTITY]]-Sell_unvalid[[#This Row],[PTCK remain]]</f>
        <v>-98312603.990732193</v>
      </c>
      <c r="BC179" s="534" t="str">
        <f>IF(AND(Sell_unvalid[[#This Row],[VALUE_DATE]]&lt;=RPT,Sell_unvalid[[#This Row],[TRANSACTION_STATUS]]="N"),"Check","Ok")</f>
        <v>Ok</v>
      </c>
      <c r="BD179" s="534"/>
      <c r="BE179" s="534"/>
      <c r="BF179" s="128"/>
      <c r="BG179" s="128"/>
      <c r="BH179" s="375"/>
      <c r="BJ179" s="375"/>
      <c r="BL179" s="530"/>
      <c r="BN179" s="534"/>
      <c r="BO179" s="534"/>
      <c r="BP179" s="534"/>
      <c r="BR179" s="727"/>
      <c r="BS179" s="128"/>
      <c r="BT179" s="848"/>
      <c r="BU179" s="849">
        <v>46178</v>
      </c>
      <c r="BV179" s="848">
        <v>49925</v>
      </c>
      <c r="BW179" s="848" t="s">
        <v>3901</v>
      </c>
      <c r="BX179" s="530">
        <v>2500000</v>
      </c>
      <c r="BY179" s="735">
        <f>_xlfn.XLOOKUP(Est_NIM[[#This Row],[DEAL_BUY_ID]],BS!AL:AL,BS!AU:AU,_xlfn.XLOOKUP(Est_NIM[[#This Row],[DEAL_BUY_ID]],BS!BA:BA,BS!BJ:BJ,,0),0)</f>
        <v>3.0499000000000001</v>
      </c>
      <c r="BZ179" s="534">
        <f>Est_NIM[[#This Row],[QUANT]]*Est_NIM[[#This Row],[YIELD]]</f>
        <v>7624750</v>
      </c>
      <c r="CA179" s="128"/>
      <c r="CB179" s="128"/>
      <c r="CE179" s="331"/>
      <c r="CF179" s="331"/>
      <c r="CG179" s="331"/>
      <c r="CH179">
        <v>3730</v>
      </c>
      <c r="CI179">
        <v>14282</v>
      </c>
      <c r="CN179" s="128"/>
      <c r="CO179" s="128"/>
      <c r="CP179" s="128"/>
      <c r="CQ179" s="128"/>
      <c r="CR179" s="128"/>
      <c r="CS179" s="128"/>
      <c r="CT179" s="128"/>
      <c r="CU179" s="128"/>
      <c r="CV179" s="128"/>
      <c r="CW179" s="128"/>
      <c r="CX179" s="128"/>
      <c r="CY179" s="128"/>
      <c r="CZ179" s="128"/>
      <c r="DA179" s="128"/>
      <c r="DB179" s="128"/>
      <c r="DC179" s="128"/>
      <c r="DD179" s="128"/>
      <c r="DE179" s="128"/>
      <c r="DF179" s="128"/>
      <c r="DG179" s="128"/>
      <c r="DH179" s="128"/>
      <c r="DI179" s="128"/>
      <c r="DJ179" s="128"/>
      <c r="DK179" s="128"/>
      <c r="DL179" s="128"/>
      <c r="DM179" s="128"/>
      <c r="DN179" s="128"/>
      <c r="DO179" s="128"/>
      <c r="DP179" s="128"/>
      <c r="DQ179" s="128"/>
      <c r="DR179" s="128"/>
      <c r="DS179" s="128"/>
      <c r="DT179" s="128"/>
      <c r="DU179" s="128"/>
      <c r="DV179" s="128"/>
      <c r="DW179" s="128"/>
      <c r="DX179" s="128"/>
      <c r="DY179" s="128"/>
      <c r="DZ179" s="530"/>
      <c r="EA179" s="530"/>
      <c r="EB179" s="530"/>
      <c r="EC179" s="530"/>
      <c r="ED179" s="530"/>
      <c r="EE179" s="530"/>
      <c r="EF179" s="530"/>
      <c r="EG179" s="530"/>
      <c r="EH179" s="530"/>
      <c r="EI179" s="530"/>
      <c r="EJ179" s="530"/>
      <c r="EK179" s="530"/>
      <c r="EL179" s="530"/>
      <c r="EM179" s="530"/>
      <c r="EN179" s="530"/>
      <c r="EO179" s="530"/>
      <c r="EP179" s="530"/>
      <c r="EQ179" s="530"/>
      <c r="ER179" s="530"/>
      <c r="ES179" s="530"/>
      <c r="ET179" s="530"/>
      <c r="EU179" s="530"/>
      <c r="EV179" s="530"/>
      <c r="EW179" s="530"/>
      <c r="EX179" s="530"/>
      <c r="EY179" s="530"/>
      <c r="EZ179" s="530"/>
      <c r="FA179" s="530"/>
      <c r="FB179" s="530"/>
      <c r="FC179" s="530"/>
      <c r="FD179" s="530"/>
      <c r="FE179" s="530"/>
      <c r="FF179" s="530"/>
      <c r="FG179" s="530"/>
      <c r="FH179" s="530"/>
      <c r="FI179" s="530"/>
      <c r="FJ179" s="530"/>
      <c r="FK179" s="530"/>
      <c r="FL179" s="530"/>
      <c r="FM179" s="530"/>
      <c r="FN179" s="530"/>
      <c r="FO179" s="530"/>
      <c r="FP179" s="530"/>
      <c r="FQ179" s="530"/>
      <c r="GL179" s="128"/>
      <c r="GM179" s="128"/>
      <c r="GN179" s="128"/>
      <c r="GO179" s="128"/>
      <c r="GP179" s="128"/>
      <c r="GQ179" s="128"/>
      <c r="GR179" s="128"/>
      <c r="GS179" s="128"/>
      <c r="GT179" s="128"/>
      <c r="GU179" s="128"/>
      <c r="GV179" s="128"/>
      <c r="GW179" s="128"/>
      <c r="GX179" s="128"/>
      <c r="GY179" s="128"/>
      <c r="GZ179" s="128"/>
      <c r="HA179" s="128"/>
      <c r="HB179" s="128"/>
      <c r="HC179" s="128"/>
      <c r="HD179" s="128"/>
      <c r="HE179" s="128"/>
      <c r="HF179" s="128"/>
      <c r="HG179" s="128"/>
      <c r="HH179" s="128"/>
      <c r="HI179" s="128"/>
      <c r="HJ179" s="128"/>
      <c r="HK179" s="128"/>
      <c r="HL179" s="128"/>
      <c r="HM179" s="128"/>
      <c r="HN179" s="128"/>
      <c r="HO179" s="128"/>
      <c r="HP179" s="128"/>
      <c r="HQ179" s="128"/>
      <c r="HR179" s="128"/>
      <c r="HS179" s="128"/>
      <c r="HT179" s="128"/>
      <c r="HU179" s="128"/>
      <c r="HV179" s="128"/>
      <c r="HW179" s="128"/>
      <c r="HX179" s="128"/>
      <c r="HY179" s="128"/>
      <c r="HZ179" s="128"/>
      <c r="IA179" s="128"/>
      <c r="IB179" s="128"/>
      <c r="IC179" s="128"/>
    </row>
    <row r="180" spans="41:237" x14ac:dyDescent="0.3">
      <c r="AO180" s="128">
        <v>50228</v>
      </c>
      <c r="AP180" s="128" t="s">
        <v>2497</v>
      </c>
      <c r="AQ180" s="128" t="s">
        <v>824</v>
      </c>
      <c r="AR180" s="128" t="s">
        <v>3594</v>
      </c>
      <c r="AS180" s="375">
        <v>46225</v>
      </c>
      <c r="AT180" s="375">
        <v>46241</v>
      </c>
      <c r="AU180" s="530">
        <v>93909</v>
      </c>
      <c r="AV180" s="128">
        <v>49310</v>
      </c>
      <c r="AW180" s="530">
        <v>3500000</v>
      </c>
      <c r="AX180" s="534">
        <f>_xlfn.XLOOKUP(Sell_unvalid[[#This Row],[DEAL_BUY_ID]],BS!BA:BA,BS!BE:BE,,0)</f>
        <v>93886</v>
      </c>
      <c r="AY180" s="534">
        <f>_xlfn.XLOOKUP(Sell_unvalid[[#This Row],[BOND_CODE]],FNRP!D:D,FNRP!I:I,_xlfn.XLOOKUP(Sell_unvalid[[#This Row],[BOND_CODE]],FNRP!AV:AV,FNRP!BA:BA,,0),0)</f>
        <v>92330</v>
      </c>
      <c r="AZ180" s="534">
        <f>_xlfn.XLOOKUP(Sell_unvalid[[#This Row],[DEAL_BUY_ID]],BS!BA:BA,BS!BQ:BQ,,0)*Sell_unvalid[[#This Row],[QUANTITY]]</f>
        <v>-21089103924.021622</v>
      </c>
      <c r="BA180" s="534">
        <f>(Sell_unvalid[[#This Row],[Giá MtM]]-10^5)*Sell_unvalid[[#This Row],[QUANTITY]]-Sell_unvalid[[#This Row],[PTCK remain]]</f>
        <v>-5755896075.9783783</v>
      </c>
      <c r="BB180" s="534">
        <f>(Sell_unvalid[[#This Row],[PRICE]]-10^5)*Sell_unvalid[[#This Row],[QUANTITY]]-Sell_unvalid[[#This Row],[PTCK remain]]</f>
        <v>-229396075.9783783</v>
      </c>
      <c r="BC180" s="534" t="str">
        <f>IF(AND(Sell_unvalid[[#This Row],[VALUE_DATE]]&lt;=RPT,Sell_unvalid[[#This Row],[TRANSACTION_STATUS]]="N"),"Check","Ok")</f>
        <v>Ok</v>
      </c>
      <c r="BD180" s="534"/>
      <c r="BE180" s="534"/>
      <c r="BF180" s="128"/>
      <c r="BG180" s="128"/>
      <c r="BH180" s="375"/>
      <c r="BJ180" s="375"/>
      <c r="BL180" s="530"/>
      <c r="BN180" s="534"/>
      <c r="BO180" s="534"/>
      <c r="BP180" s="534"/>
      <c r="BR180" s="727"/>
      <c r="BS180" s="128"/>
      <c r="BT180" s="848"/>
      <c r="BU180" s="849">
        <v>46181</v>
      </c>
      <c r="BV180" s="848">
        <v>49930</v>
      </c>
      <c r="BW180" s="848" t="s">
        <v>3901</v>
      </c>
      <c r="BX180" s="530">
        <v>3000000</v>
      </c>
      <c r="BY180" s="735">
        <f>_xlfn.XLOOKUP(Est_NIM[[#This Row],[DEAL_BUY_ID]],BS!AL:AL,BS!AU:AU,_xlfn.XLOOKUP(Est_NIM[[#This Row],[DEAL_BUY_ID]],BS!BA:BA,BS!BJ:BJ,,0),0)</f>
        <v>2.9</v>
      </c>
      <c r="BZ180" s="534">
        <f>Est_NIM[[#This Row],[QUANT]]*Est_NIM[[#This Row],[YIELD]]</f>
        <v>8700000</v>
      </c>
      <c r="CA180" s="128"/>
      <c r="CB180" s="128"/>
      <c r="CE180" s="331"/>
      <c r="CF180" s="331"/>
      <c r="CG180" s="331"/>
      <c r="CH180">
        <v>3730</v>
      </c>
      <c r="CI180">
        <v>14282</v>
      </c>
      <c r="CN180" s="128"/>
      <c r="CO180" s="128"/>
      <c r="CP180" s="128"/>
      <c r="CQ180" s="128"/>
      <c r="CR180" s="128"/>
      <c r="CS180" s="128"/>
      <c r="CT180" s="128"/>
      <c r="CU180" s="128"/>
      <c r="CV180" s="128"/>
      <c r="CW180" s="128"/>
      <c r="CX180" s="128"/>
      <c r="CY180" s="128"/>
      <c r="CZ180" s="128"/>
      <c r="DA180" s="128"/>
      <c r="DB180" s="128"/>
      <c r="DC180" s="128"/>
      <c r="DD180" s="128"/>
      <c r="DE180" s="128"/>
      <c r="DF180" s="128"/>
      <c r="DG180" s="128"/>
      <c r="DH180" s="128"/>
      <c r="DI180" s="128"/>
      <c r="DJ180" s="128"/>
      <c r="DK180" s="128"/>
      <c r="DL180" s="128"/>
      <c r="DM180" s="128"/>
      <c r="DN180" s="128"/>
      <c r="DO180" s="128"/>
      <c r="DP180" s="128"/>
      <c r="DQ180" s="128"/>
      <c r="DR180" s="128"/>
      <c r="DS180" s="128"/>
      <c r="DT180" s="128"/>
      <c r="DU180" s="128"/>
      <c r="DV180" s="128"/>
      <c r="DW180" s="128"/>
      <c r="DX180" s="128"/>
      <c r="DY180" s="128"/>
      <c r="DZ180" s="530"/>
      <c r="EA180" s="530"/>
      <c r="EB180" s="530"/>
      <c r="EC180" s="530"/>
      <c r="ED180" s="530"/>
      <c r="EE180" s="530"/>
      <c r="EF180" s="530"/>
      <c r="EG180" s="530"/>
      <c r="EH180" s="530"/>
      <c r="EI180" s="530"/>
      <c r="EJ180" s="530"/>
      <c r="EK180" s="530"/>
      <c r="EL180" s="530"/>
      <c r="EM180" s="530"/>
      <c r="EN180" s="530"/>
      <c r="EO180" s="530"/>
      <c r="EP180" s="530"/>
      <c r="EQ180" s="530"/>
      <c r="ER180" s="530"/>
      <c r="ES180" s="530"/>
      <c r="ET180" s="530"/>
      <c r="EU180" s="530"/>
      <c r="EV180" s="530"/>
      <c r="EW180" s="530"/>
      <c r="EX180" s="530"/>
      <c r="EY180" s="530"/>
      <c r="EZ180" s="530"/>
      <c r="FA180" s="530"/>
      <c r="FB180" s="530"/>
      <c r="FC180" s="530"/>
      <c r="FD180" s="530"/>
      <c r="FE180" s="530"/>
      <c r="FF180" s="530"/>
      <c r="FG180" s="530"/>
      <c r="FH180" s="530"/>
      <c r="FI180" s="530"/>
      <c r="FJ180" s="530"/>
      <c r="FK180" s="530"/>
      <c r="FL180" s="530"/>
      <c r="FM180" s="530"/>
      <c r="FN180" s="530"/>
      <c r="FO180" s="530"/>
      <c r="FP180" s="530"/>
      <c r="FQ180" s="530"/>
      <c r="GL180" s="128"/>
      <c r="GM180" s="128"/>
      <c r="GN180" s="128"/>
      <c r="GO180" s="128"/>
      <c r="GP180" s="128"/>
      <c r="GQ180" s="128"/>
      <c r="GR180" s="128"/>
      <c r="GS180" s="128"/>
      <c r="GT180" s="128"/>
      <c r="GU180" s="128"/>
      <c r="GV180" s="128"/>
      <c r="GW180" s="128"/>
      <c r="GX180" s="128"/>
      <c r="GY180" s="128"/>
      <c r="GZ180" s="128"/>
      <c r="HA180" s="128"/>
      <c r="HB180" s="128"/>
      <c r="HC180" s="128"/>
      <c r="HD180" s="128"/>
      <c r="HE180" s="128"/>
      <c r="HF180" s="128"/>
      <c r="HG180" s="128"/>
      <c r="HH180" s="128"/>
      <c r="HI180" s="128"/>
      <c r="HJ180" s="128"/>
      <c r="HK180" s="128"/>
      <c r="HL180" s="128"/>
      <c r="HM180" s="128"/>
      <c r="HN180" s="128"/>
      <c r="HO180" s="128"/>
      <c r="HP180" s="128"/>
      <c r="HQ180" s="128"/>
      <c r="HR180" s="128"/>
      <c r="HS180" s="128"/>
      <c r="HT180" s="128"/>
      <c r="HU180" s="128"/>
      <c r="HV180" s="128"/>
      <c r="HW180" s="128"/>
      <c r="HX180" s="128"/>
      <c r="HY180" s="128"/>
      <c r="HZ180" s="128"/>
      <c r="IA180" s="128"/>
      <c r="IB180" s="128"/>
      <c r="IC180" s="128"/>
    </row>
    <row r="181" spans="41:237" x14ac:dyDescent="0.3">
      <c r="AO181" s="128">
        <v>50236</v>
      </c>
      <c r="AP181" s="128" t="s">
        <v>2497</v>
      </c>
      <c r="AQ181" s="128" t="s">
        <v>824</v>
      </c>
      <c r="AR181" s="375" t="s">
        <v>3594</v>
      </c>
      <c r="AS181" s="375">
        <v>46226</v>
      </c>
      <c r="AT181" s="375">
        <v>46230</v>
      </c>
      <c r="AU181" s="530">
        <v>96725</v>
      </c>
      <c r="AV181" s="532">
        <v>49336</v>
      </c>
      <c r="AW181" s="530">
        <v>800000</v>
      </c>
      <c r="AX181" s="534">
        <f>_xlfn.XLOOKUP(Sell_unvalid[[#This Row],[DEAL_BUY_ID]],BS!BA:BA,BS!BE:BE,,0)</f>
        <v>93741</v>
      </c>
      <c r="AY181" s="534">
        <f>_xlfn.XLOOKUP(Sell_unvalid[[#This Row],[BOND_CODE]],FNRP!D:D,FNRP!I:I,_xlfn.XLOOKUP(Sell_unvalid[[#This Row],[BOND_CODE]],FNRP!AV:AV,FNRP!BA:BA,,0),0)</f>
        <v>92330</v>
      </c>
      <c r="AZ181" s="534">
        <f>_xlfn.XLOOKUP(Sell_unvalid[[#This Row],[DEAL_BUY_ID]],BS!BA:BA,BS!BQ:BQ,,0)*Sell_unvalid[[#This Row],[QUANTITY]]</f>
        <v>-4936608386.0310678</v>
      </c>
      <c r="BA181" s="534">
        <f>(Sell_unvalid[[#This Row],[Giá MtM]]-10^5)*Sell_unvalid[[#This Row],[QUANTITY]]-Sell_unvalid[[#This Row],[PTCK remain]]</f>
        <v>-1199391613.9689322</v>
      </c>
      <c r="BB181" s="534">
        <f>(Sell_unvalid[[#This Row],[PRICE]]-10^5)*Sell_unvalid[[#This Row],[QUANTITY]]-Sell_unvalid[[#This Row],[PTCK remain]]</f>
        <v>2316608386.0310678</v>
      </c>
      <c r="BC181" s="534" t="str">
        <f>IF(AND(Sell_unvalid[[#This Row],[VALUE_DATE]]&lt;=RPT,Sell_unvalid[[#This Row],[TRANSACTION_STATUS]]="N"),"Check","Ok")</f>
        <v>Ok</v>
      </c>
      <c r="BD181" s="534"/>
      <c r="BE181" s="534"/>
      <c r="BF181" s="128"/>
      <c r="BG181" s="128"/>
      <c r="BH181" s="375"/>
      <c r="BJ181" s="375"/>
      <c r="BL181" s="530"/>
      <c r="BN181" s="534"/>
      <c r="BO181" s="534"/>
      <c r="BP181" s="534"/>
      <c r="BR181" s="727"/>
      <c r="BS181" s="128"/>
      <c r="BT181" s="848"/>
      <c r="BU181" s="849">
        <v>46188</v>
      </c>
      <c r="BV181" s="848">
        <v>49933</v>
      </c>
      <c r="BW181" s="848" t="s">
        <v>3901</v>
      </c>
      <c r="BX181" s="530">
        <v>4500000</v>
      </c>
      <c r="BY181" s="735">
        <f>_xlfn.XLOOKUP(Est_NIM[[#This Row],[DEAL_BUY_ID]],BS!AL:AL,BS!AU:AU,_xlfn.XLOOKUP(Est_NIM[[#This Row],[DEAL_BUY_ID]],BS!BA:BA,BS!BJ:BJ,,0),0)</f>
        <v>3.0266000000000002</v>
      </c>
      <c r="BZ181" s="534">
        <f>Est_NIM[[#This Row],[QUANT]]*Est_NIM[[#This Row],[YIELD]]</f>
        <v>13619700</v>
      </c>
      <c r="CA181" s="128"/>
      <c r="CB181" s="128"/>
      <c r="CE181" s="331"/>
      <c r="CF181" s="331"/>
      <c r="CG181" s="331"/>
      <c r="CH181">
        <v>3730</v>
      </c>
      <c r="CI181">
        <v>14282</v>
      </c>
      <c r="CN181" s="128"/>
      <c r="CO181" s="128"/>
      <c r="CP181" s="128"/>
      <c r="CQ181" s="128"/>
      <c r="CR181" s="128"/>
      <c r="CS181" s="128"/>
      <c r="CT181" s="128"/>
      <c r="CU181" s="128"/>
      <c r="CV181" s="128"/>
      <c r="CW181" s="128"/>
      <c r="CX181" s="128"/>
      <c r="CY181" s="128"/>
      <c r="CZ181" s="128"/>
      <c r="DA181" s="128"/>
      <c r="DB181" s="128"/>
      <c r="DC181" s="128"/>
      <c r="DD181" s="128"/>
      <c r="DE181" s="128"/>
      <c r="DF181" s="128"/>
      <c r="DG181" s="128"/>
      <c r="DH181" s="128"/>
      <c r="DI181" s="128"/>
      <c r="DJ181" s="128"/>
      <c r="DK181" s="128"/>
      <c r="DL181" s="128"/>
      <c r="DM181" s="128"/>
      <c r="DN181" s="128"/>
      <c r="DO181" s="128"/>
      <c r="DP181" s="128"/>
      <c r="DQ181" s="128"/>
      <c r="DR181" s="128"/>
      <c r="DS181" s="128"/>
      <c r="DT181" s="128"/>
      <c r="DU181" s="128"/>
      <c r="DV181" s="128"/>
      <c r="DW181" s="128"/>
      <c r="DX181" s="128"/>
      <c r="DY181" s="128"/>
      <c r="DZ181" s="530"/>
      <c r="EA181" s="530"/>
      <c r="EB181" s="530"/>
      <c r="EC181" s="530"/>
      <c r="ED181" s="530"/>
      <c r="EE181" s="530"/>
      <c r="EF181" s="530"/>
      <c r="EG181" s="530"/>
      <c r="EH181" s="530"/>
      <c r="EI181" s="530"/>
      <c r="EJ181" s="530"/>
      <c r="EK181" s="530"/>
      <c r="EL181" s="530"/>
      <c r="EM181" s="530"/>
      <c r="EN181" s="530"/>
      <c r="EO181" s="530"/>
      <c r="EP181" s="530"/>
      <c r="EQ181" s="530"/>
      <c r="ER181" s="530"/>
      <c r="ES181" s="530"/>
      <c r="ET181" s="530"/>
      <c r="EU181" s="530"/>
      <c r="EV181" s="530"/>
      <c r="EW181" s="530"/>
      <c r="EX181" s="530"/>
      <c r="EY181" s="530"/>
      <c r="EZ181" s="530"/>
      <c r="FA181" s="530"/>
      <c r="FB181" s="530"/>
      <c r="FC181" s="530"/>
      <c r="FD181" s="530"/>
      <c r="FE181" s="530"/>
      <c r="FF181" s="530"/>
      <c r="FG181" s="530"/>
      <c r="FH181" s="530"/>
      <c r="FI181" s="530"/>
      <c r="FJ181" s="530"/>
      <c r="FK181" s="530"/>
      <c r="FL181" s="530"/>
      <c r="FM181" s="530"/>
      <c r="FN181" s="530"/>
      <c r="FO181" s="530"/>
      <c r="FP181" s="530"/>
      <c r="FQ181" s="530"/>
      <c r="GL181" s="128"/>
      <c r="GM181" s="128"/>
      <c r="GN181" s="128"/>
      <c r="GO181" s="128"/>
      <c r="GP181" s="128"/>
      <c r="GQ181" s="128"/>
      <c r="GR181" s="128"/>
      <c r="GS181" s="128"/>
      <c r="GT181" s="128"/>
      <c r="GU181" s="128"/>
      <c r="GV181" s="128"/>
      <c r="GW181" s="128"/>
      <c r="GX181" s="128"/>
      <c r="GY181" s="128"/>
      <c r="GZ181" s="128"/>
      <c r="HA181" s="128"/>
      <c r="HB181" s="128"/>
      <c r="HC181" s="128"/>
      <c r="HD181" s="128"/>
      <c r="HE181" s="128"/>
      <c r="HF181" s="128"/>
      <c r="HG181" s="128"/>
      <c r="HH181" s="128"/>
      <c r="HI181" s="128"/>
      <c r="HJ181" s="128"/>
      <c r="HK181" s="128"/>
      <c r="HL181" s="128"/>
      <c r="HM181" s="128"/>
      <c r="HN181" s="128"/>
      <c r="HO181" s="128"/>
      <c r="HP181" s="128"/>
      <c r="HQ181" s="128"/>
      <c r="HR181" s="128"/>
      <c r="HS181" s="128"/>
      <c r="HT181" s="128"/>
      <c r="HU181" s="128"/>
      <c r="HV181" s="128"/>
      <c r="HW181" s="128"/>
      <c r="HX181" s="128"/>
      <c r="HY181" s="128"/>
      <c r="HZ181" s="128"/>
      <c r="IA181" s="128"/>
      <c r="IB181" s="128"/>
      <c r="IC181" s="128"/>
    </row>
    <row r="182" spans="41:237" x14ac:dyDescent="0.3">
      <c r="AO182" s="128">
        <v>50261</v>
      </c>
      <c r="AP182" s="128" t="s">
        <v>2497</v>
      </c>
      <c r="AQ182" s="128" t="s">
        <v>824</v>
      </c>
      <c r="AR182" s="128" t="s">
        <v>3594</v>
      </c>
      <c r="AS182" s="375">
        <v>46232</v>
      </c>
      <c r="AT182" s="375">
        <v>46237</v>
      </c>
      <c r="AU182" s="530">
        <v>103222</v>
      </c>
      <c r="AV182" s="128">
        <v>49308</v>
      </c>
      <c r="AW182" s="530">
        <v>800000</v>
      </c>
      <c r="AX182" s="534">
        <f>_xlfn.XLOOKUP(Sell_unvalid[[#This Row],[DEAL_BUY_ID]],BS!BA:BA,BS!BE:BE,,0)</f>
        <v>93886</v>
      </c>
      <c r="AY182" s="534">
        <f>_xlfn.XLOOKUP(Sell_unvalid[[#This Row],[BOND_CODE]],FNRP!D:D,FNRP!I:I,_xlfn.XLOOKUP(Sell_unvalid[[#This Row],[BOND_CODE]],FNRP!AV:AV,FNRP!BA:BA,,0),0)</f>
        <v>92330</v>
      </c>
      <c r="AZ182" s="534">
        <f>_xlfn.XLOOKUP(Sell_unvalid[[#This Row],[DEAL_BUY_ID]],BS!BA:BA,BS!BQ:BQ,,0)*Sell_unvalid[[#This Row],[QUANTITY]]</f>
        <v>-4820366611.2049427</v>
      </c>
      <c r="BA182" s="534">
        <f>(Sell_unvalid[[#This Row],[Giá MtM]]-10^5)*Sell_unvalid[[#This Row],[QUANTITY]]-Sell_unvalid[[#This Row],[PTCK remain]]</f>
        <v>-1315633388.7950573</v>
      </c>
      <c r="BB182" s="534">
        <f>(Sell_unvalid[[#This Row],[PRICE]]-10^5)*Sell_unvalid[[#This Row],[QUANTITY]]-Sell_unvalid[[#This Row],[PTCK remain]]</f>
        <v>7397966611.2049427</v>
      </c>
      <c r="BC182" s="534" t="str">
        <f>IF(AND(Sell_unvalid[[#This Row],[VALUE_DATE]]&lt;=RPT,Sell_unvalid[[#This Row],[TRANSACTION_STATUS]]="N"),"Check","Ok")</f>
        <v>Ok</v>
      </c>
      <c r="BD182" s="534"/>
      <c r="BE182" s="534"/>
      <c r="BF182" s="128"/>
      <c r="BG182" s="128"/>
      <c r="BH182" s="375"/>
      <c r="BJ182" s="375"/>
      <c r="BL182" s="530"/>
      <c r="BN182" s="534"/>
      <c r="BO182" s="534"/>
      <c r="BP182" s="534"/>
      <c r="BR182" s="727"/>
      <c r="BS182" s="128"/>
      <c r="BT182" s="848"/>
      <c r="BU182" s="849">
        <v>46211</v>
      </c>
      <c r="BV182" s="848">
        <v>49935</v>
      </c>
      <c r="BW182" s="848" t="s">
        <v>3901</v>
      </c>
      <c r="BX182" s="530">
        <v>2500000</v>
      </c>
      <c r="BY182" s="735">
        <f>_xlfn.XLOOKUP(Est_NIM[[#This Row],[DEAL_BUY_ID]],BS!AL:AL,BS!AU:AU,_xlfn.XLOOKUP(Est_NIM[[#This Row],[DEAL_BUY_ID]],BS!BA:BA,BS!BJ:BJ,,0),0)</f>
        <v>2.81</v>
      </c>
      <c r="BZ182" s="534">
        <f>Est_NIM[[#This Row],[QUANT]]*Est_NIM[[#This Row],[YIELD]]</f>
        <v>7025000</v>
      </c>
      <c r="CA182" s="128"/>
      <c r="CB182" s="128"/>
      <c r="CE182" s="331"/>
      <c r="CF182" s="331"/>
      <c r="CG182" s="331"/>
      <c r="CH182">
        <v>3730</v>
      </c>
      <c r="CI182">
        <v>14282</v>
      </c>
      <c r="CN182" s="128"/>
      <c r="CO182" s="128"/>
      <c r="CP182" s="128"/>
      <c r="CQ182" s="128"/>
      <c r="CR182" s="128"/>
      <c r="CS182" s="128"/>
      <c r="CT182" s="128"/>
      <c r="CU182" s="128"/>
      <c r="CV182" s="128"/>
      <c r="CW182" s="128"/>
      <c r="CX182" s="128"/>
      <c r="CY182" s="128"/>
      <c r="CZ182" s="128"/>
      <c r="DA182" s="128"/>
      <c r="DB182" s="128"/>
      <c r="DC182" s="128"/>
      <c r="DD182" s="128"/>
      <c r="DE182" s="128"/>
      <c r="DF182" s="128"/>
      <c r="DG182" s="128"/>
      <c r="DH182" s="128"/>
      <c r="DI182" s="128"/>
      <c r="DJ182" s="128"/>
      <c r="DK182" s="128"/>
      <c r="DL182" s="128"/>
      <c r="DM182" s="128"/>
      <c r="DN182" s="128"/>
      <c r="DO182" s="128"/>
      <c r="DP182" s="128"/>
      <c r="DQ182" s="128"/>
      <c r="DR182" s="128"/>
      <c r="DS182" s="128"/>
      <c r="DT182" s="128"/>
      <c r="DU182" s="128"/>
      <c r="DV182" s="128"/>
      <c r="DW182" s="128"/>
      <c r="DX182" s="128"/>
      <c r="DY182" s="128"/>
      <c r="DZ182" s="530"/>
      <c r="EA182" s="530"/>
      <c r="EB182" s="530"/>
      <c r="EC182" s="530"/>
      <c r="ED182" s="530"/>
      <c r="EE182" s="530"/>
      <c r="EF182" s="530"/>
      <c r="EG182" s="530"/>
      <c r="EH182" s="530"/>
      <c r="EI182" s="530"/>
      <c r="EJ182" s="530"/>
      <c r="EK182" s="530"/>
      <c r="EL182" s="530"/>
      <c r="EM182" s="530"/>
      <c r="EN182" s="530"/>
      <c r="EO182" s="530"/>
      <c r="EP182" s="530"/>
      <c r="EQ182" s="530"/>
      <c r="ER182" s="530"/>
      <c r="ES182" s="530"/>
      <c r="ET182" s="530"/>
      <c r="EU182" s="530"/>
      <c r="EV182" s="530"/>
      <c r="EW182" s="530"/>
      <c r="EX182" s="530"/>
      <c r="EY182" s="530"/>
      <c r="EZ182" s="530"/>
      <c r="FA182" s="530"/>
      <c r="FB182" s="530"/>
      <c r="FC182" s="530"/>
      <c r="FD182" s="530"/>
      <c r="FE182" s="530"/>
      <c r="FF182" s="530"/>
      <c r="FG182" s="530"/>
      <c r="FH182" s="530"/>
      <c r="FI182" s="530"/>
      <c r="FJ182" s="530"/>
      <c r="FK182" s="530"/>
      <c r="FL182" s="530"/>
      <c r="FM182" s="530"/>
      <c r="FN182" s="530"/>
      <c r="FO182" s="530"/>
      <c r="FP182" s="530"/>
      <c r="FQ182" s="530"/>
      <c r="GL182" s="128"/>
      <c r="GM182" s="128"/>
      <c r="GN182" s="128"/>
      <c r="GO182" s="128"/>
      <c r="GP182" s="128"/>
      <c r="GQ182" s="128"/>
      <c r="GR182" s="128"/>
      <c r="GS182" s="128"/>
      <c r="GT182" s="128"/>
      <c r="GU182" s="128"/>
      <c r="GV182" s="128"/>
      <c r="GW182" s="128"/>
      <c r="GX182" s="128"/>
      <c r="GY182" s="128"/>
      <c r="GZ182" s="128"/>
      <c r="HA182" s="128"/>
      <c r="HB182" s="128"/>
      <c r="HC182" s="128"/>
      <c r="HD182" s="128"/>
      <c r="HE182" s="128"/>
      <c r="HF182" s="128"/>
      <c r="HG182" s="128"/>
      <c r="HH182" s="128"/>
      <c r="HI182" s="128"/>
      <c r="HJ182" s="128"/>
      <c r="HK182" s="128"/>
      <c r="HL182" s="128"/>
      <c r="HM182" s="128"/>
      <c r="HN182" s="128"/>
      <c r="HO182" s="128"/>
      <c r="HP182" s="128"/>
      <c r="HQ182" s="128"/>
      <c r="HR182" s="128"/>
      <c r="HS182" s="128"/>
      <c r="HT182" s="128"/>
      <c r="HU182" s="128"/>
      <c r="HV182" s="128"/>
      <c r="HW182" s="128"/>
      <c r="HX182" s="128"/>
      <c r="HY182" s="128"/>
      <c r="HZ182" s="128"/>
      <c r="IA182" s="128"/>
      <c r="IB182" s="128"/>
      <c r="IC182" s="128"/>
    </row>
    <row r="183" spans="41:237" x14ac:dyDescent="0.3">
      <c r="AO183" s="128">
        <v>50312</v>
      </c>
      <c r="AP183" s="128" t="s">
        <v>2497</v>
      </c>
      <c r="AQ183" s="128" t="s">
        <v>824</v>
      </c>
      <c r="AR183" s="128" t="s">
        <v>3594</v>
      </c>
      <c r="AS183" s="375">
        <v>46239</v>
      </c>
      <c r="AT183" s="375">
        <v>46246</v>
      </c>
      <c r="AU183" s="530">
        <v>99979</v>
      </c>
      <c r="AV183" s="128">
        <v>49327</v>
      </c>
      <c r="AW183" s="530">
        <v>800000</v>
      </c>
      <c r="AX183" s="534">
        <f>_xlfn.XLOOKUP(Sell_unvalid[[#This Row],[DEAL_BUY_ID]],BS!BA:BA,BS!BE:BE,,0)</f>
        <v>93740</v>
      </c>
      <c r="AY183" s="534">
        <f>_xlfn.XLOOKUP(Sell_unvalid[[#This Row],[BOND_CODE]],FNRP!D:D,FNRP!I:I,_xlfn.XLOOKUP(Sell_unvalid[[#This Row],[BOND_CODE]],FNRP!AV:AV,FNRP!BA:BA,,0),0)</f>
        <v>92330</v>
      </c>
      <c r="AZ183" s="534">
        <f>_xlfn.XLOOKUP(Sell_unvalid[[#This Row],[DEAL_BUY_ID]],BS!BA:BA,BS!BQ:BQ,,0)*Sell_unvalid[[#This Row],[QUANTITY]]</f>
        <v>-4936496274.9680624</v>
      </c>
      <c r="BA183" s="534">
        <f>(Sell_unvalid[[#This Row],[Giá MtM]]-10^5)*Sell_unvalid[[#This Row],[QUANTITY]]-Sell_unvalid[[#This Row],[PTCK remain]]</f>
        <v>-1199503725.0319376</v>
      </c>
      <c r="BB183" s="534">
        <f>(Sell_unvalid[[#This Row],[PRICE]]-10^5)*Sell_unvalid[[#This Row],[QUANTITY]]-Sell_unvalid[[#This Row],[PTCK remain]]</f>
        <v>4919696274.9680624</v>
      </c>
      <c r="BC183" s="534" t="str">
        <f>IF(AND(Sell_unvalid[[#This Row],[VALUE_DATE]]&lt;=RPT,Sell_unvalid[[#This Row],[TRANSACTION_STATUS]]="N"),"Check","Ok")</f>
        <v>Ok</v>
      </c>
      <c r="BD183" s="534"/>
      <c r="BE183" s="534"/>
      <c r="BF183" s="128"/>
      <c r="BG183" s="128"/>
      <c r="BH183" s="375"/>
      <c r="BJ183" s="375"/>
      <c r="BL183" s="530"/>
      <c r="BN183" s="534"/>
      <c r="BO183" s="534"/>
      <c r="BP183" s="534"/>
      <c r="BR183" s="727"/>
      <c r="BS183" s="128"/>
      <c r="BT183" s="848"/>
      <c r="BU183" s="849">
        <v>46211</v>
      </c>
      <c r="BV183" s="848">
        <v>49936</v>
      </c>
      <c r="BW183" s="848" t="s">
        <v>3901</v>
      </c>
      <c r="BX183" s="530">
        <v>2000000</v>
      </c>
      <c r="BY183" s="735">
        <f>_xlfn.XLOOKUP(Est_NIM[[#This Row],[DEAL_BUY_ID]],BS!AL:AL,BS!AU:AU,_xlfn.XLOOKUP(Est_NIM[[#This Row],[DEAL_BUY_ID]],BS!BA:BA,BS!BJ:BJ,,0),0)</f>
        <v>3.01</v>
      </c>
      <c r="BZ183" s="534">
        <f>Est_NIM[[#This Row],[QUANT]]*Est_NIM[[#This Row],[YIELD]]</f>
        <v>6020000</v>
      </c>
      <c r="CA183" s="128"/>
      <c r="CB183" s="128"/>
      <c r="CE183" s="331"/>
      <c r="CF183" s="331"/>
      <c r="CG183" s="331"/>
      <c r="CH183">
        <v>3730</v>
      </c>
      <c r="CI183">
        <v>14282</v>
      </c>
      <c r="CN183" s="128"/>
      <c r="CO183" s="128"/>
      <c r="CP183" s="128"/>
      <c r="CQ183" s="128"/>
      <c r="CR183" s="128"/>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c r="DO183" s="128"/>
      <c r="DP183" s="128"/>
      <c r="DQ183" s="128"/>
      <c r="DR183" s="128"/>
      <c r="DS183" s="128"/>
      <c r="DT183" s="128"/>
      <c r="DU183" s="128"/>
      <c r="DV183" s="128"/>
      <c r="DW183" s="128"/>
      <c r="DX183" s="128"/>
      <c r="DY183" s="128"/>
      <c r="DZ183" s="530"/>
      <c r="EA183" s="530"/>
      <c r="EB183" s="530"/>
      <c r="EC183" s="530"/>
      <c r="ED183" s="530"/>
      <c r="EE183" s="530"/>
      <c r="EF183" s="530"/>
      <c r="EG183" s="530"/>
      <c r="EH183" s="530"/>
      <c r="EI183" s="530"/>
      <c r="EJ183" s="530"/>
      <c r="EK183" s="530"/>
      <c r="EL183" s="530"/>
      <c r="EM183" s="530"/>
      <c r="EN183" s="530"/>
      <c r="EO183" s="530"/>
      <c r="EP183" s="530"/>
      <c r="EQ183" s="530"/>
      <c r="ER183" s="530"/>
      <c r="ES183" s="530"/>
      <c r="ET183" s="530"/>
      <c r="EU183" s="530"/>
      <c r="EV183" s="530"/>
      <c r="EW183" s="530"/>
      <c r="EX183" s="530"/>
      <c r="EY183" s="530"/>
      <c r="EZ183" s="530"/>
      <c r="FA183" s="530"/>
      <c r="FB183" s="530"/>
      <c r="FC183" s="530"/>
      <c r="FD183" s="530"/>
      <c r="FE183" s="530"/>
      <c r="FF183" s="530"/>
      <c r="FG183" s="530"/>
      <c r="FH183" s="530"/>
      <c r="FI183" s="530"/>
      <c r="FJ183" s="530"/>
      <c r="FK183" s="530"/>
      <c r="FL183" s="530"/>
      <c r="FM183" s="530"/>
      <c r="FN183" s="530"/>
      <c r="FO183" s="530"/>
      <c r="FP183" s="530"/>
      <c r="FQ183" s="530"/>
      <c r="GL183" s="128"/>
      <c r="GM183" s="128"/>
      <c r="GN183" s="128"/>
      <c r="GO183" s="128"/>
      <c r="GP183" s="128"/>
      <c r="GQ183" s="128"/>
      <c r="GR183" s="128"/>
      <c r="GS183" s="128"/>
      <c r="GT183" s="128"/>
      <c r="GU183" s="128"/>
      <c r="GV183" s="128"/>
      <c r="GW183" s="128"/>
      <c r="GX183" s="128"/>
      <c r="GY183" s="128"/>
      <c r="GZ183" s="128"/>
      <c r="HA183" s="128"/>
      <c r="HB183" s="128"/>
      <c r="HC183" s="128"/>
      <c r="HD183" s="128"/>
      <c r="HE183" s="128"/>
      <c r="HF183" s="128"/>
      <c r="HG183" s="128"/>
      <c r="HH183" s="128"/>
      <c r="HI183" s="128"/>
      <c r="HJ183" s="128"/>
      <c r="HK183" s="128"/>
      <c r="HL183" s="128"/>
      <c r="HM183" s="128"/>
      <c r="HN183" s="128"/>
      <c r="HO183" s="128"/>
      <c r="HP183" s="128"/>
      <c r="HQ183" s="128"/>
      <c r="HR183" s="128"/>
      <c r="HS183" s="128"/>
      <c r="HT183" s="128"/>
      <c r="HU183" s="128"/>
      <c r="HV183" s="128"/>
      <c r="HW183" s="128"/>
      <c r="HX183" s="128"/>
      <c r="HY183" s="128"/>
      <c r="HZ183" s="128"/>
      <c r="IA183" s="128"/>
      <c r="IB183" s="128"/>
      <c r="IC183" s="128"/>
    </row>
    <row r="184" spans="41:237" x14ac:dyDescent="0.3">
      <c r="AO184" s="128">
        <v>50379</v>
      </c>
      <c r="AP184" s="128" t="s">
        <v>2497</v>
      </c>
      <c r="AQ184" s="128" t="s">
        <v>824</v>
      </c>
      <c r="AR184" s="128" t="s">
        <v>3594</v>
      </c>
      <c r="AS184" s="375">
        <v>46246</v>
      </c>
      <c r="AT184" s="375">
        <v>46248</v>
      </c>
      <c r="AU184" s="530">
        <v>106605</v>
      </c>
      <c r="AV184" s="128">
        <v>49327</v>
      </c>
      <c r="AW184" s="530">
        <v>800000</v>
      </c>
      <c r="AX184" s="534">
        <f>_xlfn.XLOOKUP(Sell_unvalid[[#This Row],[DEAL_BUY_ID]],BS!BA:BA,BS!BE:BE,,0)</f>
        <v>93740</v>
      </c>
      <c r="AY184" s="534">
        <f>_xlfn.XLOOKUP(Sell_unvalid[[#This Row],[BOND_CODE]],FNRP!D:D,FNRP!I:I,_xlfn.XLOOKUP(Sell_unvalid[[#This Row],[BOND_CODE]],FNRP!AV:AV,FNRP!BA:BA,,0),0)</f>
        <v>92330</v>
      </c>
      <c r="AZ184" s="534">
        <f>_xlfn.XLOOKUP(Sell_unvalid[[#This Row],[DEAL_BUY_ID]],BS!BA:BA,BS!BQ:BQ,,0)*Sell_unvalid[[#This Row],[QUANTITY]]</f>
        <v>-4936496274.9680624</v>
      </c>
      <c r="BA184" s="534">
        <f>(Sell_unvalid[[#This Row],[Giá MtM]]-10^5)*Sell_unvalid[[#This Row],[QUANTITY]]-Sell_unvalid[[#This Row],[PTCK remain]]</f>
        <v>-1199503725.0319376</v>
      </c>
      <c r="BB184" s="534">
        <f>(Sell_unvalid[[#This Row],[PRICE]]-10^5)*Sell_unvalid[[#This Row],[QUANTITY]]-Sell_unvalid[[#This Row],[PTCK remain]]</f>
        <v>10220496274.968063</v>
      </c>
      <c r="BC184" s="534" t="str">
        <f>IF(AND(Sell_unvalid[[#This Row],[VALUE_DATE]]&lt;=RPT,Sell_unvalid[[#This Row],[TRANSACTION_STATUS]]="N"),"Check","Ok")</f>
        <v>Ok</v>
      </c>
      <c r="BD184" s="534"/>
      <c r="BE184" s="534"/>
      <c r="BF184" s="128"/>
      <c r="BG184" s="128"/>
      <c r="BH184" s="375"/>
      <c r="BJ184" s="375"/>
      <c r="BL184" s="530"/>
      <c r="BP184" s="534"/>
      <c r="BR184" s="727"/>
      <c r="BS184" s="128"/>
      <c r="BT184" s="848"/>
      <c r="BU184" s="849">
        <v>46212</v>
      </c>
      <c r="BV184" s="848">
        <v>49939</v>
      </c>
      <c r="BW184" s="848" t="s">
        <v>3901</v>
      </c>
      <c r="BX184" s="530">
        <v>3000000</v>
      </c>
      <c r="BY184" s="735">
        <f>_xlfn.XLOOKUP(Est_NIM[[#This Row],[DEAL_BUY_ID]],BS!AL:AL,BS!AU:AU,_xlfn.XLOOKUP(Est_NIM[[#This Row],[DEAL_BUY_ID]],BS!BA:BA,BS!BJ:BJ,,0),0)</f>
        <v>3.51</v>
      </c>
      <c r="BZ184" s="534">
        <f>Est_NIM[[#This Row],[QUANT]]*Est_NIM[[#This Row],[YIELD]]</f>
        <v>10530000</v>
      </c>
      <c r="CA184" s="128"/>
      <c r="CB184" s="128"/>
      <c r="CE184" s="331"/>
      <c r="CF184" s="331"/>
      <c r="CG184" s="331"/>
      <c r="CH184">
        <v>3730</v>
      </c>
      <c r="CI184">
        <v>14282</v>
      </c>
      <c r="CN184" s="128"/>
      <c r="CO184" s="128"/>
      <c r="CP184" s="128"/>
      <c r="CQ184" s="128"/>
      <c r="CR184" s="128"/>
      <c r="CS184" s="128"/>
      <c r="CT184" s="128"/>
      <c r="CU184" s="128"/>
      <c r="CV184" s="128"/>
      <c r="CW184" s="128"/>
      <c r="CX184" s="128"/>
      <c r="CY184" s="128"/>
      <c r="CZ184" s="128"/>
      <c r="DA184" s="128"/>
      <c r="DB184" s="128"/>
      <c r="DC184" s="128"/>
      <c r="DD184" s="128"/>
      <c r="DE184" s="128"/>
      <c r="DF184" s="128"/>
      <c r="DG184" s="128"/>
      <c r="DH184" s="128"/>
      <c r="DI184" s="128"/>
      <c r="DJ184" s="128"/>
      <c r="DK184" s="128"/>
      <c r="DL184" s="128"/>
      <c r="DM184" s="128"/>
      <c r="DN184" s="128"/>
      <c r="DO184" s="128"/>
      <c r="DP184" s="128"/>
      <c r="DQ184" s="128"/>
      <c r="DR184" s="128"/>
      <c r="DS184" s="128"/>
      <c r="DT184" s="128"/>
      <c r="DU184" s="128"/>
      <c r="DV184" s="128"/>
      <c r="DW184" s="128"/>
      <c r="DX184" s="128"/>
      <c r="DY184" s="128"/>
      <c r="DZ184" s="530"/>
      <c r="EA184" s="530"/>
      <c r="EB184" s="530"/>
      <c r="EC184" s="530"/>
      <c r="ED184" s="530"/>
      <c r="EE184" s="530"/>
      <c r="EF184" s="530"/>
      <c r="EG184" s="530"/>
      <c r="EH184" s="530"/>
      <c r="EI184" s="530"/>
      <c r="EJ184" s="530"/>
      <c r="EK184" s="530"/>
      <c r="EL184" s="530"/>
      <c r="EM184" s="530"/>
      <c r="EN184" s="530"/>
      <c r="EO184" s="530"/>
      <c r="EP184" s="530"/>
      <c r="EQ184" s="530"/>
      <c r="ER184" s="530"/>
      <c r="ES184" s="530"/>
      <c r="ET184" s="530"/>
      <c r="EU184" s="530"/>
      <c r="EV184" s="530"/>
      <c r="EW184" s="530"/>
      <c r="EX184" s="530"/>
      <c r="EY184" s="530"/>
      <c r="EZ184" s="530"/>
      <c r="FA184" s="530"/>
      <c r="FB184" s="530"/>
      <c r="FC184" s="530"/>
      <c r="FD184" s="530"/>
      <c r="FE184" s="530"/>
      <c r="FF184" s="530"/>
      <c r="FG184" s="530"/>
      <c r="FH184" s="530"/>
      <c r="FI184" s="530"/>
      <c r="FJ184" s="530"/>
      <c r="FK184" s="530"/>
      <c r="FL184" s="530"/>
      <c r="FM184" s="530"/>
      <c r="FN184" s="530"/>
      <c r="FO184" s="530"/>
      <c r="FP184" s="530"/>
      <c r="FQ184" s="530"/>
      <c r="GL184" s="128"/>
      <c r="GM184" s="128"/>
      <c r="GN184" s="128"/>
      <c r="GO184" s="128"/>
      <c r="GP184" s="128"/>
      <c r="GQ184" s="128"/>
      <c r="GR184" s="128"/>
      <c r="GS184" s="128"/>
      <c r="GT184" s="128"/>
      <c r="GU184" s="128"/>
      <c r="GV184" s="128"/>
      <c r="GW184" s="128"/>
      <c r="GX184" s="128"/>
      <c r="GY184" s="128"/>
      <c r="GZ184" s="128"/>
      <c r="HA184" s="128"/>
      <c r="HB184" s="128"/>
      <c r="HC184" s="128"/>
      <c r="HD184" s="128"/>
      <c r="HE184" s="128"/>
      <c r="HF184" s="128"/>
      <c r="HG184" s="128"/>
      <c r="HH184" s="128"/>
      <c r="HI184" s="128"/>
      <c r="HJ184" s="128"/>
      <c r="HK184" s="128"/>
      <c r="HL184" s="128"/>
      <c r="HM184" s="128"/>
      <c r="HN184" s="128"/>
      <c r="HO184" s="128"/>
      <c r="HP184" s="128"/>
      <c r="HQ184" s="128"/>
      <c r="HR184" s="128"/>
      <c r="HS184" s="128"/>
      <c r="HT184" s="128"/>
      <c r="HU184" s="128"/>
      <c r="HV184" s="128"/>
      <c r="HW184" s="128"/>
      <c r="HX184" s="128"/>
      <c r="HY184" s="128"/>
      <c r="HZ184" s="128"/>
      <c r="IA184" s="128"/>
      <c r="IB184" s="128"/>
      <c r="IC184" s="128"/>
    </row>
    <row r="185" spans="41:237" x14ac:dyDescent="0.3">
      <c r="AO185" s="128">
        <v>50403</v>
      </c>
      <c r="AP185" s="128" t="s">
        <v>2497</v>
      </c>
      <c r="AQ185" s="128" t="s">
        <v>824</v>
      </c>
      <c r="AR185" s="375" t="s">
        <v>2234</v>
      </c>
      <c r="AS185" s="375">
        <v>46247</v>
      </c>
      <c r="AT185" s="375">
        <v>46258</v>
      </c>
      <c r="AU185" s="530">
        <v>103217</v>
      </c>
      <c r="AV185" s="532">
        <v>50085</v>
      </c>
      <c r="AW185" s="530">
        <v>700000</v>
      </c>
      <c r="AX185" s="534">
        <f>_xlfn.XLOOKUP(Sell_unvalid[[#This Row],[DEAL_BUY_ID]],BS!BA:BA,BS!BE:BE,,0)</f>
        <v>110115</v>
      </c>
      <c r="AY185" s="534">
        <f>_xlfn.XLOOKUP(Sell_unvalid[[#This Row],[BOND_CODE]],FNRP!D:D,FNRP!I:I,_xlfn.XLOOKUP(Sell_unvalid[[#This Row],[BOND_CODE]],FNRP!AV:AV,FNRP!BA:BA,,0),0)</f>
        <v>92330</v>
      </c>
      <c r="AZ185" s="534">
        <f>_xlfn.XLOOKUP(Sell_unvalid[[#This Row],[DEAL_BUY_ID]],BS!BA:BA,BS!BQ:BQ,,0)*Sell_unvalid[[#This Row],[QUANTITY]]</f>
        <v>7039816267.4212685</v>
      </c>
      <c r="BA185" s="534">
        <f>(Sell_unvalid[[#This Row],[Giá MtM]]-10^5)*Sell_unvalid[[#This Row],[QUANTITY]]-Sell_unvalid[[#This Row],[PTCK remain]]</f>
        <v>-12408816267.421268</v>
      </c>
      <c r="BB185" s="534">
        <f>(Sell_unvalid[[#This Row],[PRICE]]-10^5)*Sell_unvalid[[#This Row],[QUANTITY]]-Sell_unvalid[[#This Row],[PTCK remain]]</f>
        <v>-4787916267.4212685</v>
      </c>
      <c r="BC185" s="534" t="str">
        <f>IF(AND(Sell_unvalid[[#This Row],[VALUE_DATE]]&lt;=RPT,Sell_unvalid[[#This Row],[TRANSACTION_STATUS]]="N"),"Check","Ok")</f>
        <v>Ok</v>
      </c>
      <c r="BD185" s="534"/>
      <c r="BE185" s="534"/>
      <c r="BF185" s="128"/>
      <c r="BG185" s="128"/>
      <c r="BH185" s="375"/>
      <c r="BJ185" s="375"/>
      <c r="BL185" s="530"/>
      <c r="BP185" s="534"/>
      <c r="BR185" s="727"/>
      <c r="BS185" s="128"/>
      <c r="BT185" s="848"/>
      <c r="BU185" s="849">
        <v>46188</v>
      </c>
      <c r="BV185" s="848">
        <v>49973</v>
      </c>
      <c r="BW185" s="848" t="s">
        <v>3901</v>
      </c>
      <c r="BX185" s="530">
        <v>1000000</v>
      </c>
      <c r="BY185" s="735">
        <f>_xlfn.XLOOKUP(Est_NIM[[#This Row],[DEAL_BUY_ID]],BS!AL:AL,BS!AU:AU,_xlfn.XLOOKUP(Est_NIM[[#This Row],[DEAL_BUY_ID]],BS!BA:BA,BS!BJ:BJ,,0),0)</f>
        <v>3.0064000000000002</v>
      </c>
      <c r="BZ185" s="534">
        <f>Est_NIM[[#This Row],[QUANT]]*Est_NIM[[#This Row],[YIELD]]</f>
        <v>3006400</v>
      </c>
      <c r="CA185" s="128"/>
      <c r="CB185" s="128"/>
      <c r="CE185" s="331"/>
      <c r="CF185" s="331"/>
      <c r="CG185" s="331"/>
      <c r="CH185">
        <v>3730</v>
      </c>
      <c r="CI185">
        <v>14282</v>
      </c>
      <c r="CN185" s="128"/>
      <c r="CO185" s="128"/>
      <c r="CP185" s="128"/>
      <c r="CQ185" s="128"/>
      <c r="CR185" s="128"/>
      <c r="CS185" s="128"/>
      <c r="CT185" s="128"/>
      <c r="CU185" s="128"/>
      <c r="CV185" s="128"/>
      <c r="CW185" s="128"/>
      <c r="CX185" s="128"/>
      <c r="CY185" s="128"/>
      <c r="CZ185" s="128"/>
      <c r="DA185" s="128"/>
      <c r="DB185" s="128"/>
      <c r="DC185" s="128"/>
      <c r="DD185" s="128"/>
      <c r="DE185" s="128"/>
      <c r="DF185" s="128"/>
      <c r="DG185" s="128"/>
      <c r="DH185" s="128"/>
      <c r="DI185" s="128"/>
      <c r="DJ185" s="128"/>
      <c r="DK185" s="128"/>
      <c r="DL185" s="128"/>
      <c r="DM185" s="128"/>
      <c r="DN185" s="128"/>
      <c r="DO185" s="128"/>
      <c r="DP185" s="128"/>
      <c r="DQ185" s="128"/>
      <c r="DR185" s="128"/>
      <c r="DS185" s="128"/>
      <c r="DT185" s="128"/>
      <c r="DU185" s="128"/>
      <c r="DV185" s="128"/>
      <c r="DW185" s="128"/>
      <c r="DX185" s="128"/>
      <c r="DY185" s="128"/>
      <c r="DZ185" s="530"/>
      <c r="EA185" s="530"/>
      <c r="EB185" s="530"/>
      <c r="EC185" s="530"/>
      <c r="ED185" s="530"/>
      <c r="EE185" s="530"/>
      <c r="EF185" s="530"/>
      <c r="EG185" s="530"/>
      <c r="EH185" s="530"/>
      <c r="EI185" s="530"/>
      <c r="EJ185" s="530"/>
      <c r="EK185" s="530"/>
      <c r="EL185" s="530"/>
      <c r="EM185" s="530"/>
      <c r="EN185" s="530"/>
      <c r="EO185" s="530"/>
      <c r="EP185" s="530"/>
      <c r="EQ185" s="530"/>
      <c r="ER185" s="530"/>
      <c r="ES185" s="530"/>
      <c r="ET185" s="530"/>
      <c r="EU185" s="530"/>
      <c r="EV185" s="530"/>
      <c r="EW185" s="530"/>
      <c r="EX185" s="530"/>
      <c r="EY185" s="530"/>
      <c r="EZ185" s="530"/>
      <c r="FA185" s="530"/>
      <c r="FB185" s="530"/>
      <c r="FC185" s="530"/>
      <c r="FD185" s="530"/>
      <c r="FE185" s="530"/>
      <c r="FF185" s="530"/>
      <c r="FG185" s="530"/>
      <c r="FH185" s="530"/>
      <c r="FI185" s="530"/>
      <c r="FJ185" s="530"/>
      <c r="FK185" s="530"/>
      <c r="FL185" s="530"/>
      <c r="FM185" s="530"/>
      <c r="FN185" s="530"/>
      <c r="FO185" s="530"/>
      <c r="FP185" s="530"/>
      <c r="FQ185" s="530"/>
      <c r="GL185" s="128"/>
      <c r="GM185" s="128"/>
      <c r="GN185" s="128"/>
      <c r="GO185" s="128"/>
      <c r="GP185" s="128"/>
      <c r="GQ185" s="128"/>
      <c r="GR185" s="128"/>
      <c r="GS185" s="128"/>
      <c r="GT185" s="128"/>
      <c r="GU185" s="128"/>
      <c r="GV185" s="128"/>
      <c r="GW185" s="128"/>
      <c r="GX185" s="128"/>
      <c r="GY185" s="128"/>
      <c r="GZ185" s="128"/>
      <c r="HA185" s="128"/>
      <c r="HB185" s="128"/>
      <c r="HC185" s="128"/>
      <c r="HD185" s="128"/>
      <c r="HE185" s="128"/>
      <c r="HF185" s="128"/>
      <c r="HG185" s="128"/>
      <c r="HH185" s="128"/>
      <c r="HI185" s="128"/>
      <c r="HJ185" s="128"/>
      <c r="HK185" s="128"/>
      <c r="HL185" s="128"/>
      <c r="HM185" s="128"/>
      <c r="HN185" s="128"/>
      <c r="HO185" s="128"/>
      <c r="HP185" s="128"/>
      <c r="HQ185" s="128"/>
      <c r="HR185" s="128"/>
      <c r="HS185" s="128"/>
      <c r="HT185" s="128"/>
      <c r="HU185" s="128"/>
      <c r="HV185" s="128"/>
      <c r="HW185" s="128"/>
      <c r="HX185" s="128"/>
      <c r="HY185" s="128"/>
      <c r="HZ185" s="128"/>
      <c r="IA185" s="128"/>
      <c r="IB185" s="128"/>
      <c r="IC185" s="128"/>
    </row>
    <row r="186" spans="41:237" x14ac:dyDescent="0.3">
      <c r="AO186" s="128">
        <v>50403</v>
      </c>
      <c r="AP186" s="128" t="s">
        <v>2497</v>
      </c>
      <c r="AQ186" s="128" t="s">
        <v>824</v>
      </c>
      <c r="AR186" s="375" t="s">
        <v>2234</v>
      </c>
      <c r="AS186" s="375">
        <v>46247</v>
      </c>
      <c r="AT186" s="375">
        <v>46258</v>
      </c>
      <c r="AU186" s="530">
        <v>103217</v>
      </c>
      <c r="AV186" s="128">
        <v>50380</v>
      </c>
      <c r="AW186" s="530">
        <v>100000</v>
      </c>
      <c r="AX186" s="534">
        <f>_xlfn.XLOOKUP(Sell_unvalid[[#This Row],[DEAL_BUY_ID]],BS!BA:BA,BS!BE:BE,,0)</f>
        <v>106603</v>
      </c>
      <c r="AY186" s="534">
        <f>_xlfn.XLOOKUP(Sell_unvalid[[#This Row],[BOND_CODE]],FNRP!D:D,FNRP!I:I,_xlfn.XLOOKUP(Sell_unvalid[[#This Row],[BOND_CODE]],FNRP!AV:AV,FNRP!BA:BA,,0),0)</f>
        <v>92330</v>
      </c>
      <c r="AZ186" s="534">
        <f>_xlfn.XLOOKUP(Sell_unvalid[[#This Row],[DEAL_BUY_ID]],BS!BA:BA,BS!BQ:BQ,,0)*Sell_unvalid[[#This Row],[QUANTITY]]</f>
        <v>660213370.79364562</v>
      </c>
      <c r="BA186" s="534">
        <f>(Sell_unvalid[[#This Row],[Giá MtM]]-10^5)*Sell_unvalid[[#This Row],[QUANTITY]]-Sell_unvalid[[#This Row],[PTCK remain]]</f>
        <v>-1427213370.7936456</v>
      </c>
      <c r="BB186" s="534">
        <f>(Sell_unvalid[[#This Row],[PRICE]]-10^5)*Sell_unvalid[[#This Row],[QUANTITY]]-Sell_unvalid[[#This Row],[PTCK remain]]</f>
        <v>-338513370.79364562</v>
      </c>
      <c r="BC186" s="534" t="str">
        <f>IF(AND(Sell_unvalid[[#This Row],[VALUE_DATE]]&lt;=RPT,Sell_unvalid[[#This Row],[TRANSACTION_STATUS]]="N"),"Check","Ok")</f>
        <v>Ok</v>
      </c>
      <c r="BD186" s="534"/>
      <c r="BE186" s="534"/>
      <c r="BF186" s="128"/>
      <c r="BG186" s="128"/>
      <c r="BH186" s="375"/>
      <c r="BJ186" s="375"/>
      <c r="BL186" s="530"/>
      <c r="BP186" s="534"/>
      <c r="BR186" s="727"/>
      <c r="BS186" s="128"/>
      <c r="BT186" s="848"/>
      <c r="BU186" s="849">
        <v>46190</v>
      </c>
      <c r="BV186" s="848">
        <v>49977</v>
      </c>
      <c r="BW186" s="848" t="s">
        <v>3901</v>
      </c>
      <c r="BX186" s="530">
        <v>2000000</v>
      </c>
      <c r="BY186" s="735">
        <f>_xlfn.XLOOKUP(Est_NIM[[#This Row],[DEAL_BUY_ID]],BS!AL:AL,BS!AU:AU,_xlfn.XLOOKUP(Est_NIM[[#This Row],[DEAL_BUY_ID]],BS!BA:BA,BS!BJ:BJ,,0),0)</f>
        <v>3.05</v>
      </c>
      <c r="BZ186" s="534">
        <f>Est_NIM[[#This Row],[QUANT]]*Est_NIM[[#This Row],[YIELD]]</f>
        <v>6100000</v>
      </c>
      <c r="CA186" s="128"/>
      <c r="CB186" s="128"/>
      <c r="CE186" s="331"/>
      <c r="CF186" s="331"/>
      <c r="CG186" s="331"/>
      <c r="CH186">
        <v>3730</v>
      </c>
      <c r="CI186">
        <v>14282</v>
      </c>
      <c r="CN186" s="128"/>
      <c r="CO186" s="128"/>
      <c r="CP186" s="128"/>
      <c r="CQ186" s="128"/>
      <c r="CR186" s="128"/>
      <c r="CS186" s="128"/>
      <c r="CT186" s="128"/>
      <c r="CU186" s="128"/>
      <c r="CV186" s="128"/>
      <c r="CW186" s="128"/>
      <c r="CX186" s="128"/>
      <c r="CY186" s="128"/>
      <c r="CZ186" s="128"/>
      <c r="DA186" s="128"/>
      <c r="DB186" s="128"/>
      <c r="DC186" s="128"/>
      <c r="DD186" s="128"/>
      <c r="DE186" s="128"/>
      <c r="DF186" s="128"/>
      <c r="DG186" s="128"/>
      <c r="DH186" s="128"/>
      <c r="DI186" s="128"/>
      <c r="DJ186" s="128"/>
      <c r="DK186" s="128"/>
      <c r="DL186" s="128"/>
      <c r="DM186" s="128"/>
      <c r="DN186" s="128"/>
      <c r="DO186" s="128"/>
      <c r="DP186" s="128"/>
      <c r="DQ186" s="128"/>
      <c r="DR186" s="128"/>
      <c r="DS186" s="128"/>
      <c r="DT186" s="128"/>
      <c r="DU186" s="128"/>
      <c r="DV186" s="128"/>
      <c r="DW186" s="128"/>
      <c r="DX186" s="128"/>
      <c r="DY186" s="128"/>
      <c r="DZ186" s="530"/>
      <c r="EA186" s="530"/>
      <c r="EB186" s="530"/>
      <c r="EC186" s="530"/>
      <c r="ED186" s="530"/>
      <c r="EE186" s="530"/>
      <c r="EF186" s="530"/>
      <c r="EG186" s="530"/>
      <c r="EH186" s="530"/>
      <c r="EI186" s="530"/>
      <c r="EJ186" s="530"/>
      <c r="EK186" s="530"/>
      <c r="EL186" s="530"/>
      <c r="EM186" s="530"/>
      <c r="EN186" s="530"/>
      <c r="EO186" s="530"/>
      <c r="EP186" s="530"/>
      <c r="EQ186" s="530"/>
      <c r="ER186" s="530"/>
      <c r="ES186" s="530"/>
      <c r="ET186" s="530"/>
      <c r="EU186" s="530"/>
      <c r="EV186" s="530"/>
      <c r="EW186" s="530"/>
      <c r="EX186" s="530"/>
      <c r="EY186" s="530"/>
      <c r="EZ186" s="530"/>
      <c r="FA186" s="530"/>
      <c r="FB186" s="530"/>
      <c r="FC186" s="530"/>
      <c r="FD186" s="530"/>
      <c r="FE186" s="530"/>
      <c r="FF186" s="530"/>
      <c r="FG186" s="530"/>
      <c r="FH186" s="530"/>
      <c r="FI186" s="530"/>
      <c r="FJ186" s="530"/>
      <c r="FK186" s="530"/>
      <c r="FL186" s="530"/>
      <c r="FM186" s="530"/>
      <c r="FN186" s="530"/>
      <c r="FO186" s="530"/>
      <c r="FP186" s="530"/>
      <c r="FQ186" s="530"/>
      <c r="GL186" s="128"/>
      <c r="GM186" s="128"/>
      <c r="GN186" s="128"/>
      <c r="GO186" s="128"/>
      <c r="GP186" s="128"/>
      <c r="GQ186" s="128"/>
      <c r="GR186" s="128"/>
      <c r="GS186" s="128"/>
      <c r="GT186" s="128"/>
      <c r="GU186" s="128"/>
      <c r="GV186" s="128"/>
      <c r="GW186" s="128"/>
      <c r="GX186" s="128"/>
      <c r="GY186" s="128"/>
      <c r="GZ186" s="128"/>
      <c r="HA186" s="128"/>
      <c r="HB186" s="128"/>
      <c r="HC186" s="128"/>
      <c r="HD186" s="128"/>
      <c r="HE186" s="128"/>
      <c r="HF186" s="128"/>
      <c r="HG186" s="128"/>
      <c r="HH186" s="128"/>
      <c r="HI186" s="128"/>
      <c r="HJ186" s="128"/>
      <c r="HK186" s="128"/>
      <c r="HL186" s="128"/>
      <c r="HM186" s="128"/>
      <c r="HN186" s="128"/>
      <c r="HO186" s="128"/>
      <c r="HP186" s="128"/>
      <c r="HQ186" s="128"/>
      <c r="HR186" s="128"/>
      <c r="HS186" s="128"/>
      <c r="HT186" s="128"/>
      <c r="HU186" s="128"/>
      <c r="HV186" s="128"/>
      <c r="HW186" s="128"/>
      <c r="HX186" s="128"/>
      <c r="HY186" s="128"/>
      <c r="HZ186" s="128"/>
      <c r="IA186" s="128"/>
      <c r="IB186" s="128"/>
      <c r="IC186" s="128"/>
    </row>
    <row r="187" spans="41:237" x14ac:dyDescent="0.3">
      <c r="AO187" s="128">
        <v>50429</v>
      </c>
      <c r="AP187" s="128" t="s">
        <v>2497</v>
      </c>
      <c r="AQ187" s="128" t="s">
        <v>824</v>
      </c>
      <c r="AR187" s="375" t="s">
        <v>2234</v>
      </c>
      <c r="AS187" s="375">
        <v>46251</v>
      </c>
      <c r="AT187" s="375">
        <v>46255</v>
      </c>
      <c r="AU187" s="530">
        <v>99979</v>
      </c>
      <c r="AV187" s="128">
        <v>50313</v>
      </c>
      <c r="AW187" s="530">
        <v>800000</v>
      </c>
      <c r="AX187" s="534">
        <f>_xlfn.XLOOKUP(Sell_unvalid[[#This Row],[DEAL_BUY_ID]],BS!BA:BA,BS!BE:BE,,0)</f>
        <v>99937</v>
      </c>
      <c r="AY187" s="534">
        <f>_xlfn.XLOOKUP(Sell_unvalid[[#This Row],[BOND_CODE]],FNRP!D:D,FNRP!I:I,_xlfn.XLOOKUP(Sell_unvalid[[#This Row],[BOND_CODE]],FNRP!AV:AV,FNRP!BA:BA,,0),0)</f>
        <v>92330</v>
      </c>
      <c r="AZ187" s="534">
        <f>_xlfn.XLOOKUP(Sell_unvalid[[#This Row],[DEAL_BUY_ID]],BS!BA:BA,BS!BQ:BQ,,0)*Sell_unvalid[[#This Row],[QUANTITY]]</f>
        <v>-50752210.540849999</v>
      </c>
      <c r="BA187" s="534">
        <f>(Sell_unvalid[[#This Row],[Giá MtM]]-10^5)*Sell_unvalid[[#This Row],[QUANTITY]]-Sell_unvalid[[#This Row],[PTCK remain]]</f>
        <v>-6085247789.4591503</v>
      </c>
      <c r="BB187" s="534">
        <f>(Sell_unvalid[[#This Row],[PRICE]]-10^5)*Sell_unvalid[[#This Row],[QUANTITY]]-Sell_unvalid[[#This Row],[PTCK remain]]</f>
        <v>33952210.540849999</v>
      </c>
      <c r="BC187" s="534" t="str">
        <f>IF(AND(Sell_unvalid[[#This Row],[VALUE_DATE]]&lt;=RPT,Sell_unvalid[[#This Row],[TRANSACTION_STATUS]]="N"),"Check","Ok")</f>
        <v>Ok</v>
      </c>
      <c r="BD187" s="534"/>
      <c r="BE187" s="534"/>
      <c r="BF187" s="128"/>
      <c r="BG187" s="128"/>
      <c r="BH187" s="375"/>
      <c r="BJ187" s="375"/>
      <c r="BL187" s="530"/>
      <c r="BP187" s="534"/>
      <c r="BR187" s="727"/>
      <c r="BS187" s="128"/>
      <c r="BT187" s="848"/>
      <c r="BU187" s="849">
        <v>46190</v>
      </c>
      <c r="BV187" s="848">
        <v>49983</v>
      </c>
      <c r="BW187" s="848" t="s">
        <v>3901</v>
      </c>
      <c r="BX187" s="530">
        <v>1500000</v>
      </c>
      <c r="BY187" s="735">
        <f>_xlfn.XLOOKUP(Est_NIM[[#This Row],[DEAL_BUY_ID]],BS!AL:AL,BS!AU:AU,_xlfn.XLOOKUP(Est_NIM[[#This Row],[DEAL_BUY_ID]],BS!BA:BA,BS!BJ:BJ,,0),0)</f>
        <v>3.12</v>
      </c>
      <c r="BZ187" s="534">
        <f>Est_NIM[[#This Row],[QUANT]]*Est_NIM[[#This Row],[YIELD]]</f>
        <v>4680000</v>
      </c>
      <c r="CA187" s="128"/>
      <c r="CB187" s="128"/>
      <c r="CE187" s="331"/>
      <c r="CF187" s="331"/>
      <c r="CG187" s="331"/>
      <c r="CH187">
        <v>3730</v>
      </c>
      <c r="CI187">
        <v>14282</v>
      </c>
      <c r="CN187" s="128"/>
      <c r="CO187" s="128"/>
      <c r="CP187" s="128"/>
      <c r="CQ187" s="128"/>
      <c r="CR187" s="128"/>
      <c r="CS187" s="128"/>
      <c r="CT187" s="128"/>
      <c r="CU187" s="128"/>
      <c r="CV187" s="128"/>
      <c r="CW187" s="128"/>
      <c r="CX187" s="128"/>
      <c r="CY187" s="128"/>
      <c r="CZ187" s="128"/>
      <c r="DA187" s="128"/>
      <c r="DB187" s="128"/>
      <c r="DC187" s="128"/>
      <c r="DD187" s="128"/>
      <c r="DE187" s="128"/>
      <c r="DF187" s="128"/>
      <c r="DG187" s="128"/>
      <c r="DH187" s="128"/>
      <c r="DI187" s="128"/>
      <c r="DJ187" s="128"/>
      <c r="DK187" s="128"/>
      <c r="DL187" s="128"/>
      <c r="DM187" s="128"/>
      <c r="DN187" s="128"/>
      <c r="DO187" s="128"/>
      <c r="DP187" s="128"/>
      <c r="DQ187" s="128"/>
      <c r="DR187" s="128"/>
      <c r="DS187" s="128"/>
      <c r="DT187" s="128"/>
      <c r="DU187" s="128"/>
      <c r="DV187" s="128"/>
      <c r="DW187" s="128"/>
      <c r="DX187" s="128"/>
      <c r="DY187" s="128"/>
      <c r="DZ187" s="530"/>
      <c r="EA187" s="530"/>
      <c r="EB187" s="530"/>
      <c r="EC187" s="530"/>
      <c r="ED187" s="530"/>
      <c r="EE187" s="530"/>
      <c r="EF187" s="530"/>
      <c r="EG187" s="530"/>
      <c r="EH187" s="530"/>
      <c r="EI187" s="530"/>
      <c r="EJ187" s="530"/>
      <c r="EK187" s="530"/>
      <c r="EL187" s="530"/>
      <c r="EM187" s="530"/>
      <c r="EN187" s="530"/>
      <c r="EO187" s="530"/>
      <c r="EP187" s="530"/>
      <c r="EQ187" s="530"/>
      <c r="ER187" s="530"/>
      <c r="ES187" s="530"/>
      <c r="ET187" s="530"/>
      <c r="EU187" s="530"/>
      <c r="EV187" s="530"/>
      <c r="EW187" s="530"/>
      <c r="EX187" s="530"/>
      <c r="EY187" s="530"/>
      <c r="EZ187" s="530"/>
      <c r="FA187" s="530"/>
      <c r="FB187" s="530"/>
      <c r="FC187" s="530"/>
      <c r="FD187" s="530"/>
      <c r="FE187" s="530"/>
      <c r="FF187" s="530"/>
      <c r="FG187" s="530"/>
      <c r="FH187" s="530"/>
      <c r="FI187" s="530"/>
      <c r="FJ187" s="530"/>
      <c r="FK187" s="530"/>
      <c r="FL187" s="530"/>
      <c r="FM187" s="530"/>
      <c r="FN187" s="530"/>
      <c r="FO187" s="530"/>
      <c r="FP187" s="530"/>
      <c r="FQ187" s="530"/>
      <c r="GL187" s="128"/>
      <c r="GM187" s="128"/>
      <c r="GN187" s="128"/>
      <c r="GO187" s="128"/>
      <c r="GP187" s="128"/>
      <c r="GQ187" s="128"/>
      <c r="GR187" s="128"/>
      <c r="GS187" s="128"/>
      <c r="GT187" s="128"/>
      <c r="GU187" s="128"/>
      <c r="GV187" s="128"/>
      <c r="GW187" s="128"/>
      <c r="GX187" s="128"/>
      <c r="GY187" s="128"/>
      <c r="GZ187" s="128"/>
      <c r="HA187" s="128"/>
      <c r="HB187" s="128"/>
      <c r="HC187" s="128"/>
      <c r="HD187" s="128"/>
      <c r="HE187" s="128"/>
      <c r="HF187" s="128"/>
      <c r="HG187" s="128"/>
      <c r="HH187" s="128"/>
      <c r="HI187" s="128"/>
      <c r="HJ187" s="128"/>
      <c r="HK187" s="128"/>
      <c r="HL187" s="128"/>
      <c r="HM187" s="128"/>
      <c r="HN187" s="128"/>
      <c r="HO187" s="128"/>
      <c r="HP187" s="128"/>
      <c r="HQ187" s="128"/>
      <c r="HR187" s="128"/>
      <c r="HS187" s="128"/>
      <c r="HT187" s="128"/>
      <c r="HU187" s="128"/>
      <c r="HV187" s="128"/>
      <c r="HW187" s="128"/>
      <c r="HX187" s="128"/>
      <c r="HY187" s="128"/>
      <c r="HZ187" s="128"/>
      <c r="IA187" s="128"/>
      <c r="IB187" s="128"/>
      <c r="IC187" s="128"/>
    </row>
    <row r="188" spans="41:237" x14ac:dyDescent="0.3">
      <c r="AO188" s="128">
        <v>50443</v>
      </c>
      <c r="AP188" s="128" t="s">
        <v>2497</v>
      </c>
      <c r="AQ188" s="128" t="s">
        <v>824</v>
      </c>
      <c r="AR188" s="375" t="s">
        <v>2234</v>
      </c>
      <c r="AS188" s="375">
        <v>46252</v>
      </c>
      <c r="AT188" s="375">
        <v>46261</v>
      </c>
      <c r="AU188" s="530">
        <v>95529</v>
      </c>
      <c r="AV188" s="128">
        <v>50404</v>
      </c>
      <c r="AW188" s="530">
        <v>800000</v>
      </c>
      <c r="AX188" s="534">
        <f>_xlfn.XLOOKUP(Sell_unvalid[[#This Row],[DEAL_BUY_ID]],BS!BA:BA,BS!BE:BE,,0)</f>
        <v>103175</v>
      </c>
      <c r="AY188" s="534">
        <f>_xlfn.XLOOKUP(Sell_unvalid[[#This Row],[BOND_CODE]],FNRP!D:D,FNRP!I:I,_xlfn.XLOOKUP(Sell_unvalid[[#This Row],[BOND_CODE]],FNRP!AV:AV,FNRP!BA:BA,,0),0)</f>
        <v>92330</v>
      </c>
      <c r="AZ188" s="534">
        <f>_xlfn.XLOOKUP(Sell_unvalid[[#This Row],[DEAL_BUY_ID]],BS!BA:BA,BS!BQ:BQ,,0)*Sell_unvalid[[#This Row],[QUANTITY]]</f>
        <v>2541920902.7237744</v>
      </c>
      <c r="BA188" s="534">
        <f>(Sell_unvalid[[#This Row],[Giá MtM]]-10^5)*Sell_unvalid[[#This Row],[QUANTITY]]-Sell_unvalid[[#This Row],[PTCK remain]]</f>
        <v>-8677920902.723774</v>
      </c>
      <c r="BB188" s="534">
        <f>(Sell_unvalid[[#This Row],[PRICE]]-10^5)*Sell_unvalid[[#This Row],[QUANTITY]]-Sell_unvalid[[#This Row],[PTCK remain]]</f>
        <v>-6118720902.723774</v>
      </c>
      <c r="BC188" s="534" t="str">
        <f>IF(AND(Sell_unvalid[[#This Row],[VALUE_DATE]]&lt;=RPT,Sell_unvalid[[#This Row],[TRANSACTION_STATUS]]="N"),"Check","Ok")</f>
        <v>Ok</v>
      </c>
      <c r="BD188" s="534"/>
      <c r="BE188" s="534"/>
      <c r="BF188" s="128"/>
      <c r="BG188" s="128"/>
      <c r="BH188" s="375"/>
      <c r="BJ188" s="375"/>
      <c r="BL188" s="530"/>
      <c r="BP188" s="534"/>
      <c r="BR188" s="727"/>
      <c r="BS188" s="128"/>
      <c r="BT188" s="848"/>
      <c r="BU188" s="849">
        <v>46188</v>
      </c>
      <c r="BV188" s="848">
        <v>49989</v>
      </c>
      <c r="BW188" s="848" t="s">
        <v>3901</v>
      </c>
      <c r="BX188" s="530">
        <v>2500000</v>
      </c>
      <c r="BY188" s="735">
        <f>_xlfn.XLOOKUP(Est_NIM[[#This Row],[DEAL_BUY_ID]],BS!AL:AL,BS!AU:AU,_xlfn.XLOOKUP(Est_NIM[[#This Row],[DEAL_BUY_ID]],BS!BA:BA,BS!BJ:BJ,,0),0)</f>
        <v>3.0367000000000002</v>
      </c>
      <c r="BZ188" s="534">
        <f>Est_NIM[[#This Row],[QUANT]]*Est_NIM[[#This Row],[YIELD]]</f>
        <v>7591750</v>
      </c>
      <c r="CA188" s="128"/>
      <c r="CB188" s="128"/>
      <c r="CE188" s="331"/>
      <c r="CF188" s="331"/>
      <c r="CG188" s="331"/>
      <c r="CH188">
        <v>3730</v>
      </c>
      <c r="CI188">
        <v>14282</v>
      </c>
      <c r="CN188" s="128"/>
      <c r="CO188" s="128"/>
      <c r="CP188" s="128"/>
      <c r="CQ188" s="128"/>
      <c r="CR188" s="128"/>
      <c r="CS188" s="128"/>
      <c r="CT188" s="128"/>
      <c r="CU188" s="128"/>
      <c r="CV188" s="128"/>
      <c r="CW188" s="128"/>
      <c r="CX188" s="128"/>
      <c r="CY188" s="128"/>
      <c r="CZ188" s="128"/>
      <c r="DA188" s="128"/>
      <c r="DB188" s="128"/>
      <c r="DC188" s="128"/>
      <c r="DD188" s="128"/>
      <c r="DE188" s="128"/>
      <c r="DF188" s="128"/>
      <c r="DG188" s="128"/>
      <c r="DH188" s="128"/>
      <c r="DI188" s="128"/>
      <c r="DJ188" s="128"/>
      <c r="DK188" s="128"/>
      <c r="DL188" s="128"/>
      <c r="DM188" s="128"/>
      <c r="DN188" s="128"/>
      <c r="DO188" s="128"/>
      <c r="DP188" s="128"/>
      <c r="DQ188" s="128"/>
      <c r="DR188" s="128"/>
      <c r="DS188" s="128"/>
      <c r="DT188" s="128"/>
      <c r="DU188" s="128"/>
      <c r="DV188" s="128"/>
      <c r="DW188" s="128"/>
      <c r="DX188" s="128"/>
      <c r="DY188" s="128"/>
      <c r="DZ188" s="530"/>
      <c r="EA188" s="530"/>
      <c r="EB188" s="530"/>
      <c r="EC188" s="530"/>
      <c r="ED188" s="530"/>
      <c r="EE188" s="530"/>
      <c r="EF188" s="530"/>
      <c r="EG188" s="530"/>
      <c r="EH188" s="530"/>
      <c r="EI188" s="530"/>
      <c r="EJ188" s="530"/>
      <c r="EK188" s="530"/>
      <c r="EL188" s="530"/>
      <c r="EM188" s="530"/>
      <c r="EN188" s="530"/>
      <c r="EO188" s="530"/>
      <c r="EP188" s="530"/>
      <c r="EQ188" s="530"/>
      <c r="ER188" s="530"/>
      <c r="ES188" s="530"/>
      <c r="ET188" s="530"/>
      <c r="EU188" s="530"/>
      <c r="EV188" s="530"/>
      <c r="EW188" s="530"/>
      <c r="EX188" s="530"/>
      <c r="EY188" s="530"/>
      <c r="EZ188" s="530"/>
      <c r="FA188" s="530"/>
      <c r="FB188" s="530"/>
      <c r="FC188" s="530"/>
      <c r="FD188" s="530"/>
      <c r="FE188" s="530"/>
      <c r="FF188" s="530"/>
      <c r="FG188" s="530"/>
      <c r="FH188" s="530"/>
      <c r="FI188" s="530"/>
      <c r="FJ188" s="530"/>
      <c r="FK188" s="530"/>
      <c r="FL188" s="530"/>
      <c r="FM188" s="530"/>
      <c r="FN188" s="530"/>
      <c r="FO188" s="530"/>
      <c r="FP188" s="530"/>
      <c r="FQ188" s="530"/>
      <c r="GL188" s="128"/>
      <c r="GM188" s="128"/>
      <c r="GN188" s="128"/>
      <c r="GO188" s="128"/>
      <c r="GP188" s="128"/>
      <c r="GQ188" s="128"/>
      <c r="GR188" s="128"/>
      <c r="GS188" s="128"/>
      <c r="GT188" s="128"/>
      <c r="GU188" s="128"/>
      <c r="GV188" s="128"/>
      <c r="GW188" s="128"/>
      <c r="GX188" s="128"/>
      <c r="GY188" s="128"/>
      <c r="GZ188" s="128"/>
      <c r="HA188" s="128"/>
      <c r="HB188" s="128"/>
      <c r="HC188" s="128"/>
      <c r="HD188" s="128"/>
      <c r="HE188" s="128"/>
      <c r="HF188" s="128"/>
      <c r="HG188" s="128"/>
      <c r="HH188" s="128"/>
      <c r="HI188" s="128"/>
      <c r="HJ188" s="128"/>
      <c r="HK188" s="128"/>
      <c r="HL188" s="128"/>
      <c r="HM188" s="128"/>
      <c r="HN188" s="128"/>
      <c r="HO188" s="128"/>
      <c r="HP188" s="128"/>
      <c r="HQ188" s="128"/>
      <c r="HR188" s="128"/>
      <c r="HS188" s="128"/>
      <c r="HT188" s="128"/>
      <c r="HU188" s="128"/>
      <c r="HV188" s="128"/>
      <c r="HW188" s="128"/>
      <c r="HX188" s="128"/>
      <c r="HY188" s="128"/>
      <c r="HZ188" s="128"/>
      <c r="IA188" s="128"/>
      <c r="IB188" s="128"/>
      <c r="IC188" s="128"/>
    </row>
    <row r="189" spans="41:237" x14ac:dyDescent="0.3">
      <c r="AO189" s="128">
        <v>50445</v>
      </c>
      <c r="AP189" s="128" t="s">
        <v>2497</v>
      </c>
      <c r="AQ189" s="128" t="s">
        <v>824</v>
      </c>
      <c r="AR189" s="128" t="s">
        <v>2234</v>
      </c>
      <c r="AS189" s="375">
        <v>46252</v>
      </c>
      <c r="AT189" s="375">
        <v>46268</v>
      </c>
      <c r="AU189" s="530">
        <v>99979</v>
      </c>
      <c r="AV189" s="128">
        <v>50430</v>
      </c>
      <c r="AW189" s="530">
        <v>800000</v>
      </c>
      <c r="AX189" s="534">
        <f>_xlfn.XLOOKUP(Sell_unvalid[[#This Row],[DEAL_BUY_ID]],BS!BA:BA,BS!BE:BE,,0)</f>
        <v>99979</v>
      </c>
      <c r="AY189" s="534">
        <f>_xlfn.XLOOKUP(Sell_unvalid[[#This Row],[BOND_CODE]],FNRP!D:D,FNRP!I:I,_xlfn.XLOOKUP(Sell_unvalid[[#This Row],[BOND_CODE]],FNRP!AV:AV,FNRP!BA:BA,,0),0)</f>
        <v>92330</v>
      </c>
      <c r="AZ189" s="534">
        <f>_xlfn.XLOOKUP(Sell_unvalid[[#This Row],[DEAL_BUY_ID]],BS!BA:BA,BS!BQ:BQ,,0)*Sell_unvalid[[#This Row],[QUANTITY]]</f>
        <v>-16881395.611468397</v>
      </c>
      <c r="BA189" s="534">
        <f>(Sell_unvalid[[#This Row],[Giá MtM]]-10^5)*Sell_unvalid[[#This Row],[QUANTITY]]-Sell_unvalid[[#This Row],[PTCK remain]]</f>
        <v>-6119118604.3885317</v>
      </c>
      <c r="BB189" s="534">
        <f>(Sell_unvalid[[#This Row],[PRICE]]-10^5)*Sell_unvalid[[#This Row],[QUANTITY]]-Sell_unvalid[[#This Row],[PTCK remain]]</f>
        <v>81395.611468397081</v>
      </c>
      <c r="BC189" s="534" t="str">
        <f>IF(AND(Sell_unvalid[[#This Row],[VALUE_DATE]]&lt;=RPT,Sell_unvalid[[#This Row],[TRANSACTION_STATUS]]="N"),"Check","Ok")</f>
        <v>Ok</v>
      </c>
      <c r="BD189" s="534"/>
      <c r="BE189" s="534"/>
      <c r="BF189" s="128"/>
      <c r="BG189" s="128"/>
      <c r="BH189" s="375"/>
      <c r="BJ189" s="375"/>
      <c r="BL189" s="530"/>
      <c r="BP189" s="534"/>
      <c r="BR189" s="727"/>
      <c r="BS189" s="128"/>
      <c r="BT189" s="848"/>
      <c r="BU189" s="849">
        <v>46196</v>
      </c>
      <c r="BV189" s="848">
        <v>49999</v>
      </c>
      <c r="BW189" s="848" t="s">
        <v>3901</v>
      </c>
      <c r="BX189" s="530">
        <v>500000</v>
      </c>
      <c r="BY189" s="735">
        <f>_xlfn.XLOOKUP(Est_NIM[[#This Row],[DEAL_BUY_ID]],BS!AL:AL,BS!AU:AU,_xlfn.XLOOKUP(Est_NIM[[#This Row],[DEAL_BUY_ID]],BS!BA:BA,BS!BJ:BJ,,0),0)</f>
        <v>3.1539000000000001</v>
      </c>
      <c r="BZ189" s="534">
        <f>Est_NIM[[#This Row],[QUANT]]*Est_NIM[[#This Row],[YIELD]]</f>
        <v>1576950</v>
      </c>
      <c r="CA189" s="128"/>
      <c r="CB189" s="128"/>
      <c r="CE189" s="331"/>
      <c r="CF189" s="331"/>
      <c r="CG189" s="331"/>
      <c r="CH189">
        <v>3730</v>
      </c>
      <c r="CI189">
        <v>14282</v>
      </c>
      <c r="CN189" s="128"/>
      <c r="CO189" s="128"/>
      <c r="CP189" s="128"/>
      <c r="CQ189" s="128"/>
      <c r="CR189" s="128"/>
      <c r="CS189" s="128"/>
      <c r="CT189" s="128"/>
      <c r="CU189" s="128"/>
      <c r="CV189" s="128"/>
      <c r="CW189" s="128"/>
      <c r="CX189" s="128"/>
      <c r="CY189" s="128"/>
      <c r="CZ189" s="128"/>
      <c r="DA189" s="128"/>
      <c r="DB189" s="128"/>
      <c r="DC189" s="128"/>
      <c r="DD189" s="128"/>
      <c r="DE189" s="128"/>
      <c r="DF189" s="128"/>
      <c r="DG189" s="128"/>
      <c r="DH189" s="128"/>
      <c r="DI189" s="128"/>
      <c r="DJ189" s="128"/>
      <c r="DK189" s="128"/>
      <c r="DL189" s="128"/>
      <c r="DM189" s="128"/>
      <c r="DN189" s="128"/>
      <c r="DO189" s="128"/>
      <c r="DP189" s="128"/>
      <c r="DQ189" s="128"/>
      <c r="DR189" s="128"/>
      <c r="DS189" s="128"/>
      <c r="DT189" s="128"/>
      <c r="DU189" s="128"/>
      <c r="DV189" s="128"/>
      <c r="DW189" s="128"/>
      <c r="DX189" s="128"/>
      <c r="DY189" s="128"/>
      <c r="DZ189" s="530"/>
      <c r="EA189" s="530"/>
      <c r="EB189" s="530"/>
      <c r="EC189" s="530"/>
      <c r="ED189" s="530"/>
      <c r="EE189" s="530"/>
      <c r="EF189" s="530"/>
      <c r="EG189" s="530"/>
      <c r="EH189" s="530"/>
      <c r="EI189" s="530"/>
      <c r="EJ189" s="530"/>
      <c r="EK189" s="530"/>
      <c r="EL189" s="530"/>
      <c r="EM189" s="530"/>
      <c r="EN189" s="530"/>
      <c r="EO189" s="530"/>
      <c r="EP189" s="530"/>
      <c r="EQ189" s="530"/>
      <c r="ER189" s="530"/>
      <c r="ES189" s="530"/>
      <c r="ET189" s="530"/>
      <c r="EU189" s="530"/>
      <c r="EV189" s="530"/>
      <c r="EW189" s="530"/>
      <c r="EX189" s="530"/>
      <c r="EY189" s="530"/>
      <c r="EZ189" s="530"/>
      <c r="FA189" s="530"/>
      <c r="FB189" s="530"/>
      <c r="FC189" s="530"/>
      <c r="FD189" s="530"/>
      <c r="FE189" s="530"/>
      <c r="FF189" s="530"/>
      <c r="FG189" s="530"/>
      <c r="FH189" s="530"/>
      <c r="FI189" s="530"/>
      <c r="FJ189" s="530"/>
      <c r="FK189" s="530"/>
      <c r="FL189" s="530"/>
      <c r="FM189" s="530"/>
      <c r="FN189" s="530"/>
      <c r="FO189" s="530"/>
      <c r="FP189" s="530"/>
      <c r="FQ189" s="530"/>
      <c r="GL189" s="128"/>
      <c r="GM189" s="128"/>
      <c r="GN189" s="128"/>
      <c r="GO189" s="128"/>
      <c r="GP189" s="128"/>
      <c r="GQ189" s="128"/>
      <c r="GR189" s="128"/>
      <c r="GS189" s="128"/>
      <c r="GT189" s="128"/>
      <c r="GU189" s="128"/>
      <c r="GV189" s="128"/>
      <c r="GW189" s="128"/>
      <c r="GX189" s="128"/>
      <c r="GY189" s="128"/>
      <c r="GZ189" s="128"/>
      <c r="HA189" s="128"/>
      <c r="HB189" s="128"/>
      <c r="HC189" s="128"/>
      <c r="HD189" s="128"/>
      <c r="HE189" s="128"/>
      <c r="HF189" s="128"/>
      <c r="HG189" s="128"/>
      <c r="HH189" s="128"/>
      <c r="HI189" s="128"/>
      <c r="HJ189" s="128"/>
      <c r="HK189" s="128"/>
      <c r="HL189" s="128"/>
      <c r="HM189" s="128"/>
      <c r="HN189" s="128"/>
      <c r="HO189" s="128"/>
      <c r="HP189" s="128"/>
      <c r="HQ189" s="128"/>
      <c r="HR189" s="128"/>
      <c r="HS189" s="128"/>
      <c r="HT189" s="128"/>
      <c r="HU189" s="128"/>
      <c r="HV189" s="128"/>
      <c r="HW189" s="128"/>
      <c r="HX189" s="128"/>
      <c r="HY189" s="128"/>
      <c r="HZ189" s="128"/>
      <c r="IA189" s="128"/>
      <c r="IB189" s="128"/>
      <c r="IC189" s="128"/>
    </row>
    <row r="190" spans="41:237" x14ac:dyDescent="0.3">
      <c r="AO190" s="128">
        <v>50193</v>
      </c>
      <c r="AP190" s="128" t="s">
        <v>2852</v>
      </c>
      <c r="AQ190" s="128" t="s">
        <v>824</v>
      </c>
      <c r="AR190" s="128" t="s">
        <v>3594</v>
      </c>
      <c r="AS190" s="375">
        <v>46217</v>
      </c>
      <c r="AT190" s="375">
        <v>46219</v>
      </c>
      <c r="AU190" s="530">
        <v>94194</v>
      </c>
      <c r="AV190" s="128">
        <v>49694</v>
      </c>
      <c r="AW190" s="530">
        <v>1000000</v>
      </c>
      <c r="AX190" s="534">
        <f>_xlfn.XLOOKUP(Sell_unvalid[[#This Row],[DEAL_BUY_ID]],BS!BA:BA,BS!BE:BE,,0)</f>
        <v>94074</v>
      </c>
      <c r="AY190" s="534">
        <f>_xlfn.XLOOKUP(Sell_unvalid[[#This Row],[BOND_CODE]],FNRP!D:D,FNRP!I:I,_xlfn.XLOOKUP(Sell_unvalid[[#This Row],[BOND_CODE]],FNRP!AV:AV,FNRP!BA:BA,,0),0)</f>
        <v>87596</v>
      </c>
      <c r="AZ190" s="534">
        <f>_xlfn.XLOOKUP(Sell_unvalid[[#This Row],[DEAL_BUY_ID]],BS!BA:BA,BS!BQ:BQ,,0)*Sell_unvalid[[#This Row],[QUANTITY]]</f>
        <v>-5714712130.0305271</v>
      </c>
      <c r="BA190" s="534">
        <f>(Sell_unvalid[[#This Row],[Giá MtM]]-10^5)*Sell_unvalid[[#This Row],[QUANTITY]]-Sell_unvalid[[#This Row],[PTCK remain]]</f>
        <v>-6689287869.9694729</v>
      </c>
      <c r="BB190" s="534">
        <f>(Sell_unvalid[[#This Row],[PRICE]]-10^5)*Sell_unvalid[[#This Row],[QUANTITY]]-Sell_unvalid[[#This Row],[PTCK remain]]</f>
        <v>-91287869.969472885</v>
      </c>
      <c r="BC190" s="534" t="str">
        <f>IF(AND(Sell_unvalid[[#This Row],[VALUE_DATE]]&lt;=RPT,Sell_unvalid[[#This Row],[TRANSACTION_STATUS]]="N"),"Check","Ok")</f>
        <v>Ok</v>
      </c>
      <c r="BD190" s="534"/>
      <c r="BE190" s="534"/>
      <c r="BF190" s="128"/>
      <c r="BG190" s="128"/>
      <c r="BH190" s="375"/>
      <c r="BJ190" s="375"/>
      <c r="BL190" s="530"/>
      <c r="BP190" s="534"/>
      <c r="BR190" s="727"/>
      <c r="BS190" s="128"/>
      <c r="BT190" s="848"/>
      <c r="BU190" s="849">
        <v>46198</v>
      </c>
      <c r="BV190" s="848">
        <v>50021</v>
      </c>
      <c r="BW190" s="848" t="s">
        <v>3901</v>
      </c>
      <c r="BX190" s="530">
        <v>1000000</v>
      </c>
      <c r="BY190" s="735">
        <f>_xlfn.XLOOKUP(Est_NIM[[#This Row],[DEAL_BUY_ID]],BS!AL:AL,BS!AU:AU,_xlfn.XLOOKUP(Est_NIM[[#This Row],[DEAL_BUY_ID]],BS!BA:BA,BS!BJ:BJ,,0),0)</f>
        <v>2.9906000000000001</v>
      </c>
      <c r="BZ190" s="534">
        <f>Est_NIM[[#This Row],[QUANT]]*Est_NIM[[#This Row],[YIELD]]</f>
        <v>2990600</v>
      </c>
      <c r="CA190" s="128"/>
      <c r="CB190" s="128"/>
      <c r="CE190" s="331"/>
      <c r="CF190" s="331"/>
      <c r="CG190" s="331"/>
      <c r="CH190">
        <v>3730</v>
      </c>
      <c r="CI190">
        <v>14282</v>
      </c>
      <c r="CN190" s="128"/>
      <c r="CO190" s="128"/>
      <c r="CP190" s="128"/>
      <c r="CQ190" s="128"/>
      <c r="CR190" s="128"/>
      <c r="CS190" s="128"/>
      <c r="CT190" s="128"/>
      <c r="CU190" s="128"/>
      <c r="CV190" s="128"/>
      <c r="CW190" s="128"/>
      <c r="CX190" s="128"/>
      <c r="CY190" s="128"/>
      <c r="CZ190" s="128"/>
      <c r="DA190" s="128"/>
      <c r="DB190" s="128"/>
      <c r="DC190" s="128"/>
      <c r="DD190" s="128"/>
      <c r="DE190" s="128"/>
      <c r="DF190" s="128"/>
      <c r="DG190" s="128"/>
      <c r="DH190" s="128"/>
      <c r="DI190" s="128"/>
      <c r="DJ190" s="128"/>
      <c r="DK190" s="128"/>
      <c r="DL190" s="128"/>
      <c r="DM190" s="128"/>
      <c r="DN190" s="128"/>
      <c r="DO190" s="128"/>
      <c r="DP190" s="128"/>
      <c r="DQ190" s="128"/>
      <c r="DR190" s="128"/>
      <c r="DS190" s="128"/>
      <c r="DT190" s="128"/>
      <c r="DU190" s="128"/>
      <c r="DV190" s="128"/>
      <c r="DW190" s="128"/>
      <c r="DX190" s="128"/>
      <c r="DY190" s="128"/>
      <c r="DZ190" s="530"/>
      <c r="EA190" s="530"/>
      <c r="EB190" s="530"/>
      <c r="EC190" s="530"/>
      <c r="ED190" s="530"/>
      <c r="EE190" s="530"/>
      <c r="EF190" s="530"/>
      <c r="EG190" s="530"/>
      <c r="EH190" s="530"/>
      <c r="EI190" s="530"/>
      <c r="EJ190" s="530"/>
      <c r="EK190" s="530"/>
      <c r="EL190" s="530"/>
      <c r="EM190" s="530"/>
      <c r="EN190" s="530"/>
      <c r="EO190" s="530"/>
      <c r="EP190" s="530"/>
      <c r="EQ190" s="530"/>
      <c r="ER190" s="530"/>
      <c r="ES190" s="530"/>
      <c r="ET190" s="530"/>
      <c r="EU190" s="530"/>
      <c r="EV190" s="530"/>
      <c r="EW190" s="530"/>
      <c r="EX190" s="530"/>
      <c r="EY190" s="530"/>
      <c r="EZ190" s="530"/>
      <c r="FA190" s="530"/>
      <c r="FB190" s="530"/>
      <c r="FC190" s="530"/>
      <c r="FD190" s="530"/>
      <c r="FE190" s="530"/>
      <c r="FF190" s="530"/>
      <c r="FG190" s="530"/>
      <c r="FH190" s="530"/>
      <c r="FI190" s="530"/>
      <c r="FJ190" s="530"/>
      <c r="FK190" s="530"/>
      <c r="FL190" s="530"/>
      <c r="FM190" s="530"/>
      <c r="FN190" s="530"/>
      <c r="FO190" s="530"/>
      <c r="FP190" s="530"/>
      <c r="FQ190" s="530"/>
      <c r="GL190" s="128"/>
      <c r="GM190" s="128"/>
      <c r="GN190" s="128"/>
      <c r="GO190" s="128"/>
      <c r="GP190" s="128"/>
      <c r="GQ190" s="128"/>
      <c r="GR190" s="128"/>
      <c r="GS190" s="128"/>
      <c r="GT190" s="128"/>
      <c r="GU190" s="128"/>
      <c r="GV190" s="128"/>
      <c r="GW190" s="128"/>
      <c r="GX190" s="128"/>
      <c r="GY190" s="128"/>
      <c r="GZ190" s="128"/>
      <c r="HA190" s="128"/>
      <c r="HB190" s="128"/>
      <c r="HC190" s="128"/>
      <c r="HD190" s="128"/>
      <c r="HE190" s="128"/>
      <c r="HF190" s="128"/>
      <c r="HG190" s="128"/>
      <c r="HH190" s="128"/>
      <c r="HI190" s="128"/>
      <c r="HJ190" s="128"/>
      <c r="HK190" s="128"/>
      <c r="HL190" s="128"/>
      <c r="HM190" s="128"/>
      <c r="HN190" s="128"/>
      <c r="HO190" s="128"/>
      <c r="HP190" s="128"/>
      <c r="HQ190" s="128"/>
      <c r="HR190" s="128"/>
      <c r="HS190" s="128"/>
      <c r="HT190" s="128"/>
      <c r="HU190" s="128"/>
      <c r="HV190" s="128"/>
      <c r="HW190" s="128"/>
      <c r="HX190" s="128"/>
      <c r="HY190" s="128"/>
      <c r="HZ190" s="128"/>
      <c r="IA190" s="128"/>
      <c r="IB190" s="128"/>
      <c r="IC190" s="128"/>
    </row>
    <row r="191" spans="41:237" x14ac:dyDescent="0.3">
      <c r="AO191" s="128">
        <v>50303</v>
      </c>
      <c r="AP191" s="128" t="s">
        <v>2831</v>
      </c>
      <c r="AQ191" s="128" t="s">
        <v>824</v>
      </c>
      <c r="AR191" s="128" t="s">
        <v>3594</v>
      </c>
      <c r="AS191" s="375">
        <v>46239</v>
      </c>
      <c r="AT191" s="375">
        <v>46245</v>
      </c>
      <c r="AU191" s="530">
        <v>98539</v>
      </c>
      <c r="AV191" s="128">
        <v>49561</v>
      </c>
      <c r="AW191" s="530">
        <v>1000000</v>
      </c>
      <c r="AX191" s="534">
        <f>_xlfn.XLOOKUP(Sell_unvalid[[#This Row],[DEAL_BUY_ID]],BS!BA:BA,BS!BE:BE,,0)</f>
        <v>98455</v>
      </c>
      <c r="AY191" s="534">
        <f>_xlfn.XLOOKUP(Sell_unvalid[[#This Row],[BOND_CODE]],FNRP!D:D,FNRP!I:I,_xlfn.XLOOKUP(Sell_unvalid[[#This Row],[BOND_CODE]],FNRP!AV:AV,FNRP!BA:BA,,0),0)</f>
        <v>89242</v>
      </c>
      <c r="AZ191" s="534">
        <f>_xlfn.XLOOKUP(Sell_unvalid[[#This Row],[DEAL_BUY_ID]],BS!BA:BA,BS!BQ:BQ,,0)*Sell_unvalid[[#This Row],[QUANTITY]]</f>
        <v>-1484662417.7461357</v>
      </c>
      <c r="BA191" s="534">
        <f>(Sell_unvalid[[#This Row],[Giá MtM]]-10^5)*Sell_unvalid[[#This Row],[QUANTITY]]-Sell_unvalid[[#This Row],[PTCK remain]]</f>
        <v>-9273337582.2538643</v>
      </c>
      <c r="BB191" s="534">
        <f>(Sell_unvalid[[#This Row],[PRICE]]-10^5)*Sell_unvalid[[#This Row],[QUANTITY]]-Sell_unvalid[[#This Row],[PTCK remain]]</f>
        <v>23662417.746135712</v>
      </c>
      <c r="BC191" s="534" t="str">
        <f>IF(AND(Sell_unvalid[[#This Row],[VALUE_DATE]]&lt;=RPT,Sell_unvalid[[#This Row],[TRANSACTION_STATUS]]="N"),"Check","Ok")</f>
        <v>Ok</v>
      </c>
      <c r="BD191" s="534"/>
      <c r="BE191" s="534"/>
      <c r="BF191" s="128"/>
      <c r="BG191" s="128"/>
      <c r="BH191" s="375"/>
      <c r="BJ191" s="375"/>
      <c r="BL191" s="530"/>
      <c r="BP191" s="534"/>
      <c r="BR191" s="727"/>
      <c r="BS191" s="128"/>
      <c r="BT191" s="848"/>
      <c r="BU191" s="849">
        <v>46198</v>
      </c>
      <c r="BV191" s="848">
        <v>50023</v>
      </c>
      <c r="BW191" s="848" t="s">
        <v>3901</v>
      </c>
      <c r="BX191" s="530">
        <v>2000000</v>
      </c>
      <c r="BY191" s="735">
        <f>_xlfn.XLOOKUP(Est_NIM[[#This Row],[DEAL_BUY_ID]],BS!AL:AL,BS!AU:AU,_xlfn.XLOOKUP(Est_NIM[[#This Row],[DEAL_BUY_ID]],BS!BA:BA,BS!BJ:BJ,,0),0)</f>
        <v>3</v>
      </c>
      <c r="BZ191" s="534">
        <f>Est_NIM[[#This Row],[QUANT]]*Est_NIM[[#This Row],[YIELD]]</f>
        <v>6000000</v>
      </c>
      <c r="CA191" s="128"/>
      <c r="CB191" s="128"/>
      <c r="CE191" s="331"/>
      <c r="CF191" s="331"/>
      <c r="CG191" s="331"/>
      <c r="CH191">
        <v>3730</v>
      </c>
      <c r="CI191">
        <v>14282</v>
      </c>
      <c r="CN191" s="128"/>
      <c r="CO191" s="128"/>
      <c r="CP191" s="128"/>
      <c r="CQ191" s="128"/>
      <c r="CR191" s="128"/>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c r="DO191" s="128"/>
      <c r="DP191" s="128"/>
      <c r="DQ191" s="128"/>
      <c r="DR191" s="128"/>
      <c r="DS191" s="128"/>
      <c r="DT191" s="128"/>
      <c r="DU191" s="128"/>
      <c r="DV191" s="128"/>
      <c r="DW191" s="128"/>
      <c r="DX191" s="128"/>
      <c r="DY191" s="128"/>
      <c r="DZ191" s="530"/>
      <c r="EA191" s="530"/>
      <c r="EB191" s="530"/>
      <c r="EC191" s="530"/>
      <c r="ED191" s="530"/>
      <c r="EE191" s="530"/>
      <c r="EF191" s="530"/>
      <c r="EG191" s="530"/>
      <c r="EH191" s="530"/>
      <c r="EI191" s="530"/>
      <c r="EJ191" s="530"/>
      <c r="EK191" s="530"/>
      <c r="EL191" s="530"/>
      <c r="EM191" s="530"/>
      <c r="EN191" s="530"/>
      <c r="EO191" s="530"/>
      <c r="EP191" s="530"/>
      <c r="EQ191" s="530"/>
      <c r="ER191" s="530"/>
      <c r="ES191" s="530"/>
      <c r="ET191" s="530"/>
      <c r="EU191" s="530"/>
      <c r="EV191" s="530"/>
      <c r="EW191" s="530"/>
      <c r="EX191" s="530"/>
      <c r="EY191" s="530"/>
      <c r="EZ191" s="530"/>
      <c r="FA191" s="530"/>
      <c r="FB191" s="530"/>
      <c r="FC191" s="530"/>
      <c r="FD191" s="530"/>
      <c r="FE191" s="530"/>
      <c r="FF191" s="530"/>
      <c r="FG191" s="530"/>
      <c r="FH191" s="530"/>
      <c r="FI191" s="530"/>
      <c r="FJ191" s="530"/>
      <c r="FK191" s="530"/>
      <c r="FL191" s="530"/>
      <c r="FM191" s="530"/>
      <c r="FN191" s="530"/>
      <c r="FO191" s="530"/>
      <c r="FP191" s="530"/>
      <c r="FQ191" s="530"/>
      <c r="GL191" s="128"/>
      <c r="GM191" s="128"/>
      <c r="GN191" s="128"/>
      <c r="GO191" s="128"/>
      <c r="GP191" s="128"/>
      <c r="GQ191" s="128"/>
      <c r="GR191" s="128"/>
      <c r="GS191" s="128"/>
      <c r="GT191" s="128"/>
      <c r="GU191" s="128"/>
      <c r="GV191" s="128"/>
      <c r="GW191" s="128"/>
      <c r="GX191" s="128"/>
      <c r="GY191" s="128"/>
      <c r="GZ191" s="128"/>
      <c r="HA191" s="128"/>
      <c r="HB191" s="128"/>
      <c r="HC191" s="128"/>
      <c r="HD191" s="128"/>
      <c r="HE191" s="128"/>
      <c r="HF191" s="128"/>
      <c r="HG191" s="128"/>
      <c r="HH191" s="128"/>
      <c r="HI191" s="128"/>
      <c r="HJ191" s="128"/>
      <c r="HK191" s="128"/>
      <c r="HL191" s="128"/>
      <c r="HM191" s="128"/>
      <c r="HN191" s="128"/>
      <c r="HO191" s="128"/>
      <c r="HP191" s="128"/>
      <c r="HQ191" s="128"/>
      <c r="HR191" s="128"/>
      <c r="HS191" s="128"/>
      <c r="HT191" s="128"/>
      <c r="HU191" s="128"/>
      <c r="HV191" s="128"/>
      <c r="HW191" s="128"/>
      <c r="HX191" s="128"/>
      <c r="HY191" s="128"/>
      <c r="HZ191" s="128"/>
      <c r="IA191" s="128"/>
      <c r="IB191" s="128"/>
      <c r="IC191" s="128"/>
    </row>
    <row r="192" spans="41:237" x14ac:dyDescent="0.3">
      <c r="AO192" s="128">
        <v>50427</v>
      </c>
      <c r="AP192" s="128" t="s">
        <v>2831</v>
      </c>
      <c r="AQ192" s="128" t="s">
        <v>824</v>
      </c>
      <c r="AR192" s="128" t="s">
        <v>2234</v>
      </c>
      <c r="AS192" s="375">
        <v>46251</v>
      </c>
      <c r="AT192" s="375">
        <v>46255</v>
      </c>
      <c r="AU192" s="530">
        <v>97724</v>
      </c>
      <c r="AV192" s="128">
        <v>49987</v>
      </c>
      <c r="AW192" s="530">
        <v>3000000</v>
      </c>
      <c r="AX192" s="534">
        <f>_xlfn.XLOOKUP(Sell_unvalid[[#This Row],[DEAL_BUY_ID]],BS!BA:BA,BS!BE:BE,,0)</f>
        <v>97714</v>
      </c>
      <c r="AY192" s="534">
        <f>_xlfn.XLOOKUP(Sell_unvalid[[#This Row],[BOND_CODE]],FNRP!D:D,FNRP!I:I,_xlfn.XLOOKUP(Sell_unvalid[[#This Row],[BOND_CODE]],FNRP!AV:AV,FNRP!BA:BA,,0),0)</f>
        <v>89242</v>
      </c>
      <c r="AZ192" s="534">
        <f>_xlfn.XLOOKUP(Sell_unvalid[[#This Row],[DEAL_BUY_ID]],BS!BA:BA,BS!BQ:BQ,,0)*Sell_unvalid[[#This Row],[QUANTITY]]</f>
        <v>-6705744317.1979351</v>
      </c>
      <c r="BA192" s="534">
        <f>(Sell_unvalid[[#This Row],[Giá MtM]]-10^5)*Sell_unvalid[[#This Row],[QUANTITY]]-Sell_unvalid[[#This Row],[PTCK remain]]</f>
        <v>-25568255682.802063</v>
      </c>
      <c r="BB192" s="534">
        <f>(Sell_unvalid[[#This Row],[PRICE]]-10^5)*Sell_unvalid[[#This Row],[QUANTITY]]-Sell_unvalid[[#This Row],[PTCK remain]]</f>
        <v>-122255682.8020649</v>
      </c>
      <c r="BC192" s="534" t="str">
        <f>IF(AND(Sell_unvalid[[#This Row],[VALUE_DATE]]&lt;=RPT,Sell_unvalid[[#This Row],[TRANSACTION_STATUS]]="N"),"Check","Ok")</f>
        <v>Ok</v>
      </c>
      <c r="BD192" s="534"/>
      <c r="BE192" s="534"/>
      <c r="BF192" s="128"/>
      <c r="BG192" s="128"/>
      <c r="BH192" s="375"/>
      <c r="BJ192" s="375"/>
      <c r="BL192" s="530"/>
      <c r="BP192" s="534"/>
      <c r="BR192" s="727"/>
      <c r="BS192" s="128"/>
      <c r="BT192" s="848"/>
      <c r="BU192" s="849">
        <v>46195</v>
      </c>
      <c r="BV192" s="848">
        <v>50068</v>
      </c>
      <c r="BW192" s="848" t="s">
        <v>3901</v>
      </c>
      <c r="BX192" s="530">
        <v>500000</v>
      </c>
      <c r="BY192" s="735">
        <f>_xlfn.XLOOKUP(Est_NIM[[#This Row],[DEAL_BUY_ID]],BS!AL:AL,BS!AU:AU,_xlfn.XLOOKUP(Est_NIM[[#This Row],[DEAL_BUY_ID]],BS!BA:BA,BS!BJ:BJ,,0),0)</f>
        <v>3.4184999999999999</v>
      </c>
      <c r="BZ192" s="534">
        <f>Est_NIM[[#This Row],[QUANT]]*Est_NIM[[#This Row],[YIELD]]</f>
        <v>1709250</v>
      </c>
      <c r="CA192" s="128"/>
      <c r="CB192" s="128"/>
      <c r="CE192" s="331"/>
      <c r="CF192" s="331"/>
      <c r="CG192" s="331"/>
      <c r="CH192">
        <v>3730</v>
      </c>
      <c r="CI192">
        <v>14282</v>
      </c>
      <c r="CN192" s="128"/>
      <c r="CO192" s="128"/>
      <c r="CP192" s="128"/>
      <c r="CQ192" s="128"/>
      <c r="CR192" s="128"/>
      <c r="CS192" s="128"/>
      <c r="CT192" s="128"/>
      <c r="CU192" s="128"/>
      <c r="CV192" s="128"/>
      <c r="CW192" s="128"/>
      <c r="CX192" s="128"/>
      <c r="CY192" s="128"/>
      <c r="CZ192" s="128"/>
      <c r="DA192" s="128"/>
      <c r="DB192" s="128"/>
      <c r="DC192" s="128"/>
      <c r="DD192" s="128"/>
      <c r="DE192" s="128"/>
      <c r="DF192" s="128"/>
      <c r="DG192" s="128"/>
      <c r="DH192" s="128"/>
      <c r="DI192" s="128"/>
      <c r="DJ192" s="128"/>
      <c r="DK192" s="128"/>
      <c r="DL192" s="128"/>
      <c r="DM192" s="128"/>
      <c r="DN192" s="128"/>
      <c r="DO192" s="128"/>
      <c r="DP192" s="128"/>
      <c r="DQ192" s="128"/>
      <c r="DR192" s="128"/>
      <c r="DS192" s="128"/>
      <c r="DT192" s="128"/>
      <c r="DU192" s="128"/>
      <c r="DV192" s="128"/>
      <c r="DW192" s="128"/>
      <c r="DX192" s="128"/>
      <c r="DY192" s="128"/>
      <c r="DZ192" s="530"/>
      <c r="EA192" s="530"/>
      <c r="EB192" s="530"/>
      <c r="EC192" s="530"/>
      <c r="ED192" s="530"/>
      <c r="EE192" s="530"/>
      <c r="EF192" s="530"/>
      <c r="EG192" s="530"/>
      <c r="EH192" s="530"/>
      <c r="EI192" s="530"/>
      <c r="EJ192" s="530"/>
      <c r="EK192" s="530"/>
      <c r="EL192" s="530"/>
      <c r="EM192" s="530"/>
      <c r="EN192" s="530"/>
      <c r="EO192" s="530"/>
      <c r="EP192" s="530"/>
      <c r="EQ192" s="530"/>
      <c r="ER192" s="530"/>
      <c r="ES192" s="530"/>
      <c r="ET192" s="530"/>
      <c r="EU192" s="530"/>
      <c r="EV192" s="530"/>
      <c r="EW192" s="530"/>
      <c r="EX192" s="530"/>
      <c r="EY192" s="530"/>
      <c r="EZ192" s="530"/>
      <c r="FA192" s="530"/>
      <c r="FB192" s="530"/>
      <c r="FC192" s="530"/>
      <c r="FD192" s="530"/>
      <c r="FE192" s="530"/>
      <c r="FF192" s="530"/>
      <c r="FG192" s="530"/>
      <c r="FH192" s="530"/>
      <c r="FI192" s="530"/>
      <c r="FJ192" s="530"/>
      <c r="FK192" s="530"/>
      <c r="FL192" s="530"/>
      <c r="FM192" s="530"/>
      <c r="FN192" s="530"/>
      <c r="FO192" s="530"/>
      <c r="FP192" s="530"/>
      <c r="FQ192" s="530"/>
      <c r="GL192" s="128"/>
      <c r="GM192" s="128"/>
      <c r="GN192" s="128"/>
      <c r="GO192" s="128"/>
      <c r="GP192" s="128"/>
      <c r="GQ192" s="128"/>
      <c r="GR192" s="128"/>
      <c r="GS192" s="128"/>
      <c r="GT192" s="128"/>
      <c r="GU192" s="128"/>
      <c r="GV192" s="128"/>
      <c r="GW192" s="128"/>
      <c r="GX192" s="128"/>
      <c r="GY192" s="128"/>
      <c r="GZ192" s="128"/>
      <c r="HA192" s="128"/>
      <c r="HB192" s="128"/>
      <c r="HC192" s="128"/>
      <c r="HD192" s="128"/>
      <c r="HE192" s="128"/>
      <c r="HF192" s="128"/>
      <c r="HG192" s="128"/>
      <c r="HH192" s="128"/>
      <c r="HI192" s="128"/>
      <c r="HJ192" s="128"/>
      <c r="HK192" s="128"/>
      <c r="HL192" s="128"/>
      <c r="HM192" s="128"/>
      <c r="HN192" s="128"/>
      <c r="HO192" s="128"/>
      <c r="HP192" s="128"/>
      <c r="HQ192" s="128"/>
      <c r="HR192" s="128"/>
      <c r="HS192" s="128"/>
      <c r="HT192" s="128"/>
      <c r="HU192" s="128"/>
      <c r="HV192" s="128"/>
      <c r="HW192" s="128"/>
      <c r="HX192" s="128"/>
      <c r="HY192" s="128"/>
      <c r="HZ192" s="128"/>
      <c r="IA192" s="128"/>
      <c r="IB192" s="128"/>
      <c r="IC192" s="128"/>
    </row>
    <row r="193" spans="41:237" x14ac:dyDescent="0.3">
      <c r="AO193" s="128">
        <v>50322</v>
      </c>
      <c r="AP193" s="128" t="s">
        <v>2836</v>
      </c>
      <c r="AQ193" s="128" t="s">
        <v>824</v>
      </c>
      <c r="AR193" s="128" t="s">
        <v>3594</v>
      </c>
      <c r="AS193" s="375">
        <v>46240</v>
      </c>
      <c r="AT193" s="375">
        <v>46252</v>
      </c>
      <c r="AU193" s="530">
        <v>97637</v>
      </c>
      <c r="AV193" s="128">
        <v>49924</v>
      </c>
      <c r="AW193" s="530">
        <v>2000000</v>
      </c>
      <c r="AX193" s="534">
        <f>_xlfn.XLOOKUP(Sell_unvalid[[#This Row],[DEAL_BUY_ID]],BS!BA:BA,BS!BE:BE,,0)</f>
        <v>97442</v>
      </c>
      <c r="AY193" s="534">
        <f>_xlfn.XLOOKUP(Sell_unvalid[[#This Row],[BOND_CODE]],FNRP!D:D,FNRP!I:I,_xlfn.XLOOKUP(Sell_unvalid[[#This Row],[BOND_CODE]],FNRP!AV:AV,FNRP!BA:BA,,0),0)</f>
        <v>89135</v>
      </c>
      <c r="AZ193" s="534">
        <f>_xlfn.XLOOKUP(Sell_unvalid[[#This Row],[DEAL_BUY_ID]],BS!BA:BA,BS!BQ:BQ,,0)*Sell_unvalid[[#This Row],[QUANTITY]]</f>
        <v>-4986429993.7628517</v>
      </c>
      <c r="BA193" s="534">
        <f>(Sell_unvalid[[#This Row],[Giá MtM]]-10^5)*Sell_unvalid[[#This Row],[QUANTITY]]-Sell_unvalid[[#This Row],[PTCK remain]]</f>
        <v>-16743570006.237148</v>
      </c>
      <c r="BB193" s="534">
        <f>(Sell_unvalid[[#This Row],[PRICE]]-10^5)*Sell_unvalid[[#This Row],[QUANTITY]]-Sell_unvalid[[#This Row],[PTCK remain]]</f>
        <v>260429993.76285172</v>
      </c>
      <c r="BC193" s="534" t="str">
        <f>IF(AND(Sell_unvalid[[#This Row],[VALUE_DATE]]&lt;=RPT,Sell_unvalid[[#This Row],[TRANSACTION_STATUS]]="N"),"Check","Ok")</f>
        <v>Ok</v>
      </c>
      <c r="BD193" s="534"/>
      <c r="BE193" s="534"/>
      <c r="BF193" s="128"/>
      <c r="BG193" s="128"/>
      <c r="BH193" s="375"/>
      <c r="BJ193" s="375"/>
      <c r="BL193" s="530"/>
      <c r="BP193" s="534"/>
      <c r="BR193" s="727"/>
      <c r="BS193" s="128"/>
      <c r="BT193" s="848"/>
      <c r="BU193" s="849">
        <v>46197</v>
      </c>
      <c r="BV193" s="848">
        <v>50082</v>
      </c>
      <c r="BW193" s="848" t="s">
        <v>3901</v>
      </c>
      <c r="BX193" s="530">
        <v>2000000</v>
      </c>
      <c r="BY193" s="735">
        <f>_xlfn.XLOOKUP(Est_NIM[[#This Row],[DEAL_BUY_ID]],BS!AL:AL,BS!AU:AU,_xlfn.XLOOKUP(Est_NIM[[#This Row],[DEAL_BUY_ID]],BS!BA:BA,BS!BJ:BJ,,0),0)</f>
        <v>3.1425000000000001</v>
      </c>
      <c r="BZ193" s="534">
        <f>Est_NIM[[#This Row],[QUANT]]*Est_NIM[[#This Row],[YIELD]]</f>
        <v>6285000</v>
      </c>
      <c r="CA193" s="128"/>
      <c r="CB193" s="128"/>
      <c r="CE193" s="331"/>
      <c r="CF193" s="331"/>
      <c r="CG193" s="331"/>
      <c r="CH193">
        <v>3730</v>
      </c>
      <c r="CI193">
        <v>14282</v>
      </c>
      <c r="CN193" s="128"/>
      <c r="CO193" s="128"/>
      <c r="CP193" s="128"/>
      <c r="CQ193" s="128"/>
      <c r="CR193" s="128"/>
      <c r="CS193" s="128"/>
      <c r="CT193" s="128"/>
      <c r="CU193" s="128"/>
      <c r="CV193" s="128"/>
      <c r="CW193" s="128"/>
      <c r="CX193" s="128"/>
      <c r="CY193" s="128"/>
      <c r="CZ193" s="128"/>
      <c r="DA193" s="128"/>
      <c r="DB193" s="128"/>
      <c r="DC193" s="128"/>
      <c r="DD193" s="128"/>
      <c r="DE193" s="128"/>
      <c r="DF193" s="128"/>
      <c r="DG193" s="128"/>
      <c r="DH193" s="128"/>
      <c r="DI193" s="128"/>
      <c r="DJ193" s="128"/>
      <c r="DK193" s="128"/>
      <c r="DL193" s="128"/>
      <c r="DM193" s="128"/>
      <c r="DN193" s="128"/>
      <c r="DO193" s="128"/>
      <c r="DP193" s="128"/>
      <c r="DQ193" s="128"/>
      <c r="DR193" s="128"/>
      <c r="DS193" s="128"/>
      <c r="DT193" s="128"/>
      <c r="DU193" s="128"/>
      <c r="DV193" s="128"/>
      <c r="DW193" s="128"/>
      <c r="DX193" s="128"/>
      <c r="DY193" s="128"/>
      <c r="DZ193" s="530"/>
      <c r="EA193" s="530"/>
      <c r="EB193" s="530"/>
      <c r="EC193" s="530"/>
      <c r="ED193" s="530"/>
      <c r="EE193" s="530"/>
      <c r="EF193" s="530"/>
      <c r="EG193" s="530"/>
      <c r="EH193" s="530"/>
      <c r="EI193" s="530"/>
      <c r="EJ193" s="530"/>
      <c r="EK193" s="530"/>
      <c r="EL193" s="530"/>
      <c r="EM193" s="530"/>
      <c r="EN193" s="530"/>
      <c r="EO193" s="530"/>
      <c r="EP193" s="530"/>
      <c r="EQ193" s="530"/>
      <c r="ER193" s="530"/>
      <c r="ES193" s="530"/>
      <c r="ET193" s="530"/>
      <c r="EU193" s="530"/>
      <c r="EV193" s="530"/>
      <c r="EW193" s="530"/>
      <c r="EX193" s="530"/>
      <c r="EY193" s="530"/>
      <c r="EZ193" s="530"/>
      <c r="FA193" s="530"/>
      <c r="FB193" s="530"/>
      <c r="FC193" s="530"/>
      <c r="FD193" s="530"/>
      <c r="FE193" s="530"/>
      <c r="FF193" s="530"/>
      <c r="FG193" s="530"/>
      <c r="FH193" s="530"/>
      <c r="FI193" s="530"/>
      <c r="FJ193" s="530"/>
      <c r="FK193" s="530"/>
      <c r="FL193" s="530"/>
      <c r="FM193" s="530"/>
      <c r="FN193" s="530"/>
      <c r="FO193" s="530"/>
      <c r="FP193" s="530"/>
      <c r="FQ193" s="530"/>
      <c r="GL193" s="128"/>
      <c r="GM193" s="128"/>
      <c r="GN193" s="128"/>
      <c r="GO193" s="128"/>
      <c r="GP193" s="128"/>
      <c r="GQ193" s="128"/>
      <c r="GR193" s="128"/>
      <c r="GS193" s="128"/>
      <c r="GT193" s="128"/>
      <c r="GU193" s="128"/>
      <c r="GV193" s="128"/>
      <c r="GW193" s="128"/>
      <c r="GX193" s="128"/>
      <c r="GY193" s="128"/>
      <c r="GZ193" s="128"/>
      <c r="HA193" s="128"/>
      <c r="HB193" s="128"/>
      <c r="HC193" s="128"/>
      <c r="HD193" s="128"/>
      <c r="HE193" s="128"/>
      <c r="HF193" s="128"/>
      <c r="HG193" s="128"/>
      <c r="HH193" s="128"/>
      <c r="HI193" s="128"/>
      <c r="HJ193" s="128"/>
      <c r="HK193" s="128"/>
      <c r="HL193" s="128"/>
      <c r="HM193" s="128"/>
      <c r="HN193" s="128"/>
      <c r="HO193" s="128"/>
      <c r="HP193" s="128"/>
      <c r="HQ193" s="128"/>
      <c r="HR193" s="128"/>
      <c r="HS193" s="128"/>
      <c r="HT193" s="128"/>
      <c r="HU193" s="128"/>
      <c r="HV193" s="128"/>
      <c r="HW193" s="128"/>
      <c r="HX193" s="128"/>
      <c r="HY193" s="128"/>
      <c r="HZ193" s="128"/>
      <c r="IA193" s="128"/>
      <c r="IB193" s="128"/>
      <c r="IC193" s="128"/>
    </row>
    <row r="194" spans="41:237" x14ac:dyDescent="0.3">
      <c r="AO194" s="128">
        <v>50435</v>
      </c>
      <c r="AP194" s="128" t="s">
        <v>2836</v>
      </c>
      <c r="AQ194" s="128" t="s">
        <v>824</v>
      </c>
      <c r="AR194" s="128" t="s">
        <v>2234</v>
      </c>
      <c r="AS194" s="375">
        <v>46251</v>
      </c>
      <c r="AT194" s="375">
        <v>46259</v>
      </c>
      <c r="AU194" s="530">
        <v>97641</v>
      </c>
      <c r="AV194" s="128">
        <v>50323</v>
      </c>
      <c r="AW194" s="530">
        <v>2000000</v>
      </c>
      <c r="AX194" s="534">
        <f>_xlfn.XLOOKUP(Sell_unvalid[[#This Row],[DEAL_BUY_ID]],BS!BA:BA,BS!BE:BE,,0)</f>
        <v>97633</v>
      </c>
      <c r="AY194" s="534">
        <f>_xlfn.XLOOKUP(Sell_unvalid[[#This Row],[BOND_CODE]],FNRP!D:D,FNRP!I:I,_xlfn.XLOOKUP(Sell_unvalid[[#This Row],[BOND_CODE]],FNRP!AV:AV,FNRP!BA:BA,,0),0)</f>
        <v>89135</v>
      </c>
      <c r="AZ194" s="534">
        <f>_xlfn.XLOOKUP(Sell_unvalid[[#This Row],[DEAL_BUY_ID]],BS!BA:BA,BS!BQ:BQ,,0)*Sell_unvalid[[#This Row],[QUANTITY]]</f>
        <v>-4736291408.9477625</v>
      </c>
      <c r="BA194" s="534">
        <f>(Sell_unvalid[[#This Row],[Giá MtM]]-10^5)*Sell_unvalid[[#This Row],[QUANTITY]]-Sell_unvalid[[#This Row],[PTCK remain]]</f>
        <v>-16993708591.052238</v>
      </c>
      <c r="BB194" s="534">
        <f>(Sell_unvalid[[#This Row],[PRICE]]-10^5)*Sell_unvalid[[#This Row],[QUANTITY]]-Sell_unvalid[[#This Row],[PTCK remain]]</f>
        <v>18291408.947762489</v>
      </c>
      <c r="BC194" s="534" t="str">
        <f>IF(AND(Sell_unvalid[[#This Row],[VALUE_DATE]]&lt;=RPT,Sell_unvalid[[#This Row],[TRANSACTION_STATUS]]="N"),"Check","Ok")</f>
        <v>Ok</v>
      </c>
      <c r="BD194" s="534"/>
      <c r="BE194" s="534"/>
      <c r="BF194" s="128"/>
      <c r="BG194" s="128"/>
      <c r="BH194" s="375"/>
      <c r="BJ194" s="375"/>
      <c r="BL194" s="530"/>
      <c r="BP194" s="534"/>
      <c r="BR194" s="727"/>
      <c r="BS194" s="128"/>
      <c r="BT194" s="848"/>
      <c r="BU194" s="849">
        <v>46197</v>
      </c>
      <c r="BV194" s="848">
        <v>50083</v>
      </c>
      <c r="BW194" s="848" t="s">
        <v>3901</v>
      </c>
      <c r="BX194" s="530">
        <v>160000</v>
      </c>
      <c r="BY194" s="735">
        <f>_xlfn.XLOOKUP(Est_NIM[[#This Row],[DEAL_BUY_ID]],BS!AL:AL,BS!AU:AU,_xlfn.XLOOKUP(Est_NIM[[#This Row],[DEAL_BUY_ID]],BS!BA:BA,BS!BJ:BJ,,0),0)</f>
        <v>3.0535000000000001</v>
      </c>
      <c r="BZ194" s="534">
        <f>Est_NIM[[#This Row],[QUANT]]*Est_NIM[[#This Row],[YIELD]]</f>
        <v>488560</v>
      </c>
      <c r="CA194" s="128"/>
      <c r="CB194" s="128"/>
      <c r="CE194" s="331"/>
      <c r="CF194" s="331"/>
      <c r="CG194" s="331"/>
      <c r="CH194">
        <v>3730</v>
      </c>
      <c r="CI194">
        <v>14282</v>
      </c>
      <c r="CN194" s="128"/>
      <c r="CO194" s="128"/>
      <c r="CP194" s="128"/>
      <c r="CQ194" s="128"/>
      <c r="CR194" s="128"/>
      <c r="CS194" s="128"/>
      <c r="CT194" s="128"/>
      <c r="CU194" s="128"/>
      <c r="CV194" s="128"/>
      <c r="CW194" s="128"/>
      <c r="CX194" s="128"/>
      <c r="CY194" s="128"/>
      <c r="CZ194" s="128"/>
      <c r="DA194" s="128"/>
      <c r="DB194" s="128"/>
      <c r="DC194" s="128"/>
      <c r="DD194" s="128"/>
      <c r="DE194" s="128"/>
      <c r="DF194" s="128"/>
      <c r="DG194" s="128"/>
      <c r="DH194" s="128"/>
      <c r="DI194" s="128"/>
      <c r="DJ194" s="128"/>
      <c r="DK194" s="128"/>
      <c r="DL194" s="128"/>
      <c r="DM194" s="128"/>
      <c r="DN194" s="128"/>
      <c r="DO194" s="128"/>
      <c r="DP194" s="128"/>
      <c r="DQ194" s="128"/>
      <c r="DR194" s="128"/>
      <c r="DS194" s="128"/>
      <c r="DT194" s="128"/>
      <c r="DU194" s="128"/>
      <c r="DV194" s="128"/>
      <c r="DW194" s="128"/>
      <c r="DX194" s="128"/>
      <c r="DY194" s="128"/>
      <c r="DZ194" s="530"/>
      <c r="EA194" s="530"/>
      <c r="EB194" s="530"/>
      <c r="EC194" s="530"/>
      <c r="ED194" s="530"/>
      <c r="EE194" s="530"/>
      <c r="EF194" s="530"/>
      <c r="EG194" s="530"/>
      <c r="EH194" s="530"/>
      <c r="EI194" s="530"/>
      <c r="EJ194" s="530"/>
      <c r="EK194" s="530"/>
      <c r="EL194" s="530"/>
      <c r="EM194" s="530"/>
      <c r="EN194" s="530"/>
      <c r="EO194" s="530"/>
      <c r="EP194" s="530"/>
      <c r="EQ194" s="530"/>
      <c r="ER194" s="530"/>
      <c r="ES194" s="530"/>
      <c r="ET194" s="530"/>
      <c r="EU194" s="530"/>
      <c r="EV194" s="530"/>
      <c r="EW194" s="530"/>
      <c r="EX194" s="530"/>
      <c r="EY194" s="530"/>
      <c r="EZ194" s="530"/>
      <c r="FA194" s="530"/>
      <c r="FB194" s="530"/>
      <c r="FC194" s="530"/>
      <c r="FD194" s="530"/>
      <c r="FE194" s="530"/>
      <c r="FF194" s="530"/>
      <c r="FG194" s="530"/>
      <c r="FH194" s="530"/>
      <c r="FI194" s="530"/>
      <c r="FJ194" s="530"/>
      <c r="FK194" s="530"/>
      <c r="FL194" s="530"/>
      <c r="FM194" s="530"/>
      <c r="FN194" s="530"/>
      <c r="FO194" s="530"/>
      <c r="FP194" s="530"/>
      <c r="FQ194" s="530"/>
      <c r="GL194" s="128"/>
      <c r="GM194" s="128"/>
      <c r="GN194" s="128"/>
      <c r="GO194" s="128"/>
      <c r="GP194" s="128"/>
      <c r="GQ194" s="128"/>
      <c r="GR194" s="128"/>
      <c r="GS194" s="128"/>
      <c r="GT194" s="128"/>
      <c r="GU194" s="128"/>
      <c r="GV194" s="128"/>
      <c r="GW194" s="128"/>
      <c r="GX194" s="128"/>
      <c r="GY194" s="128"/>
      <c r="GZ194" s="128"/>
      <c r="HA194" s="128"/>
      <c r="HB194" s="128"/>
      <c r="HC194" s="128"/>
      <c r="HD194" s="128"/>
      <c r="HE194" s="128"/>
      <c r="HF194" s="128"/>
      <c r="HG194" s="128"/>
      <c r="HH194" s="128"/>
      <c r="HI194" s="128"/>
      <c r="HJ194" s="128"/>
      <c r="HK194" s="128"/>
      <c r="HL194" s="128"/>
      <c r="HM194" s="128"/>
      <c r="HN194" s="128"/>
      <c r="HO194" s="128"/>
      <c r="HP194" s="128"/>
      <c r="HQ194" s="128"/>
      <c r="HR194" s="128"/>
      <c r="HS194" s="128"/>
      <c r="HT194" s="128"/>
      <c r="HU194" s="128"/>
      <c r="HV194" s="128"/>
      <c r="HW194" s="128"/>
      <c r="HX194" s="128"/>
      <c r="HY194" s="128"/>
      <c r="HZ194" s="128"/>
      <c r="IA194" s="128"/>
      <c r="IB194" s="128"/>
      <c r="IC194" s="128"/>
    </row>
    <row r="195" spans="41:237" x14ac:dyDescent="0.3">
      <c r="AO195" s="128">
        <v>50324</v>
      </c>
      <c r="AP195" s="128" t="s">
        <v>2862</v>
      </c>
      <c r="AQ195" s="128" t="s">
        <v>824</v>
      </c>
      <c r="AR195" s="128" t="s">
        <v>3594</v>
      </c>
      <c r="AS195" s="375">
        <v>46240</v>
      </c>
      <c r="AT195" s="375">
        <v>46252</v>
      </c>
      <c r="AU195" s="530">
        <v>96807</v>
      </c>
      <c r="AV195" s="128">
        <v>50151</v>
      </c>
      <c r="AW195" s="530">
        <v>1340000</v>
      </c>
      <c r="AX195" s="534">
        <f>_xlfn.XLOOKUP(Sell_unvalid[[#This Row],[DEAL_BUY_ID]],BS!BA:BA,BS!BE:BE,,0)</f>
        <v>96755</v>
      </c>
      <c r="AY195" s="534">
        <f>_xlfn.XLOOKUP(Sell_unvalid[[#This Row],[BOND_CODE]],FNRP!D:D,FNRP!I:I,_xlfn.XLOOKUP(Sell_unvalid[[#This Row],[BOND_CODE]],FNRP!AV:AV,FNRP!BA:BA,,0),0)</f>
        <v>88187</v>
      </c>
      <c r="AZ195" s="534">
        <f>_xlfn.XLOOKUP(Sell_unvalid[[#This Row],[DEAL_BUY_ID]],BS!BA:BA,BS!BQ:BQ,,0)*Sell_unvalid[[#This Row],[QUANTITY]]</f>
        <v>-4279436068.2016826</v>
      </c>
      <c r="BA195" s="534">
        <f>(Sell_unvalid[[#This Row],[Giá MtM]]-10^5)*Sell_unvalid[[#This Row],[QUANTITY]]-Sell_unvalid[[#This Row],[PTCK remain]]</f>
        <v>-11549983931.798317</v>
      </c>
      <c r="BB195" s="534">
        <f>(Sell_unvalid[[#This Row],[PRICE]]-10^5)*Sell_unvalid[[#This Row],[QUANTITY]]-Sell_unvalid[[#This Row],[PTCK remain]]</f>
        <v>816068.2016825676</v>
      </c>
      <c r="BC195" s="534" t="str">
        <f>IF(AND(Sell_unvalid[[#This Row],[VALUE_DATE]]&lt;=RPT,Sell_unvalid[[#This Row],[TRANSACTION_STATUS]]="N"),"Check","Ok")</f>
        <v>Ok</v>
      </c>
      <c r="BD195" s="534"/>
      <c r="BE195" s="534"/>
      <c r="BF195" s="128"/>
      <c r="BG195" s="128"/>
      <c r="BH195" s="375"/>
      <c r="BJ195" s="375"/>
      <c r="BL195" s="530"/>
      <c r="BP195" s="534"/>
      <c r="BR195" s="727"/>
      <c r="BS195" s="128"/>
      <c r="BT195" s="848"/>
      <c r="BU195" s="849">
        <v>46216</v>
      </c>
      <c r="BV195" s="848">
        <v>50089</v>
      </c>
      <c r="BW195" s="848" t="s">
        <v>3901</v>
      </c>
      <c r="BX195" s="530">
        <v>1000000</v>
      </c>
      <c r="BY195" s="735">
        <f>_xlfn.XLOOKUP(Est_NIM[[#This Row],[DEAL_BUY_ID]],BS!AL:AL,BS!AU:AU,_xlfn.XLOOKUP(Est_NIM[[#This Row],[DEAL_BUY_ID]],BS!BA:BA,BS!BJ:BJ,,0),0)</f>
        <v>3.1166</v>
      </c>
      <c r="BZ195" s="534">
        <f>Est_NIM[[#This Row],[QUANT]]*Est_NIM[[#This Row],[YIELD]]</f>
        <v>3116600</v>
      </c>
      <c r="CA195" s="128"/>
      <c r="CB195" s="128"/>
      <c r="CE195" s="331"/>
      <c r="CF195" s="331"/>
      <c r="CG195" s="331"/>
      <c r="CH195">
        <v>3730</v>
      </c>
      <c r="CI195">
        <v>14282</v>
      </c>
      <c r="CN195" s="128"/>
      <c r="CO195" s="128"/>
      <c r="CP195" s="128"/>
      <c r="CQ195" s="128"/>
      <c r="CR195" s="128"/>
      <c r="CS195" s="128"/>
      <c r="CT195" s="128"/>
      <c r="CU195" s="128"/>
      <c r="CV195" s="128"/>
      <c r="CW195" s="128"/>
      <c r="CX195" s="128"/>
      <c r="CY195" s="128"/>
      <c r="CZ195" s="128"/>
      <c r="DA195" s="128"/>
      <c r="DB195" s="128"/>
      <c r="DC195" s="128"/>
      <c r="DD195" s="128"/>
      <c r="DE195" s="128"/>
      <c r="DF195" s="128"/>
      <c r="DG195" s="128"/>
      <c r="DH195" s="128"/>
      <c r="DI195" s="128"/>
      <c r="DJ195" s="128"/>
      <c r="DK195" s="128"/>
      <c r="DL195" s="128"/>
      <c r="DM195" s="128"/>
      <c r="DN195" s="128"/>
      <c r="DO195" s="128"/>
      <c r="DP195" s="128"/>
      <c r="DQ195" s="128"/>
      <c r="DR195" s="128"/>
      <c r="DS195" s="128"/>
      <c r="DT195" s="128"/>
      <c r="DU195" s="128"/>
      <c r="DV195" s="128"/>
      <c r="DW195" s="128"/>
      <c r="DX195" s="128"/>
      <c r="DY195" s="128"/>
      <c r="DZ195" s="530"/>
      <c r="EA195" s="530"/>
      <c r="EB195" s="530"/>
      <c r="EC195" s="530"/>
      <c r="ED195" s="530"/>
      <c r="EE195" s="530"/>
      <c r="EF195" s="530"/>
      <c r="EG195" s="530"/>
      <c r="EH195" s="530"/>
      <c r="EI195" s="530"/>
      <c r="EJ195" s="530"/>
      <c r="EK195" s="530"/>
      <c r="EL195" s="530"/>
      <c r="EM195" s="530"/>
      <c r="EN195" s="530"/>
      <c r="EO195" s="530"/>
      <c r="EP195" s="530"/>
      <c r="EQ195" s="530"/>
      <c r="ER195" s="530"/>
      <c r="ES195" s="530"/>
      <c r="ET195" s="530"/>
      <c r="EU195" s="530"/>
      <c r="EV195" s="530"/>
      <c r="EW195" s="530"/>
      <c r="EX195" s="530"/>
      <c r="EY195" s="530"/>
      <c r="EZ195" s="530"/>
      <c r="FA195" s="530"/>
      <c r="FB195" s="530"/>
      <c r="FC195" s="530"/>
      <c r="FD195" s="530"/>
      <c r="FE195" s="530"/>
      <c r="FF195" s="530"/>
      <c r="FG195" s="530"/>
      <c r="FH195" s="530"/>
      <c r="FI195" s="530"/>
      <c r="FJ195" s="530"/>
      <c r="FK195" s="530"/>
      <c r="FL195" s="530"/>
      <c r="FM195" s="530"/>
      <c r="FN195" s="530"/>
      <c r="FO195" s="530"/>
      <c r="FP195" s="530"/>
      <c r="FQ195" s="530"/>
      <c r="GL195" s="128"/>
      <c r="GM195" s="128"/>
      <c r="GN195" s="128"/>
      <c r="GO195" s="128"/>
      <c r="GP195" s="128"/>
      <c r="GQ195" s="128"/>
      <c r="GR195" s="128"/>
      <c r="GS195" s="128"/>
      <c r="GT195" s="128"/>
      <c r="GU195" s="128"/>
      <c r="GV195" s="128"/>
      <c r="GW195" s="128"/>
      <c r="GX195" s="128"/>
      <c r="GY195" s="128"/>
      <c r="GZ195" s="128"/>
      <c r="HA195" s="128"/>
      <c r="HB195" s="128"/>
      <c r="HC195" s="128"/>
      <c r="HD195" s="128"/>
      <c r="HE195" s="128"/>
      <c r="HF195" s="128"/>
      <c r="HG195" s="128"/>
      <c r="HH195" s="128"/>
      <c r="HI195" s="128"/>
      <c r="HJ195" s="128"/>
      <c r="HK195" s="128"/>
      <c r="HL195" s="128"/>
      <c r="HM195" s="128"/>
      <c r="HN195" s="128"/>
      <c r="HO195" s="128"/>
      <c r="HP195" s="128"/>
      <c r="HQ195" s="128"/>
      <c r="HR195" s="128"/>
      <c r="HS195" s="128"/>
      <c r="HT195" s="128"/>
      <c r="HU195" s="128"/>
      <c r="HV195" s="128"/>
      <c r="HW195" s="128"/>
      <c r="HX195" s="128"/>
      <c r="HY195" s="128"/>
      <c r="HZ195" s="128"/>
      <c r="IA195" s="128"/>
      <c r="IB195" s="128"/>
      <c r="IC195" s="128"/>
    </row>
    <row r="196" spans="41:237" x14ac:dyDescent="0.3">
      <c r="AO196" s="128">
        <v>50433</v>
      </c>
      <c r="AP196" s="128" t="s">
        <v>2862</v>
      </c>
      <c r="AQ196" s="128" t="s">
        <v>824</v>
      </c>
      <c r="AR196" s="375" t="s">
        <v>2234</v>
      </c>
      <c r="AS196" s="375">
        <v>46251</v>
      </c>
      <c r="AT196" s="375">
        <v>46258</v>
      </c>
      <c r="AU196" s="530">
        <v>96813</v>
      </c>
      <c r="AV196" s="532">
        <v>50325</v>
      </c>
      <c r="AW196" s="530">
        <v>1340000</v>
      </c>
      <c r="AX196" s="534">
        <f>_xlfn.XLOOKUP(Sell_unvalid[[#This Row],[DEAL_BUY_ID]],BS!BA:BA,BS!BE:BE,,0)</f>
        <v>96797</v>
      </c>
      <c r="AY196" s="534">
        <f>_xlfn.XLOOKUP(Sell_unvalid[[#This Row],[BOND_CODE]],FNRP!D:D,FNRP!I:I,_xlfn.XLOOKUP(Sell_unvalid[[#This Row],[BOND_CODE]],FNRP!AV:AV,FNRP!BA:BA,,0),0)</f>
        <v>88187</v>
      </c>
      <c r="AZ196" s="534">
        <f>_xlfn.XLOOKUP(Sell_unvalid[[#This Row],[DEAL_BUY_ID]],BS!BA:BA,BS!BQ:BQ,,0)*Sell_unvalid[[#This Row],[QUANTITY]]</f>
        <v>-4294334179.8883076</v>
      </c>
      <c r="BA196" s="534">
        <f>(Sell_unvalid[[#This Row],[Giá MtM]]-10^5)*Sell_unvalid[[#This Row],[QUANTITY]]-Sell_unvalid[[#This Row],[PTCK remain]]</f>
        <v>-11535085820.111692</v>
      </c>
      <c r="BB196" s="534">
        <f>(Sell_unvalid[[#This Row],[PRICE]]-10^5)*Sell_unvalid[[#This Row],[QUANTITY]]-Sell_unvalid[[#This Row],[PTCK remain]]</f>
        <v>23754179.888307571</v>
      </c>
      <c r="BC196" s="534" t="str">
        <f>IF(AND(Sell_unvalid[[#This Row],[VALUE_DATE]]&lt;=RPT,Sell_unvalid[[#This Row],[TRANSACTION_STATUS]]="N"),"Check","Ok")</f>
        <v>Ok</v>
      </c>
      <c r="BD196" s="534"/>
      <c r="BE196" s="534"/>
      <c r="BF196" s="128"/>
      <c r="BG196" s="128"/>
      <c r="BH196" s="375"/>
      <c r="BJ196" s="375"/>
      <c r="BL196" s="530"/>
      <c r="BP196" s="534"/>
      <c r="BR196" s="727"/>
      <c r="BS196" s="128"/>
      <c r="BT196" s="848"/>
      <c r="BU196" s="849">
        <v>46202</v>
      </c>
      <c r="BV196" s="848">
        <v>50100</v>
      </c>
      <c r="BW196" s="848" t="s">
        <v>3901</v>
      </c>
      <c r="BX196" s="530">
        <v>3500000</v>
      </c>
      <c r="BY196" s="735">
        <f>_xlfn.XLOOKUP(Est_NIM[[#This Row],[DEAL_BUY_ID]],BS!AL:AL,BS!AU:AU,_xlfn.XLOOKUP(Est_NIM[[#This Row],[DEAL_BUY_ID]],BS!BA:BA,BS!BJ:BJ,,0),0)</f>
        <v>3.4853999999999998</v>
      </c>
      <c r="BZ196" s="534">
        <f>Est_NIM[[#This Row],[QUANT]]*Est_NIM[[#This Row],[YIELD]]</f>
        <v>12198900</v>
      </c>
      <c r="CA196" s="128"/>
      <c r="CB196" s="128"/>
      <c r="CE196" s="331"/>
      <c r="CF196" s="331"/>
      <c r="CG196" s="331"/>
      <c r="CH196">
        <v>3730</v>
      </c>
      <c r="CI196">
        <v>14282</v>
      </c>
      <c r="CN196" s="128"/>
      <c r="CO196" s="128"/>
      <c r="CP196" s="128"/>
      <c r="CQ196" s="128"/>
      <c r="CR196" s="128"/>
      <c r="CS196" s="128"/>
      <c r="CT196" s="128"/>
      <c r="CU196" s="128"/>
      <c r="CV196" s="128"/>
      <c r="CW196" s="128"/>
      <c r="CX196" s="128"/>
      <c r="CY196" s="128"/>
      <c r="CZ196" s="128"/>
      <c r="DA196" s="128"/>
      <c r="DB196" s="128"/>
      <c r="DC196" s="128"/>
      <c r="DD196" s="128"/>
      <c r="DE196" s="128"/>
      <c r="DF196" s="128"/>
      <c r="DG196" s="128"/>
      <c r="DH196" s="128"/>
      <c r="DI196" s="128"/>
      <c r="DJ196" s="128"/>
      <c r="DK196" s="128"/>
      <c r="DL196" s="128"/>
      <c r="DM196" s="128"/>
      <c r="DN196" s="128"/>
      <c r="DO196" s="128"/>
      <c r="DP196" s="128"/>
      <c r="DQ196" s="128"/>
      <c r="DR196" s="128"/>
      <c r="DS196" s="128"/>
      <c r="DT196" s="128"/>
      <c r="DU196" s="128"/>
      <c r="DV196" s="128"/>
      <c r="DW196" s="128"/>
      <c r="DX196" s="128"/>
      <c r="DY196" s="128"/>
      <c r="DZ196" s="530"/>
      <c r="EA196" s="530"/>
      <c r="EB196" s="530"/>
      <c r="EC196" s="530"/>
      <c r="ED196" s="530"/>
      <c r="EE196" s="530"/>
      <c r="EF196" s="530"/>
      <c r="EG196" s="530"/>
      <c r="EH196" s="530"/>
      <c r="EI196" s="530"/>
      <c r="EJ196" s="530"/>
      <c r="EK196" s="530"/>
      <c r="EL196" s="530"/>
      <c r="EM196" s="530"/>
      <c r="EN196" s="530"/>
      <c r="EO196" s="530"/>
      <c r="EP196" s="530"/>
      <c r="EQ196" s="530"/>
      <c r="ER196" s="530"/>
      <c r="ES196" s="530"/>
      <c r="ET196" s="530"/>
      <c r="EU196" s="530"/>
      <c r="EV196" s="530"/>
      <c r="EW196" s="530"/>
      <c r="EX196" s="530"/>
      <c r="EY196" s="530"/>
      <c r="EZ196" s="530"/>
      <c r="FA196" s="530"/>
      <c r="FB196" s="530"/>
      <c r="FC196" s="530"/>
      <c r="FD196" s="530"/>
      <c r="FE196" s="530"/>
      <c r="FF196" s="530"/>
      <c r="FG196" s="530"/>
      <c r="FH196" s="530"/>
      <c r="FI196" s="530"/>
      <c r="FJ196" s="530"/>
      <c r="FK196" s="530"/>
      <c r="FL196" s="530"/>
      <c r="FM196" s="530"/>
      <c r="FN196" s="530"/>
      <c r="FO196" s="530"/>
      <c r="FP196" s="530"/>
      <c r="FQ196" s="530"/>
      <c r="GL196" s="128"/>
      <c r="GM196" s="128"/>
      <c r="GN196" s="128"/>
      <c r="GO196" s="128"/>
      <c r="GP196" s="128"/>
      <c r="GQ196" s="128"/>
      <c r="GR196" s="128"/>
      <c r="GS196" s="128"/>
      <c r="GT196" s="128"/>
      <c r="GU196" s="128"/>
      <c r="GV196" s="128"/>
      <c r="GW196" s="128"/>
      <c r="GX196" s="128"/>
      <c r="GY196" s="128"/>
      <c r="GZ196" s="128"/>
      <c r="HA196" s="128"/>
      <c r="HB196" s="128"/>
      <c r="HC196" s="128"/>
      <c r="HD196" s="128"/>
      <c r="HE196" s="128"/>
      <c r="HF196" s="128"/>
      <c r="HG196" s="128"/>
      <c r="HH196" s="128"/>
      <c r="HI196" s="128"/>
      <c r="HJ196" s="128"/>
      <c r="HK196" s="128"/>
      <c r="HL196" s="128"/>
      <c r="HM196" s="128"/>
      <c r="HN196" s="128"/>
      <c r="HO196" s="128"/>
      <c r="HP196" s="128"/>
      <c r="HQ196" s="128"/>
      <c r="HR196" s="128"/>
      <c r="HS196" s="128"/>
      <c r="HT196" s="128"/>
      <c r="HU196" s="128"/>
      <c r="HV196" s="128"/>
      <c r="HW196" s="128"/>
      <c r="HX196" s="128"/>
      <c r="HY196" s="128"/>
      <c r="HZ196" s="128"/>
      <c r="IA196" s="128"/>
      <c r="IB196" s="128"/>
      <c r="IC196" s="128"/>
    </row>
    <row r="197" spans="41:237" x14ac:dyDescent="0.3">
      <c r="AO197" s="128">
        <v>48556</v>
      </c>
      <c r="AP197" s="128" t="s">
        <v>3026</v>
      </c>
      <c r="AQ197" s="128" t="s">
        <v>824</v>
      </c>
      <c r="AR197" s="128" t="s">
        <v>3594</v>
      </c>
      <c r="AS197" s="375">
        <v>46037</v>
      </c>
      <c r="AT197" s="375">
        <v>46226</v>
      </c>
      <c r="AU197" s="530">
        <v>74134</v>
      </c>
      <c r="AV197" s="128">
        <v>48572</v>
      </c>
      <c r="AW197" s="530">
        <v>500000</v>
      </c>
      <c r="AX197" s="534">
        <f>_xlfn.XLOOKUP(Sell_unvalid[[#This Row],[DEAL_BUY_ID]],BS!BA:BA,BS!BE:BE,,0)</f>
        <v>75091</v>
      </c>
      <c r="AY197" s="534">
        <f>_xlfn.XLOOKUP(Sell_unvalid[[#This Row],[BOND_CODE]],FNRP!D:D,FNRP!I:I,_xlfn.XLOOKUP(Sell_unvalid[[#This Row],[BOND_CODE]],FNRP!AV:AV,FNRP!BA:BA,,0),0)</f>
        <v>70844</v>
      </c>
      <c r="AZ197" s="534">
        <f>_xlfn.XLOOKUP(Sell_unvalid[[#This Row],[DEAL_BUY_ID]],BS!BA:BA,BS!BQ:BQ,,0)*Sell_unvalid[[#This Row],[QUANTITY]]</f>
        <v>-12240346824.469584</v>
      </c>
      <c r="BA197" s="534">
        <f>(Sell_unvalid[[#This Row],[Giá MtM]]-10^5)*Sell_unvalid[[#This Row],[QUANTITY]]-Sell_unvalid[[#This Row],[PTCK remain]]</f>
        <v>-2337653175.5304165</v>
      </c>
      <c r="BB197" s="534">
        <f>(Sell_unvalid[[#This Row],[PRICE]]-10^5)*Sell_unvalid[[#This Row],[QUANTITY]]-Sell_unvalid[[#This Row],[PTCK remain]]</f>
        <v>-692653175.53041649</v>
      </c>
      <c r="BC197" s="534" t="str">
        <f>IF(AND(Sell_unvalid[[#This Row],[VALUE_DATE]]&lt;=RPT,Sell_unvalid[[#This Row],[TRANSACTION_STATUS]]="N"),"Check","Ok")</f>
        <v>Ok</v>
      </c>
      <c r="BD197" s="534"/>
      <c r="BE197" s="534"/>
      <c r="BF197" s="128"/>
      <c r="BG197" s="128"/>
      <c r="BH197" s="375"/>
      <c r="BJ197" s="375"/>
      <c r="BL197" s="530"/>
      <c r="BP197" s="534"/>
      <c r="BR197" s="727"/>
      <c r="BS197" s="128"/>
      <c r="BT197" s="848"/>
      <c r="BU197" s="849">
        <v>46245</v>
      </c>
      <c r="BV197" s="848">
        <v>50105</v>
      </c>
      <c r="BW197" s="848" t="s">
        <v>3901</v>
      </c>
      <c r="BX197" s="530">
        <v>400000</v>
      </c>
      <c r="BY197" s="735">
        <f>_xlfn.XLOOKUP(Est_NIM[[#This Row],[DEAL_BUY_ID]],BS!AL:AL,BS!AU:AU,_xlfn.XLOOKUP(Est_NIM[[#This Row],[DEAL_BUY_ID]],BS!BA:BA,BS!BJ:BJ,,0),0)</f>
        <v>3.7450000000000001</v>
      </c>
      <c r="BZ197" s="534">
        <f>Est_NIM[[#This Row],[QUANT]]*Est_NIM[[#This Row],[YIELD]]</f>
        <v>1498000</v>
      </c>
      <c r="CA197" s="128"/>
      <c r="CB197" s="128"/>
      <c r="CE197" s="331"/>
      <c r="CF197" s="331"/>
      <c r="CG197" s="331"/>
      <c r="CH197">
        <v>3730</v>
      </c>
      <c r="CI197">
        <v>14282</v>
      </c>
      <c r="CN197" s="128"/>
      <c r="CO197" s="128"/>
      <c r="CP197" s="128"/>
      <c r="CQ197" s="128"/>
      <c r="CR197" s="128"/>
      <c r="CS197" s="128"/>
      <c r="CT197" s="128"/>
      <c r="CU197" s="128"/>
      <c r="CV197" s="128"/>
      <c r="CW197" s="128"/>
      <c r="CX197" s="128"/>
      <c r="CY197" s="128"/>
      <c r="CZ197" s="128"/>
      <c r="DA197" s="128"/>
      <c r="DB197" s="128"/>
      <c r="DC197" s="128"/>
      <c r="DD197" s="128"/>
      <c r="DE197" s="128"/>
      <c r="DF197" s="128"/>
      <c r="DG197" s="128"/>
      <c r="DH197" s="128"/>
      <c r="DI197" s="128"/>
      <c r="DJ197" s="128"/>
      <c r="DK197" s="128"/>
      <c r="DL197" s="128"/>
      <c r="DM197" s="128"/>
      <c r="DN197" s="128"/>
      <c r="DO197" s="128"/>
      <c r="DP197" s="128"/>
      <c r="DQ197" s="128"/>
      <c r="DR197" s="128"/>
      <c r="DS197" s="128"/>
      <c r="DT197" s="128"/>
      <c r="DU197" s="128"/>
      <c r="DV197" s="128"/>
      <c r="DW197" s="128"/>
      <c r="DX197" s="128"/>
      <c r="DY197" s="128"/>
      <c r="DZ197" s="530"/>
      <c r="EA197" s="530"/>
      <c r="EB197" s="530"/>
      <c r="EC197" s="530"/>
      <c r="ED197" s="530"/>
      <c r="EE197" s="530"/>
      <c r="EF197" s="530"/>
      <c r="EG197" s="530"/>
      <c r="EH197" s="530"/>
      <c r="EI197" s="530"/>
      <c r="EJ197" s="530"/>
      <c r="EK197" s="530"/>
      <c r="EL197" s="530"/>
      <c r="EM197" s="530"/>
      <c r="EN197" s="530"/>
      <c r="EO197" s="530"/>
      <c r="EP197" s="530"/>
      <c r="EQ197" s="530"/>
      <c r="ER197" s="530"/>
      <c r="ES197" s="530"/>
      <c r="ET197" s="530"/>
      <c r="EU197" s="530"/>
      <c r="EV197" s="530"/>
      <c r="EW197" s="530"/>
      <c r="EX197" s="530"/>
      <c r="EY197" s="530"/>
      <c r="EZ197" s="530"/>
      <c r="FA197" s="530"/>
      <c r="FB197" s="530"/>
      <c r="FC197" s="530"/>
      <c r="FD197" s="530"/>
      <c r="FE197" s="530"/>
      <c r="FF197" s="530"/>
      <c r="FG197" s="530"/>
      <c r="FH197" s="530"/>
      <c r="FI197" s="530"/>
      <c r="FJ197" s="530"/>
      <c r="FK197" s="530"/>
      <c r="FL197" s="530"/>
      <c r="FM197" s="530"/>
      <c r="FN197" s="530"/>
      <c r="FO197" s="530"/>
      <c r="FP197" s="530"/>
      <c r="FQ197" s="530"/>
      <c r="GL197" s="128"/>
      <c r="GM197" s="128"/>
      <c r="GN197" s="128"/>
      <c r="GO197" s="128"/>
      <c r="GP197" s="128"/>
      <c r="GQ197" s="128"/>
      <c r="GR197" s="128"/>
      <c r="GS197" s="128"/>
      <c r="GT197" s="128"/>
      <c r="GU197" s="128"/>
      <c r="GV197" s="128"/>
      <c r="GW197" s="128"/>
      <c r="GX197" s="128"/>
      <c r="GY197" s="128"/>
      <c r="GZ197" s="128"/>
      <c r="HA197" s="128"/>
      <c r="HB197" s="128"/>
      <c r="HC197" s="128"/>
      <c r="HD197" s="128"/>
      <c r="HE197" s="128"/>
      <c r="HF197" s="128"/>
      <c r="HG197" s="128"/>
      <c r="HH197" s="128"/>
      <c r="HI197" s="128"/>
      <c r="HJ197" s="128"/>
      <c r="HK197" s="128"/>
      <c r="HL197" s="128"/>
      <c r="HM197" s="128"/>
      <c r="HN197" s="128"/>
      <c r="HO197" s="128"/>
      <c r="HP197" s="128"/>
      <c r="HQ197" s="128"/>
      <c r="HR197" s="128"/>
      <c r="HS197" s="128"/>
      <c r="HT197" s="128"/>
      <c r="HU197" s="128"/>
      <c r="HV197" s="128"/>
      <c r="HW197" s="128"/>
      <c r="HX197" s="128"/>
      <c r="HY197" s="128"/>
      <c r="HZ197" s="128"/>
      <c r="IA197" s="128"/>
      <c r="IB197" s="128"/>
      <c r="IC197" s="128"/>
    </row>
    <row r="198" spans="41:237" x14ac:dyDescent="0.3">
      <c r="AO198" s="128">
        <v>48595</v>
      </c>
      <c r="AP198" s="128" t="s">
        <v>3026</v>
      </c>
      <c r="AQ198" s="128" t="s">
        <v>824</v>
      </c>
      <c r="AR198" s="128" t="s">
        <v>3594</v>
      </c>
      <c r="AS198" s="375">
        <v>46041</v>
      </c>
      <c r="AT198" s="375">
        <v>46230</v>
      </c>
      <c r="AU198" s="530">
        <v>74129</v>
      </c>
      <c r="AV198" s="128">
        <v>49509</v>
      </c>
      <c r="AW198" s="530">
        <v>400000</v>
      </c>
      <c r="AX198" s="534">
        <f>_xlfn.XLOOKUP(Sell_unvalid[[#This Row],[DEAL_BUY_ID]],BS!BA:BA,BS!BE:BE,,0)</f>
        <v>79907</v>
      </c>
      <c r="AY198" s="534">
        <f>_xlfn.XLOOKUP(Sell_unvalid[[#This Row],[BOND_CODE]],FNRP!D:D,FNRP!I:I,_xlfn.XLOOKUP(Sell_unvalid[[#This Row],[BOND_CODE]],FNRP!AV:AV,FNRP!BA:BA,,0),0)</f>
        <v>70844</v>
      </c>
      <c r="AZ198" s="534">
        <f>_xlfn.XLOOKUP(Sell_unvalid[[#This Row],[DEAL_BUY_ID]],BS!BA:BA,BS!BQ:BQ,,0)*Sell_unvalid[[#This Row],[QUANTITY]]</f>
        <v>-7941147816.2612953</v>
      </c>
      <c r="BA198" s="534">
        <f>(Sell_unvalid[[#This Row],[Giá MtM]]-10^5)*Sell_unvalid[[#This Row],[QUANTITY]]-Sell_unvalid[[#This Row],[PTCK remain]]</f>
        <v>-3721252183.7387047</v>
      </c>
      <c r="BB198" s="534">
        <f>(Sell_unvalid[[#This Row],[PRICE]]-10^5)*Sell_unvalid[[#This Row],[QUANTITY]]-Sell_unvalid[[#This Row],[PTCK remain]]</f>
        <v>-2407252183.7387047</v>
      </c>
      <c r="BC198" s="534" t="str">
        <f>IF(AND(Sell_unvalid[[#This Row],[VALUE_DATE]]&lt;=RPT,Sell_unvalid[[#This Row],[TRANSACTION_STATUS]]="N"),"Check","Ok")</f>
        <v>Ok</v>
      </c>
      <c r="BD198" s="534"/>
      <c r="BE198" s="534"/>
      <c r="BF198" s="128"/>
      <c r="BG198" s="128"/>
      <c r="BH198" s="375"/>
      <c r="BJ198" s="375"/>
      <c r="BL198" s="530"/>
      <c r="BP198" s="534"/>
      <c r="BR198" s="727"/>
      <c r="BS198" s="128"/>
      <c r="BT198" s="848"/>
      <c r="BU198" s="849">
        <v>46241</v>
      </c>
      <c r="BV198" s="848">
        <v>50111</v>
      </c>
      <c r="BW198" s="848" t="s">
        <v>3901</v>
      </c>
      <c r="BX198" s="530">
        <v>3600000</v>
      </c>
      <c r="BY198" s="735">
        <f>_xlfn.XLOOKUP(Est_NIM[[#This Row],[DEAL_BUY_ID]],BS!AL:AL,BS!AU:AU,_xlfn.XLOOKUP(Est_NIM[[#This Row],[DEAL_BUY_ID]],BS!BA:BA,BS!BJ:BJ,,0),0)</f>
        <v>3.07</v>
      </c>
      <c r="BZ198" s="534">
        <f>Est_NIM[[#This Row],[QUANT]]*Est_NIM[[#This Row],[YIELD]]</f>
        <v>11052000</v>
      </c>
      <c r="CA198" s="128"/>
      <c r="CB198" s="128"/>
      <c r="CE198" s="331"/>
      <c r="CF198" s="331"/>
      <c r="CG198" s="331"/>
      <c r="CH198">
        <v>3730</v>
      </c>
      <c r="CI198">
        <v>14282</v>
      </c>
      <c r="CN198" s="128"/>
      <c r="CO198" s="128"/>
      <c r="CP198" s="128"/>
      <c r="CQ198" s="128"/>
      <c r="CR198" s="128"/>
      <c r="CS198" s="128"/>
      <c r="CT198" s="128"/>
      <c r="CU198" s="128"/>
      <c r="CV198" s="128"/>
      <c r="CW198" s="128"/>
      <c r="CX198" s="128"/>
      <c r="CY198" s="128"/>
      <c r="CZ198" s="128"/>
      <c r="DA198" s="128"/>
      <c r="DB198" s="128"/>
      <c r="DC198" s="128"/>
      <c r="DD198" s="128"/>
      <c r="DE198" s="128"/>
      <c r="DF198" s="128"/>
      <c r="DG198" s="128"/>
      <c r="DH198" s="128"/>
      <c r="DI198" s="128"/>
      <c r="DJ198" s="128"/>
      <c r="DK198" s="128"/>
      <c r="DL198" s="128"/>
      <c r="DM198" s="128"/>
      <c r="DN198" s="128"/>
      <c r="DO198" s="128"/>
      <c r="DP198" s="128"/>
      <c r="DQ198" s="128"/>
      <c r="DR198" s="128"/>
      <c r="DS198" s="128"/>
      <c r="DT198" s="128"/>
      <c r="DU198" s="128"/>
      <c r="DV198" s="128"/>
      <c r="DW198" s="128"/>
      <c r="DX198" s="128"/>
      <c r="DY198" s="128"/>
      <c r="DZ198" s="530"/>
      <c r="EA198" s="530"/>
      <c r="EB198" s="530"/>
      <c r="EC198" s="530"/>
      <c r="ED198" s="530"/>
      <c r="EE198" s="530"/>
      <c r="EF198" s="530"/>
      <c r="EG198" s="530"/>
      <c r="EH198" s="530"/>
      <c r="EI198" s="530"/>
      <c r="EJ198" s="530"/>
      <c r="EK198" s="530"/>
      <c r="EL198" s="530"/>
      <c r="EM198" s="530"/>
      <c r="EN198" s="530"/>
      <c r="EO198" s="530"/>
      <c r="EP198" s="530"/>
      <c r="EQ198" s="530"/>
      <c r="ER198" s="530"/>
      <c r="ES198" s="530"/>
      <c r="ET198" s="530"/>
      <c r="EU198" s="530"/>
      <c r="EV198" s="530"/>
      <c r="EW198" s="530"/>
      <c r="EX198" s="530"/>
      <c r="EY198" s="530"/>
      <c r="EZ198" s="530"/>
      <c r="FA198" s="530"/>
      <c r="FB198" s="530"/>
      <c r="FC198" s="530"/>
      <c r="FD198" s="530"/>
      <c r="FE198" s="530"/>
      <c r="FF198" s="530"/>
      <c r="FG198" s="530"/>
      <c r="FH198" s="530"/>
      <c r="FI198" s="530"/>
      <c r="FJ198" s="530"/>
      <c r="FK198" s="530"/>
      <c r="FL198" s="530"/>
      <c r="FM198" s="530"/>
      <c r="FN198" s="530"/>
      <c r="FO198" s="530"/>
      <c r="FP198" s="530"/>
      <c r="FQ198" s="530"/>
      <c r="GL198" s="128"/>
      <c r="GM198" s="128"/>
      <c r="GN198" s="128"/>
      <c r="GO198" s="128"/>
      <c r="GP198" s="128"/>
      <c r="GQ198" s="128"/>
      <c r="GR198" s="128"/>
      <c r="GS198" s="128"/>
      <c r="GT198" s="128"/>
      <c r="GU198" s="128"/>
      <c r="GV198" s="128"/>
      <c r="GW198" s="128"/>
      <c r="GX198" s="128"/>
      <c r="GY198" s="128"/>
      <c r="GZ198" s="128"/>
      <c r="HA198" s="128"/>
      <c r="HB198" s="128"/>
      <c r="HC198" s="128"/>
      <c r="HD198" s="128"/>
      <c r="HE198" s="128"/>
      <c r="HF198" s="128"/>
      <c r="HG198" s="128"/>
      <c r="HH198" s="128"/>
      <c r="HI198" s="128"/>
      <c r="HJ198" s="128"/>
      <c r="HK198" s="128"/>
      <c r="HL198" s="128"/>
      <c r="HM198" s="128"/>
      <c r="HN198" s="128"/>
      <c r="HO198" s="128"/>
      <c r="HP198" s="128"/>
      <c r="HQ198" s="128"/>
      <c r="HR198" s="128"/>
      <c r="HS198" s="128"/>
      <c r="HT198" s="128"/>
      <c r="HU198" s="128"/>
      <c r="HV198" s="128"/>
      <c r="HW198" s="128"/>
      <c r="HX198" s="128"/>
      <c r="HY198" s="128"/>
      <c r="HZ198" s="128"/>
      <c r="IA198" s="128"/>
      <c r="IB198" s="128"/>
      <c r="IC198" s="128"/>
    </row>
    <row r="199" spans="41:237" x14ac:dyDescent="0.3">
      <c r="AO199" s="128">
        <v>48595</v>
      </c>
      <c r="AP199" s="128" t="s">
        <v>3026</v>
      </c>
      <c r="AQ199" s="128" t="s">
        <v>824</v>
      </c>
      <c r="AR199" s="128" t="s">
        <v>3594</v>
      </c>
      <c r="AS199" s="375">
        <v>46041</v>
      </c>
      <c r="AT199" s="375">
        <v>46230</v>
      </c>
      <c r="AU199" s="530">
        <v>74129</v>
      </c>
      <c r="AV199" s="128">
        <v>49823</v>
      </c>
      <c r="AW199" s="530">
        <v>1650000</v>
      </c>
      <c r="AX199" s="534">
        <f>_xlfn.XLOOKUP(Sell_unvalid[[#This Row],[DEAL_BUY_ID]],BS!BA:BA,BS!BE:BE,,0)</f>
        <v>75415</v>
      </c>
      <c r="AY199" s="534">
        <f>_xlfn.XLOOKUP(Sell_unvalid[[#This Row],[BOND_CODE]],FNRP!D:D,FNRP!I:I,_xlfn.XLOOKUP(Sell_unvalid[[#This Row],[BOND_CODE]],FNRP!AV:AV,FNRP!BA:BA,,0),0)</f>
        <v>70844</v>
      </c>
      <c r="AZ199" s="534">
        <f>_xlfn.XLOOKUP(Sell_unvalid[[#This Row],[DEAL_BUY_ID]],BS!BA:BA,BS!BQ:BQ,,0)*Sell_unvalid[[#This Row],[QUANTITY]]</f>
        <v>-40400585066.790176</v>
      </c>
      <c r="BA199" s="534">
        <f>(Sell_unvalid[[#This Row],[Giá MtM]]-10^5)*Sell_unvalid[[#This Row],[QUANTITY]]-Sell_unvalid[[#This Row],[PTCK remain]]</f>
        <v>-7706814933.2098236</v>
      </c>
      <c r="BB199" s="534">
        <f>(Sell_unvalid[[#This Row],[PRICE]]-10^5)*Sell_unvalid[[#This Row],[QUANTITY]]-Sell_unvalid[[#This Row],[PTCK remain]]</f>
        <v>-2286564933.2098236</v>
      </c>
      <c r="BC199" s="534" t="str">
        <f>IF(AND(Sell_unvalid[[#This Row],[VALUE_DATE]]&lt;=RPT,Sell_unvalid[[#This Row],[TRANSACTION_STATUS]]="N"),"Check","Ok")</f>
        <v>Ok</v>
      </c>
      <c r="BD199" s="534"/>
      <c r="BE199" s="534"/>
      <c r="BF199" s="128"/>
      <c r="BG199" s="128"/>
      <c r="BH199" s="375"/>
      <c r="BJ199" s="375"/>
      <c r="BL199" s="530"/>
      <c r="BP199" s="534"/>
      <c r="BR199" s="727"/>
      <c r="BS199" s="128"/>
      <c r="BT199" s="848"/>
      <c r="BU199" s="849">
        <v>46227</v>
      </c>
      <c r="BV199" s="848">
        <v>50163</v>
      </c>
      <c r="BW199" s="848" t="s">
        <v>3901</v>
      </c>
      <c r="BX199" s="530">
        <v>500000</v>
      </c>
      <c r="BY199" s="735">
        <f>_xlfn.XLOOKUP(Est_NIM[[#This Row],[DEAL_BUY_ID]],BS!AL:AL,BS!AU:AU,_xlfn.XLOOKUP(Est_NIM[[#This Row],[DEAL_BUY_ID]],BS!BA:BA,BS!BJ:BJ,,0),0)</f>
        <v>2.98</v>
      </c>
      <c r="BZ199" s="534">
        <f>Est_NIM[[#This Row],[QUANT]]*Est_NIM[[#This Row],[YIELD]]</f>
        <v>1490000</v>
      </c>
      <c r="CA199" s="128"/>
      <c r="CB199" s="128"/>
      <c r="CE199" s="331"/>
      <c r="CF199" s="331"/>
      <c r="CG199" s="331"/>
      <c r="CH199">
        <v>3730</v>
      </c>
      <c r="CI199">
        <v>14282</v>
      </c>
      <c r="CN199" s="128"/>
      <c r="CO199" s="128"/>
      <c r="CP199" s="128"/>
      <c r="CQ199" s="128"/>
      <c r="CR199" s="128"/>
      <c r="CS199" s="128"/>
      <c r="CT199" s="128"/>
      <c r="CU199" s="128"/>
      <c r="CV199" s="128"/>
      <c r="CW199" s="128"/>
      <c r="CX199" s="128"/>
      <c r="CY199" s="128"/>
      <c r="CZ199" s="128"/>
      <c r="DA199" s="128"/>
      <c r="DB199" s="128"/>
      <c r="DC199" s="128"/>
      <c r="DD199" s="128"/>
      <c r="DE199" s="128"/>
      <c r="DF199" s="128"/>
      <c r="DG199" s="128"/>
      <c r="DH199" s="128"/>
      <c r="DI199" s="128"/>
      <c r="DJ199" s="128"/>
      <c r="DK199" s="128"/>
      <c r="DL199" s="128"/>
      <c r="DM199" s="128"/>
      <c r="DN199" s="128"/>
      <c r="DO199" s="128"/>
      <c r="DP199" s="128"/>
      <c r="DQ199" s="128"/>
      <c r="DR199" s="128"/>
      <c r="DS199" s="128"/>
      <c r="DT199" s="128"/>
      <c r="DU199" s="128"/>
      <c r="DV199" s="128"/>
      <c r="DW199" s="128"/>
      <c r="DX199" s="128"/>
      <c r="DY199" s="128"/>
      <c r="DZ199" s="530"/>
      <c r="EA199" s="530"/>
      <c r="EB199" s="530"/>
      <c r="EC199" s="530"/>
      <c r="ED199" s="530"/>
      <c r="EE199" s="530"/>
      <c r="EF199" s="530"/>
      <c r="EG199" s="530"/>
      <c r="EH199" s="530"/>
      <c r="EI199" s="530"/>
      <c r="EJ199" s="530"/>
      <c r="EK199" s="530"/>
      <c r="EL199" s="530"/>
      <c r="EM199" s="530"/>
      <c r="EN199" s="530"/>
      <c r="EO199" s="530"/>
      <c r="EP199" s="530"/>
      <c r="EQ199" s="530"/>
      <c r="ER199" s="530"/>
      <c r="ES199" s="530"/>
      <c r="ET199" s="530"/>
      <c r="EU199" s="530"/>
      <c r="EV199" s="530"/>
      <c r="EW199" s="530"/>
      <c r="EX199" s="530"/>
      <c r="EY199" s="530"/>
      <c r="EZ199" s="530"/>
      <c r="FA199" s="530"/>
      <c r="FB199" s="530"/>
      <c r="FC199" s="530"/>
      <c r="FD199" s="530"/>
      <c r="FE199" s="530"/>
      <c r="FF199" s="530"/>
      <c r="FG199" s="530"/>
      <c r="FH199" s="530"/>
      <c r="FI199" s="530"/>
      <c r="FJ199" s="530"/>
      <c r="FK199" s="530"/>
      <c r="FL199" s="530"/>
      <c r="FM199" s="530"/>
      <c r="FN199" s="530"/>
      <c r="FO199" s="530"/>
      <c r="FP199" s="530"/>
      <c r="FQ199" s="530"/>
      <c r="GL199" s="128"/>
      <c r="GM199" s="128"/>
      <c r="GN199" s="128"/>
      <c r="GO199" s="128"/>
      <c r="GP199" s="128"/>
      <c r="GQ199" s="128"/>
      <c r="GR199" s="128"/>
      <c r="GS199" s="128"/>
      <c r="GT199" s="128"/>
      <c r="GU199" s="128"/>
      <c r="GV199" s="128"/>
      <c r="GW199" s="128"/>
      <c r="GX199" s="128"/>
      <c r="GY199" s="128"/>
      <c r="GZ199" s="128"/>
      <c r="HA199" s="128"/>
      <c r="HB199" s="128"/>
      <c r="HC199" s="128"/>
      <c r="HD199" s="128"/>
      <c r="HE199" s="128"/>
      <c r="HF199" s="128"/>
      <c r="HG199" s="128"/>
      <c r="HH199" s="128"/>
      <c r="HI199" s="128"/>
      <c r="HJ199" s="128"/>
      <c r="HK199" s="128"/>
      <c r="HL199" s="128"/>
      <c r="HM199" s="128"/>
      <c r="HN199" s="128"/>
      <c r="HO199" s="128"/>
      <c r="HP199" s="128"/>
      <c r="HQ199" s="128"/>
      <c r="HR199" s="128"/>
      <c r="HS199" s="128"/>
      <c r="HT199" s="128"/>
      <c r="HU199" s="128"/>
      <c r="HV199" s="128"/>
      <c r="HW199" s="128"/>
      <c r="HX199" s="128"/>
      <c r="HY199" s="128"/>
      <c r="HZ199" s="128"/>
      <c r="IA199" s="128"/>
      <c r="IB199" s="128"/>
      <c r="IC199" s="128"/>
    </row>
    <row r="200" spans="41:237" x14ac:dyDescent="0.3">
      <c r="AO200" s="128">
        <v>48595</v>
      </c>
      <c r="AP200" s="128" t="s">
        <v>3026</v>
      </c>
      <c r="AQ200" s="128" t="s">
        <v>824</v>
      </c>
      <c r="AR200" s="128" t="s">
        <v>3594</v>
      </c>
      <c r="AS200" s="375">
        <v>46041</v>
      </c>
      <c r="AT200" s="375">
        <v>46230</v>
      </c>
      <c r="AU200" s="530">
        <v>74129</v>
      </c>
      <c r="AV200" s="128">
        <v>49825</v>
      </c>
      <c r="AW200" s="530">
        <v>2700000</v>
      </c>
      <c r="AX200" s="534">
        <f>_xlfn.XLOOKUP(Sell_unvalid[[#This Row],[DEAL_BUY_ID]],BS!BA:BA,BS!BE:BE,,0)</f>
        <v>75448</v>
      </c>
      <c r="AY200" s="534">
        <f>_xlfn.XLOOKUP(Sell_unvalid[[#This Row],[BOND_CODE]],FNRP!D:D,FNRP!I:I,_xlfn.XLOOKUP(Sell_unvalid[[#This Row],[BOND_CODE]],FNRP!AV:AV,FNRP!BA:BA,,0),0)</f>
        <v>70844</v>
      </c>
      <c r="AZ200" s="534">
        <f>_xlfn.XLOOKUP(Sell_unvalid[[#This Row],[DEAL_BUY_ID]],BS!BA:BA,BS!BQ:BQ,,0)*Sell_unvalid[[#This Row],[QUANTITY]]</f>
        <v>-66026994134.413887</v>
      </c>
      <c r="BA200" s="534">
        <f>(Sell_unvalid[[#This Row],[Giá MtM]]-10^5)*Sell_unvalid[[#This Row],[QUANTITY]]-Sell_unvalid[[#This Row],[PTCK remain]]</f>
        <v>-12694205865.586113</v>
      </c>
      <c r="BB200" s="534">
        <f>(Sell_unvalid[[#This Row],[PRICE]]-10^5)*Sell_unvalid[[#This Row],[QUANTITY]]-Sell_unvalid[[#This Row],[PTCK remain]]</f>
        <v>-3824705865.586113</v>
      </c>
      <c r="BC200" s="534" t="str">
        <f>IF(AND(Sell_unvalid[[#This Row],[VALUE_DATE]]&lt;=RPT,Sell_unvalid[[#This Row],[TRANSACTION_STATUS]]="N"),"Check","Ok")</f>
        <v>Ok</v>
      </c>
      <c r="BD200" s="534"/>
      <c r="BE200" s="534"/>
      <c r="BF200" s="128"/>
      <c r="BG200" s="128"/>
      <c r="BH200" s="375"/>
      <c r="BJ200" s="375"/>
      <c r="BL200" s="530"/>
      <c r="BP200" s="534"/>
      <c r="BR200" s="727"/>
      <c r="BS200" s="128"/>
      <c r="BT200" s="848"/>
      <c r="BU200" s="849">
        <v>46232</v>
      </c>
      <c r="BV200" s="848">
        <v>50192</v>
      </c>
      <c r="BW200" s="848" t="s">
        <v>3901</v>
      </c>
      <c r="BX200" s="530">
        <v>3000000</v>
      </c>
      <c r="BY200" s="735">
        <f>_xlfn.XLOOKUP(Est_NIM[[#This Row],[DEAL_BUY_ID]],BS!AL:AL,BS!AU:AU,_xlfn.XLOOKUP(Est_NIM[[#This Row],[DEAL_BUY_ID]],BS!BA:BA,BS!BJ:BJ,,0),0)</f>
        <v>3.05</v>
      </c>
      <c r="BZ200" s="534">
        <f>Est_NIM[[#This Row],[QUANT]]*Est_NIM[[#This Row],[YIELD]]</f>
        <v>9150000</v>
      </c>
      <c r="CA200" s="128"/>
      <c r="CB200" s="128"/>
      <c r="CE200" s="331"/>
      <c r="CF200" s="331"/>
      <c r="CG200" s="331"/>
      <c r="CH200">
        <v>3730</v>
      </c>
      <c r="CI200">
        <v>14282</v>
      </c>
      <c r="CN200" s="128"/>
      <c r="CO200" s="128"/>
      <c r="CP200" s="128"/>
      <c r="CQ200" s="128"/>
      <c r="CR200" s="128"/>
      <c r="CS200" s="128"/>
      <c r="CT200" s="128"/>
      <c r="CU200" s="128"/>
      <c r="CV200" s="128"/>
      <c r="CW200" s="128"/>
      <c r="CX200" s="128"/>
      <c r="CY200" s="128"/>
      <c r="CZ200" s="128"/>
      <c r="DA200" s="128"/>
      <c r="DB200" s="128"/>
      <c r="DC200" s="128"/>
      <c r="DD200" s="128"/>
      <c r="DE200" s="128"/>
      <c r="DF200" s="128"/>
      <c r="DG200" s="128"/>
      <c r="DH200" s="128"/>
      <c r="DI200" s="128"/>
      <c r="DJ200" s="128"/>
      <c r="DK200" s="128"/>
      <c r="DL200" s="128"/>
      <c r="DM200" s="128"/>
      <c r="DN200" s="128"/>
      <c r="DO200" s="128"/>
      <c r="DP200" s="128"/>
      <c r="DQ200" s="128"/>
      <c r="DR200" s="128"/>
      <c r="DS200" s="128"/>
      <c r="DT200" s="128"/>
      <c r="DU200" s="128"/>
      <c r="DV200" s="128"/>
      <c r="DW200" s="128"/>
      <c r="DX200" s="128"/>
      <c r="DY200" s="128"/>
      <c r="DZ200" s="530"/>
      <c r="EA200" s="530"/>
      <c r="EB200" s="530"/>
      <c r="EC200" s="530"/>
      <c r="ED200" s="530"/>
      <c r="EE200" s="530"/>
      <c r="EF200" s="530"/>
      <c r="EG200" s="530"/>
      <c r="EH200" s="530"/>
      <c r="EI200" s="530"/>
      <c r="EJ200" s="530"/>
      <c r="EK200" s="530"/>
      <c r="EL200" s="530"/>
      <c r="EM200" s="530"/>
      <c r="EN200" s="530"/>
      <c r="EO200" s="530"/>
      <c r="EP200" s="530"/>
      <c r="EQ200" s="530"/>
      <c r="ER200" s="530"/>
      <c r="ES200" s="530"/>
      <c r="ET200" s="530"/>
      <c r="EU200" s="530"/>
      <c r="EV200" s="530"/>
      <c r="EW200" s="530"/>
      <c r="EX200" s="530"/>
      <c r="EY200" s="530"/>
      <c r="EZ200" s="530"/>
      <c r="FA200" s="530"/>
      <c r="FB200" s="530"/>
      <c r="FC200" s="530"/>
      <c r="FD200" s="530"/>
      <c r="FE200" s="530"/>
      <c r="FF200" s="530"/>
      <c r="FG200" s="530"/>
      <c r="FH200" s="530"/>
      <c r="FI200" s="530"/>
      <c r="FJ200" s="530"/>
      <c r="FK200" s="530"/>
      <c r="FL200" s="530"/>
      <c r="FM200" s="530"/>
      <c r="FN200" s="530"/>
      <c r="FO200" s="530"/>
      <c r="FP200" s="530"/>
      <c r="FQ200" s="530"/>
      <c r="GL200" s="128"/>
      <c r="GM200" s="128"/>
      <c r="GN200" s="128"/>
      <c r="GO200" s="128"/>
      <c r="GP200" s="128"/>
      <c r="GQ200" s="128"/>
      <c r="GR200" s="128"/>
      <c r="GS200" s="128"/>
      <c r="GT200" s="128"/>
      <c r="GU200" s="128"/>
      <c r="GV200" s="128"/>
      <c r="GW200" s="128"/>
      <c r="GX200" s="128"/>
      <c r="GY200" s="128"/>
      <c r="GZ200" s="128"/>
      <c r="HA200" s="128"/>
      <c r="HB200" s="128"/>
      <c r="HC200" s="128"/>
      <c r="HD200" s="128"/>
      <c r="HE200" s="128"/>
      <c r="HF200" s="128"/>
      <c r="HG200" s="128"/>
      <c r="HH200" s="128"/>
      <c r="HI200" s="128"/>
      <c r="HJ200" s="128"/>
      <c r="HK200" s="128"/>
      <c r="HL200" s="128"/>
      <c r="HM200" s="128"/>
      <c r="HN200" s="128"/>
      <c r="HO200" s="128"/>
      <c r="HP200" s="128"/>
      <c r="HQ200" s="128"/>
      <c r="HR200" s="128"/>
      <c r="HS200" s="128"/>
      <c r="HT200" s="128"/>
      <c r="HU200" s="128"/>
      <c r="HV200" s="128"/>
      <c r="HW200" s="128"/>
      <c r="HX200" s="128"/>
      <c r="HY200" s="128"/>
      <c r="HZ200" s="128"/>
      <c r="IA200" s="128"/>
      <c r="IB200" s="128"/>
      <c r="IC200" s="128"/>
    </row>
    <row r="201" spans="41:237" x14ac:dyDescent="0.3">
      <c r="AO201" s="128">
        <v>48595</v>
      </c>
      <c r="AP201" s="128" t="s">
        <v>3026</v>
      </c>
      <c r="AQ201" s="128" t="s">
        <v>824</v>
      </c>
      <c r="AR201" s="375" t="s">
        <v>3594</v>
      </c>
      <c r="AS201" s="375">
        <v>46041</v>
      </c>
      <c r="AT201" s="375">
        <v>46230</v>
      </c>
      <c r="AU201" s="530">
        <v>74129</v>
      </c>
      <c r="AV201" s="532">
        <v>49877</v>
      </c>
      <c r="AW201" s="530">
        <v>2500000</v>
      </c>
      <c r="AX201" s="534">
        <f>_xlfn.XLOOKUP(Sell_unvalid[[#This Row],[DEAL_BUY_ID]],BS!BA:BA,BS!BE:BE,,0)</f>
        <v>74038</v>
      </c>
      <c r="AY201" s="534">
        <f>_xlfn.XLOOKUP(Sell_unvalid[[#This Row],[BOND_CODE]],FNRP!D:D,FNRP!I:I,_xlfn.XLOOKUP(Sell_unvalid[[#This Row],[BOND_CODE]],FNRP!AV:AV,FNRP!BA:BA,,0),0)</f>
        <v>70844</v>
      </c>
      <c r="AZ201" s="534">
        <f>_xlfn.XLOOKUP(Sell_unvalid[[#This Row],[DEAL_BUY_ID]],BS!BA:BA,BS!BQ:BQ,,0)*Sell_unvalid[[#This Row],[QUANTITY]]</f>
        <v>-64440784594.949203</v>
      </c>
      <c r="BA201" s="534">
        <f>(Sell_unvalid[[#This Row],[Giá MtM]]-10^5)*Sell_unvalid[[#This Row],[QUANTITY]]-Sell_unvalid[[#This Row],[PTCK remain]]</f>
        <v>-8449215405.0507965</v>
      </c>
      <c r="BB201" s="534">
        <f>(Sell_unvalid[[#This Row],[PRICE]]-10^5)*Sell_unvalid[[#This Row],[QUANTITY]]-Sell_unvalid[[#This Row],[PTCK remain]]</f>
        <v>-236715405.05079651</v>
      </c>
      <c r="BC201" s="534" t="str">
        <f>IF(AND(Sell_unvalid[[#This Row],[VALUE_DATE]]&lt;=RPT,Sell_unvalid[[#This Row],[TRANSACTION_STATUS]]="N"),"Check","Ok")</f>
        <v>Ok</v>
      </c>
      <c r="BD201" s="534"/>
      <c r="BE201" s="534"/>
      <c r="BF201" s="128"/>
      <c r="BG201" s="128"/>
      <c r="BH201" s="375"/>
      <c r="BJ201" s="375"/>
      <c r="BL201" s="530"/>
      <c r="BP201" s="534"/>
      <c r="BR201" s="727"/>
      <c r="BS201" s="128"/>
      <c r="BT201" s="848"/>
      <c r="BU201" s="849">
        <v>46232</v>
      </c>
      <c r="BV201" s="848">
        <v>50194</v>
      </c>
      <c r="BW201" s="848" t="s">
        <v>3901</v>
      </c>
      <c r="BX201" s="530">
        <v>1000000</v>
      </c>
      <c r="BY201" s="735">
        <f>_xlfn.XLOOKUP(Est_NIM[[#This Row],[DEAL_BUY_ID]],BS!AL:AL,BS!AU:AU,_xlfn.XLOOKUP(Est_NIM[[#This Row],[DEAL_BUY_ID]],BS!BA:BA,BS!BJ:BJ,,0),0)</f>
        <v>3.2452000000000001</v>
      </c>
      <c r="BZ201" s="534">
        <f>Est_NIM[[#This Row],[QUANT]]*Est_NIM[[#This Row],[YIELD]]</f>
        <v>3245200</v>
      </c>
      <c r="CA201" s="128"/>
      <c r="CB201" s="128"/>
      <c r="CE201" s="331"/>
      <c r="CF201" s="331"/>
      <c r="CG201" s="331"/>
      <c r="CH201">
        <v>3730</v>
      </c>
      <c r="CI201">
        <v>14282</v>
      </c>
      <c r="CN201" s="128"/>
      <c r="CO201" s="128"/>
      <c r="CP201" s="128"/>
      <c r="CQ201" s="128"/>
      <c r="CR201" s="128"/>
      <c r="CS201" s="128"/>
      <c r="CT201" s="128"/>
      <c r="CU201" s="128"/>
      <c r="CV201" s="128"/>
      <c r="CW201" s="128"/>
      <c r="CX201" s="128"/>
      <c r="CY201" s="128"/>
      <c r="CZ201" s="128"/>
      <c r="DA201" s="128"/>
      <c r="DB201" s="128"/>
      <c r="DC201" s="128"/>
      <c r="DD201" s="128"/>
      <c r="DE201" s="128"/>
      <c r="DF201" s="128"/>
      <c r="DG201" s="128"/>
      <c r="DH201" s="128"/>
      <c r="DI201" s="128"/>
      <c r="DJ201" s="128"/>
      <c r="DK201" s="128"/>
      <c r="DL201" s="128"/>
      <c r="DM201" s="128"/>
      <c r="DN201" s="128"/>
      <c r="DO201" s="128"/>
      <c r="DP201" s="128"/>
      <c r="DQ201" s="128"/>
      <c r="DR201" s="128"/>
      <c r="DS201" s="128"/>
      <c r="DT201" s="128"/>
      <c r="DU201" s="128"/>
      <c r="DV201" s="128"/>
      <c r="DW201" s="128"/>
      <c r="DX201" s="128"/>
      <c r="DY201" s="128"/>
      <c r="DZ201" s="530"/>
      <c r="EA201" s="530"/>
      <c r="EB201" s="530"/>
      <c r="EC201" s="530"/>
      <c r="ED201" s="530"/>
      <c r="EE201" s="530"/>
      <c r="EF201" s="530"/>
      <c r="EG201" s="530"/>
      <c r="EH201" s="530"/>
      <c r="EI201" s="530"/>
      <c r="EJ201" s="530"/>
      <c r="EK201" s="530"/>
      <c r="EL201" s="530"/>
      <c r="EM201" s="530"/>
      <c r="EN201" s="530"/>
      <c r="EO201" s="530"/>
      <c r="EP201" s="530"/>
      <c r="EQ201" s="530"/>
      <c r="ER201" s="530"/>
      <c r="ES201" s="530"/>
      <c r="ET201" s="530"/>
      <c r="EU201" s="530"/>
      <c r="EV201" s="530"/>
      <c r="EW201" s="530"/>
      <c r="EX201" s="530"/>
      <c r="EY201" s="530"/>
      <c r="EZ201" s="530"/>
      <c r="FA201" s="530"/>
      <c r="FB201" s="530"/>
      <c r="FC201" s="530"/>
      <c r="FD201" s="530"/>
      <c r="FE201" s="530"/>
      <c r="FF201" s="530"/>
      <c r="FG201" s="530"/>
      <c r="FH201" s="530"/>
      <c r="FI201" s="530"/>
      <c r="FJ201" s="530"/>
      <c r="FK201" s="530"/>
      <c r="FL201" s="530"/>
      <c r="FM201" s="530"/>
      <c r="FN201" s="530"/>
      <c r="FO201" s="530"/>
      <c r="FP201" s="530"/>
      <c r="FQ201" s="530"/>
      <c r="GL201" s="128"/>
      <c r="GM201" s="128"/>
      <c r="GN201" s="128"/>
      <c r="GO201" s="128"/>
      <c r="GP201" s="128"/>
      <c r="GQ201" s="128"/>
      <c r="GR201" s="128"/>
      <c r="GS201" s="128"/>
      <c r="GT201" s="128"/>
      <c r="GU201" s="128"/>
      <c r="GV201" s="128"/>
      <c r="GW201" s="128"/>
      <c r="GX201" s="128"/>
      <c r="GY201" s="128"/>
      <c r="GZ201" s="128"/>
      <c r="HA201" s="128"/>
      <c r="HB201" s="128"/>
      <c r="HC201" s="128"/>
      <c r="HD201" s="128"/>
      <c r="HE201" s="128"/>
      <c r="HF201" s="128"/>
      <c r="HG201" s="128"/>
      <c r="HH201" s="128"/>
      <c r="HI201" s="128"/>
      <c r="HJ201" s="128"/>
      <c r="HK201" s="128"/>
      <c r="HL201" s="128"/>
      <c r="HM201" s="128"/>
      <c r="HN201" s="128"/>
      <c r="HO201" s="128"/>
      <c r="HP201" s="128"/>
      <c r="HQ201" s="128"/>
      <c r="HR201" s="128"/>
      <c r="HS201" s="128"/>
      <c r="HT201" s="128"/>
      <c r="HU201" s="128"/>
      <c r="HV201" s="128"/>
      <c r="HW201" s="128"/>
      <c r="HX201" s="128"/>
      <c r="HY201" s="128"/>
      <c r="HZ201" s="128"/>
      <c r="IA201" s="128"/>
      <c r="IB201" s="128"/>
      <c r="IC201" s="128"/>
    </row>
    <row r="202" spans="41:237" x14ac:dyDescent="0.3">
      <c r="AO202" s="128">
        <v>48595</v>
      </c>
      <c r="AP202" s="128" t="s">
        <v>3026</v>
      </c>
      <c r="AQ202" s="128" t="s">
        <v>824</v>
      </c>
      <c r="AR202" s="128" t="s">
        <v>3594</v>
      </c>
      <c r="AS202" s="375">
        <v>46041</v>
      </c>
      <c r="AT202" s="375">
        <v>46230</v>
      </c>
      <c r="AU202" s="530">
        <v>74129</v>
      </c>
      <c r="AV202" s="128">
        <v>49882</v>
      </c>
      <c r="AW202" s="530">
        <v>1650000</v>
      </c>
      <c r="AX202" s="534">
        <f>_xlfn.XLOOKUP(Sell_unvalid[[#This Row],[DEAL_BUY_ID]],BS!BA:BA,BS!BE:BE,,0)</f>
        <v>73141</v>
      </c>
      <c r="AY202" s="534">
        <f>_xlfn.XLOOKUP(Sell_unvalid[[#This Row],[BOND_CODE]],FNRP!D:D,FNRP!I:I,_xlfn.XLOOKUP(Sell_unvalid[[#This Row],[BOND_CODE]],FNRP!AV:AV,FNRP!BA:BA,,0),0)</f>
        <v>70844</v>
      </c>
      <c r="AZ202" s="534">
        <f>_xlfn.XLOOKUP(Sell_unvalid[[#This Row],[DEAL_BUY_ID]],BS!BA:BA,BS!BQ:BQ,,0)*Sell_unvalid[[#This Row],[QUANTITY]]</f>
        <v>-43987296225.239212</v>
      </c>
      <c r="BA202" s="534">
        <f>(Sell_unvalid[[#This Row],[Giá MtM]]-10^5)*Sell_unvalid[[#This Row],[QUANTITY]]-Sell_unvalid[[#This Row],[PTCK remain]]</f>
        <v>-4120103774.760788</v>
      </c>
      <c r="BB202" s="534">
        <f>(Sell_unvalid[[#This Row],[PRICE]]-10^5)*Sell_unvalid[[#This Row],[QUANTITY]]-Sell_unvalid[[#This Row],[PTCK remain]]</f>
        <v>1300146225.239212</v>
      </c>
      <c r="BC202" s="534" t="str">
        <f>IF(AND(Sell_unvalid[[#This Row],[VALUE_DATE]]&lt;=RPT,Sell_unvalid[[#This Row],[TRANSACTION_STATUS]]="N"),"Check","Ok")</f>
        <v>Ok</v>
      </c>
      <c r="BD202" s="534"/>
      <c r="BE202" s="534"/>
      <c r="BF202" s="128"/>
      <c r="BG202" s="128"/>
      <c r="BH202" s="375"/>
      <c r="BJ202" s="375"/>
      <c r="BL202" s="530"/>
      <c r="BP202" s="534"/>
      <c r="BR202" s="727"/>
      <c r="BS202" s="128"/>
      <c r="BT202" s="848"/>
      <c r="BU202" s="849">
        <v>46233</v>
      </c>
      <c r="BV202" s="848">
        <v>50221</v>
      </c>
      <c r="BW202" s="848" t="s">
        <v>3901</v>
      </c>
      <c r="BX202" s="530">
        <v>1500000</v>
      </c>
      <c r="BY202" s="735">
        <f>_xlfn.XLOOKUP(Est_NIM[[#This Row],[DEAL_BUY_ID]],BS!AL:AL,BS!AU:AU,_xlfn.XLOOKUP(Est_NIM[[#This Row],[DEAL_BUY_ID]],BS!BA:BA,BS!BJ:BJ,,0),0)</f>
        <v>3.4821</v>
      </c>
      <c r="BZ202" s="534">
        <f>Est_NIM[[#This Row],[QUANT]]*Est_NIM[[#This Row],[YIELD]]</f>
        <v>5223150</v>
      </c>
      <c r="CA202" s="128"/>
      <c r="CB202" s="128"/>
      <c r="CE202" s="331"/>
      <c r="CF202" s="331"/>
      <c r="CG202" s="331"/>
      <c r="CH202">
        <v>3730</v>
      </c>
      <c r="CI202">
        <v>14282</v>
      </c>
      <c r="CO202" s="128"/>
      <c r="CP202" s="128"/>
      <c r="CQ202" s="128"/>
      <c r="CR202" s="128"/>
      <c r="CS202" s="128"/>
      <c r="CT202" s="128"/>
      <c r="CU202" s="128"/>
      <c r="CV202" s="128"/>
      <c r="CW202" s="128"/>
      <c r="CX202" s="128"/>
      <c r="CY202" s="128"/>
      <c r="CZ202" s="128"/>
      <c r="DA202" s="128"/>
      <c r="DB202" s="128"/>
      <c r="DC202" s="128"/>
      <c r="DD202" s="128"/>
      <c r="DE202" s="128"/>
      <c r="DF202" s="128"/>
      <c r="DG202" s="128"/>
      <c r="DH202" s="128"/>
      <c r="DI202" s="128"/>
      <c r="DJ202" s="128"/>
      <c r="DK202" s="128"/>
      <c r="DL202" s="128"/>
      <c r="DM202" s="128"/>
      <c r="DN202" s="128"/>
      <c r="DO202" s="128"/>
      <c r="DP202" s="128"/>
      <c r="DQ202" s="128"/>
      <c r="DR202" s="128"/>
      <c r="DS202" s="128"/>
      <c r="DT202" s="128"/>
      <c r="DU202" s="128"/>
      <c r="DV202" s="128"/>
      <c r="DW202" s="128"/>
      <c r="DX202" s="128"/>
      <c r="DY202" s="128"/>
      <c r="DZ202" s="128"/>
      <c r="EA202" s="530"/>
      <c r="EB202" s="530"/>
      <c r="EC202" s="530"/>
      <c r="ED202" s="530"/>
      <c r="EE202" s="530"/>
      <c r="EF202" s="530"/>
      <c r="EG202" s="530"/>
      <c r="EH202" s="530"/>
      <c r="EI202" s="530"/>
      <c r="EJ202" s="530"/>
      <c r="EK202" s="530"/>
      <c r="EL202" s="530"/>
      <c r="EM202" s="530"/>
      <c r="EN202" s="530"/>
      <c r="EO202" s="530"/>
      <c r="EP202" s="530"/>
      <c r="EQ202" s="530"/>
      <c r="ER202" s="530"/>
      <c r="ES202" s="530"/>
      <c r="ET202" s="530"/>
      <c r="EU202" s="530"/>
      <c r="EV202" s="530"/>
      <c r="EW202" s="530"/>
      <c r="EX202" s="530"/>
      <c r="EY202" s="530"/>
      <c r="EZ202" s="530"/>
      <c r="FA202" s="530"/>
      <c r="FB202" s="530"/>
      <c r="FC202" s="530"/>
      <c r="FD202" s="530"/>
      <c r="FE202" s="530"/>
      <c r="FF202" s="530"/>
      <c r="FG202" s="530"/>
      <c r="FH202" s="530"/>
      <c r="FI202" s="530"/>
      <c r="FJ202" s="530"/>
      <c r="FK202" s="530"/>
      <c r="FL202" s="530"/>
      <c r="FM202" s="530"/>
      <c r="FN202" s="530"/>
      <c r="FO202" s="530"/>
      <c r="FP202" s="530"/>
      <c r="FQ202" s="530"/>
      <c r="GM202" s="128"/>
      <c r="GN202" s="128"/>
      <c r="GO202" s="128"/>
      <c r="GP202" s="128"/>
      <c r="GQ202" s="128"/>
      <c r="GR202" s="128"/>
      <c r="GS202" s="128"/>
      <c r="GT202" s="128"/>
      <c r="GU202" s="128"/>
      <c r="GV202" s="128"/>
      <c r="GW202" s="128"/>
      <c r="GX202" s="128"/>
      <c r="GY202" s="128"/>
      <c r="GZ202" s="128"/>
      <c r="HA202" s="128"/>
      <c r="HB202" s="128"/>
      <c r="HC202" s="128"/>
      <c r="HD202" s="128"/>
      <c r="HE202" s="128"/>
      <c r="HF202" s="128"/>
      <c r="HG202" s="128"/>
      <c r="HH202" s="128"/>
      <c r="HI202" s="128"/>
      <c r="HJ202" s="128"/>
      <c r="HK202" s="128"/>
      <c r="HL202" s="128"/>
      <c r="HM202" s="128"/>
      <c r="HN202" s="128"/>
      <c r="HO202" s="128"/>
      <c r="HP202" s="128"/>
      <c r="HQ202" s="128"/>
      <c r="HR202" s="128"/>
      <c r="HS202" s="128"/>
      <c r="HT202" s="128"/>
      <c r="HU202" s="128"/>
      <c r="HV202" s="128"/>
      <c r="HW202" s="128"/>
      <c r="HX202" s="128"/>
      <c r="HY202" s="128"/>
      <c r="HZ202" s="128"/>
      <c r="IA202" s="128"/>
      <c r="IB202" s="128"/>
      <c r="IC202" s="128"/>
    </row>
    <row r="203" spans="41:237" x14ac:dyDescent="0.3">
      <c r="AO203" s="128">
        <v>48596</v>
      </c>
      <c r="AP203" s="128" t="s">
        <v>3026</v>
      </c>
      <c r="AQ203" s="128" t="s">
        <v>824</v>
      </c>
      <c r="AR203" s="375" t="s">
        <v>3594</v>
      </c>
      <c r="AS203" s="375">
        <v>46041</v>
      </c>
      <c r="AT203" s="375">
        <v>46230</v>
      </c>
      <c r="AU203" s="530">
        <v>74129</v>
      </c>
      <c r="AV203" s="128">
        <v>48764</v>
      </c>
      <c r="AW203" s="530">
        <v>230000</v>
      </c>
      <c r="AX203" s="534">
        <f>_xlfn.XLOOKUP(Sell_unvalid[[#This Row],[DEAL_BUY_ID]],BS!BA:BA,BS!BE:BE,,0)</f>
        <v>81471</v>
      </c>
      <c r="AY203" s="534">
        <f>_xlfn.XLOOKUP(Sell_unvalid[[#This Row],[BOND_CODE]],FNRP!D:D,FNRP!I:I,_xlfn.XLOOKUP(Sell_unvalid[[#This Row],[BOND_CODE]],FNRP!AV:AV,FNRP!BA:BA,,0),0)</f>
        <v>70844</v>
      </c>
      <c r="AZ203" s="534">
        <f>_xlfn.XLOOKUP(Sell_unvalid[[#This Row],[DEAL_BUY_ID]],BS!BA:BA,BS!BQ:BQ,,0)*Sell_unvalid[[#This Row],[QUANTITY]]</f>
        <v>-4179056123.6579046</v>
      </c>
      <c r="BA203" s="534">
        <f>(Sell_unvalid[[#This Row],[Giá MtM]]-10^5)*Sell_unvalid[[#This Row],[QUANTITY]]-Sell_unvalid[[#This Row],[PTCK remain]]</f>
        <v>-2526823876.3420954</v>
      </c>
      <c r="BB203" s="534">
        <f>(Sell_unvalid[[#This Row],[PRICE]]-10^5)*Sell_unvalid[[#This Row],[QUANTITY]]-Sell_unvalid[[#This Row],[PTCK remain]]</f>
        <v>-1771273876.3420954</v>
      </c>
      <c r="BC203" s="534" t="str">
        <f>IF(AND(Sell_unvalid[[#This Row],[VALUE_DATE]]&lt;=RPT,Sell_unvalid[[#This Row],[TRANSACTION_STATUS]]="N"),"Check","Ok")</f>
        <v>Ok</v>
      </c>
      <c r="BD203" s="534"/>
      <c r="BE203" s="534"/>
      <c r="BF203" s="128"/>
      <c r="BG203" s="128"/>
      <c r="BH203" s="375"/>
      <c r="BJ203" s="375"/>
      <c r="BL203" s="530"/>
      <c r="BP203" s="534"/>
      <c r="BR203" s="727"/>
      <c r="BS203" s="128"/>
      <c r="BT203" s="848"/>
      <c r="BU203" s="849">
        <v>46240</v>
      </c>
      <c r="BV203" s="848">
        <v>50264</v>
      </c>
      <c r="BW203" s="848" t="s">
        <v>3901</v>
      </c>
      <c r="BX203" s="530">
        <v>2000000</v>
      </c>
      <c r="BY203" s="735">
        <f>_xlfn.XLOOKUP(Est_NIM[[#This Row],[DEAL_BUY_ID]],BS!AL:AL,BS!AU:AU,_xlfn.XLOOKUP(Est_NIM[[#This Row],[DEAL_BUY_ID]],BS!BA:BA,BS!BJ:BJ,,0),0)</f>
        <v>2.8418999999999999</v>
      </c>
      <c r="BZ203" s="534">
        <f>Est_NIM[[#This Row],[QUANT]]*Est_NIM[[#This Row],[YIELD]]</f>
        <v>5683800</v>
      </c>
      <c r="CA203" s="128"/>
      <c r="CB203" s="128"/>
      <c r="CE203" s="331"/>
      <c r="CF203" s="331"/>
      <c r="CG203" s="331"/>
      <c r="CH203">
        <v>3730</v>
      </c>
      <c r="CI203">
        <v>14282</v>
      </c>
      <c r="CP203" s="128"/>
      <c r="CQ203" s="128"/>
      <c r="CR203" s="128"/>
      <c r="CS203" s="128"/>
      <c r="CT203" s="128"/>
      <c r="CU203" s="128"/>
      <c r="CV203" s="128"/>
      <c r="CW203" s="128"/>
      <c r="CX203" s="128"/>
      <c r="CY203" s="128"/>
      <c r="CZ203" s="128"/>
      <c r="DA203" s="128"/>
      <c r="DB203" s="128"/>
      <c r="DC203" s="128"/>
      <c r="DD203" s="128"/>
      <c r="DE203" s="128"/>
      <c r="DF203" s="128"/>
      <c r="DG203" s="128"/>
      <c r="DH203" s="128"/>
      <c r="DI203" s="128"/>
      <c r="DJ203" s="128"/>
      <c r="DK203" s="128"/>
      <c r="DL203" s="128"/>
      <c r="DM203" s="128"/>
      <c r="DN203" s="128"/>
      <c r="DO203" s="128"/>
      <c r="DP203" s="128"/>
      <c r="DQ203" s="128"/>
      <c r="DR203" s="128"/>
      <c r="DS203" s="128"/>
      <c r="DT203" s="128"/>
      <c r="DU203" s="128"/>
      <c r="DV203" s="128"/>
      <c r="DW203" s="128"/>
      <c r="DX203" s="128"/>
      <c r="DY203" s="128"/>
      <c r="DZ203" s="128"/>
      <c r="EA203" s="128"/>
      <c r="EB203" s="530"/>
      <c r="EC203" s="530"/>
      <c r="ED203" s="530"/>
      <c r="EE203" s="530"/>
      <c r="EF203" s="530"/>
      <c r="EG203" s="530"/>
      <c r="EH203" s="530"/>
      <c r="EI203" s="530"/>
      <c r="EJ203" s="530"/>
      <c r="EK203" s="530"/>
      <c r="EL203" s="530"/>
      <c r="EM203" s="530"/>
      <c r="EN203" s="530"/>
      <c r="EO203" s="530"/>
      <c r="EP203" s="530"/>
      <c r="EQ203" s="530"/>
      <c r="ER203" s="530"/>
      <c r="ES203" s="530"/>
      <c r="ET203" s="530"/>
      <c r="EU203" s="530"/>
      <c r="EV203" s="530"/>
      <c r="EW203" s="530"/>
      <c r="EX203" s="530"/>
      <c r="EY203" s="530"/>
      <c r="EZ203" s="530"/>
      <c r="FA203" s="530"/>
      <c r="FB203" s="530"/>
      <c r="FC203" s="530"/>
      <c r="FD203" s="530"/>
      <c r="FE203" s="530"/>
      <c r="FF203" s="530"/>
      <c r="FG203" s="530"/>
      <c r="FH203" s="530"/>
      <c r="FI203" s="530"/>
      <c r="FJ203" s="530"/>
      <c r="FK203" s="530"/>
      <c r="FL203" s="530"/>
      <c r="FM203" s="530"/>
      <c r="FN203" s="530"/>
      <c r="FO203" s="530"/>
      <c r="FP203" s="530"/>
      <c r="FQ203" s="530"/>
      <c r="GN203" s="128"/>
      <c r="GO203" s="128"/>
      <c r="GP203" s="128"/>
      <c r="GQ203" s="128"/>
      <c r="GR203" s="128"/>
      <c r="GS203" s="128"/>
      <c r="GT203" s="128"/>
      <c r="GU203" s="128"/>
      <c r="GV203" s="128"/>
      <c r="GW203" s="128"/>
      <c r="GX203" s="128"/>
      <c r="GY203" s="128"/>
      <c r="GZ203" s="128"/>
      <c r="HA203" s="128"/>
      <c r="HB203" s="128"/>
      <c r="HC203" s="128"/>
      <c r="HD203" s="128"/>
      <c r="HE203" s="128"/>
      <c r="HF203" s="128"/>
      <c r="HG203" s="128"/>
      <c r="HH203" s="128"/>
      <c r="HI203" s="128"/>
      <c r="HJ203" s="128"/>
      <c r="HK203" s="128"/>
      <c r="HL203" s="128"/>
      <c r="HM203" s="128"/>
      <c r="HN203" s="128"/>
      <c r="HO203" s="128"/>
      <c r="HP203" s="128"/>
      <c r="HQ203" s="128"/>
      <c r="HR203" s="128"/>
      <c r="HS203" s="128"/>
      <c r="HT203" s="128"/>
      <c r="HU203" s="128"/>
      <c r="HV203" s="128"/>
      <c r="HW203" s="128"/>
      <c r="HX203" s="128"/>
      <c r="HY203" s="128"/>
      <c r="HZ203" s="128"/>
      <c r="IA203" s="128"/>
      <c r="IB203" s="128"/>
      <c r="IC203" s="128"/>
    </row>
    <row r="204" spans="41:237" x14ac:dyDescent="0.3">
      <c r="AO204" s="128">
        <v>48596</v>
      </c>
      <c r="AP204" s="128" t="s">
        <v>3026</v>
      </c>
      <c r="AQ204" s="128" t="s">
        <v>824</v>
      </c>
      <c r="AR204" s="375" t="s">
        <v>3594</v>
      </c>
      <c r="AS204" s="375">
        <v>46041</v>
      </c>
      <c r="AT204" s="375">
        <v>46230</v>
      </c>
      <c r="AU204" s="530">
        <v>74129</v>
      </c>
      <c r="AV204" s="128">
        <v>49509</v>
      </c>
      <c r="AW204" s="530">
        <v>770000</v>
      </c>
      <c r="AX204" s="534">
        <f>_xlfn.XLOOKUP(Sell_unvalid[[#This Row],[DEAL_BUY_ID]],BS!BA:BA,BS!BE:BE,,0)</f>
        <v>79907</v>
      </c>
      <c r="AY204" s="534">
        <f>_xlfn.XLOOKUP(Sell_unvalid[[#This Row],[BOND_CODE]],FNRP!D:D,FNRP!I:I,_xlfn.XLOOKUP(Sell_unvalid[[#This Row],[BOND_CODE]],FNRP!AV:AV,FNRP!BA:BA,,0),0)</f>
        <v>70844</v>
      </c>
      <c r="AZ204" s="534">
        <f>_xlfn.XLOOKUP(Sell_unvalid[[#This Row],[DEAL_BUY_ID]],BS!BA:BA,BS!BQ:BQ,,0)*Sell_unvalid[[#This Row],[QUANTITY]]</f>
        <v>-15286709546.302994</v>
      </c>
      <c r="BA204" s="534">
        <f>(Sell_unvalid[[#This Row],[Giá MtM]]-10^5)*Sell_unvalid[[#This Row],[QUANTITY]]-Sell_unvalid[[#This Row],[PTCK remain]]</f>
        <v>-7163410453.6970062</v>
      </c>
      <c r="BB204" s="534">
        <f>(Sell_unvalid[[#This Row],[PRICE]]-10^5)*Sell_unvalid[[#This Row],[QUANTITY]]-Sell_unvalid[[#This Row],[PTCK remain]]</f>
        <v>-4633960453.6970062</v>
      </c>
      <c r="BC204" s="534" t="str">
        <f>IF(AND(Sell_unvalid[[#This Row],[VALUE_DATE]]&lt;=RPT,Sell_unvalid[[#This Row],[TRANSACTION_STATUS]]="N"),"Check","Ok")</f>
        <v>Ok</v>
      </c>
      <c r="BD204" s="534"/>
      <c r="BE204" s="534"/>
      <c r="BF204" s="128"/>
      <c r="BG204" s="128"/>
      <c r="BH204" s="375"/>
      <c r="BJ204" s="375"/>
      <c r="BL204" s="530"/>
      <c r="BP204" s="534"/>
      <c r="BR204" s="727"/>
      <c r="BS204" s="128"/>
      <c r="BT204" s="848"/>
      <c r="BU204" s="849">
        <v>46259</v>
      </c>
      <c r="BV204" s="848">
        <v>50304</v>
      </c>
      <c r="BW204" s="848" t="s">
        <v>3901</v>
      </c>
      <c r="BX204" s="530">
        <v>1000000</v>
      </c>
      <c r="BY204" s="735">
        <f>_xlfn.XLOOKUP(Est_NIM[[#This Row],[DEAL_BUY_ID]],BS!AL:AL,BS!AU:AU,_xlfn.XLOOKUP(Est_NIM[[#This Row],[DEAL_BUY_ID]],BS!BA:BA,BS!BJ:BJ,,0),0)</f>
        <v>2.7</v>
      </c>
      <c r="BZ204" s="534">
        <f>Est_NIM[[#This Row],[QUANT]]*Est_NIM[[#This Row],[YIELD]]</f>
        <v>2700000</v>
      </c>
      <c r="CA204" s="128"/>
      <c r="CB204" s="128"/>
      <c r="CE204" s="331"/>
      <c r="CF204" s="331"/>
      <c r="CG204" s="331"/>
      <c r="CH204">
        <v>3730</v>
      </c>
      <c r="CI204">
        <v>14282</v>
      </c>
      <c r="CQ204" s="128"/>
      <c r="CR204" s="128"/>
      <c r="CS204" s="128"/>
      <c r="CT204" s="128"/>
      <c r="CU204" s="128"/>
      <c r="CV204" s="128"/>
      <c r="CW204" s="128"/>
      <c r="CX204" s="128"/>
      <c r="CY204" s="128"/>
      <c r="CZ204" s="128"/>
      <c r="DA204" s="128"/>
      <c r="DB204" s="128"/>
      <c r="DC204" s="128"/>
      <c r="DD204" s="128"/>
      <c r="DE204" s="128"/>
      <c r="DF204" s="128"/>
      <c r="DG204" s="128"/>
      <c r="DH204" s="128"/>
      <c r="DI204" s="128"/>
      <c r="DJ204" s="128"/>
      <c r="DK204" s="128"/>
      <c r="DL204" s="128"/>
      <c r="DM204" s="128"/>
      <c r="DN204" s="128"/>
      <c r="DO204" s="128"/>
      <c r="DP204" s="128"/>
      <c r="DQ204" s="128"/>
      <c r="DR204" s="128"/>
      <c r="DS204" s="128"/>
      <c r="DT204" s="128"/>
      <c r="DU204" s="128"/>
      <c r="DV204" s="128"/>
      <c r="DW204" s="128"/>
      <c r="DX204" s="128"/>
      <c r="DY204" s="128"/>
      <c r="DZ204" s="128"/>
      <c r="EA204" s="128"/>
      <c r="EB204" s="128"/>
      <c r="EC204" s="530"/>
      <c r="ED204" s="530"/>
      <c r="EE204" s="530"/>
      <c r="EF204" s="530"/>
      <c r="EG204" s="530"/>
      <c r="EH204" s="530"/>
      <c r="EI204" s="530"/>
      <c r="EJ204" s="530"/>
      <c r="EK204" s="530"/>
      <c r="EL204" s="530"/>
      <c r="EM204" s="530"/>
      <c r="EN204" s="530"/>
      <c r="EO204" s="530"/>
      <c r="EP204" s="530"/>
      <c r="EQ204" s="530"/>
      <c r="ER204" s="530"/>
      <c r="ES204" s="530"/>
      <c r="ET204" s="530"/>
      <c r="EU204" s="530"/>
      <c r="EV204" s="530"/>
      <c r="EW204" s="530"/>
      <c r="EX204" s="530"/>
      <c r="EY204" s="530"/>
      <c r="EZ204" s="530"/>
      <c r="FA204" s="530"/>
      <c r="FB204" s="530"/>
      <c r="FC204" s="530"/>
      <c r="FD204" s="530"/>
      <c r="FE204" s="530"/>
      <c r="FF204" s="530"/>
      <c r="FG204" s="530"/>
      <c r="FH204" s="530"/>
      <c r="FI204" s="530"/>
      <c r="FJ204" s="530"/>
      <c r="FK204" s="530"/>
      <c r="FL204" s="530"/>
      <c r="FM204" s="530"/>
      <c r="FN204" s="530"/>
      <c r="FO204" s="530"/>
      <c r="FP204" s="530"/>
      <c r="FQ204" s="530"/>
      <c r="GO204" s="128"/>
      <c r="GP204" s="128"/>
      <c r="GQ204" s="128"/>
      <c r="GR204" s="128"/>
      <c r="GS204" s="128"/>
      <c r="GT204" s="128"/>
      <c r="GU204" s="128"/>
      <c r="GV204" s="128"/>
      <c r="GW204" s="128"/>
      <c r="GX204" s="128"/>
      <c r="GY204" s="128"/>
      <c r="GZ204" s="128"/>
      <c r="HA204" s="128"/>
      <c r="HB204" s="128"/>
      <c r="HC204" s="128"/>
      <c r="HD204" s="128"/>
      <c r="HE204" s="128"/>
      <c r="HF204" s="128"/>
      <c r="HG204" s="128"/>
      <c r="HH204" s="128"/>
      <c r="HI204" s="128"/>
      <c r="HJ204" s="128"/>
      <c r="HK204" s="128"/>
      <c r="HL204" s="128"/>
      <c r="HM204" s="128"/>
      <c r="HN204" s="128"/>
      <c r="HO204" s="128"/>
      <c r="HP204" s="128"/>
      <c r="HQ204" s="128"/>
      <c r="HR204" s="128"/>
      <c r="HS204" s="128"/>
      <c r="HT204" s="128"/>
      <c r="HU204" s="128"/>
      <c r="HV204" s="128"/>
      <c r="HW204" s="128"/>
      <c r="HX204" s="128"/>
      <c r="HY204" s="128"/>
      <c r="HZ204" s="128"/>
      <c r="IA204" s="128"/>
      <c r="IB204" s="128"/>
      <c r="IC204" s="128"/>
    </row>
    <row r="205" spans="41:237" x14ac:dyDescent="0.3">
      <c r="AO205" s="128">
        <v>48596</v>
      </c>
      <c r="AP205" s="128" t="s">
        <v>3026</v>
      </c>
      <c r="AQ205" s="128" t="s">
        <v>824</v>
      </c>
      <c r="AR205" s="375" t="s">
        <v>3594</v>
      </c>
      <c r="AS205" s="375">
        <v>46041</v>
      </c>
      <c r="AT205" s="375">
        <v>46230</v>
      </c>
      <c r="AU205" s="530">
        <v>74129</v>
      </c>
      <c r="AV205" s="128">
        <v>49860</v>
      </c>
      <c r="AW205" s="530">
        <v>1150000</v>
      </c>
      <c r="AX205" s="534">
        <f>_xlfn.XLOOKUP(Sell_unvalid[[#This Row],[DEAL_BUY_ID]],BS!BA:BA,BS!BE:BE,,0)</f>
        <v>70894</v>
      </c>
      <c r="AY205" s="534">
        <f>_xlfn.XLOOKUP(Sell_unvalid[[#This Row],[BOND_CODE]],FNRP!D:D,FNRP!I:I,_xlfn.XLOOKUP(Sell_unvalid[[#This Row],[BOND_CODE]],FNRP!AV:AV,FNRP!BA:BA,,0),0)</f>
        <v>70844</v>
      </c>
      <c r="AZ205" s="534">
        <f>_xlfn.XLOOKUP(Sell_unvalid[[#This Row],[DEAL_BUY_ID]],BS!BA:BA,BS!BQ:BQ,,0)*Sell_unvalid[[#This Row],[QUANTITY]]</f>
        <v>-33199962146.001129</v>
      </c>
      <c r="BA205" s="534">
        <f>(Sell_unvalid[[#This Row],[Giá MtM]]-10^5)*Sell_unvalid[[#This Row],[QUANTITY]]-Sell_unvalid[[#This Row],[PTCK remain]]</f>
        <v>-329437853.99887085</v>
      </c>
      <c r="BB205" s="534">
        <f>(Sell_unvalid[[#This Row],[PRICE]]-10^5)*Sell_unvalid[[#This Row],[QUANTITY]]-Sell_unvalid[[#This Row],[PTCK remain]]</f>
        <v>3448312146.0011292</v>
      </c>
      <c r="BC205" s="534" t="str">
        <f>IF(AND(Sell_unvalid[[#This Row],[VALUE_DATE]]&lt;=RPT,Sell_unvalid[[#This Row],[TRANSACTION_STATUS]]="N"),"Check","Ok")</f>
        <v>Ok</v>
      </c>
      <c r="BD205" s="763"/>
      <c r="BE205" s="534"/>
      <c r="BF205" s="128"/>
      <c r="BG205" s="128"/>
      <c r="BH205" s="375"/>
      <c r="BJ205" s="375"/>
      <c r="BL205" s="530"/>
      <c r="BP205" s="534"/>
      <c r="BR205" s="727"/>
      <c r="BS205" s="128"/>
      <c r="BT205" s="848"/>
      <c r="BU205" s="849">
        <v>46245</v>
      </c>
      <c r="BV205" s="848">
        <v>50338</v>
      </c>
      <c r="BW205" s="848" t="s">
        <v>3901</v>
      </c>
      <c r="BX205" s="530">
        <v>340000</v>
      </c>
      <c r="BY205" s="735">
        <f>_xlfn.XLOOKUP(Est_NIM[[#This Row],[DEAL_BUY_ID]],BS!AL:AL,BS!AU:AU,_xlfn.XLOOKUP(Est_NIM[[#This Row],[DEAL_BUY_ID]],BS!BA:BA,BS!BJ:BJ,,0),0)</f>
        <v>5.7</v>
      </c>
      <c r="BZ205" s="534">
        <f>Est_NIM[[#This Row],[QUANT]]*Est_NIM[[#This Row],[YIELD]]</f>
        <v>1938000</v>
      </c>
      <c r="CA205" s="128"/>
      <c r="CB205" s="128"/>
      <c r="CE205" s="331"/>
      <c r="CF205" s="331"/>
      <c r="CG205" s="331"/>
      <c r="CH205">
        <v>3730</v>
      </c>
      <c r="CI205">
        <v>14282</v>
      </c>
      <c r="CQ205" s="128"/>
      <c r="CR205" s="128"/>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c r="DO205" s="128"/>
      <c r="DP205" s="128"/>
      <c r="DQ205" s="128"/>
      <c r="DR205" s="128"/>
      <c r="DS205" s="128"/>
      <c r="DT205" s="128"/>
      <c r="DU205" s="128"/>
      <c r="DV205" s="128"/>
      <c r="DW205" s="128"/>
      <c r="DX205" s="128"/>
      <c r="DY205" s="128"/>
      <c r="DZ205" s="128"/>
      <c r="EA205" s="128"/>
      <c r="EB205" s="128"/>
      <c r="EC205" s="530"/>
      <c r="ED205" s="530"/>
      <c r="EE205" s="530"/>
      <c r="EF205" s="530"/>
      <c r="EG205" s="530"/>
      <c r="EH205" s="530"/>
      <c r="EI205" s="530"/>
      <c r="EJ205" s="530"/>
      <c r="EK205" s="530"/>
      <c r="EL205" s="530"/>
      <c r="EM205" s="530"/>
      <c r="EN205" s="530"/>
      <c r="EO205" s="530"/>
      <c r="EP205" s="530"/>
      <c r="EQ205" s="530"/>
      <c r="ER205" s="530"/>
      <c r="ES205" s="530"/>
      <c r="ET205" s="530"/>
      <c r="EU205" s="530"/>
      <c r="EV205" s="530"/>
      <c r="EW205" s="530"/>
      <c r="EX205" s="530"/>
      <c r="EY205" s="530"/>
      <c r="EZ205" s="530"/>
      <c r="FA205" s="530"/>
      <c r="FB205" s="530"/>
      <c r="FC205" s="530"/>
      <c r="FD205" s="530"/>
      <c r="FE205" s="530"/>
      <c r="FF205" s="530"/>
      <c r="FG205" s="530"/>
      <c r="FH205" s="530"/>
      <c r="FI205" s="530"/>
      <c r="FJ205" s="530"/>
      <c r="FK205" s="530"/>
      <c r="FL205" s="530"/>
      <c r="FM205" s="530"/>
      <c r="FN205" s="530"/>
      <c r="FO205" s="530"/>
      <c r="FP205" s="530"/>
      <c r="FQ205" s="530"/>
      <c r="GO205" s="128"/>
      <c r="GP205" s="128"/>
      <c r="GQ205" s="128"/>
      <c r="GR205" s="128"/>
      <c r="GS205" s="128"/>
      <c r="GT205" s="128"/>
      <c r="GU205" s="128"/>
      <c r="GV205" s="128"/>
      <c r="GW205" s="128"/>
      <c r="GX205" s="128"/>
      <c r="GY205" s="128"/>
      <c r="GZ205" s="128"/>
      <c r="HA205" s="128"/>
      <c r="HB205" s="128"/>
      <c r="HC205" s="128"/>
      <c r="HD205" s="128"/>
      <c r="HE205" s="128"/>
      <c r="HF205" s="128"/>
      <c r="HG205" s="128"/>
      <c r="HH205" s="128"/>
      <c r="HI205" s="128"/>
      <c r="HJ205" s="128"/>
      <c r="HK205" s="128"/>
      <c r="HL205" s="128"/>
      <c r="HM205" s="128"/>
      <c r="HN205" s="128"/>
      <c r="HO205" s="128"/>
      <c r="HP205" s="128"/>
      <c r="HQ205" s="128"/>
      <c r="HR205" s="128"/>
      <c r="HS205" s="128"/>
      <c r="HT205" s="128"/>
      <c r="HU205" s="128"/>
      <c r="HV205" s="128"/>
      <c r="HW205" s="128"/>
      <c r="HX205" s="128"/>
      <c r="HY205" s="128"/>
      <c r="HZ205" s="128"/>
      <c r="IA205" s="128"/>
      <c r="IB205" s="128"/>
      <c r="IC205" s="128"/>
    </row>
    <row r="206" spans="41:237" x14ac:dyDescent="0.3">
      <c r="AO206" s="128">
        <v>48596</v>
      </c>
      <c r="AP206" s="128" t="s">
        <v>3026</v>
      </c>
      <c r="AQ206" s="128" t="s">
        <v>824</v>
      </c>
      <c r="AR206" s="375" t="s">
        <v>3594</v>
      </c>
      <c r="AS206" s="375">
        <v>46041</v>
      </c>
      <c r="AT206" s="375">
        <v>46230</v>
      </c>
      <c r="AU206" s="530">
        <v>74129</v>
      </c>
      <c r="AV206" s="128">
        <v>49894</v>
      </c>
      <c r="AW206" s="530">
        <v>310000</v>
      </c>
      <c r="AX206" s="534">
        <f>_xlfn.XLOOKUP(Sell_unvalid[[#This Row],[DEAL_BUY_ID]],BS!BA:BA,BS!BE:BE,,0)</f>
        <v>73082</v>
      </c>
      <c r="AY206" s="534">
        <f>_xlfn.XLOOKUP(Sell_unvalid[[#This Row],[BOND_CODE]],FNRP!D:D,FNRP!I:I,_xlfn.XLOOKUP(Sell_unvalid[[#This Row],[BOND_CODE]],FNRP!AV:AV,FNRP!BA:BA,,0),0)</f>
        <v>70844</v>
      </c>
      <c r="AZ206" s="534">
        <f>_xlfn.XLOOKUP(Sell_unvalid[[#This Row],[DEAL_BUY_ID]],BS!BA:BA,BS!BQ:BQ,,0)*Sell_unvalid[[#This Row],[QUANTITY]]</f>
        <v>-8280994663.4937134</v>
      </c>
      <c r="BA206" s="534">
        <f>(Sell_unvalid[[#This Row],[Giá MtM]]-10^5)*Sell_unvalid[[#This Row],[QUANTITY]]-Sell_unvalid[[#This Row],[PTCK remain]]</f>
        <v>-757365336.50628662</v>
      </c>
      <c r="BB206" s="534">
        <f>(Sell_unvalid[[#This Row],[PRICE]]-10^5)*Sell_unvalid[[#This Row],[QUANTITY]]-Sell_unvalid[[#This Row],[PTCK remain]]</f>
        <v>260984663.49371338</v>
      </c>
      <c r="BC206" s="534" t="str">
        <f>IF(AND(Sell_unvalid[[#This Row],[VALUE_DATE]]&lt;=RPT,Sell_unvalid[[#This Row],[TRANSACTION_STATUS]]="N"),"Check","Ok")</f>
        <v>Ok</v>
      </c>
      <c r="BD206" s="763"/>
      <c r="BE206" s="534"/>
      <c r="BF206" s="128"/>
      <c r="BG206" s="128"/>
      <c r="BH206" s="375"/>
      <c r="BJ206" s="375"/>
      <c r="BL206" s="530"/>
      <c r="BP206" s="534"/>
      <c r="BR206" s="727"/>
      <c r="BS206" s="128"/>
      <c r="BT206" s="848"/>
      <c r="BU206" s="849">
        <v>46245</v>
      </c>
      <c r="BV206" s="848">
        <v>50340</v>
      </c>
      <c r="BW206" s="848" t="s">
        <v>3901</v>
      </c>
      <c r="BX206" s="530">
        <v>3000000</v>
      </c>
      <c r="BY206" s="735">
        <f>_xlfn.XLOOKUP(Est_NIM[[#This Row],[DEAL_BUY_ID]],BS!AL:AL,BS!AU:AU,_xlfn.XLOOKUP(Est_NIM[[#This Row],[DEAL_BUY_ID]],BS!BA:BA,BS!BJ:BJ,,0),0)</f>
        <v>6.6</v>
      </c>
      <c r="BZ206" s="534">
        <f>Est_NIM[[#This Row],[QUANT]]*Est_NIM[[#This Row],[YIELD]]</f>
        <v>19800000</v>
      </c>
      <c r="CA206" s="128"/>
      <c r="CB206" s="128"/>
      <c r="CE206" s="331"/>
      <c r="CF206" s="331"/>
      <c r="CG206" s="331"/>
      <c r="CH206">
        <v>3730</v>
      </c>
      <c r="CI206">
        <v>14282</v>
      </c>
      <c r="CS206" s="128"/>
      <c r="CT206" s="128"/>
      <c r="CU206" s="128"/>
      <c r="CV206" s="128"/>
      <c r="CW206" s="128"/>
      <c r="CX206" s="128"/>
      <c r="CY206" s="128"/>
      <c r="CZ206" s="128"/>
      <c r="DA206" s="128"/>
      <c r="DB206" s="128"/>
      <c r="DC206" s="128"/>
      <c r="DD206" s="128"/>
      <c r="DE206" s="128"/>
      <c r="DF206" s="128"/>
      <c r="DG206" s="128"/>
      <c r="DH206" s="128"/>
      <c r="DI206" s="128"/>
      <c r="DJ206" s="128"/>
      <c r="DK206" s="128"/>
      <c r="DL206" s="128"/>
      <c r="DM206" s="128"/>
      <c r="DN206" s="128"/>
      <c r="DO206" s="128"/>
      <c r="DP206" s="128"/>
      <c r="DQ206" s="128"/>
      <c r="DR206" s="128"/>
      <c r="DS206" s="128"/>
      <c r="DT206" s="128"/>
      <c r="DU206" s="128"/>
      <c r="DV206" s="128"/>
      <c r="DW206" s="128"/>
      <c r="DX206" s="128"/>
      <c r="DY206" s="128"/>
      <c r="DZ206" s="128"/>
      <c r="EA206" s="128"/>
      <c r="EB206" s="128"/>
      <c r="EC206" s="128"/>
      <c r="ED206" s="128"/>
      <c r="EE206" s="530"/>
      <c r="EF206" s="530"/>
      <c r="EG206" s="530"/>
      <c r="EH206" s="530"/>
      <c r="EI206" s="530"/>
      <c r="EJ206" s="530"/>
      <c r="EK206" s="530"/>
      <c r="EL206" s="530"/>
      <c r="EM206" s="530"/>
      <c r="EN206" s="530"/>
      <c r="EO206" s="530"/>
      <c r="EP206" s="530"/>
      <c r="EQ206" s="530"/>
      <c r="ER206" s="530"/>
      <c r="ES206" s="530"/>
      <c r="ET206" s="530"/>
      <c r="EU206" s="530"/>
      <c r="EV206" s="530"/>
      <c r="EW206" s="530"/>
      <c r="EX206" s="530"/>
      <c r="EY206" s="530"/>
      <c r="EZ206" s="530"/>
      <c r="FA206" s="530"/>
      <c r="FB206" s="530"/>
      <c r="FC206" s="530"/>
      <c r="FD206" s="530"/>
      <c r="FE206" s="530"/>
      <c r="FF206" s="530"/>
      <c r="FG206" s="530"/>
      <c r="FH206" s="530"/>
      <c r="FI206" s="530"/>
      <c r="FJ206" s="530"/>
      <c r="FK206" s="530"/>
      <c r="FL206" s="530"/>
      <c r="FM206" s="530"/>
      <c r="FN206" s="530"/>
      <c r="FO206" s="530"/>
      <c r="FP206" s="530"/>
      <c r="FQ206" s="530"/>
      <c r="GQ206" s="128"/>
      <c r="GR206" s="128"/>
      <c r="GS206" s="128"/>
      <c r="GT206" s="128"/>
      <c r="GU206" s="128"/>
      <c r="GV206" s="128"/>
      <c r="GW206" s="128"/>
      <c r="GX206" s="128"/>
      <c r="GY206" s="128"/>
      <c r="GZ206" s="128"/>
      <c r="HA206" s="128"/>
      <c r="HB206" s="128"/>
      <c r="HC206" s="128"/>
      <c r="HD206" s="128"/>
      <c r="HE206" s="128"/>
      <c r="HF206" s="128"/>
      <c r="HG206" s="128"/>
      <c r="HH206" s="128"/>
      <c r="HI206" s="128"/>
      <c r="HJ206" s="128"/>
      <c r="HK206" s="128"/>
      <c r="HL206" s="128"/>
      <c r="HM206" s="128"/>
      <c r="HN206" s="128"/>
      <c r="HO206" s="128"/>
      <c r="HP206" s="128"/>
      <c r="HQ206" s="128"/>
      <c r="HR206" s="128"/>
      <c r="HS206" s="128"/>
      <c r="HT206" s="128"/>
      <c r="HU206" s="128"/>
      <c r="HV206" s="128"/>
      <c r="HW206" s="128"/>
      <c r="HX206" s="128"/>
      <c r="HY206" s="128"/>
      <c r="HZ206" s="128"/>
      <c r="IA206" s="128"/>
      <c r="IB206" s="128"/>
      <c r="IC206" s="128"/>
    </row>
    <row r="207" spans="41:237" x14ac:dyDescent="0.3">
      <c r="AO207" s="128">
        <v>48596</v>
      </c>
      <c r="AP207" s="128" t="s">
        <v>3026</v>
      </c>
      <c r="AQ207" s="128" t="s">
        <v>824</v>
      </c>
      <c r="AR207" s="375" t="s">
        <v>3594</v>
      </c>
      <c r="AS207" s="375">
        <v>46041</v>
      </c>
      <c r="AT207" s="375">
        <v>46230</v>
      </c>
      <c r="AU207" s="530">
        <v>74129</v>
      </c>
      <c r="AV207" s="128">
        <v>49945</v>
      </c>
      <c r="AW207" s="530">
        <v>2500000</v>
      </c>
      <c r="AX207" s="534">
        <f>_xlfn.XLOOKUP(Sell_unvalid[[#This Row],[DEAL_BUY_ID]],BS!BA:BA,BS!BE:BE,,0)</f>
        <v>70936</v>
      </c>
      <c r="AY207" s="534">
        <f>_xlfn.XLOOKUP(Sell_unvalid[[#This Row],[BOND_CODE]],FNRP!D:D,FNRP!I:I,_xlfn.XLOOKUP(Sell_unvalid[[#This Row],[BOND_CODE]],FNRP!AV:AV,FNRP!BA:BA,,0),0)</f>
        <v>70844</v>
      </c>
      <c r="AZ207" s="534">
        <f>_xlfn.XLOOKUP(Sell_unvalid[[#This Row],[DEAL_BUY_ID]],BS!BA:BA,BS!BQ:BQ,,0)*Sell_unvalid[[#This Row],[QUANTITY]]</f>
        <v>-72161922678.75267</v>
      </c>
      <c r="BA207" s="534">
        <f>(Sell_unvalid[[#This Row],[Giá MtM]]-10^5)*Sell_unvalid[[#This Row],[QUANTITY]]-Sell_unvalid[[#This Row],[PTCK remain]]</f>
        <v>-728077321.24732971</v>
      </c>
      <c r="BB207" s="534">
        <f>(Sell_unvalid[[#This Row],[PRICE]]-10^5)*Sell_unvalid[[#This Row],[QUANTITY]]-Sell_unvalid[[#This Row],[PTCK remain]]</f>
        <v>7484422678.7526703</v>
      </c>
      <c r="BC207" s="534" t="str">
        <f>IF(AND(Sell_unvalid[[#This Row],[VALUE_DATE]]&lt;=RPT,Sell_unvalid[[#This Row],[TRANSACTION_STATUS]]="N"),"Check","Ok")</f>
        <v>Ok</v>
      </c>
      <c r="BD207" s="763"/>
      <c r="BE207" s="534"/>
      <c r="BF207" s="128"/>
      <c r="BG207" s="128"/>
      <c r="BH207" s="375"/>
      <c r="BJ207" s="375"/>
      <c r="BL207" s="530"/>
      <c r="BP207" s="534"/>
      <c r="BR207" s="727"/>
      <c r="BS207" s="128"/>
      <c r="BT207" s="848"/>
      <c r="BU207" s="849">
        <v>46245</v>
      </c>
      <c r="BV207" s="848">
        <v>50342</v>
      </c>
      <c r="BW207" s="848" t="s">
        <v>3901</v>
      </c>
      <c r="BX207" s="530">
        <v>3000000</v>
      </c>
      <c r="BY207" s="735">
        <f>_xlfn.XLOOKUP(Est_NIM[[#This Row],[DEAL_BUY_ID]],BS!AL:AL,BS!AU:AU,_xlfn.XLOOKUP(Est_NIM[[#This Row],[DEAL_BUY_ID]],BS!BA:BA,BS!BJ:BJ,,0),0)</f>
        <v>3</v>
      </c>
      <c r="BZ207" s="534">
        <f>Est_NIM[[#This Row],[QUANT]]*Est_NIM[[#This Row],[YIELD]]</f>
        <v>9000000</v>
      </c>
      <c r="CA207" s="128"/>
      <c r="CB207" s="128"/>
      <c r="CE207" s="331"/>
      <c r="CF207" s="331"/>
      <c r="CG207" s="331"/>
      <c r="CH207">
        <v>3730</v>
      </c>
      <c r="CI207">
        <v>14282</v>
      </c>
      <c r="CS207" s="128"/>
      <c r="CT207" s="128"/>
      <c r="CU207" s="128"/>
      <c r="CV207" s="128"/>
      <c r="CW207" s="128"/>
      <c r="CX207" s="128"/>
      <c r="CY207" s="128"/>
      <c r="CZ207" s="128"/>
      <c r="DA207" s="128"/>
      <c r="DB207" s="128"/>
      <c r="DC207" s="128"/>
      <c r="DD207" s="128"/>
      <c r="DE207" s="128"/>
      <c r="DF207" s="128"/>
      <c r="DG207" s="128"/>
      <c r="DH207" s="128"/>
      <c r="DI207" s="128"/>
      <c r="DJ207" s="128"/>
      <c r="DK207" s="128"/>
      <c r="DL207" s="128"/>
      <c r="DM207" s="128"/>
      <c r="DN207" s="128"/>
      <c r="DO207" s="128"/>
      <c r="DP207" s="128"/>
      <c r="DQ207" s="128"/>
      <c r="DR207" s="128"/>
      <c r="DS207" s="128"/>
      <c r="DT207" s="128"/>
      <c r="DU207" s="128"/>
      <c r="DV207" s="128"/>
      <c r="DW207" s="128"/>
      <c r="DX207" s="128"/>
      <c r="DY207" s="128"/>
      <c r="DZ207" s="128"/>
      <c r="EA207" s="128"/>
      <c r="EB207" s="128"/>
      <c r="EC207" s="128"/>
      <c r="ED207" s="128"/>
      <c r="EE207" s="530"/>
      <c r="EF207" s="530"/>
      <c r="EG207" s="530"/>
      <c r="EH207" s="530"/>
      <c r="EI207" s="530"/>
      <c r="EJ207" s="530"/>
      <c r="EK207" s="530"/>
      <c r="EL207" s="530"/>
      <c r="EM207" s="530"/>
      <c r="EN207" s="530"/>
      <c r="EO207" s="530"/>
      <c r="EP207" s="530"/>
      <c r="EQ207" s="530"/>
      <c r="ER207" s="530"/>
      <c r="ES207" s="530"/>
      <c r="ET207" s="530"/>
      <c r="EU207" s="530"/>
      <c r="EV207" s="530"/>
      <c r="EW207" s="530"/>
      <c r="EX207" s="530"/>
      <c r="EY207" s="530"/>
      <c r="EZ207" s="530"/>
      <c r="FA207" s="530"/>
      <c r="FB207" s="530"/>
      <c r="FC207" s="530"/>
      <c r="FD207" s="530"/>
      <c r="FE207" s="530"/>
      <c r="FF207" s="530"/>
      <c r="FG207" s="530"/>
      <c r="FH207" s="530"/>
      <c r="FI207" s="530"/>
      <c r="FJ207" s="530"/>
      <c r="FK207" s="530"/>
      <c r="FL207" s="530"/>
      <c r="FM207" s="530"/>
      <c r="FN207" s="530"/>
      <c r="FO207" s="530"/>
      <c r="FP207" s="530"/>
      <c r="FQ207" s="530"/>
      <c r="GQ207" s="128"/>
      <c r="GR207" s="128"/>
      <c r="GS207" s="128"/>
      <c r="GT207" s="128"/>
      <c r="GU207" s="128"/>
      <c r="GV207" s="128"/>
      <c r="GW207" s="128"/>
      <c r="GX207" s="128"/>
      <c r="GY207" s="128"/>
      <c r="GZ207" s="128"/>
      <c r="HA207" s="128"/>
      <c r="HB207" s="128"/>
      <c r="HC207" s="128"/>
      <c r="HD207" s="128"/>
      <c r="HE207" s="128"/>
      <c r="HF207" s="128"/>
      <c r="HG207" s="128"/>
      <c r="HH207" s="128"/>
      <c r="HI207" s="128"/>
      <c r="HJ207" s="128"/>
      <c r="HK207" s="128"/>
      <c r="HL207" s="128"/>
      <c r="HM207" s="128"/>
      <c r="HN207" s="128"/>
      <c r="HO207" s="128"/>
      <c r="HP207" s="128"/>
      <c r="HQ207" s="128"/>
      <c r="HR207" s="128"/>
      <c r="HS207" s="128"/>
      <c r="HT207" s="128"/>
      <c r="HU207" s="128"/>
      <c r="HV207" s="128"/>
      <c r="HW207" s="128"/>
      <c r="HX207" s="128"/>
      <c r="HY207" s="128"/>
      <c r="HZ207" s="128"/>
      <c r="IA207" s="128"/>
      <c r="IB207" s="128"/>
      <c r="IC207" s="128"/>
    </row>
    <row r="208" spans="41:237" x14ac:dyDescent="0.3">
      <c r="AO208" s="128">
        <v>48596</v>
      </c>
      <c r="AP208" s="128" t="s">
        <v>3026</v>
      </c>
      <c r="AQ208" s="128" t="s">
        <v>824</v>
      </c>
      <c r="AR208" s="375" t="s">
        <v>3594</v>
      </c>
      <c r="AS208" s="375">
        <v>46041</v>
      </c>
      <c r="AT208" s="375">
        <v>46230</v>
      </c>
      <c r="AU208" s="530">
        <v>74129</v>
      </c>
      <c r="AV208" s="128">
        <v>49995</v>
      </c>
      <c r="AW208" s="530">
        <v>1300000</v>
      </c>
      <c r="AX208" s="534">
        <f>_xlfn.XLOOKUP(Sell_unvalid[[#This Row],[DEAL_BUY_ID]],BS!BA:BA,BS!BE:BE,,0)</f>
        <v>73946</v>
      </c>
      <c r="AY208" s="534">
        <f>_xlfn.XLOOKUP(Sell_unvalid[[#This Row],[BOND_CODE]],FNRP!D:D,FNRP!I:I,_xlfn.XLOOKUP(Sell_unvalid[[#This Row],[BOND_CODE]],FNRP!AV:AV,FNRP!BA:BA,,0),0)</f>
        <v>70844</v>
      </c>
      <c r="AZ208" s="534">
        <f>_xlfn.XLOOKUP(Sell_unvalid[[#This Row],[DEAL_BUY_ID]],BS!BA:BA,BS!BQ:BQ,,0)*Sell_unvalid[[#This Row],[QUANTITY]]</f>
        <v>-33708305787.405762</v>
      </c>
      <c r="BA208" s="534">
        <f>(Sell_unvalid[[#This Row],[Giá MtM]]-10^5)*Sell_unvalid[[#This Row],[QUANTITY]]-Sell_unvalid[[#This Row],[PTCK remain]]</f>
        <v>-4194494212.5942383</v>
      </c>
      <c r="BB208" s="534">
        <f>(Sell_unvalid[[#This Row],[PRICE]]-10^5)*Sell_unvalid[[#This Row],[QUANTITY]]-Sell_unvalid[[#This Row],[PTCK remain]]</f>
        <v>76005787.405761719</v>
      </c>
      <c r="BC208" s="534" t="str">
        <f>IF(AND(Sell_unvalid[[#This Row],[VALUE_DATE]]&lt;=RPT,Sell_unvalid[[#This Row],[TRANSACTION_STATUS]]="N"),"Check","Ok")</f>
        <v>Ok</v>
      </c>
      <c r="BD208" s="763"/>
      <c r="BE208" s="534"/>
      <c r="BF208" s="128"/>
      <c r="BG208" s="128"/>
      <c r="BH208" s="375"/>
      <c r="BJ208" s="375"/>
      <c r="BL208" s="530"/>
      <c r="BP208" s="534"/>
      <c r="BR208" s="727"/>
      <c r="BS208" s="128"/>
      <c r="BT208" s="848"/>
      <c r="BU208" s="849">
        <v>46245</v>
      </c>
      <c r="BV208" s="848">
        <v>50344</v>
      </c>
      <c r="BW208" s="848" t="s">
        <v>3901</v>
      </c>
      <c r="BX208" s="530">
        <v>2000000</v>
      </c>
      <c r="BY208" s="735">
        <f>_xlfn.XLOOKUP(Est_NIM[[#This Row],[DEAL_BUY_ID]],BS!AL:AL,BS!AU:AU,_xlfn.XLOOKUP(Est_NIM[[#This Row],[DEAL_BUY_ID]],BS!BA:BA,BS!BJ:BJ,,0),0)</f>
        <v>3</v>
      </c>
      <c r="BZ208" s="534">
        <f>Est_NIM[[#This Row],[QUANT]]*Est_NIM[[#This Row],[YIELD]]</f>
        <v>6000000</v>
      </c>
      <c r="CA208" s="128"/>
      <c r="CB208" s="128"/>
      <c r="CE208" s="331"/>
      <c r="CF208" s="331"/>
      <c r="CG208" s="331"/>
      <c r="CH208">
        <v>3730</v>
      </c>
      <c r="CI208">
        <v>14282</v>
      </c>
      <c r="CS208" s="128"/>
      <c r="CT208" s="128"/>
      <c r="CU208" s="128"/>
      <c r="CV208" s="128"/>
      <c r="CW208" s="128"/>
      <c r="CX208" s="128"/>
      <c r="CY208" s="128"/>
      <c r="CZ208" s="128"/>
      <c r="DA208" s="128"/>
      <c r="DB208" s="128"/>
      <c r="DC208" s="128"/>
      <c r="DD208" s="128"/>
      <c r="DE208" s="128"/>
      <c r="DF208" s="128"/>
      <c r="DG208" s="128"/>
      <c r="DH208" s="128"/>
      <c r="DI208" s="128"/>
      <c r="DJ208" s="128"/>
      <c r="DK208" s="128"/>
      <c r="DL208" s="128"/>
      <c r="DM208" s="128"/>
      <c r="DN208" s="128"/>
      <c r="DO208" s="128"/>
      <c r="DP208" s="128"/>
      <c r="DQ208" s="128"/>
      <c r="DR208" s="128"/>
      <c r="DS208" s="128"/>
      <c r="DT208" s="128"/>
      <c r="DU208" s="128"/>
      <c r="DV208" s="128"/>
      <c r="DW208" s="128"/>
      <c r="DX208" s="128"/>
      <c r="DY208" s="128"/>
      <c r="DZ208" s="128"/>
      <c r="EA208" s="128"/>
      <c r="EB208" s="128"/>
      <c r="EC208" s="128"/>
      <c r="ED208" s="128"/>
      <c r="EE208" s="530"/>
      <c r="EF208" s="530"/>
      <c r="EG208" s="530"/>
      <c r="EH208" s="530"/>
      <c r="EI208" s="530"/>
      <c r="EJ208" s="530"/>
      <c r="EK208" s="530"/>
      <c r="EL208" s="530"/>
      <c r="EM208" s="530"/>
      <c r="EN208" s="530"/>
      <c r="EO208" s="530"/>
      <c r="EP208" s="530"/>
      <c r="EQ208" s="530"/>
      <c r="ER208" s="530"/>
      <c r="ES208" s="530"/>
      <c r="ET208" s="530"/>
      <c r="EU208" s="530"/>
      <c r="EV208" s="530"/>
      <c r="EW208" s="530"/>
      <c r="EX208" s="530"/>
      <c r="EY208" s="530"/>
      <c r="EZ208" s="530"/>
      <c r="FA208" s="530"/>
      <c r="FB208" s="530"/>
      <c r="FC208" s="530"/>
      <c r="FD208" s="530"/>
      <c r="FE208" s="530"/>
      <c r="FF208" s="530"/>
      <c r="FG208" s="530"/>
      <c r="FH208" s="530"/>
      <c r="FI208" s="530"/>
      <c r="FJ208" s="530"/>
      <c r="FK208" s="530"/>
      <c r="FL208" s="530"/>
      <c r="FM208" s="530"/>
      <c r="FN208" s="530"/>
      <c r="FO208" s="530"/>
      <c r="FP208" s="530"/>
      <c r="FQ208" s="530"/>
      <c r="GQ208" s="128"/>
      <c r="GR208" s="128"/>
      <c r="GS208" s="128"/>
      <c r="GT208" s="128"/>
      <c r="GU208" s="128"/>
      <c r="GV208" s="128"/>
      <c r="GW208" s="128"/>
      <c r="GX208" s="128"/>
      <c r="GY208" s="128"/>
      <c r="GZ208" s="128"/>
      <c r="HA208" s="128"/>
      <c r="HB208" s="128"/>
      <c r="HC208" s="128"/>
      <c r="HD208" s="128"/>
      <c r="HE208" s="128"/>
      <c r="HF208" s="128"/>
      <c r="HG208" s="128"/>
      <c r="HH208" s="128"/>
      <c r="HI208" s="128"/>
      <c r="HJ208" s="128"/>
      <c r="HK208" s="128"/>
      <c r="HL208" s="128"/>
      <c r="HM208" s="128"/>
      <c r="HN208" s="128"/>
      <c r="HO208" s="128"/>
      <c r="HP208" s="128"/>
      <c r="HQ208" s="128"/>
      <c r="HR208" s="128"/>
      <c r="HS208" s="128"/>
      <c r="HT208" s="128"/>
      <c r="HU208" s="128"/>
      <c r="HV208" s="128"/>
      <c r="HW208" s="128"/>
      <c r="HX208" s="128"/>
      <c r="HY208" s="128"/>
      <c r="HZ208" s="128"/>
      <c r="IA208" s="128"/>
      <c r="IB208" s="128"/>
      <c r="IC208" s="128"/>
    </row>
    <row r="209" spans="41:237" x14ac:dyDescent="0.3">
      <c r="AO209" s="128">
        <v>48596</v>
      </c>
      <c r="AP209" s="128" t="s">
        <v>3026</v>
      </c>
      <c r="AQ209" s="128" t="s">
        <v>824</v>
      </c>
      <c r="AR209" s="128" t="s">
        <v>3594</v>
      </c>
      <c r="AS209" s="375">
        <v>46041</v>
      </c>
      <c r="AT209" s="375">
        <v>46230</v>
      </c>
      <c r="AU209" s="530">
        <v>74129</v>
      </c>
      <c r="AV209" s="128">
        <v>50205</v>
      </c>
      <c r="AW209" s="530">
        <v>2250000</v>
      </c>
      <c r="AX209" s="534">
        <f>_xlfn.XLOOKUP(Sell_unvalid[[#This Row],[DEAL_BUY_ID]],BS!BA:BA,BS!BE:BE,,0)</f>
        <v>74721</v>
      </c>
      <c r="AY209" s="534">
        <f>_xlfn.XLOOKUP(Sell_unvalid[[#This Row],[BOND_CODE]],FNRP!D:D,FNRP!I:I,_xlfn.XLOOKUP(Sell_unvalid[[#This Row],[BOND_CODE]],FNRP!AV:AV,FNRP!BA:BA,,0),0)</f>
        <v>70844</v>
      </c>
      <c r="AZ209" s="534">
        <f>_xlfn.XLOOKUP(Sell_unvalid[[#This Row],[DEAL_BUY_ID]],BS!BA:BA,BS!BQ:BQ,,0)*Sell_unvalid[[#This Row],[QUANTITY]]</f>
        <v>-56724469011.300247</v>
      </c>
      <c r="BA209" s="534">
        <f>(Sell_unvalid[[#This Row],[Giá MtM]]-10^5)*Sell_unvalid[[#This Row],[QUANTITY]]-Sell_unvalid[[#This Row],[PTCK remain]]</f>
        <v>-8876530988.6997528</v>
      </c>
      <c r="BB209" s="534">
        <f>(Sell_unvalid[[#This Row],[PRICE]]-10^5)*Sell_unvalid[[#This Row],[QUANTITY]]-Sell_unvalid[[#This Row],[PTCK remain]]</f>
        <v>-1485280988.6997528</v>
      </c>
      <c r="BC209" s="534" t="str">
        <f>IF(AND(Sell_unvalid[[#This Row],[VALUE_DATE]]&lt;=RPT,Sell_unvalid[[#This Row],[TRANSACTION_STATUS]]="N"),"Check","Ok")</f>
        <v>Ok</v>
      </c>
      <c r="BD209" s="763"/>
      <c r="BE209" s="534"/>
      <c r="BF209" s="128"/>
      <c r="BG209" s="128"/>
      <c r="BH209" s="375"/>
      <c r="BJ209" s="375"/>
      <c r="BL209" s="530"/>
      <c r="BP209" s="534"/>
      <c r="BR209" s="727"/>
      <c r="BS209" s="128"/>
      <c r="BT209" s="848"/>
      <c r="BU209" s="849">
        <v>46245</v>
      </c>
      <c r="BV209" s="848">
        <v>50346</v>
      </c>
      <c r="BW209" s="848" t="s">
        <v>3901</v>
      </c>
      <c r="BX209" s="530">
        <v>500000</v>
      </c>
      <c r="BY209" s="735">
        <f>_xlfn.XLOOKUP(Est_NIM[[#This Row],[DEAL_BUY_ID]],BS!AL:AL,BS!AU:AU,_xlfn.XLOOKUP(Est_NIM[[#This Row],[DEAL_BUY_ID]],BS!BA:BA,BS!BJ:BJ,,0),0)</f>
        <v>2.4</v>
      </c>
      <c r="BZ209" s="534">
        <f>Est_NIM[[#This Row],[QUANT]]*Est_NIM[[#This Row],[YIELD]]</f>
        <v>1200000</v>
      </c>
      <c r="CA209" s="128"/>
      <c r="CB209" s="128"/>
      <c r="CE209" s="331"/>
      <c r="CF209" s="331"/>
      <c r="CG209" s="331"/>
      <c r="CH209">
        <v>3730</v>
      </c>
      <c r="CI209">
        <v>14282</v>
      </c>
      <c r="CS209" s="128"/>
      <c r="CT209" s="128"/>
      <c r="CU209" s="128"/>
      <c r="CV209" s="128"/>
      <c r="CW209" s="128"/>
      <c r="CX209" s="128"/>
      <c r="CY209" s="128"/>
      <c r="CZ209" s="128"/>
      <c r="DA209" s="128"/>
      <c r="DB209" s="128"/>
      <c r="DC209" s="128"/>
      <c r="DD209" s="128"/>
      <c r="DE209" s="128"/>
      <c r="DF209" s="128"/>
      <c r="DG209" s="128"/>
      <c r="DH209" s="128"/>
      <c r="DI209" s="128"/>
      <c r="DJ209" s="128"/>
      <c r="DK209" s="128"/>
      <c r="DL209" s="128"/>
      <c r="DM209" s="128"/>
      <c r="DN209" s="128"/>
      <c r="DO209" s="128"/>
      <c r="DP209" s="128"/>
      <c r="DQ209" s="128"/>
      <c r="DR209" s="128"/>
      <c r="DS209" s="128"/>
      <c r="DT209" s="128"/>
      <c r="DU209" s="128"/>
      <c r="DV209" s="128"/>
      <c r="DW209" s="128"/>
      <c r="DX209" s="128"/>
      <c r="DY209" s="128"/>
      <c r="DZ209" s="128"/>
      <c r="EA209" s="128"/>
      <c r="EB209" s="128"/>
      <c r="EC209" s="128"/>
      <c r="ED209" s="128"/>
      <c r="EE209" s="530"/>
      <c r="EF209" s="530"/>
      <c r="EG209" s="530"/>
      <c r="EH209" s="530"/>
      <c r="EI209" s="530"/>
      <c r="EJ209" s="530"/>
      <c r="EK209" s="530"/>
      <c r="EL209" s="530"/>
      <c r="EM209" s="530"/>
      <c r="EN209" s="530"/>
      <c r="EO209" s="530"/>
      <c r="EP209" s="530"/>
      <c r="EQ209" s="530"/>
      <c r="ER209" s="530"/>
      <c r="ES209" s="530"/>
      <c r="ET209" s="530"/>
      <c r="EU209" s="530"/>
      <c r="EV209" s="530"/>
      <c r="EW209" s="530"/>
      <c r="EX209" s="530"/>
      <c r="EY209" s="530"/>
      <c r="EZ209" s="530"/>
      <c r="FA209" s="530"/>
      <c r="FB209" s="530"/>
      <c r="FC209" s="530"/>
      <c r="FD209" s="530"/>
      <c r="FE209" s="530"/>
      <c r="FF209" s="530"/>
      <c r="FG209" s="530"/>
      <c r="FH209" s="530"/>
      <c r="FI209" s="530"/>
      <c r="FJ209" s="530"/>
      <c r="FK209" s="530"/>
      <c r="FL209" s="530"/>
      <c r="FM209" s="530"/>
      <c r="FN209" s="530"/>
      <c r="FO209" s="530"/>
      <c r="FP209" s="530"/>
      <c r="FQ209" s="530"/>
      <c r="GQ209" s="128"/>
      <c r="GR209" s="128"/>
      <c r="GS209" s="128"/>
      <c r="GT209" s="128"/>
      <c r="GU209" s="128"/>
      <c r="GV209" s="128"/>
      <c r="GW209" s="128"/>
      <c r="GX209" s="128"/>
      <c r="GY209" s="128"/>
      <c r="GZ209" s="128"/>
      <c r="HA209" s="128"/>
      <c r="HB209" s="128"/>
      <c r="HC209" s="128"/>
      <c r="HD209" s="128"/>
      <c r="HE209" s="128"/>
      <c r="HF209" s="128"/>
      <c r="HG209" s="128"/>
      <c r="HH209" s="128"/>
      <c r="HI209" s="128"/>
      <c r="HJ209" s="128"/>
      <c r="HK209" s="128"/>
      <c r="HL209" s="128"/>
      <c r="HM209" s="128"/>
      <c r="HN209" s="128"/>
      <c r="HO209" s="128"/>
      <c r="HP209" s="128"/>
      <c r="HQ209" s="128"/>
      <c r="HR209" s="128"/>
      <c r="HS209" s="128"/>
      <c r="HT209" s="128"/>
      <c r="HU209" s="128"/>
      <c r="HV209" s="128"/>
      <c r="HW209" s="128"/>
      <c r="HX209" s="128"/>
      <c r="HY209" s="128"/>
      <c r="HZ209" s="128"/>
      <c r="IA209" s="128"/>
      <c r="IB209" s="128"/>
      <c r="IC209" s="128"/>
    </row>
    <row r="210" spans="41:237" x14ac:dyDescent="0.3">
      <c r="AO210" s="128">
        <v>50204</v>
      </c>
      <c r="AP210" s="128" t="s">
        <v>3026</v>
      </c>
      <c r="AQ210" s="128" t="s">
        <v>824</v>
      </c>
      <c r="AR210" s="128" t="s">
        <v>3594</v>
      </c>
      <c r="AS210" s="375">
        <v>46223</v>
      </c>
      <c r="AT210" s="375">
        <v>46225</v>
      </c>
      <c r="AU210" s="530">
        <v>74743</v>
      </c>
      <c r="AV210" s="128">
        <v>49906</v>
      </c>
      <c r="AW210" s="530">
        <v>2000000</v>
      </c>
      <c r="AX210" s="534">
        <f>_xlfn.XLOOKUP(Sell_unvalid[[#This Row],[DEAL_BUY_ID]],BS!BA:BA,BS!BE:BE,,0)</f>
        <v>74692</v>
      </c>
      <c r="AY210" s="534">
        <f>_xlfn.XLOOKUP(Sell_unvalid[[#This Row],[BOND_CODE]],FNRP!D:D,FNRP!I:I,_xlfn.XLOOKUP(Sell_unvalid[[#This Row],[BOND_CODE]],FNRP!AV:AV,FNRP!BA:BA,,0),0)</f>
        <v>70844</v>
      </c>
      <c r="AZ210" s="534">
        <f>_xlfn.XLOOKUP(Sell_unvalid[[#This Row],[DEAL_BUY_ID]],BS!BA:BA,BS!BQ:BQ,,0)*Sell_unvalid[[#This Row],[QUANTITY]]</f>
        <v>-50275263692.515877</v>
      </c>
      <c r="BA210" s="534">
        <f>(Sell_unvalid[[#This Row],[Giá MtM]]-10^5)*Sell_unvalid[[#This Row],[QUANTITY]]-Sell_unvalid[[#This Row],[PTCK remain]]</f>
        <v>-8036736307.4841232</v>
      </c>
      <c r="BB210" s="534">
        <f>(Sell_unvalid[[#This Row],[PRICE]]-10^5)*Sell_unvalid[[#This Row],[QUANTITY]]-Sell_unvalid[[#This Row],[PTCK remain]]</f>
        <v>-238736307.48412323</v>
      </c>
      <c r="BC210" s="534" t="str">
        <f>IF(AND(Sell_unvalid[[#This Row],[VALUE_DATE]]&lt;=RPT,Sell_unvalid[[#This Row],[TRANSACTION_STATUS]]="N"),"Check","Ok")</f>
        <v>Ok</v>
      </c>
      <c r="BD210" s="763"/>
      <c r="BE210" s="534"/>
      <c r="BF210" s="128"/>
      <c r="BG210" s="128"/>
      <c r="BH210" s="375"/>
      <c r="BJ210" s="375"/>
      <c r="BL210" s="530"/>
      <c r="BP210" s="534"/>
      <c r="BR210" s="727"/>
      <c r="BS210" s="128"/>
      <c r="BT210" s="848"/>
      <c r="BU210" s="849">
        <v>46246</v>
      </c>
      <c r="BV210" s="848">
        <v>50387</v>
      </c>
      <c r="BW210" s="848" t="s">
        <v>3901</v>
      </c>
      <c r="BX210" s="530">
        <v>2000000</v>
      </c>
      <c r="BY210" s="735">
        <f>_xlfn.XLOOKUP(Est_NIM[[#This Row],[DEAL_BUY_ID]],BS!AL:AL,BS!AU:AU,_xlfn.XLOOKUP(Est_NIM[[#This Row],[DEAL_BUY_ID]],BS!BA:BA,BS!BJ:BJ,,0),0)</f>
        <v>3.4</v>
      </c>
      <c r="BZ210" s="534">
        <f>Est_NIM[[#This Row],[QUANT]]*Est_NIM[[#This Row],[YIELD]]</f>
        <v>6800000</v>
      </c>
      <c r="CA210" s="128"/>
      <c r="CB210" s="128"/>
      <c r="CE210" s="331"/>
      <c r="CF210" s="331"/>
      <c r="CG210" s="331"/>
      <c r="CH210">
        <v>3730</v>
      </c>
      <c r="CI210">
        <v>14282</v>
      </c>
      <c r="CU210" s="128"/>
      <c r="CV210" s="128"/>
      <c r="CW210" s="128"/>
      <c r="CX210" s="128"/>
      <c r="CY210" s="128"/>
      <c r="CZ210" s="128"/>
      <c r="DA210" s="128"/>
      <c r="DB210" s="128"/>
      <c r="DC210" s="128"/>
      <c r="DD210" s="128"/>
      <c r="DE210" s="128"/>
      <c r="DF210" s="128"/>
      <c r="DG210" s="128"/>
      <c r="DH210" s="128"/>
      <c r="DI210" s="128"/>
      <c r="DJ210" s="128"/>
      <c r="DK210" s="128"/>
      <c r="DL210" s="128"/>
      <c r="DM210" s="128"/>
      <c r="DN210" s="128"/>
      <c r="DO210" s="128"/>
      <c r="DP210" s="128"/>
      <c r="DQ210" s="128"/>
      <c r="DR210" s="128"/>
      <c r="DS210" s="128"/>
      <c r="DT210" s="128"/>
      <c r="DU210" s="128"/>
      <c r="DV210" s="128"/>
      <c r="DW210" s="128"/>
      <c r="DX210" s="128"/>
      <c r="DY210" s="128"/>
      <c r="DZ210" s="128"/>
      <c r="EA210" s="128"/>
      <c r="EB210" s="128"/>
      <c r="EC210" s="128"/>
      <c r="ED210" s="128"/>
      <c r="EE210" s="128"/>
      <c r="EF210" s="128"/>
      <c r="EG210" s="530"/>
      <c r="EH210" s="530"/>
      <c r="EI210" s="530"/>
      <c r="EJ210" s="530"/>
      <c r="EK210" s="530"/>
      <c r="EL210" s="530"/>
      <c r="EM210" s="530"/>
      <c r="EN210" s="530"/>
      <c r="EO210" s="530"/>
      <c r="EP210" s="530"/>
      <c r="EQ210" s="530"/>
      <c r="ER210" s="530"/>
      <c r="ES210" s="530"/>
      <c r="ET210" s="530"/>
      <c r="EU210" s="530"/>
      <c r="EV210" s="530"/>
      <c r="EW210" s="530"/>
      <c r="EX210" s="530"/>
      <c r="EY210" s="530"/>
      <c r="EZ210" s="530"/>
      <c r="FA210" s="530"/>
      <c r="FB210" s="530"/>
      <c r="FC210" s="530"/>
      <c r="FD210" s="530"/>
      <c r="FE210" s="530"/>
      <c r="FF210" s="530"/>
      <c r="FG210" s="530"/>
      <c r="FH210" s="530"/>
      <c r="FI210" s="530"/>
      <c r="FJ210" s="530"/>
      <c r="FK210" s="530"/>
      <c r="FL210" s="530"/>
      <c r="FM210" s="530"/>
      <c r="FN210" s="530"/>
      <c r="FO210" s="530"/>
      <c r="FP210" s="530"/>
      <c r="FQ210" s="530"/>
      <c r="GS210" s="128"/>
      <c r="GT210" s="128"/>
      <c r="GU210" s="128"/>
      <c r="GV210" s="128"/>
      <c r="GW210" s="128"/>
      <c r="GX210" s="128"/>
      <c r="GY210" s="128"/>
      <c r="GZ210" s="128"/>
      <c r="HA210" s="128"/>
      <c r="HB210" s="128"/>
      <c r="HC210" s="128"/>
      <c r="HD210" s="128"/>
      <c r="HE210" s="128"/>
      <c r="HF210" s="128"/>
      <c r="HG210" s="128"/>
      <c r="HH210" s="128"/>
      <c r="HI210" s="128"/>
      <c r="HJ210" s="128"/>
      <c r="HK210" s="128"/>
      <c r="HL210" s="128"/>
      <c r="HM210" s="128"/>
      <c r="HN210" s="128"/>
      <c r="HO210" s="128"/>
      <c r="HP210" s="128"/>
      <c r="HQ210" s="128"/>
      <c r="HR210" s="128"/>
      <c r="HS210" s="128"/>
      <c r="HT210" s="128"/>
      <c r="HU210" s="128"/>
      <c r="HV210" s="128"/>
      <c r="HW210" s="128"/>
      <c r="HX210" s="128"/>
      <c r="HY210" s="128"/>
      <c r="HZ210" s="128"/>
      <c r="IA210" s="128"/>
      <c r="IB210" s="128"/>
      <c r="IC210" s="128"/>
    </row>
    <row r="211" spans="41:237" x14ac:dyDescent="0.3">
      <c r="AO211" s="128">
        <v>50204</v>
      </c>
      <c r="AP211" s="128" t="s">
        <v>3026</v>
      </c>
      <c r="AQ211" s="128" t="s">
        <v>824</v>
      </c>
      <c r="AR211" s="128" t="s">
        <v>3594</v>
      </c>
      <c r="AS211" s="375">
        <v>46223</v>
      </c>
      <c r="AT211" s="375">
        <v>46225</v>
      </c>
      <c r="AU211" s="530">
        <v>74743</v>
      </c>
      <c r="AV211" s="128">
        <v>49995</v>
      </c>
      <c r="AW211" s="530">
        <v>250000</v>
      </c>
      <c r="AX211" s="534">
        <f>_xlfn.XLOOKUP(Sell_unvalid[[#This Row],[DEAL_BUY_ID]],BS!BA:BA,BS!BE:BE,,0)</f>
        <v>73946</v>
      </c>
      <c r="AY211" s="534">
        <f>_xlfn.XLOOKUP(Sell_unvalid[[#This Row],[BOND_CODE]],FNRP!D:D,FNRP!I:I,_xlfn.XLOOKUP(Sell_unvalid[[#This Row],[BOND_CODE]],FNRP!AV:AV,FNRP!BA:BA,,0),0)</f>
        <v>70844</v>
      </c>
      <c r="AZ211" s="534">
        <f>_xlfn.XLOOKUP(Sell_unvalid[[#This Row],[DEAL_BUY_ID]],BS!BA:BA,BS!BQ:BQ,,0)*Sell_unvalid[[#This Row],[QUANTITY]]</f>
        <v>-6482366497.5780315</v>
      </c>
      <c r="BA211" s="534">
        <f>(Sell_unvalid[[#This Row],[Giá MtM]]-10^5)*Sell_unvalid[[#This Row],[QUANTITY]]-Sell_unvalid[[#This Row],[PTCK remain]]</f>
        <v>-806633502.42196846</v>
      </c>
      <c r="BB211" s="534">
        <f>(Sell_unvalid[[#This Row],[PRICE]]-10^5)*Sell_unvalid[[#This Row],[QUANTITY]]-Sell_unvalid[[#This Row],[PTCK remain]]</f>
        <v>168116497.57803154</v>
      </c>
      <c r="BC211" s="534" t="str">
        <f>IF(AND(Sell_unvalid[[#This Row],[VALUE_DATE]]&lt;=RPT,Sell_unvalid[[#This Row],[TRANSACTION_STATUS]]="N"),"Check","Ok")</f>
        <v>Ok</v>
      </c>
      <c r="BD211" s="763"/>
      <c r="BE211" s="534"/>
      <c r="BF211" s="128"/>
      <c r="BG211" s="128"/>
      <c r="BH211" s="375"/>
      <c r="BJ211" s="375"/>
      <c r="BL211" s="530"/>
      <c r="BP211" s="534"/>
      <c r="BR211" s="727"/>
      <c r="BS211" s="128"/>
      <c r="BT211" s="848"/>
      <c r="BU211" s="849">
        <v>46246</v>
      </c>
      <c r="BV211" s="848">
        <v>50389</v>
      </c>
      <c r="BW211" s="848" t="s">
        <v>3901</v>
      </c>
      <c r="BX211" s="530">
        <v>1500000</v>
      </c>
      <c r="BY211" s="735">
        <f>_xlfn.XLOOKUP(Est_NIM[[#This Row],[DEAL_BUY_ID]],BS!AL:AL,BS!AU:AU,_xlfn.XLOOKUP(Est_NIM[[#This Row],[DEAL_BUY_ID]],BS!BA:BA,BS!BJ:BJ,,0),0)</f>
        <v>3.4</v>
      </c>
      <c r="BZ211" s="534">
        <f>Est_NIM[[#This Row],[QUANT]]*Est_NIM[[#This Row],[YIELD]]</f>
        <v>5100000</v>
      </c>
      <c r="CA211" s="128"/>
      <c r="CB211" s="128"/>
      <c r="CE211" s="331"/>
      <c r="CF211" s="331"/>
      <c r="CG211" s="331"/>
      <c r="CH211">
        <v>3730</v>
      </c>
      <c r="CI211">
        <v>14282</v>
      </c>
      <c r="CV211" s="128"/>
      <c r="CW211" s="128"/>
      <c r="CX211" s="128"/>
      <c r="CY211" s="128"/>
      <c r="CZ211" s="128"/>
      <c r="DA211" s="128"/>
      <c r="DB211" s="128"/>
      <c r="DC211" s="128"/>
      <c r="DD211" s="128"/>
      <c r="DE211" s="128"/>
      <c r="DF211" s="128"/>
      <c r="DG211" s="128"/>
      <c r="DH211" s="128"/>
      <c r="DI211" s="128"/>
      <c r="DJ211" s="128"/>
      <c r="DK211" s="128"/>
      <c r="DL211" s="128"/>
      <c r="DM211" s="128"/>
      <c r="DN211" s="128"/>
      <c r="DO211" s="128"/>
      <c r="DP211" s="128"/>
      <c r="DQ211" s="128"/>
      <c r="DR211" s="128"/>
      <c r="DS211" s="128"/>
      <c r="DT211" s="128"/>
      <c r="DU211" s="128"/>
      <c r="DV211" s="128"/>
      <c r="DW211" s="128"/>
      <c r="DX211" s="128"/>
      <c r="DY211" s="128"/>
      <c r="DZ211" s="128"/>
      <c r="EA211" s="128"/>
      <c r="EB211" s="128"/>
      <c r="EC211" s="128"/>
      <c r="ED211" s="128"/>
      <c r="EE211" s="128"/>
      <c r="EF211" s="128"/>
      <c r="EG211" s="128"/>
      <c r="EH211" s="530"/>
      <c r="EI211" s="530"/>
      <c r="EJ211" s="530"/>
      <c r="EK211" s="530"/>
      <c r="EL211" s="530"/>
      <c r="EM211" s="530"/>
      <c r="EN211" s="530"/>
      <c r="EO211" s="530"/>
      <c r="EP211" s="530"/>
      <c r="EQ211" s="530"/>
      <c r="ER211" s="530"/>
      <c r="ES211" s="530"/>
      <c r="ET211" s="530"/>
      <c r="EU211" s="530"/>
      <c r="EV211" s="530"/>
      <c r="EW211" s="530"/>
      <c r="EX211" s="530"/>
      <c r="EY211" s="530"/>
      <c r="EZ211" s="530"/>
      <c r="FA211" s="530"/>
      <c r="FB211" s="530"/>
      <c r="FC211" s="530"/>
      <c r="FD211" s="530"/>
      <c r="FE211" s="530"/>
      <c r="FF211" s="530"/>
      <c r="FG211" s="530"/>
      <c r="FH211" s="530"/>
      <c r="FI211" s="530"/>
      <c r="FJ211" s="530"/>
      <c r="FK211" s="530"/>
      <c r="FL211" s="530"/>
      <c r="FM211" s="530"/>
      <c r="FN211" s="530"/>
      <c r="FO211" s="530"/>
      <c r="FP211" s="530"/>
      <c r="FQ211" s="530"/>
      <c r="GT211" s="128"/>
      <c r="GU211" s="128"/>
      <c r="GV211" s="128"/>
      <c r="GW211" s="128"/>
      <c r="GX211" s="128"/>
      <c r="GY211" s="128"/>
      <c r="GZ211" s="128"/>
      <c r="HA211" s="128"/>
      <c r="HB211" s="128"/>
      <c r="HC211" s="128"/>
      <c r="HD211" s="128"/>
      <c r="HE211" s="128"/>
      <c r="HF211" s="128"/>
      <c r="HG211" s="128"/>
      <c r="HH211" s="128"/>
      <c r="HI211" s="128"/>
      <c r="HJ211" s="128"/>
      <c r="HK211" s="128"/>
      <c r="HL211" s="128"/>
      <c r="HM211" s="128"/>
      <c r="HN211" s="128"/>
      <c r="HO211" s="128"/>
      <c r="HP211" s="128"/>
      <c r="HQ211" s="128"/>
      <c r="HR211" s="128"/>
      <c r="HS211" s="128"/>
      <c r="HT211" s="128"/>
      <c r="HU211" s="128"/>
      <c r="HV211" s="128"/>
      <c r="HW211" s="128"/>
      <c r="HX211" s="128"/>
      <c r="HY211" s="128"/>
      <c r="HZ211" s="128"/>
      <c r="IA211" s="128"/>
      <c r="IB211" s="128"/>
      <c r="IC211" s="128"/>
    </row>
    <row r="212" spans="41:237" x14ac:dyDescent="0.3">
      <c r="AO212" s="128">
        <v>50407</v>
      </c>
      <c r="AP212" s="128" t="s">
        <v>3517</v>
      </c>
      <c r="AQ212" s="128" t="s">
        <v>824</v>
      </c>
      <c r="AR212" s="128" t="s">
        <v>3594</v>
      </c>
      <c r="AS212" s="375">
        <v>46247</v>
      </c>
      <c r="AT212" s="375">
        <v>46252</v>
      </c>
      <c r="AU212" s="530">
        <v>98357</v>
      </c>
      <c r="AV212" s="128">
        <v>49643</v>
      </c>
      <c r="AW212" s="530">
        <v>2000000</v>
      </c>
      <c r="AX212" s="534">
        <f>_xlfn.XLOOKUP(Sell_unvalid[[#This Row],[DEAL_BUY_ID]],BS!BA:BA,BS!BE:BE,,0)</f>
        <v>98257</v>
      </c>
      <c r="AY212" s="534">
        <f>_xlfn.XLOOKUP(Sell_unvalid[[#This Row],[BOND_CODE]],FNRP!D:D,FNRP!I:I,_xlfn.XLOOKUP(Sell_unvalid[[#This Row],[BOND_CODE]],FNRP!AV:AV,FNRP!BA:BA,,0),0)</f>
        <v>95519</v>
      </c>
      <c r="AZ212" s="534">
        <f>_xlfn.XLOOKUP(Sell_unvalid[[#This Row],[DEAL_BUY_ID]],BS!BA:BA,BS!BQ:BQ,,0)*Sell_unvalid[[#This Row],[QUANTITY]]</f>
        <v>-3247603362.3910441</v>
      </c>
      <c r="BA212" s="534">
        <f>(Sell_unvalid[[#This Row],[Giá MtM]]-10^5)*Sell_unvalid[[#This Row],[QUANTITY]]-Sell_unvalid[[#This Row],[PTCK remain]]</f>
        <v>-5714396637.6089554</v>
      </c>
      <c r="BB212" s="534">
        <f>(Sell_unvalid[[#This Row],[PRICE]]-10^5)*Sell_unvalid[[#This Row],[QUANTITY]]-Sell_unvalid[[#This Row],[PTCK remain]]</f>
        <v>-38396637.60895586</v>
      </c>
      <c r="BC212" s="534" t="str">
        <f>IF(AND(Sell_unvalid[[#This Row],[VALUE_DATE]]&lt;=RPT,Sell_unvalid[[#This Row],[TRANSACTION_STATUS]]="N"),"Check","Ok")</f>
        <v>Ok</v>
      </c>
      <c r="BD212" s="763"/>
      <c r="BE212" s="534"/>
      <c r="BF212" s="128"/>
      <c r="BG212" s="128"/>
      <c r="BH212" s="375"/>
      <c r="BJ212" s="375"/>
      <c r="BL212" s="530"/>
      <c r="BP212" s="534"/>
      <c r="BR212" s="727"/>
      <c r="BS212" s="128"/>
      <c r="BT212" s="848"/>
      <c r="BU212" s="849">
        <v>46255</v>
      </c>
      <c r="BV212" s="848">
        <v>50402</v>
      </c>
      <c r="BW212" s="848" t="s">
        <v>3901</v>
      </c>
      <c r="BX212" s="530">
        <v>1000000</v>
      </c>
      <c r="BY212" s="735">
        <f>_xlfn.XLOOKUP(Est_NIM[[#This Row],[DEAL_BUY_ID]],BS!AL:AL,BS!AU:AU,_xlfn.XLOOKUP(Est_NIM[[#This Row],[DEAL_BUY_ID]],BS!BA:BA,BS!BJ:BJ,,0),0)</f>
        <v>2.2000000000000002</v>
      </c>
      <c r="BZ212" s="534">
        <f>Est_NIM[[#This Row],[QUANT]]*Est_NIM[[#This Row],[YIELD]]</f>
        <v>2200000</v>
      </c>
      <c r="CA212" s="128"/>
      <c r="CB212" s="128"/>
      <c r="CE212" s="331"/>
      <c r="CF212" s="331"/>
      <c r="CG212" s="331"/>
      <c r="CH212">
        <v>3730</v>
      </c>
      <c r="CI212">
        <v>14282</v>
      </c>
      <c r="CV212" s="128"/>
      <c r="CW212" s="128"/>
      <c r="CX212" s="128"/>
      <c r="CY212" s="128"/>
      <c r="CZ212" s="128"/>
      <c r="DA212" s="128"/>
      <c r="DB212" s="128"/>
      <c r="DC212" s="128"/>
      <c r="DD212" s="128"/>
      <c r="DE212" s="128"/>
      <c r="DF212" s="128"/>
      <c r="DG212" s="128"/>
      <c r="DH212" s="128"/>
      <c r="DI212" s="128"/>
      <c r="DJ212" s="128"/>
      <c r="DK212" s="128"/>
      <c r="DL212" s="128"/>
      <c r="DM212" s="128"/>
      <c r="DN212" s="128"/>
      <c r="DO212" s="128"/>
      <c r="DP212" s="128"/>
      <c r="DQ212" s="128"/>
      <c r="DR212" s="128"/>
      <c r="DS212" s="128"/>
      <c r="DT212" s="128"/>
      <c r="DU212" s="128"/>
      <c r="DV212" s="128"/>
      <c r="DW212" s="128"/>
      <c r="DX212" s="128"/>
      <c r="DY212" s="128"/>
      <c r="DZ212" s="128"/>
      <c r="EA212" s="128"/>
      <c r="EB212" s="128"/>
      <c r="EC212" s="128"/>
      <c r="ED212" s="128"/>
      <c r="EE212" s="128"/>
      <c r="EF212" s="128"/>
      <c r="EG212" s="128"/>
      <c r="EH212" s="530"/>
      <c r="EI212" s="530"/>
      <c r="EJ212" s="530"/>
      <c r="EK212" s="530"/>
      <c r="EL212" s="530"/>
      <c r="EM212" s="530"/>
      <c r="EN212" s="530"/>
      <c r="EO212" s="530"/>
      <c r="EP212" s="530"/>
      <c r="EQ212" s="530"/>
      <c r="ER212" s="530"/>
      <c r="ES212" s="530"/>
      <c r="ET212" s="530"/>
      <c r="EU212" s="530"/>
      <c r="EV212" s="530"/>
      <c r="EW212" s="530"/>
      <c r="EX212" s="530"/>
      <c r="EY212" s="530"/>
      <c r="EZ212" s="530"/>
      <c r="FA212" s="530"/>
      <c r="FB212" s="530"/>
      <c r="FC212" s="530"/>
      <c r="FD212" s="530"/>
      <c r="FE212" s="530"/>
      <c r="FF212" s="530"/>
      <c r="FG212" s="530"/>
      <c r="FH212" s="530"/>
      <c r="FI212" s="530"/>
      <c r="FJ212" s="530"/>
      <c r="FK212" s="530"/>
      <c r="FL212" s="530"/>
      <c r="FM212" s="530"/>
      <c r="FN212" s="530"/>
      <c r="FO212" s="530"/>
      <c r="FP212" s="530"/>
      <c r="FQ212" s="530"/>
      <c r="GT212" s="128"/>
      <c r="GU212" s="128"/>
      <c r="GV212" s="128"/>
      <c r="GW212" s="128"/>
      <c r="GX212" s="128"/>
      <c r="GY212" s="128"/>
      <c r="GZ212" s="128"/>
      <c r="HA212" s="128"/>
      <c r="HB212" s="128"/>
      <c r="HC212" s="128"/>
      <c r="HD212" s="128"/>
      <c r="HE212" s="128"/>
      <c r="HF212" s="128"/>
      <c r="HG212" s="128"/>
      <c r="HH212" s="128"/>
      <c r="HI212" s="128"/>
      <c r="HJ212" s="128"/>
      <c r="HK212" s="128"/>
      <c r="HL212" s="128"/>
      <c r="HM212" s="128"/>
      <c r="HN212" s="128"/>
      <c r="HO212" s="128"/>
      <c r="HP212" s="128"/>
      <c r="HQ212" s="128"/>
      <c r="HR212" s="128"/>
      <c r="HS212" s="128"/>
      <c r="HT212" s="128"/>
      <c r="HU212" s="128"/>
      <c r="HV212" s="128"/>
      <c r="HW212" s="128"/>
      <c r="HX212" s="128"/>
      <c r="HY212" s="128"/>
      <c r="HZ212" s="128"/>
      <c r="IA212" s="128"/>
      <c r="IB212" s="128"/>
      <c r="IC212" s="128"/>
    </row>
    <row r="213" spans="41:237" x14ac:dyDescent="0.3">
      <c r="AO213" s="128">
        <v>50421</v>
      </c>
      <c r="AP213" s="128" t="s">
        <v>3517</v>
      </c>
      <c r="AQ213" s="128" t="s">
        <v>824</v>
      </c>
      <c r="AR213" s="128" t="s">
        <v>2234</v>
      </c>
      <c r="AS213" s="375">
        <v>46251</v>
      </c>
      <c r="AT213" s="375">
        <v>46254</v>
      </c>
      <c r="AU213" s="530">
        <v>98323</v>
      </c>
      <c r="AV213" s="128">
        <v>50408</v>
      </c>
      <c r="AW213" s="530">
        <v>2000000</v>
      </c>
      <c r="AX213" s="534">
        <f>_xlfn.XLOOKUP(Sell_unvalid[[#This Row],[DEAL_BUY_ID]],BS!BA:BA,BS!BE:BE,,0)</f>
        <v>98330</v>
      </c>
      <c r="AY213" s="534">
        <f>_xlfn.XLOOKUP(Sell_unvalid[[#This Row],[BOND_CODE]],FNRP!D:D,FNRP!I:I,_xlfn.XLOOKUP(Sell_unvalid[[#This Row],[BOND_CODE]],FNRP!AV:AV,FNRP!BA:BA,,0),0)</f>
        <v>95519</v>
      </c>
      <c r="AZ213" s="534">
        <f>_xlfn.XLOOKUP(Sell_unvalid[[#This Row],[DEAL_BUY_ID]],BS!BA:BA,BS!BQ:BQ,,0)*Sell_unvalid[[#This Row],[QUANTITY]]</f>
        <v>-3340657534.2465658</v>
      </c>
      <c r="BA213" s="534">
        <f>(Sell_unvalid[[#This Row],[Giá MtM]]-10^5)*Sell_unvalid[[#This Row],[QUANTITY]]-Sell_unvalid[[#This Row],[PTCK remain]]</f>
        <v>-5621342465.7534342</v>
      </c>
      <c r="BB213" s="534">
        <f>(Sell_unvalid[[#This Row],[PRICE]]-10^5)*Sell_unvalid[[#This Row],[QUANTITY]]-Sell_unvalid[[#This Row],[PTCK remain]]</f>
        <v>-13342465.753434181</v>
      </c>
      <c r="BC213" s="534" t="str">
        <f>IF(AND(Sell_unvalid[[#This Row],[VALUE_DATE]]&lt;=RPT,Sell_unvalid[[#This Row],[TRANSACTION_STATUS]]="N"),"Check","Ok")</f>
        <v>Ok</v>
      </c>
      <c r="BD213" s="763"/>
      <c r="BE213" s="534"/>
      <c r="BF213" s="128"/>
      <c r="BG213" s="128"/>
      <c r="BH213" s="375"/>
      <c r="BJ213" s="375"/>
      <c r="BL213" s="530"/>
      <c r="BP213" s="534"/>
      <c r="BR213" s="727"/>
      <c r="BS213" s="128"/>
      <c r="BT213" s="848"/>
      <c r="BU213" s="849">
        <v>46259</v>
      </c>
      <c r="BV213" s="848">
        <v>50418</v>
      </c>
      <c r="BW213" s="848" t="s">
        <v>3901</v>
      </c>
      <c r="BX213" s="530">
        <v>1000000</v>
      </c>
      <c r="BY213" s="735">
        <f>_xlfn.XLOOKUP(Est_NIM[[#This Row],[DEAL_BUY_ID]],BS!AL:AL,BS!AU:AU,_xlfn.XLOOKUP(Est_NIM[[#This Row],[DEAL_BUY_ID]],BS!BA:BA,BS!BJ:BJ,,0),0)</f>
        <v>4.8</v>
      </c>
      <c r="BZ213" s="534">
        <f>Est_NIM[[#This Row],[QUANT]]*Est_NIM[[#This Row],[YIELD]]</f>
        <v>4800000</v>
      </c>
      <c r="CA213" s="128"/>
      <c r="CB213" s="128"/>
      <c r="CE213" s="331"/>
      <c r="CF213" s="331"/>
      <c r="CG213" s="331"/>
      <c r="CH213">
        <v>3730</v>
      </c>
      <c r="CI213">
        <v>14282</v>
      </c>
      <c r="CW213" s="128"/>
      <c r="CX213" s="128"/>
      <c r="CY213" s="128"/>
      <c r="CZ213" s="128"/>
      <c r="DA213" s="128"/>
      <c r="DB213" s="128"/>
      <c r="DC213" s="128"/>
      <c r="DD213" s="128"/>
      <c r="DE213" s="128"/>
      <c r="DF213" s="128"/>
      <c r="DG213" s="128"/>
      <c r="DH213" s="128"/>
      <c r="DI213" s="128"/>
      <c r="DJ213" s="128"/>
      <c r="DK213" s="128"/>
      <c r="DL213" s="128"/>
      <c r="DM213" s="128"/>
      <c r="DN213" s="128"/>
      <c r="DO213" s="128"/>
      <c r="DP213" s="128"/>
      <c r="DQ213" s="128"/>
      <c r="DR213" s="128"/>
      <c r="DS213" s="128"/>
      <c r="DT213" s="128"/>
      <c r="DU213" s="128"/>
      <c r="DV213" s="128"/>
      <c r="DW213" s="128"/>
      <c r="DX213" s="128"/>
      <c r="DY213" s="128"/>
      <c r="DZ213" s="128"/>
      <c r="EA213" s="128"/>
      <c r="EB213" s="128"/>
      <c r="EC213" s="128"/>
      <c r="ED213" s="128"/>
      <c r="EE213" s="128"/>
      <c r="EF213" s="128"/>
      <c r="EG213" s="128"/>
      <c r="EH213" s="128"/>
      <c r="EI213" s="530"/>
      <c r="EJ213" s="530"/>
      <c r="EK213" s="530"/>
      <c r="EL213" s="530"/>
      <c r="EM213" s="530"/>
      <c r="EN213" s="530"/>
      <c r="EO213" s="530"/>
      <c r="EP213" s="530"/>
      <c r="EQ213" s="530"/>
      <c r="ER213" s="530"/>
      <c r="ES213" s="530"/>
      <c r="ET213" s="530"/>
      <c r="EU213" s="530"/>
      <c r="EV213" s="530"/>
      <c r="EW213" s="530"/>
      <c r="EX213" s="530"/>
      <c r="EY213" s="530"/>
      <c r="EZ213" s="530"/>
      <c r="FA213" s="530"/>
      <c r="FB213" s="530"/>
      <c r="FC213" s="530"/>
      <c r="FD213" s="530"/>
      <c r="FE213" s="530"/>
      <c r="FF213" s="530"/>
      <c r="FG213" s="530"/>
      <c r="FH213" s="530"/>
      <c r="FI213" s="530"/>
      <c r="FJ213" s="530"/>
      <c r="FK213" s="530"/>
      <c r="FL213" s="530"/>
      <c r="FM213" s="530"/>
      <c r="FN213" s="530"/>
      <c r="FO213" s="530"/>
      <c r="FP213" s="530"/>
      <c r="FQ213" s="530"/>
      <c r="GU213" s="128"/>
      <c r="GV213" s="128"/>
      <c r="GW213" s="128"/>
      <c r="GX213" s="128"/>
      <c r="GY213" s="128"/>
      <c r="GZ213" s="128"/>
      <c r="HA213" s="128"/>
      <c r="HB213" s="128"/>
      <c r="HC213" s="128"/>
      <c r="HD213" s="128"/>
      <c r="HE213" s="128"/>
      <c r="HF213" s="128"/>
      <c r="HG213" s="128"/>
      <c r="HH213" s="128"/>
      <c r="HI213" s="128"/>
      <c r="HJ213" s="128"/>
      <c r="HK213" s="128"/>
      <c r="HL213" s="128"/>
      <c r="HM213" s="128"/>
      <c r="HN213" s="128"/>
      <c r="HO213" s="128"/>
      <c r="HP213" s="128"/>
      <c r="HQ213" s="128"/>
      <c r="HR213" s="128"/>
      <c r="HS213" s="128"/>
      <c r="HT213" s="128"/>
      <c r="HU213" s="128"/>
      <c r="HV213" s="128"/>
      <c r="HW213" s="128"/>
      <c r="HX213" s="128"/>
      <c r="HY213" s="128"/>
      <c r="HZ213" s="128"/>
      <c r="IA213" s="128"/>
      <c r="IB213" s="128"/>
      <c r="IC213" s="128"/>
    </row>
    <row r="214" spans="41:237" x14ac:dyDescent="0.3">
      <c r="AO214" s="128">
        <v>50104</v>
      </c>
      <c r="AP214" s="128" t="s">
        <v>3051</v>
      </c>
      <c r="AQ214" s="128" t="s">
        <v>824</v>
      </c>
      <c r="AR214" s="128" t="s">
        <v>3594</v>
      </c>
      <c r="AS214" s="375">
        <v>46196</v>
      </c>
      <c r="AT214" s="375">
        <v>46213</v>
      </c>
      <c r="AU214" s="530">
        <v>93954</v>
      </c>
      <c r="AV214" s="128">
        <v>49938</v>
      </c>
      <c r="AW214" s="530">
        <v>2000000</v>
      </c>
      <c r="AX214" s="534">
        <f>_xlfn.XLOOKUP(Sell_unvalid[[#This Row],[DEAL_BUY_ID]],BS!BA:BA,BS!BE:BE,,0)</f>
        <v>93952</v>
      </c>
      <c r="AY214" s="534">
        <f>_xlfn.XLOOKUP(Sell_unvalid[[#This Row],[BOND_CODE]],FNRP!D:D,FNRP!I:I,_xlfn.XLOOKUP(Sell_unvalid[[#This Row],[BOND_CODE]],FNRP!AV:AV,FNRP!BA:BA,,0),0)</f>
        <v>89638</v>
      </c>
      <c r="AZ214" s="534">
        <f>_xlfn.XLOOKUP(Sell_unvalid[[#This Row],[DEAL_BUY_ID]],BS!BA:BA,BS!BQ:BQ,,0)*Sell_unvalid[[#This Row],[QUANTITY]]</f>
        <v>-11938349807.871834</v>
      </c>
      <c r="BA214" s="534">
        <f>(Sell_unvalid[[#This Row],[Giá MtM]]-10^5)*Sell_unvalid[[#This Row],[QUANTITY]]-Sell_unvalid[[#This Row],[PTCK remain]]</f>
        <v>-8785650192.1281662</v>
      </c>
      <c r="BB214" s="534">
        <f>(Sell_unvalid[[#This Row],[PRICE]]-10^5)*Sell_unvalid[[#This Row],[QUANTITY]]-Sell_unvalid[[#This Row],[PTCK remain]]</f>
        <v>-153650192.1281662</v>
      </c>
      <c r="BC214" s="534" t="str">
        <f>IF(AND(Sell_unvalid[[#This Row],[VALUE_DATE]]&lt;=RPT,Sell_unvalid[[#This Row],[TRANSACTION_STATUS]]="N"),"Check","Ok")</f>
        <v>Ok</v>
      </c>
      <c r="BD214" s="763"/>
      <c r="BE214" s="534"/>
      <c r="BF214" s="128"/>
      <c r="BG214" s="128"/>
      <c r="BH214" s="375"/>
      <c r="BJ214" s="375"/>
      <c r="BL214" s="530"/>
      <c r="BP214" s="534"/>
      <c r="BR214" s="727"/>
      <c r="BS214" s="128"/>
      <c r="BT214" s="848"/>
      <c r="BU214" s="849">
        <v>46259</v>
      </c>
      <c r="BV214" s="848">
        <v>50420</v>
      </c>
      <c r="BW214" s="848" t="s">
        <v>3901</v>
      </c>
      <c r="BX214" s="530">
        <v>500000</v>
      </c>
      <c r="BY214" s="735">
        <f>_xlfn.XLOOKUP(Est_NIM[[#This Row],[DEAL_BUY_ID]],BS!AL:AL,BS!AU:AU,_xlfn.XLOOKUP(Est_NIM[[#This Row],[DEAL_BUY_ID]],BS!BA:BA,BS!BJ:BJ,,0),0)</f>
        <v>4.0999999999999996</v>
      </c>
      <c r="BZ214" s="534">
        <f>Est_NIM[[#This Row],[QUANT]]*Est_NIM[[#This Row],[YIELD]]</f>
        <v>2049999.9999999998</v>
      </c>
      <c r="CA214" s="128"/>
      <c r="CB214" s="128"/>
      <c r="CE214" s="331"/>
      <c r="CF214" s="331"/>
      <c r="CG214" s="331"/>
      <c r="CH214">
        <v>3730</v>
      </c>
      <c r="CI214">
        <v>14282</v>
      </c>
      <c r="CW214" s="128"/>
      <c r="CX214" s="128"/>
      <c r="CY214" s="128"/>
      <c r="CZ214" s="128"/>
      <c r="DA214" s="128"/>
      <c r="DB214" s="128"/>
      <c r="DC214" s="128"/>
      <c r="DD214" s="128"/>
      <c r="DE214" s="128"/>
      <c r="DF214" s="128"/>
      <c r="DG214" s="128"/>
      <c r="DH214" s="128"/>
      <c r="DI214" s="128"/>
      <c r="DJ214" s="128"/>
      <c r="DK214" s="128"/>
      <c r="DL214" s="128"/>
      <c r="DM214" s="128"/>
      <c r="DN214" s="128"/>
      <c r="DO214" s="128"/>
      <c r="DP214" s="128"/>
      <c r="DQ214" s="128"/>
      <c r="DR214" s="128"/>
      <c r="DS214" s="128"/>
      <c r="DT214" s="128"/>
      <c r="DU214" s="128"/>
      <c r="DV214" s="128"/>
      <c r="DW214" s="128"/>
      <c r="DX214" s="128"/>
      <c r="DY214" s="128"/>
      <c r="DZ214" s="128"/>
      <c r="EA214" s="128"/>
      <c r="EB214" s="128"/>
      <c r="EC214" s="128"/>
      <c r="ED214" s="128"/>
      <c r="EE214" s="128"/>
      <c r="EF214" s="128"/>
      <c r="EG214" s="128"/>
      <c r="EH214" s="128"/>
      <c r="EI214" s="530"/>
      <c r="EJ214" s="530"/>
      <c r="EK214" s="530"/>
      <c r="EL214" s="530"/>
      <c r="EM214" s="530"/>
      <c r="EN214" s="530"/>
      <c r="EO214" s="530"/>
      <c r="EP214" s="530"/>
      <c r="EQ214" s="530"/>
      <c r="ER214" s="530"/>
      <c r="ES214" s="530"/>
      <c r="ET214" s="530"/>
      <c r="EU214" s="530"/>
      <c r="EV214" s="530"/>
      <c r="EW214" s="530"/>
      <c r="EX214" s="530"/>
      <c r="EY214" s="530"/>
      <c r="EZ214" s="530"/>
      <c r="FA214" s="530"/>
      <c r="FB214" s="530"/>
      <c r="FC214" s="530"/>
      <c r="FD214" s="530"/>
      <c r="FE214" s="530"/>
      <c r="FF214" s="530"/>
      <c r="FG214" s="530"/>
      <c r="FH214" s="530"/>
      <c r="FI214" s="530"/>
      <c r="FJ214" s="530"/>
      <c r="FK214" s="530"/>
      <c r="FL214" s="530"/>
      <c r="FM214" s="530"/>
      <c r="FN214" s="530"/>
      <c r="FO214" s="530"/>
      <c r="FP214" s="530"/>
      <c r="FQ214" s="530"/>
      <c r="GU214" s="128"/>
      <c r="GV214" s="128"/>
      <c r="GW214" s="128"/>
      <c r="GX214" s="128"/>
      <c r="GY214" s="128"/>
      <c r="GZ214" s="128"/>
      <c r="HA214" s="128"/>
      <c r="HB214" s="128"/>
      <c r="HC214" s="128"/>
      <c r="HD214" s="128"/>
      <c r="HE214" s="128"/>
      <c r="HF214" s="128"/>
      <c r="HG214" s="128"/>
      <c r="HH214" s="128"/>
      <c r="HI214" s="128"/>
      <c r="HJ214" s="128"/>
      <c r="HK214" s="128"/>
      <c r="HL214" s="128"/>
      <c r="HM214" s="128"/>
      <c r="HN214" s="128"/>
      <c r="HO214" s="128"/>
      <c r="HP214" s="128"/>
      <c r="HQ214" s="128"/>
      <c r="HR214" s="128"/>
      <c r="HS214" s="128"/>
      <c r="HT214" s="128"/>
      <c r="HU214" s="128"/>
      <c r="HV214" s="128"/>
      <c r="HW214" s="128"/>
      <c r="HX214" s="128"/>
      <c r="HY214" s="128"/>
      <c r="HZ214" s="128"/>
      <c r="IA214" s="128"/>
      <c r="IB214" s="128"/>
      <c r="IC214" s="128"/>
    </row>
    <row r="215" spans="41:237" x14ac:dyDescent="0.3">
      <c r="AO215" s="128">
        <v>50160</v>
      </c>
      <c r="AP215" s="128" t="s">
        <v>3051</v>
      </c>
      <c r="AQ215" s="128" t="s">
        <v>824</v>
      </c>
      <c r="AR215" s="128" t="s">
        <v>3594</v>
      </c>
      <c r="AS215" s="375">
        <v>46204</v>
      </c>
      <c r="AT215" s="375">
        <v>46206</v>
      </c>
      <c r="AU215" s="530">
        <v>95503</v>
      </c>
      <c r="AV215" s="128">
        <v>50149</v>
      </c>
      <c r="AW215" s="530">
        <v>1500000</v>
      </c>
      <c r="AX215" s="534">
        <f>_xlfn.XLOOKUP(Sell_unvalid[[#This Row],[DEAL_BUY_ID]],BS!BA:BA,BS!BE:BE,,0)</f>
        <v>95502</v>
      </c>
      <c r="AY215" s="534">
        <f>_xlfn.XLOOKUP(Sell_unvalid[[#This Row],[BOND_CODE]],FNRP!D:D,FNRP!I:I,_xlfn.XLOOKUP(Sell_unvalid[[#This Row],[BOND_CODE]],FNRP!AV:AV,FNRP!BA:BA,,0),0)</f>
        <v>89638</v>
      </c>
      <c r="AZ215" s="534">
        <f>_xlfn.XLOOKUP(Sell_unvalid[[#This Row],[DEAL_BUY_ID]],BS!BA:BA,BS!BQ:BQ,,0)*Sell_unvalid[[#This Row],[QUANTITY]]</f>
        <v>-6644801343.8694048</v>
      </c>
      <c r="BA215" s="534">
        <f>(Sell_unvalid[[#This Row],[Giá MtM]]-10^5)*Sell_unvalid[[#This Row],[QUANTITY]]-Sell_unvalid[[#This Row],[PTCK remain]]</f>
        <v>-8898198656.1305962</v>
      </c>
      <c r="BB215" s="534">
        <f>(Sell_unvalid[[#This Row],[PRICE]]-10^5)*Sell_unvalid[[#This Row],[QUANTITY]]-Sell_unvalid[[#This Row],[PTCK remain]]</f>
        <v>-100698656.13059521</v>
      </c>
      <c r="BC215" s="534" t="str">
        <f>IF(AND(Sell_unvalid[[#This Row],[VALUE_DATE]]&lt;=RPT,Sell_unvalid[[#This Row],[TRANSACTION_STATUS]]="N"),"Check","Ok")</f>
        <v>Ok</v>
      </c>
      <c r="BD215" s="763"/>
      <c r="BE215" s="534"/>
      <c r="BF215" s="128"/>
      <c r="BG215" s="128"/>
      <c r="BH215" s="375"/>
      <c r="BJ215" s="375"/>
      <c r="BL215" s="530"/>
      <c r="BP215" s="534"/>
      <c r="BR215" s="727"/>
      <c r="BS215" s="128"/>
      <c r="BT215" s="848"/>
      <c r="BU215" s="849">
        <v>46259</v>
      </c>
      <c r="BV215" s="848">
        <v>50422</v>
      </c>
      <c r="BW215" s="848" t="s">
        <v>3901</v>
      </c>
      <c r="BX215" s="530">
        <v>2000000</v>
      </c>
      <c r="BY215" s="735">
        <f>_xlfn.XLOOKUP(Est_NIM[[#This Row],[DEAL_BUY_ID]],BS!AL:AL,BS!AU:AU,_xlfn.XLOOKUP(Est_NIM[[#This Row],[DEAL_BUY_ID]],BS!BA:BA,BS!BJ:BJ,,0),0)</f>
        <v>2.7</v>
      </c>
      <c r="BZ215" s="534">
        <f>Est_NIM[[#This Row],[QUANT]]*Est_NIM[[#This Row],[YIELD]]</f>
        <v>5400000</v>
      </c>
      <c r="CA215" s="128"/>
      <c r="CB215" s="128"/>
      <c r="CE215" s="331"/>
      <c r="CF215" s="331"/>
      <c r="CG215" s="331"/>
      <c r="CH215">
        <v>3730</v>
      </c>
      <c r="CI215">
        <v>14282</v>
      </c>
      <c r="CW215" s="128"/>
      <c r="CX215" s="128"/>
      <c r="CY215" s="128"/>
      <c r="CZ215" s="128"/>
      <c r="DA215" s="128"/>
      <c r="DB215" s="128"/>
      <c r="DC215" s="128"/>
      <c r="DD215" s="128"/>
      <c r="DE215" s="128"/>
      <c r="DF215" s="128"/>
      <c r="DG215" s="128"/>
      <c r="DH215" s="128"/>
      <c r="DI215" s="128"/>
      <c r="DJ215" s="128"/>
      <c r="DK215" s="128"/>
      <c r="DL215" s="128"/>
      <c r="DM215" s="128"/>
      <c r="DN215" s="128"/>
      <c r="DO215" s="128"/>
      <c r="DP215" s="128"/>
      <c r="DQ215" s="128"/>
      <c r="DR215" s="128"/>
      <c r="DS215" s="128"/>
      <c r="DT215" s="128"/>
      <c r="DU215" s="128"/>
      <c r="DV215" s="128"/>
      <c r="DW215" s="128"/>
      <c r="DX215" s="128"/>
      <c r="DY215" s="128"/>
      <c r="DZ215" s="128"/>
      <c r="EA215" s="128"/>
      <c r="EB215" s="128"/>
      <c r="EC215" s="128"/>
      <c r="ED215" s="128"/>
      <c r="EE215" s="128"/>
      <c r="EF215" s="128"/>
      <c r="EG215" s="128"/>
      <c r="EH215" s="128"/>
      <c r="EI215" s="530"/>
      <c r="EJ215" s="530"/>
      <c r="EK215" s="530"/>
      <c r="EL215" s="530"/>
      <c r="EM215" s="530"/>
      <c r="EN215" s="530"/>
      <c r="EO215" s="530"/>
      <c r="EP215" s="530"/>
      <c r="EQ215" s="530"/>
      <c r="ER215" s="530"/>
      <c r="ES215" s="530"/>
      <c r="ET215" s="530"/>
      <c r="EU215" s="530"/>
      <c r="EV215" s="530"/>
      <c r="EW215" s="530"/>
      <c r="EX215" s="530"/>
      <c r="EY215" s="530"/>
      <c r="EZ215" s="530"/>
      <c r="FA215" s="530"/>
      <c r="FB215" s="530"/>
      <c r="FC215" s="530"/>
      <c r="FD215" s="530"/>
      <c r="FE215" s="530"/>
      <c r="FF215" s="530"/>
      <c r="FG215" s="530"/>
      <c r="FH215" s="530"/>
      <c r="FI215" s="530"/>
      <c r="FJ215" s="530"/>
      <c r="FK215" s="530"/>
      <c r="FL215" s="530"/>
      <c r="FM215" s="530"/>
      <c r="FN215" s="530"/>
      <c r="FO215" s="530"/>
      <c r="FP215" s="530"/>
      <c r="FQ215" s="530"/>
      <c r="GU215" s="128"/>
      <c r="GV215" s="128"/>
      <c r="GW215" s="128"/>
      <c r="GX215" s="128"/>
      <c r="GY215" s="128"/>
      <c r="GZ215" s="128"/>
      <c r="HA215" s="128"/>
      <c r="HB215" s="128"/>
      <c r="HC215" s="128"/>
      <c r="HD215" s="128"/>
      <c r="HE215" s="128"/>
      <c r="HF215" s="128"/>
      <c r="HG215" s="128"/>
      <c r="HH215" s="128"/>
      <c r="HI215" s="128"/>
      <c r="HJ215" s="128"/>
      <c r="HK215" s="128"/>
      <c r="HL215" s="128"/>
      <c r="HM215" s="128"/>
      <c r="HN215" s="128"/>
      <c r="HO215" s="128"/>
      <c r="HP215" s="128"/>
      <c r="HQ215" s="128"/>
      <c r="HR215" s="128"/>
      <c r="HS215" s="128"/>
      <c r="HT215" s="128"/>
      <c r="HU215" s="128"/>
      <c r="HV215" s="128"/>
      <c r="HW215" s="128"/>
      <c r="HX215" s="128"/>
      <c r="HY215" s="128"/>
      <c r="HZ215" s="128"/>
      <c r="IA215" s="128"/>
      <c r="IB215" s="128"/>
      <c r="IC215" s="128"/>
    </row>
    <row r="216" spans="41:237" x14ac:dyDescent="0.3">
      <c r="AO216" s="128">
        <v>50220</v>
      </c>
      <c r="AP216" s="128" t="s">
        <v>3051</v>
      </c>
      <c r="AQ216" s="128" t="s">
        <v>824</v>
      </c>
      <c r="AR216" s="128" t="s">
        <v>3594</v>
      </c>
      <c r="AS216" s="375">
        <v>46225</v>
      </c>
      <c r="AT216" s="375">
        <v>46230</v>
      </c>
      <c r="AU216" s="530">
        <v>95745</v>
      </c>
      <c r="AV216" s="128">
        <v>50161</v>
      </c>
      <c r="AW216" s="530">
        <v>1500000</v>
      </c>
      <c r="AX216" s="534">
        <f>_xlfn.XLOOKUP(Sell_unvalid[[#This Row],[DEAL_BUY_ID]],BS!BA:BA,BS!BE:BE,,0)</f>
        <v>95540</v>
      </c>
      <c r="AY216" s="534">
        <f>_xlfn.XLOOKUP(Sell_unvalid[[#This Row],[BOND_CODE]],FNRP!D:D,FNRP!I:I,_xlfn.XLOOKUP(Sell_unvalid[[#This Row],[BOND_CODE]],FNRP!AV:AV,FNRP!BA:BA,,0),0)</f>
        <v>89638</v>
      </c>
      <c r="AZ216" s="534">
        <f>_xlfn.XLOOKUP(Sell_unvalid[[#This Row],[DEAL_BUY_ID]],BS!BA:BA,BS!BQ:BQ,,0)*Sell_unvalid[[#This Row],[QUANTITY]]</f>
        <v>-6634523584.3294659</v>
      </c>
      <c r="BA216" s="534">
        <f>(Sell_unvalid[[#This Row],[Giá MtM]]-10^5)*Sell_unvalid[[#This Row],[QUANTITY]]-Sell_unvalid[[#This Row],[PTCK remain]]</f>
        <v>-8908476415.6705341</v>
      </c>
      <c r="BB216" s="534">
        <f>(Sell_unvalid[[#This Row],[PRICE]]-10^5)*Sell_unvalid[[#This Row],[QUANTITY]]-Sell_unvalid[[#This Row],[PTCK remain]]</f>
        <v>252023584.32946587</v>
      </c>
      <c r="BC216" s="534" t="str">
        <f>IF(AND(Sell_unvalid[[#This Row],[VALUE_DATE]]&lt;=RPT,Sell_unvalid[[#This Row],[TRANSACTION_STATUS]]="N"),"Check","Ok")</f>
        <v>Ok</v>
      </c>
      <c r="BD216" s="763"/>
      <c r="BE216" s="534"/>
      <c r="BF216" s="128"/>
      <c r="BG216" s="128"/>
      <c r="BH216" s="375"/>
      <c r="BJ216" s="375"/>
      <c r="BL216" s="530"/>
      <c r="BP216" s="534"/>
      <c r="BR216" s="727"/>
      <c r="BS216" s="128"/>
      <c r="BT216" s="848"/>
      <c r="BU216" s="849">
        <v>46262</v>
      </c>
      <c r="BV216" s="848">
        <v>50426</v>
      </c>
      <c r="BW216" s="848" t="s">
        <v>3901</v>
      </c>
      <c r="BX216" s="530">
        <v>1000000</v>
      </c>
      <c r="BY216" s="735">
        <f>_xlfn.XLOOKUP(Est_NIM[[#This Row],[DEAL_BUY_ID]],BS!AL:AL,BS!AU:AU,_xlfn.XLOOKUP(Est_NIM[[#This Row],[DEAL_BUY_ID]],BS!BA:BA,BS!BJ:BJ,,0),0)</f>
        <v>2.2000000000000002</v>
      </c>
      <c r="BZ216" s="534">
        <f>Est_NIM[[#This Row],[QUANT]]*Est_NIM[[#This Row],[YIELD]]</f>
        <v>2200000</v>
      </c>
      <c r="CA216" s="128"/>
      <c r="CB216" s="128"/>
      <c r="CE216" s="331"/>
      <c r="CF216" s="331"/>
      <c r="CG216" s="331"/>
      <c r="CH216">
        <v>3730</v>
      </c>
      <c r="CI216">
        <v>14282</v>
      </c>
      <c r="CX216" s="128"/>
      <c r="CY216" s="128"/>
      <c r="CZ216" s="128"/>
      <c r="DA216" s="128"/>
      <c r="DB216" s="128"/>
      <c r="DC216" s="128"/>
      <c r="DD216" s="128"/>
      <c r="DE216" s="128"/>
      <c r="DF216" s="128"/>
      <c r="DG216" s="128"/>
      <c r="DH216" s="128"/>
      <c r="DI216" s="128"/>
      <c r="DJ216" s="128"/>
      <c r="DK216" s="128"/>
      <c r="DL216" s="128"/>
      <c r="DM216" s="128"/>
      <c r="DN216" s="128"/>
      <c r="DO216" s="128"/>
      <c r="DP216" s="128"/>
      <c r="DQ216" s="128"/>
      <c r="DR216" s="128"/>
      <c r="DS216" s="128"/>
      <c r="DT216" s="128"/>
      <c r="DU216" s="128"/>
      <c r="DV216" s="128"/>
      <c r="DW216" s="128"/>
      <c r="DX216" s="128"/>
      <c r="DY216" s="128"/>
      <c r="DZ216" s="128"/>
      <c r="EA216" s="128"/>
      <c r="EB216" s="128"/>
      <c r="EC216" s="128"/>
      <c r="ED216" s="128"/>
      <c r="EE216" s="128"/>
      <c r="EF216" s="128"/>
      <c r="EG216" s="128"/>
      <c r="EH216" s="128"/>
      <c r="EI216" s="128"/>
      <c r="EJ216" s="530"/>
      <c r="EK216" s="530"/>
      <c r="EL216" s="530"/>
      <c r="EM216" s="530"/>
      <c r="EN216" s="530"/>
      <c r="EO216" s="530"/>
      <c r="EP216" s="530"/>
      <c r="EQ216" s="530"/>
      <c r="ER216" s="530"/>
      <c r="ES216" s="530"/>
      <c r="ET216" s="530"/>
      <c r="EU216" s="530"/>
      <c r="EV216" s="530"/>
      <c r="EW216" s="530"/>
      <c r="EX216" s="530"/>
      <c r="EY216" s="530"/>
      <c r="EZ216" s="530"/>
      <c r="FA216" s="530"/>
      <c r="FB216" s="530"/>
      <c r="FC216" s="530"/>
      <c r="FD216" s="530"/>
      <c r="FE216" s="530"/>
      <c r="FF216" s="530"/>
      <c r="FG216" s="530"/>
      <c r="FH216" s="530"/>
      <c r="FI216" s="530"/>
      <c r="FJ216" s="530"/>
      <c r="FK216" s="530"/>
      <c r="FL216" s="530"/>
      <c r="FM216" s="530"/>
      <c r="FN216" s="530"/>
      <c r="FO216" s="530"/>
      <c r="FP216" s="530"/>
      <c r="FQ216" s="530"/>
      <c r="GV216" s="128"/>
      <c r="GW216" s="128"/>
      <c r="GX216" s="128"/>
      <c r="GY216" s="128"/>
      <c r="GZ216" s="128"/>
      <c r="HA216" s="128"/>
      <c r="HB216" s="128"/>
      <c r="HC216" s="128"/>
      <c r="HD216" s="128"/>
      <c r="HE216" s="128"/>
      <c r="HF216" s="128"/>
      <c r="HG216" s="128"/>
      <c r="HH216" s="128"/>
      <c r="HI216" s="128"/>
      <c r="HJ216" s="128"/>
      <c r="HK216" s="128"/>
      <c r="HL216" s="128"/>
      <c r="HM216" s="128"/>
      <c r="HN216" s="128"/>
      <c r="HO216" s="128"/>
      <c r="HP216" s="128"/>
      <c r="HQ216" s="128"/>
      <c r="HR216" s="128"/>
      <c r="HS216" s="128"/>
      <c r="HT216" s="128"/>
      <c r="HU216" s="128"/>
      <c r="HV216" s="128"/>
      <c r="HW216" s="128"/>
      <c r="HX216" s="128"/>
      <c r="HY216" s="128"/>
      <c r="HZ216" s="128"/>
      <c r="IA216" s="128"/>
      <c r="IB216" s="128"/>
      <c r="IC216" s="128"/>
    </row>
    <row r="217" spans="41:237" x14ac:dyDescent="0.3">
      <c r="AO217" s="128">
        <v>50308</v>
      </c>
      <c r="AP217" s="128" t="s">
        <v>3051</v>
      </c>
      <c r="AQ217" s="128" t="s">
        <v>824</v>
      </c>
      <c r="AR217" s="128" t="s">
        <v>3594</v>
      </c>
      <c r="AS217" s="375">
        <v>46239</v>
      </c>
      <c r="AT217" s="375">
        <v>46248</v>
      </c>
      <c r="AU217" s="530">
        <v>93872</v>
      </c>
      <c r="AV217" s="128">
        <v>50105</v>
      </c>
      <c r="AW217" s="530">
        <v>1600000</v>
      </c>
      <c r="AX217" s="534">
        <f>_xlfn.XLOOKUP(Sell_unvalid[[#This Row],[DEAL_BUY_ID]],BS!BA:BA,BS!BE:BE,,0)</f>
        <v>93902</v>
      </c>
      <c r="AY217" s="534">
        <f>_xlfn.XLOOKUP(Sell_unvalid[[#This Row],[BOND_CODE]],FNRP!D:D,FNRP!I:I,_xlfn.XLOOKUP(Sell_unvalid[[#This Row],[BOND_CODE]],FNRP!AV:AV,FNRP!BA:BA,,0),0)</f>
        <v>89638</v>
      </c>
      <c r="AZ217" s="534">
        <f>_xlfn.XLOOKUP(Sell_unvalid[[#This Row],[DEAL_BUY_ID]],BS!BA:BA,BS!BQ:BQ,,0)*Sell_unvalid[[#This Row],[QUANTITY]]</f>
        <v>-9731733005.712883</v>
      </c>
      <c r="BA217" s="534">
        <f>(Sell_unvalid[[#This Row],[Giá MtM]]-10^5)*Sell_unvalid[[#This Row],[QUANTITY]]-Sell_unvalid[[#This Row],[PTCK remain]]</f>
        <v>-6847466994.287117</v>
      </c>
      <c r="BB217" s="534">
        <f>(Sell_unvalid[[#This Row],[PRICE]]-10^5)*Sell_unvalid[[#This Row],[QUANTITY]]-Sell_unvalid[[#This Row],[PTCK remain]]</f>
        <v>-73066994.287117004</v>
      </c>
      <c r="BC217" s="534" t="str">
        <f>IF(AND(Sell_unvalid[[#This Row],[VALUE_DATE]]&lt;=RPT,Sell_unvalid[[#This Row],[TRANSACTION_STATUS]]="N"),"Check","Ok")</f>
        <v>Ok</v>
      </c>
      <c r="BD217" s="763"/>
      <c r="BE217" s="534"/>
      <c r="BF217" s="232"/>
      <c r="BG217" s="530"/>
      <c r="BH217" s="531"/>
      <c r="BJ217" s="375"/>
      <c r="BL217" s="530"/>
      <c r="BP217" s="534"/>
      <c r="BR217" s="727"/>
      <c r="BS217" s="128"/>
      <c r="BT217" s="848"/>
      <c r="BU217" s="849">
        <v>46262</v>
      </c>
      <c r="BV217" s="848">
        <v>50428</v>
      </c>
      <c r="BW217" s="848" t="s">
        <v>3901</v>
      </c>
      <c r="BX217" s="530">
        <v>3000000</v>
      </c>
      <c r="BY217" s="735">
        <f>_xlfn.XLOOKUP(Est_NIM[[#This Row],[DEAL_BUY_ID]],BS!AL:AL,BS!AU:AU,_xlfn.XLOOKUP(Est_NIM[[#This Row],[DEAL_BUY_ID]],BS!BA:BA,BS!BJ:BJ,,0),0)</f>
        <v>2.7</v>
      </c>
      <c r="BZ217" s="534">
        <f>Est_NIM[[#This Row],[QUANT]]*Est_NIM[[#This Row],[YIELD]]</f>
        <v>8100000.0000000009</v>
      </c>
      <c r="CA217" s="128"/>
      <c r="CB217" s="128"/>
      <c r="CE217" s="331"/>
      <c r="CF217" s="331"/>
      <c r="CG217" s="331"/>
      <c r="CH217">
        <v>3730</v>
      </c>
      <c r="CI217">
        <v>14282</v>
      </c>
      <c r="CY217" s="128"/>
      <c r="CZ217" s="128"/>
      <c r="DA217" s="128"/>
      <c r="DB217" s="128"/>
      <c r="DC217" s="128"/>
      <c r="DD217" s="128"/>
      <c r="DE217" s="128"/>
      <c r="DF217" s="128"/>
      <c r="DG217" s="128"/>
      <c r="DH217" s="128"/>
      <c r="DI217" s="128"/>
      <c r="DJ217" s="128"/>
      <c r="DK217" s="128"/>
      <c r="DL217" s="128"/>
      <c r="DM217" s="128"/>
      <c r="DN217" s="128"/>
      <c r="DO217" s="128"/>
      <c r="DP217" s="128"/>
      <c r="DQ217" s="128"/>
      <c r="DR217" s="128"/>
      <c r="DS217" s="128"/>
      <c r="DT217" s="128"/>
      <c r="DU217" s="128"/>
      <c r="DV217" s="128"/>
      <c r="DW217" s="128"/>
      <c r="DX217" s="128"/>
      <c r="DY217" s="128"/>
      <c r="DZ217" s="128"/>
      <c r="EA217" s="128"/>
      <c r="EB217" s="128"/>
      <c r="EC217" s="128"/>
      <c r="ED217" s="128"/>
      <c r="EE217" s="128"/>
      <c r="EF217" s="128"/>
      <c r="EG217" s="128"/>
      <c r="EH217" s="128"/>
      <c r="EI217" s="128"/>
      <c r="EJ217" s="128"/>
      <c r="EK217" s="530"/>
      <c r="EL217" s="530"/>
      <c r="EM217" s="530"/>
      <c r="EN217" s="530"/>
      <c r="EO217" s="530"/>
      <c r="EP217" s="530"/>
      <c r="EQ217" s="530"/>
      <c r="ER217" s="530"/>
      <c r="ES217" s="530"/>
      <c r="ET217" s="530"/>
      <c r="EU217" s="530"/>
      <c r="EV217" s="530"/>
      <c r="EW217" s="530"/>
      <c r="EX217" s="530"/>
      <c r="EY217" s="530"/>
      <c r="EZ217" s="530"/>
      <c r="FA217" s="530"/>
      <c r="FB217" s="530"/>
      <c r="FC217" s="530"/>
      <c r="FD217" s="530"/>
      <c r="FE217" s="530"/>
      <c r="FF217" s="530"/>
      <c r="FG217" s="530"/>
      <c r="FH217" s="530"/>
      <c r="FI217" s="530"/>
      <c r="FJ217" s="530"/>
      <c r="FK217" s="530"/>
      <c r="FL217" s="530"/>
      <c r="FM217" s="530"/>
      <c r="FN217" s="530"/>
      <c r="FO217" s="530"/>
      <c r="FP217" s="530"/>
      <c r="FQ217" s="530"/>
      <c r="GW217" s="128"/>
      <c r="GX217" s="128"/>
      <c r="GY217" s="128"/>
      <c r="GZ217" s="128"/>
      <c r="HA217" s="128"/>
      <c r="HB217" s="128"/>
      <c r="HC217" s="128"/>
      <c r="HD217" s="128"/>
      <c r="HE217" s="128"/>
      <c r="HF217" s="128"/>
      <c r="HG217" s="128"/>
      <c r="HH217" s="128"/>
      <c r="HI217" s="128"/>
      <c r="HJ217" s="128"/>
      <c r="HK217" s="128"/>
      <c r="HL217" s="128"/>
      <c r="HM217" s="128"/>
      <c r="HN217" s="128"/>
      <c r="HO217" s="128"/>
      <c r="HP217" s="128"/>
      <c r="HQ217" s="128"/>
      <c r="HR217" s="128"/>
      <c r="HS217" s="128"/>
      <c r="HT217" s="128"/>
      <c r="HU217" s="128"/>
      <c r="HV217" s="128"/>
      <c r="HW217" s="128"/>
      <c r="HX217" s="128"/>
      <c r="HY217" s="128"/>
      <c r="HZ217" s="128"/>
      <c r="IA217" s="128"/>
      <c r="IB217" s="128"/>
      <c r="IC217" s="128"/>
    </row>
    <row r="218" spans="41:237" x14ac:dyDescent="0.3">
      <c r="AO218" s="128">
        <v>50439</v>
      </c>
      <c r="AP218" s="128" t="s">
        <v>3051</v>
      </c>
      <c r="AQ218" s="128" t="s">
        <v>824</v>
      </c>
      <c r="AR218" s="128" t="s">
        <v>2234</v>
      </c>
      <c r="AS218" s="375">
        <v>46252</v>
      </c>
      <c r="AT218" s="375">
        <v>46261</v>
      </c>
      <c r="AU218" s="530">
        <v>93894</v>
      </c>
      <c r="AV218" s="128">
        <v>50309</v>
      </c>
      <c r="AW218" s="530">
        <v>1600000</v>
      </c>
      <c r="AX218" s="534">
        <f>_xlfn.XLOOKUP(Sell_unvalid[[#This Row],[DEAL_BUY_ID]],BS!BA:BA,BS!BE:BE,,0)</f>
        <v>93871</v>
      </c>
      <c r="AY218" s="534">
        <f>_xlfn.XLOOKUP(Sell_unvalid[[#This Row],[BOND_CODE]],FNRP!D:D,FNRP!I:I,_xlfn.XLOOKUP(Sell_unvalid[[#This Row],[BOND_CODE]],FNRP!AV:AV,FNRP!BA:BA,,0),0)</f>
        <v>89638</v>
      </c>
      <c r="AZ218" s="534">
        <f>_xlfn.XLOOKUP(Sell_unvalid[[#This Row],[DEAL_BUY_ID]],BS!BA:BA,BS!BQ:BQ,,0)*Sell_unvalid[[#This Row],[QUANTITY]]</f>
        <v>-9828713266.9932194</v>
      </c>
      <c r="BA218" s="534">
        <f>(Sell_unvalid[[#This Row],[Giá MtM]]-10^5)*Sell_unvalid[[#This Row],[QUANTITY]]-Sell_unvalid[[#This Row],[PTCK remain]]</f>
        <v>-6750486733.0067806</v>
      </c>
      <c r="BB218" s="534">
        <f>(Sell_unvalid[[#This Row],[PRICE]]-10^5)*Sell_unvalid[[#This Row],[QUANTITY]]-Sell_unvalid[[#This Row],[PTCK remain]]</f>
        <v>59113266.993219376</v>
      </c>
      <c r="BC218" s="534" t="str">
        <f>IF(AND(Sell_unvalid[[#This Row],[VALUE_DATE]]&lt;=RPT,Sell_unvalid[[#This Row],[TRANSACTION_STATUS]]="N"),"Check","Ok")</f>
        <v>Ok</v>
      </c>
      <c r="BD218" s="763"/>
      <c r="BE218" s="534"/>
      <c r="BF218" s="232"/>
      <c r="BG218" s="530"/>
      <c r="BH218" s="531"/>
      <c r="BJ218" s="375"/>
      <c r="BL218" s="530"/>
      <c r="BP218" s="534"/>
      <c r="BR218" s="727"/>
      <c r="BS218" s="128"/>
      <c r="BT218" s="848"/>
      <c r="BU218" s="849">
        <v>46259</v>
      </c>
      <c r="BV218" s="848">
        <v>50432</v>
      </c>
      <c r="BW218" s="848" t="s">
        <v>3901</v>
      </c>
      <c r="BX218" s="530">
        <v>500000</v>
      </c>
      <c r="BY218" s="735">
        <f>_xlfn.XLOOKUP(Est_NIM[[#This Row],[DEAL_BUY_ID]],BS!AL:AL,BS!AU:AU,_xlfn.XLOOKUP(Est_NIM[[#This Row],[DEAL_BUY_ID]],BS!BA:BA,BS!BJ:BJ,,0),0)</f>
        <v>5</v>
      </c>
      <c r="BZ218" s="534">
        <f>Est_NIM[[#This Row],[QUANT]]*Est_NIM[[#This Row],[YIELD]]</f>
        <v>2500000</v>
      </c>
      <c r="CA218" s="128"/>
      <c r="CB218" s="128"/>
      <c r="CE218" s="331"/>
      <c r="CF218" s="331"/>
      <c r="CG218" s="331"/>
      <c r="CH218">
        <v>3730</v>
      </c>
      <c r="CI218">
        <v>14282</v>
      </c>
      <c r="CZ218" s="128"/>
      <c r="DA218" s="128"/>
      <c r="DB218" s="128"/>
      <c r="DC218" s="128"/>
      <c r="DD218" s="128"/>
      <c r="DE218" s="128"/>
      <c r="DF218" s="128"/>
      <c r="DG218" s="128"/>
      <c r="DH218" s="128"/>
      <c r="DI218" s="128"/>
      <c r="DJ218" s="128"/>
      <c r="DK218" s="128"/>
      <c r="DL218" s="128"/>
      <c r="DM218" s="128"/>
      <c r="DN218" s="128"/>
      <c r="DO218" s="128"/>
      <c r="DP218" s="128"/>
      <c r="DQ218" s="128"/>
      <c r="DR218" s="128"/>
      <c r="DS218" s="128"/>
      <c r="DT218" s="128"/>
      <c r="DU218" s="128"/>
      <c r="DV218" s="128"/>
      <c r="DW218" s="128"/>
      <c r="DX218" s="128"/>
      <c r="DY218" s="128"/>
      <c r="DZ218" s="128"/>
      <c r="EA218" s="128"/>
      <c r="EB218" s="128"/>
      <c r="EC218" s="128"/>
      <c r="ED218" s="128"/>
      <c r="EE218" s="128"/>
      <c r="EF218" s="128"/>
      <c r="EG218" s="128"/>
      <c r="EH218" s="128"/>
      <c r="EI218" s="128"/>
      <c r="EJ218" s="128"/>
      <c r="EK218" s="128"/>
      <c r="EL218" s="530"/>
      <c r="EM218" s="530"/>
      <c r="EN218" s="530"/>
      <c r="EO218" s="530"/>
      <c r="EP218" s="530"/>
      <c r="EQ218" s="530"/>
      <c r="ER218" s="530"/>
      <c r="ES218" s="530"/>
      <c r="ET218" s="530"/>
      <c r="EU218" s="530"/>
      <c r="EV218" s="530"/>
      <c r="EW218" s="530"/>
      <c r="EX218" s="530"/>
      <c r="EY218" s="530"/>
      <c r="EZ218" s="530"/>
      <c r="FA218" s="530"/>
      <c r="FB218" s="530"/>
      <c r="FC218" s="530"/>
      <c r="FD218" s="530"/>
      <c r="FE218" s="530"/>
      <c r="FF218" s="530"/>
      <c r="FG218" s="530"/>
      <c r="FH218" s="530"/>
      <c r="FI218" s="530"/>
      <c r="FJ218" s="530"/>
      <c r="FK218" s="530"/>
      <c r="FL218" s="530"/>
      <c r="FM218" s="530"/>
      <c r="FN218" s="530"/>
      <c r="FO218" s="530"/>
      <c r="FP218" s="530"/>
      <c r="FQ218" s="530"/>
      <c r="GX218" s="128"/>
      <c r="GY218" s="128"/>
      <c r="GZ218" s="128"/>
      <c r="HA218" s="128"/>
      <c r="HB218" s="128"/>
      <c r="HC218" s="128"/>
      <c r="HD218" s="128"/>
      <c r="HE218" s="128"/>
      <c r="HF218" s="128"/>
      <c r="HG218" s="128"/>
      <c r="HH218" s="128"/>
      <c r="HI218" s="128"/>
      <c r="HJ218" s="128"/>
      <c r="HK218" s="128"/>
      <c r="HL218" s="128"/>
      <c r="HM218" s="128"/>
      <c r="HN218" s="128"/>
      <c r="HO218" s="128"/>
      <c r="HP218" s="128"/>
      <c r="HQ218" s="128"/>
      <c r="HR218" s="128"/>
      <c r="HS218" s="128"/>
      <c r="HT218" s="128"/>
      <c r="HU218" s="128"/>
      <c r="HV218" s="128"/>
      <c r="HW218" s="128"/>
      <c r="HX218" s="128"/>
      <c r="HY218" s="128"/>
      <c r="HZ218" s="128"/>
      <c r="IA218" s="128"/>
      <c r="IB218" s="128"/>
      <c r="IC218" s="128"/>
    </row>
    <row r="219" spans="41:237" x14ac:dyDescent="0.3">
      <c r="AO219" s="128">
        <v>50164</v>
      </c>
      <c r="AP219" s="128" t="s">
        <v>3317</v>
      </c>
      <c r="AQ219" s="128" t="s">
        <v>824</v>
      </c>
      <c r="AR219" s="128" t="s">
        <v>3594</v>
      </c>
      <c r="AS219" s="375">
        <v>46204</v>
      </c>
      <c r="AT219" s="375">
        <v>46206</v>
      </c>
      <c r="AU219" s="530">
        <v>98612</v>
      </c>
      <c r="AV219" s="128">
        <v>50048</v>
      </c>
      <c r="AW219" s="530">
        <v>110000</v>
      </c>
      <c r="AX219" s="534">
        <f>_xlfn.XLOOKUP(Sell_unvalid[[#This Row],[DEAL_BUY_ID]],BS!BA:BA,BS!BE:BE,,0)</f>
        <v>98599</v>
      </c>
      <c r="AY219" s="534">
        <f>_xlfn.XLOOKUP(Sell_unvalid[[#This Row],[BOND_CODE]],FNRP!D:D,FNRP!I:I,_xlfn.XLOOKUP(Sell_unvalid[[#This Row],[BOND_CODE]],FNRP!AV:AV,FNRP!BA:BA,,0),0)</f>
        <v>91987</v>
      </c>
      <c r="AZ219" s="534">
        <f>_xlfn.XLOOKUP(Sell_unvalid[[#This Row],[DEAL_BUY_ID]],BS!BA:BA,BS!BQ:BQ,,0)*Sell_unvalid[[#This Row],[QUANTITY]]</f>
        <v>-151240788.21515518</v>
      </c>
      <c r="BA219" s="534">
        <f>(Sell_unvalid[[#This Row],[Giá MtM]]-10^5)*Sell_unvalid[[#This Row],[QUANTITY]]-Sell_unvalid[[#This Row],[PTCK remain]]</f>
        <v>-730189211.78484488</v>
      </c>
      <c r="BB219" s="534">
        <f>(Sell_unvalid[[#This Row],[PRICE]]-10^5)*Sell_unvalid[[#This Row],[QUANTITY]]-Sell_unvalid[[#This Row],[PTCK remain]]</f>
        <v>-1439211.7848448157</v>
      </c>
      <c r="BC219" s="534" t="str">
        <f>IF(AND(Sell_unvalid[[#This Row],[VALUE_DATE]]&lt;=RPT,Sell_unvalid[[#This Row],[TRANSACTION_STATUS]]="N"),"Check","Ok")</f>
        <v>Ok</v>
      </c>
      <c r="BD219" s="763"/>
      <c r="BE219" s="534"/>
      <c r="BF219" s="232"/>
      <c r="BG219" s="530"/>
      <c r="BH219" s="531"/>
      <c r="BJ219" s="375"/>
      <c r="BL219" s="530"/>
      <c r="BP219" s="534"/>
      <c r="BR219" s="727"/>
      <c r="BS219" s="128"/>
      <c r="BT219" s="848"/>
      <c r="BU219" s="849">
        <v>46259</v>
      </c>
      <c r="BV219" s="848">
        <v>50434</v>
      </c>
      <c r="BW219" s="848" t="s">
        <v>3901</v>
      </c>
      <c r="BX219" s="530">
        <v>1340000</v>
      </c>
      <c r="BY219" s="735">
        <f>_xlfn.XLOOKUP(Est_NIM[[#This Row],[DEAL_BUY_ID]],BS!AL:AL,BS!AU:AU,_xlfn.XLOOKUP(Est_NIM[[#This Row],[DEAL_BUY_ID]],BS!BA:BA,BS!BJ:BJ,,0),0)</f>
        <v>2.6</v>
      </c>
      <c r="BZ219" s="534">
        <f>Est_NIM[[#This Row],[QUANT]]*Est_NIM[[#This Row],[YIELD]]</f>
        <v>3484000</v>
      </c>
      <c r="CA219" s="128"/>
      <c r="CB219" s="128"/>
      <c r="CE219" s="331"/>
      <c r="CF219" s="331"/>
      <c r="CG219" s="331"/>
      <c r="CH219">
        <v>3730</v>
      </c>
      <c r="CI219">
        <v>14282</v>
      </c>
      <c r="DA219" s="128"/>
      <c r="DB219" s="128"/>
      <c r="DC219" s="128"/>
      <c r="DD219" s="128"/>
      <c r="DE219" s="128"/>
      <c r="DF219" s="128"/>
      <c r="DG219" s="128"/>
      <c r="DH219" s="128"/>
      <c r="DI219" s="128"/>
      <c r="DJ219" s="128"/>
      <c r="DK219" s="128"/>
      <c r="DL219" s="128"/>
      <c r="DM219" s="128"/>
      <c r="DN219" s="128"/>
      <c r="DO219" s="128"/>
      <c r="DP219" s="128"/>
      <c r="DQ219" s="128"/>
      <c r="DR219" s="128"/>
      <c r="DS219" s="128"/>
      <c r="DT219" s="128"/>
      <c r="DU219" s="128"/>
      <c r="DV219" s="128"/>
      <c r="DW219" s="128"/>
      <c r="DX219" s="128"/>
      <c r="DY219" s="128"/>
      <c r="DZ219" s="128"/>
      <c r="EA219" s="128"/>
      <c r="EB219" s="128"/>
      <c r="EC219" s="128"/>
      <c r="ED219" s="128"/>
      <c r="EE219" s="128"/>
      <c r="EF219" s="128"/>
      <c r="EG219" s="128"/>
      <c r="EH219" s="128"/>
      <c r="EI219" s="128"/>
      <c r="EJ219" s="128"/>
      <c r="EK219" s="128"/>
      <c r="EL219" s="128"/>
      <c r="EM219" s="530"/>
      <c r="EN219" s="530"/>
      <c r="EO219" s="530"/>
      <c r="EP219" s="530"/>
      <c r="EQ219" s="530"/>
      <c r="ER219" s="530"/>
      <c r="ES219" s="530"/>
      <c r="ET219" s="530"/>
      <c r="EU219" s="530"/>
      <c r="EV219" s="530"/>
      <c r="EW219" s="530"/>
      <c r="EX219" s="530"/>
      <c r="EY219" s="530"/>
      <c r="EZ219" s="530"/>
      <c r="FA219" s="530"/>
      <c r="FB219" s="530"/>
      <c r="FC219" s="530"/>
      <c r="FD219" s="530"/>
      <c r="FE219" s="530"/>
      <c r="FF219" s="530"/>
      <c r="FG219" s="530"/>
      <c r="FH219" s="530"/>
      <c r="FI219" s="530"/>
      <c r="FJ219" s="530"/>
      <c r="FK219" s="530"/>
      <c r="FL219" s="530"/>
      <c r="FM219" s="530"/>
      <c r="FN219" s="530"/>
      <c r="FO219" s="530"/>
      <c r="FP219" s="530"/>
      <c r="FQ219" s="530"/>
      <c r="GY219" s="128"/>
      <c r="GZ219" s="128"/>
      <c r="HA219" s="128"/>
      <c r="HB219" s="128"/>
      <c r="HC219" s="128"/>
      <c r="HD219" s="128"/>
      <c r="HE219" s="128"/>
      <c r="HF219" s="128"/>
      <c r="HG219" s="128"/>
      <c r="HH219" s="128"/>
      <c r="HI219" s="128"/>
      <c r="HJ219" s="128"/>
      <c r="HK219" s="128"/>
      <c r="HL219" s="128"/>
      <c r="HM219" s="128"/>
      <c r="HN219" s="128"/>
      <c r="HO219" s="128"/>
      <c r="HP219" s="128"/>
      <c r="HQ219" s="128"/>
      <c r="HR219" s="128"/>
      <c r="HS219" s="128"/>
      <c r="HT219" s="128"/>
      <c r="HU219" s="128"/>
      <c r="HV219" s="128"/>
      <c r="HW219" s="128"/>
      <c r="HX219" s="128"/>
      <c r="HY219" s="128"/>
      <c r="HZ219" s="128"/>
      <c r="IA219" s="128"/>
      <c r="IB219" s="128"/>
      <c r="IC219" s="128"/>
    </row>
    <row r="220" spans="41:237" x14ac:dyDescent="0.3">
      <c r="AO220" s="128">
        <v>50437</v>
      </c>
      <c r="AP220" s="128" t="s">
        <v>3317</v>
      </c>
      <c r="AQ220" s="128" t="s">
        <v>824</v>
      </c>
      <c r="AR220" s="128" t="s">
        <v>2234</v>
      </c>
      <c r="AS220" s="375">
        <v>46251</v>
      </c>
      <c r="AT220" s="375">
        <v>46259</v>
      </c>
      <c r="AU220" s="530">
        <v>98633</v>
      </c>
      <c r="AV220" s="128">
        <v>50165</v>
      </c>
      <c r="AW220" s="530">
        <v>110000</v>
      </c>
      <c r="AX220" s="534">
        <f>_xlfn.XLOOKUP(Sell_unvalid[[#This Row],[DEAL_BUY_ID]],BS!BA:BA,BS!BE:BE,,0)</f>
        <v>98638</v>
      </c>
      <c r="AY220" s="534">
        <f>_xlfn.XLOOKUP(Sell_unvalid[[#This Row],[BOND_CODE]],FNRP!D:D,FNRP!I:I,_xlfn.XLOOKUP(Sell_unvalid[[#This Row],[BOND_CODE]],FNRP!AV:AV,FNRP!BA:BA,,0),0)</f>
        <v>91987</v>
      </c>
      <c r="AZ220" s="534">
        <f>_xlfn.XLOOKUP(Sell_unvalid[[#This Row],[DEAL_BUY_ID]],BS!BA:BA,BS!BQ:BQ,,0)*Sell_unvalid[[#This Row],[QUANTITY]]</f>
        <v>-148686301.99233872</v>
      </c>
      <c r="BA220" s="534">
        <f>(Sell_unvalid[[#This Row],[Giá MtM]]-10^5)*Sell_unvalid[[#This Row],[QUANTITY]]-Sell_unvalid[[#This Row],[PTCK remain]]</f>
        <v>-732743698.00766134</v>
      </c>
      <c r="BB220" s="534">
        <f>(Sell_unvalid[[#This Row],[PRICE]]-10^5)*Sell_unvalid[[#This Row],[QUANTITY]]-Sell_unvalid[[#This Row],[PTCK remain]]</f>
        <v>-1683698.007661283</v>
      </c>
      <c r="BC220" s="534" t="str">
        <f>IF(AND(Sell_unvalid[[#This Row],[VALUE_DATE]]&lt;=RPT,Sell_unvalid[[#This Row],[TRANSACTION_STATUS]]="N"),"Check","Ok")</f>
        <v>Ok</v>
      </c>
      <c r="BD220" s="763"/>
      <c r="BE220" s="534"/>
      <c r="BF220" s="232"/>
      <c r="BG220" s="530"/>
      <c r="BH220" s="531"/>
      <c r="BJ220" s="375"/>
      <c r="BL220" s="530"/>
      <c r="BP220" s="534"/>
      <c r="BR220" s="727"/>
      <c r="BS220" s="128"/>
      <c r="BT220" s="848"/>
      <c r="BU220" s="849">
        <v>46262</v>
      </c>
      <c r="BV220" s="848">
        <v>50436</v>
      </c>
      <c r="BW220" s="848" t="s">
        <v>3901</v>
      </c>
      <c r="BX220" s="530">
        <v>2000000</v>
      </c>
      <c r="BY220" s="735">
        <f>_xlfn.XLOOKUP(Est_NIM[[#This Row],[DEAL_BUY_ID]],BS!AL:AL,BS!AU:AU,_xlfn.XLOOKUP(Est_NIM[[#This Row],[DEAL_BUY_ID]],BS!BA:BA,BS!BJ:BJ,,0),0)</f>
        <v>2.7</v>
      </c>
      <c r="BZ220" s="534">
        <f>Est_NIM[[#This Row],[QUANT]]*Est_NIM[[#This Row],[YIELD]]</f>
        <v>5400000</v>
      </c>
      <c r="CA220" s="128"/>
      <c r="CB220" s="128"/>
      <c r="CE220" s="331"/>
      <c r="CF220" s="331"/>
      <c r="CG220" s="331"/>
      <c r="CH220">
        <v>3730</v>
      </c>
      <c r="CI220">
        <v>14282</v>
      </c>
      <c r="DA220" s="128"/>
      <c r="DB220" s="128"/>
      <c r="DC220" s="128"/>
      <c r="DD220" s="128"/>
      <c r="DE220" s="128"/>
      <c r="DF220" s="128"/>
      <c r="DG220" s="128"/>
      <c r="DH220" s="128"/>
      <c r="DI220" s="128"/>
      <c r="DJ220" s="128"/>
      <c r="DK220" s="128"/>
      <c r="DL220" s="128"/>
      <c r="DM220" s="128"/>
      <c r="DN220" s="128"/>
      <c r="DO220" s="128"/>
      <c r="DP220" s="128"/>
      <c r="DQ220" s="128"/>
      <c r="DR220" s="128"/>
      <c r="DS220" s="128"/>
      <c r="DT220" s="128"/>
      <c r="DU220" s="128"/>
      <c r="DV220" s="128"/>
      <c r="DW220" s="128"/>
      <c r="DX220" s="128"/>
      <c r="DY220" s="128"/>
      <c r="DZ220" s="128"/>
      <c r="EA220" s="128"/>
      <c r="EB220" s="128"/>
      <c r="EC220" s="128"/>
      <c r="ED220" s="128"/>
      <c r="EE220" s="128"/>
      <c r="EF220" s="128"/>
      <c r="EG220" s="128"/>
      <c r="EH220" s="128"/>
      <c r="EI220" s="128"/>
      <c r="EJ220" s="128"/>
      <c r="EK220" s="128"/>
      <c r="EL220" s="128"/>
      <c r="EM220" s="530"/>
      <c r="EN220" s="530"/>
      <c r="EO220" s="530"/>
      <c r="EP220" s="530"/>
      <c r="EQ220" s="530"/>
      <c r="ER220" s="530"/>
      <c r="ES220" s="530"/>
      <c r="ET220" s="530"/>
      <c r="EU220" s="530"/>
      <c r="EV220" s="530"/>
      <c r="EW220" s="530"/>
      <c r="EX220" s="530"/>
      <c r="EY220" s="530"/>
      <c r="EZ220" s="530"/>
      <c r="FA220" s="530"/>
      <c r="FB220" s="530"/>
      <c r="FC220" s="530"/>
      <c r="FD220" s="530"/>
      <c r="FE220" s="530"/>
      <c r="FF220" s="530"/>
      <c r="FG220" s="530"/>
      <c r="FH220" s="530"/>
      <c r="FI220" s="530"/>
      <c r="FJ220" s="530"/>
      <c r="FK220" s="530"/>
      <c r="FL220" s="530"/>
      <c r="FM220" s="530"/>
      <c r="FN220" s="530"/>
      <c r="FO220" s="530"/>
      <c r="FP220" s="530"/>
      <c r="FQ220" s="530"/>
      <c r="GY220" s="128"/>
      <c r="GZ220" s="128"/>
      <c r="HA220" s="128"/>
      <c r="HB220" s="128"/>
      <c r="HC220" s="128"/>
      <c r="HD220" s="128"/>
      <c r="HE220" s="128"/>
      <c r="HF220" s="128"/>
      <c r="HG220" s="128"/>
      <c r="HH220" s="128"/>
      <c r="HI220" s="128"/>
      <c r="HJ220" s="128"/>
      <c r="HK220" s="128"/>
      <c r="HL220" s="128"/>
      <c r="HM220" s="128"/>
      <c r="HN220" s="128"/>
      <c r="HO220" s="128"/>
      <c r="HP220" s="128"/>
      <c r="HQ220" s="128"/>
      <c r="HR220" s="128"/>
      <c r="HS220" s="128"/>
      <c r="HT220" s="128"/>
      <c r="HU220" s="128"/>
      <c r="HV220" s="128"/>
      <c r="HW220" s="128"/>
      <c r="HX220" s="128"/>
      <c r="HY220" s="128"/>
      <c r="HZ220" s="128"/>
      <c r="IA220" s="128"/>
      <c r="IB220" s="128"/>
      <c r="IC220" s="128"/>
    </row>
    <row r="221" spans="41:237" x14ac:dyDescent="0.3">
      <c r="AO221" s="128">
        <v>48525</v>
      </c>
      <c r="AP221" s="128" t="s">
        <v>3621</v>
      </c>
      <c r="AQ221" s="128" t="s">
        <v>824</v>
      </c>
      <c r="AR221" s="128" t="s">
        <v>3594</v>
      </c>
      <c r="AS221" s="375">
        <v>46034</v>
      </c>
      <c r="AT221" s="375">
        <v>46223</v>
      </c>
      <c r="AU221" s="530">
        <v>85592</v>
      </c>
      <c r="AV221" s="128">
        <v>48605</v>
      </c>
      <c r="AW221" s="530">
        <v>1045000</v>
      </c>
      <c r="AX221" s="534">
        <f>_xlfn.XLOOKUP(Sell_unvalid[[#This Row],[DEAL_BUY_ID]],BS!BA:BA,BS!BE:BE,,0)</f>
        <v>86928</v>
      </c>
      <c r="AY221" s="534">
        <f>_xlfn.XLOOKUP(Sell_unvalid[[#This Row],[BOND_CODE]],FNRP!D:D,FNRP!I:I,_xlfn.XLOOKUP(Sell_unvalid[[#This Row],[BOND_CODE]],FNRP!AV:AV,FNRP!BA:BA,,0),0)</f>
        <v>83825</v>
      </c>
      <c r="AZ221" s="534">
        <f>_xlfn.XLOOKUP(Sell_unvalid[[#This Row],[DEAL_BUY_ID]],BS!BA:BA,BS!BQ:BQ,,0)*Sell_unvalid[[#This Row],[QUANTITY]]</f>
        <v>-13103240654.04981</v>
      </c>
      <c r="BA221" s="534">
        <f>(Sell_unvalid[[#This Row],[Giá MtM]]-10^5)*Sell_unvalid[[#This Row],[QUANTITY]]-Sell_unvalid[[#This Row],[PTCK remain]]</f>
        <v>-3799634345.9501896</v>
      </c>
      <c r="BB221" s="534">
        <f>(Sell_unvalid[[#This Row],[PRICE]]-10^5)*Sell_unvalid[[#This Row],[QUANTITY]]-Sell_unvalid[[#This Row],[PTCK remain]]</f>
        <v>-1953119345.9501896</v>
      </c>
      <c r="BC221" s="534" t="str">
        <f>IF(AND(Sell_unvalid[[#This Row],[VALUE_DATE]]&lt;=RPT,Sell_unvalid[[#This Row],[TRANSACTION_STATUS]]="N"),"Check","Ok")</f>
        <v>Ok</v>
      </c>
      <c r="BD221" s="763"/>
      <c r="BE221" s="534"/>
      <c r="BF221" s="232"/>
      <c r="BG221" s="530"/>
      <c r="BH221" s="531"/>
      <c r="BJ221" s="375"/>
      <c r="BL221" s="530"/>
      <c r="BP221" s="534"/>
      <c r="BR221" s="727"/>
      <c r="BS221" s="128"/>
      <c r="BT221" s="848"/>
      <c r="BU221" s="849">
        <v>46262</v>
      </c>
      <c r="BV221" s="848">
        <v>50438</v>
      </c>
      <c r="BW221" s="848" t="s">
        <v>3901</v>
      </c>
      <c r="BX221" s="530">
        <v>110000</v>
      </c>
      <c r="BY221" s="735">
        <f>_xlfn.XLOOKUP(Est_NIM[[#This Row],[DEAL_BUY_ID]],BS!AL:AL,BS!AU:AU,_xlfn.XLOOKUP(Est_NIM[[#This Row],[DEAL_BUY_ID]],BS!BA:BA,BS!BJ:BJ,,0),0)</f>
        <v>3.3</v>
      </c>
      <c r="BZ221" s="534">
        <f>Est_NIM[[#This Row],[QUANT]]*Est_NIM[[#This Row],[YIELD]]</f>
        <v>363000</v>
      </c>
      <c r="CA221" s="128"/>
      <c r="CB221" s="128"/>
      <c r="CE221" s="331"/>
      <c r="CF221" s="331"/>
      <c r="CG221" s="331"/>
      <c r="CH221">
        <v>3730</v>
      </c>
      <c r="CI221">
        <v>14282</v>
      </c>
      <c r="DB221" s="128"/>
      <c r="DC221" s="128"/>
      <c r="DD221" s="128"/>
      <c r="DE221" s="128"/>
      <c r="DF221" s="128"/>
      <c r="DG221" s="128"/>
      <c r="DH221" s="128"/>
      <c r="DI221" s="128"/>
      <c r="DJ221" s="128"/>
      <c r="DK221" s="128"/>
      <c r="DL221" s="128"/>
      <c r="DM221" s="128"/>
      <c r="DN221" s="128"/>
      <c r="DO221" s="128"/>
      <c r="DP221" s="128"/>
      <c r="DQ221" s="128"/>
      <c r="DR221" s="128"/>
      <c r="DS221" s="128"/>
      <c r="DT221" s="128"/>
      <c r="DU221" s="128"/>
      <c r="DV221" s="128"/>
      <c r="DW221" s="128"/>
      <c r="DX221" s="128"/>
      <c r="DY221" s="128"/>
      <c r="DZ221" s="128"/>
      <c r="EA221" s="128"/>
      <c r="EB221" s="128"/>
      <c r="EC221" s="128"/>
      <c r="ED221" s="128"/>
      <c r="EE221" s="128"/>
      <c r="EF221" s="128"/>
      <c r="EG221" s="128"/>
      <c r="EH221" s="128"/>
      <c r="EI221" s="128"/>
      <c r="EJ221" s="128"/>
      <c r="EK221" s="128"/>
      <c r="EL221" s="128"/>
      <c r="EM221" s="128"/>
      <c r="EN221" s="530"/>
      <c r="EO221" s="530"/>
      <c r="EP221" s="530"/>
      <c r="EQ221" s="530"/>
      <c r="ER221" s="530"/>
      <c r="ES221" s="530"/>
      <c r="ET221" s="530"/>
      <c r="EU221" s="530"/>
      <c r="EV221" s="530"/>
      <c r="EW221" s="530"/>
      <c r="EX221" s="530"/>
      <c r="EY221" s="530"/>
      <c r="EZ221" s="530"/>
      <c r="FA221" s="530"/>
      <c r="FB221" s="530"/>
      <c r="FC221" s="530"/>
      <c r="FD221" s="530"/>
      <c r="FE221" s="530"/>
      <c r="FF221" s="530"/>
      <c r="FG221" s="530"/>
      <c r="FH221" s="530"/>
      <c r="FI221" s="530"/>
      <c r="FJ221" s="530"/>
      <c r="FK221" s="530"/>
      <c r="FL221" s="530"/>
      <c r="FM221" s="530"/>
      <c r="FN221" s="530"/>
      <c r="FO221" s="530"/>
      <c r="FP221" s="530"/>
      <c r="FQ221" s="530"/>
      <c r="GZ221" s="128"/>
      <c r="HA221" s="128"/>
      <c r="HB221" s="128"/>
      <c r="HC221" s="128"/>
      <c r="HD221" s="128"/>
      <c r="HE221" s="128"/>
      <c r="HF221" s="128"/>
      <c r="HG221" s="128"/>
      <c r="HH221" s="128"/>
      <c r="HI221" s="128"/>
      <c r="HJ221" s="128"/>
      <c r="HK221" s="128"/>
      <c r="HL221" s="128"/>
      <c r="HM221" s="128"/>
      <c r="HN221" s="128"/>
      <c r="HO221" s="128"/>
      <c r="HP221" s="128"/>
      <c r="HQ221" s="128"/>
      <c r="HR221" s="128"/>
      <c r="HS221" s="128"/>
      <c r="HT221" s="128"/>
      <c r="HU221" s="128"/>
      <c r="HV221" s="128"/>
      <c r="HW221" s="128"/>
      <c r="HX221" s="128"/>
      <c r="HY221" s="128"/>
      <c r="HZ221" s="128"/>
      <c r="IA221" s="128"/>
      <c r="IB221" s="128"/>
      <c r="IC221" s="128"/>
    </row>
    <row r="222" spans="41:237" x14ac:dyDescent="0.3">
      <c r="AO222" s="128">
        <v>50052</v>
      </c>
      <c r="AP222" s="128" t="s">
        <v>1209</v>
      </c>
      <c r="AQ222" s="128" t="s">
        <v>824</v>
      </c>
      <c r="AR222" s="128" t="s">
        <v>3594</v>
      </c>
      <c r="AS222" s="375">
        <v>46189</v>
      </c>
      <c r="AT222" s="375">
        <v>46232</v>
      </c>
      <c r="AU222" s="530">
        <v>124036</v>
      </c>
      <c r="AV222" s="128">
        <v>50209</v>
      </c>
      <c r="AW222" s="530">
        <v>8480000</v>
      </c>
      <c r="AX222" s="534">
        <f>_xlfn.XLOOKUP(Sell_unvalid[[#This Row],[DEAL_BUY_ID]],BS!BA:BA,BS!BE:BE,,0)</f>
        <v>124096</v>
      </c>
      <c r="AY222" s="534">
        <f>_xlfn.XLOOKUP(Sell_unvalid[[#This Row],[BOND_CODE]],FNRP!D:D,FNRP!I:I,_xlfn.XLOOKUP(Sell_unvalid[[#This Row],[BOND_CODE]],FNRP!AV:AV,FNRP!BA:BA,,0),0)</f>
        <v>124387</v>
      </c>
      <c r="AZ222" s="534">
        <f>_xlfn.XLOOKUP(Sell_unvalid[[#This Row],[DEAL_BUY_ID]],BS!BA:BA,BS!BQ:BQ,,0)*Sell_unvalid[[#This Row],[QUANTITY]]</f>
        <v>202973382626.79642</v>
      </c>
      <c r="BA222" s="534">
        <f>(Sell_unvalid[[#This Row],[Giá MtM]]-10^5)*Sell_unvalid[[#This Row],[QUANTITY]]-Sell_unvalid[[#This Row],[PTCK remain]]</f>
        <v>3828377373.2035828</v>
      </c>
      <c r="BB222" s="534">
        <f>(Sell_unvalid[[#This Row],[PRICE]]-10^5)*Sell_unvalid[[#This Row],[QUANTITY]]-Sell_unvalid[[#This Row],[PTCK remain]]</f>
        <v>851897373.20358276</v>
      </c>
      <c r="BC222" s="534" t="str">
        <f>IF(AND(Sell_unvalid[[#This Row],[VALUE_DATE]]&lt;=RPT,Sell_unvalid[[#This Row],[TRANSACTION_STATUS]]="N"),"Check","Ok")</f>
        <v>Ok</v>
      </c>
      <c r="BD222" s="763"/>
      <c r="BE222" s="534"/>
      <c r="BF222" s="232"/>
      <c r="BG222" s="530"/>
      <c r="BH222" s="531"/>
      <c r="BJ222" s="375"/>
      <c r="BL222" s="530"/>
      <c r="BP222" s="534"/>
      <c r="BR222" s="727"/>
      <c r="BS222" s="128"/>
      <c r="BT222" s="848"/>
      <c r="BU222" s="849">
        <v>46262</v>
      </c>
      <c r="BV222" s="848">
        <v>50440</v>
      </c>
      <c r="BW222" s="848" t="s">
        <v>3901</v>
      </c>
      <c r="BX222" s="530">
        <v>1600000</v>
      </c>
      <c r="BY222" s="735">
        <f>_xlfn.XLOOKUP(Est_NIM[[#This Row],[DEAL_BUY_ID]],BS!AL:AL,BS!AU:AU,_xlfn.XLOOKUP(Est_NIM[[#This Row],[DEAL_BUY_ID]],BS!BA:BA,BS!BJ:BJ,,0),0)</f>
        <v>2.9</v>
      </c>
      <c r="BZ222" s="534">
        <f>Est_NIM[[#This Row],[QUANT]]*Est_NIM[[#This Row],[YIELD]]</f>
        <v>4640000</v>
      </c>
      <c r="CA222" s="128"/>
      <c r="CB222" s="128"/>
      <c r="CE222" s="331"/>
      <c r="CF222" s="331"/>
      <c r="CG222" s="331"/>
      <c r="CH222">
        <v>3730</v>
      </c>
      <c r="CI222">
        <v>14282</v>
      </c>
      <c r="DB222" s="128"/>
      <c r="DC222" s="128"/>
      <c r="DD222" s="128"/>
      <c r="DE222" s="128"/>
      <c r="DF222" s="128"/>
      <c r="DG222" s="128"/>
      <c r="DH222" s="128"/>
      <c r="DI222" s="128"/>
      <c r="DJ222" s="128"/>
      <c r="DK222" s="128"/>
      <c r="DL222" s="128"/>
      <c r="DM222" s="128"/>
      <c r="DN222" s="128"/>
      <c r="DO222" s="128"/>
      <c r="DP222" s="128"/>
      <c r="DQ222" s="128"/>
      <c r="DR222" s="128"/>
      <c r="DS222" s="128"/>
      <c r="DT222" s="128"/>
      <c r="DU222" s="128"/>
      <c r="DV222" s="128"/>
      <c r="DW222" s="128"/>
      <c r="DX222" s="128"/>
      <c r="DY222" s="128"/>
      <c r="DZ222" s="128"/>
      <c r="EA222" s="128"/>
      <c r="EB222" s="128"/>
      <c r="EC222" s="128"/>
      <c r="ED222" s="128"/>
      <c r="EE222" s="128"/>
      <c r="EF222" s="128"/>
      <c r="EG222" s="128"/>
      <c r="EH222" s="128"/>
      <c r="EI222" s="128"/>
      <c r="EJ222" s="128"/>
      <c r="EK222" s="128"/>
      <c r="EL222" s="128"/>
      <c r="EM222" s="128"/>
      <c r="EN222" s="530"/>
      <c r="EO222" s="530"/>
      <c r="EP222" s="530"/>
      <c r="EQ222" s="530"/>
      <c r="ER222" s="530"/>
      <c r="ES222" s="530"/>
      <c r="ET222" s="530"/>
      <c r="EU222" s="530"/>
      <c r="EV222" s="530"/>
      <c r="EW222" s="530"/>
      <c r="EX222" s="530"/>
      <c r="EY222" s="530"/>
      <c r="EZ222" s="530"/>
      <c r="FA222" s="530"/>
      <c r="FB222" s="530"/>
      <c r="FC222" s="530"/>
      <c r="FD222" s="530"/>
      <c r="FE222" s="530"/>
      <c r="FF222" s="530"/>
      <c r="FG222" s="530"/>
      <c r="FH222" s="530"/>
      <c r="FI222" s="530"/>
      <c r="FJ222" s="530"/>
      <c r="FK222" s="530"/>
      <c r="FL222" s="530"/>
      <c r="FM222" s="530"/>
      <c r="FN222" s="530"/>
      <c r="FO222" s="530"/>
      <c r="FP222" s="530"/>
      <c r="FQ222" s="530"/>
      <c r="GZ222" s="128"/>
      <c r="HA222" s="128"/>
      <c r="HB222" s="128"/>
      <c r="HC222" s="128"/>
      <c r="HD222" s="128"/>
      <c r="HE222" s="128"/>
      <c r="HF222" s="128"/>
      <c r="HG222" s="128"/>
      <c r="HH222" s="128"/>
      <c r="HI222" s="128"/>
      <c r="HJ222" s="128"/>
      <c r="HK222" s="128"/>
      <c r="HL222" s="128"/>
      <c r="HM222" s="128"/>
      <c r="HN222" s="128"/>
      <c r="HO222" s="128"/>
      <c r="HP222" s="128"/>
      <c r="HQ222" s="128"/>
      <c r="HR222" s="128"/>
      <c r="HS222" s="128"/>
      <c r="HT222" s="128"/>
      <c r="HU222" s="128"/>
      <c r="HV222" s="128"/>
      <c r="HW222" s="128"/>
      <c r="HX222" s="128"/>
      <c r="HY222" s="128"/>
      <c r="HZ222" s="128"/>
      <c r="IA222" s="128"/>
      <c r="IB222" s="128"/>
      <c r="IC222" s="128"/>
    </row>
    <row r="223" spans="41:237" x14ac:dyDescent="0.3">
      <c r="AO223" s="128">
        <v>50208</v>
      </c>
      <c r="AP223" s="128" t="s">
        <v>1209</v>
      </c>
      <c r="AQ223" s="128" t="s">
        <v>824</v>
      </c>
      <c r="AR223" s="128" t="s">
        <v>3594</v>
      </c>
      <c r="AS223" s="375">
        <v>46224</v>
      </c>
      <c r="AT223" s="375">
        <v>46227</v>
      </c>
      <c r="AU223" s="530">
        <v>124118</v>
      </c>
      <c r="AV223" s="128">
        <v>50051</v>
      </c>
      <c r="AW223" s="530">
        <v>8480000</v>
      </c>
      <c r="AX223" s="534">
        <f>_xlfn.XLOOKUP(Sell_unvalid[[#This Row],[DEAL_BUY_ID]],BS!BA:BA,BS!BE:BE,,0)</f>
        <v>124325</v>
      </c>
      <c r="AY223" s="534">
        <f>_xlfn.XLOOKUP(Sell_unvalid[[#This Row],[BOND_CODE]],FNRP!D:D,FNRP!I:I,_xlfn.XLOOKUP(Sell_unvalid[[#This Row],[BOND_CODE]],FNRP!AV:AV,FNRP!BA:BA,,0),0)</f>
        <v>124387</v>
      </c>
      <c r="AZ223" s="534">
        <f>_xlfn.XLOOKUP(Sell_unvalid[[#This Row],[DEAL_BUY_ID]],BS!BA:BA,BS!BQ:BQ,,0)*Sell_unvalid[[#This Row],[QUANTITY]]</f>
        <v>202381808284.8396</v>
      </c>
      <c r="BA223" s="534">
        <f>(Sell_unvalid[[#This Row],[Giá MtM]]-10^5)*Sell_unvalid[[#This Row],[QUANTITY]]-Sell_unvalid[[#This Row],[PTCK remain]]</f>
        <v>4419951715.1604004</v>
      </c>
      <c r="BB223" s="534">
        <f>(Sell_unvalid[[#This Row],[PRICE]]-10^5)*Sell_unvalid[[#This Row],[QUANTITY]]-Sell_unvalid[[#This Row],[PTCK remain]]</f>
        <v>2138831715.1604004</v>
      </c>
      <c r="BC223" s="534" t="str">
        <f>IF(AND(Sell_unvalid[[#This Row],[VALUE_DATE]]&lt;=RPT,Sell_unvalid[[#This Row],[TRANSACTION_STATUS]]="N"),"Check","Ok")</f>
        <v>Ok</v>
      </c>
      <c r="BD223" s="763"/>
      <c r="BE223" s="534"/>
      <c r="BF223" s="232"/>
      <c r="BG223" s="530"/>
      <c r="BH223" s="531"/>
      <c r="BJ223" s="375"/>
      <c r="BL223" s="530"/>
      <c r="BP223" s="534"/>
      <c r="BR223" s="727"/>
      <c r="BS223" s="128"/>
      <c r="BT223" s="848"/>
      <c r="BU223" s="849">
        <v>46252</v>
      </c>
      <c r="BV223" s="848">
        <v>50457</v>
      </c>
      <c r="BW223" s="848" t="s">
        <v>3901</v>
      </c>
      <c r="BX223" s="530">
        <v>2000000</v>
      </c>
      <c r="BY223" s="735">
        <f>_xlfn.XLOOKUP(Est_NIM[[#This Row],[DEAL_BUY_ID]],BS!AL:AL,BS!AU:AU,_xlfn.XLOOKUP(Est_NIM[[#This Row],[DEAL_BUY_ID]],BS!BA:BA,BS!BJ:BJ,,0),0)</f>
        <v>2.7</v>
      </c>
      <c r="BZ223" s="534">
        <f>Est_NIM[[#This Row],[QUANT]]*Est_NIM[[#This Row],[YIELD]]</f>
        <v>5400000</v>
      </c>
      <c r="CA223" s="128"/>
      <c r="CB223" s="128"/>
      <c r="CE223" s="331"/>
      <c r="CF223" s="331"/>
      <c r="CG223" s="331"/>
      <c r="CH223">
        <v>3730</v>
      </c>
      <c r="CI223">
        <v>14282</v>
      </c>
      <c r="DD223" s="128"/>
      <c r="DE223" s="128"/>
      <c r="DF223" s="128"/>
      <c r="DG223" s="128"/>
      <c r="DH223" s="128"/>
      <c r="DI223" s="128"/>
      <c r="DJ223" s="128"/>
      <c r="DK223" s="128"/>
      <c r="DL223" s="128"/>
      <c r="DM223" s="128"/>
      <c r="DN223" s="128"/>
      <c r="DO223" s="128"/>
      <c r="DP223" s="128"/>
      <c r="DQ223" s="128"/>
      <c r="DR223" s="128"/>
      <c r="DS223" s="128"/>
      <c r="DT223" s="128"/>
      <c r="DU223" s="128"/>
      <c r="DV223" s="128"/>
      <c r="DW223" s="128"/>
      <c r="DX223" s="128"/>
      <c r="DY223" s="128"/>
      <c r="DZ223" s="128"/>
      <c r="EA223" s="128"/>
      <c r="EB223" s="128"/>
      <c r="EC223" s="128"/>
      <c r="ED223" s="128"/>
      <c r="EE223" s="128"/>
      <c r="EF223" s="128"/>
      <c r="EG223" s="128"/>
      <c r="EH223" s="128"/>
      <c r="EI223" s="128"/>
      <c r="EJ223" s="128"/>
      <c r="EK223" s="128"/>
      <c r="EL223" s="128"/>
      <c r="EM223" s="128"/>
      <c r="EN223" s="128"/>
      <c r="EO223" s="128"/>
      <c r="EP223" s="530"/>
      <c r="EQ223" s="530"/>
      <c r="ER223" s="530"/>
      <c r="ES223" s="530"/>
      <c r="ET223" s="530"/>
      <c r="EU223" s="530"/>
      <c r="EV223" s="530"/>
      <c r="EW223" s="530"/>
      <c r="EX223" s="530"/>
      <c r="EY223" s="530"/>
      <c r="EZ223" s="530"/>
      <c r="FA223" s="530"/>
      <c r="FB223" s="530"/>
      <c r="FC223" s="530"/>
      <c r="FD223" s="530"/>
      <c r="FE223" s="530"/>
      <c r="FF223" s="530"/>
      <c r="FG223" s="530"/>
      <c r="FH223" s="530"/>
      <c r="FI223" s="530"/>
      <c r="FJ223" s="530"/>
      <c r="FK223" s="530"/>
      <c r="FL223" s="530"/>
      <c r="FM223" s="530"/>
      <c r="FN223" s="530"/>
      <c r="FO223" s="530"/>
      <c r="FP223" s="530"/>
      <c r="FQ223" s="530"/>
      <c r="HB223" s="128"/>
      <c r="HC223" s="128"/>
      <c r="HD223" s="128"/>
      <c r="HE223" s="128"/>
      <c r="HF223" s="128"/>
      <c r="HG223" s="128"/>
      <c r="HH223" s="128"/>
      <c r="HI223" s="128"/>
      <c r="HJ223" s="128"/>
      <c r="HK223" s="128"/>
      <c r="HL223" s="128"/>
      <c r="HM223" s="128"/>
      <c r="HN223" s="128"/>
      <c r="HO223" s="128"/>
      <c r="HP223" s="128"/>
      <c r="HQ223" s="128"/>
      <c r="HR223" s="128"/>
      <c r="HS223" s="128"/>
      <c r="HT223" s="128"/>
      <c r="HU223" s="128"/>
      <c r="HV223" s="128"/>
      <c r="HW223" s="128"/>
      <c r="HX223" s="128"/>
      <c r="HY223" s="128"/>
      <c r="HZ223" s="128"/>
      <c r="IA223" s="128"/>
      <c r="IB223" s="128"/>
      <c r="IC223" s="128"/>
    </row>
    <row r="224" spans="41:237" x14ac:dyDescent="0.3">
      <c r="AO224" s="128">
        <v>50334</v>
      </c>
      <c r="AP224" s="128" t="s">
        <v>1209</v>
      </c>
      <c r="AQ224" s="128" t="s">
        <v>824</v>
      </c>
      <c r="AR224" s="128" t="s">
        <v>3594</v>
      </c>
      <c r="AS224" s="375">
        <v>46245</v>
      </c>
      <c r="AT224" s="375">
        <v>46598</v>
      </c>
      <c r="AU224" s="530">
        <v>123601</v>
      </c>
      <c r="AV224" s="128">
        <v>50330</v>
      </c>
      <c r="AW224" s="530">
        <v>190000</v>
      </c>
      <c r="AX224" s="534">
        <f>_xlfn.XLOOKUP(Sell_unvalid[[#This Row],[DEAL_BUY_ID]],BS!BA:BA,BS!BE:BE,,0)</f>
        <v>123337</v>
      </c>
      <c r="AY224" s="534">
        <f>_xlfn.XLOOKUP(Sell_unvalid[[#This Row],[BOND_CODE]],FNRP!D:D,FNRP!I:I,_xlfn.XLOOKUP(Sell_unvalid[[#This Row],[BOND_CODE]],FNRP!AV:AV,FNRP!BA:BA,,0),0)</f>
        <v>124387</v>
      </c>
      <c r="AZ224" s="534">
        <f>_xlfn.XLOOKUP(Sell_unvalid[[#This Row],[DEAL_BUY_ID]],BS!BA:BA,BS!BQ:BQ,,0)*Sell_unvalid[[#This Row],[QUANTITY]]</f>
        <v>4425846100.2116804</v>
      </c>
      <c r="BA224" s="534">
        <f>(Sell_unvalid[[#This Row],[Giá MtM]]-10^5)*Sell_unvalid[[#This Row],[QUANTITY]]-Sell_unvalid[[#This Row],[PTCK remain]]</f>
        <v>207683899.78831959</v>
      </c>
      <c r="BB224" s="534">
        <f>(Sell_unvalid[[#This Row],[PRICE]]-10^5)*Sell_unvalid[[#This Row],[QUANTITY]]-Sell_unvalid[[#This Row],[PTCK remain]]</f>
        <v>58343899.788319588</v>
      </c>
      <c r="BC224" s="534" t="str">
        <f>IF(AND(Sell_unvalid[[#This Row],[VALUE_DATE]]&lt;=RPT,Sell_unvalid[[#This Row],[TRANSACTION_STATUS]]="N"),"Check","Ok")</f>
        <v>Ok</v>
      </c>
      <c r="BD224" s="763"/>
      <c r="BE224" s="534"/>
      <c r="BF224" s="232"/>
      <c r="BG224" s="530"/>
      <c r="BH224" s="531"/>
      <c r="BJ224" s="375"/>
      <c r="BL224" s="530"/>
      <c r="BP224" s="534"/>
      <c r="BR224" s="727"/>
      <c r="BS224" s="128"/>
      <c r="BT224" s="848"/>
      <c r="BU224" s="849">
        <v>46252</v>
      </c>
      <c r="BV224" s="848">
        <v>50459</v>
      </c>
      <c r="BW224" s="848" t="s">
        <v>3901</v>
      </c>
      <c r="BX224" s="530">
        <v>1000000</v>
      </c>
      <c r="BY224" s="735">
        <f>_xlfn.XLOOKUP(Est_NIM[[#This Row],[DEAL_BUY_ID]],BS!AL:AL,BS!AU:AU,_xlfn.XLOOKUP(Est_NIM[[#This Row],[DEAL_BUY_ID]],BS!BA:BA,BS!BJ:BJ,,0),0)</f>
        <v>2.9</v>
      </c>
      <c r="BZ224" s="534">
        <f>Est_NIM[[#This Row],[QUANT]]*Est_NIM[[#This Row],[YIELD]]</f>
        <v>2900000</v>
      </c>
      <c r="CA224" s="128"/>
      <c r="CB224" s="128"/>
      <c r="CE224" s="331"/>
      <c r="CF224" s="331"/>
      <c r="CG224" s="331"/>
      <c r="CH224">
        <v>3730</v>
      </c>
      <c r="CI224">
        <v>14282</v>
      </c>
      <c r="DF224" s="128"/>
      <c r="DG224" s="128"/>
      <c r="DH224" s="128"/>
      <c r="DI224" s="128"/>
      <c r="DJ224" s="128"/>
      <c r="DK224" s="128"/>
      <c r="DL224" s="128"/>
      <c r="DM224" s="128"/>
      <c r="DN224" s="128"/>
      <c r="DO224" s="128"/>
      <c r="DP224" s="128"/>
      <c r="DQ224" s="128"/>
      <c r="DR224" s="128"/>
      <c r="DS224" s="128"/>
      <c r="DT224" s="128"/>
      <c r="DU224" s="128"/>
      <c r="DV224" s="128"/>
      <c r="DW224" s="128"/>
      <c r="DX224" s="128"/>
      <c r="DY224" s="128"/>
      <c r="DZ224" s="128"/>
      <c r="EA224" s="128"/>
      <c r="EB224" s="128"/>
      <c r="EC224" s="128"/>
      <c r="ED224" s="128"/>
      <c r="EE224" s="128"/>
      <c r="EF224" s="128"/>
      <c r="EG224" s="128"/>
      <c r="EH224" s="128"/>
      <c r="EI224" s="128"/>
      <c r="EJ224" s="128"/>
      <c r="EK224" s="128"/>
      <c r="EL224" s="128"/>
      <c r="EM224" s="128"/>
      <c r="EN224" s="128"/>
      <c r="EO224" s="128"/>
      <c r="EP224" s="128"/>
      <c r="EQ224" s="128"/>
      <c r="ER224" s="530"/>
      <c r="ES224" s="530"/>
      <c r="ET224" s="530"/>
      <c r="EU224" s="530"/>
      <c r="EV224" s="530"/>
      <c r="EW224" s="530"/>
      <c r="EX224" s="530"/>
      <c r="EY224" s="530"/>
      <c r="EZ224" s="530"/>
      <c r="FA224" s="530"/>
      <c r="FB224" s="530"/>
      <c r="FC224" s="530"/>
      <c r="FD224" s="530"/>
      <c r="FE224" s="530"/>
      <c r="FF224" s="530"/>
      <c r="FG224" s="530"/>
      <c r="FH224" s="530"/>
      <c r="FI224" s="530"/>
      <c r="FJ224" s="530"/>
      <c r="FK224" s="530"/>
      <c r="FL224" s="530"/>
      <c r="FM224" s="530"/>
      <c r="FN224" s="530"/>
      <c r="FO224" s="530"/>
      <c r="FP224" s="530"/>
      <c r="FQ224" s="530"/>
      <c r="HD224" s="128"/>
      <c r="HE224" s="128"/>
      <c r="HF224" s="128"/>
      <c r="HG224" s="128"/>
      <c r="HH224" s="128"/>
      <c r="HI224" s="128"/>
      <c r="HJ224" s="128"/>
      <c r="HK224" s="128"/>
      <c r="HL224" s="128"/>
      <c r="HM224" s="128"/>
      <c r="HN224" s="128"/>
      <c r="HO224" s="128"/>
      <c r="HP224" s="128"/>
      <c r="HQ224" s="128"/>
      <c r="HR224" s="128"/>
      <c r="HS224" s="128"/>
      <c r="HT224" s="128"/>
      <c r="HU224" s="128"/>
      <c r="HV224" s="128"/>
      <c r="HW224" s="128"/>
      <c r="HX224" s="128"/>
      <c r="HY224" s="128"/>
      <c r="HZ224" s="128"/>
      <c r="IA224" s="128"/>
      <c r="IB224" s="128"/>
      <c r="IC224" s="128"/>
    </row>
    <row r="225" spans="41:237" x14ac:dyDescent="0.3">
      <c r="AO225" s="128">
        <v>50334</v>
      </c>
      <c r="AP225" s="128" t="s">
        <v>1209</v>
      </c>
      <c r="AQ225" s="128" t="s">
        <v>824</v>
      </c>
      <c r="AR225" s="128" t="s">
        <v>3594</v>
      </c>
      <c r="AS225" s="375">
        <v>46245</v>
      </c>
      <c r="AT225" s="375">
        <v>46598</v>
      </c>
      <c r="AU225" s="530">
        <v>123601</v>
      </c>
      <c r="AV225" s="128">
        <v>50399</v>
      </c>
      <c r="AW225" s="530">
        <v>810000</v>
      </c>
      <c r="AX225" s="534">
        <f>_xlfn.XLOOKUP(Sell_unvalid[[#This Row],[DEAL_BUY_ID]],BS!BA:BA,BS!BE:BE,,0)</f>
        <v>123888</v>
      </c>
      <c r="AY225" s="534">
        <f>_xlfn.XLOOKUP(Sell_unvalid[[#This Row],[BOND_CODE]],FNRP!D:D,FNRP!I:I,_xlfn.XLOOKUP(Sell_unvalid[[#This Row],[BOND_CODE]],FNRP!AV:AV,FNRP!BA:BA,,0),0)</f>
        <v>124387</v>
      </c>
      <c r="AZ225" s="534">
        <f>_xlfn.XLOOKUP(Sell_unvalid[[#This Row],[DEAL_BUY_ID]],BS!BA:BA,BS!BQ:BQ,,0)*Sell_unvalid[[#This Row],[QUANTITY]]</f>
        <v>19384638499.059242</v>
      </c>
      <c r="BA225" s="534">
        <f>(Sell_unvalid[[#This Row],[Giá MtM]]-10^5)*Sell_unvalid[[#This Row],[QUANTITY]]-Sell_unvalid[[#This Row],[PTCK remain]]</f>
        <v>368831500.94075775</v>
      </c>
      <c r="BB225" s="534">
        <f>(Sell_unvalid[[#This Row],[PRICE]]-10^5)*Sell_unvalid[[#This Row],[QUANTITY]]-Sell_unvalid[[#This Row],[PTCK remain]]</f>
        <v>-267828499.05924225</v>
      </c>
      <c r="BC225" s="534" t="str">
        <f>IF(AND(Sell_unvalid[[#This Row],[VALUE_DATE]]&lt;=RPT,Sell_unvalid[[#This Row],[TRANSACTION_STATUS]]="N"),"Check","Ok")</f>
        <v>Ok</v>
      </c>
      <c r="BD225" s="763"/>
      <c r="BE225" s="534"/>
      <c r="BF225" s="232"/>
      <c r="BG225" s="530"/>
      <c r="BH225" s="531"/>
      <c r="BJ225" s="375"/>
      <c r="BL225" s="530"/>
      <c r="BP225" s="534"/>
      <c r="BR225" s="727"/>
      <c r="BS225" s="128"/>
      <c r="BT225" s="848"/>
      <c r="BU225" s="849">
        <v>46252</v>
      </c>
      <c r="BV225" s="848">
        <v>50461</v>
      </c>
      <c r="BW225" s="848" t="s">
        <v>3901</v>
      </c>
      <c r="BX225" s="530">
        <v>4000000</v>
      </c>
      <c r="BY225" s="735">
        <f>_xlfn.XLOOKUP(Est_NIM[[#This Row],[DEAL_BUY_ID]],BS!AL:AL,BS!AU:AU,_xlfn.XLOOKUP(Est_NIM[[#This Row],[DEAL_BUY_ID]],BS!BA:BA,BS!BJ:BJ,,0),0)</f>
        <v>2.7</v>
      </c>
      <c r="BZ225" s="534">
        <f>Est_NIM[[#This Row],[QUANT]]*Est_NIM[[#This Row],[YIELD]]</f>
        <v>10800000</v>
      </c>
      <c r="CA225" s="128"/>
      <c r="CB225" s="128"/>
      <c r="CE225" s="331"/>
      <c r="CF225" s="331"/>
      <c r="CG225" s="331"/>
      <c r="CH225">
        <v>3730</v>
      </c>
      <c r="CI225">
        <v>14282</v>
      </c>
      <c r="DF225" s="128"/>
      <c r="DG225" s="128"/>
      <c r="DH225" s="128"/>
      <c r="DI225" s="128"/>
      <c r="DJ225" s="128"/>
      <c r="DK225" s="128"/>
      <c r="DL225" s="128"/>
      <c r="DM225" s="128"/>
      <c r="DN225" s="128"/>
      <c r="DO225" s="128"/>
      <c r="DP225" s="128"/>
      <c r="DQ225" s="128"/>
      <c r="DR225" s="128"/>
      <c r="DS225" s="128"/>
      <c r="DT225" s="128"/>
      <c r="DU225" s="128"/>
      <c r="DV225" s="128"/>
      <c r="DW225" s="128"/>
      <c r="DX225" s="128"/>
      <c r="DY225" s="128"/>
      <c r="DZ225" s="128"/>
      <c r="EA225" s="128"/>
      <c r="EB225" s="128"/>
      <c r="EC225" s="128"/>
      <c r="ED225" s="128"/>
      <c r="EE225" s="128"/>
      <c r="EF225" s="128"/>
      <c r="EG225" s="128"/>
      <c r="EH225" s="128"/>
      <c r="EI225" s="128"/>
      <c r="EJ225" s="128"/>
      <c r="EK225" s="128"/>
      <c r="EL225" s="128"/>
      <c r="EM225" s="128"/>
      <c r="EN225" s="128"/>
      <c r="EO225" s="128"/>
      <c r="EP225" s="128"/>
      <c r="EQ225" s="128"/>
      <c r="ER225" s="530"/>
      <c r="ES225" s="530"/>
      <c r="ET225" s="530"/>
      <c r="EU225" s="530"/>
      <c r="EV225" s="530"/>
      <c r="EW225" s="530"/>
      <c r="EX225" s="530"/>
      <c r="EY225" s="530"/>
      <c r="EZ225" s="530"/>
      <c r="FA225" s="530"/>
      <c r="FB225" s="530"/>
      <c r="FC225" s="530"/>
      <c r="FD225" s="530"/>
      <c r="FE225" s="530"/>
      <c r="FF225" s="530"/>
      <c r="FG225" s="530"/>
      <c r="FH225" s="530"/>
      <c r="FI225" s="530"/>
      <c r="FJ225" s="530"/>
      <c r="FK225" s="530"/>
      <c r="FL225" s="530"/>
      <c r="FM225" s="530"/>
      <c r="FN225" s="530"/>
      <c r="FO225" s="530"/>
      <c r="FP225" s="530"/>
      <c r="FQ225" s="530"/>
      <c r="HD225" s="128"/>
      <c r="HE225" s="128"/>
      <c r="HF225" s="128"/>
      <c r="HG225" s="128"/>
      <c r="HH225" s="128"/>
      <c r="HI225" s="128"/>
      <c r="HJ225" s="128"/>
      <c r="HK225" s="128"/>
      <c r="HL225" s="128"/>
      <c r="HM225" s="128"/>
      <c r="HN225" s="128"/>
      <c r="HO225" s="128"/>
      <c r="HP225" s="128"/>
      <c r="HQ225" s="128"/>
      <c r="HR225" s="128"/>
      <c r="HS225" s="128"/>
      <c r="HT225" s="128"/>
      <c r="HU225" s="128"/>
      <c r="HV225" s="128"/>
      <c r="HW225" s="128"/>
      <c r="HX225" s="128"/>
      <c r="HY225" s="128"/>
      <c r="HZ225" s="128"/>
      <c r="IA225" s="128"/>
      <c r="IB225" s="128"/>
      <c r="IC225" s="128"/>
    </row>
    <row r="226" spans="41:237" x14ac:dyDescent="0.3">
      <c r="AO226" s="128">
        <v>50334</v>
      </c>
      <c r="AP226" s="128" t="s">
        <v>1209</v>
      </c>
      <c r="AQ226" s="128" t="s">
        <v>824</v>
      </c>
      <c r="AR226" s="128" t="s">
        <v>3594</v>
      </c>
      <c r="AS226" s="375">
        <v>46245</v>
      </c>
      <c r="AT226" s="375">
        <v>46598</v>
      </c>
      <c r="AU226" s="530">
        <v>123601</v>
      </c>
      <c r="AV226" s="128">
        <v>50400</v>
      </c>
      <c r="AW226" s="530">
        <v>250000</v>
      </c>
      <c r="AX226" s="534">
        <f>_xlfn.XLOOKUP(Sell_unvalid[[#This Row],[DEAL_BUY_ID]],BS!BA:BA,BS!BE:BE,,0)</f>
        <v>123871</v>
      </c>
      <c r="AY226" s="534">
        <f>_xlfn.XLOOKUP(Sell_unvalid[[#This Row],[BOND_CODE]],FNRP!D:D,FNRP!I:I,_xlfn.XLOOKUP(Sell_unvalid[[#This Row],[BOND_CODE]],FNRP!AV:AV,FNRP!BA:BA,,0),0)</f>
        <v>124387</v>
      </c>
      <c r="AZ226" s="534">
        <f>_xlfn.XLOOKUP(Sell_unvalid[[#This Row],[DEAL_BUY_ID]],BS!BA:BA,BS!BQ:BQ,,0)*Sell_unvalid[[#This Row],[QUANTITY]]</f>
        <v>5982449232.8850965</v>
      </c>
      <c r="BA226" s="534">
        <f>(Sell_unvalid[[#This Row],[Giá MtM]]-10^5)*Sell_unvalid[[#This Row],[QUANTITY]]-Sell_unvalid[[#This Row],[PTCK remain]]</f>
        <v>114300767.11490345</v>
      </c>
      <c r="BB226" s="534">
        <f>(Sell_unvalid[[#This Row],[PRICE]]-10^5)*Sell_unvalid[[#This Row],[QUANTITY]]-Sell_unvalid[[#This Row],[PTCK remain]]</f>
        <v>-82199232.88509655</v>
      </c>
      <c r="BC226" s="534" t="str">
        <f>IF(AND(Sell_unvalid[[#This Row],[VALUE_DATE]]&lt;=RPT,Sell_unvalid[[#This Row],[TRANSACTION_STATUS]]="N"),"Check","Ok")</f>
        <v>Ok</v>
      </c>
      <c r="BD226" s="763"/>
      <c r="BE226" s="534"/>
      <c r="BF226" s="232"/>
      <c r="BG226" s="530"/>
      <c r="BH226" s="531"/>
      <c r="BJ226" s="375"/>
      <c r="BL226" s="530"/>
      <c r="BP226" s="534"/>
      <c r="BR226" s="727"/>
      <c r="BS226" s="128"/>
      <c r="BT226" s="848"/>
      <c r="BU226" s="849">
        <v>44187</v>
      </c>
      <c r="BV226" s="848">
        <v>30557</v>
      </c>
      <c r="BW226" s="848" t="s">
        <v>3901</v>
      </c>
      <c r="BX226" s="530">
        <v>1000000</v>
      </c>
      <c r="BY226" s="735">
        <f>_xlfn.XLOOKUP(Est_NIM[[#This Row],[DEAL_BUY_ID]],BS!AL:AL,BS!AU:AU,_xlfn.XLOOKUP(Est_NIM[[#This Row],[DEAL_BUY_ID]],BS!BA:BA,BS!BJ:BJ,,0),0)</f>
        <v>2.75</v>
      </c>
      <c r="BZ226" s="534">
        <f>Est_NIM[[#This Row],[QUANT]]*Est_NIM[[#This Row],[YIELD]]</f>
        <v>2750000</v>
      </c>
      <c r="CA226" s="128"/>
      <c r="CB226" s="128"/>
      <c r="CE226" s="331"/>
      <c r="CF226" s="331"/>
      <c r="CG226" s="331"/>
      <c r="CH226">
        <v>3730</v>
      </c>
      <c r="CI226">
        <v>14282</v>
      </c>
      <c r="DG226" s="128"/>
      <c r="DH226" s="128"/>
      <c r="DI226" s="128"/>
      <c r="DJ226" s="128"/>
      <c r="DK226" s="128"/>
      <c r="DL226" s="128"/>
      <c r="DM226" s="128"/>
      <c r="DN226" s="128"/>
      <c r="DO226" s="128"/>
      <c r="DP226" s="128"/>
      <c r="DQ226" s="128"/>
      <c r="DR226" s="128"/>
      <c r="DS226" s="128"/>
      <c r="DT226" s="128"/>
      <c r="DU226" s="128"/>
      <c r="DV226" s="128"/>
      <c r="DW226" s="128"/>
      <c r="DX226" s="128"/>
      <c r="DY226" s="128"/>
      <c r="DZ226" s="128"/>
      <c r="EA226" s="128"/>
      <c r="EB226" s="128"/>
      <c r="EC226" s="128"/>
      <c r="ED226" s="128"/>
      <c r="EE226" s="128"/>
      <c r="EF226" s="128"/>
      <c r="EG226" s="128"/>
      <c r="EH226" s="128"/>
      <c r="EI226" s="128"/>
      <c r="EJ226" s="128"/>
      <c r="EK226" s="128"/>
      <c r="EL226" s="128"/>
      <c r="EM226" s="128"/>
      <c r="EN226" s="128"/>
      <c r="EO226" s="128"/>
      <c r="EP226" s="128"/>
      <c r="EQ226" s="128"/>
      <c r="ER226" s="128"/>
      <c r="ES226" s="530"/>
      <c r="ET226" s="530"/>
      <c r="EU226" s="530"/>
      <c r="EV226" s="530"/>
      <c r="EW226" s="530"/>
      <c r="EX226" s="530"/>
      <c r="EY226" s="530"/>
      <c r="EZ226" s="530"/>
      <c r="FA226" s="530"/>
      <c r="FB226" s="530"/>
      <c r="FC226" s="530"/>
      <c r="FD226" s="530"/>
      <c r="FE226" s="530"/>
      <c r="FF226" s="530"/>
      <c r="FG226" s="530"/>
      <c r="FH226" s="530"/>
      <c r="FI226" s="530"/>
      <c r="FJ226" s="530"/>
      <c r="FK226" s="530"/>
      <c r="FL226" s="530"/>
      <c r="FM226" s="530"/>
      <c r="FN226" s="530"/>
      <c r="FO226" s="530"/>
      <c r="FP226" s="530"/>
      <c r="FQ226" s="530"/>
      <c r="HE226" s="128"/>
      <c r="HF226" s="128"/>
      <c r="HG226" s="128"/>
      <c r="HH226" s="128"/>
      <c r="HI226" s="128"/>
      <c r="HJ226" s="128"/>
      <c r="HK226" s="128"/>
      <c r="HL226" s="128"/>
      <c r="HM226" s="128"/>
      <c r="HN226" s="128"/>
      <c r="HO226" s="128"/>
      <c r="HP226" s="128"/>
      <c r="HQ226" s="128"/>
      <c r="HR226" s="128"/>
      <c r="HS226" s="128"/>
      <c r="HT226" s="128"/>
      <c r="HU226" s="128"/>
      <c r="HV226" s="128"/>
      <c r="HW226" s="128"/>
      <c r="HX226" s="128"/>
      <c r="HY226" s="128"/>
      <c r="HZ226" s="128"/>
      <c r="IA226" s="128"/>
      <c r="IB226" s="128"/>
      <c r="IC226" s="128"/>
    </row>
    <row r="227" spans="41:237" x14ac:dyDescent="0.3">
      <c r="AO227" s="128">
        <v>50334</v>
      </c>
      <c r="AP227" s="128" t="s">
        <v>1209</v>
      </c>
      <c r="AQ227" s="128" t="s">
        <v>824</v>
      </c>
      <c r="AR227" s="128" t="s">
        <v>3594</v>
      </c>
      <c r="AS227" s="375">
        <v>46245</v>
      </c>
      <c r="AT227" s="375">
        <v>46598</v>
      </c>
      <c r="AU227" s="530">
        <v>123601</v>
      </c>
      <c r="AV227" s="128">
        <v>50406</v>
      </c>
      <c r="AW227" s="530">
        <v>190000</v>
      </c>
      <c r="AX227" s="534">
        <f>_xlfn.XLOOKUP(Sell_unvalid[[#This Row],[DEAL_BUY_ID]],BS!BA:BA,BS!BE:BE,,0)</f>
        <v>123262</v>
      </c>
      <c r="AY227" s="534">
        <f>_xlfn.XLOOKUP(Sell_unvalid[[#This Row],[BOND_CODE]],FNRP!D:D,FNRP!I:I,_xlfn.XLOOKUP(Sell_unvalid[[#This Row],[BOND_CODE]],FNRP!AV:AV,FNRP!BA:BA,,0),0)</f>
        <v>124387</v>
      </c>
      <c r="AZ227" s="534">
        <f>_xlfn.XLOOKUP(Sell_unvalid[[#This Row],[DEAL_BUY_ID]],BS!BA:BA,BS!BQ:BQ,,0)*Sell_unvalid[[#This Row],[QUANTITY]]</f>
        <v>4427855663.6229935</v>
      </c>
      <c r="BA227" s="534">
        <f>(Sell_unvalid[[#This Row],[Giá MtM]]-10^5)*Sell_unvalid[[#This Row],[QUANTITY]]-Sell_unvalid[[#This Row],[PTCK remain]]</f>
        <v>205674336.37700653</v>
      </c>
      <c r="BB227" s="534">
        <f>(Sell_unvalid[[#This Row],[PRICE]]-10^5)*Sell_unvalid[[#This Row],[QUANTITY]]-Sell_unvalid[[#This Row],[PTCK remain]]</f>
        <v>56334336.377006531</v>
      </c>
      <c r="BC227" s="534" t="str">
        <f>IF(AND(Sell_unvalid[[#This Row],[VALUE_DATE]]&lt;=RPT,Sell_unvalid[[#This Row],[TRANSACTION_STATUS]]="N"),"Check","Ok")</f>
        <v>Ok</v>
      </c>
      <c r="BD227" s="763"/>
      <c r="BE227" s="534"/>
      <c r="BF227" s="232"/>
      <c r="BG227" s="530"/>
      <c r="BH227" s="531"/>
      <c r="BJ227" s="375"/>
      <c r="BL227" s="530"/>
      <c r="BP227" s="534"/>
      <c r="BR227" s="727"/>
      <c r="BS227" s="128"/>
      <c r="BT227" s="848"/>
      <c r="BU227" s="849">
        <v>44180</v>
      </c>
      <c r="BV227" s="848">
        <v>30559</v>
      </c>
      <c r="BW227" s="848" t="s">
        <v>3901</v>
      </c>
      <c r="BX227" s="530">
        <v>1000000</v>
      </c>
      <c r="BY227" s="735">
        <f>_xlfn.XLOOKUP(Est_NIM[[#This Row],[DEAL_BUY_ID]],BS!AL:AL,BS!AU:AU,_xlfn.XLOOKUP(Est_NIM[[#This Row],[DEAL_BUY_ID]],BS!BA:BA,BS!BJ:BJ,,0),0)</f>
        <v>3</v>
      </c>
      <c r="BZ227" s="534">
        <f>Est_NIM[[#This Row],[QUANT]]*Est_NIM[[#This Row],[YIELD]]</f>
        <v>3000000</v>
      </c>
      <c r="CA227" s="128"/>
      <c r="CB227" s="128"/>
      <c r="CE227" s="331"/>
      <c r="CF227" s="331"/>
      <c r="CG227" s="331"/>
      <c r="CH227">
        <v>3730</v>
      </c>
      <c r="CI227">
        <v>14282</v>
      </c>
      <c r="DG227" s="128"/>
      <c r="DH227" s="128"/>
      <c r="DI227" s="128"/>
      <c r="DJ227" s="128"/>
      <c r="DK227" s="128"/>
      <c r="DL227" s="128"/>
      <c r="DM227" s="128"/>
      <c r="DN227" s="128"/>
      <c r="DO227" s="128"/>
      <c r="DP227" s="128"/>
      <c r="DQ227" s="128"/>
      <c r="DR227" s="128"/>
      <c r="DS227" s="128"/>
      <c r="DT227" s="128"/>
      <c r="DU227" s="128"/>
      <c r="DV227" s="128"/>
      <c r="DW227" s="128"/>
      <c r="DX227" s="128"/>
      <c r="DY227" s="128"/>
      <c r="DZ227" s="128"/>
      <c r="EA227" s="128"/>
      <c r="EB227" s="128"/>
      <c r="EC227" s="128"/>
      <c r="ED227" s="128"/>
      <c r="EE227" s="128"/>
      <c r="EF227" s="128"/>
      <c r="EG227" s="128"/>
      <c r="EH227" s="128"/>
      <c r="EI227" s="128"/>
      <c r="EJ227" s="128"/>
      <c r="EK227" s="128"/>
      <c r="EL227" s="128"/>
      <c r="EM227" s="128"/>
      <c r="EN227" s="128"/>
      <c r="EO227" s="128"/>
      <c r="EP227" s="128"/>
      <c r="EQ227" s="128"/>
      <c r="ER227" s="128"/>
      <c r="ES227" s="530"/>
      <c r="ET227" s="530"/>
      <c r="EU227" s="530"/>
      <c r="EV227" s="530"/>
      <c r="EW227" s="530"/>
      <c r="EX227" s="530"/>
      <c r="EY227" s="530"/>
      <c r="EZ227" s="530"/>
      <c r="FA227" s="530"/>
      <c r="FB227" s="530"/>
      <c r="FC227" s="530"/>
      <c r="FD227" s="530"/>
      <c r="FE227" s="530"/>
      <c r="FF227" s="530"/>
      <c r="FG227" s="530"/>
      <c r="FH227" s="530"/>
      <c r="FI227" s="530"/>
      <c r="FJ227" s="530"/>
      <c r="FK227" s="530"/>
      <c r="FL227" s="530"/>
      <c r="FM227" s="530"/>
      <c r="FN227" s="530"/>
      <c r="FO227" s="530"/>
      <c r="FP227" s="530"/>
      <c r="FQ227" s="530"/>
      <c r="HE227" s="128"/>
      <c r="HF227" s="128"/>
      <c r="HG227" s="128"/>
      <c r="HH227" s="128"/>
      <c r="HI227" s="128"/>
      <c r="HJ227" s="128"/>
      <c r="HK227" s="128"/>
      <c r="HL227" s="128"/>
      <c r="HM227" s="128"/>
      <c r="HN227" s="128"/>
      <c r="HO227" s="128"/>
      <c r="HP227" s="128"/>
      <c r="HQ227" s="128"/>
      <c r="HR227" s="128"/>
      <c r="HS227" s="128"/>
      <c r="HT227" s="128"/>
      <c r="HU227" s="128"/>
      <c r="HV227" s="128"/>
      <c r="HW227" s="128"/>
      <c r="HX227" s="128"/>
      <c r="HY227" s="128"/>
      <c r="HZ227" s="128"/>
      <c r="IA227" s="128"/>
      <c r="IB227" s="128"/>
      <c r="IC227" s="128"/>
    </row>
    <row r="228" spans="41:237" x14ac:dyDescent="0.3">
      <c r="AO228" s="128">
        <v>50334</v>
      </c>
      <c r="AP228" s="128" t="s">
        <v>1209</v>
      </c>
      <c r="AQ228" s="128" t="s">
        <v>824</v>
      </c>
      <c r="AR228" s="128" t="s">
        <v>3594</v>
      </c>
      <c r="AS228" s="375">
        <v>46245</v>
      </c>
      <c r="AT228" s="375">
        <v>46598</v>
      </c>
      <c r="AU228" s="128">
        <v>123601</v>
      </c>
      <c r="AV228" s="128">
        <v>50448</v>
      </c>
      <c r="AW228" s="128">
        <v>560000</v>
      </c>
      <c r="AX228" s="534">
        <f>_xlfn.XLOOKUP(Sell_unvalid[[#This Row],[DEAL_BUY_ID]],BS!BA:BA,BS!BE:BE,,0)</f>
        <v>123820</v>
      </c>
      <c r="AY228" s="534">
        <f>_xlfn.XLOOKUP(Sell_unvalid[[#This Row],[BOND_CODE]],FNRP!D:D,FNRP!I:I,_xlfn.XLOOKUP(Sell_unvalid[[#This Row],[BOND_CODE]],FNRP!AV:AV,FNRP!BA:BA,,0),0)</f>
        <v>124387</v>
      </c>
      <c r="AZ228" s="534">
        <f>_xlfn.XLOOKUP(Sell_unvalid[[#This Row],[DEAL_BUY_ID]],BS!BA:BA,BS!BQ:BQ,,0)*Sell_unvalid[[#This Row],[QUANTITY]]</f>
        <v>13404958366.084221</v>
      </c>
      <c r="BA228" s="534">
        <f>(Sell_unvalid[[#This Row],[Giá MtM]]-10^5)*Sell_unvalid[[#This Row],[QUANTITY]]-Sell_unvalid[[#This Row],[PTCK remain]]</f>
        <v>251761633.91577911</v>
      </c>
      <c r="BB228" s="534">
        <f>(Sell_unvalid[[#This Row],[PRICE]]-10^5)*Sell_unvalid[[#This Row],[QUANTITY]]-Sell_unvalid[[#This Row],[PTCK remain]]</f>
        <v>-188398366.08422089</v>
      </c>
      <c r="BC228" s="534" t="str">
        <f>IF(AND(Sell_unvalid[[#This Row],[VALUE_DATE]]&lt;=RPT,Sell_unvalid[[#This Row],[TRANSACTION_STATUS]]="N"),"Check","Ok")</f>
        <v>Ok</v>
      </c>
      <c r="BD228" s="763"/>
      <c r="BE228" s="534"/>
      <c r="BF228" s="232"/>
      <c r="BG228" s="530"/>
      <c r="BH228" s="531"/>
      <c r="BJ228" s="375"/>
      <c r="BL228" s="530"/>
      <c r="BP228" s="534"/>
      <c r="BR228" s="727"/>
      <c r="BS228" s="128"/>
      <c r="BT228" s="848"/>
      <c r="BU228" s="849">
        <v>44187</v>
      </c>
      <c r="BV228" s="848">
        <v>30561</v>
      </c>
      <c r="BW228" s="848" t="s">
        <v>3901</v>
      </c>
      <c r="BX228" s="530">
        <v>2000000</v>
      </c>
      <c r="BY228" s="735">
        <f>_xlfn.XLOOKUP(Est_NIM[[#This Row],[DEAL_BUY_ID]],BS!AL:AL,BS!AU:AU,_xlfn.XLOOKUP(Est_NIM[[#This Row],[DEAL_BUY_ID]],BS!BA:BA,BS!BJ:BJ,,0),0)</f>
        <v>3</v>
      </c>
      <c r="BZ228" s="534">
        <f>Est_NIM[[#This Row],[QUANT]]*Est_NIM[[#This Row],[YIELD]]</f>
        <v>6000000</v>
      </c>
      <c r="CA228" s="128"/>
      <c r="CB228" s="128"/>
      <c r="CE228" s="331"/>
      <c r="CF228" s="331"/>
      <c r="CG228" s="331"/>
      <c r="CH228">
        <v>3730</v>
      </c>
      <c r="CI228">
        <v>14282</v>
      </c>
      <c r="DG228" s="128"/>
      <c r="DH228" s="128"/>
      <c r="DI228" s="128"/>
      <c r="DJ228" s="128"/>
      <c r="DK228" s="128"/>
      <c r="DL228" s="128"/>
      <c r="DM228" s="128"/>
      <c r="DN228" s="128"/>
      <c r="DO228" s="128"/>
      <c r="DP228" s="128"/>
      <c r="DQ228" s="128"/>
      <c r="DR228" s="128"/>
      <c r="DS228" s="128"/>
      <c r="DT228" s="128"/>
      <c r="DU228" s="128"/>
      <c r="DV228" s="128"/>
      <c r="DW228" s="128"/>
      <c r="DX228" s="128"/>
      <c r="DY228" s="128"/>
      <c r="DZ228" s="128"/>
      <c r="EA228" s="128"/>
      <c r="EB228" s="128"/>
      <c r="EC228" s="128"/>
      <c r="ED228" s="128"/>
      <c r="EE228" s="128"/>
      <c r="EF228" s="128"/>
      <c r="EG228" s="128"/>
      <c r="EH228" s="128"/>
      <c r="EI228" s="128"/>
      <c r="EJ228" s="128"/>
      <c r="EK228" s="128"/>
      <c r="EL228" s="128"/>
      <c r="EM228" s="128"/>
      <c r="EN228" s="128"/>
      <c r="EO228" s="128"/>
      <c r="EP228" s="128"/>
      <c r="EQ228" s="128"/>
      <c r="ER228" s="128"/>
      <c r="ES228" s="530"/>
      <c r="ET228" s="530"/>
      <c r="EU228" s="530"/>
      <c r="EV228" s="530"/>
      <c r="EW228" s="530"/>
      <c r="EX228" s="530"/>
      <c r="EY228" s="530"/>
      <c r="EZ228" s="530"/>
      <c r="FA228" s="530"/>
      <c r="FB228" s="530"/>
      <c r="FC228" s="530"/>
      <c r="FD228" s="530"/>
      <c r="FE228" s="530"/>
      <c r="FF228" s="530"/>
      <c r="FG228" s="530"/>
      <c r="FH228" s="530"/>
      <c r="FI228" s="530"/>
      <c r="FJ228" s="530"/>
      <c r="FK228" s="530"/>
      <c r="FL228" s="530"/>
      <c r="FM228" s="530"/>
      <c r="FN228" s="530"/>
      <c r="FO228" s="530"/>
      <c r="FP228" s="530"/>
      <c r="FQ228" s="530"/>
      <c r="HE228" s="128"/>
      <c r="HF228" s="128"/>
      <c r="HG228" s="128"/>
      <c r="HH228" s="128"/>
      <c r="HI228" s="128"/>
      <c r="HJ228" s="128"/>
      <c r="HK228" s="128"/>
      <c r="HL228" s="128"/>
      <c r="HM228" s="128"/>
      <c r="HN228" s="128"/>
      <c r="HO228" s="128"/>
      <c r="HP228" s="128"/>
      <c r="HQ228" s="128"/>
      <c r="HR228" s="128"/>
      <c r="HS228" s="128"/>
      <c r="HT228" s="128"/>
      <c r="HU228" s="128"/>
      <c r="HV228" s="128"/>
      <c r="HW228" s="128"/>
      <c r="HX228" s="128"/>
      <c r="HY228" s="128"/>
      <c r="HZ228" s="128"/>
      <c r="IA228" s="128"/>
      <c r="IB228" s="128"/>
      <c r="IC228" s="128"/>
    </row>
    <row r="229" spans="41:237" x14ac:dyDescent="0.3">
      <c r="AO229" s="128">
        <v>50335</v>
      </c>
      <c r="AP229" s="128" t="s">
        <v>1209</v>
      </c>
      <c r="AQ229" s="128" t="s">
        <v>824</v>
      </c>
      <c r="AR229" s="128" t="s">
        <v>3594</v>
      </c>
      <c r="AS229" s="375">
        <v>46245</v>
      </c>
      <c r="AT229" s="375">
        <v>46598</v>
      </c>
      <c r="AU229" s="128">
        <v>123601</v>
      </c>
      <c r="AV229" s="128">
        <v>50331</v>
      </c>
      <c r="AW229" s="128">
        <v>10000000</v>
      </c>
      <c r="AX229" s="534">
        <f>_xlfn.XLOOKUP(Sell_unvalid[[#This Row],[DEAL_BUY_ID]],BS!BA:BA,BS!BE:BE,,0)</f>
        <v>123337</v>
      </c>
      <c r="AY229" s="534">
        <f>_xlfn.XLOOKUP(Sell_unvalid[[#This Row],[BOND_CODE]],FNRP!D:D,FNRP!I:I,_xlfn.XLOOKUP(Sell_unvalid[[#This Row],[BOND_CODE]],FNRP!AV:AV,FNRP!BA:BA,,0),0)</f>
        <v>124387</v>
      </c>
      <c r="AZ229" s="534">
        <f>_xlfn.XLOOKUP(Sell_unvalid[[#This Row],[DEAL_BUY_ID]],BS!BA:BA,BS!BQ:BQ,,0)*Sell_unvalid[[#This Row],[QUANTITY]]</f>
        <v>232939268432.19373</v>
      </c>
      <c r="BA229" s="534">
        <f>(Sell_unvalid[[#This Row],[Giá MtM]]-10^5)*Sell_unvalid[[#This Row],[QUANTITY]]-Sell_unvalid[[#This Row],[PTCK remain]]</f>
        <v>10930731567.806274</v>
      </c>
      <c r="BB229" s="534">
        <f>(Sell_unvalid[[#This Row],[PRICE]]-10^5)*Sell_unvalid[[#This Row],[QUANTITY]]-Sell_unvalid[[#This Row],[PTCK remain]]</f>
        <v>3070731567.8062744</v>
      </c>
      <c r="BC229" s="534" t="str">
        <f>IF(AND(Sell_unvalid[[#This Row],[VALUE_DATE]]&lt;=RPT,Sell_unvalid[[#This Row],[TRANSACTION_STATUS]]="N"),"Check","Ok")</f>
        <v>Ok</v>
      </c>
      <c r="BD229" s="763"/>
      <c r="BE229" s="534"/>
      <c r="BF229" s="232"/>
      <c r="BG229" s="530"/>
      <c r="BH229" s="531"/>
      <c r="BJ229" s="375"/>
      <c r="BL229" s="530"/>
      <c r="BP229" s="534"/>
      <c r="BR229" s="727"/>
      <c r="BS229" s="128"/>
      <c r="BT229" s="848"/>
      <c r="BU229" s="849">
        <v>44902</v>
      </c>
      <c r="BV229" s="848">
        <v>38997</v>
      </c>
      <c r="BW229" s="848" t="s">
        <v>3901</v>
      </c>
      <c r="BX229" s="530">
        <v>370000</v>
      </c>
      <c r="BY229" s="735">
        <f>_xlfn.XLOOKUP(Est_NIM[[#This Row],[DEAL_BUY_ID]],BS!AL:AL,BS!AU:AU,_xlfn.XLOOKUP(Est_NIM[[#This Row],[DEAL_BUY_ID]],BS!BA:BA,BS!BJ:BJ,,0),0)</f>
        <v>3.8</v>
      </c>
      <c r="BZ229" s="534">
        <f>Est_NIM[[#This Row],[QUANT]]*Est_NIM[[#This Row],[YIELD]]</f>
        <v>1406000</v>
      </c>
      <c r="CA229" s="128"/>
      <c r="CB229" s="128"/>
      <c r="CE229" s="331"/>
      <c r="CF229" s="331"/>
      <c r="CG229" s="331"/>
      <c r="CH229">
        <v>3730</v>
      </c>
      <c r="CI229">
        <v>14282</v>
      </c>
      <c r="DH229" s="128"/>
      <c r="DI229" s="128"/>
      <c r="DJ229" s="128"/>
      <c r="DK229" s="128"/>
      <c r="DL229" s="128"/>
      <c r="DM229" s="128"/>
      <c r="DN229" s="128"/>
      <c r="DO229" s="128"/>
      <c r="DP229" s="128"/>
      <c r="DQ229" s="128"/>
      <c r="DR229" s="128"/>
      <c r="DS229" s="128"/>
      <c r="DT229" s="128"/>
      <c r="DU229" s="128"/>
      <c r="DV229" s="128"/>
      <c r="DW229" s="128"/>
      <c r="DX229" s="128"/>
      <c r="DY229" s="128"/>
      <c r="DZ229" s="128"/>
      <c r="EA229" s="128"/>
      <c r="EB229" s="128"/>
      <c r="EC229" s="128"/>
      <c r="ED229" s="128"/>
      <c r="EE229" s="128"/>
      <c r="EF229" s="128"/>
      <c r="EG229" s="128"/>
      <c r="EH229" s="128"/>
      <c r="EI229" s="128"/>
      <c r="EJ229" s="128"/>
      <c r="EK229" s="128"/>
      <c r="EL229" s="128"/>
      <c r="EM229" s="128"/>
      <c r="EN229" s="128"/>
      <c r="EO229" s="128"/>
      <c r="EP229" s="128"/>
      <c r="EQ229" s="128"/>
      <c r="ER229" s="128"/>
      <c r="ES229" s="128"/>
      <c r="ET229" s="530"/>
      <c r="EU229" s="530"/>
      <c r="EV229" s="530"/>
      <c r="EW229" s="530"/>
      <c r="EX229" s="530"/>
      <c r="EY229" s="530"/>
      <c r="EZ229" s="530"/>
      <c r="FA229" s="530"/>
      <c r="FB229" s="530"/>
      <c r="FC229" s="530"/>
      <c r="FD229" s="530"/>
      <c r="FE229" s="530"/>
      <c r="FF229" s="530"/>
      <c r="FG229" s="530"/>
      <c r="FH229" s="530"/>
      <c r="FI229" s="530"/>
      <c r="FJ229" s="530"/>
      <c r="FK229" s="530"/>
      <c r="FL229" s="530"/>
      <c r="FM229" s="530"/>
      <c r="FN229" s="530"/>
      <c r="FO229" s="530"/>
      <c r="FP229" s="530"/>
      <c r="FQ229" s="530"/>
      <c r="HF229" s="128"/>
      <c r="HG229" s="128"/>
      <c r="HH229" s="128"/>
      <c r="HI229" s="128"/>
      <c r="HJ229" s="128"/>
      <c r="HK229" s="128"/>
      <c r="HL229" s="128"/>
      <c r="HM229" s="128"/>
      <c r="HN229" s="128"/>
      <c r="HO229" s="128"/>
      <c r="HP229" s="128"/>
      <c r="HQ229" s="128"/>
      <c r="HR229" s="128"/>
      <c r="HS229" s="128"/>
      <c r="HT229" s="128"/>
      <c r="HU229" s="128"/>
      <c r="HV229" s="128"/>
      <c r="HW229" s="128"/>
      <c r="HX229" s="128"/>
      <c r="HY229" s="128"/>
      <c r="HZ229" s="128"/>
      <c r="IA229" s="128"/>
      <c r="IB229" s="128"/>
      <c r="IC229" s="128"/>
    </row>
    <row r="230" spans="41:237" x14ac:dyDescent="0.3">
      <c r="AO230" s="128">
        <v>50397</v>
      </c>
      <c r="AP230" s="128" t="s">
        <v>1209</v>
      </c>
      <c r="AQ230" s="128" t="s">
        <v>824</v>
      </c>
      <c r="AR230" s="128" t="s">
        <v>2234</v>
      </c>
      <c r="AS230" s="375">
        <v>46247</v>
      </c>
      <c r="AT230" s="375">
        <v>46258</v>
      </c>
      <c r="AU230" s="128">
        <v>123932</v>
      </c>
      <c r="AV230" s="128">
        <v>50330</v>
      </c>
      <c r="AW230" s="128">
        <v>810000</v>
      </c>
      <c r="AX230" s="534">
        <f>_xlfn.XLOOKUP(Sell_unvalid[[#This Row],[DEAL_BUY_ID]],BS!BA:BA,BS!BE:BE,,0)</f>
        <v>123337</v>
      </c>
      <c r="AY230" s="534">
        <f>_xlfn.XLOOKUP(Sell_unvalid[[#This Row],[BOND_CODE]],FNRP!D:D,FNRP!I:I,_xlfn.XLOOKUP(Sell_unvalid[[#This Row],[BOND_CODE]],FNRP!AV:AV,FNRP!BA:BA,,0),0)</f>
        <v>124387</v>
      </c>
      <c r="AZ230" s="534">
        <f>_xlfn.XLOOKUP(Sell_unvalid[[#This Row],[DEAL_BUY_ID]],BS!BA:BA,BS!BQ:BQ,,0)*Sell_unvalid[[#This Row],[QUANTITY]]</f>
        <v>18868080743.00769</v>
      </c>
      <c r="BA230" s="534">
        <f>(Sell_unvalid[[#This Row],[Giá MtM]]-10^5)*Sell_unvalid[[#This Row],[QUANTITY]]-Sell_unvalid[[#This Row],[PTCK remain]]</f>
        <v>885389256.99230957</v>
      </c>
      <c r="BB230" s="534">
        <f>(Sell_unvalid[[#This Row],[PRICE]]-10^5)*Sell_unvalid[[#This Row],[QUANTITY]]-Sell_unvalid[[#This Row],[PTCK remain]]</f>
        <v>516839256.99230957</v>
      </c>
      <c r="BC230" s="534" t="str">
        <f>IF(AND(Sell_unvalid[[#This Row],[VALUE_DATE]]&lt;=RPT,Sell_unvalid[[#This Row],[TRANSACTION_STATUS]]="N"),"Check","Ok")</f>
        <v>Ok</v>
      </c>
      <c r="BD230" s="128"/>
      <c r="BE230" s="534"/>
      <c r="BF230" s="232"/>
      <c r="BG230" s="530"/>
      <c r="BH230" s="531"/>
      <c r="BJ230" s="375"/>
      <c r="BL230" s="530"/>
      <c r="BP230" s="534"/>
      <c r="BR230" s="727"/>
      <c r="BS230" s="128"/>
      <c r="BT230" s="848"/>
      <c r="BU230" s="849">
        <v>44911</v>
      </c>
      <c r="BV230" s="848">
        <v>39027</v>
      </c>
      <c r="BW230" s="848" t="s">
        <v>3901</v>
      </c>
      <c r="BX230" s="530">
        <v>100000</v>
      </c>
      <c r="BY230" s="735">
        <f>_xlfn.XLOOKUP(Est_NIM[[#This Row],[DEAL_BUY_ID]],BS!AL:AL,BS!AU:AU,_xlfn.XLOOKUP(Est_NIM[[#This Row],[DEAL_BUY_ID]],BS!BA:BA,BS!BJ:BJ,,0),0)</f>
        <v>3.8001</v>
      </c>
      <c r="BZ230" s="534">
        <f>Est_NIM[[#This Row],[QUANT]]*Est_NIM[[#This Row],[YIELD]]</f>
        <v>380010</v>
      </c>
      <c r="CA230" s="128"/>
      <c r="CB230" s="128"/>
      <c r="CE230" s="331"/>
      <c r="CF230" s="331"/>
      <c r="CG230" s="331"/>
      <c r="CH230">
        <v>3730</v>
      </c>
      <c r="CI230">
        <v>14282</v>
      </c>
      <c r="DH230" s="128"/>
      <c r="DI230" s="128"/>
      <c r="DJ230" s="128"/>
      <c r="DK230" s="128"/>
      <c r="DL230" s="128"/>
      <c r="DM230" s="128"/>
      <c r="DN230" s="128"/>
      <c r="DO230" s="128"/>
      <c r="DP230" s="128"/>
      <c r="DQ230" s="128"/>
      <c r="DR230" s="128"/>
      <c r="DS230" s="128"/>
      <c r="DT230" s="128"/>
      <c r="DU230" s="128"/>
      <c r="DV230" s="128"/>
      <c r="DW230" s="128"/>
      <c r="DX230" s="128"/>
      <c r="DY230" s="128"/>
      <c r="DZ230" s="128"/>
      <c r="EA230" s="128"/>
      <c r="EB230" s="128"/>
      <c r="EC230" s="128"/>
      <c r="ED230" s="128"/>
      <c r="EE230" s="128"/>
      <c r="EF230" s="128"/>
      <c r="EG230" s="128"/>
      <c r="EH230" s="128"/>
      <c r="EI230" s="128"/>
      <c r="EJ230" s="128"/>
      <c r="EK230" s="128"/>
      <c r="EL230" s="128"/>
      <c r="EM230" s="128"/>
      <c r="EN230" s="128"/>
      <c r="EO230" s="128"/>
      <c r="EP230" s="128"/>
      <c r="EQ230" s="128"/>
      <c r="ER230" s="128"/>
      <c r="ES230" s="128"/>
      <c r="ET230" s="530"/>
      <c r="EU230" s="530"/>
      <c r="EV230" s="530"/>
      <c r="EW230" s="530"/>
      <c r="EX230" s="530"/>
      <c r="EY230" s="530"/>
      <c r="EZ230" s="530"/>
      <c r="FA230" s="530"/>
      <c r="FB230" s="530"/>
      <c r="FC230" s="530"/>
      <c r="FD230" s="530"/>
      <c r="FE230" s="530"/>
      <c r="FF230" s="530"/>
      <c r="FG230" s="530"/>
      <c r="FH230" s="530"/>
      <c r="FI230" s="530"/>
      <c r="FJ230" s="530"/>
      <c r="FK230" s="530"/>
      <c r="FL230" s="530"/>
      <c r="FM230" s="530"/>
      <c r="FN230" s="530"/>
      <c r="FO230" s="530"/>
      <c r="FP230" s="530"/>
      <c r="FQ230" s="530"/>
      <c r="HF230" s="128"/>
      <c r="HG230" s="128"/>
      <c r="HH230" s="128"/>
      <c r="HI230" s="128"/>
      <c r="HJ230" s="128"/>
      <c r="HK230" s="128"/>
      <c r="HL230" s="128"/>
      <c r="HM230" s="128"/>
      <c r="HN230" s="128"/>
      <c r="HO230" s="128"/>
      <c r="HP230" s="128"/>
      <c r="HQ230" s="128"/>
      <c r="HR230" s="128"/>
      <c r="HS230" s="128"/>
      <c r="HT230" s="128"/>
      <c r="HU230" s="128"/>
      <c r="HV230" s="128"/>
      <c r="HW230" s="128"/>
      <c r="HX230" s="128"/>
      <c r="HY230" s="128"/>
      <c r="HZ230" s="128"/>
      <c r="IA230" s="128"/>
      <c r="IB230" s="128"/>
      <c r="IC230" s="128"/>
    </row>
    <row r="231" spans="41:237" x14ac:dyDescent="0.3">
      <c r="AO231" s="128">
        <v>50398</v>
      </c>
      <c r="AP231" s="128" t="s">
        <v>1209</v>
      </c>
      <c r="AQ231" s="128" t="s">
        <v>824</v>
      </c>
      <c r="AR231" s="128" t="s">
        <v>2234</v>
      </c>
      <c r="AS231" s="128">
        <v>46247</v>
      </c>
      <c r="AT231" s="128">
        <v>46260</v>
      </c>
      <c r="AU231" s="128">
        <v>123920</v>
      </c>
      <c r="AV231" s="128">
        <v>50330</v>
      </c>
      <c r="AW231" s="128">
        <v>810000</v>
      </c>
      <c r="AX231" s="534">
        <f>_xlfn.XLOOKUP(Sell_unvalid[[#This Row],[DEAL_BUY_ID]],BS!BA:BA,BS!BE:BE,,0)</f>
        <v>123337</v>
      </c>
      <c r="AY231" s="534">
        <f>_xlfn.XLOOKUP(Sell_unvalid[[#This Row],[BOND_CODE]],FNRP!D:D,FNRP!I:I,_xlfn.XLOOKUP(Sell_unvalid[[#This Row],[BOND_CODE]],FNRP!AV:AV,FNRP!BA:BA,,0),0)</f>
        <v>124387</v>
      </c>
      <c r="AZ231" s="534">
        <f>_xlfn.XLOOKUP(Sell_unvalid[[#This Row],[DEAL_BUY_ID]],BS!BA:BA,BS!BQ:BQ,,0)*Sell_unvalid[[#This Row],[QUANTITY]]</f>
        <v>18868080743.00769</v>
      </c>
      <c r="BA231" s="534">
        <f>(Sell_unvalid[[#This Row],[Giá MtM]]-10^5)*Sell_unvalid[[#This Row],[QUANTITY]]-Sell_unvalid[[#This Row],[PTCK remain]]</f>
        <v>885389256.99230957</v>
      </c>
      <c r="BB231" s="534">
        <f>(Sell_unvalid[[#This Row],[PRICE]]-10^5)*Sell_unvalid[[#This Row],[QUANTITY]]-Sell_unvalid[[#This Row],[PTCK remain]]</f>
        <v>507119256.99230957</v>
      </c>
      <c r="BC231" s="534" t="str">
        <f>IF(AND(Sell_unvalid[[#This Row],[VALUE_DATE]]&lt;=RPT,Sell_unvalid[[#This Row],[TRANSACTION_STATUS]]="N"),"Check","Ok")</f>
        <v>Ok</v>
      </c>
      <c r="BD231" s="128"/>
      <c r="BE231" s="534"/>
      <c r="BF231" s="232"/>
      <c r="BG231" s="530"/>
      <c r="BH231" s="531"/>
      <c r="BJ231" s="375"/>
      <c r="BL231" s="530"/>
      <c r="BP231" s="534"/>
      <c r="BR231" s="727"/>
      <c r="BS231" s="128"/>
      <c r="BT231" s="848"/>
      <c r="BU231" s="849">
        <v>44911</v>
      </c>
      <c r="BV231" s="848">
        <v>39031</v>
      </c>
      <c r="BW231" s="848" t="s">
        <v>3901</v>
      </c>
      <c r="BX231" s="530">
        <v>120000</v>
      </c>
      <c r="BY231" s="735">
        <f>_xlfn.XLOOKUP(Est_NIM[[#This Row],[DEAL_BUY_ID]],BS!AL:AL,BS!AU:AU,_xlfn.XLOOKUP(Est_NIM[[#This Row],[DEAL_BUY_ID]],BS!BA:BA,BS!BJ:BJ,,0),0)</f>
        <v>3.8</v>
      </c>
      <c r="BZ231" s="534">
        <f>Est_NIM[[#This Row],[QUANT]]*Est_NIM[[#This Row],[YIELD]]</f>
        <v>456000</v>
      </c>
      <c r="CA231" s="128"/>
      <c r="CB231" s="128"/>
      <c r="CE231" s="331"/>
      <c r="CF231" s="331"/>
      <c r="CG231" s="331"/>
      <c r="CH231">
        <v>3730</v>
      </c>
      <c r="CI231">
        <v>14282</v>
      </c>
      <c r="DH231" s="128"/>
      <c r="DI231" s="128"/>
      <c r="DJ231" s="128"/>
      <c r="DK231" s="128"/>
      <c r="DL231" s="128"/>
      <c r="DM231" s="128"/>
      <c r="DN231" s="128"/>
      <c r="DO231" s="128"/>
      <c r="DP231" s="128"/>
      <c r="DQ231" s="128"/>
      <c r="DR231" s="128"/>
      <c r="DS231" s="128"/>
      <c r="DT231" s="128"/>
      <c r="DU231" s="128"/>
      <c r="DV231" s="128"/>
      <c r="DW231" s="128"/>
      <c r="DX231" s="128"/>
      <c r="DY231" s="128"/>
      <c r="DZ231" s="128"/>
      <c r="EA231" s="128"/>
      <c r="EB231" s="128"/>
      <c r="EC231" s="128"/>
      <c r="ED231" s="128"/>
      <c r="EE231" s="128"/>
      <c r="EF231" s="128"/>
      <c r="EG231" s="128"/>
      <c r="EH231" s="128"/>
      <c r="EI231" s="128"/>
      <c r="EJ231" s="128"/>
      <c r="EK231" s="128"/>
      <c r="EL231" s="128"/>
      <c r="EM231" s="128"/>
      <c r="EN231" s="128"/>
      <c r="EO231" s="128"/>
      <c r="EP231" s="128"/>
      <c r="EQ231" s="128"/>
      <c r="ER231" s="128"/>
      <c r="ES231" s="128"/>
      <c r="ET231" s="530"/>
      <c r="EU231" s="530"/>
      <c r="EV231" s="530"/>
      <c r="EW231" s="530"/>
      <c r="EX231" s="530"/>
      <c r="EY231" s="530"/>
      <c r="EZ231" s="530"/>
      <c r="FA231" s="530"/>
      <c r="FB231" s="530"/>
      <c r="FC231" s="530"/>
      <c r="FD231" s="530"/>
      <c r="FE231" s="530"/>
      <c r="FF231" s="530"/>
      <c r="FG231" s="530"/>
      <c r="FH231" s="530"/>
      <c r="FI231" s="530"/>
      <c r="FJ231" s="530"/>
      <c r="FK231" s="530"/>
      <c r="FL231" s="530"/>
      <c r="FM231" s="530"/>
      <c r="FN231" s="530"/>
      <c r="FO231" s="530"/>
      <c r="FP231" s="530"/>
      <c r="FQ231" s="530"/>
      <c r="HF231" s="128"/>
      <c r="HG231" s="128"/>
      <c r="HH231" s="128"/>
      <c r="HI231" s="128"/>
      <c r="HJ231" s="128"/>
      <c r="HK231" s="128"/>
      <c r="HL231" s="128"/>
      <c r="HM231" s="128"/>
      <c r="HN231" s="128"/>
      <c r="HO231" s="128"/>
      <c r="HP231" s="128"/>
      <c r="HQ231" s="128"/>
      <c r="HR231" s="128"/>
      <c r="HS231" s="128"/>
      <c r="HT231" s="128"/>
      <c r="HU231" s="128"/>
      <c r="HV231" s="128"/>
      <c r="HW231" s="128"/>
      <c r="HX231" s="128"/>
      <c r="HY231" s="128"/>
      <c r="HZ231" s="128"/>
      <c r="IA231" s="128"/>
      <c r="IB231" s="128"/>
      <c r="IC231" s="128"/>
    </row>
    <row r="232" spans="41:237" x14ac:dyDescent="0.3">
      <c r="AO232" s="128">
        <v>50405</v>
      </c>
      <c r="AP232" s="128" t="s">
        <v>1209</v>
      </c>
      <c r="AQ232" s="128" t="s">
        <v>824</v>
      </c>
      <c r="AR232" s="128" t="s">
        <v>2234</v>
      </c>
      <c r="AS232" s="128">
        <v>46247</v>
      </c>
      <c r="AT232" s="128">
        <v>46258</v>
      </c>
      <c r="AU232" s="128">
        <v>123268</v>
      </c>
      <c r="AV232" s="128">
        <v>50330</v>
      </c>
      <c r="AW232" s="128">
        <v>190000</v>
      </c>
      <c r="AX232" s="534">
        <f>_xlfn.XLOOKUP(Sell_unvalid[[#This Row],[DEAL_BUY_ID]],BS!BA:BA,BS!BE:BE,,0)</f>
        <v>123337</v>
      </c>
      <c r="AY232" s="534">
        <f>_xlfn.XLOOKUP(Sell_unvalid[[#This Row],[BOND_CODE]],FNRP!D:D,FNRP!I:I,_xlfn.XLOOKUP(Sell_unvalid[[#This Row],[BOND_CODE]],FNRP!AV:AV,FNRP!BA:BA,,0),0)</f>
        <v>124387</v>
      </c>
      <c r="AZ232" s="534">
        <f>_xlfn.XLOOKUP(Sell_unvalid[[#This Row],[DEAL_BUY_ID]],BS!BA:BA,BS!BQ:BQ,,0)*Sell_unvalid[[#This Row],[QUANTITY]]</f>
        <v>4425846100.2116804</v>
      </c>
      <c r="BA232" s="534">
        <f>(Sell_unvalid[[#This Row],[Giá MtM]]-10^5)*Sell_unvalid[[#This Row],[QUANTITY]]-Sell_unvalid[[#This Row],[PTCK remain]]</f>
        <v>207683899.78831959</v>
      </c>
      <c r="BB232" s="534">
        <f>(Sell_unvalid[[#This Row],[PRICE]]-10^5)*Sell_unvalid[[#This Row],[QUANTITY]]-Sell_unvalid[[#This Row],[PTCK remain]]</f>
        <v>-4926100.2116804123</v>
      </c>
      <c r="BC232" s="534" t="str">
        <f>IF(AND(Sell_unvalid[[#This Row],[VALUE_DATE]]&lt;=RPT,Sell_unvalid[[#This Row],[TRANSACTION_STATUS]]="N"),"Check","Ok")</f>
        <v>Ok</v>
      </c>
      <c r="BD232" s="128"/>
      <c r="BE232" s="534"/>
      <c r="BF232" s="232"/>
      <c r="BG232" s="530"/>
      <c r="BH232" s="531"/>
      <c r="BJ232" s="375"/>
      <c r="BL232" s="530"/>
      <c r="BP232" s="534"/>
      <c r="BR232" s="727"/>
      <c r="BS232" s="128"/>
      <c r="BT232" s="848"/>
      <c r="BU232" s="849">
        <v>45281</v>
      </c>
      <c r="BV232" s="848">
        <v>41130</v>
      </c>
      <c r="BW232" s="848" t="s">
        <v>3901</v>
      </c>
      <c r="BX232" s="530">
        <v>3000000</v>
      </c>
      <c r="BY232" s="735">
        <f>_xlfn.XLOOKUP(Est_NIM[[#This Row],[DEAL_BUY_ID]],BS!AL:AL,BS!AU:AU,_xlfn.XLOOKUP(Est_NIM[[#This Row],[DEAL_BUY_ID]],BS!BA:BA,BS!BJ:BJ,,0),0)</f>
        <v>2.2000217740000001</v>
      </c>
      <c r="BZ232" s="534">
        <f>Est_NIM[[#This Row],[QUANT]]*Est_NIM[[#This Row],[YIELD]]</f>
        <v>6600065.3220000006</v>
      </c>
      <c r="CA232" s="128"/>
      <c r="CB232" s="128"/>
      <c r="CE232" s="331"/>
      <c r="CF232" s="331"/>
      <c r="CG232" s="331"/>
      <c r="CH232">
        <v>3730</v>
      </c>
      <c r="CI232">
        <v>14282</v>
      </c>
      <c r="DI232" s="128"/>
      <c r="DJ232" s="128"/>
      <c r="DK232" s="128"/>
      <c r="DL232" s="128"/>
      <c r="DM232" s="128"/>
      <c r="DN232" s="128"/>
      <c r="DO232" s="128"/>
      <c r="DP232" s="128"/>
      <c r="DQ232" s="128"/>
      <c r="DR232" s="128"/>
      <c r="DS232" s="128"/>
      <c r="DT232" s="128"/>
      <c r="DU232" s="128"/>
      <c r="DV232" s="128"/>
      <c r="DW232" s="128"/>
      <c r="DX232" s="128"/>
      <c r="DY232" s="128"/>
      <c r="DZ232" s="128"/>
      <c r="EA232" s="128"/>
      <c r="EB232" s="128"/>
      <c r="EC232" s="128"/>
      <c r="ED232" s="128"/>
      <c r="EE232" s="128"/>
      <c r="EF232" s="128"/>
      <c r="EG232" s="128"/>
      <c r="EH232" s="128"/>
      <c r="EI232" s="128"/>
      <c r="EJ232" s="128"/>
      <c r="EK232" s="128"/>
      <c r="EL232" s="128"/>
      <c r="EM232" s="128"/>
      <c r="EN232" s="128"/>
      <c r="EO232" s="128"/>
      <c r="EP232" s="128"/>
      <c r="EQ232" s="128"/>
      <c r="ER232" s="128"/>
      <c r="ES232" s="128"/>
      <c r="ET232" s="128"/>
      <c r="EU232" s="530"/>
      <c r="EV232" s="530"/>
      <c r="EW232" s="530"/>
      <c r="EX232" s="530"/>
      <c r="EY232" s="530"/>
      <c r="EZ232" s="530"/>
      <c r="FA232" s="530"/>
      <c r="FB232" s="530"/>
      <c r="FC232" s="530"/>
      <c r="FD232" s="530"/>
      <c r="FE232" s="530"/>
      <c r="FF232" s="530"/>
      <c r="FG232" s="530"/>
      <c r="FH232" s="530"/>
      <c r="FI232" s="530"/>
      <c r="FJ232" s="530"/>
      <c r="FK232" s="530"/>
      <c r="FL232" s="530"/>
      <c r="FM232" s="530"/>
      <c r="FN232" s="530"/>
      <c r="FO232" s="530"/>
      <c r="FP232" s="530"/>
      <c r="FQ232" s="530"/>
      <c r="HG232" s="128"/>
      <c r="HH232" s="128"/>
      <c r="HI232" s="128"/>
      <c r="HJ232" s="128"/>
      <c r="HK232" s="128"/>
      <c r="HL232" s="128"/>
      <c r="HM232" s="128"/>
      <c r="HN232" s="128"/>
      <c r="HO232" s="128"/>
      <c r="HP232" s="128"/>
      <c r="HQ232" s="128"/>
      <c r="HR232" s="128"/>
      <c r="HS232" s="128"/>
      <c r="HT232" s="128"/>
      <c r="HU232" s="128"/>
      <c r="HV232" s="128"/>
      <c r="HW232" s="128"/>
      <c r="HX232" s="128"/>
      <c r="HY232" s="128"/>
      <c r="HZ232" s="128"/>
      <c r="IA232" s="128"/>
      <c r="IB232" s="128"/>
      <c r="IC232" s="128"/>
    </row>
    <row r="233" spans="41:237" x14ac:dyDescent="0.3">
      <c r="AO233" s="128">
        <v>50447</v>
      </c>
      <c r="AP233" s="128" t="s">
        <v>1209</v>
      </c>
      <c r="AQ233" s="128" t="s">
        <v>824</v>
      </c>
      <c r="AR233" s="128" t="s">
        <v>2234</v>
      </c>
      <c r="AS233" s="128">
        <v>46252</v>
      </c>
      <c r="AT233" s="128">
        <v>46268</v>
      </c>
      <c r="AU233" s="128">
        <v>123827</v>
      </c>
      <c r="AV233" s="128">
        <v>50400</v>
      </c>
      <c r="AW233" s="128">
        <v>560000</v>
      </c>
      <c r="AX233" s="534">
        <f>_xlfn.XLOOKUP(Sell_unvalid[[#This Row],[DEAL_BUY_ID]],BS!BA:BA,BS!BE:BE,,0)</f>
        <v>123871</v>
      </c>
      <c r="AY233" s="534">
        <f>_xlfn.XLOOKUP(Sell_unvalid[[#This Row],[BOND_CODE]],FNRP!D:D,FNRP!I:I,_xlfn.XLOOKUP(Sell_unvalid[[#This Row],[BOND_CODE]],FNRP!AV:AV,FNRP!BA:BA,,0),0)</f>
        <v>124387</v>
      </c>
      <c r="AZ233" s="534">
        <f>_xlfn.XLOOKUP(Sell_unvalid[[#This Row],[DEAL_BUY_ID]],BS!BA:BA,BS!BQ:BQ,,0)*Sell_unvalid[[#This Row],[QUANTITY]]</f>
        <v>13400686281.662617</v>
      </c>
      <c r="BA233" s="534">
        <f>(Sell_unvalid[[#This Row],[Giá MtM]]-10^5)*Sell_unvalid[[#This Row],[QUANTITY]]-Sell_unvalid[[#This Row],[PTCK remain]]</f>
        <v>256033718.33738327</v>
      </c>
      <c r="BB233" s="534">
        <f>(Sell_unvalid[[#This Row],[PRICE]]-10^5)*Sell_unvalid[[#This Row],[QUANTITY]]-Sell_unvalid[[#This Row],[PTCK remain]]</f>
        <v>-57566281.66261673</v>
      </c>
      <c r="BC233" s="534" t="str">
        <f>IF(AND(Sell_unvalid[[#This Row],[VALUE_DATE]]&lt;=RPT,Sell_unvalid[[#This Row],[TRANSACTION_STATUS]]="N"),"Check","Ok")</f>
        <v>Ok</v>
      </c>
      <c r="BD233" s="128"/>
      <c r="BE233" s="534"/>
      <c r="BF233" s="232"/>
      <c r="BG233" s="530"/>
      <c r="BH233" s="531"/>
      <c r="BJ233" s="375"/>
      <c r="BL233" s="530"/>
      <c r="BP233" s="534"/>
      <c r="BR233" s="727"/>
      <c r="BS233" s="128"/>
      <c r="BT233" s="848"/>
      <c r="BU233" s="849">
        <v>45282</v>
      </c>
      <c r="BV233" s="848">
        <v>41141</v>
      </c>
      <c r="BW233" s="848" t="s">
        <v>3901</v>
      </c>
      <c r="BX233" s="530">
        <v>3500000</v>
      </c>
      <c r="BY233" s="735">
        <f>_xlfn.XLOOKUP(Est_NIM[[#This Row],[DEAL_BUY_ID]],BS!AL:AL,BS!AU:AU,_xlfn.XLOOKUP(Est_NIM[[#This Row],[DEAL_BUY_ID]],BS!BA:BA,BS!BJ:BJ,,0),0)</f>
        <v>2.199859156</v>
      </c>
      <c r="BZ233" s="534">
        <f>Est_NIM[[#This Row],[QUANT]]*Est_NIM[[#This Row],[YIELD]]</f>
        <v>7699507.0460000001</v>
      </c>
      <c r="CA233" s="128"/>
      <c r="CB233" s="128"/>
      <c r="CE233" s="331"/>
      <c r="CF233" s="331"/>
      <c r="CG233" s="331"/>
      <c r="CH233">
        <v>3730</v>
      </c>
      <c r="CI233">
        <v>14282</v>
      </c>
      <c r="DK233" s="128"/>
      <c r="DL233" s="128"/>
      <c r="DM233" s="128"/>
      <c r="DN233" s="128"/>
      <c r="DO233" s="128"/>
      <c r="DP233" s="128"/>
      <c r="DQ233" s="128"/>
      <c r="DR233" s="128"/>
      <c r="DS233" s="128"/>
      <c r="DT233" s="128"/>
      <c r="DU233" s="128"/>
      <c r="DV233" s="128"/>
      <c r="DW233" s="128"/>
      <c r="DX233" s="128"/>
      <c r="DY233" s="128"/>
      <c r="DZ233" s="128"/>
      <c r="EA233" s="128"/>
      <c r="EB233" s="128"/>
      <c r="EC233" s="128"/>
      <c r="ED233" s="128"/>
      <c r="EE233" s="128"/>
      <c r="EF233" s="128"/>
      <c r="EG233" s="128"/>
      <c r="EH233" s="128"/>
      <c r="EI233" s="128"/>
      <c r="EJ233" s="128"/>
      <c r="EK233" s="128"/>
      <c r="EL233" s="128"/>
      <c r="EM233" s="128"/>
      <c r="EN233" s="128"/>
      <c r="EO233" s="128"/>
      <c r="EP233" s="128"/>
      <c r="EQ233" s="128"/>
      <c r="ER233" s="128"/>
      <c r="ES233" s="128"/>
      <c r="ET233" s="128"/>
      <c r="EU233" s="128"/>
      <c r="EV233" s="128"/>
      <c r="EW233" s="530"/>
      <c r="EX233" s="530"/>
      <c r="EY233" s="530"/>
      <c r="EZ233" s="530"/>
      <c r="FA233" s="530"/>
      <c r="FB233" s="530"/>
      <c r="FC233" s="530"/>
      <c r="FD233" s="530"/>
      <c r="FE233" s="530"/>
      <c r="FF233" s="530"/>
      <c r="FG233" s="530"/>
      <c r="FH233" s="530"/>
      <c r="FI233" s="530"/>
      <c r="FJ233" s="530"/>
      <c r="FK233" s="530"/>
      <c r="FL233" s="530"/>
      <c r="FM233" s="530"/>
      <c r="FN233" s="530"/>
      <c r="FO233" s="530"/>
      <c r="FP233" s="530"/>
      <c r="FQ233" s="530"/>
      <c r="HI233" s="128"/>
      <c r="HJ233" s="128"/>
      <c r="HK233" s="128"/>
      <c r="HL233" s="128"/>
      <c r="HM233" s="128"/>
      <c r="HN233" s="128"/>
      <c r="HO233" s="128"/>
      <c r="HP233" s="128"/>
      <c r="HQ233" s="128"/>
      <c r="HR233" s="128"/>
      <c r="HS233" s="128"/>
      <c r="HT233" s="128"/>
      <c r="HU233" s="128"/>
      <c r="HV233" s="128"/>
      <c r="HW233" s="128"/>
      <c r="HX233" s="128"/>
      <c r="HY233" s="128"/>
      <c r="HZ233" s="128"/>
      <c r="IA233" s="128"/>
      <c r="IB233" s="128"/>
      <c r="IC233" s="128"/>
    </row>
    <row r="234" spans="41:237" x14ac:dyDescent="0.3">
      <c r="AO234" s="128">
        <v>48409</v>
      </c>
      <c r="AP234" s="128" t="s">
        <v>717</v>
      </c>
      <c r="AQ234" s="128" t="s">
        <v>824</v>
      </c>
      <c r="AR234" s="128" t="s">
        <v>3594</v>
      </c>
      <c r="AS234" s="128">
        <v>46015</v>
      </c>
      <c r="AT234" s="128">
        <v>46209</v>
      </c>
      <c r="AU234" s="128">
        <v>150320</v>
      </c>
      <c r="AV234" s="128">
        <v>48407</v>
      </c>
      <c r="AW234" s="128">
        <v>7350000</v>
      </c>
      <c r="AX234" s="534">
        <f>_xlfn.XLOOKUP(Sell_unvalid[[#This Row],[DEAL_BUY_ID]],BS!BA:BA,BS!BE:BE,,0)</f>
        <v>150563</v>
      </c>
      <c r="AY234" s="534">
        <f>_xlfn.XLOOKUP(Sell_unvalid[[#This Row],[BOND_CODE]],FNRP!D:D,FNRP!I:I,_xlfn.XLOOKUP(Sell_unvalid[[#This Row],[BOND_CODE]],FNRP!AV:AV,FNRP!BA:BA,,0),0)</f>
        <v>142049</v>
      </c>
      <c r="AZ234" s="534">
        <f>_xlfn.XLOOKUP(Sell_unvalid[[#This Row],[DEAL_BUY_ID]],BS!BA:BA,BS!BQ:BQ,,0)*Sell_unvalid[[#This Row],[QUANTITY]]</f>
        <v>359835171478.43945</v>
      </c>
      <c r="BA234" s="534">
        <f>(Sell_unvalid[[#This Row],[Giá MtM]]-10^5)*Sell_unvalid[[#This Row],[QUANTITY]]-Sell_unvalid[[#This Row],[PTCK remain]]</f>
        <v>-50775021478.439453</v>
      </c>
      <c r="BB234" s="534">
        <f>(Sell_unvalid[[#This Row],[PRICE]]-10^5)*Sell_unvalid[[#This Row],[QUANTITY]]-Sell_unvalid[[#This Row],[PTCK remain]]</f>
        <v>10016828521.560547</v>
      </c>
      <c r="BC234" s="534" t="str">
        <f>IF(AND(Sell_unvalid[[#This Row],[VALUE_DATE]]&lt;=RPT,Sell_unvalid[[#This Row],[TRANSACTION_STATUS]]="N"),"Check","Ok")</f>
        <v>Ok</v>
      </c>
      <c r="BD234" s="128"/>
      <c r="BE234" s="534"/>
      <c r="BF234" s="232"/>
      <c r="BG234" s="530"/>
      <c r="BH234" s="531"/>
      <c r="BJ234" s="375"/>
      <c r="BL234" s="530"/>
      <c r="BP234" s="534"/>
      <c r="BR234" s="727"/>
      <c r="BS234" s="128"/>
      <c r="BT234" s="848"/>
      <c r="BU234" s="849">
        <v>45282</v>
      </c>
      <c r="BV234" s="848">
        <v>41165</v>
      </c>
      <c r="BW234" s="848" t="s">
        <v>3901</v>
      </c>
      <c r="BX234" s="530">
        <v>3000000</v>
      </c>
      <c r="BY234" s="735">
        <f>_xlfn.XLOOKUP(Est_NIM[[#This Row],[DEAL_BUY_ID]],BS!AL:AL,BS!AU:AU,_xlfn.XLOOKUP(Est_NIM[[#This Row],[DEAL_BUY_ID]],BS!BA:BA,BS!BJ:BJ,,0),0)</f>
        <v>2.7999571689999998</v>
      </c>
      <c r="BZ234" s="534">
        <f>Est_NIM[[#This Row],[QUANT]]*Est_NIM[[#This Row],[YIELD]]</f>
        <v>8399871.5069999993</v>
      </c>
      <c r="CA234" s="128"/>
      <c r="CB234" s="128"/>
      <c r="CE234" s="331"/>
      <c r="CF234" s="331"/>
      <c r="CG234" s="331"/>
      <c r="CH234">
        <v>3730</v>
      </c>
      <c r="CI234">
        <v>14282</v>
      </c>
      <c r="DL234" s="128"/>
      <c r="DM234" s="128"/>
      <c r="DN234" s="128"/>
      <c r="DO234" s="128"/>
      <c r="DP234" s="128"/>
      <c r="DQ234" s="128"/>
      <c r="DR234" s="128"/>
      <c r="DS234" s="128"/>
      <c r="DT234" s="128"/>
      <c r="DU234" s="128"/>
      <c r="DV234" s="128"/>
      <c r="DW234" s="128"/>
      <c r="DX234" s="128"/>
      <c r="DY234" s="128"/>
      <c r="DZ234" s="128"/>
      <c r="EA234" s="128"/>
      <c r="EB234" s="128"/>
      <c r="EC234" s="128"/>
      <c r="ED234" s="128"/>
      <c r="EE234" s="128"/>
      <c r="EF234" s="128"/>
      <c r="EG234" s="128"/>
      <c r="EH234" s="128"/>
      <c r="EI234" s="128"/>
      <c r="EJ234" s="128"/>
      <c r="EK234" s="128"/>
      <c r="EL234" s="128"/>
      <c r="EM234" s="128"/>
      <c r="EN234" s="128"/>
      <c r="EO234" s="128"/>
      <c r="EP234" s="128"/>
      <c r="EQ234" s="128"/>
      <c r="ER234" s="128"/>
      <c r="ES234" s="128"/>
      <c r="ET234" s="128"/>
      <c r="EU234" s="128"/>
      <c r="EV234" s="128"/>
      <c r="EW234" s="128"/>
      <c r="EX234" s="530"/>
      <c r="EY234" s="530"/>
      <c r="EZ234" s="530"/>
      <c r="FA234" s="530"/>
      <c r="FB234" s="530"/>
      <c r="FC234" s="530"/>
      <c r="FD234" s="530"/>
      <c r="FE234" s="530"/>
      <c r="FF234" s="530"/>
      <c r="FG234" s="530"/>
      <c r="FH234" s="530"/>
      <c r="FI234" s="530"/>
      <c r="FJ234" s="530"/>
      <c r="FK234" s="530"/>
      <c r="FL234" s="530"/>
      <c r="FM234" s="530"/>
      <c r="FN234" s="530"/>
      <c r="FO234" s="530"/>
      <c r="FP234" s="530"/>
      <c r="FQ234" s="530"/>
      <c r="HJ234" s="128"/>
      <c r="HK234" s="128"/>
      <c r="HL234" s="128"/>
      <c r="HM234" s="128"/>
      <c r="HN234" s="128"/>
      <c r="HO234" s="128"/>
      <c r="HP234" s="128"/>
      <c r="HQ234" s="128"/>
      <c r="HR234" s="128"/>
      <c r="HS234" s="128"/>
      <c r="HT234" s="128"/>
      <c r="HU234" s="128"/>
      <c r="HV234" s="128"/>
      <c r="HW234" s="128"/>
      <c r="HX234" s="128"/>
      <c r="HY234" s="128"/>
      <c r="HZ234" s="128"/>
      <c r="IA234" s="128"/>
      <c r="IB234" s="128"/>
      <c r="IC234" s="128"/>
    </row>
    <row r="235" spans="41:237" x14ac:dyDescent="0.3">
      <c r="AO235" s="128">
        <v>48409</v>
      </c>
      <c r="AP235" s="128" t="s">
        <v>717</v>
      </c>
      <c r="AQ235" s="128" t="s">
        <v>824</v>
      </c>
      <c r="AR235" s="128" t="s">
        <v>3594</v>
      </c>
      <c r="AS235" s="128">
        <v>46015</v>
      </c>
      <c r="AT235" s="128">
        <v>46209</v>
      </c>
      <c r="AU235" s="128">
        <v>150320</v>
      </c>
      <c r="AV235" s="128">
        <v>50093</v>
      </c>
      <c r="AW235" s="128">
        <v>2650000</v>
      </c>
      <c r="AX235" s="534">
        <f>_xlfn.XLOOKUP(Sell_unvalid[[#This Row],[DEAL_BUY_ID]],BS!BA:BA,BS!BE:BE,,0)</f>
        <v>149689</v>
      </c>
      <c r="AY235" s="534">
        <f>_xlfn.XLOOKUP(Sell_unvalid[[#This Row],[BOND_CODE]],FNRP!D:D,FNRP!I:I,_xlfn.XLOOKUP(Sell_unvalid[[#This Row],[BOND_CODE]],FNRP!AV:AV,FNRP!BA:BA,,0),0)</f>
        <v>142049</v>
      </c>
      <c r="AZ235" s="534">
        <f>_xlfn.XLOOKUP(Sell_unvalid[[#This Row],[DEAL_BUY_ID]],BS!BA:BA,BS!BQ:BQ,,0)*Sell_unvalid[[#This Row],[QUANTITY]]</f>
        <v>130751441354.9393</v>
      </c>
      <c r="BA235" s="534">
        <f>(Sell_unvalid[[#This Row],[Giá MtM]]-10^5)*Sell_unvalid[[#This Row],[QUANTITY]]-Sell_unvalid[[#This Row],[PTCK remain]]</f>
        <v>-19321591354.939301</v>
      </c>
      <c r="BB235" s="534">
        <f>(Sell_unvalid[[#This Row],[PRICE]]-10^5)*Sell_unvalid[[#This Row],[QUANTITY]]-Sell_unvalid[[#This Row],[PTCK remain]]</f>
        <v>2596558645.0606995</v>
      </c>
      <c r="BC235" s="534" t="str">
        <f>IF(AND(Sell_unvalid[[#This Row],[VALUE_DATE]]&lt;=RPT,Sell_unvalid[[#This Row],[TRANSACTION_STATUS]]="N"),"Check","Ok")</f>
        <v>Ok</v>
      </c>
      <c r="BD235" s="128"/>
      <c r="BE235" s="534"/>
      <c r="BF235" s="232"/>
      <c r="BG235" s="530"/>
      <c r="BH235" s="531"/>
      <c r="BJ235" s="375"/>
      <c r="BL235" s="530"/>
      <c r="BP235" s="534"/>
      <c r="BR235" s="727"/>
      <c r="BS235" s="128"/>
      <c r="BT235" s="848"/>
      <c r="BU235" s="849">
        <v>45286</v>
      </c>
      <c r="BV235" s="848">
        <v>41198</v>
      </c>
      <c r="BW235" s="848" t="s">
        <v>3901</v>
      </c>
      <c r="BX235" s="530">
        <v>2000000</v>
      </c>
      <c r="BY235" s="735">
        <f>_xlfn.XLOOKUP(Est_NIM[[#This Row],[DEAL_BUY_ID]],BS!AL:AL,BS!AU:AU,_xlfn.XLOOKUP(Est_NIM[[#This Row],[DEAL_BUY_ID]],BS!BA:BA,BS!BJ:BJ,,0),0)</f>
        <v>2.7999625880000001</v>
      </c>
      <c r="BZ235" s="534">
        <f>Est_NIM[[#This Row],[QUANT]]*Est_NIM[[#This Row],[YIELD]]</f>
        <v>5599925.176</v>
      </c>
      <c r="CA235" s="128"/>
      <c r="CB235" s="128"/>
      <c r="CE235" s="331"/>
      <c r="CF235" s="331"/>
      <c r="CG235" s="331"/>
      <c r="CH235">
        <v>3730</v>
      </c>
      <c r="CI235">
        <v>14282</v>
      </c>
      <c r="DM235" s="128"/>
      <c r="DN235" s="128"/>
      <c r="DO235" s="128"/>
      <c r="DP235" s="128"/>
      <c r="DQ235" s="128"/>
      <c r="DR235" s="128"/>
      <c r="DS235" s="128"/>
      <c r="DT235" s="128"/>
      <c r="DU235" s="128"/>
      <c r="DV235" s="128"/>
      <c r="DW235" s="128"/>
      <c r="DX235" s="128"/>
      <c r="DY235" s="128"/>
      <c r="DZ235" s="128"/>
      <c r="EA235" s="128"/>
      <c r="EB235" s="128"/>
      <c r="EC235" s="128"/>
      <c r="ED235" s="128"/>
      <c r="EE235" s="128"/>
      <c r="EF235" s="128"/>
      <c r="EG235" s="128"/>
      <c r="EH235" s="128"/>
      <c r="EI235" s="128"/>
      <c r="EJ235" s="128"/>
      <c r="EK235" s="128"/>
      <c r="EL235" s="128"/>
      <c r="EM235" s="128"/>
      <c r="EN235" s="128"/>
      <c r="EO235" s="128"/>
      <c r="EP235" s="128"/>
      <c r="EQ235" s="128"/>
      <c r="ER235" s="128"/>
      <c r="ES235" s="128"/>
      <c r="ET235" s="128"/>
      <c r="EU235" s="128"/>
      <c r="EV235" s="128"/>
      <c r="EW235" s="128"/>
      <c r="EX235" s="128"/>
      <c r="EY235" s="530"/>
      <c r="EZ235" s="530"/>
      <c r="FA235" s="530"/>
      <c r="FB235" s="530"/>
      <c r="FC235" s="530"/>
      <c r="FD235" s="530"/>
      <c r="FE235" s="530"/>
      <c r="FF235" s="530"/>
      <c r="FG235" s="530"/>
      <c r="FH235" s="530"/>
      <c r="FI235" s="530"/>
      <c r="FJ235" s="530"/>
      <c r="FK235" s="530"/>
      <c r="FL235" s="530"/>
      <c r="FM235" s="530"/>
      <c r="FN235" s="530"/>
      <c r="FO235" s="530"/>
      <c r="FP235" s="530"/>
      <c r="FQ235" s="530"/>
      <c r="HK235" s="128"/>
      <c r="HL235" s="128"/>
      <c r="HM235" s="128"/>
      <c r="HN235" s="128"/>
      <c r="HO235" s="128"/>
      <c r="HP235" s="128"/>
      <c r="HQ235" s="128"/>
      <c r="HR235" s="128"/>
      <c r="HS235" s="128"/>
      <c r="HT235" s="128"/>
      <c r="HU235" s="128"/>
      <c r="HV235" s="128"/>
      <c r="HW235" s="128"/>
      <c r="HX235" s="128"/>
      <c r="HY235" s="128"/>
      <c r="HZ235" s="128"/>
      <c r="IA235" s="128"/>
      <c r="IB235" s="128"/>
      <c r="IC235" s="128"/>
    </row>
    <row r="236" spans="41:237" x14ac:dyDescent="0.3">
      <c r="AO236" s="128">
        <v>48413</v>
      </c>
      <c r="AP236" s="128" t="s">
        <v>717</v>
      </c>
      <c r="AQ236" s="128" t="s">
        <v>824</v>
      </c>
      <c r="AR236" s="128" t="s">
        <v>3594</v>
      </c>
      <c r="AS236" s="128">
        <v>46015</v>
      </c>
      <c r="AT236" s="128">
        <v>46210</v>
      </c>
      <c r="AU236" s="128">
        <v>150354</v>
      </c>
      <c r="AV236" s="128">
        <v>48411</v>
      </c>
      <c r="AW236" s="128">
        <v>6600000</v>
      </c>
      <c r="AX236" s="534">
        <f>_xlfn.XLOOKUP(Sell_unvalid[[#This Row],[DEAL_BUY_ID]],BS!BA:BA,BS!BE:BE,,0)</f>
        <v>150595</v>
      </c>
      <c r="AY236" s="534">
        <f>_xlfn.XLOOKUP(Sell_unvalid[[#This Row],[BOND_CODE]],FNRP!D:D,FNRP!I:I,_xlfn.XLOOKUP(Sell_unvalid[[#This Row],[BOND_CODE]],FNRP!AV:AV,FNRP!BA:BA,,0),0)</f>
        <v>142049</v>
      </c>
      <c r="AZ236" s="534">
        <f>_xlfn.XLOOKUP(Sell_unvalid[[#This Row],[DEAL_BUY_ID]],BS!BA:BA,BS!BQ:BQ,,0)*Sell_unvalid[[#This Row],[QUANTITY]]</f>
        <v>323366581032.34857</v>
      </c>
      <c r="BA236" s="534">
        <f>(Sell_unvalid[[#This Row],[Giá MtM]]-10^5)*Sell_unvalid[[#This Row],[QUANTITY]]-Sell_unvalid[[#This Row],[PTCK remain]]</f>
        <v>-45843181032.348572</v>
      </c>
      <c r="BB236" s="534">
        <f>(Sell_unvalid[[#This Row],[PRICE]]-10^5)*Sell_unvalid[[#This Row],[QUANTITY]]-Sell_unvalid[[#This Row],[PTCK remain]]</f>
        <v>8969818967.6514282</v>
      </c>
      <c r="BC236" s="534" t="str">
        <f>IF(AND(Sell_unvalid[[#This Row],[VALUE_DATE]]&lt;=RPT,Sell_unvalid[[#This Row],[TRANSACTION_STATUS]]="N"),"Check","Ok")</f>
        <v>Ok</v>
      </c>
      <c r="BD236" s="128"/>
      <c r="BE236" s="534"/>
      <c r="BF236" s="232"/>
      <c r="BG236" s="530"/>
      <c r="BH236" s="531"/>
      <c r="BJ236" s="375"/>
      <c r="BL236" s="530"/>
      <c r="BP236" s="534"/>
      <c r="BR236" s="727"/>
      <c r="BS236" s="128"/>
      <c r="BT236" s="848"/>
      <c r="BU236" s="849">
        <v>45287</v>
      </c>
      <c r="BV236" s="848">
        <v>41203</v>
      </c>
      <c r="BW236" s="848" t="s">
        <v>3901</v>
      </c>
      <c r="BX236" s="530">
        <v>1000000</v>
      </c>
      <c r="BY236" s="735">
        <f>_xlfn.XLOOKUP(Est_NIM[[#This Row],[DEAL_BUY_ID]],BS!AL:AL,BS!AU:AU,_xlfn.XLOOKUP(Est_NIM[[#This Row],[DEAL_BUY_ID]],BS!BA:BA,BS!BJ:BJ,,0),0)</f>
        <v>3</v>
      </c>
      <c r="BZ236" s="534">
        <f>Est_NIM[[#This Row],[QUANT]]*Est_NIM[[#This Row],[YIELD]]</f>
        <v>3000000</v>
      </c>
      <c r="CA236" s="128"/>
      <c r="CB236" s="128"/>
      <c r="CE236" s="331"/>
      <c r="CF236" s="331"/>
      <c r="CG236" s="331"/>
      <c r="CH236">
        <v>3730</v>
      </c>
      <c r="CI236">
        <v>14282</v>
      </c>
      <c r="DN236" s="128"/>
      <c r="DO236" s="128"/>
      <c r="DP236" s="128"/>
      <c r="DQ236" s="128"/>
      <c r="DR236" s="128"/>
      <c r="DS236" s="128"/>
      <c r="DT236" s="128"/>
      <c r="DU236" s="128"/>
      <c r="DV236" s="128"/>
      <c r="DW236" s="128"/>
      <c r="DX236" s="128"/>
      <c r="DY236" s="128"/>
      <c r="DZ236" s="128"/>
      <c r="EA236" s="128"/>
      <c r="EB236" s="128"/>
      <c r="EC236" s="128"/>
      <c r="ED236" s="128"/>
      <c r="EE236" s="128"/>
      <c r="EF236" s="128"/>
      <c r="EG236" s="128"/>
      <c r="EH236" s="128"/>
      <c r="EI236" s="128"/>
      <c r="EJ236" s="128"/>
      <c r="EK236" s="128"/>
      <c r="EL236" s="128"/>
      <c r="EM236" s="128"/>
      <c r="EN236" s="128"/>
      <c r="EO236" s="128"/>
      <c r="EP236" s="128"/>
      <c r="EQ236" s="128"/>
      <c r="ER236" s="128"/>
      <c r="ES236" s="128"/>
      <c r="ET236" s="128"/>
      <c r="EU236" s="128"/>
      <c r="EV236" s="128"/>
      <c r="EW236" s="128"/>
      <c r="EX236" s="128"/>
      <c r="EY236" s="128"/>
      <c r="EZ236" s="530"/>
      <c r="FA236" s="530"/>
      <c r="FB236" s="530"/>
      <c r="FC236" s="530"/>
      <c r="FD236" s="530"/>
      <c r="FE236" s="530"/>
      <c r="FF236" s="530"/>
      <c r="FG236" s="530"/>
      <c r="FH236" s="530"/>
      <c r="FI236" s="530"/>
      <c r="FJ236" s="530"/>
      <c r="FK236" s="530"/>
      <c r="FL236" s="530"/>
      <c r="FM236" s="530"/>
      <c r="FN236" s="530"/>
      <c r="FO236" s="530"/>
      <c r="FP236" s="530"/>
      <c r="FQ236" s="530"/>
      <c r="HL236" s="128"/>
      <c r="HM236" s="128"/>
      <c r="HN236" s="128"/>
      <c r="HO236" s="128"/>
      <c r="HP236" s="128"/>
      <c r="HQ236" s="128"/>
      <c r="HR236" s="128"/>
      <c r="HS236" s="128"/>
      <c r="HT236" s="128"/>
      <c r="HU236" s="128"/>
      <c r="HV236" s="128"/>
      <c r="HW236" s="128"/>
      <c r="HX236" s="128"/>
      <c r="HY236" s="128"/>
      <c r="HZ236" s="128"/>
      <c r="IA236" s="128"/>
      <c r="IB236" s="128"/>
      <c r="IC236" s="128"/>
    </row>
    <row r="237" spans="41:237" x14ac:dyDescent="0.3">
      <c r="AO237" s="128">
        <v>48413</v>
      </c>
      <c r="AP237" s="128" t="s">
        <v>717</v>
      </c>
      <c r="AQ237" s="128" t="s">
        <v>824</v>
      </c>
      <c r="AR237" s="128" t="s">
        <v>3594</v>
      </c>
      <c r="AS237" s="128">
        <v>46015</v>
      </c>
      <c r="AT237" s="128">
        <v>46210</v>
      </c>
      <c r="AU237" s="128">
        <v>150354</v>
      </c>
      <c r="AV237" s="128">
        <v>49089</v>
      </c>
      <c r="AW237" s="128">
        <v>320000</v>
      </c>
      <c r="AX237" s="534">
        <f>_xlfn.XLOOKUP(Sell_unvalid[[#This Row],[DEAL_BUY_ID]],BS!BA:BA,BS!BE:BE,,0)</f>
        <v>150266</v>
      </c>
      <c r="AY237" s="534">
        <f>_xlfn.XLOOKUP(Sell_unvalid[[#This Row],[BOND_CODE]],FNRP!D:D,FNRP!I:I,_xlfn.XLOOKUP(Sell_unvalid[[#This Row],[BOND_CODE]],FNRP!AV:AV,FNRP!BA:BA,,0),0)</f>
        <v>142049</v>
      </c>
      <c r="AZ237" s="534">
        <f>_xlfn.XLOOKUP(Sell_unvalid[[#This Row],[DEAL_BUY_ID]],BS!BA:BA,BS!BQ:BQ,,0)*Sell_unvalid[[#This Row],[QUANTITY]]</f>
        <v>15722679607.745142</v>
      </c>
      <c r="BA237" s="534">
        <f>(Sell_unvalid[[#This Row],[Giá MtM]]-10^5)*Sell_unvalid[[#This Row],[QUANTITY]]-Sell_unvalid[[#This Row],[PTCK remain]]</f>
        <v>-2266999607.745142</v>
      </c>
      <c r="BB237" s="534">
        <f>(Sell_unvalid[[#This Row],[PRICE]]-10^5)*Sell_unvalid[[#This Row],[QUANTITY]]-Sell_unvalid[[#This Row],[PTCK remain]]</f>
        <v>390600392.25485802</v>
      </c>
      <c r="BC237" s="534" t="str">
        <f>IF(AND(Sell_unvalid[[#This Row],[VALUE_DATE]]&lt;=RPT,Sell_unvalid[[#This Row],[TRANSACTION_STATUS]]="N"),"Check","Ok")</f>
        <v>Ok</v>
      </c>
      <c r="BD237" s="128"/>
      <c r="BE237" s="534"/>
      <c r="BF237" s="232"/>
      <c r="BG237" s="530"/>
      <c r="BH237" s="531"/>
      <c r="BJ237" s="375"/>
      <c r="BL237" s="530"/>
      <c r="BP237" s="534"/>
      <c r="BR237" s="727"/>
      <c r="BS237" s="128"/>
      <c r="BT237" s="848"/>
      <c r="BU237" s="849">
        <v>45287</v>
      </c>
      <c r="BV237" s="848">
        <v>41218</v>
      </c>
      <c r="BW237" s="848" t="s">
        <v>3901</v>
      </c>
      <c r="BX237" s="530">
        <v>1000000</v>
      </c>
      <c r="BY237" s="735">
        <f>_xlfn.XLOOKUP(Est_NIM[[#This Row],[DEAL_BUY_ID]],BS!AL:AL,BS!AU:AU,_xlfn.XLOOKUP(Est_NIM[[#This Row],[DEAL_BUY_ID]],BS!BA:BA,BS!BJ:BJ,,0),0)</f>
        <v>2.8033999999999999</v>
      </c>
      <c r="BZ237" s="534">
        <f>Est_NIM[[#This Row],[QUANT]]*Est_NIM[[#This Row],[YIELD]]</f>
        <v>2803400</v>
      </c>
      <c r="CA237" s="128"/>
      <c r="CB237" s="128"/>
      <c r="CE237" s="331"/>
      <c r="CF237" s="331"/>
      <c r="CG237" s="331"/>
      <c r="CH237">
        <v>3730</v>
      </c>
      <c r="CI237">
        <v>14282</v>
      </c>
      <c r="DN237" s="128"/>
      <c r="DO237" s="128"/>
      <c r="DP237" s="128"/>
      <c r="DQ237" s="128"/>
      <c r="DR237" s="128"/>
      <c r="DS237" s="128"/>
      <c r="DT237" s="128"/>
      <c r="DU237" s="128"/>
      <c r="DV237" s="128"/>
      <c r="DW237" s="128"/>
      <c r="DX237" s="128"/>
      <c r="DY237" s="128"/>
      <c r="DZ237" s="128"/>
      <c r="EA237" s="128"/>
      <c r="EB237" s="128"/>
      <c r="EC237" s="128"/>
      <c r="ED237" s="128"/>
      <c r="EE237" s="128"/>
      <c r="EF237" s="128"/>
      <c r="EG237" s="128"/>
      <c r="EH237" s="128"/>
      <c r="EI237" s="128"/>
      <c r="EJ237" s="128"/>
      <c r="EK237" s="128"/>
      <c r="EL237" s="128"/>
      <c r="EM237" s="128"/>
      <c r="EN237" s="128"/>
      <c r="EO237" s="128"/>
      <c r="EP237" s="128"/>
      <c r="EQ237" s="128"/>
      <c r="ER237" s="128"/>
      <c r="ES237" s="128"/>
      <c r="ET237" s="128"/>
      <c r="EU237" s="128"/>
      <c r="EV237" s="128"/>
      <c r="EW237" s="128"/>
      <c r="EX237" s="128"/>
      <c r="EY237" s="128"/>
      <c r="EZ237" s="530"/>
      <c r="FA237" s="530"/>
      <c r="FB237" s="530"/>
      <c r="FC237" s="530"/>
      <c r="FD237" s="530"/>
      <c r="FE237" s="530"/>
      <c r="FF237" s="530"/>
      <c r="FG237" s="530"/>
      <c r="FH237" s="530"/>
      <c r="FI237" s="530"/>
      <c r="FJ237" s="530"/>
      <c r="FK237" s="530"/>
      <c r="FL237" s="530"/>
      <c r="FM237" s="530"/>
      <c r="FN237" s="530"/>
      <c r="FO237" s="530"/>
      <c r="FP237" s="530"/>
      <c r="FQ237" s="530"/>
      <c r="HL237" s="128"/>
      <c r="HM237" s="128"/>
      <c r="HN237" s="128"/>
      <c r="HO237" s="128"/>
      <c r="HP237" s="128"/>
      <c r="HQ237" s="128"/>
      <c r="HR237" s="128"/>
      <c r="HS237" s="128"/>
      <c r="HT237" s="128"/>
      <c r="HU237" s="128"/>
      <c r="HV237" s="128"/>
      <c r="HW237" s="128"/>
      <c r="HX237" s="128"/>
      <c r="HY237" s="128"/>
      <c r="HZ237" s="128"/>
      <c r="IA237" s="128"/>
      <c r="IB237" s="128"/>
      <c r="IC237" s="128"/>
    </row>
    <row r="238" spans="41:237" x14ac:dyDescent="0.3">
      <c r="AO238" s="128">
        <v>48413</v>
      </c>
      <c r="AP238" s="128" t="s">
        <v>717</v>
      </c>
      <c r="AQ238" s="128" t="s">
        <v>824</v>
      </c>
      <c r="AR238" s="128" t="s">
        <v>3594</v>
      </c>
      <c r="AS238" s="128">
        <v>46015</v>
      </c>
      <c r="AT238" s="128">
        <v>46210</v>
      </c>
      <c r="AU238" s="128">
        <v>150354</v>
      </c>
      <c r="AV238" s="128">
        <v>49262</v>
      </c>
      <c r="AW238" s="128">
        <v>700000</v>
      </c>
      <c r="AX238" s="534">
        <f>_xlfn.XLOOKUP(Sell_unvalid[[#This Row],[DEAL_BUY_ID]],BS!BA:BA,BS!BE:BE,,0)</f>
        <v>151942</v>
      </c>
      <c r="AY238" s="534">
        <f>_xlfn.XLOOKUP(Sell_unvalid[[#This Row],[BOND_CODE]],FNRP!D:D,FNRP!I:I,_xlfn.XLOOKUP(Sell_unvalid[[#This Row],[BOND_CODE]],FNRP!AV:AV,FNRP!BA:BA,,0),0)</f>
        <v>142049</v>
      </c>
      <c r="AZ238" s="534">
        <f>_xlfn.XLOOKUP(Sell_unvalid[[#This Row],[DEAL_BUY_ID]],BS!BA:BA,BS!BQ:BQ,,0)*Sell_unvalid[[#This Row],[QUANTITY]]</f>
        <v>35644075270.317741</v>
      </c>
      <c r="BA238" s="534">
        <f>(Sell_unvalid[[#This Row],[Giá MtM]]-10^5)*Sell_unvalid[[#This Row],[QUANTITY]]-Sell_unvalid[[#This Row],[PTCK remain]]</f>
        <v>-6209775270.3177414</v>
      </c>
      <c r="BB238" s="534">
        <f>(Sell_unvalid[[#This Row],[PRICE]]-10^5)*Sell_unvalid[[#This Row],[QUANTITY]]-Sell_unvalid[[#This Row],[PTCK remain]]</f>
        <v>-396275270.31774139</v>
      </c>
      <c r="BC238" s="534" t="str">
        <f>IF(AND(Sell_unvalid[[#This Row],[VALUE_DATE]]&lt;=RPT,Sell_unvalid[[#This Row],[TRANSACTION_STATUS]]="N"),"Check","Ok")</f>
        <v>Ok</v>
      </c>
      <c r="BD238" s="128"/>
      <c r="BE238" s="534"/>
      <c r="BF238" s="232"/>
      <c r="BG238" s="530"/>
      <c r="BH238" s="531"/>
      <c r="BJ238" s="375"/>
      <c r="BL238" s="530"/>
      <c r="BP238" s="534"/>
      <c r="BR238" s="727"/>
      <c r="BS238" s="128"/>
      <c r="BT238" s="848"/>
      <c r="BU238" s="849">
        <v>45287</v>
      </c>
      <c r="BV238" s="848">
        <v>41219</v>
      </c>
      <c r="BW238" s="848" t="s">
        <v>3901</v>
      </c>
      <c r="BX238" s="530">
        <v>1000000</v>
      </c>
      <c r="BY238" s="735">
        <f>_xlfn.XLOOKUP(Est_NIM[[#This Row],[DEAL_BUY_ID]],BS!AL:AL,BS!AU:AU,_xlfn.XLOOKUP(Est_NIM[[#This Row],[DEAL_BUY_ID]],BS!BA:BA,BS!BJ:BJ,,0),0)</f>
        <v>3.0002</v>
      </c>
      <c r="BZ238" s="534">
        <f>Est_NIM[[#This Row],[QUANT]]*Est_NIM[[#This Row],[YIELD]]</f>
        <v>3000200</v>
      </c>
      <c r="CA238" s="128"/>
      <c r="CB238" s="128"/>
      <c r="CE238" s="331"/>
      <c r="CF238" s="331"/>
      <c r="CG238" s="331"/>
      <c r="CH238">
        <v>3730</v>
      </c>
      <c r="CI238">
        <v>14282</v>
      </c>
      <c r="DN238" s="128"/>
      <c r="DO238" s="128"/>
      <c r="DP238" s="128"/>
      <c r="DQ238" s="128"/>
      <c r="DR238" s="128"/>
      <c r="DS238" s="128"/>
      <c r="DT238" s="128"/>
      <c r="DU238" s="128"/>
      <c r="DV238" s="128"/>
      <c r="DW238" s="128"/>
      <c r="DX238" s="128"/>
      <c r="DY238" s="128"/>
      <c r="DZ238" s="128"/>
      <c r="EA238" s="128"/>
      <c r="EB238" s="128"/>
      <c r="EC238" s="128"/>
      <c r="ED238" s="128"/>
      <c r="EE238" s="128"/>
      <c r="EF238" s="128"/>
      <c r="EG238" s="128"/>
      <c r="EH238" s="128"/>
      <c r="EI238" s="128"/>
      <c r="EJ238" s="128"/>
      <c r="EK238" s="128"/>
      <c r="EL238" s="128"/>
      <c r="EM238" s="128"/>
      <c r="EN238" s="128"/>
      <c r="EO238" s="128"/>
      <c r="EP238" s="128"/>
      <c r="EQ238" s="128"/>
      <c r="ER238" s="128"/>
      <c r="ES238" s="128"/>
      <c r="ET238" s="128"/>
      <c r="EU238" s="128"/>
      <c r="EV238" s="128"/>
      <c r="EW238" s="128"/>
      <c r="EX238" s="128"/>
      <c r="EY238" s="128"/>
      <c r="EZ238" s="530"/>
      <c r="FA238" s="530"/>
      <c r="FB238" s="530"/>
      <c r="FC238" s="530"/>
      <c r="FD238" s="530"/>
      <c r="FE238" s="530"/>
      <c r="FF238" s="530"/>
      <c r="FG238" s="530"/>
      <c r="FH238" s="530"/>
      <c r="FI238" s="530"/>
      <c r="FJ238" s="530"/>
      <c r="FK238" s="530"/>
      <c r="FL238" s="530"/>
      <c r="FM238" s="530"/>
      <c r="FN238" s="530"/>
      <c r="FO238" s="530"/>
      <c r="FP238" s="530"/>
      <c r="FQ238" s="530"/>
      <c r="HL238" s="128"/>
      <c r="HM238" s="128"/>
      <c r="HN238" s="128"/>
      <c r="HO238" s="128"/>
      <c r="HP238" s="128"/>
      <c r="HQ238" s="128"/>
      <c r="HR238" s="128"/>
      <c r="HS238" s="128"/>
      <c r="HT238" s="128"/>
      <c r="HU238" s="128"/>
      <c r="HV238" s="128"/>
      <c r="HW238" s="128"/>
      <c r="HX238" s="128"/>
      <c r="HY238" s="128"/>
      <c r="HZ238" s="128"/>
      <c r="IA238" s="128"/>
      <c r="IB238" s="128"/>
      <c r="IC238" s="128"/>
    </row>
    <row r="239" spans="41:237" x14ac:dyDescent="0.3">
      <c r="AO239" s="128">
        <v>48413</v>
      </c>
      <c r="AP239" s="128" t="s">
        <v>717</v>
      </c>
      <c r="AQ239" s="128" t="s">
        <v>824</v>
      </c>
      <c r="AR239" s="128" t="s">
        <v>3594</v>
      </c>
      <c r="AS239" s="128">
        <v>46015</v>
      </c>
      <c r="AT239" s="128">
        <v>46210</v>
      </c>
      <c r="AU239" s="128">
        <v>150354</v>
      </c>
      <c r="AV239" s="128">
        <v>49594</v>
      </c>
      <c r="AW239" s="128">
        <v>1100000</v>
      </c>
      <c r="AX239" s="534">
        <f>_xlfn.XLOOKUP(Sell_unvalid[[#This Row],[DEAL_BUY_ID]],BS!BA:BA,BS!BE:BE,,0)</f>
        <v>153898</v>
      </c>
      <c r="AY239" s="534">
        <f>_xlfn.XLOOKUP(Sell_unvalid[[#This Row],[BOND_CODE]],FNRP!D:D,FNRP!I:I,_xlfn.XLOOKUP(Sell_unvalid[[#This Row],[BOND_CODE]],FNRP!AV:AV,FNRP!BA:BA,,0),0)</f>
        <v>142049</v>
      </c>
      <c r="AZ239" s="534">
        <f>_xlfn.XLOOKUP(Sell_unvalid[[#This Row],[DEAL_BUY_ID]],BS!BA:BA,BS!BQ:BQ,,0)*Sell_unvalid[[#This Row],[QUANTITY]]</f>
        <v>58665621620.570168</v>
      </c>
      <c r="BA239" s="534">
        <f>(Sell_unvalid[[#This Row],[Giá MtM]]-10^5)*Sell_unvalid[[#This Row],[QUANTITY]]-Sell_unvalid[[#This Row],[PTCK remain]]</f>
        <v>-12411721620.570168</v>
      </c>
      <c r="BB239" s="534">
        <f>(Sell_unvalid[[#This Row],[PRICE]]-10^5)*Sell_unvalid[[#This Row],[QUANTITY]]-Sell_unvalid[[#This Row],[PTCK remain]]</f>
        <v>-3276221620.5701675</v>
      </c>
      <c r="BC239" s="534" t="str">
        <f>IF(AND(Sell_unvalid[[#This Row],[VALUE_DATE]]&lt;=RPT,Sell_unvalid[[#This Row],[TRANSACTION_STATUS]]="N"),"Check","Ok")</f>
        <v>Ok</v>
      </c>
      <c r="BD239" s="128"/>
      <c r="BE239" s="534"/>
      <c r="BF239" s="232"/>
      <c r="BG239" s="530"/>
      <c r="BH239" s="531"/>
      <c r="BJ239" s="375"/>
      <c r="BL239" s="530"/>
      <c r="BP239" s="534"/>
      <c r="BR239" s="727"/>
      <c r="BS239" s="128"/>
      <c r="BT239" s="848"/>
      <c r="BU239" s="849">
        <v>45706</v>
      </c>
      <c r="BV239" s="848">
        <v>45428</v>
      </c>
      <c r="BW239" s="848" t="s">
        <v>3901</v>
      </c>
      <c r="BX239" s="530">
        <v>1000000</v>
      </c>
      <c r="BY239" s="735">
        <f>_xlfn.XLOOKUP(Est_NIM[[#This Row],[DEAL_BUY_ID]],BS!AL:AL,BS!AU:AU,_xlfn.XLOOKUP(Est_NIM[[#This Row],[DEAL_BUY_ID]],BS!BA:BA,BS!BJ:BJ,,0),0)</f>
        <v>2.69</v>
      </c>
      <c r="BZ239" s="534">
        <f>Est_NIM[[#This Row],[QUANT]]*Est_NIM[[#This Row],[YIELD]]</f>
        <v>2690000</v>
      </c>
      <c r="CA239" s="128"/>
      <c r="CB239" s="128"/>
      <c r="CE239" s="331"/>
      <c r="CF239" s="331"/>
      <c r="CG239" s="331"/>
      <c r="CH239">
        <v>3730</v>
      </c>
      <c r="CI239">
        <v>14282</v>
      </c>
      <c r="DN239" s="128"/>
      <c r="DO239" s="128"/>
      <c r="DP239" s="128"/>
      <c r="DQ239" s="128"/>
      <c r="DR239" s="128"/>
      <c r="DS239" s="128"/>
      <c r="DT239" s="128"/>
      <c r="DU239" s="128"/>
      <c r="DV239" s="128"/>
      <c r="DW239" s="128"/>
      <c r="DX239" s="128"/>
      <c r="DY239" s="128"/>
      <c r="DZ239" s="128"/>
      <c r="EA239" s="128"/>
      <c r="EB239" s="128"/>
      <c r="EC239" s="128"/>
      <c r="ED239" s="128"/>
      <c r="EE239" s="128"/>
      <c r="EF239" s="128"/>
      <c r="EG239" s="128"/>
      <c r="EH239" s="128"/>
      <c r="EI239" s="128"/>
      <c r="EJ239" s="128"/>
      <c r="EK239" s="128"/>
      <c r="EL239" s="128"/>
      <c r="EM239" s="128"/>
      <c r="EN239" s="128"/>
      <c r="EO239" s="128"/>
      <c r="EP239" s="128"/>
      <c r="EQ239" s="128"/>
      <c r="ER239" s="128"/>
      <c r="ES239" s="128"/>
      <c r="ET239" s="128"/>
      <c r="EU239" s="128"/>
      <c r="EV239" s="128"/>
      <c r="EW239" s="128"/>
      <c r="EX239" s="128"/>
      <c r="EY239" s="128"/>
      <c r="EZ239" s="530"/>
      <c r="FA239" s="530"/>
      <c r="FB239" s="530"/>
      <c r="FC239" s="530"/>
      <c r="FD239" s="530"/>
      <c r="FE239" s="530"/>
      <c r="FF239" s="530"/>
      <c r="FG239" s="530"/>
      <c r="FH239" s="530"/>
      <c r="FI239" s="530"/>
      <c r="FJ239" s="530"/>
      <c r="FK239" s="530"/>
      <c r="FL239" s="530"/>
      <c r="FM239" s="530"/>
      <c r="FN239" s="530"/>
      <c r="FO239" s="530"/>
      <c r="FP239" s="530"/>
      <c r="FQ239" s="530"/>
      <c r="HL239" s="128"/>
      <c r="HM239" s="128"/>
      <c r="HN239" s="128"/>
      <c r="HO239" s="128"/>
      <c r="HP239" s="128"/>
      <c r="HQ239" s="128"/>
      <c r="HR239" s="128"/>
      <c r="HS239" s="128"/>
      <c r="HT239" s="128"/>
      <c r="HU239" s="128"/>
      <c r="HV239" s="128"/>
      <c r="HW239" s="128"/>
      <c r="HX239" s="128"/>
      <c r="HY239" s="128"/>
      <c r="HZ239" s="128"/>
      <c r="IA239" s="128"/>
      <c r="IB239" s="128"/>
      <c r="IC239" s="128"/>
    </row>
    <row r="240" spans="41:237" x14ac:dyDescent="0.3">
      <c r="AO240" s="128">
        <v>48413</v>
      </c>
      <c r="AP240" s="128" t="s">
        <v>717</v>
      </c>
      <c r="AQ240" s="128" t="s">
        <v>824</v>
      </c>
      <c r="AR240" s="128" t="s">
        <v>3594</v>
      </c>
      <c r="AS240" s="128">
        <v>46015</v>
      </c>
      <c r="AT240" s="128">
        <v>46210</v>
      </c>
      <c r="AU240" s="128">
        <v>150354</v>
      </c>
      <c r="AV240" s="128">
        <v>49772</v>
      </c>
      <c r="AW240" s="128">
        <v>500000</v>
      </c>
      <c r="AX240" s="534">
        <f>_xlfn.XLOOKUP(Sell_unvalid[[#This Row],[DEAL_BUY_ID]],BS!BA:BA,BS!BE:BE,,0)</f>
        <v>151784</v>
      </c>
      <c r="AY240" s="534">
        <f>_xlfn.XLOOKUP(Sell_unvalid[[#This Row],[BOND_CODE]],FNRP!D:D,FNRP!I:I,_xlfn.XLOOKUP(Sell_unvalid[[#This Row],[BOND_CODE]],FNRP!AV:AV,FNRP!BA:BA,,0),0)</f>
        <v>142049</v>
      </c>
      <c r="AZ240" s="534">
        <f>_xlfn.XLOOKUP(Sell_unvalid[[#This Row],[DEAL_BUY_ID]],BS!BA:BA,BS!BQ:BQ,,0)*Sell_unvalid[[#This Row],[QUANTITY]]</f>
        <v>25562906566.699558</v>
      </c>
      <c r="BA240" s="534">
        <f>(Sell_unvalid[[#This Row],[Giá MtM]]-10^5)*Sell_unvalid[[#This Row],[QUANTITY]]-Sell_unvalid[[#This Row],[PTCK remain]]</f>
        <v>-4538406566.6995583</v>
      </c>
      <c r="BB240" s="534">
        <f>(Sell_unvalid[[#This Row],[PRICE]]-10^5)*Sell_unvalid[[#This Row],[QUANTITY]]-Sell_unvalid[[#This Row],[PTCK remain]]</f>
        <v>-385906566.69955826</v>
      </c>
      <c r="BC240" s="534" t="str">
        <f>IF(AND(Sell_unvalid[[#This Row],[VALUE_DATE]]&lt;=RPT,Sell_unvalid[[#This Row],[TRANSACTION_STATUS]]="N"),"Check","Ok")</f>
        <v>Ok</v>
      </c>
      <c r="BD240" s="128"/>
      <c r="BE240" s="534"/>
      <c r="BF240" s="232"/>
      <c r="BG240" s="530"/>
      <c r="BH240" s="531"/>
      <c r="BJ240" s="375"/>
      <c r="BL240" s="530"/>
      <c r="BP240" s="534"/>
      <c r="BR240" s="727"/>
      <c r="BS240" s="128"/>
      <c r="BT240" s="848"/>
      <c r="BU240" s="849">
        <v>45716</v>
      </c>
      <c r="BV240" s="848">
        <v>45449</v>
      </c>
      <c r="BW240" s="848" t="s">
        <v>3901</v>
      </c>
      <c r="BX240" s="530">
        <v>1000000</v>
      </c>
      <c r="BY240" s="735">
        <f>_xlfn.XLOOKUP(Est_NIM[[#This Row],[DEAL_BUY_ID]],BS!AL:AL,BS!AU:AU,_xlfn.XLOOKUP(Est_NIM[[#This Row],[DEAL_BUY_ID]],BS!BA:BA,BS!BJ:BJ,,0),0)</f>
        <v>2.7</v>
      </c>
      <c r="BZ240" s="534">
        <f>Est_NIM[[#This Row],[QUANT]]*Est_NIM[[#This Row],[YIELD]]</f>
        <v>2700000</v>
      </c>
      <c r="CA240" s="128"/>
      <c r="CB240" s="128"/>
      <c r="CE240" s="331"/>
      <c r="CF240" s="331"/>
      <c r="CG240" s="331"/>
      <c r="CH240">
        <v>3730</v>
      </c>
      <c r="CI240">
        <v>14282</v>
      </c>
      <c r="DN240" s="128"/>
      <c r="DO240" s="128"/>
      <c r="DP240" s="128"/>
      <c r="DQ240" s="128"/>
      <c r="DR240" s="128"/>
      <c r="DS240" s="128"/>
      <c r="DT240" s="128"/>
      <c r="DU240" s="128"/>
      <c r="DV240" s="128"/>
      <c r="DW240" s="128"/>
      <c r="DX240" s="128"/>
      <c r="DY240" s="128"/>
      <c r="DZ240" s="128"/>
      <c r="EA240" s="128"/>
      <c r="EB240" s="128"/>
      <c r="EC240" s="128"/>
      <c r="ED240" s="128"/>
      <c r="EE240" s="128"/>
      <c r="EF240" s="128"/>
      <c r="EG240" s="128"/>
      <c r="EH240" s="128"/>
      <c r="EI240" s="128"/>
      <c r="EJ240" s="128"/>
      <c r="EK240" s="128"/>
      <c r="EL240" s="128"/>
      <c r="EM240" s="128"/>
      <c r="EN240" s="128"/>
      <c r="EO240" s="128"/>
      <c r="EP240" s="128"/>
      <c r="EQ240" s="128"/>
      <c r="ER240" s="128"/>
      <c r="ES240" s="128"/>
      <c r="ET240" s="128"/>
      <c r="EU240" s="128"/>
      <c r="EV240" s="128"/>
      <c r="EW240" s="128"/>
      <c r="EX240" s="128"/>
      <c r="EY240" s="128"/>
      <c r="EZ240" s="530"/>
      <c r="FA240" s="530"/>
      <c r="FB240" s="530"/>
      <c r="FC240" s="530"/>
      <c r="FD240" s="530"/>
      <c r="FE240" s="530"/>
      <c r="FF240" s="530"/>
      <c r="FG240" s="530"/>
      <c r="FH240" s="530"/>
      <c r="FI240" s="530"/>
      <c r="FJ240" s="530"/>
      <c r="FK240" s="530"/>
      <c r="FL240" s="530"/>
      <c r="FM240" s="530"/>
      <c r="FN240" s="530"/>
      <c r="FO240" s="530"/>
      <c r="FP240" s="530"/>
      <c r="FQ240" s="530"/>
      <c r="HL240" s="128"/>
      <c r="HM240" s="128"/>
      <c r="HN240" s="128"/>
      <c r="HO240" s="128"/>
      <c r="HP240" s="128"/>
      <c r="HQ240" s="128"/>
      <c r="HR240" s="128"/>
      <c r="HS240" s="128"/>
      <c r="HT240" s="128"/>
      <c r="HU240" s="128"/>
      <c r="HV240" s="128"/>
      <c r="HW240" s="128"/>
      <c r="HX240" s="128"/>
      <c r="HY240" s="128"/>
      <c r="HZ240" s="128"/>
      <c r="IA240" s="128"/>
      <c r="IB240" s="128"/>
      <c r="IC240" s="128"/>
    </row>
    <row r="241" spans="41:237" x14ac:dyDescent="0.3">
      <c r="AO241" s="128">
        <v>48413</v>
      </c>
      <c r="AP241" s="128" t="s">
        <v>717</v>
      </c>
      <c r="AQ241" s="128" t="s">
        <v>824</v>
      </c>
      <c r="AR241" s="128" t="s">
        <v>3594</v>
      </c>
      <c r="AS241" s="128">
        <v>46015</v>
      </c>
      <c r="AT241" s="128">
        <v>46210</v>
      </c>
      <c r="AU241" s="128">
        <v>150354</v>
      </c>
      <c r="AV241" s="128">
        <v>49961</v>
      </c>
      <c r="AW241" s="128">
        <v>200000</v>
      </c>
      <c r="AX241" s="534">
        <f>_xlfn.XLOOKUP(Sell_unvalid[[#This Row],[DEAL_BUY_ID]],BS!BA:BA,BS!BE:BE,,0)</f>
        <v>151637</v>
      </c>
      <c r="AY241" s="534">
        <f>_xlfn.XLOOKUP(Sell_unvalid[[#This Row],[BOND_CODE]],FNRP!D:D,FNRP!I:I,_xlfn.XLOOKUP(Sell_unvalid[[#This Row],[BOND_CODE]],FNRP!AV:AV,FNRP!BA:BA,,0),0)</f>
        <v>142049</v>
      </c>
      <c r="AZ241" s="534">
        <f>_xlfn.XLOOKUP(Sell_unvalid[[#This Row],[DEAL_BUY_ID]],BS!BA:BA,BS!BQ:BQ,,0)*Sell_unvalid[[#This Row],[QUANTITY]]</f>
        <v>10247623558.261457</v>
      </c>
      <c r="BA241" s="534">
        <f>(Sell_unvalid[[#This Row],[Giá MtM]]-10^5)*Sell_unvalid[[#This Row],[QUANTITY]]-Sell_unvalid[[#This Row],[PTCK remain]]</f>
        <v>-1837823558.2614574</v>
      </c>
      <c r="BB241" s="534">
        <f>(Sell_unvalid[[#This Row],[PRICE]]-10^5)*Sell_unvalid[[#This Row],[QUANTITY]]-Sell_unvalid[[#This Row],[PTCK remain]]</f>
        <v>-176823558.26145744</v>
      </c>
      <c r="BC241" s="534" t="str">
        <f>IF(AND(Sell_unvalid[[#This Row],[VALUE_DATE]]&lt;=RPT,Sell_unvalid[[#This Row],[TRANSACTION_STATUS]]="N"),"Check","Ok")</f>
        <v>Ok</v>
      </c>
      <c r="BD241" s="524"/>
      <c r="BE241" s="534"/>
      <c r="BF241" s="232"/>
      <c r="BG241" s="530"/>
      <c r="BH241" s="531"/>
      <c r="BJ241" s="375"/>
      <c r="BL241" s="530"/>
      <c r="BP241" s="534"/>
      <c r="BR241" s="727"/>
      <c r="BS241" s="128"/>
      <c r="BT241" s="848"/>
      <c r="BU241" s="849">
        <v>45713</v>
      </c>
      <c r="BV241" s="848">
        <v>45510</v>
      </c>
      <c r="BW241" s="848" t="s">
        <v>3901</v>
      </c>
      <c r="BX241" s="530">
        <v>3000000</v>
      </c>
      <c r="BY241" s="735">
        <f>_xlfn.XLOOKUP(Est_NIM[[#This Row],[DEAL_BUY_ID]],BS!AL:AL,BS!AU:AU,_xlfn.XLOOKUP(Est_NIM[[#This Row],[DEAL_BUY_ID]],BS!BA:BA,BS!BJ:BJ,,0),0)</f>
        <v>2.87</v>
      </c>
      <c r="BZ241" s="534">
        <f>Est_NIM[[#This Row],[QUANT]]*Est_NIM[[#This Row],[YIELD]]</f>
        <v>8610000</v>
      </c>
      <c r="CA241" s="128"/>
      <c r="CB241" s="128"/>
      <c r="CE241" s="331"/>
      <c r="CF241" s="331"/>
      <c r="CG241" s="331"/>
      <c r="CH241">
        <v>3730</v>
      </c>
      <c r="CI241">
        <v>14282</v>
      </c>
      <c r="DO241" s="128"/>
      <c r="DP241" s="128"/>
      <c r="DQ241" s="128"/>
      <c r="DR241" s="128"/>
      <c r="DS241" s="128"/>
      <c r="DT241" s="128"/>
      <c r="DU241" s="128"/>
      <c r="DV241" s="128"/>
      <c r="DW241" s="128"/>
      <c r="DX241" s="128"/>
      <c r="DY241" s="128"/>
      <c r="DZ241" s="128"/>
      <c r="EA241" s="128"/>
      <c r="EB241" s="128"/>
      <c r="EC241" s="128"/>
      <c r="ED241" s="128"/>
      <c r="EE241" s="128"/>
      <c r="EF241" s="128"/>
      <c r="EG241" s="128"/>
      <c r="EH241" s="128"/>
      <c r="EI241" s="128"/>
      <c r="EJ241" s="128"/>
      <c r="EK241" s="128"/>
      <c r="EL241" s="128"/>
      <c r="EM241" s="128"/>
      <c r="EN241" s="128"/>
      <c r="EO241" s="128"/>
      <c r="EP241" s="128"/>
      <c r="EQ241" s="128"/>
      <c r="ER241" s="128"/>
      <c r="ES241" s="128"/>
      <c r="ET241" s="128"/>
      <c r="EU241" s="128"/>
      <c r="EV241" s="128"/>
      <c r="EW241" s="128"/>
      <c r="EX241" s="128"/>
      <c r="EY241" s="128"/>
      <c r="EZ241" s="128"/>
      <c r="FA241" s="530"/>
      <c r="FB241" s="530"/>
      <c r="FC241" s="530"/>
      <c r="FD241" s="530"/>
      <c r="FE241" s="530"/>
      <c r="FF241" s="530"/>
      <c r="FG241" s="530"/>
      <c r="FH241" s="530"/>
      <c r="FI241" s="530"/>
      <c r="FJ241" s="530"/>
      <c r="FK241" s="530"/>
      <c r="FL241" s="530"/>
      <c r="FM241" s="530"/>
      <c r="FN241" s="530"/>
      <c r="FO241" s="530"/>
      <c r="FP241" s="530"/>
      <c r="FQ241" s="530"/>
      <c r="HM241" s="128"/>
      <c r="HN241" s="128"/>
      <c r="HO241" s="128"/>
      <c r="HP241" s="128"/>
      <c r="HQ241" s="128"/>
      <c r="HR241" s="128"/>
      <c r="HS241" s="128"/>
      <c r="HT241" s="128"/>
      <c r="HU241" s="128"/>
      <c r="HV241" s="128"/>
      <c r="HW241" s="128"/>
      <c r="HX241" s="128"/>
      <c r="HY241" s="128"/>
      <c r="HZ241" s="128"/>
      <c r="IA241" s="128"/>
      <c r="IB241" s="128"/>
      <c r="IC241" s="128"/>
    </row>
    <row r="242" spans="41:237" x14ac:dyDescent="0.3">
      <c r="AO242" s="128">
        <v>48413</v>
      </c>
      <c r="AP242" s="128" t="s">
        <v>717</v>
      </c>
      <c r="AQ242" s="128" t="s">
        <v>824</v>
      </c>
      <c r="AR242" s="128" t="s">
        <v>3594</v>
      </c>
      <c r="AS242" s="128">
        <v>46015</v>
      </c>
      <c r="AT242" s="128">
        <v>46210</v>
      </c>
      <c r="AU242" s="128">
        <v>150354</v>
      </c>
      <c r="AV242" s="128">
        <v>50074</v>
      </c>
      <c r="AW242" s="128">
        <v>580000</v>
      </c>
      <c r="AX242" s="534">
        <f>_xlfn.XLOOKUP(Sell_unvalid[[#This Row],[DEAL_BUY_ID]],BS!BA:BA,BS!BE:BE,,0)</f>
        <v>153270</v>
      </c>
      <c r="AY242" s="534">
        <f>_xlfn.XLOOKUP(Sell_unvalid[[#This Row],[BOND_CODE]],FNRP!D:D,FNRP!I:I,_xlfn.XLOOKUP(Sell_unvalid[[#This Row],[BOND_CODE]],FNRP!AV:AV,FNRP!BA:BA,,0),0)</f>
        <v>142049</v>
      </c>
      <c r="AZ242" s="534">
        <f>_xlfn.XLOOKUP(Sell_unvalid[[#This Row],[DEAL_BUY_ID]],BS!BA:BA,BS!BQ:BQ,,0)*Sell_unvalid[[#This Row],[QUANTITY]]</f>
        <v>30688408589.797115</v>
      </c>
      <c r="BA242" s="534">
        <f>(Sell_unvalid[[#This Row],[Giá MtM]]-10^5)*Sell_unvalid[[#This Row],[QUANTITY]]-Sell_unvalid[[#This Row],[PTCK remain]]</f>
        <v>-6299988589.7971153</v>
      </c>
      <c r="BB242" s="534">
        <f>(Sell_unvalid[[#This Row],[PRICE]]-10^5)*Sell_unvalid[[#This Row],[QUANTITY]]-Sell_unvalid[[#This Row],[PTCK remain]]</f>
        <v>-1483088589.7971153</v>
      </c>
      <c r="BC242" s="534" t="str">
        <f>IF(AND(Sell_unvalid[[#This Row],[VALUE_DATE]]&lt;=RPT,Sell_unvalid[[#This Row],[TRANSACTION_STATUS]]="N"),"Check","Ok")</f>
        <v>Ok</v>
      </c>
      <c r="BD242" s="524"/>
      <c r="BE242" s="534"/>
      <c r="BF242" s="232"/>
      <c r="BG242" s="530"/>
      <c r="BH242" s="531"/>
      <c r="BJ242" s="375"/>
      <c r="BL242" s="530"/>
      <c r="BP242" s="534"/>
      <c r="BR242" s="727"/>
      <c r="BS242" s="128"/>
      <c r="BT242" s="848"/>
      <c r="BU242" s="849">
        <v>45714</v>
      </c>
      <c r="BV242" s="848">
        <v>45553</v>
      </c>
      <c r="BW242" s="848" t="s">
        <v>3901</v>
      </c>
      <c r="BX242" s="530">
        <v>2000000</v>
      </c>
      <c r="BY242" s="735">
        <f>_xlfn.XLOOKUP(Est_NIM[[#This Row],[DEAL_BUY_ID]],BS!AL:AL,BS!AU:AU,_xlfn.XLOOKUP(Est_NIM[[#This Row],[DEAL_BUY_ID]],BS!BA:BA,BS!BJ:BJ,,0),0)</f>
        <v>3.1691747920000002</v>
      </c>
      <c r="BZ242" s="534">
        <f>Est_NIM[[#This Row],[QUANT]]*Est_NIM[[#This Row],[YIELD]]</f>
        <v>6338349.5840000007</v>
      </c>
      <c r="CA242" s="128"/>
      <c r="CB242" s="128"/>
      <c r="CE242" s="331"/>
      <c r="CF242" s="331"/>
      <c r="CG242" s="331"/>
      <c r="CH242">
        <v>3730</v>
      </c>
      <c r="CI242">
        <v>14282</v>
      </c>
      <c r="DP242" s="128"/>
      <c r="DQ242" s="128"/>
      <c r="DR242" s="128"/>
      <c r="DS242" s="128"/>
      <c r="DT242" s="128"/>
      <c r="DU242" s="128"/>
      <c r="DV242" s="128"/>
      <c r="DW242" s="128"/>
      <c r="DX242" s="128"/>
      <c r="DY242" s="128"/>
      <c r="DZ242" s="128"/>
      <c r="EA242" s="128"/>
      <c r="EB242" s="128"/>
      <c r="EC242" s="128"/>
      <c r="ED242" s="128"/>
      <c r="EE242" s="128"/>
      <c r="EF242" s="128"/>
      <c r="EG242" s="128"/>
      <c r="EH242" s="128"/>
      <c r="EI242" s="128"/>
      <c r="EJ242" s="128"/>
      <c r="EK242" s="128"/>
      <c r="EL242" s="128"/>
      <c r="EM242" s="128"/>
      <c r="EN242" s="128"/>
      <c r="EO242" s="128"/>
      <c r="EP242" s="128"/>
      <c r="EQ242" s="128"/>
      <c r="ER242" s="128"/>
      <c r="ES242" s="128"/>
      <c r="ET242" s="128"/>
      <c r="EU242" s="128"/>
      <c r="EV242" s="128"/>
      <c r="EW242" s="128"/>
      <c r="EX242" s="128"/>
      <c r="EY242" s="128"/>
      <c r="EZ242" s="128"/>
      <c r="FA242" s="128"/>
      <c r="FB242" s="530"/>
      <c r="FC242" s="530"/>
      <c r="FD242" s="530"/>
      <c r="FE242" s="530"/>
      <c r="FF242" s="530"/>
      <c r="FG242" s="530"/>
      <c r="FH242" s="530"/>
      <c r="FI242" s="530"/>
      <c r="FJ242" s="530"/>
      <c r="FK242" s="530"/>
      <c r="FL242" s="530"/>
      <c r="FM242" s="530"/>
      <c r="FN242" s="530"/>
      <c r="FO242" s="530"/>
      <c r="FP242" s="530"/>
      <c r="FQ242" s="530"/>
      <c r="HN242" s="128"/>
      <c r="HO242" s="128"/>
      <c r="HP242" s="128"/>
      <c r="HQ242" s="128"/>
      <c r="HR242" s="128"/>
      <c r="HS242" s="128"/>
      <c r="HT242" s="128"/>
      <c r="HU242" s="128"/>
      <c r="HV242" s="128"/>
      <c r="HW242" s="128"/>
      <c r="HX242" s="128"/>
      <c r="HY242" s="128"/>
      <c r="HZ242" s="128"/>
      <c r="IA242" s="128"/>
      <c r="IB242" s="128"/>
      <c r="IC242" s="128"/>
    </row>
    <row r="243" spans="41:237" x14ac:dyDescent="0.3">
      <c r="AO243" s="128">
        <v>50073</v>
      </c>
      <c r="AP243" s="128" t="s">
        <v>717</v>
      </c>
      <c r="AQ243" s="128" t="s">
        <v>824</v>
      </c>
      <c r="AR243" s="128" t="s">
        <v>3594</v>
      </c>
      <c r="AS243" s="128">
        <v>46190</v>
      </c>
      <c r="AT243" s="128">
        <v>46204</v>
      </c>
      <c r="AU243" s="128">
        <v>153292</v>
      </c>
      <c r="AV243" s="128">
        <v>50042</v>
      </c>
      <c r="AW243" s="128">
        <v>580000</v>
      </c>
      <c r="AX243" s="534">
        <f>_xlfn.XLOOKUP(Sell_unvalid[[#This Row],[DEAL_BUY_ID]],BS!BA:BA,BS!BE:BE,,0)</f>
        <v>153297</v>
      </c>
      <c r="AY243" s="534">
        <f>_xlfn.XLOOKUP(Sell_unvalid[[#This Row],[BOND_CODE]],FNRP!D:D,FNRP!I:I,_xlfn.XLOOKUP(Sell_unvalid[[#This Row],[BOND_CODE]],FNRP!AV:AV,FNRP!BA:BA,,0),0)</f>
        <v>142049</v>
      </c>
      <c r="AZ243" s="534">
        <f>_xlfn.XLOOKUP(Sell_unvalid[[#This Row],[DEAL_BUY_ID]],BS!BA:BA,BS!BQ:BQ,,0)*Sell_unvalid[[#This Row],[QUANTITY]]</f>
        <v>30695247282.140228</v>
      </c>
      <c r="BA243" s="534">
        <f>(Sell_unvalid[[#This Row],[Giá MtM]]-10^5)*Sell_unvalid[[#This Row],[QUANTITY]]-Sell_unvalid[[#This Row],[PTCK remain]]</f>
        <v>-6306827282.1402283</v>
      </c>
      <c r="BB243" s="534">
        <f>(Sell_unvalid[[#This Row],[PRICE]]-10^5)*Sell_unvalid[[#This Row],[QUANTITY]]-Sell_unvalid[[#This Row],[PTCK remain]]</f>
        <v>214112717.85977173</v>
      </c>
      <c r="BC243" s="534" t="str">
        <f>IF(AND(Sell_unvalid[[#This Row],[VALUE_DATE]]&lt;=RPT,Sell_unvalid[[#This Row],[TRANSACTION_STATUS]]="N"),"Check","Ok")</f>
        <v>Ok</v>
      </c>
      <c r="BD243" s="524"/>
      <c r="BE243" s="534"/>
      <c r="BF243" s="232"/>
      <c r="BG243" s="530"/>
      <c r="BH243" s="531"/>
      <c r="BJ243" s="375"/>
      <c r="BL243" s="530"/>
      <c r="BP243" s="534"/>
      <c r="BR243" s="727"/>
      <c r="BS243" s="128"/>
      <c r="BT243" s="848"/>
      <c r="BU243" s="849">
        <v>45714</v>
      </c>
      <c r="BV243" s="848">
        <v>45554</v>
      </c>
      <c r="BW243" s="848" t="s">
        <v>3901</v>
      </c>
      <c r="BX243" s="530">
        <v>2000000</v>
      </c>
      <c r="BY243" s="735">
        <f>_xlfn.XLOOKUP(Est_NIM[[#This Row],[DEAL_BUY_ID]],BS!AL:AL,BS!AU:AU,_xlfn.XLOOKUP(Est_NIM[[#This Row],[DEAL_BUY_ID]],BS!BA:BA,BS!BJ:BJ,,0),0)</f>
        <v>3.14997412</v>
      </c>
      <c r="BZ243" s="534">
        <f>Est_NIM[[#This Row],[QUANT]]*Est_NIM[[#This Row],[YIELD]]</f>
        <v>6299948.2400000002</v>
      </c>
      <c r="CA243" s="128"/>
      <c r="CB243" s="128"/>
      <c r="CE243" s="331"/>
      <c r="CF243" s="331"/>
      <c r="CG243" s="331"/>
      <c r="CH243">
        <v>3730</v>
      </c>
      <c r="CI243">
        <v>14282</v>
      </c>
      <c r="DP243" s="128"/>
      <c r="DQ243" s="128"/>
      <c r="DR243" s="128"/>
      <c r="DS243" s="128"/>
      <c r="DT243" s="128"/>
      <c r="DU243" s="128"/>
      <c r="DV243" s="128"/>
      <c r="DW243" s="128"/>
      <c r="DX243" s="128"/>
      <c r="DY243" s="128"/>
      <c r="DZ243" s="128"/>
      <c r="EA243" s="128"/>
      <c r="EB243" s="128"/>
      <c r="EC243" s="128"/>
      <c r="ED243" s="128"/>
      <c r="EE243" s="128"/>
      <c r="EF243" s="128"/>
      <c r="EG243" s="128"/>
      <c r="EH243" s="128"/>
      <c r="EI243" s="128"/>
      <c r="EJ243" s="128"/>
      <c r="EK243" s="128"/>
      <c r="EL243" s="128"/>
      <c r="EM243" s="128"/>
      <c r="EN243" s="128"/>
      <c r="EO243" s="128"/>
      <c r="EP243" s="128"/>
      <c r="EQ243" s="128"/>
      <c r="ER243" s="128"/>
      <c r="ES243" s="128"/>
      <c r="ET243" s="128"/>
      <c r="EU243" s="128"/>
      <c r="EV243" s="128"/>
      <c r="EW243" s="128"/>
      <c r="EX243" s="128"/>
      <c r="EY243" s="128"/>
      <c r="EZ243" s="128"/>
      <c r="FA243" s="128"/>
      <c r="FB243" s="530"/>
      <c r="FC243" s="530"/>
      <c r="FD243" s="530"/>
      <c r="FE243" s="530"/>
      <c r="FF243" s="530"/>
      <c r="FG243" s="530"/>
      <c r="FH243" s="530"/>
      <c r="FI243" s="530"/>
      <c r="FJ243" s="530"/>
      <c r="FK243" s="530"/>
      <c r="FL243" s="530"/>
      <c r="FM243" s="530"/>
      <c r="FN243" s="530"/>
      <c r="FO243" s="530"/>
      <c r="FP243" s="530"/>
      <c r="FQ243" s="530"/>
      <c r="HN243" s="128"/>
      <c r="HO243" s="128"/>
      <c r="HP243" s="128"/>
      <c r="HQ243" s="128"/>
      <c r="HR243" s="128"/>
      <c r="HS243" s="128"/>
      <c r="HT243" s="128"/>
      <c r="HU243" s="128"/>
      <c r="HV243" s="128"/>
      <c r="HW243" s="128"/>
      <c r="HX243" s="128"/>
      <c r="HY243" s="128"/>
      <c r="HZ243" s="128"/>
      <c r="IA243" s="128"/>
      <c r="IB243" s="128"/>
      <c r="IC243" s="128"/>
    </row>
    <row r="244" spans="41:237" x14ac:dyDescent="0.3">
      <c r="AO244" s="128">
        <v>50172</v>
      </c>
      <c r="AP244" s="128" t="s">
        <v>717</v>
      </c>
      <c r="AQ244" s="128" t="s">
        <v>824</v>
      </c>
      <c r="AR244" s="128" t="s">
        <v>3594</v>
      </c>
      <c r="AS244" s="128">
        <v>46212</v>
      </c>
      <c r="AT244" s="128">
        <v>46378</v>
      </c>
      <c r="AU244" s="128">
        <v>139597</v>
      </c>
      <c r="AV244" s="128">
        <v>50170</v>
      </c>
      <c r="AW244" s="128">
        <v>5000000</v>
      </c>
      <c r="AX244" s="534">
        <f>_xlfn.XLOOKUP(Sell_unvalid[[#This Row],[DEAL_BUY_ID]],BS!BA:BA,BS!BE:BE,,0)</f>
        <v>140660</v>
      </c>
      <c r="AY244" s="534">
        <f>_xlfn.XLOOKUP(Sell_unvalid[[#This Row],[BOND_CODE]],FNRP!D:D,FNRP!I:I,_xlfn.XLOOKUP(Sell_unvalid[[#This Row],[BOND_CODE]],FNRP!AV:AV,FNRP!BA:BA,,0),0)</f>
        <v>142049</v>
      </c>
      <c r="AZ244" s="534">
        <f>_xlfn.XLOOKUP(Sell_unvalid[[#This Row],[DEAL_BUY_ID]],BS!BA:BA,BS!BQ:BQ,,0)*Sell_unvalid[[#This Row],[QUANTITY]]</f>
        <v>202155651450.46021</v>
      </c>
      <c r="BA244" s="534">
        <f>(Sell_unvalid[[#This Row],[Giá MtM]]-10^5)*Sell_unvalid[[#This Row],[QUANTITY]]-Sell_unvalid[[#This Row],[PTCK remain]]</f>
        <v>8089348549.5397949</v>
      </c>
      <c r="BB244" s="534">
        <f>(Sell_unvalid[[#This Row],[PRICE]]-10^5)*Sell_unvalid[[#This Row],[QUANTITY]]-Sell_unvalid[[#This Row],[PTCK remain]]</f>
        <v>-4170651450.4602051</v>
      </c>
      <c r="BC244" s="534" t="str">
        <f>IF(AND(Sell_unvalid[[#This Row],[VALUE_DATE]]&lt;=RPT,Sell_unvalid[[#This Row],[TRANSACTION_STATUS]]="N"),"Check","Ok")</f>
        <v>Ok</v>
      </c>
      <c r="BD244" s="524"/>
      <c r="BE244" s="534"/>
      <c r="BF244" s="232"/>
      <c r="BG244" s="530"/>
      <c r="BH244" s="531"/>
      <c r="BJ244" s="375"/>
      <c r="BL244" s="530"/>
      <c r="BP244" s="534"/>
      <c r="BR244" s="727"/>
      <c r="BS244" s="128"/>
      <c r="BT244" s="848"/>
      <c r="BU244" s="849">
        <v>45869</v>
      </c>
      <c r="BV244" s="848">
        <v>46965</v>
      </c>
      <c r="BW244" s="848" t="s">
        <v>3901</v>
      </c>
      <c r="BX244" s="530">
        <v>2500000</v>
      </c>
      <c r="BY244" s="735">
        <f>_xlfn.XLOOKUP(Est_NIM[[#This Row],[DEAL_BUY_ID]],BS!AL:AL,BS!AU:AU,_xlfn.XLOOKUP(Est_NIM[[#This Row],[DEAL_BUY_ID]],BS!BA:BA,BS!BJ:BJ,,0),0)</f>
        <v>2.63</v>
      </c>
      <c r="BZ244" s="534">
        <f>Est_NIM[[#This Row],[QUANT]]*Est_NIM[[#This Row],[YIELD]]</f>
        <v>6575000</v>
      </c>
      <c r="CA244" s="128"/>
      <c r="CB244" s="128"/>
      <c r="CE244" s="331"/>
      <c r="CF244" s="331"/>
      <c r="CG244" s="331"/>
      <c r="CH244">
        <v>3730</v>
      </c>
      <c r="CI244">
        <v>14282</v>
      </c>
      <c r="DS244" s="128"/>
      <c r="DT244" s="128"/>
      <c r="DU244" s="128"/>
      <c r="DV244" s="128"/>
      <c r="DW244" s="128"/>
      <c r="DX244" s="128"/>
      <c r="DY244" s="128"/>
      <c r="DZ244" s="128"/>
      <c r="EA244" s="128"/>
      <c r="EB244" s="128"/>
      <c r="EC244" s="128"/>
      <c r="ED244" s="128"/>
      <c r="EE244" s="128"/>
      <c r="EF244" s="128"/>
      <c r="EG244" s="128"/>
      <c r="EH244" s="128"/>
      <c r="EI244" s="128"/>
      <c r="EJ244" s="128"/>
      <c r="EK244" s="128"/>
      <c r="EL244" s="128"/>
      <c r="EM244" s="128"/>
      <c r="EN244" s="128"/>
      <c r="EO244" s="128"/>
      <c r="EP244" s="128"/>
      <c r="EQ244" s="128"/>
      <c r="ER244" s="128"/>
      <c r="ES244" s="128"/>
      <c r="ET244" s="128"/>
      <c r="EU244" s="128"/>
      <c r="EV244" s="128"/>
      <c r="EW244" s="128"/>
      <c r="EX244" s="128"/>
      <c r="EY244" s="128"/>
      <c r="EZ244" s="128"/>
      <c r="FA244" s="128"/>
      <c r="FB244" s="128"/>
      <c r="FC244" s="128"/>
      <c r="FD244" s="128"/>
      <c r="FE244" s="530"/>
      <c r="FF244" s="530"/>
      <c r="FG244" s="530"/>
      <c r="FH244" s="530"/>
      <c r="FI244" s="530"/>
      <c r="FJ244" s="530"/>
      <c r="FK244" s="530"/>
      <c r="FL244" s="530"/>
      <c r="FM244" s="530"/>
      <c r="FN244" s="530"/>
      <c r="FO244" s="530"/>
      <c r="FP244" s="530"/>
      <c r="FQ244" s="530"/>
      <c r="HQ244" s="128"/>
      <c r="HR244" s="128"/>
      <c r="HS244" s="128"/>
      <c r="HT244" s="128"/>
      <c r="HU244" s="128"/>
      <c r="HV244" s="128"/>
      <c r="HW244" s="128"/>
      <c r="HX244" s="128"/>
      <c r="HY244" s="128"/>
      <c r="HZ244" s="128"/>
      <c r="IA244" s="128"/>
      <c r="IB244" s="128"/>
      <c r="IC244" s="128"/>
    </row>
    <row r="245" spans="41:237" x14ac:dyDescent="0.3">
      <c r="AO245" s="128">
        <v>50173</v>
      </c>
      <c r="AP245" s="128" t="s">
        <v>717</v>
      </c>
      <c r="AQ245" s="128" t="s">
        <v>824</v>
      </c>
      <c r="AR245" s="128" t="s">
        <v>3594</v>
      </c>
      <c r="AS245" s="128">
        <v>46212</v>
      </c>
      <c r="AT245" s="128">
        <v>46378</v>
      </c>
      <c r="AU245" s="128">
        <v>139597</v>
      </c>
      <c r="AV245" s="128">
        <v>50171</v>
      </c>
      <c r="AW245" s="128">
        <v>8800000</v>
      </c>
      <c r="AX245" s="534">
        <f>_xlfn.XLOOKUP(Sell_unvalid[[#This Row],[DEAL_BUY_ID]],BS!BA:BA,BS!BE:BE,,0)</f>
        <v>140660</v>
      </c>
      <c r="AY245" s="534">
        <f>_xlfn.XLOOKUP(Sell_unvalid[[#This Row],[BOND_CODE]],FNRP!D:D,FNRP!I:I,_xlfn.XLOOKUP(Sell_unvalid[[#This Row],[BOND_CODE]],FNRP!AV:AV,FNRP!BA:BA,,0),0)</f>
        <v>142049</v>
      </c>
      <c r="AZ245" s="534">
        <f>_xlfn.XLOOKUP(Sell_unvalid[[#This Row],[DEAL_BUY_ID]],BS!BA:BA,BS!BQ:BQ,,0)*Sell_unvalid[[#This Row],[QUANTITY]]</f>
        <v>355793946552.81</v>
      </c>
      <c r="BA245" s="534">
        <f>(Sell_unvalid[[#This Row],[Giá MtM]]-10^5)*Sell_unvalid[[#This Row],[QUANTITY]]-Sell_unvalid[[#This Row],[PTCK remain]]</f>
        <v>14237253447.190002</v>
      </c>
      <c r="BB245" s="534">
        <f>(Sell_unvalid[[#This Row],[PRICE]]-10^5)*Sell_unvalid[[#This Row],[QUANTITY]]-Sell_unvalid[[#This Row],[PTCK remain]]</f>
        <v>-7340346552.8099976</v>
      </c>
      <c r="BC245" s="534" t="str">
        <f>IF(AND(Sell_unvalid[[#This Row],[VALUE_DATE]]&lt;=RPT,Sell_unvalid[[#This Row],[TRANSACTION_STATUS]]="N"),"Check","Ok")</f>
        <v>Ok</v>
      </c>
      <c r="BD245" s="524"/>
      <c r="BE245" s="534"/>
      <c r="BF245" s="232"/>
      <c r="BG245" s="530"/>
      <c r="BH245" s="531"/>
      <c r="BJ245" s="375"/>
      <c r="BL245" s="530"/>
      <c r="BP245" s="534"/>
      <c r="BR245" s="727"/>
      <c r="BS245" s="128"/>
      <c r="BT245" s="848"/>
      <c r="BU245" s="849">
        <v>45870</v>
      </c>
      <c r="BV245" s="848">
        <v>47035</v>
      </c>
      <c r="BW245" s="848" t="s">
        <v>3901</v>
      </c>
      <c r="BX245" s="530">
        <v>1000000</v>
      </c>
      <c r="BY245" s="735">
        <f>_xlfn.XLOOKUP(Est_NIM[[#This Row],[DEAL_BUY_ID]],BS!AL:AL,BS!AU:AU,_xlfn.XLOOKUP(Est_NIM[[#This Row],[DEAL_BUY_ID]],BS!BA:BA,BS!BJ:BJ,,0),0)</f>
        <v>3</v>
      </c>
      <c r="BZ245" s="534">
        <f>Est_NIM[[#This Row],[QUANT]]*Est_NIM[[#This Row],[YIELD]]</f>
        <v>3000000</v>
      </c>
      <c r="CA245" s="128"/>
      <c r="CB245" s="128"/>
      <c r="CE245" s="331"/>
      <c r="CF245" s="331"/>
      <c r="CG245" s="331"/>
      <c r="CH245">
        <v>3730</v>
      </c>
      <c r="CI245">
        <v>14282</v>
      </c>
      <c r="DU245" s="128"/>
      <c r="DV245" s="128"/>
      <c r="DW245" s="128"/>
      <c r="DX245" s="128"/>
      <c r="DY245" s="128"/>
      <c r="DZ245" s="128"/>
      <c r="EA245" s="128"/>
      <c r="EB245" s="128"/>
      <c r="EC245" s="128"/>
      <c r="ED245" s="128"/>
      <c r="EE245" s="128"/>
      <c r="EF245" s="128"/>
      <c r="EG245" s="128"/>
      <c r="EH245" s="128"/>
      <c r="EI245" s="128"/>
      <c r="EJ245" s="128"/>
      <c r="EK245" s="128"/>
      <c r="EL245" s="128"/>
      <c r="EM245" s="128"/>
      <c r="EN245" s="128"/>
      <c r="EO245" s="128"/>
      <c r="EP245" s="128"/>
      <c r="EQ245" s="128"/>
      <c r="ER245" s="128"/>
      <c r="ES245" s="128"/>
      <c r="ET245" s="128"/>
      <c r="EU245" s="128"/>
      <c r="EV245" s="128"/>
      <c r="EW245" s="128"/>
      <c r="EX245" s="128"/>
      <c r="EY245" s="128"/>
      <c r="EZ245" s="128"/>
      <c r="FA245" s="128"/>
      <c r="FB245" s="128"/>
      <c r="FC245" s="128"/>
      <c r="FD245" s="128"/>
      <c r="FE245" s="128"/>
      <c r="FF245" s="128"/>
      <c r="FG245" s="530"/>
      <c r="FH245" s="530"/>
      <c r="FI245" s="530"/>
      <c r="FJ245" s="530"/>
      <c r="FK245" s="530"/>
      <c r="FL245" s="530"/>
      <c r="FM245" s="530"/>
      <c r="FN245" s="530"/>
      <c r="FO245" s="530"/>
      <c r="FP245" s="530"/>
      <c r="FQ245" s="530"/>
      <c r="HS245" s="128"/>
      <c r="HT245" s="128"/>
      <c r="HU245" s="128"/>
      <c r="HV245" s="128"/>
      <c r="HW245" s="128"/>
      <c r="HX245" s="128"/>
      <c r="HY245" s="128"/>
      <c r="HZ245" s="128"/>
      <c r="IA245" s="128"/>
      <c r="IB245" s="128"/>
      <c r="IC245" s="128"/>
    </row>
    <row r="246" spans="41:237" x14ac:dyDescent="0.3">
      <c r="AO246" s="128">
        <v>50202</v>
      </c>
      <c r="AP246" s="128" t="s">
        <v>717</v>
      </c>
      <c r="AQ246" s="128" t="s">
        <v>824</v>
      </c>
      <c r="AR246" s="128" t="s">
        <v>3594</v>
      </c>
      <c r="AS246" s="128">
        <v>46223</v>
      </c>
      <c r="AT246" s="128">
        <v>46378</v>
      </c>
      <c r="AU246" s="128">
        <v>138830</v>
      </c>
      <c r="AV246" s="128">
        <v>50200</v>
      </c>
      <c r="AW246" s="128">
        <v>8000000</v>
      </c>
      <c r="AX246" s="534">
        <f>_xlfn.XLOOKUP(Sell_unvalid[[#This Row],[DEAL_BUY_ID]],BS!BA:BA,BS!BE:BE,,0)</f>
        <v>139825</v>
      </c>
      <c r="AY246" s="534">
        <f>_xlfn.XLOOKUP(Sell_unvalid[[#This Row],[BOND_CODE]],FNRP!D:D,FNRP!I:I,_xlfn.XLOOKUP(Sell_unvalid[[#This Row],[BOND_CODE]],FNRP!AV:AV,FNRP!BA:BA,,0),0)</f>
        <v>142049</v>
      </c>
      <c r="AZ246" s="534">
        <f>_xlfn.XLOOKUP(Sell_unvalid[[#This Row],[DEAL_BUY_ID]],BS!BA:BA,BS!BQ:BQ,,0)*Sell_unvalid[[#This Row],[QUANTITY]]</f>
        <v>317341870568.10437</v>
      </c>
      <c r="BA246" s="534">
        <f>(Sell_unvalid[[#This Row],[Giá MtM]]-10^5)*Sell_unvalid[[#This Row],[QUANTITY]]-Sell_unvalid[[#This Row],[PTCK remain]]</f>
        <v>19050129431.89563</v>
      </c>
      <c r="BB246" s="534">
        <f>(Sell_unvalid[[#This Row],[PRICE]]-10^5)*Sell_unvalid[[#This Row],[QUANTITY]]-Sell_unvalid[[#This Row],[PTCK remain]]</f>
        <v>-6701870568.1043701</v>
      </c>
      <c r="BC246" s="534" t="str">
        <f>IF(AND(Sell_unvalid[[#This Row],[VALUE_DATE]]&lt;=RPT,Sell_unvalid[[#This Row],[TRANSACTION_STATUS]]="N"),"Check","Ok")</f>
        <v>Ok</v>
      </c>
      <c r="BD246" s="524"/>
      <c r="BE246" s="534"/>
      <c r="BF246" s="232"/>
      <c r="BG246" s="530"/>
      <c r="BH246" s="531"/>
      <c r="BJ246" s="375"/>
      <c r="BL246" s="530"/>
      <c r="BP246" s="534"/>
      <c r="BR246" s="727"/>
      <c r="BS246" s="128"/>
      <c r="BT246" s="848"/>
      <c r="BU246" s="849">
        <v>45870</v>
      </c>
      <c r="BV246" s="848">
        <v>47036</v>
      </c>
      <c r="BW246" s="848" t="s">
        <v>3901</v>
      </c>
      <c r="BX246" s="530">
        <v>2580000</v>
      </c>
      <c r="BY246" s="735">
        <f>_xlfn.XLOOKUP(Est_NIM[[#This Row],[DEAL_BUY_ID]],BS!AL:AL,BS!AU:AU,_xlfn.XLOOKUP(Est_NIM[[#This Row],[DEAL_BUY_ID]],BS!BA:BA,BS!BJ:BJ,,0),0)</f>
        <v>3.19</v>
      </c>
      <c r="BZ246" s="534">
        <f>Est_NIM[[#This Row],[QUANT]]*Est_NIM[[#This Row],[YIELD]]</f>
        <v>8230200</v>
      </c>
      <c r="CA246" s="128"/>
      <c r="CB246" s="128"/>
      <c r="CE246" s="331"/>
      <c r="CF246" s="331"/>
      <c r="CG246" s="331"/>
      <c r="CH246">
        <v>3730</v>
      </c>
      <c r="CI246">
        <v>14282</v>
      </c>
      <c r="DU246" s="128"/>
      <c r="DV246" s="128"/>
      <c r="DW246" s="128"/>
      <c r="DX246" s="128"/>
      <c r="DY246" s="128"/>
      <c r="DZ246" s="128"/>
      <c r="EA246" s="128"/>
      <c r="EB246" s="128"/>
      <c r="EC246" s="128"/>
      <c r="ED246" s="128"/>
      <c r="EE246" s="128"/>
      <c r="EF246" s="128"/>
      <c r="EG246" s="128"/>
      <c r="EH246" s="128"/>
      <c r="EI246" s="128"/>
      <c r="EJ246" s="128"/>
      <c r="EK246" s="128"/>
      <c r="EL246" s="128"/>
      <c r="EM246" s="128"/>
      <c r="EN246" s="128"/>
      <c r="EO246" s="128"/>
      <c r="EP246" s="128"/>
      <c r="EQ246" s="128"/>
      <c r="ER246" s="128"/>
      <c r="ES246" s="128"/>
      <c r="ET246" s="128"/>
      <c r="EU246" s="128"/>
      <c r="EV246" s="128"/>
      <c r="EW246" s="128"/>
      <c r="EX246" s="128"/>
      <c r="EY246" s="128"/>
      <c r="EZ246" s="128"/>
      <c r="FA246" s="128"/>
      <c r="FB246" s="128"/>
      <c r="FC246" s="128"/>
      <c r="FD246" s="128"/>
      <c r="FE246" s="128"/>
      <c r="FF246" s="128"/>
      <c r="FG246" s="530"/>
      <c r="FH246" s="530"/>
      <c r="FI246" s="530"/>
      <c r="FJ246" s="530"/>
      <c r="FK246" s="530"/>
      <c r="FL246" s="530"/>
      <c r="FM246" s="530"/>
      <c r="FN246" s="530"/>
      <c r="FO246" s="530"/>
      <c r="FP246" s="530"/>
      <c r="FQ246" s="530"/>
      <c r="HS246" s="128"/>
      <c r="HT246" s="128"/>
      <c r="HU246" s="128"/>
      <c r="HV246" s="128"/>
      <c r="HW246" s="128"/>
      <c r="HX246" s="128"/>
      <c r="HY246" s="128"/>
      <c r="HZ246" s="128"/>
      <c r="IA246" s="128"/>
      <c r="IB246" s="128"/>
      <c r="IC246" s="128"/>
    </row>
    <row r="247" spans="41:237" x14ac:dyDescent="0.3">
      <c r="AO247" s="128">
        <v>50203</v>
      </c>
      <c r="AP247" s="128" t="s">
        <v>717</v>
      </c>
      <c r="AQ247" s="128" t="s">
        <v>824</v>
      </c>
      <c r="AR247" s="128" t="s">
        <v>3594</v>
      </c>
      <c r="AS247" s="128">
        <v>46223</v>
      </c>
      <c r="AT247" s="128">
        <v>46378</v>
      </c>
      <c r="AU247" s="128">
        <v>138830</v>
      </c>
      <c r="AV247" s="128">
        <v>50201</v>
      </c>
      <c r="AW247" s="128">
        <v>8200000</v>
      </c>
      <c r="AX247" s="534">
        <f>_xlfn.XLOOKUP(Sell_unvalid[[#This Row],[DEAL_BUY_ID]],BS!BA:BA,BS!BE:BE,,0)</f>
        <v>139825</v>
      </c>
      <c r="AY247" s="534">
        <f>_xlfn.XLOOKUP(Sell_unvalid[[#This Row],[BOND_CODE]],FNRP!D:D,FNRP!I:I,_xlfn.XLOOKUP(Sell_unvalid[[#This Row],[BOND_CODE]],FNRP!AV:AV,FNRP!BA:BA,,0),0)</f>
        <v>142049</v>
      </c>
      <c r="AZ247" s="534">
        <f>_xlfn.XLOOKUP(Sell_unvalid[[#This Row],[DEAL_BUY_ID]],BS!BA:BA,BS!BQ:BQ,,0)*Sell_unvalid[[#This Row],[QUANTITY]]</f>
        <v>325275417332.30701</v>
      </c>
      <c r="BA247" s="534">
        <f>(Sell_unvalid[[#This Row],[Giá MtM]]-10^5)*Sell_unvalid[[#This Row],[QUANTITY]]-Sell_unvalid[[#This Row],[PTCK remain]]</f>
        <v>19526382667.692993</v>
      </c>
      <c r="BB247" s="534">
        <f>(Sell_unvalid[[#This Row],[PRICE]]-10^5)*Sell_unvalid[[#This Row],[QUANTITY]]-Sell_unvalid[[#This Row],[PTCK remain]]</f>
        <v>-6869417332.3070068</v>
      </c>
      <c r="BC247" s="534" t="str">
        <f>IF(AND(Sell_unvalid[[#This Row],[VALUE_DATE]]&lt;=RPT,Sell_unvalid[[#This Row],[TRANSACTION_STATUS]]="N"),"Check","Ok")</f>
        <v>Ok</v>
      </c>
      <c r="BD247" s="524"/>
      <c r="BE247" s="534"/>
      <c r="BF247" s="232"/>
      <c r="BG247" s="530"/>
      <c r="BH247" s="531"/>
      <c r="BJ247" s="375"/>
      <c r="BL247" s="530"/>
      <c r="BP247" s="534"/>
      <c r="BR247" s="727"/>
      <c r="BS247" s="128"/>
      <c r="BT247" s="848"/>
      <c r="BU247" s="849">
        <v>46006</v>
      </c>
      <c r="BV247" s="848">
        <v>48334</v>
      </c>
      <c r="BW247" s="848" t="s">
        <v>3901</v>
      </c>
      <c r="BX247" s="530">
        <v>2000000</v>
      </c>
      <c r="BY247" s="735">
        <f>_xlfn.XLOOKUP(Est_NIM[[#This Row],[DEAL_BUY_ID]],BS!AL:AL,BS!AU:AU,_xlfn.XLOOKUP(Est_NIM[[#This Row],[DEAL_BUY_ID]],BS!BA:BA,BS!BJ:BJ,,0),0)</f>
        <v>2.7201</v>
      </c>
      <c r="BZ247" s="534">
        <f>Est_NIM[[#This Row],[QUANT]]*Est_NIM[[#This Row],[YIELD]]</f>
        <v>5440200</v>
      </c>
      <c r="CA247" s="128"/>
      <c r="CB247" s="128"/>
      <c r="CE247" s="331"/>
      <c r="CF247" s="331"/>
      <c r="CG247" s="331"/>
      <c r="CH247">
        <v>3730</v>
      </c>
      <c r="CI247">
        <v>14282</v>
      </c>
      <c r="DU247" s="128"/>
      <c r="DV247" s="128"/>
      <c r="DW247" s="128"/>
      <c r="DX247" s="128"/>
      <c r="DY247" s="128"/>
      <c r="DZ247" s="128"/>
      <c r="EA247" s="128"/>
      <c r="EB247" s="128"/>
      <c r="EC247" s="128"/>
      <c r="ED247" s="128"/>
      <c r="EE247" s="128"/>
      <c r="EF247" s="128"/>
      <c r="EG247" s="128"/>
      <c r="EH247" s="128"/>
      <c r="EI247" s="128"/>
      <c r="EJ247" s="128"/>
      <c r="EK247" s="128"/>
      <c r="EL247" s="128"/>
      <c r="EM247" s="128"/>
      <c r="EN247" s="128"/>
      <c r="EO247" s="128"/>
      <c r="EP247" s="128"/>
      <c r="EQ247" s="128"/>
      <c r="ER247" s="128"/>
      <c r="ES247" s="128"/>
      <c r="ET247" s="128"/>
      <c r="EU247" s="128"/>
      <c r="EV247" s="128"/>
      <c r="EW247" s="128"/>
      <c r="EX247" s="128"/>
      <c r="EY247" s="128"/>
      <c r="EZ247" s="128"/>
      <c r="FA247" s="128"/>
      <c r="FB247" s="128"/>
      <c r="FC247" s="128"/>
      <c r="FD247" s="128"/>
      <c r="FE247" s="128"/>
      <c r="FF247" s="128"/>
      <c r="FG247" s="530"/>
      <c r="FH247" s="530"/>
      <c r="FI247" s="530"/>
      <c r="FJ247" s="530"/>
      <c r="FK247" s="530"/>
      <c r="FL247" s="530"/>
      <c r="FM247" s="530"/>
      <c r="FN247" s="530"/>
      <c r="FO247" s="530"/>
      <c r="FP247" s="530"/>
      <c r="FQ247" s="530"/>
      <c r="HS247" s="128"/>
      <c r="HT247" s="128"/>
      <c r="HU247" s="128"/>
      <c r="HV247" s="128"/>
      <c r="HW247" s="128"/>
      <c r="HX247" s="128"/>
      <c r="HY247" s="128"/>
      <c r="HZ247" s="128"/>
      <c r="IA247" s="128"/>
      <c r="IB247" s="128"/>
      <c r="IC247" s="128"/>
    </row>
    <row r="248" spans="41:237" x14ac:dyDescent="0.3">
      <c r="BD248" s="524"/>
      <c r="BE248" s="534"/>
      <c r="BF248" s="232"/>
      <c r="BG248" s="530"/>
      <c r="BH248" s="531"/>
      <c r="BJ248" s="375"/>
      <c r="BL248" s="530"/>
      <c r="BP248" s="534"/>
      <c r="BR248" s="727"/>
      <c r="BS248" s="128"/>
      <c r="BT248" s="848"/>
      <c r="BU248" s="849">
        <v>46010</v>
      </c>
      <c r="BV248" s="848">
        <v>48336</v>
      </c>
      <c r="BW248" s="848" t="s">
        <v>3901</v>
      </c>
      <c r="BX248" s="530">
        <v>1500000</v>
      </c>
      <c r="BY248" s="735">
        <f>_xlfn.XLOOKUP(Est_NIM[[#This Row],[DEAL_BUY_ID]],BS!AL:AL,BS!AU:AU,_xlfn.XLOOKUP(Est_NIM[[#This Row],[DEAL_BUY_ID]],BS!BA:BA,BS!BJ:BJ,,0),0)</f>
        <v>2.74</v>
      </c>
      <c r="BZ248" s="534">
        <f>Est_NIM[[#This Row],[QUANT]]*Est_NIM[[#This Row],[YIELD]]</f>
        <v>4110000.0000000005</v>
      </c>
      <c r="CA248" s="128"/>
      <c r="CB248" s="128"/>
      <c r="CE248" s="331"/>
      <c r="CF248" s="331"/>
      <c r="CG248" s="331"/>
      <c r="CH248">
        <v>3730</v>
      </c>
      <c r="CI248">
        <v>14282</v>
      </c>
      <c r="DU248" s="128"/>
      <c r="DV248" s="128"/>
      <c r="DW248" s="128"/>
      <c r="DX248" s="128"/>
      <c r="DY248" s="128"/>
      <c r="DZ248" s="128"/>
      <c r="EA248" s="128"/>
      <c r="EB248" s="128"/>
      <c r="EC248" s="128"/>
      <c r="ED248" s="128"/>
      <c r="EE248" s="128"/>
      <c r="EF248" s="128"/>
      <c r="EG248" s="128"/>
      <c r="EH248" s="128"/>
      <c r="EI248" s="128"/>
      <c r="EJ248" s="128"/>
      <c r="EK248" s="128"/>
      <c r="EL248" s="128"/>
      <c r="EM248" s="128"/>
      <c r="EN248" s="128"/>
      <c r="EO248" s="128"/>
      <c r="EP248" s="128"/>
      <c r="EQ248" s="128"/>
      <c r="ER248" s="128"/>
      <c r="ES248" s="128"/>
      <c r="ET248" s="128"/>
      <c r="EU248" s="128"/>
      <c r="EV248" s="128"/>
      <c r="EW248" s="128"/>
      <c r="EX248" s="128"/>
      <c r="EY248" s="128"/>
      <c r="EZ248" s="128"/>
      <c r="FA248" s="128"/>
      <c r="FB248" s="128"/>
      <c r="FC248" s="128"/>
      <c r="FD248" s="128"/>
      <c r="FE248" s="128"/>
      <c r="FF248" s="128"/>
      <c r="FG248" s="530"/>
      <c r="FH248" s="530"/>
      <c r="FI248" s="530"/>
      <c r="FJ248" s="530"/>
      <c r="FK248" s="530"/>
      <c r="FL248" s="530"/>
      <c r="FM248" s="530"/>
      <c r="FN248" s="530"/>
      <c r="FO248" s="530"/>
      <c r="FP248" s="530"/>
      <c r="FQ248" s="530"/>
      <c r="HS248" s="128"/>
      <c r="HT248" s="128"/>
      <c r="HU248" s="128"/>
      <c r="HV248" s="128"/>
      <c r="HW248" s="128"/>
      <c r="HX248" s="128"/>
      <c r="HY248" s="128"/>
      <c r="HZ248" s="128"/>
      <c r="IA248" s="128"/>
      <c r="IB248" s="128"/>
      <c r="IC248" s="128"/>
    </row>
    <row r="249" spans="41:237" x14ac:dyDescent="0.3">
      <c r="BD249" s="524"/>
      <c r="BE249" s="534"/>
      <c r="BF249" s="232"/>
      <c r="BG249" s="530"/>
      <c r="BH249" s="531"/>
      <c r="BJ249" s="375"/>
      <c r="BL249" s="530"/>
      <c r="BP249" s="534"/>
      <c r="BR249" s="727"/>
      <c r="BS249" s="128"/>
      <c r="BT249" s="848"/>
      <c r="BU249" s="849">
        <v>46006</v>
      </c>
      <c r="BV249" s="848">
        <v>48338</v>
      </c>
      <c r="BW249" s="848" t="s">
        <v>3901</v>
      </c>
      <c r="BX249" s="530">
        <v>1500000</v>
      </c>
      <c r="BY249" s="735">
        <f>_xlfn.XLOOKUP(Est_NIM[[#This Row],[DEAL_BUY_ID]],BS!AL:AL,BS!AU:AU,_xlfn.XLOOKUP(Est_NIM[[#This Row],[DEAL_BUY_ID]],BS!BA:BA,BS!BJ:BJ,,0),0)</f>
        <v>2.96</v>
      </c>
      <c r="BZ249" s="534">
        <f>Est_NIM[[#This Row],[QUANT]]*Est_NIM[[#This Row],[YIELD]]</f>
        <v>4440000</v>
      </c>
      <c r="CA249" s="128"/>
      <c r="CB249" s="128"/>
      <c r="CE249" s="331"/>
      <c r="CF249" s="331"/>
      <c r="CG249" s="331"/>
      <c r="CH249">
        <v>3730</v>
      </c>
      <c r="CI249">
        <v>14282</v>
      </c>
      <c r="DW249" s="128"/>
      <c r="DX249" s="128"/>
      <c r="DY249" s="128"/>
      <c r="DZ249" s="128"/>
      <c r="EA249" s="128"/>
      <c r="EB249" s="128"/>
      <c r="EC249" s="128"/>
      <c r="ED249" s="128"/>
      <c r="EE249" s="128"/>
      <c r="EF249" s="128"/>
      <c r="EG249" s="128"/>
      <c r="EH249" s="128"/>
      <c r="EI249" s="128"/>
      <c r="EJ249" s="128"/>
      <c r="EK249" s="128"/>
      <c r="EL249" s="128"/>
      <c r="EM249" s="128"/>
      <c r="EN249" s="128"/>
      <c r="EO249" s="128"/>
      <c r="EP249" s="128"/>
      <c r="EQ249" s="128"/>
      <c r="ER249" s="128"/>
      <c r="ES249" s="128"/>
      <c r="ET249" s="128"/>
      <c r="EU249" s="128"/>
      <c r="EV249" s="128"/>
      <c r="EW249" s="128"/>
      <c r="EX249" s="128"/>
      <c r="EY249" s="128"/>
      <c r="EZ249" s="128"/>
      <c r="FA249" s="128"/>
      <c r="FB249" s="128"/>
      <c r="FC249" s="128"/>
      <c r="FD249" s="128"/>
      <c r="FE249" s="128"/>
      <c r="FF249" s="128"/>
      <c r="FG249" s="128"/>
      <c r="FH249" s="128"/>
      <c r="FI249" s="530"/>
      <c r="FJ249" s="530"/>
      <c r="FK249" s="530"/>
      <c r="FL249" s="530"/>
      <c r="FM249" s="530"/>
      <c r="FN249" s="530"/>
      <c r="FO249" s="530"/>
      <c r="FP249" s="530"/>
      <c r="FQ249" s="530"/>
      <c r="HU249" s="128"/>
      <c r="HV249" s="128"/>
      <c r="HW249" s="128"/>
      <c r="HX249" s="128"/>
      <c r="HY249" s="128"/>
      <c r="HZ249" s="128"/>
      <c r="IA249" s="128"/>
      <c r="IB249" s="128"/>
      <c r="IC249" s="128"/>
    </row>
    <row r="250" spans="41:237" x14ac:dyDescent="0.3">
      <c r="BD250" s="524"/>
      <c r="BE250" s="534"/>
      <c r="BF250" s="232"/>
      <c r="BG250" s="530"/>
      <c r="BH250" s="531"/>
      <c r="BJ250" s="375"/>
      <c r="BL250" s="530"/>
      <c r="BP250" s="534"/>
      <c r="BR250" s="727"/>
      <c r="BS250" s="128"/>
      <c r="BT250" s="848"/>
      <c r="BU250" s="849">
        <v>46006</v>
      </c>
      <c r="BV250" s="848">
        <v>48341</v>
      </c>
      <c r="BW250" s="848" t="s">
        <v>3901</v>
      </c>
      <c r="BX250" s="530">
        <v>500000</v>
      </c>
      <c r="BY250" s="735">
        <f>_xlfn.XLOOKUP(Est_NIM[[#This Row],[DEAL_BUY_ID]],BS!AL:AL,BS!AU:AU,_xlfn.XLOOKUP(Est_NIM[[#This Row],[DEAL_BUY_ID]],BS!BA:BA,BS!BJ:BJ,,0),0)</f>
        <v>3.03</v>
      </c>
      <c r="BZ250" s="534">
        <f>Est_NIM[[#This Row],[QUANT]]*Est_NIM[[#This Row],[YIELD]]</f>
        <v>1515000</v>
      </c>
      <c r="CA250" s="128"/>
      <c r="CB250" s="128"/>
      <c r="CE250" s="331"/>
      <c r="CF250" s="331"/>
      <c r="CG250" s="331"/>
      <c r="CH250">
        <v>3730</v>
      </c>
      <c r="CI250">
        <v>14282</v>
      </c>
      <c r="DW250" s="128"/>
      <c r="DX250" s="128"/>
      <c r="DY250" s="128"/>
      <c r="DZ250" s="128"/>
      <c r="EA250" s="128"/>
      <c r="EB250" s="128"/>
      <c r="EC250" s="128"/>
      <c r="ED250" s="128"/>
      <c r="EE250" s="128"/>
      <c r="EF250" s="128"/>
      <c r="EG250" s="128"/>
      <c r="EH250" s="128"/>
      <c r="EI250" s="128"/>
      <c r="EJ250" s="128"/>
      <c r="EK250" s="128"/>
      <c r="EL250" s="128"/>
      <c r="EM250" s="128"/>
      <c r="EN250" s="128"/>
      <c r="EO250" s="128"/>
      <c r="EP250" s="128"/>
      <c r="EQ250" s="128"/>
      <c r="ER250" s="128"/>
      <c r="ES250" s="128"/>
      <c r="ET250" s="128"/>
      <c r="EU250" s="128"/>
      <c r="EV250" s="128"/>
      <c r="EW250" s="128"/>
      <c r="EX250" s="128"/>
      <c r="EY250" s="128"/>
      <c r="EZ250" s="128"/>
      <c r="FA250" s="128"/>
      <c r="FB250" s="128"/>
      <c r="FC250" s="128"/>
      <c r="FD250" s="128"/>
      <c r="FE250" s="128"/>
      <c r="FF250" s="128"/>
      <c r="FG250" s="128"/>
      <c r="FH250" s="128"/>
      <c r="FI250" s="530"/>
      <c r="FJ250" s="530"/>
      <c r="FK250" s="530"/>
      <c r="FL250" s="530"/>
      <c r="FM250" s="530"/>
      <c r="FN250" s="530"/>
      <c r="FO250" s="530"/>
      <c r="FP250" s="530"/>
      <c r="FQ250" s="530"/>
      <c r="HU250" s="128"/>
      <c r="HV250" s="128"/>
      <c r="HW250" s="128"/>
      <c r="HX250" s="128"/>
      <c r="HY250" s="128"/>
      <c r="HZ250" s="128"/>
      <c r="IA250" s="128"/>
      <c r="IB250" s="128"/>
      <c r="IC250" s="128"/>
    </row>
    <row r="251" spans="41:237" x14ac:dyDescent="0.3">
      <c r="BD251" s="524"/>
      <c r="BE251" s="534"/>
      <c r="BF251" s="232"/>
      <c r="BG251" s="530"/>
      <c r="BH251" s="531"/>
      <c r="BJ251" s="375"/>
      <c r="BL251" s="530"/>
      <c r="BP251" s="534"/>
      <c r="BR251" s="727"/>
      <c r="BS251" s="128"/>
      <c r="BT251" s="848"/>
      <c r="BU251" s="849">
        <v>46010</v>
      </c>
      <c r="BV251" s="848">
        <v>48359</v>
      </c>
      <c r="BW251" s="848" t="s">
        <v>3901</v>
      </c>
      <c r="BX251" s="530">
        <v>2000000</v>
      </c>
      <c r="BY251" s="735">
        <f>_xlfn.XLOOKUP(Est_NIM[[#This Row],[DEAL_BUY_ID]],BS!AL:AL,BS!AU:AU,_xlfn.XLOOKUP(Est_NIM[[#This Row],[DEAL_BUY_ID]],BS!BA:BA,BS!BJ:BJ,,0),0)</f>
        <v>3.25</v>
      </c>
      <c r="BZ251" s="534">
        <f>Est_NIM[[#This Row],[QUANT]]*Est_NIM[[#This Row],[YIELD]]</f>
        <v>6500000</v>
      </c>
      <c r="CA251" s="128"/>
      <c r="CB251" s="128"/>
      <c r="CE251" s="331"/>
      <c r="CF251" s="331"/>
      <c r="CG251" s="331"/>
      <c r="CH251">
        <v>3730</v>
      </c>
      <c r="CI251">
        <v>14282</v>
      </c>
      <c r="DW251" s="128"/>
      <c r="DX251" s="128"/>
      <c r="DY251" s="128"/>
      <c r="DZ251" s="128"/>
      <c r="EA251" s="128"/>
      <c r="EB251" s="128"/>
      <c r="EC251" s="128"/>
      <c r="ED251" s="128"/>
      <c r="EE251" s="128"/>
      <c r="EF251" s="128"/>
      <c r="EG251" s="128"/>
      <c r="EH251" s="128"/>
      <c r="EI251" s="128"/>
      <c r="EJ251" s="128"/>
      <c r="EK251" s="128"/>
      <c r="EL251" s="128"/>
      <c r="EM251" s="128"/>
      <c r="EN251" s="128"/>
      <c r="EO251" s="128"/>
      <c r="EP251" s="128"/>
      <c r="EQ251" s="128"/>
      <c r="ER251" s="128"/>
      <c r="ES251" s="128"/>
      <c r="ET251" s="128"/>
      <c r="EU251" s="128"/>
      <c r="EV251" s="128"/>
      <c r="EW251" s="128"/>
      <c r="EX251" s="128"/>
      <c r="EY251" s="128"/>
      <c r="EZ251" s="128"/>
      <c r="FA251" s="128"/>
      <c r="FB251" s="128"/>
      <c r="FC251" s="128"/>
      <c r="FD251" s="128"/>
      <c r="FE251" s="128"/>
      <c r="FF251" s="128"/>
      <c r="FG251" s="128"/>
      <c r="FH251" s="128"/>
      <c r="FI251" s="530"/>
      <c r="FJ251" s="530"/>
      <c r="FK251" s="530"/>
      <c r="FL251" s="530"/>
      <c r="FM251" s="530"/>
      <c r="FN251" s="530"/>
      <c r="FO251" s="530"/>
      <c r="FP251" s="530"/>
      <c r="FQ251" s="530"/>
      <c r="HU251" s="128"/>
      <c r="HV251" s="128"/>
      <c r="HW251" s="128"/>
      <c r="HX251" s="128"/>
      <c r="HY251" s="128"/>
      <c r="HZ251" s="128"/>
      <c r="IA251" s="128"/>
      <c r="IB251" s="128"/>
      <c r="IC251" s="128"/>
    </row>
    <row r="252" spans="41:237" x14ac:dyDescent="0.3">
      <c r="BD252" s="524"/>
      <c r="BE252" s="534"/>
      <c r="BF252" s="232"/>
      <c r="BG252" s="530"/>
      <c r="BH252" s="531"/>
      <c r="BJ252" s="375"/>
      <c r="BL252" s="530"/>
      <c r="BP252" s="534"/>
      <c r="BR252" s="727"/>
      <c r="BS252" s="128"/>
      <c r="BT252" s="128"/>
      <c r="BU252" s="128"/>
      <c r="BV252" s="128"/>
      <c r="BW252" s="128"/>
      <c r="BX252" s="530"/>
      <c r="CA252" s="128"/>
      <c r="CB252" s="128"/>
      <c r="DX252" s="128"/>
      <c r="DY252" s="128"/>
      <c r="DZ252" s="128"/>
      <c r="EA252" s="128"/>
      <c r="EB252" s="128"/>
      <c r="EC252" s="128"/>
      <c r="ED252" s="128"/>
      <c r="EE252" s="128"/>
      <c r="EF252" s="128"/>
      <c r="EG252" s="128"/>
      <c r="EH252" s="128"/>
      <c r="EI252" s="128"/>
      <c r="EJ252" s="128"/>
      <c r="EK252" s="128"/>
      <c r="EL252" s="128"/>
      <c r="EM252" s="128"/>
      <c r="EN252" s="128"/>
      <c r="EO252" s="128"/>
      <c r="EP252" s="128"/>
      <c r="EQ252" s="128"/>
      <c r="ER252" s="128"/>
      <c r="ES252" s="128"/>
      <c r="ET252" s="128"/>
      <c r="EU252" s="128"/>
      <c r="EV252" s="128"/>
      <c r="EW252" s="128"/>
      <c r="EX252" s="128"/>
      <c r="EY252" s="128"/>
      <c r="EZ252" s="128"/>
      <c r="FA252" s="128"/>
      <c r="FB252" s="128"/>
      <c r="FC252" s="128"/>
      <c r="FD252" s="128"/>
      <c r="FE252" s="128"/>
      <c r="FF252" s="128"/>
      <c r="FG252" s="128"/>
      <c r="FH252" s="128"/>
      <c r="FI252" s="128"/>
      <c r="FJ252" s="530"/>
      <c r="FK252" s="530"/>
      <c r="FL252" s="530"/>
      <c r="FM252" s="530"/>
      <c r="FN252" s="530"/>
      <c r="FO252" s="530"/>
      <c r="FP252" s="530"/>
      <c r="FQ252" s="530"/>
      <c r="HV252" s="128"/>
      <c r="HW252" s="128"/>
      <c r="HX252" s="128"/>
      <c r="HY252" s="128"/>
      <c r="HZ252" s="128"/>
      <c r="IA252" s="128"/>
      <c r="IB252" s="128"/>
      <c r="IC252" s="128"/>
    </row>
    <row r="253" spans="41:237" x14ac:dyDescent="0.3">
      <c r="BD253" s="524"/>
      <c r="BE253" s="534"/>
      <c r="BF253" s="232"/>
      <c r="BG253" s="530"/>
      <c r="BH253" s="531"/>
      <c r="BJ253" s="375"/>
      <c r="BL253" s="530"/>
      <c r="BP253" s="534"/>
      <c r="BR253" s="727"/>
      <c r="BS253" s="128"/>
      <c r="BT253" s="128"/>
      <c r="BU253" s="128"/>
      <c r="BV253" s="128"/>
      <c r="BW253" s="128"/>
      <c r="BX253" s="530"/>
      <c r="CA253" s="128"/>
      <c r="CB253" s="128"/>
      <c r="DY253" s="128"/>
      <c r="DZ253" s="128"/>
      <c r="EA253" s="128"/>
      <c r="EB253" s="128"/>
      <c r="EC253" s="128"/>
      <c r="ED253" s="128"/>
      <c r="EE253" s="128"/>
      <c r="EF253" s="128"/>
      <c r="EG253" s="128"/>
      <c r="EH253" s="128"/>
      <c r="EI253" s="128"/>
      <c r="EJ253" s="128"/>
      <c r="EK253" s="128"/>
      <c r="EL253" s="128"/>
      <c r="EM253" s="128"/>
      <c r="EN253" s="128"/>
      <c r="EO253" s="128"/>
      <c r="EP253" s="128"/>
      <c r="EQ253" s="128"/>
      <c r="ER253" s="128"/>
      <c r="ES253" s="128"/>
      <c r="ET253" s="128"/>
      <c r="EU253" s="128"/>
      <c r="EV253" s="128"/>
      <c r="EW253" s="128"/>
      <c r="EX253" s="128"/>
      <c r="EY253" s="128"/>
      <c r="EZ253" s="128"/>
      <c r="FA253" s="128"/>
      <c r="FB253" s="128"/>
      <c r="FC253" s="128"/>
      <c r="FD253" s="128"/>
      <c r="FE253" s="128"/>
      <c r="FF253" s="128"/>
      <c r="FG253" s="128"/>
      <c r="FH253" s="128"/>
      <c r="FI253" s="128"/>
      <c r="FJ253" s="128"/>
      <c r="FK253" s="530"/>
      <c r="FL253" s="530"/>
      <c r="FM253" s="530"/>
      <c r="FN253" s="530"/>
      <c r="FO253" s="530"/>
      <c r="FP253" s="530"/>
      <c r="FQ253" s="530"/>
      <c r="HW253" s="128"/>
      <c r="HX253" s="128"/>
      <c r="HY253" s="128"/>
      <c r="HZ253" s="128"/>
      <c r="IA253" s="128"/>
      <c r="IB253" s="128"/>
      <c r="IC253" s="128"/>
    </row>
    <row r="254" spans="41:237" x14ac:dyDescent="0.3">
      <c r="BD254" s="524"/>
      <c r="BE254" s="534"/>
      <c r="BF254" s="232"/>
      <c r="BG254" s="530"/>
      <c r="BH254" s="531"/>
      <c r="BJ254" s="375"/>
      <c r="BL254" s="530"/>
      <c r="BP254" s="534"/>
      <c r="BR254" s="727"/>
      <c r="BS254" s="128"/>
      <c r="BT254" s="128"/>
      <c r="BU254" s="128"/>
      <c r="BV254" s="128"/>
      <c r="BW254" s="128"/>
      <c r="BX254" s="530"/>
      <c r="CA254" s="128"/>
      <c r="CB254" s="128"/>
      <c r="EB254" s="128"/>
      <c r="EC254" s="128"/>
      <c r="ED254" s="128"/>
      <c r="EE254" s="128"/>
      <c r="EF254" s="128"/>
      <c r="EG254" s="128"/>
      <c r="EH254" s="128"/>
      <c r="EI254" s="128"/>
      <c r="EJ254" s="128"/>
      <c r="EK254" s="128"/>
      <c r="EL254" s="128"/>
      <c r="EM254" s="128"/>
      <c r="EN254" s="128"/>
      <c r="EO254" s="128"/>
      <c r="EP254" s="128"/>
      <c r="EQ254" s="128"/>
      <c r="ER254" s="128"/>
      <c r="ES254" s="128"/>
      <c r="ET254" s="128"/>
      <c r="EU254" s="128"/>
      <c r="EV254" s="128"/>
      <c r="EW254" s="128"/>
      <c r="EX254" s="128"/>
      <c r="EY254" s="128"/>
      <c r="EZ254" s="128"/>
      <c r="FA254" s="128"/>
      <c r="FB254" s="128"/>
      <c r="FC254" s="128"/>
      <c r="FD254" s="128"/>
      <c r="FE254" s="128"/>
      <c r="FF254" s="128"/>
      <c r="FG254" s="128"/>
      <c r="FH254" s="128"/>
      <c r="FI254" s="128"/>
      <c r="FJ254" s="128"/>
      <c r="FK254" s="128"/>
      <c r="FL254" s="128"/>
      <c r="FM254" s="128"/>
      <c r="FN254" s="530"/>
      <c r="FO254" s="530"/>
      <c r="FP254" s="530"/>
      <c r="FQ254" s="530"/>
      <c r="HZ254" s="128"/>
      <c r="IA254" s="128"/>
      <c r="IB254" s="128"/>
      <c r="IC254" s="128"/>
    </row>
    <row r="255" spans="41:237" x14ac:dyDescent="0.3">
      <c r="BD255" s="524"/>
      <c r="BE255" s="534"/>
      <c r="BF255" s="232"/>
      <c r="BG255" s="530"/>
      <c r="BH255" s="531"/>
      <c r="BJ255" s="375"/>
      <c r="BL255" s="530"/>
      <c r="BP255" s="534"/>
      <c r="BR255" s="727"/>
      <c r="BS255" s="128"/>
      <c r="BT255" s="128"/>
      <c r="BU255" s="128"/>
      <c r="BV255" s="128"/>
      <c r="BW255" s="128"/>
      <c r="BX255" s="530"/>
      <c r="CA255" s="128"/>
      <c r="CB255" s="128"/>
      <c r="EB255" s="128"/>
      <c r="EC255" s="128"/>
      <c r="ED255" s="128"/>
      <c r="EE255" s="128"/>
      <c r="EF255" s="128"/>
      <c r="EG255" s="128"/>
      <c r="EH255" s="128"/>
      <c r="EI255" s="128"/>
      <c r="EJ255" s="128"/>
      <c r="EK255" s="128"/>
      <c r="EL255" s="128"/>
      <c r="EM255" s="128"/>
      <c r="EN255" s="128"/>
      <c r="EO255" s="128"/>
      <c r="EP255" s="128"/>
      <c r="EQ255" s="128"/>
      <c r="ER255" s="128"/>
      <c r="ES255" s="128"/>
      <c r="ET255" s="128"/>
      <c r="EU255" s="128"/>
      <c r="EV255" s="128"/>
      <c r="EW255" s="128"/>
      <c r="EX255" s="128"/>
      <c r="EY255" s="128"/>
      <c r="EZ255" s="128"/>
      <c r="FA255" s="128"/>
      <c r="FB255" s="128"/>
      <c r="FC255" s="128"/>
      <c r="FD255" s="128"/>
      <c r="FE255" s="128"/>
      <c r="FF255" s="128"/>
      <c r="FG255" s="128"/>
      <c r="FH255" s="128"/>
      <c r="FI255" s="128"/>
      <c r="FJ255" s="128"/>
      <c r="FK255" s="128"/>
      <c r="FL255" s="128"/>
      <c r="FM255" s="128"/>
      <c r="FN255" s="530"/>
      <c r="FO255" s="530"/>
      <c r="FP255" s="530"/>
      <c r="FQ255" s="530"/>
      <c r="HZ255" s="128"/>
      <c r="IA255" s="128"/>
      <c r="IB255" s="128"/>
      <c r="IC255" s="128"/>
    </row>
    <row r="256" spans="41:237" x14ac:dyDescent="0.3">
      <c r="BD256" s="524"/>
      <c r="BE256" s="534"/>
      <c r="BF256" s="232"/>
      <c r="BG256" s="530"/>
      <c r="BH256" s="531"/>
      <c r="BJ256" s="375"/>
      <c r="BL256" s="530"/>
      <c r="BP256" s="534"/>
      <c r="BR256" s="727"/>
      <c r="BS256" s="128"/>
      <c r="BT256" s="128"/>
      <c r="BU256" s="128"/>
      <c r="BV256" s="128"/>
      <c r="BW256" s="128"/>
      <c r="BX256" s="530"/>
      <c r="CA256" s="128"/>
      <c r="CB256" s="128"/>
      <c r="EB256" s="128"/>
      <c r="EC256" s="128"/>
      <c r="ED256" s="128"/>
      <c r="EE256" s="128"/>
      <c r="EF256" s="128"/>
      <c r="EG256" s="128"/>
      <c r="EH256" s="128"/>
      <c r="EI256" s="128"/>
      <c r="EJ256" s="128"/>
      <c r="EK256" s="128"/>
      <c r="EL256" s="128"/>
      <c r="EM256" s="128"/>
      <c r="EN256" s="128"/>
      <c r="EO256" s="128"/>
      <c r="EP256" s="128"/>
      <c r="EQ256" s="128"/>
      <c r="ER256" s="128"/>
      <c r="ES256" s="128"/>
      <c r="ET256" s="128"/>
      <c r="EU256" s="128"/>
      <c r="EV256" s="128"/>
      <c r="EW256" s="128"/>
      <c r="EX256" s="128"/>
      <c r="EY256" s="128"/>
      <c r="EZ256" s="128"/>
      <c r="FA256" s="128"/>
      <c r="FB256" s="128"/>
      <c r="FC256" s="128"/>
      <c r="FD256" s="128"/>
      <c r="FE256" s="128"/>
      <c r="FF256" s="128"/>
      <c r="FG256" s="128"/>
      <c r="FH256" s="128"/>
      <c r="FI256" s="128"/>
      <c r="FJ256" s="128"/>
      <c r="FK256" s="128"/>
      <c r="FL256" s="128"/>
      <c r="FM256" s="128"/>
      <c r="FN256" s="530"/>
      <c r="FO256" s="530"/>
      <c r="FP256" s="530"/>
      <c r="FQ256" s="530"/>
      <c r="HZ256" s="128"/>
      <c r="IA256" s="128"/>
      <c r="IB256" s="128"/>
      <c r="IC256" s="128"/>
    </row>
    <row r="257" spans="56:237" x14ac:dyDescent="0.3">
      <c r="BD257" s="524"/>
      <c r="BE257" s="534"/>
      <c r="BF257" s="232"/>
      <c r="BG257" s="530"/>
      <c r="BH257" s="531"/>
      <c r="BJ257" s="375"/>
      <c r="BL257" s="530"/>
      <c r="BP257" s="534"/>
      <c r="BR257" s="727"/>
      <c r="BS257" s="128"/>
      <c r="BT257" s="128"/>
      <c r="BU257" s="128"/>
      <c r="BV257" s="128"/>
      <c r="BW257" s="128"/>
      <c r="BX257" s="530"/>
      <c r="CA257" s="128"/>
      <c r="CB257" s="128"/>
      <c r="EB257" s="128"/>
      <c r="EC257" s="128"/>
      <c r="ED257" s="128"/>
      <c r="EE257" s="128"/>
      <c r="EF257" s="128"/>
      <c r="EG257" s="128"/>
      <c r="EH257" s="128"/>
      <c r="EI257" s="128"/>
      <c r="EJ257" s="128"/>
      <c r="EK257" s="128"/>
      <c r="EL257" s="128"/>
      <c r="EM257" s="128"/>
      <c r="EN257" s="128"/>
      <c r="EO257" s="128"/>
      <c r="EP257" s="128"/>
      <c r="EQ257" s="128"/>
      <c r="ER257" s="128"/>
      <c r="ES257" s="128"/>
      <c r="ET257" s="128"/>
      <c r="EU257" s="128"/>
      <c r="EV257" s="128"/>
      <c r="EW257" s="128"/>
      <c r="EX257" s="128"/>
      <c r="EY257" s="128"/>
      <c r="EZ257" s="128"/>
      <c r="FA257" s="128"/>
      <c r="FB257" s="128"/>
      <c r="FC257" s="128"/>
      <c r="FD257" s="128"/>
      <c r="FE257" s="128"/>
      <c r="FF257" s="128"/>
      <c r="FG257" s="128"/>
      <c r="FH257" s="128"/>
      <c r="FI257" s="128"/>
      <c r="FJ257" s="128"/>
      <c r="FK257" s="128"/>
      <c r="FL257" s="128"/>
      <c r="FM257" s="128"/>
      <c r="FN257" s="530"/>
      <c r="FO257" s="530"/>
      <c r="FP257" s="530"/>
      <c r="FQ257" s="530"/>
      <c r="HZ257" s="128"/>
      <c r="IA257" s="128"/>
      <c r="IB257" s="128"/>
      <c r="IC257" s="128"/>
    </row>
    <row r="258" spans="56:237" x14ac:dyDescent="0.3">
      <c r="BD258" s="524"/>
      <c r="BE258" s="534"/>
      <c r="BF258" s="232"/>
      <c r="BG258" s="530"/>
      <c r="BH258" s="531"/>
      <c r="BJ258" s="375"/>
      <c r="BL258" s="530"/>
      <c r="BP258" s="534"/>
      <c r="BR258" s="727"/>
      <c r="BS258" s="128"/>
      <c r="BT258" s="128"/>
      <c r="BU258" s="128"/>
      <c r="BV258" s="128"/>
      <c r="BW258" s="128"/>
      <c r="BX258" s="530"/>
      <c r="CA258" s="128"/>
      <c r="CB258" s="128"/>
      <c r="EB258" s="128"/>
      <c r="EC258" s="128"/>
      <c r="ED258" s="128"/>
      <c r="EE258" s="128"/>
      <c r="EF258" s="128"/>
      <c r="EG258" s="128"/>
      <c r="EH258" s="128"/>
      <c r="EI258" s="128"/>
      <c r="EJ258" s="128"/>
      <c r="EK258" s="128"/>
      <c r="EL258" s="128"/>
      <c r="EM258" s="128"/>
      <c r="EN258" s="128"/>
      <c r="EO258" s="128"/>
      <c r="EP258" s="128"/>
      <c r="EQ258" s="128"/>
      <c r="ER258" s="128"/>
      <c r="ES258" s="128"/>
      <c r="ET258" s="128"/>
      <c r="EU258" s="128"/>
      <c r="EV258" s="128"/>
      <c r="EW258" s="128"/>
      <c r="EX258" s="128"/>
      <c r="EY258" s="128"/>
      <c r="EZ258" s="128"/>
      <c r="FA258" s="128"/>
      <c r="FB258" s="128"/>
      <c r="FC258" s="128"/>
      <c r="FD258" s="128"/>
      <c r="FE258" s="128"/>
      <c r="FF258" s="128"/>
      <c r="FG258" s="128"/>
      <c r="FH258" s="128"/>
      <c r="FI258" s="128"/>
      <c r="FJ258" s="128"/>
      <c r="FK258" s="128"/>
      <c r="FL258" s="128"/>
      <c r="FM258" s="128"/>
      <c r="FN258" s="530"/>
      <c r="FO258" s="530"/>
      <c r="FP258" s="530"/>
      <c r="FQ258" s="530"/>
      <c r="HZ258" s="128"/>
      <c r="IA258" s="128"/>
      <c r="IB258" s="128"/>
      <c r="IC258" s="128"/>
    </row>
    <row r="259" spans="56:237" x14ac:dyDescent="0.3">
      <c r="BD259" s="524"/>
      <c r="BE259" s="534"/>
      <c r="BF259" s="232"/>
      <c r="BG259" s="530"/>
      <c r="BH259" s="531"/>
      <c r="BJ259" s="375"/>
      <c r="BL259" s="530"/>
      <c r="BP259" s="534"/>
      <c r="BR259" s="727"/>
      <c r="BS259" s="128"/>
      <c r="BT259" s="128"/>
      <c r="BU259" s="128"/>
      <c r="BV259" s="128"/>
      <c r="BW259" s="128"/>
      <c r="BX259" s="530"/>
      <c r="CA259" s="128"/>
      <c r="CB259" s="128"/>
      <c r="EB259" s="128"/>
      <c r="EC259" s="128"/>
      <c r="ED259" s="128"/>
      <c r="EE259" s="128"/>
      <c r="EF259" s="128"/>
      <c r="EG259" s="128"/>
      <c r="EH259" s="128"/>
      <c r="EI259" s="128"/>
      <c r="EJ259" s="128"/>
      <c r="EK259" s="128"/>
      <c r="EL259" s="128"/>
      <c r="EM259" s="128"/>
      <c r="EN259" s="128"/>
      <c r="EO259" s="128"/>
      <c r="EP259" s="128"/>
      <c r="EQ259" s="128"/>
      <c r="ER259" s="128"/>
      <c r="ES259" s="128"/>
      <c r="ET259" s="128"/>
      <c r="EU259" s="128"/>
      <c r="EV259" s="128"/>
      <c r="EW259" s="128"/>
      <c r="EX259" s="128"/>
      <c r="EY259" s="128"/>
      <c r="EZ259" s="128"/>
      <c r="FA259" s="128"/>
      <c r="FB259" s="128"/>
      <c r="FC259" s="128"/>
      <c r="FD259" s="128"/>
      <c r="FE259" s="128"/>
      <c r="FF259" s="128"/>
      <c r="FG259" s="128"/>
      <c r="FH259" s="128"/>
      <c r="FI259" s="128"/>
      <c r="FJ259" s="128"/>
      <c r="FK259" s="128"/>
      <c r="FL259" s="128"/>
      <c r="FM259" s="128"/>
      <c r="FN259" s="530"/>
      <c r="FO259" s="530"/>
      <c r="FP259" s="530"/>
      <c r="FQ259" s="530"/>
      <c r="HZ259" s="128"/>
      <c r="IA259" s="128"/>
      <c r="IB259" s="128"/>
      <c r="IC259" s="128"/>
    </row>
    <row r="260" spans="56:237" x14ac:dyDescent="0.3">
      <c r="BD260" s="524"/>
      <c r="BE260" s="534"/>
      <c r="BF260" s="232"/>
      <c r="BG260" s="530"/>
      <c r="BH260" s="531"/>
      <c r="BJ260" s="375"/>
      <c r="BL260" s="530"/>
      <c r="BP260" s="534"/>
      <c r="BR260" s="727"/>
      <c r="BS260" s="128"/>
      <c r="BT260" s="128"/>
      <c r="BU260" s="128"/>
      <c r="BV260" s="128"/>
      <c r="BW260" s="128"/>
      <c r="BX260" s="530"/>
      <c r="CA260" s="128"/>
      <c r="CB260" s="128"/>
      <c r="EB260" s="128"/>
      <c r="EC260" s="128"/>
      <c r="ED260" s="128"/>
      <c r="EE260" s="128"/>
      <c r="EF260" s="128"/>
      <c r="EG260" s="128"/>
      <c r="EH260" s="128"/>
      <c r="EI260" s="128"/>
      <c r="EJ260" s="128"/>
      <c r="EK260" s="128"/>
      <c r="EL260" s="128"/>
      <c r="EM260" s="128"/>
      <c r="EN260" s="128"/>
      <c r="EO260" s="128"/>
      <c r="EP260" s="128"/>
      <c r="EQ260" s="128"/>
      <c r="ER260" s="128"/>
      <c r="ES260" s="128"/>
      <c r="ET260" s="128"/>
      <c r="EU260" s="128"/>
      <c r="EV260" s="128"/>
      <c r="EW260" s="128"/>
      <c r="EX260" s="128"/>
      <c r="EY260" s="128"/>
      <c r="EZ260" s="128"/>
      <c r="FA260" s="128"/>
      <c r="FB260" s="128"/>
      <c r="FC260" s="128"/>
      <c r="FD260" s="128"/>
      <c r="FE260" s="128"/>
      <c r="FF260" s="128"/>
      <c r="FG260" s="128"/>
      <c r="FH260" s="128"/>
      <c r="FI260" s="128"/>
      <c r="FJ260" s="128"/>
      <c r="FK260" s="128"/>
      <c r="FL260" s="128"/>
      <c r="FM260" s="128"/>
      <c r="FN260" s="530"/>
      <c r="FO260" s="530"/>
      <c r="FP260" s="530"/>
      <c r="FQ260" s="530"/>
      <c r="HZ260" s="128"/>
      <c r="IA260" s="128"/>
      <c r="IB260" s="128"/>
      <c r="IC260" s="128"/>
    </row>
    <row r="261" spans="56:237" x14ac:dyDescent="0.3">
      <c r="BD261" s="524"/>
      <c r="BE261" s="534"/>
      <c r="BF261" s="232"/>
      <c r="BG261" s="530"/>
      <c r="BH261" s="531"/>
      <c r="BJ261" s="375"/>
      <c r="BL261" s="530"/>
      <c r="BP261" s="534"/>
      <c r="BR261" s="727"/>
      <c r="BS261" s="128"/>
      <c r="BT261" s="128"/>
      <c r="BU261" s="128"/>
      <c r="BV261" s="128"/>
      <c r="BW261" s="128"/>
      <c r="BX261" s="530"/>
      <c r="CA261" s="128"/>
      <c r="CB261" s="128"/>
      <c r="EB261" s="128"/>
      <c r="EC261" s="128"/>
      <c r="ED261" s="128"/>
      <c r="EE261" s="128"/>
      <c r="EF261" s="128"/>
      <c r="EG261" s="128"/>
      <c r="EH261" s="128"/>
      <c r="EI261" s="128"/>
      <c r="EJ261" s="128"/>
      <c r="EK261" s="128"/>
      <c r="EL261" s="128"/>
      <c r="EM261" s="128"/>
      <c r="EN261" s="128"/>
      <c r="EO261" s="128"/>
      <c r="EP261" s="128"/>
      <c r="EQ261" s="128"/>
      <c r="ER261" s="128"/>
      <c r="ES261" s="128"/>
      <c r="ET261" s="128"/>
      <c r="EU261" s="128"/>
      <c r="EV261" s="128"/>
      <c r="EW261" s="128"/>
      <c r="EX261" s="128"/>
      <c r="EY261" s="128"/>
      <c r="EZ261" s="128"/>
      <c r="FA261" s="128"/>
      <c r="FB261" s="128"/>
      <c r="FC261" s="128"/>
      <c r="FD261" s="128"/>
      <c r="FE261" s="128"/>
      <c r="FF261" s="128"/>
      <c r="FG261" s="128"/>
      <c r="FH261" s="128"/>
      <c r="FI261" s="128"/>
      <c r="FJ261" s="128"/>
      <c r="FK261" s="128"/>
      <c r="FL261" s="128"/>
      <c r="FM261" s="128"/>
      <c r="FN261" s="530"/>
      <c r="FO261" s="530"/>
      <c r="FP261" s="530"/>
      <c r="FQ261" s="530"/>
      <c r="HZ261" s="128"/>
      <c r="IA261" s="128"/>
      <c r="IB261" s="128"/>
      <c r="IC261" s="128"/>
    </row>
    <row r="262" spans="56:237" x14ac:dyDescent="0.3">
      <c r="BD262" s="524"/>
      <c r="BE262" s="534"/>
      <c r="BR262" s="727"/>
      <c r="BS262" s="128"/>
      <c r="BT262" s="128"/>
      <c r="BU262" s="128"/>
      <c r="BV262" s="128"/>
      <c r="BW262" s="128"/>
      <c r="BX262" s="530"/>
      <c r="CA262" s="128"/>
      <c r="CB262" s="128"/>
      <c r="EB262" s="128"/>
      <c r="EC262" s="128"/>
      <c r="ED262" s="128"/>
      <c r="EE262" s="128"/>
      <c r="EF262" s="128"/>
      <c r="EG262" s="128"/>
      <c r="EH262" s="128"/>
      <c r="EI262" s="128"/>
      <c r="EJ262" s="128"/>
      <c r="EK262" s="128"/>
      <c r="EL262" s="128"/>
      <c r="EM262" s="128"/>
      <c r="EN262" s="128"/>
      <c r="EO262" s="128"/>
      <c r="EP262" s="128"/>
      <c r="EQ262" s="128"/>
      <c r="ER262" s="128"/>
      <c r="ES262" s="128"/>
      <c r="ET262" s="128"/>
      <c r="EU262" s="128"/>
      <c r="EV262" s="128"/>
      <c r="EW262" s="128"/>
      <c r="EX262" s="128"/>
      <c r="EY262" s="128"/>
      <c r="EZ262" s="128"/>
      <c r="FA262" s="128"/>
      <c r="FB262" s="128"/>
      <c r="FC262" s="128"/>
      <c r="FD262" s="128"/>
      <c r="FE262" s="128"/>
      <c r="FF262" s="128"/>
      <c r="FG262" s="128"/>
      <c r="FH262" s="128"/>
      <c r="FI262" s="128"/>
      <c r="FJ262" s="128"/>
      <c r="FK262" s="128"/>
      <c r="FL262" s="128"/>
      <c r="FM262" s="128"/>
      <c r="FN262" s="530"/>
      <c r="FO262" s="530"/>
      <c r="FP262" s="530"/>
      <c r="FQ262" s="530"/>
      <c r="HZ262" s="128"/>
      <c r="IA262" s="128"/>
      <c r="IB262" s="128"/>
      <c r="IC262" s="128"/>
    </row>
    <row r="263" spans="56:237" x14ac:dyDescent="0.3">
      <c r="BD263" s="524"/>
      <c r="BE263" s="534"/>
      <c r="BR263" s="727"/>
      <c r="BS263" s="128"/>
      <c r="BT263" s="128"/>
      <c r="BU263" s="128"/>
      <c r="BV263" s="128"/>
      <c r="BW263" s="128"/>
      <c r="BX263" s="530"/>
      <c r="CA263" s="128"/>
      <c r="CB263" s="128"/>
      <c r="EB263" s="128"/>
      <c r="EC263" s="128"/>
      <c r="ED263" s="128"/>
      <c r="EE263" s="128"/>
      <c r="EF263" s="128"/>
      <c r="EG263" s="128"/>
      <c r="EH263" s="128"/>
      <c r="EI263" s="128"/>
      <c r="EJ263" s="128"/>
      <c r="EK263" s="128"/>
      <c r="EL263" s="128"/>
      <c r="EM263" s="128"/>
      <c r="EN263" s="128"/>
      <c r="EO263" s="128"/>
      <c r="EP263" s="128"/>
      <c r="EQ263" s="128"/>
      <c r="ER263" s="128"/>
      <c r="ES263" s="128"/>
      <c r="ET263" s="128"/>
      <c r="EU263" s="128"/>
      <c r="EV263" s="128"/>
      <c r="EW263" s="128"/>
      <c r="EX263" s="128"/>
      <c r="EY263" s="128"/>
      <c r="EZ263" s="128"/>
      <c r="FA263" s="128"/>
      <c r="FB263" s="128"/>
      <c r="FC263" s="128"/>
      <c r="FD263" s="128"/>
      <c r="FE263" s="128"/>
      <c r="FF263" s="128"/>
      <c r="FG263" s="128"/>
      <c r="FH263" s="128"/>
      <c r="FI263" s="128"/>
      <c r="FJ263" s="128"/>
      <c r="FK263" s="128"/>
      <c r="FL263" s="128"/>
      <c r="FM263" s="128"/>
      <c r="FN263" s="530"/>
      <c r="FO263" s="530"/>
      <c r="FP263" s="530"/>
      <c r="FQ263" s="530"/>
      <c r="HZ263" s="128"/>
      <c r="IA263" s="128"/>
      <c r="IB263" s="128"/>
      <c r="IC263" s="128"/>
    </row>
    <row r="264" spans="56:237" x14ac:dyDescent="0.3">
      <c r="BD264" s="524"/>
      <c r="BE264" s="534"/>
      <c r="BR264" s="727"/>
      <c r="BS264" s="128"/>
      <c r="BT264" s="128"/>
      <c r="BU264" s="128"/>
      <c r="BV264" s="128"/>
      <c r="BW264" s="128"/>
      <c r="BX264" s="530"/>
      <c r="CA264" s="128"/>
      <c r="CB264" s="128"/>
      <c r="EC264" s="128"/>
      <c r="ED264" s="128"/>
      <c r="EE264" s="128"/>
      <c r="EF264" s="128"/>
      <c r="EG264" s="128"/>
      <c r="EH264" s="128"/>
      <c r="EI264" s="128"/>
      <c r="EJ264" s="128"/>
      <c r="EK264" s="128"/>
      <c r="EL264" s="128"/>
      <c r="EM264" s="128"/>
      <c r="EN264" s="128"/>
      <c r="EO264" s="128"/>
      <c r="EP264" s="128"/>
      <c r="FA264" s="128"/>
      <c r="FB264" s="128"/>
      <c r="FC264" s="128"/>
      <c r="FD264" s="128"/>
      <c r="FE264" s="128"/>
      <c r="FF264" s="128"/>
      <c r="FG264" s="128"/>
      <c r="FO264" s="530"/>
      <c r="FP264" s="530"/>
      <c r="FQ264" s="530"/>
      <c r="IA264" s="128"/>
      <c r="IB264" s="128"/>
      <c r="IC264" s="128"/>
    </row>
    <row r="265" spans="56:237" x14ac:dyDescent="0.3">
      <c r="BD265" s="524"/>
      <c r="BS265" s="128"/>
      <c r="BT265" s="128"/>
      <c r="BU265" s="128"/>
      <c r="BV265" s="128"/>
      <c r="BW265" s="128"/>
      <c r="BX265" s="530"/>
      <c r="CA265" s="128"/>
      <c r="CB265" s="128"/>
      <c r="ED265" s="128"/>
      <c r="EE265" s="128"/>
      <c r="EF265" s="128"/>
      <c r="EG265" s="128"/>
      <c r="EH265" s="128"/>
      <c r="EI265" s="128"/>
      <c r="EJ265" s="128"/>
      <c r="EK265" s="128"/>
      <c r="EL265" s="128"/>
      <c r="EM265" s="128"/>
      <c r="EN265" s="128"/>
      <c r="EO265" s="128"/>
      <c r="EP265" s="128"/>
      <c r="EQ265" s="128"/>
      <c r="FB265" s="128"/>
      <c r="FC265" s="128"/>
      <c r="FD265" s="128"/>
      <c r="FE265" s="128"/>
      <c r="FF265" s="128"/>
      <c r="FG265" s="128"/>
      <c r="FH265" s="128"/>
      <c r="FP265" s="128"/>
      <c r="FQ265" s="530"/>
      <c r="IC265" s="128"/>
    </row>
    <row r="266" spans="56:237" x14ac:dyDescent="0.3">
      <c r="BD266" s="524"/>
      <c r="BS266" s="128"/>
      <c r="BT266" s="128"/>
      <c r="BU266" s="128"/>
      <c r="BV266" s="128"/>
      <c r="BW266" s="128"/>
      <c r="BX266" s="530"/>
      <c r="CA266" s="128"/>
      <c r="CB266" s="128"/>
      <c r="ED266" s="128"/>
      <c r="EE266" s="128"/>
      <c r="EF266" s="128"/>
      <c r="EG266" s="128"/>
      <c r="FP266" s="128"/>
      <c r="FQ266" s="530"/>
      <c r="IC266" s="128"/>
    </row>
    <row r="267" spans="56:237" x14ac:dyDescent="0.3">
      <c r="BD267" s="524"/>
      <c r="BS267" s="128"/>
      <c r="BT267" s="128"/>
      <c r="BU267" s="128"/>
      <c r="BV267" s="128"/>
      <c r="BW267" s="128"/>
      <c r="BX267" s="530"/>
      <c r="CA267" s="128"/>
      <c r="CB267" s="128"/>
      <c r="ED267" s="128"/>
      <c r="EE267" s="128"/>
      <c r="EF267" s="128"/>
      <c r="EG267" s="128"/>
      <c r="FP267" s="128"/>
      <c r="FQ267" s="530"/>
      <c r="IC267" s="128"/>
    </row>
    <row r="268" spans="56:237" x14ac:dyDescent="0.3">
      <c r="BD268" s="524"/>
      <c r="BT268" s="128"/>
      <c r="BU268" s="128"/>
      <c r="BV268" s="128"/>
      <c r="BW268" s="128"/>
      <c r="BX268" s="530"/>
      <c r="FP268" s="128"/>
      <c r="FQ268" s="530"/>
      <c r="IC268" s="128"/>
    </row>
    <row r="269" spans="56:237" x14ac:dyDescent="0.3">
      <c r="BD269" s="524"/>
      <c r="BT269" s="128"/>
      <c r="BU269" s="128"/>
      <c r="BV269" s="128"/>
      <c r="BW269" s="128"/>
      <c r="BX269" s="530"/>
    </row>
    <row r="270" spans="56:237" x14ac:dyDescent="0.3">
      <c r="BD270" s="524"/>
      <c r="BT270" s="128"/>
      <c r="BU270" s="128"/>
      <c r="BV270" s="128"/>
      <c r="BW270" s="128"/>
      <c r="BX270" s="530"/>
    </row>
    <row r="271" spans="56:237" x14ac:dyDescent="0.3">
      <c r="BD271" s="524"/>
      <c r="BT271" s="128"/>
      <c r="BU271" s="128"/>
      <c r="BV271" s="128"/>
      <c r="BW271" s="128"/>
      <c r="BX271" s="530"/>
    </row>
    <row r="272" spans="56:237" x14ac:dyDescent="0.3">
      <c r="BD272" s="524"/>
      <c r="BT272" s="128"/>
      <c r="BU272" s="128"/>
      <c r="BV272" s="128"/>
      <c r="BW272" s="128"/>
      <c r="BX272" s="530"/>
    </row>
    <row r="273" spans="56:76" x14ac:dyDescent="0.3">
      <c r="BD273" s="524"/>
      <c r="BT273" s="128"/>
      <c r="BU273" s="128"/>
      <c r="BV273" s="128"/>
      <c r="BW273" s="128"/>
      <c r="BX273" s="530"/>
    </row>
    <row r="274" spans="56:76" x14ac:dyDescent="0.3">
      <c r="BD274" s="524"/>
      <c r="BT274" s="128"/>
      <c r="BU274" s="128"/>
      <c r="BV274" s="128"/>
      <c r="BW274" s="128"/>
      <c r="BX274" s="530"/>
    </row>
    <row r="275" spans="56:76" x14ac:dyDescent="0.3">
      <c r="BD275" s="524"/>
      <c r="BT275" s="128"/>
      <c r="BU275" s="128"/>
      <c r="BV275" s="128"/>
      <c r="BW275" s="128"/>
      <c r="BX275" s="530"/>
    </row>
    <row r="276" spans="56:76" x14ac:dyDescent="0.3">
      <c r="BD276" s="534"/>
      <c r="BT276" s="128"/>
      <c r="BU276" s="128"/>
      <c r="BV276" s="128"/>
      <c r="BW276" s="128"/>
      <c r="BX276" s="530"/>
    </row>
    <row r="277" spans="56:76" x14ac:dyDescent="0.3">
      <c r="BT277" s="128"/>
      <c r="BU277" s="128"/>
      <c r="BV277" s="128"/>
      <c r="BW277" s="128"/>
      <c r="BX277" s="530"/>
    </row>
    <row r="278" spans="56:76" x14ac:dyDescent="0.3">
      <c r="BT278" s="128"/>
      <c r="BU278" s="128"/>
      <c r="BV278" s="128"/>
      <c r="BW278" s="128"/>
      <c r="BX278" s="530"/>
    </row>
    <row r="279" spans="56:76" x14ac:dyDescent="0.3">
      <c r="BT279" s="128"/>
      <c r="BU279" s="128"/>
      <c r="BV279" s="128"/>
      <c r="BW279" s="128"/>
      <c r="BX279" s="530"/>
    </row>
    <row r="280" spans="56:76" x14ac:dyDescent="0.3">
      <c r="BT280" s="128"/>
      <c r="BU280" s="128"/>
      <c r="BV280" s="128"/>
      <c r="BW280" s="128"/>
      <c r="BX280" s="530"/>
    </row>
    <row r="281" spans="56:76" x14ac:dyDescent="0.3">
      <c r="BT281" s="128"/>
      <c r="BU281" s="128"/>
      <c r="BV281" s="128"/>
      <c r="BW281" s="128"/>
      <c r="BX281" s="530"/>
    </row>
    <row r="282" spans="56:76" x14ac:dyDescent="0.3">
      <c r="BT282" s="128"/>
      <c r="BU282" s="128"/>
      <c r="BV282" s="128"/>
      <c r="BW282" s="128"/>
      <c r="BX282" s="530"/>
    </row>
    <row r="283" spans="56:76" x14ac:dyDescent="0.3">
      <c r="BT283" s="128"/>
      <c r="BU283" s="128"/>
      <c r="BV283" s="128"/>
      <c r="BW283" s="128"/>
      <c r="BX283" s="530"/>
    </row>
    <row r="284" spans="56:76" x14ac:dyDescent="0.3">
      <c r="BT284" s="128"/>
      <c r="BU284" s="128"/>
      <c r="BV284" s="128"/>
      <c r="BW284" s="128"/>
      <c r="BX284" s="530"/>
    </row>
    <row r="285" spans="56:76" x14ac:dyDescent="0.3">
      <c r="BT285" s="128"/>
      <c r="BU285" s="128"/>
      <c r="BV285" s="128"/>
      <c r="BW285" s="128"/>
      <c r="BX285" s="530"/>
    </row>
    <row r="286" spans="56:76" x14ac:dyDescent="0.3">
      <c r="BT286" s="128"/>
      <c r="BU286" s="128"/>
      <c r="BV286" s="128"/>
      <c r="BW286" s="128"/>
      <c r="BX286" s="530"/>
    </row>
    <row r="287" spans="56:76" x14ac:dyDescent="0.3">
      <c r="BT287" s="128"/>
      <c r="BU287" s="128"/>
      <c r="BV287" s="128"/>
      <c r="BW287" s="128"/>
      <c r="BX287" s="530"/>
    </row>
    <row r="288" spans="56:76" x14ac:dyDescent="0.3">
      <c r="BT288" s="128"/>
      <c r="BU288" s="128"/>
      <c r="BV288" s="128"/>
      <c r="BW288" s="128"/>
      <c r="BX288" s="530"/>
    </row>
    <row r="289" spans="72:76" x14ac:dyDescent="0.3">
      <c r="BT289" s="128"/>
      <c r="BU289" s="128"/>
      <c r="BV289" s="128"/>
      <c r="BW289" s="128"/>
      <c r="BX289" s="530"/>
    </row>
    <row r="290" spans="72:76" x14ac:dyDescent="0.3">
      <c r="BT290" s="128"/>
      <c r="BU290" s="128"/>
      <c r="BV290" s="128"/>
      <c r="BW290" s="128"/>
      <c r="BX290" s="530"/>
    </row>
    <row r="291" spans="72:76" x14ac:dyDescent="0.3">
      <c r="BT291" s="128"/>
      <c r="BU291" s="128"/>
      <c r="BV291" s="128"/>
      <c r="BW291" s="128"/>
      <c r="BX291" s="530"/>
    </row>
    <row r="292" spans="72:76" x14ac:dyDescent="0.3">
      <c r="BT292" s="128"/>
      <c r="BU292" s="128"/>
      <c r="BV292" s="128"/>
      <c r="BW292" s="128"/>
      <c r="BX292" s="530"/>
    </row>
    <row r="293" spans="72:76" x14ac:dyDescent="0.3">
      <c r="BT293" s="128"/>
      <c r="BU293" s="128"/>
      <c r="BV293" s="128"/>
      <c r="BW293" s="128"/>
      <c r="BX293" s="530"/>
    </row>
    <row r="294" spans="72:76" x14ac:dyDescent="0.3">
      <c r="BT294" s="128"/>
      <c r="BU294" s="128"/>
      <c r="BV294" s="128"/>
      <c r="BW294" s="128"/>
      <c r="BX294" s="530"/>
    </row>
    <row r="295" spans="72:76" x14ac:dyDescent="0.3">
      <c r="BT295" s="128"/>
      <c r="BU295" s="128"/>
      <c r="BV295" s="128"/>
      <c r="BW295" s="128"/>
      <c r="BX295" s="530"/>
    </row>
    <row r="296" spans="72:76" x14ac:dyDescent="0.3">
      <c r="BT296" s="128"/>
      <c r="BU296" s="128"/>
      <c r="BV296" s="128"/>
      <c r="BW296" s="128"/>
      <c r="BX296" s="530"/>
    </row>
    <row r="297" spans="72:76" x14ac:dyDescent="0.3">
      <c r="BT297" s="128"/>
      <c r="BU297" s="128"/>
      <c r="BV297" s="128"/>
      <c r="BW297" s="128"/>
      <c r="BX297" s="530"/>
    </row>
    <row r="298" spans="72:76" x14ac:dyDescent="0.3">
      <c r="BT298" s="128"/>
      <c r="BU298" s="128"/>
      <c r="BV298" s="128"/>
      <c r="BW298" s="128"/>
      <c r="BX298" s="530"/>
    </row>
    <row r="299" spans="72:76" x14ac:dyDescent="0.3">
      <c r="BT299" s="128"/>
      <c r="BU299" s="128"/>
      <c r="BV299" s="128"/>
      <c r="BW299" s="128"/>
      <c r="BX299" s="530"/>
    </row>
    <row r="300" spans="72:76" x14ac:dyDescent="0.3">
      <c r="BT300" s="128"/>
      <c r="BU300" s="128"/>
      <c r="BV300" s="128"/>
      <c r="BW300" s="128"/>
      <c r="BX300" s="530"/>
    </row>
    <row r="301" spans="72:76" x14ac:dyDescent="0.3">
      <c r="BT301" s="128"/>
      <c r="BU301" s="128"/>
      <c r="BV301" s="128"/>
      <c r="BW301" s="128"/>
      <c r="BX301" s="530"/>
    </row>
    <row r="302" spans="72:76" x14ac:dyDescent="0.3">
      <c r="BT302" s="128"/>
      <c r="BU302" s="128"/>
      <c r="BV302" s="128"/>
      <c r="BW302" s="128"/>
      <c r="BX302" s="530"/>
    </row>
    <row r="303" spans="72:76" x14ac:dyDescent="0.3">
      <c r="BT303" s="128"/>
      <c r="BU303" s="128"/>
      <c r="BV303" s="128"/>
      <c r="BW303" s="128"/>
      <c r="BX303" s="530"/>
    </row>
    <row r="304" spans="72:76" x14ac:dyDescent="0.3">
      <c r="BT304" s="128"/>
      <c r="BU304" s="128"/>
      <c r="BV304" s="128"/>
      <c r="BW304" s="128"/>
      <c r="BX304" s="530"/>
    </row>
    <row r="305" spans="72:76" x14ac:dyDescent="0.3">
      <c r="BT305" s="128"/>
      <c r="BU305" s="128"/>
      <c r="BV305" s="128"/>
      <c r="BW305" s="128"/>
      <c r="BX305" s="530"/>
    </row>
    <row r="306" spans="72:76" x14ac:dyDescent="0.3">
      <c r="BT306" s="128"/>
      <c r="BU306" s="128"/>
      <c r="BV306" s="128"/>
      <c r="BW306" s="128"/>
      <c r="BX306" s="530"/>
    </row>
    <row r="307" spans="72:76" x14ac:dyDescent="0.3">
      <c r="BT307" s="128"/>
      <c r="BU307" s="128"/>
      <c r="BV307" s="128"/>
      <c r="BW307" s="128"/>
      <c r="BX307" s="530"/>
    </row>
    <row r="308" spans="72:76" x14ac:dyDescent="0.3">
      <c r="BT308" s="128"/>
      <c r="BU308" s="128"/>
      <c r="BV308" s="128"/>
      <c r="BW308" s="128"/>
      <c r="BX308" s="530"/>
    </row>
    <row r="309" spans="72:76" x14ac:dyDescent="0.3">
      <c r="BT309" s="128"/>
      <c r="BU309" s="128"/>
      <c r="BV309" s="128"/>
      <c r="BW309" s="128"/>
      <c r="BX309" s="530"/>
    </row>
    <row r="310" spans="72:76" x14ac:dyDescent="0.3">
      <c r="BT310" s="128"/>
      <c r="BU310" s="128"/>
      <c r="BV310" s="128"/>
      <c r="BW310" s="128"/>
      <c r="BX310" s="530"/>
    </row>
    <row r="311" spans="72:76" x14ac:dyDescent="0.3">
      <c r="BT311" s="128"/>
      <c r="BU311" s="128"/>
      <c r="BV311" s="128"/>
      <c r="BW311" s="128"/>
      <c r="BX311" s="530"/>
    </row>
    <row r="312" spans="72:76" x14ac:dyDescent="0.3">
      <c r="BT312" s="128"/>
      <c r="BU312" s="128"/>
      <c r="BV312" s="128"/>
      <c r="BW312" s="128"/>
      <c r="BX312" s="530"/>
    </row>
    <row r="313" spans="72:76" x14ac:dyDescent="0.3">
      <c r="BT313" s="128"/>
      <c r="BU313" s="128"/>
      <c r="BV313" s="128"/>
      <c r="BW313" s="128"/>
      <c r="BX313" s="530"/>
    </row>
    <row r="314" spans="72:76" x14ac:dyDescent="0.3">
      <c r="BT314" s="128"/>
      <c r="BU314" s="128"/>
      <c r="BV314" s="128"/>
      <c r="BW314" s="128"/>
      <c r="BX314" s="530"/>
    </row>
    <row r="315" spans="72:76" x14ac:dyDescent="0.3">
      <c r="BT315" s="128"/>
      <c r="BU315" s="128"/>
      <c r="BV315" s="128"/>
      <c r="BW315" s="128"/>
      <c r="BX315" s="530"/>
    </row>
    <row r="316" spans="72:76" x14ac:dyDescent="0.3">
      <c r="BT316" s="128"/>
      <c r="BU316" s="128"/>
      <c r="BV316" s="128"/>
      <c r="BW316" s="128"/>
      <c r="BX316" s="530"/>
    </row>
    <row r="317" spans="72:76" x14ac:dyDescent="0.3">
      <c r="BT317" s="128"/>
      <c r="BU317" s="128"/>
      <c r="BV317" s="128"/>
      <c r="BW317" s="128"/>
      <c r="BX317" s="530"/>
    </row>
    <row r="318" spans="72:76" x14ac:dyDescent="0.3">
      <c r="BT318" s="128"/>
      <c r="BU318" s="128"/>
      <c r="BV318" s="128"/>
      <c r="BW318" s="128"/>
      <c r="BX318" s="530"/>
    </row>
    <row r="319" spans="72:76" x14ac:dyDescent="0.3">
      <c r="BT319" s="128"/>
      <c r="BU319" s="128"/>
      <c r="BV319" s="128"/>
      <c r="BW319" s="128"/>
      <c r="BX319" s="530"/>
    </row>
    <row r="320" spans="72:76" x14ac:dyDescent="0.3">
      <c r="BT320" s="128"/>
      <c r="BU320" s="128"/>
      <c r="BV320" s="128"/>
      <c r="BW320" s="128"/>
      <c r="BX320" s="530"/>
    </row>
    <row r="321" spans="72:76" x14ac:dyDescent="0.3">
      <c r="BT321" s="128"/>
      <c r="BU321" s="128"/>
      <c r="BV321" s="128"/>
      <c r="BW321" s="128"/>
      <c r="BX321" s="530"/>
    </row>
    <row r="322" spans="72:76" x14ac:dyDescent="0.3">
      <c r="BT322" s="128"/>
      <c r="BU322" s="128"/>
      <c r="BV322" s="128"/>
      <c r="BW322" s="128"/>
      <c r="BX322" s="530"/>
    </row>
    <row r="323" spans="72:76" x14ac:dyDescent="0.3">
      <c r="BT323" s="128"/>
      <c r="BU323" s="128"/>
      <c r="BV323" s="128"/>
      <c r="BW323" s="128"/>
      <c r="BX323" s="530"/>
    </row>
    <row r="324" spans="72:76" x14ac:dyDescent="0.3">
      <c r="BT324" s="128"/>
      <c r="BU324" s="128"/>
      <c r="BV324" s="128"/>
      <c r="BW324" s="128"/>
      <c r="BX324" s="530"/>
    </row>
    <row r="325" spans="72:76" x14ac:dyDescent="0.3">
      <c r="BT325" s="128"/>
      <c r="BU325" s="128"/>
      <c r="BV325" s="128"/>
      <c r="BW325" s="128"/>
      <c r="BX325" s="530"/>
    </row>
    <row r="326" spans="72:76" x14ac:dyDescent="0.3">
      <c r="BT326" s="128"/>
      <c r="BU326" s="128"/>
      <c r="BV326" s="128"/>
      <c r="BW326" s="128"/>
      <c r="BX326" s="530"/>
    </row>
    <row r="327" spans="72:76" x14ac:dyDescent="0.3">
      <c r="BT327" s="128"/>
      <c r="BU327" s="128"/>
      <c r="BV327" s="128"/>
      <c r="BW327" s="128"/>
      <c r="BX327" s="530"/>
    </row>
    <row r="328" spans="72:76" x14ac:dyDescent="0.3">
      <c r="BT328" s="128"/>
      <c r="BU328" s="128"/>
      <c r="BV328" s="128"/>
      <c r="BW328" s="128"/>
      <c r="BX328" s="530"/>
    </row>
    <row r="329" spans="72:76" x14ac:dyDescent="0.3">
      <c r="BT329" s="128"/>
      <c r="BU329" s="128"/>
      <c r="BV329" s="128"/>
      <c r="BW329" s="128"/>
      <c r="BX329" s="530"/>
    </row>
    <row r="330" spans="72:76" x14ac:dyDescent="0.3">
      <c r="BT330" s="128"/>
      <c r="BU330" s="128"/>
      <c r="BV330" s="128"/>
      <c r="BW330" s="128"/>
      <c r="BX330" s="530"/>
    </row>
    <row r="331" spans="72:76" x14ac:dyDescent="0.3">
      <c r="BT331" s="128"/>
      <c r="BU331" s="128"/>
      <c r="BV331" s="128"/>
      <c r="BW331" s="128"/>
      <c r="BX331" s="530"/>
    </row>
    <row r="332" spans="72:76" x14ac:dyDescent="0.3">
      <c r="BT332" s="128"/>
      <c r="BU332" s="128"/>
      <c r="BV332" s="128"/>
      <c r="BW332" s="128"/>
      <c r="BX332" s="530"/>
    </row>
    <row r="333" spans="72:76" x14ac:dyDescent="0.3">
      <c r="BT333" s="128"/>
      <c r="BU333" s="128"/>
      <c r="BV333" s="128"/>
      <c r="BW333" s="128"/>
      <c r="BX333" s="530"/>
    </row>
    <row r="334" spans="72:76" x14ac:dyDescent="0.3">
      <c r="BT334" s="128"/>
      <c r="BU334" s="128"/>
      <c r="BV334" s="128"/>
      <c r="BW334" s="128"/>
      <c r="BX334" s="530"/>
    </row>
    <row r="335" spans="72:76" x14ac:dyDescent="0.3">
      <c r="BT335" s="128"/>
      <c r="BU335" s="128"/>
      <c r="BV335" s="128"/>
      <c r="BW335" s="128"/>
      <c r="BX335" s="530"/>
    </row>
    <row r="336" spans="72:76" x14ac:dyDescent="0.3">
      <c r="BT336" s="128"/>
      <c r="BU336" s="128"/>
      <c r="BV336" s="128"/>
      <c r="BW336" s="128"/>
      <c r="BX336" s="530"/>
    </row>
    <row r="337" spans="72:76" x14ac:dyDescent="0.3">
      <c r="BT337" s="128"/>
      <c r="BU337" s="128"/>
      <c r="BV337" s="128"/>
      <c r="BW337" s="128"/>
      <c r="BX337" s="530"/>
    </row>
    <row r="338" spans="72:76" x14ac:dyDescent="0.3">
      <c r="BT338" s="128"/>
      <c r="BU338" s="128"/>
      <c r="BV338" s="128"/>
      <c r="BW338" s="128"/>
      <c r="BX338" s="530"/>
    </row>
    <row r="339" spans="72:76" x14ac:dyDescent="0.3">
      <c r="BT339" s="128"/>
      <c r="BU339" s="128"/>
      <c r="BV339" s="128"/>
      <c r="BW339" s="128"/>
      <c r="BX339" s="530"/>
    </row>
    <row r="340" spans="72:76" x14ac:dyDescent="0.3">
      <c r="BT340" s="128"/>
      <c r="BU340" s="128"/>
      <c r="BV340" s="128"/>
      <c r="BW340" s="128"/>
      <c r="BX340" s="530"/>
    </row>
    <row r="341" spans="72:76" x14ac:dyDescent="0.3">
      <c r="BT341" s="128"/>
      <c r="BU341" s="128"/>
      <c r="BV341" s="128"/>
      <c r="BW341" s="128"/>
      <c r="BX341" s="530"/>
    </row>
    <row r="342" spans="72:76" x14ac:dyDescent="0.3">
      <c r="BT342" s="128"/>
      <c r="BU342" s="128"/>
      <c r="BV342" s="128"/>
      <c r="BW342" s="128"/>
      <c r="BX342" s="530"/>
    </row>
    <row r="343" spans="72:76" x14ac:dyDescent="0.3">
      <c r="BT343" s="128"/>
      <c r="BU343" s="128"/>
      <c r="BV343" s="128"/>
      <c r="BW343" s="128"/>
      <c r="BX343" s="530"/>
    </row>
    <row r="344" spans="72:76" x14ac:dyDescent="0.3">
      <c r="BT344" s="128"/>
      <c r="BU344" s="128"/>
      <c r="BV344" s="128"/>
      <c r="BW344" s="128"/>
      <c r="BX344" s="530"/>
    </row>
    <row r="345" spans="72:76" x14ac:dyDescent="0.3">
      <c r="BT345" s="128"/>
      <c r="BU345" s="128"/>
      <c r="BV345" s="128"/>
      <c r="BW345" s="128"/>
      <c r="BX345" s="530"/>
    </row>
    <row r="346" spans="72:76" x14ac:dyDescent="0.3">
      <c r="BT346" s="128"/>
      <c r="BU346" s="128"/>
      <c r="BV346" s="128"/>
      <c r="BW346" s="128"/>
      <c r="BX346" s="530"/>
    </row>
    <row r="347" spans="72:76" x14ac:dyDescent="0.3">
      <c r="BT347" s="128"/>
      <c r="BU347" s="128"/>
      <c r="BV347" s="128"/>
      <c r="BW347" s="128"/>
      <c r="BX347" s="530"/>
    </row>
    <row r="348" spans="72:76" x14ac:dyDescent="0.3">
      <c r="BT348" s="128"/>
      <c r="BU348" s="128"/>
      <c r="BV348" s="128"/>
      <c r="BW348" s="128"/>
      <c r="BX348" s="530"/>
    </row>
    <row r="349" spans="72:76" x14ac:dyDescent="0.3">
      <c r="BT349" s="128"/>
      <c r="BU349" s="128"/>
      <c r="BV349" s="128"/>
      <c r="BW349" s="128"/>
      <c r="BX349" s="530"/>
    </row>
    <row r="350" spans="72:76" x14ac:dyDescent="0.3">
      <c r="BT350" s="128"/>
      <c r="BU350" s="128"/>
      <c r="BV350" s="128"/>
      <c r="BW350" s="128"/>
      <c r="BX350" s="530"/>
    </row>
    <row r="351" spans="72:76" x14ac:dyDescent="0.3">
      <c r="BT351" s="128"/>
      <c r="BU351" s="128"/>
      <c r="BV351" s="128"/>
      <c r="BW351" s="128"/>
      <c r="BX351" s="530"/>
    </row>
    <row r="352" spans="72:76" x14ac:dyDescent="0.3">
      <c r="BT352" s="128"/>
      <c r="BU352" s="128"/>
      <c r="BV352" s="128"/>
      <c r="BW352" s="128"/>
      <c r="BX352" s="530"/>
    </row>
    <row r="353" spans="72:76" x14ac:dyDescent="0.3">
      <c r="BT353" s="128"/>
      <c r="BU353" s="128"/>
      <c r="BV353" s="128"/>
      <c r="BW353" s="128"/>
      <c r="BX353" s="530"/>
    </row>
    <row r="354" spans="72:76" x14ac:dyDescent="0.3">
      <c r="BT354" s="128"/>
      <c r="BU354" s="128"/>
      <c r="BV354" s="128"/>
      <c r="BW354" s="128"/>
      <c r="BX354" s="530"/>
    </row>
    <row r="355" spans="72:76" x14ac:dyDescent="0.3">
      <c r="BT355" s="128"/>
      <c r="BU355" s="128"/>
      <c r="BV355" s="128"/>
      <c r="BW355" s="128"/>
      <c r="BX355" s="530"/>
    </row>
    <row r="356" spans="72:76" x14ac:dyDescent="0.3">
      <c r="BT356" s="128"/>
      <c r="BU356" s="128"/>
      <c r="BV356" s="128"/>
      <c r="BW356" s="128"/>
      <c r="BX356" s="530"/>
    </row>
    <row r="357" spans="72:76" x14ac:dyDescent="0.3">
      <c r="BT357" s="128"/>
      <c r="BU357" s="128"/>
      <c r="BV357" s="128"/>
      <c r="BW357" s="128"/>
      <c r="BX357" s="530"/>
    </row>
    <row r="358" spans="72:76" x14ac:dyDescent="0.3">
      <c r="BT358" s="128"/>
      <c r="BU358" s="128"/>
      <c r="BV358" s="128"/>
      <c r="BW358" s="128"/>
      <c r="BX358" s="530"/>
    </row>
    <row r="359" spans="72:76" x14ac:dyDescent="0.3">
      <c r="BT359" s="128"/>
      <c r="BU359" s="128"/>
      <c r="BV359" s="128"/>
      <c r="BW359" s="128"/>
      <c r="BX359" s="530"/>
    </row>
    <row r="360" spans="72:76" x14ac:dyDescent="0.3">
      <c r="BT360" s="128"/>
      <c r="BU360" s="128"/>
      <c r="BV360" s="128"/>
      <c r="BW360" s="128"/>
      <c r="BX360" s="530"/>
    </row>
    <row r="361" spans="72:76" x14ac:dyDescent="0.3">
      <c r="BT361" s="128"/>
      <c r="BU361" s="128"/>
      <c r="BV361" s="128"/>
      <c r="BW361" s="128"/>
      <c r="BX361" s="530"/>
    </row>
    <row r="362" spans="72:76" x14ac:dyDescent="0.3">
      <c r="BT362" s="128"/>
      <c r="BU362" s="128"/>
      <c r="BV362" s="128"/>
      <c r="BW362" s="128"/>
      <c r="BX362" s="530"/>
    </row>
    <row r="363" spans="72:76" x14ac:dyDescent="0.3">
      <c r="BT363" s="128"/>
      <c r="BU363" s="128"/>
      <c r="BV363" s="128"/>
      <c r="BW363" s="128"/>
      <c r="BX363" s="530"/>
    </row>
    <row r="364" spans="72:76" x14ac:dyDescent="0.3">
      <c r="BT364" s="128"/>
      <c r="BU364" s="128"/>
      <c r="BV364" s="128"/>
      <c r="BW364" s="128"/>
      <c r="BX364" s="530"/>
    </row>
    <row r="365" spans="72:76" x14ac:dyDescent="0.3">
      <c r="BT365" s="128"/>
      <c r="BU365" s="128"/>
      <c r="BV365" s="128"/>
      <c r="BW365" s="128"/>
      <c r="BX365" s="530"/>
    </row>
    <row r="366" spans="72:76" x14ac:dyDescent="0.3">
      <c r="BT366" s="128"/>
      <c r="BU366" s="128"/>
      <c r="BV366" s="128"/>
      <c r="BW366" s="128"/>
      <c r="BX366" s="530"/>
    </row>
    <row r="367" spans="72:76" x14ac:dyDescent="0.3">
      <c r="BT367" s="128"/>
      <c r="BU367" s="128"/>
      <c r="BV367" s="128"/>
      <c r="BW367" s="128"/>
      <c r="BX367" s="530"/>
    </row>
    <row r="368" spans="72:76" x14ac:dyDescent="0.3">
      <c r="BT368" s="128"/>
      <c r="BU368" s="128"/>
      <c r="BV368" s="128"/>
      <c r="BW368" s="128"/>
      <c r="BX368" s="530"/>
    </row>
    <row r="369" spans="72:76" x14ac:dyDescent="0.3">
      <c r="BT369" s="128"/>
      <c r="BU369" s="128"/>
      <c r="BV369" s="128"/>
      <c r="BW369" s="128"/>
      <c r="BX369" s="530"/>
    </row>
    <row r="370" spans="72:76" x14ac:dyDescent="0.3">
      <c r="BT370" s="128"/>
      <c r="BU370" s="128"/>
      <c r="BV370" s="128"/>
      <c r="BW370" s="128"/>
      <c r="BX370" s="530"/>
    </row>
    <row r="371" spans="72:76" x14ac:dyDescent="0.3">
      <c r="BT371" s="128"/>
      <c r="BU371" s="128"/>
      <c r="BV371" s="128"/>
      <c r="BW371" s="128"/>
      <c r="BX371" s="530"/>
    </row>
    <row r="372" spans="72:76" x14ac:dyDescent="0.3">
      <c r="BT372" s="128"/>
      <c r="BU372" s="128"/>
      <c r="BV372" s="128"/>
      <c r="BW372" s="128"/>
      <c r="BX372" s="530"/>
    </row>
    <row r="373" spans="72:76" x14ac:dyDescent="0.3">
      <c r="BT373" s="128"/>
      <c r="BU373" s="128"/>
      <c r="BV373" s="128"/>
      <c r="BW373" s="128"/>
      <c r="BX373" s="530"/>
    </row>
    <row r="374" spans="72:76" x14ac:dyDescent="0.3">
      <c r="BT374" s="128"/>
      <c r="BU374" s="128"/>
      <c r="BV374" s="128"/>
      <c r="BW374" s="128"/>
      <c r="BX374" s="530"/>
    </row>
    <row r="375" spans="72:76" x14ac:dyDescent="0.3">
      <c r="BT375" s="128"/>
      <c r="BU375" s="128"/>
      <c r="BV375" s="128"/>
      <c r="BW375" s="128"/>
      <c r="BX375" s="530"/>
    </row>
    <row r="376" spans="72:76" x14ac:dyDescent="0.3">
      <c r="BT376" s="128"/>
      <c r="BU376" s="128"/>
      <c r="BV376" s="128"/>
      <c r="BW376" s="128"/>
      <c r="BX376" s="530"/>
    </row>
    <row r="377" spans="72:76" x14ac:dyDescent="0.3">
      <c r="BT377" s="128"/>
      <c r="BU377" s="128"/>
      <c r="BV377" s="128"/>
      <c r="BW377" s="128"/>
      <c r="BX377" s="530"/>
    </row>
    <row r="378" spans="72:76" x14ac:dyDescent="0.3">
      <c r="BT378" s="128"/>
      <c r="BU378" s="128"/>
      <c r="BV378" s="128"/>
      <c r="BW378" s="128"/>
      <c r="BX378" s="530"/>
    </row>
    <row r="379" spans="72:76" x14ac:dyDescent="0.3">
      <c r="BT379" s="128"/>
      <c r="BU379" s="128"/>
      <c r="BV379" s="128"/>
      <c r="BW379" s="128"/>
      <c r="BX379" s="530"/>
    </row>
    <row r="380" spans="72:76" x14ac:dyDescent="0.3">
      <c r="BT380" s="128"/>
      <c r="BU380" s="128"/>
      <c r="BV380" s="128"/>
      <c r="BW380" s="128"/>
      <c r="BX380" s="530"/>
    </row>
    <row r="381" spans="72:76" x14ac:dyDescent="0.3">
      <c r="BT381" s="128"/>
      <c r="BU381" s="128"/>
      <c r="BV381" s="128"/>
      <c r="BW381" s="128"/>
      <c r="BX381" s="530"/>
    </row>
    <row r="382" spans="72:76" x14ac:dyDescent="0.3">
      <c r="BT382" s="128"/>
      <c r="BU382" s="128"/>
      <c r="BV382" s="128"/>
      <c r="BW382" s="128"/>
      <c r="BX382" s="530"/>
    </row>
    <row r="383" spans="72:76" x14ac:dyDescent="0.3">
      <c r="BT383" s="128"/>
      <c r="BU383" s="128"/>
      <c r="BV383" s="128"/>
      <c r="BW383" s="128"/>
      <c r="BX383" s="530"/>
    </row>
    <row r="384" spans="72:76" x14ac:dyDescent="0.3">
      <c r="BT384" s="128"/>
      <c r="BU384" s="128"/>
      <c r="BV384" s="128"/>
      <c r="BW384" s="128"/>
      <c r="BX384" s="530"/>
    </row>
    <row r="385" spans="72:76" x14ac:dyDescent="0.3">
      <c r="BT385" s="128"/>
      <c r="BU385" s="128"/>
      <c r="BV385" s="128"/>
      <c r="BW385" s="128"/>
      <c r="BX385" s="530"/>
    </row>
    <row r="386" spans="72:76" x14ac:dyDescent="0.3">
      <c r="BT386" s="128"/>
      <c r="BU386" s="128"/>
      <c r="BV386" s="128"/>
      <c r="BW386" s="128"/>
      <c r="BX386" s="530"/>
    </row>
    <row r="387" spans="72:76" x14ac:dyDescent="0.3">
      <c r="BT387" s="128"/>
      <c r="BU387" s="128"/>
      <c r="BV387" s="128"/>
      <c r="BW387" s="128"/>
      <c r="BX387" s="530"/>
    </row>
    <row r="388" spans="72:76" x14ac:dyDescent="0.3">
      <c r="BT388" s="128"/>
      <c r="BU388" s="128"/>
      <c r="BV388" s="128"/>
      <c r="BW388" s="128"/>
      <c r="BX388" s="530"/>
    </row>
    <row r="389" spans="72:76" x14ac:dyDescent="0.3">
      <c r="BT389" s="128"/>
      <c r="BU389" s="128"/>
      <c r="BV389" s="128"/>
      <c r="BW389" s="128"/>
      <c r="BX389" s="530"/>
    </row>
    <row r="390" spans="72:76" x14ac:dyDescent="0.3">
      <c r="BT390" s="128"/>
      <c r="BU390" s="128"/>
      <c r="BV390" s="128"/>
      <c r="BW390" s="128"/>
      <c r="BX390" s="530"/>
    </row>
    <row r="391" spans="72:76" x14ac:dyDescent="0.3">
      <c r="BT391" s="128"/>
      <c r="BU391" s="128"/>
      <c r="BV391" s="128"/>
      <c r="BW391" s="128"/>
      <c r="BX391" s="530"/>
    </row>
    <row r="392" spans="72:76" x14ac:dyDescent="0.3">
      <c r="BT392" s="128"/>
      <c r="BU392" s="128"/>
      <c r="BV392" s="128"/>
      <c r="BW392" s="128"/>
      <c r="BX392" s="530"/>
    </row>
    <row r="393" spans="72:76" x14ac:dyDescent="0.3">
      <c r="BT393" s="128"/>
      <c r="BU393" s="128"/>
      <c r="BV393" s="128"/>
      <c r="BW393" s="128"/>
      <c r="BX393" s="530"/>
    </row>
    <row r="394" spans="72:76" x14ac:dyDescent="0.3">
      <c r="BT394" s="128"/>
      <c r="BU394" s="128"/>
      <c r="BV394" s="128"/>
      <c r="BW394" s="128"/>
      <c r="BX394" s="530"/>
    </row>
    <row r="395" spans="72:76" x14ac:dyDescent="0.3">
      <c r="BT395" s="128"/>
      <c r="BU395" s="128"/>
      <c r="BV395" s="128"/>
      <c r="BW395" s="128"/>
      <c r="BX395" s="530"/>
    </row>
    <row r="396" spans="72:76" x14ac:dyDescent="0.3">
      <c r="BT396" s="128"/>
      <c r="BU396" s="128"/>
      <c r="BV396" s="128"/>
      <c r="BW396" s="128"/>
      <c r="BX396" s="530"/>
    </row>
    <row r="397" spans="72:76" x14ac:dyDescent="0.3">
      <c r="BT397" s="128"/>
      <c r="BU397" s="128"/>
      <c r="BV397" s="128"/>
      <c r="BW397" s="128"/>
      <c r="BX397" s="530"/>
    </row>
    <row r="398" spans="72:76" x14ac:dyDescent="0.3">
      <c r="BT398" s="128"/>
      <c r="BU398" s="128"/>
      <c r="BV398" s="128"/>
      <c r="BW398" s="128"/>
      <c r="BX398" s="530"/>
    </row>
    <row r="399" spans="72:76" x14ac:dyDescent="0.3">
      <c r="BT399" s="128"/>
      <c r="BU399" s="128"/>
      <c r="BV399" s="128"/>
      <c r="BW399" s="128"/>
      <c r="BX399" s="530"/>
    </row>
    <row r="400" spans="72:76" x14ac:dyDescent="0.3">
      <c r="BT400" s="128"/>
      <c r="BU400" s="128"/>
      <c r="BV400" s="128"/>
      <c r="BW400" s="128"/>
      <c r="BX400" s="530"/>
    </row>
    <row r="401" spans="72:76" x14ac:dyDescent="0.3">
      <c r="BT401" s="128"/>
      <c r="BU401" s="128"/>
      <c r="BV401" s="128"/>
      <c r="BW401" s="128"/>
      <c r="BX401" s="530"/>
    </row>
    <row r="402" spans="72:76" x14ac:dyDescent="0.3">
      <c r="BT402" s="128"/>
      <c r="BU402" s="128"/>
      <c r="BV402" s="128"/>
      <c r="BW402" s="128"/>
      <c r="BX402" s="530"/>
    </row>
    <row r="403" spans="72:76" x14ac:dyDescent="0.3">
      <c r="BT403" s="128"/>
      <c r="BU403" s="128"/>
      <c r="BV403" s="128"/>
      <c r="BW403" s="128"/>
      <c r="BX403" s="530"/>
    </row>
    <row r="404" spans="72:76" x14ac:dyDescent="0.3">
      <c r="BT404" s="128"/>
      <c r="BU404" s="128"/>
      <c r="BV404" s="128"/>
      <c r="BW404" s="128"/>
      <c r="BX404" s="530"/>
    </row>
    <row r="405" spans="72:76" x14ac:dyDescent="0.3">
      <c r="BT405" s="128"/>
      <c r="BU405" s="128"/>
      <c r="BV405" s="128"/>
      <c r="BW405" s="128"/>
      <c r="BX405" s="530"/>
    </row>
    <row r="406" spans="72:76" x14ac:dyDescent="0.3">
      <c r="BT406" s="128"/>
      <c r="BU406" s="128"/>
      <c r="BV406" s="128"/>
      <c r="BW406" s="128"/>
      <c r="BX406" s="530"/>
    </row>
    <row r="407" spans="72:76" x14ac:dyDescent="0.3">
      <c r="BT407" s="128"/>
      <c r="BU407" s="128"/>
      <c r="BV407" s="128"/>
      <c r="BW407" s="128"/>
      <c r="BX407" s="530"/>
    </row>
    <row r="408" spans="72:76" x14ac:dyDescent="0.3">
      <c r="BT408" s="128"/>
      <c r="BU408" s="128"/>
      <c r="BV408" s="128"/>
      <c r="BW408" s="128"/>
      <c r="BX408" s="530"/>
    </row>
    <row r="409" spans="72:76" x14ac:dyDescent="0.3">
      <c r="BT409" s="128"/>
      <c r="BU409" s="128"/>
      <c r="BV409" s="128"/>
      <c r="BW409" s="128"/>
      <c r="BX409" s="530"/>
    </row>
    <row r="410" spans="72:76" x14ac:dyDescent="0.3">
      <c r="BT410" s="128"/>
      <c r="BU410" s="128"/>
      <c r="BV410" s="128"/>
      <c r="BW410" s="128"/>
      <c r="BX410" s="530"/>
    </row>
    <row r="411" spans="72:76" x14ac:dyDescent="0.3">
      <c r="BT411" s="128"/>
      <c r="BU411" s="128"/>
      <c r="BV411" s="128"/>
      <c r="BW411" s="128"/>
      <c r="BX411" s="530"/>
    </row>
    <row r="412" spans="72:76" x14ac:dyDescent="0.3">
      <c r="BT412" s="128"/>
      <c r="BU412" s="128"/>
      <c r="BV412" s="128"/>
      <c r="BW412" s="128"/>
      <c r="BX412" s="530"/>
    </row>
    <row r="413" spans="72:76" x14ac:dyDescent="0.3">
      <c r="BT413" s="128"/>
      <c r="BU413" s="128"/>
      <c r="BV413" s="128"/>
      <c r="BW413" s="128"/>
      <c r="BX413" s="530"/>
    </row>
    <row r="414" spans="72:76" x14ac:dyDescent="0.3">
      <c r="BT414" s="128"/>
      <c r="BU414" s="128"/>
      <c r="BV414" s="128"/>
      <c r="BW414" s="128"/>
      <c r="BX414" s="530"/>
    </row>
    <row r="415" spans="72:76" x14ac:dyDescent="0.3">
      <c r="BT415" s="128"/>
      <c r="BU415" s="128"/>
      <c r="BV415" s="128"/>
      <c r="BW415" s="128"/>
      <c r="BX415" s="530"/>
    </row>
    <row r="416" spans="72:76" x14ac:dyDescent="0.3">
      <c r="BT416" s="128"/>
      <c r="BU416" s="128"/>
      <c r="BV416" s="128"/>
      <c r="BW416" s="128"/>
      <c r="BX416" s="530"/>
    </row>
    <row r="417" spans="72:76" x14ac:dyDescent="0.3">
      <c r="BT417" s="128"/>
      <c r="BU417" s="128"/>
      <c r="BV417" s="128"/>
      <c r="BW417" s="128"/>
      <c r="BX417" s="530"/>
    </row>
    <row r="418" spans="72:76" x14ac:dyDescent="0.3">
      <c r="BT418" s="128"/>
      <c r="BU418" s="128"/>
      <c r="BV418" s="128"/>
      <c r="BW418" s="128"/>
      <c r="BX418" s="530"/>
    </row>
    <row r="419" spans="72:76" x14ac:dyDescent="0.3">
      <c r="BT419" s="128"/>
      <c r="BU419" s="128"/>
      <c r="BV419" s="128"/>
      <c r="BW419" s="128"/>
      <c r="BX419" s="530"/>
    </row>
    <row r="420" spans="72:76" x14ac:dyDescent="0.3">
      <c r="BT420" s="128"/>
      <c r="BU420" s="128"/>
      <c r="BV420" s="128"/>
      <c r="BW420" s="128"/>
      <c r="BX420" s="530"/>
    </row>
    <row r="421" spans="72:76" x14ac:dyDescent="0.3">
      <c r="BT421" s="128"/>
      <c r="BU421" s="128"/>
      <c r="BV421" s="128"/>
      <c r="BW421" s="128"/>
      <c r="BX421" s="530"/>
    </row>
    <row r="422" spans="72:76" x14ac:dyDescent="0.3">
      <c r="BT422" s="128"/>
      <c r="BU422" s="128"/>
      <c r="BV422" s="128"/>
      <c r="BW422" s="128"/>
      <c r="BX422" s="530"/>
    </row>
    <row r="423" spans="72:76" x14ac:dyDescent="0.3">
      <c r="BT423" s="128"/>
      <c r="BU423" s="128"/>
      <c r="BV423" s="128"/>
      <c r="BW423" s="128"/>
      <c r="BX423" s="530"/>
    </row>
    <row r="424" spans="72:76" x14ac:dyDescent="0.3">
      <c r="BT424" s="128"/>
      <c r="BU424" s="128"/>
      <c r="BV424" s="128"/>
      <c r="BW424" s="128"/>
      <c r="BX424" s="530"/>
    </row>
    <row r="425" spans="72:76" x14ac:dyDescent="0.3">
      <c r="BT425" s="128"/>
      <c r="BU425" s="128"/>
      <c r="BV425" s="128"/>
      <c r="BW425" s="128"/>
      <c r="BX425" s="530"/>
    </row>
    <row r="426" spans="72:76" x14ac:dyDescent="0.3">
      <c r="BT426" s="128"/>
      <c r="BU426" s="128"/>
      <c r="BV426" s="128"/>
      <c r="BW426" s="128"/>
      <c r="BX426" s="530"/>
    </row>
    <row r="427" spans="72:76" x14ac:dyDescent="0.3">
      <c r="BT427" s="128"/>
      <c r="BU427" s="128"/>
      <c r="BV427" s="128"/>
      <c r="BW427" s="128"/>
      <c r="BX427" s="530"/>
    </row>
    <row r="428" spans="72:76" x14ac:dyDescent="0.3">
      <c r="BT428" s="128"/>
      <c r="BU428" s="128"/>
      <c r="BV428" s="128"/>
      <c r="BW428" s="128"/>
      <c r="BX428" s="530"/>
    </row>
    <row r="429" spans="72:76" x14ac:dyDescent="0.3">
      <c r="BT429" s="128"/>
      <c r="BU429" s="128"/>
      <c r="BV429" s="128"/>
      <c r="BW429" s="128"/>
      <c r="BX429" s="530"/>
    </row>
    <row r="430" spans="72:76" x14ac:dyDescent="0.3">
      <c r="BT430" s="128"/>
      <c r="BU430" s="128"/>
      <c r="BV430" s="128"/>
      <c r="BW430" s="128"/>
      <c r="BX430" s="530"/>
    </row>
    <row r="431" spans="72:76" x14ac:dyDescent="0.3">
      <c r="BT431" s="128"/>
      <c r="BU431" s="128"/>
      <c r="BV431" s="128"/>
      <c r="BW431" s="128"/>
      <c r="BX431" s="530"/>
    </row>
    <row r="432" spans="72:76" x14ac:dyDescent="0.3">
      <c r="BT432" s="128"/>
      <c r="BU432" s="128"/>
      <c r="BV432" s="128"/>
      <c r="BW432" s="128"/>
      <c r="BX432" s="530"/>
    </row>
  </sheetData>
  <mergeCells count="12">
    <mergeCell ref="S1:X1"/>
    <mergeCell ref="Y1:AA1"/>
    <mergeCell ref="AB1:AD1"/>
    <mergeCell ref="E1:L1"/>
    <mergeCell ref="M1:R1"/>
    <mergeCell ref="AF1:AF2"/>
    <mergeCell ref="AL1:AL2"/>
    <mergeCell ref="AH1:AH2"/>
    <mergeCell ref="AI1:AI2"/>
    <mergeCell ref="AJ1:AJ2"/>
    <mergeCell ref="AK1:AK2"/>
    <mergeCell ref="AG1:AG2"/>
  </mergeCells>
  <phoneticPr fontId="91" type="noConversion"/>
  <conditionalFormatting sqref="A1:M1 S1:AE1 A2:AE1048576">
    <cfRule type="notContainsBlanks" dxfId="20" priority="44">
      <formula>LEN(TRIM(A1))&gt;0</formula>
    </cfRule>
  </conditionalFormatting>
  <conditionalFormatting sqref="E1:E1048576">
    <cfRule type="duplicateValues" dxfId="19" priority="37"/>
  </conditionalFormatting>
  <conditionalFormatting sqref="E3">
    <cfRule type="duplicateValues" dxfId="18" priority="31"/>
  </conditionalFormatting>
  <conditionalFormatting sqref="M3:M4">
    <cfRule type="duplicateValues" dxfId="17" priority="29"/>
  </conditionalFormatting>
  <conditionalFormatting sqref="E4">
    <cfRule type="duplicateValues" dxfId="16" priority="28"/>
  </conditionalFormatting>
  <conditionalFormatting sqref="AG4:AL4">
    <cfRule type="cellIs" dxfId="15" priority="20" operator="lessThan">
      <formula>0</formula>
    </cfRule>
    <cfRule type="cellIs" dxfId="14" priority="21" operator="greaterThan">
      <formula>0</formula>
    </cfRule>
  </conditionalFormatting>
  <conditionalFormatting sqref="E2 E5:E1048576">
    <cfRule type="duplicateValues" dxfId="13" priority="79"/>
  </conditionalFormatting>
  <conditionalFormatting sqref="M1:M2 M5:M1048576">
    <cfRule type="duplicateValues" dxfId="12" priority="82"/>
  </conditionalFormatting>
  <conditionalFormatting sqref="AG6:AL6">
    <cfRule type="cellIs" dxfId="11" priority="1" operator="lessThan">
      <formula>0</formula>
    </cfRule>
    <cfRule type="cellIs" dxfId="10" priority="2" operator="greaterThan">
      <formula>0</formula>
    </cfRule>
  </conditionalFormatting>
  <pageMargins left="0.7" right="0.7" top="0.75" bottom="0.75" header="0.3" footer="0.3"/>
  <pageSetup orientation="portrait" r:id="rId1"/>
  <legacyDrawing r:id="rId2"/>
  <tableParts count="5">
    <tablePart r:id="rId3"/>
    <tablePart r:id="rId4"/>
    <tablePart r:id="rId5"/>
    <tablePart r:id="rId6"/>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1">
    <tabColor theme="6" tint="0.39997558519241921"/>
  </sheetPr>
  <dimension ref="A1:BS472"/>
  <sheetViews>
    <sheetView topLeftCell="BA1" zoomScaleNormal="100" workbookViewId="0">
      <pane ySplit="2" topLeftCell="A3" activePane="bottomLeft" state="frozen"/>
      <selection activeCell="K1" sqref="K1"/>
      <selection pane="bottomLeft" activeCell="BQ3" sqref="BQ3"/>
    </sheetView>
  </sheetViews>
  <sheetFormatPr defaultColWidth="9.09765625" defaultRowHeight="14.4" x14ac:dyDescent="0.3"/>
  <cols>
    <col min="1" max="1" width="4.69921875" style="128" bestFit="1" customWidth="1"/>
    <col min="2" max="2" width="24.3984375" style="128" bestFit="1" customWidth="1"/>
    <col min="3" max="6" width="12.296875" style="527" customWidth="1"/>
    <col min="7" max="7" width="10.8984375" style="128" customWidth="1"/>
    <col min="8" max="14" width="12.296875" style="128" customWidth="1"/>
    <col min="15" max="15" width="12.69921875" style="128" bestFit="1" customWidth="1"/>
    <col min="16" max="18" width="12.69921875" style="128" customWidth="1"/>
    <col min="19" max="19" width="11.59765625" style="128" customWidth="1"/>
    <col min="20" max="20" width="12.59765625" style="128" bestFit="1" customWidth="1"/>
    <col min="21" max="21" width="10.8984375" style="375" bestFit="1" customWidth="1"/>
    <col min="22" max="22" width="11.796875" style="128" bestFit="1" customWidth="1"/>
    <col min="23" max="23" width="11.09765625" style="128" bestFit="1" customWidth="1"/>
    <col min="24" max="24" width="17.8984375" style="530" bestFit="1" customWidth="1"/>
    <col min="25" max="25" width="14.296875" style="530" hidden="1" customWidth="1"/>
    <col min="26" max="26" width="18.69921875" style="530" hidden="1" customWidth="1"/>
    <col min="27" max="27" width="9" style="233" bestFit="1" customWidth="1"/>
    <col min="28" max="28" width="11.59765625" style="232" bestFit="1" customWidth="1"/>
    <col min="29" max="29" width="17.8984375" style="396" bestFit="1" customWidth="1"/>
    <col min="30" max="30" width="12.296875" style="128" bestFit="1" customWidth="1"/>
    <col min="31" max="31" width="12.296875" style="128" customWidth="1"/>
    <col min="32" max="32" width="11.296875" style="128" bestFit="1" customWidth="1"/>
    <col min="33" max="33" width="9.8984375" style="128" bestFit="1" customWidth="1"/>
    <col min="34" max="34" width="17.19921875" style="233" bestFit="1" customWidth="1"/>
    <col min="35" max="35" width="18.296875" style="233" bestFit="1" customWidth="1"/>
    <col min="36" max="36" width="12.296875" style="128" bestFit="1" customWidth="1"/>
    <col min="37" max="37" width="13.8984375" style="233" bestFit="1" customWidth="1"/>
    <col min="38" max="38" width="14.8984375" style="128" customWidth="1"/>
    <col min="39" max="39" width="12.59765625" style="128" customWidth="1"/>
    <col min="40" max="40" width="11.09765625" style="737" customWidth="1"/>
    <col min="41" max="41" width="11.09765625" style="530" bestFit="1" customWidth="1"/>
    <col min="42" max="42" width="14.3984375" style="530" bestFit="1" customWidth="1"/>
    <col min="43" max="43" width="15.296875" style="530" bestFit="1" customWidth="1"/>
    <col min="44" max="44" width="14.69921875" style="530" bestFit="1" customWidth="1"/>
    <col min="45" max="45" width="12.296875" style="530" bestFit="1" customWidth="1"/>
    <col min="46" max="46" width="12" style="530" bestFit="1" customWidth="1"/>
    <col min="47" max="47" width="6" style="737" bestFit="1" customWidth="1"/>
    <col min="48" max="48" width="18.09765625" style="747" customWidth="1"/>
    <col min="49" max="49" width="18.09765625" style="534" customWidth="1"/>
    <col min="50" max="50" width="12.296875" style="128" bestFit="1" customWidth="1"/>
    <col min="51" max="51" width="15.09765625" style="233" bestFit="1" customWidth="1"/>
    <col min="52" max="52" width="10.09765625" style="233" bestFit="1" customWidth="1"/>
    <col min="53" max="53" width="6.296875" style="128" bestFit="1" customWidth="1"/>
    <col min="54" max="54" width="10.796875" style="128" bestFit="1" customWidth="1"/>
    <col min="55" max="55" width="8.69921875" style="11" bestFit="1" customWidth="1"/>
    <col min="56" max="56" width="11.59765625" style="128" bestFit="1" customWidth="1"/>
    <col min="57" max="57" width="9" style="11" bestFit="1" customWidth="1"/>
    <col min="58" max="58" width="11.19921875" style="530" bestFit="1" customWidth="1"/>
    <col min="59" max="60" width="11.19921875" style="233" bestFit="1" customWidth="1"/>
    <col min="61" max="61" width="18" style="233" bestFit="1" customWidth="1"/>
    <col min="62" max="62" width="5.8984375" style="233" bestFit="1" customWidth="1"/>
    <col min="63" max="63" width="7.59765625" style="233" bestFit="1" customWidth="1"/>
    <col min="64" max="64" width="8.19921875" style="233" bestFit="1" customWidth="1"/>
    <col min="65" max="65" width="5.19921875" style="233" bestFit="1" customWidth="1"/>
    <col min="66" max="66" width="11.19921875" style="233" bestFit="1" customWidth="1"/>
    <col min="67" max="67" width="6.8984375" style="233" bestFit="1" customWidth="1"/>
    <col min="68" max="69" width="8.59765625" style="662" bestFit="1" customWidth="1"/>
    <col min="70" max="70" width="17" style="534" bestFit="1" customWidth="1"/>
    <col min="71" max="71" width="16" style="232" bestFit="1" customWidth="1"/>
    <col min="72" max="16384" width="9.09765625" style="128"/>
  </cols>
  <sheetData>
    <row r="1" spans="1:71" x14ac:dyDescent="0.3">
      <c r="B1" s="468" t="s">
        <v>3614</v>
      </c>
      <c r="C1" s="624"/>
      <c r="S1" s="468" t="s">
        <v>3613</v>
      </c>
      <c r="T1" s="468" t="s">
        <v>2197</v>
      </c>
      <c r="Z1" s="534"/>
      <c r="AB1" s="533"/>
      <c r="AC1" s="396">
        <f>SUBTOTAL(9,BS[MARKET VALUE])</f>
        <v>26044038042878</v>
      </c>
      <c r="AD1" s="233"/>
      <c r="AE1" s="233"/>
      <c r="AF1" s="468" t="s">
        <v>3626</v>
      </c>
      <c r="AG1" s="625"/>
      <c r="AH1" s="626"/>
      <c r="AI1" s="396"/>
      <c r="AJ1" s="233"/>
      <c r="AK1" s="627" t="s">
        <v>3050</v>
      </c>
      <c r="AN1" s="735"/>
      <c r="AO1" s="740"/>
      <c r="AP1" s="534">
        <f>SUBTOTAL(9,RPBOD3[Quantity])</f>
        <v>492720113</v>
      </c>
      <c r="AQ1" s="534">
        <f>AR3*AQ3</f>
        <v>7690601750.54704</v>
      </c>
      <c r="AR1" s="534"/>
      <c r="AS1" s="534"/>
      <c r="AT1" s="534"/>
      <c r="AU1" s="735"/>
      <c r="AX1" s="233"/>
      <c r="AY1" s="468" t="s">
        <v>3630</v>
      </c>
      <c r="AZ1" s="396"/>
      <c r="BE1" s="628"/>
      <c r="BF1" s="534"/>
      <c r="BG1" s="396"/>
      <c r="BH1" s="396"/>
      <c r="BI1" s="396"/>
      <c r="BJ1" s="396"/>
      <c r="BK1" s="396"/>
      <c r="BL1" s="396"/>
      <c r="BM1" s="396"/>
      <c r="BN1" s="396"/>
      <c r="BO1" s="396"/>
    </row>
    <row r="2" spans="1:71" x14ac:dyDescent="0.3">
      <c r="A2" s="844" t="s">
        <v>7</v>
      </c>
      <c r="B2" s="844" t="s">
        <v>864</v>
      </c>
      <c r="C2" s="845" t="s">
        <v>2795</v>
      </c>
      <c r="D2" s="845"/>
      <c r="E2" s="845"/>
      <c r="F2" s="845"/>
      <c r="G2" s="845"/>
      <c r="H2" s="844" t="s">
        <v>2796</v>
      </c>
      <c r="I2" s="844"/>
      <c r="J2" s="844"/>
      <c r="K2" s="844"/>
      <c r="L2" s="844"/>
      <c r="M2" s="846" t="s">
        <v>2805</v>
      </c>
      <c r="N2" s="846"/>
      <c r="O2" s="846"/>
      <c r="P2" s="846"/>
      <c r="Q2" s="846"/>
      <c r="R2" s="698"/>
      <c r="S2" s="11"/>
      <c r="U2" s="375" t="s">
        <v>2814</v>
      </c>
      <c r="V2" s="128" t="s">
        <v>2815</v>
      </c>
      <c r="W2" s="128" t="s">
        <v>2816</v>
      </c>
      <c r="X2" s="530" t="s">
        <v>2817</v>
      </c>
      <c r="Y2" s="530" t="s">
        <v>2818</v>
      </c>
      <c r="Z2" s="530" t="s">
        <v>742</v>
      </c>
      <c r="AA2" s="233" t="s">
        <v>2819</v>
      </c>
      <c r="AB2" s="232" t="s">
        <v>3642</v>
      </c>
      <c r="AC2" s="396" t="s">
        <v>3643</v>
      </c>
      <c r="AG2" s="128" t="s">
        <v>2820</v>
      </c>
      <c r="AH2" s="233" t="s">
        <v>2821</v>
      </c>
      <c r="AI2" s="233" t="s">
        <v>2822</v>
      </c>
      <c r="AK2" s="468" t="s">
        <v>3629</v>
      </c>
      <c r="AL2" s="530" t="s">
        <v>826</v>
      </c>
      <c r="AM2" s="530" t="s">
        <v>827</v>
      </c>
      <c r="AN2" s="738" t="s">
        <v>3712</v>
      </c>
      <c r="AO2" s="530" t="s">
        <v>843</v>
      </c>
      <c r="AP2" s="530" t="s">
        <v>794</v>
      </c>
      <c r="AQ2" s="530" t="s">
        <v>820</v>
      </c>
      <c r="AR2" s="530" t="s">
        <v>3625</v>
      </c>
      <c r="AS2" s="530" t="s">
        <v>1073</v>
      </c>
      <c r="AT2" s="530" t="s">
        <v>3624</v>
      </c>
      <c r="AU2" s="736" t="s">
        <v>828</v>
      </c>
      <c r="AV2" s="736" t="s">
        <v>3150</v>
      </c>
      <c r="AW2" s="534" t="s">
        <v>3682</v>
      </c>
      <c r="AY2" s="331"/>
      <c r="AZ2" s="233" t="s">
        <v>2814</v>
      </c>
      <c r="BA2" s="446" t="s">
        <v>2906</v>
      </c>
      <c r="BB2" s="233" t="s">
        <v>2815</v>
      </c>
      <c r="BC2" t="s">
        <v>3036</v>
      </c>
      <c r="BD2" s="530" t="s">
        <v>761</v>
      </c>
      <c r="BE2" s="530" t="s">
        <v>3278</v>
      </c>
      <c r="BF2" t="s">
        <v>3063</v>
      </c>
      <c r="BG2" t="s">
        <v>3061</v>
      </c>
      <c r="BH2" t="s">
        <v>3062</v>
      </c>
      <c r="BI2" s="500" t="s">
        <v>3622</v>
      </c>
      <c r="BJ2" t="s">
        <v>3623</v>
      </c>
      <c r="BK2" t="s">
        <v>3898</v>
      </c>
      <c r="BL2" s="128" t="s">
        <v>3078</v>
      </c>
      <c r="BM2" t="s">
        <v>816</v>
      </c>
      <c r="BN2" s="124" t="s">
        <v>3631</v>
      </c>
      <c r="BO2" s="71" t="s">
        <v>3632</v>
      </c>
      <c r="BP2" s="72" t="s">
        <v>3283</v>
      </c>
      <c r="BQ2" s="72" t="s">
        <v>3633</v>
      </c>
      <c r="BR2" s="396" t="s">
        <v>3634</v>
      </c>
      <c r="BS2" s="128"/>
    </row>
    <row r="3" spans="1:71" x14ac:dyDescent="0.3">
      <c r="A3" s="844"/>
      <c r="B3" s="844"/>
      <c r="C3" s="548" t="s">
        <v>2806</v>
      </c>
      <c r="D3" s="548" t="s">
        <v>2807</v>
      </c>
      <c r="E3" s="548" t="s">
        <v>3283</v>
      </c>
      <c r="F3" s="548" t="s">
        <v>3587</v>
      </c>
      <c r="G3" s="398" t="s">
        <v>3537</v>
      </c>
      <c r="H3" s="549" t="s">
        <v>2806</v>
      </c>
      <c r="I3" s="549" t="s">
        <v>2807</v>
      </c>
      <c r="J3" s="549" t="s">
        <v>3283</v>
      </c>
      <c r="K3" s="548" t="s">
        <v>3587</v>
      </c>
      <c r="L3" s="398" t="s">
        <v>3537</v>
      </c>
      <c r="M3" s="549" t="s">
        <v>2806</v>
      </c>
      <c r="N3" s="549" t="s">
        <v>2810</v>
      </c>
      <c r="O3" s="549" t="s">
        <v>3283</v>
      </c>
      <c r="P3" s="548" t="s">
        <v>3587</v>
      </c>
      <c r="Q3" s="398" t="s">
        <v>3537</v>
      </c>
      <c r="R3" s="698"/>
      <c r="S3" s="11"/>
      <c r="T3" s="362"/>
      <c r="U3" s="375">
        <v>46252</v>
      </c>
      <c r="V3" s="128" t="s">
        <v>672</v>
      </c>
      <c r="W3" s="128" t="s">
        <v>822</v>
      </c>
      <c r="X3" s="530">
        <v>100000000000</v>
      </c>
      <c r="Y3" s="530">
        <v>97542</v>
      </c>
      <c r="Z3" s="530">
        <v>97542000000</v>
      </c>
      <c r="AA3" s="128" t="s">
        <v>2795</v>
      </c>
      <c r="AB3" s="533">
        <f>_xlfn.IFNA(VLOOKUP(BS[[#This Row],[BOND_CODE]],FNRP!D:I,6,0),VLOOKUP(BS[[#This Row],[BOND_CODE]],FNRP!AV:BA,6,0))</f>
        <v>97540</v>
      </c>
      <c r="AC3" s="396">
        <f>BS[[#This Row],[CLEAN PRICE]]*BS[[#This Row],[BALANCE]]/100000</f>
        <v>97540000000</v>
      </c>
      <c r="AF3" s="629"/>
      <c r="AG3" s="630">
        <v>130105001</v>
      </c>
      <c r="AH3" s="233" t="s">
        <v>3163</v>
      </c>
      <c r="AI3" s="233">
        <v>19949611300000</v>
      </c>
      <c r="AK3" s="734"/>
      <c r="AL3" s="128">
        <v>41164</v>
      </c>
      <c r="AM3" s="128" t="s">
        <v>784</v>
      </c>
      <c r="AN3" s="736">
        <v>5.8</v>
      </c>
      <c r="AO3" s="128" t="s">
        <v>821</v>
      </c>
      <c r="AP3" s="49" t="s">
        <v>2180</v>
      </c>
      <c r="AQ3" s="530">
        <v>1000000</v>
      </c>
      <c r="AR3" s="500">
        <v>7690.60175054704</v>
      </c>
      <c r="AS3" s="530">
        <v>116363</v>
      </c>
      <c r="AT3" s="530">
        <v>116347</v>
      </c>
      <c r="AU3" s="769">
        <v>2.3000372539999998</v>
      </c>
      <c r="AV3" s="747">
        <v>116347000000</v>
      </c>
      <c r="AW3" s="534">
        <f>(_xlfn.XLOOKUP(RPBOD3[[#This Row],[Bonds_ShortName]],FNRP!D:D,FNRP!H:H,_xlfn.XLOOKUP(RPBOD3[[#This Row],[Bonds_ShortName]],FNRP!AV:AV,FNRP!AZ:AZ,,0),0)-RPBOD3[[#This Row],[PTCK_Remain]]-10^5)*RPBOD3[[#This Row],[Quantity]]</f>
        <v>-4103601750.5470371</v>
      </c>
      <c r="AY3" s="128"/>
      <c r="AZ3" s="610">
        <v>46252</v>
      </c>
      <c r="BA3" s="850">
        <v>48881</v>
      </c>
      <c r="BB3" s="852" t="s">
        <v>681</v>
      </c>
      <c r="BC3" s="39" t="s">
        <v>824</v>
      </c>
      <c r="BD3" s="530">
        <v>7000000</v>
      </c>
      <c r="BE3" s="530">
        <v>128162</v>
      </c>
      <c r="BF3" s="658">
        <v>46062</v>
      </c>
      <c r="BG3" s="658">
        <v>46063</v>
      </c>
      <c r="BH3" s="658">
        <v>49695</v>
      </c>
      <c r="BI3" s="500">
        <v>900088000000</v>
      </c>
      <c r="BJ3" s="49">
        <v>7.7</v>
      </c>
      <c r="BK3" s="49">
        <v>4.1800458169999999</v>
      </c>
      <c r="BL3" s="630" t="s">
        <v>2172</v>
      </c>
      <c r="BM3" s="49" t="s">
        <v>1033</v>
      </c>
      <c r="BN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3" s="396">
        <f>(PTCK_offBS[[#This Row],[VALUE_DATE]]-PTCK_offBS[[#This Row],[LAST_PMT]])*PTCK_offBS[[#This Row],[COUPON_RATE]]*1000/(DATE(YEAR(PTCK_offBS[[#This Row],[LAST_PMT]])+1,MONTH(PTCK_offBS[[#This Row],[LAST_PMT]]),DAY(PTCK_offBS[[#This Row],[LAST_PMT]]))-PTCK_offBS[[#This Row],[LAST_PMT]])</f>
        <v>421.91780821917808</v>
      </c>
      <c r="BP3" s="396">
        <f>PTCK_offBS[[#This Row],[GROSS_AMOUNT]]/PTCK_offBS[[#This Row],[QUANTITY]]-PTCK_offBS[[#This Row],[START_ACC]]-10^5</f>
        <v>28162.082191780821</v>
      </c>
      <c r="BQ3" s="396">
        <f>IF(PTCK_offBS[[#This Row],[BS]]="Others",PTCK_offBS[[#This Row],[PTCK]]*(PTCK_offBS[[#This Row],[MATURITY_DATE]]-PTCK_offBS[[#This Row],[POSTED_DT]]-1)/(PTCK_offBS[[#This Row],[MATURITY_DATE]]-PTCK_offBS[[#This Row],[VALUE_DATE]]),PTCK_offBS[[#This Row],[PTCK]])</f>
        <v>26688.845513246029</v>
      </c>
      <c r="BR3" s="396">
        <f>PTCK_offBS[[#This Row],[PTCK remain]]*PTCK_offBS[[#This Row],[QUANTITY]]</f>
        <v>186821918592.7222</v>
      </c>
      <c r="BS3" s="128"/>
    </row>
    <row r="4" spans="1:71" x14ac:dyDescent="0.3">
      <c r="A4" s="550">
        <v>1</v>
      </c>
      <c r="B4" s="551" t="s">
        <v>2809</v>
      </c>
      <c r="C4" s="552">
        <f>SUMIFS($X:$X,$W:$W,"T",$AA:$AA,$C$2)/10^9+SUM(TB_HTM[Amt])/10^9</f>
        <v>38413.699999999997</v>
      </c>
      <c r="D4" s="552">
        <f>SUMIFS($AC:$AC,$W:$W,"T",$AA:$AA,$C$2)/10^9+SUM(TB_HTM[Market Value])</f>
        <v>39160.8315</v>
      </c>
      <c r="E4" s="552" cm="1">
        <f t="array" ref="E4">SUMPRODUCT(RPBOD3[PTCK_Remain]*RPBOD3[Quantity]*(RPBOD3[Folder]&lt;&gt;"AFS-ALM")*(RPBOD3[Folder]&lt;&gt;"AFS-PHUONG"))/10^9+SUM(TB_HTM[PTCK])</f>
        <v>2411.5290849112394</v>
      </c>
      <c r="F4" s="552">
        <f>D4-C4-E4</f>
        <v>-1664.3975849112362</v>
      </c>
      <c r="G4" s="699">
        <f>SUMIFS(AW:AW, AP:AP, "&lt;&gt;AFS-PHUONG", AP:AP, "&lt;&gt;AFS-ALM")/10^9+SUM(TB_HTM[ItD])/10^9</f>
        <v>-1468.9836249112388</v>
      </c>
      <c r="H4" s="552">
        <f>SUMIFS($X:$X,$W:$W,"T",$AA:$AA,$H$2)/10^9</f>
        <v>-22894.7</v>
      </c>
      <c r="I4" s="552">
        <f>SUMIFS($AC:$AC,$W:$W,"T",$AA:$AA,H$2)/10^9</f>
        <v>-24978.901320000001</v>
      </c>
      <c r="J4" s="552">
        <f>SUMIFS($BR:$BR,$BL:$BL,"Off BS",$BJ:$BJ,"T")/10^9
-SUMIFS('Giam sat'!AZ:AZ,'Giam sat'!AR:AR,"V",'Giam sat'!AT:AT,"&gt;"&amp;RPT,'Giam sat'!AQ:AQ,"&lt;&gt;AFS-ALM",'Giam sat'!AQ:AQ,"&lt;&gt;AFS-PHUONG")/10^9</f>
        <v>-2185.8493831667579</v>
      </c>
      <c r="K4" s="552">
        <f>I4-H4-J4</f>
        <v>101.64806316675777</v>
      </c>
      <c r="L4" s="699">
        <f>(SUMIFS('Giam sat'!BP:BP,'Giam sat'!BI:BI,"V",'Giam sat'!BK:BK,"&gt;"&amp;RPT,'Giam sat'!BH:BH,"&lt;&gt;AFS-PHUONG",'Giam sat'!BH:BH, "&lt;&gt;AFS-ALM")
-SUMIFS('Giam sat'!BA:BA,'Giam sat'!AR:AR,"V",'Giam sat'!AT:AT,"&gt;"&amp;RPT,'Giam sat'!AQ:AQ,"&lt;&gt;AFS-PHUONG",'Giam sat'!AQ:AQ, "&lt;&gt;AFS-ALM"))/10^9</f>
        <v>104.98872070100386</v>
      </c>
      <c r="M4" s="552">
        <f>SUMIFS($X:$X,$W:$W,"T",$AA:$AA,M$2)/10^9</f>
        <v>1994</v>
      </c>
      <c r="N4" s="552">
        <f>SUMIFS($AC:$AC,$W:$W,"T",$AA:$AA,M$2)/10^9</f>
        <v>1821.9373800000001</v>
      </c>
      <c r="O4" s="552">
        <f>SUMIFS($BR:$BR,$BK:$BK,"Ngoai BS",$BJ:$BJ,"T")/10^9
-SUMIFS('Giam sat'!AZ:AZ,'Giam sat'!AR:AR,"&lt;&gt;V",'Giam sat'!AQ:AQ,"&lt;&gt;AFS-ALM",'Giam sat'!AP:AP,"&lt;&gt;AFS-PHUONG")/10^9</f>
        <v>-47.7858334706604</v>
      </c>
      <c r="P4" s="552">
        <f>N4-M4-O4</f>
        <v>-124.27678652933952</v>
      </c>
      <c r="Q4" s="699">
        <f>(SUMIFS('Giam sat'!BP:BP,'Giam sat'!BI:BI,"&lt;&gt;V",'Giam sat'!BH:BH,"&lt;&gt;AFS-PHUONG",'Giam sat'!BH:BH, "&lt;&gt;AFS-ALM")
-SUMIFS('Giam sat'!BA:BA,'Giam sat'!AR:AR,"&lt;&gt;V",'Giam sat'!AQ:AQ,"&lt;&gt;AFS-PHUONG",'Giam sat'!AQ:AQ, "&lt;&gt;AFS-ALM"))/10^9</f>
        <v>-53.779166531818163</v>
      </c>
      <c r="R4" s="409"/>
      <c r="S4" s="11"/>
      <c r="T4" s="362"/>
      <c r="U4" s="375">
        <v>46252</v>
      </c>
      <c r="V4" s="128" t="s">
        <v>2303</v>
      </c>
      <c r="W4" s="128" t="s">
        <v>822</v>
      </c>
      <c r="X4" s="530">
        <v>100000000000</v>
      </c>
      <c r="Y4" s="530">
        <v>103624</v>
      </c>
      <c r="Z4" s="530">
        <v>103624000000</v>
      </c>
      <c r="AA4" s="128" t="s">
        <v>2795</v>
      </c>
      <c r="AB4" s="533">
        <f>_xlfn.IFNA(VLOOKUP(BS[[#This Row],[BOND_CODE]],FNRP!D:I,6,0),VLOOKUP(BS[[#This Row],[BOND_CODE]],FNRP!AV:BA,6,0))</f>
        <v>103625</v>
      </c>
      <c r="AC4" s="396">
        <f>BS[[#This Row],[CLEAN PRICE]]*BS[[#This Row],[BALANCE]]/100000</f>
        <v>103625000000</v>
      </c>
      <c r="AF4" s="629"/>
      <c r="AG4" s="630">
        <v>130105002</v>
      </c>
      <c r="AH4" s="233" t="s">
        <v>2887</v>
      </c>
      <c r="AI4" s="233">
        <v>-1075226669060</v>
      </c>
      <c r="AK4" s="734"/>
      <c r="AL4" s="128">
        <v>30561</v>
      </c>
      <c r="AM4" s="128" t="s">
        <v>712</v>
      </c>
      <c r="AN4" s="736">
        <v>3.6</v>
      </c>
      <c r="AO4" s="128" t="s">
        <v>823</v>
      </c>
      <c r="AP4" s="49" t="s">
        <v>2180</v>
      </c>
      <c r="AQ4" s="530">
        <v>2000000</v>
      </c>
      <c r="AR4" s="500">
        <v>6051.7419205093502</v>
      </c>
      <c r="AS4" s="530">
        <v>108608</v>
      </c>
      <c r="AT4" s="530">
        <v>112031</v>
      </c>
      <c r="AU4" s="769">
        <v>3</v>
      </c>
      <c r="AV4" s="747">
        <v>116347000000</v>
      </c>
      <c r="AW4" s="534">
        <f>(_xlfn.XLOOKUP(RPBOD3[[#This Row],[Bonds_ShortName]],FNRP!D:D,FNRP!H:H,_xlfn.XLOOKUP(RPBOD3[[#This Row],[Bonds_ShortName]],FNRP!AV:AV,FNRP!AZ:AZ,,0),0)-RPBOD3[[#This Row],[PTCK_Remain]]-10^5)*RPBOD3[[#This Row],[Quantity]]</f>
        <v>-30633483841.018692</v>
      </c>
      <c r="AY4" s="128"/>
      <c r="AZ4" s="610">
        <v>46252</v>
      </c>
      <c r="BA4" s="850">
        <v>50109</v>
      </c>
      <c r="BB4" s="852" t="s">
        <v>681</v>
      </c>
      <c r="BC4" s="39" t="s">
        <v>824</v>
      </c>
      <c r="BD4" s="530">
        <v>1550000</v>
      </c>
      <c r="BE4" s="530">
        <v>127114</v>
      </c>
      <c r="BF4" s="658">
        <v>46240</v>
      </c>
      <c r="BG4" s="658">
        <v>46241</v>
      </c>
      <c r="BH4" s="658">
        <v>49695</v>
      </c>
      <c r="BI4" s="500">
        <v>203501050000</v>
      </c>
      <c r="BJ4" s="49">
        <v>7.7</v>
      </c>
      <c r="BK4" s="49">
        <v>5.1800458169999999</v>
      </c>
      <c r="BL4" s="630" t="s">
        <v>2172</v>
      </c>
      <c r="BM4" s="49" t="s">
        <v>1033</v>
      </c>
      <c r="BN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4" s="396">
        <f>(PTCK_offBS[[#This Row],[VALUE_DATE]]-PTCK_offBS[[#This Row],[LAST_PMT]])*PTCK_offBS[[#This Row],[COUPON_RATE]]*1000/(DATE(YEAR(PTCK_offBS[[#This Row],[LAST_PMT]])+1,MONTH(PTCK_offBS[[#This Row],[LAST_PMT]]),DAY(PTCK_offBS[[#This Row],[LAST_PMT]]))-PTCK_offBS[[#This Row],[LAST_PMT]])</f>
        <v>4176.9863013698632</v>
      </c>
      <c r="BP4" s="396">
        <f>PTCK_offBS[[#This Row],[GROSS_AMOUNT]]/PTCK_offBS[[#This Row],[QUANTITY]]-PTCK_offBS[[#This Row],[START_ACC]]-10^5</f>
        <v>27114.013698630137</v>
      </c>
      <c r="BQ4" s="396">
        <f>IF(PTCK_offBS[[#This Row],[BS]]="Others",PTCK_offBS[[#This Row],[PTCK]]*(PTCK_offBS[[#This Row],[MATURITY_DATE]]-PTCK_offBS[[#This Row],[POSTED_DT]]-1)/(PTCK_offBS[[#This Row],[MATURITY_DATE]]-PTCK_offBS[[#This Row],[VALUE_DATE]]),PTCK_offBS[[#This Row],[PTCK]])</f>
        <v>27019.813303614632</v>
      </c>
      <c r="BR4" s="396">
        <f>PTCK_offBS[[#This Row],[PTCK remain]]*PTCK_offBS[[#This Row],[QUANTITY]]</f>
        <v>41880710620.602676</v>
      </c>
      <c r="BS4" s="128"/>
    </row>
    <row r="5" spans="1:71" x14ac:dyDescent="0.3">
      <c r="A5" s="550">
        <v>2</v>
      </c>
      <c r="B5" s="551" t="s">
        <v>2808</v>
      </c>
      <c r="C5" s="552">
        <f>SUMIFS($X:$X,$W:$W,"B",$AA:$AA,$C$2)/10^9-SUM(TB_HTM[Amt])/10^9</f>
        <v>10858.311299999999</v>
      </c>
      <c r="D5" s="552">
        <f>SUMIFS($AC:$AC,$W:$W,"B",$AA:$AA,$C$2)/10^9-SUM(TB_HTM[Market Value])</f>
        <v>10040.170482877998</v>
      </c>
      <c r="E5" s="552" cm="1">
        <f t="array" ref="E5">SUMPRODUCT(RPBOD3[PTCK_Remain]*RPBOD3[Quantity]*((RPBOD3[Folder]="AFS-ALM")+(RPBOD3[Folder]="AFS-PHUONG")))/10^9-SUM(TB_HTM[PTCK])</f>
        <v>954.45066116801001</v>
      </c>
      <c r="F5" s="552">
        <f>D5-C5-E5</f>
        <v>-1772.5914782900109</v>
      </c>
      <c r="G5" s="699" cm="1">
        <f t="array" ref="G5">SUM(SUMIFS(AW:AW, AP:AP, {"AFS-PHUONG","AFS-ALM"}))/10^9-SUM(TB_HTM[ItD])/10^9</f>
        <v>-1968.0054382900112</v>
      </c>
      <c r="H5" s="552">
        <f>SUMIFS($X:$X,$W:$W,"B",$AA:$AA,$H$2)/10^9</f>
        <v>0</v>
      </c>
      <c r="I5" s="552">
        <f>SUMIFS($AC:$AC,$W:$W,"B",$AA:$AA,H$2)/10^9</f>
        <v>0</v>
      </c>
      <c r="J5" s="552">
        <f>SUMIFS($BR:$BR,$BK:$BK,"Off BS",$BJ:$BJ,"B")/10^9</f>
        <v>0</v>
      </c>
      <c r="K5" s="552">
        <f>I5-H5-J5</f>
        <v>0</v>
      </c>
      <c r="L5" s="699" cm="1">
        <f t="array" ref="L5">(SUM(SUMIFS('Giam sat'!BP:BP,'Giam sat'!BI:BI,"V",'Giam sat'!BK:BK,"&gt;"&amp;RPT,'Giam sat'!BH:BH,{"AFS-PHUONG","AFS-ALM"}))
-SUM(SUMIFS('Giam sat'!BA:BA,'Giam sat'!AR:AR,"V",'Giam sat'!AT:AT,"&gt;"&amp;RPT,'Giam sat'!AQ:AQ,{"AFS-PHUONG","AFS-ALM"})))/10^9</f>
        <v>0</v>
      </c>
      <c r="M5" s="552">
        <f>SUMIFS($X:$X,$W:$W,"B",AA:AA,M$2)/10^9</f>
        <v>0</v>
      </c>
      <c r="N5" s="552">
        <f>SUMIFS($AC:$AC,$W:$W,"B",$AA:$AA,M$2)/10^9</f>
        <v>0</v>
      </c>
      <c r="O5" s="552">
        <f>SUMIFS($BR:$BR,$BK:$BK,"Ngoai BS",$BJ:$BJ,"B")/10^9</f>
        <v>0</v>
      </c>
      <c r="P5" s="552">
        <f>N5-M5</f>
        <v>0</v>
      </c>
      <c r="Q5" s="699" cm="1">
        <f t="array" ref="Q5">(SUM(SUMIFS('Giam sat'!BP:BP,'Giam sat'!BI:BI,"V",'Giam sat'!BK:BK,"&gt;"&amp;RPT,'Giam sat'!BH:BH,{"AFS-PHUONG","AFS-ALM"}))
-SUM(SUMIFS('Giam sat'!BA:BA,'Giam sat'!AR:AR,"V",'Giam sat'!AT:AT,"&gt;"&amp;RPT,'Giam sat'!AQ:AQ,{"AFS-PHUONG","AFS-ALM"})))/10^9</f>
        <v>0</v>
      </c>
      <c r="R5" s="409"/>
      <c r="S5" s="11"/>
      <c r="T5" s="362"/>
      <c r="U5" s="375">
        <v>46252</v>
      </c>
      <c r="V5" s="128" t="s">
        <v>2380</v>
      </c>
      <c r="W5" s="128" t="s">
        <v>822</v>
      </c>
      <c r="X5" s="530">
        <v>900000000000</v>
      </c>
      <c r="Y5" s="530">
        <v>101870</v>
      </c>
      <c r="Z5" s="530">
        <v>916830000000</v>
      </c>
      <c r="AA5" s="128" t="s">
        <v>2795</v>
      </c>
      <c r="AB5" s="533">
        <f>_xlfn.IFNA(VLOOKUP(BS[[#This Row],[BOND_CODE]],FNRP!D:I,6,0),VLOOKUP(BS[[#This Row],[BOND_CODE]],FNRP!AV:BA,6,0))</f>
        <v>101870</v>
      </c>
      <c r="AC5" s="396">
        <f>BS[[#This Row],[CLEAN PRICE]]*BS[[#This Row],[BALANCE]]/100000</f>
        <v>916830000000</v>
      </c>
      <c r="AF5" s="629"/>
      <c r="AG5" s="630">
        <v>130105003</v>
      </c>
      <c r="AH5" s="233" t="s">
        <v>2888</v>
      </c>
      <c r="AI5" s="233">
        <v>4441206415167</v>
      </c>
      <c r="AK5" s="734"/>
      <c r="AL5" s="128">
        <v>30559</v>
      </c>
      <c r="AM5" s="128" t="s">
        <v>712</v>
      </c>
      <c r="AN5" s="736">
        <v>3.6</v>
      </c>
      <c r="AO5" s="128" t="s">
        <v>823</v>
      </c>
      <c r="AP5" s="49" t="s">
        <v>2180</v>
      </c>
      <c r="AQ5" s="530">
        <v>1000000</v>
      </c>
      <c r="AR5" s="500">
        <v>6049.7692300449107</v>
      </c>
      <c r="AS5" s="530">
        <v>108614</v>
      </c>
      <c r="AT5" s="530">
        <v>111968</v>
      </c>
      <c r="AU5" s="769">
        <v>3</v>
      </c>
      <c r="AV5" s="747">
        <v>116347000000</v>
      </c>
      <c r="AW5" s="534">
        <f>(_xlfn.XLOOKUP(RPBOD3[[#This Row],[Bonds_ShortName]],FNRP!D:D,FNRP!H:H,_xlfn.XLOOKUP(RPBOD3[[#This Row],[Bonds_ShortName]],FNRP!AV:AV,FNRP!AZ:AZ,,0),0)-RPBOD3[[#This Row],[PTCK_Remain]]-10^5)*RPBOD3[[#This Row],[Quantity]]</f>
        <v>-15314769230.044912</v>
      </c>
      <c r="AY5" s="128"/>
      <c r="AZ5" s="610">
        <v>46252</v>
      </c>
      <c r="BA5" s="850">
        <v>48879</v>
      </c>
      <c r="BB5" s="852" t="s">
        <v>615</v>
      </c>
      <c r="BC5" s="39" t="s">
        <v>824</v>
      </c>
      <c r="BD5" s="530">
        <v>5000000</v>
      </c>
      <c r="BE5" s="530">
        <v>116712</v>
      </c>
      <c r="BF5" s="658">
        <v>46062</v>
      </c>
      <c r="BG5" s="658">
        <v>46063</v>
      </c>
      <c r="BH5" s="658">
        <v>47855</v>
      </c>
      <c r="BI5" s="500">
        <v>587100000000</v>
      </c>
      <c r="BJ5" s="49">
        <v>7.6</v>
      </c>
      <c r="BK5" s="49">
        <v>6.1800458169999999</v>
      </c>
      <c r="BL5" s="630" t="s">
        <v>2172</v>
      </c>
      <c r="BM5" s="49" t="s">
        <v>1033</v>
      </c>
      <c r="BN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5" s="396">
        <f>(PTCK_offBS[[#This Row],[VALUE_DATE]]-PTCK_offBS[[#This Row],[LAST_PMT]])*PTCK_offBS[[#This Row],[COUPON_RATE]]*1000/(DATE(YEAR(PTCK_offBS[[#This Row],[LAST_PMT]])+1,MONTH(PTCK_offBS[[#This Row],[LAST_PMT]]),DAY(PTCK_offBS[[#This Row],[LAST_PMT]]))-PTCK_offBS[[#This Row],[LAST_PMT]])</f>
        <v>707.94520547945194</v>
      </c>
      <c r="BP5" s="396">
        <f>PTCK_offBS[[#This Row],[GROSS_AMOUNT]]/PTCK_offBS[[#This Row],[QUANTITY]]-PTCK_offBS[[#This Row],[START_ACC]]-10^5</f>
        <v>16712.054794520547</v>
      </c>
      <c r="BQ5" s="396">
        <f>IF(PTCK_offBS[[#This Row],[BS]]="Others",PTCK_offBS[[#This Row],[PTCK]]*(PTCK_offBS[[#This Row],[MATURITY_DATE]]-PTCK_offBS[[#This Row],[POSTED_DT]]-1)/(PTCK_offBS[[#This Row],[MATURITY_DATE]]-PTCK_offBS[[#This Row],[VALUE_DATE]]),PTCK_offBS[[#This Row],[PTCK]])</f>
        <v>14940.129341976515</v>
      </c>
      <c r="BR5" s="396">
        <f>PTCK_offBS[[#This Row],[PTCK remain]]*PTCK_offBS[[#This Row],[QUANTITY]]</f>
        <v>74700646709.882584</v>
      </c>
      <c r="BS5" s="128"/>
    </row>
    <row r="6" spans="1:71" x14ac:dyDescent="0.3">
      <c r="A6" s="550">
        <v>3</v>
      </c>
      <c r="B6" s="614" t="s">
        <v>1034</v>
      </c>
      <c r="C6" s="631">
        <f>C5+C4</f>
        <v>49272.011299999998</v>
      </c>
      <c r="D6" s="631">
        <f>D5+D4</f>
        <v>49201.001982877999</v>
      </c>
      <c r="E6" s="631">
        <f>E5+E4</f>
        <v>3365.9797460792493</v>
      </c>
      <c r="F6" s="632">
        <f t="shared" ref="F6:Q6" si="0">F5+F4</f>
        <v>-3436.9890632012471</v>
      </c>
      <c r="G6" s="728">
        <f t="shared" si="0"/>
        <v>-3436.9890632012502</v>
      </c>
      <c r="H6" s="631">
        <f t="shared" si="0"/>
        <v>-22894.7</v>
      </c>
      <c r="I6" s="631">
        <f t="shared" si="0"/>
        <v>-24978.901320000001</v>
      </c>
      <c r="J6" s="631">
        <f t="shared" si="0"/>
        <v>-2185.8493831667579</v>
      </c>
      <c r="K6" s="632">
        <f t="shared" si="0"/>
        <v>101.64806316675777</v>
      </c>
      <c r="L6" s="728">
        <f>L5+L4</f>
        <v>104.98872070100386</v>
      </c>
      <c r="M6" s="631">
        <f t="shared" si="0"/>
        <v>1994</v>
      </c>
      <c r="N6" s="631">
        <f t="shared" si="0"/>
        <v>1821.9373800000001</v>
      </c>
      <c r="O6" s="631">
        <f t="shared" si="0"/>
        <v>-47.7858334706604</v>
      </c>
      <c r="P6" s="632">
        <f t="shared" si="0"/>
        <v>-124.27678652933952</v>
      </c>
      <c r="Q6" s="728">
        <f t="shared" si="0"/>
        <v>-53.779166531818163</v>
      </c>
      <c r="R6" s="633"/>
      <c r="S6" s="11"/>
      <c r="T6" s="362"/>
      <c r="U6" s="375">
        <v>46252</v>
      </c>
      <c r="V6" s="128" t="s">
        <v>784</v>
      </c>
      <c r="W6" s="128" t="s">
        <v>822</v>
      </c>
      <c r="X6" s="530">
        <v>100000000000</v>
      </c>
      <c r="Y6" s="530">
        <v>103584</v>
      </c>
      <c r="Z6" s="530">
        <v>103584000000</v>
      </c>
      <c r="AA6" s="128" t="s">
        <v>2795</v>
      </c>
      <c r="AB6" s="533">
        <f>_xlfn.IFNA(VLOOKUP(BS[[#This Row],[BOND_CODE]],FNRP!D:I,6,0),VLOOKUP(BS[[#This Row],[BOND_CODE]],FNRP!AV:BA,6,0))</f>
        <v>103587</v>
      </c>
      <c r="AC6" s="396">
        <f>BS[[#This Row],[CLEAN PRICE]]*BS[[#This Row],[BALANCE]]/100000</f>
        <v>103587000000</v>
      </c>
      <c r="AF6" s="629"/>
      <c r="AG6" s="630">
        <v>130105004</v>
      </c>
      <c r="AH6" s="233" t="s">
        <v>3163</v>
      </c>
      <c r="AI6" s="233">
        <v>29322400000000</v>
      </c>
      <c r="AK6" s="734"/>
      <c r="AL6" s="128">
        <v>30557</v>
      </c>
      <c r="AM6" s="128" t="s">
        <v>632</v>
      </c>
      <c r="AN6" s="736">
        <v>2.7</v>
      </c>
      <c r="AO6" s="128" t="s">
        <v>907</v>
      </c>
      <c r="AP6" s="49" t="s">
        <v>2180</v>
      </c>
      <c r="AQ6" s="530">
        <v>1000000</v>
      </c>
      <c r="AR6" s="500">
        <v>-185.902104185307</v>
      </c>
      <c r="AS6" s="530">
        <v>99568</v>
      </c>
      <c r="AT6" s="530">
        <v>99753</v>
      </c>
      <c r="AU6" s="769">
        <v>2.75</v>
      </c>
      <c r="AV6" s="747">
        <v>116347000000</v>
      </c>
      <c r="AW6" s="534">
        <f>(_xlfn.XLOOKUP(RPBOD3[[#This Row],[Bonds_ShortName]],FNRP!D:D,FNRP!H:H,_xlfn.XLOOKUP(RPBOD3[[#This Row],[Bonds_ShortName]],FNRP!AV:AV,FNRP!AZ:AZ,,0),0)-RPBOD3[[#This Row],[PTCK_Remain]]-10^5)*RPBOD3[[#This Row],[Quantity]]</f>
        <v>-6851097895.8146877</v>
      </c>
      <c r="AY6" s="128"/>
      <c r="AZ6" s="610">
        <v>46252</v>
      </c>
      <c r="BA6" s="850">
        <v>48880</v>
      </c>
      <c r="BB6" s="852" t="s">
        <v>615</v>
      </c>
      <c r="BC6" s="39" t="s">
        <v>824</v>
      </c>
      <c r="BD6" s="530">
        <v>4400000</v>
      </c>
      <c r="BE6" s="530">
        <v>116712</v>
      </c>
      <c r="BF6" s="658">
        <v>46062</v>
      </c>
      <c r="BG6" s="658">
        <v>46063</v>
      </c>
      <c r="BH6" s="658">
        <v>47855</v>
      </c>
      <c r="BI6" s="500">
        <v>516648000000</v>
      </c>
      <c r="BJ6" s="49">
        <v>7.6</v>
      </c>
      <c r="BK6" s="49">
        <v>7.1800458169999999</v>
      </c>
      <c r="BL6" s="630" t="s">
        <v>2172</v>
      </c>
      <c r="BM6" s="49" t="s">
        <v>1033</v>
      </c>
      <c r="BN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6" s="396">
        <f>(PTCK_offBS[[#This Row],[VALUE_DATE]]-PTCK_offBS[[#This Row],[LAST_PMT]])*PTCK_offBS[[#This Row],[COUPON_RATE]]*1000/(DATE(YEAR(PTCK_offBS[[#This Row],[LAST_PMT]])+1,MONTH(PTCK_offBS[[#This Row],[LAST_PMT]]),DAY(PTCK_offBS[[#This Row],[LAST_PMT]]))-PTCK_offBS[[#This Row],[LAST_PMT]])</f>
        <v>707.94520547945194</v>
      </c>
      <c r="BP6" s="396">
        <f>PTCK_offBS[[#This Row],[GROSS_AMOUNT]]/PTCK_offBS[[#This Row],[QUANTITY]]-PTCK_offBS[[#This Row],[START_ACC]]-10^5</f>
        <v>16712.054794520547</v>
      </c>
      <c r="BQ6" s="396">
        <f>IF(PTCK_offBS[[#This Row],[BS]]="Others",PTCK_offBS[[#This Row],[PTCK]]*(PTCK_offBS[[#This Row],[MATURITY_DATE]]-PTCK_offBS[[#This Row],[POSTED_DT]]-1)/(PTCK_offBS[[#This Row],[MATURITY_DATE]]-PTCK_offBS[[#This Row],[VALUE_DATE]]),PTCK_offBS[[#This Row],[PTCK]])</f>
        <v>14940.129341976515</v>
      </c>
      <c r="BR6" s="396">
        <f>PTCK_offBS[[#This Row],[PTCK remain]]*PTCK_offBS[[#This Row],[QUANTITY]]</f>
        <v>65736569104.696671</v>
      </c>
      <c r="BS6" s="128"/>
    </row>
    <row r="7" spans="1:71" x14ac:dyDescent="0.3">
      <c r="A7" s="550">
        <v>4</v>
      </c>
      <c r="B7" s="551" t="s">
        <v>811</v>
      </c>
      <c r="C7" s="193">
        <f>SUM(Funding!L:L)/10^9</f>
        <v>28264.400000000001</v>
      </c>
      <c r="D7" s="634"/>
      <c r="E7" s="634"/>
      <c r="F7" s="634"/>
      <c r="G7" s="232"/>
      <c r="H7" s="232"/>
      <c r="I7" s="232"/>
      <c r="J7" s="232"/>
      <c r="K7" s="533"/>
      <c r="L7" s="232"/>
      <c r="M7" s="232"/>
      <c r="N7" s="232"/>
      <c r="O7" s="232"/>
      <c r="P7" s="533"/>
      <c r="Q7" s="232"/>
      <c r="R7" s="232"/>
      <c r="T7" s="362"/>
      <c r="U7" s="375">
        <v>46252</v>
      </c>
      <c r="V7" s="128" t="s">
        <v>2831</v>
      </c>
      <c r="W7" s="128" t="s">
        <v>1033</v>
      </c>
      <c r="X7" s="530">
        <v>550000000000</v>
      </c>
      <c r="Y7" s="530">
        <v>89245</v>
      </c>
      <c r="Z7" s="530">
        <v>490847500000</v>
      </c>
      <c r="AA7" s="128" t="s">
        <v>2795</v>
      </c>
      <c r="AB7" s="533">
        <f>_xlfn.IFNA(VLOOKUP(BS[[#This Row],[BOND_CODE]],FNRP!D:I,6,0),VLOOKUP(BS[[#This Row],[BOND_CODE]],FNRP!AV:BA,6,0))</f>
        <v>89242</v>
      </c>
      <c r="AC7" s="396">
        <f>BS[[#This Row],[CLEAN PRICE]]*BS[[#This Row],[BALANCE]]/100000</f>
        <v>490831000000</v>
      </c>
      <c r="AF7" s="629"/>
      <c r="AK7" s="734"/>
      <c r="AL7" s="128">
        <v>30558</v>
      </c>
      <c r="AM7" s="128" t="s">
        <v>695</v>
      </c>
      <c r="AN7" s="736">
        <v>2.9</v>
      </c>
      <c r="AO7" s="128" t="s">
        <v>907</v>
      </c>
      <c r="AP7" s="49" t="s">
        <v>2180</v>
      </c>
      <c r="AQ7" s="530">
        <v>1000000</v>
      </c>
      <c r="AR7" s="500">
        <v>-150.08739383515601</v>
      </c>
      <c r="AS7" s="530">
        <v>99758</v>
      </c>
      <c r="AT7" s="530">
        <v>99957</v>
      </c>
      <c r="AU7" s="769">
        <v>2.92</v>
      </c>
      <c r="AV7" s="747">
        <v>116347000000</v>
      </c>
      <c r="AW7" s="534">
        <f>(_xlfn.XLOOKUP(RPBOD3[[#This Row],[Bonds_ShortName]],FNRP!D:D,FNRP!H:H,_xlfn.XLOOKUP(RPBOD3[[#This Row],[Bonds_ShortName]],FNRP!AV:AV,FNRP!AZ:AZ,,0),0)-RPBOD3[[#This Row],[PTCK_Remain]]-10^5)*RPBOD3[[#This Row],[Quantity]]</f>
        <v>-14587912606.164843</v>
      </c>
      <c r="AY7" s="128"/>
      <c r="AZ7" s="610">
        <v>46252</v>
      </c>
      <c r="BA7" s="850">
        <v>50307</v>
      </c>
      <c r="BB7" s="852" t="s">
        <v>615</v>
      </c>
      <c r="BC7" s="39" t="s">
        <v>824</v>
      </c>
      <c r="BD7" s="530">
        <v>850000</v>
      </c>
      <c r="BE7" s="530">
        <v>115116</v>
      </c>
      <c r="BF7" s="658">
        <v>46244</v>
      </c>
      <c r="BG7" s="658">
        <v>46245</v>
      </c>
      <c r="BH7" s="658">
        <v>47855</v>
      </c>
      <c r="BI7" s="500">
        <v>101671900000</v>
      </c>
      <c r="BJ7" s="49">
        <v>7.6</v>
      </c>
      <c r="BK7" s="49">
        <v>8.1800458169999999</v>
      </c>
      <c r="BL7" s="630" t="s">
        <v>2172</v>
      </c>
      <c r="BM7" s="49" t="s">
        <v>1033</v>
      </c>
      <c r="BN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7" s="396">
        <f>(PTCK_offBS[[#This Row],[VALUE_DATE]]-PTCK_offBS[[#This Row],[LAST_PMT]])*PTCK_offBS[[#This Row],[COUPON_RATE]]*1000/(DATE(YEAR(PTCK_offBS[[#This Row],[LAST_PMT]])+1,MONTH(PTCK_offBS[[#This Row],[LAST_PMT]]),DAY(PTCK_offBS[[#This Row],[LAST_PMT]]))-PTCK_offBS[[#This Row],[LAST_PMT]])</f>
        <v>4497.5342465753429</v>
      </c>
      <c r="BP7" s="396">
        <f>PTCK_offBS[[#This Row],[GROSS_AMOUNT]]/PTCK_offBS[[#This Row],[QUANTITY]]-PTCK_offBS[[#This Row],[START_ACC]]-10^5</f>
        <v>15116.465753424651</v>
      </c>
      <c r="BQ7" s="396">
        <f>IF(PTCK_offBS[[#This Row],[BS]]="Others",PTCK_offBS[[#This Row],[PTCK]]*(PTCK_offBS[[#This Row],[MATURITY_DATE]]-PTCK_offBS[[#This Row],[POSTED_DT]]-1)/(PTCK_offBS[[#This Row],[MATURITY_DATE]]-PTCK_offBS[[#This Row],[VALUE_DATE]]),PTCK_offBS[[#This Row],[PTCK]])</f>
        <v>15041.352880115708</v>
      </c>
      <c r="BR7" s="396">
        <f>PTCK_offBS[[#This Row],[PTCK remain]]*PTCK_offBS[[#This Row],[QUANTITY]]</f>
        <v>12785149948.098352</v>
      </c>
      <c r="BS7" s="128"/>
    </row>
    <row r="8" spans="1:71" x14ac:dyDescent="0.3">
      <c r="A8" s="550">
        <v>5</v>
      </c>
      <c r="B8" s="551" t="s">
        <v>3068</v>
      </c>
      <c r="C8" s="193">
        <f>SUM(Funding!AG:AG)/10^9</f>
        <v>8541.9274000000005</v>
      </c>
      <c r="D8" s="634"/>
      <c r="E8" s="634"/>
      <c r="F8" s="634"/>
      <c r="G8" s="232"/>
      <c r="H8" s="702" t="s">
        <v>3661</v>
      </c>
      <c r="I8" s="702" t="s">
        <v>3663</v>
      </c>
      <c r="J8" s="703" t="s">
        <v>3662</v>
      </c>
      <c r="K8" s="703" t="s">
        <v>3664</v>
      </c>
      <c r="L8" s="704"/>
      <c r="M8" s="702" t="s">
        <v>3661</v>
      </c>
      <c r="N8" s="702" t="s">
        <v>3663</v>
      </c>
      <c r="O8" s="703" t="s">
        <v>3662</v>
      </c>
      <c r="P8" s="703" t="s">
        <v>3664</v>
      </c>
      <c r="Q8" s="232"/>
      <c r="R8" s="232"/>
      <c r="T8" s="362"/>
      <c r="U8" s="375">
        <v>46252</v>
      </c>
      <c r="V8" s="128" t="s">
        <v>709</v>
      </c>
      <c r="W8" s="128" t="s">
        <v>822</v>
      </c>
      <c r="X8" s="530">
        <v>100000000000</v>
      </c>
      <c r="Y8" s="530">
        <v>106262</v>
      </c>
      <c r="Z8" s="530">
        <v>106262000000</v>
      </c>
      <c r="AA8" s="128" t="s">
        <v>2795</v>
      </c>
      <c r="AB8" s="533">
        <f>_xlfn.IFNA(VLOOKUP(BS[[#This Row],[BOND_CODE]],FNRP!D:I,6,0),VLOOKUP(BS[[#This Row],[BOND_CODE]],FNRP!AV:BA,6,0))</f>
        <v>106262</v>
      </c>
      <c r="AC8" s="396">
        <f>BS[[#This Row],[CLEAN PRICE]]*BS[[#This Row],[BALANCE]]/100000</f>
        <v>106262000000</v>
      </c>
      <c r="AF8" s="629"/>
      <c r="AG8" s="625">
        <v>130105001</v>
      </c>
      <c r="AH8" s="635" t="s">
        <v>3180</v>
      </c>
      <c r="AK8" s="734"/>
      <c r="AL8" s="128">
        <v>25708</v>
      </c>
      <c r="AM8" s="128" t="s">
        <v>711</v>
      </c>
      <c r="AN8" s="736">
        <v>4.9000000000000004</v>
      </c>
      <c r="AO8" s="128" t="s">
        <v>823</v>
      </c>
      <c r="AP8" s="49" t="s">
        <v>2180</v>
      </c>
      <c r="AQ8" s="530">
        <v>928209</v>
      </c>
      <c r="AR8" s="500">
        <v>7824.0987507047766</v>
      </c>
      <c r="AS8" s="530">
        <v>111807</v>
      </c>
      <c r="AT8" s="530">
        <v>113199</v>
      </c>
      <c r="AU8" s="769">
        <v>4.0199999999999996</v>
      </c>
      <c r="AV8" s="747">
        <v>116347000000</v>
      </c>
      <c r="AW8" s="534">
        <f>(_xlfn.XLOOKUP(RPBOD3[[#This Row],[Bonds_ShortName]],FNRP!D:D,FNRP!H:H,_xlfn.XLOOKUP(RPBOD3[[#This Row],[Bonds_ShortName]],FNRP!AV:AV,FNRP!AZ:AZ,,0),0)-RPBOD3[[#This Row],[PTCK_Remain]]-10^5)*RPBOD3[[#This Row],[Quantity]]</f>
        <v>-3915277223.2929358</v>
      </c>
      <c r="AY8" s="128"/>
      <c r="AZ8" s="610">
        <v>46252</v>
      </c>
      <c r="BA8" s="850">
        <v>50321</v>
      </c>
      <c r="BB8" s="852" t="s">
        <v>615</v>
      </c>
      <c r="BC8" s="39" t="s">
        <v>824</v>
      </c>
      <c r="BD8" s="530">
        <v>450000</v>
      </c>
      <c r="BE8" s="530">
        <v>115116</v>
      </c>
      <c r="BF8" s="658">
        <v>46244</v>
      </c>
      <c r="BG8" s="658">
        <v>46245</v>
      </c>
      <c r="BH8" s="658">
        <v>47855</v>
      </c>
      <c r="BI8" s="500">
        <v>53826300000</v>
      </c>
      <c r="BJ8" s="49">
        <v>7.6</v>
      </c>
      <c r="BK8" s="49">
        <v>9.1800458169999999</v>
      </c>
      <c r="BL8" s="630" t="s">
        <v>2172</v>
      </c>
      <c r="BM8" s="49" t="s">
        <v>1033</v>
      </c>
      <c r="BN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8" s="396">
        <f>(PTCK_offBS[[#This Row],[VALUE_DATE]]-PTCK_offBS[[#This Row],[LAST_PMT]])*PTCK_offBS[[#This Row],[COUPON_RATE]]*1000/(DATE(YEAR(PTCK_offBS[[#This Row],[LAST_PMT]])+1,MONTH(PTCK_offBS[[#This Row],[LAST_PMT]]),DAY(PTCK_offBS[[#This Row],[LAST_PMT]]))-PTCK_offBS[[#This Row],[LAST_PMT]])</f>
        <v>4497.5342465753429</v>
      </c>
      <c r="BP8" s="396">
        <f>PTCK_offBS[[#This Row],[GROSS_AMOUNT]]/PTCK_offBS[[#This Row],[QUANTITY]]-PTCK_offBS[[#This Row],[START_ACC]]-10^5</f>
        <v>15116.465753424651</v>
      </c>
      <c r="BQ8" s="396">
        <f>IF(PTCK_offBS[[#This Row],[BS]]="Others",PTCK_offBS[[#This Row],[PTCK]]*(PTCK_offBS[[#This Row],[MATURITY_DATE]]-PTCK_offBS[[#This Row],[POSTED_DT]]-1)/(PTCK_offBS[[#This Row],[MATURITY_DATE]]-PTCK_offBS[[#This Row],[VALUE_DATE]]),PTCK_offBS[[#This Row],[PTCK]])</f>
        <v>15041.352880115708</v>
      </c>
      <c r="BR8" s="396">
        <f>PTCK_offBS[[#This Row],[PTCK remain]]*PTCK_offBS[[#This Row],[QUANTITY]]</f>
        <v>6768608796.0520687</v>
      </c>
      <c r="BS8" s="128"/>
    </row>
    <row r="9" spans="1:71" ht="28.8" x14ac:dyDescent="0.3">
      <c r="A9" s="550">
        <v>6</v>
      </c>
      <c r="B9" s="553" t="s">
        <v>3154</v>
      </c>
      <c r="C9" s="636">
        <f>C5+C4-C7-C8</f>
        <v>12465.683899999996</v>
      </c>
      <c r="D9" s="634"/>
      <c r="E9" s="660"/>
      <c r="F9" s="660"/>
      <c r="G9" s="660"/>
      <c r="H9" s="706">
        <f>SUMIFS('Giam sat'!BL:BL,'Giam sat'!BI:BI,"V",'Giam sat'!BK:BK,"&gt;"&amp;RPT,'Giam sat'!BH:BH,"&lt;&gt;AFS-PHUONG",'Giam sat'!BH:BH, "&lt;&gt;AFS-ALM")/10^4</f>
        <v>200</v>
      </c>
      <c r="I9" s="706">
        <f>SUMIFS('Giam sat'!BP:BP,'Giam sat'!BI:BI,"V",'Giam sat'!BK:BK,"&gt;"&amp;RPT,'Giam sat'!BH:BH,"&lt;&gt;AFS-PHUONG",'Giam sat'!BH:BH, "&lt;&gt;AFS-ALM")/10^9</f>
        <v>-5.6213424657534343</v>
      </c>
      <c r="J9" s="705">
        <f>SUMIFS('Giam sat'!AW:AW,'Giam sat'!AR:AR,"V",'Giam sat'!AT:AT,"&gt;"&amp;RPT,'Giam sat'!AQ:AQ,"&lt;&gt;AFS-PHUONG",'Giam sat'!AQ:AQ, "&lt;&gt;AFS-ALM")/10^4</f>
        <v>23094.7</v>
      </c>
      <c r="K9" s="705">
        <f>SUMIFS('Giam sat'!BA:BA,'Giam sat'!AR:AR,"V",'Giam sat'!AT:AT,"&gt;"&amp;RPT,'Giam sat'!AQ:AQ,"&lt;&gt;AFS-PHUONG",'Giam sat'!AQ:AQ, "&lt;&gt;AFS-ALM")/10^9</f>
        <v>-110.6100631667573</v>
      </c>
      <c r="L9" s="534"/>
      <c r="M9" s="706">
        <f>SUMIFS('Giam sat'!BL:BL,'Giam sat'!BI:BI,"&lt;&gt;V",'Giam sat'!BH:BH,"&lt;&gt;AFS-PHUONG",'Giam sat'!BH:BH, "&lt;&gt;AFS-ALM")/10^4</f>
        <v>3906</v>
      </c>
      <c r="N9" s="706">
        <f>SUMIFS('Giam sat'!BP:BP,'Giam sat'!BI:BI,"&lt;&gt;V",'Giam sat'!BH:BH,"&lt;&gt;AFS-PHUONG",'Giam sat'!BH:BH, "&lt;&gt;AFS-ALM")/10^9</f>
        <v>-176.21286000247858</v>
      </c>
      <c r="O9" s="705">
        <f>SUMIFS('Giam sat'!AW:AW,'Giam sat'!AR:AR,"&lt;&gt;V",'Giam sat'!AQ:AQ,"&lt;&gt;AFS-PHUONG",'Giam sat'!AQ:AQ, "&lt;&gt;AFS-ALM")/10^4</f>
        <v>1912</v>
      </c>
      <c r="P9" s="705">
        <f>SUMIFS('Giam sat'!BA:BA,'Giam sat'!AR:AR,"&lt;&gt;V",'Giam sat'!AQ:AQ,"&lt;&gt;AFS-PHUONG",'Giam sat'!AQ:AQ, "&lt;&gt;AFS-ALM")/10^9</f>
        <v>-122.43369347066042</v>
      </c>
      <c r="Q9" s="232"/>
      <c r="R9" s="232"/>
      <c r="T9" s="362"/>
      <c r="U9" s="375">
        <v>46252</v>
      </c>
      <c r="V9" s="128" t="s">
        <v>711</v>
      </c>
      <c r="W9" s="128" t="s">
        <v>822</v>
      </c>
      <c r="X9" s="530">
        <v>142820900000</v>
      </c>
      <c r="Y9" s="530">
        <v>103606</v>
      </c>
      <c r="Z9" s="530">
        <v>147971021654</v>
      </c>
      <c r="AA9" s="128" t="s">
        <v>2795</v>
      </c>
      <c r="AB9" s="533">
        <f>_xlfn.IFNA(VLOOKUP(BS[[#This Row],[BOND_CODE]],FNRP!D:I,6,0),VLOOKUP(BS[[#This Row],[BOND_CODE]],FNRP!AV:BA,6,0))</f>
        <v>103606</v>
      </c>
      <c r="AC9" s="396">
        <f>BS[[#This Row],[CLEAN PRICE]]*BS[[#This Row],[BALANCE]]/100000</f>
        <v>147971021654</v>
      </c>
      <c r="AF9" s="629"/>
      <c r="AG9" s="625">
        <v>130105004</v>
      </c>
      <c r="AH9" s="635" t="s">
        <v>3181</v>
      </c>
      <c r="AK9" s="734"/>
      <c r="AL9" s="128">
        <v>48970</v>
      </c>
      <c r="AM9" s="128" t="s">
        <v>3317</v>
      </c>
      <c r="AN9" s="736">
        <v>3.3</v>
      </c>
      <c r="AO9" s="128" t="s">
        <v>823</v>
      </c>
      <c r="AP9" s="49" t="s">
        <v>824</v>
      </c>
      <c r="AQ9" s="530">
        <v>1390000</v>
      </c>
      <c r="AR9" s="500">
        <v>-1228.259407671705</v>
      </c>
      <c r="AS9" s="530">
        <v>98701</v>
      </c>
      <c r="AT9" s="530">
        <v>100410</v>
      </c>
      <c r="AU9" s="769">
        <v>3.4611999999999998</v>
      </c>
      <c r="AV9" s="747">
        <v>116347000000</v>
      </c>
      <c r="AW9" s="534">
        <f>(_xlfn.XLOOKUP(RPBOD3[[#This Row],[Bonds_ShortName]],FNRP!D:D,FNRP!H:H,_xlfn.XLOOKUP(RPBOD3[[#This Row],[Bonds_ShortName]],FNRP!AV:AV,FNRP!AZ:AZ,,0),0)-RPBOD3[[#This Row],[PTCK_Remain]]-10^5)*RPBOD3[[#This Row],[Quantity]]</f>
        <v>-9430789423.3363266</v>
      </c>
      <c r="AY9" s="128"/>
      <c r="AZ9" s="610">
        <v>46252</v>
      </c>
      <c r="BA9" s="850">
        <v>48883</v>
      </c>
      <c r="BB9" s="852" t="s">
        <v>718</v>
      </c>
      <c r="BC9" s="39" t="s">
        <v>824</v>
      </c>
      <c r="BD9" s="530">
        <v>4900000</v>
      </c>
      <c r="BE9" s="530">
        <v>146663</v>
      </c>
      <c r="BF9" s="658">
        <v>46062</v>
      </c>
      <c r="BG9" s="658">
        <v>46063</v>
      </c>
      <c r="BH9" s="658">
        <v>53355</v>
      </c>
      <c r="BI9" s="500">
        <v>720045200000</v>
      </c>
      <c r="BJ9" s="49">
        <v>8</v>
      </c>
      <c r="BK9" s="49">
        <v>10.180045817</v>
      </c>
      <c r="BL9" s="630" t="s">
        <v>2172</v>
      </c>
      <c r="BM9" s="49" t="s">
        <v>1033</v>
      </c>
      <c r="BN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9" s="396">
        <f>(PTCK_offBS[[#This Row],[VALUE_DATE]]-PTCK_offBS[[#This Row],[LAST_PMT]])*PTCK_offBS[[#This Row],[COUPON_RATE]]*1000/(DATE(YEAR(PTCK_offBS[[#This Row],[LAST_PMT]])+1,MONTH(PTCK_offBS[[#This Row],[LAST_PMT]]),DAY(PTCK_offBS[[#This Row],[LAST_PMT]]))-PTCK_offBS[[#This Row],[LAST_PMT]])</f>
        <v>284.93150684931504</v>
      </c>
      <c r="BP9" s="396">
        <f>PTCK_offBS[[#This Row],[GROSS_AMOUNT]]/PTCK_offBS[[#This Row],[QUANTITY]]-PTCK_offBS[[#This Row],[START_ACC]]-10^5</f>
        <v>46663.068493150698</v>
      </c>
      <c r="BQ9" s="396">
        <f>IF(PTCK_offBS[[#This Row],[BS]]="Others",PTCK_offBS[[#This Row],[PTCK]]*(PTCK_offBS[[#This Row],[MATURITY_DATE]]-PTCK_offBS[[#This Row],[POSTED_DT]]-1)/(PTCK_offBS[[#This Row],[MATURITY_DATE]]-PTCK_offBS[[#This Row],[VALUE_DATE]]),PTCK_offBS[[#This Row],[PTCK]])</f>
        <v>45447.217833016497</v>
      </c>
      <c r="BR9" s="396">
        <f>PTCK_offBS[[#This Row],[PTCK remain]]*PTCK_offBS[[#This Row],[QUANTITY]]</f>
        <v>222691367381.78082</v>
      </c>
      <c r="BS9" s="128"/>
    </row>
    <row r="10" spans="1:71" x14ac:dyDescent="0.3">
      <c r="I10" s="708" t="s">
        <v>3665</v>
      </c>
      <c r="J10" s="534">
        <f>H9-J9-H4</f>
        <v>0</v>
      </c>
      <c r="K10" s="707">
        <f>I9-K9-L4</f>
        <v>0</v>
      </c>
      <c r="N10" s="708" t="s">
        <v>3665</v>
      </c>
      <c r="O10" s="707">
        <f>M9-O9-M4</f>
        <v>0</v>
      </c>
      <c r="P10" s="707">
        <f>N9-P9-Q4</f>
        <v>0</v>
      </c>
      <c r="Q10" s="709">
        <f>SUM(J10:K10,O10:P10)</f>
        <v>0</v>
      </c>
      <c r="R10" s="232"/>
      <c r="T10" s="362"/>
      <c r="U10" s="375">
        <v>46252</v>
      </c>
      <c r="V10" s="128" t="s">
        <v>702</v>
      </c>
      <c r="W10" s="128" t="s">
        <v>1033</v>
      </c>
      <c r="X10" s="530">
        <v>-50000000000</v>
      </c>
      <c r="Y10" s="530">
        <v>82992</v>
      </c>
      <c r="Z10" s="530">
        <v>-41496000000</v>
      </c>
      <c r="AA10" s="128" t="s">
        <v>2796</v>
      </c>
      <c r="AB10" s="533">
        <f>_xlfn.IFNA(VLOOKUP(BS[[#This Row],[BOND_CODE]],FNRP!D:I,6,0),VLOOKUP(BS[[#This Row],[BOND_CODE]],FNRP!AV:BA,6,0))</f>
        <v>82987</v>
      </c>
      <c r="AC10" s="396">
        <f>BS[[#This Row],[CLEAN PRICE]]*BS[[#This Row],[BALANCE]]/100000</f>
        <v>-41493500000</v>
      </c>
      <c r="AF10" s="629"/>
      <c r="AI10" s="637"/>
      <c r="AK10" s="734"/>
      <c r="AL10" s="128">
        <v>45148</v>
      </c>
      <c r="AM10" s="128" t="s">
        <v>596</v>
      </c>
      <c r="AN10" s="736">
        <v>7.83</v>
      </c>
      <c r="AO10" s="128" t="s">
        <v>895</v>
      </c>
      <c r="AP10" s="49" t="s">
        <v>824</v>
      </c>
      <c r="AQ10" s="530">
        <v>1000000</v>
      </c>
      <c r="AR10" s="500">
        <v>10706.0939965911</v>
      </c>
      <c r="AS10" s="530">
        <v>116303</v>
      </c>
      <c r="AT10" s="530">
        <v>118234</v>
      </c>
      <c r="AU10" s="769">
        <v>3.9902000000000002</v>
      </c>
      <c r="AV10" s="747">
        <v>116347000000</v>
      </c>
      <c r="AW10" s="534">
        <f>(_xlfn.XLOOKUP(RPBOD3[[#This Row],[Bonds_ShortName]],FNRP!D:D,FNRP!H:H,_xlfn.XLOOKUP(RPBOD3[[#This Row],[Bonds_ShortName]],FNRP!AV:AV,FNRP!AZ:AZ,,0),0)-RPBOD3[[#This Row],[PTCK_Remain]]-10^5)*RPBOD3[[#This Row],[Quantity]]</f>
        <v>-411093996.59109479</v>
      </c>
      <c r="AY10" s="128"/>
      <c r="AZ10" s="610">
        <v>46252</v>
      </c>
      <c r="BA10" s="850">
        <v>50270</v>
      </c>
      <c r="BB10" s="852" t="s">
        <v>718</v>
      </c>
      <c r="BC10" s="39" t="s">
        <v>824</v>
      </c>
      <c r="BD10" s="530">
        <v>700000</v>
      </c>
      <c r="BE10" s="530">
        <v>145744</v>
      </c>
      <c r="BF10" s="658">
        <v>46244</v>
      </c>
      <c r="BG10" s="658">
        <v>46245</v>
      </c>
      <c r="BH10" s="658">
        <v>53355</v>
      </c>
      <c r="BI10" s="500">
        <v>105012600000</v>
      </c>
      <c r="BJ10" s="49">
        <v>8</v>
      </c>
      <c r="BK10" s="49">
        <v>11.180045817</v>
      </c>
      <c r="BL10" s="630" t="s">
        <v>2172</v>
      </c>
      <c r="BM10" s="49" t="s">
        <v>1033</v>
      </c>
      <c r="BN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0" s="396">
        <f>(PTCK_offBS[[#This Row],[VALUE_DATE]]-PTCK_offBS[[#This Row],[LAST_PMT]])*PTCK_offBS[[#This Row],[COUPON_RATE]]*1000/(DATE(YEAR(PTCK_offBS[[#This Row],[LAST_PMT]])+1,MONTH(PTCK_offBS[[#This Row],[LAST_PMT]]),DAY(PTCK_offBS[[#This Row],[LAST_PMT]]))-PTCK_offBS[[#This Row],[LAST_PMT]])</f>
        <v>4273.9726027397264</v>
      </c>
      <c r="BP10" s="396">
        <f>PTCK_offBS[[#This Row],[GROSS_AMOUNT]]/PTCK_offBS[[#This Row],[QUANTITY]]-PTCK_offBS[[#This Row],[START_ACC]]-10^5</f>
        <v>45744.027397260274</v>
      </c>
      <c r="BQ10" s="396">
        <f>IF(PTCK_offBS[[#This Row],[BS]]="Others",PTCK_offBS[[#This Row],[PTCK]]*(PTCK_offBS[[#This Row],[MATURITY_DATE]]-PTCK_offBS[[#This Row],[POSTED_DT]]-1)/(PTCK_offBS[[#This Row],[MATURITY_DATE]]-PTCK_offBS[[#This Row],[VALUE_DATE]]),PTCK_offBS[[#This Row],[PTCK]])</f>
        <v>45692.557324239446</v>
      </c>
      <c r="BR10" s="396">
        <f>PTCK_offBS[[#This Row],[PTCK remain]]*PTCK_offBS[[#This Row],[QUANTITY]]</f>
        <v>31984790126.967613</v>
      </c>
      <c r="BS10" s="128"/>
    </row>
    <row r="11" spans="1:71" x14ac:dyDescent="0.3">
      <c r="B11" s="12"/>
      <c r="C11" s="634"/>
      <c r="G11" s="629"/>
      <c r="T11" s="362"/>
      <c r="U11" s="375">
        <v>46252</v>
      </c>
      <c r="V11" s="128" t="s">
        <v>2775</v>
      </c>
      <c r="W11" s="128" t="s">
        <v>1033</v>
      </c>
      <c r="X11" s="530">
        <v>400000000000</v>
      </c>
      <c r="Y11" s="530">
        <v>87344</v>
      </c>
      <c r="Z11" s="530">
        <v>349376000000</v>
      </c>
      <c r="AA11" s="128" t="s">
        <v>2795</v>
      </c>
      <c r="AB11" s="533">
        <f>_xlfn.IFNA(VLOOKUP(BS[[#This Row],[BOND_CODE]],FNRP!D:I,6,0),VLOOKUP(BS[[#This Row],[BOND_CODE]],FNRP!AV:BA,6,0))</f>
        <v>87342</v>
      </c>
      <c r="AC11" s="396">
        <f>BS[[#This Row],[CLEAN PRICE]]*BS[[#This Row],[BALANCE]]/100000</f>
        <v>349368000000</v>
      </c>
      <c r="AF11" s="629"/>
      <c r="AH11" s="128"/>
      <c r="AK11" s="734"/>
      <c r="AL11" s="128">
        <v>49634</v>
      </c>
      <c r="AM11" s="128" t="s">
        <v>2497</v>
      </c>
      <c r="AN11" s="736">
        <v>4.2</v>
      </c>
      <c r="AO11" s="128" t="s">
        <v>823</v>
      </c>
      <c r="AP11" s="49" t="s">
        <v>824</v>
      </c>
      <c r="AQ11" s="530">
        <v>500000</v>
      </c>
      <c r="AR11" s="500">
        <v>1744.0264581735521</v>
      </c>
      <c r="AS11" s="530">
        <v>101757</v>
      </c>
      <c r="AT11" s="530">
        <v>102609</v>
      </c>
      <c r="AU11" s="769">
        <v>4.09</v>
      </c>
      <c r="AV11" s="747">
        <v>116347000000</v>
      </c>
      <c r="AW11" s="534">
        <f>(_xlfn.XLOOKUP(RPBOD3[[#This Row],[Bonds_ShortName]],FNRP!D:D,FNRP!H:H,_xlfn.XLOOKUP(RPBOD3[[#This Row],[Bonds_ShortName]],FNRP!AV:AV,FNRP!AZ:AZ,,0),0)-RPBOD3[[#This Row],[PTCK_Remain]]-10^5)*RPBOD3[[#This Row],[Quantity]]</f>
        <v>-4707013229.0867767</v>
      </c>
      <c r="AY11" s="128"/>
      <c r="AZ11" s="610">
        <v>46252</v>
      </c>
      <c r="BA11" s="850">
        <v>49812</v>
      </c>
      <c r="BB11" s="852" t="s">
        <v>615</v>
      </c>
      <c r="BC11" s="39" t="s">
        <v>824</v>
      </c>
      <c r="BD11" s="530">
        <v>1500000</v>
      </c>
      <c r="BE11" s="530">
        <v>118276</v>
      </c>
      <c r="BF11" s="658">
        <v>46210</v>
      </c>
      <c r="BG11" s="658">
        <v>46211</v>
      </c>
      <c r="BH11" s="658">
        <v>47855</v>
      </c>
      <c r="BI11" s="500">
        <v>183099000000</v>
      </c>
      <c r="BJ11" s="49">
        <v>7.6</v>
      </c>
      <c r="BK11" s="49">
        <v>12.180045817</v>
      </c>
      <c r="BL11" s="630" t="s">
        <v>2172</v>
      </c>
      <c r="BM11" s="49" t="s">
        <v>1033</v>
      </c>
      <c r="BN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11" s="396">
        <f>(PTCK_offBS[[#This Row],[VALUE_DATE]]-PTCK_offBS[[#This Row],[LAST_PMT]])*PTCK_offBS[[#This Row],[COUPON_RATE]]*1000/(DATE(YEAR(PTCK_offBS[[#This Row],[LAST_PMT]])+1,MONTH(PTCK_offBS[[#This Row],[LAST_PMT]]),DAY(PTCK_offBS[[#This Row],[LAST_PMT]]))-PTCK_offBS[[#This Row],[LAST_PMT]])</f>
        <v>3789.5890410958905</v>
      </c>
      <c r="BP11" s="396">
        <f>PTCK_offBS[[#This Row],[GROSS_AMOUNT]]/PTCK_offBS[[#This Row],[QUANTITY]]-PTCK_offBS[[#This Row],[START_ACC]]-10^5</f>
        <v>18276.410958904104</v>
      </c>
      <c r="BQ11" s="396">
        <f>IF(PTCK_offBS[[#This Row],[BS]]="Others",PTCK_offBS[[#This Row],[PTCK]]*(PTCK_offBS[[#This Row],[MATURITY_DATE]]-PTCK_offBS[[#This Row],[POSTED_DT]]-1)/(PTCK_offBS[[#This Row],[MATURITY_DATE]]-PTCK_offBS[[#This Row],[VALUE_DATE]]),PTCK_offBS[[#This Row],[PTCK]])</f>
        <v>17809.495350464946</v>
      </c>
      <c r="BR11" s="396">
        <f>PTCK_offBS[[#This Row],[PTCK remain]]*PTCK_offBS[[#This Row],[QUANTITY]]</f>
        <v>26714243025.697418</v>
      </c>
      <c r="BS11" s="128"/>
    </row>
    <row r="12" spans="1:71" x14ac:dyDescent="0.3">
      <c r="B12" s="638" t="s">
        <v>3156</v>
      </c>
      <c r="C12" s="639" t="s">
        <v>3650</v>
      </c>
      <c r="D12" s="639" t="s">
        <v>3155</v>
      </c>
      <c r="E12" s="639" t="s">
        <v>3151</v>
      </c>
      <c r="F12" s="639" t="s">
        <v>3164</v>
      </c>
      <c r="G12" s="640" t="s">
        <v>2856</v>
      </c>
      <c r="I12" s="641"/>
      <c r="J12" s="362"/>
      <c r="K12" s="555"/>
      <c r="T12" s="362"/>
      <c r="U12" s="375">
        <v>46252</v>
      </c>
      <c r="V12" s="128" t="s">
        <v>2799</v>
      </c>
      <c r="W12" s="128" t="s">
        <v>1033</v>
      </c>
      <c r="X12" s="530">
        <v>400000000000</v>
      </c>
      <c r="Y12" s="530">
        <v>86142</v>
      </c>
      <c r="Z12" s="530">
        <v>344568000000</v>
      </c>
      <c r="AA12" s="128" t="s">
        <v>2795</v>
      </c>
      <c r="AB12" s="533">
        <f>_xlfn.IFNA(VLOOKUP(BS[[#This Row],[BOND_CODE]],FNRP!D:I,6,0),VLOOKUP(BS[[#This Row],[BOND_CODE]],FNRP!AV:BA,6,0))</f>
        <v>86137</v>
      </c>
      <c r="AC12" s="396">
        <f>BS[[#This Row],[CLEAN PRICE]]*BS[[#This Row],[BALANCE]]/100000</f>
        <v>344548000000</v>
      </c>
      <c r="AF12" s="629"/>
      <c r="AG12" s="128" t="s">
        <v>3627</v>
      </c>
      <c r="AH12" s="128"/>
      <c r="AK12" s="734"/>
      <c r="AL12" s="128">
        <v>45226</v>
      </c>
      <c r="AM12" s="128" t="s">
        <v>713</v>
      </c>
      <c r="AN12" s="736">
        <v>3.3</v>
      </c>
      <c r="AO12" s="128" t="s">
        <v>823</v>
      </c>
      <c r="AP12" s="49" t="s">
        <v>2180</v>
      </c>
      <c r="AQ12" s="530">
        <v>1000000</v>
      </c>
      <c r="AR12" s="500">
        <v>6421.7712400991804</v>
      </c>
      <c r="AS12" s="530">
        <v>107144</v>
      </c>
      <c r="AT12" s="530">
        <v>108536</v>
      </c>
      <c r="AU12" s="769">
        <v>2.73</v>
      </c>
      <c r="AV12" s="747">
        <v>116347000000</v>
      </c>
      <c r="AW12" s="534">
        <f>(_xlfn.XLOOKUP(RPBOD3[[#This Row],[Bonds_ShortName]],FNRP!D:D,FNRP!H:H,_xlfn.XLOOKUP(RPBOD3[[#This Row],[Bonds_ShortName]],FNRP!AV:AV,FNRP!AZ:AZ,,0),0)-RPBOD3[[#This Row],[PTCK_Remain]]-10^5)*RPBOD3[[#This Row],[Quantity]]</f>
        <v>-19181771240.099186</v>
      </c>
      <c r="AY12" s="128"/>
      <c r="AZ12" s="610">
        <v>46252</v>
      </c>
      <c r="BA12" s="850">
        <v>50272</v>
      </c>
      <c r="BB12" s="852" t="s">
        <v>718</v>
      </c>
      <c r="BC12" s="39" t="s">
        <v>824</v>
      </c>
      <c r="BD12" s="530">
        <v>2200000</v>
      </c>
      <c r="BE12" s="530">
        <v>145896</v>
      </c>
      <c r="BF12" s="658">
        <v>46237</v>
      </c>
      <c r="BG12" s="658">
        <v>46238</v>
      </c>
      <c r="BH12" s="658">
        <v>53355</v>
      </c>
      <c r="BI12" s="500">
        <v>330037400000</v>
      </c>
      <c r="BJ12" s="49">
        <v>8</v>
      </c>
      <c r="BK12" s="49">
        <v>13.180045817</v>
      </c>
      <c r="BL12" s="630" t="s">
        <v>2172</v>
      </c>
      <c r="BM12" s="49" t="s">
        <v>1033</v>
      </c>
      <c r="BN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2" s="396">
        <f>(PTCK_offBS[[#This Row],[VALUE_DATE]]-PTCK_offBS[[#This Row],[LAST_PMT]])*PTCK_offBS[[#This Row],[COUPON_RATE]]*1000/(DATE(YEAR(PTCK_offBS[[#This Row],[LAST_PMT]])+1,MONTH(PTCK_offBS[[#This Row],[LAST_PMT]]),DAY(PTCK_offBS[[#This Row],[LAST_PMT]]))-PTCK_offBS[[#This Row],[LAST_PMT]])</f>
        <v>4120.5479452054797</v>
      </c>
      <c r="BP12" s="396">
        <f>PTCK_offBS[[#This Row],[GROSS_AMOUNT]]/PTCK_offBS[[#This Row],[QUANTITY]]-PTCK_offBS[[#This Row],[START_ACC]]-10^5</f>
        <v>45896.452054794529</v>
      </c>
      <c r="BQ12" s="396">
        <f>IF(PTCK_offBS[[#This Row],[BS]]="Others",PTCK_offBS[[#This Row],[PTCK]]*(PTCK_offBS[[#This Row],[MATURITY_DATE]]-PTCK_offBS[[#This Row],[POSTED_DT]]-1)/(PTCK_offBS[[#This Row],[MATURITY_DATE]]-PTCK_offBS[[#This Row],[VALUE_DATE]]),PTCK_offBS[[#This Row],[PTCK]])</f>
        <v>45799.719333026667</v>
      </c>
      <c r="BR12" s="396">
        <f>PTCK_offBS[[#This Row],[PTCK remain]]*PTCK_offBS[[#This Row],[QUANTITY]]</f>
        <v>100759382532.65866</v>
      </c>
      <c r="BS12" s="128"/>
    </row>
    <row r="13" spans="1:71" x14ac:dyDescent="0.3">
      <c r="B13" s="547" t="s">
        <v>3588</v>
      </c>
      <c r="C13" s="699"/>
      <c r="D13" s="699">
        <f>C5+C4</f>
        <v>49272.011299999998</v>
      </c>
      <c r="E13" s="699">
        <f>SUM(AP:AP)/10^4</f>
        <v>49272.011299999998</v>
      </c>
      <c r="F13" s="699">
        <f>SUMIFS(AI:AI,AH:AH,"Mệnh giá")/10^9</f>
        <v>49272.011299999998</v>
      </c>
      <c r="G13" s="723">
        <f>ROUND((D13*2-E13-F13)/2,5)</f>
        <v>0</v>
      </c>
      <c r="I13" s="229"/>
      <c r="T13" s="362"/>
      <c r="U13" s="375">
        <v>46252</v>
      </c>
      <c r="V13" s="128" t="s">
        <v>2774</v>
      </c>
      <c r="W13" s="128" t="s">
        <v>1033</v>
      </c>
      <c r="X13" s="530">
        <v>250000000000</v>
      </c>
      <c r="Y13" s="530">
        <v>90880</v>
      </c>
      <c r="Z13" s="530">
        <v>227200000000</v>
      </c>
      <c r="AA13" s="128" t="s">
        <v>2795</v>
      </c>
      <c r="AB13" s="533">
        <f>_xlfn.IFNA(VLOOKUP(BS[[#This Row],[BOND_CODE]],FNRP!D:I,6,0),VLOOKUP(BS[[#This Row],[BOND_CODE]],FNRP!AV:BA,6,0))</f>
        <v>90876</v>
      </c>
      <c r="AC13" s="396">
        <f>BS[[#This Row],[CLEAN PRICE]]*BS[[#This Row],[BALANCE]]/100000</f>
        <v>227190000000</v>
      </c>
      <c r="AF13" s="629"/>
      <c r="AG13" s="128" t="s">
        <v>3628</v>
      </c>
      <c r="AH13" s="128"/>
      <c r="AK13" s="734"/>
      <c r="AL13" s="128">
        <v>49181</v>
      </c>
      <c r="AM13" s="128" t="s">
        <v>2834</v>
      </c>
      <c r="AN13" s="736">
        <v>2.7</v>
      </c>
      <c r="AO13" s="128" t="s">
        <v>823</v>
      </c>
      <c r="AP13" s="49" t="s">
        <v>824</v>
      </c>
      <c r="AQ13" s="530">
        <v>2500000</v>
      </c>
      <c r="AR13" s="500">
        <v>-2748.5665655803241</v>
      </c>
      <c r="AS13" s="530">
        <v>97103</v>
      </c>
      <c r="AT13" s="530">
        <v>98997</v>
      </c>
      <c r="AU13" s="769">
        <v>3.1</v>
      </c>
      <c r="AV13" s="747">
        <v>116347000000</v>
      </c>
      <c r="AW13" s="534">
        <f>(_xlfn.XLOOKUP(RPBOD3[[#This Row],[Bonds_ShortName]],FNRP!D:D,FNRP!H:H,_xlfn.XLOOKUP(RPBOD3[[#This Row],[Bonds_ShortName]],FNRP!AV:AV,FNRP!AZ:AZ,,0),0)-RPBOD3[[#This Row],[PTCK_Remain]]-10^5)*RPBOD3[[#This Row],[Quantity]]</f>
        <v>-20158583586.04921</v>
      </c>
      <c r="AY13" s="128"/>
      <c r="AZ13" s="610">
        <v>46252</v>
      </c>
      <c r="BA13" s="850">
        <v>49194</v>
      </c>
      <c r="BB13" s="852" t="s">
        <v>718</v>
      </c>
      <c r="BC13" s="39" t="s">
        <v>824</v>
      </c>
      <c r="BD13" s="530">
        <v>500000</v>
      </c>
      <c r="BE13" s="530">
        <v>152213</v>
      </c>
      <c r="BF13" s="658">
        <v>46101</v>
      </c>
      <c r="BG13" s="658">
        <v>46104</v>
      </c>
      <c r="BH13" s="658">
        <v>53355</v>
      </c>
      <c r="BI13" s="500">
        <v>76698500000</v>
      </c>
      <c r="BJ13" s="49">
        <v>8</v>
      </c>
      <c r="BK13" s="49">
        <v>14.180045817</v>
      </c>
      <c r="BL13" s="630" t="s">
        <v>2172</v>
      </c>
      <c r="BM13" s="49" t="s">
        <v>1033</v>
      </c>
      <c r="BN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3" s="396">
        <f>(PTCK_offBS[[#This Row],[VALUE_DATE]]-PTCK_offBS[[#This Row],[LAST_PMT]])*PTCK_offBS[[#This Row],[COUPON_RATE]]*1000/(DATE(YEAR(PTCK_offBS[[#This Row],[LAST_PMT]])+1,MONTH(PTCK_offBS[[#This Row],[LAST_PMT]]),DAY(PTCK_offBS[[#This Row],[LAST_PMT]]))-PTCK_offBS[[#This Row],[LAST_PMT]])</f>
        <v>1183.5616438356165</v>
      </c>
      <c r="BP13" s="396">
        <f>PTCK_offBS[[#This Row],[GROSS_AMOUNT]]/PTCK_offBS[[#This Row],[QUANTITY]]-PTCK_offBS[[#This Row],[START_ACC]]-10^5</f>
        <v>52213.438356164377</v>
      </c>
      <c r="BQ13" s="396">
        <f>IF(PTCK_offBS[[#This Row],[BS]]="Others",PTCK_offBS[[#This Row],[PTCK]]*(PTCK_offBS[[#This Row],[MATURITY_DATE]]-PTCK_offBS[[#This Row],[POSTED_DT]]-1)/(PTCK_offBS[[#This Row],[MATURITY_DATE]]-PTCK_offBS[[#This Row],[VALUE_DATE]]),PTCK_offBS[[#This Row],[PTCK]])</f>
        <v>51140.510164870968</v>
      </c>
      <c r="BR13" s="396">
        <f>PTCK_offBS[[#This Row],[PTCK remain]]*PTCK_offBS[[#This Row],[QUANTITY]]</f>
        <v>25570255082.435482</v>
      </c>
      <c r="BS13" s="128"/>
    </row>
    <row r="14" spans="1:71" x14ac:dyDescent="0.3">
      <c r="B14" s="547" t="s">
        <v>3589</v>
      </c>
      <c r="C14" s="699">
        <f>'Phan tich_TB'!BJ2+'Phan tich_BB'!K2</f>
        <v>28371.311300000001</v>
      </c>
      <c r="D14" s="699">
        <f>C6+H6+M6</f>
        <v>28371.311299999998</v>
      </c>
      <c r="E14" s="699"/>
      <c r="F14" s="699"/>
      <c r="G14" s="723">
        <f>C14-D14</f>
        <v>0</v>
      </c>
      <c r="T14" s="362"/>
      <c r="U14" s="375">
        <v>46252</v>
      </c>
      <c r="V14" s="128" t="s">
        <v>1204</v>
      </c>
      <c r="W14" s="128" t="s">
        <v>822</v>
      </c>
      <c r="X14" s="530">
        <v>50000000000</v>
      </c>
      <c r="Y14" s="530">
        <v>105963</v>
      </c>
      <c r="Z14" s="530">
        <v>52981500000</v>
      </c>
      <c r="AA14" s="128" t="s">
        <v>2795</v>
      </c>
      <c r="AB14" s="533">
        <f>_xlfn.IFNA(VLOOKUP(BS[[#This Row],[BOND_CODE]],FNRP!D:I,6,0),VLOOKUP(BS[[#This Row],[BOND_CODE]],FNRP!AV:BA,6,0))</f>
        <v>105963</v>
      </c>
      <c r="AC14" s="396">
        <f>BS[[#This Row],[CLEAN PRICE]]*BS[[#This Row],[BALANCE]]/100000</f>
        <v>52981500000</v>
      </c>
      <c r="AF14" s="629"/>
      <c r="AK14" s="734"/>
      <c r="AL14" s="128">
        <v>44976</v>
      </c>
      <c r="AM14" s="128" t="s">
        <v>596</v>
      </c>
      <c r="AN14" s="736">
        <v>7.83</v>
      </c>
      <c r="AO14" s="128" t="s">
        <v>895</v>
      </c>
      <c r="AP14" s="49" t="s">
        <v>824</v>
      </c>
      <c r="AQ14" s="530">
        <v>2000000</v>
      </c>
      <c r="AR14" s="500">
        <v>8282.9696309132505</v>
      </c>
      <c r="AS14" s="530">
        <v>112693</v>
      </c>
      <c r="AT14" s="530">
        <v>114388</v>
      </c>
      <c r="AU14" s="769">
        <v>4.7907000000000002</v>
      </c>
      <c r="AV14" s="747">
        <v>116347000000</v>
      </c>
      <c r="AW14" s="534">
        <f>(_xlfn.XLOOKUP(RPBOD3[[#This Row],[Bonds_ShortName]],FNRP!D:D,FNRP!H:H,_xlfn.XLOOKUP(RPBOD3[[#This Row],[Bonds_ShortName]],FNRP!AV:AV,FNRP!AZ:AZ,,0),0)-RPBOD3[[#This Row],[PTCK_Remain]]-10^5)*RPBOD3[[#This Row],[Quantity]]</f>
        <v>4024060738.1734881</v>
      </c>
      <c r="AY14" s="128"/>
      <c r="AZ14" s="610">
        <v>46252</v>
      </c>
      <c r="BA14" s="850">
        <v>48884</v>
      </c>
      <c r="BB14" s="852" t="s">
        <v>666</v>
      </c>
      <c r="BC14" s="39" t="s">
        <v>824</v>
      </c>
      <c r="BD14" s="530">
        <v>500000</v>
      </c>
      <c r="BE14" s="530">
        <v>106113</v>
      </c>
      <c r="BF14" s="658">
        <v>46062</v>
      </c>
      <c r="BG14" s="658">
        <v>46063</v>
      </c>
      <c r="BH14" s="658">
        <v>48968</v>
      </c>
      <c r="BI14" s="500">
        <v>53175500000</v>
      </c>
      <c r="BJ14" s="49">
        <v>5.0999999999999996</v>
      </c>
      <c r="BK14" s="49">
        <v>15.180045817</v>
      </c>
      <c r="BL14" s="630" t="s">
        <v>2172</v>
      </c>
      <c r="BM14" s="49" t="s">
        <v>1033</v>
      </c>
      <c r="BN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O14" s="396">
        <f>(PTCK_offBS[[#This Row],[VALUE_DATE]]-PTCK_offBS[[#This Row],[LAST_PMT]])*PTCK_offBS[[#This Row],[COUPON_RATE]]*1000/(DATE(YEAR(PTCK_offBS[[#This Row],[LAST_PMT]])+1,MONTH(PTCK_offBS[[#This Row],[LAST_PMT]]),DAY(PTCK_offBS[[#This Row],[LAST_PMT]]))-PTCK_offBS[[#This Row],[LAST_PMT]])</f>
        <v>237.53424657534242</v>
      </c>
      <c r="BP14" s="396">
        <f>PTCK_offBS[[#This Row],[GROSS_AMOUNT]]/PTCK_offBS[[#This Row],[QUANTITY]]-PTCK_offBS[[#This Row],[START_ACC]]-10^5</f>
        <v>6113.4657534246508</v>
      </c>
      <c r="BQ14" s="396">
        <f>IF(PTCK_offBS[[#This Row],[BS]]="Others",PTCK_offBS[[#This Row],[PTCK]]*(PTCK_offBS[[#This Row],[MATURITY_DATE]]-PTCK_offBS[[#This Row],[POSTED_DT]]-1)/(PTCK_offBS[[#This Row],[MATURITY_DATE]]-PTCK_offBS[[#This Row],[VALUE_DATE]]),PTCK_offBS[[#This Row],[PTCK]])</f>
        <v>5713.6177351283741</v>
      </c>
      <c r="BR14" s="396">
        <f>PTCK_offBS[[#This Row],[PTCK remain]]*PTCK_offBS[[#This Row],[QUANTITY]]</f>
        <v>2856808867.564187</v>
      </c>
      <c r="BS14" s="128"/>
    </row>
    <row r="15" spans="1:71" x14ac:dyDescent="0.3">
      <c r="B15" s="547" t="s">
        <v>2810</v>
      </c>
      <c r="C15" s="699">
        <f>'Phan tich_TB'!BR2+'Phan tich_BB'!Y1</f>
        <v>26044.038042877997</v>
      </c>
      <c r="D15" s="699">
        <f>SUM(AC1)/10^9</f>
        <v>26044.038042878001</v>
      </c>
      <c r="E15" s="699"/>
      <c r="F15" s="699"/>
      <c r="G15" s="723">
        <f>C15-D15</f>
        <v>0</v>
      </c>
      <c r="T15" s="362"/>
      <c r="U15" s="375">
        <v>46252</v>
      </c>
      <c r="V15" s="128" t="s">
        <v>2800</v>
      </c>
      <c r="W15" s="128" t="s">
        <v>822</v>
      </c>
      <c r="X15" s="530">
        <v>600000000000</v>
      </c>
      <c r="Y15" s="530">
        <v>79344</v>
      </c>
      <c r="Z15" s="530">
        <v>476064000000</v>
      </c>
      <c r="AA15" s="128" t="s">
        <v>2795</v>
      </c>
      <c r="AB15" s="533">
        <f>_xlfn.IFNA(VLOOKUP(BS[[#This Row],[BOND_CODE]],FNRP!D:I,6,0),VLOOKUP(BS[[#This Row],[BOND_CODE]],FNRP!AV:BA,6,0))</f>
        <v>79340</v>
      </c>
      <c r="AC15" s="396">
        <f>BS[[#This Row],[CLEAN PRICE]]*BS[[#This Row],[BALANCE]]/100000</f>
        <v>476040000000</v>
      </c>
      <c r="AF15" s="629"/>
      <c r="AK15" s="734"/>
      <c r="AL15" s="128">
        <v>49925</v>
      </c>
      <c r="AM15" s="128" t="s">
        <v>2834</v>
      </c>
      <c r="AN15" s="736">
        <v>2.7</v>
      </c>
      <c r="AO15" s="128" t="s">
        <v>823</v>
      </c>
      <c r="AP15" s="49" t="s">
        <v>824</v>
      </c>
      <c r="AQ15" s="530">
        <v>2500000</v>
      </c>
      <c r="AR15" s="500">
        <v>-2412.564860762312</v>
      </c>
      <c r="AS15" s="530">
        <v>97525</v>
      </c>
      <c r="AT15" s="530">
        <v>100010</v>
      </c>
      <c r="AU15" s="769">
        <v>3.0499000000000001</v>
      </c>
      <c r="AV15" s="747">
        <v>116347000000</v>
      </c>
      <c r="AW15" s="534">
        <f>(_xlfn.XLOOKUP(RPBOD3[[#This Row],[Bonds_ShortName]],FNRP!D:D,FNRP!H:H,_xlfn.XLOOKUP(RPBOD3[[#This Row],[Bonds_ShortName]],FNRP!AV:AV,FNRP!AZ:AZ,,0),0)-RPBOD3[[#This Row],[PTCK_Remain]]-10^5)*RPBOD3[[#This Row],[Quantity]]</f>
        <v>-20998587848.094212</v>
      </c>
      <c r="AY15" s="128"/>
      <c r="AZ15" s="610">
        <v>46252</v>
      </c>
      <c r="BA15" s="850">
        <v>48407</v>
      </c>
      <c r="BB15" s="852" t="s">
        <v>717</v>
      </c>
      <c r="BC15" s="39" t="s">
        <v>824</v>
      </c>
      <c r="BD15" s="530">
        <v>10000000</v>
      </c>
      <c r="BE15" s="530">
        <v>150563</v>
      </c>
      <c r="BF15" s="658">
        <v>46020</v>
      </c>
      <c r="BG15" s="658">
        <v>46021</v>
      </c>
      <c r="BH15" s="658">
        <v>53326</v>
      </c>
      <c r="BI15" s="500">
        <v>1505630000000</v>
      </c>
      <c r="BJ15" s="49">
        <v>8</v>
      </c>
      <c r="BK15" s="49">
        <v>16.180045817</v>
      </c>
      <c r="BL15" s="630" t="s">
        <v>2172</v>
      </c>
      <c r="BM15" s="49" t="s">
        <v>1033</v>
      </c>
      <c r="BN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5" s="396">
        <f>(PTCK_offBS[[#This Row],[VALUE_DATE]]-PTCK_offBS[[#This Row],[LAST_PMT]])*PTCK_offBS[[#This Row],[COUPON_RATE]]*1000/(DATE(YEAR(PTCK_offBS[[#This Row],[LAST_PMT]])+1,MONTH(PTCK_offBS[[#This Row],[LAST_PMT]]),DAY(PTCK_offBS[[#This Row],[LAST_PMT]]))-PTCK_offBS[[#This Row],[LAST_PMT]])</f>
        <v>0</v>
      </c>
      <c r="BP15" s="396">
        <f>PTCK_offBS[[#This Row],[GROSS_AMOUNT]]/PTCK_offBS[[#This Row],[QUANTITY]]-PTCK_offBS[[#This Row],[START_ACC]]-10^5</f>
        <v>50563</v>
      </c>
      <c r="BQ15" s="396">
        <f>IF(PTCK_offBS[[#This Row],[BS]]="Others",PTCK_offBS[[#This Row],[PTCK]]*(PTCK_offBS[[#This Row],[MATURITY_DATE]]-PTCK_offBS[[#This Row],[POSTED_DT]]-1)/(PTCK_offBS[[#This Row],[MATURITY_DATE]]-PTCK_offBS[[#This Row],[VALUE_DATE]]),PTCK_offBS[[#This Row],[PTCK]])</f>
        <v>48957.166187542782</v>
      </c>
      <c r="BR15" s="396">
        <f>PTCK_offBS[[#This Row],[PTCK remain]]*PTCK_offBS[[#This Row],[QUANTITY]]</f>
        <v>489571661875.4278</v>
      </c>
    </row>
    <row r="16" spans="1:71" x14ac:dyDescent="0.3">
      <c r="B16" s="547" t="s">
        <v>3283</v>
      </c>
      <c r="C16" s="699"/>
      <c r="D16" s="699"/>
      <c r="E16" s="699">
        <f>E6</f>
        <v>3365.9797460792493</v>
      </c>
      <c r="F16" s="699">
        <f>SUMIFS(GL[POSITION],GL[GL_CODE_NAME],"&lt;&gt;Mệnh giá")/10^9</f>
        <v>3365.9797461070002</v>
      </c>
      <c r="G16" s="723">
        <f>ROUND(E16-F16,5)</f>
        <v>0</v>
      </c>
      <c r="T16" s="362"/>
      <c r="U16" s="375">
        <v>46252</v>
      </c>
      <c r="V16" s="128" t="s">
        <v>3081</v>
      </c>
      <c r="W16" s="128" t="s">
        <v>1033</v>
      </c>
      <c r="X16" s="530">
        <v>100000000000</v>
      </c>
      <c r="Y16" s="530">
        <v>89593</v>
      </c>
      <c r="Z16" s="530">
        <v>89593000000</v>
      </c>
      <c r="AA16" s="128" t="s">
        <v>2795</v>
      </c>
      <c r="AB16" s="533">
        <f>_xlfn.IFNA(VLOOKUP(BS[[#This Row],[BOND_CODE]],FNRP!D:I,6,0),VLOOKUP(BS[[#This Row],[BOND_CODE]],FNRP!AV:BA,6,0))</f>
        <v>89589</v>
      </c>
      <c r="AC16" s="396">
        <f>BS[[#This Row],[CLEAN PRICE]]*BS[[#This Row],[BALANCE]]/100000</f>
        <v>89589000000</v>
      </c>
      <c r="AF16" s="629"/>
      <c r="AK16" s="734"/>
      <c r="AL16" s="128">
        <v>49933</v>
      </c>
      <c r="AM16" s="128" t="s">
        <v>2839</v>
      </c>
      <c r="AN16" s="736">
        <v>2.7</v>
      </c>
      <c r="AO16" s="128" t="s">
        <v>823</v>
      </c>
      <c r="AP16" s="49" t="s">
        <v>2176</v>
      </c>
      <c r="AQ16" s="530">
        <v>4500000</v>
      </c>
      <c r="AR16" s="500">
        <v>-2286.8268406816665</v>
      </c>
      <c r="AS16" s="530">
        <v>97662</v>
      </c>
      <c r="AT16" s="530">
        <v>99911</v>
      </c>
      <c r="AU16" s="769">
        <v>3.0266000000000002</v>
      </c>
      <c r="AV16" s="747">
        <v>116347000000</v>
      </c>
      <c r="AW16" s="534">
        <f>(_xlfn.XLOOKUP(RPBOD3[[#This Row],[Bonds_ShortName]],FNRP!D:D,FNRP!H:H,_xlfn.XLOOKUP(RPBOD3[[#This Row],[Bonds_ShortName]],FNRP!AV:AV,FNRP!AZ:AZ,,0),0)-RPBOD3[[#This Row],[PTCK_Remain]]-10^5)*RPBOD3[[#This Row],[Quantity]]</f>
        <v>-39078779216.93251</v>
      </c>
      <c r="AY16" s="128"/>
      <c r="AZ16" s="610">
        <v>46252</v>
      </c>
      <c r="BA16" s="850">
        <v>48411</v>
      </c>
      <c r="BB16" s="852" t="s">
        <v>717</v>
      </c>
      <c r="BC16" s="39" t="s">
        <v>824</v>
      </c>
      <c r="BD16" s="530">
        <v>10000000</v>
      </c>
      <c r="BE16" s="530">
        <v>150595</v>
      </c>
      <c r="BF16" s="658">
        <v>46021</v>
      </c>
      <c r="BG16" s="658">
        <v>46022</v>
      </c>
      <c r="BH16" s="658">
        <v>53326</v>
      </c>
      <c r="BI16" s="500">
        <v>1506170000000</v>
      </c>
      <c r="BJ16" s="49">
        <v>8</v>
      </c>
      <c r="BK16" s="49">
        <v>17.180045817</v>
      </c>
      <c r="BL16" s="630" t="s">
        <v>2172</v>
      </c>
      <c r="BM16" s="49" t="s">
        <v>1033</v>
      </c>
      <c r="BN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6" s="396">
        <f>(PTCK_offBS[[#This Row],[VALUE_DATE]]-PTCK_offBS[[#This Row],[LAST_PMT]])*PTCK_offBS[[#This Row],[COUPON_RATE]]*1000/(DATE(YEAR(PTCK_offBS[[#This Row],[LAST_PMT]])+1,MONTH(PTCK_offBS[[#This Row],[LAST_PMT]]),DAY(PTCK_offBS[[#This Row],[LAST_PMT]]))-PTCK_offBS[[#This Row],[LAST_PMT]])</f>
        <v>21.917808219178081</v>
      </c>
      <c r="BP16" s="396">
        <f>PTCK_offBS[[#This Row],[GROSS_AMOUNT]]/PTCK_offBS[[#This Row],[QUANTITY]]-PTCK_offBS[[#This Row],[START_ACC]]-10^5</f>
        <v>50595.082191780821</v>
      </c>
      <c r="BQ16" s="396">
        <f>IF(PTCK_offBS[[#This Row],[BS]]="Others",PTCK_offBS[[#This Row],[PTCK]]*(PTCK_offBS[[#This Row],[MATURITY_DATE]]-PTCK_offBS[[#This Row],[POSTED_DT]]-1)/(PTCK_offBS[[#This Row],[MATURITY_DATE]]-PTCK_offBS[[#This Row],[VALUE_DATE]]),PTCK_offBS[[#This Row],[PTCK]])</f>
        <v>48994.936520052812</v>
      </c>
      <c r="BR16" s="396">
        <f>PTCK_offBS[[#This Row],[PTCK remain]]*PTCK_offBS[[#This Row],[QUANTITY]]</f>
        <v>489949365200.52814</v>
      </c>
    </row>
    <row r="17" spans="2:70" x14ac:dyDescent="0.3">
      <c r="B17" s="547" t="s">
        <v>3537</v>
      </c>
      <c r="C17" s="699">
        <f>'Phan tich_TB'!M7+'Phan tich_BB'!P7</f>
        <v>-3386.3980955149163</v>
      </c>
      <c r="D17" s="699">
        <f>G6+L6+Q6</f>
        <v>-3385.7795090320647</v>
      </c>
      <c r="E17" s="699">
        <f>F6+K6+P6</f>
        <v>-3459.6177865638288</v>
      </c>
      <c r="F17" s="699"/>
      <c r="G17" s="723">
        <f>ROUND(C17*2-D17-E17,9)</f>
        <v>72.601104566000004</v>
      </c>
      <c r="I17" s="362"/>
      <c r="T17" s="362"/>
      <c r="U17" s="375">
        <v>46252</v>
      </c>
      <c r="V17" s="128" t="s">
        <v>2862</v>
      </c>
      <c r="W17" s="128" t="s">
        <v>1033</v>
      </c>
      <c r="X17" s="530">
        <v>66000000000</v>
      </c>
      <c r="Y17" s="530">
        <v>88192</v>
      </c>
      <c r="Z17" s="530">
        <v>58206720000</v>
      </c>
      <c r="AA17" s="128" t="s">
        <v>2795</v>
      </c>
      <c r="AB17" s="533">
        <f>_xlfn.IFNA(VLOOKUP(BS[[#This Row],[BOND_CODE]],FNRP!D:I,6,0),VLOOKUP(BS[[#This Row],[BOND_CODE]],FNRP!AV:BA,6,0))</f>
        <v>88187</v>
      </c>
      <c r="AC17" s="396">
        <f>BS[[#This Row],[CLEAN PRICE]]*BS[[#This Row],[BALANCE]]/100000</f>
        <v>58203420000</v>
      </c>
      <c r="AF17" s="629"/>
      <c r="AK17" s="734"/>
      <c r="AL17" s="128">
        <v>49939</v>
      </c>
      <c r="AM17" s="128" t="s">
        <v>3317</v>
      </c>
      <c r="AN17" s="736">
        <v>3.3</v>
      </c>
      <c r="AO17" s="128" t="s">
        <v>823</v>
      </c>
      <c r="AP17" s="49" t="s">
        <v>824</v>
      </c>
      <c r="AQ17" s="530">
        <v>3000000</v>
      </c>
      <c r="AR17" s="500">
        <v>-1592.8669836574834</v>
      </c>
      <c r="AS17" s="530">
        <v>98387</v>
      </c>
      <c r="AT17" s="530">
        <v>101425</v>
      </c>
      <c r="AU17" s="769">
        <v>3.51</v>
      </c>
      <c r="AV17" s="747">
        <v>116347000000</v>
      </c>
      <c r="AW17" s="534">
        <f>(_xlfn.XLOOKUP(RPBOD3[[#This Row],[Bonds_ShortName]],FNRP!D:D,FNRP!H:H,_xlfn.XLOOKUP(RPBOD3[[#This Row],[Bonds_ShortName]],FNRP!AV:AV,FNRP!AZ:AZ,,0),0)-RPBOD3[[#This Row],[PTCK_Remain]]-10^5)*RPBOD3[[#This Row],[Quantity]]</f>
        <v>-19260399049.027546</v>
      </c>
      <c r="AY17" s="128"/>
      <c r="AZ17" s="610">
        <v>46252</v>
      </c>
      <c r="BA17" s="850">
        <v>49937</v>
      </c>
      <c r="BB17" s="852" t="s">
        <v>660</v>
      </c>
      <c r="BC17" s="39" t="s">
        <v>824</v>
      </c>
      <c r="BD17" s="530">
        <v>3600000</v>
      </c>
      <c r="BE17" s="530">
        <v>112373</v>
      </c>
      <c r="BF17" s="658">
        <v>46212</v>
      </c>
      <c r="BG17" s="658">
        <v>46213</v>
      </c>
      <c r="BH17" s="658">
        <v>48590</v>
      </c>
      <c r="BI17" s="500">
        <v>413773200000</v>
      </c>
      <c r="BJ17" s="49">
        <v>5.2</v>
      </c>
      <c r="BK17" s="49">
        <v>18.180045817</v>
      </c>
      <c r="BL17" s="630" t="s">
        <v>2172</v>
      </c>
      <c r="BM17" s="49" t="s">
        <v>1033</v>
      </c>
      <c r="BN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46033</v>
      </c>
      <c r="BO17" s="396">
        <f>(PTCK_offBS[[#This Row],[VALUE_DATE]]-PTCK_offBS[[#This Row],[LAST_PMT]])*PTCK_offBS[[#This Row],[COUPON_RATE]]*1000/(DATE(YEAR(PTCK_offBS[[#This Row],[LAST_PMT]])+1,MONTH(PTCK_offBS[[#This Row],[LAST_PMT]]),DAY(PTCK_offBS[[#This Row],[LAST_PMT]]))-PTCK_offBS[[#This Row],[LAST_PMT]])</f>
        <v>2564.3835616438355</v>
      </c>
      <c r="BP17" s="396">
        <f>PTCK_offBS[[#This Row],[GROSS_AMOUNT]]/PTCK_offBS[[#This Row],[QUANTITY]]-PTCK_offBS[[#This Row],[START_ACC]]-10^5</f>
        <v>12372.61643835617</v>
      </c>
      <c r="BQ17" s="396">
        <f>IF(PTCK_offBS[[#This Row],[BS]]="Others",PTCK_offBS[[#This Row],[PTCK]]*(PTCK_offBS[[#This Row],[MATURITY_DATE]]-PTCK_offBS[[#This Row],[POSTED_DT]]-1)/(PTCK_offBS[[#This Row],[MATURITY_DATE]]-PTCK_offBS[[#This Row],[VALUE_DATE]]),PTCK_offBS[[#This Row],[PTCK]])</f>
        <v>12164.410860933265</v>
      </c>
      <c r="BR17" s="396">
        <f>PTCK_offBS[[#This Row],[PTCK remain]]*PTCK_offBS[[#This Row],[QUANTITY]]</f>
        <v>43791879099.359756</v>
      </c>
    </row>
    <row r="18" spans="2:70" x14ac:dyDescent="0.3">
      <c r="B18" s="547" t="s">
        <v>3863</v>
      </c>
      <c r="C18" s="547"/>
      <c r="D18" s="547"/>
      <c r="E18" s="547"/>
      <c r="F18" s="547"/>
      <c r="G18" s="746">
        <f>ROUND((F4-G4)+(F5-G5)+(K4-L4)+(K5-L5)+(P4-Q4)+(P5-Q5),6)</f>
        <v>-73.838278000000003</v>
      </c>
      <c r="T18" s="362"/>
      <c r="U18" s="375">
        <v>46252</v>
      </c>
      <c r="V18" s="128" t="s">
        <v>2862</v>
      </c>
      <c r="W18" s="128" t="s">
        <v>1033</v>
      </c>
      <c r="X18" s="530">
        <v>134000000000</v>
      </c>
      <c r="Y18" s="530">
        <v>88192</v>
      </c>
      <c r="Z18" s="530">
        <v>118177280000</v>
      </c>
      <c r="AA18" s="128" t="s">
        <v>2805</v>
      </c>
      <c r="AB18" s="533">
        <f>_xlfn.IFNA(VLOOKUP(BS[[#This Row],[BOND_CODE]],FNRP!D:I,6,0),VLOOKUP(BS[[#This Row],[BOND_CODE]],FNRP!AV:BA,6,0))</f>
        <v>88187</v>
      </c>
      <c r="AC18" s="396">
        <f>BS[[#This Row],[CLEAN PRICE]]*BS[[#This Row],[BALANCE]]/100000</f>
        <v>118170580000</v>
      </c>
      <c r="AF18" s="629"/>
      <c r="AK18" s="734"/>
      <c r="AL18" s="128">
        <v>49935</v>
      </c>
      <c r="AM18" s="128" t="s">
        <v>2799</v>
      </c>
      <c r="AN18" s="736">
        <v>2.1</v>
      </c>
      <c r="AO18" s="128" t="s">
        <v>823</v>
      </c>
      <c r="AP18" s="49" t="s">
        <v>824</v>
      </c>
      <c r="AQ18" s="530">
        <v>2500000</v>
      </c>
      <c r="AR18" s="500">
        <v>-4683.3119932904401</v>
      </c>
      <c r="AS18" s="530">
        <v>95244</v>
      </c>
      <c r="AT18" s="530">
        <v>96268</v>
      </c>
      <c r="AU18" s="769">
        <v>2.81</v>
      </c>
      <c r="AV18" s="747">
        <v>116347000000</v>
      </c>
      <c r="AW18" s="534">
        <f>(_xlfn.XLOOKUP(RPBOD3[[#This Row],[Bonds_ShortName]],FNRP!D:D,FNRP!H:H,_xlfn.XLOOKUP(RPBOD3[[#This Row],[Bonds_ShortName]],FNRP!AV:AV,FNRP!AZ:AZ,,0),0)-RPBOD3[[#This Row],[PTCK_Remain]]-10^5)*RPBOD3[[#This Row],[Quantity]]</f>
        <v>-22949220016.773907</v>
      </c>
      <c r="AY18" s="128"/>
      <c r="AZ18" s="610">
        <v>46252</v>
      </c>
      <c r="BA18" s="850">
        <v>50107</v>
      </c>
      <c r="BB18" s="852" t="s">
        <v>729</v>
      </c>
      <c r="BC18" s="39" t="s">
        <v>824</v>
      </c>
      <c r="BD18" s="530">
        <v>3750000</v>
      </c>
      <c r="BE18" s="530">
        <v>109922</v>
      </c>
      <c r="BF18" s="658">
        <v>46244</v>
      </c>
      <c r="BG18" s="658">
        <v>46245</v>
      </c>
      <c r="BH18" s="658">
        <v>54692</v>
      </c>
      <c r="BI18" s="500">
        <v>429251250000</v>
      </c>
      <c r="BJ18" s="49">
        <v>5.2</v>
      </c>
      <c r="BK18" s="49">
        <v>19.180045817</v>
      </c>
      <c r="BL18" s="630" t="s">
        <v>2172</v>
      </c>
      <c r="BM18" s="49" t="s">
        <v>1033</v>
      </c>
      <c r="BN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8" s="396">
        <f>(PTCK_offBS[[#This Row],[VALUE_DATE]]-PTCK_offBS[[#This Row],[LAST_PMT]])*PTCK_offBS[[#This Row],[COUPON_RATE]]*1000/(DATE(YEAR(PTCK_offBS[[#This Row],[LAST_PMT]])+1,MONTH(PTCK_offBS[[#This Row],[LAST_PMT]]),DAY(PTCK_offBS[[#This Row],[LAST_PMT]]))-PTCK_offBS[[#This Row],[LAST_PMT]])</f>
        <v>4544.6575342465758</v>
      </c>
      <c r="BP18" s="396">
        <f>PTCK_offBS[[#This Row],[GROSS_AMOUNT]]/PTCK_offBS[[#This Row],[QUANTITY]]-PTCK_offBS[[#This Row],[START_ACC]]-10^5</f>
        <v>9922.3424657534197</v>
      </c>
      <c r="BQ18" s="396">
        <f>IF(PTCK_offBS[[#This Row],[BS]]="Others",PTCK_offBS[[#This Row],[PTCK]]*(PTCK_offBS[[#This Row],[MATURITY_DATE]]-PTCK_offBS[[#This Row],[POSTED_DT]]-1)/(PTCK_offBS[[#This Row],[MATURITY_DATE]]-PTCK_offBS[[#This Row],[VALUE_DATE]]),PTCK_offBS[[#This Row],[PTCK]])</f>
        <v>9912.9451957491547</v>
      </c>
      <c r="BR18" s="396">
        <f>PTCK_offBS[[#This Row],[PTCK remain]]*PTCK_offBS[[#This Row],[QUANTITY]]</f>
        <v>37173544484.059334</v>
      </c>
    </row>
    <row r="19" spans="2:70" x14ac:dyDescent="0.3">
      <c r="C19" s="128"/>
      <c r="D19" s="128"/>
      <c r="E19" s="128"/>
      <c r="F19" s="128"/>
      <c r="G19" s="808">
        <f>ROUND(SUM(G13:G18),1)</f>
        <v>-1.2</v>
      </c>
      <c r="T19" s="362"/>
      <c r="U19" s="375">
        <v>46252</v>
      </c>
      <c r="V19" s="128" t="s">
        <v>598</v>
      </c>
      <c r="W19" s="128" t="s">
        <v>1033</v>
      </c>
      <c r="X19" s="530">
        <v>300000000000</v>
      </c>
      <c r="Y19" s="530">
        <v>109505</v>
      </c>
      <c r="Z19" s="530">
        <v>328515000000</v>
      </c>
      <c r="AA19" s="128" t="s">
        <v>2795</v>
      </c>
      <c r="AB19" s="533">
        <f>_xlfn.IFNA(VLOOKUP(BS[[#This Row],[BOND_CODE]],FNRP!D:I,6,0),VLOOKUP(BS[[#This Row],[BOND_CODE]],FNRP!AV:BA,6,0))</f>
        <v>109512</v>
      </c>
      <c r="AC19" s="396">
        <f>BS[[#This Row],[CLEAN PRICE]]*BS[[#This Row],[BALANCE]]/100000</f>
        <v>328536000000</v>
      </c>
      <c r="AF19" s="629"/>
      <c r="AK19" s="734"/>
      <c r="AL19" s="128">
        <v>49936</v>
      </c>
      <c r="AM19" s="128" t="s">
        <v>3051</v>
      </c>
      <c r="AN19" s="736">
        <v>2.9</v>
      </c>
      <c r="AO19" s="128" t="s">
        <v>823</v>
      </c>
      <c r="AP19" s="49" t="s">
        <v>824</v>
      </c>
      <c r="AQ19" s="530">
        <v>2000000</v>
      </c>
      <c r="AR19" s="500">
        <v>-824.69881243814507</v>
      </c>
      <c r="AS19" s="530">
        <v>99164</v>
      </c>
      <c r="AT19" s="530">
        <v>100205</v>
      </c>
      <c r="AU19" s="769">
        <v>3.01</v>
      </c>
      <c r="AV19" s="747">
        <v>116347000000</v>
      </c>
      <c r="AW19" s="534">
        <f>(_xlfn.XLOOKUP(RPBOD3[[#This Row],[Bonds_ShortName]],FNRP!D:D,FNRP!H:H,_xlfn.XLOOKUP(RPBOD3[[#This Row],[Bonds_ShortName]],FNRP!AV:AV,FNRP!AZ:AZ,,0),0)-RPBOD3[[#This Row],[PTCK_Remain]]-10^5)*RPBOD3[[#This Row],[Quantity]]</f>
        <v>-19074602375.123707</v>
      </c>
      <c r="AY19" s="128"/>
      <c r="AZ19" s="610">
        <v>46252</v>
      </c>
      <c r="BA19" s="850">
        <v>49262</v>
      </c>
      <c r="BB19" s="852" t="s">
        <v>717</v>
      </c>
      <c r="BC19" s="39" t="s">
        <v>824</v>
      </c>
      <c r="BD19" s="530">
        <v>700000</v>
      </c>
      <c r="BE19" s="530">
        <v>151942</v>
      </c>
      <c r="BF19" s="658">
        <v>46108</v>
      </c>
      <c r="BG19" s="658">
        <v>46111</v>
      </c>
      <c r="BH19" s="658">
        <v>53326</v>
      </c>
      <c r="BI19" s="500">
        <v>107740500000</v>
      </c>
      <c r="BJ19" s="49">
        <v>8</v>
      </c>
      <c r="BK19" s="49">
        <v>20.180045817</v>
      </c>
      <c r="BL19" s="630" t="s">
        <v>2172</v>
      </c>
      <c r="BM19" s="49" t="s">
        <v>1033</v>
      </c>
      <c r="BN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9" s="396">
        <f>(PTCK_offBS[[#This Row],[VALUE_DATE]]-PTCK_offBS[[#This Row],[LAST_PMT]])*PTCK_offBS[[#This Row],[COUPON_RATE]]*1000/(DATE(YEAR(PTCK_offBS[[#This Row],[LAST_PMT]])+1,MONTH(PTCK_offBS[[#This Row],[LAST_PMT]]),DAY(PTCK_offBS[[#This Row],[LAST_PMT]]))-PTCK_offBS[[#This Row],[LAST_PMT]])</f>
        <v>1972.6027397260275</v>
      </c>
      <c r="BP19" s="396">
        <f>PTCK_offBS[[#This Row],[GROSS_AMOUNT]]/PTCK_offBS[[#This Row],[QUANTITY]]-PTCK_offBS[[#This Row],[START_ACC]]-10^5</f>
        <v>51942.397260273981</v>
      </c>
      <c r="BQ19" s="396">
        <f>IF(PTCK_offBS[[#This Row],[BS]]="Others",PTCK_offBS[[#This Row],[PTCK]]*(PTCK_offBS[[#This Row],[MATURITY_DATE]]-PTCK_offBS[[#This Row],[POSTED_DT]]-1)/(PTCK_offBS[[#This Row],[MATURITY_DATE]]-PTCK_offBS[[#This Row],[VALUE_DATE]]),PTCK_offBS[[#This Row],[PTCK]])</f>
        <v>50920.10752902535</v>
      </c>
      <c r="BR19" s="396">
        <f>PTCK_offBS[[#This Row],[PTCK remain]]*PTCK_offBS[[#This Row],[QUANTITY]]</f>
        <v>35644075270.317741</v>
      </c>
    </row>
    <row r="20" spans="2:70" x14ac:dyDescent="0.3">
      <c r="C20" s="362"/>
      <c r="D20" s="629"/>
      <c r="E20" s="362"/>
      <c r="F20" s="128"/>
      <c r="T20" s="362"/>
      <c r="U20" s="375">
        <v>46252</v>
      </c>
      <c r="V20" s="128" t="s">
        <v>600</v>
      </c>
      <c r="W20" s="128" t="s">
        <v>822</v>
      </c>
      <c r="X20" s="530">
        <v>200000000000</v>
      </c>
      <c r="Y20" s="530">
        <v>100675</v>
      </c>
      <c r="Z20" s="530">
        <v>201350000000</v>
      </c>
      <c r="AA20" s="128" t="s">
        <v>2795</v>
      </c>
      <c r="AB20" s="533">
        <f>_xlfn.IFNA(VLOOKUP(BS[[#This Row],[BOND_CODE]],FNRP!D:I,6,0),VLOOKUP(BS[[#This Row],[BOND_CODE]],FNRP!AV:BA,6,0))</f>
        <v>100676</v>
      </c>
      <c r="AC20" s="396">
        <f>BS[[#This Row],[CLEAN PRICE]]*BS[[#This Row],[BALANCE]]/100000</f>
        <v>201352000000</v>
      </c>
      <c r="AF20" s="629"/>
      <c r="AK20" s="734"/>
      <c r="AL20" s="128">
        <v>50111</v>
      </c>
      <c r="AM20" s="128" t="s">
        <v>660</v>
      </c>
      <c r="AN20" s="736">
        <v>5.2</v>
      </c>
      <c r="AO20" s="128" t="s">
        <v>823</v>
      </c>
      <c r="AP20" s="49" t="s">
        <v>824</v>
      </c>
      <c r="AQ20" s="530">
        <v>3600000</v>
      </c>
      <c r="AR20" s="500">
        <v>12178.179954162944</v>
      </c>
      <c r="AS20" s="530">
        <v>112241</v>
      </c>
      <c r="AT20" s="530">
        <v>115204</v>
      </c>
      <c r="AU20" s="769">
        <v>3.07</v>
      </c>
      <c r="AV20" s="747">
        <v>116347000000</v>
      </c>
      <c r="AW20" s="534">
        <f>(_xlfn.XLOOKUP(RPBOD3[[#This Row],[Bonds_ShortName]],FNRP!D:D,FNRP!H:H,_xlfn.XLOOKUP(RPBOD3[[#This Row],[Bonds_ShortName]],FNRP!AV:AV,FNRP!AZ:AZ,,0),0)-RPBOD3[[#This Row],[PTCK_Remain]]-10^5)*RPBOD3[[#This Row],[Quantity]]</f>
        <v>-25888247834.986599</v>
      </c>
      <c r="AY20" s="128"/>
      <c r="AZ20" s="610">
        <v>46252</v>
      </c>
      <c r="BA20" s="850">
        <v>50304</v>
      </c>
      <c r="BB20" s="852" t="s">
        <v>2831</v>
      </c>
      <c r="BC20" s="39" t="s">
        <v>824</v>
      </c>
      <c r="BD20" s="530">
        <v>1000000</v>
      </c>
      <c r="BE20" s="530">
        <v>98439</v>
      </c>
      <c r="BF20" s="658">
        <v>46258</v>
      </c>
      <c r="BG20" s="658">
        <v>46259</v>
      </c>
      <c r="BH20" s="658">
        <v>49115</v>
      </c>
      <c r="BI20" s="500">
        <v>98927000000</v>
      </c>
      <c r="BJ20" s="49">
        <v>2.7</v>
      </c>
      <c r="BK20" s="49">
        <v>21.180045817</v>
      </c>
      <c r="BL20" s="630" t="s">
        <v>2172</v>
      </c>
      <c r="BM20" s="49" t="s">
        <v>1033</v>
      </c>
      <c r="BN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O20" s="396">
        <f>(PTCK_offBS[[#This Row],[VALUE_DATE]]-PTCK_offBS[[#This Row],[LAST_PMT]])*PTCK_offBS[[#This Row],[COUPON_RATE]]*1000/(DATE(YEAR(PTCK_offBS[[#This Row],[LAST_PMT]])+1,MONTH(PTCK_offBS[[#This Row],[LAST_PMT]]),DAY(PTCK_offBS[[#This Row],[LAST_PMT]]))-PTCK_offBS[[#This Row],[LAST_PMT]])</f>
        <v>488.21917808219189</v>
      </c>
      <c r="BP20" s="396">
        <f>PTCK_offBS[[#This Row],[GROSS_AMOUNT]]/PTCK_offBS[[#This Row],[QUANTITY]]-PTCK_offBS[[#This Row],[START_ACC]]-10^5</f>
        <v>-1561.2191780821886</v>
      </c>
      <c r="BQ20" s="396">
        <f>IF(PTCK_offBS[[#This Row],[BS]]="Others",PTCK_offBS[[#This Row],[PTCK]]*(PTCK_offBS[[#This Row],[MATURITY_DATE]]-PTCK_offBS[[#This Row],[POSTED_DT]]-1)/(PTCK_offBS[[#This Row],[MATURITY_DATE]]-PTCK_offBS[[#This Row],[VALUE_DATE]]),PTCK_offBS[[#This Row],[PTCK]])</f>
        <v>-1564.4990503050501</v>
      </c>
      <c r="BR20" s="396">
        <f>PTCK_offBS[[#This Row],[PTCK remain]]*PTCK_offBS[[#This Row],[QUANTITY]]</f>
        <v>-1564499050.3050501</v>
      </c>
    </row>
    <row r="21" spans="2:70" x14ac:dyDescent="0.3">
      <c r="C21" s="128"/>
      <c r="D21" s="629"/>
      <c r="E21" s="362"/>
      <c r="F21" s="128"/>
      <c r="T21" s="362"/>
      <c r="U21" s="375">
        <v>46252</v>
      </c>
      <c r="V21" s="128" t="s">
        <v>2303</v>
      </c>
      <c r="W21" s="128" t="s">
        <v>1033</v>
      </c>
      <c r="X21" s="530">
        <v>-2752000000000</v>
      </c>
      <c r="Y21" s="530">
        <v>103624</v>
      </c>
      <c r="Z21" s="530">
        <v>-2851732480000</v>
      </c>
      <c r="AA21" s="128" t="s">
        <v>2796</v>
      </c>
      <c r="AB21" s="533">
        <f>_xlfn.IFNA(VLOOKUP(BS[[#This Row],[BOND_CODE]],FNRP!D:I,6,0),VLOOKUP(BS[[#This Row],[BOND_CODE]],FNRP!AV:BA,6,0))</f>
        <v>103625</v>
      </c>
      <c r="AC21" s="396">
        <f>BS[[#This Row],[CLEAN PRICE]]*BS[[#This Row],[BALANCE]]/100000</f>
        <v>-2851760000000</v>
      </c>
      <c r="AF21" s="629"/>
      <c r="AK21" s="734"/>
      <c r="AL21" s="128">
        <v>50105</v>
      </c>
      <c r="AM21" s="128" t="s">
        <v>3051</v>
      </c>
      <c r="AN21" s="736">
        <v>2.9</v>
      </c>
      <c r="AO21" s="128" t="s">
        <v>823</v>
      </c>
      <c r="AP21" s="49" t="s">
        <v>824</v>
      </c>
      <c r="AQ21" s="530">
        <v>400000</v>
      </c>
      <c r="AR21" s="500">
        <v>-6082.3331285705244</v>
      </c>
      <c r="AS21" s="530">
        <v>93902</v>
      </c>
      <c r="AT21" s="530">
        <v>95213</v>
      </c>
      <c r="AU21" s="769">
        <v>3.7450000000000001</v>
      </c>
      <c r="AV21" s="747">
        <v>116347000000</v>
      </c>
      <c r="AW21" s="534">
        <f>(_xlfn.XLOOKUP(RPBOD3[[#This Row],[Bonds_ShortName]],FNRP!D:D,FNRP!H:H,_xlfn.XLOOKUP(RPBOD3[[#This Row],[Bonds_ShortName]],FNRP!AV:AV,FNRP!AZ:AZ,,0),0)-RPBOD3[[#This Row],[PTCK_Remain]]-10^5)*RPBOD3[[#This Row],[Quantity]]</f>
        <v>-1711866748.5717916</v>
      </c>
      <c r="AY21" s="128"/>
      <c r="AZ21" s="610">
        <v>46252</v>
      </c>
      <c r="BA21" s="850">
        <v>50434</v>
      </c>
      <c r="BB21" s="852" t="s">
        <v>2862</v>
      </c>
      <c r="BC21" s="39" t="s">
        <v>824</v>
      </c>
      <c r="BD21" s="530">
        <v>1340000</v>
      </c>
      <c r="BE21" s="530">
        <v>96807</v>
      </c>
      <c r="BF21" s="658">
        <v>46258</v>
      </c>
      <c r="BG21" s="658">
        <v>46259</v>
      </c>
      <c r="BH21" s="658">
        <v>49213</v>
      </c>
      <c r="BI21" s="500">
        <v>132899860000</v>
      </c>
      <c r="BJ21" s="49">
        <v>2.6</v>
      </c>
      <c r="BK21" s="49">
        <v>22.180045817</v>
      </c>
      <c r="BL21" s="630" t="s">
        <v>2172</v>
      </c>
      <c r="BM21" s="49" t="s">
        <v>1033</v>
      </c>
      <c r="BN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21" s="396">
        <f>(PTCK_offBS[[#This Row],[VALUE_DATE]]-PTCK_offBS[[#This Row],[LAST_PMT]])*PTCK_offBS[[#This Row],[COUPON_RATE]]*1000/(DATE(YEAR(PTCK_offBS[[#This Row],[LAST_PMT]])+1,MONTH(PTCK_offBS[[#This Row],[LAST_PMT]]),DAY(PTCK_offBS[[#This Row],[LAST_PMT]]))-PTCK_offBS[[#This Row],[LAST_PMT]])</f>
        <v>2372.0547945205481</v>
      </c>
      <c r="BP21" s="396">
        <f>PTCK_offBS[[#This Row],[GROSS_AMOUNT]]/PTCK_offBS[[#This Row],[QUANTITY]]-PTCK_offBS[[#This Row],[START_ACC]]-10^5</f>
        <v>-3193.0547945205471</v>
      </c>
      <c r="BQ21" s="396">
        <f>IF(PTCK_offBS[[#This Row],[BS]]="Others",PTCK_offBS[[#This Row],[PTCK]]*(PTCK_offBS[[#This Row],[MATURITY_DATE]]-PTCK_offBS[[#This Row],[POSTED_DT]]-1)/(PTCK_offBS[[#This Row],[MATURITY_DATE]]-PTCK_offBS[[#This Row],[VALUE_DATE]]),PTCK_offBS[[#This Row],[PTCK]])</f>
        <v>-3199.5403492826067</v>
      </c>
      <c r="BR21" s="396">
        <f>PTCK_offBS[[#This Row],[PTCK remain]]*PTCK_offBS[[#This Row],[QUANTITY]]</f>
        <v>-4287384068.038693</v>
      </c>
    </row>
    <row r="22" spans="2:70" x14ac:dyDescent="0.3">
      <c r="C22" s="128"/>
      <c r="D22" s="128"/>
      <c r="E22" s="128"/>
      <c r="F22" s="128"/>
      <c r="T22" s="362"/>
      <c r="U22" s="375">
        <v>46252</v>
      </c>
      <c r="V22" s="128" t="s">
        <v>1147</v>
      </c>
      <c r="W22" s="128" t="s">
        <v>822</v>
      </c>
      <c r="X22" s="530">
        <v>100000000000</v>
      </c>
      <c r="Y22" s="530">
        <v>106999</v>
      </c>
      <c r="Z22" s="530">
        <v>106999000000</v>
      </c>
      <c r="AA22" s="128" t="s">
        <v>2795</v>
      </c>
      <c r="AB22" s="533">
        <f>_xlfn.IFNA(VLOOKUP(BS[[#This Row],[BOND_CODE]],FNRP!D:I,6,0),VLOOKUP(BS[[#This Row],[BOND_CODE]],FNRP!AV:BA,6,0))</f>
        <v>107000</v>
      </c>
      <c r="AC22" s="396">
        <f>BS[[#This Row],[CLEAN PRICE]]*BS[[#This Row],[BALANCE]]/100000</f>
        <v>107000000000</v>
      </c>
      <c r="AF22" s="629"/>
      <c r="AK22" s="734"/>
      <c r="AL22" s="128">
        <v>50163</v>
      </c>
      <c r="AM22" s="128" t="s">
        <v>2786</v>
      </c>
      <c r="AN22" s="736">
        <v>2.6</v>
      </c>
      <c r="AO22" s="128" t="s">
        <v>823</v>
      </c>
      <c r="AP22" s="49" t="s">
        <v>824</v>
      </c>
      <c r="AQ22" s="530">
        <v>500000</v>
      </c>
      <c r="AR22" s="500">
        <v>-3833.8437436793197</v>
      </c>
      <c r="AS22" s="530">
        <v>96144</v>
      </c>
      <c r="AT22" s="530">
        <v>98124</v>
      </c>
      <c r="AU22" s="769">
        <v>2.98</v>
      </c>
      <c r="AV22" s="747">
        <v>116347000000</v>
      </c>
      <c r="AW22" s="534">
        <f>(_xlfn.XLOOKUP(RPBOD3[[#This Row],[Bonds_ShortName]],FNRP!D:D,FNRP!H:H,_xlfn.XLOOKUP(RPBOD3[[#This Row],[Bonds_ShortName]],FNRP!AV:AV,FNRP!AZ:AZ,,0),0)-RPBOD3[[#This Row],[PTCK_Remain]]-10^5)*RPBOD3[[#This Row],[Quantity]]</f>
        <v>-6860078128.1603413</v>
      </c>
      <c r="AY22" s="128"/>
      <c r="AZ22" s="610">
        <v>46252</v>
      </c>
      <c r="BA22" s="850">
        <v>50438</v>
      </c>
      <c r="BB22" s="852" t="s">
        <v>3317</v>
      </c>
      <c r="BC22" s="39" t="s">
        <v>824</v>
      </c>
      <c r="BD22" s="530">
        <v>110000</v>
      </c>
      <c r="BE22" s="530">
        <v>98606</v>
      </c>
      <c r="BF22" s="658">
        <v>46261</v>
      </c>
      <c r="BG22" s="658">
        <v>46262</v>
      </c>
      <c r="BH22" s="658">
        <v>49528</v>
      </c>
      <c r="BI22" s="500">
        <v>10867560000</v>
      </c>
      <c r="BJ22" s="49">
        <v>3.3</v>
      </c>
      <c r="BK22" s="49">
        <v>23.180045817</v>
      </c>
      <c r="BL22" s="630" t="s">
        <v>2172</v>
      </c>
      <c r="BM22" s="49" t="s">
        <v>1033</v>
      </c>
      <c r="BN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22" s="396">
        <f>(PTCK_offBS[[#This Row],[VALUE_DATE]]-PTCK_offBS[[#This Row],[LAST_PMT]])*PTCK_offBS[[#This Row],[COUPON_RATE]]*1000/(DATE(YEAR(PTCK_offBS[[#This Row],[LAST_PMT]])+1,MONTH(PTCK_offBS[[#This Row],[LAST_PMT]]),DAY(PTCK_offBS[[#This Row],[LAST_PMT]]))-PTCK_offBS[[#This Row],[LAST_PMT]])</f>
        <v>189.86301369863014</v>
      </c>
      <c r="BP22" s="396">
        <f>PTCK_offBS[[#This Row],[GROSS_AMOUNT]]/PTCK_offBS[[#This Row],[QUANTITY]]-PTCK_offBS[[#This Row],[START_ACC]]-10^5</f>
        <v>-1393.8630136986321</v>
      </c>
      <c r="BQ22" s="396">
        <f>IF(PTCK_offBS[[#This Row],[BS]]="Others",PTCK_offBS[[#This Row],[PTCK]]*(PTCK_offBS[[#This Row],[MATURITY_DATE]]-PTCK_offBS[[#This Row],[POSTED_DT]]-1)/(PTCK_offBS[[#This Row],[MATURITY_DATE]]-PTCK_offBS[[#This Row],[VALUE_DATE]]),PTCK_offBS[[#This Row],[PTCK]])</f>
        <v>-1397.7040324136622</v>
      </c>
      <c r="BR22" s="396">
        <f>PTCK_offBS[[#This Row],[PTCK remain]]*PTCK_offBS[[#This Row],[QUANTITY]]</f>
        <v>-153747443.56550285</v>
      </c>
    </row>
    <row r="23" spans="2:70" x14ac:dyDescent="0.3">
      <c r="C23" s="128"/>
      <c r="D23" s="128"/>
      <c r="E23" s="128"/>
      <c r="F23" s="128"/>
      <c r="T23" s="362"/>
      <c r="U23" s="375">
        <v>46252</v>
      </c>
      <c r="V23" s="128" t="s">
        <v>2788</v>
      </c>
      <c r="W23" s="128" t="s">
        <v>822</v>
      </c>
      <c r="X23" s="530">
        <v>965000000000</v>
      </c>
      <c r="Y23" s="530">
        <v>82779</v>
      </c>
      <c r="Z23" s="530">
        <v>798817350000</v>
      </c>
      <c r="AA23" s="128" t="s">
        <v>2795</v>
      </c>
      <c r="AB23" s="533">
        <f>_xlfn.IFNA(VLOOKUP(BS[[#This Row],[BOND_CODE]],FNRP!D:I,6,0),VLOOKUP(BS[[#This Row],[BOND_CODE]],FNRP!AV:BA,6,0))</f>
        <v>82776</v>
      </c>
      <c r="AC23" s="396">
        <f>BS[[#This Row],[CLEAN PRICE]]*BS[[#This Row],[BALANCE]]/100000</f>
        <v>798788400000</v>
      </c>
      <c r="AF23" s="629"/>
      <c r="AK23" s="734"/>
      <c r="AL23" s="128">
        <v>50165</v>
      </c>
      <c r="AM23" s="128" t="s">
        <v>3317</v>
      </c>
      <c r="AN23" s="736">
        <v>3.3</v>
      </c>
      <c r="AO23" s="128" t="s">
        <v>823</v>
      </c>
      <c r="AP23" s="49" t="s">
        <v>824</v>
      </c>
      <c r="AQ23" s="530">
        <v>110000</v>
      </c>
      <c r="AR23" s="500">
        <v>-1351.6936544758089</v>
      </c>
      <c r="AS23" s="530">
        <v>98638</v>
      </c>
      <c r="AT23" s="530">
        <v>101811</v>
      </c>
      <c r="AU23" s="769">
        <v>3.4780000000000002</v>
      </c>
      <c r="AV23" s="747">
        <v>116347000000</v>
      </c>
      <c r="AW23" s="534">
        <f>(_xlfn.XLOOKUP(RPBOD3[[#This Row],[Bonds_ShortName]],FNRP!D:D,FNRP!H:H,_xlfn.XLOOKUP(RPBOD3[[#This Row],[Bonds_ShortName]],FNRP!AV:AV,FNRP!AZ:AZ,,0),0)-RPBOD3[[#This Row],[PTCK_Remain]]-10^5)*RPBOD3[[#This Row],[Quantity]]</f>
        <v>-732743698.00766134</v>
      </c>
      <c r="AY23" s="128"/>
      <c r="AZ23" s="610">
        <v>46252</v>
      </c>
      <c r="BA23" s="850">
        <v>50432</v>
      </c>
      <c r="BB23" s="852" t="s">
        <v>667</v>
      </c>
      <c r="BC23" s="39" t="s">
        <v>824</v>
      </c>
      <c r="BD23" s="530">
        <v>500000</v>
      </c>
      <c r="BE23" s="530">
        <v>115688</v>
      </c>
      <c r="BF23" s="658">
        <v>46258</v>
      </c>
      <c r="BG23" s="658">
        <v>46259</v>
      </c>
      <c r="BH23" s="658">
        <v>48996</v>
      </c>
      <c r="BI23" s="500">
        <v>59111000000</v>
      </c>
      <c r="BJ23" s="49">
        <v>5</v>
      </c>
      <c r="BK23" s="49">
        <v>24.180045817</v>
      </c>
      <c r="BL23" s="630" t="s">
        <v>2172</v>
      </c>
      <c r="BM23" s="49" t="s">
        <v>1033</v>
      </c>
      <c r="BN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46074</v>
      </c>
      <c r="BO23" s="396">
        <f>(PTCK_offBS[[#This Row],[VALUE_DATE]]-PTCK_offBS[[#This Row],[LAST_PMT]])*PTCK_offBS[[#This Row],[COUPON_RATE]]*1000/(DATE(YEAR(PTCK_offBS[[#This Row],[LAST_PMT]])+1,MONTH(PTCK_offBS[[#This Row],[LAST_PMT]]),DAY(PTCK_offBS[[#This Row],[LAST_PMT]]))-PTCK_offBS[[#This Row],[LAST_PMT]])</f>
        <v>2534.2465753424658</v>
      </c>
      <c r="BP23" s="396">
        <f>PTCK_offBS[[#This Row],[GROSS_AMOUNT]]/PTCK_offBS[[#This Row],[QUANTITY]]-PTCK_offBS[[#This Row],[START_ACC]]-10^5</f>
        <v>15687.753424657538</v>
      </c>
      <c r="BQ23" s="396">
        <f>IF(PTCK_offBS[[#This Row],[BS]]="Others",PTCK_offBS[[#This Row],[PTCK]]*(PTCK_offBS[[#This Row],[MATURITY_DATE]]-PTCK_offBS[[#This Row],[POSTED_DT]]-1)/(PTCK_offBS[[#This Row],[MATURITY_DATE]]-PTCK_offBS[[#This Row],[VALUE_DATE]]),PTCK_offBS[[#This Row],[PTCK]])</f>
        <v>15722.143823103992</v>
      </c>
      <c r="BR23" s="396">
        <f>PTCK_offBS[[#This Row],[PTCK remain]]*PTCK_offBS[[#This Row],[QUANTITY]]</f>
        <v>7861071911.5519962</v>
      </c>
    </row>
    <row r="24" spans="2:70" x14ac:dyDescent="0.3">
      <c r="C24" s="128"/>
      <c r="D24" s="128"/>
      <c r="E24" s="128"/>
      <c r="F24" s="128"/>
      <c r="G24" s="533"/>
      <c r="T24" s="362"/>
      <c r="U24" s="375">
        <v>46252</v>
      </c>
      <c r="V24" s="128" t="s">
        <v>728</v>
      </c>
      <c r="W24" s="128" t="s">
        <v>1033</v>
      </c>
      <c r="X24" s="530">
        <v>50000000000</v>
      </c>
      <c r="Y24" s="530">
        <v>115287</v>
      </c>
      <c r="Z24" s="530">
        <v>57643500000</v>
      </c>
      <c r="AA24" s="128" t="s">
        <v>2795</v>
      </c>
      <c r="AB24" s="533">
        <f>_xlfn.IFNA(VLOOKUP(BS[[#This Row],[BOND_CODE]],FNRP!D:I,6,0),VLOOKUP(BS[[#This Row],[BOND_CODE]],FNRP!AV:BA,6,0))</f>
        <v>115288</v>
      </c>
      <c r="AC24" s="396">
        <f>BS[[#This Row],[CLEAN PRICE]]*BS[[#This Row],[BALANCE]]/100000</f>
        <v>57644000000</v>
      </c>
      <c r="AF24" s="629"/>
      <c r="AK24" s="734"/>
      <c r="AL24" s="128">
        <v>46995</v>
      </c>
      <c r="AM24" s="128" t="s">
        <v>710</v>
      </c>
      <c r="AN24" s="736">
        <v>5.6</v>
      </c>
      <c r="AO24" s="128" t="s">
        <v>823</v>
      </c>
      <c r="AP24" s="49" t="s">
        <v>2180</v>
      </c>
      <c r="AQ24" s="530">
        <v>1000000</v>
      </c>
      <c r="AR24" s="500">
        <v>28016.130312752801</v>
      </c>
      <c r="AS24" s="530">
        <v>130339</v>
      </c>
      <c r="AT24" s="530">
        <v>133454</v>
      </c>
      <c r="AU24" s="769">
        <v>2.85</v>
      </c>
      <c r="AV24" s="747">
        <v>116347000000</v>
      </c>
      <c r="AW24" s="534">
        <f>(_xlfn.XLOOKUP(RPBOD3[[#This Row],[Bonds_ShortName]],FNRP!D:D,FNRP!H:H,_xlfn.XLOOKUP(RPBOD3[[#This Row],[Bonds_ShortName]],FNRP!AV:AV,FNRP!AZ:AZ,,0),0)-RPBOD3[[#This Row],[PTCK_Remain]]-10^5)*RPBOD3[[#This Row],[Quantity]]</f>
        <v>-17861130312.752792</v>
      </c>
      <c r="AY24" s="128"/>
      <c r="AZ24" s="610">
        <v>46252</v>
      </c>
      <c r="BA24" s="850">
        <v>50436</v>
      </c>
      <c r="BB24" s="852" t="s">
        <v>2836</v>
      </c>
      <c r="BC24" s="39" t="s">
        <v>824</v>
      </c>
      <c r="BD24" s="530">
        <v>2000000</v>
      </c>
      <c r="BE24" s="530">
        <v>97620</v>
      </c>
      <c r="BF24" s="658">
        <v>46261</v>
      </c>
      <c r="BG24" s="658">
        <v>46262</v>
      </c>
      <c r="BH24" s="658">
        <v>49143</v>
      </c>
      <c r="BI24" s="500">
        <v>195846000000</v>
      </c>
      <c r="BJ24" s="49">
        <v>2.7</v>
      </c>
      <c r="BK24" s="49">
        <v>25.180045817</v>
      </c>
      <c r="BL24" s="630" t="s">
        <v>2172</v>
      </c>
      <c r="BM24" s="49" t="s">
        <v>1033</v>
      </c>
      <c r="BN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O24" s="396">
        <f>(PTCK_offBS[[#This Row],[VALUE_DATE]]-PTCK_offBS[[#This Row],[LAST_PMT]])*PTCK_offBS[[#This Row],[COUPON_RATE]]*1000/(DATE(YEAR(PTCK_offBS[[#This Row],[LAST_PMT]])+1,MONTH(PTCK_offBS[[#This Row],[LAST_PMT]]),DAY(PTCK_offBS[[#This Row],[LAST_PMT]]))-PTCK_offBS[[#This Row],[LAST_PMT]])</f>
        <v>303.28767123287673</v>
      </c>
      <c r="BP24" s="396">
        <f>PTCK_offBS[[#This Row],[GROSS_AMOUNT]]/PTCK_offBS[[#This Row],[QUANTITY]]-PTCK_offBS[[#This Row],[START_ACC]]-10^5</f>
        <v>-2380.2876712328725</v>
      </c>
      <c r="BQ24" s="396">
        <f>IF(PTCK_offBS[[#This Row],[BS]]="Others",PTCK_offBS[[#This Row],[PTCK]]*(PTCK_offBS[[#This Row],[MATURITY_DATE]]-PTCK_offBS[[#This Row],[POSTED_DT]]-1)/(PTCK_offBS[[#This Row],[MATURITY_DATE]]-PTCK_offBS[[#This Row],[VALUE_DATE]]),PTCK_offBS[[#This Row],[PTCK]])</f>
        <v>-2387.7234883245405</v>
      </c>
      <c r="BR24" s="396">
        <f>PTCK_offBS[[#This Row],[PTCK remain]]*PTCK_offBS[[#This Row],[QUANTITY]]</f>
        <v>-4775446976.6490812</v>
      </c>
    </row>
    <row r="25" spans="2:70" x14ac:dyDescent="0.3">
      <c r="C25" s="128"/>
      <c r="D25" s="128"/>
      <c r="E25" s="128"/>
      <c r="F25" s="128"/>
      <c r="G25" s="533"/>
      <c r="K25" s="629"/>
      <c r="T25" s="362"/>
      <c r="U25" s="375">
        <v>46252</v>
      </c>
      <c r="V25" s="128" t="s">
        <v>715</v>
      </c>
      <c r="W25" s="128" t="s">
        <v>1033</v>
      </c>
      <c r="X25" s="530">
        <v>-450000000000</v>
      </c>
      <c r="Y25" s="530">
        <v>79632</v>
      </c>
      <c r="Z25" s="530">
        <v>-358344000000</v>
      </c>
      <c r="AA25" s="128" t="s">
        <v>2796</v>
      </c>
      <c r="AB25" s="533">
        <f>_xlfn.IFNA(VLOOKUP(BS[[#This Row],[BOND_CODE]],FNRP!D:I,6,0),VLOOKUP(BS[[#This Row],[BOND_CODE]],FNRP!AV:BA,6,0))</f>
        <v>79629</v>
      </c>
      <c r="AC25" s="396">
        <f>BS[[#This Row],[CLEAN PRICE]]*BS[[#This Row],[BALANCE]]/100000</f>
        <v>-358330500000</v>
      </c>
      <c r="AF25" s="629"/>
      <c r="AK25" s="734"/>
      <c r="AL25" s="128">
        <v>48342</v>
      </c>
      <c r="AM25" s="128" t="s">
        <v>2852</v>
      </c>
      <c r="AN25" s="736">
        <v>2.4</v>
      </c>
      <c r="AO25" s="128" t="s">
        <v>823</v>
      </c>
      <c r="AP25" s="49" t="s">
        <v>2180</v>
      </c>
      <c r="AQ25" s="530">
        <v>500000</v>
      </c>
      <c r="AR25" s="500">
        <v>-1902.1750320356618</v>
      </c>
      <c r="AS25" s="530">
        <v>97932</v>
      </c>
      <c r="AT25" s="530">
        <v>99582</v>
      </c>
      <c r="AU25" s="769">
        <v>2.68</v>
      </c>
      <c r="AV25" s="747">
        <v>116347000000</v>
      </c>
      <c r="AW25" s="534">
        <f>(_xlfn.XLOOKUP(RPBOD3[[#This Row],[Bonds_ShortName]],FNRP!D:D,FNRP!H:H,_xlfn.XLOOKUP(RPBOD3[[#This Row],[Bonds_ShortName]],FNRP!AV:AV,FNRP!AZ:AZ,,0),0)-RPBOD3[[#This Row],[PTCK_Remain]]-10^5)*RPBOD3[[#This Row],[Quantity]]</f>
        <v>-5250912483.9821672</v>
      </c>
      <c r="AY25" s="128"/>
      <c r="AZ25" s="610">
        <v>46252</v>
      </c>
      <c r="BA25" s="850">
        <v>50225</v>
      </c>
      <c r="BB25" s="852" t="s">
        <v>2497</v>
      </c>
      <c r="BC25" s="39" t="s">
        <v>824</v>
      </c>
      <c r="BD25" s="530">
        <v>2000000</v>
      </c>
      <c r="BE25" s="530">
        <v>93824</v>
      </c>
      <c r="BF25" s="658">
        <v>46269</v>
      </c>
      <c r="BG25" s="658">
        <v>46272</v>
      </c>
      <c r="BH25" s="658">
        <v>55966</v>
      </c>
      <c r="BI25" s="500">
        <v>191514000000</v>
      </c>
      <c r="BJ25" s="49">
        <v>4.2</v>
      </c>
      <c r="BK25" s="49">
        <v>26.180045817</v>
      </c>
      <c r="BL25" s="630" t="s">
        <v>2172</v>
      </c>
      <c r="BM25" s="49" t="s">
        <v>1033</v>
      </c>
      <c r="BN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5" s="396">
        <f>(PTCK_offBS[[#This Row],[VALUE_DATE]]-PTCK_offBS[[#This Row],[LAST_PMT]])*PTCK_offBS[[#This Row],[COUPON_RATE]]*1000/(DATE(YEAR(PTCK_offBS[[#This Row],[LAST_PMT]])+1,MONTH(PTCK_offBS[[#This Row],[LAST_PMT]]),DAY(PTCK_offBS[[#This Row],[LAST_PMT]]))-PTCK_offBS[[#This Row],[LAST_PMT]])</f>
        <v>1933.1506849315069</v>
      </c>
      <c r="BP25" s="396">
        <f>PTCK_offBS[[#This Row],[GROSS_AMOUNT]]/PTCK_offBS[[#This Row],[QUANTITY]]-PTCK_offBS[[#This Row],[START_ACC]]-10^5</f>
        <v>-6176.1506849315047</v>
      </c>
      <c r="BQ25" s="396">
        <f>IF(PTCK_offBS[[#This Row],[BS]]="Others",PTCK_offBS[[#This Row],[PTCK]]*(PTCK_offBS[[#This Row],[MATURITY_DATE]]-PTCK_offBS[[#This Row],[POSTED_DT]]-1)/(PTCK_offBS[[#This Row],[MATURITY_DATE]]-PTCK_offBS[[#This Row],[VALUE_DATE]]),PTCK_offBS[[#This Row],[PTCK]])</f>
        <v>-6188.2557873674132</v>
      </c>
      <c r="BR25" s="396">
        <f>PTCK_offBS[[#This Row],[PTCK remain]]*PTCK_offBS[[#This Row],[QUANTITY]]</f>
        <v>-12376511574.734827</v>
      </c>
    </row>
    <row r="26" spans="2:70" x14ac:dyDescent="0.3">
      <c r="C26" s="128"/>
      <c r="D26" s="128"/>
      <c r="E26" s="128"/>
      <c r="F26" s="128"/>
      <c r="G26" s="533"/>
      <c r="K26" s="629"/>
      <c r="T26" s="362"/>
      <c r="U26" s="375">
        <v>46252</v>
      </c>
      <c r="V26" s="128" t="s">
        <v>563</v>
      </c>
      <c r="W26" s="128" t="s">
        <v>822</v>
      </c>
      <c r="X26" s="530">
        <v>300000000000</v>
      </c>
      <c r="Y26" s="530">
        <v>99862</v>
      </c>
      <c r="Z26" s="530">
        <v>299586000000</v>
      </c>
      <c r="AA26" s="128" t="s">
        <v>2795</v>
      </c>
      <c r="AB26" s="533">
        <f>_xlfn.IFNA(VLOOKUP(BS[[#This Row],[BOND_CODE]],FNRP!D:I,6,0),VLOOKUP(BS[[#This Row],[BOND_CODE]],FNRP!AV:BA,6,0))</f>
        <v>99860</v>
      </c>
      <c r="AC26" s="396">
        <f>BS[[#This Row],[CLEAN PRICE]]*BS[[#This Row],[BALANCE]]/100000</f>
        <v>299580000000</v>
      </c>
      <c r="AF26" s="629"/>
      <c r="AK26" s="734"/>
      <c r="AL26" s="128">
        <v>45449</v>
      </c>
      <c r="AM26" s="128" t="s">
        <v>2741</v>
      </c>
      <c r="AN26" s="736">
        <v>2.8</v>
      </c>
      <c r="AO26" s="128" t="s">
        <v>823</v>
      </c>
      <c r="AP26" s="49" t="s">
        <v>2180</v>
      </c>
      <c r="AQ26" s="530">
        <v>1000000</v>
      </c>
      <c r="AR26" s="500">
        <v>976.3011867262469</v>
      </c>
      <c r="AS26" s="530">
        <v>101098</v>
      </c>
      <c r="AT26" s="530">
        <v>103023</v>
      </c>
      <c r="AU26" s="769">
        <v>2.7</v>
      </c>
      <c r="AV26" s="747">
        <v>116347000000</v>
      </c>
      <c r="AW26" s="534">
        <f>(_xlfn.XLOOKUP(RPBOD3[[#This Row],[Bonds_ShortName]],FNRP!D:D,FNRP!H:H,_xlfn.XLOOKUP(RPBOD3[[#This Row],[Bonds_ShortName]],FNRP!AV:AV,FNRP!AZ:AZ,,0),0)-RPBOD3[[#This Row],[PTCK_Remain]]-10^5)*RPBOD3[[#This Row],[Quantity]]</f>
        <v>-16298301186.726254</v>
      </c>
      <c r="AY26" s="128"/>
      <c r="AZ26" s="610">
        <v>46252</v>
      </c>
      <c r="BA26" s="850">
        <v>50227</v>
      </c>
      <c r="BB26" s="852" t="s">
        <v>2497</v>
      </c>
      <c r="BC26" s="39" t="s">
        <v>824</v>
      </c>
      <c r="BD26" s="530">
        <v>3000000</v>
      </c>
      <c r="BE26" s="530">
        <v>93843</v>
      </c>
      <c r="BF26" s="658">
        <v>46272</v>
      </c>
      <c r="BG26" s="658">
        <v>46273</v>
      </c>
      <c r="BH26" s="658">
        <v>55966</v>
      </c>
      <c r="BI26" s="500">
        <v>287364000000</v>
      </c>
      <c r="BJ26" s="49">
        <v>4.2</v>
      </c>
      <c r="BK26" s="49">
        <v>27.180045817</v>
      </c>
      <c r="BL26" s="630" t="s">
        <v>2172</v>
      </c>
      <c r="BM26" s="49" t="s">
        <v>1033</v>
      </c>
      <c r="BN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6" s="396">
        <f>(PTCK_offBS[[#This Row],[VALUE_DATE]]-PTCK_offBS[[#This Row],[LAST_PMT]])*PTCK_offBS[[#This Row],[COUPON_RATE]]*1000/(DATE(YEAR(PTCK_offBS[[#This Row],[LAST_PMT]])+1,MONTH(PTCK_offBS[[#This Row],[LAST_PMT]]),DAY(PTCK_offBS[[#This Row],[LAST_PMT]]))-PTCK_offBS[[#This Row],[LAST_PMT]])</f>
        <v>1944.6575342465756</v>
      </c>
      <c r="BP26" s="396">
        <f>PTCK_offBS[[#This Row],[GROSS_AMOUNT]]/PTCK_offBS[[#This Row],[QUANTITY]]-PTCK_offBS[[#This Row],[START_ACC]]-10^5</f>
        <v>-6156.6575342465803</v>
      </c>
      <c r="BQ26" s="396">
        <f>IF(PTCK_offBS[[#This Row],[BS]]="Others",PTCK_offBS[[#This Row],[PTCK]]*(PTCK_offBS[[#This Row],[MATURITY_DATE]]-PTCK_offBS[[#This Row],[POSTED_DT]]-1)/(PTCK_offBS[[#This Row],[MATURITY_DATE]]-PTCK_offBS[[#This Row],[VALUE_DATE]]),PTCK_offBS[[#This Row],[PTCK]])</f>
        <v>-6169.3608408270948</v>
      </c>
      <c r="BR26" s="396">
        <f>PTCK_offBS[[#This Row],[PTCK remain]]*PTCK_offBS[[#This Row],[QUANTITY]]</f>
        <v>-18508082522.481285</v>
      </c>
    </row>
    <row r="27" spans="2:70" x14ac:dyDescent="0.3">
      <c r="C27" s="128"/>
      <c r="D27" s="128"/>
      <c r="E27" s="128"/>
      <c r="F27" s="128"/>
      <c r="G27" s="533"/>
      <c r="K27" s="629"/>
      <c r="T27" s="362"/>
      <c r="U27" s="375">
        <v>46252</v>
      </c>
      <c r="V27" s="128" t="s">
        <v>724</v>
      </c>
      <c r="W27" s="128" t="s">
        <v>1033</v>
      </c>
      <c r="X27" s="530">
        <v>341000000000</v>
      </c>
      <c r="Y27" s="530">
        <v>138269</v>
      </c>
      <c r="Z27" s="530">
        <v>471497290000</v>
      </c>
      <c r="AA27" s="128" t="s">
        <v>2795</v>
      </c>
      <c r="AB27" s="533">
        <f>_xlfn.IFNA(VLOOKUP(BS[[#This Row],[BOND_CODE]],FNRP!D:I,6,0),VLOOKUP(BS[[#This Row],[BOND_CODE]],FNRP!AV:BA,6,0))</f>
        <v>138272</v>
      </c>
      <c r="AC27" s="396">
        <f>BS[[#This Row],[CLEAN PRICE]]*BS[[#This Row],[BALANCE]]/100000</f>
        <v>471507520000</v>
      </c>
      <c r="AF27" s="629"/>
      <c r="AK27" s="734"/>
      <c r="AL27" s="128">
        <v>48343</v>
      </c>
      <c r="AM27" s="128" t="s">
        <v>637</v>
      </c>
      <c r="AN27" s="736">
        <v>2.2999999999999998</v>
      </c>
      <c r="AO27" s="128" t="s">
        <v>823</v>
      </c>
      <c r="AP27" s="49" t="s">
        <v>2180</v>
      </c>
      <c r="AQ27" s="530">
        <v>500000</v>
      </c>
      <c r="AR27" s="500">
        <v>821.11116611622208</v>
      </c>
      <c r="AS27" s="530">
        <v>100939</v>
      </c>
      <c r="AT27" s="530">
        <v>102540</v>
      </c>
      <c r="AU27" s="769">
        <v>2.1099000000000001</v>
      </c>
      <c r="AV27" s="747">
        <v>116347000000</v>
      </c>
      <c r="AW27" s="534">
        <f>(_xlfn.XLOOKUP(RPBOD3[[#This Row],[Bonds_ShortName]],FNRP!D:D,FNRP!H:H,_xlfn.XLOOKUP(RPBOD3[[#This Row],[Bonds_ShortName]],FNRP!AV:AV,FNRP!AZ:AZ,,0),0)-RPBOD3[[#This Row],[PTCK_Remain]]-10^5)*RPBOD3[[#This Row],[Quantity]]</f>
        <v>-4230055583.0581141</v>
      </c>
      <c r="AY27" s="128"/>
      <c r="AZ27" s="610">
        <v>46252</v>
      </c>
      <c r="BA27" s="850">
        <v>50223</v>
      </c>
      <c r="BB27" s="852" t="s">
        <v>2497</v>
      </c>
      <c r="BC27" s="39" t="s">
        <v>824</v>
      </c>
      <c r="BD27" s="530">
        <v>4500000</v>
      </c>
      <c r="BE27" s="530">
        <v>93845</v>
      </c>
      <c r="BF27" s="658">
        <v>46269</v>
      </c>
      <c r="BG27" s="658">
        <v>46272</v>
      </c>
      <c r="BH27" s="658">
        <v>55966</v>
      </c>
      <c r="BI27" s="500">
        <v>431001000000</v>
      </c>
      <c r="BJ27" s="49">
        <v>4.2</v>
      </c>
      <c r="BK27" s="49">
        <v>28.180045817</v>
      </c>
      <c r="BL27" s="630" t="s">
        <v>2172</v>
      </c>
      <c r="BM27" s="49" t="s">
        <v>1033</v>
      </c>
      <c r="BN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7" s="396">
        <f>(PTCK_offBS[[#This Row],[VALUE_DATE]]-PTCK_offBS[[#This Row],[LAST_PMT]])*PTCK_offBS[[#This Row],[COUPON_RATE]]*1000/(DATE(YEAR(PTCK_offBS[[#This Row],[LAST_PMT]])+1,MONTH(PTCK_offBS[[#This Row],[LAST_PMT]]),DAY(PTCK_offBS[[#This Row],[LAST_PMT]]))-PTCK_offBS[[#This Row],[LAST_PMT]])</f>
        <v>1933.1506849315069</v>
      </c>
      <c r="BP27" s="396">
        <f>PTCK_offBS[[#This Row],[GROSS_AMOUNT]]/PTCK_offBS[[#This Row],[QUANTITY]]-PTCK_offBS[[#This Row],[START_ACC]]-10^5</f>
        <v>-6155.1506849315047</v>
      </c>
      <c r="BQ27" s="396">
        <f>IF(PTCK_offBS[[#This Row],[BS]]="Others",PTCK_offBS[[#This Row],[PTCK]]*(PTCK_offBS[[#This Row],[MATURITY_DATE]]-PTCK_offBS[[#This Row],[POSTED_DT]]-1)/(PTCK_offBS[[#This Row],[MATURITY_DATE]]-PTCK_offBS[[#This Row],[VALUE_DATE]]),PTCK_offBS[[#This Row],[PTCK]])</f>
        <v>-6167.2146278873224</v>
      </c>
      <c r="BR27" s="396">
        <f>PTCK_offBS[[#This Row],[PTCK remain]]*PTCK_offBS[[#This Row],[QUANTITY]]</f>
        <v>-27752465825.49295</v>
      </c>
    </row>
    <row r="28" spans="2:70" x14ac:dyDescent="0.3">
      <c r="C28" s="128"/>
      <c r="D28" s="128"/>
      <c r="E28" s="128"/>
      <c r="F28" s="128"/>
      <c r="G28" s="533"/>
      <c r="K28" s="629"/>
      <c r="T28" s="362"/>
      <c r="U28" s="375">
        <v>46252</v>
      </c>
      <c r="V28" s="128" t="s">
        <v>2773</v>
      </c>
      <c r="W28" s="128" t="s">
        <v>822</v>
      </c>
      <c r="X28" s="530">
        <v>500000000000</v>
      </c>
      <c r="Y28" s="530">
        <v>96323</v>
      </c>
      <c r="Z28" s="530">
        <v>481615000000</v>
      </c>
      <c r="AA28" s="128" t="s">
        <v>2795</v>
      </c>
      <c r="AB28" s="533">
        <f>_xlfn.IFNA(VLOOKUP(BS[[#This Row],[BOND_CODE]],FNRP!D:I,6,0),VLOOKUP(BS[[#This Row],[BOND_CODE]],FNRP!AV:BA,6,0))</f>
        <v>96319</v>
      </c>
      <c r="AC28" s="396">
        <f>BS[[#This Row],[CLEAN PRICE]]*BS[[#This Row],[BALANCE]]/100000</f>
        <v>481595000000</v>
      </c>
      <c r="AF28" s="629"/>
      <c r="AK28" s="734"/>
      <c r="AL28" s="128">
        <v>47808</v>
      </c>
      <c r="AM28" s="128" t="s">
        <v>2799</v>
      </c>
      <c r="AN28" s="736">
        <v>2.1</v>
      </c>
      <c r="AO28" s="128" t="s">
        <v>823</v>
      </c>
      <c r="AP28" s="49" t="s">
        <v>824</v>
      </c>
      <c r="AQ28" s="530">
        <v>1000000</v>
      </c>
      <c r="AR28" s="500">
        <v>-7672.25575040894</v>
      </c>
      <c r="AS28" s="530">
        <v>91487</v>
      </c>
      <c r="AT28" s="530">
        <v>93150</v>
      </c>
      <c r="AU28" s="769">
        <v>3.3</v>
      </c>
      <c r="AV28" s="747">
        <v>116347000000</v>
      </c>
      <c r="AW28" s="534">
        <f>(_xlfn.XLOOKUP(RPBOD3[[#This Row],[Bonds_ShortName]],FNRP!D:D,FNRP!H:H,_xlfn.XLOOKUP(RPBOD3[[#This Row],[Bonds_ShortName]],FNRP!AV:AV,FNRP!AZ:AZ,,0),0)-RPBOD3[[#This Row],[PTCK_Remain]]-10^5)*RPBOD3[[#This Row],[Quantity]]</f>
        <v>-6190744249.5910654</v>
      </c>
      <c r="AY28" s="128"/>
      <c r="AZ28" s="610">
        <v>46252</v>
      </c>
      <c r="BA28" s="850">
        <v>50229</v>
      </c>
      <c r="BB28" s="852" t="s">
        <v>2497</v>
      </c>
      <c r="BC28" s="39" t="s">
        <v>824</v>
      </c>
      <c r="BD28" s="530">
        <v>3500000</v>
      </c>
      <c r="BE28" s="530">
        <v>93840</v>
      </c>
      <c r="BF28" s="658">
        <v>46272</v>
      </c>
      <c r="BG28" s="658">
        <v>46273</v>
      </c>
      <c r="BH28" s="658">
        <v>55966</v>
      </c>
      <c r="BI28" s="500">
        <v>335247500000</v>
      </c>
      <c r="BJ28" s="49">
        <v>4.2</v>
      </c>
      <c r="BK28" s="49">
        <v>29.180045817</v>
      </c>
      <c r="BL28" s="630" t="s">
        <v>2172</v>
      </c>
      <c r="BM28" s="49" t="s">
        <v>1033</v>
      </c>
      <c r="BN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8" s="396">
        <f>(PTCK_offBS[[#This Row],[VALUE_DATE]]-PTCK_offBS[[#This Row],[LAST_PMT]])*PTCK_offBS[[#This Row],[COUPON_RATE]]*1000/(DATE(YEAR(PTCK_offBS[[#This Row],[LAST_PMT]])+1,MONTH(PTCK_offBS[[#This Row],[LAST_PMT]]),DAY(PTCK_offBS[[#This Row],[LAST_PMT]]))-PTCK_offBS[[#This Row],[LAST_PMT]])</f>
        <v>1944.6575342465756</v>
      </c>
      <c r="BP28" s="396">
        <f>PTCK_offBS[[#This Row],[GROSS_AMOUNT]]/PTCK_offBS[[#This Row],[QUANTITY]]-PTCK_offBS[[#This Row],[START_ACC]]-10^5</f>
        <v>-6159.6575342465803</v>
      </c>
      <c r="BQ28" s="396">
        <f>IF(PTCK_offBS[[#This Row],[BS]]="Others",PTCK_offBS[[#This Row],[PTCK]]*(PTCK_offBS[[#This Row],[MATURITY_DATE]]-PTCK_offBS[[#This Row],[POSTED_DT]]-1)/(PTCK_offBS[[#This Row],[MATURITY_DATE]]-PTCK_offBS[[#This Row],[VALUE_DATE]]),PTCK_offBS[[#This Row],[PTCK]])</f>
        <v>-6172.3670308611399</v>
      </c>
      <c r="BR28" s="396">
        <f>PTCK_offBS[[#This Row],[PTCK remain]]*PTCK_offBS[[#This Row],[QUANTITY]]</f>
        <v>-21603284608.013988</v>
      </c>
    </row>
    <row r="29" spans="2:70" x14ac:dyDescent="0.3">
      <c r="C29" s="128"/>
      <c r="D29" s="128"/>
      <c r="E29" s="128"/>
      <c r="F29" s="128"/>
      <c r="G29" s="533"/>
      <c r="K29" s="629"/>
      <c r="T29" s="362"/>
      <c r="U29" s="375">
        <v>46252</v>
      </c>
      <c r="V29" s="128" t="s">
        <v>616</v>
      </c>
      <c r="W29" s="128" t="s">
        <v>1033</v>
      </c>
      <c r="X29" s="530">
        <v>-655000000000</v>
      </c>
      <c r="Y29" s="530">
        <v>114315</v>
      </c>
      <c r="Z29" s="530">
        <v>-748763250000</v>
      </c>
      <c r="AA29" s="128" t="s">
        <v>2796</v>
      </c>
      <c r="AB29" s="533">
        <f>_xlfn.IFNA(VLOOKUP(BS[[#This Row],[BOND_CODE]],FNRP!D:I,6,0),VLOOKUP(BS[[#This Row],[BOND_CODE]],FNRP!AV:BA,6,0))</f>
        <v>114320</v>
      </c>
      <c r="AC29" s="396">
        <f>BS[[#This Row],[CLEAN PRICE]]*BS[[#This Row],[BALANCE]]/100000</f>
        <v>-748796000000</v>
      </c>
      <c r="AF29" s="629"/>
      <c r="AK29" s="734"/>
      <c r="AL29" s="128">
        <v>48336</v>
      </c>
      <c r="AM29" s="128" t="s">
        <v>2799</v>
      </c>
      <c r="AN29" s="736">
        <v>2.1</v>
      </c>
      <c r="AO29" s="128" t="s">
        <v>823</v>
      </c>
      <c r="AP29" s="49" t="s">
        <v>2180</v>
      </c>
      <c r="AQ29" s="530">
        <v>1500000</v>
      </c>
      <c r="AR29" s="500">
        <v>-4198.120092099447</v>
      </c>
      <c r="AS29" s="530">
        <v>95424</v>
      </c>
      <c r="AT29" s="530">
        <v>97392</v>
      </c>
      <c r="AU29" s="769">
        <v>2.74</v>
      </c>
      <c r="AV29" s="747">
        <v>116347000000</v>
      </c>
      <c r="AW29" s="534">
        <f>(_xlfn.XLOOKUP(RPBOD3[[#This Row],[Bonds_ShortName]],FNRP!D:D,FNRP!H:H,_xlfn.XLOOKUP(RPBOD3[[#This Row],[Bonds_ShortName]],FNRP!AV:AV,FNRP!AZ:AZ,,0),0)-RPBOD3[[#This Row],[PTCK_Remain]]-10^5)*RPBOD3[[#This Row],[Quantity]]</f>
        <v>-14497319861.850832</v>
      </c>
      <c r="AY29" s="128"/>
      <c r="AZ29" s="610">
        <v>46252</v>
      </c>
      <c r="BA29" s="850">
        <v>49634</v>
      </c>
      <c r="BB29" s="852" t="s">
        <v>2497</v>
      </c>
      <c r="BC29" s="39" t="s">
        <v>824</v>
      </c>
      <c r="BD29" s="530">
        <v>500000</v>
      </c>
      <c r="BE29" s="530">
        <v>101757</v>
      </c>
      <c r="BF29" s="658">
        <v>46177</v>
      </c>
      <c r="BG29" s="658">
        <v>46178</v>
      </c>
      <c r="BH29" s="658">
        <v>55966</v>
      </c>
      <c r="BI29" s="500">
        <v>51304500000</v>
      </c>
      <c r="BJ29" s="49">
        <v>4.2</v>
      </c>
      <c r="BK29" s="49">
        <v>30.180045817</v>
      </c>
      <c r="BL29" s="630" t="s">
        <v>2172</v>
      </c>
      <c r="BM29" s="49" t="s">
        <v>1033</v>
      </c>
      <c r="BN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9" s="396">
        <f>(PTCK_offBS[[#This Row],[VALUE_DATE]]-PTCK_offBS[[#This Row],[LAST_PMT]])*PTCK_offBS[[#This Row],[COUPON_RATE]]*1000/(DATE(YEAR(PTCK_offBS[[#This Row],[LAST_PMT]])+1,MONTH(PTCK_offBS[[#This Row],[LAST_PMT]]),DAY(PTCK_offBS[[#This Row],[LAST_PMT]]))-PTCK_offBS[[#This Row],[LAST_PMT]])</f>
        <v>851.50684931506851</v>
      </c>
      <c r="BP29" s="396">
        <f>PTCK_offBS[[#This Row],[GROSS_AMOUNT]]/PTCK_offBS[[#This Row],[QUANTITY]]-PTCK_offBS[[#This Row],[START_ACC]]-10^5</f>
        <v>1757.4931506849243</v>
      </c>
      <c r="BQ29" s="396">
        <f>IF(PTCK_offBS[[#This Row],[BS]]="Others",PTCK_offBS[[#This Row],[PTCK]]*(PTCK_offBS[[#This Row],[MATURITY_DATE]]-PTCK_offBS[[#This Row],[POSTED_DT]]-1)/(PTCK_offBS[[#This Row],[MATURITY_DATE]]-PTCK_offBS[[#This Row],[VALUE_DATE]]),PTCK_offBS[[#This Row],[PTCK]])</f>
        <v>1744.0264581735462</v>
      </c>
      <c r="BR29" s="396">
        <f>PTCK_offBS[[#This Row],[PTCK remain]]*PTCK_offBS[[#This Row],[QUANTITY]]</f>
        <v>872013229.08677304</v>
      </c>
    </row>
    <row r="30" spans="2:70" x14ac:dyDescent="0.3">
      <c r="C30" s="128"/>
      <c r="D30" s="128"/>
      <c r="E30" s="128"/>
      <c r="F30" s="128"/>
      <c r="G30" s="533"/>
      <c r="K30" s="629"/>
      <c r="T30" s="362"/>
      <c r="U30" s="375">
        <v>46252</v>
      </c>
      <c r="V30" s="128" t="s">
        <v>712</v>
      </c>
      <c r="W30" s="128" t="s">
        <v>822</v>
      </c>
      <c r="X30" s="530">
        <v>400000000000</v>
      </c>
      <c r="Y30" s="530">
        <v>90736</v>
      </c>
      <c r="Z30" s="530">
        <v>362944000000</v>
      </c>
      <c r="AA30" s="128" t="s">
        <v>2795</v>
      </c>
      <c r="AB30" s="533">
        <f>_xlfn.IFNA(VLOOKUP(BS[[#This Row],[BOND_CODE]],FNRP!D:I,6,0),VLOOKUP(BS[[#This Row],[BOND_CODE]],FNRP!AV:BA,6,0))</f>
        <v>90735</v>
      </c>
      <c r="AC30" s="396">
        <f>BS[[#This Row],[CLEAN PRICE]]*BS[[#This Row],[BALANCE]]/100000</f>
        <v>362940000000</v>
      </c>
      <c r="AF30" s="629"/>
      <c r="AK30" s="734"/>
      <c r="AL30" s="128">
        <v>48164</v>
      </c>
      <c r="AM30" s="128" t="s">
        <v>2836</v>
      </c>
      <c r="AN30" s="736">
        <v>2.7</v>
      </c>
      <c r="AO30" s="128" t="s">
        <v>823</v>
      </c>
      <c r="AP30" s="49" t="s">
        <v>824</v>
      </c>
      <c r="AQ30" s="530">
        <v>1710000</v>
      </c>
      <c r="AR30" s="500">
        <v>-4098.613898356597</v>
      </c>
      <c r="AS30" s="530">
        <v>95526</v>
      </c>
      <c r="AT30" s="530">
        <v>96502</v>
      </c>
      <c r="AU30" s="769">
        <v>3.3024</v>
      </c>
      <c r="AV30" s="747">
        <v>116347000000</v>
      </c>
      <c r="AW30" s="534">
        <f>(_xlfn.XLOOKUP(RPBOD3[[#This Row],[Bonds_ShortName]],FNRP!D:D,FNRP!H:H,_xlfn.XLOOKUP(RPBOD3[[#This Row],[Bonds_ShortName]],FNRP!AV:AV,FNRP!AZ:AZ,,0),0)-RPBOD3[[#This Row],[PTCK_Remain]]-10^5)*RPBOD3[[#This Row],[Quantity]]</f>
        <v>-11570520233.81023</v>
      </c>
      <c r="AY30" s="128"/>
      <c r="AZ30" s="610">
        <v>46252</v>
      </c>
      <c r="BA30" s="850">
        <v>49594</v>
      </c>
      <c r="BB30" s="852" t="s">
        <v>717</v>
      </c>
      <c r="BC30" s="39" t="s">
        <v>824</v>
      </c>
      <c r="BD30" s="530">
        <v>1100000</v>
      </c>
      <c r="BE30" s="530">
        <v>153898</v>
      </c>
      <c r="BF30" s="658">
        <v>46177</v>
      </c>
      <c r="BG30" s="658">
        <v>46178</v>
      </c>
      <c r="BH30" s="658">
        <v>53326</v>
      </c>
      <c r="BI30" s="500">
        <v>173072900000</v>
      </c>
      <c r="BJ30" s="49">
        <v>8</v>
      </c>
      <c r="BK30" s="49">
        <v>31.180045817</v>
      </c>
      <c r="BL30" s="630" t="s">
        <v>2172</v>
      </c>
      <c r="BM30" s="49" t="s">
        <v>1033</v>
      </c>
      <c r="BN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30" s="396">
        <f>(PTCK_offBS[[#This Row],[VALUE_DATE]]-PTCK_offBS[[#This Row],[LAST_PMT]])*PTCK_offBS[[#This Row],[COUPON_RATE]]*1000/(DATE(YEAR(PTCK_offBS[[#This Row],[LAST_PMT]])+1,MONTH(PTCK_offBS[[#This Row],[LAST_PMT]]),DAY(PTCK_offBS[[#This Row],[LAST_PMT]]))-PTCK_offBS[[#This Row],[LAST_PMT]])</f>
        <v>3441.0958904109589</v>
      </c>
      <c r="BP30" s="396">
        <f>PTCK_offBS[[#This Row],[GROSS_AMOUNT]]/PTCK_offBS[[#This Row],[QUANTITY]]-PTCK_offBS[[#This Row],[START_ACC]]-10^5</f>
        <v>53897.904109589028</v>
      </c>
      <c r="BQ30" s="396">
        <f>IF(PTCK_offBS[[#This Row],[BS]]="Others",PTCK_offBS[[#This Row],[PTCK]]*(PTCK_offBS[[#This Row],[MATURITY_DATE]]-PTCK_offBS[[#This Row],[POSTED_DT]]-1)/(PTCK_offBS[[#This Row],[MATURITY_DATE]]-PTCK_offBS[[#This Row],[VALUE_DATE]]),PTCK_offBS[[#This Row],[PTCK]])</f>
        <v>53332.383291427424</v>
      </c>
      <c r="BR30" s="396">
        <f>PTCK_offBS[[#This Row],[PTCK remain]]*PTCK_offBS[[#This Row],[QUANTITY]]</f>
        <v>58665621620.570168</v>
      </c>
    </row>
    <row r="31" spans="2:70" x14ac:dyDescent="0.3">
      <c r="C31" s="128"/>
      <c r="D31" s="128"/>
      <c r="E31" s="128"/>
      <c r="F31" s="128"/>
      <c r="G31" s="533"/>
      <c r="K31" s="629"/>
      <c r="T31" s="362"/>
      <c r="U31" s="375">
        <v>46252</v>
      </c>
      <c r="V31" s="128" t="s">
        <v>2386</v>
      </c>
      <c r="W31" s="128" t="s">
        <v>822</v>
      </c>
      <c r="X31" s="530">
        <v>350000000000</v>
      </c>
      <c r="Y31" s="530">
        <v>99219</v>
      </c>
      <c r="Z31" s="530">
        <v>347266500000</v>
      </c>
      <c r="AA31" s="128" t="s">
        <v>2795</v>
      </c>
      <c r="AB31" s="533">
        <f>_xlfn.IFNA(VLOOKUP(BS[[#This Row],[BOND_CODE]],FNRP!D:I,6,0),VLOOKUP(BS[[#This Row],[BOND_CODE]],FNRP!AV:BA,6,0))</f>
        <v>99219</v>
      </c>
      <c r="AC31" s="396">
        <f>BS[[#This Row],[CLEAN PRICE]]*BS[[#This Row],[BALANCE]]/100000</f>
        <v>347266500000</v>
      </c>
      <c r="AF31" s="629"/>
      <c r="AK31" s="734"/>
      <c r="AL31" s="128">
        <v>49716</v>
      </c>
      <c r="AM31" s="128" t="s">
        <v>2497</v>
      </c>
      <c r="AN31" s="736">
        <v>4.2</v>
      </c>
      <c r="AO31" s="128" t="s">
        <v>823</v>
      </c>
      <c r="AP31" s="49" t="s">
        <v>824</v>
      </c>
      <c r="AQ31" s="530">
        <v>700000</v>
      </c>
      <c r="AR31" s="500">
        <v>2565.7777090371287</v>
      </c>
      <c r="AS31" s="530">
        <v>102591</v>
      </c>
      <c r="AT31" s="530">
        <v>103201</v>
      </c>
      <c r="AU31" s="769">
        <v>4.0395000000000003</v>
      </c>
      <c r="AV31" s="747">
        <v>116347000000</v>
      </c>
      <c r="AW31" s="534">
        <f>(_xlfn.XLOOKUP(RPBOD3[[#This Row],[Bonds_ShortName]],FNRP!D:D,FNRP!H:H,_xlfn.XLOOKUP(RPBOD3[[#This Row],[Bonds_ShortName]],FNRP!AV:AV,FNRP!AZ:AZ,,0),0)-RPBOD3[[#This Row],[PTCK_Remain]]-10^5)*RPBOD3[[#This Row],[Quantity]]</f>
        <v>-7165044396.3259869</v>
      </c>
      <c r="AY31" s="128"/>
      <c r="AZ31" s="610">
        <v>46252</v>
      </c>
      <c r="BA31" s="850">
        <v>49924</v>
      </c>
      <c r="BB31" s="852" t="s">
        <v>2836</v>
      </c>
      <c r="BC31" s="39" t="s">
        <v>824</v>
      </c>
      <c r="BD31" s="530">
        <v>2000000</v>
      </c>
      <c r="BE31" s="530">
        <v>97442</v>
      </c>
      <c r="BF31" s="658">
        <v>46177</v>
      </c>
      <c r="BG31" s="658">
        <v>46178</v>
      </c>
      <c r="BH31" s="658">
        <v>49143</v>
      </c>
      <c r="BI31" s="500">
        <v>199648000000</v>
      </c>
      <c r="BJ31" s="49">
        <v>2.7</v>
      </c>
      <c r="BK31" s="49">
        <v>32.180045817</v>
      </c>
      <c r="BL31" s="630" t="s">
        <v>2172</v>
      </c>
      <c r="BM31" s="49" t="s">
        <v>1033</v>
      </c>
      <c r="BN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45856</v>
      </c>
      <c r="BO31" s="396">
        <f>(PTCK_offBS[[#This Row],[VALUE_DATE]]-PTCK_offBS[[#This Row],[LAST_PMT]])*PTCK_offBS[[#This Row],[COUPON_RATE]]*1000/(DATE(YEAR(PTCK_offBS[[#This Row],[LAST_PMT]])+1,MONTH(PTCK_offBS[[#This Row],[LAST_PMT]]),DAY(PTCK_offBS[[#This Row],[LAST_PMT]]))-PTCK_offBS[[#This Row],[LAST_PMT]])</f>
        <v>2381.9178082191784</v>
      </c>
      <c r="BP31" s="396">
        <f>PTCK_offBS[[#This Row],[GROSS_AMOUNT]]/PTCK_offBS[[#This Row],[QUANTITY]]-PTCK_offBS[[#This Row],[START_ACC]]-10^5</f>
        <v>-2557.9178082191793</v>
      </c>
      <c r="BQ31" s="396">
        <f>IF(PTCK_offBS[[#This Row],[BS]]="Others",PTCK_offBS[[#This Row],[PTCK]]*(PTCK_offBS[[#This Row],[MATURITY_DATE]]-PTCK_offBS[[#This Row],[POSTED_DT]]-1)/(PTCK_offBS[[#This Row],[MATURITY_DATE]]-PTCK_offBS[[#This Row],[VALUE_DATE]]),PTCK_offBS[[#This Row],[PTCK]])</f>
        <v>-2493.214996881426</v>
      </c>
      <c r="BR31" s="396">
        <f>PTCK_offBS[[#This Row],[PTCK remain]]*PTCK_offBS[[#This Row],[QUANTITY]]</f>
        <v>-4986429993.7628517</v>
      </c>
    </row>
    <row r="32" spans="2:70" x14ac:dyDescent="0.3">
      <c r="C32" s="128"/>
      <c r="D32" s="128"/>
      <c r="E32" s="128"/>
      <c r="F32" s="128"/>
      <c r="G32" s="533"/>
      <c r="K32" s="629"/>
      <c r="T32" s="362"/>
      <c r="U32" s="375">
        <v>46252</v>
      </c>
      <c r="V32" s="128" t="s">
        <v>2781</v>
      </c>
      <c r="W32" s="128" t="s">
        <v>822</v>
      </c>
      <c r="X32" s="530">
        <v>100000000000</v>
      </c>
      <c r="Y32" s="530">
        <v>89054</v>
      </c>
      <c r="Z32" s="530">
        <v>89054000000</v>
      </c>
      <c r="AA32" s="128" t="s">
        <v>2795</v>
      </c>
      <c r="AB32" s="533">
        <f>_xlfn.IFNA(VLOOKUP(BS[[#This Row],[BOND_CODE]],FNRP!D:I,6,0),VLOOKUP(BS[[#This Row],[BOND_CODE]],FNRP!AV:BA,6,0))</f>
        <v>89050</v>
      </c>
      <c r="AC32" s="396">
        <f>BS[[#This Row],[CLEAN PRICE]]*BS[[#This Row],[BALANCE]]/100000</f>
        <v>89050000000</v>
      </c>
      <c r="AF32" s="629"/>
      <c r="AK32" s="734"/>
      <c r="AL32" s="128">
        <v>49782</v>
      </c>
      <c r="AM32" s="128" t="s">
        <v>2497</v>
      </c>
      <c r="AN32" s="736">
        <v>4.2</v>
      </c>
      <c r="AO32" s="128" t="s">
        <v>823</v>
      </c>
      <c r="AP32" s="49" t="s">
        <v>824</v>
      </c>
      <c r="AQ32" s="530">
        <v>1000000</v>
      </c>
      <c r="AR32" s="500">
        <v>3181.4376000983802</v>
      </c>
      <c r="AS32" s="530">
        <v>103211</v>
      </c>
      <c r="AT32" s="530">
        <v>103901</v>
      </c>
      <c r="AU32" s="769">
        <v>4.0019999999999998</v>
      </c>
      <c r="AV32" s="747">
        <v>116347000000</v>
      </c>
      <c r="AW32" s="534">
        <f>(_xlfn.XLOOKUP(RPBOD3[[#This Row],[Bonds_ShortName]],FNRP!D:D,FNRP!H:H,_xlfn.XLOOKUP(RPBOD3[[#This Row],[Bonds_ShortName]],FNRP!AV:AV,FNRP!AZ:AZ,,0),0)-RPBOD3[[#This Row],[PTCK_Remain]]-10^5)*RPBOD3[[#This Row],[Quantity]]</f>
        <v>-10851437600.098375</v>
      </c>
      <c r="AY32" s="128"/>
      <c r="AZ32" s="610">
        <v>46252</v>
      </c>
      <c r="BA32" s="850">
        <v>49823</v>
      </c>
      <c r="BB32" s="852" t="s">
        <v>3026</v>
      </c>
      <c r="BC32" s="39" t="s">
        <v>824</v>
      </c>
      <c r="BD32" s="530">
        <v>1650000</v>
      </c>
      <c r="BE32" s="530">
        <v>75415</v>
      </c>
      <c r="BF32" s="658">
        <v>46211</v>
      </c>
      <c r="BG32" s="658">
        <v>46212</v>
      </c>
      <c r="BH32" s="658">
        <v>56267</v>
      </c>
      <c r="BI32" s="500">
        <v>126611100000</v>
      </c>
      <c r="BJ32" s="49">
        <v>2.8</v>
      </c>
      <c r="BK32" s="49">
        <v>33.180045817</v>
      </c>
      <c r="BL32" s="630" t="s">
        <v>2172</v>
      </c>
      <c r="BM32" s="49" t="s">
        <v>1033</v>
      </c>
      <c r="BN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32" s="396">
        <f>(PTCK_offBS[[#This Row],[VALUE_DATE]]-PTCK_offBS[[#This Row],[LAST_PMT]])*PTCK_offBS[[#This Row],[COUPON_RATE]]*1000/(DATE(YEAR(PTCK_offBS[[#This Row],[LAST_PMT]])+1,MONTH(PTCK_offBS[[#This Row],[LAST_PMT]]),DAY(PTCK_offBS[[#This Row],[LAST_PMT]]))-PTCK_offBS[[#This Row],[LAST_PMT]])</f>
        <v>1319.4520547945203</v>
      </c>
      <c r="BP32" s="396">
        <f>PTCK_offBS[[#This Row],[GROSS_AMOUNT]]/PTCK_offBS[[#This Row],[QUANTITY]]-PTCK_offBS[[#This Row],[START_ACC]]-10^5</f>
        <v>-24585.452054794514</v>
      </c>
      <c r="BQ32" s="396">
        <f>IF(PTCK_offBS[[#This Row],[BS]]="Others",PTCK_offBS[[#This Row],[PTCK]]*(PTCK_offBS[[#This Row],[MATURITY_DATE]]-PTCK_offBS[[#This Row],[POSTED_DT]]-1)/(PTCK_offBS[[#This Row],[MATURITY_DATE]]-PTCK_offBS[[#This Row],[VALUE_DATE]]),PTCK_offBS[[#This Row],[PTCK]])</f>
        <v>-24485.203070781925</v>
      </c>
      <c r="BR32" s="396">
        <f>PTCK_offBS[[#This Row],[PTCK remain]]*PTCK_offBS[[#This Row],[QUANTITY]]</f>
        <v>-40400585066.790176</v>
      </c>
    </row>
    <row r="33" spans="3:70" x14ac:dyDescent="0.3">
      <c r="C33" s="128"/>
      <c r="D33" s="128"/>
      <c r="E33" s="128"/>
      <c r="F33" s="128"/>
      <c r="G33" s="533"/>
      <c r="K33" s="629"/>
      <c r="T33" s="362"/>
      <c r="U33" s="375">
        <v>46252</v>
      </c>
      <c r="V33" s="128" t="s">
        <v>660</v>
      </c>
      <c r="W33" s="128" t="s">
        <v>1033</v>
      </c>
      <c r="X33" s="530">
        <v>360000000000</v>
      </c>
      <c r="Y33" s="530">
        <v>104986</v>
      </c>
      <c r="Z33" s="530">
        <v>377949600000</v>
      </c>
      <c r="AA33" s="128" t="s">
        <v>2795</v>
      </c>
      <c r="AB33" s="533">
        <f>_xlfn.IFNA(VLOOKUP(BS[[#This Row],[BOND_CODE]],FNRP!D:I,6,0),VLOOKUP(BS[[#This Row],[BOND_CODE]],FNRP!AV:BA,6,0))</f>
        <v>104987</v>
      </c>
      <c r="AC33" s="396">
        <f>BS[[#This Row],[CLEAN PRICE]]*BS[[#This Row],[BALANCE]]/100000</f>
        <v>377953200000</v>
      </c>
      <c r="AF33" s="629"/>
      <c r="AK33" s="734"/>
      <c r="AL33" s="128">
        <v>49999</v>
      </c>
      <c r="AM33" s="128" t="s">
        <v>667</v>
      </c>
      <c r="AN33" s="736">
        <v>5</v>
      </c>
      <c r="AO33" s="128" t="s">
        <v>823</v>
      </c>
      <c r="AP33" s="49" t="s">
        <v>824</v>
      </c>
      <c r="AQ33" s="530">
        <v>500000</v>
      </c>
      <c r="AR33" s="500">
        <v>12129.709721135019</v>
      </c>
      <c r="AS33" s="530">
        <v>112382</v>
      </c>
      <c r="AT33" s="530">
        <v>114053</v>
      </c>
      <c r="AU33" s="769">
        <v>3.1539000000000001</v>
      </c>
      <c r="AV33" s="747">
        <v>116347000000</v>
      </c>
      <c r="AW33" s="534">
        <f>(_xlfn.XLOOKUP(RPBOD3[[#This Row],[Bonds_ShortName]],FNRP!D:D,FNRP!H:H,_xlfn.XLOOKUP(RPBOD3[[#This Row],[Bonds_ShortName]],FNRP!AV:AV,FNRP!AZ:AZ,,0),0)-RPBOD3[[#This Row],[PTCK_Remain]]-10^5)*RPBOD3[[#This Row],[Quantity]]</f>
        <v>-3976854860.5675097</v>
      </c>
      <c r="AY33" s="128"/>
      <c r="AZ33" s="610">
        <v>46252</v>
      </c>
      <c r="BA33" s="850">
        <v>49825</v>
      </c>
      <c r="BB33" s="852" t="s">
        <v>3026</v>
      </c>
      <c r="BC33" s="39" t="s">
        <v>824</v>
      </c>
      <c r="BD33" s="530">
        <v>2700000</v>
      </c>
      <c r="BE33" s="530">
        <v>75448</v>
      </c>
      <c r="BF33" s="658">
        <v>46212</v>
      </c>
      <c r="BG33" s="658">
        <v>46213</v>
      </c>
      <c r="BH33" s="658">
        <v>56267</v>
      </c>
      <c r="BI33" s="500">
        <v>207292500000</v>
      </c>
      <c r="BJ33" s="49">
        <v>2.8</v>
      </c>
      <c r="BK33" s="49">
        <v>34.180045817</v>
      </c>
      <c r="BL33" s="630" t="s">
        <v>2172</v>
      </c>
      <c r="BM33" s="49" t="s">
        <v>1033</v>
      </c>
      <c r="BN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33" s="396">
        <f>(PTCK_offBS[[#This Row],[VALUE_DATE]]-PTCK_offBS[[#This Row],[LAST_PMT]])*PTCK_offBS[[#This Row],[COUPON_RATE]]*1000/(DATE(YEAR(PTCK_offBS[[#This Row],[LAST_PMT]])+1,MONTH(PTCK_offBS[[#This Row],[LAST_PMT]]),DAY(PTCK_offBS[[#This Row],[LAST_PMT]]))-PTCK_offBS[[#This Row],[LAST_PMT]])</f>
        <v>1327.1232876712329</v>
      </c>
      <c r="BP33" s="396">
        <f>PTCK_offBS[[#This Row],[GROSS_AMOUNT]]/PTCK_offBS[[#This Row],[QUANTITY]]-PTCK_offBS[[#This Row],[START_ACC]]-10^5</f>
        <v>-24552.123287671231</v>
      </c>
      <c r="BQ33" s="396">
        <f>IF(PTCK_offBS[[#This Row],[BS]]="Others",PTCK_offBS[[#This Row],[PTCK]]*(PTCK_offBS[[#This Row],[MATURITY_DATE]]-PTCK_offBS[[#This Row],[POSTED_DT]]-1)/(PTCK_offBS[[#This Row],[MATURITY_DATE]]-PTCK_offBS[[#This Row],[VALUE_DATE]]),PTCK_offBS[[#This Row],[PTCK]])</f>
        <v>-24454.442272005144</v>
      </c>
      <c r="BR33" s="396">
        <f>PTCK_offBS[[#This Row],[PTCK remain]]*PTCK_offBS[[#This Row],[QUANTITY]]</f>
        <v>-66026994134.413887</v>
      </c>
    </row>
    <row r="34" spans="3:70" x14ac:dyDescent="0.3">
      <c r="C34" s="128"/>
      <c r="D34" s="128"/>
      <c r="E34" s="128"/>
      <c r="F34" s="128"/>
      <c r="G34" s="533"/>
      <c r="K34" s="629"/>
      <c r="T34" s="362"/>
      <c r="U34" s="375">
        <v>46252</v>
      </c>
      <c r="V34" s="128" t="s">
        <v>1209</v>
      </c>
      <c r="W34" s="128" t="s">
        <v>1033</v>
      </c>
      <c r="X34" s="530">
        <v>1200000000000</v>
      </c>
      <c r="Y34" s="530">
        <v>124381</v>
      </c>
      <c r="Z34" s="530">
        <v>1492572000000</v>
      </c>
      <c r="AA34" s="128" t="s">
        <v>2795</v>
      </c>
      <c r="AB34" s="533">
        <f>_xlfn.IFNA(VLOOKUP(BS[[#This Row],[BOND_CODE]],FNRP!D:I,6,0),VLOOKUP(BS[[#This Row],[BOND_CODE]],FNRP!AV:BA,6,0))</f>
        <v>124387</v>
      </c>
      <c r="AC34" s="396">
        <f>BS[[#This Row],[CLEAN PRICE]]*BS[[#This Row],[BALANCE]]/100000</f>
        <v>1492644000000</v>
      </c>
      <c r="AF34" s="629"/>
      <c r="AK34" s="734"/>
      <c r="AL34" s="128">
        <v>50221</v>
      </c>
      <c r="AM34" s="128" t="s">
        <v>3051</v>
      </c>
      <c r="AN34" s="736">
        <v>2.9</v>
      </c>
      <c r="AO34" s="128" t="s">
        <v>823</v>
      </c>
      <c r="AP34" s="49" t="s">
        <v>824</v>
      </c>
      <c r="AQ34" s="530">
        <v>1500000</v>
      </c>
      <c r="AR34" s="500">
        <v>-4239.3885095855403</v>
      </c>
      <c r="AS34" s="530">
        <v>95733</v>
      </c>
      <c r="AT34" s="530">
        <v>96949</v>
      </c>
      <c r="AU34" s="769">
        <v>3.4821</v>
      </c>
      <c r="AV34" s="747">
        <v>116347000000</v>
      </c>
      <c r="AW34" s="534">
        <f>(_xlfn.XLOOKUP(RPBOD3[[#This Row],[Bonds_ShortName]],FNRP!D:D,FNRP!H:H,_xlfn.XLOOKUP(RPBOD3[[#This Row],[Bonds_ShortName]],FNRP!AV:AV,FNRP!AZ:AZ,,0),0)-RPBOD3[[#This Row],[PTCK_Remain]]-10^5)*RPBOD3[[#This Row],[Quantity]]</f>
        <v>-9183917235.6216946</v>
      </c>
      <c r="AY34" s="128"/>
      <c r="AZ34" s="610">
        <v>46252</v>
      </c>
      <c r="BA34" s="850">
        <v>49938</v>
      </c>
      <c r="BB34" s="852" t="s">
        <v>3051</v>
      </c>
      <c r="BC34" s="39" t="s">
        <v>824</v>
      </c>
      <c r="BD34" s="530">
        <v>2000000</v>
      </c>
      <c r="BE34" s="530">
        <v>93952</v>
      </c>
      <c r="BF34" s="658">
        <v>46211</v>
      </c>
      <c r="BG34" s="658">
        <v>46212</v>
      </c>
      <c r="BH34" s="658">
        <v>49367</v>
      </c>
      <c r="BI34" s="500">
        <v>190002000000</v>
      </c>
      <c r="BJ34" s="49">
        <v>2.9</v>
      </c>
      <c r="BK34" s="49">
        <v>35.180045817</v>
      </c>
      <c r="BL34" s="630" t="s">
        <v>2172</v>
      </c>
      <c r="BM34" s="49" t="s">
        <v>1033</v>
      </c>
      <c r="BN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34" s="396">
        <f>(PTCK_offBS[[#This Row],[VALUE_DATE]]-PTCK_offBS[[#This Row],[LAST_PMT]])*PTCK_offBS[[#This Row],[COUPON_RATE]]*1000/(DATE(YEAR(PTCK_offBS[[#This Row],[LAST_PMT]])+1,MONTH(PTCK_offBS[[#This Row],[LAST_PMT]]),DAY(PTCK_offBS[[#This Row],[LAST_PMT]]))-PTCK_offBS[[#This Row],[LAST_PMT]])</f>
        <v>1048.7671232876712</v>
      </c>
      <c r="BP34" s="396">
        <f>PTCK_offBS[[#This Row],[GROSS_AMOUNT]]/PTCK_offBS[[#This Row],[QUANTITY]]-PTCK_offBS[[#This Row],[START_ACC]]-10^5</f>
        <v>-6047.7671232876746</v>
      </c>
      <c r="BQ34" s="396">
        <f>IF(PTCK_offBS[[#This Row],[BS]]="Others",PTCK_offBS[[#This Row],[PTCK]]*(PTCK_offBS[[#This Row],[MATURITY_DATE]]-PTCK_offBS[[#This Row],[POSTED_DT]]-1)/(PTCK_offBS[[#This Row],[MATURITY_DATE]]-PTCK_offBS[[#This Row],[VALUE_DATE]]),PTCK_offBS[[#This Row],[PTCK]])</f>
        <v>-5969.1749039359165</v>
      </c>
      <c r="BR34" s="396">
        <f>PTCK_offBS[[#This Row],[PTCK remain]]*PTCK_offBS[[#This Row],[QUANTITY]]</f>
        <v>-11938349807.871834</v>
      </c>
    </row>
    <row r="35" spans="3:70" x14ac:dyDescent="0.3">
      <c r="C35" s="128"/>
      <c r="D35" s="128"/>
      <c r="E35" s="128"/>
      <c r="F35" s="128"/>
      <c r="G35" s="533"/>
      <c r="K35" s="629"/>
      <c r="T35" s="362"/>
      <c r="U35" s="375">
        <v>46252</v>
      </c>
      <c r="V35" s="128" t="s">
        <v>593</v>
      </c>
      <c r="W35" s="128" t="s">
        <v>1033</v>
      </c>
      <c r="X35" s="530">
        <v>595000000000</v>
      </c>
      <c r="Y35" s="530">
        <v>112319</v>
      </c>
      <c r="Z35" s="530">
        <v>668298050000</v>
      </c>
      <c r="AA35" s="128" t="s">
        <v>2795</v>
      </c>
      <c r="AB35" s="533">
        <f>_xlfn.IFNA(VLOOKUP(BS[[#This Row],[BOND_CODE]],FNRP!D:I,6,0),VLOOKUP(BS[[#This Row],[BOND_CODE]],FNRP!AV:BA,6,0))</f>
        <v>112331</v>
      </c>
      <c r="AC35" s="396">
        <f>BS[[#This Row],[CLEAN PRICE]]*BS[[#This Row],[BALANCE]]/100000</f>
        <v>668369450000</v>
      </c>
      <c r="AF35" s="629"/>
      <c r="AK35" s="734"/>
      <c r="AL35" s="128">
        <v>50262</v>
      </c>
      <c r="AM35" s="128" t="s">
        <v>2497</v>
      </c>
      <c r="AN35" s="736">
        <v>4.2</v>
      </c>
      <c r="AO35" s="128" t="s">
        <v>823</v>
      </c>
      <c r="AP35" s="49" t="s">
        <v>824</v>
      </c>
      <c r="AQ35" s="530">
        <v>800000</v>
      </c>
      <c r="AR35" s="500">
        <v>3205.7778402192621</v>
      </c>
      <c r="AS35" s="530">
        <v>103210</v>
      </c>
      <c r="AT35" s="530">
        <v>104775</v>
      </c>
      <c r="AU35" s="769">
        <v>4.0007000000000001</v>
      </c>
      <c r="AV35" s="747">
        <v>116347000000</v>
      </c>
      <c r="AW35" s="534">
        <f>(_xlfn.XLOOKUP(RPBOD3[[#This Row],[Bonds_ShortName]],FNRP!D:D,FNRP!H:H,_xlfn.XLOOKUP(RPBOD3[[#This Row],[Bonds_ShortName]],FNRP!AV:AV,FNRP!AZ:AZ,,0),0)-RPBOD3[[#This Row],[PTCK_Remain]]-10^5)*RPBOD3[[#This Row],[Quantity]]</f>
        <v>-8700622272.1754112</v>
      </c>
      <c r="AY35" s="128"/>
      <c r="AZ35" s="610">
        <v>46252</v>
      </c>
      <c r="BA35" s="850">
        <v>50161</v>
      </c>
      <c r="BB35" s="852" t="s">
        <v>3051</v>
      </c>
      <c r="BC35" s="39" t="s">
        <v>824</v>
      </c>
      <c r="BD35" s="530">
        <v>1500000</v>
      </c>
      <c r="BE35" s="530">
        <v>95540</v>
      </c>
      <c r="BF35" s="658">
        <v>46226</v>
      </c>
      <c r="BG35" s="658">
        <v>46227</v>
      </c>
      <c r="BH35" s="658">
        <v>49367</v>
      </c>
      <c r="BI35" s="500">
        <v>145062000000</v>
      </c>
      <c r="BJ35" s="49">
        <v>2.9</v>
      </c>
      <c r="BK35" s="49">
        <v>36.180045817</v>
      </c>
      <c r="BL35" s="630" t="s">
        <v>2172</v>
      </c>
      <c r="BM35" s="49" t="s">
        <v>1033</v>
      </c>
      <c r="BN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35" s="396">
        <f>(PTCK_offBS[[#This Row],[VALUE_DATE]]-PTCK_offBS[[#This Row],[LAST_PMT]])*PTCK_offBS[[#This Row],[COUPON_RATE]]*1000/(DATE(YEAR(PTCK_offBS[[#This Row],[LAST_PMT]])+1,MONTH(PTCK_offBS[[#This Row],[LAST_PMT]]),DAY(PTCK_offBS[[#This Row],[LAST_PMT]]))-PTCK_offBS[[#This Row],[LAST_PMT]])</f>
        <v>1167.9452054794519</v>
      </c>
      <c r="BP35" s="396">
        <f>PTCK_offBS[[#This Row],[GROSS_AMOUNT]]/PTCK_offBS[[#This Row],[QUANTITY]]-PTCK_offBS[[#This Row],[START_ACC]]-10^5</f>
        <v>-4459.9452054794529</v>
      </c>
      <c r="BQ35" s="396">
        <f>IF(PTCK_offBS[[#This Row],[BS]]="Others",PTCK_offBS[[#This Row],[PTCK]]*(PTCK_offBS[[#This Row],[MATURITY_DATE]]-PTCK_offBS[[#This Row],[POSTED_DT]]-1)/(PTCK_offBS[[#This Row],[MATURITY_DATE]]-PTCK_offBS[[#This Row],[VALUE_DATE]]),PTCK_offBS[[#This Row],[PTCK]])</f>
        <v>-4423.0157228863109</v>
      </c>
      <c r="BR35" s="396">
        <f>PTCK_offBS[[#This Row],[PTCK remain]]*PTCK_offBS[[#This Row],[QUANTITY]]</f>
        <v>-6634523584.3294659</v>
      </c>
    </row>
    <row r="36" spans="3:70" x14ac:dyDescent="0.3">
      <c r="C36" s="128"/>
      <c r="D36" s="128"/>
      <c r="E36" s="128"/>
      <c r="F36" s="128"/>
      <c r="G36" s="533"/>
      <c r="K36" s="629"/>
      <c r="T36" s="362"/>
      <c r="U36" s="375">
        <v>46252</v>
      </c>
      <c r="V36" s="128" t="s">
        <v>2741</v>
      </c>
      <c r="W36" s="128" t="s">
        <v>822</v>
      </c>
      <c r="X36" s="530">
        <v>850000000000</v>
      </c>
      <c r="Y36" s="530">
        <v>84680</v>
      </c>
      <c r="Z36" s="530">
        <v>719780000000</v>
      </c>
      <c r="AA36" s="128" t="s">
        <v>2795</v>
      </c>
      <c r="AB36" s="533">
        <f>_xlfn.IFNA(VLOOKUP(BS[[#This Row],[BOND_CODE]],FNRP!D:I,6,0),VLOOKUP(BS[[#This Row],[BOND_CODE]],FNRP!AV:BA,6,0))</f>
        <v>84678</v>
      </c>
      <c r="AC36" s="396">
        <f>BS[[#This Row],[CLEAN PRICE]]*BS[[#This Row],[BALANCE]]/100000</f>
        <v>719763000000</v>
      </c>
      <c r="AF36" s="629"/>
      <c r="AK36" s="734"/>
      <c r="AL36" s="128">
        <v>50264</v>
      </c>
      <c r="AM36" s="128" t="s">
        <v>2499</v>
      </c>
      <c r="AN36" s="736">
        <v>4.8</v>
      </c>
      <c r="AO36" s="128" t="s">
        <v>823</v>
      </c>
      <c r="AP36" s="49" t="s">
        <v>824</v>
      </c>
      <c r="AQ36" s="530">
        <v>2000000</v>
      </c>
      <c r="AR36" s="500">
        <v>11136.819687936199</v>
      </c>
      <c r="AS36" s="530">
        <v>111200</v>
      </c>
      <c r="AT36" s="530">
        <v>114369</v>
      </c>
      <c r="AU36" s="769">
        <v>2.8418999999999999</v>
      </c>
      <c r="AV36" s="747">
        <v>116347000000</v>
      </c>
      <c r="AW36" s="534">
        <f>(_xlfn.XLOOKUP(RPBOD3[[#This Row],[Bonds_ShortName]],FNRP!D:D,FNRP!H:H,_xlfn.XLOOKUP(RPBOD3[[#This Row],[Bonds_ShortName]],FNRP!AV:AV,FNRP!AZ:AZ,,0),0)-RPBOD3[[#This Row],[PTCK_Remain]]-10^5)*RPBOD3[[#This Row],[Quantity]]</f>
        <v>-16721639375.872387</v>
      </c>
      <c r="AY36" s="128"/>
      <c r="AZ36" s="610">
        <v>46252</v>
      </c>
      <c r="BA36" s="850">
        <v>50105</v>
      </c>
      <c r="BB36" s="852" t="s">
        <v>3051</v>
      </c>
      <c r="BC36" s="39" t="s">
        <v>824</v>
      </c>
      <c r="BD36" s="530">
        <v>2000000</v>
      </c>
      <c r="BE36" s="530">
        <v>93902</v>
      </c>
      <c r="BF36" s="658">
        <v>46244</v>
      </c>
      <c r="BG36" s="658">
        <v>46245</v>
      </c>
      <c r="BH36" s="658">
        <v>49367</v>
      </c>
      <c r="BI36" s="500">
        <v>190426000000</v>
      </c>
      <c r="BJ36" s="49">
        <v>2.9</v>
      </c>
      <c r="BK36" s="49">
        <v>37.180045817</v>
      </c>
      <c r="BL36" s="630" t="s">
        <v>2172</v>
      </c>
      <c r="BM36" s="49" t="s">
        <v>1033</v>
      </c>
      <c r="BN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36" s="396">
        <f>(PTCK_offBS[[#This Row],[VALUE_DATE]]-PTCK_offBS[[#This Row],[LAST_PMT]])*PTCK_offBS[[#This Row],[COUPON_RATE]]*1000/(DATE(YEAR(PTCK_offBS[[#This Row],[LAST_PMT]])+1,MONTH(PTCK_offBS[[#This Row],[LAST_PMT]]),DAY(PTCK_offBS[[#This Row],[LAST_PMT]]))-PTCK_offBS[[#This Row],[LAST_PMT]])</f>
        <v>1310.958904109589</v>
      </c>
      <c r="BP36" s="396">
        <f>PTCK_offBS[[#This Row],[GROSS_AMOUNT]]/PTCK_offBS[[#This Row],[QUANTITY]]-PTCK_offBS[[#This Row],[START_ACC]]-10^5</f>
        <v>-6097.9589041095896</v>
      </c>
      <c r="BQ36" s="396">
        <f>IF(PTCK_offBS[[#This Row],[BS]]="Others",PTCK_offBS[[#This Row],[PTCK]]*(PTCK_offBS[[#This Row],[MATURITY_DATE]]-PTCK_offBS[[#This Row],[POSTED_DT]]-1)/(PTCK_offBS[[#This Row],[MATURITY_DATE]]-PTCK_offBS[[#This Row],[VALUE_DATE]]),PTCK_offBS[[#This Row],[PTCK]])</f>
        <v>-6082.3331285705517</v>
      </c>
      <c r="BR36" s="396">
        <f>PTCK_offBS[[#This Row],[PTCK remain]]*PTCK_offBS[[#This Row],[QUANTITY]]</f>
        <v>-12164666257.141104</v>
      </c>
    </row>
    <row r="37" spans="3:70" x14ac:dyDescent="0.3">
      <c r="C37" s="128"/>
      <c r="D37" s="128"/>
      <c r="E37" s="128"/>
      <c r="F37" s="128"/>
      <c r="G37" s="533"/>
      <c r="K37" s="629"/>
      <c r="T37" s="362"/>
      <c r="U37" s="375">
        <v>46252</v>
      </c>
      <c r="V37" s="128" t="s">
        <v>683</v>
      </c>
      <c r="W37" s="128" t="s">
        <v>822</v>
      </c>
      <c r="X37" s="530">
        <v>29000000000</v>
      </c>
      <c r="Y37" s="530">
        <v>126509</v>
      </c>
      <c r="Z37" s="530">
        <v>36687610000</v>
      </c>
      <c r="AA37" s="128" t="s">
        <v>2795</v>
      </c>
      <c r="AB37" s="533">
        <f>_xlfn.IFNA(VLOOKUP(BS[[#This Row],[BOND_CODE]],FNRP!D:I,6,0),VLOOKUP(BS[[#This Row],[BOND_CODE]],FNRP!AV:BA,6,0))</f>
        <v>126513</v>
      </c>
      <c r="AC37" s="396">
        <f>BS[[#This Row],[CLEAN PRICE]]*BS[[#This Row],[BALANCE]]/100000</f>
        <v>36688770000</v>
      </c>
      <c r="AF37" s="629"/>
      <c r="AK37" s="734"/>
      <c r="AL37" s="128">
        <v>49327</v>
      </c>
      <c r="AM37" s="128" t="s">
        <v>2497</v>
      </c>
      <c r="AN37" s="736">
        <v>4.2</v>
      </c>
      <c r="AO37" s="128" t="s">
        <v>823</v>
      </c>
      <c r="AP37" s="49" t="s">
        <v>824</v>
      </c>
      <c r="AQ37" s="530">
        <v>4434000</v>
      </c>
      <c r="AR37" s="500">
        <v>-6170.6203437100585</v>
      </c>
      <c r="AS37" s="530">
        <v>93740</v>
      </c>
      <c r="AT37" s="530">
        <v>93844</v>
      </c>
      <c r="AU37" s="769">
        <v>4.6100000000000003</v>
      </c>
      <c r="AV37" s="747">
        <v>116347000000</v>
      </c>
      <c r="AW37" s="534">
        <f>(_xlfn.XLOOKUP(RPBOD3[[#This Row],[Bonds_ShortName]],FNRP!D:D,FNRP!H:H,_xlfn.XLOOKUP(RPBOD3[[#This Row],[Bonds_ShortName]],FNRP!AV:AV,FNRP!AZ:AZ,,0),0)-RPBOD3[[#This Row],[PTCK_Remain]]-10^5)*RPBOD3[[#This Row],[Quantity]]</f>
        <v>-6648249395.9895802</v>
      </c>
      <c r="AY37" s="128"/>
      <c r="AZ37" s="610">
        <v>46252</v>
      </c>
      <c r="BA37" s="850">
        <v>50309</v>
      </c>
      <c r="BB37" s="852" t="s">
        <v>3051</v>
      </c>
      <c r="BC37" s="39" t="s">
        <v>824</v>
      </c>
      <c r="BD37" s="530">
        <v>1600000</v>
      </c>
      <c r="BE37" s="530">
        <v>93871</v>
      </c>
      <c r="BF37" s="658">
        <v>46259</v>
      </c>
      <c r="BG37" s="658">
        <v>46260</v>
      </c>
      <c r="BH37" s="658">
        <v>49367</v>
      </c>
      <c r="BI37" s="500">
        <v>152481600000</v>
      </c>
      <c r="BJ37" s="49">
        <v>2.9</v>
      </c>
      <c r="BK37" s="49">
        <v>38.180045817</v>
      </c>
      <c r="BL37" s="630" t="s">
        <v>2172</v>
      </c>
      <c r="BM37" s="49" t="s">
        <v>1033</v>
      </c>
      <c r="BN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37" s="396">
        <f>(PTCK_offBS[[#This Row],[VALUE_DATE]]-PTCK_offBS[[#This Row],[LAST_PMT]])*PTCK_offBS[[#This Row],[COUPON_RATE]]*1000/(DATE(YEAR(PTCK_offBS[[#This Row],[LAST_PMT]])+1,MONTH(PTCK_offBS[[#This Row],[LAST_PMT]]),DAY(PTCK_offBS[[#This Row],[LAST_PMT]]))-PTCK_offBS[[#This Row],[LAST_PMT]])</f>
        <v>1430.1369863013699</v>
      </c>
      <c r="BP37" s="396">
        <f>PTCK_offBS[[#This Row],[GROSS_AMOUNT]]/PTCK_offBS[[#This Row],[QUANTITY]]-PTCK_offBS[[#This Row],[START_ACC]]-10^5</f>
        <v>-6129.1369863013679</v>
      </c>
      <c r="BQ37" s="396">
        <f>IF(PTCK_offBS[[#This Row],[BS]]="Others",PTCK_offBS[[#This Row],[PTCK]]*(PTCK_offBS[[#This Row],[MATURITY_DATE]]-PTCK_offBS[[#This Row],[POSTED_DT]]-1)/(PTCK_offBS[[#This Row],[MATURITY_DATE]]-PTCK_offBS[[#This Row],[VALUE_DATE]]),PTCK_offBS[[#This Row],[PTCK]])</f>
        <v>-6142.9457918707622</v>
      </c>
      <c r="BR37" s="396">
        <f>PTCK_offBS[[#This Row],[PTCK remain]]*PTCK_offBS[[#This Row],[QUANTITY]]</f>
        <v>-9828713266.9932194</v>
      </c>
    </row>
    <row r="38" spans="3:70" x14ac:dyDescent="0.3">
      <c r="C38" s="128"/>
      <c r="D38" s="128"/>
      <c r="E38" s="128"/>
      <c r="F38" s="128"/>
      <c r="G38" s="533"/>
      <c r="K38" s="629"/>
      <c r="T38" s="362"/>
      <c r="U38" s="375">
        <v>46252</v>
      </c>
      <c r="V38" s="128" t="s">
        <v>610</v>
      </c>
      <c r="W38" s="128" t="s">
        <v>822</v>
      </c>
      <c r="X38" s="530">
        <v>177000000000</v>
      </c>
      <c r="Y38" s="530">
        <v>95894</v>
      </c>
      <c r="Z38" s="530">
        <v>169732380000</v>
      </c>
      <c r="AA38" s="128" t="s">
        <v>2795</v>
      </c>
      <c r="AB38" s="533">
        <f>_xlfn.IFNA(VLOOKUP(BS[[#This Row],[BOND_CODE]],FNRP!D:I,6,0),VLOOKUP(BS[[#This Row],[BOND_CODE]],FNRP!AV:BA,6,0))</f>
        <v>95892</v>
      </c>
      <c r="AC38" s="396">
        <f>BS[[#This Row],[CLEAN PRICE]]*BS[[#This Row],[BALANCE]]/100000</f>
        <v>169728840000</v>
      </c>
      <c r="AF38" s="629"/>
      <c r="AK38" s="734"/>
      <c r="AL38" s="128">
        <v>49582</v>
      </c>
      <c r="AM38" s="128" t="s">
        <v>684</v>
      </c>
      <c r="AN38" s="736">
        <v>7.4</v>
      </c>
      <c r="AO38" s="128" t="s">
        <v>823</v>
      </c>
      <c r="AP38" s="49" t="s">
        <v>824</v>
      </c>
      <c r="AQ38" s="530">
        <v>3000000</v>
      </c>
      <c r="AR38" s="500">
        <v>24838.385187777232</v>
      </c>
      <c r="AS38" s="530">
        <v>125588</v>
      </c>
      <c r="AT38" s="530">
        <v>126095</v>
      </c>
      <c r="AU38" s="769">
        <v>4.4000000000000004</v>
      </c>
      <c r="AV38" s="747">
        <v>116347000000</v>
      </c>
      <c r="AW38" s="534">
        <f>(_xlfn.XLOOKUP(RPBOD3[[#This Row],[Bonds_ShortName]],FNRP!D:D,FNRP!H:H,_xlfn.XLOOKUP(RPBOD3[[#This Row],[Bonds_ShortName]],FNRP!AV:AV,FNRP!AZ:AZ,,0),0)-RPBOD3[[#This Row],[PTCK_Remain]]-10^5)*RPBOD3[[#This Row],[Quantity]]</f>
        <v>-1438155563.3316748</v>
      </c>
      <c r="AY38" s="128"/>
      <c r="AZ38" s="610">
        <v>46252</v>
      </c>
      <c r="BA38" s="850">
        <v>50165</v>
      </c>
      <c r="BB38" s="852" t="s">
        <v>3317</v>
      </c>
      <c r="BC38" s="39" t="s">
        <v>824</v>
      </c>
      <c r="BD38" s="530">
        <v>110000</v>
      </c>
      <c r="BE38" s="530">
        <v>98638</v>
      </c>
      <c r="BF38" s="658">
        <v>46226</v>
      </c>
      <c r="BG38" s="658">
        <v>46227</v>
      </c>
      <c r="BH38" s="658">
        <v>49528</v>
      </c>
      <c r="BI38" s="500">
        <v>11199210000</v>
      </c>
      <c r="BJ38" s="49">
        <v>3.3</v>
      </c>
      <c r="BK38" s="49">
        <v>39.180045817</v>
      </c>
      <c r="BL38" s="630" t="s">
        <v>2172</v>
      </c>
      <c r="BM38" s="49" t="s">
        <v>1033</v>
      </c>
      <c r="BN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O38" s="396">
        <f>(PTCK_offBS[[#This Row],[VALUE_DATE]]-PTCK_offBS[[#This Row],[LAST_PMT]])*PTCK_offBS[[#This Row],[COUPON_RATE]]*1000/(DATE(YEAR(PTCK_offBS[[#This Row],[LAST_PMT]])+1,MONTH(PTCK_offBS[[#This Row],[LAST_PMT]]),DAY(PTCK_offBS[[#This Row],[LAST_PMT]]))-PTCK_offBS[[#This Row],[LAST_PMT]])</f>
        <v>3173.4246575342468</v>
      </c>
      <c r="BP38" s="396">
        <f>PTCK_offBS[[#This Row],[GROSS_AMOUNT]]/PTCK_offBS[[#This Row],[QUANTITY]]-PTCK_offBS[[#This Row],[START_ACC]]-10^5</f>
        <v>-1362.4246575342404</v>
      </c>
      <c r="BQ38" s="396">
        <f>IF(PTCK_offBS[[#This Row],[BS]]="Others",PTCK_offBS[[#This Row],[PTCK]]*(PTCK_offBS[[#This Row],[MATURITY_DATE]]-PTCK_offBS[[#This Row],[POSTED_DT]]-1)/(PTCK_offBS[[#This Row],[MATURITY_DATE]]-PTCK_offBS[[#This Row],[VALUE_DATE]]),PTCK_offBS[[#This Row],[PTCK]])</f>
        <v>-1351.6936544758064</v>
      </c>
      <c r="BR38" s="396">
        <f>PTCK_offBS[[#This Row],[PTCK remain]]*PTCK_offBS[[#This Row],[QUANTITY]]</f>
        <v>-148686301.99233872</v>
      </c>
    </row>
    <row r="39" spans="3:70" x14ac:dyDescent="0.3">
      <c r="C39" s="128"/>
      <c r="D39" s="128"/>
      <c r="E39" s="128"/>
      <c r="F39" s="128"/>
      <c r="G39" s="533"/>
      <c r="K39" s="629"/>
      <c r="T39" s="362"/>
      <c r="U39" s="375">
        <v>46252</v>
      </c>
      <c r="V39" s="128" t="s">
        <v>2371</v>
      </c>
      <c r="W39" s="128" t="s">
        <v>1033</v>
      </c>
      <c r="X39" s="530">
        <v>-437000000000</v>
      </c>
      <c r="Y39" s="530">
        <v>73586</v>
      </c>
      <c r="Z39" s="530">
        <v>-321570820000</v>
      </c>
      <c r="AA39" s="128" t="s">
        <v>2796</v>
      </c>
      <c r="AB39" s="533">
        <f>_xlfn.IFNA(VLOOKUP(BS[[#This Row],[BOND_CODE]],FNRP!D:I,6,0),VLOOKUP(BS[[#This Row],[BOND_CODE]],FNRP!AV:BA,6,0))</f>
        <v>73584</v>
      </c>
      <c r="AC39" s="396">
        <f>BS[[#This Row],[CLEAN PRICE]]*BS[[#This Row],[BALANCE]]/100000</f>
        <v>-321562080000</v>
      </c>
      <c r="AF39" s="629"/>
      <c r="AK39" s="734"/>
      <c r="AL39" s="128">
        <v>49474</v>
      </c>
      <c r="AM39" s="128" t="s">
        <v>1193</v>
      </c>
      <c r="AN39" s="736">
        <v>7.9</v>
      </c>
      <c r="AO39" s="128" t="s">
        <v>823</v>
      </c>
      <c r="AP39" s="49" t="s">
        <v>824</v>
      </c>
      <c r="AQ39" s="530">
        <v>5500000</v>
      </c>
      <c r="AR39" s="500">
        <v>43662.851967008544</v>
      </c>
      <c r="AS39" s="530">
        <v>144419</v>
      </c>
      <c r="AT39" s="530">
        <v>148986</v>
      </c>
      <c r="AU39" s="769">
        <v>4.5199999999999996</v>
      </c>
      <c r="AV39" s="747">
        <v>116347000000</v>
      </c>
      <c r="AW39" s="534">
        <f>(_xlfn.XLOOKUP(RPBOD3[[#This Row],[Bonds_ShortName]],FNRP!D:D,FNRP!H:H,_xlfn.XLOOKUP(RPBOD3[[#This Row],[Bonds_ShortName]],FNRP!AV:AV,FNRP!AZ:AZ,,0),0)-RPBOD3[[#This Row],[PTCK_Remain]]-10^5)*RPBOD3[[#This Row],[Quantity]]</f>
        <v>-11642685818.547033</v>
      </c>
      <c r="AY39" s="128"/>
      <c r="AZ39" s="610">
        <v>46252</v>
      </c>
      <c r="BA39" s="850">
        <v>49716</v>
      </c>
      <c r="BB39" s="852" t="s">
        <v>2497</v>
      </c>
      <c r="BC39" s="39" t="s">
        <v>824</v>
      </c>
      <c r="BD39" s="530">
        <v>700000</v>
      </c>
      <c r="BE39" s="530">
        <v>102591</v>
      </c>
      <c r="BF39" s="658">
        <v>46156</v>
      </c>
      <c r="BG39" s="658">
        <v>46157</v>
      </c>
      <c r="BH39" s="658">
        <v>55966</v>
      </c>
      <c r="BI39" s="500">
        <v>72240700000</v>
      </c>
      <c r="BJ39" s="49">
        <v>4.2</v>
      </c>
      <c r="BK39" s="49">
        <v>40.180045817</v>
      </c>
      <c r="BL39" s="630" t="s">
        <v>2172</v>
      </c>
      <c r="BM39" s="49" t="s">
        <v>1033</v>
      </c>
      <c r="BN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39" s="396">
        <f>(PTCK_offBS[[#This Row],[VALUE_DATE]]-PTCK_offBS[[#This Row],[LAST_PMT]])*PTCK_offBS[[#This Row],[COUPON_RATE]]*1000/(DATE(YEAR(PTCK_offBS[[#This Row],[LAST_PMT]])+1,MONTH(PTCK_offBS[[#This Row],[LAST_PMT]]),DAY(PTCK_offBS[[#This Row],[LAST_PMT]]))-PTCK_offBS[[#This Row],[LAST_PMT]])</f>
        <v>609.8630136986302</v>
      </c>
      <c r="BP39" s="396">
        <f>PTCK_offBS[[#This Row],[GROSS_AMOUNT]]/PTCK_offBS[[#This Row],[QUANTITY]]-PTCK_offBS[[#This Row],[START_ACC]]-10^5</f>
        <v>2591.1369863013679</v>
      </c>
      <c r="BQ39" s="396">
        <f>IF(PTCK_offBS[[#This Row],[BS]]="Others",PTCK_offBS[[#This Row],[PTCK]]*(PTCK_offBS[[#This Row],[MATURITY_DATE]]-PTCK_offBS[[#This Row],[POSTED_DT]]-1)/(PTCK_offBS[[#This Row],[MATURITY_DATE]]-PTCK_offBS[[#This Row],[VALUE_DATE]]),PTCK_offBS[[#This Row],[PTCK]])</f>
        <v>2565.7777090371278</v>
      </c>
      <c r="BR39" s="396">
        <f>PTCK_offBS[[#This Row],[PTCK remain]]*PTCK_offBS[[#This Row],[QUANTITY]]</f>
        <v>1796044396.3259895</v>
      </c>
    </row>
    <row r="40" spans="3:70" x14ac:dyDescent="0.3">
      <c r="C40" s="128"/>
      <c r="D40" s="128"/>
      <c r="E40" s="128"/>
      <c r="F40" s="128"/>
      <c r="G40" s="533"/>
      <c r="K40" s="629"/>
      <c r="T40" s="362"/>
      <c r="U40" s="375">
        <v>46252</v>
      </c>
      <c r="V40" s="128" t="s">
        <v>2497</v>
      </c>
      <c r="W40" s="128" t="s">
        <v>1033</v>
      </c>
      <c r="X40" s="530">
        <v>6092700000000</v>
      </c>
      <c r="Y40" s="530">
        <v>92331</v>
      </c>
      <c r="Z40" s="530">
        <v>5625450837000</v>
      </c>
      <c r="AA40" s="128" t="s">
        <v>2795</v>
      </c>
      <c r="AB40" s="533">
        <f>_xlfn.IFNA(VLOOKUP(BS[[#This Row],[BOND_CODE]],FNRP!D:I,6,0),VLOOKUP(BS[[#This Row],[BOND_CODE]],FNRP!AV:BA,6,0))</f>
        <v>92330</v>
      </c>
      <c r="AC40" s="396">
        <f>BS[[#This Row],[CLEAN PRICE]]*BS[[#This Row],[BALANCE]]/100000</f>
        <v>5625389910000</v>
      </c>
      <c r="AF40" s="629"/>
      <c r="AK40" s="734"/>
      <c r="AL40" s="128">
        <v>49475</v>
      </c>
      <c r="AM40" s="128" t="s">
        <v>1193</v>
      </c>
      <c r="AN40" s="736">
        <v>7.9</v>
      </c>
      <c r="AO40" s="128" t="s">
        <v>823</v>
      </c>
      <c r="AP40" s="49" t="s">
        <v>824</v>
      </c>
      <c r="AQ40" s="530">
        <v>6000000</v>
      </c>
      <c r="AR40" s="500">
        <v>43662.851967008668</v>
      </c>
      <c r="AS40" s="530">
        <v>144419</v>
      </c>
      <c r="AT40" s="530">
        <v>148986</v>
      </c>
      <c r="AU40" s="769">
        <v>4.5199999999999996</v>
      </c>
      <c r="AV40" s="747">
        <v>116347000000</v>
      </c>
      <c r="AW40" s="534">
        <f>(_xlfn.XLOOKUP(RPBOD3[[#This Row],[Bonds_ShortName]],FNRP!D:D,FNRP!H:H,_xlfn.XLOOKUP(RPBOD3[[#This Row],[Bonds_ShortName]],FNRP!AV:AV,FNRP!AZ:AZ,,0),0)-RPBOD3[[#This Row],[PTCK_Remain]]-10^5)*RPBOD3[[#This Row],[Quantity]]</f>
        <v>-12701111802.052008</v>
      </c>
      <c r="AY40" s="128"/>
      <c r="AZ40" s="610">
        <v>46252</v>
      </c>
      <c r="BA40" s="850">
        <v>49782</v>
      </c>
      <c r="BB40" s="852" t="s">
        <v>2497</v>
      </c>
      <c r="BC40" s="39" t="s">
        <v>824</v>
      </c>
      <c r="BD40" s="530">
        <v>1000000</v>
      </c>
      <c r="BE40" s="530">
        <v>103211</v>
      </c>
      <c r="BF40" s="658">
        <v>46163</v>
      </c>
      <c r="BG40" s="658">
        <v>46164</v>
      </c>
      <c r="BH40" s="658">
        <v>55966</v>
      </c>
      <c r="BI40" s="500">
        <v>103901000000</v>
      </c>
      <c r="BJ40" s="49">
        <v>4.2</v>
      </c>
      <c r="BK40" s="49">
        <v>41.180045817</v>
      </c>
      <c r="BL40" s="630" t="s">
        <v>2172</v>
      </c>
      <c r="BM40" s="49" t="s">
        <v>1033</v>
      </c>
      <c r="BN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40" s="396">
        <f>(PTCK_offBS[[#This Row],[VALUE_DATE]]-PTCK_offBS[[#This Row],[LAST_PMT]])*PTCK_offBS[[#This Row],[COUPON_RATE]]*1000/(DATE(YEAR(PTCK_offBS[[#This Row],[LAST_PMT]])+1,MONTH(PTCK_offBS[[#This Row],[LAST_PMT]]),DAY(PTCK_offBS[[#This Row],[LAST_PMT]]))-PTCK_offBS[[#This Row],[LAST_PMT]])</f>
        <v>690.41095890410963</v>
      </c>
      <c r="BP40" s="396">
        <f>PTCK_offBS[[#This Row],[GROSS_AMOUNT]]/PTCK_offBS[[#This Row],[QUANTITY]]-PTCK_offBS[[#This Row],[START_ACC]]-10^5</f>
        <v>3210.5890410958964</v>
      </c>
      <c r="BQ40" s="396">
        <f>IF(PTCK_offBS[[#This Row],[BS]]="Others",PTCK_offBS[[#This Row],[PTCK]]*(PTCK_offBS[[#This Row],[MATURITY_DATE]]-PTCK_offBS[[#This Row],[POSTED_DT]]-1)/(PTCK_offBS[[#This Row],[MATURITY_DATE]]-PTCK_offBS[[#This Row],[VALUE_DATE]]),PTCK_offBS[[#This Row],[PTCK]])</f>
        <v>3181.4376000983921</v>
      </c>
      <c r="BR40" s="396">
        <f>PTCK_offBS[[#This Row],[PTCK remain]]*PTCK_offBS[[#This Row],[QUANTITY]]</f>
        <v>3181437600.098392</v>
      </c>
    </row>
    <row r="41" spans="3:70" x14ac:dyDescent="0.3">
      <c r="C41" s="128"/>
      <c r="D41" s="128"/>
      <c r="E41" s="128"/>
      <c r="F41" s="128"/>
      <c r="G41" s="533"/>
      <c r="K41" s="629"/>
      <c r="T41" s="362"/>
      <c r="U41" s="375">
        <v>46252</v>
      </c>
      <c r="V41" s="128" t="s">
        <v>684</v>
      </c>
      <c r="W41" s="128" t="s">
        <v>1033</v>
      </c>
      <c r="X41" s="530">
        <v>300000000000</v>
      </c>
      <c r="Y41" s="530">
        <v>124355</v>
      </c>
      <c r="Z41" s="530">
        <v>373065000000</v>
      </c>
      <c r="AA41" s="128" t="s">
        <v>2795</v>
      </c>
      <c r="AB41" s="533">
        <f>_xlfn.IFNA(VLOOKUP(BS[[#This Row],[BOND_CODE]],FNRP!D:I,6,0),VLOOKUP(BS[[#This Row],[BOND_CODE]],FNRP!AV:BA,6,0))</f>
        <v>124359</v>
      </c>
      <c r="AC41" s="396">
        <f>BS[[#This Row],[CLEAN PRICE]]*BS[[#This Row],[BALANCE]]/100000</f>
        <v>373077000000</v>
      </c>
      <c r="AF41" s="629"/>
      <c r="AK41" s="734"/>
      <c r="AL41" s="128">
        <v>49583</v>
      </c>
      <c r="AM41" s="128" t="s">
        <v>724</v>
      </c>
      <c r="AN41" s="736">
        <v>7.6</v>
      </c>
      <c r="AO41" s="128" t="s">
        <v>823</v>
      </c>
      <c r="AP41" s="49" t="s">
        <v>824</v>
      </c>
      <c r="AQ41" s="530">
        <v>1410000</v>
      </c>
      <c r="AR41" s="500">
        <v>39231.670802225744</v>
      </c>
      <c r="AS41" s="530">
        <v>139840</v>
      </c>
      <c r="AT41" s="530">
        <v>139923</v>
      </c>
      <c r="AU41" s="769">
        <v>4.5999999999999996</v>
      </c>
      <c r="AV41" s="747">
        <v>116347000000</v>
      </c>
      <c r="AW41" s="534">
        <f>(_xlfn.XLOOKUP(RPBOD3[[#This Row],[Bonds_ShortName]],FNRP!D:D,FNRP!H:H,_xlfn.XLOOKUP(RPBOD3[[#This Row],[Bonds_ShortName]],FNRP!AV:AV,FNRP!AZ:AZ,,0),0)-RPBOD3[[#This Row],[PTCK_Remain]]-10^5)*RPBOD3[[#This Row],[Quantity]]</f>
        <v>-1353135831.1382895</v>
      </c>
      <c r="AY41" s="128"/>
      <c r="AZ41" s="610">
        <v>46252</v>
      </c>
      <c r="BA41" s="850">
        <v>49882</v>
      </c>
      <c r="BB41" s="852" t="s">
        <v>3026</v>
      </c>
      <c r="BC41" s="39" t="s">
        <v>824</v>
      </c>
      <c r="BD41" s="530">
        <v>1650000</v>
      </c>
      <c r="BE41" s="530">
        <v>73141</v>
      </c>
      <c r="BF41" s="658">
        <v>46177</v>
      </c>
      <c r="BG41" s="658">
        <v>46178</v>
      </c>
      <c r="BH41" s="658">
        <v>56267</v>
      </c>
      <c r="BI41" s="500">
        <v>122430000000</v>
      </c>
      <c r="BJ41" s="49">
        <v>2.8</v>
      </c>
      <c r="BK41" s="49">
        <v>42.180045817</v>
      </c>
      <c r="BL41" s="630" t="s">
        <v>2172</v>
      </c>
      <c r="BM41" s="49" t="s">
        <v>1033</v>
      </c>
      <c r="BN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41" s="396">
        <f>(PTCK_offBS[[#This Row],[VALUE_DATE]]-PTCK_offBS[[#This Row],[LAST_PMT]])*PTCK_offBS[[#This Row],[COUPON_RATE]]*1000/(DATE(YEAR(PTCK_offBS[[#This Row],[LAST_PMT]])+1,MONTH(PTCK_offBS[[#This Row],[LAST_PMT]]),DAY(PTCK_offBS[[#This Row],[LAST_PMT]]))-PTCK_offBS[[#This Row],[LAST_PMT]])</f>
        <v>1058.6301369863013</v>
      </c>
      <c r="BP41" s="396">
        <f>PTCK_offBS[[#This Row],[GROSS_AMOUNT]]/PTCK_offBS[[#This Row],[QUANTITY]]-PTCK_offBS[[#This Row],[START_ACC]]-10^5</f>
        <v>-26858.630136986307</v>
      </c>
      <c r="BQ41" s="396">
        <f>IF(PTCK_offBS[[#This Row],[BS]]="Others",PTCK_offBS[[#This Row],[PTCK]]*(PTCK_offBS[[#This Row],[MATURITY_DATE]]-PTCK_offBS[[#This Row],[POSTED_DT]]-1)/(PTCK_offBS[[#This Row],[MATURITY_DATE]]-PTCK_offBS[[#This Row],[VALUE_DATE]]),PTCK_offBS[[#This Row],[PTCK]])</f>
        <v>-26658.967409235887</v>
      </c>
      <c r="BR41" s="396">
        <f>PTCK_offBS[[#This Row],[PTCK remain]]*PTCK_offBS[[#This Row],[QUANTITY]]</f>
        <v>-43987296225.239212</v>
      </c>
    </row>
    <row r="42" spans="3:70" x14ac:dyDescent="0.3">
      <c r="C42" s="128"/>
      <c r="D42" s="128"/>
      <c r="E42" s="128"/>
      <c r="F42" s="128"/>
      <c r="G42" s="533"/>
      <c r="K42" s="629"/>
      <c r="T42" s="362"/>
      <c r="U42" s="375">
        <v>46252</v>
      </c>
      <c r="V42" s="128" t="s">
        <v>2398</v>
      </c>
      <c r="W42" s="128" t="s">
        <v>1033</v>
      </c>
      <c r="X42" s="530">
        <v>50000000000</v>
      </c>
      <c r="Y42" s="530">
        <v>98908</v>
      </c>
      <c r="Z42" s="530">
        <v>49454000000</v>
      </c>
      <c r="AA42" s="128" t="s">
        <v>2795</v>
      </c>
      <c r="AB42" s="533">
        <f>_xlfn.IFNA(VLOOKUP(BS[[#This Row],[BOND_CODE]],FNRP!D:I,6,0),VLOOKUP(BS[[#This Row],[BOND_CODE]],FNRP!AV:BA,6,0))</f>
        <v>98907</v>
      </c>
      <c r="AC42" s="396">
        <f>BS[[#This Row],[CLEAN PRICE]]*BS[[#This Row],[BALANCE]]/100000</f>
        <v>49453500000</v>
      </c>
      <c r="AF42" s="629"/>
      <c r="AK42" s="734"/>
      <c r="AL42" s="128">
        <v>49584</v>
      </c>
      <c r="AM42" s="128" t="s">
        <v>593</v>
      </c>
      <c r="AN42" s="736">
        <v>8.8000000000000007</v>
      </c>
      <c r="AO42" s="128" t="s">
        <v>823</v>
      </c>
      <c r="AP42" s="49" t="s">
        <v>824</v>
      </c>
      <c r="AQ42" s="530">
        <v>5950000</v>
      </c>
      <c r="AR42" s="500">
        <v>11161.84359433373</v>
      </c>
      <c r="AS42" s="530">
        <v>112553</v>
      </c>
      <c r="AT42" s="530">
        <v>113517</v>
      </c>
      <c r="AU42" s="769">
        <v>4.0999999999999996</v>
      </c>
      <c r="AV42" s="747">
        <v>116347000000</v>
      </c>
      <c r="AW42" s="534">
        <f>(_xlfn.XLOOKUP(RPBOD3[[#This Row],[Bonds_ShortName]],FNRP!D:D,FNRP!H:H,_xlfn.XLOOKUP(RPBOD3[[#This Row],[Bonds_ShortName]],FNRP!AV:AV,FNRP!AZ:AZ,,0),0)-RPBOD3[[#This Row],[PTCK_Remain]]-10^5)*RPBOD3[[#This Row],[Quantity]]</f>
        <v>6956480613.7143393</v>
      </c>
      <c r="AY42" s="128"/>
      <c r="AZ42" s="610">
        <v>46252</v>
      </c>
      <c r="BA42" s="850">
        <v>49906</v>
      </c>
      <c r="BB42" s="852" t="s">
        <v>3026</v>
      </c>
      <c r="BC42" s="39" t="s">
        <v>824</v>
      </c>
      <c r="BD42" s="530">
        <v>2000000</v>
      </c>
      <c r="BE42" s="530">
        <v>74692</v>
      </c>
      <c r="BF42" s="658">
        <v>46184</v>
      </c>
      <c r="BG42" s="658">
        <v>46185</v>
      </c>
      <c r="BH42" s="658">
        <v>56267</v>
      </c>
      <c r="BI42" s="500">
        <v>151608000000</v>
      </c>
      <c r="BJ42" s="49">
        <v>2.8</v>
      </c>
      <c r="BK42" s="49">
        <v>43.180045817</v>
      </c>
      <c r="BL42" s="630" t="s">
        <v>2172</v>
      </c>
      <c r="BM42" s="49" t="s">
        <v>1033</v>
      </c>
      <c r="BN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42" s="396">
        <f>(PTCK_offBS[[#This Row],[VALUE_DATE]]-PTCK_offBS[[#This Row],[LAST_PMT]])*PTCK_offBS[[#This Row],[COUPON_RATE]]*1000/(DATE(YEAR(PTCK_offBS[[#This Row],[LAST_PMT]])+1,MONTH(PTCK_offBS[[#This Row],[LAST_PMT]]),DAY(PTCK_offBS[[#This Row],[LAST_PMT]]))-PTCK_offBS[[#This Row],[LAST_PMT]])</f>
        <v>1112.3287671232877</v>
      </c>
      <c r="BP42" s="396">
        <f>PTCK_offBS[[#This Row],[GROSS_AMOUNT]]/PTCK_offBS[[#This Row],[QUANTITY]]-PTCK_offBS[[#This Row],[START_ACC]]-10^5</f>
        <v>-25308.328767123283</v>
      </c>
      <c r="BQ42" s="396">
        <f>IF(PTCK_offBS[[#This Row],[BS]]="Others",PTCK_offBS[[#This Row],[PTCK]]*(PTCK_offBS[[#This Row],[MATURITY_DATE]]-PTCK_offBS[[#This Row],[POSTED_DT]]-1)/(PTCK_offBS[[#This Row],[MATURITY_DATE]]-PTCK_offBS[[#This Row],[VALUE_DATE]]),PTCK_offBS[[#This Row],[PTCK]])</f>
        <v>-25137.63184625794</v>
      </c>
      <c r="BR42" s="396">
        <f>PTCK_offBS[[#This Row],[PTCK remain]]*PTCK_offBS[[#This Row],[QUANTITY]]</f>
        <v>-50275263692.515877</v>
      </c>
    </row>
    <row r="43" spans="3:70" x14ac:dyDescent="0.3">
      <c r="C43" s="128"/>
      <c r="D43" s="128"/>
      <c r="E43" s="128"/>
      <c r="F43" s="128"/>
      <c r="G43" s="533"/>
      <c r="K43" s="629"/>
      <c r="T43" s="362"/>
      <c r="U43" s="375">
        <v>46252</v>
      </c>
      <c r="V43" s="128" t="s">
        <v>2788</v>
      </c>
      <c r="W43" s="128" t="s">
        <v>1033</v>
      </c>
      <c r="X43" s="530">
        <v>100000000000</v>
      </c>
      <c r="Y43" s="530">
        <v>82779</v>
      </c>
      <c r="Z43" s="530">
        <v>82779000000</v>
      </c>
      <c r="AA43" s="128" t="s">
        <v>2795</v>
      </c>
      <c r="AB43" s="533">
        <f>_xlfn.IFNA(VLOOKUP(BS[[#This Row],[BOND_CODE]],FNRP!D:I,6,0),VLOOKUP(BS[[#This Row],[BOND_CODE]],FNRP!AV:BA,6,0))</f>
        <v>82776</v>
      </c>
      <c r="AC43" s="396">
        <f>BS[[#This Row],[CLEAN PRICE]]*BS[[#This Row],[BALANCE]]/100000</f>
        <v>82776000000</v>
      </c>
      <c r="AF43" s="629"/>
      <c r="AK43" s="734"/>
      <c r="AL43" s="128">
        <v>49321</v>
      </c>
      <c r="AM43" s="128" t="s">
        <v>2497</v>
      </c>
      <c r="AN43" s="736">
        <v>4.2</v>
      </c>
      <c r="AO43" s="128" t="s">
        <v>823</v>
      </c>
      <c r="AP43" s="49" t="s">
        <v>824</v>
      </c>
      <c r="AQ43" s="530">
        <v>3100000</v>
      </c>
      <c r="AR43" s="500">
        <v>-6169.4945422344199</v>
      </c>
      <c r="AS43" s="530">
        <v>93741</v>
      </c>
      <c r="AT43" s="530">
        <v>93833</v>
      </c>
      <c r="AU43" s="769">
        <v>4.6100000000000003</v>
      </c>
      <c r="AV43" s="747">
        <v>116347000000</v>
      </c>
      <c r="AW43" s="534">
        <f>(_xlfn.XLOOKUP(RPBOD3[[#This Row],[Bonds_ShortName]],FNRP!D:D,FNRP!H:H,_xlfn.XLOOKUP(RPBOD3[[#This Row],[Bonds_ShortName]],FNRP!AV:AV,FNRP!AZ:AZ,,0),0)-RPBOD3[[#This Row],[PTCK_Remain]]-10^5)*RPBOD3[[#This Row],[Quantity]]</f>
        <v>-4651566919.073307</v>
      </c>
      <c r="AY43" s="128"/>
      <c r="AZ43" s="610">
        <v>46252</v>
      </c>
      <c r="BA43" s="850">
        <v>49957</v>
      </c>
      <c r="BB43" s="852" t="s">
        <v>720</v>
      </c>
      <c r="BC43" s="39" t="s">
        <v>824</v>
      </c>
      <c r="BD43" s="530">
        <v>800000</v>
      </c>
      <c r="BE43" s="530">
        <v>151525</v>
      </c>
      <c r="BF43" s="658">
        <v>46190</v>
      </c>
      <c r="BG43" s="658">
        <v>46191</v>
      </c>
      <c r="BH43" s="658">
        <v>53613</v>
      </c>
      <c r="BI43" s="500">
        <v>125514400000</v>
      </c>
      <c r="BJ43" s="49">
        <v>7.9</v>
      </c>
      <c r="BK43" s="49">
        <v>44.180045817</v>
      </c>
      <c r="BL43" s="630" t="s">
        <v>2172</v>
      </c>
      <c r="BM43" s="49" t="s">
        <v>1033</v>
      </c>
      <c r="BN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43" s="396">
        <f>(PTCK_offBS[[#This Row],[VALUE_DATE]]-PTCK_offBS[[#This Row],[LAST_PMT]])*PTCK_offBS[[#This Row],[COUPON_RATE]]*1000/(DATE(YEAR(PTCK_offBS[[#This Row],[LAST_PMT]])+1,MONTH(PTCK_offBS[[#This Row],[LAST_PMT]]),DAY(PTCK_offBS[[#This Row],[LAST_PMT]]))-PTCK_offBS[[#This Row],[LAST_PMT]])</f>
        <v>5367.6712328767126</v>
      </c>
      <c r="BP43" s="396">
        <f>PTCK_offBS[[#This Row],[GROSS_AMOUNT]]/PTCK_offBS[[#This Row],[QUANTITY]]-PTCK_offBS[[#This Row],[START_ACC]]-10^5</f>
        <v>51525.328767123283</v>
      </c>
      <c r="BQ43" s="396">
        <f>IF(PTCK_offBS[[#This Row],[BS]]="Others",PTCK_offBS[[#This Row],[PTCK]]*(PTCK_offBS[[#This Row],[MATURITY_DATE]]-PTCK_offBS[[#This Row],[POSTED_DT]]-1)/(PTCK_offBS[[#This Row],[MATURITY_DATE]]-PTCK_offBS[[#This Row],[VALUE_DATE]]),PTCK_offBS[[#This Row],[PTCK]])</f>
        <v>51094.909690922577</v>
      </c>
      <c r="BR43" s="396">
        <f>PTCK_offBS[[#This Row],[PTCK remain]]*PTCK_offBS[[#This Row],[QUANTITY]]</f>
        <v>40875927752.73806</v>
      </c>
    </row>
    <row r="44" spans="3:70" x14ac:dyDescent="0.3">
      <c r="C44" s="128"/>
      <c r="D44" s="128"/>
      <c r="E44" s="128"/>
      <c r="F44" s="128"/>
      <c r="G44" s="533"/>
      <c r="K44" s="629"/>
      <c r="T44" s="362"/>
      <c r="U44" s="375">
        <v>46252</v>
      </c>
      <c r="V44" s="128" t="s">
        <v>715</v>
      </c>
      <c r="W44" s="128" t="s">
        <v>1033</v>
      </c>
      <c r="X44" s="530">
        <v>450000000000</v>
      </c>
      <c r="Y44" s="530">
        <v>79632</v>
      </c>
      <c r="Z44" s="530">
        <v>358344000000</v>
      </c>
      <c r="AA44" s="128" t="s">
        <v>2795</v>
      </c>
      <c r="AB44" s="533">
        <f>_xlfn.IFNA(VLOOKUP(BS[[#This Row],[BOND_CODE]],FNRP!D:I,6,0),VLOOKUP(BS[[#This Row],[BOND_CODE]],FNRP!AV:BA,6,0))</f>
        <v>79629</v>
      </c>
      <c r="AC44" s="396">
        <f>BS[[#This Row],[CLEAN PRICE]]*BS[[#This Row],[BALANCE]]/100000</f>
        <v>358330500000</v>
      </c>
      <c r="AF44" s="629"/>
      <c r="AK44" s="734"/>
      <c r="AL44" s="128">
        <v>49322</v>
      </c>
      <c r="AM44" s="128" t="s">
        <v>2497</v>
      </c>
      <c r="AN44" s="736">
        <v>4.2</v>
      </c>
      <c r="AO44" s="128" t="s">
        <v>823</v>
      </c>
      <c r="AP44" s="49" t="s">
        <v>824</v>
      </c>
      <c r="AQ44" s="530">
        <v>2933000</v>
      </c>
      <c r="AR44" s="500">
        <v>-6169.4945422344017</v>
      </c>
      <c r="AS44" s="530">
        <v>93741</v>
      </c>
      <c r="AT44" s="530">
        <v>93833</v>
      </c>
      <c r="AU44" s="769">
        <v>4.6100000000000003</v>
      </c>
      <c r="AV44" s="747">
        <v>116347000000</v>
      </c>
      <c r="AW44" s="534">
        <f>(_xlfn.XLOOKUP(RPBOD3[[#This Row],[Bonds_ShortName]],FNRP!D:D,FNRP!H:H,_xlfn.XLOOKUP(RPBOD3[[#This Row],[Bonds_ShortName]],FNRP!AV:AV,FNRP!AZ:AZ,,0),0)-RPBOD3[[#This Row],[PTCK_Remain]]-10^5)*RPBOD3[[#This Row],[Quantity]]</f>
        <v>-4400982507.6264973</v>
      </c>
      <c r="AY44" s="128"/>
      <c r="AZ44" s="610">
        <v>46252</v>
      </c>
      <c r="BA44" s="850">
        <v>49961</v>
      </c>
      <c r="BB44" s="852" t="s">
        <v>717</v>
      </c>
      <c r="BC44" s="39" t="s">
        <v>824</v>
      </c>
      <c r="BD44" s="530">
        <v>200000</v>
      </c>
      <c r="BE44" s="530">
        <v>151637</v>
      </c>
      <c r="BF44" s="658">
        <v>46197</v>
      </c>
      <c r="BG44" s="658">
        <v>46198</v>
      </c>
      <c r="BH44" s="658">
        <v>53326</v>
      </c>
      <c r="BI44" s="500">
        <v>31103200000</v>
      </c>
      <c r="BJ44" s="49">
        <v>8</v>
      </c>
      <c r="BK44" s="49">
        <v>45.180045817</v>
      </c>
      <c r="BL44" s="630" t="s">
        <v>2172</v>
      </c>
      <c r="BM44" s="49" t="s">
        <v>1033</v>
      </c>
      <c r="BN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44" s="396">
        <f>(PTCK_offBS[[#This Row],[VALUE_DATE]]-PTCK_offBS[[#This Row],[LAST_PMT]])*PTCK_offBS[[#This Row],[COUPON_RATE]]*1000/(DATE(YEAR(PTCK_offBS[[#This Row],[LAST_PMT]])+1,MONTH(PTCK_offBS[[#This Row],[LAST_PMT]]),DAY(PTCK_offBS[[#This Row],[LAST_PMT]]))-PTCK_offBS[[#This Row],[LAST_PMT]])</f>
        <v>3879.4520547945203</v>
      </c>
      <c r="BP44" s="396">
        <f>PTCK_offBS[[#This Row],[GROSS_AMOUNT]]/PTCK_offBS[[#This Row],[QUANTITY]]-PTCK_offBS[[#This Row],[START_ACC]]-10^5</f>
        <v>51636.547945205471</v>
      </c>
      <c r="BQ44" s="396">
        <f>IF(PTCK_offBS[[#This Row],[BS]]="Others",PTCK_offBS[[#This Row],[PTCK]]*(PTCK_offBS[[#This Row],[MATURITY_DATE]]-PTCK_offBS[[#This Row],[POSTED_DT]]-1)/(PTCK_offBS[[#This Row],[MATURITY_DATE]]-PTCK_offBS[[#This Row],[VALUE_DATE]]),PTCK_offBS[[#This Row],[PTCK]])</f>
        <v>51238.117791307282</v>
      </c>
      <c r="BR44" s="396">
        <f>PTCK_offBS[[#This Row],[PTCK remain]]*PTCK_offBS[[#This Row],[QUANTITY]]</f>
        <v>10247623558.261457</v>
      </c>
    </row>
    <row r="45" spans="3:70" x14ac:dyDescent="0.3">
      <c r="C45" s="128"/>
      <c r="D45" s="128"/>
      <c r="E45" s="128"/>
      <c r="F45" s="128"/>
      <c r="G45" s="533"/>
      <c r="K45" s="629"/>
      <c r="T45" s="362"/>
      <c r="U45" s="375">
        <v>46252</v>
      </c>
      <c r="V45" s="128" t="s">
        <v>670</v>
      </c>
      <c r="W45" s="128" t="s">
        <v>1033</v>
      </c>
      <c r="X45" s="530">
        <v>50000000000</v>
      </c>
      <c r="Y45" s="530">
        <v>98950</v>
      </c>
      <c r="Z45" s="530">
        <v>49475000000</v>
      </c>
      <c r="AA45" s="128" t="s">
        <v>2795</v>
      </c>
      <c r="AB45" s="533">
        <f>_xlfn.IFNA(VLOOKUP(BS[[#This Row],[BOND_CODE]],FNRP!D:I,6,0),VLOOKUP(BS[[#This Row],[BOND_CODE]],FNRP!AV:BA,6,0))</f>
        <v>98948</v>
      </c>
      <c r="AC45" s="396">
        <f>BS[[#This Row],[CLEAN PRICE]]*BS[[#This Row],[BALANCE]]/100000</f>
        <v>49474000000</v>
      </c>
      <c r="AF45" s="629"/>
      <c r="AK45" s="734"/>
      <c r="AL45" s="128">
        <v>49123</v>
      </c>
      <c r="AM45" s="128" t="s">
        <v>608</v>
      </c>
      <c r="AN45" s="736">
        <v>7.5</v>
      </c>
      <c r="AO45" s="128" t="s">
        <v>823</v>
      </c>
      <c r="AP45" s="49" t="s">
        <v>824</v>
      </c>
      <c r="AQ45" s="530">
        <v>3000000</v>
      </c>
      <c r="AR45" s="500">
        <v>11315.8229010087</v>
      </c>
      <c r="AS45" s="530">
        <v>112720</v>
      </c>
      <c r="AT45" s="530">
        <v>112967</v>
      </c>
      <c r="AU45" s="769">
        <v>3.97</v>
      </c>
      <c r="AV45" s="747">
        <v>116347000000</v>
      </c>
      <c r="AW45" s="534">
        <f>(_xlfn.XLOOKUP(RPBOD3[[#This Row],[Bonds_ShortName]],FNRP!D:D,FNRP!H:H,_xlfn.XLOOKUP(RPBOD3[[#This Row],[Bonds_ShortName]],FNRP!AV:AV,FNRP!AZ:AZ,,0),0)-RPBOD3[[#This Row],[PTCK_Remain]]-10^5)*RPBOD3[[#This Row],[Quantity]]</f>
        <v>1545531296.973917</v>
      </c>
      <c r="AY45" s="128"/>
      <c r="AZ45" s="610">
        <v>46252</v>
      </c>
      <c r="BA45" s="850">
        <v>49997</v>
      </c>
      <c r="BB45" s="852" t="s">
        <v>2371</v>
      </c>
      <c r="BC45" s="39" t="s">
        <v>824</v>
      </c>
      <c r="BD45" s="530">
        <v>2010000</v>
      </c>
      <c r="BE45" s="530">
        <v>78448</v>
      </c>
      <c r="BF45" s="658">
        <v>46204</v>
      </c>
      <c r="BG45" s="658">
        <v>46205</v>
      </c>
      <c r="BH45" s="658">
        <v>55531</v>
      </c>
      <c r="BI45" s="500">
        <v>160395990000</v>
      </c>
      <c r="BJ45" s="49">
        <v>2.9</v>
      </c>
      <c r="BK45" s="49">
        <v>46.180045817</v>
      </c>
      <c r="BL45" s="630" t="s">
        <v>2172</v>
      </c>
      <c r="BM45" s="49" t="s">
        <v>1033</v>
      </c>
      <c r="BN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45" s="396">
        <f>(PTCK_offBS[[#This Row],[VALUE_DATE]]-PTCK_offBS[[#This Row],[LAST_PMT]])*PTCK_offBS[[#This Row],[COUPON_RATE]]*1000/(DATE(YEAR(PTCK_offBS[[#This Row],[LAST_PMT]])+1,MONTH(PTCK_offBS[[#This Row],[LAST_PMT]]),DAY(PTCK_offBS[[#This Row],[LAST_PMT]]))-PTCK_offBS[[#This Row],[LAST_PMT]])</f>
        <v>1350.6849315068494</v>
      </c>
      <c r="BP45" s="396">
        <f>PTCK_offBS[[#This Row],[GROSS_AMOUNT]]/PTCK_offBS[[#This Row],[QUANTITY]]-PTCK_offBS[[#This Row],[START_ACC]]-10^5</f>
        <v>-21551.684931506854</v>
      </c>
      <c r="BQ45" s="396">
        <f>IF(PTCK_offBS[[#This Row],[BS]]="Others",PTCK_offBS[[#This Row],[PTCK]]*(PTCK_offBS[[#This Row],[MATURITY_DATE]]-PTCK_offBS[[#This Row],[POSTED_DT]]-1)/(PTCK_offBS[[#This Row],[MATURITY_DATE]]-PTCK_offBS[[#This Row],[VALUE_DATE]]),PTCK_offBS[[#This Row],[PTCK]])</f>
        <v>-21440.760539837076</v>
      </c>
      <c r="BR45" s="396">
        <f>PTCK_offBS[[#This Row],[PTCK remain]]*PTCK_offBS[[#This Row],[QUANTITY]]</f>
        <v>-43095928685.072525</v>
      </c>
    </row>
    <row r="46" spans="3:70" x14ac:dyDescent="0.3">
      <c r="C46" s="128"/>
      <c r="D46" s="128"/>
      <c r="E46" s="128"/>
      <c r="F46" s="128"/>
      <c r="G46" s="533"/>
      <c r="K46" s="629"/>
      <c r="T46" s="362"/>
      <c r="U46" s="375">
        <v>46252</v>
      </c>
      <c r="V46" s="128" t="s">
        <v>2834</v>
      </c>
      <c r="W46" s="128" t="s">
        <v>1033</v>
      </c>
      <c r="X46" s="530">
        <v>850000000000</v>
      </c>
      <c r="Y46" s="530">
        <v>89192</v>
      </c>
      <c r="Z46" s="530">
        <v>758132000000</v>
      </c>
      <c r="AA46" s="128" t="s">
        <v>2795</v>
      </c>
      <c r="AB46" s="533">
        <f>_xlfn.IFNA(VLOOKUP(BS[[#This Row],[BOND_CODE]],FNRP!D:I,6,0),VLOOKUP(BS[[#This Row],[BOND_CODE]],FNRP!AV:BA,6,0))</f>
        <v>89188</v>
      </c>
      <c r="AC46" s="396">
        <f>BS[[#This Row],[CLEAN PRICE]]*BS[[#This Row],[BALANCE]]/100000</f>
        <v>758098000000</v>
      </c>
      <c r="AF46" s="629"/>
      <c r="AK46" s="734"/>
      <c r="AL46" s="128">
        <v>49125</v>
      </c>
      <c r="AM46" s="128" t="s">
        <v>608</v>
      </c>
      <c r="AN46" s="736">
        <v>7.5</v>
      </c>
      <c r="AO46" s="128" t="s">
        <v>823</v>
      </c>
      <c r="AP46" s="49" t="s">
        <v>824</v>
      </c>
      <c r="AQ46" s="530">
        <v>2000000</v>
      </c>
      <c r="AR46" s="500">
        <v>11315.8229010087</v>
      </c>
      <c r="AS46" s="530">
        <v>112720</v>
      </c>
      <c r="AT46" s="530">
        <v>112967</v>
      </c>
      <c r="AU46" s="769">
        <v>3.97</v>
      </c>
      <c r="AV46" s="747">
        <v>116347000000</v>
      </c>
      <c r="AW46" s="534">
        <f>(_xlfn.XLOOKUP(RPBOD3[[#This Row],[Bonds_ShortName]],FNRP!D:D,FNRP!H:H,_xlfn.XLOOKUP(RPBOD3[[#This Row],[Bonds_ShortName]],FNRP!AV:AV,FNRP!AZ:AZ,,0),0)-RPBOD3[[#This Row],[PTCK_Remain]]-10^5)*RPBOD3[[#This Row],[Quantity]]</f>
        <v>1030354197.9826114</v>
      </c>
      <c r="AY46" s="128"/>
      <c r="AZ46" s="610">
        <v>46252</v>
      </c>
      <c r="BA46" s="850">
        <v>49995</v>
      </c>
      <c r="BB46" s="852" t="s">
        <v>3026</v>
      </c>
      <c r="BC46" s="39" t="s">
        <v>824</v>
      </c>
      <c r="BD46" s="530">
        <v>1550000</v>
      </c>
      <c r="BE46" s="530">
        <v>73946</v>
      </c>
      <c r="BF46" s="658">
        <v>46204</v>
      </c>
      <c r="BG46" s="658">
        <v>46205</v>
      </c>
      <c r="BH46" s="658">
        <v>56267</v>
      </c>
      <c r="BI46" s="500">
        <v>116578600000</v>
      </c>
      <c r="BJ46" s="49">
        <v>2.8</v>
      </c>
      <c r="BK46" s="49">
        <v>47.180045817</v>
      </c>
      <c r="BL46" s="630" t="s">
        <v>2172</v>
      </c>
      <c r="BM46" s="49" t="s">
        <v>1033</v>
      </c>
      <c r="BN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46" s="396">
        <f>(PTCK_offBS[[#This Row],[VALUE_DATE]]-PTCK_offBS[[#This Row],[LAST_PMT]])*PTCK_offBS[[#This Row],[COUPON_RATE]]*1000/(DATE(YEAR(PTCK_offBS[[#This Row],[LAST_PMT]])+1,MONTH(PTCK_offBS[[#This Row],[LAST_PMT]]),DAY(PTCK_offBS[[#This Row],[LAST_PMT]]))-PTCK_offBS[[#This Row],[LAST_PMT]])</f>
        <v>1265.7534246575342</v>
      </c>
      <c r="BP46" s="396">
        <f>PTCK_offBS[[#This Row],[GROSS_AMOUNT]]/PTCK_offBS[[#This Row],[QUANTITY]]-PTCK_offBS[[#This Row],[START_ACC]]-10^5</f>
        <v>-26053.753424657538</v>
      </c>
      <c r="BQ46" s="396">
        <f>IF(PTCK_offBS[[#This Row],[BS]]="Others",PTCK_offBS[[#This Row],[PTCK]]*(PTCK_offBS[[#This Row],[MATURITY_DATE]]-PTCK_offBS[[#This Row],[POSTED_DT]]-1)/(PTCK_offBS[[#This Row],[MATURITY_DATE]]-PTCK_offBS[[#This Row],[VALUE_DATE]]),PTCK_offBS[[#This Row],[PTCK]])</f>
        <v>-25929.465990312125</v>
      </c>
      <c r="BR46" s="396">
        <f>PTCK_offBS[[#This Row],[PTCK remain]]*PTCK_offBS[[#This Row],[QUANTITY]]</f>
        <v>-40190672284.983795</v>
      </c>
    </row>
    <row r="47" spans="3:70" x14ac:dyDescent="0.3">
      <c r="C47" s="128"/>
      <c r="D47" s="128"/>
      <c r="E47" s="128"/>
      <c r="F47" s="128"/>
      <c r="G47" s="533"/>
      <c r="K47" s="629"/>
      <c r="T47" s="362"/>
      <c r="U47" s="375">
        <v>46252</v>
      </c>
      <c r="V47" s="128" t="s">
        <v>2794</v>
      </c>
      <c r="W47" s="128" t="s">
        <v>822</v>
      </c>
      <c r="X47" s="530">
        <v>50000000000</v>
      </c>
      <c r="Y47" s="530">
        <v>86936</v>
      </c>
      <c r="Z47" s="530">
        <v>43468000000</v>
      </c>
      <c r="AA47" s="128" t="s">
        <v>2795</v>
      </c>
      <c r="AB47" s="533">
        <f>_xlfn.IFNA(VLOOKUP(BS[[#This Row],[BOND_CODE]],FNRP!D:I,6,0),VLOOKUP(BS[[#This Row],[BOND_CODE]],FNRP!AV:BA,6,0))</f>
        <v>86931</v>
      </c>
      <c r="AC47" s="396">
        <f>BS[[#This Row],[CLEAN PRICE]]*BS[[#This Row],[BALANCE]]/100000</f>
        <v>43465500000</v>
      </c>
      <c r="AF47" s="629"/>
      <c r="AK47" s="734"/>
      <c r="AL47" s="128">
        <v>49124</v>
      </c>
      <c r="AM47" s="128" t="s">
        <v>608</v>
      </c>
      <c r="AN47" s="736">
        <v>7.5</v>
      </c>
      <c r="AO47" s="128" t="s">
        <v>823</v>
      </c>
      <c r="AP47" s="49" t="s">
        <v>824</v>
      </c>
      <c r="AQ47" s="530">
        <v>5000000</v>
      </c>
      <c r="AR47" s="500">
        <v>11315.82290100872</v>
      </c>
      <c r="AS47" s="530">
        <v>112720</v>
      </c>
      <c r="AT47" s="530">
        <v>112967</v>
      </c>
      <c r="AU47" s="769">
        <v>3.97</v>
      </c>
      <c r="AV47" s="747">
        <v>116347000000</v>
      </c>
      <c r="AW47" s="534">
        <f>(_xlfn.XLOOKUP(RPBOD3[[#This Row],[Bonds_ShortName]],FNRP!D:D,FNRP!H:H,_xlfn.XLOOKUP(RPBOD3[[#This Row],[Bonds_ShortName]],FNRP!AV:AV,FNRP!AZ:AZ,,0),0)-RPBOD3[[#This Row],[PTCK_Remain]]-10^5)*RPBOD3[[#This Row],[Quantity]]</f>
        <v>2575885494.9563828</v>
      </c>
      <c r="AY47" s="128"/>
      <c r="AZ47" s="610">
        <v>46252</v>
      </c>
      <c r="BA47" s="850">
        <v>50050</v>
      </c>
      <c r="BB47" s="852" t="s">
        <v>720</v>
      </c>
      <c r="BC47" s="39" t="s">
        <v>824</v>
      </c>
      <c r="BD47" s="530">
        <v>1650000</v>
      </c>
      <c r="BE47" s="530">
        <v>153425</v>
      </c>
      <c r="BF47" s="658">
        <v>46204</v>
      </c>
      <c r="BG47" s="658">
        <v>46205</v>
      </c>
      <c r="BH47" s="658">
        <v>53613</v>
      </c>
      <c r="BI47" s="500">
        <v>262508400000</v>
      </c>
      <c r="BJ47" s="49">
        <v>7.9</v>
      </c>
      <c r="BK47" s="49">
        <v>48.180045817</v>
      </c>
      <c r="BL47" s="630" t="s">
        <v>2172</v>
      </c>
      <c r="BM47" s="49" t="s">
        <v>1033</v>
      </c>
      <c r="BN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47" s="396">
        <f>(PTCK_offBS[[#This Row],[VALUE_DATE]]-PTCK_offBS[[#This Row],[LAST_PMT]])*PTCK_offBS[[#This Row],[COUPON_RATE]]*1000/(DATE(YEAR(PTCK_offBS[[#This Row],[LAST_PMT]])+1,MONTH(PTCK_offBS[[#This Row],[LAST_PMT]]),DAY(PTCK_offBS[[#This Row],[LAST_PMT]]))-PTCK_offBS[[#This Row],[LAST_PMT]])</f>
        <v>5670.6849315068503</v>
      </c>
      <c r="BP47" s="396">
        <f>PTCK_offBS[[#This Row],[GROSS_AMOUNT]]/PTCK_offBS[[#This Row],[QUANTITY]]-PTCK_offBS[[#This Row],[START_ACC]]-10^5</f>
        <v>53425.315068493161</v>
      </c>
      <c r="BQ47" s="396">
        <f>IF(PTCK_offBS[[#This Row],[BS]]="Others",PTCK_offBS[[#This Row],[PTCK]]*(PTCK_offBS[[#This Row],[MATURITY_DATE]]-PTCK_offBS[[#This Row],[POSTED_DT]]-1)/(PTCK_offBS[[#This Row],[MATURITY_DATE]]-PTCK_offBS[[#This Row],[VALUE_DATE]]),PTCK_offBS[[#This Row],[PTCK]])</f>
        <v>53079.146720317178</v>
      </c>
      <c r="BR47" s="396">
        <f>PTCK_offBS[[#This Row],[PTCK remain]]*PTCK_offBS[[#This Row],[QUANTITY]]</f>
        <v>87580592088.523346</v>
      </c>
    </row>
    <row r="48" spans="3:70" x14ac:dyDescent="0.3">
      <c r="C48" s="128"/>
      <c r="D48" s="128"/>
      <c r="E48" s="128"/>
      <c r="F48" s="128"/>
      <c r="G48" s="533"/>
      <c r="K48" s="629"/>
      <c r="T48" s="362"/>
      <c r="U48" s="375">
        <v>46252</v>
      </c>
      <c r="V48" s="128" t="s">
        <v>2775</v>
      </c>
      <c r="W48" s="128" t="s">
        <v>822</v>
      </c>
      <c r="X48" s="530">
        <v>458000000000</v>
      </c>
      <c r="Y48" s="530">
        <v>87344</v>
      </c>
      <c r="Z48" s="530">
        <v>400035520000</v>
      </c>
      <c r="AA48" s="128" t="s">
        <v>2795</v>
      </c>
      <c r="AB48" s="533">
        <f>_xlfn.IFNA(VLOOKUP(BS[[#This Row],[BOND_CODE]],FNRP!D:I,6,0),VLOOKUP(BS[[#This Row],[BOND_CODE]],FNRP!AV:BA,6,0))</f>
        <v>87342</v>
      </c>
      <c r="AC48" s="396">
        <f>BS[[#This Row],[CLEAN PRICE]]*BS[[#This Row],[BALANCE]]/100000</f>
        <v>400026360000</v>
      </c>
      <c r="AF48" s="629"/>
      <c r="AK48" s="734"/>
      <c r="AL48" s="128">
        <v>49126</v>
      </c>
      <c r="AM48" s="128" t="s">
        <v>598</v>
      </c>
      <c r="AN48" s="736">
        <v>7</v>
      </c>
      <c r="AO48" s="128" t="s">
        <v>823</v>
      </c>
      <c r="AP48" s="49" t="s">
        <v>824</v>
      </c>
      <c r="AQ48" s="530">
        <v>2100000</v>
      </c>
      <c r="AR48" s="500">
        <v>8724.0246324948566</v>
      </c>
      <c r="AS48" s="530">
        <v>109935</v>
      </c>
      <c r="AT48" s="530">
        <v>112773</v>
      </c>
      <c r="AU48" s="769">
        <v>3.97</v>
      </c>
      <c r="AV48" s="747">
        <v>116347000000</v>
      </c>
      <c r="AW48" s="534">
        <f>(_xlfn.XLOOKUP(RPBOD3[[#This Row],[Bonds_ShortName]],FNRP!D:D,FNRP!H:H,_xlfn.XLOOKUP(RPBOD3[[#This Row],[Bonds_ShortName]],FNRP!AV:AV,FNRP!AZ:AZ,,0),0)-RPBOD3[[#This Row],[PTCK_Remain]]-10^5)*RPBOD3[[#This Row],[Quantity]]</f>
        <v>1654748271.7608087</v>
      </c>
      <c r="AY48" s="128"/>
      <c r="AZ48" s="610">
        <v>46252</v>
      </c>
      <c r="BA48" s="850">
        <v>50072</v>
      </c>
      <c r="BB48" s="852" t="s">
        <v>720</v>
      </c>
      <c r="BC48" s="39" t="s">
        <v>824</v>
      </c>
      <c r="BD48" s="530">
        <v>950000</v>
      </c>
      <c r="BE48" s="530">
        <v>153368</v>
      </c>
      <c r="BF48" s="658">
        <v>46204</v>
      </c>
      <c r="BG48" s="658">
        <v>46205</v>
      </c>
      <c r="BH48" s="658">
        <v>53613</v>
      </c>
      <c r="BI48" s="500">
        <v>151087050000</v>
      </c>
      <c r="BJ48" s="49">
        <v>7.9</v>
      </c>
      <c r="BK48" s="49">
        <v>49.180045817</v>
      </c>
      <c r="BL48" s="630" t="s">
        <v>2172</v>
      </c>
      <c r="BM48" s="49" t="s">
        <v>1033</v>
      </c>
      <c r="BN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48" s="396">
        <f>(PTCK_offBS[[#This Row],[VALUE_DATE]]-PTCK_offBS[[#This Row],[LAST_PMT]])*PTCK_offBS[[#This Row],[COUPON_RATE]]*1000/(DATE(YEAR(PTCK_offBS[[#This Row],[LAST_PMT]])+1,MONTH(PTCK_offBS[[#This Row],[LAST_PMT]]),DAY(PTCK_offBS[[#This Row],[LAST_PMT]]))-PTCK_offBS[[#This Row],[LAST_PMT]])</f>
        <v>5670.6849315068503</v>
      </c>
      <c r="BP48" s="396">
        <f>PTCK_offBS[[#This Row],[GROSS_AMOUNT]]/PTCK_offBS[[#This Row],[QUANTITY]]-PTCK_offBS[[#This Row],[START_ACC]]-10^5</f>
        <v>53368.315068493161</v>
      </c>
      <c r="BQ48" s="396">
        <f>IF(PTCK_offBS[[#This Row],[BS]]="Others",PTCK_offBS[[#This Row],[PTCK]]*(PTCK_offBS[[#This Row],[MATURITY_DATE]]-PTCK_offBS[[#This Row],[POSTED_DT]]-1)/(PTCK_offBS[[#This Row],[MATURITY_DATE]]-PTCK_offBS[[#This Row],[VALUE_DATE]]),PTCK_offBS[[#This Row],[PTCK]])</f>
        <v>53022.516050770741</v>
      </c>
      <c r="BR48" s="396">
        <f>PTCK_offBS[[#This Row],[PTCK remain]]*PTCK_offBS[[#This Row],[QUANTITY]]</f>
        <v>50371390248.232201</v>
      </c>
    </row>
    <row r="49" spans="3:70" x14ac:dyDescent="0.3">
      <c r="C49" s="128"/>
      <c r="D49" s="128"/>
      <c r="E49" s="128"/>
      <c r="F49" s="128"/>
      <c r="G49" s="533"/>
      <c r="K49" s="629"/>
      <c r="T49" s="362"/>
      <c r="U49" s="375">
        <v>46252</v>
      </c>
      <c r="V49" s="128" t="s">
        <v>608</v>
      </c>
      <c r="W49" s="128" t="s">
        <v>1033</v>
      </c>
      <c r="X49" s="530">
        <v>-1240000000000</v>
      </c>
      <c r="Y49" s="530">
        <v>111823</v>
      </c>
      <c r="Z49" s="530">
        <v>-1386605200000</v>
      </c>
      <c r="AA49" s="128" t="s">
        <v>2796</v>
      </c>
      <c r="AB49" s="533">
        <f>_xlfn.IFNA(VLOOKUP(BS[[#This Row],[BOND_CODE]],FNRP!D:I,6,0),VLOOKUP(BS[[#This Row],[BOND_CODE]],FNRP!AV:BA,6,0))</f>
        <v>111831</v>
      </c>
      <c r="AC49" s="396">
        <f>BS[[#This Row],[CLEAN PRICE]]*BS[[#This Row],[BALANCE]]/100000</f>
        <v>-1386704400000</v>
      </c>
      <c r="AF49" s="629"/>
      <c r="AK49" s="734"/>
      <c r="AL49" s="128">
        <v>49581</v>
      </c>
      <c r="AM49" s="128" t="s">
        <v>616</v>
      </c>
      <c r="AN49" s="736">
        <v>7.6</v>
      </c>
      <c r="AO49" s="128" t="s">
        <v>823</v>
      </c>
      <c r="AP49" s="49" t="s">
        <v>824</v>
      </c>
      <c r="AQ49" s="530">
        <v>6550000</v>
      </c>
      <c r="AR49" s="500">
        <v>14234.533379095999</v>
      </c>
      <c r="AS49" s="530">
        <v>115215</v>
      </c>
      <c r="AT49" s="530">
        <v>115423</v>
      </c>
      <c r="AU49" s="769">
        <v>4.1500000000000004</v>
      </c>
      <c r="AV49" s="747">
        <v>116347000000</v>
      </c>
      <c r="AW49" s="534">
        <f>(_xlfn.XLOOKUP(RPBOD3[[#This Row],[Bonds_ShortName]],FNRP!D:D,FNRP!H:H,_xlfn.XLOOKUP(RPBOD3[[#This Row],[Bonds_ShortName]],FNRP!AV:AV,FNRP!AZ:AZ,,0),0)-RPBOD3[[#This Row],[PTCK_Remain]]-10^5)*RPBOD3[[#This Row],[Quantity]]</f>
        <v>559806366.92120385</v>
      </c>
      <c r="AY49" s="128"/>
      <c r="AZ49" s="610">
        <v>46252</v>
      </c>
      <c r="BA49" s="850">
        <v>50074</v>
      </c>
      <c r="BB49" s="852" t="s">
        <v>717</v>
      </c>
      <c r="BC49" s="39" t="s">
        <v>824</v>
      </c>
      <c r="BD49" s="530">
        <v>580000</v>
      </c>
      <c r="BE49" s="530">
        <v>153270</v>
      </c>
      <c r="BF49" s="658">
        <v>46204</v>
      </c>
      <c r="BG49" s="658">
        <v>46205</v>
      </c>
      <c r="BH49" s="658">
        <v>53326</v>
      </c>
      <c r="BI49" s="500">
        <v>91235740000</v>
      </c>
      <c r="BJ49" s="49">
        <v>8</v>
      </c>
      <c r="BK49" s="49">
        <v>50.180045817</v>
      </c>
      <c r="BL49" s="630" t="s">
        <v>2172</v>
      </c>
      <c r="BM49" s="49" t="s">
        <v>1033</v>
      </c>
      <c r="BN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49" s="396">
        <f>(PTCK_offBS[[#This Row],[VALUE_DATE]]-PTCK_offBS[[#This Row],[LAST_PMT]])*PTCK_offBS[[#This Row],[COUPON_RATE]]*1000/(DATE(YEAR(PTCK_offBS[[#This Row],[LAST_PMT]])+1,MONTH(PTCK_offBS[[#This Row],[LAST_PMT]]),DAY(PTCK_offBS[[#This Row],[LAST_PMT]]))-PTCK_offBS[[#This Row],[LAST_PMT]])</f>
        <v>4032.8767123287671</v>
      </c>
      <c r="BP49" s="396">
        <f>PTCK_offBS[[#This Row],[GROSS_AMOUNT]]/PTCK_offBS[[#This Row],[QUANTITY]]-PTCK_offBS[[#This Row],[START_ACC]]-10^5</f>
        <v>53270.123287671246</v>
      </c>
      <c r="BQ49" s="396">
        <f>IF(PTCK_offBS[[#This Row],[BS]]="Others",PTCK_offBS[[#This Row],[PTCK]]*(PTCK_offBS[[#This Row],[MATURITY_DATE]]-PTCK_offBS[[#This Row],[POSTED_DT]]-1)/(PTCK_offBS[[#This Row],[MATURITY_DATE]]-PTCK_offBS[[#This Row],[VALUE_DATE]]),PTCK_offBS[[#This Row],[PTCK]])</f>
        <v>52911.049292753647</v>
      </c>
      <c r="BR49" s="396">
        <f>PTCK_offBS[[#This Row],[PTCK remain]]*PTCK_offBS[[#This Row],[QUANTITY]]</f>
        <v>30688408589.797115</v>
      </c>
    </row>
    <row r="50" spans="3:70" x14ac:dyDescent="0.3">
      <c r="C50" s="128"/>
      <c r="D50" s="128"/>
      <c r="E50" s="128"/>
      <c r="F50" s="128"/>
      <c r="G50" s="533"/>
      <c r="K50" s="629"/>
      <c r="T50" s="362"/>
      <c r="U50" s="375">
        <v>46252</v>
      </c>
      <c r="V50" s="128" t="s">
        <v>2782</v>
      </c>
      <c r="W50" s="128" t="s">
        <v>822</v>
      </c>
      <c r="X50" s="530">
        <v>137000000000</v>
      </c>
      <c r="Y50" s="530">
        <v>85526</v>
      </c>
      <c r="Z50" s="530">
        <v>117170620000</v>
      </c>
      <c r="AA50" s="128" t="s">
        <v>2795</v>
      </c>
      <c r="AB50" s="533">
        <f>_xlfn.IFNA(VLOOKUP(BS[[#This Row],[BOND_CODE]],FNRP!D:I,6,0),VLOOKUP(BS[[#This Row],[BOND_CODE]],FNRP!AV:BA,6,0))</f>
        <v>85523</v>
      </c>
      <c r="AC50" s="396">
        <f>BS[[#This Row],[CLEAN PRICE]]*BS[[#This Row],[BALANCE]]/100000</f>
        <v>117166510000</v>
      </c>
      <c r="AF50" s="629"/>
      <c r="AK50" s="734"/>
      <c r="AL50" s="128">
        <v>49301</v>
      </c>
      <c r="AM50" s="128" t="s">
        <v>2497</v>
      </c>
      <c r="AN50" s="736">
        <v>4.2</v>
      </c>
      <c r="AO50" s="128" t="s">
        <v>823</v>
      </c>
      <c r="AP50" s="49" t="s">
        <v>824</v>
      </c>
      <c r="AQ50" s="530">
        <v>7000000</v>
      </c>
      <c r="AR50" s="500">
        <v>-5734.4213947645567</v>
      </c>
      <c r="AS50" s="530">
        <v>94180</v>
      </c>
      <c r="AT50" s="530">
        <v>94226</v>
      </c>
      <c r="AU50" s="769">
        <v>4.58</v>
      </c>
      <c r="AV50" s="747">
        <v>116347000000</v>
      </c>
      <c r="AW50" s="534">
        <f>(_xlfn.XLOOKUP(RPBOD3[[#This Row],[Bonds_ShortName]],FNRP!D:D,FNRP!H:H,_xlfn.XLOOKUP(RPBOD3[[#This Row],[Bonds_ShortName]],FNRP!AV:AV,FNRP!AZ:AZ,,0),0)-RPBOD3[[#This Row],[PTCK_Remain]]-10^5)*RPBOD3[[#This Row],[Quantity]]</f>
        <v>-13549050236.648066</v>
      </c>
      <c r="AY50" s="128"/>
      <c r="AZ50" s="610">
        <v>46252</v>
      </c>
      <c r="BA50" s="850">
        <v>50262</v>
      </c>
      <c r="BB50" s="852" t="s">
        <v>2497</v>
      </c>
      <c r="BC50" s="39" t="s">
        <v>824</v>
      </c>
      <c r="BD50" s="530">
        <v>800000</v>
      </c>
      <c r="BE50" s="530">
        <v>103210</v>
      </c>
      <c r="BF50" s="658">
        <v>46239</v>
      </c>
      <c r="BG50" s="658">
        <v>46240</v>
      </c>
      <c r="BH50" s="658">
        <v>55966</v>
      </c>
      <c r="BI50" s="500">
        <v>83820000000</v>
      </c>
      <c r="BJ50" s="49">
        <v>4.2</v>
      </c>
      <c r="BK50" s="49">
        <v>51.180045817</v>
      </c>
      <c r="BL50" s="630" t="s">
        <v>2172</v>
      </c>
      <c r="BM50" s="49" t="s">
        <v>1033</v>
      </c>
      <c r="BN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50" s="396">
        <f>(PTCK_offBS[[#This Row],[VALUE_DATE]]-PTCK_offBS[[#This Row],[LAST_PMT]])*PTCK_offBS[[#This Row],[COUPON_RATE]]*1000/(DATE(YEAR(PTCK_offBS[[#This Row],[LAST_PMT]])+1,MONTH(PTCK_offBS[[#This Row],[LAST_PMT]]),DAY(PTCK_offBS[[#This Row],[LAST_PMT]]))-PTCK_offBS[[#This Row],[LAST_PMT]])</f>
        <v>1564.9315068493152</v>
      </c>
      <c r="BP50" s="396">
        <f>PTCK_offBS[[#This Row],[GROSS_AMOUNT]]/PTCK_offBS[[#This Row],[QUANTITY]]-PTCK_offBS[[#This Row],[START_ACC]]-10^5</f>
        <v>3210.0684931506839</v>
      </c>
      <c r="BQ50" s="396">
        <f>IF(PTCK_offBS[[#This Row],[BS]]="Others",PTCK_offBS[[#This Row],[PTCK]]*(PTCK_offBS[[#This Row],[MATURITY_DATE]]-PTCK_offBS[[#This Row],[POSTED_DT]]-1)/(PTCK_offBS[[#This Row],[MATURITY_DATE]]-PTCK_offBS[[#This Row],[VALUE_DATE]]),PTCK_offBS[[#This Row],[PTCK]])</f>
        <v>3205.7778402192671</v>
      </c>
      <c r="BR50" s="396">
        <f>PTCK_offBS[[#This Row],[PTCK remain]]*PTCK_offBS[[#This Row],[QUANTITY]]</f>
        <v>2564622272.1754136</v>
      </c>
    </row>
    <row r="51" spans="3:70" x14ac:dyDescent="0.3">
      <c r="C51" s="128"/>
      <c r="D51" s="128"/>
      <c r="E51" s="128"/>
      <c r="F51" s="128"/>
      <c r="G51" s="533"/>
      <c r="K51" s="629"/>
      <c r="T51" s="362"/>
      <c r="U51" s="375">
        <v>46252</v>
      </c>
      <c r="V51" s="128" t="s">
        <v>710</v>
      </c>
      <c r="W51" s="128" t="s">
        <v>1033</v>
      </c>
      <c r="X51" s="530">
        <v>100000000000</v>
      </c>
      <c r="Y51" s="530">
        <v>110154</v>
      </c>
      <c r="Z51" s="530">
        <v>110154000000</v>
      </c>
      <c r="AA51" s="128" t="s">
        <v>2795</v>
      </c>
      <c r="AB51" s="533">
        <f>_xlfn.IFNA(VLOOKUP(BS[[#This Row],[BOND_CODE]],FNRP!D:I,6,0),VLOOKUP(BS[[#This Row],[BOND_CODE]],FNRP!AV:BA,6,0))</f>
        <v>110155</v>
      </c>
      <c r="AC51" s="396">
        <f>BS[[#This Row],[CLEAN PRICE]]*BS[[#This Row],[BALANCE]]/100000</f>
        <v>110155000000</v>
      </c>
      <c r="AF51" s="629"/>
      <c r="AK51" s="734"/>
      <c r="AL51" s="128">
        <v>49300</v>
      </c>
      <c r="AM51" s="128" t="s">
        <v>2497</v>
      </c>
      <c r="AN51" s="736">
        <v>4.2</v>
      </c>
      <c r="AO51" s="128" t="s">
        <v>823</v>
      </c>
      <c r="AP51" s="49" t="s">
        <v>824</v>
      </c>
      <c r="AQ51" s="530">
        <v>7000000</v>
      </c>
      <c r="AR51" s="500">
        <v>-5734.4213947645567</v>
      </c>
      <c r="AS51" s="530">
        <v>94180</v>
      </c>
      <c r="AT51" s="530">
        <v>94226</v>
      </c>
      <c r="AU51" s="769">
        <v>4.58</v>
      </c>
      <c r="AV51" s="747">
        <v>116347000000</v>
      </c>
      <c r="AW51" s="534">
        <f>(_xlfn.XLOOKUP(RPBOD3[[#This Row],[Bonds_ShortName]],FNRP!D:D,FNRP!H:H,_xlfn.XLOOKUP(RPBOD3[[#This Row],[Bonds_ShortName]],FNRP!AV:AV,FNRP!AZ:AZ,,0),0)-RPBOD3[[#This Row],[PTCK_Remain]]-10^5)*RPBOD3[[#This Row],[Quantity]]</f>
        <v>-13549050236.648066</v>
      </c>
      <c r="AY51" s="128"/>
      <c r="AZ51" s="610">
        <v>46252</v>
      </c>
      <c r="BA51" s="850">
        <v>50323</v>
      </c>
      <c r="BB51" s="852" t="s">
        <v>2836</v>
      </c>
      <c r="BC51" s="39" t="s">
        <v>824</v>
      </c>
      <c r="BD51" s="530">
        <v>2000000</v>
      </c>
      <c r="BE51" s="530">
        <v>97633</v>
      </c>
      <c r="BF51" s="658">
        <v>46254</v>
      </c>
      <c r="BG51" s="658">
        <v>46255</v>
      </c>
      <c r="BH51" s="658">
        <v>49143</v>
      </c>
      <c r="BI51" s="500">
        <v>195770000000</v>
      </c>
      <c r="BJ51" s="49">
        <v>2.7</v>
      </c>
      <c r="BK51" s="49">
        <v>52.180045817</v>
      </c>
      <c r="BL51" s="630" t="s">
        <v>2172</v>
      </c>
      <c r="BM51" s="49" t="s">
        <v>1033</v>
      </c>
      <c r="BN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46221</v>
      </c>
      <c r="BO51" s="396">
        <f>(PTCK_offBS[[#This Row],[VALUE_DATE]]-PTCK_offBS[[#This Row],[LAST_PMT]])*PTCK_offBS[[#This Row],[COUPON_RATE]]*1000/(DATE(YEAR(PTCK_offBS[[#This Row],[LAST_PMT]])+1,MONTH(PTCK_offBS[[#This Row],[LAST_PMT]]),DAY(PTCK_offBS[[#This Row],[LAST_PMT]]))-PTCK_offBS[[#This Row],[LAST_PMT]])</f>
        <v>251.50684931506854</v>
      </c>
      <c r="BP51" s="396">
        <f>PTCK_offBS[[#This Row],[GROSS_AMOUNT]]/PTCK_offBS[[#This Row],[QUANTITY]]-PTCK_offBS[[#This Row],[START_ACC]]-10^5</f>
        <v>-2366.5068493150757</v>
      </c>
      <c r="BQ51" s="396">
        <f>IF(PTCK_offBS[[#This Row],[BS]]="Others",PTCK_offBS[[#This Row],[PTCK]]*(PTCK_offBS[[#This Row],[MATURITY_DATE]]-PTCK_offBS[[#This Row],[POSTED_DT]]-1)/(PTCK_offBS[[#This Row],[MATURITY_DATE]]-PTCK_offBS[[#This Row],[VALUE_DATE]]),PTCK_offBS[[#This Row],[PTCK]])</f>
        <v>-2368.1457044738813</v>
      </c>
      <c r="BR51" s="396">
        <f>PTCK_offBS[[#This Row],[PTCK remain]]*PTCK_offBS[[#This Row],[QUANTITY]]</f>
        <v>-4736291408.9477625</v>
      </c>
    </row>
    <row r="52" spans="3:70" x14ac:dyDescent="0.3">
      <c r="C52" s="128"/>
      <c r="D52" s="128"/>
      <c r="E52" s="128"/>
      <c r="F52" s="128"/>
      <c r="G52" s="533"/>
      <c r="K52" s="629"/>
      <c r="T52" s="362"/>
      <c r="U52" s="375">
        <v>46252</v>
      </c>
      <c r="V52" s="128" t="s">
        <v>710</v>
      </c>
      <c r="W52" s="128" t="s">
        <v>1033</v>
      </c>
      <c r="X52" s="530">
        <v>-100000000000</v>
      </c>
      <c r="Y52" s="530">
        <v>110154</v>
      </c>
      <c r="Z52" s="530">
        <v>-110154000000</v>
      </c>
      <c r="AA52" s="128" t="s">
        <v>2796</v>
      </c>
      <c r="AB52" s="533">
        <f>_xlfn.IFNA(VLOOKUP(BS[[#This Row],[BOND_CODE]],FNRP!D:I,6,0),VLOOKUP(BS[[#This Row],[BOND_CODE]],FNRP!AV:BA,6,0))</f>
        <v>110155</v>
      </c>
      <c r="AC52" s="396">
        <f>BS[[#This Row],[CLEAN PRICE]]*BS[[#This Row],[BALANCE]]/100000</f>
        <v>-110155000000</v>
      </c>
      <c r="AF52" s="629"/>
      <c r="AK52" s="734"/>
      <c r="AL52" s="128">
        <v>49302</v>
      </c>
      <c r="AM52" s="128" t="s">
        <v>2497</v>
      </c>
      <c r="AN52" s="736">
        <v>4.2</v>
      </c>
      <c r="AO52" s="128" t="s">
        <v>823</v>
      </c>
      <c r="AP52" s="49" t="s">
        <v>824</v>
      </c>
      <c r="AQ52" s="530">
        <v>7360000</v>
      </c>
      <c r="AR52" s="500">
        <v>-5734.4213947645521</v>
      </c>
      <c r="AS52" s="530">
        <v>94180</v>
      </c>
      <c r="AT52" s="530">
        <v>94226</v>
      </c>
      <c r="AU52" s="769">
        <v>4.58</v>
      </c>
      <c r="AV52" s="747">
        <v>116347000000</v>
      </c>
      <c r="AW52" s="534">
        <f>(_xlfn.XLOOKUP(RPBOD3[[#This Row],[Bonds_ShortName]],FNRP!D:D,FNRP!H:H,_xlfn.XLOOKUP(RPBOD3[[#This Row],[Bonds_ShortName]],FNRP!AV:AV,FNRP!AZ:AZ,,0),0)-RPBOD3[[#This Row],[PTCK_Remain]]-10^5)*RPBOD3[[#This Row],[Quantity]]</f>
        <v>-14245858534.53293</v>
      </c>
      <c r="AY52" s="128"/>
      <c r="AZ52" s="610">
        <v>46252</v>
      </c>
      <c r="BA52" s="850">
        <v>50325</v>
      </c>
      <c r="BB52" s="852" t="s">
        <v>2862</v>
      </c>
      <c r="BC52" s="39" t="s">
        <v>824</v>
      </c>
      <c r="BD52" s="530">
        <v>1340000</v>
      </c>
      <c r="BE52" s="530">
        <v>96797</v>
      </c>
      <c r="BF52" s="658">
        <v>46254</v>
      </c>
      <c r="BG52" s="658">
        <v>46255</v>
      </c>
      <c r="BH52" s="658">
        <v>49213</v>
      </c>
      <c r="BI52" s="500">
        <v>132848940000</v>
      </c>
      <c r="BJ52" s="49">
        <v>2.6</v>
      </c>
      <c r="BK52" s="49">
        <v>53.180045817</v>
      </c>
      <c r="BL52" s="630" t="s">
        <v>2172</v>
      </c>
      <c r="BM52" s="49" t="s">
        <v>1033</v>
      </c>
      <c r="BN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52" s="396">
        <f>(PTCK_offBS[[#This Row],[VALUE_DATE]]-PTCK_offBS[[#This Row],[LAST_PMT]])*PTCK_offBS[[#This Row],[COUPON_RATE]]*1000/(DATE(YEAR(PTCK_offBS[[#This Row],[LAST_PMT]])+1,MONTH(PTCK_offBS[[#This Row],[LAST_PMT]]),DAY(PTCK_offBS[[#This Row],[LAST_PMT]]))-PTCK_offBS[[#This Row],[LAST_PMT]])</f>
        <v>2343.5616438356165</v>
      </c>
      <c r="BP52" s="396">
        <f>PTCK_offBS[[#This Row],[GROSS_AMOUNT]]/PTCK_offBS[[#This Row],[QUANTITY]]-PTCK_offBS[[#This Row],[START_ACC]]-10^5</f>
        <v>-3202.5616438356228</v>
      </c>
      <c r="BQ52" s="396">
        <f>IF(PTCK_offBS[[#This Row],[BS]]="Others",PTCK_offBS[[#This Row],[PTCK]]*(PTCK_offBS[[#This Row],[MATURITY_DATE]]-PTCK_offBS[[#This Row],[POSTED_DT]]-1)/(PTCK_offBS[[#This Row],[MATURITY_DATE]]-PTCK_offBS[[#This Row],[VALUE_DATE]]),PTCK_offBS[[#This Row],[PTCK]])</f>
        <v>-3204.7269999166474</v>
      </c>
      <c r="BR52" s="396">
        <f>PTCK_offBS[[#This Row],[PTCK remain]]*PTCK_offBS[[#This Row],[QUANTITY]]</f>
        <v>-4294334179.8883076</v>
      </c>
    </row>
    <row r="53" spans="3:70" x14ac:dyDescent="0.3">
      <c r="C53" s="128"/>
      <c r="D53" s="128"/>
      <c r="E53" s="128"/>
      <c r="F53" s="128"/>
      <c r="G53" s="533"/>
      <c r="K53" s="629"/>
      <c r="T53" s="362"/>
      <c r="U53" s="375">
        <v>46252</v>
      </c>
      <c r="V53" s="128" t="s">
        <v>637</v>
      </c>
      <c r="W53" s="128" t="s">
        <v>822</v>
      </c>
      <c r="X53" s="530">
        <v>50000000000</v>
      </c>
      <c r="Y53" s="530">
        <v>92368</v>
      </c>
      <c r="Z53" s="530">
        <v>46184000000</v>
      </c>
      <c r="AA53" s="128" t="s">
        <v>2795</v>
      </c>
      <c r="AB53" s="533">
        <f>_xlfn.IFNA(VLOOKUP(BS[[#This Row],[BOND_CODE]],FNRP!D:I,6,0),VLOOKUP(BS[[#This Row],[BOND_CODE]],FNRP!AV:BA,6,0))</f>
        <v>92361</v>
      </c>
      <c r="AC53" s="396">
        <f>BS[[#This Row],[CLEAN PRICE]]*BS[[#This Row],[BALANCE]]/100000</f>
        <v>46180500000</v>
      </c>
      <c r="AF53" s="629"/>
      <c r="AK53" s="734"/>
      <c r="AL53" s="128">
        <v>49308</v>
      </c>
      <c r="AM53" s="128" t="s">
        <v>2497</v>
      </c>
      <c r="AN53" s="736">
        <v>4.2</v>
      </c>
      <c r="AO53" s="128" t="s">
        <v>823</v>
      </c>
      <c r="AP53" s="49" t="s">
        <v>824</v>
      </c>
      <c r="AQ53" s="530">
        <v>6200000</v>
      </c>
      <c r="AR53" s="500">
        <v>-6025.4582640061617</v>
      </c>
      <c r="AS53" s="530">
        <v>93886</v>
      </c>
      <c r="AT53" s="530">
        <v>93967</v>
      </c>
      <c r="AU53" s="769">
        <v>4.5999999999999996</v>
      </c>
      <c r="AV53" s="747">
        <v>116347000000</v>
      </c>
      <c r="AW53" s="534">
        <f>(_xlfn.XLOOKUP(RPBOD3[[#This Row],[Bonds_ShortName]],FNRP!D:D,FNRP!H:H,_xlfn.XLOOKUP(RPBOD3[[#This Row],[Bonds_ShortName]],FNRP!AV:AV,FNRP!AZ:AZ,,0),0)-RPBOD3[[#This Row],[PTCK_Remain]]-10^5)*RPBOD3[[#This Row],[Quantity]]</f>
        <v>-10196158763.161831</v>
      </c>
      <c r="AY53" s="128"/>
      <c r="AZ53" s="610">
        <v>46252</v>
      </c>
      <c r="BA53" s="850">
        <v>49327</v>
      </c>
      <c r="BB53" s="852" t="s">
        <v>2497</v>
      </c>
      <c r="BC53" s="39" t="s">
        <v>824</v>
      </c>
      <c r="BD53" s="530">
        <v>8934000</v>
      </c>
      <c r="BE53" s="530">
        <v>93740</v>
      </c>
      <c r="BF53" s="658">
        <v>46112</v>
      </c>
      <c r="BG53" s="658">
        <v>46113</v>
      </c>
      <c r="BH53" s="658">
        <v>55966</v>
      </c>
      <c r="BI53" s="500">
        <v>838402296000</v>
      </c>
      <c r="BJ53" s="49">
        <v>4.2</v>
      </c>
      <c r="BK53" s="49">
        <v>54.180045817</v>
      </c>
      <c r="BL53" s="630" t="s">
        <v>2172</v>
      </c>
      <c r="BM53" s="49" t="s">
        <v>1033</v>
      </c>
      <c r="BN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53" s="396">
        <f>(PTCK_offBS[[#This Row],[VALUE_DATE]]-PTCK_offBS[[#This Row],[LAST_PMT]])*PTCK_offBS[[#This Row],[COUPON_RATE]]*1000/(DATE(YEAR(PTCK_offBS[[#This Row],[LAST_PMT]])+1,MONTH(PTCK_offBS[[#This Row],[LAST_PMT]]),DAY(PTCK_offBS[[#This Row],[LAST_PMT]]))-PTCK_offBS[[#This Row],[LAST_PMT]])</f>
        <v>103.56164383561647</v>
      </c>
      <c r="BP53" s="396">
        <f>PTCK_offBS[[#This Row],[GROSS_AMOUNT]]/PTCK_offBS[[#This Row],[QUANTITY]]-PTCK_offBS[[#This Row],[START_ACC]]-10^5</f>
        <v>-6259.5616438356228</v>
      </c>
      <c r="BQ53" s="396">
        <f>IF(PTCK_offBS[[#This Row],[BS]]="Others",PTCK_offBS[[#This Row],[PTCK]]*(PTCK_offBS[[#This Row],[MATURITY_DATE]]-PTCK_offBS[[#This Row],[POSTED_DT]]-1)/(PTCK_offBS[[#This Row],[MATURITY_DATE]]-PTCK_offBS[[#This Row],[VALUE_DATE]]),PTCK_offBS[[#This Row],[PTCK]])</f>
        <v>-6170.6203437100785</v>
      </c>
      <c r="BR53" s="396">
        <f>PTCK_offBS[[#This Row],[PTCK remain]]*PTCK_offBS[[#This Row],[QUANTITY]]</f>
        <v>-55128322150.705841</v>
      </c>
    </row>
    <row r="54" spans="3:70" x14ac:dyDescent="0.3">
      <c r="C54" s="128"/>
      <c r="D54" s="128"/>
      <c r="E54" s="128"/>
      <c r="F54" s="128"/>
      <c r="G54" s="533"/>
      <c r="K54" s="629"/>
      <c r="T54" s="362"/>
      <c r="U54" s="375">
        <v>46252</v>
      </c>
      <c r="V54" s="128" t="s">
        <v>596</v>
      </c>
      <c r="W54" s="128" t="s">
        <v>1033</v>
      </c>
      <c r="X54" s="530">
        <v>300000000000</v>
      </c>
      <c r="Y54" s="530">
        <v>110287</v>
      </c>
      <c r="Z54" s="530">
        <v>330861000000</v>
      </c>
      <c r="AA54" s="128" t="s">
        <v>2795</v>
      </c>
      <c r="AB54" s="533">
        <f>_xlfn.IFNA(VLOOKUP(BS[[#This Row],[BOND_CODE]],FNRP!D:I,6,0),VLOOKUP(BS[[#This Row],[BOND_CODE]],FNRP!AV:BA,6,0))</f>
        <v>110295</v>
      </c>
      <c r="AC54" s="396">
        <f>BS[[#This Row],[CLEAN PRICE]]*BS[[#This Row],[BALANCE]]/100000</f>
        <v>330885000000</v>
      </c>
      <c r="AF54" s="629"/>
      <c r="AK54" s="734"/>
      <c r="AL54" s="128">
        <v>49310</v>
      </c>
      <c r="AM54" s="128" t="s">
        <v>2497</v>
      </c>
      <c r="AN54" s="736">
        <v>4.2</v>
      </c>
      <c r="AO54" s="128" t="s">
        <v>823</v>
      </c>
      <c r="AP54" s="49" t="s">
        <v>824</v>
      </c>
      <c r="AQ54" s="530">
        <v>2300000</v>
      </c>
      <c r="AR54" s="500">
        <v>-6025.4582640061308</v>
      </c>
      <c r="AS54" s="530">
        <v>93886</v>
      </c>
      <c r="AT54" s="530">
        <v>93967</v>
      </c>
      <c r="AU54" s="769">
        <v>4.5999999999999996</v>
      </c>
      <c r="AV54" s="747">
        <v>116347000000</v>
      </c>
      <c r="AW54" s="534">
        <f>(_xlfn.XLOOKUP(RPBOD3[[#This Row],[Bonds_ShortName]],FNRP!D:D,FNRP!H:H,_xlfn.XLOOKUP(RPBOD3[[#This Row],[Bonds_ShortName]],FNRP!AV:AV,FNRP!AZ:AZ,,0),0)-RPBOD3[[#This Row],[PTCK_Remain]]-10^5)*RPBOD3[[#This Row],[Quantity]]</f>
        <v>-3782445992.7859077</v>
      </c>
      <c r="AY54" s="128"/>
      <c r="AZ54" s="610">
        <v>46252</v>
      </c>
      <c r="BA54" s="850">
        <v>49582</v>
      </c>
      <c r="BB54" s="852" t="s">
        <v>684</v>
      </c>
      <c r="BC54" s="39" t="s">
        <v>824</v>
      </c>
      <c r="BD54" s="530">
        <v>3000000</v>
      </c>
      <c r="BE54" s="530">
        <v>125588</v>
      </c>
      <c r="BF54" s="658">
        <v>46135</v>
      </c>
      <c r="BG54" s="658">
        <v>46136</v>
      </c>
      <c r="BH54" s="658">
        <v>50129</v>
      </c>
      <c r="BI54" s="500">
        <v>378285000000</v>
      </c>
      <c r="BJ54" s="49">
        <v>7.4</v>
      </c>
      <c r="BK54" s="49">
        <v>55.180045817</v>
      </c>
      <c r="BL54" s="630" t="s">
        <v>2172</v>
      </c>
      <c r="BM54" s="49" t="s">
        <v>1033</v>
      </c>
      <c r="BN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46111</v>
      </c>
      <c r="BO54" s="396">
        <f>(PTCK_offBS[[#This Row],[VALUE_DATE]]-PTCK_offBS[[#This Row],[LAST_PMT]])*PTCK_offBS[[#This Row],[COUPON_RATE]]*1000/(DATE(YEAR(PTCK_offBS[[#This Row],[LAST_PMT]])+1,MONTH(PTCK_offBS[[#This Row],[LAST_PMT]]),DAY(PTCK_offBS[[#This Row],[LAST_PMT]]))-PTCK_offBS[[#This Row],[LAST_PMT]])</f>
        <v>506.84931506849313</v>
      </c>
      <c r="BP54" s="396">
        <f>PTCK_offBS[[#This Row],[GROSS_AMOUNT]]/PTCK_offBS[[#This Row],[QUANTITY]]-PTCK_offBS[[#This Row],[START_ACC]]-10^5</f>
        <v>25588.150684931505</v>
      </c>
      <c r="BQ54" s="396">
        <f>IF(PTCK_offBS[[#This Row],[BS]]="Others",PTCK_offBS[[#This Row],[PTCK]]*(PTCK_offBS[[#This Row],[MATURITY_DATE]]-PTCK_offBS[[#This Row],[POSTED_DT]]-1)/(PTCK_offBS[[#This Row],[MATURITY_DATE]]-PTCK_offBS[[#This Row],[VALUE_DATE]]),PTCK_offBS[[#This Row],[PTCK]])</f>
        <v>24838.385187777236</v>
      </c>
      <c r="BR54" s="396">
        <f>PTCK_offBS[[#This Row],[PTCK remain]]*PTCK_offBS[[#This Row],[QUANTITY]]</f>
        <v>74515155563.331711</v>
      </c>
    </row>
    <row r="55" spans="3:70" x14ac:dyDescent="0.3">
      <c r="C55" s="128"/>
      <c r="D55" s="128"/>
      <c r="E55" s="128"/>
      <c r="F55" s="128"/>
      <c r="G55" s="533"/>
      <c r="K55" s="629"/>
      <c r="T55" s="362"/>
      <c r="U55" s="375">
        <v>46252</v>
      </c>
      <c r="V55" s="128" t="s">
        <v>2835</v>
      </c>
      <c r="W55" s="128" t="s">
        <v>822</v>
      </c>
      <c r="X55" s="530">
        <v>650000000000</v>
      </c>
      <c r="Y55" s="530">
        <v>82679</v>
      </c>
      <c r="Z55" s="530">
        <v>537413500000</v>
      </c>
      <c r="AA55" s="128" t="s">
        <v>2795</v>
      </c>
      <c r="AB55" s="533">
        <f>_xlfn.IFNA(VLOOKUP(BS[[#This Row],[BOND_CODE]],FNRP!D:I,6,0),VLOOKUP(BS[[#This Row],[BOND_CODE]],FNRP!AV:BA,6,0))</f>
        <v>82677</v>
      </c>
      <c r="AC55" s="396">
        <f>BS[[#This Row],[CLEAN PRICE]]*BS[[#This Row],[BALANCE]]/100000</f>
        <v>537400500000</v>
      </c>
      <c r="AF55" s="629"/>
      <c r="AK55" s="734"/>
      <c r="AL55" s="128">
        <v>50009</v>
      </c>
      <c r="AM55" s="128" t="s">
        <v>2303</v>
      </c>
      <c r="AN55" s="736">
        <v>4.9000000000000004</v>
      </c>
      <c r="AO55" s="128" t="s">
        <v>823</v>
      </c>
      <c r="AP55" s="49" t="s">
        <v>824</v>
      </c>
      <c r="AQ55" s="530">
        <v>9640000</v>
      </c>
      <c r="AR55" s="500">
        <v>2117.4093828392738</v>
      </c>
      <c r="AS55" s="530">
        <v>102150</v>
      </c>
      <c r="AT55" s="530">
        <v>104983</v>
      </c>
      <c r="AU55" s="769">
        <v>4.6500000000000004</v>
      </c>
      <c r="AV55" s="747">
        <v>116347000000</v>
      </c>
      <c r="AW55" s="534">
        <f>(_xlfn.XLOOKUP(RPBOD3[[#This Row],[Bonds_ShortName]],FNRP!D:D,FNRP!H:H,_xlfn.XLOOKUP(RPBOD3[[#This Row],[Bonds_ShortName]],FNRP!AV:AV,FNRP!AZ:AZ,,0),0)-RPBOD3[[#This Row],[PTCK_Remain]]-10^5)*RPBOD3[[#This Row],[Quantity]]</f>
        <v>14533173549.429344</v>
      </c>
      <c r="AY55" s="128"/>
      <c r="AZ55" s="610">
        <v>46252</v>
      </c>
      <c r="BA55" s="850">
        <v>49474</v>
      </c>
      <c r="BB55" s="852" t="s">
        <v>1193</v>
      </c>
      <c r="BC55" s="39" t="s">
        <v>824</v>
      </c>
      <c r="BD55" s="530">
        <v>5500000</v>
      </c>
      <c r="BE55" s="530">
        <v>144419</v>
      </c>
      <c r="BF55" s="658">
        <v>46125</v>
      </c>
      <c r="BG55" s="658">
        <v>46126</v>
      </c>
      <c r="BH55" s="658">
        <v>53585</v>
      </c>
      <c r="BI55" s="500">
        <v>819423000000</v>
      </c>
      <c r="BJ55" s="49">
        <v>7.9</v>
      </c>
      <c r="BK55" s="49">
        <v>56.180045817</v>
      </c>
      <c r="BL55" s="630" t="s">
        <v>2172</v>
      </c>
      <c r="BM55" s="49" t="s">
        <v>1033</v>
      </c>
      <c r="BN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O55" s="396">
        <f>(PTCK_offBS[[#This Row],[VALUE_DATE]]-PTCK_offBS[[#This Row],[LAST_PMT]])*PTCK_offBS[[#This Row],[COUPON_RATE]]*1000/(DATE(YEAR(PTCK_offBS[[#This Row],[LAST_PMT]])+1,MONTH(PTCK_offBS[[#This Row],[LAST_PMT]]),DAY(PTCK_offBS[[#This Row],[LAST_PMT]]))-PTCK_offBS[[#This Row],[LAST_PMT]])</f>
        <v>4566.8493150684935</v>
      </c>
      <c r="BP55" s="396">
        <f>PTCK_offBS[[#This Row],[GROSS_AMOUNT]]/PTCK_offBS[[#This Row],[QUANTITY]]-PTCK_offBS[[#This Row],[START_ACC]]-10^5</f>
        <v>44419.150684931519</v>
      </c>
      <c r="BQ55" s="396">
        <f>IF(PTCK_offBS[[#This Row],[BS]]="Others",PTCK_offBS[[#This Row],[PTCK]]*(PTCK_offBS[[#This Row],[MATURITY_DATE]]-PTCK_offBS[[#This Row],[POSTED_DT]]-1)/(PTCK_offBS[[#This Row],[MATURITY_DATE]]-PTCK_offBS[[#This Row],[VALUE_DATE]]),PTCK_offBS[[#This Row],[PTCK]])</f>
        <v>43662.851967008697</v>
      </c>
      <c r="BR55" s="396">
        <f>PTCK_offBS[[#This Row],[PTCK remain]]*PTCK_offBS[[#This Row],[QUANTITY]]</f>
        <v>240145685818.54782</v>
      </c>
    </row>
    <row r="56" spans="3:70" x14ac:dyDescent="0.3">
      <c r="C56" s="128"/>
      <c r="D56" s="128"/>
      <c r="E56" s="128"/>
      <c r="F56" s="128"/>
      <c r="G56" s="533"/>
      <c r="K56" s="629"/>
      <c r="T56" s="362"/>
      <c r="U56" s="375">
        <v>46252</v>
      </c>
      <c r="V56" s="128" t="s">
        <v>568</v>
      </c>
      <c r="W56" s="128" t="s">
        <v>1033</v>
      </c>
      <c r="X56" s="530">
        <v>352000000000</v>
      </c>
      <c r="Y56" s="530">
        <v>101059</v>
      </c>
      <c r="Z56" s="530">
        <v>355727680000</v>
      </c>
      <c r="AA56" s="128" t="s">
        <v>2795</v>
      </c>
      <c r="AB56" s="533">
        <f>_xlfn.IFNA(VLOOKUP(BS[[#This Row],[BOND_CODE]],FNRP!D:I,6,0),VLOOKUP(BS[[#This Row],[BOND_CODE]],FNRP!AV:BA,6,0))</f>
        <v>101065</v>
      </c>
      <c r="AC56" s="396">
        <f>BS[[#This Row],[CLEAN PRICE]]*BS[[#This Row],[BALANCE]]/100000</f>
        <v>355748800000</v>
      </c>
      <c r="AF56" s="629"/>
      <c r="AK56" s="734"/>
      <c r="AL56" s="128">
        <v>50008</v>
      </c>
      <c r="AM56" s="128" t="s">
        <v>2303</v>
      </c>
      <c r="AN56" s="736">
        <v>4.9000000000000004</v>
      </c>
      <c r="AO56" s="128" t="s">
        <v>823</v>
      </c>
      <c r="AP56" s="49" t="s">
        <v>824</v>
      </c>
      <c r="AQ56" s="530">
        <v>9000000</v>
      </c>
      <c r="AR56" s="500">
        <v>2117.4093828392779</v>
      </c>
      <c r="AS56" s="530">
        <v>102150</v>
      </c>
      <c r="AT56" s="530">
        <v>104983</v>
      </c>
      <c r="AU56" s="769">
        <v>4.6500000000000004</v>
      </c>
      <c r="AV56" s="747">
        <v>116347000000</v>
      </c>
      <c r="AW56" s="534">
        <f>(_xlfn.XLOOKUP(RPBOD3[[#This Row],[Bonds_ShortName]],FNRP!D:D,FNRP!H:H,_xlfn.XLOOKUP(RPBOD3[[#This Row],[Bonds_ShortName]],FNRP!AV:AV,FNRP!AZ:AZ,,0),0)-RPBOD3[[#This Row],[PTCK_Remain]]-10^5)*RPBOD3[[#This Row],[Quantity]]</f>
        <v>13568315554.446482</v>
      </c>
      <c r="AY56" s="128"/>
      <c r="AZ56" s="610">
        <v>46252</v>
      </c>
      <c r="BA56" s="850">
        <v>49475</v>
      </c>
      <c r="BB56" s="852" t="s">
        <v>1193</v>
      </c>
      <c r="BC56" s="39" t="s">
        <v>824</v>
      </c>
      <c r="BD56" s="530">
        <v>6000000</v>
      </c>
      <c r="BE56" s="530">
        <v>144419</v>
      </c>
      <c r="BF56" s="658">
        <v>46125</v>
      </c>
      <c r="BG56" s="658">
        <v>46126</v>
      </c>
      <c r="BH56" s="658">
        <v>53585</v>
      </c>
      <c r="BI56" s="500">
        <v>893916000000</v>
      </c>
      <c r="BJ56" s="49">
        <v>7.9</v>
      </c>
      <c r="BK56" s="49">
        <v>57.180045817</v>
      </c>
      <c r="BL56" s="630" t="s">
        <v>2172</v>
      </c>
      <c r="BM56" s="49" t="s">
        <v>1033</v>
      </c>
      <c r="BN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45915</v>
      </c>
      <c r="BO56" s="396">
        <f>(PTCK_offBS[[#This Row],[VALUE_DATE]]-PTCK_offBS[[#This Row],[LAST_PMT]])*PTCK_offBS[[#This Row],[COUPON_RATE]]*1000/(DATE(YEAR(PTCK_offBS[[#This Row],[LAST_PMT]])+1,MONTH(PTCK_offBS[[#This Row],[LAST_PMT]]),DAY(PTCK_offBS[[#This Row],[LAST_PMT]]))-PTCK_offBS[[#This Row],[LAST_PMT]])</f>
        <v>4566.8493150684935</v>
      </c>
      <c r="BP56" s="396">
        <f>PTCK_offBS[[#This Row],[GROSS_AMOUNT]]/PTCK_offBS[[#This Row],[QUANTITY]]-PTCK_offBS[[#This Row],[START_ACC]]-10^5</f>
        <v>44419.150684931519</v>
      </c>
      <c r="BQ56" s="396">
        <f>IF(PTCK_offBS[[#This Row],[BS]]="Others",PTCK_offBS[[#This Row],[PTCK]]*(PTCK_offBS[[#This Row],[MATURITY_DATE]]-PTCK_offBS[[#This Row],[POSTED_DT]]-1)/(PTCK_offBS[[#This Row],[MATURITY_DATE]]-PTCK_offBS[[#This Row],[VALUE_DATE]]),PTCK_offBS[[#This Row],[PTCK]])</f>
        <v>43662.851967008697</v>
      </c>
      <c r="BR56" s="396">
        <f>PTCK_offBS[[#This Row],[PTCK remain]]*PTCK_offBS[[#This Row],[QUANTITY]]</f>
        <v>261977111802.05219</v>
      </c>
    </row>
    <row r="57" spans="3:70" x14ac:dyDescent="0.3">
      <c r="C57" s="128"/>
      <c r="D57" s="128"/>
      <c r="E57" s="128"/>
      <c r="F57" s="128"/>
      <c r="G57" s="533"/>
      <c r="K57" s="629"/>
      <c r="T57" s="362"/>
      <c r="U57" s="375">
        <v>46252</v>
      </c>
      <c r="V57" s="128" t="s">
        <v>1193</v>
      </c>
      <c r="W57" s="128" t="s">
        <v>1033</v>
      </c>
      <c r="X57" s="530">
        <v>1150000000000</v>
      </c>
      <c r="Y57" s="530">
        <v>141542</v>
      </c>
      <c r="Z57" s="530">
        <v>1627733000000</v>
      </c>
      <c r="AA57" s="128" t="s">
        <v>2795</v>
      </c>
      <c r="AB57" s="533">
        <f>_xlfn.IFNA(VLOOKUP(BS[[#This Row],[BOND_CODE]],FNRP!D:I,6,0),VLOOKUP(BS[[#This Row],[BOND_CODE]],FNRP!AV:BA,6,0))</f>
        <v>141546</v>
      </c>
      <c r="AC57" s="396">
        <f>BS[[#This Row],[CLEAN PRICE]]*BS[[#This Row],[BALANCE]]/100000</f>
        <v>1627779000000</v>
      </c>
      <c r="AF57" s="629"/>
      <c r="AK57" s="734"/>
      <c r="AL57" s="128">
        <v>50060</v>
      </c>
      <c r="AM57" s="128" t="s">
        <v>715</v>
      </c>
      <c r="AN57" s="736">
        <v>2.7</v>
      </c>
      <c r="AO57" s="128" t="s">
        <v>823</v>
      </c>
      <c r="AP57" s="49" t="s">
        <v>824</v>
      </c>
      <c r="AQ57" s="530">
        <v>2500000</v>
      </c>
      <c r="AR57" s="500">
        <v>-21389.417764500118</v>
      </c>
      <c r="AS57" s="530">
        <v>78369</v>
      </c>
      <c r="AT57" s="530">
        <v>79878</v>
      </c>
      <c r="AU57" s="769">
        <v>4.7</v>
      </c>
      <c r="AV57" s="747">
        <v>116347000000</v>
      </c>
      <c r="AW57" s="534">
        <f>(_xlfn.XLOOKUP(RPBOD3[[#This Row],[Bonds_ShortName]],FNRP!D:D,FNRP!H:H,_xlfn.XLOOKUP(RPBOD3[[#This Row],[Bonds_ShortName]],FNRP!AV:AV,FNRP!AZ:AZ,,0),0)-RPBOD3[[#This Row],[PTCK_Remain]]-10^5)*RPBOD3[[#This Row],[Quantity]]</f>
        <v>2546044411.2502956</v>
      </c>
      <c r="AY57" s="128"/>
      <c r="AZ57" s="610">
        <v>46252</v>
      </c>
      <c r="BA57" s="850">
        <v>49583</v>
      </c>
      <c r="BB57" s="852" t="s">
        <v>724</v>
      </c>
      <c r="BC57" s="39" t="s">
        <v>824</v>
      </c>
      <c r="BD57" s="530">
        <v>3410000</v>
      </c>
      <c r="BE57" s="530">
        <v>139840</v>
      </c>
      <c r="BF57" s="658">
        <v>46135</v>
      </c>
      <c r="BG57" s="658">
        <v>46136</v>
      </c>
      <c r="BH57" s="658">
        <v>53802</v>
      </c>
      <c r="BI57" s="500">
        <v>477137430000</v>
      </c>
      <c r="BJ57" s="49">
        <v>7.6</v>
      </c>
      <c r="BK57" s="49">
        <v>58.180045817</v>
      </c>
      <c r="BL57" s="630" t="s">
        <v>2172</v>
      </c>
      <c r="BM57" s="49" t="s">
        <v>1033</v>
      </c>
      <c r="BN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O57" s="396">
        <f>(PTCK_offBS[[#This Row],[VALUE_DATE]]-PTCK_offBS[[#This Row],[LAST_PMT]])*PTCK_offBS[[#This Row],[COUPON_RATE]]*1000/(DATE(YEAR(PTCK_offBS[[#This Row],[LAST_PMT]])+1,MONTH(PTCK_offBS[[#This Row],[LAST_PMT]]),DAY(PTCK_offBS[[#This Row],[LAST_PMT]]))-PTCK_offBS[[#This Row],[LAST_PMT]])</f>
        <v>83.287671232876718</v>
      </c>
      <c r="BP57" s="396">
        <f>PTCK_offBS[[#This Row],[GROSS_AMOUNT]]/PTCK_offBS[[#This Row],[QUANTITY]]-PTCK_offBS[[#This Row],[START_ACC]]-10^5</f>
        <v>39839.712328767113</v>
      </c>
      <c r="BQ57" s="396">
        <f>IF(PTCK_offBS[[#This Row],[BS]]="Others",PTCK_offBS[[#This Row],[PTCK]]*(PTCK_offBS[[#This Row],[MATURITY_DATE]]-PTCK_offBS[[#This Row],[POSTED_DT]]-1)/(PTCK_offBS[[#This Row],[MATURITY_DATE]]-PTCK_offBS[[#This Row],[VALUE_DATE]]),PTCK_offBS[[#This Row],[PTCK]])</f>
        <v>39231.670802225788</v>
      </c>
      <c r="BR57" s="396">
        <f>PTCK_offBS[[#This Row],[PTCK remain]]*PTCK_offBS[[#This Row],[QUANTITY]]</f>
        <v>133779997435.58994</v>
      </c>
    </row>
    <row r="58" spans="3:70" x14ac:dyDescent="0.3">
      <c r="C58" s="128"/>
      <c r="D58" s="128"/>
      <c r="E58" s="128"/>
      <c r="F58" s="128"/>
      <c r="G58" s="533"/>
      <c r="K58" s="629"/>
      <c r="T58" s="362"/>
      <c r="U58" s="375">
        <v>46252</v>
      </c>
      <c r="V58" s="128" t="s">
        <v>2497</v>
      </c>
      <c r="W58" s="128" t="s">
        <v>822</v>
      </c>
      <c r="X58" s="530">
        <v>600000000000</v>
      </c>
      <c r="Y58" s="530">
        <v>92331</v>
      </c>
      <c r="Z58" s="530">
        <v>553986000000</v>
      </c>
      <c r="AA58" s="128" t="s">
        <v>2795</v>
      </c>
      <c r="AB58" s="533">
        <f>_xlfn.IFNA(VLOOKUP(BS[[#This Row],[BOND_CODE]],FNRP!D:I,6,0),VLOOKUP(BS[[#This Row],[BOND_CODE]],FNRP!AV:BA,6,0))</f>
        <v>92330</v>
      </c>
      <c r="AC58" s="396">
        <f>BS[[#This Row],[CLEAN PRICE]]*BS[[#This Row],[BALANCE]]/100000</f>
        <v>553980000000</v>
      </c>
      <c r="AF58" s="629"/>
      <c r="AK58" s="734"/>
      <c r="AL58" s="128">
        <v>50059</v>
      </c>
      <c r="AM58" s="128" t="s">
        <v>715</v>
      </c>
      <c r="AN58" s="736">
        <v>2.7</v>
      </c>
      <c r="AO58" s="128" t="s">
        <v>823</v>
      </c>
      <c r="AP58" s="49" t="s">
        <v>824</v>
      </c>
      <c r="AQ58" s="530">
        <v>2000000</v>
      </c>
      <c r="AR58" s="500">
        <v>-21389.4177645001</v>
      </c>
      <c r="AS58" s="530">
        <v>78369</v>
      </c>
      <c r="AT58" s="530">
        <v>79878</v>
      </c>
      <c r="AU58" s="769">
        <v>4.7</v>
      </c>
      <c r="AV58" s="747">
        <v>116347000000</v>
      </c>
      <c r="AW58" s="534">
        <f>(_xlfn.XLOOKUP(RPBOD3[[#This Row],[Bonds_ShortName]],FNRP!D:D,FNRP!H:H,_xlfn.XLOOKUP(RPBOD3[[#This Row],[Bonds_ShortName]],FNRP!AV:AV,FNRP!AZ:AZ,,0),0)-RPBOD3[[#This Row],[PTCK_Remain]]-10^5)*RPBOD3[[#This Row],[Quantity]]</f>
        <v>2036835529.0002074</v>
      </c>
      <c r="AY58" s="128"/>
      <c r="AZ58" s="610">
        <v>46252</v>
      </c>
      <c r="BA58" s="850">
        <v>49584</v>
      </c>
      <c r="BB58" s="852" t="s">
        <v>593</v>
      </c>
      <c r="BC58" s="39" t="s">
        <v>824</v>
      </c>
      <c r="BD58" s="530">
        <v>5950000</v>
      </c>
      <c r="BE58" s="530">
        <v>112553</v>
      </c>
      <c r="BF58" s="658">
        <v>46135</v>
      </c>
      <c r="BG58" s="658">
        <v>46136</v>
      </c>
      <c r="BH58" s="658">
        <v>47192</v>
      </c>
      <c r="BI58" s="500">
        <v>675426150000</v>
      </c>
      <c r="BJ58" s="49">
        <v>8.8000000000000007</v>
      </c>
      <c r="BK58" s="49">
        <v>59.180045817</v>
      </c>
      <c r="BL58" s="630" t="s">
        <v>2172</v>
      </c>
      <c r="BM58" s="49" t="s">
        <v>1033</v>
      </c>
      <c r="BN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46096</v>
      </c>
      <c r="BO58" s="396">
        <f>(PTCK_offBS[[#This Row],[VALUE_DATE]]-PTCK_offBS[[#This Row],[LAST_PMT]])*PTCK_offBS[[#This Row],[COUPON_RATE]]*1000/(DATE(YEAR(PTCK_offBS[[#This Row],[LAST_PMT]])+1,MONTH(PTCK_offBS[[#This Row],[LAST_PMT]]),DAY(PTCK_offBS[[#This Row],[LAST_PMT]]))-PTCK_offBS[[#This Row],[LAST_PMT]])</f>
        <v>964.38356164383561</v>
      </c>
      <c r="BP58" s="396">
        <f>PTCK_offBS[[#This Row],[GROSS_AMOUNT]]/PTCK_offBS[[#This Row],[QUANTITY]]-PTCK_offBS[[#This Row],[START_ACC]]-10^5</f>
        <v>12552.61643835617</v>
      </c>
      <c r="BQ58" s="396">
        <f>IF(PTCK_offBS[[#This Row],[BS]]="Others",PTCK_offBS[[#This Row],[PTCK]]*(PTCK_offBS[[#This Row],[MATURITY_DATE]]-PTCK_offBS[[#This Row],[POSTED_DT]]-1)/(PTCK_offBS[[#This Row],[MATURITY_DATE]]-PTCK_offBS[[#This Row],[VALUE_DATE]]),PTCK_offBS[[#This Row],[PTCK]])</f>
        <v>11161.843594333754</v>
      </c>
      <c r="BR58" s="396">
        <f>PTCK_offBS[[#This Row],[PTCK remain]]*PTCK_offBS[[#This Row],[QUANTITY]]</f>
        <v>66412969386.285835</v>
      </c>
    </row>
    <row r="59" spans="3:70" x14ac:dyDescent="0.3">
      <c r="C59" s="128"/>
      <c r="D59" s="128"/>
      <c r="E59" s="128"/>
      <c r="F59" s="128"/>
      <c r="G59" s="533"/>
      <c r="K59" s="629"/>
      <c r="T59" s="362"/>
      <c r="U59" s="375">
        <v>46252</v>
      </c>
      <c r="V59" s="128" t="s">
        <v>2843</v>
      </c>
      <c r="W59" s="128" t="s">
        <v>822</v>
      </c>
      <c r="X59" s="530">
        <v>200000000000</v>
      </c>
      <c r="Y59" s="530">
        <v>87336</v>
      </c>
      <c r="Z59" s="530">
        <v>174672000000</v>
      </c>
      <c r="AA59" s="128" t="s">
        <v>2795</v>
      </c>
      <c r="AB59" s="533">
        <f>_xlfn.IFNA(VLOOKUP(BS[[#This Row],[BOND_CODE]],FNRP!D:I,6,0),VLOOKUP(BS[[#This Row],[BOND_CODE]],FNRP!AV:BA,6,0))</f>
        <v>87334</v>
      </c>
      <c r="AC59" s="396">
        <f>BS[[#This Row],[CLEAN PRICE]]*BS[[#This Row],[BALANCE]]/100000</f>
        <v>174668000000</v>
      </c>
      <c r="AF59" s="629"/>
      <c r="AK59" s="734"/>
      <c r="AL59" s="128">
        <v>50054</v>
      </c>
      <c r="AM59" s="128" t="s">
        <v>731</v>
      </c>
      <c r="AN59" s="736">
        <v>3.2</v>
      </c>
      <c r="AO59" s="128" t="s">
        <v>823</v>
      </c>
      <c r="AP59" s="49" t="s">
        <v>824</v>
      </c>
      <c r="AQ59" s="530">
        <v>2500000</v>
      </c>
      <c r="AR59" s="500">
        <v>-22535.0353981482</v>
      </c>
      <c r="AS59" s="530">
        <v>77304</v>
      </c>
      <c r="AT59" s="530">
        <v>79452</v>
      </c>
      <c r="AU59" s="769">
        <v>4.8</v>
      </c>
      <c r="AV59" s="747">
        <v>116347000000</v>
      </c>
      <c r="AW59" s="534">
        <f>(_xlfn.XLOOKUP(RPBOD3[[#This Row],[Bonds_ShortName]],FNRP!D:D,FNRP!H:H,_xlfn.XLOOKUP(RPBOD3[[#This Row],[Bonds_ShortName]],FNRP!AV:AV,FNRP!AZ:AZ,,0),0)-RPBOD3[[#This Row],[PTCK_Remain]]-10^5)*RPBOD3[[#This Row],[Quantity]]</f>
        <v>3017588495.3705101</v>
      </c>
      <c r="AY59" s="128"/>
      <c r="AZ59" s="610">
        <v>46252</v>
      </c>
      <c r="BA59" s="850">
        <v>49321</v>
      </c>
      <c r="BB59" s="852" t="s">
        <v>2497</v>
      </c>
      <c r="BC59" s="39" t="s">
        <v>824</v>
      </c>
      <c r="BD59" s="530">
        <v>8000000</v>
      </c>
      <c r="BE59" s="530">
        <v>93741</v>
      </c>
      <c r="BF59" s="658">
        <v>46111</v>
      </c>
      <c r="BG59" s="658">
        <v>46112</v>
      </c>
      <c r="BH59" s="658">
        <v>55966</v>
      </c>
      <c r="BI59" s="500">
        <v>750664000000</v>
      </c>
      <c r="BJ59" s="49">
        <v>4.2</v>
      </c>
      <c r="BK59" s="49">
        <v>60.180045817</v>
      </c>
      <c r="BL59" s="630" t="s">
        <v>2172</v>
      </c>
      <c r="BM59" s="49" t="s">
        <v>1033</v>
      </c>
      <c r="BN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59" s="396">
        <f>(PTCK_offBS[[#This Row],[VALUE_DATE]]-PTCK_offBS[[#This Row],[LAST_PMT]])*PTCK_offBS[[#This Row],[COUPON_RATE]]*1000/(DATE(YEAR(PTCK_offBS[[#This Row],[LAST_PMT]])+1,MONTH(PTCK_offBS[[#This Row],[LAST_PMT]]),DAY(PTCK_offBS[[#This Row],[LAST_PMT]]))-PTCK_offBS[[#This Row],[LAST_PMT]])</f>
        <v>92.054794520547944</v>
      </c>
      <c r="BP59" s="396">
        <f>PTCK_offBS[[#This Row],[GROSS_AMOUNT]]/PTCK_offBS[[#This Row],[QUANTITY]]-PTCK_offBS[[#This Row],[START_ACC]]-10^5</f>
        <v>-6259.0547945205471</v>
      </c>
      <c r="BQ59" s="396">
        <f>IF(PTCK_offBS[[#This Row],[BS]]="Others",PTCK_offBS[[#This Row],[PTCK]]*(PTCK_offBS[[#This Row],[MATURITY_DATE]]-PTCK_offBS[[#This Row],[POSTED_DT]]-1)/(PTCK_offBS[[#This Row],[MATURITY_DATE]]-PTCK_offBS[[#This Row],[VALUE_DATE]]),PTCK_offBS[[#This Row],[PTCK]])</f>
        <v>-6169.4945422344299</v>
      </c>
      <c r="BR59" s="396">
        <f>PTCK_offBS[[#This Row],[PTCK remain]]*PTCK_offBS[[#This Row],[QUANTITY]]</f>
        <v>-49355956337.875443</v>
      </c>
    </row>
    <row r="60" spans="3:70" x14ac:dyDescent="0.3">
      <c r="C60" s="128"/>
      <c r="D60" s="128"/>
      <c r="E60" s="128"/>
      <c r="F60" s="128"/>
      <c r="G60" s="533"/>
      <c r="K60" s="629"/>
      <c r="T60" s="362"/>
      <c r="U60" s="375">
        <v>46252</v>
      </c>
      <c r="V60" s="128" t="s">
        <v>721</v>
      </c>
      <c r="W60" s="128" t="s">
        <v>1033</v>
      </c>
      <c r="X60" s="530">
        <v>-1062000000000</v>
      </c>
      <c r="Y60" s="530">
        <v>141885</v>
      </c>
      <c r="Z60" s="530">
        <v>-1506818700000</v>
      </c>
      <c r="AA60" s="128" t="s">
        <v>2796</v>
      </c>
      <c r="AB60" s="533">
        <f>_xlfn.IFNA(VLOOKUP(BS[[#This Row],[BOND_CODE]],FNRP!D:I,6,0),VLOOKUP(BS[[#This Row],[BOND_CODE]],FNRP!AV:BA,6,0))</f>
        <v>141888</v>
      </c>
      <c r="AC60" s="396">
        <f>BS[[#This Row],[CLEAN PRICE]]*BS[[#This Row],[BALANCE]]/100000</f>
        <v>-1506850560000</v>
      </c>
      <c r="AF60" s="629"/>
      <c r="AK60" s="734"/>
      <c r="AL60" s="128">
        <v>50053</v>
      </c>
      <c r="AM60" s="128" t="s">
        <v>731</v>
      </c>
      <c r="AN60" s="736">
        <v>3.2</v>
      </c>
      <c r="AO60" s="128" t="s">
        <v>823</v>
      </c>
      <c r="AP60" s="49" t="s">
        <v>824</v>
      </c>
      <c r="AQ60" s="530">
        <v>5200000</v>
      </c>
      <c r="AR60" s="500">
        <v>-22535.035398148077</v>
      </c>
      <c r="AS60" s="530">
        <v>77304</v>
      </c>
      <c r="AT60" s="530">
        <v>79452</v>
      </c>
      <c r="AU60" s="769">
        <v>4.8</v>
      </c>
      <c r="AV60" s="747">
        <v>116347000000</v>
      </c>
      <c r="AW60" s="534">
        <f>(_xlfn.XLOOKUP(RPBOD3[[#This Row],[Bonds_ShortName]],FNRP!D:D,FNRP!H:H,_xlfn.XLOOKUP(RPBOD3[[#This Row],[Bonds_ShortName]],FNRP!AV:AV,FNRP!AZ:AZ,,0),0)-RPBOD3[[#This Row],[PTCK_Remain]]-10^5)*RPBOD3[[#This Row],[Quantity]]</f>
        <v>6276584070.3699799</v>
      </c>
      <c r="AY60" s="128"/>
      <c r="AZ60" s="610">
        <v>46252</v>
      </c>
      <c r="BA60" s="850">
        <v>49322</v>
      </c>
      <c r="BB60" s="852" t="s">
        <v>2497</v>
      </c>
      <c r="BC60" s="39" t="s">
        <v>824</v>
      </c>
      <c r="BD60" s="530">
        <v>5833000</v>
      </c>
      <c r="BE60" s="530">
        <v>93741</v>
      </c>
      <c r="BF60" s="658">
        <v>46111</v>
      </c>
      <c r="BG60" s="658">
        <v>46112</v>
      </c>
      <c r="BH60" s="658">
        <v>55966</v>
      </c>
      <c r="BI60" s="500">
        <v>547327889000</v>
      </c>
      <c r="BJ60" s="49">
        <v>4.2</v>
      </c>
      <c r="BK60" s="49">
        <v>61.180045817</v>
      </c>
      <c r="BL60" s="630" t="s">
        <v>2172</v>
      </c>
      <c r="BM60" s="49" t="s">
        <v>1033</v>
      </c>
      <c r="BN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60" s="396">
        <f>(PTCK_offBS[[#This Row],[VALUE_DATE]]-PTCK_offBS[[#This Row],[LAST_PMT]])*PTCK_offBS[[#This Row],[COUPON_RATE]]*1000/(DATE(YEAR(PTCK_offBS[[#This Row],[LAST_PMT]])+1,MONTH(PTCK_offBS[[#This Row],[LAST_PMT]]),DAY(PTCK_offBS[[#This Row],[LAST_PMT]]))-PTCK_offBS[[#This Row],[LAST_PMT]])</f>
        <v>92.054794520547944</v>
      </c>
      <c r="BP60" s="396">
        <f>PTCK_offBS[[#This Row],[GROSS_AMOUNT]]/PTCK_offBS[[#This Row],[QUANTITY]]-PTCK_offBS[[#This Row],[START_ACC]]-10^5</f>
        <v>-6259.0547945205471</v>
      </c>
      <c r="BQ60" s="396">
        <f>IF(PTCK_offBS[[#This Row],[BS]]="Others",PTCK_offBS[[#This Row],[PTCK]]*(PTCK_offBS[[#This Row],[MATURITY_DATE]]-PTCK_offBS[[#This Row],[POSTED_DT]]-1)/(PTCK_offBS[[#This Row],[MATURITY_DATE]]-PTCK_offBS[[#This Row],[VALUE_DATE]]),PTCK_offBS[[#This Row],[PTCK]])</f>
        <v>-6169.4945422344299</v>
      </c>
      <c r="BR60" s="396">
        <f>PTCK_offBS[[#This Row],[PTCK remain]]*PTCK_offBS[[#This Row],[QUANTITY]]</f>
        <v>-35986661664.853432</v>
      </c>
    </row>
    <row r="61" spans="3:70" x14ac:dyDescent="0.3">
      <c r="C61" s="128"/>
      <c r="D61" s="128"/>
      <c r="E61" s="128"/>
      <c r="F61" s="128"/>
      <c r="G61" s="533"/>
      <c r="K61" s="629"/>
      <c r="T61" s="362"/>
      <c r="U61" s="375">
        <v>46252</v>
      </c>
      <c r="V61" s="128" t="s">
        <v>667</v>
      </c>
      <c r="W61" s="128" t="s">
        <v>1033</v>
      </c>
      <c r="X61" s="530">
        <v>100000000000</v>
      </c>
      <c r="Y61" s="530">
        <v>104175</v>
      </c>
      <c r="Z61" s="530">
        <v>104175000000</v>
      </c>
      <c r="AA61" s="128" t="s">
        <v>2795</v>
      </c>
      <c r="AB61" s="533">
        <f>_xlfn.IFNA(VLOOKUP(BS[[#This Row],[BOND_CODE]],FNRP!D:I,6,0),VLOOKUP(BS[[#This Row],[BOND_CODE]],FNRP!AV:BA,6,0))</f>
        <v>104176</v>
      </c>
      <c r="AC61" s="396">
        <f>BS[[#This Row],[CLEAN PRICE]]*BS[[#This Row],[BALANCE]]/100000</f>
        <v>104176000000</v>
      </c>
      <c r="AF61" s="629"/>
      <c r="AK61" s="734"/>
      <c r="AL61" s="128">
        <v>50058</v>
      </c>
      <c r="AM61" s="128" t="s">
        <v>2303</v>
      </c>
      <c r="AN61" s="736">
        <v>4.9000000000000004</v>
      </c>
      <c r="AO61" s="128" t="s">
        <v>823</v>
      </c>
      <c r="AP61" s="49" t="s">
        <v>824</v>
      </c>
      <c r="AQ61" s="530">
        <v>1670000</v>
      </c>
      <c r="AR61" s="500">
        <v>2117.4987897518085</v>
      </c>
      <c r="AS61" s="530">
        <v>102150</v>
      </c>
      <c r="AT61" s="530">
        <v>104996</v>
      </c>
      <c r="AU61" s="769">
        <v>4.6500000000000004</v>
      </c>
      <c r="AV61" s="747">
        <v>116347000000</v>
      </c>
      <c r="AW61" s="534">
        <f>(_xlfn.XLOOKUP(RPBOD3[[#This Row],[Bonds_ShortName]],FNRP!D:D,FNRP!H:H,_xlfn.XLOOKUP(RPBOD3[[#This Row],[Bonds_ShortName]],FNRP!AV:AV,FNRP!AZ:AZ,,0),0)-RPBOD3[[#This Row],[PTCK_Remain]]-10^5)*RPBOD3[[#This Row],[Quantity]]</f>
        <v>2517527021.1144691</v>
      </c>
      <c r="AY61" s="128"/>
      <c r="AZ61" s="610">
        <v>46252</v>
      </c>
      <c r="BA61" s="850">
        <v>49123</v>
      </c>
      <c r="BB61" s="852" t="s">
        <v>608</v>
      </c>
      <c r="BC61" s="39" t="s">
        <v>824</v>
      </c>
      <c r="BD61" s="530">
        <v>3000000</v>
      </c>
      <c r="BE61" s="530">
        <v>112720</v>
      </c>
      <c r="BF61" s="658">
        <v>46092</v>
      </c>
      <c r="BG61" s="658">
        <v>46093</v>
      </c>
      <c r="BH61" s="658">
        <v>47542</v>
      </c>
      <c r="BI61" s="500">
        <v>338901000000</v>
      </c>
      <c r="BJ61" s="49">
        <v>7.5</v>
      </c>
      <c r="BK61" s="49">
        <v>62.180045817</v>
      </c>
      <c r="BL61" s="630" t="s">
        <v>2172</v>
      </c>
      <c r="BM61" s="49" t="s">
        <v>1033</v>
      </c>
      <c r="BN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O61" s="396">
        <f>(PTCK_offBS[[#This Row],[VALUE_DATE]]-PTCK_offBS[[#This Row],[LAST_PMT]])*PTCK_offBS[[#This Row],[COUPON_RATE]]*1000/(DATE(YEAR(PTCK_offBS[[#This Row],[LAST_PMT]])+1,MONTH(PTCK_offBS[[#This Row],[LAST_PMT]]),DAY(PTCK_offBS[[#This Row],[LAST_PMT]]))-PTCK_offBS[[#This Row],[LAST_PMT]])</f>
        <v>246.57534246575344</v>
      </c>
      <c r="BP61" s="396">
        <f>PTCK_offBS[[#This Row],[GROSS_AMOUNT]]/PTCK_offBS[[#This Row],[QUANTITY]]-PTCK_offBS[[#This Row],[START_ACC]]-10^5</f>
        <v>12720.42465753424</v>
      </c>
      <c r="BQ61" s="396">
        <f>IF(PTCK_offBS[[#This Row],[BS]]="Others",PTCK_offBS[[#This Row],[PTCK]]*(PTCK_offBS[[#This Row],[MATURITY_DATE]]-PTCK_offBS[[#This Row],[POSTED_DT]]-1)/(PTCK_offBS[[#This Row],[MATURITY_DATE]]-PTCK_offBS[[#This Row],[VALUE_DATE]]),PTCK_offBS[[#This Row],[PTCK]])</f>
        <v>11315.82290100872</v>
      </c>
      <c r="BR61" s="396">
        <f>PTCK_offBS[[#This Row],[PTCK remain]]*PTCK_offBS[[#This Row],[QUANTITY]]</f>
        <v>33947468703.026161</v>
      </c>
    </row>
    <row r="62" spans="3:70" x14ac:dyDescent="0.3">
      <c r="C62" s="128"/>
      <c r="D62" s="128"/>
      <c r="E62" s="128"/>
      <c r="F62" s="128"/>
      <c r="G62" s="533"/>
      <c r="K62" s="629"/>
      <c r="T62" s="362"/>
      <c r="U62" s="375">
        <v>46252</v>
      </c>
      <c r="V62" s="128" t="s">
        <v>712</v>
      </c>
      <c r="W62" s="128" t="s">
        <v>1033</v>
      </c>
      <c r="X62" s="530">
        <v>-1100000000000</v>
      </c>
      <c r="Y62" s="530">
        <v>90736</v>
      </c>
      <c r="Z62" s="530">
        <v>-998096000000</v>
      </c>
      <c r="AA62" s="128" t="s">
        <v>2796</v>
      </c>
      <c r="AB62" s="533">
        <f>_xlfn.IFNA(VLOOKUP(BS[[#This Row],[BOND_CODE]],FNRP!D:I,6,0),VLOOKUP(BS[[#This Row],[BOND_CODE]],FNRP!AV:BA,6,0))</f>
        <v>90735</v>
      </c>
      <c r="AC62" s="396">
        <f>BS[[#This Row],[CLEAN PRICE]]*BS[[#This Row],[BALANCE]]/100000</f>
        <v>-998085000000</v>
      </c>
      <c r="AF62" s="629"/>
      <c r="AK62" s="734"/>
      <c r="AL62" s="128">
        <v>50057</v>
      </c>
      <c r="AM62" s="128" t="s">
        <v>2303</v>
      </c>
      <c r="AN62" s="736">
        <v>4.9000000000000004</v>
      </c>
      <c r="AO62" s="128" t="s">
        <v>823</v>
      </c>
      <c r="AP62" s="49" t="s">
        <v>824</v>
      </c>
      <c r="AQ62" s="530">
        <v>7210000</v>
      </c>
      <c r="AR62" s="500">
        <v>2117.4987897518031</v>
      </c>
      <c r="AS62" s="530">
        <v>102150</v>
      </c>
      <c r="AT62" s="530">
        <v>104996</v>
      </c>
      <c r="AU62" s="769">
        <v>4.6500000000000004</v>
      </c>
      <c r="AV62" s="747">
        <v>116347000000</v>
      </c>
      <c r="AW62" s="534">
        <f>(_xlfn.XLOOKUP(RPBOD3[[#This Row],[Bonds_ShortName]],FNRP!D:D,FNRP!H:H,_xlfn.XLOOKUP(RPBOD3[[#This Row],[Bonds_ShortName]],FNRP!AV:AV,FNRP!AZ:AZ,,0),0)-RPBOD3[[#This Row],[PTCK_Remain]]-10^5)*RPBOD3[[#This Row],[Quantity]]</f>
        <v>10869083725.889519</v>
      </c>
      <c r="AY62" s="128"/>
      <c r="AZ62" s="610">
        <v>46252</v>
      </c>
      <c r="BA62" s="850">
        <v>49125</v>
      </c>
      <c r="BB62" s="852" t="s">
        <v>608</v>
      </c>
      <c r="BC62" s="39" t="s">
        <v>824</v>
      </c>
      <c r="BD62" s="530">
        <v>4400000</v>
      </c>
      <c r="BE62" s="530">
        <v>112720</v>
      </c>
      <c r="BF62" s="658">
        <v>46092</v>
      </c>
      <c r="BG62" s="658">
        <v>46093</v>
      </c>
      <c r="BH62" s="658">
        <v>47542</v>
      </c>
      <c r="BI62" s="500">
        <v>497054800000</v>
      </c>
      <c r="BJ62" s="49">
        <v>7.5</v>
      </c>
      <c r="BK62" s="49">
        <v>63.180045817</v>
      </c>
      <c r="BL62" s="630" t="s">
        <v>2172</v>
      </c>
      <c r="BM62" s="49" t="s">
        <v>1033</v>
      </c>
      <c r="BN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O62" s="396">
        <f>(PTCK_offBS[[#This Row],[VALUE_DATE]]-PTCK_offBS[[#This Row],[LAST_PMT]])*PTCK_offBS[[#This Row],[COUPON_RATE]]*1000/(DATE(YEAR(PTCK_offBS[[#This Row],[LAST_PMT]])+1,MONTH(PTCK_offBS[[#This Row],[LAST_PMT]]),DAY(PTCK_offBS[[#This Row],[LAST_PMT]]))-PTCK_offBS[[#This Row],[LAST_PMT]])</f>
        <v>246.57534246575344</v>
      </c>
      <c r="BP62" s="396">
        <f>PTCK_offBS[[#This Row],[GROSS_AMOUNT]]/PTCK_offBS[[#This Row],[QUANTITY]]-PTCK_offBS[[#This Row],[START_ACC]]-10^5</f>
        <v>12720.42465753424</v>
      </c>
      <c r="BQ62" s="396">
        <f>IF(PTCK_offBS[[#This Row],[BS]]="Others",PTCK_offBS[[#This Row],[PTCK]]*(PTCK_offBS[[#This Row],[MATURITY_DATE]]-PTCK_offBS[[#This Row],[POSTED_DT]]-1)/(PTCK_offBS[[#This Row],[MATURITY_DATE]]-PTCK_offBS[[#This Row],[VALUE_DATE]]),PTCK_offBS[[#This Row],[PTCK]])</f>
        <v>11315.82290100872</v>
      </c>
      <c r="BR62" s="396">
        <f>PTCK_offBS[[#This Row],[PTCK remain]]*PTCK_offBS[[#This Row],[QUANTITY]]</f>
        <v>49789620764.43837</v>
      </c>
    </row>
    <row r="63" spans="3:70" x14ac:dyDescent="0.3">
      <c r="C63" s="128"/>
      <c r="D63" s="128"/>
      <c r="E63" s="128"/>
      <c r="F63" s="128"/>
      <c r="G63" s="533"/>
      <c r="K63" s="629"/>
      <c r="T63" s="362"/>
      <c r="U63" s="375">
        <v>46252</v>
      </c>
      <c r="V63" s="128" t="s">
        <v>706</v>
      </c>
      <c r="W63" s="128" t="s">
        <v>1033</v>
      </c>
      <c r="X63" s="530">
        <v>-50000000000</v>
      </c>
      <c r="Y63" s="530">
        <v>82358</v>
      </c>
      <c r="Z63" s="530">
        <v>-41179000000</v>
      </c>
      <c r="AA63" s="128" t="s">
        <v>2796</v>
      </c>
      <c r="AB63" s="533">
        <f>_xlfn.IFNA(VLOOKUP(BS[[#This Row],[BOND_CODE]],FNRP!D:I,6,0),VLOOKUP(BS[[#This Row],[BOND_CODE]],FNRP!AV:BA,6,0))</f>
        <v>82354</v>
      </c>
      <c r="AC63" s="396">
        <f>BS[[#This Row],[CLEAN PRICE]]*BS[[#This Row],[BALANCE]]/100000</f>
        <v>-41177000000</v>
      </c>
      <c r="AF63" s="629"/>
      <c r="AK63" s="734"/>
      <c r="AL63" s="128">
        <v>50171</v>
      </c>
      <c r="AM63" s="128" t="s">
        <v>717</v>
      </c>
      <c r="AN63" s="736">
        <v>8</v>
      </c>
      <c r="AO63" s="128" t="s">
        <v>823</v>
      </c>
      <c r="AP63" s="49" t="s">
        <v>824</v>
      </c>
      <c r="AQ63" s="530">
        <v>8800000</v>
      </c>
      <c r="AR63" s="500">
        <v>40431.130290091933</v>
      </c>
      <c r="AS63" s="530">
        <v>140660</v>
      </c>
      <c r="AT63" s="530">
        <v>144868</v>
      </c>
      <c r="AU63" s="769">
        <v>4.75</v>
      </c>
      <c r="AV63" s="747">
        <v>116347000000</v>
      </c>
      <c r="AW63" s="534">
        <f>(_xlfn.XLOOKUP(RPBOD3[[#This Row],[Bonds_ShortName]],FNRP!D:D,FNRP!H:H,_xlfn.XLOOKUP(RPBOD3[[#This Row],[Bonds_ShortName]],FNRP!AV:AV,FNRP!AZ:AZ,,0),0)-RPBOD3[[#This Row],[PTCK_Remain]]-10^5)*RPBOD3[[#This Row],[Quantity]]</f>
        <v>14237253447.190928</v>
      </c>
      <c r="AY63" s="128"/>
      <c r="AZ63" s="610">
        <v>46252</v>
      </c>
      <c r="BA63" s="850">
        <v>49124</v>
      </c>
      <c r="BB63" s="852" t="s">
        <v>608</v>
      </c>
      <c r="BC63" s="39" t="s">
        <v>824</v>
      </c>
      <c r="BD63" s="530">
        <v>5000000</v>
      </c>
      <c r="BE63" s="530">
        <v>112720</v>
      </c>
      <c r="BF63" s="658">
        <v>46092</v>
      </c>
      <c r="BG63" s="658">
        <v>46093</v>
      </c>
      <c r="BH63" s="658">
        <v>47542</v>
      </c>
      <c r="BI63" s="500">
        <v>564835000000</v>
      </c>
      <c r="BJ63" s="49">
        <v>7.5</v>
      </c>
      <c r="BK63" s="49">
        <v>64.180045817000007</v>
      </c>
      <c r="BL63" s="630" t="s">
        <v>2172</v>
      </c>
      <c r="BM63" s="49" t="s">
        <v>1033</v>
      </c>
      <c r="BN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O63" s="396">
        <f>(PTCK_offBS[[#This Row],[VALUE_DATE]]-PTCK_offBS[[#This Row],[LAST_PMT]])*PTCK_offBS[[#This Row],[COUPON_RATE]]*1000/(DATE(YEAR(PTCK_offBS[[#This Row],[LAST_PMT]])+1,MONTH(PTCK_offBS[[#This Row],[LAST_PMT]]),DAY(PTCK_offBS[[#This Row],[LAST_PMT]]))-PTCK_offBS[[#This Row],[LAST_PMT]])</f>
        <v>246.57534246575344</v>
      </c>
      <c r="BP63" s="396">
        <f>PTCK_offBS[[#This Row],[GROSS_AMOUNT]]/PTCK_offBS[[#This Row],[QUANTITY]]-PTCK_offBS[[#This Row],[START_ACC]]-10^5</f>
        <v>12720.42465753424</v>
      </c>
      <c r="BQ63" s="396">
        <f>IF(PTCK_offBS[[#This Row],[BS]]="Others",PTCK_offBS[[#This Row],[PTCK]]*(PTCK_offBS[[#This Row],[MATURITY_DATE]]-PTCK_offBS[[#This Row],[POSTED_DT]]-1)/(PTCK_offBS[[#This Row],[MATURITY_DATE]]-PTCK_offBS[[#This Row],[VALUE_DATE]]),PTCK_offBS[[#This Row],[PTCK]])</f>
        <v>11315.82290100872</v>
      </c>
      <c r="BR63" s="396">
        <f>PTCK_offBS[[#This Row],[PTCK remain]]*PTCK_offBS[[#This Row],[QUANTITY]]</f>
        <v>56579114505.043602</v>
      </c>
    </row>
    <row r="64" spans="3:70" x14ac:dyDescent="0.3">
      <c r="C64" s="128"/>
      <c r="D64" s="128"/>
      <c r="E64" s="128"/>
      <c r="F64" s="128"/>
      <c r="G64" s="533"/>
      <c r="K64" s="629"/>
      <c r="T64" s="362"/>
      <c r="U64" s="375">
        <v>46252</v>
      </c>
      <c r="V64" s="128" t="s">
        <v>2840</v>
      </c>
      <c r="W64" s="128" t="s">
        <v>1033</v>
      </c>
      <c r="X64" s="530">
        <v>100000000000</v>
      </c>
      <c r="Y64" s="530">
        <v>84273</v>
      </c>
      <c r="Z64" s="530">
        <v>84273000000</v>
      </c>
      <c r="AA64" s="128" t="s">
        <v>2795</v>
      </c>
      <c r="AB64" s="533">
        <f>_xlfn.IFNA(VLOOKUP(BS[[#This Row],[BOND_CODE]],FNRP!D:I,6,0),VLOOKUP(BS[[#This Row],[BOND_CODE]],FNRP!AV:BA,6,0))</f>
        <v>84269</v>
      </c>
      <c r="AC64" s="396">
        <f>BS[[#This Row],[CLEAN PRICE]]*BS[[#This Row],[BALANCE]]/100000</f>
        <v>84269000000</v>
      </c>
      <c r="AF64" s="629"/>
      <c r="AK64" s="734"/>
      <c r="AL64" s="128">
        <v>50170</v>
      </c>
      <c r="AM64" s="128" t="s">
        <v>717</v>
      </c>
      <c r="AN64" s="736">
        <v>8</v>
      </c>
      <c r="AO64" s="128" t="s">
        <v>823</v>
      </c>
      <c r="AP64" s="49" t="s">
        <v>824</v>
      </c>
      <c r="AQ64" s="530">
        <v>5000000</v>
      </c>
      <c r="AR64" s="500">
        <v>40431.130290091998</v>
      </c>
      <c r="AS64" s="530">
        <v>140660</v>
      </c>
      <c r="AT64" s="530">
        <v>144868</v>
      </c>
      <c r="AU64" s="769">
        <v>4.75</v>
      </c>
      <c r="AV64" s="747">
        <v>116347000000</v>
      </c>
      <c r="AW64" s="534">
        <f>(_xlfn.XLOOKUP(RPBOD3[[#This Row],[Bonds_ShortName]],FNRP!D:D,FNRP!H:H,_xlfn.XLOOKUP(RPBOD3[[#This Row],[Bonds_ShortName]],FNRP!AV:AV,FNRP!AZ:AZ,,0),0)-RPBOD3[[#This Row],[PTCK_Remain]]-10^5)*RPBOD3[[#This Row],[Quantity]]</f>
        <v>8089348549.5400095</v>
      </c>
      <c r="AY64" s="128"/>
      <c r="AZ64" s="610">
        <v>46252</v>
      </c>
      <c r="BA64" s="850">
        <v>49126</v>
      </c>
      <c r="BB64" s="852" t="s">
        <v>598</v>
      </c>
      <c r="BC64" s="39" t="s">
        <v>824</v>
      </c>
      <c r="BD64" s="530">
        <v>3000000</v>
      </c>
      <c r="BE64" s="530">
        <v>109935</v>
      </c>
      <c r="BF64" s="658">
        <v>46092</v>
      </c>
      <c r="BG64" s="658">
        <v>46093</v>
      </c>
      <c r="BH64" s="658">
        <v>47406</v>
      </c>
      <c r="BI64" s="500">
        <v>338319000000</v>
      </c>
      <c r="BJ64" s="49">
        <v>7</v>
      </c>
      <c r="BK64" s="49">
        <v>65.180045817000007</v>
      </c>
      <c r="BL64" s="630" t="s">
        <v>2172</v>
      </c>
      <c r="BM64" s="49" t="s">
        <v>1033</v>
      </c>
      <c r="BN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64" s="396">
        <f>(PTCK_offBS[[#This Row],[VALUE_DATE]]-PTCK_offBS[[#This Row],[LAST_PMT]])*PTCK_offBS[[#This Row],[COUPON_RATE]]*1000/(DATE(YEAR(PTCK_offBS[[#This Row],[LAST_PMT]])+1,MONTH(PTCK_offBS[[#This Row],[LAST_PMT]]),DAY(PTCK_offBS[[#This Row],[LAST_PMT]]))-PTCK_offBS[[#This Row],[LAST_PMT]])</f>
        <v>2838.3561643835615</v>
      </c>
      <c r="BP64" s="396">
        <f>PTCK_offBS[[#This Row],[GROSS_AMOUNT]]/PTCK_offBS[[#This Row],[QUANTITY]]-PTCK_offBS[[#This Row],[START_ACC]]-10^5</f>
        <v>9934.6438356164435</v>
      </c>
      <c r="BQ64" s="396">
        <f>IF(PTCK_offBS[[#This Row],[BS]]="Others",PTCK_offBS[[#This Row],[PTCK]]*(PTCK_offBS[[#This Row],[MATURITY_DATE]]-PTCK_offBS[[#This Row],[POSTED_DT]]-1)/(PTCK_offBS[[#This Row],[MATURITY_DATE]]-PTCK_offBS[[#This Row],[VALUE_DATE]]),PTCK_offBS[[#This Row],[PTCK]])</f>
        <v>8724.0246324948675</v>
      </c>
      <c r="BR64" s="396">
        <f>PTCK_offBS[[#This Row],[PTCK remain]]*PTCK_offBS[[#This Row],[QUANTITY]]</f>
        <v>26172073897.484604</v>
      </c>
    </row>
    <row r="65" spans="3:70" x14ac:dyDescent="0.3">
      <c r="C65" s="128"/>
      <c r="D65" s="128"/>
      <c r="E65" s="128"/>
      <c r="F65" s="128"/>
      <c r="G65" s="533"/>
      <c r="K65" s="629"/>
      <c r="T65" s="362"/>
      <c r="U65" s="375">
        <v>46252</v>
      </c>
      <c r="V65" s="128" t="s">
        <v>702</v>
      </c>
      <c r="W65" s="128" t="s">
        <v>1033</v>
      </c>
      <c r="X65" s="530">
        <v>100000000000</v>
      </c>
      <c r="Y65" s="530">
        <v>82992</v>
      </c>
      <c r="Z65" s="530">
        <v>82992000000</v>
      </c>
      <c r="AA65" s="128" t="s">
        <v>2795</v>
      </c>
      <c r="AB65" s="533">
        <f>_xlfn.IFNA(VLOOKUP(BS[[#This Row],[BOND_CODE]],FNRP!D:I,6,0),VLOOKUP(BS[[#This Row],[BOND_CODE]],FNRP!AV:BA,6,0))</f>
        <v>82987</v>
      </c>
      <c r="AC65" s="396">
        <f>BS[[#This Row],[CLEAN PRICE]]*BS[[#This Row],[BALANCE]]/100000</f>
        <v>82987000000</v>
      </c>
      <c r="AF65" s="629"/>
      <c r="AK65" s="734"/>
      <c r="AL65" s="128">
        <v>50200</v>
      </c>
      <c r="AM65" s="128" t="s">
        <v>717</v>
      </c>
      <c r="AN65" s="736">
        <v>8</v>
      </c>
      <c r="AO65" s="128" t="s">
        <v>823</v>
      </c>
      <c r="AP65" s="49" t="s">
        <v>824</v>
      </c>
      <c r="AQ65" s="530">
        <v>8000000</v>
      </c>
      <c r="AR65" s="500">
        <v>39667.733821013004</v>
      </c>
      <c r="AS65" s="530">
        <v>139825</v>
      </c>
      <c r="AT65" s="530">
        <v>144296</v>
      </c>
      <c r="AU65" s="769">
        <v>4.8</v>
      </c>
      <c r="AV65" s="747">
        <v>116347000000</v>
      </c>
      <c r="AW65" s="534">
        <f>(_xlfn.XLOOKUP(RPBOD3[[#This Row],[Bonds_ShortName]],FNRP!D:D,FNRP!H:H,_xlfn.XLOOKUP(RPBOD3[[#This Row],[Bonds_ShortName]],FNRP!AV:AV,FNRP!AZ:AZ,,0),0)-RPBOD3[[#This Row],[PTCK_Remain]]-10^5)*RPBOD3[[#This Row],[Quantity]]</f>
        <v>19050129431.895912</v>
      </c>
      <c r="AY65" s="128"/>
      <c r="AZ65" s="610">
        <v>46252</v>
      </c>
      <c r="BA65" s="850">
        <v>49581</v>
      </c>
      <c r="BB65" s="852" t="s">
        <v>616</v>
      </c>
      <c r="BC65" s="39" t="s">
        <v>824</v>
      </c>
      <c r="BD65" s="530">
        <v>6550000</v>
      </c>
      <c r="BE65" s="530">
        <v>115215</v>
      </c>
      <c r="BF65" s="658">
        <v>46135</v>
      </c>
      <c r="BG65" s="658">
        <v>46136</v>
      </c>
      <c r="BH65" s="658">
        <v>47952</v>
      </c>
      <c r="BI65" s="500">
        <v>756020650000</v>
      </c>
      <c r="BJ65" s="49">
        <v>7.6</v>
      </c>
      <c r="BK65" s="49">
        <v>66.180045817000007</v>
      </c>
      <c r="BL65" s="630" t="s">
        <v>2172</v>
      </c>
      <c r="BM65" s="49" t="s">
        <v>1033</v>
      </c>
      <c r="BN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46126</v>
      </c>
      <c r="BO65" s="396">
        <f>(PTCK_offBS[[#This Row],[VALUE_DATE]]-PTCK_offBS[[#This Row],[LAST_PMT]])*PTCK_offBS[[#This Row],[COUPON_RATE]]*1000/(DATE(YEAR(PTCK_offBS[[#This Row],[LAST_PMT]])+1,MONTH(PTCK_offBS[[#This Row],[LAST_PMT]]),DAY(PTCK_offBS[[#This Row],[LAST_PMT]]))-PTCK_offBS[[#This Row],[LAST_PMT]])</f>
        <v>208.21917808219177</v>
      </c>
      <c r="BP65" s="396">
        <f>PTCK_offBS[[#This Row],[GROSS_AMOUNT]]/PTCK_offBS[[#This Row],[QUANTITY]]-PTCK_offBS[[#This Row],[START_ACC]]-10^5</f>
        <v>15214.780821917811</v>
      </c>
      <c r="BQ65" s="396">
        <f>IF(PTCK_offBS[[#This Row],[BS]]="Others",PTCK_offBS[[#This Row],[PTCK]]*(PTCK_offBS[[#This Row],[MATURITY_DATE]]-PTCK_offBS[[#This Row],[POSTED_DT]]-1)/(PTCK_offBS[[#This Row],[MATURITY_DATE]]-PTCK_offBS[[#This Row],[VALUE_DATE]]),PTCK_offBS[[#This Row],[PTCK]])</f>
        <v>14234.533379096014</v>
      </c>
      <c r="BR65" s="396">
        <f>PTCK_offBS[[#This Row],[PTCK remain]]*PTCK_offBS[[#This Row],[QUANTITY]]</f>
        <v>93236193633.078888</v>
      </c>
    </row>
    <row r="66" spans="3:70" x14ac:dyDescent="0.3">
      <c r="C66" s="128"/>
      <c r="D66" s="128"/>
      <c r="E66" s="128"/>
      <c r="F66" s="128"/>
      <c r="G66" s="533"/>
      <c r="K66" s="629"/>
      <c r="T66" s="362"/>
      <c r="U66" s="375">
        <v>46252</v>
      </c>
      <c r="V66" s="128" t="s">
        <v>608</v>
      </c>
      <c r="W66" s="128" t="s">
        <v>1033</v>
      </c>
      <c r="X66" s="530">
        <v>1240000000000</v>
      </c>
      <c r="Y66" s="530">
        <v>111823</v>
      </c>
      <c r="Z66" s="530">
        <v>1386605200000</v>
      </c>
      <c r="AA66" s="128" t="s">
        <v>2795</v>
      </c>
      <c r="AB66" s="533">
        <f>_xlfn.IFNA(VLOOKUP(BS[[#This Row],[BOND_CODE]],FNRP!D:I,6,0),VLOOKUP(BS[[#This Row],[BOND_CODE]],FNRP!AV:BA,6,0))</f>
        <v>111831</v>
      </c>
      <c r="AC66" s="396">
        <f>BS[[#This Row],[CLEAN PRICE]]*BS[[#This Row],[BALANCE]]/100000</f>
        <v>1386704400000</v>
      </c>
      <c r="AF66" s="629"/>
      <c r="AK66" s="734"/>
      <c r="AL66" s="128">
        <v>50201</v>
      </c>
      <c r="AM66" s="128" t="s">
        <v>717</v>
      </c>
      <c r="AN66" s="736">
        <v>8</v>
      </c>
      <c r="AO66" s="128" t="s">
        <v>823</v>
      </c>
      <c r="AP66" s="49" t="s">
        <v>824</v>
      </c>
      <c r="AQ66" s="530">
        <v>8200000</v>
      </c>
      <c r="AR66" s="500">
        <v>39667.733821013047</v>
      </c>
      <c r="AS66" s="530">
        <v>139825</v>
      </c>
      <c r="AT66" s="530">
        <v>144296</v>
      </c>
      <c r="AU66" s="769">
        <v>4.8</v>
      </c>
      <c r="AV66" s="747">
        <v>116347000000</v>
      </c>
      <c r="AW66" s="534">
        <f>(_xlfn.XLOOKUP(RPBOD3[[#This Row],[Bonds_ShortName]],FNRP!D:D,FNRP!H:H,_xlfn.XLOOKUP(RPBOD3[[#This Row],[Bonds_ShortName]],FNRP!AV:AV,FNRP!AZ:AZ,,0),0)-RPBOD3[[#This Row],[PTCK_Remain]]-10^5)*RPBOD3[[#This Row],[Quantity]]</f>
        <v>19526382667.693069</v>
      </c>
      <c r="AY66" s="128"/>
      <c r="AZ66" s="610">
        <v>46252</v>
      </c>
      <c r="BA66" s="850">
        <v>49301</v>
      </c>
      <c r="BB66" s="852" t="s">
        <v>2497</v>
      </c>
      <c r="BC66" s="39" t="s">
        <v>824</v>
      </c>
      <c r="BD66" s="530">
        <v>7000000</v>
      </c>
      <c r="BE66" s="530">
        <v>94180</v>
      </c>
      <c r="BF66" s="658">
        <v>46107</v>
      </c>
      <c r="BG66" s="658">
        <v>46108</v>
      </c>
      <c r="BH66" s="658">
        <v>55966</v>
      </c>
      <c r="BI66" s="500">
        <v>659582000000</v>
      </c>
      <c r="BJ66" s="49">
        <v>4.2</v>
      </c>
      <c r="BK66" s="49">
        <v>67.180045817000007</v>
      </c>
      <c r="BL66" s="630" t="s">
        <v>2172</v>
      </c>
      <c r="BM66" s="49" t="s">
        <v>1033</v>
      </c>
      <c r="BN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66" s="396">
        <f>(PTCK_offBS[[#This Row],[VALUE_DATE]]-PTCK_offBS[[#This Row],[LAST_PMT]])*PTCK_offBS[[#This Row],[COUPON_RATE]]*1000/(DATE(YEAR(PTCK_offBS[[#This Row],[LAST_PMT]])+1,MONTH(PTCK_offBS[[#This Row],[LAST_PMT]]),DAY(PTCK_offBS[[#This Row],[LAST_PMT]]))-PTCK_offBS[[#This Row],[LAST_PMT]])</f>
        <v>46.027397260273972</v>
      </c>
      <c r="BP66" s="396">
        <f>PTCK_offBS[[#This Row],[GROSS_AMOUNT]]/PTCK_offBS[[#This Row],[QUANTITY]]-PTCK_offBS[[#This Row],[START_ACC]]-10^5</f>
        <v>-5820.0273972602736</v>
      </c>
      <c r="BQ66" s="396">
        <f>IF(PTCK_offBS[[#This Row],[BS]]="Others",PTCK_offBS[[#This Row],[PTCK]]*(PTCK_offBS[[#This Row],[MATURITY_DATE]]-PTCK_offBS[[#This Row],[POSTED_DT]]-1)/(PTCK_offBS[[#This Row],[MATURITY_DATE]]-PTCK_offBS[[#This Row],[VALUE_DATE]]),PTCK_offBS[[#This Row],[PTCK]])</f>
        <v>-5734.4213947645612</v>
      </c>
      <c r="BR66" s="396">
        <f>PTCK_offBS[[#This Row],[PTCK remain]]*PTCK_offBS[[#This Row],[QUANTITY]]</f>
        <v>-40140949763.351929</v>
      </c>
    </row>
    <row r="67" spans="3:70" x14ac:dyDescent="0.3">
      <c r="C67" s="128"/>
      <c r="D67" s="128"/>
      <c r="E67" s="128"/>
      <c r="F67" s="128"/>
      <c r="G67" s="533"/>
      <c r="K67" s="629"/>
      <c r="T67" s="362"/>
      <c r="U67" s="375">
        <v>46252</v>
      </c>
      <c r="V67" s="128" t="s">
        <v>665</v>
      </c>
      <c r="W67" s="128" t="s">
        <v>822</v>
      </c>
      <c r="X67" s="530">
        <v>300000000000</v>
      </c>
      <c r="Y67" s="530">
        <v>106011</v>
      </c>
      <c r="Z67" s="530">
        <v>318033000000</v>
      </c>
      <c r="AA67" s="128" t="s">
        <v>2795</v>
      </c>
      <c r="AB67" s="533">
        <f>_xlfn.IFNA(VLOOKUP(BS[[#This Row],[BOND_CODE]],FNRP!D:I,6,0),VLOOKUP(BS[[#This Row],[BOND_CODE]],FNRP!AV:BA,6,0))</f>
        <v>106013</v>
      </c>
      <c r="AC67" s="396">
        <f>BS[[#This Row],[CLEAN PRICE]]*BS[[#This Row],[BALANCE]]/100000</f>
        <v>318039000000</v>
      </c>
      <c r="AF67" s="629"/>
      <c r="AK67" s="734"/>
      <c r="AL67" s="128">
        <v>50212</v>
      </c>
      <c r="AM67" s="128" t="s">
        <v>721</v>
      </c>
      <c r="AN67" s="736">
        <v>7.9</v>
      </c>
      <c r="AO67" s="128" t="s">
        <v>823</v>
      </c>
      <c r="AP67" s="49" t="s">
        <v>824</v>
      </c>
      <c r="AQ67" s="530">
        <v>2000000</v>
      </c>
      <c r="AR67" s="500">
        <v>39662.658988741401</v>
      </c>
      <c r="AS67" s="530">
        <v>139806</v>
      </c>
      <c r="AT67" s="530">
        <v>143962</v>
      </c>
      <c r="AU67" s="769">
        <v>4.8</v>
      </c>
      <c r="AV67" s="747">
        <v>116347000000</v>
      </c>
      <c r="AW67" s="534">
        <f>(_xlfn.XLOOKUP(RPBOD3[[#This Row],[Bonds_ShortName]],FNRP!D:D,FNRP!H:H,_xlfn.XLOOKUP(RPBOD3[[#This Row],[Bonds_ShortName]],FNRP!AV:AV,FNRP!AZ:AZ,,0),0)-RPBOD3[[#This Row],[PTCK_Remain]]-10^5)*RPBOD3[[#This Row],[Quantity]]</f>
        <v>4450682022.5171976</v>
      </c>
      <c r="AY67" s="128"/>
      <c r="AZ67" s="610">
        <v>46252</v>
      </c>
      <c r="BA67" s="850">
        <v>49300</v>
      </c>
      <c r="BB67" s="852" t="s">
        <v>2497</v>
      </c>
      <c r="BC67" s="39" t="s">
        <v>824</v>
      </c>
      <c r="BD67" s="530">
        <v>7000000</v>
      </c>
      <c r="BE67" s="530">
        <v>94180</v>
      </c>
      <c r="BF67" s="658">
        <v>46107</v>
      </c>
      <c r="BG67" s="658">
        <v>46108</v>
      </c>
      <c r="BH67" s="658">
        <v>55966</v>
      </c>
      <c r="BI67" s="500">
        <v>659582000000</v>
      </c>
      <c r="BJ67" s="49">
        <v>4.2</v>
      </c>
      <c r="BK67" s="49">
        <v>68.180045817000007</v>
      </c>
      <c r="BL67" s="630" t="s">
        <v>2172</v>
      </c>
      <c r="BM67" s="49" t="s">
        <v>1033</v>
      </c>
      <c r="BN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67" s="396">
        <f>(PTCK_offBS[[#This Row],[VALUE_DATE]]-PTCK_offBS[[#This Row],[LAST_PMT]])*PTCK_offBS[[#This Row],[COUPON_RATE]]*1000/(DATE(YEAR(PTCK_offBS[[#This Row],[LAST_PMT]])+1,MONTH(PTCK_offBS[[#This Row],[LAST_PMT]]),DAY(PTCK_offBS[[#This Row],[LAST_PMT]]))-PTCK_offBS[[#This Row],[LAST_PMT]])</f>
        <v>46.027397260273972</v>
      </c>
      <c r="BP67" s="396">
        <f>PTCK_offBS[[#This Row],[GROSS_AMOUNT]]/PTCK_offBS[[#This Row],[QUANTITY]]-PTCK_offBS[[#This Row],[START_ACC]]-10^5</f>
        <v>-5820.0273972602736</v>
      </c>
      <c r="BQ67" s="396">
        <f>IF(PTCK_offBS[[#This Row],[BS]]="Others",PTCK_offBS[[#This Row],[PTCK]]*(PTCK_offBS[[#This Row],[MATURITY_DATE]]-PTCK_offBS[[#This Row],[POSTED_DT]]-1)/(PTCK_offBS[[#This Row],[MATURITY_DATE]]-PTCK_offBS[[#This Row],[VALUE_DATE]]),PTCK_offBS[[#This Row],[PTCK]])</f>
        <v>-5734.4213947645612</v>
      </c>
      <c r="BR67" s="396">
        <f>PTCK_offBS[[#This Row],[PTCK remain]]*PTCK_offBS[[#This Row],[QUANTITY]]</f>
        <v>-40140949763.351929</v>
      </c>
    </row>
    <row r="68" spans="3:70" x14ac:dyDescent="0.3">
      <c r="C68" s="128"/>
      <c r="D68" s="128"/>
      <c r="E68" s="128"/>
      <c r="F68" s="128"/>
      <c r="G68" s="533"/>
      <c r="K68" s="629"/>
      <c r="T68" s="362"/>
      <c r="U68" s="375">
        <v>46252</v>
      </c>
      <c r="V68" s="128" t="s">
        <v>2836</v>
      </c>
      <c r="W68" s="128" t="s">
        <v>1033</v>
      </c>
      <c r="X68" s="530">
        <v>600000000000</v>
      </c>
      <c r="Y68" s="530">
        <v>89138</v>
      </c>
      <c r="Z68" s="530">
        <v>534828000000</v>
      </c>
      <c r="AA68" s="128" t="s">
        <v>2795</v>
      </c>
      <c r="AB68" s="533">
        <f>_xlfn.IFNA(VLOOKUP(BS[[#This Row],[BOND_CODE]],FNRP!D:I,6,0),VLOOKUP(BS[[#This Row],[BOND_CODE]],FNRP!AV:BA,6,0))</f>
        <v>89135</v>
      </c>
      <c r="AC68" s="396">
        <f>BS[[#This Row],[CLEAN PRICE]]*BS[[#This Row],[BALANCE]]/100000</f>
        <v>534810000000</v>
      </c>
      <c r="AF68" s="629"/>
      <c r="AK68" s="734"/>
      <c r="AL68" s="128">
        <v>50213</v>
      </c>
      <c r="AM68" s="128" t="s">
        <v>721</v>
      </c>
      <c r="AN68" s="736">
        <v>7.9</v>
      </c>
      <c r="AO68" s="128" t="s">
        <v>823</v>
      </c>
      <c r="AP68" s="49" t="s">
        <v>824</v>
      </c>
      <c r="AQ68" s="530">
        <v>8620000</v>
      </c>
      <c r="AR68" s="500">
        <v>39662.658988741299</v>
      </c>
      <c r="AS68" s="530">
        <v>139806</v>
      </c>
      <c r="AT68" s="530">
        <v>143962</v>
      </c>
      <c r="AU68" s="769">
        <v>4.8</v>
      </c>
      <c r="AV68" s="747">
        <v>116347000000</v>
      </c>
      <c r="AW68" s="534">
        <f>(_xlfn.XLOOKUP(RPBOD3[[#This Row],[Bonds_ShortName]],FNRP!D:D,FNRP!H:H,_xlfn.XLOOKUP(RPBOD3[[#This Row],[Bonds_ShortName]],FNRP!AV:AV,FNRP!AZ:AZ,,0),0)-RPBOD3[[#This Row],[PTCK_Remain]]-10^5)*RPBOD3[[#This Row],[Quantity]]</f>
        <v>19182439517.049999</v>
      </c>
      <c r="AY68" s="128"/>
      <c r="AZ68" s="610">
        <v>46252</v>
      </c>
      <c r="BA68" s="850">
        <v>49302</v>
      </c>
      <c r="BB68" s="852" t="s">
        <v>2497</v>
      </c>
      <c r="BC68" s="39" t="s">
        <v>824</v>
      </c>
      <c r="BD68" s="530">
        <v>7360000</v>
      </c>
      <c r="BE68" s="530">
        <v>94180</v>
      </c>
      <c r="BF68" s="658">
        <v>46107</v>
      </c>
      <c r="BG68" s="658">
        <v>46108</v>
      </c>
      <c r="BH68" s="658">
        <v>55966</v>
      </c>
      <c r="BI68" s="500">
        <v>693503360000</v>
      </c>
      <c r="BJ68" s="49">
        <v>4.2</v>
      </c>
      <c r="BK68" s="49">
        <v>69.180045817000007</v>
      </c>
      <c r="BL68" s="630" t="s">
        <v>2172</v>
      </c>
      <c r="BM68" s="49" t="s">
        <v>1033</v>
      </c>
      <c r="BN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68" s="396">
        <f>(PTCK_offBS[[#This Row],[VALUE_DATE]]-PTCK_offBS[[#This Row],[LAST_PMT]])*PTCK_offBS[[#This Row],[COUPON_RATE]]*1000/(DATE(YEAR(PTCK_offBS[[#This Row],[LAST_PMT]])+1,MONTH(PTCK_offBS[[#This Row],[LAST_PMT]]),DAY(PTCK_offBS[[#This Row],[LAST_PMT]]))-PTCK_offBS[[#This Row],[LAST_PMT]])</f>
        <v>46.027397260273972</v>
      </c>
      <c r="BP68" s="396">
        <f>PTCK_offBS[[#This Row],[GROSS_AMOUNT]]/PTCK_offBS[[#This Row],[QUANTITY]]-PTCK_offBS[[#This Row],[START_ACC]]-10^5</f>
        <v>-5820.0273972602736</v>
      </c>
      <c r="BQ68" s="396">
        <f>IF(PTCK_offBS[[#This Row],[BS]]="Others",PTCK_offBS[[#This Row],[PTCK]]*(PTCK_offBS[[#This Row],[MATURITY_DATE]]-PTCK_offBS[[#This Row],[POSTED_DT]]-1)/(PTCK_offBS[[#This Row],[MATURITY_DATE]]-PTCK_offBS[[#This Row],[VALUE_DATE]]),PTCK_offBS[[#This Row],[PTCK]])</f>
        <v>-5734.4213947645612</v>
      </c>
      <c r="BR68" s="396">
        <f>PTCK_offBS[[#This Row],[PTCK remain]]*PTCK_offBS[[#This Row],[QUANTITY]]</f>
        <v>-42205341465.467171</v>
      </c>
    </row>
    <row r="69" spans="3:70" x14ac:dyDescent="0.3">
      <c r="C69" s="128"/>
      <c r="D69" s="128"/>
      <c r="E69" s="128"/>
      <c r="F69" s="128"/>
      <c r="G69" s="533"/>
      <c r="K69" s="629"/>
      <c r="T69" s="362"/>
      <c r="U69" s="375">
        <v>46252</v>
      </c>
      <c r="V69" s="128" t="s">
        <v>2836</v>
      </c>
      <c r="W69" s="128" t="s">
        <v>1033</v>
      </c>
      <c r="X69" s="530">
        <v>200000000000</v>
      </c>
      <c r="Y69" s="530">
        <v>89138</v>
      </c>
      <c r="Z69" s="530">
        <v>178276000000</v>
      </c>
      <c r="AA69" s="128" t="s">
        <v>2805</v>
      </c>
      <c r="AB69" s="533">
        <f>_xlfn.IFNA(VLOOKUP(BS[[#This Row],[BOND_CODE]],FNRP!D:I,6,0),VLOOKUP(BS[[#This Row],[BOND_CODE]],FNRP!AV:BA,6,0))</f>
        <v>89135</v>
      </c>
      <c r="AC69" s="396">
        <f>BS[[#This Row],[CLEAN PRICE]]*BS[[#This Row],[BALANCE]]/100000</f>
        <v>178270000000</v>
      </c>
      <c r="AF69" s="629"/>
      <c r="AK69" s="734"/>
      <c r="AL69" s="128">
        <v>50214</v>
      </c>
      <c r="AM69" s="128" t="s">
        <v>2371</v>
      </c>
      <c r="AN69" s="736">
        <v>2.9</v>
      </c>
      <c r="AO69" s="128" t="s">
        <v>823</v>
      </c>
      <c r="AP69" s="49" t="s">
        <v>824</v>
      </c>
      <c r="AQ69" s="530">
        <v>3370000</v>
      </c>
      <c r="AR69" s="500">
        <v>-28341.058650158604</v>
      </c>
      <c r="AS69" s="530">
        <v>71576</v>
      </c>
      <c r="AT69" s="530">
        <v>73094</v>
      </c>
      <c r="AU69" s="769">
        <v>4.87</v>
      </c>
      <c r="AV69" s="747">
        <v>116347000000</v>
      </c>
      <c r="AW69" s="534">
        <f>(_xlfn.XLOOKUP(RPBOD3[[#This Row],[Bonds_ShortName]],FNRP!D:D,FNRP!H:H,_xlfn.XLOOKUP(RPBOD3[[#This Row],[Bonds_ShortName]],FNRP!AV:AV,FNRP!AZ:AZ,,0),0)-RPBOD3[[#This Row],[PTCK_Remain]]-10^5)*RPBOD3[[#This Row],[Quantity]]</f>
        <v>6487447651.0345078</v>
      </c>
      <c r="AY69" s="128"/>
      <c r="AZ69" s="610">
        <v>46252</v>
      </c>
      <c r="BA69" s="850">
        <v>47903</v>
      </c>
      <c r="BB69" s="852" t="s">
        <v>720</v>
      </c>
      <c r="BC69" s="39" t="s">
        <v>824</v>
      </c>
      <c r="BD69" s="530">
        <v>4985000</v>
      </c>
      <c r="BE69" s="530">
        <v>152703</v>
      </c>
      <c r="BF69" s="658">
        <v>45967</v>
      </c>
      <c r="BG69" s="658">
        <v>45968</v>
      </c>
      <c r="BH69" s="658">
        <v>53613</v>
      </c>
      <c r="BI69" s="500">
        <v>763921340000</v>
      </c>
      <c r="BJ69" s="49">
        <v>7.9</v>
      </c>
      <c r="BK69" s="49">
        <v>70.180045817000007</v>
      </c>
      <c r="BL69" s="630" t="s">
        <v>2172</v>
      </c>
      <c r="BM69" s="49" t="s">
        <v>1033</v>
      </c>
      <c r="BN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69" s="396">
        <f>(PTCK_offBS[[#This Row],[VALUE_DATE]]-PTCK_offBS[[#This Row],[LAST_PMT]])*PTCK_offBS[[#This Row],[COUPON_RATE]]*1000/(DATE(YEAR(PTCK_offBS[[#This Row],[LAST_PMT]])+1,MONTH(PTCK_offBS[[#This Row],[LAST_PMT]]),DAY(PTCK_offBS[[#This Row],[LAST_PMT]]))-PTCK_offBS[[#This Row],[LAST_PMT]])</f>
        <v>541.09589041095887</v>
      </c>
      <c r="BP69" s="396">
        <f>PTCK_offBS[[#This Row],[GROSS_AMOUNT]]/PTCK_offBS[[#This Row],[QUANTITY]]-PTCK_offBS[[#This Row],[START_ACC]]-10^5</f>
        <v>52702.904109589028</v>
      </c>
      <c r="BQ69" s="396">
        <f>IF(PTCK_offBS[[#This Row],[BS]]="Others",PTCK_offBS[[#This Row],[PTCK]]*(PTCK_offBS[[#This Row],[MATURITY_DATE]]-PTCK_offBS[[#This Row],[POSTED_DT]]-1)/(PTCK_offBS[[#This Row],[MATURITY_DATE]]-PTCK_offBS[[#This Row],[VALUE_DATE]]),PTCK_offBS[[#This Row],[PTCK]])</f>
        <v>50738.178449519328</v>
      </c>
      <c r="BR69" s="396">
        <f>PTCK_offBS[[#This Row],[PTCK remain]]*PTCK_offBS[[#This Row],[QUANTITY]]</f>
        <v>252929819570.85385</v>
      </c>
    </row>
    <row r="70" spans="3:70" x14ac:dyDescent="0.3">
      <c r="C70" s="128"/>
      <c r="D70" s="128"/>
      <c r="E70" s="128"/>
      <c r="F70" s="128"/>
      <c r="G70" s="533"/>
      <c r="K70" s="629"/>
      <c r="T70" s="362"/>
      <c r="U70" s="375">
        <v>46252</v>
      </c>
      <c r="V70" s="128" t="s">
        <v>669</v>
      </c>
      <c r="W70" s="128" t="s">
        <v>822</v>
      </c>
      <c r="X70" s="530">
        <v>350000000000</v>
      </c>
      <c r="Y70" s="530">
        <v>101627</v>
      </c>
      <c r="Z70" s="530">
        <v>355694500000</v>
      </c>
      <c r="AA70" s="128" t="s">
        <v>2795</v>
      </c>
      <c r="AB70" s="533">
        <f>_xlfn.IFNA(VLOOKUP(BS[[#This Row],[BOND_CODE]],FNRP!D:I,6,0),VLOOKUP(BS[[#This Row],[BOND_CODE]],FNRP!AV:BA,6,0))</f>
        <v>101627</v>
      </c>
      <c r="AC70" s="396">
        <f>BS[[#This Row],[CLEAN PRICE]]*BS[[#This Row],[BALANCE]]/100000</f>
        <v>355694500000</v>
      </c>
      <c r="AF70" s="629"/>
      <c r="AK70" s="734"/>
      <c r="AL70" s="128">
        <v>50215</v>
      </c>
      <c r="AM70" s="128" t="s">
        <v>2371</v>
      </c>
      <c r="AN70" s="736">
        <v>2.9</v>
      </c>
      <c r="AO70" s="128" t="s">
        <v>823</v>
      </c>
      <c r="AP70" s="49" t="s">
        <v>824</v>
      </c>
      <c r="AQ70" s="530">
        <v>1000000</v>
      </c>
      <c r="AR70" s="500">
        <v>-28341.0586501586</v>
      </c>
      <c r="AS70" s="530">
        <v>71576</v>
      </c>
      <c r="AT70" s="530">
        <v>73094</v>
      </c>
      <c r="AU70" s="769">
        <v>4.87</v>
      </c>
      <c r="AV70" s="747">
        <v>116347000000</v>
      </c>
      <c r="AW70" s="534">
        <f>(_xlfn.XLOOKUP(RPBOD3[[#This Row],[Bonds_ShortName]],FNRP!D:D,FNRP!H:H,_xlfn.XLOOKUP(RPBOD3[[#This Row],[Bonds_ShortName]],FNRP!AV:AV,FNRP!AZ:AZ,,0),0)-RPBOD3[[#This Row],[PTCK_Remain]]-10^5)*RPBOD3[[#This Row],[Quantity]]</f>
        <v>1925058650.1586077</v>
      </c>
      <c r="AY70" s="128"/>
      <c r="AZ70" s="610">
        <v>46252</v>
      </c>
      <c r="BA70" s="850">
        <v>49309</v>
      </c>
      <c r="BB70" s="852" t="s">
        <v>2497</v>
      </c>
      <c r="BC70" s="39" t="s">
        <v>824</v>
      </c>
      <c r="BD70" s="530">
        <v>8000000</v>
      </c>
      <c r="BE70" s="530">
        <v>93886</v>
      </c>
      <c r="BF70" s="658">
        <v>46108</v>
      </c>
      <c r="BG70" s="658">
        <v>46111</v>
      </c>
      <c r="BH70" s="658">
        <v>55966</v>
      </c>
      <c r="BI70" s="500">
        <v>751736000000</v>
      </c>
      <c r="BJ70" s="49">
        <v>4.2</v>
      </c>
      <c r="BK70" s="49">
        <v>71.180045817000007</v>
      </c>
      <c r="BL70" s="630" t="s">
        <v>2172</v>
      </c>
      <c r="BM70" s="49" t="s">
        <v>1033</v>
      </c>
      <c r="BN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70" s="396">
        <f>(PTCK_offBS[[#This Row],[VALUE_DATE]]-PTCK_offBS[[#This Row],[LAST_PMT]])*PTCK_offBS[[#This Row],[COUPON_RATE]]*1000/(DATE(YEAR(PTCK_offBS[[#This Row],[LAST_PMT]])+1,MONTH(PTCK_offBS[[#This Row],[LAST_PMT]]),DAY(PTCK_offBS[[#This Row],[LAST_PMT]]))-PTCK_offBS[[#This Row],[LAST_PMT]])</f>
        <v>80.547945205479465</v>
      </c>
      <c r="BP70" s="396">
        <f>PTCK_offBS[[#This Row],[GROSS_AMOUNT]]/PTCK_offBS[[#This Row],[QUANTITY]]-PTCK_offBS[[#This Row],[START_ACC]]-10^5</f>
        <v>-6113.547945205486</v>
      </c>
      <c r="BQ70" s="396">
        <f>IF(PTCK_offBS[[#This Row],[BS]]="Others",PTCK_offBS[[#This Row],[PTCK]]*(PTCK_offBS[[#This Row],[MATURITY_DATE]]-PTCK_offBS[[#This Row],[POSTED_DT]]-1)/(PTCK_offBS[[#This Row],[MATURITY_DATE]]-PTCK_offBS[[#This Row],[VALUE_DATE]]),PTCK_offBS[[#This Row],[PTCK]])</f>
        <v>-6025.4582640061781</v>
      </c>
      <c r="BR70" s="396">
        <f>PTCK_offBS[[#This Row],[PTCK remain]]*PTCK_offBS[[#This Row],[QUANTITY]]</f>
        <v>-48203666112.049423</v>
      </c>
    </row>
    <row r="71" spans="3:70" x14ac:dyDescent="0.3">
      <c r="C71" s="128"/>
      <c r="D71" s="128"/>
      <c r="E71" s="128"/>
      <c r="F71" s="128"/>
      <c r="G71" s="533"/>
      <c r="K71" s="629"/>
      <c r="T71" s="362"/>
      <c r="U71" s="375">
        <v>46252</v>
      </c>
      <c r="V71" s="128" t="s">
        <v>710</v>
      </c>
      <c r="W71" s="128" t="s">
        <v>822</v>
      </c>
      <c r="X71" s="530">
        <v>100000000000</v>
      </c>
      <c r="Y71" s="530">
        <v>110154</v>
      </c>
      <c r="Z71" s="530">
        <v>110154000000</v>
      </c>
      <c r="AA71" s="128" t="s">
        <v>2795</v>
      </c>
      <c r="AB71" s="533">
        <f>_xlfn.IFNA(VLOOKUP(BS[[#This Row],[BOND_CODE]],FNRP!D:I,6,0),VLOOKUP(BS[[#This Row],[BOND_CODE]],FNRP!AV:BA,6,0))</f>
        <v>110155</v>
      </c>
      <c r="AC71" s="396">
        <f>BS[[#This Row],[CLEAN PRICE]]*BS[[#This Row],[BALANCE]]/100000</f>
        <v>110155000000</v>
      </c>
      <c r="AF71" s="629"/>
      <c r="AK71" s="734"/>
      <c r="AL71" s="128">
        <v>50248</v>
      </c>
      <c r="AM71" s="128" t="s">
        <v>710</v>
      </c>
      <c r="AN71" s="736">
        <v>5.6</v>
      </c>
      <c r="AO71" s="128" t="s">
        <v>823</v>
      </c>
      <c r="AP71" s="49" t="s">
        <v>824</v>
      </c>
      <c r="AQ71" s="530">
        <v>1000000</v>
      </c>
      <c r="AR71" s="500">
        <v>8085.0162363043701</v>
      </c>
      <c r="AS71" s="530">
        <v>108124</v>
      </c>
      <c r="AT71" s="530">
        <v>111070</v>
      </c>
      <c r="AU71" s="769">
        <v>4.72</v>
      </c>
      <c r="AV71" s="747">
        <v>116347000000</v>
      </c>
      <c r="AW71" s="534">
        <f>(_xlfn.XLOOKUP(RPBOD3[[#This Row],[Bonds_ShortName]],FNRP!D:D,FNRP!H:H,_xlfn.XLOOKUP(RPBOD3[[#This Row],[Bonds_ShortName]],FNRP!AV:AV,FNRP!AZ:AZ,,0),0)-RPBOD3[[#This Row],[PTCK_Remain]]-10^5)*RPBOD3[[#This Row],[Quantity]]</f>
        <v>2069983763.6956363</v>
      </c>
      <c r="AY71" s="128"/>
      <c r="AZ71" s="610">
        <v>46252</v>
      </c>
      <c r="BA71" s="850">
        <v>49308</v>
      </c>
      <c r="BB71" s="852" t="s">
        <v>2497</v>
      </c>
      <c r="BC71" s="39" t="s">
        <v>824</v>
      </c>
      <c r="BD71" s="530">
        <v>7000000</v>
      </c>
      <c r="BE71" s="530">
        <v>93886</v>
      </c>
      <c r="BF71" s="658">
        <v>46108</v>
      </c>
      <c r="BG71" s="658">
        <v>46111</v>
      </c>
      <c r="BH71" s="658">
        <v>55966</v>
      </c>
      <c r="BI71" s="500">
        <v>657769000000</v>
      </c>
      <c r="BJ71" s="49">
        <v>4.2</v>
      </c>
      <c r="BK71" s="49">
        <v>72.180045817000007</v>
      </c>
      <c r="BL71" s="630" t="s">
        <v>2172</v>
      </c>
      <c r="BM71" s="49" t="s">
        <v>1033</v>
      </c>
      <c r="BN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71" s="396">
        <f>(PTCK_offBS[[#This Row],[VALUE_DATE]]-PTCK_offBS[[#This Row],[LAST_PMT]])*PTCK_offBS[[#This Row],[COUPON_RATE]]*1000/(DATE(YEAR(PTCK_offBS[[#This Row],[LAST_PMT]])+1,MONTH(PTCK_offBS[[#This Row],[LAST_PMT]]),DAY(PTCK_offBS[[#This Row],[LAST_PMT]]))-PTCK_offBS[[#This Row],[LAST_PMT]])</f>
        <v>80.547945205479465</v>
      </c>
      <c r="BP71" s="396">
        <f>PTCK_offBS[[#This Row],[GROSS_AMOUNT]]/PTCK_offBS[[#This Row],[QUANTITY]]-PTCK_offBS[[#This Row],[START_ACC]]-10^5</f>
        <v>-6113.547945205486</v>
      </c>
      <c r="BQ71" s="396">
        <f>IF(PTCK_offBS[[#This Row],[BS]]="Others",PTCK_offBS[[#This Row],[PTCK]]*(PTCK_offBS[[#This Row],[MATURITY_DATE]]-PTCK_offBS[[#This Row],[POSTED_DT]]-1)/(PTCK_offBS[[#This Row],[MATURITY_DATE]]-PTCK_offBS[[#This Row],[VALUE_DATE]]),PTCK_offBS[[#This Row],[PTCK]])</f>
        <v>-6025.4582640061781</v>
      </c>
      <c r="BR71" s="396">
        <f>PTCK_offBS[[#This Row],[PTCK remain]]*PTCK_offBS[[#This Row],[QUANTITY]]</f>
        <v>-42178207848.043243</v>
      </c>
    </row>
    <row r="72" spans="3:70" x14ac:dyDescent="0.3">
      <c r="C72" s="128"/>
      <c r="D72" s="128"/>
      <c r="E72" s="128"/>
      <c r="F72" s="128"/>
      <c r="G72" s="533"/>
      <c r="K72" s="629"/>
      <c r="T72" s="362"/>
      <c r="U72" s="375">
        <v>46252</v>
      </c>
      <c r="V72" s="128" t="s">
        <v>3051</v>
      </c>
      <c r="W72" s="128" t="s">
        <v>1033</v>
      </c>
      <c r="X72" s="530">
        <v>160000000000</v>
      </c>
      <c r="Y72" s="530">
        <v>89642</v>
      </c>
      <c r="Z72" s="530">
        <v>143427200000</v>
      </c>
      <c r="AA72" s="128" t="s">
        <v>2805</v>
      </c>
      <c r="AB72" s="533">
        <f>_xlfn.IFNA(VLOOKUP(BS[[#This Row],[BOND_CODE]],FNRP!D:I,6,0),VLOOKUP(BS[[#This Row],[BOND_CODE]],FNRP!AV:BA,6,0))</f>
        <v>89638</v>
      </c>
      <c r="AC72" s="396">
        <f>BS[[#This Row],[CLEAN PRICE]]*BS[[#This Row],[BALANCE]]/100000</f>
        <v>143420800000</v>
      </c>
      <c r="AF72" s="629"/>
      <c r="AK72" s="734"/>
      <c r="AL72" s="128">
        <v>50245</v>
      </c>
      <c r="AM72" s="128" t="s">
        <v>706</v>
      </c>
      <c r="AN72" s="736">
        <v>2.2999999999999998</v>
      </c>
      <c r="AO72" s="128" t="s">
        <v>823</v>
      </c>
      <c r="AP72" s="49" t="s">
        <v>824</v>
      </c>
      <c r="AQ72" s="530">
        <v>500000</v>
      </c>
      <c r="AR72" s="500">
        <v>-18070.36709456184</v>
      </c>
      <c r="AS72" s="530">
        <v>81825</v>
      </c>
      <c r="AT72" s="530">
        <v>83104</v>
      </c>
      <c r="AU72" s="769">
        <v>4.5199999999999996</v>
      </c>
      <c r="AV72" s="747">
        <v>116347000000</v>
      </c>
      <c r="AW72" s="534">
        <f>(_xlfn.XLOOKUP(RPBOD3[[#This Row],[Bonds_ShortName]],FNRP!D:D,FNRP!H:H,_xlfn.XLOOKUP(RPBOD3[[#This Row],[Bonds_ShortName]],FNRP!AV:AV,FNRP!AZ:AZ,,0),0)-RPBOD3[[#This Row],[PTCK_Remain]]-10^5)*RPBOD3[[#This Row],[Quantity]]</f>
        <v>212183547.280918</v>
      </c>
      <c r="AY72" s="128"/>
      <c r="AZ72" s="610">
        <v>46252</v>
      </c>
      <c r="BA72" s="850">
        <v>49310</v>
      </c>
      <c r="BB72" s="852" t="s">
        <v>2497</v>
      </c>
      <c r="BC72" s="39" t="s">
        <v>824</v>
      </c>
      <c r="BD72" s="530">
        <v>8000000</v>
      </c>
      <c r="BE72" s="530">
        <v>93886</v>
      </c>
      <c r="BF72" s="658">
        <v>46108</v>
      </c>
      <c r="BG72" s="658">
        <v>46111</v>
      </c>
      <c r="BH72" s="658">
        <v>55966</v>
      </c>
      <c r="BI72" s="500">
        <v>751736000000</v>
      </c>
      <c r="BJ72" s="49">
        <v>4.2</v>
      </c>
      <c r="BK72" s="49">
        <v>73.180045817000007</v>
      </c>
      <c r="BL72" s="630" t="s">
        <v>2172</v>
      </c>
      <c r="BM72" s="49" t="s">
        <v>1033</v>
      </c>
      <c r="BN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72" s="396">
        <f>(PTCK_offBS[[#This Row],[VALUE_DATE]]-PTCK_offBS[[#This Row],[LAST_PMT]])*PTCK_offBS[[#This Row],[COUPON_RATE]]*1000/(DATE(YEAR(PTCK_offBS[[#This Row],[LAST_PMT]])+1,MONTH(PTCK_offBS[[#This Row],[LAST_PMT]]),DAY(PTCK_offBS[[#This Row],[LAST_PMT]]))-PTCK_offBS[[#This Row],[LAST_PMT]])</f>
        <v>80.547945205479465</v>
      </c>
      <c r="BP72" s="396">
        <f>PTCK_offBS[[#This Row],[GROSS_AMOUNT]]/PTCK_offBS[[#This Row],[QUANTITY]]-PTCK_offBS[[#This Row],[START_ACC]]-10^5</f>
        <v>-6113.547945205486</v>
      </c>
      <c r="BQ72" s="396">
        <f>IF(PTCK_offBS[[#This Row],[BS]]="Others",PTCK_offBS[[#This Row],[PTCK]]*(PTCK_offBS[[#This Row],[MATURITY_DATE]]-PTCK_offBS[[#This Row],[POSTED_DT]]-1)/(PTCK_offBS[[#This Row],[MATURITY_DATE]]-PTCK_offBS[[#This Row],[VALUE_DATE]]),PTCK_offBS[[#This Row],[PTCK]])</f>
        <v>-6025.4582640061781</v>
      </c>
      <c r="BR72" s="396">
        <f>PTCK_offBS[[#This Row],[PTCK remain]]*PTCK_offBS[[#This Row],[QUANTITY]]</f>
        <v>-48203666112.049423</v>
      </c>
    </row>
    <row r="73" spans="3:70" x14ac:dyDescent="0.3">
      <c r="C73" s="128"/>
      <c r="D73" s="128"/>
      <c r="E73" s="128"/>
      <c r="F73" s="128"/>
      <c r="G73" s="533"/>
      <c r="K73" s="629"/>
      <c r="T73" s="362"/>
      <c r="U73" s="375">
        <v>46252</v>
      </c>
      <c r="V73" s="128" t="s">
        <v>2742</v>
      </c>
      <c r="W73" s="128" t="s">
        <v>1033</v>
      </c>
      <c r="X73" s="530">
        <v>200000000000</v>
      </c>
      <c r="Y73" s="530">
        <v>88858</v>
      </c>
      <c r="Z73" s="530">
        <v>177716000000</v>
      </c>
      <c r="AA73" s="128" t="s">
        <v>2795</v>
      </c>
      <c r="AB73" s="533">
        <f>_xlfn.IFNA(VLOOKUP(BS[[#This Row],[BOND_CODE]],FNRP!D:I,6,0),VLOOKUP(BS[[#This Row],[BOND_CODE]],FNRP!AV:BA,6,0))</f>
        <v>88853</v>
      </c>
      <c r="AC73" s="396">
        <f>BS[[#This Row],[CLEAN PRICE]]*BS[[#This Row],[BALANCE]]/100000</f>
        <v>177706000000</v>
      </c>
      <c r="AF73" s="629"/>
      <c r="AK73" s="734"/>
      <c r="AL73" s="128">
        <v>50246</v>
      </c>
      <c r="AM73" s="128" t="s">
        <v>728</v>
      </c>
      <c r="AN73" s="736">
        <v>5.8</v>
      </c>
      <c r="AO73" s="128" t="s">
        <v>823</v>
      </c>
      <c r="AP73" s="49" t="s">
        <v>824</v>
      </c>
      <c r="AQ73" s="530">
        <v>500000</v>
      </c>
      <c r="AR73" s="500">
        <v>12475.77786410744</v>
      </c>
      <c r="AS73" s="530">
        <v>112509</v>
      </c>
      <c r="AT73" s="530">
        <v>115449</v>
      </c>
      <c r="AU73" s="769">
        <v>4.87</v>
      </c>
      <c r="AV73" s="747">
        <v>116347000000</v>
      </c>
      <c r="AW73" s="534">
        <f>(_xlfn.XLOOKUP(RPBOD3[[#This Row],[Bonds_ShortName]],FNRP!D:D,FNRP!H:H,_xlfn.XLOOKUP(RPBOD3[[#This Row],[Bonds_ShortName]],FNRP!AV:AV,FNRP!AZ:AZ,,0),0)-RPBOD3[[#This Row],[PTCK_Remain]]-10^5)*RPBOD3[[#This Row],[Quantity]]</f>
        <v>1406111067.94628</v>
      </c>
      <c r="AY73" s="128"/>
      <c r="AZ73" s="610">
        <v>46252</v>
      </c>
      <c r="BA73" s="850">
        <v>49901</v>
      </c>
      <c r="BB73" s="852" t="s">
        <v>731</v>
      </c>
      <c r="BC73" s="39" t="s">
        <v>824</v>
      </c>
      <c r="BD73" s="530">
        <v>2110000</v>
      </c>
      <c r="BE73" s="530">
        <v>79102</v>
      </c>
      <c r="BF73" s="658">
        <v>46174</v>
      </c>
      <c r="BG73" s="658">
        <v>46175</v>
      </c>
      <c r="BH73" s="658">
        <v>55076</v>
      </c>
      <c r="BI73" s="500">
        <v>171158980000</v>
      </c>
      <c r="BJ73" s="49">
        <v>3.2</v>
      </c>
      <c r="BK73" s="49">
        <v>74.180045817000007</v>
      </c>
      <c r="BL73" s="630" t="s">
        <v>2172</v>
      </c>
      <c r="BM73" s="49" t="s">
        <v>1033</v>
      </c>
      <c r="BN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73" s="396">
        <f>(PTCK_offBS[[#This Row],[VALUE_DATE]]-PTCK_offBS[[#This Row],[LAST_PMT]])*PTCK_offBS[[#This Row],[COUPON_RATE]]*1000/(DATE(YEAR(PTCK_offBS[[#This Row],[LAST_PMT]])+1,MONTH(PTCK_offBS[[#This Row],[LAST_PMT]]),DAY(PTCK_offBS[[#This Row],[LAST_PMT]]))-PTCK_offBS[[#This Row],[LAST_PMT]])</f>
        <v>2016.4383561643835</v>
      </c>
      <c r="BP73" s="396">
        <f>PTCK_offBS[[#This Row],[GROSS_AMOUNT]]/PTCK_offBS[[#This Row],[QUANTITY]]-PTCK_offBS[[#This Row],[START_ACC]]-10^5</f>
        <v>-20898.438356164377</v>
      </c>
      <c r="BQ73" s="396">
        <f>IF(PTCK_offBS[[#This Row],[BS]]="Others",PTCK_offBS[[#This Row],[PTCK]]*(PTCK_offBS[[#This Row],[MATURITY_DATE]]-PTCK_offBS[[#This Row],[POSTED_DT]]-1)/(PTCK_offBS[[#This Row],[MATURITY_DATE]]-PTCK_offBS[[#This Row],[VALUE_DATE]]),PTCK_offBS[[#This Row],[PTCK]])</f>
        <v>-20715.304080040252</v>
      </c>
      <c r="BR73" s="396">
        <f>PTCK_offBS[[#This Row],[PTCK remain]]*PTCK_offBS[[#This Row],[QUANTITY]]</f>
        <v>-43709291608.884933</v>
      </c>
    </row>
    <row r="74" spans="3:70" x14ac:dyDescent="0.3">
      <c r="C74" s="128"/>
      <c r="D74" s="128"/>
      <c r="E74" s="128"/>
      <c r="F74" s="128"/>
      <c r="G74" s="533"/>
      <c r="K74" s="629"/>
      <c r="T74" s="362"/>
      <c r="U74" s="375">
        <v>46252</v>
      </c>
      <c r="V74" s="128" t="s">
        <v>2503</v>
      </c>
      <c r="W74" s="128" t="s">
        <v>1033</v>
      </c>
      <c r="X74" s="530">
        <v>400000000000</v>
      </c>
      <c r="Y74" s="530">
        <v>90237</v>
      </c>
      <c r="Z74" s="530">
        <v>360948000000</v>
      </c>
      <c r="AA74" s="128" t="s">
        <v>2795</v>
      </c>
      <c r="AB74" s="533">
        <f>_xlfn.IFNA(VLOOKUP(BS[[#This Row],[BOND_CODE]],FNRP!D:I,6,0),VLOOKUP(BS[[#This Row],[BOND_CODE]],FNRP!AV:BA,6,0))</f>
        <v>90235</v>
      </c>
      <c r="AC74" s="396">
        <f>BS[[#This Row],[CLEAN PRICE]]*BS[[#This Row],[BALANCE]]/100000</f>
        <v>360940000000</v>
      </c>
      <c r="AF74" s="629"/>
      <c r="AK74" s="734"/>
      <c r="AL74" s="128">
        <v>50247</v>
      </c>
      <c r="AM74" s="128" t="s">
        <v>712</v>
      </c>
      <c r="AN74" s="736">
        <v>3.6</v>
      </c>
      <c r="AO74" s="128" t="s">
        <v>823</v>
      </c>
      <c r="AP74" s="49" t="s">
        <v>824</v>
      </c>
      <c r="AQ74" s="530">
        <v>1500000</v>
      </c>
      <c r="AR74" s="500">
        <v>-10940.392224709933</v>
      </c>
      <c r="AS74" s="530">
        <v>89010</v>
      </c>
      <c r="AT74" s="530">
        <v>90983</v>
      </c>
      <c r="AU74" s="769">
        <v>4.72</v>
      </c>
      <c r="AV74" s="747">
        <v>116347000000</v>
      </c>
      <c r="AW74" s="534">
        <f>(_xlfn.XLOOKUP(RPBOD3[[#This Row],[Bonds_ShortName]],FNRP!D:D,FNRP!H:H,_xlfn.XLOOKUP(RPBOD3[[#This Row],[Bonds_ShortName]],FNRP!AV:AV,FNRP!AZ:AZ,,0),0)-RPBOD3[[#This Row],[PTCK_Remain]]-10^5)*RPBOD3[[#This Row],[Quantity]]</f>
        <v>2513088337.0649099</v>
      </c>
      <c r="AY74" s="128"/>
      <c r="AZ74" s="610">
        <v>46252</v>
      </c>
      <c r="BA74" s="850">
        <v>49897</v>
      </c>
      <c r="BB74" s="852" t="s">
        <v>729</v>
      </c>
      <c r="BC74" s="39" t="s">
        <v>824</v>
      </c>
      <c r="BD74" s="530">
        <v>4000000</v>
      </c>
      <c r="BE74" s="530">
        <v>107704</v>
      </c>
      <c r="BF74" s="658">
        <v>46174</v>
      </c>
      <c r="BG74" s="658">
        <v>46175</v>
      </c>
      <c r="BH74" s="658">
        <v>54692</v>
      </c>
      <c r="BI74" s="500">
        <v>445004000000</v>
      </c>
      <c r="BJ74" s="49">
        <v>5.2</v>
      </c>
      <c r="BK74" s="49">
        <v>75.180045817000007</v>
      </c>
      <c r="BL74" s="630" t="s">
        <v>2172</v>
      </c>
      <c r="BM74" s="49" t="s">
        <v>1033</v>
      </c>
      <c r="BN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74" s="396">
        <f>(PTCK_offBS[[#This Row],[VALUE_DATE]]-PTCK_offBS[[#This Row],[LAST_PMT]])*PTCK_offBS[[#This Row],[COUPON_RATE]]*1000/(DATE(YEAR(PTCK_offBS[[#This Row],[LAST_PMT]])+1,MONTH(PTCK_offBS[[#This Row],[LAST_PMT]]),DAY(PTCK_offBS[[#This Row],[LAST_PMT]]))-PTCK_offBS[[#This Row],[LAST_PMT]])</f>
        <v>3547.3972602739727</v>
      </c>
      <c r="BP74" s="396">
        <f>PTCK_offBS[[#This Row],[GROSS_AMOUNT]]/PTCK_offBS[[#This Row],[QUANTITY]]-PTCK_offBS[[#This Row],[START_ACC]]-10^5</f>
        <v>7703.6027397260332</v>
      </c>
      <c r="BQ74" s="396">
        <f>IF(PTCK_offBS[[#This Row],[BS]]="Others",PTCK_offBS[[#This Row],[PTCK]]*(PTCK_offBS[[#This Row],[MATURITY_DATE]]-PTCK_offBS[[#This Row],[POSTED_DT]]-1)/(PTCK_offBS[[#This Row],[MATURITY_DATE]]-PTCK_offBS[[#This Row],[VALUE_DATE]]),PTCK_offBS[[#This Row],[PTCK]])</f>
        <v>7633.0519573262882</v>
      </c>
      <c r="BR74" s="396">
        <f>PTCK_offBS[[#This Row],[PTCK remain]]*PTCK_offBS[[#This Row],[QUANTITY]]</f>
        <v>30532207829.305153</v>
      </c>
    </row>
    <row r="75" spans="3:70" x14ac:dyDescent="0.3">
      <c r="C75" s="128"/>
      <c r="D75" s="128"/>
      <c r="E75" s="128"/>
      <c r="F75" s="128"/>
      <c r="G75" s="533"/>
      <c r="K75" s="629"/>
      <c r="T75" s="362"/>
      <c r="U75" s="375">
        <v>46252</v>
      </c>
      <c r="V75" s="128" t="s">
        <v>636</v>
      </c>
      <c r="W75" s="128" t="s">
        <v>1033</v>
      </c>
      <c r="X75" s="530">
        <v>100000000000</v>
      </c>
      <c r="Y75" s="530">
        <v>92549</v>
      </c>
      <c r="Z75" s="530">
        <v>92549000000</v>
      </c>
      <c r="AA75" s="128" t="s">
        <v>2805</v>
      </c>
      <c r="AB75" s="533">
        <f>_xlfn.IFNA(VLOOKUP(BS[[#This Row],[BOND_CODE]],FNRP!D:I,6,0),VLOOKUP(BS[[#This Row],[BOND_CODE]],FNRP!AV:BA,6,0))</f>
        <v>92544</v>
      </c>
      <c r="AC75" s="396">
        <f>BS[[#This Row],[CLEAN PRICE]]*BS[[#This Row],[BALANCE]]/100000</f>
        <v>92544000000</v>
      </c>
      <c r="AF75" s="629"/>
      <c r="AK75" s="734"/>
      <c r="AL75" s="128">
        <v>50244</v>
      </c>
      <c r="AM75" s="128" t="s">
        <v>712</v>
      </c>
      <c r="AN75" s="736">
        <v>3.6</v>
      </c>
      <c r="AO75" s="128" t="s">
        <v>823</v>
      </c>
      <c r="AP75" s="49" t="s">
        <v>824</v>
      </c>
      <c r="AQ75" s="530">
        <v>9500000</v>
      </c>
      <c r="AR75" s="500">
        <v>-10940.392224709894</v>
      </c>
      <c r="AS75" s="530">
        <v>89010</v>
      </c>
      <c r="AT75" s="530">
        <v>90983</v>
      </c>
      <c r="AU75" s="769">
        <v>4.72</v>
      </c>
      <c r="AV75" s="747">
        <v>116347000000</v>
      </c>
      <c r="AW75" s="534">
        <f>(_xlfn.XLOOKUP(RPBOD3[[#This Row],[Bonds_ShortName]],FNRP!D:D,FNRP!H:H,_xlfn.XLOOKUP(RPBOD3[[#This Row],[Bonds_ShortName]],FNRP!AV:AV,FNRP!AZ:AZ,,0),0)-RPBOD3[[#This Row],[PTCK_Remain]]-10^5)*RPBOD3[[#This Row],[Quantity]]</f>
        <v>15916226134.744015</v>
      </c>
      <c r="AY75" s="128"/>
      <c r="AZ75" s="610">
        <v>46252</v>
      </c>
      <c r="BA75" s="850">
        <v>49899</v>
      </c>
      <c r="BB75" s="852" t="s">
        <v>688</v>
      </c>
      <c r="BC75" s="39" t="s">
        <v>824</v>
      </c>
      <c r="BD75" s="530">
        <v>1000000</v>
      </c>
      <c r="BE75" s="530">
        <v>89548</v>
      </c>
      <c r="BF75" s="658">
        <v>46174</v>
      </c>
      <c r="BG75" s="658">
        <v>46175</v>
      </c>
      <c r="BH75" s="658">
        <v>49548</v>
      </c>
      <c r="BI75" s="500">
        <v>91841000000</v>
      </c>
      <c r="BJ75" s="49">
        <v>3</v>
      </c>
      <c r="BK75" s="49">
        <v>76.180045817000007</v>
      </c>
      <c r="BL75" s="630" t="s">
        <v>2172</v>
      </c>
      <c r="BM75" s="49" t="s">
        <v>1033</v>
      </c>
      <c r="BN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45896</v>
      </c>
      <c r="BO75" s="396">
        <f>(PTCK_offBS[[#This Row],[VALUE_DATE]]-PTCK_offBS[[#This Row],[LAST_PMT]])*PTCK_offBS[[#This Row],[COUPON_RATE]]*1000/(DATE(YEAR(PTCK_offBS[[#This Row],[LAST_PMT]])+1,MONTH(PTCK_offBS[[#This Row],[LAST_PMT]]),DAY(PTCK_offBS[[#This Row],[LAST_PMT]]))-PTCK_offBS[[#This Row],[LAST_PMT]])</f>
        <v>2293.1506849315069</v>
      </c>
      <c r="BP75" s="396">
        <f>PTCK_offBS[[#This Row],[GROSS_AMOUNT]]/PTCK_offBS[[#This Row],[QUANTITY]]-PTCK_offBS[[#This Row],[START_ACC]]-10^5</f>
        <v>-10452.150684931505</v>
      </c>
      <c r="BQ75" s="396">
        <f>IF(PTCK_offBS[[#This Row],[BS]]="Others",PTCK_offBS[[#This Row],[PTCK]]*(PTCK_offBS[[#This Row],[MATURITY_DATE]]-PTCK_offBS[[#This Row],[POSTED_DT]]-1)/(PTCK_offBS[[#This Row],[MATURITY_DATE]]-PTCK_offBS[[#This Row],[VALUE_DATE]]),PTCK_offBS[[#This Row],[PTCK]])</f>
        <v>-10210.446637073617</v>
      </c>
      <c r="BR75" s="396">
        <f>PTCK_offBS[[#This Row],[PTCK remain]]*PTCK_offBS[[#This Row],[QUANTITY]]</f>
        <v>-10210446637.073618</v>
      </c>
    </row>
    <row r="76" spans="3:70" x14ac:dyDescent="0.3">
      <c r="C76" s="128"/>
      <c r="D76" s="128"/>
      <c r="E76" s="128"/>
      <c r="F76" s="128"/>
      <c r="G76" s="533"/>
      <c r="T76" s="362"/>
      <c r="U76" s="375">
        <v>46252</v>
      </c>
      <c r="V76" s="128" t="s">
        <v>2835</v>
      </c>
      <c r="W76" s="128" t="s">
        <v>1033</v>
      </c>
      <c r="X76" s="530">
        <v>600000000000</v>
      </c>
      <c r="Y76" s="530">
        <v>82679</v>
      </c>
      <c r="Z76" s="530">
        <v>496074000000</v>
      </c>
      <c r="AA76" s="128" t="s">
        <v>2795</v>
      </c>
      <c r="AB76" s="533">
        <f>_xlfn.IFNA(VLOOKUP(BS[[#This Row],[BOND_CODE]],FNRP!D:I,6,0),VLOOKUP(BS[[#This Row],[BOND_CODE]],FNRP!AV:BA,6,0))</f>
        <v>82677</v>
      </c>
      <c r="AC76" s="396">
        <f>BS[[#This Row],[CLEAN PRICE]]*BS[[#This Row],[BALANCE]]/100000</f>
        <v>496062000000</v>
      </c>
      <c r="AF76" s="629"/>
      <c r="AK76" s="734"/>
      <c r="AL76" s="128">
        <v>50331</v>
      </c>
      <c r="AM76" s="128" t="s">
        <v>1209</v>
      </c>
      <c r="AN76" s="736">
        <v>7.75</v>
      </c>
      <c r="AO76" s="128" t="s">
        <v>823</v>
      </c>
      <c r="AP76" s="49" t="s">
        <v>824</v>
      </c>
      <c r="AQ76" s="530">
        <v>10000000</v>
      </c>
      <c r="AR76" s="500">
        <v>23293.926843219298</v>
      </c>
      <c r="AS76" s="530">
        <v>123337</v>
      </c>
      <c r="AT76" s="530">
        <v>123464</v>
      </c>
      <c r="AU76" s="769">
        <v>4.53</v>
      </c>
      <c r="AV76" s="747">
        <v>116347000000</v>
      </c>
      <c r="AW76" s="534">
        <f>(_xlfn.XLOOKUP(RPBOD3[[#This Row],[Bonds_ShortName]],FNRP!D:D,FNRP!H:H,_xlfn.XLOOKUP(RPBOD3[[#This Row],[Bonds_ShortName]],FNRP!AV:AV,FNRP!AZ:AZ,,0),0)-RPBOD3[[#This Row],[PTCK_Remain]]-10^5)*RPBOD3[[#This Row],[Quantity]]</f>
        <v>10930731567.807089</v>
      </c>
      <c r="AY76" s="128"/>
      <c r="AZ76" s="610">
        <v>46252</v>
      </c>
      <c r="BA76" s="850">
        <v>49903</v>
      </c>
      <c r="BB76" s="852" t="s">
        <v>733</v>
      </c>
      <c r="BC76" s="39" t="s">
        <v>824</v>
      </c>
      <c r="BD76" s="530">
        <v>1000000</v>
      </c>
      <c r="BE76" s="530">
        <v>74307</v>
      </c>
      <c r="BF76" s="658">
        <v>46174</v>
      </c>
      <c r="BG76" s="658">
        <v>46175</v>
      </c>
      <c r="BH76" s="658">
        <v>55391</v>
      </c>
      <c r="BI76" s="500">
        <v>76532000000</v>
      </c>
      <c r="BJ76" s="49">
        <v>2.9</v>
      </c>
      <c r="BK76" s="49">
        <v>77.180045817000007</v>
      </c>
      <c r="BL76" s="630" t="s">
        <v>2172</v>
      </c>
      <c r="BM76" s="49" t="s">
        <v>1033</v>
      </c>
      <c r="BN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45895</v>
      </c>
      <c r="BO76" s="396">
        <f>(PTCK_offBS[[#This Row],[VALUE_DATE]]-PTCK_offBS[[#This Row],[LAST_PMT]])*PTCK_offBS[[#This Row],[COUPON_RATE]]*1000/(DATE(YEAR(PTCK_offBS[[#This Row],[LAST_PMT]])+1,MONTH(PTCK_offBS[[#This Row],[LAST_PMT]]),DAY(PTCK_offBS[[#This Row],[LAST_PMT]]))-PTCK_offBS[[#This Row],[LAST_PMT]])</f>
        <v>2224.6575342465753</v>
      </c>
      <c r="BP76" s="396">
        <f>PTCK_offBS[[#This Row],[GROSS_AMOUNT]]/PTCK_offBS[[#This Row],[QUANTITY]]-PTCK_offBS[[#This Row],[START_ACC]]-10^5</f>
        <v>-25692.65753424658</v>
      </c>
      <c r="BQ76" s="396">
        <f>IF(PTCK_offBS[[#This Row],[BS]]="Others",PTCK_offBS[[#This Row],[PTCK]]*(PTCK_offBS[[#This Row],[MATURITY_DATE]]-PTCK_offBS[[#This Row],[POSTED_DT]]-1)/(PTCK_offBS[[#This Row],[MATURITY_DATE]]-PTCK_offBS[[#This Row],[VALUE_DATE]]),PTCK_offBS[[#This Row],[PTCK]])</f>
        <v>-25475.206656678089</v>
      </c>
      <c r="BR76" s="396">
        <f>PTCK_offBS[[#This Row],[PTCK remain]]*PTCK_offBS[[#This Row],[QUANTITY]]</f>
        <v>-25475206656.678089</v>
      </c>
    </row>
    <row r="77" spans="3:70" x14ac:dyDescent="0.3">
      <c r="C77" s="128"/>
      <c r="D77" s="128"/>
      <c r="E77" s="128"/>
      <c r="F77" s="128"/>
      <c r="G77" s="533"/>
      <c r="T77" s="362"/>
      <c r="U77" s="375">
        <v>46252</v>
      </c>
      <c r="V77" s="128" t="s">
        <v>2371</v>
      </c>
      <c r="W77" s="128" t="s">
        <v>1033</v>
      </c>
      <c r="X77" s="530">
        <v>437000000000</v>
      </c>
      <c r="Y77" s="530">
        <v>73586</v>
      </c>
      <c r="Z77" s="530">
        <v>321570820000</v>
      </c>
      <c r="AA77" s="128" t="s">
        <v>2795</v>
      </c>
      <c r="AB77" s="533">
        <f>_xlfn.IFNA(VLOOKUP(BS[[#This Row],[BOND_CODE]],FNRP!D:I,6,0),VLOOKUP(BS[[#This Row],[BOND_CODE]],FNRP!AV:BA,6,0))</f>
        <v>73584</v>
      </c>
      <c r="AC77" s="396">
        <f>BS[[#This Row],[CLEAN PRICE]]*BS[[#This Row],[BALANCE]]/100000</f>
        <v>321562080000</v>
      </c>
      <c r="AF77" s="629"/>
      <c r="AK77" s="734"/>
      <c r="AL77" s="128">
        <v>50330</v>
      </c>
      <c r="AM77" s="128" t="s">
        <v>1209</v>
      </c>
      <c r="AN77" s="736">
        <v>7.75</v>
      </c>
      <c r="AO77" s="128" t="s">
        <v>823</v>
      </c>
      <c r="AP77" s="49" t="s">
        <v>824</v>
      </c>
      <c r="AQ77" s="530">
        <v>2000000</v>
      </c>
      <c r="AR77" s="500">
        <v>23293.926843219349</v>
      </c>
      <c r="AS77" s="530">
        <v>123337</v>
      </c>
      <c r="AT77" s="530">
        <v>123464</v>
      </c>
      <c r="AU77" s="769">
        <v>4.53</v>
      </c>
      <c r="AV77" s="747">
        <v>116347000000</v>
      </c>
      <c r="AW77" s="534">
        <f>(_xlfn.XLOOKUP(RPBOD3[[#This Row],[Bonds_ShortName]],FNRP!D:D,FNRP!H:H,_xlfn.XLOOKUP(RPBOD3[[#This Row],[Bonds_ShortName]],FNRP!AV:AV,FNRP!AZ:AZ,,0),0)-RPBOD3[[#This Row],[PTCK_Remain]]-10^5)*RPBOD3[[#This Row],[Quantity]]</f>
        <v>2186146313.5613012</v>
      </c>
      <c r="AY77" s="128"/>
      <c r="AZ77" s="610">
        <v>46252</v>
      </c>
      <c r="BA77" s="850">
        <v>50009</v>
      </c>
      <c r="BB77" s="852" t="s">
        <v>2303</v>
      </c>
      <c r="BC77" s="39" t="s">
        <v>824</v>
      </c>
      <c r="BD77" s="530">
        <v>9640000</v>
      </c>
      <c r="BE77" s="530">
        <v>102150</v>
      </c>
      <c r="BF77" s="658">
        <v>46188</v>
      </c>
      <c r="BG77" s="658">
        <v>46189</v>
      </c>
      <c r="BH77" s="658">
        <v>50361</v>
      </c>
      <c r="BI77" s="500">
        <v>1012036120000</v>
      </c>
      <c r="BJ77" s="49">
        <v>4.9000000000000004</v>
      </c>
      <c r="BK77" s="49">
        <v>78.180045817000007</v>
      </c>
      <c r="BL77" s="630" t="s">
        <v>2172</v>
      </c>
      <c r="BM77" s="49" t="s">
        <v>1033</v>
      </c>
      <c r="BN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O77" s="396">
        <f>(PTCK_offBS[[#This Row],[VALUE_DATE]]-PTCK_offBS[[#This Row],[LAST_PMT]])*PTCK_offBS[[#This Row],[COUPON_RATE]]*1000/(DATE(YEAR(PTCK_offBS[[#This Row],[LAST_PMT]])+1,MONTH(PTCK_offBS[[#This Row],[LAST_PMT]]),DAY(PTCK_offBS[[#This Row],[LAST_PMT]]))-PTCK_offBS[[#This Row],[LAST_PMT]])</f>
        <v>2832.6027397260277</v>
      </c>
      <c r="BP77" s="396">
        <f>PTCK_offBS[[#This Row],[GROSS_AMOUNT]]/PTCK_offBS[[#This Row],[QUANTITY]]-PTCK_offBS[[#This Row],[START_ACC]]-10^5</f>
        <v>2150.3972602739668</v>
      </c>
      <c r="BQ77" s="396">
        <f>IF(PTCK_offBS[[#This Row],[BS]]="Others",PTCK_offBS[[#This Row],[PTCK]]*(PTCK_offBS[[#This Row],[MATURITY_DATE]]-PTCK_offBS[[#This Row],[POSTED_DT]]-1)/(PTCK_offBS[[#This Row],[MATURITY_DATE]]-PTCK_offBS[[#This Row],[VALUE_DATE]]),PTCK_offBS[[#This Row],[PTCK]])</f>
        <v>2117.4093828392752</v>
      </c>
      <c r="BR77" s="396">
        <f>PTCK_offBS[[#This Row],[PTCK remain]]*PTCK_offBS[[#This Row],[QUANTITY]]</f>
        <v>20411826450.570614</v>
      </c>
    </row>
    <row r="78" spans="3:70" x14ac:dyDescent="0.3">
      <c r="C78" s="128"/>
      <c r="D78" s="128"/>
      <c r="E78" s="128"/>
      <c r="F78" s="128"/>
      <c r="G78" s="533"/>
      <c r="T78" s="362"/>
      <c r="U78" s="375">
        <v>46252</v>
      </c>
      <c r="V78" s="128" t="s">
        <v>2502</v>
      </c>
      <c r="W78" s="128" t="s">
        <v>1033</v>
      </c>
      <c r="X78" s="530">
        <v>50000000000</v>
      </c>
      <c r="Y78" s="530">
        <v>93757</v>
      </c>
      <c r="Z78" s="530">
        <v>46878500000</v>
      </c>
      <c r="AA78" s="128" t="s">
        <v>2795</v>
      </c>
      <c r="AB78" s="533">
        <f>_xlfn.IFNA(VLOOKUP(BS[[#This Row],[BOND_CODE]],FNRP!D:I,6,0),VLOOKUP(BS[[#This Row],[BOND_CODE]],FNRP!AV:BA,6,0))</f>
        <v>93755</v>
      </c>
      <c r="AC78" s="396">
        <f>BS[[#This Row],[CLEAN PRICE]]*BS[[#This Row],[BALANCE]]/100000</f>
        <v>46877500000</v>
      </c>
      <c r="AF78" s="629"/>
      <c r="AK78" s="734"/>
      <c r="AL78" s="128">
        <v>49645</v>
      </c>
      <c r="AM78" s="128" t="s">
        <v>2834</v>
      </c>
      <c r="AN78" s="736">
        <v>2.7</v>
      </c>
      <c r="AO78" s="128" t="s">
        <v>823</v>
      </c>
      <c r="AP78" s="49" t="s">
        <v>824</v>
      </c>
      <c r="AQ78" s="530">
        <v>1000000</v>
      </c>
      <c r="AR78" s="500">
        <v>-2161.7858416842801</v>
      </c>
      <c r="AS78" s="530">
        <v>97760</v>
      </c>
      <c r="AT78" s="530">
        <v>100031</v>
      </c>
      <c r="AU78" s="769">
        <v>3.0129999999999999</v>
      </c>
      <c r="AV78" s="747">
        <v>116347000000</v>
      </c>
      <c r="AW78" s="534">
        <f>(_xlfn.XLOOKUP(RPBOD3[[#This Row],[Bonds_ShortName]],FNRP!D:D,FNRP!H:H,_xlfn.XLOOKUP(RPBOD3[[#This Row],[Bonds_ShortName]],FNRP!AV:AV,FNRP!AZ:AZ,,0),0)-RPBOD3[[#This Row],[PTCK_Remain]]-10^5)*RPBOD3[[#This Row],[Quantity]]</f>
        <v>-8650214158.3157215</v>
      </c>
      <c r="AY78" s="128"/>
      <c r="AZ78" s="610">
        <v>46252</v>
      </c>
      <c r="BA78" s="850">
        <v>50008</v>
      </c>
      <c r="BB78" s="852" t="s">
        <v>2303</v>
      </c>
      <c r="BC78" s="39" t="s">
        <v>824</v>
      </c>
      <c r="BD78" s="530">
        <v>9000000</v>
      </c>
      <c r="BE78" s="530">
        <v>102150</v>
      </c>
      <c r="BF78" s="658">
        <v>46188</v>
      </c>
      <c r="BG78" s="658">
        <v>46189</v>
      </c>
      <c r="BH78" s="658">
        <v>50361</v>
      </c>
      <c r="BI78" s="500">
        <v>944847000000</v>
      </c>
      <c r="BJ78" s="49">
        <v>4.9000000000000004</v>
      </c>
      <c r="BK78" s="49">
        <v>79.180045817000007</v>
      </c>
      <c r="BL78" s="630" t="s">
        <v>2172</v>
      </c>
      <c r="BM78" s="49" t="s">
        <v>1033</v>
      </c>
      <c r="BN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O78" s="396">
        <f>(PTCK_offBS[[#This Row],[VALUE_DATE]]-PTCK_offBS[[#This Row],[LAST_PMT]])*PTCK_offBS[[#This Row],[COUPON_RATE]]*1000/(DATE(YEAR(PTCK_offBS[[#This Row],[LAST_PMT]])+1,MONTH(PTCK_offBS[[#This Row],[LAST_PMT]]),DAY(PTCK_offBS[[#This Row],[LAST_PMT]]))-PTCK_offBS[[#This Row],[LAST_PMT]])</f>
        <v>2832.6027397260277</v>
      </c>
      <c r="BP78" s="396">
        <f>PTCK_offBS[[#This Row],[GROSS_AMOUNT]]/PTCK_offBS[[#This Row],[QUANTITY]]-PTCK_offBS[[#This Row],[START_ACC]]-10^5</f>
        <v>2150.3972602739668</v>
      </c>
      <c r="BQ78" s="396">
        <f>IF(PTCK_offBS[[#This Row],[BS]]="Others",PTCK_offBS[[#This Row],[PTCK]]*(PTCK_offBS[[#This Row],[MATURITY_DATE]]-PTCK_offBS[[#This Row],[POSTED_DT]]-1)/(PTCK_offBS[[#This Row],[MATURITY_DATE]]-PTCK_offBS[[#This Row],[VALUE_DATE]]),PTCK_offBS[[#This Row],[PTCK]])</f>
        <v>2117.4093828392752</v>
      </c>
      <c r="BR78" s="396">
        <f>PTCK_offBS[[#This Row],[PTCK remain]]*PTCK_offBS[[#This Row],[QUANTITY]]</f>
        <v>19056684445.553478</v>
      </c>
    </row>
    <row r="79" spans="3:70" x14ac:dyDescent="0.3">
      <c r="C79" s="128"/>
      <c r="D79" s="128"/>
      <c r="E79" s="128"/>
      <c r="F79" s="128"/>
      <c r="G79" s="533"/>
      <c r="T79" s="362"/>
      <c r="U79" s="375">
        <v>46252</v>
      </c>
      <c r="V79" s="128" t="s">
        <v>2502</v>
      </c>
      <c r="W79" s="128" t="s">
        <v>822</v>
      </c>
      <c r="X79" s="530">
        <v>150000000000</v>
      </c>
      <c r="Y79" s="530">
        <v>93757</v>
      </c>
      <c r="Z79" s="530">
        <v>140635500000</v>
      </c>
      <c r="AA79" s="128" t="s">
        <v>2795</v>
      </c>
      <c r="AB79" s="533">
        <f>_xlfn.IFNA(VLOOKUP(BS[[#This Row],[BOND_CODE]],FNRP!D:I,6,0),VLOOKUP(BS[[#This Row],[BOND_CODE]],FNRP!AV:BA,6,0))</f>
        <v>93755</v>
      </c>
      <c r="AC79" s="396">
        <f>BS[[#This Row],[CLEAN PRICE]]*BS[[#This Row],[BALANCE]]/100000</f>
        <v>140632500000</v>
      </c>
      <c r="AF79" s="629"/>
      <c r="AK79" s="734"/>
      <c r="AL79" s="128">
        <v>49951</v>
      </c>
      <c r="AM79" s="128" t="s">
        <v>598</v>
      </c>
      <c r="AN79" s="736">
        <v>7</v>
      </c>
      <c r="AO79" s="128" t="s">
        <v>823</v>
      </c>
      <c r="AP79" s="49" t="s">
        <v>824</v>
      </c>
      <c r="AQ79" s="530">
        <v>390000</v>
      </c>
      <c r="AR79" s="500">
        <v>8756.4201511108968</v>
      </c>
      <c r="AS79" s="530">
        <v>109280</v>
      </c>
      <c r="AT79" s="530">
        <v>113864</v>
      </c>
      <c r="AU79" s="769">
        <v>3.9725000000000001</v>
      </c>
      <c r="AV79" s="747">
        <v>116347000000</v>
      </c>
      <c r="AW79" s="534">
        <f>(_xlfn.XLOOKUP(RPBOD3[[#This Row],[Bonds_ShortName]],FNRP!D:D,FNRP!H:H,_xlfn.XLOOKUP(RPBOD3[[#This Row],[Bonds_ShortName]],FNRP!AV:AV,FNRP!AZ:AZ,,0),0)-RPBOD3[[#This Row],[PTCK_Remain]]-10^5)*RPBOD3[[#This Row],[Quantity]]</f>
        <v>294676141.06674957</v>
      </c>
      <c r="AY79" s="128"/>
      <c r="AZ79" s="610">
        <v>46252</v>
      </c>
      <c r="BA79" s="850">
        <v>50060</v>
      </c>
      <c r="BB79" s="852" t="s">
        <v>715</v>
      </c>
      <c r="BC79" s="39" t="s">
        <v>824</v>
      </c>
      <c r="BD79" s="530">
        <v>2500000</v>
      </c>
      <c r="BE79" s="530">
        <v>78369</v>
      </c>
      <c r="BF79" s="658">
        <v>46189</v>
      </c>
      <c r="BG79" s="658">
        <v>46190</v>
      </c>
      <c r="BH79" s="658">
        <v>51830</v>
      </c>
      <c r="BI79" s="500">
        <v>199695000000</v>
      </c>
      <c r="BJ79" s="49">
        <v>2.7</v>
      </c>
      <c r="BK79" s="49">
        <v>80.180045817000007</v>
      </c>
      <c r="BL79" s="630" t="s">
        <v>2172</v>
      </c>
      <c r="BM79" s="49" t="s">
        <v>1033</v>
      </c>
      <c r="BN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O79" s="396">
        <f>(PTCK_offBS[[#This Row],[VALUE_DATE]]-PTCK_offBS[[#This Row],[LAST_PMT]])*PTCK_offBS[[#This Row],[COUPON_RATE]]*1000/(DATE(YEAR(PTCK_offBS[[#This Row],[LAST_PMT]])+1,MONTH(PTCK_offBS[[#This Row],[LAST_PMT]]),DAY(PTCK_offBS[[#This Row],[LAST_PMT]]))-PTCK_offBS[[#This Row],[LAST_PMT]])</f>
        <v>1509.0410958904113</v>
      </c>
      <c r="BP79" s="396">
        <f>PTCK_offBS[[#This Row],[GROSS_AMOUNT]]/PTCK_offBS[[#This Row],[QUANTITY]]-PTCK_offBS[[#This Row],[START_ACC]]-10^5</f>
        <v>-21631.04109589041</v>
      </c>
      <c r="BQ79" s="396">
        <f>IF(PTCK_offBS[[#This Row],[BS]]="Others",PTCK_offBS[[#This Row],[PTCK]]*(PTCK_offBS[[#This Row],[MATURITY_DATE]]-PTCK_offBS[[#This Row],[POSTED_DT]]-1)/(PTCK_offBS[[#This Row],[MATURITY_DATE]]-PTCK_offBS[[#This Row],[VALUE_DATE]]),PTCK_offBS[[#This Row],[PTCK]])</f>
        <v>-21389.417764500144</v>
      </c>
      <c r="BR79" s="396">
        <f>PTCK_offBS[[#This Row],[PTCK remain]]*PTCK_offBS[[#This Row],[QUANTITY]]</f>
        <v>-53473544411.250359</v>
      </c>
    </row>
    <row r="80" spans="3:70" x14ac:dyDescent="0.3">
      <c r="C80" s="128"/>
      <c r="D80" s="128"/>
      <c r="E80" s="128"/>
      <c r="F80" s="128"/>
      <c r="G80" s="533"/>
      <c r="T80" s="362"/>
      <c r="U80" s="375">
        <v>46252</v>
      </c>
      <c r="V80" s="128" t="s">
        <v>2497</v>
      </c>
      <c r="W80" s="128" t="s">
        <v>1033</v>
      </c>
      <c r="X80" s="530">
        <v>-7392700000000</v>
      </c>
      <c r="Y80" s="530">
        <v>92331</v>
      </c>
      <c r="Z80" s="530">
        <v>-6825753837000</v>
      </c>
      <c r="AA80" s="128" t="s">
        <v>2796</v>
      </c>
      <c r="AB80" s="533">
        <f>_xlfn.IFNA(VLOOKUP(BS[[#This Row],[BOND_CODE]],FNRP!D:I,6,0),VLOOKUP(BS[[#This Row],[BOND_CODE]],FNRP!AV:BA,6,0))</f>
        <v>92330</v>
      </c>
      <c r="AC80" s="396">
        <f>BS[[#This Row],[CLEAN PRICE]]*BS[[#This Row],[BALANCE]]/100000</f>
        <v>-6825679910000</v>
      </c>
      <c r="AF80" s="629"/>
      <c r="AK80" s="734"/>
      <c r="AL80" s="128">
        <v>49947</v>
      </c>
      <c r="AM80" s="128" t="s">
        <v>2497</v>
      </c>
      <c r="AN80" s="736">
        <v>4.2</v>
      </c>
      <c r="AO80" s="128" t="s">
        <v>823</v>
      </c>
      <c r="AP80" s="49" t="s">
        <v>824</v>
      </c>
      <c r="AQ80" s="530">
        <v>1500000</v>
      </c>
      <c r="AR80" s="500">
        <v>3131.2083222468937</v>
      </c>
      <c r="AS80" s="530">
        <v>103153</v>
      </c>
      <c r="AT80" s="530">
        <v>104074</v>
      </c>
      <c r="AU80" s="769">
        <v>4.0049999999999999</v>
      </c>
      <c r="AV80" s="747">
        <v>116347000000</v>
      </c>
      <c r="AW80" s="534">
        <f>(_xlfn.XLOOKUP(RPBOD3[[#This Row],[Bonds_ShortName]],FNRP!D:D,FNRP!H:H,_xlfn.XLOOKUP(RPBOD3[[#This Row],[Bonds_ShortName]],FNRP!AV:AV,FNRP!AZ:AZ,,0),0)-RPBOD3[[#This Row],[PTCK_Remain]]-10^5)*RPBOD3[[#This Row],[Quantity]]</f>
        <v>-16201812483.37034</v>
      </c>
      <c r="AY80" s="128"/>
      <c r="AZ80" s="610">
        <v>46252</v>
      </c>
      <c r="BA80" s="850">
        <v>50059</v>
      </c>
      <c r="BB80" s="852" t="s">
        <v>715</v>
      </c>
      <c r="BC80" s="39" t="s">
        <v>824</v>
      </c>
      <c r="BD80" s="530">
        <v>2000000</v>
      </c>
      <c r="BE80" s="530">
        <v>78369</v>
      </c>
      <c r="BF80" s="658">
        <v>46189</v>
      </c>
      <c r="BG80" s="658">
        <v>46190</v>
      </c>
      <c r="BH80" s="658">
        <v>51830</v>
      </c>
      <c r="BI80" s="500">
        <v>159756000000</v>
      </c>
      <c r="BJ80" s="49">
        <v>2.7</v>
      </c>
      <c r="BK80" s="49">
        <v>81.180045817000007</v>
      </c>
      <c r="BL80" s="630" t="s">
        <v>2172</v>
      </c>
      <c r="BM80" s="49" t="s">
        <v>1033</v>
      </c>
      <c r="BN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45986</v>
      </c>
      <c r="BO80" s="396">
        <f>(PTCK_offBS[[#This Row],[VALUE_DATE]]-PTCK_offBS[[#This Row],[LAST_PMT]])*PTCK_offBS[[#This Row],[COUPON_RATE]]*1000/(DATE(YEAR(PTCK_offBS[[#This Row],[LAST_PMT]])+1,MONTH(PTCK_offBS[[#This Row],[LAST_PMT]]),DAY(PTCK_offBS[[#This Row],[LAST_PMT]]))-PTCK_offBS[[#This Row],[LAST_PMT]])</f>
        <v>1509.0410958904113</v>
      </c>
      <c r="BP80" s="396">
        <f>PTCK_offBS[[#This Row],[GROSS_AMOUNT]]/PTCK_offBS[[#This Row],[QUANTITY]]-PTCK_offBS[[#This Row],[START_ACC]]-10^5</f>
        <v>-21631.04109589041</v>
      </c>
      <c r="BQ80" s="396">
        <f>IF(PTCK_offBS[[#This Row],[BS]]="Others",PTCK_offBS[[#This Row],[PTCK]]*(PTCK_offBS[[#This Row],[MATURITY_DATE]]-PTCK_offBS[[#This Row],[POSTED_DT]]-1)/(PTCK_offBS[[#This Row],[MATURITY_DATE]]-PTCK_offBS[[#This Row],[VALUE_DATE]]),PTCK_offBS[[#This Row],[PTCK]])</f>
        <v>-21389.417764500144</v>
      </c>
      <c r="BR80" s="396">
        <f>PTCK_offBS[[#This Row],[PTCK remain]]*PTCK_offBS[[#This Row],[QUANTITY]]</f>
        <v>-42778835529.00029</v>
      </c>
    </row>
    <row r="81" spans="3:70" x14ac:dyDescent="0.3">
      <c r="C81" s="128"/>
      <c r="D81" s="128"/>
      <c r="E81" s="128"/>
      <c r="F81" s="128"/>
      <c r="G81" s="533"/>
      <c r="T81" s="362"/>
      <c r="U81" s="375">
        <v>46252</v>
      </c>
      <c r="V81" s="128" t="s">
        <v>684</v>
      </c>
      <c r="W81" s="128" t="s">
        <v>1033</v>
      </c>
      <c r="X81" s="530">
        <v>-300000000000</v>
      </c>
      <c r="Y81" s="530">
        <v>124355</v>
      </c>
      <c r="Z81" s="530">
        <v>-373065000000</v>
      </c>
      <c r="AA81" s="128" t="s">
        <v>2796</v>
      </c>
      <c r="AB81" s="533">
        <f>_xlfn.IFNA(VLOOKUP(BS[[#This Row],[BOND_CODE]],FNRP!D:I,6,0),VLOOKUP(BS[[#This Row],[BOND_CODE]],FNRP!AV:BA,6,0))</f>
        <v>124359</v>
      </c>
      <c r="AC81" s="396">
        <f>BS[[#This Row],[CLEAN PRICE]]*BS[[#This Row],[BALANCE]]/100000</f>
        <v>-373077000000</v>
      </c>
      <c r="AF81" s="629"/>
      <c r="AK81" s="734"/>
      <c r="AL81" s="128">
        <v>50207</v>
      </c>
      <c r="AM81" s="128" t="s">
        <v>2497</v>
      </c>
      <c r="AN81" s="736">
        <v>4.2</v>
      </c>
      <c r="AO81" s="128" t="s">
        <v>823</v>
      </c>
      <c r="AP81" s="49" t="s">
        <v>824</v>
      </c>
      <c r="AQ81" s="530">
        <v>320000</v>
      </c>
      <c r="AR81" s="500">
        <v>3174.340416584625</v>
      </c>
      <c r="AS81" s="530">
        <v>103183</v>
      </c>
      <c r="AT81" s="530">
        <v>104587</v>
      </c>
      <c r="AU81" s="769">
        <v>4.0025000000000004</v>
      </c>
      <c r="AV81" s="747">
        <v>116347000000</v>
      </c>
      <c r="AW81" s="534">
        <f>(_xlfn.XLOOKUP(RPBOD3[[#This Row],[Bonds_ShortName]],FNRP!D:D,FNRP!H:H,_xlfn.XLOOKUP(RPBOD3[[#This Row],[Bonds_ShortName]],FNRP!AV:AV,FNRP!AZ:AZ,,0),0)-RPBOD3[[#This Row],[PTCK_Remain]]-10^5)*RPBOD3[[#This Row],[Quantity]]</f>
        <v>-3470188933.3070812</v>
      </c>
      <c r="AY81" s="128"/>
      <c r="AZ81" s="610">
        <v>46252</v>
      </c>
      <c r="BA81" s="850">
        <v>50051</v>
      </c>
      <c r="BB81" s="852" t="s">
        <v>1209</v>
      </c>
      <c r="BC81" s="39" t="s">
        <v>824</v>
      </c>
      <c r="BD81" s="530">
        <v>8480000</v>
      </c>
      <c r="BE81" s="530">
        <v>124325</v>
      </c>
      <c r="BF81" s="658">
        <v>46189</v>
      </c>
      <c r="BG81" s="658">
        <v>46190</v>
      </c>
      <c r="BH81" s="658">
        <v>49528</v>
      </c>
      <c r="BI81" s="500">
        <v>1110812160000</v>
      </c>
      <c r="BJ81" s="49">
        <v>7.75</v>
      </c>
      <c r="BK81" s="49">
        <v>82.180045817000007</v>
      </c>
      <c r="BL81" s="630" t="s">
        <v>2172</v>
      </c>
      <c r="BM81" s="49" t="s">
        <v>1033</v>
      </c>
      <c r="BN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O81" s="396">
        <f>(PTCK_offBS[[#This Row],[VALUE_DATE]]-PTCK_offBS[[#This Row],[LAST_PMT]])*PTCK_offBS[[#This Row],[COUPON_RATE]]*1000/(DATE(YEAR(PTCK_offBS[[#This Row],[LAST_PMT]])+1,MONTH(PTCK_offBS[[#This Row],[LAST_PMT]]),DAY(PTCK_offBS[[#This Row],[LAST_PMT]]))-PTCK_offBS[[#This Row],[LAST_PMT]])</f>
        <v>6667.1232876712329</v>
      </c>
      <c r="BP81" s="396">
        <f>PTCK_offBS[[#This Row],[GROSS_AMOUNT]]/PTCK_offBS[[#This Row],[QUANTITY]]-PTCK_offBS[[#This Row],[START_ACC]]-10^5</f>
        <v>24324.876712328769</v>
      </c>
      <c r="BQ81" s="396">
        <f>IF(PTCK_offBS[[#This Row],[BS]]="Others",PTCK_offBS[[#This Row],[PTCK]]*(PTCK_offBS[[#This Row],[MATURITY_DATE]]-PTCK_offBS[[#This Row],[POSTED_DT]]-1)/(PTCK_offBS[[#This Row],[MATURITY_DATE]]-PTCK_offBS[[#This Row],[VALUE_DATE]]),PTCK_offBS[[#This Row],[PTCK]])</f>
        <v>23865.779278872593</v>
      </c>
      <c r="BR81" s="396">
        <f>PTCK_offBS[[#This Row],[PTCK remain]]*PTCK_offBS[[#This Row],[QUANTITY]]</f>
        <v>202381808284.8396</v>
      </c>
    </row>
    <row r="82" spans="3:70" x14ac:dyDescent="0.3">
      <c r="C82" s="128"/>
      <c r="D82" s="128"/>
      <c r="E82" s="128"/>
      <c r="F82" s="128"/>
      <c r="G82" s="533"/>
      <c r="T82" s="362"/>
      <c r="U82" s="375">
        <v>46252</v>
      </c>
      <c r="V82" s="128" t="s">
        <v>713</v>
      </c>
      <c r="W82" s="128" t="s">
        <v>822</v>
      </c>
      <c r="X82" s="530">
        <v>1000000000000</v>
      </c>
      <c r="Y82" s="530">
        <v>87242</v>
      </c>
      <c r="Z82" s="530">
        <v>872420000000</v>
      </c>
      <c r="AA82" s="128" t="s">
        <v>2795</v>
      </c>
      <c r="AB82" s="533">
        <f>_xlfn.IFNA(VLOOKUP(BS[[#This Row],[BOND_CODE]],FNRP!D:I,6,0),VLOOKUP(BS[[#This Row],[BOND_CODE]],FNRP!AV:BA,6,0))</f>
        <v>87240</v>
      </c>
      <c r="AC82" s="396">
        <f>BS[[#This Row],[CLEAN PRICE]]*BS[[#This Row],[BALANCE]]/100000</f>
        <v>872400000000</v>
      </c>
      <c r="AF82" s="629"/>
      <c r="AK82" s="734"/>
      <c r="AL82" s="128">
        <v>45116</v>
      </c>
      <c r="AM82" s="128" t="s">
        <v>568</v>
      </c>
      <c r="AN82" s="736">
        <v>6.6</v>
      </c>
      <c r="AO82" s="128" t="s">
        <v>821</v>
      </c>
      <c r="AP82" s="49" t="s">
        <v>824</v>
      </c>
      <c r="AQ82" s="530">
        <v>520000</v>
      </c>
      <c r="AR82" s="500">
        <v>1685.2504494976192</v>
      </c>
      <c r="AS82" s="530">
        <v>107296</v>
      </c>
      <c r="AT82" s="530">
        <v>113085</v>
      </c>
      <c r="AU82" s="769">
        <v>2.9961658070000001</v>
      </c>
      <c r="AV82" s="747">
        <v>116347000000</v>
      </c>
      <c r="AW82" s="534">
        <f>(_xlfn.XLOOKUP(RPBOD3[[#This Row],[Bonds_ShortName]],FNRP!D:D,FNRP!H:H,_xlfn.XLOOKUP(RPBOD3[[#This Row],[Bonds_ShortName]],FNRP!AV:AV,FNRP!AZ:AZ,,0),0)-RPBOD3[[#This Row],[PTCK_Remain]]-10^5)*RPBOD3[[#This Row],[Quantity]]</f>
        <v>-322530233.73876059</v>
      </c>
      <c r="AY82" s="128"/>
      <c r="AZ82" s="610">
        <v>46252</v>
      </c>
      <c r="BA82" s="850">
        <v>50054</v>
      </c>
      <c r="BB82" s="852" t="s">
        <v>731</v>
      </c>
      <c r="BC82" s="39" t="s">
        <v>824</v>
      </c>
      <c r="BD82" s="530">
        <v>2500000</v>
      </c>
      <c r="BE82" s="530">
        <v>77304</v>
      </c>
      <c r="BF82" s="658">
        <v>46189</v>
      </c>
      <c r="BG82" s="658">
        <v>46190</v>
      </c>
      <c r="BH82" s="658">
        <v>55076</v>
      </c>
      <c r="BI82" s="500">
        <v>198630000000</v>
      </c>
      <c r="BJ82" s="49">
        <v>3.2</v>
      </c>
      <c r="BK82" s="49">
        <v>83.180045817000007</v>
      </c>
      <c r="BL82" s="630" t="s">
        <v>2172</v>
      </c>
      <c r="BM82" s="49" t="s">
        <v>1033</v>
      </c>
      <c r="BN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82" s="396">
        <f>(PTCK_offBS[[#This Row],[VALUE_DATE]]-PTCK_offBS[[#This Row],[LAST_PMT]])*PTCK_offBS[[#This Row],[COUPON_RATE]]*1000/(DATE(YEAR(PTCK_offBS[[#This Row],[LAST_PMT]])+1,MONTH(PTCK_offBS[[#This Row],[LAST_PMT]]),DAY(PTCK_offBS[[#This Row],[LAST_PMT]]))-PTCK_offBS[[#This Row],[LAST_PMT]])</f>
        <v>2147.9452054794519</v>
      </c>
      <c r="BP82" s="396">
        <f>PTCK_offBS[[#This Row],[GROSS_AMOUNT]]/PTCK_offBS[[#This Row],[QUANTITY]]-PTCK_offBS[[#This Row],[START_ACC]]-10^5</f>
        <v>-22695.945205479453</v>
      </c>
      <c r="BQ82" s="396">
        <f>IF(PTCK_offBS[[#This Row],[BS]]="Others",PTCK_offBS[[#This Row],[PTCK]]*(PTCK_offBS[[#This Row],[MATURITY_DATE]]-PTCK_offBS[[#This Row],[POSTED_DT]]-1)/(PTCK_offBS[[#This Row],[MATURITY_DATE]]-PTCK_offBS[[#This Row],[VALUE_DATE]]),PTCK_offBS[[#This Row],[PTCK]])</f>
        <v>-22535.035398148233</v>
      </c>
      <c r="BR82" s="396">
        <f>PTCK_offBS[[#This Row],[PTCK remain]]*PTCK_offBS[[#This Row],[QUANTITY]]</f>
        <v>-56337588495.370583</v>
      </c>
    </row>
    <row r="83" spans="3:70" x14ac:dyDescent="0.3">
      <c r="C83" s="128"/>
      <c r="D83" s="128"/>
      <c r="E83" s="128"/>
      <c r="F83" s="128"/>
      <c r="G83" s="533"/>
      <c r="T83" s="362"/>
      <c r="U83" s="375">
        <v>46252</v>
      </c>
      <c r="V83" s="128" t="s">
        <v>2786</v>
      </c>
      <c r="W83" s="128" t="s">
        <v>822</v>
      </c>
      <c r="X83" s="530">
        <v>400000000000</v>
      </c>
      <c r="Y83" s="530">
        <v>82449</v>
      </c>
      <c r="Z83" s="530">
        <v>329796000000</v>
      </c>
      <c r="AA83" s="128" t="s">
        <v>2795</v>
      </c>
      <c r="AB83" s="533">
        <f>_xlfn.IFNA(VLOOKUP(BS[[#This Row],[BOND_CODE]],FNRP!D:I,6,0),VLOOKUP(BS[[#This Row],[BOND_CODE]],FNRP!AV:BA,6,0))</f>
        <v>82446</v>
      </c>
      <c r="AC83" s="396">
        <f>BS[[#This Row],[CLEAN PRICE]]*BS[[#This Row],[BALANCE]]/100000</f>
        <v>329784000000</v>
      </c>
      <c r="AF83" s="629"/>
      <c r="AK83" s="734"/>
      <c r="AL83" s="128">
        <v>45554</v>
      </c>
      <c r="AM83" s="128" t="s">
        <v>2788</v>
      </c>
      <c r="AN83" s="736">
        <v>3.1</v>
      </c>
      <c r="AO83" s="128" t="s">
        <v>907</v>
      </c>
      <c r="AP83" s="49" t="s">
        <v>2180</v>
      </c>
      <c r="AQ83" s="530">
        <v>2000000</v>
      </c>
      <c r="AR83" s="500">
        <v>-499.93089408752945</v>
      </c>
      <c r="AS83" s="530">
        <v>99440</v>
      </c>
      <c r="AT83" s="530">
        <v>100145</v>
      </c>
      <c r="AU83" s="769">
        <v>3.14997412</v>
      </c>
      <c r="AV83" s="747">
        <v>116347000000</v>
      </c>
      <c r="AW83" s="534">
        <f>(_xlfn.XLOOKUP(RPBOD3[[#This Row],[Bonds_ShortName]],FNRP!D:D,FNRP!H:H,_xlfn.XLOOKUP(RPBOD3[[#This Row],[Bonds_ShortName]],FNRP!AV:AV,FNRP!AZ:AZ,,0),0)-RPBOD3[[#This Row],[PTCK_Remain]]-10^5)*RPBOD3[[#This Row],[Quantity]]</f>
        <v>-33448138211.824932</v>
      </c>
      <c r="AY83" s="128"/>
      <c r="AZ83" s="610">
        <v>46252</v>
      </c>
      <c r="BA83" s="850">
        <v>50053</v>
      </c>
      <c r="BB83" s="852" t="s">
        <v>731</v>
      </c>
      <c r="BC83" s="39" t="s">
        <v>824</v>
      </c>
      <c r="BD83" s="530">
        <v>5200000</v>
      </c>
      <c r="BE83" s="530">
        <v>77304</v>
      </c>
      <c r="BF83" s="658">
        <v>46189</v>
      </c>
      <c r="BG83" s="658">
        <v>46190</v>
      </c>
      <c r="BH83" s="658">
        <v>55076</v>
      </c>
      <c r="BI83" s="500">
        <v>413150400000</v>
      </c>
      <c r="BJ83" s="49">
        <v>3.2</v>
      </c>
      <c r="BK83" s="49">
        <v>84.180045817000007</v>
      </c>
      <c r="BL83" s="630" t="s">
        <v>2172</v>
      </c>
      <c r="BM83" s="49" t="s">
        <v>1033</v>
      </c>
      <c r="BN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83" s="396">
        <f>(PTCK_offBS[[#This Row],[VALUE_DATE]]-PTCK_offBS[[#This Row],[LAST_PMT]])*PTCK_offBS[[#This Row],[COUPON_RATE]]*1000/(DATE(YEAR(PTCK_offBS[[#This Row],[LAST_PMT]])+1,MONTH(PTCK_offBS[[#This Row],[LAST_PMT]]),DAY(PTCK_offBS[[#This Row],[LAST_PMT]]))-PTCK_offBS[[#This Row],[LAST_PMT]])</f>
        <v>2147.9452054794519</v>
      </c>
      <c r="BP83" s="396">
        <f>PTCK_offBS[[#This Row],[GROSS_AMOUNT]]/PTCK_offBS[[#This Row],[QUANTITY]]-PTCK_offBS[[#This Row],[START_ACC]]-10^5</f>
        <v>-22695.945205479453</v>
      </c>
      <c r="BQ83" s="396">
        <f>IF(PTCK_offBS[[#This Row],[BS]]="Others",PTCK_offBS[[#This Row],[PTCK]]*(PTCK_offBS[[#This Row],[MATURITY_DATE]]-PTCK_offBS[[#This Row],[POSTED_DT]]-1)/(PTCK_offBS[[#This Row],[MATURITY_DATE]]-PTCK_offBS[[#This Row],[VALUE_DATE]]),PTCK_offBS[[#This Row],[PTCK]])</f>
        <v>-22535.035398148233</v>
      </c>
      <c r="BR83" s="396">
        <f>PTCK_offBS[[#This Row],[PTCK remain]]*PTCK_offBS[[#This Row],[QUANTITY]]</f>
        <v>-117182184070.37082</v>
      </c>
    </row>
    <row r="84" spans="3:70" x14ac:dyDescent="0.3">
      <c r="C84" s="128"/>
      <c r="D84" s="128"/>
      <c r="E84" s="128"/>
      <c r="F84" s="128"/>
      <c r="G84" s="533"/>
      <c r="T84" s="362"/>
      <c r="U84" s="375">
        <v>46252</v>
      </c>
      <c r="V84" s="128" t="s">
        <v>731</v>
      </c>
      <c r="W84" s="128" t="s">
        <v>1033</v>
      </c>
      <c r="X84" s="530">
        <v>-770000000000</v>
      </c>
      <c r="Y84" s="530">
        <v>78674</v>
      </c>
      <c r="Z84" s="530">
        <v>-605789800000</v>
      </c>
      <c r="AA84" s="128" t="s">
        <v>2796</v>
      </c>
      <c r="AB84" s="533">
        <f>_xlfn.IFNA(VLOOKUP(BS[[#This Row],[BOND_CODE]],FNRP!D:I,6,0),VLOOKUP(BS[[#This Row],[BOND_CODE]],FNRP!AV:BA,6,0))</f>
        <v>78672</v>
      </c>
      <c r="AC84" s="396">
        <f>BS[[#This Row],[CLEAN PRICE]]*BS[[#This Row],[BALANCE]]/100000</f>
        <v>-605774400000</v>
      </c>
      <c r="AF84" s="629"/>
      <c r="AK84" s="734"/>
      <c r="AL84" s="128">
        <v>44999</v>
      </c>
      <c r="AM84" s="128" t="s">
        <v>2779</v>
      </c>
      <c r="AN84" s="736">
        <v>3.1</v>
      </c>
      <c r="AO84" s="128" t="s">
        <v>907</v>
      </c>
      <c r="AP84" s="49" t="s">
        <v>824</v>
      </c>
      <c r="AQ84" s="530">
        <v>500000</v>
      </c>
      <c r="AR84" s="500">
        <v>1258.1422507903039</v>
      </c>
      <c r="AS84" s="530">
        <v>101545</v>
      </c>
      <c r="AT84" s="530">
        <v>101859</v>
      </c>
      <c r="AU84" s="769">
        <v>2.9000332919999998</v>
      </c>
      <c r="AV84" s="747">
        <v>116347000000</v>
      </c>
      <c r="AW84" s="534">
        <f>(_xlfn.XLOOKUP(RPBOD3[[#This Row],[Bonds_ShortName]],FNRP!D:D,FNRP!H:H,_xlfn.XLOOKUP(RPBOD3[[#This Row],[Bonds_ShortName]],FNRP!AV:AV,FNRP!AZ:AZ,,0),0)-RPBOD3[[#This Row],[PTCK_Remain]]-10^5)*RPBOD3[[#This Row],[Quantity]]</f>
        <v>-5796071125.3951521</v>
      </c>
      <c r="AY84" s="128"/>
      <c r="AZ84" s="610">
        <v>46252</v>
      </c>
      <c r="BA84" s="850">
        <v>50058</v>
      </c>
      <c r="BB84" s="852" t="s">
        <v>2303</v>
      </c>
      <c r="BC84" s="39" t="s">
        <v>824</v>
      </c>
      <c r="BD84" s="530">
        <v>1670000</v>
      </c>
      <c r="BE84" s="530">
        <v>102150</v>
      </c>
      <c r="BF84" s="658">
        <v>46189</v>
      </c>
      <c r="BG84" s="658">
        <v>46190</v>
      </c>
      <c r="BH84" s="658">
        <v>50361</v>
      </c>
      <c r="BI84" s="500">
        <v>175343320000</v>
      </c>
      <c r="BJ84" s="49">
        <v>4.9000000000000004</v>
      </c>
      <c r="BK84" s="49">
        <v>85.180045817000007</v>
      </c>
      <c r="BL84" s="630" t="s">
        <v>2172</v>
      </c>
      <c r="BM84" s="49" t="s">
        <v>1033</v>
      </c>
      <c r="BN8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O84" s="396">
        <f>(PTCK_offBS[[#This Row],[VALUE_DATE]]-PTCK_offBS[[#This Row],[LAST_PMT]])*PTCK_offBS[[#This Row],[COUPON_RATE]]*1000/(DATE(YEAR(PTCK_offBS[[#This Row],[LAST_PMT]])+1,MONTH(PTCK_offBS[[#This Row],[LAST_PMT]]),DAY(PTCK_offBS[[#This Row],[LAST_PMT]]))-PTCK_offBS[[#This Row],[LAST_PMT]])</f>
        <v>2846.0273972602745</v>
      </c>
      <c r="BP84" s="396">
        <f>PTCK_offBS[[#This Row],[GROSS_AMOUNT]]/PTCK_offBS[[#This Row],[QUANTITY]]-PTCK_offBS[[#This Row],[START_ACC]]-10^5</f>
        <v>2149.9726027397264</v>
      </c>
      <c r="BQ84" s="396">
        <f>IF(PTCK_offBS[[#This Row],[BS]]="Others",PTCK_offBS[[#This Row],[PTCK]]*(PTCK_offBS[[#This Row],[MATURITY_DATE]]-PTCK_offBS[[#This Row],[POSTED_DT]]-1)/(PTCK_offBS[[#This Row],[MATURITY_DATE]]-PTCK_offBS[[#This Row],[VALUE_DATE]]),PTCK_offBS[[#This Row],[PTCK]])</f>
        <v>2117.4987897518095</v>
      </c>
      <c r="BR84" s="396">
        <f>PTCK_offBS[[#This Row],[PTCK remain]]*PTCK_offBS[[#This Row],[QUANTITY]]</f>
        <v>3536222978.8855219</v>
      </c>
    </row>
    <row r="85" spans="3:70" x14ac:dyDescent="0.3">
      <c r="C85" s="128"/>
      <c r="D85" s="128"/>
      <c r="E85" s="128"/>
      <c r="F85" s="128"/>
      <c r="G85" s="533"/>
      <c r="T85" s="362"/>
      <c r="U85" s="375">
        <v>46252</v>
      </c>
      <c r="V85" s="128" t="s">
        <v>640</v>
      </c>
      <c r="W85" s="128" t="s">
        <v>822</v>
      </c>
      <c r="X85" s="530">
        <v>10000000000</v>
      </c>
      <c r="Y85" s="530">
        <v>91376</v>
      </c>
      <c r="Z85" s="530">
        <v>9137600000</v>
      </c>
      <c r="AA85" s="128" t="s">
        <v>2795</v>
      </c>
      <c r="AB85" s="533">
        <f>_xlfn.IFNA(VLOOKUP(BS[[#This Row],[BOND_CODE]],FNRP!D:I,6,0),VLOOKUP(BS[[#This Row],[BOND_CODE]],FNRP!AV:BA,6,0))</f>
        <v>91370</v>
      </c>
      <c r="AC85" s="396">
        <f>BS[[#This Row],[CLEAN PRICE]]*BS[[#This Row],[BALANCE]]/100000</f>
        <v>9137000000</v>
      </c>
      <c r="AF85" s="629"/>
      <c r="AK85" s="734"/>
      <c r="AL85" s="128">
        <v>45000</v>
      </c>
      <c r="AM85" s="128" t="s">
        <v>2779</v>
      </c>
      <c r="AN85" s="736">
        <v>3.1</v>
      </c>
      <c r="AO85" s="128" t="s">
        <v>907</v>
      </c>
      <c r="AP85" s="49" t="s">
        <v>824</v>
      </c>
      <c r="AQ85" s="530">
        <v>3000000</v>
      </c>
      <c r="AR85" s="500">
        <v>1258.1422507903035</v>
      </c>
      <c r="AS85" s="530">
        <v>101545</v>
      </c>
      <c r="AT85" s="530">
        <v>101859</v>
      </c>
      <c r="AU85" s="769">
        <v>2.9000332919999998</v>
      </c>
      <c r="AV85" s="747">
        <v>116347000000</v>
      </c>
      <c r="AW85" s="534">
        <f>(_xlfn.XLOOKUP(RPBOD3[[#This Row],[Bonds_ShortName]],FNRP!D:D,FNRP!H:H,_xlfn.XLOOKUP(RPBOD3[[#This Row],[Bonds_ShortName]],FNRP!AV:AV,FNRP!AZ:AZ,,0),0)-RPBOD3[[#This Row],[PTCK_Remain]]-10^5)*RPBOD3[[#This Row],[Quantity]]</f>
        <v>-34776426752.370911</v>
      </c>
      <c r="AY85" s="128"/>
      <c r="AZ85" s="610">
        <v>46252</v>
      </c>
      <c r="BA85" s="850">
        <v>50057</v>
      </c>
      <c r="BB85" s="852" t="s">
        <v>2303</v>
      </c>
      <c r="BC85" s="39" t="s">
        <v>824</v>
      </c>
      <c r="BD85" s="530">
        <v>7210000</v>
      </c>
      <c r="BE85" s="530">
        <v>102150</v>
      </c>
      <c r="BF85" s="658">
        <v>46189</v>
      </c>
      <c r="BG85" s="658">
        <v>46190</v>
      </c>
      <c r="BH85" s="658">
        <v>50361</v>
      </c>
      <c r="BI85" s="500">
        <v>757021160000</v>
      </c>
      <c r="BJ85" s="49">
        <v>4.9000000000000004</v>
      </c>
      <c r="BK85" s="49">
        <v>86.180045817000007</v>
      </c>
      <c r="BL85" s="630" t="s">
        <v>2172</v>
      </c>
      <c r="BM85" s="49" t="s">
        <v>1033</v>
      </c>
      <c r="BN8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45978</v>
      </c>
      <c r="BO85" s="396">
        <f>(PTCK_offBS[[#This Row],[VALUE_DATE]]-PTCK_offBS[[#This Row],[LAST_PMT]])*PTCK_offBS[[#This Row],[COUPON_RATE]]*1000/(DATE(YEAR(PTCK_offBS[[#This Row],[LAST_PMT]])+1,MONTH(PTCK_offBS[[#This Row],[LAST_PMT]]),DAY(PTCK_offBS[[#This Row],[LAST_PMT]]))-PTCK_offBS[[#This Row],[LAST_PMT]])</f>
        <v>2846.0273972602745</v>
      </c>
      <c r="BP85" s="396">
        <f>PTCK_offBS[[#This Row],[GROSS_AMOUNT]]/PTCK_offBS[[#This Row],[QUANTITY]]-PTCK_offBS[[#This Row],[START_ACC]]-10^5</f>
        <v>2149.9726027397264</v>
      </c>
      <c r="BQ85" s="396">
        <f>IF(PTCK_offBS[[#This Row],[BS]]="Others",PTCK_offBS[[#This Row],[PTCK]]*(PTCK_offBS[[#This Row],[MATURITY_DATE]]-PTCK_offBS[[#This Row],[POSTED_DT]]-1)/(PTCK_offBS[[#This Row],[MATURITY_DATE]]-PTCK_offBS[[#This Row],[VALUE_DATE]]),PTCK_offBS[[#This Row],[PTCK]])</f>
        <v>2117.4987897518095</v>
      </c>
      <c r="BR85" s="396">
        <f>PTCK_offBS[[#This Row],[PTCK remain]]*PTCK_offBS[[#This Row],[QUANTITY]]</f>
        <v>15267166274.110546</v>
      </c>
    </row>
    <row r="86" spans="3:70" x14ac:dyDescent="0.3">
      <c r="C86" s="128"/>
      <c r="D86" s="128"/>
      <c r="E86" s="128"/>
      <c r="F86" s="128"/>
      <c r="G86" s="533"/>
      <c r="T86" s="362"/>
      <c r="U86" s="375">
        <v>46252</v>
      </c>
      <c r="V86" s="128" t="s">
        <v>632</v>
      </c>
      <c r="W86" s="128" t="s">
        <v>822</v>
      </c>
      <c r="X86" s="530">
        <v>100000000000</v>
      </c>
      <c r="Y86" s="530">
        <v>92968</v>
      </c>
      <c r="Z86" s="530">
        <v>92968000000</v>
      </c>
      <c r="AA86" s="128" t="s">
        <v>2795</v>
      </c>
      <c r="AB86" s="533">
        <f>_xlfn.IFNA(VLOOKUP(BS[[#This Row],[BOND_CODE]],FNRP!D:I,6,0),VLOOKUP(BS[[#This Row],[BOND_CODE]],FNRP!AV:BA,6,0))</f>
        <v>92963</v>
      </c>
      <c r="AC86" s="396">
        <f>BS[[#This Row],[CLEAN PRICE]]*BS[[#This Row],[BALANCE]]/100000</f>
        <v>92963000000</v>
      </c>
      <c r="AF86" s="629"/>
      <c r="AK86" s="734"/>
      <c r="AL86" s="128">
        <v>45553</v>
      </c>
      <c r="AM86" s="128" t="s">
        <v>2843</v>
      </c>
      <c r="AN86" s="736">
        <v>3.6</v>
      </c>
      <c r="AO86" s="128" t="s">
        <v>907</v>
      </c>
      <c r="AP86" s="49" t="s">
        <v>2180</v>
      </c>
      <c r="AQ86" s="530">
        <v>2000000</v>
      </c>
      <c r="AR86" s="500">
        <v>4215.7366934741203</v>
      </c>
      <c r="AS86" s="530">
        <v>104714</v>
      </c>
      <c r="AT86" s="530">
        <v>105710</v>
      </c>
      <c r="AU86" s="769">
        <v>3.1691747920000002</v>
      </c>
      <c r="AV86" s="747">
        <v>116347000000</v>
      </c>
      <c r="AW86" s="534">
        <f>(_xlfn.XLOOKUP(RPBOD3[[#This Row],[Bonds_ShortName]],FNRP!D:D,FNRP!H:H,_xlfn.XLOOKUP(RPBOD3[[#This Row],[Bonds_ShortName]],FNRP!AV:AV,FNRP!AZ:AZ,,0),0)-RPBOD3[[#This Row],[PTCK_Remain]]-10^5)*RPBOD3[[#This Row],[Quantity]]</f>
        <v>-33763473386.948231</v>
      </c>
      <c r="AY86" s="128"/>
      <c r="AZ86" s="610">
        <v>46252</v>
      </c>
      <c r="BA86" s="850">
        <v>50171</v>
      </c>
      <c r="BB86" s="852" t="s">
        <v>717</v>
      </c>
      <c r="BC86" s="39" t="s">
        <v>824</v>
      </c>
      <c r="BD86" s="530">
        <v>8800000</v>
      </c>
      <c r="BE86" s="530">
        <v>140660</v>
      </c>
      <c r="BF86" s="658">
        <v>46212</v>
      </c>
      <c r="BG86" s="658">
        <v>46213</v>
      </c>
      <c r="BH86" s="658">
        <v>53326</v>
      </c>
      <c r="BI86" s="500">
        <v>1274838400000</v>
      </c>
      <c r="BJ86" s="49">
        <v>8</v>
      </c>
      <c r="BK86" s="49">
        <v>87.180045817000007</v>
      </c>
      <c r="BL86" s="630" t="s">
        <v>2172</v>
      </c>
      <c r="BM86" s="49" t="s">
        <v>1033</v>
      </c>
      <c r="BN8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86" s="396">
        <f>(PTCK_offBS[[#This Row],[VALUE_DATE]]-PTCK_offBS[[#This Row],[LAST_PMT]])*PTCK_offBS[[#This Row],[COUPON_RATE]]*1000/(DATE(YEAR(PTCK_offBS[[#This Row],[LAST_PMT]])+1,MONTH(PTCK_offBS[[#This Row],[LAST_PMT]]),DAY(PTCK_offBS[[#This Row],[LAST_PMT]]))-PTCK_offBS[[#This Row],[LAST_PMT]])</f>
        <v>4208.2191780821922</v>
      </c>
      <c r="BP86" s="396">
        <f>PTCK_offBS[[#This Row],[GROSS_AMOUNT]]/PTCK_offBS[[#This Row],[QUANTITY]]-PTCK_offBS[[#This Row],[START_ACC]]-10^5</f>
        <v>40659.780821917811</v>
      </c>
      <c r="BQ86" s="396">
        <f>IF(PTCK_offBS[[#This Row],[BS]]="Others",PTCK_offBS[[#This Row],[PTCK]]*(PTCK_offBS[[#This Row],[MATURITY_DATE]]-PTCK_offBS[[#This Row],[POSTED_DT]]-1)/(PTCK_offBS[[#This Row],[MATURITY_DATE]]-PTCK_offBS[[#This Row],[VALUE_DATE]]),PTCK_offBS[[#This Row],[PTCK]])</f>
        <v>40431.130290092042</v>
      </c>
      <c r="BR86" s="396">
        <f>PTCK_offBS[[#This Row],[PTCK remain]]*PTCK_offBS[[#This Row],[QUANTITY]]</f>
        <v>355793946552.81</v>
      </c>
    </row>
    <row r="87" spans="3:70" x14ac:dyDescent="0.3">
      <c r="C87" s="128"/>
      <c r="D87" s="128"/>
      <c r="E87" s="128"/>
      <c r="F87" s="128"/>
      <c r="G87" s="533"/>
      <c r="T87" s="362"/>
      <c r="U87" s="375">
        <v>46252</v>
      </c>
      <c r="V87" s="128" t="s">
        <v>2385</v>
      </c>
      <c r="W87" s="128" t="s">
        <v>1033</v>
      </c>
      <c r="X87" s="530">
        <v>100000000000</v>
      </c>
      <c r="Y87" s="530">
        <v>99481</v>
      </c>
      <c r="Z87" s="530">
        <v>99481000000</v>
      </c>
      <c r="AA87" s="128" t="s">
        <v>2795</v>
      </c>
      <c r="AB87" s="533">
        <f>_xlfn.IFNA(VLOOKUP(BS[[#This Row],[BOND_CODE]],FNRP!D:I,6,0),VLOOKUP(BS[[#This Row],[BOND_CODE]],FNRP!AV:BA,6,0))</f>
        <v>99480</v>
      </c>
      <c r="AC87" s="396">
        <f>BS[[#This Row],[CLEAN PRICE]]*BS[[#This Row],[BALANCE]]/100000</f>
        <v>99480000000</v>
      </c>
      <c r="AF87" s="629"/>
      <c r="AK87" s="734"/>
      <c r="AL87" s="128">
        <v>41132</v>
      </c>
      <c r="AM87" s="128" t="s">
        <v>600</v>
      </c>
      <c r="AN87" s="736">
        <v>4.5</v>
      </c>
      <c r="AO87" s="128" t="s">
        <v>821</v>
      </c>
      <c r="AP87" s="49" t="s">
        <v>2180</v>
      </c>
      <c r="AQ87" s="530">
        <v>500000</v>
      </c>
      <c r="AR87" s="500">
        <v>6263.27581168088</v>
      </c>
      <c r="AS87" s="530">
        <v>111414</v>
      </c>
      <c r="AT87" s="530">
        <v>111881</v>
      </c>
      <c r="AU87" s="769">
        <v>2.4000002789999999</v>
      </c>
      <c r="AV87" s="747">
        <v>116347000000</v>
      </c>
      <c r="AW87" s="534">
        <f>(_xlfn.XLOOKUP(RPBOD3[[#This Row],[Bonds_ShortName]],FNRP!D:D,FNRP!H:H,_xlfn.XLOOKUP(RPBOD3[[#This Row],[Bonds_ShortName]],FNRP!AV:AV,FNRP!AZ:AZ,,0),0)-RPBOD3[[#This Row],[PTCK_Remain]]-10^5)*RPBOD3[[#This Row],[Quantity]]</f>
        <v>-2793637905.8404417</v>
      </c>
      <c r="AY87" s="128"/>
      <c r="AZ87" s="610">
        <v>46252</v>
      </c>
      <c r="BA87" s="850">
        <v>50170</v>
      </c>
      <c r="BB87" s="852" t="s">
        <v>717</v>
      </c>
      <c r="BC87" s="39" t="s">
        <v>824</v>
      </c>
      <c r="BD87" s="530">
        <v>5000000</v>
      </c>
      <c r="BE87" s="530">
        <v>140660</v>
      </c>
      <c r="BF87" s="658">
        <v>46212</v>
      </c>
      <c r="BG87" s="658">
        <v>46213</v>
      </c>
      <c r="BH87" s="658">
        <v>53326</v>
      </c>
      <c r="BI87" s="500">
        <v>724340000000</v>
      </c>
      <c r="BJ87" s="49">
        <v>8</v>
      </c>
      <c r="BK87" s="49">
        <v>88.180045817000007</v>
      </c>
      <c r="BL87" s="630" t="s">
        <v>2172</v>
      </c>
      <c r="BM87" s="49" t="s">
        <v>1033</v>
      </c>
      <c r="BN8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87" s="396">
        <f>(PTCK_offBS[[#This Row],[VALUE_DATE]]-PTCK_offBS[[#This Row],[LAST_PMT]])*PTCK_offBS[[#This Row],[COUPON_RATE]]*1000/(DATE(YEAR(PTCK_offBS[[#This Row],[LAST_PMT]])+1,MONTH(PTCK_offBS[[#This Row],[LAST_PMT]]),DAY(PTCK_offBS[[#This Row],[LAST_PMT]]))-PTCK_offBS[[#This Row],[LAST_PMT]])</f>
        <v>4208.2191780821922</v>
      </c>
      <c r="BP87" s="396">
        <f>PTCK_offBS[[#This Row],[GROSS_AMOUNT]]/PTCK_offBS[[#This Row],[QUANTITY]]-PTCK_offBS[[#This Row],[START_ACC]]-10^5</f>
        <v>40659.780821917811</v>
      </c>
      <c r="BQ87" s="396">
        <f>IF(PTCK_offBS[[#This Row],[BS]]="Others",PTCK_offBS[[#This Row],[PTCK]]*(PTCK_offBS[[#This Row],[MATURITY_DATE]]-PTCK_offBS[[#This Row],[POSTED_DT]]-1)/(PTCK_offBS[[#This Row],[MATURITY_DATE]]-PTCK_offBS[[#This Row],[VALUE_DATE]]),PTCK_offBS[[#This Row],[PTCK]])</f>
        <v>40431.130290092042</v>
      </c>
      <c r="BR87" s="396">
        <f>PTCK_offBS[[#This Row],[PTCK remain]]*PTCK_offBS[[#This Row],[QUANTITY]]</f>
        <v>202155651450.46021</v>
      </c>
    </row>
    <row r="88" spans="3:70" x14ac:dyDescent="0.3">
      <c r="C88" s="128"/>
      <c r="D88" s="128"/>
      <c r="E88" s="128"/>
      <c r="F88" s="128"/>
      <c r="G88" s="533"/>
      <c r="T88" s="362"/>
      <c r="U88" s="375">
        <v>46252</v>
      </c>
      <c r="V88" s="128" t="s">
        <v>2781</v>
      </c>
      <c r="W88" s="128" t="s">
        <v>1033</v>
      </c>
      <c r="X88" s="530">
        <v>500000000000</v>
      </c>
      <c r="Y88" s="530">
        <v>89054</v>
      </c>
      <c r="Z88" s="530">
        <v>445270000000</v>
      </c>
      <c r="AA88" s="128" t="s">
        <v>2795</v>
      </c>
      <c r="AB88" s="533">
        <f>_xlfn.IFNA(VLOOKUP(BS[[#This Row],[BOND_CODE]],FNRP!D:I,6,0),VLOOKUP(BS[[#This Row],[BOND_CODE]],FNRP!AV:BA,6,0))</f>
        <v>89050</v>
      </c>
      <c r="AC88" s="396">
        <f>BS[[#This Row],[CLEAN PRICE]]*BS[[#This Row],[BALANCE]]/100000</f>
        <v>445250000000</v>
      </c>
      <c r="AF88" s="629"/>
      <c r="AK88" s="734"/>
      <c r="AL88" s="128">
        <v>41130</v>
      </c>
      <c r="AM88" s="128" t="s">
        <v>563</v>
      </c>
      <c r="AN88" s="736">
        <v>3.9</v>
      </c>
      <c r="AO88" s="128" t="s">
        <v>821</v>
      </c>
      <c r="AP88" s="49" t="s">
        <v>2180</v>
      </c>
      <c r="AQ88" s="530">
        <v>3000000</v>
      </c>
      <c r="AR88" s="500">
        <v>414.49812976217669</v>
      </c>
      <c r="AS88" s="530">
        <v>104747</v>
      </c>
      <c r="AT88" s="530">
        <v>105077</v>
      </c>
      <c r="AU88" s="769">
        <v>2.2000217740000001</v>
      </c>
      <c r="AV88" s="747">
        <v>116347000000</v>
      </c>
      <c r="AW88" s="534">
        <f>(_xlfn.XLOOKUP(RPBOD3[[#This Row],[Bonds_ShortName]],FNRP!D:D,FNRP!H:H,_xlfn.XLOOKUP(RPBOD3[[#This Row],[Bonds_ShortName]],FNRP!AV:AV,FNRP!AZ:AZ,,0),0)-RPBOD3[[#This Row],[PTCK_Remain]]-10^5)*RPBOD3[[#This Row],[Quantity]]</f>
        <v>-1663494389.2865121</v>
      </c>
      <c r="AY88" s="128"/>
      <c r="AZ88" s="610">
        <v>46252</v>
      </c>
      <c r="BA88" s="850">
        <v>50200</v>
      </c>
      <c r="BB88" s="852" t="s">
        <v>717</v>
      </c>
      <c r="BC88" s="39" t="s">
        <v>824</v>
      </c>
      <c r="BD88" s="530">
        <v>8000000</v>
      </c>
      <c r="BE88" s="530">
        <v>139825</v>
      </c>
      <c r="BF88" s="658">
        <v>46224</v>
      </c>
      <c r="BG88" s="658">
        <v>46225</v>
      </c>
      <c r="BH88" s="658">
        <v>53326</v>
      </c>
      <c r="BI88" s="500">
        <v>1154368000000</v>
      </c>
      <c r="BJ88" s="49">
        <v>8</v>
      </c>
      <c r="BK88" s="49">
        <v>89.180045817000007</v>
      </c>
      <c r="BL88" s="630" t="s">
        <v>2172</v>
      </c>
      <c r="BM88" s="49" t="s">
        <v>1033</v>
      </c>
      <c r="BN8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88" s="396">
        <f>(PTCK_offBS[[#This Row],[VALUE_DATE]]-PTCK_offBS[[#This Row],[LAST_PMT]])*PTCK_offBS[[#This Row],[COUPON_RATE]]*1000/(DATE(YEAR(PTCK_offBS[[#This Row],[LAST_PMT]])+1,MONTH(PTCK_offBS[[#This Row],[LAST_PMT]]),DAY(PTCK_offBS[[#This Row],[LAST_PMT]]))-PTCK_offBS[[#This Row],[LAST_PMT]])</f>
        <v>4471.232876712329</v>
      </c>
      <c r="BP88" s="396">
        <f>PTCK_offBS[[#This Row],[GROSS_AMOUNT]]/PTCK_offBS[[#This Row],[QUANTITY]]-PTCK_offBS[[#This Row],[START_ACC]]-10^5</f>
        <v>39824.76712328766</v>
      </c>
      <c r="BQ88" s="396">
        <f>IF(PTCK_offBS[[#This Row],[BS]]="Others",PTCK_offBS[[#This Row],[PTCK]]*(PTCK_offBS[[#This Row],[MATURITY_DATE]]-PTCK_offBS[[#This Row],[POSTED_DT]]-1)/(PTCK_offBS[[#This Row],[MATURITY_DATE]]-PTCK_offBS[[#This Row],[VALUE_DATE]]),PTCK_offBS[[#This Row],[PTCK]])</f>
        <v>39667.733821013047</v>
      </c>
      <c r="BR88" s="396">
        <f>PTCK_offBS[[#This Row],[PTCK remain]]*PTCK_offBS[[#This Row],[QUANTITY]]</f>
        <v>317341870568.10437</v>
      </c>
    </row>
    <row r="89" spans="3:70" x14ac:dyDescent="0.3">
      <c r="C89" s="128"/>
      <c r="D89" s="128"/>
      <c r="E89" s="128"/>
      <c r="F89" s="128"/>
      <c r="G89" s="533"/>
      <c r="T89" s="362"/>
      <c r="U89" s="375">
        <v>46252</v>
      </c>
      <c r="V89" s="128" t="s">
        <v>2381</v>
      </c>
      <c r="W89" s="128" t="s">
        <v>822</v>
      </c>
      <c r="X89" s="530">
        <v>350000000000</v>
      </c>
      <c r="Y89" s="530">
        <v>101145</v>
      </c>
      <c r="Z89" s="530">
        <v>354007500000</v>
      </c>
      <c r="AA89" s="128" t="s">
        <v>2795</v>
      </c>
      <c r="AB89" s="533">
        <f>_xlfn.IFNA(VLOOKUP(BS[[#This Row],[BOND_CODE]],FNRP!D:I,6,0),VLOOKUP(BS[[#This Row],[BOND_CODE]],FNRP!AV:BA,6,0))</f>
        <v>101145</v>
      </c>
      <c r="AC89" s="396">
        <f>BS[[#This Row],[CLEAN PRICE]]*BS[[#This Row],[BALANCE]]/100000</f>
        <v>354007500000</v>
      </c>
      <c r="AF89" s="629"/>
      <c r="AK89" s="734"/>
      <c r="AL89" s="128">
        <v>47257</v>
      </c>
      <c r="AM89" s="128" t="s">
        <v>2799</v>
      </c>
      <c r="AN89" s="736">
        <v>2.1</v>
      </c>
      <c r="AO89" s="128" t="s">
        <v>823</v>
      </c>
      <c r="AP89" s="49" t="s">
        <v>825</v>
      </c>
      <c r="AQ89" s="530">
        <v>500000</v>
      </c>
      <c r="AR89" s="500">
        <v>-8493.1458921992798</v>
      </c>
      <c r="AS89" s="530">
        <v>90369</v>
      </c>
      <c r="AT89" s="530">
        <v>91652</v>
      </c>
      <c r="AU89" s="769">
        <v>3.439980555</v>
      </c>
      <c r="AV89" s="747">
        <v>116347000000</v>
      </c>
      <c r="AW89" s="534">
        <f>(_xlfn.XLOOKUP(RPBOD3[[#This Row],[Bonds_ShortName]],FNRP!D:D,FNRP!H:H,_xlfn.XLOOKUP(RPBOD3[[#This Row],[Bonds_ShortName]],FNRP!AV:AV,FNRP!AZ:AZ,,0),0)-RPBOD3[[#This Row],[PTCK_Remain]]-10^5)*RPBOD3[[#This Row],[Quantity]]</f>
        <v>-2684927053.900363</v>
      </c>
      <c r="AY89" s="128"/>
      <c r="AZ89" s="610">
        <v>46252</v>
      </c>
      <c r="BA89" s="850">
        <v>50201</v>
      </c>
      <c r="BB89" s="852" t="s">
        <v>717</v>
      </c>
      <c r="BC89" s="39" t="s">
        <v>824</v>
      </c>
      <c r="BD89" s="530">
        <v>8200000</v>
      </c>
      <c r="BE89" s="530">
        <v>139825</v>
      </c>
      <c r="BF89" s="658">
        <v>46224</v>
      </c>
      <c r="BG89" s="658">
        <v>46225</v>
      </c>
      <c r="BH89" s="658">
        <v>53326</v>
      </c>
      <c r="BI89" s="500">
        <v>1183227200000</v>
      </c>
      <c r="BJ89" s="49">
        <v>8</v>
      </c>
      <c r="BK89" s="49">
        <v>90.180045817000007</v>
      </c>
      <c r="BL89" s="630" t="s">
        <v>2172</v>
      </c>
      <c r="BM89" s="49" t="s">
        <v>1033</v>
      </c>
      <c r="BN8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89" s="396">
        <f>(PTCK_offBS[[#This Row],[VALUE_DATE]]-PTCK_offBS[[#This Row],[LAST_PMT]])*PTCK_offBS[[#This Row],[COUPON_RATE]]*1000/(DATE(YEAR(PTCK_offBS[[#This Row],[LAST_PMT]])+1,MONTH(PTCK_offBS[[#This Row],[LAST_PMT]]),DAY(PTCK_offBS[[#This Row],[LAST_PMT]]))-PTCK_offBS[[#This Row],[LAST_PMT]])</f>
        <v>4471.232876712329</v>
      </c>
      <c r="BP89" s="396">
        <f>PTCK_offBS[[#This Row],[GROSS_AMOUNT]]/PTCK_offBS[[#This Row],[QUANTITY]]-PTCK_offBS[[#This Row],[START_ACC]]-10^5</f>
        <v>39824.76712328766</v>
      </c>
      <c r="BQ89" s="396">
        <f>IF(PTCK_offBS[[#This Row],[BS]]="Others",PTCK_offBS[[#This Row],[PTCK]]*(PTCK_offBS[[#This Row],[MATURITY_DATE]]-PTCK_offBS[[#This Row],[POSTED_DT]]-1)/(PTCK_offBS[[#This Row],[MATURITY_DATE]]-PTCK_offBS[[#This Row],[VALUE_DATE]]),PTCK_offBS[[#This Row],[PTCK]])</f>
        <v>39667.733821013047</v>
      </c>
      <c r="BR89" s="396">
        <f>PTCK_offBS[[#This Row],[PTCK remain]]*PTCK_offBS[[#This Row],[QUANTITY]]</f>
        <v>325275417332.30701</v>
      </c>
    </row>
    <row r="90" spans="3:70" x14ac:dyDescent="0.3">
      <c r="C90" s="128"/>
      <c r="D90" s="128"/>
      <c r="E90" s="128"/>
      <c r="F90" s="128"/>
      <c r="G90" s="533"/>
      <c r="T90" s="362"/>
      <c r="U90" s="375">
        <v>46252</v>
      </c>
      <c r="V90" s="128" t="s">
        <v>593</v>
      </c>
      <c r="W90" s="128" t="s">
        <v>1033</v>
      </c>
      <c r="X90" s="530">
        <v>-595000000000</v>
      </c>
      <c r="Y90" s="530">
        <v>112319</v>
      </c>
      <c r="Z90" s="530">
        <v>-668298050000</v>
      </c>
      <c r="AA90" s="128" t="s">
        <v>2796</v>
      </c>
      <c r="AB90" s="533">
        <f>_xlfn.IFNA(VLOOKUP(BS[[#This Row],[BOND_CODE]],FNRP!D:I,6,0),VLOOKUP(BS[[#This Row],[BOND_CODE]],FNRP!AV:BA,6,0))</f>
        <v>112331</v>
      </c>
      <c r="AC90" s="396">
        <f>BS[[#This Row],[CLEAN PRICE]]*BS[[#This Row],[BALANCE]]/100000</f>
        <v>-668369450000</v>
      </c>
      <c r="AF90" s="629"/>
      <c r="AK90" s="734"/>
      <c r="AL90" s="128">
        <v>41195</v>
      </c>
      <c r="AM90" s="128" t="s">
        <v>2781</v>
      </c>
      <c r="AN90" s="736">
        <v>3</v>
      </c>
      <c r="AO90" s="128" t="s">
        <v>907</v>
      </c>
      <c r="AP90" s="49" t="s">
        <v>2180</v>
      </c>
      <c r="AQ90" s="530">
        <v>3000000</v>
      </c>
      <c r="AR90" s="500">
        <v>1250.1133811815234</v>
      </c>
      <c r="AS90" s="530">
        <v>101706</v>
      </c>
      <c r="AT90" s="530">
        <v>101993</v>
      </c>
      <c r="AU90" s="769">
        <v>2.7999505359999999</v>
      </c>
      <c r="AV90" s="747">
        <v>116347000000</v>
      </c>
      <c r="AW90" s="534">
        <f>(_xlfn.XLOOKUP(RPBOD3[[#This Row],[Bonds_ShortName]],FNRP!D:D,FNRP!H:H,_xlfn.XLOOKUP(RPBOD3[[#This Row],[Bonds_ShortName]],FNRP!AV:AV,FNRP!AZ:AZ,,0),0)-RPBOD3[[#This Row],[PTCK_Remain]]-10^5)*RPBOD3[[#This Row],[Quantity]]</f>
        <v>-36600340143.544571</v>
      </c>
      <c r="AY90" s="128"/>
      <c r="AZ90" s="610">
        <v>46252</v>
      </c>
      <c r="BA90" s="850">
        <v>50212</v>
      </c>
      <c r="BB90" s="852" t="s">
        <v>721</v>
      </c>
      <c r="BC90" s="39" t="s">
        <v>824</v>
      </c>
      <c r="BD90" s="530">
        <v>2000000</v>
      </c>
      <c r="BE90" s="530">
        <v>139806</v>
      </c>
      <c r="BF90" s="658">
        <v>46225</v>
      </c>
      <c r="BG90" s="658">
        <v>46226</v>
      </c>
      <c r="BH90" s="658">
        <v>53704</v>
      </c>
      <c r="BI90" s="500">
        <v>287924000000</v>
      </c>
      <c r="BJ90" s="49">
        <v>7.9</v>
      </c>
      <c r="BK90" s="49">
        <v>91.180045817000007</v>
      </c>
      <c r="BL90" s="630" t="s">
        <v>2172</v>
      </c>
      <c r="BM90" s="49" t="s">
        <v>1033</v>
      </c>
      <c r="BN9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O90" s="396">
        <f>(PTCK_offBS[[#This Row],[VALUE_DATE]]-PTCK_offBS[[#This Row],[LAST_PMT]])*PTCK_offBS[[#This Row],[COUPON_RATE]]*1000/(DATE(YEAR(PTCK_offBS[[#This Row],[LAST_PMT]])+1,MONTH(PTCK_offBS[[#This Row],[LAST_PMT]]),DAY(PTCK_offBS[[#This Row],[LAST_PMT]]))-PTCK_offBS[[#This Row],[LAST_PMT]])</f>
        <v>4155.6164383561654</v>
      </c>
      <c r="BP90" s="396">
        <f>PTCK_offBS[[#This Row],[GROSS_AMOUNT]]/PTCK_offBS[[#This Row],[QUANTITY]]-PTCK_offBS[[#This Row],[START_ACC]]-10^5</f>
        <v>39806.38356164383</v>
      </c>
      <c r="BQ90" s="396">
        <f>IF(PTCK_offBS[[#This Row],[BS]]="Others",PTCK_offBS[[#This Row],[PTCK]]*(PTCK_offBS[[#This Row],[MATURITY_DATE]]-PTCK_offBS[[#This Row],[POSTED_DT]]-1)/(PTCK_offBS[[#This Row],[MATURITY_DATE]]-PTCK_offBS[[#This Row],[VALUE_DATE]]),PTCK_offBS[[#This Row],[PTCK]])</f>
        <v>39662.658988741401</v>
      </c>
      <c r="BR90" s="396">
        <f>PTCK_offBS[[#This Row],[PTCK remain]]*PTCK_offBS[[#This Row],[QUANTITY]]</f>
        <v>79325317977.482803</v>
      </c>
    </row>
    <row r="91" spans="3:70" x14ac:dyDescent="0.3">
      <c r="C91" s="128"/>
      <c r="D91" s="128"/>
      <c r="E91" s="128"/>
      <c r="F91" s="128"/>
      <c r="G91" s="533"/>
      <c r="T91" s="362"/>
      <c r="U91" s="375">
        <v>46252</v>
      </c>
      <c r="V91" s="128" t="s">
        <v>2782</v>
      </c>
      <c r="W91" s="128" t="s">
        <v>1033</v>
      </c>
      <c r="X91" s="530">
        <v>300000000000</v>
      </c>
      <c r="Y91" s="530">
        <v>85526</v>
      </c>
      <c r="Z91" s="530">
        <v>256578000000</v>
      </c>
      <c r="AA91" s="128" t="s">
        <v>2795</v>
      </c>
      <c r="AB91" s="533">
        <f>_xlfn.IFNA(VLOOKUP(BS[[#This Row],[BOND_CODE]],FNRP!D:I,6,0),VLOOKUP(BS[[#This Row],[BOND_CODE]],FNRP!AV:BA,6,0))</f>
        <v>85523</v>
      </c>
      <c r="AC91" s="396">
        <f>BS[[#This Row],[CLEAN PRICE]]*BS[[#This Row],[BALANCE]]/100000</f>
        <v>256569000000</v>
      </c>
      <c r="AF91" s="629"/>
      <c r="AK91" s="734"/>
      <c r="AL91" s="128">
        <v>41198</v>
      </c>
      <c r="AM91" s="128" t="s">
        <v>2779</v>
      </c>
      <c r="AN91" s="736">
        <v>3.1</v>
      </c>
      <c r="AO91" s="128" t="s">
        <v>907</v>
      </c>
      <c r="AP91" s="49" t="s">
        <v>2180</v>
      </c>
      <c r="AQ91" s="530">
        <v>2000000</v>
      </c>
      <c r="AR91" s="500">
        <v>1873.3143694376149</v>
      </c>
      <c r="AS91" s="530">
        <v>102558</v>
      </c>
      <c r="AT91" s="530">
        <v>102888</v>
      </c>
      <c r="AU91" s="769">
        <v>2.7999625880000001</v>
      </c>
      <c r="AV91" s="747">
        <v>116347000000</v>
      </c>
      <c r="AW91" s="534">
        <f>(_xlfn.XLOOKUP(RPBOD3[[#This Row],[Bonds_ShortName]],FNRP!D:D,FNRP!H:H,_xlfn.XLOOKUP(RPBOD3[[#This Row],[Bonds_ShortName]],FNRP!AV:AV,FNRP!AZ:AZ,,0),0)-RPBOD3[[#This Row],[PTCK_Remain]]-10^5)*RPBOD3[[#This Row],[Quantity]]</f>
        <v>-24414628738.87524</v>
      </c>
      <c r="AY91" s="128"/>
      <c r="AZ91" s="610">
        <v>46252</v>
      </c>
      <c r="BA91" s="850">
        <v>50213</v>
      </c>
      <c r="BB91" s="852" t="s">
        <v>721</v>
      </c>
      <c r="BC91" s="39" t="s">
        <v>824</v>
      </c>
      <c r="BD91" s="530">
        <v>8620000</v>
      </c>
      <c r="BE91" s="530">
        <v>139806</v>
      </c>
      <c r="BF91" s="658">
        <v>46225</v>
      </c>
      <c r="BG91" s="658">
        <v>46226</v>
      </c>
      <c r="BH91" s="658">
        <v>53704</v>
      </c>
      <c r="BI91" s="500">
        <v>1240952440000</v>
      </c>
      <c r="BJ91" s="49">
        <v>7.9</v>
      </c>
      <c r="BK91" s="49">
        <v>92.180045817000007</v>
      </c>
      <c r="BL91" s="630" t="s">
        <v>2172</v>
      </c>
      <c r="BM91" s="49" t="s">
        <v>1033</v>
      </c>
      <c r="BN9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46034</v>
      </c>
      <c r="BO91" s="396">
        <f>(PTCK_offBS[[#This Row],[VALUE_DATE]]-PTCK_offBS[[#This Row],[LAST_PMT]])*PTCK_offBS[[#This Row],[COUPON_RATE]]*1000/(DATE(YEAR(PTCK_offBS[[#This Row],[LAST_PMT]])+1,MONTH(PTCK_offBS[[#This Row],[LAST_PMT]]),DAY(PTCK_offBS[[#This Row],[LAST_PMT]]))-PTCK_offBS[[#This Row],[LAST_PMT]])</f>
        <v>4155.6164383561654</v>
      </c>
      <c r="BP91" s="396">
        <f>PTCK_offBS[[#This Row],[GROSS_AMOUNT]]/PTCK_offBS[[#This Row],[QUANTITY]]-PTCK_offBS[[#This Row],[START_ACC]]-10^5</f>
        <v>39806.38356164383</v>
      </c>
      <c r="BQ91" s="396">
        <f>IF(PTCK_offBS[[#This Row],[BS]]="Others",PTCK_offBS[[#This Row],[PTCK]]*(PTCK_offBS[[#This Row],[MATURITY_DATE]]-PTCK_offBS[[#This Row],[POSTED_DT]]-1)/(PTCK_offBS[[#This Row],[MATURITY_DATE]]-PTCK_offBS[[#This Row],[VALUE_DATE]]),PTCK_offBS[[#This Row],[PTCK]])</f>
        <v>39662.658988741401</v>
      </c>
      <c r="BR91" s="396">
        <f>PTCK_offBS[[#This Row],[PTCK remain]]*PTCK_offBS[[#This Row],[QUANTITY]]</f>
        <v>341892120482.95087</v>
      </c>
    </row>
    <row r="92" spans="3:70" x14ac:dyDescent="0.3">
      <c r="C92" s="128"/>
      <c r="D92" s="128"/>
      <c r="E92" s="128"/>
      <c r="F92" s="128"/>
      <c r="G92" s="533"/>
      <c r="T92" s="362"/>
      <c r="U92" s="375">
        <v>46252</v>
      </c>
      <c r="V92" s="128" t="s">
        <v>2779</v>
      </c>
      <c r="W92" s="128" t="s">
        <v>1033</v>
      </c>
      <c r="X92" s="530">
        <v>350000000000</v>
      </c>
      <c r="Y92" s="530">
        <v>89670</v>
      </c>
      <c r="Z92" s="530">
        <v>313845000000</v>
      </c>
      <c r="AA92" s="128" t="s">
        <v>2795</v>
      </c>
      <c r="AB92" s="533">
        <f>_xlfn.IFNA(VLOOKUP(BS[[#This Row],[BOND_CODE]],FNRP!D:I,6,0),VLOOKUP(BS[[#This Row],[BOND_CODE]],FNRP!AV:BA,6,0))</f>
        <v>89666</v>
      </c>
      <c r="AC92" s="396">
        <f>BS[[#This Row],[CLEAN PRICE]]*BS[[#This Row],[BALANCE]]/100000</f>
        <v>313831000000</v>
      </c>
      <c r="AF92" s="629"/>
      <c r="AK92" s="734"/>
      <c r="AL92" s="128">
        <v>41089</v>
      </c>
      <c r="AM92" s="128" t="s">
        <v>600</v>
      </c>
      <c r="AN92" s="736">
        <v>4.5</v>
      </c>
      <c r="AO92" s="128" t="s">
        <v>821</v>
      </c>
      <c r="AP92" s="49" t="s">
        <v>2180</v>
      </c>
      <c r="AQ92" s="530">
        <v>1500000</v>
      </c>
      <c r="AR92" s="500">
        <v>6263.2716475561865</v>
      </c>
      <c r="AS92" s="530">
        <v>111424</v>
      </c>
      <c r="AT92" s="530">
        <v>111867</v>
      </c>
      <c r="AU92" s="769">
        <v>2.3999146229999999</v>
      </c>
      <c r="AV92" s="747">
        <v>116347000000</v>
      </c>
      <c r="AW92" s="534">
        <f>(_xlfn.XLOOKUP(RPBOD3[[#This Row],[Bonds_ShortName]],FNRP!D:D,FNRP!H:H,_xlfn.XLOOKUP(RPBOD3[[#This Row],[Bonds_ShortName]],FNRP!AV:AV,FNRP!AZ:AZ,,0),0)-RPBOD3[[#This Row],[PTCK_Remain]]-10^5)*RPBOD3[[#This Row],[Quantity]]</f>
        <v>-8380907471.3342848</v>
      </c>
      <c r="AY92" s="128"/>
      <c r="AZ92" s="610">
        <v>46252</v>
      </c>
      <c r="BA92" s="850">
        <v>50214</v>
      </c>
      <c r="BB92" s="852" t="s">
        <v>2371</v>
      </c>
      <c r="BC92" s="39" t="s">
        <v>824</v>
      </c>
      <c r="BD92" s="530">
        <v>3370000</v>
      </c>
      <c r="BE92" s="530">
        <v>71576</v>
      </c>
      <c r="BF92" s="658">
        <v>46225</v>
      </c>
      <c r="BG92" s="658">
        <v>46226</v>
      </c>
      <c r="BH92" s="658">
        <v>55531</v>
      </c>
      <c r="BI92" s="500">
        <v>246326780000</v>
      </c>
      <c r="BJ92" s="49">
        <v>2.9</v>
      </c>
      <c r="BK92" s="49">
        <v>93.180045817000007</v>
      </c>
      <c r="BL92" s="630" t="s">
        <v>2172</v>
      </c>
      <c r="BM92" s="49" t="s">
        <v>1033</v>
      </c>
      <c r="BN9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92" s="396">
        <f>(PTCK_offBS[[#This Row],[VALUE_DATE]]-PTCK_offBS[[#This Row],[LAST_PMT]])*PTCK_offBS[[#This Row],[COUPON_RATE]]*1000/(DATE(YEAR(PTCK_offBS[[#This Row],[LAST_PMT]])+1,MONTH(PTCK_offBS[[#This Row],[LAST_PMT]]),DAY(PTCK_offBS[[#This Row],[LAST_PMT]]))-PTCK_offBS[[#This Row],[LAST_PMT]])</f>
        <v>1517.5342465753424</v>
      </c>
      <c r="BP92" s="396">
        <f>PTCK_offBS[[#This Row],[GROSS_AMOUNT]]/PTCK_offBS[[#This Row],[QUANTITY]]-PTCK_offBS[[#This Row],[START_ACC]]-10^5</f>
        <v>-28423.534246575349</v>
      </c>
      <c r="BQ92" s="396">
        <f>IF(PTCK_offBS[[#This Row],[BS]]="Others",PTCK_offBS[[#This Row],[PTCK]]*(PTCK_offBS[[#This Row],[MATURITY_DATE]]-PTCK_offBS[[#This Row],[POSTED_DT]]-1)/(PTCK_offBS[[#This Row],[MATURITY_DATE]]-PTCK_offBS[[#This Row],[VALUE_DATE]]),PTCK_offBS[[#This Row],[PTCK]])</f>
        <v>-28341.058650158633</v>
      </c>
      <c r="BR92" s="396">
        <f>PTCK_offBS[[#This Row],[PTCK remain]]*PTCK_offBS[[#This Row],[QUANTITY]]</f>
        <v>-95509367651.034592</v>
      </c>
    </row>
    <row r="93" spans="3:70" x14ac:dyDescent="0.3">
      <c r="C93" s="128"/>
      <c r="D93" s="128"/>
      <c r="E93" s="128"/>
      <c r="F93" s="128"/>
      <c r="G93" s="533"/>
      <c r="T93" s="362"/>
      <c r="U93" s="375">
        <v>46252</v>
      </c>
      <c r="V93" s="128" t="s">
        <v>627</v>
      </c>
      <c r="W93" s="128" t="s">
        <v>822</v>
      </c>
      <c r="X93" s="530">
        <v>100000000000</v>
      </c>
      <c r="Y93" s="530">
        <v>95564</v>
      </c>
      <c r="Z93" s="530">
        <v>95564000000</v>
      </c>
      <c r="AA93" s="128" t="s">
        <v>2795</v>
      </c>
      <c r="AB93" s="533">
        <f>_xlfn.IFNA(VLOOKUP(BS[[#This Row],[BOND_CODE]],FNRP!D:I,6,0),VLOOKUP(BS[[#This Row],[BOND_CODE]],FNRP!AV:BA,6,0))</f>
        <v>95562</v>
      </c>
      <c r="AC93" s="396">
        <f>BS[[#This Row],[CLEAN PRICE]]*BS[[#This Row],[BALANCE]]/100000</f>
        <v>95562000000</v>
      </c>
      <c r="AF93" s="629"/>
      <c r="AK93" s="734"/>
      <c r="AL93" s="128">
        <v>41090</v>
      </c>
      <c r="AM93" s="128" t="s">
        <v>568</v>
      </c>
      <c r="AN93" s="736">
        <v>6.6</v>
      </c>
      <c r="AO93" s="128" t="s">
        <v>821</v>
      </c>
      <c r="AP93" s="49" t="s">
        <v>2180</v>
      </c>
      <c r="AQ93" s="530">
        <v>3000000</v>
      </c>
      <c r="AR93" s="500">
        <v>2059.4601931827601</v>
      </c>
      <c r="AS93" s="530">
        <v>113266</v>
      </c>
      <c r="AT93" s="530">
        <v>118835</v>
      </c>
      <c r="AU93" s="769">
        <v>2.2000854369999998</v>
      </c>
      <c r="AV93" s="747">
        <v>116347000000</v>
      </c>
      <c r="AW93" s="534">
        <f>(_xlfn.XLOOKUP(RPBOD3[[#This Row],[Bonds_ShortName]],FNRP!D:D,FNRP!H:H,_xlfn.XLOOKUP(RPBOD3[[#This Row],[Bonds_ShortName]],FNRP!AV:AV,FNRP!AZ:AZ,,0),0)-RPBOD3[[#This Row],[PTCK_Remain]]-10^5)*RPBOD3[[#This Row],[Quantity]]</f>
        <v>-2983380579.5482912</v>
      </c>
      <c r="AY93" s="128"/>
      <c r="AZ93" s="610">
        <v>46252</v>
      </c>
      <c r="BA93" s="850">
        <v>50215</v>
      </c>
      <c r="BB93" s="852" t="s">
        <v>2371</v>
      </c>
      <c r="BC93" s="39" t="s">
        <v>824</v>
      </c>
      <c r="BD93" s="530">
        <v>1000000</v>
      </c>
      <c r="BE93" s="530">
        <v>71576</v>
      </c>
      <c r="BF93" s="658">
        <v>46225</v>
      </c>
      <c r="BG93" s="658">
        <v>46226</v>
      </c>
      <c r="BH93" s="658">
        <v>55531</v>
      </c>
      <c r="BI93" s="500">
        <v>73094000000</v>
      </c>
      <c r="BJ93" s="49">
        <v>2.9</v>
      </c>
      <c r="BK93" s="49">
        <v>94.180045817000007</v>
      </c>
      <c r="BL93" s="630" t="s">
        <v>2172</v>
      </c>
      <c r="BM93" s="49" t="s">
        <v>1033</v>
      </c>
      <c r="BN9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93" s="396">
        <f>(PTCK_offBS[[#This Row],[VALUE_DATE]]-PTCK_offBS[[#This Row],[LAST_PMT]])*PTCK_offBS[[#This Row],[COUPON_RATE]]*1000/(DATE(YEAR(PTCK_offBS[[#This Row],[LAST_PMT]])+1,MONTH(PTCK_offBS[[#This Row],[LAST_PMT]]),DAY(PTCK_offBS[[#This Row],[LAST_PMT]]))-PTCK_offBS[[#This Row],[LAST_PMT]])</f>
        <v>1517.5342465753424</v>
      </c>
      <c r="BP93" s="396">
        <f>PTCK_offBS[[#This Row],[GROSS_AMOUNT]]/PTCK_offBS[[#This Row],[QUANTITY]]-PTCK_offBS[[#This Row],[START_ACC]]-10^5</f>
        <v>-28423.534246575349</v>
      </c>
      <c r="BQ93" s="396">
        <f>IF(PTCK_offBS[[#This Row],[BS]]="Others",PTCK_offBS[[#This Row],[PTCK]]*(PTCK_offBS[[#This Row],[MATURITY_DATE]]-PTCK_offBS[[#This Row],[POSTED_DT]]-1)/(PTCK_offBS[[#This Row],[MATURITY_DATE]]-PTCK_offBS[[#This Row],[VALUE_DATE]]),PTCK_offBS[[#This Row],[PTCK]])</f>
        <v>-28341.058650158633</v>
      </c>
      <c r="BR93" s="396">
        <f>PTCK_offBS[[#This Row],[PTCK remain]]*PTCK_offBS[[#This Row],[QUANTITY]]</f>
        <v>-28341058650.158634</v>
      </c>
    </row>
    <row r="94" spans="3:70" x14ac:dyDescent="0.3">
      <c r="C94" s="128"/>
      <c r="D94" s="128"/>
      <c r="E94" s="128"/>
      <c r="F94" s="128"/>
      <c r="G94" s="533"/>
      <c r="T94" s="362"/>
      <c r="U94" s="375">
        <v>46252</v>
      </c>
      <c r="V94" s="128" t="s">
        <v>2503</v>
      </c>
      <c r="W94" s="128" t="s">
        <v>822</v>
      </c>
      <c r="X94" s="530">
        <v>750000000000</v>
      </c>
      <c r="Y94" s="530">
        <v>90237</v>
      </c>
      <c r="Z94" s="530">
        <v>676777500000</v>
      </c>
      <c r="AA94" s="128" t="s">
        <v>2795</v>
      </c>
      <c r="AB94" s="533">
        <f>_xlfn.IFNA(VLOOKUP(BS[[#This Row],[BOND_CODE]],FNRP!D:I,6,0),VLOOKUP(BS[[#This Row],[BOND_CODE]],FNRP!AV:BA,6,0))</f>
        <v>90235</v>
      </c>
      <c r="AC94" s="396">
        <f>BS[[#This Row],[CLEAN PRICE]]*BS[[#This Row],[BALANCE]]/100000</f>
        <v>676762500000</v>
      </c>
      <c r="AF94" s="629"/>
      <c r="AK94" s="734"/>
      <c r="AL94" s="128">
        <v>41165</v>
      </c>
      <c r="AM94" s="128" t="s">
        <v>2779</v>
      </c>
      <c r="AN94" s="736">
        <v>3.1</v>
      </c>
      <c r="AO94" s="128" t="s">
        <v>907</v>
      </c>
      <c r="AP94" s="49" t="s">
        <v>2180</v>
      </c>
      <c r="AQ94" s="530">
        <v>3000000</v>
      </c>
      <c r="AR94" s="500">
        <v>1873.3501693113035</v>
      </c>
      <c r="AS94" s="530">
        <v>102561</v>
      </c>
      <c r="AT94" s="530">
        <v>102857</v>
      </c>
      <c r="AU94" s="769">
        <v>2.7999571689999998</v>
      </c>
      <c r="AV94" s="747">
        <v>116347000000</v>
      </c>
      <c r="AW94" s="534">
        <f>(_xlfn.XLOOKUP(RPBOD3[[#This Row],[Bonds_ShortName]],FNRP!D:D,FNRP!H:H,_xlfn.XLOOKUP(RPBOD3[[#This Row],[Bonds_ShortName]],FNRP!AV:AV,FNRP!AZ:AZ,,0),0)-RPBOD3[[#This Row],[PTCK_Remain]]-10^5)*RPBOD3[[#This Row],[Quantity]]</f>
        <v>-36622050507.933922</v>
      </c>
      <c r="AY94" s="128"/>
      <c r="AZ94" s="610">
        <v>46252</v>
      </c>
      <c r="BA94" s="850">
        <v>50248</v>
      </c>
      <c r="BB94" s="852" t="s">
        <v>710</v>
      </c>
      <c r="BC94" s="39" t="s">
        <v>824</v>
      </c>
      <c r="BD94" s="530">
        <v>1000000</v>
      </c>
      <c r="BE94" s="530">
        <v>108124</v>
      </c>
      <c r="BF94" s="658">
        <v>46230</v>
      </c>
      <c r="BG94" s="658">
        <v>46231</v>
      </c>
      <c r="BH94" s="658">
        <v>50787</v>
      </c>
      <c r="BI94" s="500">
        <v>111070000000</v>
      </c>
      <c r="BJ94" s="49">
        <v>5.6</v>
      </c>
      <c r="BK94" s="49">
        <v>95.180045817000007</v>
      </c>
      <c r="BL94" s="630" t="s">
        <v>2172</v>
      </c>
      <c r="BM94" s="49" t="s">
        <v>1033</v>
      </c>
      <c r="BN9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46039</v>
      </c>
      <c r="BO94" s="396">
        <f>(PTCK_offBS[[#This Row],[VALUE_DATE]]-PTCK_offBS[[#This Row],[LAST_PMT]])*PTCK_offBS[[#This Row],[COUPON_RATE]]*1000/(DATE(YEAR(PTCK_offBS[[#This Row],[LAST_PMT]])+1,MONTH(PTCK_offBS[[#This Row],[LAST_PMT]]),DAY(PTCK_offBS[[#This Row],[LAST_PMT]]))-PTCK_offBS[[#This Row],[LAST_PMT]])</f>
        <v>2945.7534246575337</v>
      </c>
      <c r="BP94" s="396">
        <f>PTCK_offBS[[#This Row],[GROSS_AMOUNT]]/PTCK_offBS[[#This Row],[QUANTITY]]-PTCK_offBS[[#This Row],[START_ACC]]-10^5</f>
        <v>8124.2465753424622</v>
      </c>
      <c r="BQ94" s="396">
        <f>IF(PTCK_offBS[[#This Row],[BS]]="Others",PTCK_offBS[[#This Row],[PTCK]]*(PTCK_offBS[[#This Row],[MATURITY_DATE]]-PTCK_offBS[[#This Row],[POSTED_DT]]-1)/(PTCK_offBS[[#This Row],[MATURITY_DATE]]-PTCK_offBS[[#This Row],[VALUE_DATE]]),PTCK_offBS[[#This Row],[PTCK]])</f>
        <v>8085.0162363043737</v>
      </c>
      <c r="BR94" s="396">
        <f>PTCK_offBS[[#This Row],[PTCK remain]]*PTCK_offBS[[#This Row],[QUANTITY]]</f>
        <v>8085016236.3043737</v>
      </c>
    </row>
    <row r="95" spans="3:70" x14ac:dyDescent="0.3">
      <c r="C95" s="128"/>
      <c r="D95" s="128"/>
      <c r="E95" s="128"/>
      <c r="F95" s="128"/>
      <c r="G95" s="533"/>
      <c r="T95" s="362"/>
      <c r="U95" s="375">
        <v>46252</v>
      </c>
      <c r="V95" s="128" t="s">
        <v>655</v>
      </c>
      <c r="W95" s="128" t="s">
        <v>1033</v>
      </c>
      <c r="X95" s="530">
        <v>34000000000</v>
      </c>
      <c r="Y95" s="530">
        <v>107329</v>
      </c>
      <c r="Z95" s="530">
        <v>36491860000</v>
      </c>
      <c r="AA95" s="128" t="s">
        <v>2795</v>
      </c>
      <c r="AB95" s="533">
        <f>_xlfn.IFNA(VLOOKUP(BS[[#This Row],[BOND_CODE]],FNRP!D:I,6,0),VLOOKUP(BS[[#This Row],[BOND_CODE]],FNRP!AV:BA,6,0))</f>
        <v>107331</v>
      </c>
      <c r="AC95" s="396">
        <f>BS[[#This Row],[CLEAN PRICE]]*BS[[#This Row],[BALANCE]]/100000</f>
        <v>36492540000</v>
      </c>
      <c r="AF95" s="629"/>
      <c r="AK95" s="734"/>
      <c r="AL95" s="128">
        <v>41119</v>
      </c>
      <c r="AM95" s="128" t="s">
        <v>2773</v>
      </c>
      <c r="AN95" s="736">
        <v>2.4</v>
      </c>
      <c r="AO95" s="128" t="s">
        <v>907</v>
      </c>
      <c r="AP95" s="49" t="s">
        <v>2180</v>
      </c>
      <c r="AQ95" s="530">
        <v>2500000</v>
      </c>
      <c r="AR95" s="500">
        <v>419.24643252693198</v>
      </c>
      <c r="AS95" s="530">
        <v>100918</v>
      </c>
      <c r="AT95" s="530">
        <v>101154</v>
      </c>
      <c r="AU95" s="769">
        <v>2.199898321</v>
      </c>
      <c r="AV95" s="747">
        <v>116347000000</v>
      </c>
      <c r="AW95" s="534">
        <f>(_xlfn.XLOOKUP(RPBOD3[[#This Row],[Bonds_ShortName]],FNRP!D:D,FNRP!H:H,_xlfn.XLOOKUP(RPBOD3[[#This Row],[Bonds_ShortName]],FNRP!AV:AV,FNRP!AZ:AZ,,0),0)-RPBOD3[[#This Row],[PTCK_Remain]]-10^5)*RPBOD3[[#This Row],[Quantity]]</f>
        <v>-10250616081.317312</v>
      </c>
      <c r="AY95" s="128"/>
      <c r="AZ95" s="610">
        <v>46252</v>
      </c>
      <c r="BA95" s="850">
        <v>50245</v>
      </c>
      <c r="BB95" s="852" t="s">
        <v>706</v>
      </c>
      <c r="BC95" s="39" t="s">
        <v>824</v>
      </c>
      <c r="BD95" s="530">
        <v>500000</v>
      </c>
      <c r="BE95" s="530">
        <v>81825</v>
      </c>
      <c r="BF95" s="658">
        <v>46230</v>
      </c>
      <c r="BG95" s="658">
        <v>46231</v>
      </c>
      <c r="BH95" s="658">
        <v>50046</v>
      </c>
      <c r="BI95" s="500">
        <v>41552000000</v>
      </c>
      <c r="BJ95" s="49">
        <v>2.2999999999999998</v>
      </c>
      <c r="BK95" s="49">
        <v>96.180045817000007</v>
      </c>
      <c r="BL95" s="630" t="s">
        <v>2172</v>
      </c>
      <c r="BM95" s="49" t="s">
        <v>1033</v>
      </c>
      <c r="BN9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46028</v>
      </c>
      <c r="BO95" s="396">
        <f>(PTCK_offBS[[#This Row],[VALUE_DATE]]-PTCK_offBS[[#This Row],[LAST_PMT]])*PTCK_offBS[[#This Row],[COUPON_RATE]]*1000/(DATE(YEAR(PTCK_offBS[[#This Row],[LAST_PMT]])+1,MONTH(PTCK_offBS[[#This Row],[LAST_PMT]]),DAY(PTCK_offBS[[#This Row],[LAST_PMT]]))-PTCK_offBS[[#This Row],[LAST_PMT]])</f>
        <v>1279.1780821917807</v>
      </c>
      <c r="BP95" s="396">
        <f>PTCK_offBS[[#This Row],[GROSS_AMOUNT]]/PTCK_offBS[[#This Row],[QUANTITY]]-PTCK_offBS[[#This Row],[START_ACC]]-10^5</f>
        <v>-18175.178082191778</v>
      </c>
      <c r="BQ95" s="396">
        <f>IF(PTCK_offBS[[#This Row],[BS]]="Others",PTCK_offBS[[#This Row],[PTCK]]*(PTCK_offBS[[#This Row],[MATURITY_DATE]]-PTCK_offBS[[#This Row],[POSTED_DT]]-1)/(PTCK_offBS[[#This Row],[MATURITY_DATE]]-PTCK_offBS[[#This Row],[VALUE_DATE]]),PTCK_offBS[[#This Row],[PTCK]])</f>
        <v>-18070.36709456184</v>
      </c>
      <c r="BR95" s="396">
        <f>PTCK_offBS[[#This Row],[PTCK remain]]*PTCK_offBS[[#This Row],[QUANTITY]]</f>
        <v>-9035183547.28092</v>
      </c>
    </row>
    <row r="96" spans="3:70" x14ac:dyDescent="0.3">
      <c r="C96" s="128"/>
      <c r="D96" s="128"/>
      <c r="E96" s="128"/>
      <c r="F96" s="128"/>
      <c r="G96" s="533"/>
      <c r="T96" s="362"/>
      <c r="U96" s="375">
        <v>46252</v>
      </c>
      <c r="V96" s="128" t="s">
        <v>636</v>
      </c>
      <c r="W96" s="128" t="s">
        <v>1033</v>
      </c>
      <c r="X96" s="530">
        <v>-100000000000</v>
      </c>
      <c r="Y96" s="530">
        <v>92549</v>
      </c>
      <c r="Z96" s="530">
        <v>-92549000000</v>
      </c>
      <c r="AA96" s="128" t="s">
        <v>2796</v>
      </c>
      <c r="AB96" s="533">
        <f>_xlfn.IFNA(VLOOKUP(BS[[#This Row],[BOND_CODE]],FNRP!D:I,6,0),VLOOKUP(BS[[#This Row],[BOND_CODE]],FNRP!AV:BA,6,0))</f>
        <v>92544</v>
      </c>
      <c r="AC96" s="396">
        <f>BS[[#This Row],[CLEAN PRICE]]*BS[[#This Row],[BALANCE]]/100000</f>
        <v>-92544000000</v>
      </c>
      <c r="AF96" s="629"/>
      <c r="AK96" s="734"/>
      <c r="AL96" s="128">
        <v>41121</v>
      </c>
      <c r="AM96" s="128" t="s">
        <v>2773</v>
      </c>
      <c r="AN96" s="736">
        <v>2.4</v>
      </c>
      <c r="AO96" s="128" t="s">
        <v>907</v>
      </c>
      <c r="AP96" s="49" t="s">
        <v>2180</v>
      </c>
      <c r="AQ96" s="530">
        <v>2500000</v>
      </c>
      <c r="AR96" s="500">
        <v>419.24643252693198</v>
      </c>
      <c r="AS96" s="530">
        <v>100918</v>
      </c>
      <c r="AT96" s="530">
        <v>101154</v>
      </c>
      <c r="AU96" s="769">
        <v>2.199898321</v>
      </c>
      <c r="AV96" s="747">
        <v>116347000000</v>
      </c>
      <c r="AW96" s="534">
        <f>(_xlfn.XLOOKUP(RPBOD3[[#This Row],[Bonds_ShortName]],FNRP!D:D,FNRP!H:H,_xlfn.XLOOKUP(RPBOD3[[#This Row],[Bonds_ShortName]],FNRP!AV:AV,FNRP!AZ:AZ,,0),0)-RPBOD3[[#This Row],[PTCK_Remain]]-10^5)*RPBOD3[[#This Row],[Quantity]]</f>
        <v>-10250616081.317312</v>
      </c>
      <c r="AY96" s="128"/>
      <c r="AZ96" s="610">
        <v>46252</v>
      </c>
      <c r="BA96" s="850">
        <v>50246</v>
      </c>
      <c r="BB96" s="852" t="s">
        <v>728</v>
      </c>
      <c r="BC96" s="39" t="s">
        <v>824</v>
      </c>
      <c r="BD96" s="530">
        <v>500000</v>
      </c>
      <c r="BE96" s="530">
        <v>112509</v>
      </c>
      <c r="BF96" s="658">
        <v>46230</v>
      </c>
      <c r="BG96" s="658">
        <v>46231</v>
      </c>
      <c r="BH96" s="658">
        <v>54447</v>
      </c>
      <c r="BI96" s="500">
        <v>57724500000</v>
      </c>
      <c r="BJ96" s="49">
        <v>5.8</v>
      </c>
      <c r="BK96" s="49">
        <v>97.180045817000007</v>
      </c>
      <c r="BL96" s="630" t="s">
        <v>2172</v>
      </c>
      <c r="BM96" s="49" t="s">
        <v>1033</v>
      </c>
      <c r="BN9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46046</v>
      </c>
      <c r="BO96" s="396">
        <f>(PTCK_offBS[[#This Row],[VALUE_DATE]]-PTCK_offBS[[#This Row],[LAST_PMT]])*PTCK_offBS[[#This Row],[COUPON_RATE]]*1000/(DATE(YEAR(PTCK_offBS[[#This Row],[LAST_PMT]])+1,MONTH(PTCK_offBS[[#This Row],[LAST_PMT]]),DAY(PTCK_offBS[[#This Row],[LAST_PMT]]))-PTCK_offBS[[#This Row],[LAST_PMT]])</f>
        <v>2939.7260273972602</v>
      </c>
      <c r="BP96" s="396">
        <f>PTCK_offBS[[#This Row],[GROSS_AMOUNT]]/PTCK_offBS[[#This Row],[QUANTITY]]-PTCK_offBS[[#This Row],[START_ACC]]-10^5</f>
        <v>12509.273972602736</v>
      </c>
      <c r="BQ96" s="396">
        <f>IF(PTCK_offBS[[#This Row],[BS]]="Others",PTCK_offBS[[#This Row],[PTCK]]*(PTCK_offBS[[#This Row],[MATURITY_DATE]]-PTCK_offBS[[#This Row],[POSTED_DT]]-1)/(PTCK_offBS[[#This Row],[MATURITY_DATE]]-PTCK_offBS[[#This Row],[VALUE_DATE]]),PTCK_offBS[[#This Row],[PTCK]])</f>
        <v>12475.777864107451</v>
      </c>
      <c r="BR96" s="396">
        <f>PTCK_offBS[[#This Row],[PTCK remain]]*PTCK_offBS[[#This Row],[QUANTITY]]</f>
        <v>6237888932.0537252</v>
      </c>
    </row>
    <row r="97" spans="3:70" x14ac:dyDescent="0.3">
      <c r="C97" s="128"/>
      <c r="D97" s="128"/>
      <c r="E97" s="128"/>
      <c r="F97" s="128"/>
      <c r="G97" s="533"/>
      <c r="T97" s="362"/>
      <c r="U97" s="375">
        <v>46252</v>
      </c>
      <c r="V97" s="128" t="s">
        <v>717</v>
      </c>
      <c r="W97" s="128" t="s">
        <v>1033</v>
      </c>
      <c r="X97" s="530">
        <v>3000000000000</v>
      </c>
      <c r="Y97" s="530">
        <v>142046</v>
      </c>
      <c r="Z97" s="530">
        <v>4261380000000</v>
      </c>
      <c r="AA97" s="128" t="s">
        <v>2795</v>
      </c>
      <c r="AB97" s="533">
        <f>_xlfn.IFNA(VLOOKUP(BS[[#This Row],[BOND_CODE]],FNRP!D:I,6,0),VLOOKUP(BS[[#This Row],[BOND_CODE]],FNRP!AV:BA,6,0))</f>
        <v>142049</v>
      </c>
      <c r="AC97" s="396">
        <f>BS[[#This Row],[CLEAN PRICE]]*BS[[#This Row],[BALANCE]]/100000</f>
        <v>4261470000000</v>
      </c>
      <c r="AF97" s="629"/>
      <c r="AK97" s="734"/>
      <c r="AL97" s="128">
        <v>43842</v>
      </c>
      <c r="AM97" s="128" t="s">
        <v>2788</v>
      </c>
      <c r="AN97" s="736">
        <v>3.1</v>
      </c>
      <c r="AO97" s="128" t="s">
        <v>907</v>
      </c>
      <c r="AP97" s="49" t="s">
        <v>824</v>
      </c>
      <c r="AQ97" s="530">
        <v>1000000</v>
      </c>
      <c r="AR97" s="500">
        <v>-691.56104736408906</v>
      </c>
      <c r="AS97" s="530">
        <v>99199</v>
      </c>
      <c r="AT97" s="530">
        <v>101571</v>
      </c>
      <c r="AU97" s="769">
        <v>3.1699825210000001</v>
      </c>
      <c r="AV97" s="747">
        <v>116347000000</v>
      </c>
      <c r="AW97" s="534">
        <f>(_xlfn.XLOOKUP(RPBOD3[[#This Row],[Bonds_ShortName]],FNRP!D:D,FNRP!H:H,_xlfn.XLOOKUP(RPBOD3[[#This Row],[Bonds_ShortName]],FNRP!AV:AV,FNRP!AZ:AZ,,0),0)-RPBOD3[[#This Row],[PTCK_Remain]]-10^5)*RPBOD3[[#This Row],[Quantity]]</f>
        <v>-16532438952.635916</v>
      </c>
      <c r="AY97" s="128"/>
      <c r="AZ97" s="610">
        <v>46252</v>
      </c>
      <c r="BA97" s="850">
        <v>50247</v>
      </c>
      <c r="BB97" s="852" t="s">
        <v>712</v>
      </c>
      <c r="BC97" s="39" t="s">
        <v>824</v>
      </c>
      <c r="BD97" s="530">
        <v>1500000</v>
      </c>
      <c r="BE97" s="530">
        <v>89010</v>
      </c>
      <c r="BF97" s="658">
        <v>46230</v>
      </c>
      <c r="BG97" s="658">
        <v>46231</v>
      </c>
      <c r="BH97" s="658">
        <v>51144</v>
      </c>
      <c r="BI97" s="500">
        <v>136474500000</v>
      </c>
      <c r="BJ97" s="49">
        <v>3.6</v>
      </c>
      <c r="BK97" s="49">
        <v>98.180045817000007</v>
      </c>
      <c r="BL97" s="630" t="s">
        <v>2172</v>
      </c>
      <c r="BM97" s="49" t="s">
        <v>1033</v>
      </c>
      <c r="BN9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97" s="396">
        <f>(PTCK_offBS[[#This Row],[VALUE_DATE]]-PTCK_offBS[[#This Row],[LAST_PMT]])*PTCK_offBS[[#This Row],[COUPON_RATE]]*1000/(DATE(YEAR(PTCK_offBS[[#This Row],[LAST_PMT]])+1,MONTH(PTCK_offBS[[#This Row],[LAST_PMT]]),DAY(PTCK_offBS[[#This Row],[LAST_PMT]]))-PTCK_offBS[[#This Row],[LAST_PMT]])</f>
        <v>1972.6027397260275</v>
      </c>
      <c r="BP97" s="396">
        <f>PTCK_offBS[[#This Row],[GROSS_AMOUNT]]/PTCK_offBS[[#This Row],[QUANTITY]]-PTCK_offBS[[#This Row],[START_ACC]]-10^5</f>
        <v>-10989.602739726033</v>
      </c>
      <c r="BQ97" s="396">
        <f>IF(PTCK_offBS[[#This Row],[BS]]="Others",PTCK_offBS[[#This Row],[PTCK]]*(PTCK_offBS[[#This Row],[MATURITY_DATE]]-PTCK_offBS[[#This Row],[POSTED_DT]]-1)/(PTCK_offBS[[#This Row],[MATURITY_DATE]]-PTCK_offBS[[#This Row],[VALUE_DATE]]),PTCK_offBS[[#This Row],[PTCK]])</f>
        <v>-10940.39222470996</v>
      </c>
      <c r="BR97" s="396">
        <f>PTCK_offBS[[#This Row],[PTCK remain]]*PTCK_offBS[[#This Row],[QUANTITY]]</f>
        <v>-16410588337.064939</v>
      </c>
    </row>
    <row r="98" spans="3:70" x14ac:dyDescent="0.3">
      <c r="C98" s="128"/>
      <c r="D98" s="128"/>
      <c r="E98" s="128"/>
      <c r="F98" s="128"/>
      <c r="G98" s="533"/>
      <c r="T98" s="362"/>
      <c r="U98" s="375">
        <v>46252</v>
      </c>
      <c r="V98" s="128" t="s">
        <v>717</v>
      </c>
      <c r="W98" s="128" t="s">
        <v>1033</v>
      </c>
      <c r="X98" s="530">
        <v>-3000000000000</v>
      </c>
      <c r="Y98" s="530">
        <v>142046</v>
      </c>
      <c r="Z98" s="530">
        <v>-4261380000000</v>
      </c>
      <c r="AA98" s="128" t="s">
        <v>2796</v>
      </c>
      <c r="AB98" s="533">
        <f>_xlfn.IFNA(VLOOKUP(BS[[#This Row],[BOND_CODE]],FNRP!D:I,6,0),VLOOKUP(BS[[#This Row],[BOND_CODE]],FNRP!AV:BA,6,0))</f>
        <v>142049</v>
      </c>
      <c r="AC98" s="396">
        <f>BS[[#This Row],[CLEAN PRICE]]*BS[[#This Row],[BALANCE]]/100000</f>
        <v>-4261470000000</v>
      </c>
      <c r="AF98" s="629"/>
      <c r="AK98" s="734"/>
      <c r="AL98" s="128">
        <v>41208</v>
      </c>
      <c r="AM98" s="128" t="s">
        <v>2782</v>
      </c>
      <c r="AN98" s="736">
        <v>3.4</v>
      </c>
      <c r="AO98" s="128" t="s">
        <v>907</v>
      </c>
      <c r="AP98" s="49" t="s">
        <v>2180</v>
      </c>
      <c r="AQ98" s="530">
        <v>1100000</v>
      </c>
      <c r="AR98" s="500">
        <v>4916.4200603545642</v>
      </c>
      <c r="AS98" s="530">
        <v>105970</v>
      </c>
      <c r="AT98" s="530">
        <v>106369</v>
      </c>
      <c r="AU98" s="769">
        <v>2.9</v>
      </c>
      <c r="AV98" s="747">
        <v>116347000000</v>
      </c>
      <c r="AW98" s="534">
        <f>(_xlfn.XLOOKUP(RPBOD3[[#This Row],[Bonds_ShortName]],FNRP!D:D,FNRP!H:H,_xlfn.XLOOKUP(RPBOD3[[#This Row],[Bonds_ShortName]],FNRP!AV:AV,FNRP!AZ:AZ,,0),0)-RPBOD3[[#This Row],[PTCK_Remain]]-10^5)*RPBOD3[[#This Row],[Quantity]]</f>
        <v>-21332762066.390018</v>
      </c>
      <c r="AY98" s="128"/>
      <c r="AZ98" s="610">
        <v>46252</v>
      </c>
      <c r="BA98" s="850">
        <v>50244</v>
      </c>
      <c r="BB98" s="852" t="s">
        <v>712</v>
      </c>
      <c r="BC98" s="39" t="s">
        <v>824</v>
      </c>
      <c r="BD98" s="530">
        <v>9500000</v>
      </c>
      <c r="BE98" s="530">
        <v>89010</v>
      </c>
      <c r="BF98" s="658">
        <v>46230</v>
      </c>
      <c r="BG98" s="658">
        <v>46231</v>
      </c>
      <c r="BH98" s="658">
        <v>51144</v>
      </c>
      <c r="BI98" s="500">
        <v>864338500000</v>
      </c>
      <c r="BJ98" s="49">
        <v>3.6</v>
      </c>
      <c r="BK98" s="49">
        <v>99.180045817000007</v>
      </c>
      <c r="BL98" s="630" t="s">
        <v>2172</v>
      </c>
      <c r="BM98" s="49" t="s">
        <v>1033</v>
      </c>
      <c r="BN9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98" s="396">
        <f>(PTCK_offBS[[#This Row],[VALUE_DATE]]-PTCK_offBS[[#This Row],[LAST_PMT]])*PTCK_offBS[[#This Row],[COUPON_RATE]]*1000/(DATE(YEAR(PTCK_offBS[[#This Row],[LAST_PMT]])+1,MONTH(PTCK_offBS[[#This Row],[LAST_PMT]]),DAY(PTCK_offBS[[#This Row],[LAST_PMT]]))-PTCK_offBS[[#This Row],[LAST_PMT]])</f>
        <v>1972.6027397260275</v>
      </c>
      <c r="BP98" s="396">
        <f>PTCK_offBS[[#This Row],[GROSS_AMOUNT]]/PTCK_offBS[[#This Row],[QUANTITY]]-PTCK_offBS[[#This Row],[START_ACC]]-10^5</f>
        <v>-10989.602739726033</v>
      </c>
      <c r="BQ98" s="396">
        <f>IF(PTCK_offBS[[#This Row],[BS]]="Others",PTCK_offBS[[#This Row],[PTCK]]*(PTCK_offBS[[#This Row],[MATURITY_DATE]]-PTCK_offBS[[#This Row],[POSTED_DT]]-1)/(PTCK_offBS[[#This Row],[MATURITY_DATE]]-PTCK_offBS[[#This Row],[VALUE_DATE]]),PTCK_offBS[[#This Row],[PTCK]])</f>
        <v>-10940.39222470996</v>
      </c>
      <c r="BR98" s="396">
        <f>PTCK_offBS[[#This Row],[PTCK remain]]*PTCK_offBS[[#This Row],[QUANTITY]]</f>
        <v>-103933726134.74461</v>
      </c>
    </row>
    <row r="99" spans="3:70" x14ac:dyDescent="0.3">
      <c r="C99" s="128"/>
      <c r="D99" s="128"/>
      <c r="E99" s="128"/>
      <c r="F99" s="128"/>
      <c r="G99" s="533"/>
      <c r="T99" s="362"/>
      <c r="U99" s="375">
        <v>46252</v>
      </c>
      <c r="V99" s="128" t="s">
        <v>598</v>
      </c>
      <c r="W99" s="128" t="s">
        <v>1033</v>
      </c>
      <c r="X99" s="530">
        <v>-300000000000</v>
      </c>
      <c r="Y99" s="530">
        <v>109505</v>
      </c>
      <c r="Z99" s="530">
        <v>-328515000000</v>
      </c>
      <c r="AA99" s="128" t="s">
        <v>2796</v>
      </c>
      <c r="AB99" s="533">
        <f>_xlfn.IFNA(VLOOKUP(BS[[#This Row],[BOND_CODE]],FNRP!D:I,6,0),VLOOKUP(BS[[#This Row],[BOND_CODE]],FNRP!AV:BA,6,0))</f>
        <v>109512</v>
      </c>
      <c r="AC99" s="396">
        <f>BS[[#This Row],[CLEAN PRICE]]*BS[[#This Row],[BALANCE]]/100000</f>
        <v>-328536000000</v>
      </c>
      <c r="AF99" s="629"/>
      <c r="AK99" s="734"/>
      <c r="AL99" s="128">
        <v>41213</v>
      </c>
      <c r="AM99" s="128" t="s">
        <v>2781</v>
      </c>
      <c r="AN99" s="736">
        <v>3</v>
      </c>
      <c r="AO99" s="128" t="s">
        <v>907</v>
      </c>
      <c r="AP99" s="49" t="s">
        <v>2180</v>
      </c>
      <c r="AQ99" s="530">
        <v>2000000</v>
      </c>
      <c r="AR99" s="500">
        <v>1249.581892429645</v>
      </c>
      <c r="AS99" s="530">
        <v>101705</v>
      </c>
      <c r="AT99" s="530">
        <v>102000</v>
      </c>
      <c r="AU99" s="769">
        <v>2.8000311230000001</v>
      </c>
      <c r="AV99" s="747">
        <v>116347000000</v>
      </c>
      <c r="AW99" s="534">
        <f>(_xlfn.XLOOKUP(RPBOD3[[#This Row],[Bonds_ShortName]],FNRP!D:D,FNRP!H:H,_xlfn.XLOOKUP(RPBOD3[[#This Row],[Bonds_ShortName]],FNRP!AV:AV,FNRP!AZ:AZ,,0),0)-RPBOD3[[#This Row],[PTCK_Remain]]-10^5)*RPBOD3[[#This Row],[Quantity]]</f>
        <v>-24399163784.859295</v>
      </c>
      <c r="AY99" s="128"/>
      <c r="AZ99" s="610">
        <v>46252</v>
      </c>
      <c r="BA99" s="850">
        <v>50332</v>
      </c>
      <c r="BB99" s="852" t="s">
        <v>702</v>
      </c>
      <c r="BC99" s="39" t="s">
        <v>824</v>
      </c>
      <c r="BD99" s="530">
        <v>500000</v>
      </c>
      <c r="BE99" s="530">
        <v>82385</v>
      </c>
      <c r="BF99" s="658">
        <v>46246</v>
      </c>
      <c r="BG99" s="658">
        <v>46247</v>
      </c>
      <c r="BH99" s="658">
        <v>49899</v>
      </c>
      <c r="BI99" s="500">
        <v>41195500000</v>
      </c>
      <c r="BJ99" s="49">
        <v>2.2999999999999998</v>
      </c>
      <c r="BK99" s="49">
        <v>100.18004581700001</v>
      </c>
      <c r="BL99" s="630" t="s">
        <v>2172</v>
      </c>
      <c r="BM99" s="49" t="s">
        <v>1033</v>
      </c>
      <c r="BN9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O99" s="396">
        <f>(PTCK_offBS[[#This Row],[VALUE_DATE]]-PTCK_offBS[[#This Row],[LAST_PMT]])*PTCK_offBS[[#This Row],[COUPON_RATE]]*1000/(DATE(YEAR(PTCK_offBS[[#This Row],[LAST_PMT]])+1,MONTH(PTCK_offBS[[#This Row],[LAST_PMT]]),DAY(PTCK_offBS[[#This Row],[LAST_PMT]]))-PTCK_offBS[[#This Row],[LAST_PMT]])</f>
        <v>6.3013698630136989</v>
      </c>
      <c r="BP99" s="396">
        <f>PTCK_offBS[[#This Row],[GROSS_AMOUNT]]/PTCK_offBS[[#This Row],[QUANTITY]]-PTCK_offBS[[#This Row],[START_ACC]]-10^5</f>
        <v>-17615.301369863009</v>
      </c>
      <c r="BQ99" s="396">
        <f>IF(PTCK_offBS[[#This Row],[BS]]="Others",PTCK_offBS[[#This Row],[PTCK]]*(PTCK_offBS[[#This Row],[MATURITY_DATE]]-PTCK_offBS[[#This Row],[POSTED_DT]]-1)/(PTCK_offBS[[#This Row],[MATURITY_DATE]]-PTCK_offBS[[#This Row],[VALUE_DATE]]),PTCK_offBS[[#This Row],[PTCK]])</f>
        <v>-17586.360568050528</v>
      </c>
      <c r="BR99" s="396">
        <f>PTCK_offBS[[#This Row],[PTCK remain]]*PTCK_offBS[[#This Row],[QUANTITY]]</f>
        <v>-8793180284.0252647</v>
      </c>
    </row>
    <row r="100" spans="3:70" x14ac:dyDescent="0.3">
      <c r="C100" s="128"/>
      <c r="D100" s="128"/>
      <c r="E100" s="128"/>
      <c r="F100" s="128"/>
      <c r="G100" s="533"/>
      <c r="T100" s="362"/>
      <c r="U100" s="375">
        <v>46252</v>
      </c>
      <c r="V100" s="128" t="s">
        <v>693</v>
      </c>
      <c r="W100" s="128" t="s">
        <v>822</v>
      </c>
      <c r="X100" s="530">
        <v>50000000000</v>
      </c>
      <c r="Y100" s="530">
        <v>87173</v>
      </c>
      <c r="Z100" s="530">
        <v>43586500000</v>
      </c>
      <c r="AA100" s="128" t="s">
        <v>2795</v>
      </c>
      <c r="AB100" s="533">
        <f>_xlfn.IFNA(VLOOKUP(BS[[#This Row],[BOND_CODE]],FNRP!D:I,6,0),VLOOKUP(BS[[#This Row],[BOND_CODE]],FNRP!AV:BA,6,0))</f>
        <v>87170</v>
      </c>
      <c r="AC100" s="396">
        <f>BS[[#This Row],[CLEAN PRICE]]*BS[[#This Row],[BALANCE]]/100000</f>
        <v>43585000000</v>
      </c>
      <c r="AF100" s="629"/>
      <c r="AK100" s="734"/>
      <c r="AL100" s="128">
        <v>44037</v>
      </c>
      <c r="AM100" s="128" t="s">
        <v>667</v>
      </c>
      <c r="AN100" s="736">
        <v>5</v>
      </c>
      <c r="AO100" s="128" t="s">
        <v>823</v>
      </c>
      <c r="AP100" s="49" t="s">
        <v>824</v>
      </c>
      <c r="AQ100" s="530">
        <v>500000</v>
      </c>
      <c r="AR100" s="500">
        <v>15355.14725312824</v>
      </c>
      <c r="AS100" s="530">
        <v>119235</v>
      </c>
      <c r="AT100" s="530">
        <v>122199</v>
      </c>
      <c r="AU100" s="769">
        <v>2.6599815850000001</v>
      </c>
      <c r="AV100" s="747">
        <v>116347000000</v>
      </c>
      <c r="AW100" s="534">
        <f>(_xlfn.XLOOKUP(RPBOD3[[#This Row],[Bonds_ShortName]],FNRP!D:D,FNRP!H:H,_xlfn.XLOOKUP(RPBOD3[[#This Row],[Bonds_ShortName]],FNRP!AV:AV,FNRP!AZ:AZ,,0),0)-RPBOD3[[#This Row],[PTCK_Remain]]-10^5)*RPBOD3[[#This Row],[Quantity]]</f>
        <v>-5589573626.5641174</v>
      </c>
      <c r="AY100" s="128"/>
      <c r="AZ100" s="610">
        <v>46252</v>
      </c>
      <c r="BA100" s="850">
        <v>50331</v>
      </c>
      <c r="BB100" s="852" t="s">
        <v>1209</v>
      </c>
      <c r="BC100" s="39" t="s">
        <v>824</v>
      </c>
      <c r="BD100" s="530">
        <v>10000000</v>
      </c>
      <c r="BE100" s="530">
        <v>123337</v>
      </c>
      <c r="BF100" s="658">
        <v>46246</v>
      </c>
      <c r="BG100" s="658">
        <v>46247</v>
      </c>
      <c r="BH100" s="658">
        <v>49528</v>
      </c>
      <c r="BI100" s="500">
        <v>1234640000000</v>
      </c>
      <c r="BJ100" s="49">
        <v>7.75</v>
      </c>
      <c r="BK100" s="49">
        <v>101.18004581700001</v>
      </c>
      <c r="BL100" s="630" t="s">
        <v>2172</v>
      </c>
      <c r="BM100" s="49" t="s">
        <v>1033</v>
      </c>
      <c r="BN10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100" s="396">
        <f>(PTCK_offBS[[#This Row],[VALUE_DATE]]-PTCK_offBS[[#This Row],[LAST_PMT]])*PTCK_offBS[[#This Row],[COUPON_RATE]]*1000/(DATE(YEAR(PTCK_offBS[[#This Row],[LAST_PMT]])+1,MONTH(PTCK_offBS[[#This Row],[LAST_PMT]]),DAY(PTCK_offBS[[#This Row],[LAST_PMT]]))-PTCK_offBS[[#This Row],[LAST_PMT]])</f>
        <v>127.39726027397261</v>
      </c>
      <c r="BP100" s="396">
        <f>PTCK_offBS[[#This Row],[GROSS_AMOUNT]]/PTCK_offBS[[#This Row],[QUANTITY]]-PTCK_offBS[[#This Row],[START_ACC]]-10^5</f>
        <v>23336.602739726033</v>
      </c>
      <c r="BQ100" s="396">
        <f>IF(PTCK_offBS[[#This Row],[BS]]="Others",PTCK_offBS[[#This Row],[PTCK]]*(PTCK_offBS[[#This Row],[MATURITY_DATE]]-PTCK_offBS[[#This Row],[POSTED_DT]]-1)/(PTCK_offBS[[#This Row],[MATURITY_DATE]]-PTCK_offBS[[#This Row],[VALUE_DATE]]),PTCK_offBS[[#This Row],[PTCK]])</f>
        <v>23293.926843219371</v>
      </c>
      <c r="BR100" s="396">
        <f>PTCK_offBS[[#This Row],[PTCK remain]]*PTCK_offBS[[#This Row],[QUANTITY]]</f>
        <v>232939268432.19373</v>
      </c>
    </row>
    <row r="101" spans="3:70" x14ac:dyDescent="0.3">
      <c r="C101" s="128"/>
      <c r="D101" s="128"/>
      <c r="E101" s="128"/>
      <c r="F101" s="128"/>
      <c r="G101" s="533"/>
      <c r="T101" s="362"/>
      <c r="U101" s="375">
        <v>46252</v>
      </c>
      <c r="V101" s="128" t="s">
        <v>2785</v>
      </c>
      <c r="W101" s="128" t="s">
        <v>1033</v>
      </c>
      <c r="X101" s="530">
        <v>600000000000</v>
      </c>
      <c r="Y101" s="530">
        <v>87953</v>
      </c>
      <c r="Z101" s="530">
        <v>527718000000</v>
      </c>
      <c r="AA101" s="128" t="s">
        <v>2795</v>
      </c>
      <c r="AB101" s="533">
        <f>_xlfn.IFNA(VLOOKUP(BS[[#This Row],[BOND_CODE]],FNRP!D:I,6,0),VLOOKUP(BS[[#This Row],[BOND_CODE]],FNRP!AV:BA,6,0))</f>
        <v>87948</v>
      </c>
      <c r="AC101" s="396">
        <f>BS[[#This Row],[CLEAN PRICE]]*BS[[#This Row],[BALANCE]]/100000</f>
        <v>527688000000</v>
      </c>
      <c r="AF101" s="629"/>
      <c r="AK101" s="734"/>
      <c r="AL101" s="128">
        <v>43543</v>
      </c>
      <c r="AM101" s="128" t="s">
        <v>670</v>
      </c>
      <c r="AN101" s="736">
        <v>4.7</v>
      </c>
      <c r="AO101" s="128" t="s">
        <v>907</v>
      </c>
      <c r="AP101" s="49" t="s">
        <v>824</v>
      </c>
      <c r="AQ101" s="530">
        <v>500000</v>
      </c>
      <c r="AR101" s="500">
        <v>11544.757369352721</v>
      </c>
      <c r="AS101" s="530">
        <v>114444</v>
      </c>
      <c r="AT101" s="530">
        <v>118630</v>
      </c>
      <c r="AU101" s="769">
        <v>3.0199732369999999</v>
      </c>
      <c r="AV101" s="747">
        <v>116347000000</v>
      </c>
      <c r="AW101" s="534">
        <f>(_xlfn.XLOOKUP(RPBOD3[[#This Row],[Bonds_ShortName]],FNRP!D:D,FNRP!H:H,_xlfn.XLOOKUP(RPBOD3[[#This Row],[Bonds_ShortName]],FNRP!AV:AV,FNRP!AZ:AZ,,0),0)-RPBOD3[[#This Row],[PTCK_Remain]]-10^5)*RPBOD3[[#This Row],[Quantity]]</f>
        <v>-6298378684.6763611</v>
      </c>
      <c r="AY101" s="128"/>
      <c r="AZ101" s="610">
        <v>46252</v>
      </c>
      <c r="BA101" s="850">
        <v>50330</v>
      </c>
      <c r="BB101" s="852" t="s">
        <v>1209</v>
      </c>
      <c r="BC101" s="39" t="s">
        <v>824</v>
      </c>
      <c r="BD101" s="530">
        <v>2000000</v>
      </c>
      <c r="BE101" s="530">
        <v>123337</v>
      </c>
      <c r="BF101" s="658">
        <v>46246</v>
      </c>
      <c r="BG101" s="658">
        <v>46247</v>
      </c>
      <c r="BH101" s="658">
        <v>49528</v>
      </c>
      <c r="BI101" s="500">
        <v>246928000000</v>
      </c>
      <c r="BJ101" s="49">
        <v>7.75</v>
      </c>
      <c r="BK101" s="49">
        <v>102.18004581700001</v>
      </c>
      <c r="BL101" s="630" t="s">
        <v>2172</v>
      </c>
      <c r="BM101" s="49" t="s">
        <v>1033</v>
      </c>
      <c r="BN10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101" s="396">
        <f>(PTCK_offBS[[#This Row],[VALUE_DATE]]-PTCK_offBS[[#This Row],[LAST_PMT]])*PTCK_offBS[[#This Row],[COUPON_RATE]]*1000/(DATE(YEAR(PTCK_offBS[[#This Row],[LAST_PMT]])+1,MONTH(PTCK_offBS[[#This Row],[LAST_PMT]]),DAY(PTCK_offBS[[#This Row],[LAST_PMT]]))-PTCK_offBS[[#This Row],[LAST_PMT]])</f>
        <v>127.39726027397261</v>
      </c>
      <c r="BP101" s="396">
        <f>PTCK_offBS[[#This Row],[GROSS_AMOUNT]]/PTCK_offBS[[#This Row],[QUANTITY]]-PTCK_offBS[[#This Row],[START_ACC]]-10^5</f>
        <v>23336.602739726033</v>
      </c>
      <c r="BQ101" s="396">
        <f>IF(PTCK_offBS[[#This Row],[BS]]="Others",PTCK_offBS[[#This Row],[PTCK]]*(PTCK_offBS[[#This Row],[MATURITY_DATE]]-PTCK_offBS[[#This Row],[POSTED_DT]]-1)/(PTCK_offBS[[#This Row],[MATURITY_DATE]]-PTCK_offBS[[#This Row],[VALUE_DATE]]),PTCK_offBS[[#This Row],[PTCK]])</f>
        <v>23293.926843219371</v>
      </c>
      <c r="BR101" s="396">
        <f>PTCK_offBS[[#This Row],[PTCK remain]]*PTCK_offBS[[#This Row],[QUANTITY]]</f>
        <v>46587853686.438744</v>
      </c>
    </row>
    <row r="102" spans="3:70" x14ac:dyDescent="0.3">
      <c r="C102" s="128"/>
      <c r="D102" s="128"/>
      <c r="E102" s="128"/>
      <c r="F102" s="128"/>
      <c r="G102" s="533"/>
      <c r="T102" s="362"/>
      <c r="U102" s="375">
        <v>46252</v>
      </c>
      <c r="V102" s="128" t="s">
        <v>638</v>
      </c>
      <c r="W102" s="128" t="s">
        <v>1033</v>
      </c>
      <c r="X102" s="530">
        <v>50000000000</v>
      </c>
      <c r="Y102" s="530">
        <v>92172</v>
      </c>
      <c r="Z102" s="530">
        <v>46086000000</v>
      </c>
      <c r="AA102" s="128" t="s">
        <v>2795</v>
      </c>
      <c r="AB102" s="533">
        <f>_xlfn.IFNA(VLOOKUP(BS[[#This Row],[BOND_CODE]],FNRP!D:I,6,0),VLOOKUP(BS[[#This Row],[BOND_CODE]],FNRP!AV:BA,6,0))</f>
        <v>92167</v>
      </c>
      <c r="AC102" s="396">
        <f>BS[[#This Row],[CLEAN PRICE]]*BS[[#This Row],[BALANCE]]/100000</f>
        <v>46083500000</v>
      </c>
      <c r="AF102" s="629"/>
      <c r="AK102" s="734"/>
      <c r="AL102" s="128">
        <v>41196</v>
      </c>
      <c r="AM102" s="128" t="s">
        <v>2788</v>
      </c>
      <c r="AN102" s="736">
        <v>3.1</v>
      </c>
      <c r="AO102" s="128" t="s">
        <v>907</v>
      </c>
      <c r="AP102" s="49" t="s">
        <v>2180</v>
      </c>
      <c r="AQ102" s="530">
        <v>3000000</v>
      </c>
      <c r="AR102" s="500">
        <v>977.62861553802668</v>
      </c>
      <c r="AS102" s="530">
        <v>101188</v>
      </c>
      <c r="AT102" s="530">
        <v>101366</v>
      </c>
      <c r="AU102" s="769">
        <v>2.999963588</v>
      </c>
      <c r="AV102" s="747">
        <v>116347000000</v>
      </c>
      <c r="AW102" s="534">
        <f>(_xlfn.XLOOKUP(RPBOD3[[#This Row],[Bonds_ShortName]],FNRP!D:D,FNRP!H:H,_xlfn.XLOOKUP(RPBOD3[[#This Row],[Bonds_ShortName]],FNRP!AV:AV,FNRP!AZ:AZ,,0),0)-RPBOD3[[#This Row],[PTCK_Remain]]-10^5)*RPBOD3[[#This Row],[Quantity]]</f>
        <v>-54604885846.614067</v>
      </c>
      <c r="AY102" s="128"/>
      <c r="AZ102" s="610">
        <v>46252</v>
      </c>
      <c r="BA102" s="850">
        <v>48605</v>
      </c>
      <c r="BB102" s="852" t="s">
        <v>3621</v>
      </c>
      <c r="BC102" s="39" t="s">
        <v>824</v>
      </c>
      <c r="BD102" s="530">
        <v>1045000</v>
      </c>
      <c r="BE102" s="530">
        <v>86928</v>
      </c>
      <c r="BF102" s="658">
        <v>46044</v>
      </c>
      <c r="BG102" s="658">
        <v>46045</v>
      </c>
      <c r="BH102" s="658">
        <v>51144</v>
      </c>
      <c r="BI102" s="500">
        <v>90955755000</v>
      </c>
      <c r="BJ102" s="49">
        <v>2.9</v>
      </c>
      <c r="BK102" s="49">
        <v>103.18004581700001</v>
      </c>
      <c r="BL102" s="630" t="s">
        <v>2172</v>
      </c>
      <c r="BM102" s="49" t="s">
        <v>1033</v>
      </c>
      <c r="BN10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02" s="396">
        <f>(PTCK_offBS[[#This Row],[VALUE_DATE]]-PTCK_offBS[[#This Row],[LAST_PMT]])*PTCK_offBS[[#This Row],[COUPON_RATE]]*1000/(DATE(YEAR(PTCK_offBS[[#This Row],[LAST_PMT]])+1,MONTH(PTCK_offBS[[#This Row],[LAST_PMT]]),DAY(PTCK_offBS[[#This Row],[LAST_PMT]]))-PTCK_offBS[[#This Row],[LAST_PMT]])</f>
        <v>111.23287671232876</v>
      </c>
      <c r="BP102" s="396">
        <f>PTCK_offBS[[#This Row],[GROSS_AMOUNT]]/PTCK_offBS[[#This Row],[QUANTITY]]-PTCK_offBS[[#This Row],[START_ACC]]-10^5</f>
        <v>-13072.232876712325</v>
      </c>
      <c r="BQ102" s="396">
        <f>IF(PTCK_offBS[[#This Row],[BS]]="Others",PTCK_offBS[[#This Row],[PTCK]]*(PTCK_offBS[[#This Row],[MATURITY_DATE]]-PTCK_offBS[[#This Row],[POSTED_DT]]-1)/(PTCK_offBS[[#This Row],[MATURITY_DATE]]-PTCK_offBS[[#This Row],[VALUE_DATE]]),PTCK_offBS[[#This Row],[PTCK]])</f>
        <v>-12538.986271818001</v>
      </c>
      <c r="BR102" s="396">
        <f>PTCK_offBS[[#This Row],[PTCK remain]]*PTCK_offBS[[#This Row],[QUANTITY]]</f>
        <v>-13103240654.04981</v>
      </c>
    </row>
    <row r="103" spans="3:70" x14ac:dyDescent="0.3">
      <c r="C103" s="128"/>
      <c r="D103" s="128"/>
      <c r="E103" s="128"/>
      <c r="F103" s="128"/>
      <c r="G103" s="533"/>
      <c r="T103" s="362"/>
      <c r="U103" s="375">
        <v>46252</v>
      </c>
      <c r="V103" s="128" t="s">
        <v>3118</v>
      </c>
      <c r="W103" s="128" t="s">
        <v>1033</v>
      </c>
      <c r="X103" s="530">
        <v>300000000000</v>
      </c>
      <c r="Y103" s="530">
        <v>89543</v>
      </c>
      <c r="Z103" s="530">
        <v>268629000000</v>
      </c>
      <c r="AA103" s="128" t="s">
        <v>2795</v>
      </c>
      <c r="AB103" s="533">
        <f>_xlfn.IFNA(VLOOKUP(BS[[#This Row],[BOND_CODE]],FNRP!D:I,6,0),VLOOKUP(BS[[#This Row],[BOND_CODE]],FNRP!AV:BA,6,0))</f>
        <v>89539</v>
      </c>
      <c r="AC103" s="396">
        <f>BS[[#This Row],[CLEAN PRICE]]*BS[[#This Row],[BALANCE]]/100000</f>
        <v>268617000000</v>
      </c>
      <c r="AF103" s="629"/>
      <c r="AK103" s="734"/>
      <c r="AL103" s="128">
        <v>41200</v>
      </c>
      <c r="AM103" s="128" t="s">
        <v>2788</v>
      </c>
      <c r="AN103" s="736">
        <v>3.1</v>
      </c>
      <c r="AO103" s="128" t="s">
        <v>907</v>
      </c>
      <c r="AP103" s="49" t="s">
        <v>2180</v>
      </c>
      <c r="AQ103" s="530">
        <v>2650000</v>
      </c>
      <c r="AR103" s="500">
        <v>977.62861553802634</v>
      </c>
      <c r="AS103" s="530">
        <v>101188</v>
      </c>
      <c r="AT103" s="530">
        <v>101366</v>
      </c>
      <c r="AU103" s="769">
        <v>2.999963588</v>
      </c>
      <c r="AV103" s="747">
        <v>116347000000</v>
      </c>
      <c r="AW103" s="534">
        <f>(_xlfn.XLOOKUP(RPBOD3[[#This Row],[Bonds_ShortName]],FNRP!D:D,FNRP!H:H,_xlfn.XLOOKUP(RPBOD3[[#This Row],[Bonds_ShortName]],FNRP!AV:AV,FNRP!AZ:AZ,,0),0)-RPBOD3[[#This Row],[PTCK_Remain]]-10^5)*RPBOD3[[#This Row],[Quantity]]</f>
        <v>-48234315831.175758</v>
      </c>
      <c r="AY103" s="128"/>
      <c r="AZ103" s="610">
        <v>46252</v>
      </c>
      <c r="BA103" s="850">
        <v>49643</v>
      </c>
      <c r="BB103" s="852" t="s">
        <v>3517</v>
      </c>
      <c r="BC103" s="39" t="s">
        <v>824</v>
      </c>
      <c r="BD103" s="530">
        <v>2000000</v>
      </c>
      <c r="BE103" s="530">
        <v>98257</v>
      </c>
      <c r="BF103" s="658">
        <v>46147</v>
      </c>
      <c r="BG103" s="658">
        <v>46148</v>
      </c>
      <c r="BH103" s="658">
        <v>47688</v>
      </c>
      <c r="BI103" s="500">
        <v>200746000000</v>
      </c>
      <c r="BJ103" s="49">
        <v>2.7</v>
      </c>
      <c r="BK103" s="49">
        <v>104.18004581700001</v>
      </c>
      <c r="BL103" s="630" t="s">
        <v>2172</v>
      </c>
      <c r="BM103" s="49" t="s">
        <v>1033</v>
      </c>
      <c r="BN10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45862</v>
      </c>
      <c r="BO103" s="396">
        <f>(PTCK_offBS[[#This Row],[VALUE_DATE]]-PTCK_offBS[[#This Row],[LAST_PMT]])*PTCK_offBS[[#This Row],[COUPON_RATE]]*1000/(DATE(YEAR(PTCK_offBS[[#This Row],[LAST_PMT]])+1,MONTH(PTCK_offBS[[#This Row],[LAST_PMT]]),DAY(PTCK_offBS[[#This Row],[LAST_PMT]]))-PTCK_offBS[[#This Row],[LAST_PMT]])</f>
        <v>2115.6164383561645</v>
      </c>
      <c r="BP103" s="396">
        <f>PTCK_offBS[[#This Row],[GROSS_AMOUNT]]/PTCK_offBS[[#This Row],[QUANTITY]]-PTCK_offBS[[#This Row],[START_ACC]]-10^5</f>
        <v>-1742.61643835617</v>
      </c>
      <c r="BQ103" s="396">
        <f>IF(PTCK_offBS[[#This Row],[BS]]="Others",PTCK_offBS[[#This Row],[PTCK]]*(PTCK_offBS[[#This Row],[MATURITY_DATE]]-PTCK_offBS[[#This Row],[POSTED_DT]]-1)/(PTCK_offBS[[#This Row],[MATURITY_DATE]]-PTCK_offBS[[#This Row],[VALUE_DATE]]),PTCK_offBS[[#This Row],[PTCK]])</f>
        <v>-1623.8016811955222</v>
      </c>
      <c r="BR103" s="396">
        <f>PTCK_offBS[[#This Row],[PTCK remain]]*PTCK_offBS[[#This Row],[QUANTITY]]</f>
        <v>-3247603362.3910441</v>
      </c>
    </row>
    <row r="104" spans="3:70" x14ac:dyDescent="0.3">
      <c r="C104" s="128"/>
      <c r="D104" s="128"/>
      <c r="E104" s="128"/>
      <c r="F104" s="128"/>
      <c r="G104" s="533"/>
      <c r="T104" s="362"/>
      <c r="U104" s="375">
        <v>46252</v>
      </c>
      <c r="V104" s="128" t="s">
        <v>2834</v>
      </c>
      <c r="W104" s="128" t="s">
        <v>822</v>
      </c>
      <c r="X104" s="530">
        <v>200000000000</v>
      </c>
      <c r="Y104" s="530">
        <v>89192</v>
      </c>
      <c r="Z104" s="530">
        <v>178384000000</v>
      </c>
      <c r="AA104" s="128" t="s">
        <v>2795</v>
      </c>
      <c r="AB104" s="533">
        <f>_xlfn.IFNA(VLOOKUP(BS[[#This Row],[BOND_CODE]],FNRP!D:I,6,0),VLOOKUP(BS[[#This Row],[BOND_CODE]],FNRP!AV:BA,6,0))</f>
        <v>89188</v>
      </c>
      <c r="AC104" s="396">
        <f>BS[[#This Row],[CLEAN PRICE]]*BS[[#This Row],[BALANCE]]/100000</f>
        <v>178376000000</v>
      </c>
      <c r="AF104" s="629"/>
      <c r="AK104" s="734"/>
      <c r="AL104" s="128">
        <v>41141</v>
      </c>
      <c r="AM104" s="128" t="s">
        <v>568</v>
      </c>
      <c r="AN104" s="736">
        <v>6.6</v>
      </c>
      <c r="AO104" s="128" t="s">
        <v>821</v>
      </c>
      <c r="AP104" s="49" t="s">
        <v>2180</v>
      </c>
      <c r="AQ104" s="530">
        <v>3500000</v>
      </c>
      <c r="AR104" s="500">
        <v>2059.8134484812372</v>
      </c>
      <c r="AS104" s="530">
        <v>113233</v>
      </c>
      <c r="AT104" s="530">
        <v>118857</v>
      </c>
      <c r="AU104" s="769">
        <v>2.199859156</v>
      </c>
      <c r="AV104" s="747">
        <v>116347000000</v>
      </c>
      <c r="AW104" s="534">
        <f>(_xlfn.XLOOKUP(RPBOD3[[#This Row],[Bonds_ShortName]],FNRP!D:D,FNRP!H:H,_xlfn.XLOOKUP(RPBOD3[[#This Row],[Bonds_ShortName]],FNRP!AV:AV,FNRP!AZ:AZ,,0),0)-RPBOD3[[#This Row],[PTCK_Remain]]-10^5)*RPBOD3[[#This Row],[Quantity]]</f>
        <v>-3481847069.6843143</v>
      </c>
      <c r="AY104" s="128"/>
      <c r="AZ104" s="610">
        <v>46252</v>
      </c>
      <c r="BA104" s="850">
        <v>49951</v>
      </c>
      <c r="BB104" s="852" t="s">
        <v>598</v>
      </c>
      <c r="BC104" s="39" t="s">
        <v>824</v>
      </c>
      <c r="BD104" s="530">
        <v>390000</v>
      </c>
      <c r="BE104" s="530">
        <v>109280</v>
      </c>
      <c r="BF104" s="658">
        <v>46183</v>
      </c>
      <c r="BG104" s="658">
        <v>46184</v>
      </c>
      <c r="BH104" s="658">
        <v>47406</v>
      </c>
      <c r="BI104" s="500">
        <v>44406960000</v>
      </c>
      <c r="BJ104" s="49">
        <v>7</v>
      </c>
      <c r="BK104" s="49">
        <v>105.18004581700001</v>
      </c>
      <c r="BL104" s="630" t="s">
        <v>2172</v>
      </c>
      <c r="BM104" s="49" t="s">
        <v>1033</v>
      </c>
      <c r="BN10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104" s="396">
        <f>(PTCK_offBS[[#This Row],[VALUE_DATE]]-PTCK_offBS[[#This Row],[LAST_PMT]])*PTCK_offBS[[#This Row],[COUPON_RATE]]*1000/(DATE(YEAR(PTCK_offBS[[#This Row],[LAST_PMT]])+1,MONTH(PTCK_offBS[[#This Row],[LAST_PMT]]),DAY(PTCK_offBS[[#This Row],[LAST_PMT]]))-PTCK_offBS[[#This Row],[LAST_PMT]])</f>
        <v>4583.5616438356165</v>
      </c>
      <c r="BP104" s="396">
        <f>PTCK_offBS[[#This Row],[GROSS_AMOUNT]]/PTCK_offBS[[#This Row],[QUANTITY]]-PTCK_offBS[[#This Row],[START_ACC]]-10^5</f>
        <v>9280.4383561643772</v>
      </c>
      <c r="BQ104" s="396">
        <f>IF(PTCK_offBS[[#This Row],[BS]]="Others",PTCK_offBS[[#This Row],[PTCK]]*(PTCK_offBS[[#This Row],[MATURITY_DATE]]-PTCK_offBS[[#This Row],[POSTED_DT]]-1)/(PTCK_offBS[[#This Row],[MATURITY_DATE]]-PTCK_offBS[[#This Row],[VALUE_DATE]]),PTCK_offBS[[#This Row],[PTCK]])</f>
        <v>8756.4201511109059</v>
      </c>
      <c r="BR104" s="396">
        <f>PTCK_offBS[[#This Row],[PTCK remain]]*PTCK_offBS[[#This Row],[QUANTITY]]</f>
        <v>3415003858.9332533</v>
      </c>
    </row>
    <row r="105" spans="3:70" x14ac:dyDescent="0.3">
      <c r="C105" s="128"/>
      <c r="D105" s="128"/>
      <c r="E105" s="128"/>
      <c r="F105" s="128"/>
      <c r="G105" s="629"/>
      <c r="T105" s="362"/>
      <c r="U105" s="375">
        <v>46252</v>
      </c>
      <c r="V105" s="128" t="s">
        <v>2831</v>
      </c>
      <c r="W105" s="128" t="s">
        <v>1033</v>
      </c>
      <c r="X105" s="530">
        <v>100000000000</v>
      </c>
      <c r="Y105" s="530">
        <v>89245</v>
      </c>
      <c r="Z105" s="530">
        <v>89245000000</v>
      </c>
      <c r="AA105" s="128" t="s">
        <v>2805</v>
      </c>
      <c r="AB105" s="533">
        <f>_xlfn.IFNA(VLOOKUP(BS[[#This Row],[BOND_CODE]],FNRP!D:I,6,0),VLOOKUP(BS[[#This Row],[BOND_CODE]],FNRP!AV:BA,6,0))</f>
        <v>89242</v>
      </c>
      <c r="AC105" s="396">
        <f>BS[[#This Row],[CLEAN PRICE]]*BS[[#This Row],[BALANCE]]/100000</f>
        <v>89242000000</v>
      </c>
      <c r="AF105" s="629"/>
      <c r="AK105" s="734"/>
      <c r="AL105" s="128">
        <v>41203</v>
      </c>
      <c r="AM105" s="128" t="s">
        <v>2788</v>
      </c>
      <c r="AN105" s="736">
        <v>3.1</v>
      </c>
      <c r="AO105" s="128" t="s">
        <v>907</v>
      </c>
      <c r="AP105" s="49" t="s">
        <v>2180</v>
      </c>
      <c r="AQ105" s="530">
        <v>1000000</v>
      </c>
      <c r="AR105" s="500">
        <v>977.42101136455801</v>
      </c>
      <c r="AS105" s="530">
        <v>101188</v>
      </c>
      <c r="AT105" s="530">
        <v>101374</v>
      </c>
      <c r="AU105" s="769">
        <v>3</v>
      </c>
      <c r="AV105" s="747">
        <v>116347000000</v>
      </c>
      <c r="AW105" s="534">
        <f>(_xlfn.XLOOKUP(RPBOD3[[#This Row],[Bonds_ShortName]],FNRP!D:D,FNRP!H:H,_xlfn.XLOOKUP(RPBOD3[[#This Row],[Bonds_ShortName]],FNRP!AV:AV,FNRP!AZ:AZ,,0),0)-RPBOD3[[#This Row],[PTCK_Remain]]-10^5)*RPBOD3[[#This Row],[Quantity]]</f>
        <v>-18201421011.364552</v>
      </c>
      <c r="AY105" s="128"/>
      <c r="AZ105" s="610">
        <v>46252</v>
      </c>
      <c r="BA105" s="850">
        <v>49947</v>
      </c>
      <c r="BB105" s="852" t="s">
        <v>2497</v>
      </c>
      <c r="BC105" s="39" t="s">
        <v>824</v>
      </c>
      <c r="BD105" s="530">
        <v>1500000</v>
      </c>
      <c r="BE105" s="530">
        <v>103153</v>
      </c>
      <c r="BF105" s="658">
        <v>46183</v>
      </c>
      <c r="BG105" s="658">
        <v>46184</v>
      </c>
      <c r="BH105" s="658">
        <v>55966</v>
      </c>
      <c r="BI105" s="500">
        <v>156111000000</v>
      </c>
      <c r="BJ105" s="49">
        <v>4.2</v>
      </c>
      <c r="BK105" s="49">
        <v>106.18004581700001</v>
      </c>
      <c r="BL105" s="630" t="s">
        <v>2172</v>
      </c>
      <c r="BM105" s="49" t="s">
        <v>1033</v>
      </c>
      <c r="BN10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05" s="396">
        <f>(PTCK_offBS[[#This Row],[VALUE_DATE]]-PTCK_offBS[[#This Row],[LAST_PMT]])*PTCK_offBS[[#This Row],[COUPON_RATE]]*1000/(DATE(YEAR(PTCK_offBS[[#This Row],[LAST_PMT]])+1,MONTH(PTCK_offBS[[#This Row],[LAST_PMT]]),DAY(PTCK_offBS[[#This Row],[LAST_PMT]]))-PTCK_offBS[[#This Row],[LAST_PMT]])</f>
        <v>920.54794520547944</v>
      </c>
      <c r="BP105" s="396">
        <f>PTCK_offBS[[#This Row],[GROSS_AMOUNT]]/PTCK_offBS[[#This Row],[QUANTITY]]-PTCK_offBS[[#This Row],[START_ACC]]-10^5</f>
        <v>3153.452054794514</v>
      </c>
      <c r="BQ105" s="396">
        <f>IF(PTCK_offBS[[#This Row],[BS]]="Others",PTCK_offBS[[#This Row],[PTCK]]*(PTCK_offBS[[#This Row],[MATURITY_DATE]]-PTCK_offBS[[#This Row],[POSTED_DT]]-1)/(PTCK_offBS[[#This Row],[MATURITY_DATE]]-PTCK_offBS[[#This Row],[VALUE_DATE]]),PTCK_offBS[[#This Row],[PTCK]])</f>
        <v>3131.2083222468937</v>
      </c>
      <c r="BR105" s="396">
        <f>PTCK_offBS[[#This Row],[PTCK remain]]*PTCK_offBS[[#This Row],[QUANTITY]]</f>
        <v>4696812483.3703403</v>
      </c>
    </row>
    <row r="106" spans="3:70" x14ac:dyDescent="0.3">
      <c r="T106" s="362"/>
      <c r="U106" s="375">
        <v>46252</v>
      </c>
      <c r="V106" s="128" t="s">
        <v>688</v>
      </c>
      <c r="W106" s="128" t="s">
        <v>822</v>
      </c>
      <c r="X106" s="530">
        <v>100000000000</v>
      </c>
      <c r="Y106" s="530">
        <v>89738</v>
      </c>
      <c r="Z106" s="530">
        <v>89738000000</v>
      </c>
      <c r="AA106" s="128" t="s">
        <v>2795</v>
      </c>
      <c r="AB106" s="533">
        <f>_xlfn.IFNA(VLOOKUP(BS[[#This Row],[BOND_CODE]],FNRP!D:I,6,0),VLOOKUP(BS[[#This Row],[BOND_CODE]],FNRP!AV:BA,6,0))</f>
        <v>89735</v>
      </c>
      <c r="AC106" s="396">
        <f>BS[[#This Row],[CLEAN PRICE]]*BS[[#This Row],[BALANCE]]/100000</f>
        <v>89735000000</v>
      </c>
      <c r="AF106" s="629"/>
      <c r="AK106" s="734"/>
      <c r="AL106" s="128">
        <v>41205</v>
      </c>
      <c r="AM106" s="128" t="s">
        <v>2782</v>
      </c>
      <c r="AN106" s="736">
        <v>3.4</v>
      </c>
      <c r="AO106" s="128" t="s">
        <v>907</v>
      </c>
      <c r="AP106" s="49" t="s">
        <v>2180</v>
      </c>
      <c r="AQ106" s="530">
        <v>270000</v>
      </c>
      <c r="AR106" s="500">
        <v>4849.2529433201853</v>
      </c>
      <c r="AS106" s="530">
        <v>105896</v>
      </c>
      <c r="AT106" s="530">
        <v>106230</v>
      </c>
      <c r="AU106" s="769">
        <v>2.9064999999999999</v>
      </c>
      <c r="AV106" s="747">
        <v>116347000000</v>
      </c>
      <c r="AW106" s="534">
        <f>(_xlfn.XLOOKUP(RPBOD3[[#This Row],[Bonds_ShortName]],FNRP!D:D,FNRP!H:H,_xlfn.XLOOKUP(RPBOD3[[#This Row],[Bonds_ShortName]],FNRP!AV:AV,FNRP!AZ:AZ,,0),0)-RPBOD3[[#This Row],[PTCK_Remain]]-10^5)*RPBOD3[[#This Row],[Quantity]]</f>
        <v>-5218088294.6964502</v>
      </c>
      <c r="AY106" s="128"/>
      <c r="AZ106" s="610">
        <v>46252</v>
      </c>
      <c r="BA106" s="850">
        <v>49945</v>
      </c>
      <c r="BB106" s="852" t="s">
        <v>3026</v>
      </c>
      <c r="BC106" s="39" t="s">
        <v>824</v>
      </c>
      <c r="BD106" s="530">
        <v>2500000</v>
      </c>
      <c r="BE106" s="530">
        <v>70936</v>
      </c>
      <c r="BF106" s="658">
        <v>46183</v>
      </c>
      <c r="BG106" s="658">
        <v>46184</v>
      </c>
      <c r="BH106" s="658">
        <v>56267</v>
      </c>
      <c r="BI106" s="500">
        <v>180102500000</v>
      </c>
      <c r="BJ106" s="49">
        <v>2.8</v>
      </c>
      <c r="BK106" s="49">
        <v>107.18004581700001</v>
      </c>
      <c r="BL106" s="630" t="s">
        <v>2172</v>
      </c>
      <c r="BM106" s="49" t="s">
        <v>1033</v>
      </c>
      <c r="BN10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06" s="396">
        <f>(PTCK_offBS[[#This Row],[VALUE_DATE]]-PTCK_offBS[[#This Row],[LAST_PMT]])*PTCK_offBS[[#This Row],[COUPON_RATE]]*1000/(DATE(YEAR(PTCK_offBS[[#This Row],[LAST_PMT]])+1,MONTH(PTCK_offBS[[#This Row],[LAST_PMT]]),DAY(PTCK_offBS[[#This Row],[LAST_PMT]]))-PTCK_offBS[[#This Row],[LAST_PMT]])</f>
        <v>1104.6575342465753</v>
      </c>
      <c r="BP106" s="396">
        <f>PTCK_offBS[[#This Row],[GROSS_AMOUNT]]/PTCK_offBS[[#This Row],[QUANTITY]]-PTCK_offBS[[#This Row],[START_ACC]]-10^5</f>
        <v>-29063.65753424658</v>
      </c>
      <c r="BQ106" s="396">
        <f>IF(PTCK_offBS[[#This Row],[BS]]="Others",PTCK_offBS[[#This Row],[PTCK]]*(PTCK_offBS[[#This Row],[MATURITY_DATE]]-PTCK_offBS[[#This Row],[POSTED_DT]]-1)/(PTCK_offBS[[#This Row],[MATURITY_DATE]]-PTCK_offBS[[#This Row],[VALUE_DATE]]),PTCK_offBS[[#This Row],[PTCK]])</f>
        <v>-28864.769071501069</v>
      </c>
      <c r="BR106" s="396">
        <f>PTCK_offBS[[#This Row],[PTCK remain]]*PTCK_offBS[[#This Row],[QUANTITY]]</f>
        <v>-72161922678.75267</v>
      </c>
    </row>
    <row r="107" spans="3:70" x14ac:dyDescent="0.3">
      <c r="T107" s="362"/>
      <c r="U107" s="375">
        <v>46252</v>
      </c>
      <c r="V107" s="128" t="s">
        <v>697</v>
      </c>
      <c r="W107" s="128" t="s">
        <v>822</v>
      </c>
      <c r="X107" s="530">
        <v>87000000000</v>
      </c>
      <c r="Y107" s="530">
        <v>85588</v>
      </c>
      <c r="Z107" s="530">
        <v>74461560000</v>
      </c>
      <c r="AA107" s="128" t="s">
        <v>2795</v>
      </c>
      <c r="AB107" s="533">
        <f>_xlfn.IFNA(VLOOKUP(BS[[#This Row],[BOND_CODE]],FNRP!D:I,6,0),VLOOKUP(BS[[#This Row],[BOND_CODE]],FNRP!AV:BA,6,0))</f>
        <v>85584</v>
      </c>
      <c r="AC107" s="396">
        <f>BS[[#This Row],[CLEAN PRICE]]*BS[[#This Row],[BALANCE]]/100000</f>
        <v>74458080000</v>
      </c>
      <c r="AF107" s="629"/>
      <c r="AK107" s="734"/>
      <c r="AL107" s="128">
        <v>41219</v>
      </c>
      <c r="AM107" s="128" t="s">
        <v>2788</v>
      </c>
      <c r="AN107" s="736">
        <v>3.1</v>
      </c>
      <c r="AO107" s="128" t="s">
        <v>907</v>
      </c>
      <c r="AP107" s="49" t="s">
        <v>2180</v>
      </c>
      <c r="AQ107" s="530">
        <v>1000000</v>
      </c>
      <c r="AR107" s="500">
        <v>974.95207238709793</v>
      </c>
      <c r="AS107" s="530">
        <v>101185</v>
      </c>
      <c r="AT107" s="530">
        <v>101371</v>
      </c>
      <c r="AU107" s="769">
        <v>3.0002</v>
      </c>
      <c r="AV107" s="747">
        <v>116347000000</v>
      </c>
      <c r="AW107" s="534">
        <f>(_xlfn.XLOOKUP(RPBOD3[[#This Row],[Bonds_ShortName]],FNRP!D:D,FNRP!H:H,_xlfn.XLOOKUP(RPBOD3[[#This Row],[Bonds_ShortName]],FNRP!AV:AV,FNRP!AZ:AZ,,0),0)-RPBOD3[[#This Row],[PTCK_Remain]]-10^5)*RPBOD3[[#This Row],[Quantity]]</f>
        <v>-18198952072.387096</v>
      </c>
      <c r="AY107" s="128"/>
      <c r="AZ107" s="610">
        <v>46252</v>
      </c>
      <c r="BA107" s="850">
        <v>50151</v>
      </c>
      <c r="BB107" s="852" t="s">
        <v>2862</v>
      </c>
      <c r="BC107" s="39" t="s">
        <v>824</v>
      </c>
      <c r="BD107" s="530">
        <v>1340000</v>
      </c>
      <c r="BE107" s="530">
        <v>96755</v>
      </c>
      <c r="BF107" s="658">
        <v>46204</v>
      </c>
      <c r="BG107" s="658">
        <v>46205</v>
      </c>
      <c r="BH107" s="658">
        <v>49213</v>
      </c>
      <c r="BI107" s="500">
        <v>132314280000</v>
      </c>
      <c r="BJ107" s="49">
        <v>2.6</v>
      </c>
      <c r="BK107" s="49">
        <v>108.18004581700001</v>
      </c>
      <c r="BL107" s="630" t="s">
        <v>2172</v>
      </c>
      <c r="BM107" s="49" t="s">
        <v>1033</v>
      </c>
      <c r="BN10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07" s="396">
        <f>(PTCK_offBS[[#This Row],[VALUE_DATE]]-PTCK_offBS[[#This Row],[LAST_PMT]])*PTCK_offBS[[#This Row],[COUPON_RATE]]*1000/(DATE(YEAR(PTCK_offBS[[#This Row],[LAST_PMT]])+1,MONTH(PTCK_offBS[[#This Row],[LAST_PMT]]),DAY(PTCK_offBS[[#This Row],[LAST_PMT]]))-PTCK_offBS[[#This Row],[LAST_PMT]])</f>
        <v>1987.3972602739725</v>
      </c>
      <c r="BP107" s="396">
        <f>PTCK_offBS[[#This Row],[GROSS_AMOUNT]]/PTCK_offBS[[#This Row],[QUANTITY]]-PTCK_offBS[[#This Row],[START_ACC]]-10^5</f>
        <v>-3245.3972602739668</v>
      </c>
      <c r="BQ107" s="396">
        <f>IF(PTCK_offBS[[#This Row],[BS]]="Others",PTCK_offBS[[#This Row],[PTCK]]*(PTCK_offBS[[#This Row],[MATURITY_DATE]]-PTCK_offBS[[#This Row],[POSTED_DT]]-1)/(PTCK_offBS[[#This Row],[MATURITY_DATE]]-PTCK_offBS[[#This Row],[VALUE_DATE]]),PTCK_offBS[[#This Row],[PTCK]])</f>
        <v>-3193.6090061206587</v>
      </c>
      <c r="BR107" s="396">
        <f>PTCK_offBS[[#This Row],[PTCK remain]]*PTCK_offBS[[#This Row],[QUANTITY]]</f>
        <v>-4279436068.2016826</v>
      </c>
    </row>
    <row r="108" spans="3:70" x14ac:dyDescent="0.3">
      <c r="T108" s="362"/>
      <c r="U108" s="375">
        <v>46252</v>
      </c>
      <c r="V108" s="128" t="s">
        <v>2498</v>
      </c>
      <c r="W108" s="128" t="s">
        <v>822</v>
      </c>
      <c r="X108" s="530">
        <v>50000000000</v>
      </c>
      <c r="Y108" s="530">
        <v>89617</v>
      </c>
      <c r="Z108" s="530">
        <v>44808500000</v>
      </c>
      <c r="AA108" s="128" t="s">
        <v>2795</v>
      </c>
      <c r="AB108" s="533">
        <f>_xlfn.IFNA(VLOOKUP(BS[[#This Row],[BOND_CODE]],FNRP!D:I,6,0),VLOOKUP(BS[[#This Row],[BOND_CODE]],FNRP!AV:BA,6,0))</f>
        <v>89616</v>
      </c>
      <c r="AC108" s="396">
        <f>BS[[#This Row],[CLEAN PRICE]]*BS[[#This Row],[BALANCE]]/100000</f>
        <v>44808000000</v>
      </c>
      <c r="AF108" s="629"/>
      <c r="AK108" s="734"/>
      <c r="AL108" s="128">
        <v>41218</v>
      </c>
      <c r="AM108" s="128" t="s">
        <v>2781</v>
      </c>
      <c r="AN108" s="736">
        <v>3</v>
      </c>
      <c r="AO108" s="128" t="s">
        <v>907</v>
      </c>
      <c r="AP108" s="49" t="s">
        <v>2180</v>
      </c>
      <c r="AQ108" s="530">
        <v>1000000</v>
      </c>
      <c r="AR108" s="500">
        <v>1228.32698504783</v>
      </c>
      <c r="AS108" s="530">
        <v>101676</v>
      </c>
      <c r="AT108" s="530">
        <v>101971</v>
      </c>
      <c r="AU108" s="769">
        <v>2.8033999999999999</v>
      </c>
      <c r="AV108" s="747">
        <v>116347000000</v>
      </c>
      <c r="AW108" s="534">
        <f>(_xlfn.XLOOKUP(RPBOD3[[#This Row],[Bonds_ShortName]],FNRP!D:D,FNRP!H:H,_xlfn.XLOOKUP(RPBOD3[[#This Row],[Bonds_ShortName]],FNRP!AV:AV,FNRP!AZ:AZ,,0),0)-RPBOD3[[#This Row],[PTCK_Remain]]-10^5)*RPBOD3[[#This Row],[Quantity]]</f>
        <v>-12178326985.047825</v>
      </c>
      <c r="AY108" s="128"/>
      <c r="AZ108" s="610">
        <v>46252</v>
      </c>
      <c r="BA108" s="850">
        <v>50149</v>
      </c>
      <c r="BB108" s="852" t="s">
        <v>3051</v>
      </c>
      <c r="BC108" s="39" t="s">
        <v>824</v>
      </c>
      <c r="BD108" s="530">
        <v>1500000</v>
      </c>
      <c r="BE108" s="530">
        <v>95502</v>
      </c>
      <c r="BF108" s="658">
        <v>46204</v>
      </c>
      <c r="BG108" s="658">
        <v>46205</v>
      </c>
      <c r="BH108" s="658">
        <v>49367</v>
      </c>
      <c r="BI108" s="500">
        <v>144742500000</v>
      </c>
      <c r="BJ108" s="49">
        <v>2.9</v>
      </c>
      <c r="BK108" s="49">
        <v>109.18004581700001</v>
      </c>
      <c r="BL108" s="630" t="s">
        <v>2172</v>
      </c>
      <c r="BM108" s="49" t="s">
        <v>1033</v>
      </c>
      <c r="BN10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108" s="396">
        <f>(PTCK_offBS[[#This Row],[VALUE_DATE]]-PTCK_offBS[[#This Row],[LAST_PMT]])*PTCK_offBS[[#This Row],[COUPON_RATE]]*1000/(DATE(YEAR(PTCK_offBS[[#This Row],[LAST_PMT]])+1,MONTH(PTCK_offBS[[#This Row],[LAST_PMT]]),DAY(PTCK_offBS[[#This Row],[LAST_PMT]]))-PTCK_offBS[[#This Row],[LAST_PMT]])</f>
        <v>993.15068493150682</v>
      </c>
      <c r="BP108" s="396">
        <f>PTCK_offBS[[#This Row],[GROSS_AMOUNT]]/PTCK_offBS[[#This Row],[QUANTITY]]-PTCK_offBS[[#This Row],[START_ACC]]-10^5</f>
        <v>-4498.1506849315047</v>
      </c>
      <c r="BQ108" s="396">
        <f>IF(PTCK_offBS[[#This Row],[BS]]="Others",PTCK_offBS[[#This Row],[PTCK]]*(PTCK_offBS[[#This Row],[MATURITY_DATE]]-PTCK_offBS[[#This Row],[POSTED_DT]]-1)/(PTCK_offBS[[#This Row],[MATURITY_DATE]]-PTCK_offBS[[#This Row],[VALUE_DATE]]),PTCK_offBS[[#This Row],[PTCK]])</f>
        <v>-4429.8675625796031</v>
      </c>
      <c r="BR108" s="396">
        <f>PTCK_offBS[[#This Row],[PTCK remain]]*PTCK_offBS[[#This Row],[QUANTITY]]</f>
        <v>-6644801343.8694048</v>
      </c>
    </row>
    <row r="109" spans="3:70" x14ac:dyDescent="0.3">
      <c r="T109" s="362"/>
      <c r="U109" s="375">
        <v>46252</v>
      </c>
      <c r="V109" s="128" t="s">
        <v>2799</v>
      </c>
      <c r="W109" s="128" t="s">
        <v>822</v>
      </c>
      <c r="X109" s="530">
        <v>350000000000</v>
      </c>
      <c r="Y109" s="530">
        <v>86142</v>
      </c>
      <c r="Z109" s="530">
        <v>301497000000</v>
      </c>
      <c r="AA109" s="128" t="s">
        <v>2795</v>
      </c>
      <c r="AB109" s="533">
        <f>_xlfn.IFNA(VLOOKUP(BS[[#This Row],[BOND_CODE]],FNRP!D:I,6,0),VLOOKUP(BS[[#This Row],[BOND_CODE]],FNRP!AV:BA,6,0))</f>
        <v>86137</v>
      </c>
      <c r="AC109" s="396">
        <f>BS[[#This Row],[CLEAN PRICE]]*BS[[#This Row],[BALANCE]]/100000</f>
        <v>301479500000</v>
      </c>
      <c r="AF109" s="629"/>
      <c r="AK109" s="734"/>
      <c r="AL109" s="128">
        <v>38997</v>
      </c>
      <c r="AM109" s="128" t="s">
        <v>697</v>
      </c>
      <c r="AN109" s="736">
        <v>2.5</v>
      </c>
      <c r="AO109" s="128" t="s">
        <v>823</v>
      </c>
      <c r="AP109" s="49" t="s">
        <v>2180</v>
      </c>
      <c r="AQ109" s="530">
        <v>370000</v>
      </c>
      <c r="AR109" s="500">
        <v>-9427.9715921850275</v>
      </c>
      <c r="AS109" s="530">
        <v>86833</v>
      </c>
      <c r="AT109" s="530">
        <v>89265</v>
      </c>
      <c r="AU109" s="769">
        <v>3.8</v>
      </c>
      <c r="AV109" s="747">
        <v>116347000000</v>
      </c>
      <c r="AW109" s="534">
        <f>(_xlfn.XLOOKUP(RPBOD3[[#This Row],[Bonds_ShortName]],FNRP!D:D,FNRP!H:H,_xlfn.XLOOKUP(RPBOD3[[#This Row],[Bonds_ShortName]],FNRP!AV:AV,FNRP!AZ:AZ,,0),0)-RPBOD3[[#This Row],[PTCK_Remain]]-10^5)*RPBOD3[[#This Row],[Quantity]]</f>
        <v>-1845570510.8915391</v>
      </c>
      <c r="AY109" s="128"/>
      <c r="AZ109" s="610">
        <v>46252</v>
      </c>
      <c r="BA109" s="850">
        <v>50147</v>
      </c>
      <c r="BB109" s="852" t="s">
        <v>2786</v>
      </c>
      <c r="BC109" s="39" t="s">
        <v>824</v>
      </c>
      <c r="BD109" s="530">
        <v>500000</v>
      </c>
      <c r="BE109" s="530">
        <v>96126</v>
      </c>
      <c r="BF109" s="658">
        <v>46204</v>
      </c>
      <c r="BG109" s="658">
        <v>46205</v>
      </c>
      <c r="BH109" s="658">
        <v>50697</v>
      </c>
      <c r="BI109" s="500">
        <v>48975000000</v>
      </c>
      <c r="BJ109" s="49">
        <v>2.6</v>
      </c>
      <c r="BK109" s="49">
        <v>110.18004581700001</v>
      </c>
      <c r="BL109" s="630" t="s">
        <v>2172</v>
      </c>
      <c r="BM109" s="49" t="s">
        <v>1033</v>
      </c>
      <c r="BN10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45949</v>
      </c>
      <c r="BO109" s="396">
        <f>(PTCK_offBS[[#This Row],[VALUE_DATE]]-PTCK_offBS[[#This Row],[LAST_PMT]])*PTCK_offBS[[#This Row],[COUPON_RATE]]*1000/(DATE(YEAR(PTCK_offBS[[#This Row],[LAST_PMT]])+1,MONTH(PTCK_offBS[[#This Row],[LAST_PMT]]),DAY(PTCK_offBS[[#This Row],[LAST_PMT]]))-PTCK_offBS[[#This Row],[LAST_PMT]])</f>
        <v>1823.5616438356165</v>
      </c>
      <c r="BP109" s="396">
        <f>PTCK_offBS[[#This Row],[GROSS_AMOUNT]]/PTCK_offBS[[#This Row],[QUANTITY]]-PTCK_offBS[[#This Row],[START_ACC]]-10^5</f>
        <v>-3873.5616438356228</v>
      </c>
      <c r="BQ109" s="396">
        <f>IF(PTCK_offBS[[#This Row],[BS]]="Others",PTCK_offBS[[#This Row],[PTCK]]*(PTCK_offBS[[#This Row],[MATURITY_DATE]]-PTCK_offBS[[#This Row],[POSTED_DT]]-1)/(PTCK_offBS[[#This Row],[MATURITY_DATE]]-PTCK_offBS[[#This Row],[VALUE_DATE]]),PTCK_offBS[[#This Row],[PTCK]])</f>
        <v>-3832.1700679442365</v>
      </c>
      <c r="BR109" s="396">
        <f>PTCK_offBS[[#This Row],[PTCK remain]]*PTCK_offBS[[#This Row],[QUANTITY]]</f>
        <v>-1916085033.9721181</v>
      </c>
    </row>
    <row r="110" spans="3:70" x14ac:dyDescent="0.3">
      <c r="T110" s="362"/>
      <c r="U110" s="375">
        <v>46252</v>
      </c>
      <c r="V110" s="128" t="s">
        <v>593</v>
      </c>
      <c r="W110" s="128" t="s">
        <v>822</v>
      </c>
      <c r="X110" s="530">
        <v>1490400000</v>
      </c>
      <c r="Y110" s="530">
        <v>112319</v>
      </c>
      <c r="Z110" s="530">
        <v>1674002376</v>
      </c>
      <c r="AA110" s="128" t="s">
        <v>2795</v>
      </c>
      <c r="AB110" s="533">
        <f>_xlfn.IFNA(VLOOKUP(BS[[#This Row],[BOND_CODE]],FNRP!D:I,6,0),VLOOKUP(BS[[#This Row],[BOND_CODE]],FNRP!AV:BA,6,0))</f>
        <v>112331</v>
      </c>
      <c r="AC110" s="396">
        <f>BS[[#This Row],[CLEAN PRICE]]*BS[[#This Row],[BALANCE]]/100000</f>
        <v>1674181224</v>
      </c>
      <c r="AF110" s="629"/>
      <c r="AK110" s="734"/>
      <c r="AL110" s="128">
        <v>39031</v>
      </c>
      <c r="AM110" s="128" t="s">
        <v>684</v>
      </c>
      <c r="AN110" s="736">
        <v>7.4</v>
      </c>
      <c r="AO110" s="128" t="s">
        <v>823</v>
      </c>
      <c r="AP110" s="49" t="s">
        <v>2180</v>
      </c>
      <c r="AQ110" s="530">
        <v>120000</v>
      </c>
      <c r="AR110" s="500">
        <v>29044.367852061085</v>
      </c>
      <c r="AS110" s="530">
        <v>139100</v>
      </c>
      <c r="AT110" s="530">
        <v>144392</v>
      </c>
      <c r="AU110" s="769">
        <v>3.8</v>
      </c>
      <c r="AV110" s="747">
        <v>116347000000</v>
      </c>
      <c r="AW110" s="534">
        <f>(_xlfn.XLOOKUP(RPBOD3[[#This Row],[Bonds_ShortName]],FNRP!D:D,FNRP!H:H,_xlfn.XLOOKUP(RPBOD3[[#This Row],[Bonds_ShortName]],FNRP!AV:AV,FNRP!AZ:AZ,,0),0)-RPBOD3[[#This Row],[PTCK_Remain]]-10^5)*RPBOD3[[#This Row],[Quantity]]</f>
        <v>-562244142.24733019</v>
      </c>
      <c r="AY110" s="128"/>
      <c r="AZ110" s="610">
        <v>46252</v>
      </c>
      <c r="BA110" s="850">
        <v>50207</v>
      </c>
      <c r="BB110" s="852" t="s">
        <v>2497</v>
      </c>
      <c r="BC110" s="39" t="s">
        <v>824</v>
      </c>
      <c r="BD110" s="530">
        <v>320000</v>
      </c>
      <c r="BE110" s="530">
        <v>103183</v>
      </c>
      <c r="BF110" s="658">
        <v>46225</v>
      </c>
      <c r="BG110" s="658">
        <v>46226</v>
      </c>
      <c r="BH110" s="658">
        <v>55966</v>
      </c>
      <c r="BI110" s="500">
        <v>33467840000</v>
      </c>
      <c r="BJ110" s="49">
        <v>4.2</v>
      </c>
      <c r="BK110" s="49">
        <v>111.18004581700001</v>
      </c>
      <c r="BL110" s="630" t="s">
        <v>2172</v>
      </c>
      <c r="BM110" s="49" t="s">
        <v>1033</v>
      </c>
      <c r="BN1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10" s="396">
        <f>(PTCK_offBS[[#This Row],[VALUE_DATE]]-PTCK_offBS[[#This Row],[LAST_PMT]])*PTCK_offBS[[#This Row],[COUPON_RATE]]*1000/(DATE(YEAR(PTCK_offBS[[#This Row],[LAST_PMT]])+1,MONTH(PTCK_offBS[[#This Row],[LAST_PMT]]),DAY(PTCK_offBS[[#This Row],[LAST_PMT]]))-PTCK_offBS[[#This Row],[LAST_PMT]])</f>
        <v>1403.8356164383561</v>
      </c>
      <c r="BP110" s="396">
        <f>PTCK_offBS[[#This Row],[GROSS_AMOUNT]]/PTCK_offBS[[#This Row],[QUANTITY]]-PTCK_offBS[[#This Row],[START_ACC]]-10^5</f>
        <v>3183.1643835616414</v>
      </c>
      <c r="BQ110" s="396">
        <f>IF(PTCK_offBS[[#This Row],[BS]]="Others",PTCK_offBS[[#This Row],[PTCK]]*(PTCK_offBS[[#This Row],[MATURITY_DATE]]-PTCK_offBS[[#This Row],[POSTED_DT]]-1)/(PTCK_offBS[[#This Row],[MATURITY_DATE]]-PTCK_offBS[[#This Row],[VALUE_DATE]]),PTCK_offBS[[#This Row],[PTCK]])</f>
        <v>3174.3404165846223</v>
      </c>
      <c r="BR110" s="396">
        <f>PTCK_offBS[[#This Row],[PTCK remain]]*PTCK_offBS[[#This Row],[QUANTITY]]</f>
        <v>1015788933.3070791</v>
      </c>
    </row>
    <row r="111" spans="3:70" x14ac:dyDescent="0.3">
      <c r="T111" s="362"/>
      <c r="U111" s="375">
        <v>46252</v>
      </c>
      <c r="V111" s="128" t="s">
        <v>3051</v>
      </c>
      <c r="W111" s="128" t="s">
        <v>1033</v>
      </c>
      <c r="X111" s="530">
        <v>440000000000</v>
      </c>
      <c r="Y111" s="530">
        <v>89642</v>
      </c>
      <c r="Z111" s="530">
        <v>394424800000</v>
      </c>
      <c r="AA111" s="128" t="s">
        <v>2795</v>
      </c>
      <c r="AB111" s="533">
        <f>_xlfn.IFNA(VLOOKUP(BS[[#This Row],[BOND_CODE]],FNRP!D:I,6,0),VLOOKUP(BS[[#This Row],[BOND_CODE]],FNRP!AV:BA,6,0))</f>
        <v>89638</v>
      </c>
      <c r="AC111" s="396">
        <f>BS[[#This Row],[CLEAN PRICE]]*BS[[#This Row],[BALANCE]]/100000</f>
        <v>394407200000</v>
      </c>
      <c r="AF111" s="629"/>
      <c r="AK111" s="734"/>
      <c r="AL111" s="128">
        <v>39027</v>
      </c>
      <c r="AM111" s="128" t="s">
        <v>640</v>
      </c>
      <c r="AN111" s="736">
        <v>2.2000000000000002</v>
      </c>
      <c r="AO111" s="128" t="s">
        <v>823</v>
      </c>
      <c r="AP111" s="49" t="s">
        <v>2180</v>
      </c>
      <c r="AQ111" s="530">
        <v>100000</v>
      </c>
      <c r="AR111" s="500">
        <v>-6535.74605422282</v>
      </c>
      <c r="AS111" s="530">
        <v>88517</v>
      </c>
      <c r="AT111" s="530">
        <v>89554</v>
      </c>
      <c r="AU111" s="769">
        <v>3.8001</v>
      </c>
      <c r="AV111" s="747">
        <v>116347000000</v>
      </c>
      <c r="AW111" s="534">
        <f>(_xlfn.XLOOKUP(RPBOD3[[#This Row],[Bonds_ShortName]],FNRP!D:D,FNRP!H:H,_xlfn.XLOOKUP(RPBOD3[[#This Row],[Bonds_ShortName]],FNRP!AV:AV,FNRP!AZ:AZ,,0),0)-RPBOD3[[#This Row],[PTCK_Remain]]-10^5)*RPBOD3[[#This Row],[Quantity]]</f>
        <v>-209425394.57771781</v>
      </c>
      <c r="AY111" s="128"/>
      <c r="AZ111" s="610">
        <v>46252</v>
      </c>
      <c r="BA111" s="850">
        <v>50205</v>
      </c>
      <c r="BB111" s="852" t="s">
        <v>3026</v>
      </c>
      <c r="BC111" s="39" t="s">
        <v>824</v>
      </c>
      <c r="BD111" s="530">
        <v>2250000</v>
      </c>
      <c r="BE111" s="530">
        <v>74721</v>
      </c>
      <c r="BF111" s="658">
        <v>46225</v>
      </c>
      <c r="BG111" s="658">
        <v>46226</v>
      </c>
      <c r="BH111" s="658">
        <v>56267</v>
      </c>
      <c r="BI111" s="500">
        <v>171333000000</v>
      </c>
      <c r="BJ111" s="49">
        <v>2.8</v>
      </c>
      <c r="BK111" s="49">
        <v>112.18004581700001</v>
      </c>
      <c r="BL111" s="630" t="s">
        <v>2172</v>
      </c>
      <c r="BM111" s="49" t="s">
        <v>1033</v>
      </c>
      <c r="BN1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11" s="396">
        <f>(PTCK_offBS[[#This Row],[VALUE_DATE]]-PTCK_offBS[[#This Row],[LAST_PMT]])*PTCK_offBS[[#This Row],[COUPON_RATE]]*1000/(DATE(YEAR(PTCK_offBS[[#This Row],[LAST_PMT]])+1,MONTH(PTCK_offBS[[#This Row],[LAST_PMT]]),DAY(PTCK_offBS[[#This Row],[LAST_PMT]]))-PTCK_offBS[[#This Row],[LAST_PMT]])</f>
        <v>1426.8493150684931</v>
      </c>
      <c r="BP111" s="396">
        <f>PTCK_offBS[[#This Row],[GROSS_AMOUNT]]/PTCK_offBS[[#This Row],[QUANTITY]]-PTCK_offBS[[#This Row],[START_ACC]]-10^5</f>
        <v>-25278.849315068495</v>
      </c>
      <c r="BQ111" s="396">
        <f>IF(PTCK_offBS[[#This Row],[BS]]="Others",PTCK_offBS[[#This Row],[PTCK]]*(PTCK_offBS[[#This Row],[MATURITY_DATE]]-PTCK_offBS[[#This Row],[POSTED_DT]]-1)/(PTCK_offBS[[#This Row],[MATURITY_DATE]]-PTCK_offBS[[#This Row],[VALUE_DATE]]),PTCK_offBS[[#This Row],[PTCK]])</f>
        <v>-25210.875116133444</v>
      </c>
      <c r="BR111" s="396">
        <f>PTCK_offBS[[#This Row],[PTCK remain]]*PTCK_offBS[[#This Row],[QUANTITY]]</f>
        <v>-56724469011.300247</v>
      </c>
    </row>
    <row r="112" spans="3:70" x14ac:dyDescent="0.3">
      <c r="T112" s="362"/>
      <c r="U112" s="375">
        <v>46252</v>
      </c>
      <c r="V112" s="128" t="s">
        <v>695</v>
      </c>
      <c r="W112" s="128" t="s">
        <v>1033</v>
      </c>
      <c r="X112" s="530">
        <v>100000000000</v>
      </c>
      <c r="Y112" s="530">
        <v>85267</v>
      </c>
      <c r="Z112" s="530">
        <v>85267000000</v>
      </c>
      <c r="AA112" s="128" t="s">
        <v>2795</v>
      </c>
      <c r="AB112" s="533">
        <f>_xlfn.IFNA(VLOOKUP(BS[[#This Row],[BOND_CODE]],FNRP!D:I,6,0),VLOOKUP(BS[[#This Row],[BOND_CODE]],FNRP!AV:BA,6,0))</f>
        <v>85262</v>
      </c>
      <c r="AC112" s="396">
        <f>BS[[#This Row],[CLEAN PRICE]]*BS[[#This Row],[BALANCE]]/100000</f>
        <v>85262000000</v>
      </c>
      <c r="AF112" s="629"/>
      <c r="AK112" s="734"/>
      <c r="AL112" s="128">
        <v>43047</v>
      </c>
      <c r="AM112" s="128" t="s">
        <v>683</v>
      </c>
      <c r="AN112" s="736">
        <v>7.7</v>
      </c>
      <c r="AO112" s="128" t="s">
        <v>823</v>
      </c>
      <c r="AP112" s="49" t="s">
        <v>2180</v>
      </c>
      <c r="AQ112" s="530">
        <v>290000</v>
      </c>
      <c r="AR112" s="500">
        <v>44652.870751953793</v>
      </c>
      <c r="AS112" s="530">
        <v>153698</v>
      </c>
      <c r="AT112" s="530">
        <v>157317</v>
      </c>
      <c r="AU112" s="769">
        <v>2.6160999999999999</v>
      </c>
      <c r="AV112" s="747">
        <v>116347000000</v>
      </c>
      <c r="AW112" s="534">
        <f>(_xlfn.XLOOKUP(RPBOD3[[#This Row],[Bonds_ShortName]],FNRP!D:D,FNRP!H:H,_xlfn.XLOOKUP(RPBOD3[[#This Row],[Bonds_ShortName]],FNRP!AV:AV,FNRP!AZ:AZ,,0),0)-RPBOD3[[#This Row],[PTCK_Remain]]-10^5)*RPBOD3[[#This Row],[Quantity]]</f>
        <v>-5260562518.0666018</v>
      </c>
      <c r="AY112" s="128"/>
      <c r="AZ112" s="610">
        <v>46252</v>
      </c>
      <c r="BA112" s="850">
        <v>48571</v>
      </c>
      <c r="BB112" s="852" t="s">
        <v>2371</v>
      </c>
      <c r="BC112" s="39" t="s">
        <v>824</v>
      </c>
      <c r="BD112" s="530">
        <v>6500000</v>
      </c>
      <c r="BE112" s="530">
        <v>77733</v>
      </c>
      <c r="BF112" s="658">
        <v>46076</v>
      </c>
      <c r="BG112" s="658">
        <v>46078</v>
      </c>
      <c r="BH112" s="658">
        <v>55531</v>
      </c>
      <c r="BI112" s="500">
        <v>507487500000</v>
      </c>
      <c r="BJ112" s="49">
        <v>2.9</v>
      </c>
      <c r="BK112" s="49">
        <v>113.18004581700001</v>
      </c>
      <c r="BL112" s="630" t="s">
        <v>2172</v>
      </c>
      <c r="BM112" s="49" t="s">
        <v>1033</v>
      </c>
      <c r="BN1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112" s="396">
        <f>(PTCK_offBS[[#This Row],[VALUE_DATE]]-PTCK_offBS[[#This Row],[LAST_PMT]])*PTCK_offBS[[#This Row],[COUPON_RATE]]*1000/(DATE(YEAR(PTCK_offBS[[#This Row],[LAST_PMT]])+1,MONTH(PTCK_offBS[[#This Row],[LAST_PMT]]),DAY(PTCK_offBS[[#This Row],[LAST_PMT]]))-PTCK_offBS[[#This Row],[LAST_PMT]])</f>
        <v>341.64383561643837</v>
      </c>
      <c r="BP112" s="396">
        <f>PTCK_offBS[[#This Row],[GROSS_AMOUNT]]/PTCK_offBS[[#This Row],[QUANTITY]]-PTCK_offBS[[#This Row],[START_ACC]]-10^5</f>
        <v>-22266.643835616444</v>
      </c>
      <c r="BQ112" s="396">
        <f>IF(PTCK_offBS[[#This Row],[BS]]="Others",PTCK_offBS[[#This Row],[PTCK]]*(PTCK_offBS[[#This Row],[MATURITY_DATE]]-PTCK_offBS[[#This Row],[POSTED_DT]]-1)/(PTCK_offBS[[#This Row],[MATURITY_DATE]]-PTCK_offBS[[#This Row],[VALUE_DATE]]),PTCK_offBS[[#This Row],[PTCK]])</f>
        <v>-21854.429441113862</v>
      </c>
      <c r="BR112" s="396">
        <f>PTCK_offBS[[#This Row],[PTCK remain]]*PTCK_offBS[[#This Row],[QUANTITY]]</f>
        <v>-142053791367.24011</v>
      </c>
    </row>
    <row r="113" spans="20:70" x14ac:dyDescent="0.3">
      <c r="T113" s="362"/>
      <c r="U113" s="375">
        <v>46252</v>
      </c>
      <c r="V113" s="128" t="s">
        <v>636</v>
      </c>
      <c r="W113" s="128" t="s">
        <v>1033</v>
      </c>
      <c r="X113" s="530">
        <v>300000000000</v>
      </c>
      <c r="Y113" s="530">
        <v>92549</v>
      </c>
      <c r="Z113" s="530">
        <v>277647000000</v>
      </c>
      <c r="AA113" s="128" t="s">
        <v>2795</v>
      </c>
      <c r="AB113" s="533">
        <f>_xlfn.IFNA(VLOOKUP(BS[[#This Row],[BOND_CODE]],FNRP!D:I,6,0),VLOOKUP(BS[[#This Row],[BOND_CODE]],FNRP!AV:BA,6,0))</f>
        <v>92544</v>
      </c>
      <c r="AC113" s="396">
        <f>BS[[#This Row],[CLEAN PRICE]]*BS[[#This Row],[BALANCE]]/100000</f>
        <v>277632000000</v>
      </c>
      <c r="AF113" s="629"/>
      <c r="AK113" s="734"/>
      <c r="AL113" s="128">
        <v>43044</v>
      </c>
      <c r="AM113" s="128" t="s">
        <v>627</v>
      </c>
      <c r="AN113" s="736">
        <v>2.7</v>
      </c>
      <c r="AO113" s="128" t="s">
        <v>823</v>
      </c>
      <c r="AP113" s="49" t="s">
        <v>2180</v>
      </c>
      <c r="AQ113" s="530">
        <v>1000000</v>
      </c>
      <c r="AR113" s="500">
        <v>1811.1079819209699</v>
      </c>
      <c r="AS113" s="530">
        <v>102790</v>
      </c>
      <c r="AT113" s="530">
        <v>105438</v>
      </c>
      <c r="AU113" s="769">
        <v>2.2000000000000002</v>
      </c>
      <c r="AV113" s="747">
        <v>116347000000</v>
      </c>
      <c r="AW113" s="534">
        <f>(_xlfn.XLOOKUP(RPBOD3[[#This Row],[Bonds_ShortName]],FNRP!D:D,FNRP!H:H,_xlfn.XLOOKUP(RPBOD3[[#This Row],[Bonds_ShortName]],FNRP!AV:AV,FNRP!AZ:AZ,,0),0)-RPBOD3[[#This Row],[PTCK_Remain]]-10^5)*RPBOD3[[#This Row],[Quantity]]</f>
        <v>-6249107981.92097</v>
      </c>
      <c r="AY113" s="128"/>
      <c r="AZ113" s="610">
        <v>46252</v>
      </c>
      <c r="BA113" s="850">
        <v>48572</v>
      </c>
      <c r="BB113" s="852" t="s">
        <v>3026</v>
      </c>
      <c r="BC113" s="39" t="s">
        <v>824</v>
      </c>
      <c r="BD113" s="530">
        <v>500000</v>
      </c>
      <c r="BE113" s="530">
        <v>75091</v>
      </c>
      <c r="BF113" s="658">
        <v>46076</v>
      </c>
      <c r="BG113" s="658">
        <v>46078</v>
      </c>
      <c r="BH113" s="658">
        <v>56267</v>
      </c>
      <c r="BI113" s="500">
        <v>37691500000</v>
      </c>
      <c r="BJ113" s="49">
        <v>2.8</v>
      </c>
      <c r="BK113" s="49">
        <v>114.18004581700001</v>
      </c>
      <c r="BL113" s="630" t="s">
        <v>2172</v>
      </c>
      <c r="BM113" s="49" t="s">
        <v>1033</v>
      </c>
      <c r="BN1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13" s="396">
        <f>(PTCK_offBS[[#This Row],[VALUE_DATE]]-PTCK_offBS[[#This Row],[LAST_PMT]])*PTCK_offBS[[#This Row],[COUPON_RATE]]*1000/(DATE(YEAR(PTCK_offBS[[#This Row],[LAST_PMT]])+1,MONTH(PTCK_offBS[[#This Row],[LAST_PMT]]),DAY(PTCK_offBS[[#This Row],[LAST_PMT]]))-PTCK_offBS[[#This Row],[LAST_PMT]])</f>
        <v>291.50684931506845</v>
      </c>
      <c r="BP113" s="396">
        <f>PTCK_offBS[[#This Row],[GROSS_AMOUNT]]/PTCK_offBS[[#This Row],[QUANTITY]]-PTCK_offBS[[#This Row],[START_ACC]]-10^5</f>
        <v>-24908.506849315076</v>
      </c>
      <c r="BQ113" s="396">
        <f>IF(PTCK_offBS[[#This Row],[BS]]="Others",PTCK_offBS[[#This Row],[PTCK]]*(PTCK_offBS[[#This Row],[MATURITY_DATE]]-PTCK_offBS[[#This Row],[POSTED_DT]]-1)/(PTCK_offBS[[#This Row],[MATURITY_DATE]]-PTCK_offBS[[#This Row],[VALUE_DATE]]),PTCK_offBS[[#This Row],[PTCK]])</f>
        <v>-24480.693648939166</v>
      </c>
      <c r="BR113" s="396">
        <f>PTCK_offBS[[#This Row],[PTCK remain]]*PTCK_offBS[[#This Row],[QUANTITY]]</f>
        <v>-12240346824.469584</v>
      </c>
    </row>
    <row r="114" spans="20:70" x14ac:dyDescent="0.3">
      <c r="T114" s="362"/>
      <c r="U114" s="375">
        <v>46252</v>
      </c>
      <c r="V114" s="128" t="s">
        <v>1193</v>
      </c>
      <c r="W114" s="128" t="s">
        <v>1033</v>
      </c>
      <c r="X114" s="530">
        <v>-1150000000000</v>
      </c>
      <c r="Y114" s="530">
        <v>141542</v>
      </c>
      <c r="Z114" s="530">
        <v>-1627733000000</v>
      </c>
      <c r="AA114" s="128" t="s">
        <v>2796</v>
      </c>
      <c r="AB114" s="533">
        <f>_xlfn.IFNA(VLOOKUP(BS[[#This Row],[BOND_CODE]],FNRP!D:I,6,0),VLOOKUP(BS[[#This Row],[BOND_CODE]],FNRP!AV:BA,6,0))</f>
        <v>141546</v>
      </c>
      <c r="AC114" s="396">
        <f>BS[[#This Row],[CLEAN PRICE]]*BS[[#This Row],[BALANCE]]/100000</f>
        <v>-1627779000000</v>
      </c>
      <c r="AF114" s="629"/>
      <c r="AK114" s="734"/>
      <c r="AL114" s="128">
        <v>43045</v>
      </c>
      <c r="AM114" s="128" t="s">
        <v>611</v>
      </c>
      <c r="AN114" s="736">
        <v>7.6</v>
      </c>
      <c r="AO114" s="128" t="s">
        <v>823</v>
      </c>
      <c r="AP114" s="49" t="s">
        <v>2180</v>
      </c>
      <c r="AQ114" s="530">
        <v>1000000</v>
      </c>
      <c r="AR114" s="500">
        <v>18953.419762438203</v>
      </c>
      <c r="AS114" s="530">
        <v>129535</v>
      </c>
      <c r="AT114" s="530">
        <v>130347</v>
      </c>
      <c r="AU114" s="769">
        <v>2.2000999999999999</v>
      </c>
      <c r="AV114" s="747">
        <v>116347000000</v>
      </c>
      <c r="AW114" s="534">
        <f>(_xlfn.XLOOKUP(RPBOD3[[#This Row],[Bonds_ShortName]],FNRP!D:D,FNRP!H:H,_xlfn.XLOOKUP(RPBOD3[[#This Row],[Bonds_ShortName]],FNRP!AV:AV,FNRP!AZ:AZ,,0),0)-RPBOD3[[#This Row],[PTCK_Remain]]-10^5)*RPBOD3[[#This Row],[Quantity]]</f>
        <v>-6238419762.4382067</v>
      </c>
      <c r="AY114" s="128"/>
      <c r="AZ114" s="610">
        <v>46252</v>
      </c>
      <c r="BA114" s="850">
        <v>44037</v>
      </c>
      <c r="BB114" s="852" t="s">
        <v>667</v>
      </c>
      <c r="BC114" s="39" t="s">
        <v>824</v>
      </c>
      <c r="BD114" s="530">
        <v>500000</v>
      </c>
      <c r="BE114" s="530">
        <v>119235</v>
      </c>
      <c r="BF114" s="658">
        <v>45558</v>
      </c>
      <c r="BG114" s="658">
        <v>45560</v>
      </c>
      <c r="BH114" s="658">
        <v>48996</v>
      </c>
      <c r="BI114" s="500">
        <v>61099500000</v>
      </c>
      <c r="BJ114" s="49">
        <v>5</v>
      </c>
      <c r="BK114" s="49">
        <v>115.18004581700001</v>
      </c>
      <c r="BL114" s="630" t="s">
        <v>2172</v>
      </c>
      <c r="BM114" s="49" t="s">
        <v>1033</v>
      </c>
      <c r="BN1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45343</v>
      </c>
      <c r="BO114" s="396">
        <f>(PTCK_offBS[[#This Row],[VALUE_DATE]]-PTCK_offBS[[#This Row],[LAST_PMT]])*PTCK_offBS[[#This Row],[COUPON_RATE]]*1000/(DATE(YEAR(PTCK_offBS[[#This Row],[LAST_PMT]])+1,MONTH(PTCK_offBS[[#This Row],[LAST_PMT]]),DAY(PTCK_offBS[[#This Row],[LAST_PMT]]))-PTCK_offBS[[#This Row],[LAST_PMT]])</f>
        <v>2964.4808743169401</v>
      </c>
      <c r="BP114" s="396">
        <f>PTCK_offBS[[#This Row],[GROSS_AMOUNT]]/PTCK_offBS[[#This Row],[QUANTITY]]-PTCK_offBS[[#This Row],[START_ACC]]-10^5</f>
        <v>19234.519125683059</v>
      </c>
      <c r="BQ114" s="396">
        <f>IF(PTCK_offBS[[#This Row],[BS]]="Others",PTCK_offBS[[#This Row],[PTCK]]*(PTCK_offBS[[#This Row],[MATURITY_DATE]]-PTCK_offBS[[#This Row],[POSTED_DT]]-1)/(PTCK_offBS[[#This Row],[MATURITY_DATE]]-PTCK_offBS[[#This Row],[VALUE_DATE]]),PTCK_offBS[[#This Row],[PTCK]])</f>
        <v>15355.14725312824</v>
      </c>
      <c r="BR114" s="396">
        <f>PTCK_offBS[[#This Row],[PTCK remain]]*PTCK_offBS[[#This Row],[QUANTITY]]</f>
        <v>7677573626.5641203</v>
      </c>
    </row>
    <row r="115" spans="20:70" x14ac:dyDescent="0.3">
      <c r="T115" s="362"/>
      <c r="U115" s="375">
        <v>46252</v>
      </c>
      <c r="V115" s="128" t="s">
        <v>684</v>
      </c>
      <c r="W115" s="128" t="s">
        <v>822</v>
      </c>
      <c r="X115" s="530">
        <v>12000000000</v>
      </c>
      <c r="Y115" s="530">
        <v>124355</v>
      </c>
      <c r="Z115" s="530">
        <v>14922600000</v>
      </c>
      <c r="AA115" s="128" t="s">
        <v>2795</v>
      </c>
      <c r="AB115" s="533">
        <f>_xlfn.IFNA(VLOOKUP(BS[[#This Row],[BOND_CODE]],FNRP!D:I,6,0),VLOOKUP(BS[[#This Row],[BOND_CODE]],FNRP!AV:BA,6,0))</f>
        <v>124359</v>
      </c>
      <c r="AC115" s="396">
        <f>BS[[#This Row],[CLEAN PRICE]]*BS[[#This Row],[BALANCE]]/100000</f>
        <v>14923080000</v>
      </c>
      <c r="AF115" s="629"/>
      <c r="AK115" s="734"/>
      <c r="AL115" s="128">
        <v>43046</v>
      </c>
      <c r="AM115" s="128" t="s">
        <v>610</v>
      </c>
      <c r="AN115" s="736">
        <v>2.7</v>
      </c>
      <c r="AO115" s="128" t="s">
        <v>823</v>
      </c>
      <c r="AP115" s="49" t="s">
        <v>2180</v>
      </c>
      <c r="AQ115" s="530">
        <v>1770000</v>
      </c>
      <c r="AR115" s="500">
        <v>1732.4738506945537</v>
      </c>
      <c r="AS115" s="530">
        <v>102712</v>
      </c>
      <c r="AT115" s="530">
        <v>103126</v>
      </c>
      <c r="AU115" s="769">
        <v>2.1999</v>
      </c>
      <c r="AV115" s="747">
        <v>116347000000</v>
      </c>
      <c r="AW115" s="534">
        <f>(_xlfn.XLOOKUP(RPBOD3[[#This Row],[Bonds_ShortName]],FNRP!D:D,FNRP!H:H,_xlfn.XLOOKUP(RPBOD3[[#This Row],[Bonds_ShortName]],FNRP!AV:AV,FNRP!AZ:AZ,,0),0)-RPBOD3[[#This Row],[PTCK_Remain]]-10^5)*RPBOD3[[#This Row],[Quantity]]</f>
        <v>-10337638715.729366</v>
      </c>
      <c r="AY115" s="128"/>
      <c r="AZ115" s="610">
        <v>46252</v>
      </c>
      <c r="BA115" s="850">
        <v>49336</v>
      </c>
      <c r="BB115" s="852" t="s">
        <v>2497</v>
      </c>
      <c r="BC115" s="39" t="s">
        <v>824</v>
      </c>
      <c r="BD115" s="530">
        <v>6300000</v>
      </c>
      <c r="BE115" s="530">
        <v>93741</v>
      </c>
      <c r="BF115" s="658">
        <v>46113</v>
      </c>
      <c r="BG115" s="658">
        <v>46114</v>
      </c>
      <c r="BH115" s="658">
        <v>55966</v>
      </c>
      <c r="BI115" s="500">
        <v>591292800000</v>
      </c>
      <c r="BJ115" s="49">
        <v>4.2</v>
      </c>
      <c r="BK115" s="49">
        <v>116.18004581700001</v>
      </c>
      <c r="BL115" s="630" t="s">
        <v>2172</v>
      </c>
      <c r="BM115" s="49" t="s">
        <v>1033</v>
      </c>
      <c r="BN1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15" s="396">
        <f>(PTCK_offBS[[#This Row],[VALUE_DATE]]-PTCK_offBS[[#This Row],[LAST_PMT]])*PTCK_offBS[[#This Row],[COUPON_RATE]]*1000/(DATE(YEAR(PTCK_offBS[[#This Row],[LAST_PMT]])+1,MONTH(PTCK_offBS[[#This Row],[LAST_PMT]]),DAY(PTCK_offBS[[#This Row],[LAST_PMT]]))-PTCK_offBS[[#This Row],[LAST_PMT]])</f>
        <v>115.06849315068493</v>
      </c>
      <c r="BP115" s="396">
        <f>PTCK_offBS[[#This Row],[GROSS_AMOUNT]]/PTCK_offBS[[#This Row],[QUANTITY]]-PTCK_offBS[[#This Row],[START_ACC]]-10^5</f>
        <v>-6259.0684931506839</v>
      </c>
      <c r="BQ115" s="396">
        <f>IF(PTCK_offBS[[#This Row],[BS]]="Others",PTCK_offBS[[#This Row],[PTCK]]*(PTCK_offBS[[#This Row],[MATURITY_DATE]]-PTCK_offBS[[#This Row],[POSTED_DT]]-1)/(PTCK_offBS[[#This Row],[MATURITY_DATE]]-PTCK_offBS[[#This Row],[VALUE_DATE]]),PTCK_offBS[[#This Row],[PTCK]])</f>
        <v>-6170.7604825388344</v>
      </c>
      <c r="BR115" s="396">
        <f>PTCK_offBS[[#This Row],[PTCK remain]]*PTCK_offBS[[#This Row],[QUANTITY]]</f>
        <v>-38875791039.994659</v>
      </c>
    </row>
    <row r="116" spans="20:70" x14ac:dyDescent="0.3">
      <c r="T116" s="362"/>
      <c r="U116" s="375">
        <v>46252</v>
      </c>
      <c r="V116" s="128" t="s">
        <v>721</v>
      </c>
      <c r="W116" s="128" t="s">
        <v>1033</v>
      </c>
      <c r="X116" s="530">
        <v>1062000000000</v>
      </c>
      <c r="Y116" s="530">
        <v>141885</v>
      </c>
      <c r="Z116" s="530">
        <v>1506818700000</v>
      </c>
      <c r="AA116" s="128" t="s">
        <v>2795</v>
      </c>
      <c r="AB116" s="533">
        <f>_xlfn.IFNA(VLOOKUP(BS[[#This Row],[BOND_CODE]],FNRP!D:I,6,0),VLOOKUP(BS[[#This Row],[BOND_CODE]],FNRP!AV:BA,6,0))</f>
        <v>141888</v>
      </c>
      <c r="AC116" s="396">
        <f>BS[[#This Row],[CLEAN PRICE]]*BS[[#This Row],[BALANCE]]/100000</f>
        <v>1506850560000</v>
      </c>
      <c r="AF116" s="629"/>
      <c r="AK116" s="734"/>
      <c r="AL116" s="128">
        <v>49336</v>
      </c>
      <c r="AM116" s="128" t="s">
        <v>2497</v>
      </c>
      <c r="AN116" s="736">
        <v>4.2</v>
      </c>
      <c r="AO116" s="128" t="s">
        <v>823</v>
      </c>
      <c r="AP116" s="49" t="s">
        <v>824</v>
      </c>
      <c r="AQ116" s="530">
        <v>900000</v>
      </c>
      <c r="AR116" s="500">
        <v>-6170.7604825388335</v>
      </c>
      <c r="AS116" s="530">
        <v>93741</v>
      </c>
      <c r="AT116" s="530">
        <v>93856</v>
      </c>
      <c r="AU116" s="769">
        <v>4.6100000000000003</v>
      </c>
      <c r="AV116" s="747">
        <v>116347000000</v>
      </c>
      <c r="AW116" s="534">
        <f>(_xlfn.XLOOKUP(RPBOD3[[#This Row],[Bonds_ShortName]],FNRP!D:D,FNRP!H:H,_xlfn.XLOOKUP(RPBOD3[[#This Row],[Bonds_ShortName]],FNRP!AV:AV,FNRP!AZ:AZ,,0),0)-RPBOD3[[#This Row],[PTCK_Remain]]-10^5)*RPBOD3[[#This Row],[Quantity]]</f>
        <v>-1349315565.7150433</v>
      </c>
      <c r="AY116" s="128"/>
      <c r="AZ116" s="610">
        <v>46252</v>
      </c>
      <c r="BA116" s="850">
        <v>49505</v>
      </c>
      <c r="BB116" s="852" t="s">
        <v>2497</v>
      </c>
      <c r="BC116" s="39" t="s">
        <v>824</v>
      </c>
      <c r="BD116" s="530">
        <v>700000</v>
      </c>
      <c r="BE116" s="530">
        <v>101607</v>
      </c>
      <c r="BF116" s="658">
        <v>46129</v>
      </c>
      <c r="BG116" s="658">
        <v>46132</v>
      </c>
      <c r="BH116" s="658">
        <v>55966</v>
      </c>
      <c r="BI116" s="500">
        <v>71350300000</v>
      </c>
      <c r="BJ116" s="49">
        <v>4.2</v>
      </c>
      <c r="BK116" s="49">
        <v>117.18004581700001</v>
      </c>
      <c r="BL116" s="630" t="s">
        <v>2172</v>
      </c>
      <c r="BM116" s="49" t="s">
        <v>1033</v>
      </c>
      <c r="BN1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16" s="396">
        <f>(PTCK_offBS[[#This Row],[VALUE_DATE]]-PTCK_offBS[[#This Row],[LAST_PMT]])*PTCK_offBS[[#This Row],[COUPON_RATE]]*1000/(DATE(YEAR(PTCK_offBS[[#This Row],[LAST_PMT]])+1,MONTH(PTCK_offBS[[#This Row],[LAST_PMT]]),DAY(PTCK_offBS[[#This Row],[LAST_PMT]]))-PTCK_offBS[[#This Row],[LAST_PMT]])</f>
        <v>322.19178082191786</v>
      </c>
      <c r="BP116" s="396">
        <f>PTCK_offBS[[#This Row],[GROSS_AMOUNT]]/PTCK_offBS[[#This Row],[QUANTITY]]-PTCK_offBS[[#This Row],[START_ACC]]-10^5</f>
        <v>1606.808219178085</v>
      </c>
      <c r="BQ116" s="396">
        <f>IF(PTCK_offBS[[#This Row],[BS]]="Others",PTCK_offBS[[#This Row],[PTCK]]*(PTCK_offBS[[#This Row],[MATURITY_DATE]]-PTCK_offBS[[#This Row],[POSTED_DT]]-1)/(PTCK_offBS[[#This Row],[MATURITY_DATE]]-PTCK_offBS[[#This Row],[VALUE_DATE]]),PTCK_offBS[[#This Row],[PTCK]])</f>
        <v>1587.0376482486006</v>
      </c>
      <c r="BR116" s="396">
        <f>PTCK_offBS[[#This Row],[PTCK remain]]*PTCK_offBS[[#This Row],[QUANTITY]]</f>
        <v>1110926353.7740204</v>
      </c>
    </row>
    <row r="117" spans="20:70" x14ac:dyDescent="0.3">
      <c r="T117" s="362"/>
      <c r="U117" s="375">
        <v>46252</v>
      </c>
      <c r="V117" s="128" t="s">
        <v>2496</v>
      </c>
      <c r="W117" s="128" t="s">
        <v>822</v>
      </c>
      <c r="X117" s="530">
        <v>350000000000</v>
      </c>
      <c r="Y117" s="530">
        <v>93854</v>
      </c>
      <c r="Z117" s="530">
        <v>328489000000</v>
      </c>
      <c r="AA117" s="128" t="s">
        <v>2795</v>
      </c>
      <c r="AB117" s="533">
        <f>_xlfn.IFNA(VLOOKUP(BS[[#This Row],[BOND_CODE]],FNRP!D:I,6,0),VLOOKUP(BS[[#This Row],[BOND_CODE]],FNRP!AV:BA,6,0))</f>
        <v>93852</v>
      </c>
      <c r="AC117" s="396">
        <f>BS[[#This Row],[CLEAN PRICE]]*BS[[#This Row],[BALANCE]]/100000</f>
        <v>328482000000</v>
      </c>
      <c r="AF117" s="629"/>
      <c r="AK117" s="734"/>
      <c r="AL117" s="128">
        <v>49505</v>
      </c>
      <c r="AM117" s="128" t="s">
        <v>2497</v>
      </c>
      <c r="AN117" s="736">
        <v>4.2</v>
      </c>
      <c r="AO117" s="128" t="s">
        <v>823</v>
      </c>
      <c r="AP117" s="49" t="s">
        <v>824</v>
      </c>
      <c r="AQ117" s="530">
        <v>700000</v>
      </c>
      <c r="AR117" s="500">
        <v>1587.0376482485856</v>
      </c>
      <c r="AS117" s="530">
        <v>101607</v>
      </c>
      <c r="AT117" s="530">
        <v>101929</v>
      </c>
      <c r="AU117" s="769">
        <v>4.0999999999999996</v>
      </c>
      <c r="AV117" s="747">
        <v>116347000000</v>
      </c>
      <c r="AW117" s="534">
        <f>(_xlfn.XLOOKUP(RPBOD3[[#This Row],[Bonds_ShortName]],FNRP!D:D,FNRP!H:H,_xlfn.XLOOKUP(RPBOD3[[#This Row],[Bonds_ShortName]],FNRP!AV:AV,FNRP!AZ:AZ,,0),0)-RPBOD3[[#This Row],[PTCK_Remain]]-10^5)*RPBOD3[[#This Row],[Quantity]]</f>
        <v>-6479926353.7740116</v>
      </c>
      <c r="AY117" s="128"/>
      <c r="AZ117" s="610">
        <v>46252</v>
      </c>
      <c r="BA117" s="850">
        <v>49509</v>
      </c>
      <c r="BB117" s="852" t="s">
        <v>3026</v>
      </c>
      <c r="BC117" s="39" t="s">
        <v>824</v>
      </c>
      <c r="BD117" s="530">
        <v>1170000</v>
      </c>
      <c r="BE117" s="530">
        <v>79907</v>
      </c>
      <c r="BF117" s="658">
        <v>46129</v>
      </c>
      <c r="BG117" s="658">
        <v>46132</v>
      </c>
      <c r="BH117" s="658">
        <v>56267</v>
      </c>
      <c r="BI117" s="500">
        <v>94317210000</v>
      </c>
      <c r="BJ117" s="49">
        <v>2.8</v>
      </c>
      <c r="BK117" s="49">
        <v>118.18004581700001</v>
      </c>
      <c r="BL117" s="630" t="s">
        <v>2172</v>
      </c>
      <c r="BM117" s="49" t="s">
        <v>1033</v>
      </c>
      <c r="BN1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17" s="396">
        <f>(PTCK_offBS[[#This Row],[VALUE_DATE]]-PTCK_offBS[[#This Row],[LAST_PMT]])*PTCK_offBS[[#This Row],[COUPON_RATE]]*1000/(DATE(YEAR(PTCK_offBS[[#This Row],[LAST_PMT]])+1,MONTH(PTCK_offBS[[#This Row],[LAST_PMT]]),DAY(PTCK_offBS[[#This Row],[LAST_PMT]]))-PTCK_offBS[[#This Row],[LAST_PMT]])</f>
        <v>705.7534246575342</v>
      </c>
      <c r="BP117" s="396">
        <f>PTCK_offBS[[#This Row],[GROSS_AMOUNT]]/PTCK_offBS[[#This Row],[QUANTITY]]-PTCK_offBS[[#This Row],[START_ACC]]-10^5</f>
        <v>-20092.753424657538</v>
      </c>
      <c r="BQ117" s="396">
        <f>IF(PTCK_offBS[[#This Row],[BS]]="Others",PTCK_offBS[[#This Row],[PTCK]]*(PTCK_offBS[[#This Row],[MATURITY_DATE]]-PTCK_offBS[[#This Row],[POSTED_DT]]-1)/(PTCK_offBS[[#This Row],[MATURITY_DATE]]-PTCK_offBS[[#This Row],[VALUE_DATE]]),PTCK_offBS[[#This Row],[PTCK]])</f>
        <v>-19852.869540653239</v>
      </c>
      <c r="BR117" s="396">
        <f>PTCK_offBS[[#This Row],[PTCK remain]]*PTCK_offBS[[#This Row],[QUANTITY]]</f>
        <v>-23227857362.564289</v>
      </c>
    </row>
    <row r="118" spans="20:70" x14ac:dyDescent="0.3">
      <c r="T118" s="362"/>
      <c r="U118" s="375">
        <v>46252</v>
      </c>
      <c r="V118" s="128" t="s">
        <v>724</v>
      </c>
      <c r="W118" s="128" t="s">
        <v>1033</v>
      </c>
      <c r="X118" s="530">
        <v>-341000000000</v>
      </c>
      <c r="Y118" s="530">
        <v>138269</v>
      </c>
      <c r="Z118" s="530">
        <v>-471497290000</v>
      </c>
      <c r="AA118" s="128" t="s">
        <v>2796</v>
      </c>
      <c r="AB118" s="533">
        <f>_xlfn.IFNA(VLOOKUP(BS[[#This Row],[BOND_CODE]],FNRP!D:I,6,0),VLOOKUP(BS[[#This Row],[BOND_CODE]],FNRP!AV:BA,6,0))</f>
        <v>138272</v>
      </c>
      <c r="AC118" s="396">
        <f>BS[[#This Row],[CLEAN PRICE]]*BS[[#This Row],[BALANCE]]/100000</f>
        <v>-471507520000</v>
      </c>
      <c r="AF118" s="629"/>
      <c r="AK118" s="734"/>
      <c r="AL118" s="128">
        <v>41951</v>
      </c>
      <c r="AM118" s="128" t="s">
        <v>666</v>
      </c>
      <c r="AN118" s="736">
        <v>5.0999999999999996</v>
      </c>
      <c r="AO118" s="128" t="s">
        <v>823</v>
      </c>
      <c r="AP118" s="49" t="s">
        <v>2180</v>
      </c>
      <c r="AQ118" s="530">
        <v>500000</v>
      </c>
      <c r="AR118" s="500">
        <v>19042.938353872862</v>
      </c>
      <c r="AS118" s="530">
        <v>125089</v>
      </c>
      <c r="AT118" s="530">
        <v>126148</v>
      </c>
      <c r="AU118" s="769">
        <v>2.2200000000000002</v>
      </c>
      <c r="AV118" s="747">
        <v>116347000000</v>
      </c>
      <c r="AW118" s="534">
        <f>(_xlfn.XLOOKUP(RPBOD3[[#This Row],[Bonds_ShortName]],FNRP!D:D,FNRP!H:H,_xlfn.XLOOKUP(RPBOD3[[#This Row],[Bonds_ShortName]],FNRP!AV:AV,FNRP!AZ:AZ,,0),0)-RPBOD3[[#This Row],[PTCK_Remain]]-10^5)*RPBOD3[[#This Row],[Quantity]]</f>
        <v>-7127969176.936429</v>
      </c>
      <c r="AY118" s="128"/>
      <c r="AZ118" s="610">
        <v>46252</v>
      </c>
      <c r="BA118" s="850">
        <v>49688</v>
      </c>
      <c r="BB118" s="852" t="s">
        <v>2499</v>
      </c>
      <c r="BC118" s="39" t="s">
        <v>824</v>
      </c>
      <c r="BD118" s="530">
        <v>2000000</v>
      </c>
      <c r="BE118" s="530">
        <v>111628</v>
      </c>
      <c r="BF118" s="658">
        <v>46149</v>
      </c>
      <c r="BG118" s="658">
        <v>46150</v>
      </c>
      <c r="BH118" s="658">
        <v>48556</v>
      </c>
      <c r="BI118" s="500">
        <v>227228000000</v>
      </c>
      <c r="BJ118" s="49">
        <v>4.8</v>
      </c>
      <c r="BK118" s="49">
        <v>119.18004581700001</v>
      </c>
      <c r="BL118" s="630" t="s">
        <v>2172</v>
      </c>
      <c r="BM118" s="49" t="s">
        <v>1033</v>
      </c>
      <c r="BN1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O118" s="396">
        <f>(PTCK_offBS[[#This Row],[VALUE_DATE]]-PTCK_offBS[[#This Row],[LAST_PMT]])*PTCK_offBS[[#This Row],[COUPON_RATE]]*1000/(DATE(YEAR(PTCK_offBS[[#This Row],[LAST_PMT]])+1,MONTH(PTCK_offBS[[#This Row],[LAST_PMT]]),DAY(PTCK_offBS[[#This Row],[LAST_PMT]]))-PTCK_offBS[[#This Row],[LAST_PMT]])</f>
        <v>1985.7534246575342</v>
      </c>
      <c r="BP118" s="396">
        <f>PTCK_offBS[[#This Row],[GROSS_AMOUNT]]/PTCK_offBS[[#This Row],[QUANTITY]]-PTCK_offBS[[#This Row],[START_ACC]]-10^5</f>
        <v>11628.246575342462</v>
      </c>
      <c r="BQ118" s="396">
        <f>IF(PTCK_offBS[[#This Row],[BS]]="Others",PTCK_offBS[[#This Row],[PTCK]]*(PTCK_offBS[[#This Row],[MATURITY_DATE]]-PTCK_offBS[[#This Row],[POSTED_DT]]-1)/(PTCK_offBS[[#This Row],[MATURITY_DATE]]-PTCK_offBS[[#This Row],[VALUE_DATE]]),PTCK_offBS[[#This Row],[PTCK]])</f>
        <v>11130.445495849415</v>
      </c>
      <c r="BR118" s="396">
        <f>PTCK_offBS[[#This Row],[PTCK remain]]*PTCK_offBS[[#This Row],[QUANTITY]]</f>
        <v>22260890991.69883</v>
      </c>
    </row>
    <row r="119" spans="20:70" x14ac:dyDescent="0.3">
      <c r="T119" s="362"/>
      <c r="U119" s="375">
        <v>46252</v>
      </c>
      <c r="V119" s="128" t="s">
        <v>712</v>
      </c>
      <c r="W119" s="128" t="s">
        <v>1033</v>
      </c>
      <c r="X119" s="530">
        <v>1100000000000</v>
      </c>
      <c r="Y119" s="530">
        <v>90736</v>
      </c>
      <c r="Z119" s="530">
        <v>998096000000</v>
      </c>
      <c r="AA119" s="128" t="s">
        <v>2795</v>
      </c>
      <c r="AB119" s="533">
        <f>_xlfn.IFNA(VLOOKUP(BS[[#This Row],[BOND_CODE]],FNRP!D:I,6,0),VLOOKUP(BS[[#This Row],[BOND_CODE]],FNRP!AV:BA,6,0))</f>
        <v>90735</v>
      </c>
      <c r="AC119" s="396">
        <f>BS[[#This Row],[CLEAN PRICE]]*BS[[#This Row],[BALANCE]]/100000</f>
        <v>998085000000</v>
      </c>
      <c r="AF119" s="629"/>
      <c r="AK119" s="734"/>
      <c r="AL119" s="128">
        <v>41952</v>
      </c>
      <c r="AM119" s="128" t="s">
        <v>679</v>
      </c>
      <c r="AN119" s="736">
        <v>3.2</v>
      </c>
      <c r="AO119" s="128" t="s">
        <v>823</v>
      </c>
      <c r="AP119" s="49" t="s">
        <v>2180</v>
      </c>
      <c r="AQ119" s="530">
        <v>500000</v>
      </c>
      <c r="AR119" s="500">
        <v>6464.3414583916001</v>
      </c>
      <c r="AS119" s="530">
        <v>108282</v>
      </c>
      <c r="AT119" s="530">
        <v>109078</v>
      </c>
      <c r="AU119" s="769">
        <v>2.3199999999999998</v>
      </c>
      <c r="AV119" s="747">
        <v>116347000000</v>
      </c>
      <c r="AW119" s="534">
        <f>(_xlfn.XLOOKUP(RPBOD3[[#This Row],[Bonds_ShortName]],FNRP!D:D,FNRP!H:H,_xlfn.XLOOKUP(RPBOD3[[#This Row],[Bonds_ShortName]],FNRP!AV:AV,FNRP!AZ:AZ,,0),0)-RPBOD3[[#This Row],[PTCK_Remain]]-10^5)*RPBOD3[[#This Row],[Quantity]]</f>
        <v>-7290670729.1958008</v>
      </c>
      <c r="AY119" s="128"/>
      <c r="AZ119" s="610">
        <v>46252</v>
      </c>
      <c r="BA119" s="850">
        <v>49694</v>
      </c>
      <c r="BB119" s="852" t="s">
        <v>2852</v>
      </c>
      <c r="BC119" s="39" t="s">
        <v>824</v>
      </c>
      <c r="BD119" s="530">
        <v>1000000</v>
      </c>
      <c r="BE119" s="530">
        <v>94074</v>
      </c>
      <c r="BF119" s="658">
        <v>46149</v>
      </c>
      <c r="BG119" s="658">
        <v>46150</v>
      </c>
      <c r="BH119" s="658">
        <v>49045</v>
      </c>
      <c r="BI119" s="500">
        <v>94252000000</v>
      </c>
      <c r="BJ119" s="49">
        <v>2.4</v>
      </c>
      <c r="BK119" s="49">
        <v>120.18004581700001</v>
      </c>
      <c r="BL119" s="630" t="s">
        <v>2172</v>
      </c>
      <c r="BM119" s="49" t="s">
        <v>1033</v>
      </c>
      <c r="BN1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O119" s="396">
        <f>(PTCK_offBS[[#This Row],[VALUE_DATE]]-PTCK_offBS[[#This Row],[LAST_PMT]])*PTCK_offBS[[#This Row],[COUPON_RATE]]*1000/(DATE(YEAR(PTCK_offBS[[#This Row],[LAST_PMT]])+1,MONTH(PTCK_offBS[[#This Row],[LAST_PMT]]),DAY(PTCK_offBS[[#This Row],[LAST_PMT]]))-PTCK_offBS[[#This Row],[LAST_PMT]])</f>
        <v>177.53424657534248</v>
      </c>
      <c r="BP119" s="396">
        <f>PTCK_offBS[[#This Row],[GROSS_AMOUNT]]/PTCK_offBS[[#This Row],[QUANTITY]]-PTCK_offBS[[#This Row],[START_ACC]]-10^5</f>
        <v>-5925.5342465753492</v>
      </c>
      <c r="BQ119" s="396">
        <f>IF(PTCK_offBS[[#This Row],[BS]]="Others",PTCK_offBS[[#This Row],[PTCK]]*(PTCK_offBS[[#This Row],[MATURITY_DATE]]-PTCK_offBS[[#This Row],[POSTED_DT]]-1)/(PTCK_offBS[[#This Row],[MATURITY_DATE]]-PTCK_offBS[[#This Row],[VALUE_DATE]]),PTCK_offBS[[#This Row],[PTCK]])</f>
        <v>-5714.7121300305271</v>
      </c>
      <c r="BR119" s="396">
        <f>PTCK_offBS[[#This Row],[PTCK remain]]*PTCK_offBS[[#This Row],[QUANTITY]]</f>
        <v>-5714712130.0305271</v>
      </c>
    </row>
    <row r="120" spans="20:70" x14ac:dyDescent="0.3">
      <c r="T120" s="362"/>
      <c r="U120" s="375">
        <v>46252</v>
      </c>
      <c r="V120" s="128" t="s">
        <v>731</v>
      </c>
      <c r="W120" s="128" t="s">
        <v>1033</v>
      </c>
      <c r="X120" s="530">
        <v>770000000000</v>
      </c>
      <c r="Y120" s="530">
        <v>78674</v>
      </c>
      <c r="Z120" s="530">
        <v>605789800000</v>
      </c>
      <c r="AA120" s="128" t="s">
        <v>2795</v>
      </c>
      <c r="AB120" s="533">
        <f>_xlfn.IFNA(VLOOKUP(BS[[#This Row],[BOND_CODE]],FNRP!D:I,6,0),VLOOKUP(BS[[#This Row],[BOND_CODE]],FNRP!AV:BA,6,0))</f>
        <v>78672</v>
      </c>
      <c r="AC120" s="396">
        <f>BS[[#This Row],[CLEAN PRICE]]*BS[[#This Row],[BALANCE]]/100000</f>
        <v>605774400000</v>
      </c>
      <c r="AF120" s="629"/>
      <c r="AK120" s="734"/>
      <c r="AL120" s="128">
        <v>41955</v>
      </c>
      <c r="AM120" s="128" t="s">
        <v>2503</v>
      </c>
      <c r="AN120" s="736">
        <v>3.4</v>
      </c>
      <c r="AO120" s="128" t="s">
        <v>823</v>
      </c>
      <c r="AP120" s="49" t="s">
        <v>2180</v>
      </c>
      <c r="AQ120" s="530">
        <v>1500000</v>
      </c>
      <c r="AR120" s="500">
        <v>9776.8032488279332</v>
      </c>
      <c r="AS120" s="530">
        <v>111754</v>
      </c>
      <c r="AT120" s="530">
        <v>115052</v>
      </c>
      <c r="AU120" s="769">
        <v>2.403</v>
      </c>
      <c r="AV120" s="747">
        <v>116347000000</v>
      </c>
      <c r="AW120" s="534">
        <f>(_xlfn.XLOOKUP(RPBOD3[[#This Row],[Bonds_ShortName]],FNRP!D:D,FNRP!H:H,_xlfn.XLOOKUP(RPBOD3[[#This Row],[Bonds_ShortName]],FNRP!AV:AV,FNRP!AZ:AZ,,0),0)-RPBOD3[[#This Row],[PTCK_Remain]]-10^5)*RPBOD3[[#This Row],[Quantity]]</f>
        <v>-29312704873.24189</v>
      </c>
      <c r="AY120" s="128"/>
      <c r="AZ120" s="610">
        <v>46252</v>
      </c>
      <c r="BA120" s="850">
        <v>49700</v>
      </c>
      <c r="BB120" s="852" t="s">
        <v>636</v>
      </c>
      <c r="BC120" s="39" t="s">
        <v>824</v>
      </c>
      <c r="BD120" s="530">
        <v>1000000</v>
      </c>
      <c r="BE120" s="530">
        <v>96414</v>
      </c>
      <c r="BF120" s="658">
        <v>46149</v>
      </c>
      <c r="BG120" s="658">
        <v>46150</v>
      </c>
      <c r="BH120" s="658">
        <v>47862</v>
      </c>
      <c r="BI120" s="500">
        <v>97101000000</v>
      </c>
      <c r="BJ120" s="49">
        <v>2.2000000000000002</v>
      </c>
      <c r="BK120" s="49">
        <v>121.18004581700001</v>
      </c>
      <c r="BL120" s="630" t="s">
        <v>2172</v>
      </c>
      <c r="BM120" s="49" t="s">
        <v>1033</v>
      </c>
      <c r="BN1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20" s="396">
        <f>(PTCK_offBS[[#This Row],[VALUE_DATE]]-PTCK_offBS[[#This Row],[LAST_PMT]])*PTCK_offBS[[#This Row],[COUPON_RATE]]*1000/(DATE(YEAR(PTCK_offBS[[#This Row],[LAST_PMT]])+1,MONTH(PTCK_offBS[[#This Row],[LAST_PMT]]),DAY(PTCK_offBS[[#This Row],[LAST_PMT]]))-PTCK_offBS[[#This Row],[LAST_PMT]])</f>
        <v>687.1232876712329</v>
      </c>
      <c r="BP120" s="396">
        <f>PTCK_offBS[[#This Row],[GROSS_AMOUNT]]/PTCK_offBS[[#This Row],[QUANTITY]]-PTCK_offBS[[#This Row],[START_ACC]]-10^5</f>
        <v>-3586.1232876712311</v>
      </c>
      <c r="BQ120" s="396">
        <f>IF(PTCK_offBS[[#This Row],[BS]]="Others",PTCK_offBS[[#This Row],[PTCK]]*(PTCK_offBS[[#This Row],[MATURITY_DATE]]-PTCK_offBS[[#This Row],[POSTED_DT]]-1)/(PTCK_offBS[[#This Row],[MATURITY_DATE]]-PTCK_offBS[[#This Row],[VALUE_DATE]]),PTCK_offBS[[#This Row],[PTCK]])</f>
        <v>-3370.3693749199829</v>
      </c>
      <c r="BR120" s="396">
        <f>PTCK_offBS[[#This Row],[PTCK remain]]*PTCK_offBS[[#This Row],[QUANTITY]]</f>
        <v>-3370369374.9199829</v>
      </c>
    </row>
    <row r="121" spans="20:70" x14ac:dyDescent="0.3">
      <c r="T121" s="362"/>
      <c r="U121" s="375">
        <v>46252</v>
      </c>
      <c r="V121" s="128" t="s">
        <v>703</v>
      </c>
      <c r="W121" s="128" t="s">
        <v>822</v>
      </c>
      <c r="X121" s="530">
        <v>250000000000</v>
      </c>
      <c r="Y121" s="530">
        <v>82072</v>
      </c>
      <c r="Z121" s="530">
        <v>205180000000</v>
      </c>
      <c r="AA121" s="128" t="s">
        <v>2795</v>
      </c>
      <c r="AB121" s="533">
        <f>_xlfn.IFNA(VLOOKUP(BS[[#This Row],[BOND_CODE]],FNRP!D:I,6,0),VLOOKUP(BS[[#This Row],[BOND_CODE]],FNRP!AV:BA,6,0))</f>
        <v>82068</v>
      </c>
      <c r="AC121" s="396">
        <f>BS[[#This Row],[CLEAN PRICE]]*BS[[#This Row],[BALANCE]]/100000</f>
        <v>205170000000</v>
      </c>
      <c r="AF121" s="629"/>
      <c r="AK121" s="734"/>
      <c r="AL121" s="128">
        <v>41957</v>
      </c>
      <c r="AM121" s="128" t="s">
        <v>2800</v>
      </c>
      <c r="AN121" s="736">
        <v>2.2999999999999998</v>
      </c>
      <c r="AO121" s="128" t="s">
        <v>823</v>
      </c>
      <c r="AP121" s="49" t="s">
        <v>2180</v>
      </c>
      <c r="AQ121" s="530">
        <v>2000000</v>
      </c>
      <c r="AR121" s="500">
        <v>-1854.2870849681151</v>
      </c>
      <c r="AS121" s="530">
        <v>97793</v>
      </c>
      <c r="AT121" s="530">
        <v>98352</v>
      </c>
      <c r="AU121" s="769">
        <v>2.48</v>
      </c>
      <c r="AV121" s="747">
        <v>116347000000</v>
      </c>
      <c r="AW121" s="534">
        <f>(_xlfn.XLOOKUP(RPBOD3[[#This Row],[Bonds_ShortName]],FNRP!D:D,FNRP!H:H,_xlfn.XLOOKUP(RPBOD3[[#This Row],[Bonds_ShortName]],FNRP!AV:AV,FNRP!AZ:AZ,,0),0)-RPBOD3[[#This Row],[PTCK_Remain]]-10^5)*RPBOD3[[#This Row],[Quantity]]</f>
        <v>-37611425830.063759</v>
      </c>
      <c r="AY121" s="128"/>
      <c r="AZ121" s="610">
        <v>46252</v>
      </c>
      <c r="BA121" s="850">
        <v>49953</v>
      </c>
      <c r="BB121" s="852" t="s">
        <v>598</v>
      </c>
      <c r="BC121" s="39" t="s">
        <v>824</v>
      </c>
      <c r="BD121" s="530">
        <v>510000</v>
      </c>
      <c r="BE121" s="530">
        <v>109285</v>
      </c>
      <c r="BF121" s="658">
        <v>46183</v>
      </c>
      <c r="BG121" s="658">
        <v>46184</v>
      </c>
      <c r="BH121" s="658">
        <v>47406</v>
      </c>
      <c r="BI121" s="500">
        <v>58073190000</v>
      </c>
      <c r="BJ121" s="49">
        <v>7</v>
      </c>
      <c r="BK121" s="49">
        <v>122.18004581700001</v>
      </c>
      <c r="BL121" s="630" t="s">
        <v>2172</v>
      </c>
      <c r="BM121" s="49" t="s">
        <v>1033</v>
      </c>
      <c r="BN1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45945</v>
      </c>
      <c r="BO121" s="396">
        <f>(PTCK_offBS[[#This Row],[VALUE_DATE]]-PTCK_offBS[[#This Row],[LAST_PMT]])*PTCK_offBS[[#This Row],[COUPON_RATE]]*1000/(DATE(YEAR(PTCK_offBS[[#This Row],[LAST_PMT]])+1,MONTH(PTCK_offBS[[#This Row],[LAST_PMT]]),DAY(PTCK_offBS[[#This Row],[LAST_PMT]]))-PTCK_offBS[[#This Row],[LAST_PMT]])</f>
        <v>4583.5616438356165</v>
      </c>
      <c r="BP121" s="396">
        <f>PTCK_offBS[[#This Row],[GROSS_AMOUNT]]/PTCK_offBS[[#This Row],[QUANTITY]]-PTCK_offBS[[#This Row],[START_ACC]]-10^5</f>
        <v>9285.4383561643772</v>
      </c>
      <c r="BQ121" s="396">
        <f>IF(PTCK_offBS[[#This Row],[BS]]="Others",PTCK_offBS[[#This Row],[PTCK]]*(PTCK_offBS[[#This Row],[MATURITY_DATE]]-PTCK_offBS[[#This Row],[POSTED_DT]]-1)/(PTCK_offBS[[#This Row],[MATURITY_DATE]]-PTCK_offBS[[#This Row],[VALUE_DATE]]),PTCK_offBS[[#This Row],[PTCK]])</f>
        <v>8761.1378270519872</v>
      </c>
      <c r="BR121" s="396">
        <f>PTCK_offBS[[#This Row],[PTCK remain]]*PTCK_offBS[[#This Row],[QUANTITY]]</f>
        <v>4468180291.7965136</v>
      </c>
    </row>
    <row r="122" spans="20:70" x14ac:dyDescent="0.3">
      <c r="T122" s="362"/>
      <c r="U122" s="375">
        <v>46252</v>
      </c>
      <c r="V122" s="128" t="s">
        <v>706</v>
      </c>
      <c r="W122" s="128" t="s">
        <v>1033</v>
      </c>
      <c r="X122" s="530">
        <v>50000000000</v>
      </c>
      <c r="Y122" s="530">
        <v>82358</v>
      </c>
      <c r="Z122" s="530">
        <v>41179000000</v>
      </c>
      <c r="AA122" s="128" t="s">
        <v>2795</v>
      </c>
      <c r="AB122" s="533">
        <f>_xlfn.IFNA(VLOOKUP(BS[[#This Row],[BOND_CODE]],FNRP!D:I,6,0),VLOOKUP(BS[[#This Row],[BOND_CODE]],FNRP!AV:BA,6,0))</f>
        <v>82354</v>
      </c>
      <c r="AC122" s="396">
        <f>BS[[#This Row],[CLEAN PRICE]]*BS[[#This Row],[BALANCE]]/100000</f>
        <v>41177000000</v>
      </c>
      <c r="AF122" s="629"/>
      <c r="AK122" s="734"/>
      <c r="AL122" s="128">
        <v>41954</v>
      </c>
      <c r="AM122" s="128" t="s">
        <v>697</v>
      </c>
      <c r="AN122" s="736">
        <v>2.5</v>
      </c>
      <c r="AO122" s="128" t="s">
        <v>823</v>
      </c>
      <c r="AP122" s="49" t="s">
        <v>2180</v>
      </c>
      <c r="AQ122" s="530">
        <v>500000</v>
      </c>
      <c r="AR122" s="500">
        <v>1369.7524471120419</v>
      </c>
      <c r="AS122" s="530">
        <v>101716</v>
      </c>
      <c r="AT122" s="530">
        <v>102495</v>
      </c>
      <c r="AU122" s="769">
        <v>2.33</v>
      </c>
      <c r="AV122" s="747">
        <v>116347000000</v>
      </c>
      <c r="AW122" s="534">
        <f>(_xlfn.XLOOKUP(RPBOD3[[#This Row],[Bonds_ShortName]],FNRP!D:D,FNRP!H:H,_xlfn.XLOOKUP(RPBOD3[[#This Row],[Bonds_ShortName]],FNRP!AV:AV,FNRP!AZ:AZ,,0),0)-RPBOD3[[#This Row],[PTCK_Remain]]-10^5)*RPBOD3[[#This Row],[Quantity]]</f>
        <v>-7892876223.5560207</v>
      </c>
      <c r="AY122" s="128"/>
      <c r="AZ122" s="610">
        <v>46252</v>
      </c>
      <c r="BA122" s="850">
        <v>49963</v>
      </c>
      <c r="BB122" s="852" t="s">
        <v>730</v>
      </c>
      <c r="BC122" s="39" t="s">
        <v>824</v>
      </c>
      <c r="BD122" s="530">
        <v>2700000</v>
      </c>
      <c r="BE122" s="530">
        <v>89901</v>
      </c>
      <c r="BF122" s="658">
        <v>46184</v>
      </c>
      <c r="BG122" s="658">
        <v>46185</v>
      </c>
      <c r="BH122" s="658">
        <v>54804</v>
      </c>
      <c r="BI122" s="500">
        <v>246863700000</v>
      </c>
      <c r="BJ122" s="49">
        <v>3.8</v>
      </c>
      <c r="BK122" s="49">
        <v>123.18004581700001</v>
      </c>
      <c r="BL122" s="630" t="s">
        <v>2172</v>
      </c>
      <c r="BM122" s="49" t="s">
        <v>1033</v>
      </c>
      <c r="BN1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46038</v>
      </c>
      <c r="BO122" s="396">
        <f>(PTCK_offBS[[#This Row],[VALUE_DATE]]-PTCK_offBS[[#This Row],[LAST_PMT]])*PTCK_offBS[[#This Row],[COUPON_RATE]]*1000/(DATE(YEAR(PTCK_offBS[[#This Row],[LAST_PMT]])+1,MONTH(PTCK_offBS[[#This Row],[LAST_PMT]]),DAY(PTCK_offBS[[#This Row],[LAST_PMT]]))-PTCK_offBS[[#This Row],[LAST_PMT]])</f>
        <v>1530.4109589041095</v>
      </c>
      <c r="BP122" s="396">
        <f>PTCK_offBS[[#This Row],[GROSS_AMOUNT]]/PTCK_offBS[[#This Row],[QUANTITY]]-PTCK_offBS[[#This Row],[START_ACC]]-10^5</f>
        <v>-10099.410958904104</v>
      </c>
      <c r="BQ122" s="396">
        <f>IF(PTCK_offBS[[#This Row],[BS]]="Others",PTCK_offBS[[#This Row],[PTCK]]*(PTCK_offBS[[#This Row],[MATURITY_DATE]]-PTCK_offBS[[#This Row],[POSTED_DT]]-1)/(PTCK_offBS[[#This Row],[MATURITY_DATE]]-PTCK_offBS[[#This Row],[VALUE_DATE]]),PTCK_offBS[[#This Row],[PTCK]])</f>
        <v>-10019.731188025176</v>
      </c>
      <c r="BR122" s="396">
        <f>PTCK_offBS[[#This Row],[PTCK remain]]*PTCK_offBS[[#This Row],[QUANTITY]]</f>
        <v>-27053274207.667976</v>
      </c>
    </row>
    <row r="123" spans="20:70" x14ac:dyDescent="0.3">
      <c r="T123" s="362"/>
      <c r="U123" s="375">
        <v>46252</v>
      </c>
      <c r="V123" s="128" t="s">
        <v>2840</v>
      </c>
      <c r="W123" s="128" t="s">
        <v>822</v>
      </c>
      <c r="X123" s="530">
        <v>300000000000</v>
      </c>
      <c r="Y123" s="530">
        <v>84273</v>
      </c>
      <c r="Z123" s="530">
        <v>252819000000</v>
      </c>
      <c r="AA123" s="128" t="s">
        <v>2795</v>
      </c>
      <c r="AB123" s="533">
        <f>_xlfn.IFNA(VLOOKUP(BS[[#This Row],[BOND_CODE]],FNRP!D:I,6,0),VLOOKUP(BS[[#This Row],[BOND_CODE]],FNRP!AV:BA,6,0))</f>
        <v>84269</v>
      </c>
      <c r="AC123" s="396">
        <f>BS[[#This Row],[CLEAN PRICE]]*BS[[#This Row],[BALANCE]]/100000</f>
        <v>252807000000</v>
      </c>
      <c r="AF123" s="629"/>
      <c r="AK123" s="734"/>
      <c r="AL123" s="128">
        <v>42022</v>
      </c>
      <c r="AM123" s="128" t="s">
        <v>672</v>
      </c>
      <c r="AN123" s="736">
        <v>4</v>
      </c>
      <c r="AO123" s="128" t="s">
        <v>823</v>
      </c>
      <c r="AP123" s="49" t="s">
        <v>2180</v>
      </c>
      <c r="AQ123" s="530">
        <v>1000000</v>
      </c>
      <c r="AR123" s="500">
        <v>12037.487874836999</v>
      </c>
      <c r="AS123" s="530">
        <v>115486</v>
      </c>
      <c r="AT123" s="530">
        <v>117486</v>
      </c>
      <c r="AU123" s="769">
        <v>2.3199999999999998</v>
      </c>
      <c r="AV123" s="747">
        <v>116347000000</v>
      </c>
      <c r="AW123" s="534">
        <f>(_xlfn.XLOOKUP(RPBOD3[[#This Row],[Bonds_ShortName]],FNRP!D:D,FNRP!H:H,_xlfn.XLOOKUP(RPBOD3[[#This Row],[Bonds_ShortName]],FNRP!AV:AV,FNRP!AZ:AZ,,0),0)-RPBOD3[[#This Row],[PTCK_Remain]]-10^5)*RPBOD3[[#This Row],[Quantity]]</f>
        <v>-14497487874.836996</v>
      </c>
      <c r="AY123" s="128"/>
      <c r="AZ123" s="610">
        <v>46252</v>
      </c>
      <c r="BA123" s="850">
        <v>50085</v>
      </c>
      <c r="BB123" s="852" t="s">
        <v>2497</v>
      </c>
      <c r="BC123" s="39" t="s">
        <v>824</v>
      </c>
      <c r="BD123" s="530">
        <v>700000</v>
      </c>
      <c r="BE123" s="530">
        <v>110115</v>
      </c>
      <c r="BF123" s="658">
        <v>46196</v>
      </c>
      <c r="BG123" s="658">
        <v>46197</v>
      </c>
      <c r="BH123" s="658">
        <v>55966</v>
      </c>
      <c r="BI123" s="500">
        <v>77829500000</v>
      </c>
      <c r="BJ123" s="49">
        <v>4.2</v>
      </c>
      <c r="BK123" s="49">
        <v>124.18004581700001</v>
      </c>
      <c r="BL123" s="630" t="s">
        <v>2172</v>
      </c>
      <c r="BM123" s="49" t="s">
        <v>1033</v>
      </c>
      <c r="BN1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23" s="396">
        <f>(PTCK_offBS[[#This Row],[VALUE_DATE]]-PTCK_offBS[[#This Row],[LAST_PMT]])*PTCK_offBS[[#This Row],[COUPON_RATE]]*1000/(DATE(YEAR(PTCK_offBS[[#This Row],[LAST_PMT]])+1,MONTH(PTCK_offBS[[#This Row],[LAST_PMT]]),DAY(PTCK_offBS[[#This Row],[LAST_PMT]]))-PTCK_offBS[[#This Row],[LAST_PMT]])</f>
        <v>1070.1369863013699</v>
      </c>
      <c r="BP123" s="396">
        <f>PTCK_offBS[[#This Row],[GROSS_AMOUNT]]/PTCK_offBS[[#This Row],[QUANTITY]]-PTCK_offBS[[#This Row],[START_ACC]]-10^5</f>
        <v>10114.863013698632</v>
      </c>
      <c r="BQ123" s="396">
        <f>IF(PTCK_offBS[[#This Row],[BS]]="Others",PTCK_offBS[[#This Row],[PTCK]]*(PTCK_offBS[[#This Row],[MATURITY_DATE]]-PTCK_offBS[[#This Row],[POSTED_DT]]-1)/(PTCK_offBS[[#This Row],[MATURITY_DATE]]-PTCK_offBS[[#This Row],[VALUE_DATE]]),PTCK_offBS[[#This Row],[PTCK]])</f>
        <v>10056.880382030384</v>
      </c>
      <c r="BR123" s="396">
        <f>PTCK_offBS[[#This Row],[PTCK remain]]*PTCK_offBS[[#This Row],[QUANTITY]]</f>
        <v>7039816267.4212685</v>
      </c>
    </row>
    <row r="124" spans="20:70" x14ac:dyDescent="0.3">
      <c r="T124" s="362"/>
      <c r="U124" s="375">
        <v>46252</v>
      </c>
      <c r="V124" s="128" t="s">
        <v>3517</v>
      </c>
      <c r="W124" s="128" t="s">
        <v>1033</v>
      </c>
      <c r="X124" s="530">
        <v>200000000000</v>
      </c>
      <c r="Y124" s="530">
        <v>95522</v>
      </c>
      <c r="Z124" s="530">
        <v>191044000000</v>
      </c>
      <c r="AA124" s="128" t="s">
        <v>2795</v>
      </c>
      <c r="AB124" s="533">
        <f>_xlfn.IFNA(VLOOKUP(BS[[#This Row],[BOND_CODE]],FNRP!D:I,6,0),VLOOKUP(BS[[#This Row],[BOND_CODE]],FNRP!AV:BA,6,0))</f>
        <v>95519</v>
      </c>
      <c r="AC124" s="396">
        <f>BS[[#This Row],[CLEAN PRICE]]*BS[[#This Row],[BALANCE]]/100000</f>
        <v>191038000000</v>
      </c>
      <c r="AF124" s="629"/>
      <c r="AK124" s="734"/>
      <c r="AL124" s="128">
        <v>42020</v>
      </c>
      <c r="AM124" s="128" t="s">
        <v>2800</v>
      </c>
      <c r="AN124" s="736">
        <v>2.2999999999999998</v>
      </c>
      <c r="AO124" s="128" t="s">
        <v>823</v>
      </c>
      <c r="AP124" s="49" t="s">
        <v>2180</v>
      </c>
      <c r="AQ124" s="530">
        <v>2500000</v>
      </c>
      <c r="AR124" s="500">
        <v>-1956.5493397339401</v>
      </c>
      <c r="AS124" s="530">
        <v>97674</v>
      </c>
      <c r="AT124" s="530">
        <v>98284</v>
      </c>
      <c r="AU124" s="769">
        <v>2.4900000000000002</v>
      </c>
      <c r="AV124" s="747">
        <v>116347000000</v>
      </c>
      <c r="AW124" s="534">
        <f>(_xlfn.XLOOKUP(RPBOD3[[#This Row],[Bonds_ShortName]],FNRP!D:D,FNRP!H:H,_xlfn.XLOOKUP(RPBOD3[[#This Row],[Bonds_ShortName]],FNRP!AV:AV,FNRP!AZ:AZ,,0),0)-RPBOD3[[#This Row],[PTCK_Remain]]-10^5)*RPBOD3[[#This Row],[Quantity]]</f>
        <v>-46758626650.665138</v>
      </c>
      <c r="AY124" s="128"/>
      <c r="AZ124" s="610">
        <v>46252</v>
      </c>
      <c r="BA124" s="850">
        <v>50384</v>
      </c>
      <c r="BB124" s="852" t="s">
        <v>636</v>
      </c>
      <c r="BC124" s="39" t="s">
        <v>824</v>
      </c>
      <c r="BD124" s="530">
        <v>1000000</v>
      </c>
      <c r="BE124" s="530">
        <v>91637</v>
      </c>
      <c r="BF124" s="658">
        <v>46248</v>
      </c>
      <c r="BG124" s="658">
        <v>46251</v>
      </c>
      <c r="BH124" s="658">
        <v>47862</v>
      </c>
      <c r="BI124" s="500">
        <v>92933000000</v>
      </c>
      <c r="BJ124" s="49">
        <v>2.2000000000000002</v>
      </c>
      <c r="BK124" s="49">
        <v>125.18004581700001</v>
      </c>
      <c r="BL124" s="630" t="s">
        <v>2172</v>
      </c>
      <c r="BM124" s="49" t="s">
        <v>1033</v>
      </c>
      <c r="BN1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24" s="396">
        <f>(PTCK_offBS[[#This Row],[VALUE_DATE]]-PTCK_offBS[[#This Row],[LAST_PMT]])*PTCK_offBS[[#This Row],[COUPON_RATE]]*1000/(DATE(YEAR(PTCK_offBS[[#This Row],[LAST_PMT]])+1,MONTH(PTCK_offBS[[#This Row],[LAST_PMT]]),DAY(PTCK_offBS[[#This Row],[LAST_PMT]]))-PTCK_offBS[[#This Row],[LAST_PMT]])</f>
        <v>1295.8904109589043</v>
      </c>
      <c r="BP124" s="396">
        <f>PTCK_offBS[[#This Row],[GROSS_AMOUNT]]/PTCK_offBS[[#This Row],[QUANTITY]]-PTCK_offBS[[#This Row],[START_ACC]]-10^5</f>
        <v>-8362.8904109589057</v>
      </c>
      <c r="BQ124" s="396">
        <f>IF(PTCK_offBS[[#This Row],[BS]]="Others",PTCK_offBS[[#This Row],[PTCK]]*(PTCK_offBS[[#This Row],[MATURITY_DATE]]-PTCK_offBS[[#This Row],[POSTED_DT]]-1)/(PTCK_offBS[[#This Row],[MATURITY_DATE]]-PTCK_offBS[[#This Row],[VALUE_DATE]]),PTCK_offBS[[#This Row],[PTCK]])</f>
        <v>-8352.5081758118431</v>
      </c>
      <c r="BR124" s="396">
        <f>PTCK_offBS[[#This Row],[PTCK remain]]*PTCK_offBS[[#This Row],[QUANTITY]]</f>
        <v>-8352508175.8118429</v>
      </c>
    </row>
    <row r="125" spans="20:70" x14ac:dyDescent="0.3">
      <c r="T125" s="362"/>
      <c r="U125" s="375">
        <v>46252</v>
      </c>
      <c r="V125" s="128" t="s">
        <v>3517</v>
      </c>
      <c r="W125" s="128" t="s">
        <v>1033</v>
      </c>
      <c r="X125" s="530">
        <v>200000000000</v>
      </c>
      <c r="Y125" s="530">
        <v>95522</v>
      </c>
      <c r="Z125" s="530">
        <v>191044000000</v>
      </c>
      <c r="AA125" s="128" t="s">
        <v>2796</v>
      </c>
      <c r="AB125" s="533">
        <f>_xlfn.IFNA(VLOOKUP(BS[[#This Row],[BOND_CODE]],FNRP!D:I,6,0),VLOOKUP(BS[[#This Row],[BOND_CODE]],FNRP!AV:BA,6,0))</f>
        <v>95519</v>
      </c>
      <c r="AC125" s="396">
        <f>BS[[#This Row],[CLEAN PRICE]]*BS[[#This Row],[BALANCE]]/100000</f>
        <v>191038000000</v>
      </c>
      <c r="AF125" s="629"/>
      <c r="AK125" s="734"/>
      <c r="AL125" s="128">
        <v>42024</v>
      </c>
      <c r="AM125" s="128" t="s">
        <v>688</v>
      </c>
      <c r="AN125" s="736">
        <v>3</v>
      </c>
      <c r="AO125" s="128" t="s">
        <v>823</v>
      </c>
      <c r="AP125" s="49" t="s">
        <v>2180</v>
      </c>
      <c r="AQ125" s="530">
        <v>1000000</v>
      </c>
      <c r="AR125" s="500">
        <v>5007.1985941704306</v>
      </c>
      <c r="AS125" s="530">
        <v>106305</v>
      </c>
      <c r="AT125" s="530">
        <v>108223</v>
      </c>
      <c r="AU125" s="769">
        <v>2.36</v>
      </c>
      <c r="AV125" s="747">
        <v>116347000000</v>
      </c>
      <c r="AW125" s="534">
        <f>(_xlfn.XLOOKUP(RPBOD3[[#This Row],[Bonds_ShortName]],FNRP!D:D,FNRP!H:H,_xlfn.XLOOKUP(RPBOD3[[#This Row],[Bonds_ShortName]],FNRP!AV:AV,FNRP!AZ:AZ,,0),0)-RPBOD3[[#This Row],[PTCK_Remain]]-10^5)*RPBOD3[[#This Row],[Quantity]]</f>
        <v>-15272198594.170433</v>
      </c>
      <c r="AY125" s="128"/>
      <c r="AZ125" s="610">
        <v>46252</v>
      </c>
      <c r="BA125" s="850">
        <v>50380</v>
      </c>
      <c r="BB125" s="852" t="s">
        <v>2497</v>
      </c>
      <c r="BC125" s="39" t="s">
        <v>824</v>
      </c>
      <c r="BD125" s="530">
        <v>800000</v>
      </c>
      <c r="BE125" s="530">
        <v>106603</v>
      </c>
      <c r="BF125" s="658">
        <v>46248</v>
      </c>
      <c r="BG125" s="658">
        <v>46251</v>
      </c>
      <c r="BH125" s="658">
        <v>55966</v>
      </c>
      <c r="BI125" s="500">
        <v>86636000000</v>
      </c>
      <c r="BJ125" s="49">
        <v>4.2</v>
      </c>
      <c r="BK125" s="49">
        <v>126.18004581700001</v>
      </c>
      <c r="BL125" s="630" t="s">
        <v>2172</v>
      </c>
      <c r="BM125" s="49" t="s">
        <v>1033</v>
      </c>
      <c r="BN1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25" s="396">
        <f>(PTCK_offBS[[#This Row],[VALUE_DATE]]-PTCK_offBS[[#This Row],[LAST_PMT]])*PTCK_offBS[[#This Row],[COUPON_RATE]]*1000/(DATE(YEAR(PTCK_offBS[[#This Row],[LAST_PMT]])+1,MONTH(PTCK_offBS[[#This Row],[LAST_PMT]]),DAY(PTCK_offBS[[#This Row],[LAST_PMT]]))-PTCK_offBS[[#This Row],[LAST_PMT]])</f>
        <v>1691.5068493150684</v>
      </c>
      <c r="BP125" s="396">
        <f>PTCK_offBS[[#This Row],[GROSS_AMOUNT]]/PTCK_offBS[[#This Row],[QUANTITY]]-PTCK_offBS[[#This Row],[START_ACC]]-10^5</f>
        <v>6603.4931506849243</v>
      </c>
      <c r="BQ125" s="396">
        <f>IF(PTCK_offBS[[#This Row],[BS]]="Others",PTCK_offBS[[#This Row],[PTCK]]*(PTCK_offBS[[#This Row],[MATURITY_DATE]]-PTCK_offBS[[#This Row],[POSTED_DT]]-1)/(PTCK_offBS[[#This Row],[MATURITY_DATE]]-PTCK_offBS[[#This Row],[VALUE_DATE]]),PTCK_offBS[[#This Row],[PTCK]])</f>
        <v>6602.1337079364566</v>
      </c>
      <c r="BR125" s="396">
        <f>PTCK_offBS[[#This Row],[PTCK remain]]*PTCK_offBS[[#This Row],[QUANTITY]]</f>
        <v>5281706966.349165</v>
      </c>
    </row>
    <row r="126" spans="20:70" x14ac:dyDescent="0.3">
      <c r="T126" s="362"/>
      <c r="U126" s="375">
        <v>46252</v>
      </c>
      <c r="V126" s="128" t="s">
        <v>2381</v>
      </c>
      <c r="W126" s="128" t="s">
        <v>1033</v>
      </c>
      <c r="X126" s="530">
        <v>500000000000</v>
      </c>
      <c r="Y126" s="530">
        <v>101145</v>
      </c>
      <c r="Z126" s="530">
        <v>505725000000</v>
      </c>
      <c r="AA126" s="128" t="s">
        <v>2795</v>
      </c>
      <c r="AB126" s="533">
        <f>_xlfn.IFNA(VLOOKUP(BS[[#This Row],[BOND_CODE]],FNRP!D:I,6,0),VLOOKUP(BS[[#This Row],[BOND_CODE]],FNRP!AV:BA,6,0))</f>
        <v>101145</v>
      </c>
      <c r="AC126" s="396">
        <f>BS[[#This Row],[CLEAN PRICE]]*BS[[#This Row],[BALANCE]]/100000</f>
        <v>505725000000</v>
      </c>
      <c r="AF126" s="629"/>
      <c r="AK126" s="734"/>
      <c r="AL126" s="128">
        <v>42756</v>
      </c>
      <c r="AM126" s="128" t="s">
        <v>2782</v>
      </c>
      <c r="AN126" s="736">
        <v>3.4</v>
      </c>
      <c r="AO126" s="128" t="s">
        <v>907</v>
      </c>
      <c r="AP126" s="49" t="s">
        <v>2176</v>
      </c>
      <c r="AQ126" s="530">
        <v>3000000</v>
      </c>
      <c r="AR126" s="500">
        <v>950.8250227686699</v>
      </c>
      <c r="AS126" s="530">
        <v>101121</v>
      </c>
      <c r="AT126" s="530">
        <v>102970</v>
      </c>
      <c r="AU126" s="769">
        <v>3.3</v>
      </c>
      <c r="AV126" s="747">
        <v>116347000000</v>
      </c>
      <c r="AW126" s="534">
        <f>(_xlfn.XLOOKUP(RPBOD3[[#This Row],[Bonds_ShortName]],FNRP!D:D,FNRP!H:H,_xlfn.XLOOKUP(RPBOD3[[#This Row],[Bonds_ShortName]],FNRP!AV:AV,FNRP!AZ:AZ,,0),0)-RPBOD3[[#This Row],[PTCK_Remain]]-10^5)*RPBOD3[[#This Row],[Quantity]]</f>
        <v>-46283475068.306</v>
      </c>
      <c r="AY126" s="128"/>
      <c r="AZ126" s="610">
        <v>46252</v>
      </c>
      <c r="BA126" s="850">
        <v>50382</v>
      </c>
      <c r="BB126" s="852" t="s">
        <v>702</v>
      </c>
      <c r="BC126" s="39" t="s">
        <v>824</v>
      </c>
      <c r="BD126" s="530">
        <v>500000</v>
      </c>
      <c r="BE126" s="530">
        <v>82729</v>
      </c>
      <c r="BF126" s="658">
        <v>46248</v>
      </c>
      <c r="BG126" s="658">
        <v>46251</v>
      </c>
      <c r="BH126" s="658">
        <v>49899</v>
      </c>
      <c r="BI126" s="500">
        <v>41380500000</v>
      </c>
      <c r="BJ126" s="49">
        <v>2.2999999999999998</v>
      </c>
      <c r="BK126" s="49">
        <v>127.18004581700001</v>
      </c>
      <c r="BL126" s="630" t="s">
        <v>2172</v>
      </c>
      <c r="BM126" s="49" t="s">
        <v>1033</v>
      </c>
      <c r="BN1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O126" s="396">
        <f>(PTCK_offBS[[#This Row],[VALUE_DATE]]-PTCK_offBS[[#This Row],[LAST_PMT]])*PTCK_offBS[[#This Row],[COUPON_RATE]]*1000/(DATE(YEAR(PTCK_offBS[[#This Row],[LAST_PMT]])+1,MONTH(PTCK_offBS[[#This Row],[LAST_PMT]]),DAY(PTCK_offBS[[#This Row],[LAST_PMT]]))-PTCK_offBS[[#This Row],[LAST_PMT]])</f>
        <v>31.506849315068493</v>
      </c>
      <c r="BP126" s="396">
        <f>PTCK_offBS[[#This Row],[GROSS_AMOUNT]]/PTCK_offBS[[#This Row],[QUANTITY]]-PTCK_offBS[[#This Row],[START_ACC]]-10^5</f>
        <v>-17270.506849315076</v>
      </c>
      <c r="BQ126" s="396">
        <f>IF(PTCK_offBS[[#This Row],[BS]]="Others",PTCK_offBS[[#This Row],[PTCK]]*(PTCK_offBS[[#This Row],[MATURITY_DATE]]-PTCK_offBS[[#This Row],[POSTED_DT]]-1)/(PTCK_offBS[[#This Row],[MATURITY_DATE]]-PTCK_offBS[[#This Row],[VALUE_DATE]]),PTCK_offBS[[#This Row],[PTCK]])</f>
        <v>-17261.038369682774</v>
      </c>
      <c r="BR126" s="396">
        <f>PTCK_offBS[[#This Row],[PTCK remain]]*PTCK_offBS[[#This Row],[QUANTITY]]</f>
        <v>-8630519184.8413868</v>
      </c>
    </row>
    <row r="127" spans="20:70" x14ac:dyDescent="0.3">
      <c r="T127" s="362"/>
      <c r="U127" s="375">
        <v>46252</v>
      </c>
      <c r="V127" s="128" t="s">
        <v>2852</v>
      </c>
      <c r="W127" s="128" t="s">
        <v>1033</v>
      </c>
      <c r="X127" s="530">
        <v>250000000000</v>
      </c>
      <c r="Y127" s="530">
        <v>87600</v>
      </c>
      <c r="Z127" s="530">
        <v>219000000000</v>
      </c>
      <c r="AA127" s="128" t="s">
        <v>2795</v>
      </c>
      <c r="AB127" s="533">
        <f>_xlfn.IFNA(VLOOKUP(BS[[#This Row],[BOND_CODE]],FNRP!D:I,6,0),VLOOKUP(BS[[#This Row],[BOND_CODE]],FNRP!AV:BA,6,0))</f>
        <v>87596</v>
      </c>
      <c r="AC127" s="396">
        <f>BS[[#This Row],[CLEAN PRICE]]*BS[[#This Row],[BALANCE]]/100000</f>
        <v>218990000000</v>
      </c>
      <c r="AF127" s="629"/>
      <c r="AK127" s="734"/>
      <c r="AL127" s="128">
        <v>49701</v>
      </c>
      <c r="AM127" s="128" t="s">
        <v>3118</v>
      </c>
      <c r="AN127" s="736">
        <v>2.9</v>
      </c>
      <c r="AO127" s="128" t="s">
        <v>823</v>
      </c>
      <c r="AP127" s="49" t="s">
        <v>824</v>
      </c>
      <c r="AQ127" s="530">
        <v>1000000</v>
      </c>
      <c r="AR127" s="500">
        <v>-5781.1818477320203</v>
      </c>
      <c r="AS127" s="530">
        <v>94029</v>
      </c>
      <c r="AT127" s="530">
        <v>94363</v>
      </c>
      <c r="AU127" s="769">
        <v>3.7</v>
      </c>
      <c r="AV127" s="747">
        <v>116347000000</v>
      </c>
      <c r="AW127" s="534">
        <f>(_xlfn.XLOOKUP(RPBOD3[[#This Row],[Bonds_ShortName]],FNRP!D:D,FNRP!H:H,_xlfn.XLOOKUP(RPBOD3[[#This Row],[Bonds_ShortName]],FNRP!AV:AV,FNRP!AZ:AZ,,0),0)-RPBOD3[[#This Row],[PTCK_Remain]]-10^5)*RPBOD3[[#This Row],[Quantity]]</f>
        <v>-4679818152.2679806</v>
      </c>
      <c r="AY127" s="128"/>
      <c r="AZ127" s="610">
        <v>46252</v>
      </c>
      <c r="BA127" s="850">
        <v>50408</v>
      </c>
      <c r="BB127" s="852" t="s">
        <v>3517</v>
      </c>
      <c r="BC127" s="39" t="s">
        <v>824</v>
      </c>
      <c r="BD127" s="530">
        <v>2000000</v>
      </c>
      <c r="BE127" s="530">
        <v>98330</v>
      </c>
      <c r="BF127" s="658">
        <v>46252</v>
      </c>
      <c r="BG127" s="658">
        <v>46253</v>
      </c>
      <c r="BH127" s="658">
        <v>47688</v>
      </c>
      <c r="BI127" s="500">
        <v>197044000000</v>
      </c>
      <c r="BJ127" s="49">
        <v>2.7</v>
      </c>
      <c r="BK127" s="49">
        <v>128.18004581700001</v>
      </c>
      <c r="BL127" s="630" t="s">
        <v>2172</v>
      </c>
      <c r="BM127" s="49" t="s">
        <v>1033</v>
      </c>
      <c r="BN1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O127" s="396">
        <f>(PTCK_offBS[[#This Row],[VALUE_DATE]]-PTCK_offBS[[#This Row],[LAST_PMT]])*PTCK_offBS[[#This Row],[COUPON_RATE]]*1000/(DATE(YEAR(PTCK_offBS[[#This Row],[LAST_PMT]])+1,MONTH(PTCK_offBS[[#This Row],[LAST_PMT]]),DAY(PTCK_offBS[[#This Row],[LAST_PMT]]))-PTCK_offBS[[#This Row],[LAST_PMT]])</f>
        <v>192.32876712328766</v>
      </c>
      <c r="BP127" s="396">
        <f>PTCK_offBS[[#This Row],[GROSS_AMOUNT]]/PTCK_offBS[[#This Row],[QUANTITY]]-PTCK_offBS[[#This Row],[START_ACC]]-10^5</f>
        <v>-1670.3287671232829</v>
      </c>
      <c r="BQ127" s="396">
        <f>IF(PTCK_offBS[[#This Row],[BS]]="Others",PTCK_offBS[[#This Row],[PTCK]]*(PTCK_offBS[[#This Row],[MATURITY_DATE]]-PTCK_offBS[[#This Row],[POSTED_DT]]-1)/(PTCK_offBS[[#This Row],[MATURITY_DATE]]-PTCK_offBS[[#This Row],[VALUE_DATE]]),PTCK_offBS[[#This Row],[PTCK]])</f>
        <v>-1670.3287671232829</v>
      </c>
      <c r="BR127" s="396">
        <f>PTCK_offBS[[#This Row],[PTCK remain]]*PTCK_offBS[[#This Row],[QUANTITY]]</f>
        <v>-3340657534.2465658</v>
      </c>
    </row>
    <row r="128" spans="20:70" x14ac:dyDescent="0.3">
      <c r="T128" s="362"/>
      <c r="U128" s="375">
        <v>46252</v>
      </c>
      <c r="V128" s="128" t="s">
        <v>611</v>
      </c>
      <c r="W128" s="128" t="s">
        <v>822</v>
      </c>
      <c r="X128" s="530">
        <v>100000000000</v>
      </c>
      <c r="Y128" s="530">
        <v>112706</v>
      </c>
      <c r="Z128" s="530">
        <v>112706000000</v>
      </c>
      <c r="AA128" s="128" t="s">
        <v>2795</v>
      </c>
      <c r="AB128" s="533">
        <f>_xlfn.IFNA(VLOOKUP(BS[[#This Row],[BOND_CODE]],FNRP!D:I,6,0),VLOOKUP(BS[[#This Row],[BOND_CODE]],FNRP!AV:BA,6,0))</f>
        <v>112715</v>
      </c>
      <c r="AC128" s="396">
        <f>BS[[#This Row],[CLEAN PRICE]]*BS[[#This Row],[BALANCE]]/100000</f>
        <v>112715000000</v>
      </c>
      <c r="AF128" s="629"/>
      <c r="AK128" s="734"/>
      <c r="AL128" s="128">
        <v>49699</v>
      </c>
      <c r="AM128" s="128" t="s">
        <v>3081</v>
      </c>
      <c r="AN128" s="736">
        <v>2.9</v>
      </c>
      <c r="AO128" s="128" t="s">
        <v>823</v>
      </c>
      <c r="AP128" s="49" t="s">
        <v>825</v>
      </c>
      <c r="AQ128" s="530">
        <v>500000</v>
      </c>
      <c r="AR128" s="500">
        <v>-3722.36018366594</v>
      </c>
      <c r="AS128" s="530">
        <v>96155</v>
      </c>
      <c r="AT128" s="530">
        <v>96600</v>
      </c>
      <c r="AU128" s="769">
        <v>3.41</v>
      </c>
      <c r="AV128" s="747">
        <v>116347000000</v>
      </c>
      <c r="AW128" s="534">
        <f>(_xlfn.XLOOKUP(RPBOD3[[#This Row],[Bonds_ShortName]],FNRP!D:D,FNRP!H:H,_xlfn.XLOOKUP(RPBOD3[[#This Row],[Bonds_ShortName]],FNRP!AV:AV,FNRP!AZ:AZ,,0),0)-RPBOD3[[#This Row],[PTCK_Remain]]-10^5)*RPBOD3[[#This Row],[Quantity]]</f>
        <v>-3344319908.1670318</v>
      </c>
      <c r="AY128" s="128"/>
      <c r="AZ128" s="610">
        <v>46252</v>
      </c>
      <c r="BA128" s="850">
        <v>49761</v>
      </c>
      <c r="BB128" s="852" t="s">
        <v>712</v>
      </c>
      <c r="BC128" s="39" t="s">
        <v>824</v>
      </c>
      <c r="BD128" s="530">
        <v>1000000</v>
      </c>
      <c r="BE128" s="530">
        <v>99980</v>
      </c>
      <c r="BF128" s="658">
        <v>46155</v>
      </c>
      <c r="BG128" s="658">
        <v>46156</v>
      </c>
      <c r="BH128" s="658">
        <v>51144</v>
      </c>
      <c r="BI128" s="500">
        <v>101213000000</v>
      </c>
      <c r="BJ128" s="49">
        <v>3.6</v>
      </c>
      <c r="BK128" s="49">
        <v>129.18004581700001</v>
      </c>
      <c r="BL128" s="630" t="s">
        <v>2172</v>
      </c>
      <c r="BM128" s="49" t="s">
        <v>1033</v>
      </c>
      <c r="BN1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28" s="396">
        <f>(PTCK_offBS[[#This Row],[VALUE_DATE]]-PTCK_offBS[[#This Row],[LAST_PMT]])*PTCK_offBS[[#This Row],[COUPON_RATE]]*1000/(DATE(YEAR(PTCK_offBS[[#This Row],[LAST_PMT]])+1,MONTH(PTCK_offBS[[#This Row],[LAST_PMT]]),DAY(PTCK_offBS[[#This Row],[LAST_PMT]]))-PTCK_offBS[[#This Row],[LAST_PMT]])</f>
        <v>1232.8767123287671</v>
      </c>
      <c r="BP128" s="396">
        <f>PTCK_offBS[[#This Row],[GROSS_AMOUNT]]/PTCK_offBS[[#This Row],[QUANTITY]]-PTCK_offBS[[#This Row],[START_ACC]]-10^5</f>
        <v>-19.876712328768917</v>
      </c>
      <c r="BQ128" s="396">
        <f>IF(PTCK_offBS[[#This Row],[BS]]="Others",PTCK_offBS[[#This Row],[PTCK]]*(PTCK_offBS[[#This Row],[MATURITY_DATE]]-PTCK_offBS[[#This Row],[POSTED_DT]]-1)/(PTCK_offBS[[#This Row],[MATURITY_DATE]]-PTCK_offBS[[#This Row],[VALUE_DATE]]),PTCK_offBS[[#This Row],[PTCK]])</f>
        <v>-19.490176423417957</v>
      </c>
      <c r="BR128" s="396">
        <f>PTCK_offBS[[#This Row],[PTCK remain]]*PTCK_offBS[[#This Row],[QUANTITY]]</f>
        <v>-19490176.423417956</v>
      </c>
    </row>
    <row r="129" spans="20:70" x14ac:dyDescent="0.3">
      <c r="T129" s="362"/>
      <c r="U129" s="375">
        <v>46252</v>
      </c>
      <c r="V129" s="128" t="s">
        <v>666</v>
      </c>
      <c r="W129" s="128" t="s">
        <v>1033</v>
      </c>
      <c r="X129" s="530">
        <v>150000000000</v>
      </c>
      <c r="Y129" s="530">
        <v>104786</v>
      </c>
      <c r="Z129" s="530">
        <v>157179000000</v>
      </c>
      <c r="AA129" s="128" t="s">
        <v>2795</v>
      </c>
      <c r="AB129" s="533">
        <f>_xlfn.IFNA(VLOOKUP(BS[[#This Row],[BOND_CODE]],FNRP!D:I,6,0),VLOOKUP(BS[[#This Row],[BOND_CODE]],FNRP!AV:BA,6,0))</f>
        <v>104787</v>
      </c>
      <c r="AC129" s="396">
        <f>BS[[#This Row],[CLEAN PRICE]]*BS[[#This Row],[BALANCE]]/100000</f>
        <v>157180500000</v>
      </c>
      <c r="AF129" s="629"/>
      <c r="AK129" s="734"/>
      <c r="AL129" s="128">
        <v>49700</v>
      </c>
      <c r="AM129" s="128" t="s">
        <v>636</v>
      </c>
      <c r="AN129" s="736">
        <v>2.2000000000000002</v>
      </c>
      <c r="AO129" s="128" t="s">
        <v>823</v>
      </c>
      <c r="AP129" s="49" t="s">
        <v>824</v>
      </c>
      <c r="AQ129" s="530">
        <v>1000000</v>
      </c>
      <c r="AR129" s="500">
        <v>-3370.3693749199801</v>
      </c>
      <c r="AS129" s="530">
        <v>96414</v>
      </c>
      <c r="AT129" s="530">
        <v>97101</v>
      </c>
      <c r="AU129" s="769">
        <v>3.0305</v>
      </c>
      <c r="AV129" s="747">
        <v>116347000000</v>
      </c>
      <c r="AW129" s="534">
        <f>(_xlfn.XLOOKUP(RPBOD3[[#This Row],[Bonds_ShortName]],FNRP!D:D,FNRP!H:H,_xlfn.XLOOKUP(RPBOD3[[#This Row],[Bonds_ShortName]],FNRP!AV:AV,FNRP!AZ:AZ,,0),0)-RPBOD3[[#This Row],[PTCK_Remain]]-10^5)*RPBOD3[[#This Row],[Quantity]]</f>
        <v>-4085630625.0800261</v>
      </c>
      <c r="AY129" s="128"/>
      <c r="AZ129" s="764">
        <v>46252</v>
      </c>
      <c r="BA129" s="851">
        <v>49774</v>
      </c>
      <c r="BB129" s="853" t="s">
        <v>712</v>
      </c>
      <c r="BC129" s="39" t="s">
        <v>824</v>
      </c>
      <c r="BD129" s="765">
        <v>1500000</v>
      </c>
      <c r="BE129" s="765">
        <v>97100</v>
      </c>
      <c r="BF129" s="768">
        <v>46161</v>
      </c>
      <c r="BG129" s="768">
        <v>46162</v>
      </c>
      <c r="BH129" s="768">
        <v>51144</v>
      </c>
      <c r="BI129" s="766">
        <v>147588000000</v>
      </c>
      <c r="BJ129" s="767">
        <v>3.6</v>
      </c>
      <c r="BK129" s="49">
        <v>130.18004581700001</v>
      </c>
      <c r="BL129" s="630" t="s">
        <v>2172</v>
      </c>
      <c r="BM129" s="49" t="s">
        <v>1033</v>
      </c>
      <c r="BN1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29" s="396">
        <f>(PTCK_offBS[[#This Row],[VALUE_DATE]]-PTCK_offBS[[#This Row],[LAST_PMT]])*PTCK_offBS[[#This Row],[COUPON_RATE]]*1000/(DATE(YEAR(PTCK_offBS[[#This Row],[LAST_PMT]])+1,MONTH(PTCK_offBS[[#This Row],[LAST_PMT]]),DAY(PTCK_offBS[[#This Row],[LAST_PMT]]))-PTCK_offBS[[#This Row],[LAST_PMT]])</f>
        <v>1292.0547945205481</v>
      </c>
      <c r="BP129" s="396">
        <f>PTCK_offBS[[#This Row],[GROSS_AMOUNT]]/PTCK_offBS[[#This Row],[QUANTITY]]-PTCK_offBS[[#This Row],[START_ACC]]-10^5</f>
        <v>-2900.0547945205471</v>
      </c>
      <c r="BQ129" s="396">
        <f>IF(PTCK_offBS[[#This Row],[BS]]="Others",PTCK_offBS[[#This Row],[PTCK]]*(PTCK_offBS[[#This Row],[MATURITY_DATE]]-PTCK_offBS[[#This Row],[POSTED_DT]]-1)/(PTCK_offBS[[#This Row],[MATURITY_DATE]]-PTCK_offBS[[#This Row],[VALUE_DATE]]),PTCK_offBS[[#This Row],[PTCK]])</f>
        <v>-2847.0830991569642</v>
      </c>
      <c r="BR129" s="396">
        <f>PTCK_offBS[[#This Row],[PTCK remain]]*PTCK_offBS[[#This Row],[QUANTITY]]</f>
        <v>-4270624648.7354465</v>
      </c>
    </row>
    <row r="130" spans="20:70" x14ac:dyDescent="0.3">
      <c r="T130" s="362"/>
      <c r="U130" s="375">
        <v>46252</v>
      </c>
      <c r="V130" s="128" t="s">
        <v>2779</v>
      </c>
      <c r="W130" s="128" t="s">
        <v>822</v>
      </c>
      <c r="X130" s="530">
        <v>500000000000</v>
      </c>
      <c r="Y130" s="530">
        <v>89670</v>
      </c>
      <c r="Z130" s="530">
        <v>448350000000</v>
      </c>
      <c r="AA130" s="128" t="s">
        <v>2795</v>
      </c>
      <c r="AB130" s="533">
        <f>_xlfn.IFNA(VLOOKUP(BS[[#This Row],[BOND_CODE]],FNRP!D:I,6,0),VLOOKUP(BS[[#This Row],[BOND_CODE]],FNRP!AV:BA,6,0))</f>
        <v>89666</v>
      </c>
      <c r="AC130" s="396">
        <f>BS[[#This Row],[CLEAN PRICE]]*BS[[#This Row],[BALANCE]]/100000</f>
        <v>448330000000</v>
      </c>
      <c r="AF130" s="629"/>
      <c r="AK130" s="734"/>
      <c r="AL130" s="128">
        <v>49953</v>
      </c>
      <c r="AM130" s="128" t="s">
        <v>598</v>
      </c>
      <c r="AN130" s="736">
        <v>7</v>
      </c>
      <c r="AO130" s="128" t="s">
        <v>823</v>
      </c>
      <c r="AP130" s="49" t="s">
        <v>824</v>
      </c>
      <c r="AQ130" s="530">
        <v>510000</v>
      </c>
      <c r="AR130" s="500">
        <v>8761.1378270519799</v>
      </c>
      <c r="AS130" s="530">
        <v>109285</v>
      </c>
      <c r="AT130" s="530">
        <v>113869</v>
      </c>
      <c r="AU130" s="769">
        <v>3.9710999999999999</v>
      </c>
      <c r="AV130" s="747">
        <v>116347000000</v>
      </c>
      <c r="AW130" s="534">
        <f>(_xlfn.XLOOKUP(RPBOD3[[#This Row],[Bonds_ShortName]],FNRP!D:D,FNRP!H:H,_xlfn.XLOOKUP(RPBOD3[[#This Row],[Bonds_ShortName]],FNRP!AV:AV,FNRP!AZ:AZ,,0),0)-RPBOD3[[#This Row],[PTCK_Remain]]-10^5)*RPBOD3[[#This Row],[Quantity]]</f>
        <v>382939708.20349115</v>
      </c>
      <c r="AY130" s="128"/>
      <c r="AZ130" s="610">
        <v>46252</v>
      </c>
      <c r="BA130" s="850">
        <v>49772</v>
      </c>
      <c r="BB130" s="852" t="s">
        <v>717</v>
      </c>
      <c r="BC130" s="39" t="s">
        <v>824</v>
      </c>
      <c r="BD130" s="530">
        <v>500000</v>
      </c>
      <c r="BE130" s="530">
        <v>151784</v>
      </c>
      <c r="BF130" s="658">
        <v>46161</v>
      </c>
      <c r="BG130" s="658">
        <v>46162</v>
      </c>
      <c r="BH130" s="658">
        <v>53326</v>
      </c>
      <c r="BI130" s="500">
        <v>77437000000</v>
      </c>
      <c r="BJ130" s="49">
        <v>8</v>
      </c>
      <c r="BK130" s="49">
        <v>131.18004581700001</v>
      </c>
      <c r="BL130" s="630" t="s">
        <v>2172</v>
      </c>
      <c r="BM130" s="49" t="s">
        <v>1033</v>
      </c>
      <c r="BN1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30" s="396">
        <f>(PTCK_offBS[[#This Row],[VALUE_DATE]]-PTCK_offBS[[#This Row],[LAST_PMT]])*PTCK_offBS[[#This Row],[COUPON_RATE]]*1000/(DATE(YEAR(PTCK_offBS[[#This Row],[LAST_PMT]])+1,MONTH(PTCK_offBS[[#This Row],[LAST_PMT]]),DAY(PTCK_offBS[[#This Row],[LAST_PMT]]))-PTCK_offBS[[#This Row],[LAST_PMT]])</f>
        <v>3090.4109589041095</v>
      </c>
      <c r="BP130" s="396">
        <f>PTCK_offBS[[#This Row],[GROSS_AMOUNT]]/PTCK_offBS[[#This Row],[QUANTITY]]-PTCK_offBS[[#This Row],[START_ACC]]-10^5</f>
        <v>51783.589041095896</v>
      </c>
      <c r="BQ130" s="396">
        <f>IF(PTCK_offBS[[#This Row],[BS]]="Others",PTCK_offBS[[#This Row],[PTCK]]*(PTCK_offBS[[#This Row],[MATURITY_DATE]]-PTCK_offBS[[#This Row],[POSTED_DT]]-1)/(PTCK_offBS[[#This Row],[MATURITY_DATE]]-PTCK_offBS[[#This Row],[VALUE_DATE]]),PTCK_offBS[[#This Row],[PTCK]])</f>
        <v>51125.813133399119</v>
      </c>
      <c r="BR130" s="396">
        <f>PTCK_offBS[[#This Row],[PTCK remain]]*PTCK_offBS[[#This Row],[QUANTITY]]</f>
        <v>25562906566.699558</v>
      </c>
    </row>
    <row r="131" spans="20:70" x14ac:dyDescent="0.3">
      <c r="T131" s="362"/>
      <c r="U131" s="375">
        <v>46252</v>
      </c>
      <c r="V131" s="128" t="s">
        <v>2499</v>
      </c>
      <c r="W131" s="128" t="s">
        <v>822</v>
      </c>
      <c r="X131" s="530">
        <v>100000000000</v>
      </c>
      <c r="Y131" s="530">
        <v>102776</v>
      </c>
      <c r="Z131" s="530">
        <v>102776000000</v>
      </c>
      <c r="AA131" s="128" t="s">
        <v>2795</v>
      </c>
      <c r="AB131" s="533">
        <f>_xlfn.IFNA(VLOOKUP(BS[[#This Row],[BOND_CODE]],FNRP!D:I,6,0),VLOOKUP(BS[[#This Row],[BOND_CODE]],FNRP!AV:BA,6,0))</f>
        <v>102776</v>
      </c>
      <c r="AC131" s="396">
        <f>BS[[#This Row],[CLEAN PRICE]]*BS[[#This Row],[BALANCE]]/100000</f>
        <v>102776000000</v>
      </c>
      <c r="AF131" s="629"/>
      <c r="AK131" s="734"/>
      <c r="AL131" s="128">
        <v>50083</v>
      </c>
      <c r="AM131" s="128" t="s">
        <v>2862</v>
      </c>
      <c r="AN131" s="736">
        <v>2.6</v>
      </c>
      <c r="AO131" s="128" t="s">
        <v>823</v>
      </c>
      <c r="AP131" s="49" t="s">
        <v>824</v>
      </c>
      <c r="AQ131" s="530">
        <v>160000</v>
      </c>
      <c r="AR131" s="500">
        <v>-3212.6314450782997</v>
      </c>
      <c r="AS131" s="530">
        <v>96727</v>
      </c>
      <c r="AT131" s="530">
        <v>98657</v>
      </c>
      <c r="AU131" s="769">
        <v>3.0535000000000001</v>
      </c>
      <c r="AV131" s="747">
        <v>116347000000</v>
      </c>
      <c r="AW131" s="534">
        <f>(_xlfn.XLOOKUP(RPBOD3[[#This Row],[Bonds_ShortName]],FNRP!D:D,FNRP!H:H,_xlfn.XLOOKUP(RPBOD3[[#This Row],[Bonds_ShortName]],FNRP!AV:AV,FNRP!AZ:AZ,,0),0)-RPBOD3[[#This Row],[PTCK_Remain]]-10^5)*RPBOD3[[#This Row],[Quantity]]</f>
        <v>-1376058968.7874727</v>
      </c>
      <c r="AY131" s="128"/>
      <c r="AZ131" s="610">
        <v>46252</v>
      </c>
      <c r="BA131" s="850">
        <v>50091</v>
      </c>
      <c r="BB131" s="852" t="s">
        <v>636</v>
      </c>
      <c r="BC131" s="39" t="s">
        <v>824</v>
      </c>
      <c r="BD131" s="530">
        <v>1000000</v>
      </c>
      <c r="BE131" s="530">
        <v>92313</v>
      </c>
      <c r="BF131" s="658">
        <v>46213</v>
      </c>
      <c r="BG131" s="658">
        <v>46216</v>
      </c>
      <c r="BH131" s="658">
        <v>47862</v>
      </c>
      <c r="BI131" s="500">
        <v>93398000000</v>
      </c>
      <c r="BJ131" s="49">
        <v>2.2000000000000002</v>
      </c>
      <c r="BK131" s="49">
        <v>132.18004581700001</v>
      </c>
      <c r="BL131" s="630" t="s">
        <v>2172</v>
      </c>
      <c r="BM131" s="49" t="s">
        <v>1033</v>
      </c>
      <c r="BN1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31" s="396">
        <f>(PTCK_offBS[[#This Row],[VALUE_DATE]]-PTCK_offBS[[#This Row],[LAST_PMT]])*PTCK_offBS[[#This Row],[COUPON_RATE]]*1000/(DATE(YEAR(PTCK_offBS[[#This Row],[LAST_PMT]])+1,MONTH(PTCK_offBS[[#This Row],[LAST_PMT]]),DAY(PTCK_offBS[[#This Row],[LAST_PMT]]))-PTCK_offBS[[#This Row],[LAST_PMT]])</f>
        <v>1084.9315068493152</v>
      </c>
      <c r="BP131" s="396">
        <f>PTCK_offBS[[#This Row],[GROSS_AMOUNT]]/PTCK_offBS[[#This Row],[QUANTITY]]-PTCK_offBS[[#This Row],[START_ACC]]-10^5</f>
        <v>-7686.9315068493161</v>
      </c>
      <c r="BQ131" s="396">
        <f>IF(PTCK_offBS[[#This Row],[BS]]="Others",PTCK_offBS[[#This Row],[PTCK]]*(PTCK_offBS[[#This Row],[MATURITY_DATE]]-PTCK_offBS[[#This Row],[POSTED_DT]]-1)/(PTCK_offBS[[#This Row],[MATURITY_DATE]]-PTCK_offBS[[#This Row],[VALUE_DATE]]),PTCK_offBS[[#This Row],[PTCK]])</f>
        <v>-7514.1390003162514</v>
      </c>
      <c r="BR131" s="396">
        <f>PTCK_offBS[[#This Row],[PTCK remain]]*PTCK_offBS[[#This Row],[QUANTITY]]</f>
        <v>-7514139000.3162518</v>
      </c>
    </row>
    <row r="132" spans="20:70" x14ac:dyDescent="0.3">
      <c r="T132" s="362"/>
      <c r="U132" s="375">
        <v>46252</v>
      </c>
      <c r="V132" s="128" t="s">
        <v>2499</v>
      </c>
      <c r="W132" s="128" t="s">
        <v>1033</v>
      </c>
      <c r="X132" s="530">
        <v>300000000000</v>
      </c>
      <c r="Y132" s="530">
        <v>102776</v>
      </c>
      <c r="Z132" s="530">
        <v>308328000000</v>
      </c>
      <c r="AA132" s="128" t="s">
        <v>2795</v>
      </c>
      <c r="AB132" s="533">
        <f>_xlfn.IFNA(VLOOKUP(BS[[#This Row],[BOND_CODE]],FNRP!D:I,6,0),VLOOKUP(BS[[#This Row],[BOND_CODE]],FNRP!AV:BA,6,0))</f>
        <v>102776</v>
      </c>
      <c r="AC132" s="396">
        <f>BS[[#This Row],[CLEAN PRICE]]*BS[[#This Row],[BALANCE]]/100000</f>
        <v>308328000000</v>
      </c>
      <c r="AF132" s="629"/>
      <c r="AK132" s="734"/>
      <c r="AL132" s="128">
        <v>50085</v>
      </c>
      <c r="AM132" s="128" t="s">
        <v>2497</v>
      </c>
      <c r="AN132" s="736">
        <v>4.2</v>
      </c>
      <c r="AO132" s="128" t="s">
        <v>823</v>
      </c>
      <c r="AP132" s="49" t="s">
        <v>824</v>
      </c>
      <c r="AQ132" s="530">
        <v>700000</v>
      </c>
      <c r="AR132" s="500">
        <v>10056.880382030371</v>
      </c>
      <c r="AS132" s="530">
        <v>110115</v>
      </c>
      <c r="AT132" s="530">
        <v>111185</v>
      </c>
      <c r="AU132" s="769">
        <v>3.6036000000000001</v>
      </c>
      <c r="AV132" s="747">
        <v>116347000000</v>
      </c>
      <c r="AW132" s="534">
        <f>(_xlfn.XLOOKUP(RPBOD3[[#This Row],[Bonds_ShortName]],FNRP!D:D,FNRP!H:H,_xlfn.XLOOKUP(RPBOD3[[#This Row],[Bonds_ShortName]],FNRP!AV:AV,FNRP!AZ:AZ,,0),0)-RPBOD3[[#This Row],[PTCK_Remain]]-10^5)*RPBOD3[[#This Row],[Quantity]]</f>
        <v>-12408816267.421261</v>
      </c>
      <c r="AY132" s="128"/>
      <c r="AZ132" s="610">
        <v>46252</v>
      </c>
      <c r="BA132" s="850">
        <v>50093</v>
      </c>
      <c r="BB132" s="852" t="s">
        <v>717</v>
      </c>
      <c r="BC132" s="39" t="s">
        <v>824</v>
      </c>
      <c r="BD132" s="530">
        <v>2650000</v>
      </c>
      <c r="BE132" s="530">
        <v>149689</v>
      </c>
      <c r="BF132" s="658">
        <v>46202</v>
      </c>
      <c r="BG132" s="658">
        <v>46203</v>
      </c>
      <c r="BH132" s="658">
        <v>53326</v>
      </c>
      <c r="BI132" s="500">
        <v>407246700000</v>
      </c>
      <c r="BJ132" s="49">
        <v>8</v>
      </c>
      <c r="BK132" s="49">
        <v>133.18004581700001</v>
      </c>
      <c r="BL132" s="630" t="s">
        <v>2172</v>
      </c>
      <c r="BM132" s="49" t="s">
        <v>1033</v>
      </c>
      <c r="BN13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32" s="396">
        <f>(PTCK_offBS[[#This Row],[VALUE_DATE]]-PTCK_offBS[[#This Row],[LAST_PMT]])*PTCK_offBS[[#This Row],[COUPON_RATE]]*1000/(DATE(YEAR(PTCK_offBS[[#This Row],[LAST_PMT]])+1,MONTH(PTCK_offBS[[#This Row],[LAST_PMT]]),DAY(PTCK_offBS[[#This Row],[LAST_PMT]]))-PTCK_offBS[[#This Row],[LAST_PMT]])</f>
        <v>3989.0410958904108</v>
      </c>
      <c r="BP132" s="396">
        <f>PTCK_offBS[[#This Row],[GROSS_AMOUNT]]/PTCK_offBS[[#This Row],[QUANTITY]]-PTCK_offBS[[#This Row],[START_ACC]]-10^5</f>
        <v>49688.958904109575</v>
      </c>
      <c r="BQ132" s="396">
        <f>IF(PTCK_offBS[[#This Row],[BS]]="Others",PTCK_offBS[[#This Row],[PTCK]]*(PTCK_offBS[[#This Row],[MATURITY_DATE]]-PTCK_offBS[[#This Row],[POSTED_DT]]-1)/(PTCK_offBS[[#This Row],[MATURITY_DATE]]-PTCK_offBS[[#This Row],[VALUE_DATE]]),PTCK_offBS[[#This Row],[PTCK]])</f>
        <v>49340.166549033696</v>
      </c>
      <c r="BR132" s="396">
        <f>PTCK_offBS[[#This Row],[PTCK remain]]*PTCK_offBS[[#This Row],[QUANTITY]]</f>
        <v>130751441354.9393</v>
      </c>
    </row>
    <row r="133" spans="20:70" x14ac:dyDescent="0.3">
      <c r="T133" s="362"/>
      <c r="U133" s="375">
        <v>46252</v>
      </c>
      <c r="V133" s="128" t="s">
        <v>1205</v>
      </c>
      <c r="W133" s="128" t="s">
        <v>1033</v>
      </c>
      <c r="X133" s="530">
        <v>100000000000</v>
      </c>
      <c r="Y133" s="530">
        <v>105990</v>
      </c>
      <c r="Z133" s="530">
        <v>105990000000</v>
      </c>
      <c r="AA133" s="128" t="s">
        <v>2795</v>
      </c>
      <c r="AB133" s="533">
        <f>_xlfn.IFNA(VLOOKUP(BS[[#This Row],[BOND_CODE]],FNRP!D:I,6,0),VLOOKUP(BS[[#This Row],[BOND_CODE]],FNRP!AV:BA,6,0))</f>
        <v>105991</v>
      </c>
      <c r="AC133" s="396">
        <f>BS[[#This Row],[CLEAN PRICE]]*BS[[#This Row],[BALANCE]]/100000</f>
        <v>105991000000</v>
      </c>
      <c r="AF133" s="629"/>
      <c r="AK133" s="734"/>
      <c r="AL133" s="128">
        <v>50082</v>
      </c>
      <c r="AM133" s="128" t="s">
        <v>3118</v>
      </c>
      <c r="AN133" s="736">
        <v>2.9</v>
      </c>
      <c r="AO133" s="128" t="s">
        <v>823</v>
      </c>
      <c r="AP133" s="49" t="s">
        <v>824</v>
      </c>
      <c r="AQ133" s="530">
        <v>2000000</v>
      </c>
      <c r="AR133" s="500">
        <v>-1807.90099120169</v>
      </c>
      <c r="AS133" s="530">
        <v>98160</v>
      </c>
      <c r="AT133" s="530">
        <v>98867</v>
      </c>
      <c r="AU133" s="769">
        <v>3.1425000000000001</v>
      </c>
      <c r="AV133" s="747">
        <v>116347000000</v>
      </c>
      <c r="AW133" s="534">
        <f>(_xlfn.XLOOKUP(RPBOD3[[#This Row],[Bonds_ShortName]],FNRP!D:D,FNRP!H:H,_xlfn.XLOOKUP(RPBOD3[[#This Row],[Bonds_ShortName]],FNRP!AV:AV,FNRP!AZ:AZ,,0),0)-RPBOD3[[#This Row],[PTCK_Remain]]-10^5)*RPBOD3[[#This Row],[Quantity]]</f>
        <v>-17306198017.596615</v>
      </c>
      <c r="AY133" s="128"/>
      <c r="AZ133" s="610">
        <v>46252</v>
      </c>
      <c r="BA133" s="850">
        <v>47715</v>
      </c>
      <c r="BB133" s="852" t="s">
        <v>2499</v>
      </c>
      <c r="BC133" s="39" t="s">
        <v>824</v>
      </c>
      <c r="BD133" s="530">
        <v>1000000</v>
      </c>
      <c r="BE133" s="530">
        <v>112524</v>
      </c>
      <c r="BF133" s="658">
        <v>45951</v>
      </c>
      <c r="BG133" s="658">
        <v>45952</v>
      </c>
      <c r="BH133" s="658">
        <v>48556</v>
      </c>
      <c r="BI133" s="500">
        <v>116706000000</v>
      </c>
      <c r="BJ133" s="49">
        <v>4.8</v>
      </c>
      <c r="BK133" s="49">
        <v>134.18004581700001</v>
      </c>
      <c r="BL133" s="630" t="s">
        <v>2172</v>
      </c>
      <c r="BM133" s="49" t="s">
        <v>1033</v>
      </c>
      <c r="BN13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45634</v>
      </c>
      <c r="BO133" s="396">
        <f>(PTCK_offBS[[#This Row],[VALUE_DATE]]-PTCK_offBS[[#This Row],[LAST_PMT]])*PTCK_offBS[[#This Row],[COUPON_RATE]]*1000/(DATE(YEAR(PTCK_offBS[[#This Row],[LAST_PMT]])+1,MONTH(PTCK_offBS[[#This Row],[LAST_PMT]]),DAY(PTCK_offBS[[#This Row],[LAST_PMT]]))-PTCK_offBS[[#This Row],[LAST_PMT]])</f>
        <v>4181.9178082191775</v>
      </c>
      <c r="BP133" s="396">
        <f>PTCK_offBS[[#This Row],[GROSS_AMOUNT]]/PTCK_offBS[[#This Row],[QUANTITY]]-PTCK_offBS[[#This Row],[START_ACC]]-10^5</f>
        <v>12524.082191780821</v>
      </c>
      <c r="BQ133" s="396">
        <f>IF(PTCK_offBS[[#This Row],[BS]]="Others",PTCK_offBS[[#This Row],[PTCK]]*(PTCK_offBS[[#This Row],[MATURITY_DATE]]-PTCK_offBS[[#This Row],[POSTED_DT]]-1)/(PTCK_offBS[[#This Row],[MATURITY_DATE]]-PTCK_offBS[[#This Row],[VALUE_DATE]]),PTCK_offBS[[#This Row],[PTCK]])</f>
        <v>11076.406024451317</v>
      </c>
      <c r="BR133" s="396">
        <f>PTCK_offBS[[#This Row],[PTCK remain]]*PTCK_offBS[[#This Row],[QUANTITY]]</f>
        <v>11076406024.451317</v>
      </c>
    </row>
    <row r="134" spans="20:70" x14ac:dyDescent="0.3">
      <c r="T134" s="362"/>
      <c r="U134" s="375">
        <v>46252</v>
      </c>
      <c r="V134" s="128" t="s">
        <v>2497</v>
      </c>
      <c r="W134" s="128" t="s">
        <v>1033</v>
      </c>
      <c r="X134" s="530">
        <v>1300000000000</v>
      </c>
      <c r="Y134" s="530">
        <v>92331</v>
      </c>
      <c r="Z134" s="530">
        <v>1200303000000</v>
      </c>
      <c r="AA134" s="128" t="s">
        <v>2805</v>
      </c>
      <c r="AB134" s="533">
        <f>_xlfn.IFNA(VLOOKUP(BS[[#This Row],[BOND_CODE]],FNRP!D:I,6,0),VLOOKUP(BS[[#This Row],[BOND_CODE]],FNRP!AV:BA,6,0))</f>
        <v>92330</v>
      </c>
      <c r="AC134" s="396">
        <f>BS[[#This Row],[CLEAN PRICE]]*BS[[#This Row],[BALANCE]]/100000</f>
        <v>1200290000000</v>
      </c>
      <c r="AF134" s="629"/>
      <c r="AK134" s="734"/>
      <c r="AL134" s="128">
        <v>50384</v>
      </c>
      <c r="AM134" s="128" t="s">
        <v>636</v>
      </c>
      <c r="AN134" s="736">
        <v>2.2000000000000002</v>
      </c>
      <c r="AO134" s="128" t="s">
        <v>823</v>
      </c>
      <c r="AP134" s="49" t="s">
        <v>824</v>
      </c>
      <c r="AQ134" s="530">
        <v>1000000</v>
      </c>
      <c r="AR134" s="500">
        <v>-8352.5081758118395</v>
      </c>
      <c r="AS134" s="530">
        <v>91637</v>
      </c>
      <c r="AT134" s="530">
        <v>92933</v>
      </c>
      <c r="AU134" s="769">
        <v>4.32</v>
      </c>
      <c r="AV134" s="747">
        <v>116347000000</v>
      </c>
      <c r="AW134" s="534">
        <f>(_xlfn.XLOOKUP(RPBOD3[[#This Row],[Bonds_ShortName]],FNRP!D:D,FNRP!H:H,_xlfn.XLOOKUP(RPBOD3[[#This Row],[Bonds_ShortName]],FNRP!AV:AV,FNRP!AZ:AZ,,0),0)-RPBOD3[[#This Row],[PTCK_Remain]]-10^5)*RPBOD3[[#This Row],[Quantity]]</f>
        <v>896508175.81184673</v>
      </c>
      <c r="AY134" s="128"/>
      <c r="AZ134" s="610">
        <v>46252</v>
      </c>
      <c r="BA134" s="850">
        <v>49896</v>
      </c>
      <c r="BB134" s="852" t="s">
        <v>2497</v>
      </c>
      <c r="BC134" s="39" t="s">
        <v>824</v>
      </c>
      <c r="BD134" s="530">
        <v>700000</v>
      </c>
      <c r="BE134" s="530">
        <v>106615</v>
      </c>
      <c r="BF134" s="658">
        <v>46175</v>
      </c>
      <c r="BG134" s="658">
        <v>46176</v>
      </c>
      <c r="BH134" s="658">
        <v>55966</v>
      </c>
      <c r="BI134" s="500">
        <v>75210100000</v>
      </c>
      <c r="BJ134" s="49">
        <v>4.2</v>
      </c>
      <c r="BK134" s="49">
        <v>135.18004581700001</v>
      </c>
      <c r="BL134" s="630" t="s">
        <v>2172</v>
      </c>
      <c r="BM134" s="49" t="s">
        <v>1033</v>
      </c>
      <c r="BN13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34" s="396">
        <f>(PTCK_offBS[[#This Row],[VALUE_DATE]]-PTCK_offBS[[#This Row],[LAST_PMT]])*PTCK_offBS[[#This Row],[COUPON_RATE]]*1000/(DATE(YEAR(PTCK_offBS[[#This Row],[LAST_PMT]])+1,MONTH(PTCK_offBS[[#This Row],[LAST_PMT]]),DAY(PTCK_offBS[[#This Row],[LAST_PMT]]))-PTCK_offBS[[#This Row],[LAST_PMT]])</f>
        <v>828.49315068493172</v>
      </c>
      <c r="BP134" s="396">
        <f>PTCK_offBS[[#This Row],[GROSS_AMOUNT]]/PTCK_offBS[[#This Row],[QUANTITY]]-PTCK_offBS[[#This Row],[START_ACC]]-10^5</f>
        <v>6614.5068493150611</v>
      </c>
      <c r="BQ134" s="396">
        <f>IF(PTCK_offBS[[#This Row],[BS]]="Others",PTCK_offBS[[#This Row],[PTCK]]*(PTCK_offBS[[#This Row],[MATURITY_DATE]]-PTCK_offBS[[#This Row],[POSTED_DT]]-1)/(PTCK_offBS[[#This Row],[MATURITY_DATE]]-PTCK_offBS[[#This Row],[VALUE_DATE]]),PTCK_offBS[[#This Row],[PTCK]])</f>
        <v>6562.4826381406729</v>
      </c>
      <c r="BR134" s="396">
        <f>PTCK_offBS[[#This Row],[PTCK remain]]*PTCK_offBS[[#This Row],[QUANTITY]]</f>
        <v>4593737846.6984711</v>
      </c>
    </row>
    <row r="135" spans="20:70" x14ac:dyDescent="0.3">
      <c r="T135" s="362"/>
      <c r="U135" s="375">
        <v>46252</v>
      </c>
      <c r="V135" s="128" t="s">
        <v>700</v>
      </c>
      <c r="W135" s="128" t="s">
        <v>822</v>
      </c>
      <c r="X135" s="530">
        <v>6000000000</v>
      </c>
      <c r="Y135" s="530">
        <v>85075</v>
      </c>
      <c r="Z135" s="530">
        <v>5104500000</v>
      </c>
      <c r="AA135" s="128" t="s">
        <v>2795</v>
      </c>
      <c r="AB135" s="533">
        <f>_xlfn.IFNA(VLOOKUP(BS[[#This Row],[BOND_CODE]],FNRP!D:I,6,0),VLOOKUP(BS[[#This Row],[BOND_CODE]],FNRP!AV:BA,6,0))</f>
        <v>85071</v>
      </c>
      <c r="AC135" s="396">
        <f>BS[[#This Row],[CLEAN PRICE]]*BS[[#This Row],[BALANCE]]/100000</f>
        <v>5104260000</v>
      </c>
      <c r="AF135" s="629"/>
      <c r="AK135" s="734"/>
      <c r="AL135" s="128">
        <v>50380</v>
      </c>
      <c r="AM135" s="128" t="s">
        <v>2497</v>
      </c>
      <c r="AN135" s="736">
        <v>4.2</v>
      </c>
      <c r="AO135" s="128" t="s">
        <v>823</v>
      </c>
      <c r="AP135" s="49" t="s">
        <v>824</v>
      </c>
      <c r="AQ135" s="530">
        <v>800000</v>
      </c>
      <c r="AR135" s="500">
        <v>6602.1337079364503</v>
      </c>
      <c r="AS135" s="530">
        <v>106603</v>
      </c>
      <c r="AT135" s="530">
        <v>108295</v>
      </c>
      <c r="AU135" s="769">
        <v>3.8</v>
      </c>
      <c r="AV135" s="747">
        <v>116347000000</v>
      </c>
      <c r="AW135" s="534">
        <f>(_xlfn.XLOOKUP(RPBOD3[[#This Row],[Bonds_ShortName]],FNRP!D:D,FNRP!H:H,_xlfn.XLOOKUP(RPBOD3[[#This Row],[Bonds_ShortName]],FNRP!AV:AV,FNRP!AZ:AZ,,0),0)-RPBOD3[[#This Row],[PTCK_Remain]]-10^5)*RPBOD3[[#This Row],[Quantity]]</f>
        <v>-11417706966.349157</v>
      </c>
      <c r="AY135" s="128"/>
      <c r="AZ135" s="610">
        <v>46252</v>
      </c>
      <c r="BA135" s="850">
        <v>49894</v>
      </c>
      <c r="BB135" s="852" t="s">
        <v>3026</v>
      </c>
      <c r="BC135" s="39" t="s">
        <v>824</v>
      </c>
      <c r="BD135" s="530">
        <v>1300000</v>
      </c>
      <c r="BE135" s="530">
        <v>73082</v>
      </c>
      <c r="BF135" s="658">
        <v>46175</v>
      </c>
      <c r="BG135" s="658">
        <v>46176</v>
      </c>
      <c r="BH135" s="658">
        <v>56267</v>
      </c>
      <c r="BI135" s="500">
        <v>96362500000</v>
      </c>
      <c r="BJ135" s="49">
        <v>2.8</v>
      </c>
      <c r="BK135" s="49">
        <v>136.18004581700001</v>
      </c>
      <c r="BL135" s="630" t="s">
        <v>2172</v>
      </c>
      <c r="BM135" s="49" t="s">
        <v>1033</v>
      </c>
      <c r="BN13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35" s="396">
        <f>(PTCK_offBS[[#This Row],[VALUE_DATE]]-PTCK_offBS[[#This Row],[LAST_PMT]])*PTCK_offBS[[#This Row],[COUPON_RATE]]*1000/(DATE(YEAR(PTCK_offBS[[#This Row],[LAST_PMT]])+1,MONTH(PTCK_offBS[[#This Row],[LAST_PMT]]),DAY(PTCK_offBS[[#This Row],[LAST_PMT]]))-PTCK_offBS[[#This Row],[LAST_PMT]])</f>
        <v>1043.2876712328766</v>
      </c>
      <c r="BP135" s="396">
        <f>PTCK_offBS[[#This Row],[GROSS_AMOUNT]]/PTCK_offBS[[#This Row],[QUANTITY]]-PTCK_offBS[[#This Row],[START_ACC]]-10^5</f>
        <v>-26918.287671232873</v>
      </c>
      <c r="BQ135" s="396">
        <f>IF(PTCK_offBS[[#This Row],[BS]]="Others",PTCK_offBS[[#This Row],[PTCK]]*(PTCK_offBS[[#This Row],[MATURITY_DATE]]-PTCK_offBS[[#This Row],[POSTED_DT]]-1)/(PTCK_offBS[[#This Row],[MATURITY_DATE]]-PTCK_offBS[[#This Row],[VALUE_DATE]]),PTCK_offBS[[#This Row],[PTCK]])</f>
        <v>-26712.886011270042</v>
      </c>
      <c r="BR135" s="396">
        <f>PTCK_offBS[[#This Row],[PTCK remain]]*PTCK_offBS[[#This Row],[QUANTITY]]</f>
        <v>-34726751814.651054</v>
      </c>
    </row>
    <row r="136" spans="20:70" x14ac:dyDescent="0.3">
      <c r="T136" s="362"/>
      <c r="U136" s="375">
        <v>46252</v>
      </c>
      <c r="V136" s="128" t="s">
        <v>2303</v>
      </c>
      <c r="W136" s="128" t="s">
        <v>1033</v>
      </c>
      <c r="X136" s="530">
        <v>2752000000000</v>
      </c>
      <c r="Y136" s="530">
        <v>103624</v>
      </c>
      <c r="Z136" s="530">
        <v>2851732480000</v>
      </c>
      <c r="AA136" s="128" t="s">
        <v>2795</v>
      </c>
      <c r="AB136" s="533">
        <f>_xlfn.IFNA(VLOOKUP(BS[[#This Row],[BOND_CODE]],FNRP!D:I,6,0),VLOOKUP(BS[[#This Row],[BOND_CODE]],FNRP!AV:BA,6,0))</f>
        <v>103625</v>
      </c>
      <c r="AC136" s="396">
        <f>BS[[#This Row],[CLEAN PRICE]]*BS[[#This Row],[BALANCE]]/100000</f>
        <v>2851760000000</v>
      </c>
      <c r="AF136" s="629"/>
      <c r="AK136" s="734"/>
      <c r="AL136" s="128">
        <v>50382</v>
      </c>
      <c r="AM136" s="128" t="s">
        <v>702</v>
      </c>
      <c r="AN136" s="736">
        <v>2.2999999999999998</v>
      </c>
      <c r="AO136" s="128" t="s">
        <v>823</v>
      </c>
      <c r="AP136" s="49" t="s">
        <v>824</v>
      </c>
      <c r="AQ136" s="530">
        <v>500000</v>
      </c>
      <c r="AR136" s="500">
        <v>-17261.038369682759</v>
      </c>
      <c r="AS136" s="530">
        <v>82729</v>
      </c>
      <c r="AT136" s="530">
        <v>82761</v>
      </c>
      <c r="AU136" s="769">
        <v>4.4831000000000003</v>
      </c>
      <c r="AV136" s="747">
        <v>116347000000</v>
      </c>
      <c r="AW136" s="534">
        <f>(_xlfn.XLOOKUP(RPBOD3[[#This Row],[Bonds_ShortName]],FNRP!D:D,FNRP!H:H,_xlfn.XLOOKUP(RPBOD3[[#This Row],[Bonds_ShortName]],FNRP!AV:AV,FNRP!AZ:AZ,,0),0)-RPBOD3[[#This Row],[PTCK_Remain]]-10^5)*RPBOD3[[#This Row],[Quantity]]</f>
        <v>124019184.84138151</v>
      </c>
      <c r="AY136" s="128"/>
      <c r="AZ136" s="610">
        <v>46252</v>
      </c>
      <c r="BA136" s="850">
        <v>49985</v>
      </c>
      <c r="BB136" s="852" t="s">
        <v>2371</v>
      </c>
      <c r="BC136" s="39" t="s">
        <v>824</v>
      </c>
      <c r="BD136" s="530">
        <v>1120000</v>
      </c>
      <c r="BE136" s="530">
        <v>75957</v>
      </c>
      <c r="BF136" s="658">
        <v>46189</v>
      </c>
      <c r="BG136" s="658">
        <v>46190</v>
      </c>
      <c r="BH136" s="658">
        <v>55531</v>
      </c>
      <c r="BI136" s="500">
        <v>86451680000</v>
      </c>
      <c r="BJ136" s="49">
        <v>2.9</v>
      </c>
      <c r="BK136" s="49">
        <v>137.18004581700001</v>
      </c>
      <c r="BL136" s="630" t="s">
        <v>2172</v>
      </c>
      <c r="BM136" s="49" t="s">
        <v>1033</v>
      </c>
      <c r="BN13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136" s="396">
        <f>(PTCK_offBS[[#This Row],[VALUE_DATE]]-PTCK_offBS[[#This Row],[LAST_PMT]])*PTCK_offBS[[#This Row],[COUPON_RATE]]*1000/(DATE(YEAR(PTCK_offBS[[#This Row],[LAST_PMT]])+1,MONTH(PTCK_offBS[[#This Row],[LAST_PMT]]),DAY(PTCK_offBS[[#This Row],[LAST_PMT]]))-PTCK_offBS[[#This Row],[LAST_PMT]])</f>
        <v>1231.5068493150684</v>
      </c>
      <c r="BP136" s="396">
        <f>PTCK_offBS[[#This Row],[GROSS_AMOUNT]]/PTCK_offBS[[#This Row],[QUANTITY]]-PTCK_offBS[[#This Row],[START_ACC]]-10^5</f>
        <v>-24042.506849315076</v>
      </c>
      <c r="BQ136" s="396">
        <f>IF(PTCK_offBS[[#This Row],[BS]]="Others",PTCK_offBS[[#This Row],[PTCK]]*(PTCK_offBS[[#This Row],[MATURITY_DATE]]-PTCK_offBS[[#This Row],[POSTED_DT]]-1)/(PTCK_offBS[[#This Row],[MATURITY_DATE]]-PTCK_offBS[[#This Row],[VALUE_DATE]]),PTCK_offBS[[#This Row],[PTCK]])</f>
        <v>-23880.353125783669</v>
      </c>
      <c r="BR136" s="396">
        <f>PTCK_offBS[[#This Row],[PTCK remain]]*PTCK_offBS[[#This Row],[QUANTITY]]</f>
        <v>-26745995500.877708</v>
      </c>
    </row>
    <row r="137" spans="20:70" x14ac:dyDescent="0.3">
      <c r="T137" s="362"/>
      <c r="U137" s="375">
        <v>46252</v>
      </c>
      <c r="V137" s="128" t="s">
        <v>3317</v>
      </c>
      <c r="W137" s="128" t="s">
        <v>1033</v>
      </c>
      <c r="X137" s="530">
        <v>1200000000000</v>
      </c>
      <c r="Y137" s="530">
        <v>91990</v>
      </c>
      <c r="Z137" s="530">
        <v>1103880000000</v>
      </c>
      <c r="AA137" s="128" t="s">
        <v>2795</v>
      </c>
      <c r="AB137" s="533">
        <f>_xlfn.IFNA(VLOOKUP(BS[[#This Row],[BOND_CODE]],FNRP!D:I,6,0),VLOOKUP(BS[[#This Row],[BOND_CODE]],FNRP!AV:BA,6,0))</f>
        <v>91987</v>
      </c>
      <c r="AC137" s="396">
        <f>BS[[#This Row],[CLEAN PRICE]]*BS[[#This Row],[BALANCE]]/100000</f>
        <v>1103844000000</v>
      </c>
      <c r="AF137" s="629"/>
      <c r="AK137" s="734"/>
      <c r="AL137" s="128">
        <v>50089</v>
      </c>
      <c r="AM137" s="128" t="s">
        <v>2836</v>
      </c>
      <c r="AN137" s="736">
        <v>2.7</v>
      </c>
      <c r="AO137" s="128" t="s">
        <v>823</v>
      </c>
      <c r="AP137" s="49" t="s">
        <v>824</v>
      </c>
      <c r="AQ137" s="530">
        <v>1000000</v>
      </c>
      <c r="AR137" s="500">
        <v>-2878.1652166180702</v>
      </c>
      <c r="AS137" s="530">
        <v>97085</v>
      </c>
      <c r="AT137" s="530">
        <v>99748</v>
      </c>
      <c r="AU137" s="769">
        <v>3.1166</v>
      </c>
      <c r="AV137" s="747">
        <v>116347000000</v>
      </c>
      <c r="AW137" s="534">
        <f>(_xlfn.XLOOKUP(RPBOD3[[#This Row],[Bonds_ShortName]],FNRP!D:D,FNRP!H:H,_xlfn.XLOOKUP(RPBOD3[[#This Row],[Bonds_ShortName]],FNRP!AV:AV,FNRP!AZ:AZ,,0),0)-RPBOD3[[#This Row],[PTCK_Remain]]-10^5)*RPBOD3[[#This Row],[Quantity]]</f>
        <v>-7986834783.3819284</v>
      </c>
      <c r="AY137" s="128"/>
      <c r="AZ137" s="610">
        <v>46252</v>
      </c>
      <c r="BA137" s="850">
        <v>50319</v>
      </c>
      <c r="BB137" s="852" t="s">
        <v>681</v>
      </c>
      <c r="BC137" s="39" t="s">
        <v>824</v>
      </c>
      <c r="BD137" s="530">
        <v>2300000</v>
      </c>
      <c r="BE137" s="530">
        <v>126995</v>
      </c>
      <c r="BF137" s="658">
        <v>46245</v>
      </c>
      <c r="BG137" s="658">
        <v>46246</v>
      </c>
      <c r="BH137" s="658">
        <v>49695</v>
      </c>
      <c r="BI137" s="500">
        <v>301937100000</v>
      </c>
      <c r="BJ137" s="49">
        <v>7.7</v>
      </c>
      <c r="BK137" s="49">
        <v>138.18004581700001</v>
      </c>
      <c r="BL137" s="630" t="s">
        <v>2172</v>
      </c>
      <c r="BM137" s="49" t="s">
        <v>1033</v>
      </c>
      <c r="BN13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137" s="396">
        <f>(PTCK_offBS[[#This Row],[VALUE_DATE]]-PTCK_offBS[[#This Row],[LAST_PMT]])*PTCK_offBS[[#This Row],[COUPON_RATE]]*1000/(DATE(YEAR(PTCK_offBS[[#This Row],[LAST_PMT]])+1,MONTH(PTCK_offBS[[#This Row],[LAST_PMT]]),DAY(PTCK_offBS[[#This Row],[LAST_PMT]]))-PTCK_offBS[[#This Row],[LAST_PMT]])</f>
        <v>4282.465753424658</v>
      </c>
      <c r="BP137" s="396">
        <f>PTCK_offBS[[#This Row],[GROSS_AMOUNT]]/PTCK_offBS[[#This Row],[QUANTITY]]-PTCK_offBS[[#This Row],[START_ACC]]-10^5</f>
        <v>26994.534246575349</v>
      </c>
      <c r="BQ137" s="396">
        <f>IF(PTCK_offBS[[#This Row],[BS]]="Others",PTCK_offBS[[#This Row],[PTCK]]*(PTCK_offBS[[#This Row],[MATURITY_DATE]]-PTCK_offBS[[#This Row],[POSTED_DT]]-1)/(PTCK_offBS[[#This Row],[MATURITY_DATE]]-PTCK_offBS[[#This Row],[VALUE_DATE]]),PTCK_offBS[[#This Row],[PTCK]])</f>
        <v>26939.746847408627</v>
      </c>
      <c r="BR137" s="396">
        <f>PTCK_offBS[[#This Row],[PTCK remain]]*PTCK_offBS[[#This Row],[QUANTITY]]</f>
        <v>61961417749.039841</v>
      </c>
    </row>
    <row r="138" spans="20:70" x14ac:dyDescent="0.3">
      <c r="T138" s="362"/>
      <c r="U138" s="375">
        <v>46252</v>
      </c>
      <c r="V138" s="128" t="s">
        <v>728</v>
      </c>
      <c r="W138" s="128" t="s">
        <v>1033</v>
      </c>
      <c r="X138" s="530">
        <v>-50000000000</v>
      </c>
      <c r="Y138" s="530">
        <v>115287</v>
      </c>
      <c r="Z138" s="530">
        <v>-57643500000</v>
      </c>
      <c r="AA138" s="128" t="s">
        <v>2796</v>
      </c>
      <c r="AB138" s="533">
        <f>_xlfn.IFNA(VLOOKUP(BS[[#This Row],[BOND_CODE]],FNRP!D:I,6,0),VLOOKUP(BS[[#This Row],[BOND_CODE]],FNRP!AV:BA,6,0))</f>
        <v>115288</v>
      </c>
      <c r="AC138" s="396">
        <f>BS[[#This Row],[CLEAN PRICE]]*BS[[#This Row],[BALANCE]]/100000</f>
        <v>-57644000000</v>
      </c>
      <c r="AF138" s="629"/>
      <c r="AK138" s="734"/>
      <c r="AL138" s="128">
        <v>47716</v>
      </c>
      <c r="AM138" s="128" t="s">
        <v>2840</v>
      </c>
      <c r="AN138" s="736">
        <v>2.9</v>
      </c>
      <c r="AO138" s="128" t="s">
        <v>823</v>
      </c>
      <c r="AP138" s="49" t="s">
        <v>824</v>
      </c>
      <c r="AQ138" s="530">
        <v>1000000</v>
      </c>
      <c r="AR138" s="500">
        <v>-3626.8764737144597</v>
      </c>
      <c r="AS138" s="530">
        <v>96143</v>
      </c>
      <c r="AT138" s="530">
        <v>96628</v>
      </c>
      <c r="AU138" s="769">
        <v>3.25</v>
      </c>
      <c r="AV138" s="747">
        <v>116347000000</v>
      </c>
      <c r="AW138" s="534">
        <f>(_xlfn.XLOOKUP(RPBOD3[[#This Row],[Bonds_ShortName]],FNRP!D:D,FNRP!H:H,_xlfn.XLOOKUP(RPBOD3[[#This Row],[Bonds_ShortName]],FNRP!AV:AV,FNRP!AZ:AZ,,0),0)-RPBOD3[[#This Row],[PTCK_Remain]]-10^5)*RPBOD3[[#This Row],[Quantity]]</f>
        <v>-12104123526.285534</v>
      </c>
      <c r="AY138" s="128"/>
      <c r="AZ138" s="610">
        <v>46252</v>
      </c>
      <c r="BA138" s="850">
        <v>49089</v>
      </c>
      <c r="BB138" s="852" t="s">
        <v>717</v>
      </c>
      <c r="BC138" s="39" t="s">
        <v>824</v>
      </c>
      <c r="BD138" s="530">
        <v>600000</v>
      </c>
      <c r="BE138" s="530">
        <v>150266</v>
      </c>
      <c r="BF138" s="658">
        <v>46087</v>
      </c>
      <c r="BG138" s="658">
        <v>46090</v>
      </c>
      <c r="BH138" s="658">
        <v>53326</v>
      </c>
      <c r="BI138" s="500">
        <v>91066800000</v>
      </c>
      <c r="BJ138" s="49">
        <v>8</v>
      </c>
      <c r="BK138" s="49">
        <v>139.18004581700001</v>
      </c>
      <c r="BL138" s="630" t="s">
        <v>2172</v>
      </c>
      <c r="BM138" s="49" t="s">
        <v>1033</v>
      </c>
      <c r="BN13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38" s="396">
        <f>(PTCK_offBS[[#This Row],[VALUE_DATE]]-PTCK_offBS[[#This Row],[LAST_PMT]])*PTCK_offBS[[#This Row],[COUPON_RATE]]*1000/(DATE(YEAR(PTCK_offBS[[#This Row],[LAST_PMT]])+1,MONTH(PTCK_offBS[[#This Row],[LAST_PMT]]),DAY(PTCK_offBS[[#This Row],[LAST_PMT]]))-PTCK_offBS[[#This Row],[LAST_PMT]])</f>
        <v>1512.3287671232877</v>
      </c>
      <c r="BP138" s="396">
        <f>PTCK_offBS[[#This Row],[GROSS_AMOUNT]]/PTCK_offBS[[#This Row],[QUANTITY]]-PTCK_offBS[[#This Row],[START_ACC]]-10^5</f>
        <v>50265.671232876717</v>
      </c>
      <c r="BQ138" s="396">
        <f>IF(PTCK_offBS[[#This Row],[BS]]="Others",PTCK_offBS[[#This Row],[PTCK]]*(PTCK_offBS[[#This Row],[MATURITY_DATE]]-PTCK_offBS[[#This Row],[POSTED_DT]]-1)/(PTCK_offBS[[#This Row],[MATURITY_DATE]]-PTCK_offBS[[#This Row],[VALUE_DATE]]),PTCK_offBS[[#This Row],[PTCK]])</f>
        <v>49133.373774203566</v>
      </c>
      <c r="BR138" s="396">
        <f>PTCK_offBS[[#This Row],[PTCK remain]]*PTCK_offBS[[#This Row],[QUANTITY]]</f>
        <v>29480024264.522141</v>
      </c>
    </row>
    <row r="139" spans="20:70" x14ac:dyDescent="0.3">
      <c r="T139" s="362"/>
      <c r="U139" s="375">
        <v>46252</v>
      </c>
      <c r="V139" s="128" t="s">
        <v>704</v>
      </c>
      <c r="W139" s="128" t="s">
        <v>822</v>
      </c>
      <c r="X139" s="530">
        <v>50000000000</v>
      </c>
      <c r="Y139" s="530">
        <v>82537</v>
      </c>
      <c r="Z139" s="530">
        <v>41268500000</v>
      </c>
      <c r="AA139" s="128" t="s">
        <v>2795</v>
      </c>
      <c r="AB139" s="533">
        <f>_xlfn.IFNA(VLOOKUP(BS[[#This Row],[BOND_CODE]],FNRP!D:I,6,0),VLOOKUP(BS[[#This Row],[BOND_CODE]],FNRP!AV:BA,6,0))</f>
        <v>82533</v>
      </c>
      <c r="AC139" s="396">
        <f>BS[[#This Row],[CLEAN PRICE]]*BS[[#This Row],[BALANCE]]/100000</f>
        <v>41266500000</v>
      </c>
      <c r="AF139" s="629"/>
      <c r="AK139" s="734"/>
      <c r="AL139" s="128">
        <v>45562</v>
      </c>
      <c r="AM139" s="128" t="s">
        <v>2497</v>
      </c>
      <c r="AN139" s="736">
        <v>4.2</v>
      </c>
      <c r="AO139" s="128" t="s">
        <v>823</v>
      </c>
      <c r="AP139" s="49" t="s">
        <v>2180</v>
      </c>
      <c r="AQ139" s="530">
        <v>1500000</v>
      </c>
      <c r="AR139" s="500">
        <v>20754.224354159665</v>
      </c>
      <c r="AS139" s="530">
        <v>121902</v>
      </c>
      <c r="AT139" s="530">
        <v>125837</v>
      </c>
      <c r="AU139" s="769">
        <v>3.03</v>
      </c>
      <c r="AV139" s="747">
        <v>116347000000</v>
      </c>
      <c r="AW139" s="534">
        <f>(_xlfn.XLOOKUP(RPBOD3[[#This Row],[Bonds_ShortName]],FNRP!D:D,FNRP!H:H,_xlfn.XLOOKUP(RPBOD3[[#This Row],[Bonds_ShortName]],FNRP!AV:AV,FNRP!AZ:AZ,,0),0)-RPBOD3[[#This Row],[PTCK_Remain]]-10^5)*RPBOD3[[#This Row],[Quantity]]</f>
        <v>-42636336531.239502</v>
      </c>
      <c r="AY139" s="128"/>
      <c r="AZ139" s="610">
        <v>46252</v>
      </c>
      <c r="BA139" s="850">
        <v>49495</v>
      </c>
      <c r="BB139" s="852" t="s">
        <v>712</v>
      </c>
      <c r="BC139" s="39" t="s">
        <v>824</v>
      </c>
      <c r="BD139" s="530">
        <v>8000000</v>
      </c>
      <c r="BE139" s="530">
        <v>92230</v>
      </c>
      <c r="BF139" s="658">
        <v>46128</v>
      </c>
      <c r="BG139" s="658">
        <v>46129</v>
      </c>
      <c r="BH139" s="658">
        <v>51144</v>
      </c>
      <c r="BI139" s="500">
        <v>745576000000</v>
      </c>
      <c r="BJ139" s="49">
        <v>3.6</v>
      </c>
      <c r="BK139" s="49">
        <v>140.18004581700001</v>
      </c>
      <c r="BL139" s="630" t="s">
        <v>2172</v>
      </c>
      <c r="BM139" s="49" t="s">
        <v>1033</v>
      </c>
      <c r="BN13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39" s="396">
        <f>(PTCK_offBS[[#This Row],[VALUE_DATE]]-PTCK_offBS[[#This Row],[LAST_PMT]])*PTCK_offBS[[#This Row],[COUPON_RATE]]*1000/(DATE(YEAR(PTCK_offBS[[#This Row],[LAST_PMT]])+1,MONTH(PTCK_offBS[[#This Row],[LAST_PMT]]),DAY(PTCK_offBS[[#This Row],[LAST_PMT]]))-PTCK_offBS[[#This Row],[LAST_PMT]])</f>
        <v>966.57534246575347</v>
      </c>
      <c r="BP139" s="396">
        <f>PTCK_offBS[[#This Row],[GROSS_AMOUNT]]/PTCK_offBS[[#This Row],[QUANTITY]]-PTCK_offBS[[#This Row],[START_ACC]]-10^5</f>
        <v>-7769.5753424657596</v>
      </c>
      <c r="BQ139" s="396">
        <f>IF(PTCK_offBS[[#This Row],[BS]]="Others",PTCK_offBS[[#This Row],[PTCK]]*(PTCK_offBS[[#This Row],[MATURITY_DATE]]-PTCK_offBS[[#This Row],[POSTED_DT]]-1)/(PTCK_offBS[[#This Row],[MATURITY_DATE]]-PTCK_offBS[[#This Row],[VALUE_DATE]]),PTCK_offBS[[#This Row],[PTCK]])</f>
        <v>-7577.4662013958186</v>
      </c>
      <c r="BR139" s="396">
        <f>PTCK_offBS[[#This Row],[PTCK remain]]*PTCK_offBS[[#This Row],[QUANTITY]]</f>
        <v>-60619729611.16655</v>
      </c>
    </row>
    <row r="140" spans="20:70" x14ac:dyDescent="0.3">
      <c r="T140" s="362"/>
      <c r="U140" s="375">
        <v>46252</v>
      </c>
      <c r="V140" s="128" t="s">
        <v>2786</v>
      </c>
      <c r="W140" s="128" t="s">
        <v>1033</v>
      </c>
      <c r="X140" s="530">
        <v>50000000000</v>
      </c>
      <c r="Y140" s="530">
        <v>82449</v>
      </c>
      <c r="Z140" s="530">
        <v>41224500000</v>
      </c>
      <c r="AA140" s="128" t="s">
        <v>2795</v>
      </c>
      <c r="AB140" s="533">
        <f>_xlfn.IFNA(VLOOKUP(BS[[#This Row],[BOND_CODE]],FNRP!D:I,6,0),VLOOKUP(BS[[#This Row],[BOND_CODE]],FNRP!AV:BA,6,0))</f>
        <v>82446</v>
      </c>
      <c r="AC140" s="396">
        <f>BS[[#This Row],[CLEAN PRICE]]*BS[[#This Row],[BALANCE]]/100000</f>
        <v>41223000000</v>
      </c>
      <c r="AK140" s="734"/>
      <c r="AL140" s="128">
        <v>47399</v>
      </c>
      <c r="AM140" s="128" t="s">
        <v>1205</v>
      </c>
      <c r="AN140" s="736">
        <v>5.3</v>
      </c>
      <c r="AO140" s="128" t="s">
        <v>823</v>
      </c>
      <c r="AP140" s="49" t="s">
        <v>824</v>
      </c>
      <c r="AQ140" s="530">
        <v>500000</v>
      </c>
      <c r="AR140" s="500">
        <v>13653.498671028401</v>
      </c>
      <c r="AS140" s="530">
        <v>115400</v>
      </c>
      <c r="AT140" s="530">
        <v>119350</v>
      </c>
      <c r="AU140" s="769">
        <v>3.15</v>
      </c>
      <c r="AV140" s="747">
        <v>116347000000</v>
      </c>
      <c r="AW140" s="534">
        <f>(_xlfn.XLOOKUP(RPBOD3[[#This Row],[Bonds_ShortName]],FNRP!D:D,FNRP!H:H,_xlfn.XLOOKUP(RPBOD3[[#This Row],[Bonds_ShortName]],FNRP!AV:AV,FNRP!AZ:AZ,,0),0)-RPBOD3[[#This Row],[PTCK_Remain]]-10^5)*RPBOD3[[#This Row],[Quantity]]</f>
        <v>-3831249335.5141997</v>
      </c>
      <c r="AY140" s="128"/>
      <c r="AZ140" s="610">
        <v>46252</v>
      </c>
      <c r="BA140" s="850">
        <v>47982</v>
      </c>
      <c r="BB140" s="852" t="s">
        <v>682</v>
      </c>
      <c r="BC140" s="39" t="s">
        <v>824</v>
      </c>
      <c r="BD140" s="530">
        <v>1300000</v>
      </c>
      <c r="BE140" s="530">
        <v>136339</v>
      </c>
      <c r="BF140" s="658">
        <v>45974</v>
      </c>
      <c r="BG140" s="658">
        <v>45975</v>
      </c>
      <c r="BH140" s="658">
        <v>49954</v>
      </c>
      <c r="BI140" s="500">
        <v>178310600000</v>
      </c>
      <c r="BJ140" s="49">
        <v>7.7</v>
      </c>
      <c r="BK140" s="49">
        <v>141.18004581700001</v>
      </c>
      <c r="BL140" s="630" t="s">
        <v>2172</v>
      </c>
      <c r="BM140" s="49" t="s">
        <v>1033</v>
      </c>
      <c r="BN14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45936</v>
      </c>
      <c r="BO140" s="396">
        <f>(PTCK_offBS[[#This Row],[VALUE_DATE]]-PTCK_offBS[[#This Row],[LAST_PMT]])*PTCK_offBS[[#This Row],[COUPON_RATE]]*1000/(DATE(YEAR(PTCK_offBS[[#This Row],[LAST_PMT]])+1,MONTH(PTCK_offBS[[#This Row],[LAST_PMT]]),DAY(PTCK_offBS[[#This Row],[LAST_PMT]]))-PTCK_offBS[[#This Row],[LAST_PMT]])</f>
        <v>822.7397260273973</v>
      </c>
      <c r="BP140" s="396">
        <f>PTCK_offBS[[#This Row],[GROSS_AMOUNT]]/PTCK_offBS[[#This Row],[QUANTITY]]-PTCK_offBS[[#This Row],[START_ACC]]-10^5</f>
        <v>36339.260273972614</v>
      </c>
      <c r="BQ140" s="396">
        <f>IF(PTCK_offBS[[#This Row],[BS]]="Others",PTCK_offBS[[#This Row],[PTCK]]*(PTCK_offBS[[#This Row],[MATURITY_DATE]]-PTCK_offBS[[#This Row],[POSTED_DT]]-1)/(PTCK_offBS[[#This Row],[MATURITY_DATE]]-PTCK_offBS[[#This Row],[VALUE_DATE]]),PTCK_offBS[[#This Row],[PTCK]])</f>
        <v>33800.352418691284</v>
      </c>
      <c r="BR140" s="396">
        <f>PTCK_offBS[[#This Row],[PTCK remain]]*PTCK_offBS[[#This Row],[QUANTITY]]</f>
        <v>43940458144.298668</v>
      </c>
    </row>
    <row r="141" spans="20:70" x14ac:dyDescent="0.3">
      <c r="T141" s="362"/>
      <c r="U141" s="375">
        <v>46252</v>
      </c>
      <c r="V141" s="128" t="s">
        <v>616</v>
      </c>
      <c r="W141" s="128" t="s">
        <v>1033</v>
      </c>
      <c r="X141" s="530">
        <v>705000000000</v>
      </c>
      <c r="Y141" s="530">
        <v>114315</v>
      </c>
      <c r="Z141" s="530">
        <v>805920750000</v>
      </c>
      <c r="AA141" s="128" t="s">
        <v>2795</v>
      </c>
      <c r="AB141" s="533">
        <f>_xlfn.IFNA(VLOOKUP(BS[[#This Row],[BOND_CODE]],FNRP!D:I,6,0),VLOOKUP(BS[[#This Row],[BOND_CODE]],FNRP!AV:BA,6,0))</f>
        <v>114320</v>
      </c>
      <c r="AC141" s="396">
        <f>BS[[#This Row],[CLEAN PRICE]]*BS[[#This Row],[BALANCE]]/100000</f>
        <v>805956000000</v>
      </c>
      <c r="AK141" s="734"/>
      <c r="AL141" s="128">
        <v>49118</v>
      </c>
      <c r="AM141" s="128" t="s">
        <v>2831</v>
      </c>
      <c r="AN141" s="736">
        <v>2.7</v>
      </c>
      <c r="AO141" s="128" t="s">
        <v>823</v>
      </c>
      <c r="AP141" s="49" t="s">
        <v>824</v>
      </c>
      <c r="AQ141" s="530">
        <v>1000000</v>
      </c>
      <c r="AR141" s="500">
        <v>-4753.4730898726102</v>
      </c>
      <c r="AS141" s="530">
        <v>94979</v>
      </c>
      <c r="AT141" s="530">
        <v>96932</v>
      </c>
      <c r="AU141" s="769">
        <v>3.4049999999999998</v>
      </c>
      <c r="AV141" s="747">
        <v>116347000000</v>
      </c>
      <c r="AW141" s="534">
        <f>(_xlfn.XLOOKUP(RPBOD3[[#This Row],[Bonds_ShortName]],FNRP!D:D,FNRP!H:H,_xlfn.XLOOKUP(RPBOD3[[#This Row],[Bonds_ShortName]],FNRP!AV:AV,FNRP!AZ:AZ,,0),0)-RPBOD3[[#This Row],[PTCK_Remain]]-10^5)*RPBOD3[[#This Row],[Quantity]]</f>
        <v>-6004526910.127388</v>
      </c>
      <c r="AY141" s="128"/>
      <c r="AZ141" s="610">
        <v>46252</v>
      </c>
      <c r="BA141" s="850">
        <v>48764</v>
      </c>
      <c r="BB141" s="852" t="s">
        <v>3026</v>
      </c>
      <c r="BC141" s="39" t="s">
        <v>824</v>
      </c>
      <c r="BD141" s="530">
        <v>1400000</v>
      </c>
      <c r="BE141" s="530">
        <v>81471</v>
      </c>
      <c r="BF141" s="658">
        <v>46052</v>
      </c>
      <c r="BG141" s="658">
        <v>46055</v>
      </c>
      <c r="BH141" s="658">
        <v>56267</v>
      </c>
      <c r="BI141" s="500">
        <v>114220400000</v>
      </c>
      <c r="BJ141" s="49">
        <v>2.8</v>
      </c>
      <c r="BK141" s="49">
        <v>142.18004581700001</v>
      </c>
      <c r="BL141" s="630" t="s">
        <v>2172</v>
      </c>
      <c r="BM141" s="49" t="s">
        <v>1033</v>
      </c>
      <c r="BN14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41" s="396">
        <f>(PTCK_offBS[[#This Row],[VALUE_DATE]]-PTCK_offBS[[#This Row],[LAST_PMT]])*PTCK_offBS[[#This Row],[COUPON_RATE]]*1000/(DATE(YEAR(PTCK_offBS[[#This Row],[LAST_PMT]])+1,MONTH(PTCK_offBS[[#This Row],[LAST_PMT]]),DAY(PTCK_offBS[[#This Row],[LAST_PMT]]))-PTCK_offBS[[#This Row],[LAST_PMT]])</f>
        <v>115.06849315068493</v>
      </c>
      <c r="BP141" s="396">
        <f>PTCK_offBS[[#This Row],[GROSS_AMOUNT]]/PTCK_offBS[[#This Row],[QUANTITY]]-PTCK_offBS[[#This Row],[START_ACC]]-10^5</f>
        <v>-18529.068493150684</v>
      </c>
      <c r="BQ141" s="396">
        <f>IF(PTCK_offBS[[#This Row],[BS]]="Others",PTCK_offBS[[#This Row],[PTCK]]*(PTCK_offBS[[#This Row],[MATURITY_DATE]]-PTCK_offBS[[#This Row],[POSTED_DT]]-1)/(PTCK_offBS[[#This Row],[MATURITY_DATE]]-PTCK_offBS[[#This Row],[VALUE_DATE]]),PTCK_offBS[[#This Row],[PTCK]])</f>
        <v>-18169.809233295236</v>
      </c>
      <c r="BR141" s="396">
        <f>PTCK_offBS[[#This Row],[PTCK remain]]*PTCK_offBS[[#This Row],[QUANTITY]]</f>
        <v>-25437732926.613331</v>
      </c>
    </row>
    <row r="142" spans="20:70" x14ac:dyDescent="0.3">
      <c r="T142" s="362"/>
      <c r="U142" s="375">
        <v>46252</v>
      </c>
      <c r="V142" s="128" t="s">
        <v>668</v>
      </c>
      <c r="W142" s="128" t="s">
        <v>822</v>
      </c>
      <c r="X142" s="530">
        <v>250000000000</v>
      </c>
      <c r="Y142" s="530">
        <v>104227</v>
      </c>
      <c r="Z142" s="530">
        <v>260567500000</v>
      </c>
      <c r="AA142" s="128" t="s">
        <v>2795</v>
      </c>
      <c r="AB142" s="533">
        <f>_xlfn.IFNA(VLOOKUP(BS[[#This Row],[BOND_CODE]],FNRP!D:I,6,0),VLOOKUP(BS[[#This Row],[BOND_CODE]],FNRP!AV:BA,6,0))</f>
        <v>104228</v>
      </c>
      <c r="AC142" s="396">
        <f>BS[[#This Row],[CLEAN PRICE]]*BS[[#This Row],[BALANCE]]/100000</f>
        <v>260570000000</v>
      </c>
      <c r="AK142" s="734"/>
      <c r="AL142" s="128">
        <v>47715</v>
      </c>
      <c r="AM142" s="128" t="s">
        <v>2499</v>
      </c>
      <c r="AN142" s="736">
        <v>4.8</v>
      </c>
      <c r="AO142" s="128" t="s">
        <v>823</v>
      </c>
      <c r="AP142" s="49" t="s">
        <v>824</v>
      </c>
      <c r="AQ142" s="530">
        <v>1000000</v>
      </c>
      <c r="AR142" s="500">
        <v>11076.4060244513</v>
      </c>
      <c r="AS142" s="530">
        <v>112524</v>
      </c>
      <c r="AT142" s="530">
        <v>116706</v>
      </c>
      <c r="AU142" s="769">
        <v>2.8338000000000001</v>
      </c>
      <c r="AV142" s="747">
        <v>116347000000</v>
      </c>
      <c r="AW142" s="534">
        <f>(_xlfn.XLOOKUP(RPBOD3[[#This Row],[Bonds_ShortName]],FNRP!D:D,FNRP!H:H,_xlfn.XLOOKUP(RPBOD3[[#This Row],[Bonds_ShortName]],FNRP!AV:AV,FNRP!AZ:AZ,,0),0)-RPBOD3[[#This Row],[PTCK_Remain]]-10^5)*RPBOD3[[#This Row],[Quantity]]</f>
        <v>-8300406024.4512949</v>
      </c>
      <c r="AY142" s="128"/>
      <c r="AZ142" s="610">
        <v>46252</v>
      </c>
      <c r="BA142" s="850">
        <v>49294</v>
      </c>
      <c r="BB142" s="852" t="s">
        <v>729</v>
      </c>
      <c r="BC142" s="39" t="s">
        <v>824</v>
      </c>
      <c r="BD142" s="530">
        <v>500000</v>
      </c>
      <c r="BE142" s="530">
        <v>117696</v>
      </c>
      <c r="BF142" s="658">
        <v>46113</v>
      </c>
      <c r="BG142" s="658">
        <v>46114</v>
      </c>
      <c r="BH142" s="658">
        <v>54692</v>
      </c>
      <c r="BI142" s="500">
        <v>60187000000</v>
      </c>
      <c r="BJ142" s="49">
        <v>5.2</v>
      </c>
      <c r="BK142" s="49">
        <v>143.18004581700001</v>
      </c>
      <c r="BL142" s="630" t="s">
        <v>2172</v>
      </c>
      <c r="BM142" s="49" t="s">
        <v>1033</v>
      </c>
      <c r="BN14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42" s="396">
        <f>(PTCK_offBS[[#This Row],[VALUE_DATE]]-PTCK_offBS[[#This Row],[LAST_PMT]])*PTCK_offBS[[#This Row],[COUPON_RATE]]*1000/(DATE(YEAR(PTCK_offBS[[#This Row],[LAST_PMT]])+1,MONTH(PTCK_offBS[[#This Row],[LAST_PMT]]),DAY(PTCK_offBS[[#This Row],[LAST_PMT]]))-PTCK_offBS[[#This Row],[LAST_PMT]])</f>
        <v>2678.3561643835615</v>
      </c>
      <c r="BP142" s="396">
        <f>PTCK_offBS[[#This Row],[GROSS_AMOUNT]]/PTCK_offBS[[#This Row],[QUANTITY]]-PTCK_offBS[[#This Row],[START_ACC]]-10^5</f>
        <v>17695.643835616444</v>
      </c>
      <c r="BQ142" s="396">
        <f>IF(PTCK_offBS[[#This Row],[BS]]="Others",PTCK_offBS[[#This Row],[PTCK]]*(PTCK_offBS[[#This Row],[MATURITY_DATE]]-PTCK_offBS[[#This Row],[POSTED_DT]]-1)/(PTCK_offBS[[#This Row],[MATURITY_DATE]]-PTCK_offBS[[#This Row],[VALUE_DATE]]),PTCK_offBS[[#This Row],[PTCK]])</f>
        <v>17408.899315547584</v>
      </c>
      <c r="BR142" s="396">
        <f>PTCK_offBS[[#This Row],[PTCK remain]]*PTCK_offBS[[#This Row],[QUANTITY]]</f>
        <v>8704449657.7737923</v>
      </c>
    </row>
    <row r="143" spans="20:70" x14ac:dyDescent="0.3">
      <c r="T143" s="362"/>
      <c r="U143" s="375">
        <v>46252</v>
      </c>
      <c r="V143" s="128" t="s">
        <v>1209</v>
      </c>
      <c r="W143" s="128" t="s">
        <v>1033</v>
      </c>
      <c r="X143" s="530">
        <v>-1200000000000</v>
      </c>
      <c r="Y143" s="530">
        <v>124381</v>
      </c>
      <c r="Z143" s="530">
        <v>-1492572000000</v>
      </c>
      <c r="AA143" s="128" t="s">
        <v>2796</v>
      </c>
      <c r="AB143" s="533">
        <f>_xlfn.IFNA(VLOOKUP(BS[[#This Row],[BOND_CODE]],FNRP!D:I,6,0),VLOOKUP(BS[[#This Row],[BOND_CODE]],FNRP!AV:BA,6,0))</f>
        <v>124387</v>
      </c>
      <c r="AC143" s="396">
        <f>BS[[#This Row],[CLEAN PRICE]]*BS[[#This Row],[BALANCE]]/100000</f>
        <v>-1492644000000</v>
      </c>
      <c r="AK143" s="734"/>
      <c r="AL143" s="128">
        <v>47714</v>
      </c>
      <c r="AM143" s="128" t="s">
        <v>2503</v>
      </c>
      <c r="AN143" s="736">
        <v>3.4</v>
      </c>
      <c r="AO143" s="128" t="s">
        <v>823</v>
      </c>
      <c r="AP143" s="49" t="s">
        <v>824</v>
      </c>
      <c r="AQ143" s="530">
        <v>500000</v>
      </c>
      <c r="AR143" s="500">
        <v>4427.0554339700802</v>
      </c>
      <c r="AS143" s="530">
        <v>104740</v>
      </c>
      <c r="AT143" s="530">
        <v>106463</v>
      </c>
      <c r="AU143" s="769">
        <v>2.94</v>
      </c>
      <c r="AV143" s="747">
        <v>116347000000</v>
      </c>
      <c r="AW143" s="534">
        <f>(_xlfn.XLOOKUP(RPBOD3[[#This Row],[Bonds_ShortName]],FNRP!D:D,FNRP!H:H,_xlfn.XLOOKUP(RPBOD3[[#This Row],[Bonds_ShortName]],FNRP!AV:AV,FNRP!AZ:AZ,,0),0)-RPBOD3[[#This Row],[PTCK_Remain]]-10^5)*RPBOD3[[#This Row],[Quantity]]</f>
        <v>-7096027716.9850378</v>
      </c>
      <c r="AY143" s="128"/>
      <c r="AZ143" s="610">
        <v>46252</v>
      </c>
      <c r="BA143" s="850">
        <v>49558</v>
      </c>
      <c r="BB143" s="852" t="s">
        <v>730</v>
      </c>
      <c r="BC143" s="39" t="s">
        <v>824</v>
      </c>
      <c r="BD143" s="530">
        <v>5700000</v>
      </c>
      <c r="BE143" s="530">
        <v>90106</v>
      </c>
      <c r="BF143" s="658">
        <v>46140</v>
      </c>
      <c r="BG143" s="658">
        <v>46141</v>
      </c>
      <c r="BH143" s="658">
        <v>54804</v>
      </c>
      <c r="BI143" s="500">
        <v>519714600000</v>
      </c>
      <c r="BJ143" s="49">
        <v>3.8</v>
      </c>
      <c r="BK143" s="49">
        <v>144.18004581700001</v>
      </c>
      <c r="BL143" s="630" t="s">
        <v>2172</v>
      </c>
      <c r="BM143" s="49" t="s">
        <v>1033</v>
      </c>
      <c r="BN14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46038</v>
      </c>
      <c r="BO143" s="396">
        <f>(PTCK_offBS[[#This Row],[VALUE_DATE]]-PTCK_offBS[[#This Row],[LAST_PMT]])*PTCK_offBS[[#This Row],[COUPON_RATE]]*1000/(DATE(YEAR(PTCK_offBS[[#This Row],[LAST_PMT]])+1,MONTH(PTCK_offBS[[#This Row],[LAST_PMT]]),DAY(PTCK_offBS[[#This Row],[LAST_PMT]]))-PTCK_offBS[[#This Row],[LAST_PMT]])</f>
        <v>1072.3287671232877</v>
      </c>
      <c r="BP143" s="396">
        <f>PTCK_offBS[[#This Row],[GROSS_AMOUNT]]/PTCK_offBS[[#This Row],[QUANTITY]]-PTCK_offBS[[#This Row],[START_ACC]]-10^5</f>
        <v>-9894.3287671232829</v>
      </c>
      <c r="BQ143" s="396">
        <f>IF(PTCK_offBS[[#This Row],[BS]]="Others",PTCK_offBS[[#This Row],[PTCK]]*(PTCK_offBS[[#This Row],[MATURITY_DATE]]-PTCK_offBS[[#This Row],[POSTED_DT]]-1)/(PTCK_offBS[[#This Row],[MATURITY_DATE]]-PTCK_offBS[[#This Row],[VALUE_DATE]]),PTCK_offBS[[#This Row],[PTCK]])</f>
        <v>-9766.4094756633021</v>
      </c>
      <c r="BR143" s="396">
        <f>PTCK_offBS[[#This Row],[PTCK remain]]*PTCK_offBS[[#This Row],[QUANTITY]]</f>
        <v>-55668534011.280823</v>
      </c>
    </row>
    <row r="144" spans="20:70" x14ac:dyDescent="0.3">
      <c r="T144" s="362"/>
      <c r="U144" s="128">
        <v>46252</v>
      </c>
      <c r="V144" s="128" t="s">
        <v>2839</v>
      </c>
      <c r="W144" s="128" t="s">
        <v>1033</v>
      </c>
      <c r="X144" s="128">
        <v>750000000000</v>
      </c>
      <c r="Y144" s="128">
        <v>89032</v>
      </c>
      <c r="Z144" s="128">
        <v>667740000000</v>
      </c>
      <c r="AA144" s="128" t="s">
        <v>2795</v>
      </c>
      <c r="AB144" s="533">
        <f>_xlfn.IFNA(VLOOKUP(BS[[#This Row],[BOND_CODE]],FNRP!D:I,6,0),VLOOKUP(BS[[#This Row],[BOND_CODE]],FNRP!AV:BA,6,0))</f>
        <v>89029</v>
      </c>
      <c r="AC144" s="396">
        <f>BS[[#This Row],[CLEAN PRICE]]*BS[[#This Row],[BALANCE]]/100000</f>
        <v>667717500000</v>
      </c>
      <c r="AK144" s="734"/>
      <c r="AL144" s="128">
        <v>48066</v>
      </c>
      <c r="AM144" s="128" t="s">
        <v>2836</v>
      </c>
      <c r="AN144" s="736">
        <v>2.7</v>
      </c>
      <c r="AO144" s="128" t="s">
        <v>823</v>
      </c>
      <c r="AP144" s="49" t="s">
        <v>824</v>
      </c>
      <c r="AQ144" s="530">
        <v>1790000</v>
      </c>
      <c r="AR144" s="500">
        <v>-2132.9128001178324</v>
      </c>
      <c r="AS144" s="530">
        <v>97666</v>
      </c>
      <c r="AT144" s="530">
        <v>98591</v>
      </c>
      <c r="AU144" s="769">
        <v>3.0089999999999999</v>
      </c>
      <c r="AV144" s="747">
        <v>116347000000</v>
      </c>
      <c r="AW144" s="534">
        <f>(_xlfn.XLOOKUP(RPBOD3[[#This Row],[Bonds_ShortName]],FNRP!D:D,FNRP!H:H,_xlfn.XLOOKUP(RPBOD3[[#This Row],[Bonds_ShortName]],FNRP!AV:AV,FNRP!AZ:AZ,,0),0)-RPBOD3[[#This Row],[PTCK_Remain]]-10^5)*RPBOD3[[#This Row],[Quantity]]</f>
        <v>-15630436087.78908</v>
      </c>
      <c r="AY144" s="128"/>
      <c r="AZ144" s="610">
        <v>46252</v>
      </c>
      <c r="BA144" s="850">
        <v>49559</v>
      </c>
      <c r="BB144" s="852" t="s">
        <v>2497</v>
      </c>
      <c r="BC144" s="39" t="s">
        <v>824</v>
      </c>
      <c r="BD144" s="530">
        <v>1300000</v>
      </c>
      <c r="BE144" s="530">
        <v>97333</v>
      </c>
      <c r="BF144" s="658">
        <v>46140</v>
      </c>
      <c r="BG144" s="658">
        <v>46141</v>
      </c>
      <c r="BH144" s="658">
        <v>55966</v>
      </c>
      <c r="BI144" s="500">
        <v>127086700000</v>
      </c>
      <c r="BJ144" s="49">
        <v>4.2</v>
      </c>
      <c r="BK144" s="49">
        <v>145.18004581700001</v>
      </c>
      <c r="BL144" s="630" t="s">
        <v>2172</v>
      </c>
      <c r="BM144" s="49" t="s">
        <v>1033</v>
      </c>
      <c r="BN14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44" s="396">
        <f>(PTCK_offBS[[#This Row],[VALUE_DATE]]-PTCK_offBS[[#This Row],[LAST_PMT]])*PTCK_offBS[[#This Row],[COUPON_RATE]]*1000/(DATE(YEAR(PTCK_offBS[[#This Row],[LAST_PMT]])+1,MONTH(PTCK_offBS[[#This Row],[LAST_PMT]]),DAY(PTCK_offBS[[#This Row],[LAST_PMT]]))-PTCK_offBS[[#This Row],[LAST_PMT]])</f>
        <v>425.75342465753425</v>
      </c>
      <c r="BP144" s="396">
        <f>PTCK_offBS[[#This Row],[GROSS_AMOUNT]]/PTCK_offBS[[#This Row],[QUANTITY]]-PTCK_offBS[[#This Row],[START_ACC]]-10^5</f>
        <v>-2666.7534246575378</v>
      </c>
      <c r="BQ144" s="396">
        <f>IF(PTCK_offBS[[#This Row],[BS]]="Others",PTCK_offBS[[#This Row],[PTCK]]*(PTCK_offBS[[#This Row],[MATURITY_DATE]]-PTCK_offBS[[#This Row],[POSTED_DT]]-1)/(PTCK_offBS[[#This Row],[MATURITY_DATE]]-PTCK_offBS[[#This Row],[VALUE_DATE]]),PTCK_offBS[[#This Row],[PTCK]])</f>
        <v>-2636.3537927428665</v>
      </c>
      <c r="BR144" s="396">
        <f>PTCK_offBS[[#This Row],[PTCK remain]]*PTCK_offBS[[#This Row],[QUANTITY]]</f>
        <v>-3427259930.5657263</v>
      </c>
    </row>
    <row r="145" spans="20:70" x14ac:dyDescent="0.3">
      <c r="T145" s="362"/>
      <c r="U145" s="128">
        <v>46252</v>
      </c>
      <c r="V145" s="128" t="s">
        <v>666</v>
      </c>
      <c r="W145" s="128" t="s">
        <v>822</v>
      </c>
      <c r="X145" s="128">
        <v>50000000000</v>
      </c>
      <c r="Y145" s="128">
        <v>104786</v>
      </c>
      <c r="Z145" s="128">
        <v>52393000000</v>
      </c>
      <c r="AA145" s="128" t="s">
        <v>2795</v>
      </c>
      <c r="AB145" s="533">
        <f>_xlfn.IFNA(VLOOKUP(BS[[#This Row],[BOND_CODE]],FNRP!D:I,6,0),VLOOKUP(BS[[#This Row],[BOND_CODE]],FNRP!AV:BA,6,0))</f>
        <v>104787</v>
      </c>
      <c r="AC145" s="396">
        <f>BS[[#This Row],[CLEAN PRICE]]*BS[[#This Row],[BALANCE]]/100000</f>
        <v>52393500000</v>
      </c>
      <c r="AK145" s="734"/>
      <c r="AL145" s="128">
        <v>48344</v>
      </c>
      <c r="AM145" s="128" t="s">
        <v>2498</v>
      </c>
      <c r="AN145" s="736">
        <v>3.7</v>
      </c>
      <c r="AO145" s="128" t="s">
        <v>823</v>
      </c>
      <c r="AP145" s="49" t="s">
        <v>2180</v>
      </c>
      <c r="AQ145" s="530">
        <v>500000</v>
      </c>
      <c r="AR145" s="500">
        <v>9367.4235660704398</v>
      </c>
      <c r="AS145" s="530">
        <v>109747</v>
      </c>
      <c r="AT145" s="530">
        <v>112393</v>
      </c>
      <c r="AU145" s="769">
        <v>2.97</v>
      </c>
      <c r="AV145" s="747">
        <v>116347000000</v>
      </c>
      <c r="AW145" s="534">
        <f>(_xlfn.XLOOKUP(RPBOD3[[#This Row],[Bonds_ShortName]],FNRP!D:D,FNRP!H:H,_xlfn.XLOOKUP(RPBOD3[[#This Row],[Bonds_ShortName]],FNRP!AV:AV,FNRP!AZ:AZ,,0),0)-RPBOD3[[#This Row],[PTCK_Remain]]-10^5)*RPBOD3[[#This Row],[Quantity]]</f>
        <v>-9875711783.0352211</v>
      </c>
      <c r="AY145" s="128"/>
      <c r="AZ145" s="610">
        <v>46252</v>
      </c>
      <c r="BA145" s="850">
        <v>49641</v>
      </c>
      <c r="BB145" s="852" t="s">
        <v>724</v>
      </c>
      <c r="BC145" s="39" t="s">
        <v>824</v>
      </c>
      <c r="BD145" s="530">
        <v>2000000</v>
      </c>
      <c r="BE145" s="530">
        <v>144092</v>
      </c>
      <c r="BF145" s="658">
        <v>46148</v>
      </c>
      <c r="BG145" s="658">
        <v>46149</v>
      </c>
      <c r="BH145" s="658">
        <v>53802</v>
      </c>
      <c r="BI145" s="500">
        <v>288892000000</v>
      </c>
      <c r="BJ145" s="49">
        <v>7.6</v>
      </c>
      <c r="BK145" s="49">
        <v>146.18004581700001</v>
      </c>
      <c r="BL145" s="630" t="s">
        <v>2172</v>
      </c>
      <c r="BM145" s="49" t="s">
        <v>1033</v>
      </c>
      <c r="BN14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O145" s="396">
        <f>(PTCK_offBS[[#This Row],[VALUE_DATE]]-PTCK_offBS[[#This Row],[LAST_PMT]])*PTCK_offBS[[#This Row],[COUPON_RATE]]*1000/(DATE(YEAR(PTCK_offBS[[#This Row],[LAST_PMT]])+1,MONTH(PTCK_offBS[[#This Row],[LAST_PMT]]),DAY(PTCK_offBS[[#This Row],[LAST_PMT]]))-PTCK_offBS[[#This Row],[LAST_PMT]])</f>
        <v>353.97260273972597</v>
      </c>
      <c r="BP145" s="396">
        <f>PTCK_offBS[[#This Row],[GROSS_AMOUNT]]/PTCK_offBS[[#This Row],[QUANTITY]]-PTCK_offBS[[#This Row],[START_ACC]]-10^5</f>
        <v>44092.027397260274</v>
      </c>
      <c r="BQ145" s="396">
        <f>IF(PTCK_offBS[[#This Row],[BS]]="Others",PTCK_offBS[[#This Row],[PTCK]]*(PTCK_offBS[[#This Row],[MATURITY_DATE]]-PTCK_offBS[[#This Row],[POSTED_DT]]-1)/(PTCK_offBS[[#This Row],[MATURITY_DATE]]-PTCK_offBS[[#This Row],[VALUE_DATE]]),PTCK_offBS[[#This Row],[PTCK]])</f>
        <v>43492.841346128029</v>
      </c>
      <c r="BR145" s="396">
        <f>PTCK_offBS[[#This Row],[PTCK remain]]*PTCK_offBS[[#This Row],[QUANTITY]]</f>
        <v>86985682692.256058</v>
      </c>
    </row>
    <row r="146" spans="20:70" x14ac:dyDescent="0.3">
      <c r="T146" s="362"/>
      <c r="U146" s="128">
        <v>46252</v>
      </c>
      <c r="V146" s="128" t="s">
        <v>679</v>
      </c>
      <c r="W146" s="128" t="s">
        <v>822</v>
      </c>
      <c r="X146" s="128">
        <v>50000000000</v>
      </c>
      <c r="Y146" s="128">
        <v>91887</v>
      </c>
      <c r="Z146" s="128">
        <v>45943500000</v>
      </c>
      <c r="AA146" s="128" t="s">
        <v>2795</v>
      </c>
      <c r="AB146" s="533">
        <f>_xlfn.IFNA(VLOOKUP(BS[[#This Row],[BOND_CODE]],FNRP!D:I,6,0),VLOOKUP(BS[[#This Row],[BOND_CODE]],FNRP!AV:BA,6,0))</f>
        <v>91883</v>
      </c>
      <c r="AC146" s="396">
        <f>BS[[#This Row],[CLEAN PRICE]]*BS[[#This Row],[BALANCE]]/100000</f>
        <v>45941500000</v>
      </c>
      <c r="AK146" s="734"/>
      <c r="AL146" s="128">
        <v>49896</v>
      </c>
      <c r="AM146" s="128" t="s">
        <v>2497</v>
      </c>
      <c r="AN146" s="736">
        <v>4.2</v>
      </c>
      <c r="AO146" s="128" t="s">
        <v>823</v>
      </c>
      <c r="AP146" s="49" t="s">
        <v>824</v>
      </c>
      <c r="AQ146" s="530">
        <v>700000</v>
      </c>
      <c r="AR146" s="500">
        <v>6562.482638140672</v>
      </c>
      <c r="AS146" s="530">
        <v>106615</v>
      </c>
      <c r="AT146" s="530">
        <v>107443</v>
      </c>
      <c r="AU146" s="769">
        <v>3.8014999999999999</v>
      </c>
      <c r="AV146" s="747">
        <v>116347000000</v>
      </c>
      <c r="AW146" s="534">
        <f>(_xlfn.XLOOKUP(RPBOD3[[#This Row],[Bonds_ShortName]],FNRP!D:D,FNRP!H:H,_xlfn.XLOOKUP(RPBOD3[[#This Row],[Bonds_ShortName]],FNRP!AV:AV,FNRP!AZ:AZ,,0),0)-RPBOD3[[#This Row],[PTCK_Remain]]-10^5)*RPBOD3[[#This Row],[Quantity]]</f>
        <v>-9962737846.698473</v>
      </c>
      <c r="AY146" s="128"/>
      <c r="AZ146" s="610">
        <v>46252</v>
      </c>
      <c r="BA146" s="850">
        <v>50209</v>
      </c>
      <c r="BB146" s="852" t="s">
        <v>1209</v>
      </c>
      <c r="BC146" s="39" t="s">
        <v>824</v>
      </c>
      <c r="BD146" s="530">
        <v>8480000</v>
      </c>
      <c r="BE146" s="530">
        <v>124096</v>
      </c>
      <c r="BF146" s="658">
        <v>46230</v>
      </c>
      <c r="BG146" s="658">
        <v>46231</v>
      </c>
      <c r="BH146" s="658">
        <v>49528</v>
      </c>
      <c r="BI146" s="500">
        <v>1116256320000</v>
      </c>
      <c r="BJ146" s="49">
        <v>7.75</v>
      </c>
      <c r="BK146" s="49">
        <v>147.18004581700001</v>
      </c>
      <c r="BL146" s="630" t="s">
        <v>2172</v>
      </c>
      <c r="BM146" s="49" t="s">
        <v>1033</v>
      </c>
      <c r="BN14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O146" s="396">
        <f>(PTCK_offBS[[#This Row],[VALUE_DATE]]-PTCK_offBS[[#This Row],[LAST_PMT]])*PTCK_offBS[[#This Row],[COUPON_RATE]]*1000/(DATE(YEAR(PTCK_offBS[[#This Row],[LAST_PMT]])+1,MONTH(PTCK_offBS[[#This Row],[LAST_PMT]]),DAY(PTCK_offBS[[#This Row],[LAST_PMT]]))-PTCK_offBS[[#This Row],[LAST_PMT]])</f>
        <v>7537.6712328767126</v>
      </c>
      <c r="BP146" s="396">
        <f>PTCK_offBS[[#This Row],[GROSS_AMOUNT]]/PTCK_offBS[[#This Row],[QUANTITY]]-PTCK_offBS[[#This Row],[START_ACC]]-10^5</f>
        <v>24096.328767123283</v>
      </c>
      <c r="BQ146" s="396">
        <f>IF(PTCK_offBS[[#This Row],[BS]]="Others",PTCK_offBS[[#This Row],[PTCK]]*(PTCK_offBS[[#This Row],[MATURITY_DATE]]-PTCK_offBS[[#This Row],[POSTED_DT]]-1)/(PTCK_offBS[[#This Row],[MATURITY_DATE]]-PTCK_offBS[[#This Row],[VALUE_DATE]]),PTCK_offBS[[#This Row],[PTCK]])</f>
        <v>23935.540404103351</v>
      </c>
      <c r="BR146" s="396">
        <f>PTCK_offBS[[#This Row],[PTCK remain]]*PTCK_offBS[[#This Row],[QUANTITY]]</f>
        <v>202973382626.79642</v>
      </c>
    </row>
    <row r="147" spans="20:70" x14ac:dyDescent="0.3">
      <c r="T147" s="362"/>
      <c r="U147" s="128">
        <v>46252</v>
      </c>
      <c r="V147" s="128" t="s">
        <v>568</v>
      </c>
      <c r="W147" s="128" t="s">
        <v>822</v>
      </c>
      <c r="X147" s="128">
        <v>350000000000</v>
      </c>
      <c r="Y147" s="128">
        <v>101059</v>
      </c>
      <c r="Z147" s="128">
        <v>353706500000</v>
      </c>
      <c r="AA147" s="128" t="s">
        <v>2795</v>
      </c>
      <c r="AB147" s="533">
        <f>_xlfn.IFNA(VLOOKUP(BS[[#This Row],[BOND_CODE]],FNRP!D:I,6,0),VLOOKUP(BS[[#This Row],[BOND_CODE]],FNRP!AV:BA,6,0))</f>
        <v>101065</v>
      </c>
      <c r="AC147" s="396">
        <f>BS[[#This Row],[CLEAN PRICE]]*BS[[#This Row],[BALANCE]]/100000</f>
        <v>353727500000</v>
      </c>
      <c r="AK147" s="734"/>
      <c r="AL147" s="128">
        <v>49983</v>
      </c>
      <c r="AM147" s="128" t="s">
        <v>666</v>
      </c>
      <c r="AN147" s="736">
        <v>5.0999999999999996</v>
      </c>
      <c r="AO147" s="128" t="s">
        <v>823</v>
      </c>
      <c r="AP147" s="49" t="s">
        <v>2176</v>
      </c>
      <c r="AQ147" s="530">
        <v>1500000</v>
      </c>
      <c r="AR147" s="500">
        <v>12905.481005355134</v>
      </c>
      <c r="AS147" s="530">
        <v>113205</v>
      </c>
      <c r="AT147" s="530">
        <v>115217</v>
      </c>
      <c r="AU147" s="769">
        <v>3.12</v>
      </c>
      <c r="AV147" s="747">
        <v>116347000000</v>
      </c>
      <c r="AW147" s="534">
        <f>(_xlfn.XLOOKUP(RPBOD3[[#This Row],[Bonds_ShortName]],FNRP!D:D,FNRP!H:H,_xlfn.XLOOKUP(RPBOD3[[#This Row],[Bonds_ShortName]],FNRP!AV:AV,FNRP!AZ:AZ,,0),0)-RPBOD3[[#This Row],[PTCK_Remain]]-10^5)*RPBOD3[[#This Row],[Quantity]]</f>
        <v>-12177721508.0327</v>
      </c>
      <c r="AY147" s="128"/>
      <c r="AZ147" s="610">
        <v>46252</v>
      </c>
      <c r="BA147" s="850">
        <v>50211</v>
      </c>
      <c r="BB147" s="852" t="s">
        <v>636</v>
      </c>
      <c r="BC147" s="39" t="s">
        <v>824</v>
      </c>
      <c r="BD147" s="530">
        <v>1000000</v>
      </c>
      <c r="BE147" s="530">
        <v>91560</v>
      </c>
      <c r="BF147" s="658">
        <v>46230</v>
      </c>
      <c r="BG147" s="658">
        <v>46231</v>
      </c>
      <c r="BH147" s="658">
        <v>47862</v>
      </c>
      <c r="BI147" s="500">
        <v>92735000000</v>
      </c>
      <c r="BJ147" s="49">
        <v>2.2000000000000002</v>
      </c>
      <c r="BK147" s="49">
        <v>148.18004581700001</v>
      </c>
      <c r="BL147" s="630" t="s">
        <v>2172</v>
      </c>
      <c r="BM147" s="49" t="s">
        <v>1033</v>
      </c>
      <c r="BN14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47" s="396">
        <f>(PTCK_offBS[[#This Row],[VALUE_DATE]]-PTCK_offBS[[#This Row],[LAST_PMT]])*PTCK_offBS[[#This Row],[COUPON_RATE]]*1000/(DATE(YEAR(PTCK_offBS[[#This Row],[LAST_PMT]])+1,MONTH(PTCK_offBS[[#This Row],[LAST_PMT]]),DAY(PTCK_offBS[[#This Row],[LAST_PMT]]))-PTCK_offBS[[#This Row],[LAST_PMT]])</f>
        <v>1175.3424657534249</v>
      </c>
      <c r="BP147" s="396">
        <f>PTCK_offBS[[#This Row],[GROSS_AMOUNT]]/PTCK_offBS[[#This Row],[QUANTITY]]-PTCK_offBS[[#This Row],[START_ACC]]-10^5</f>
        <v>-8440.3424657534197</v>
      </c>
      <c r="BQ147" s="396">
        <f>IF(PTCK_offBS[[#This Row],[BS]]="Others",PTCK_offBS[[#This Row],[PTCK]]*(PTCK_offBS[[#This Row],[MATURITY_DATE]]-PTCK_offBS[[#This Row],[POSTED_DT]]-1)/(PTCK_offBS[[#This Row],[MATURITY_DATE]]-PTCK_offBS[[#This Row],[VALUE_DATE]]),PTCK_offBS[[#This Row],[PTCK]])</f>
        <v>-8326.493579029584</v>
      </c>
      <c r="BR147" s="396">
        <f>PTCK_offBS[[#This Row],[PTCK remain]]*PTCK_offBS[[#This Row],[QUANTITY]]</f>
        <v>-8326493579.0295839</v>
      </c>
    </row>
    <row r="148" spans="20:70" x14ac:dyDescent="0.3">
      <c r="T148" s="362"/>
      <c r="AK148" s="734"/>
      <c r="AL148" s="128">
        <v>49977</v>
      </c>
      <c r="AM148" s="128" t="s">
        <v>2785</v>
      </c>
      <c r="AN148" s="736">
        <v>2.2999999999999998</v>
      </c>
      <c r="AO148" s="128" t="s">
        <v>823</v>
      </c>
      <c r="AP148" s="49" t="s">
        <v>824</v>
      </c>
      <c r="AQ148" s="530">
        <v>2000000</v>
      </c>
      <c r="AR148" s="500">
        <v>-4701.5071754729252</v>
      </c>
      <c r="AS148" s="530">
        <v>95184</v>
      </c>
      <c r="AT148" s="530">
        <v>96923</v>
      </c>
      <c r="AU148" s="769">
        <v>3.05</v>
      </c>
      <c r="AV148" s="747">
        <v>116347000000</v>
      </c>
      <c r="AW148" s="534">
        <f>(_xlfn.XLOOKUP(RPBOD3[[#This Row],[Bonds_ShortName]],FNRP!D:D,FNRP!H:H,_xlfn.XLOOKUP(RPBOD3[[#This Row],[Bonds_ShortName]],FNRP!AV:AV,FNRP!AZ:AZ,,0),0)-RPBOD3[[#This Row],[PTCK_Remain]]-10^5)*RPBOD3[[#This Row],[Quantity]]</f>
        <v>-14700985649.054142</v>
      </c>
      <c r="AY148" s="128"/>
      <c r="AZ148" s="610">
        <v>46252</v>
      </c>
      <c r="BA148" s="850">
        <v>50274</v>
      </c>
      <c r="BB148" s="852" t="s">
        <v>718</v>
      </c>
      <c r="BC148" s="39" t="s">
        <v>824</v>
      </c>
      <c r="BD148" s="530">
        <v>1350000</v>
      </c>
      <c r="BE148" s="530">
        <v>145819</v>
      </c>
      <c r="BF148" s="658">
        <v>46240</v>
      </c>
      <c r="BG148" s="658">
        <v>46241</v>
      </c>
      <c r="BH148" s="658">
        <v>53355</v>
      </c>
      <c r="BI148" s="500">
        <v>202506750000</v>
      </c>
      <c r="BJ148" s="49">
        <v>8</v>
      </c>
      <c r="BK148" s="49">
        <v>149.18004581700001</v>
      </c>
      <c r="BL148" s="630" t="s">
        <v>2172</v>
      </c>
      <c r="BM148" s="49" t="s">
        <v>1033</v>
      </c>
      <c r="BN14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48" s="396">
        <f>(PTCK_offBS[[#This Row],[VALUE_DATE]]-PTCK_offBS[[#This Row],[LAST_PMT]])*PTCK_offBS[[#This Row],[COUPON_RATE]]*1000/(DATE(YEAR(PTCK_offBS[[#This Row],[LAST_PMT]])+1,MONTH(PTCK_offBS[[#This Row],[LAST_PMT]]),DAY(PTCK_offBS[[#This Row],[LAST_PMT]]))-PTCK_offBS[[#This Row],[LAST_PMT]])</f>
        <v>4186.3013698630139</v>
      </c>
      <c r="BP148" s="396">
        <f>PTCK_offBS[[#This Row],[GROSS_AMOUNT]]/PTCK_offBS[[#This Row],[QUANTITY]]-PTCK_offBS[[#This Row],[START_ACC]]-10^5</f>
        <v>45818.698630136991</v>
      </c>
      <c r="BQ148" s="396">
        <f>IF(PTCK_offBS[[#This Row],[BS]]="Others",PTCK_offBS[[#This Row],[PTCK]]*(PTCK_offBS[[#This Row],[MATURITY_DATE]]-PTCK_offBS[[#This Row],[POSTED_DT]]-1)/(PTCK_offBS[[#This Row],[MATURITY_DATE]]-PTCK_offBS[[#This Row],[VALUE_DATE]]),PTCK_offBS[[#This Row],[PTCK]])</f>
        <v>45741.410974308812</v>
      </c>
      <c r="BR148" s="396">
        <f>PTCK_offBS[[#This Row],[PTCK remain]]*PTCK_offBS[[#This Row],[QUANTITY]]</f>
        <v>61750904815.316895</v>
      </c>
    </row>
    <row r="149" spans="20:70" x14ac:dyDescent="0.3">
      <c r="T149" s="362"/>
      <c r="AK149" s="734"/>
      <c r="AL149" s="128">
        <v>45426</v>
      </c>
      <c r="AM149" s="128" t="s">
        <v>2499</v>
      </c>
      <c r="AN149" s="736">
        <v>4.8</v>
      </c>
      <c r="AO149" s="128" t="s">
        <v>823</v>
      </c>
      <c r="AP149" s="49" t="s">
        <v>2180</v>
      </c>
      <c r="AQ149" s="530">
        <v>1000000</v>
      </c>
      <c r="AR149" s="500">
        <v>13957.917904349899</v>
      </c>
      <c r="AS149" s="530">
        <v>117273</v>
      </c>
      <c r="AT149" s="530">
        <v>118220</v>
      </c>
      <c r="AU149" s="769">
        <v>2.35</v>
      </c>
      <c r="AV149" s="747">
        <v>116347000000</v>
      </c>
      <c r="AW149" s="534">
        <f>(_xlfn.XLOOKUP(RPBOD3[[#This Row],[Bonds_ShortName]],FNRP!D:D,FNRP!H:H,_xlfn.XLOOKUP(RPBOD3[[#This Row],[Bonds_ShortName]],FNRP!AV:AV,FNRP!AZ:AZ,,0),0)-RPBOD3[[#This Row],[PTCK_Remain]]-10^5)*RPBOD3[[#This Row],[Quantity]]</f>
        <v>-11181917904.349903</v>
      </c>
      <c r="AY149" s="128"/>
      <c r="AZ149" s="610">
        <v>46252</v>
      </c>
      <c r="BA149" s="850">
        <v>49511</v>
      </c>
      <c r="BB149" s="852" t="s">
        <v>2371</v>
      </c>
      <c r="BC149" s="39" t="s">
        <v>824</v>
      </c>
      <c r="BD149" s="530">
        <v>3730000</v>
      </c>
      <c r="BE149" s="530">
        <v>81059</v>
      </c>
      <c r="BF149" s="658">
        <v>46136</v>
      </c>
      <c r="BG149" s="658">
        <v>46140</v>
      </c>
      <c r="BH149" s="658">
        <v>55531</v>
      </c>
      <c r="BI149" s="500">
        <v>305460890000</v>
      </c>
      <c r="BJ149" s="49">
        <v>2.9</v>
      </c>
      <c r="BK149" s="49">
        <v>150.18004581700001</v>
      </c>
      <c r="BL149" s="630" t="s">
        <v>2172</v>
      </c>
      <c r="BM149" s="49" t="s">
        <v>1033</v>
      </c>
      <c r="BN14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149" s="396">
        <f>(PTCK_offBS[[#This Row],[VALUE_DATE]]-PTCK_offBS[[#This Row],[LAST_PMT]])*PTCK_offBS[[#This Row],[COUPON_RATE]]*1000/(DATE(YEAR(PTCK_offBS[[#This Row],[LAST_PMT]])+1,MONTH(PTCK_offBS[[#This Row],[LAST_PMT]]),DAY(PTCK_offBS[[#This Row],[LAST_PMT]]))-PTCK_offBS[[#This Row],[LAST_PMT]])</f>
        <v>834.2465753424658</v>
      </c>
      <c r="BP149" s="396">
        <f>PTCK_offBS[[#This Row],[GROSS_AMOUNT]]/PTCK_offBS[[#This Row],[QUANTITY]]-PTCK_offBS[[#This Row],[START_ACC]]-10^5</f>
        <v>-18941.246575342462</v>
      </c>
      <c r="BQ149" s="396">
        <f>IF(PTCK_offBS[[#This Row],[BS]]="Others",PTCK_offBS[[#This Row],[PTCK]]*(PTCK_offBS[[#This Row],[MATURITY_DATE]]-PTCK_offBS[[#This Row],[POSTED_DT]]-1)/(PTCK_offBS[[#This Row],[MATURITY_DATE]]-PTCK_offBS[[#This Row],[VALUE_DATE]]),PTCK_offBS[[#This Row],[PTCK]])</f>
        <v>-18713.330393571225</v>
      </c>
      <c r="BR149" s="396">
        <f>PTCK_offBS[[#This Row],[PTCK remain]]*PTCK_offBS[[#This Row],[QUANTITY]]</f>
        <v>-69800722368.020676</v>
      </c>
    </row>
    <row r="150" spans="20:70" x14ac:dyDescent="0.3">
      <c r="T150" s="362"/>
      <c r="AK150" s="734"/>
      <c r="AL150" s="128">
        <v>45427</v>
      </c>
      <c r="AM150" s="128" t="s">
        <v>2503</v>
      </c>
      <c r="AN150" s="736">
        <v>3.4</v>
      </c>
      <c r="AO150" s="128" t="s">
        <v>823</v>
      </c>
      <c r="AP150" s="49" t="s">
        <v>2180</v>
      </c>
      <c r="AQ150" s="530">
        <v>2000000</v>
      </c>
      <c r="AR150" s="500">
        <v>6792.4520975226005</v>
      </c>
      <c r="AS150" s="530">
        <v>107664</v>
      </c>
      <c r="AT150" s="530">
        <v>110496</v>
      </c>
      <c r="AU150" s="769">
        <v>2.7</v>
      </c>
      <c r="AV150" s="747">
        <v>116347000000</v>
      </c>
      <c r="AW150" s="534">
        <f>(_xlfn.XLOOKUP(RPBOD3[[#This Row],[Bonds_ShortName]],FNRP!D:D,FNRP!H:H,_xlfn.XLOOKUP(RPBOD3[[#This Row],[Bonds_ShortName]],FNRP!AV:AV,FNRP!AZ:AZ,,0),0)-RPBOD3[[#This Row],[PTCK_Remain]]-10^5)*RPBOD3[[#This Row],[Quantity]]</f>
        <v>-33114904195.045208</v>
      </c>
      <c r="AY150" s="128"/>
      <c r="AZ150" s="610">
        <v>46252</v>
      </c>
      <c r="BA150" s="850">
        <v>50036</v>
      </c>
      <c r="BB150" s="852" t="s">
        <v>2497</v>
      </c>
      <c r="BC150" s="39" t="s">
        <v>824</v>
      </c>
      <c r="BD150" s="530">
        <v>700000</v>
      </c>
      <c r="BE150" s="530">
        <v>103234</v>
      </c>
      <c r="BF150" s="658">
        <v>46191</v>
      </c>
      <c r="BG150" s="658">
        <v>46192</v>
      </c>
      <c r="BH150" s="658">
        <v>55966</v>
      </c>
      <c r="BI150" s="500">
        <v>72972900000</v>
      </c>
      <c r="BJ150" s="49">
        <v>4.2</v>
      </c>
      <c r="BK150" s="49">
        <v>151.18004581700001</v>
      </c>
      <c r="BL150" s="630" t="s">
        <v>2172</v>
      </c>
      <c r="BM150" s="49" t="s">
        <v>1033</v>
      </c>
      <c r="BN15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50" s="396">
        <f>(PTCK_offBS[[#This Row],[VALUE_DATE]]-PTCK_offBS[[#This Row],[LAST_PMT]])*PTCK_offBS[[#This Row],[COUPON_RATE]]*1000/(DATE(YEAR(PTCK_offBS[[#This Row],[LAST_PMT]])+1,MONTH(PTCK_offBS[[#This Row],[LAST_PMT]]),DAY(PTCK_offBS[[#This Row],[LAST_PMT]]))-PTCK_offBS[[#This Row],[LAST_PMT]])</f>
        <v>1012.6027397260274</v>
      </c>
      <c r="BP150" s="396">
        <f>PTCK_offBS[[#This Row],[GROSS_AMOUNT]]/PTCK_offBS[[#This Row],[QUANTITY]]-PTCK_offBS[[#This Row],[START_ACC]]-10^5</f>
        <v>3234.3972602739668</v>
      </c>
      <c r="BQ150" s="396">
        <f>IF(PTCK_offBS[[#This Row],[BS]]="Others",PTCK_offBS[[#This Row],[PTCK]]*(PTCK_offBS[[#This Row],[MATURITY_DATE]]-PTCK_offBS[[#This Row],[POSTED_DT]]-1)/(PTCK_offBS[[#This Row],[MATURITY_DATE]]-PTCK_offBS[[#This Row],[VALUE_DATE]]),PTCK_offBS[[#This Row],[PTCK]])</f>
        <v>3214.2112327645837</v>
      </c>
      <c r="BR150" s="396">
        <f>PTCK_offBS[[#This Row],[PTCK remain]]*PTCK_offBS[[#This Row],[QUANTITY]]</f>
        <v>2249947862.9352083</v>
      </c>
    </row>
    <row r="151" spans="20:70" x14ac:dyDescent="0.3">
      <c r="T151" s="362"/>
      <c r="AK151" s="734"/>
      <c r="AL151" s="128">
        <v>45428</v>
      </c>
      <c r="AM151" s="128" t="s">
        <v>2741</v>
      </c>
      <c r="AN151" s="736">
        <v>2.8</v>
      </c>
      <c r="AO151" s="128" t="s">
        <v>823</v>
      </c>
      <c r="AP151" s="49" t="s">
        <v>2180</v>
      </c>
      <c r="AQ151" s="530">
        <v>1000000</v>
      </c>
      <c r="AR151" s="500">
        <v>1075.24265020131</v>
      </c>
      <c r="AS151" s="530">
        <v>101211</v>
      </c>
      <c r="AT151" s="530">
        <v>103060</v>
      </c>
      <c r="AU151" s="769">
        <v>2.69</v>
      </c>
      <c r="AV151" s="747">
        <v>116347000000</v>
      </c>
      <c r="AW151" s="534">
        <f>(_xlfn.XLOOKUP(RPBOD3[[#This Row],[Bonds_ShortName]],FNRP!D:D,FNRP!H:H,_xlfn.XLOOKUP(RPBOD3[[#This Row],[Bonds_ShortName]],FNRP!AV:AV,FNRP!AZ:AZ,,0),0)-RPBOD3[[#This Row],[PTCK_Remain]]-10^5)*RPBOD3[[#This Row],[Quantity]]</f>
        <v>-16397242650.201311</v>
      </c>
      <c r="AY151" s="128"/>
      <c r="AZ151" s="610">
        <v>46252</v>
      </c>
      <c r="BA151" s="850">
        <v>50302</v>
      </c>
      <c r="BB151" s="852" t="s">
        <v>718</v>
      </c>
      <c r="BC151" s="39" t="s">
        <v>824</v>
      </c>
      <c r="BD151" s="530">
        <v>335000</v>
      </c>
      <c r="BE151" s="530">
        <v>145756</v>
      </c>
      <c r="BF151" s="658">
        <v>46244</v>
      </c>
      <c r="BG151" s="658">
        <v>46245</v>
      </c>
      <c r="BH151" s="658">
        <v>53355</v>
      </c>
      <c r="BI151" s="500">
        <v>50260050000</v>
      </c>
      <c r="BJ151" s="49">
        <v>8</v>
      </c>
      <c r="BK151" s="49">
        <v>152.18004581700001</v>
      </c>
      <c r="BL151" s="630" t="s">
        <v>2172</v>
      </c>
      <c r="BM151" s="49" t="s">
        <v>1033</v>
      </c>
      <c r="BN15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51" s="396">
        <f>(PTCK_offBS[[#This Row],[VALUE_DATE]]-PTCK_offBS[[#This Row],[LAST_PMT]])*PTCK_offBS[[#This Row],[COUPON_RATE]]*1000/(DATE(YEAR(PTCK_offBS[[#This Row],[LAST_PMT]])+1,MONTH(PTCK_offBS[[#This Row],[LAST_PMT]]),DAY(PTCK_offBS[[#This Row],[LAST_PMT]]))-PTCK_offBS[[#This Row],[LAST_PMT]])</f>
        <v>4273.9726027397264</v>
      </c>
      <c r="BP151" s="396">
        <f>PTCK_offBS[[#This Row],[GROSS_AMOUNT]]/PTCK_offBS[[#This Row],[QUANTITY]]-PTCK_offBS[[#This Row],[START_ACC]]-10^5</f>
        <v>45756.027397260274</v>
      </c>
      <c r="BQ151" s="396">
        <f>IF(PTCK_offBS[[#This Row],[BS]]="Others",PTCK_offBS[[#This Row],[PTCK]]*(PTCK_offBS[[#This Row],[MATURITY_DATE]]-PTCK_offBS[[#This Row],[POSTED_DT]]-1)/(PTCK_offBS[[#This Row],[MATURITY_DATE]]-PTCK_offBS[[#This Row],[VALUE_DATE]]),PTCK_offBS[[#This Row],[PTCK]])</f>
        <v>45704.543822129745</v>
      </c>
      <c r="BR151" s="396">
        <f>PTCK_offBS[[#This Row],[PTCK remain]]*PTCK_offBS[[#This Row],[QUANTITY]]</f>
        <v>15311022180.413464</v>
      </c>
    </row>
    <row r="152" spans="20:70" x14ac:dyDescent="0.3">
      <c r="T152" s="362"/>
      <c r="AA152" s="659"/>
      <c r="AK152" s="734"/>
      <c r="AL152" s="128">
        <v>45429</v>
      </c>
      <c r="AM152" s="128" t="s">
        <v>2786</v>
      </c>
      <c r="AN152" s="736">
        <v>2.6</v>
      </c>
      <c r="AO152" s="128" t="s">
        <v>823</v>
      </c>
      <c r="AP152" s="49" t="s">
        <v>2180</v>
      </c>
      <c r="AQ152" s="530">
        <v>3000000</v>
      </c>
      <c r="AR152" s="500">
        <v>-1412.5032681174532</v>
      </c>
      <c r="AS152" s="530">
        <v>98415</v>
      </c>
      <c r="AT152" s="530">
        <v>99305</v>
      </c>
      <c r="AU152" s="769">
        <v>2.74</v>
      </c>
      <c r="AV152" s="747">
        <v>116347000000</v>
      </c>
      <c r="AW152" s="534">
        <f>(_xlfn.XLOOKUP(RPBOD3[[#This Row],[Bonds_ShortName]],FNRP!D:D,FNRP!H:H,_xlfn.XLOOKUP(RPBOD3[[#This Row],[Bonds_ShortName]],FNRP!AV:AV,FNRP!AZ:AZ,,0),0)-RPBOD3[[#This Row],[PTCK_Remain]]-10^5)*RPBOD3[[#This Row],[Quantity]]</f>
        <v>-48424490195.647652</v>
      </c>
      <c r="AY152" s="128"/>
      <c r="AZ152" s="610">
        <v>46252</v>
      </c>
      <c r="BA152" s="850">
        <v>50311</v>
      </c>
      <c r="BB152" s="852" t="s">
        <v>718</v>
      </c>
      <c r="BC152" s="39" t="s">
        <v>824</v>
      </c>
      <c r="BD152" s="530">
        <v>335000</v>
      </c>
      <c r="BE152" s="530">
        <v>145756</v>
      </c>
      <c r="BF152" s="658">
        <v>46244</v>
      </c>
      <c r="BG152" s="658">
        <v>46245</v>
      </c>
      <c r="BH152" s="658">
        <v>53355</v>
      </c>
      <c r="BI152" s="500">
        <v>50260050000</v>
      </c>
      <c r="BJ152" s="49">
        <v>8</v>
      </c>
      <c r="BK152" s="49">
        <v>153.18004581700001</v>
      </c>
      <c r="BL152" s="630" t="s">
        <v>2172</v>
      </c>
      <c r="BM152" s="49" t="s">
        <v>1033</v>
      </c>
      <c r="BN15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52" s="396">
        <f>(PTCK_offBS[[#This Row],[VALUE_DATE]]-PTCK_offBS[[#This Row],[LAST_PMT]])*PTCK_offBS[[#This Row],[COUPON_RATE]]*1000/(DATE(YEAR(PTCK_offBS[[#This Row],[LAST_PMT]])+1,MONTH(PTCK_offBS[[#This Row],[LAST_PMT]]),DAY(PTCK_offBS[[#This Row],[LAST_PMT]]))-PTCK_offBS[[#This Row],[LAST_PMT]])</f>
        <v>4273.9726027397264</v>
      </c>
      <c r="BP152" s="396">
        <f>PTCK_offBS[[#This Row],[GROSS_AMOUNT]]/PTCK_offBS[[#This Row],[QUANTITY]]-PTCK_offBS[[#This Row],[START_ACC]]-10^5</f>
        <v>45756.027397260274</v>
      </c>
      <c r="BQ152" s="396">
        <f>IF(PTCK_offBS[[#This Row],[BS]]="Others",PTCK_offBS[[#This Row],[PTCK]]*(PTCK_offBS[[#This Row],[MATURITY_DATE]]-PTCK_offBS[[#This Row],[POSTED_DT]]-1)/(PTCK_offBS[[#This Row],[MATURITY_DATE]]-PTCK_offBS[[#This Row],[VALUE_DATE]]),PTCK_offBS[[#This Row],[PTCK]])</f>
        <v>45704.543822129745</v>
      </c>
      <c r="BR152" s="396">
        <f>PTCK_offBS[[#This Row],[PTCK remain]]*PTCK_offBS[[#This Row],[QUANTITY]]</f>
        <v>15311022180.413464</v>
      </c>
    </row>
    <row r="153" spans="20:70" x14ac:dyDescent="0.3">
      <c r="T153" s="362"/>
      <c r="AK153" s="734"/>
      <c r="AL153" s="128">
        <v>45230</v>
      </c>
      <c r="AM153" s="128" t="s">
        <v>2386</v>
      </c>
      <c r="AN153" s="736">
        <v>4.4000000000000004</v>
      </c>
      <c r="AO153" s="128" t="s">
        <v>823</v>
      </c>
      <c r="AP153" s="49" t="s">
        <v>2180</v>
      </c>
      <c r="AQ153" s="530">
        <v>500000</v>
      </c>
      <c r="AR153" s="500">
        <v>18493.358761537398</v>
      </c>
      <c r="AS153" s="530">
        <v>121034</v>
      </c>
      <c r="AT153" s="530">
        <v>125290</v>
      </c>
      <c r="AU153" s="769">
        <v>2.4900000000000002</v>
      </c>
      <c r="AV153" s="747">
        <v>116347000000</v>
      </c>
      <c r="AW153" s="534">
        <f>(_xlfn.XLOOKUP(RPBOD3[[#This Row],[Bonds_ShortName]],FNRP!D:D,FNRP!H:H,_xlfn.XLOOKUP(RPBOD3[[#This Row],[Bonds_ShortName]],FNRP!AV:AV,FNRP!AZ:AZ,,0),0)-RPBOD3[[#This Row],[PTCK_Remain]]-10^5)*RPBOD3[[#This Row],[Quantity]]</f>
        <v>-9637179380.7686996</v>
      </c>
      <c r="AY153" s="128"/>
      <c r="AZ153" s="610">
        <v>46252</v>
      </c>
      <c r="BA153" s="850">
        <v>50399</v>
      </c>
      <c r="BB153" s="852" t="s">
        <v>1209</v>
      </c>
      <c r="BC153" s="39" t="s">
        <v>824</v>
      </c>
      <c r="BD153" s="530">
        <v>810000</v>
      </c>
      <c r="BE153" s="530">
        <v>123888</v>
      </c>
      <c r="BF153" s="658">
        <v>46258</v>
      </c>
      <c r="BG153" s="658">
        <v>46259</v>
      </c>
      <c r="BH153" s="658">
        <v>49528</v>
      </c>
      <c r="BI153" s="500">
        <v>100658700000</v>
      </c>
      <c r="BJ153" s="49">
        <v>7.75</v>
      </c>
      <c r="BK153" s="49">
        <v>154.18004581700001</v>
      </c>
      <c r="BL153" s="630" t="s">
        <v>2172</v>
      </c>
      <c r="BM153" s="49" t="s">
        <v>1033</v>
      </c>
      <c r="BN15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153" s="396">
        <f>(PTCK_offBS[[#This Row],[VALUE_DATE]]-PTCK_offBS[[#This Row],[LAST_PMT]])*PTCK_offBS[[#This Row],[COUPON_RATE]]*1000/(DATE(YEAR(PTCK_offBS[[#This Row],[LAST_PMT]])+1,MONTH(PTCK_offBS[[#This Row],[LAST_PMT]]),DAY(PTCK_offBS[[#This Row],[LAST_PMT]]))-PTCK_offBS[[#This Row],[LAST_PMT]])</f>
        <v>382.1917808219178</v>
      </c>
      <c r="BP153" s="396">
        <f>PTCK_offBS[[#This Row],[GROSS_AMOUNT]]/PTCK_offBS[[#This Row],[QUANTITY]]-PTCK_offBS[[#This Row],[START_ACC]]-10^5</f>
        <v>23887.808219178085</v>
      </c>
      <c r="BQ153" s="396">
        <f>IF(PTCK_offBS[[#This Row],[BS]]="Others",PTCK_offBS[[#This Row],[PTCK]]*(PTCK_offBS[[#This Row],[MATURITY_DATE]]-PTCK_offBS[[#This Row],[POSTED_DT]]-1)/(PTCK_offBS[[#This Row],[MATURITY_DATE]]-PTCK_offBS[[#This Row],[VALUE_DATE]]),PTCK_offBS[[#This Row],[PTCK]])</f>
        <v>23931.652467974374</v>
      </c>
      <c r="BR153" s="396">
        <f>PTCK_offBS[[#This Row],[PTCK remain]]*PTCK_offBS[[#This Row],[QUANTITY]]</f>
        <v>19384638499.059242</v>
      </c>
    </row>
    <row r="154" spans="20:70" x14ac:dyDescent="0.3">
      <c r="T154" s="362"/>
      <c r="AK154" s="734"/>
      <c r="AL154" s="128">
        <v>45229</v>
      </c>
      <c r="AM154" s="128" t="s">
        <v>2503</v>
      </c>
      <c r="AN154" s="736">
        <v>3.4</v>
      </c>
      <c r="AO154" s="128" t="s">
        <v>823</v>
      </c>
      <c r="AP154" s="49" t="s">
        <v>2180</v>
      </c>
      <c r="AQ154" s="530">
        <v>4000000</v>
      </c>
      <c r="AR154" s="500">
        <v>7089.5652575325248</v>
      </c>
      <c r="AS154" s="530">
        <v>108046</v>
      </c>
      <c r="AT154" s="530">
        <v>110617</v>
      </c>
      <c r="AU154" s="769">
        <v>2.67</v>
      </c>
      <c r="AV154" s="747">
        <v>116347000000</v>
      </c>
      <c r="AW154" s="534">
        <f>(_xlfn.XLOOKUP(RPBOD3[[#This Row],[Bonds_ShortName]],FNRP!D:D,FNRP!H:H,_xlfn.XLOOKUP(RPBOD3[[#This Row],[Bonds_ShortName]],FNRP!AV:AV,FNRP!AZ:AZ,,0),0)-RPBOD3[[#This Row],[PTCK_Remain]]-10^5)*RPBOD3[[#This Row],[Quantity]]</f>
        <v>-67418261030.130089</v>
      </c>
      <c r="AY154" s="128"/>
      <c r="AZ154" s="610">
        <v>46252</v>
      </c>
      <c r="BA154" s="850">
        <v>50400</v>
      </c>
      <c r="BB154" s="852" t="s">
        <v>1209</v>
      </c>
      <c r="BC154" s="39" t="s">
        <v>824</v>
      </c>
      <c r="BD154" s="530">
        <v>810000</v>
      </c>
      <c r="BE154" s="530">
        <v>123871</v>
      </c>
      <c r="BF154" s="658">
        <v>46260</v>
      </c>
      <c r="BG154" s="658">
        <v>46261</v>
      </c>
      <c r="BH154" s="658">
        <v>49528</v>
      </c>
      <c r="BI154" s="500">
        <v>100679760000</v>
      </c>
      <c r="BJ154" s="49">
        <v>7.75</v>
      </c>
      <c r="BK154" s="49">
        <v>155.18004581700001</v>
      </c>
      <c r="BL154" s="630" t="s">
        <v>2172</v>
      </c>
      <c r="BM154" s="49" t="s">
        <v>1033</v>
      </c>
      <c r="BN15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154" s="396">
        <f>(PTCK_offBS[[#This Row],[VALUE_DATE]]-PTCK_offBS[[#This Row],[LAST_PMT]])*PTCK_offBS[[#This Row],[COUPON_RATE]]*1000/(DATE(YEAR(PTCK_offBS[[#This Row],[LAST_PMT]])+1,MONTH(PTCK_offBS[[#This Row],[LAST_PMT]]),DAY(PTCK_offBS[[#This Row],[LAST_PMT]]))-PTCK_offBS[[#This Row],[LAST_PMT]])</f>
        <v>424.65753424657532</v>
      </c>
      <c r="BP154" s="396">
        <f>PTCK_offBS[[#This Row],[GROSS_AMOUNT]]/PTCK_offBS[[#This Row],[QUANTITY]]-PTCK_offBS[[#This Row],[START_ACC]]-10^5</f>
        <v>23871.34246575342</v>
      </c>
      <c r="BQ154" s="396">
        <f>IF(PTCK_offBS[[#This Row],[BS]]="Others",PTCK_offBS[[#This Row],[PTCK]]*(PTCK_offBS[[#This Row],[MATURITY_DATE]]-PTCK_offBS[[#This Row],[POSTED_DT]]-1)/(PTCK_offBS[[#This Row],[MATURITY_DATE]]-PTCK_offBS[[#This Row],[VALUE_DATE]]),PTCK_offBS[[#This Row],[PTCK]])</f>
        <v>23929.796931540386</v>
      </c>
      <c r="BR154" s="396">
        <f>PTCK_offBS[[#This Row],[PTCK remain]]*PTCK_offBS[[#This Row],[QUANTITY]]</f>
        <v>19383135514.547714</v>
      </c>
    </row>
    <row r="155" spans="20:70" x14ac:dyDescent="0.3">
      <c r="T155" s="362"/>
      <c r="AK155" s="734"/>
      <c r="AL155" s="128">
        <v>46965</v>
      </c>
      <c r="AM155" s="128" t="s">
        <v>669</v>
      </c>
      <c r="AN155" s="736">
        <v>4.5999999999999996</v>
      </c>
      <c r="AO155" s="128" t="s">
        <v>823</v>
      </c>
      <c r="AP155" s="49" t="s">
        <v>2180</v>
      </c>
      <c r="AQ155" s="530">
        <v>2500000</v>
      </c>
      <c r="AR155" s="500">
        <v>13756.894598623041</v>
      </c>
      <c r="AS155" s="530">
        <v>115580</v>
      </c>
      <c r="AT155" s="530">
        <v>115656</v>
      </c>
      <c r="AU155" s="769">
        <v>2.63</v>
      </c>
      <c r="AV155" s="747">
        <v>116347000000</v>
      </c>
      <c r="AW155" s="534">
        <f>(_xlfn.XLOOKUP(RPBOD3[[#This Row],[Bonds_ShortName]],FNRP!D:D,FNRP!H:H,_xlfn.XLOOKUP(RPBOD3[[#This Row],[Bonds_ShortName]],FNRP!AV:AV,FNRP!AZ:AZ,,0),0)-RPBOD3[[#This Row],[PTCK_Remain]]-10^5)*RPBOD3[[#This Row],[Quantity]]</f>
        <v>-30324736496.557598</v>
      </c>
      <c r="AY155" s="128"/>
      <c r="AZ155" s="610">
        <v>46252</v>
      </c>
      <c r="BA155" s="850">
        <v>50446</v>
      </c>
      <c r="BB155" s="852" t="s">
        <v>2497</v>
      </c>
      <c r="BC155" s="39" t="s">
        <v>824</v>
      </c>
      <c r="BD155" s="530">
        <v>800000</v>
      </c>
      <c r="BE155" s="530">
        <v>99915</v>
      </c>
      <c r="BF155" s="658">
        <v>46268</v>
      </c>
      <c r="BG155" s="658">
        <v>46269</v>
      </c>
      <c r="BH155" s="658">
        <v>55966</v>
      </c>
      <c r="BI155" s="500">
        <v>81451200000</v>
      </c>
      <c r="BJ155" s="49">
        <v>4.2</v>
      </c>
      <c r="BK155" s="49">
        <v>156.18004581700001</v>
      </c>
      <c r="BL155" s="630" t="s">
        <v>2172</v>
      </c>
      <c r="BM155" s="49" t="s">
        <v>1033</v>
      </c>
      <c r="BN15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55" s="396">
        <f>(PTCK_offBS[[#This Row],[VALUE_DATE]]-PTCK_offBS[[#This Row],[LAST_PMT]])*PTCK_offBS[[#This Row],[COUPON_RATE]]*1000/(DATE(YEAR(PTCK_offBS[[#This Row],[LAST_PMT]])+1,MONTH(PTCK_offBS[[#This Row],[LAST_PMT]]),DAY(PTCK_offBS[[#This Row],[LAST_PMT]]))-PTCK_offBS[[#This Row],[LAST_PMT]])</f>
        <v>1898.6301369863013</v>
      </c>
      <c r="BP155" s="396">
        <f>PTCK_offBS[[#This Row],[GROSS_AMOUNT]]/PTCK_offBS[[#This Row],[QUANTITY]]-PTCK_offBS[[#This Row],[START_ACC]]-10^5</f>
        <v>-84.630136986306752</v>
      </c>
      <c r="BQ155" s="396">
        <f>IF(PTCK_offBS[[#This Row],[BS]]="Others",PTCK_offBS[[#This Row],[PTCK]]*(PTCK_offBS[[#This Row],[MATURITY_DATE]]-PTCK_offBS[[#This Row],[POSTED_DT]]-1)/(PTCK_offBS[[#This Row],[MATURITY_DATE]]-PTCK_offBS[[#This Row],[VALUE_DATE]]),PTCK_offBS[[#This Row],[PTCK]])</f>
        <v>-84.769776275961377</v>
      </c>
      <c r="BR155" s="396">
        <f>PTCK_offBS[[#This Row],[PTCK remain]]*PTCK_offBS[[#This Row],[QUANTITY]]</f>
        <v>-67815821.020769104</v>
      </c>
    </row>
    <row r="156" spans="20:70" x14ac:dyDescent="0.3">
      <c r="T156" s="362"/>
      <c r="AK156" s="734"/>
      <c r="AL156" s="128">
        <v>46937</v>
      </c>
      <c r="AM156" s="128" t="s">
        <v>2840</v>
      </c>
      <c r="AN156" s="736">
        <v>2.9</v>
      </c>
      <c r="AO156" s="128" t="s">
        <v>823</v>
      </c>
      <c r="AP156" s="49" t="s">
        <v>2180</v>
      </c>
      <c r="AQ156" s="530">
        <v>3000000</v>
      </c>
      <c r="AR156" s="500">
        <v>633.46582270386</v>
      </c>
      <c r="AS156" s="530">
        <v>100685</v>
      </c>
      <c r="AT156" s="530">
        <v>103363</v>
      </c>
      <c r="AU156" s="769">
        <v>2.84</v>
      </c>
      <c r="AV156" s="747">
        <v>116347000000</v>
      </c>
      <c r="AW156" s="534">
        <f>(_xlfn.XLOOKUP(RPBOD3[[#This Row],[Bonds_ShortName]],FNRP!D:D,FNRP!H:H,_xlfn.XLOOKUP(RPBOD3[[#This Row],[Bonds_ShortName]],FNRP!AV:AV,FNRP!AZ:AZ,,0),0)-RPBOD3[[#This Row],[PTCK_Remain]]-10^5)*RPBOD3[[#This Row],[Quantity]]</f>
        <v>-49093397468.11158</v>
      </c>
      <c r="AY156" s="128"/>
      <c r="AZ156" s="610">
        <v>46252</v>
      </c>
      <c r="BA156" s="850">
        <v>50448</v>
      </c>
      <c r="BB156" s="852" t="s">
        <v>1209</v>
      </c>
      <c r="BC156" s="39" t="s">
        <v>824</v>
      </c>
      <c r="BD156" s="530">
        <v>560000</v>
      </c>
      <c r="BE156" s="530">
        <v>123820</v>
      </c>
      <c r="BF156" s="658">
        <v>46268</v>
      </c>
      <c r="BG156" s="658">
        <v>46269</v>
      </c>
      <c r="BH156" s="658">
        <v>49528</v>
      </c>
      <c r="BI156" s="500">
        <v>69672400000</v>
      </c>
      <c r="BJ156" s="49">
        <v>7.75</v>
      </c>
      <c r="BK156" s="49">
        <v>157.18004581700001</v>
      </c>
      <c r="BL156" s="630" t="s">
        <v>2172</v>
      </c>
      <c r="BM156" s="49" t="s">
        <v>1033</v>
      </c>
      <c r="BN15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156" s="396">
        <f>(PTCK_offBS[[#This Row],[VALUE_DATE]]-PTCK_offBS[[#This Row],[LAST_PMT]])*PTCK_offBS[[#This Row],[COUPON_RATE]]*1000/(DATE(YEAR(PTCK_offBS[[#This Row],[LAST_PMT]])+1,MONTH(PTCK_offBS[[#This Row],[LAST_PMT]]),DAY(PTCK_offBS[[#This Row],[LAST_PMT]]))-PTCK_offBS[[#This Row],[LAST_PMT]])</f>
        <v>594.52054794520552</v>
      </c>
      <c r="BP156" s="396">
        <f>PTCK_offBS[[#This Row],[GROSS_AMOUNT]]/PTCK_offBS[[#This Row],[QUANTITY]]-PTCK_offBS[[#This Row],[START_ACC]]-10^5</f>
        <v>23820.479452054788</v>
      </c>
      <c r="BQ156" s="396">
        <f>IF(PTCK_offBS[[#This Row],[BS]]="Others",PTCK_offBS[[#This Row],[PTCK]]*(PTCK_offBS[[#This Row],[MATURITY_DATE]]-PTCK_offBS[[#This Row],[POSTED_DT]]-1)/(PTCK_offBS[[#This Row],[MATURITY_DATE]]-PTCK_offBS[[#This Row],[VALUE_DATE]]),PTCK_offBS[[#This Row],[PTCK]])</f>
        <v>23937.425653721824</v>
      </c>
      <c r="BR156" s="396">
        <f>PTCK_offBS[[#This Row],[PTCK remain]]*PTCK_offBS[[#This Row],[QUANTITY]]</f>
        <v>13404958366.084221</v>
      </c>
    </row>
    <row r="157" spans="20:70" x14ac:dyDescent="0.3">
      <c r="T157" s="362"/>
      <c r="AK157" s="734"/>
      <c r="AL157" s="128">
        <v>47019</v>
      </c>
      <c r="AM157" s="128" t="s">
        <v>2497</v>
      </c>
      <c r="AN157" s="736">
        <v>4.2</v>
      </c>
      <c r="AO157" s="128" t="s">
        <v>823</v>
      </c>
      <c r="AP157" s="49" t="s">
        <v>2180</v>
      </c>
      <c r="AQ157" s="530">
        <v>1000000</v>
      </c>
      <c r="AR157" s="500">
        <v>20855.591209107202</v>
      </c>
      <c r="AS157" s="530">
        <v>121680</v>
      </c>
      <c r="AT157" s="530">
        <v>123176</v>
      </c>
      <c r="AU157" s="769">
        <v>3.03</v>
      </c>
      <c r="AV157" s="747">
        <v>116347000000</v>
      </c>
      <c r="AW157" s="534">
        <f>(_xlfn.XLOOKUP(RPBOD3[[#This Row],[Bonds_ShortName]],FNRP!D:D,FNRP!H:H,_xlfn.XLOOKUP(RPBOD3[[#This Row],[Bonds_ShortName]],FNRP!AV:AV,FNRP!AZ:AZ,,0),0)-RPBOD3[[#This Row],[PTCK_Remain]]-10^5)*RPBOD3[[#This Row],[Quantity]]</f>
        <v>-28525591209.107197</v>
      </c>
      <c r="AY157" s="128"/>
      <c r="AZ157" s="610">
        <v>46252</v>
      </c>
      <c r="BA157" s="850">
        <v>49333</v>
      </c>
      <c r="BB157" s="852" t="s">
        <v>681</v>
      </c>
      <c r="BC157" s="39" t="s">
        <v>824</v>
      </c>
      <c r="BD157" s="530">
        <v>1000000</v>
      </c>
      <c r="BE157" s="530">
        <v>131036</v>
      </c>
      <c r="BF157" s="658">
        <v>46112</v>
      </c>
      <c r="BG157" s="658">
        <v>46113</v>
      </c>
      <c r="BH157" s="658">
        <v>49695</v>
      </c>
      <c r="BI157" s="500">
        <v>132513000000</v>
      </c>
      <c r="BJ157" s="49">
        <v>7.7</v>
      </c>
      <c r="BK157" s="49">
        <v>158.18004581700001</v>
      </c>
      <c r="BL157" s="630" t="s">
        <v>2172</v>
      </c>
      <c r="BM157" s="49" t="s">
        <v>1033</v>
      </c>
      <c r="BN15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157" s="396">
        <f>(PTCK_offBS[[#This Row],[VALUE_DATE]]-PTCK_offBS[[#This Row],[LAST_PMT]])*PTCK_offBS[[#This Row],[COUPON_RATE]]*1000/(DATE(YEAR(PTCK_offBS[[#This Row],[LAST_PMT]])+1,MONTH(PTCK_offBS[[#This Row],[LAST_PMT]]),DAY(PTCK_offBS[[#This Row],[LAST_PMT]]))-PTCK_offBS[[#This Row],[LAST_PMT]])</f>
        <v>1476.7123287671234</v>
      </c>
      <c r="BP157" s="396">
        <f>PTCK_offBS[[#This Row],[GROSS_AMOUNT]]/PTCK_offBS[[#This Row],[QUANTITY]]-PTCK_offBS[[#This Row],[START_ACC]]-10^5</f>
        <v>31036.287671232873</v>
      </c>
      <c r="BQ157" s="396">
        <f>IF(PTCK_offBS[[#This Row],[BS]]="Others",PTCK_offBS[[#This Row],[PTCK]]*(PTCK_offBS[[#This Row],[MATURITY_DATE]]-PTCK_offBS[[#This Row],[POSTED_DT]]-1)/(PTCK_offBS[[#This Row],[MATURITY_DATE]]-PTCK_offBS[[#This Row],[VALUE_DATE]]),PTCK_offBS[[#This Row],[PTCK]])</f>
        <v>29823.255768951298</v>
      </c>
      <c r="BR157" s="396">
        <f>PTCK_offBS[[#This Row],[PTCK remain]]*PTCK_offBS[[#This Row],[QUANTITY]]</f>
        <v>29823255768.951298</v>
      </c>
    </row>
    <row r="158" spans="20:70" x14ac:dyDescent="0.3">
      <c r="T158" s="362"/>
      <c r="AK158" s="734"/>
      <c r="AL158" s="128">
        <v>47490</v>
      </c>
      <c r="AM158" s="128" t="s">
        <v>3317</v>
      </c>
      <c r="AN158" s="736">
        <v>3.3</v>
      </c>
      <c r="AO158" s="128" t="s">
        <v>823</v>
      </c>
      <c r="AP158" s="49" t="s">
        <v>825</v>
      </c>
      <c r="AQ158" s="530">
        <v>2000000</v>
      </c>
      <c r="AR158" s="500">
        <v>-1130.2066774166551</v>
      </c>
      <c r="AS158" s="530">
        <v>98757</v>
      </c>
      <c r="AT158" s="530">
        <v>99209</v>
      </c>
      <c r="AU158" s="769">
        <v>3.45</v>
      </c>
      <c r="AV158" s="747">
        <v>116347000000</v>
      </c>
      <c r="AW158" s="534">
        <f>(_xlfn.XLOOKUP(RPBOD3[[#This Row],[Bonds_ShortName]],FNRP!D:D,FNRP!H:H,_xlfn.XLOOKUP(RPBOD3[[#This Row],[Bonds_ShortName]],FNRP!AV:AV,FNRP!AZ:AZ,,0),0)-RPBOD3[[#This Row],[PTCK_Remain]]-10^5)*RPBOD3[[#This Row],[Quantity]]</f>
        <v>-13765586645.166681</v>
      </c>
      <c r="AY158" s="128"/>
      <c r="AZ158" s="610">
        <v>46252</v>
      </c>
      <c r="BA158" s="850">
        <v>49852</v>
      </c>
      <c r="BB158" s="852" t="s">
        <v>2497</v>
      </c>
      <c r="BC158" s="39" t="s">
        <v>824</v>
      </c>
      <c r="BD158" s="530">
        <v>1000000</v>
      </c>
      <c r="BE158" s="530">
        <v>98495</v>
      </c>
      <c r="BF158" s="658">
        <v>46178</v>
      </c>
      <c r="BG158" s="658">
        <v>46181</v>
      </c>
      <c r="BH158" s="658">
        <v>55966</v>
      </c>
      <c r="BI158" s="500">
        <v>99381000000</v>
      </c>
      <c r="BJ158" s="49">
        <v>4.2</v>
      </c>
      <c r="BK158" s="49">
        <v>159.18004581700001</v>
      </c>
      <c r="BL158" s="630" t="s">
        <v>2172</v>
      </c>
      <c r="BM158" s="49" t="s">
        <v>1033</v>
      </c>
      <c r="BN15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58" s="396">
        <f>(PTCK_offBS[[#This Row],[VALUE_DATE]]-PTCK_offBS[[#This Row],[LAST_PMT]])*PTCK_offBS[[#This Row],[COUPON_RATE]]*1000/(DATE(YEAR(PTCK_offBS[[#This Row],[LAST_PMT]])+1,MONTH(PTCK_offBS[[#This Row],[LAST_PMT]]),DAY(PTCK_offBS[[#This Row],[LAST_PMT]]))-PTCK_offBS[[#This Row],[LAST_PMT]])</f>
        <v>886.02739726027414</v>
      </c>
      <c r="BP158" s="396">
        <f>PTCK_offBS[[#This Row],[GROSS_AMOUNT]]/PTCK_offBS[[#This Row],[QUANTITY]]-PTCK_offBS[[#This Row],[START_ACC]]-10^5</f>
        <v>-1505.0273972602736</v>
      </c>
      <c r="BQ158" s="396">
        <f>IF(PTCK_offBS[[#This Row],[BS]]="Others",PTCK_offBS[[#This Row],[PTCK]]*(PTCK_offBS[[#This Row],[MATURITY_DATE]]-PTCK_offBS[[#This Row],[POSTED_DT]]-1)/(PTCK_offBS[[#This Row],[MATURITY_DATE]]-PTCK_offBS[[#This Row],[VALUE_DATE]]),PTCK_offBS[[#This Row],[PTCK]])</f>
        <v>-1493.9531026662276</v>
      </c>
      <c r="BR158" s="396">
        <f>PTCK_offBS[[#This Row],[PTCK remain]]*PTCK_offBS[[#This Row],[QUANTITY]]</f>
        <v>-1493953102.6662276</v>
      </c>
    </row>
    <row r="159" spans="20:70" x14ac:dyDescent="0.3">
      <c r="T159" s="362"/>
      <c r="AK159" s="734"/>
      <c r="AL159" s="128">
        <v>47570</v>
      </c>
      <c r="AM159" s="128" t="s">
        <v>3317</v>
      </c>
      <c r="AN159" s="736">
        <v>3.3</v>
      </c>
      <c r="AO159" s="128" t="s">
        <v>823</v>
      </c>
      <c r="AP159" s="49" t="s">
        <v>825</v>
      </c>
      <c r="AQ159" s="530">
        <v>2000000</v>
      </c>
      <c r="AR159" s="500">
        <v>-2532.1154021972652</v>
      </c>
      <c r="AS159" s="530">
        <v>97220</v>
      </c>
      <c r="AT159" s="530">
        <v>97726</v>
      </c>
      <c r="AU159" s="769">
        <v>3.6401007239999998</v>
      </c>
      <c r="AV159" s="747">
        <v>116347000000</v>
      </c>
      <c r="AW159" s="534">
        <f>(_xlfn.XLOOKUP(RPBOD3[[#This Row],[Bonds_ShortName]],FNRP!D:D,FNRP!H:H,_xlfn.XLOOKUP(RPBOD3[[#This Row],[Bonds_ShortName]],FNRP!AV:AV,FNRP!AZ:AZ,,0),0)-RPBOD3[[#This Row],[PTCK_Remain]]-10^5)*RPBOD3[[#This Row],[Quantity]]</f>
        <v>-10961769195.605476</v>
      </c>
      <c r="AY159" s="128"/>
      <c r="AZ159" s="610">
        <v>46252</v>
      </c>
      <c r="BA159" s="850">
        <v>49877</v>
      </c>
      <c r="BB159" s="852" t="s">
        <v>3026</v>
      </c>
      <c r="BC159" s="39" t="s">
        <v>824</v>
      </c>
      <c r="BD159" s="530">
        <v>2500000</v>
      </c>
      <c r="BE159" s="530">
        <v>74038</v>
      </c>
      <c r="BF159" s="658">
        <v>46178</v>
      </c>
      <c r="BG159" s="658">
        <v>46181</v>
      </c>
      <c r="BH159" s="658">
        <v>56267</v>
      </c>
      <c r="BI159" s="500">
        <v>187800000000</v>
      </c>
      <c r="BJ159" s="49">
        <v>2.8</v>
      </c>
      <c r="BK159" s="49">
        <v>160.18004581700001</v>
      </c>
      <c r="BL159" s="630" t="s">
        <v>2172</v>
      </c>
      <c r="BM159" s="49" t="s">
        <v>1033</v>
      </c>
      <c r="BN15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59" s="396">
        <f>(PTCK_offBS[[#This Row],[VALUE_DATE]]-PTCK_offBS[[#This Row],[LAST_PMT]])*PTCK_offBS[[#This Row],[COUPON_RATE]]*1000/(DATE(YEAR(PTCK_offBS[[#This Row],[LAST_PMT]])+1,MONTH(PTCK_offBS[[#This Row],[LAST_PMT]]),DAY(PTCK_offBS[[#This Row],[LAST_PMT]]))-PTCK_offBS[[#This Row],[LAST_PMT]])</f>
        <v>1081.6438356164383</v>
      </c>
      <c r="BP159" s="396">
        <f>PTCK_offBS[[#This Row],[GROSS_AMOUNT]]/PTCK_offBS[[#This Row],[QUANTITY]]-PTCK_offBS[[#This Row],[START_ACC]]-10^5</f>
        <v>-25961.643835616444</v>
      </c>
      <c r="BQ159" s="396">
        <f>IF(PTCK_offBS[[#This Row],[BS]]="Others",PTCK_offBS[[#This Row],[PTCK]]*(PTCK_offBS[[#This Row],[MATURITY_DATE]]-PTCK_offBS[[#This Row],[POSTED_DT]]-1)/(PTCK_offBS[[#This Row],[MATURITY_DATE]]-PTCK_offBS[[#This Row],[VALUE_DATE]]),PTCK_offBS[[#This Row],[PTCK]])</f>
        <v>-25776.31383797968</v>
      </c>
      <c r="BR159" s="396">
        <f>PTCK_offBS[[#This Row],[PTCK remain]]*PTCK_offBS[[#This Row],[QUANTITY]]</f>
        <v>-64440784594.949203</v>
      </c>
    </row>
    <row r="160" spans="20:70" x14ac:dyDescent="0.3">
      <c r="T160" s="362"/>
      <c r="AK160" s="734"/>
      <c r="AL160" s="128">
        <v>4553</v>
      </c>
      <c r="AM160" s="128" t="s">
        <v>593</v>
      </c>
      <c r="AN160" s="736">
        <v>8.8000000000000007</v>
      </c>
      <c r="AO160" s="128" t="s">
        <v>823</v>
      </c>
      <c r="AP160" s="49" t="s">
        <v>809</v>
      </c>
      <c r="AQ160" s="530">
        <v>14904</v>
      </c>
      <c r="AR160" s="500">
        <v>2912.1811329317366</v>
      </c>
      <c r="AS160" s="530">
        <v>116357</v>
      </c>
      <c r="AT160" s="530">
        <v>121299</v>
      </c>
      <c r="AU160" s="769">
        <v>6.96</v>
      </c>
      <c r="AV160" s="747">
        <v>116347000000</v>
      </c>
      <c r="AW160" s="534">
        <f>(_xlfn.XLOOKUP(RPBOD3[[#This Row],[Bonds_ShortName]],FNRP!D:D,FNRP!H:H,_xlfn.XLOOKUP(RPBOD3[[#This Row],[Bonds_ShortName]],FNRP!AV:AV,FNRP!AZ:AZ,,0),0)-RPBOD3[[#This Row],[PTCK_Remain]]-10^5)*RPBOD3[[#This Row],[Quantity]]</f>
        <v>140378076.39478531</v>
      </c>
      <c r="AY160" s="128"/>
      <c r="AZ160" s="610">
        <v>46252</v>
      </c>
      <c r="BA160" s="850">
        <v>50076</v>
      </c>
      <c r="BB160" s="852" t="s">
        <v>712</v>
      </c>
      <c r="BC160" s="39" t="s">
        <v>824</v>
      </c>
      <c r="BD160" s="530">
        <v>2500000</v>
      </c>
      <c r="BE160" s="530">
        <v>92292</v>
      </c>
      <c r="BF160" s="658">
        <v>46204</v>
      </c>
      <c r="BG160" s="658">
        <v>46205</v>
      </c>
      <c r="BH160" s="658">
        <v>51144</v>
      </c>
      <c r="BI160" s="500">
        <v>235020000000</v>
      </c>
      <c r="BJ160" s="49">
        <v>3.6</v>
      </c>
      <c r="BK160" s="49">
        <v>161.18004581700001</v>
      </c>
      <c r="BL160" s="630" t="s">
        <v>2172</v>
      </c>
      <c r="BM160" s="49" t="s">
        <v>1033</v>
      </c>
      <c r="BN16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60" s="396">
        <f>(PTCK_offBS[[#This Row],[VALUE_DATE]]-PTCK_offBS[[#This Row],[LAST_PMT]])*PTCK_offBS[[#This Row],[COUPON_RATE]]*1000/(DATE(YEAR(PTCK_offBS[[#This Row],[LAST_PMT]])+1,MONTH(PTCK_offBS[[#This Row],[LAST_PMT]]),DAY(PTCK_offBS[[#This Row],[LAST_PMT]]))-PTCK_offBS[[#This Row],[LAST_PMT]])</f>
        <v>1716.1643835616439</v>
      </c>
      <c r="BP160" s="396">
        <f>PTCK_offBS[[#This Row],[GROSS_AMOUNT]]/PTCK_offBS[[#This Row],[QUANTITY]]-PTCK_offBS[[#This Row],[START_ACC]]-10^5</f>
        <v>-7708.1643835616414</v>
      </c>
      <c r="BQ160" s="396">
        <f>IF(PTCK_offBS[[#This Row],[BS]]="Others",PTCK_offBS[[#This Row],[PTCK]]*(PTCK_offBS[[#This Row],[MATURITY_DATE]]-PTCK_offBS[[#This Row],[POSTED_DT]]-1)/(PTCK_offBS[[#This Row],[MATURITY_DATE]]-PTCK_offBS[[#This Row],[VALUE_DATE]]),PTCK_offBS[[#This Row],[PTCK]])</f>
        <v>-7633.2520753188874</v>
      </c>
      <c r="BR160" s="396">
        <f>PTCK_offBS[[#This Row],[PTCK remain]]*PTCK_offBS[[#This Row],[QUANTITY]]</f>
        <v>-19083130188.297218</v>
      </c>
    </row>
    <row r="161" spans="20:70" x14ac:dyDescent="0.3">
      <c r="T161" s="362"/>
      <c r="AK161" s="734"/>
      <c r="AL161" s="128">
        <v>13485</v>
      </c>
      <c r="AM161" s="128" t="s">
        <v>655</v>
      </c>
      <c r="AN161" s="736">
        <v>5.7</v>
      </c>
      <c r="AO161" s="128" t="s">
        <v>823</v>
      </c>
      <c r="AP161" s="49" t="s">
        <v>809</v>
      </c>
      <c r="AQ161" s="530">
        <v>340000</v>
      </c>
      <c r="AR161" s="500">
        <v>-194.93119182332529</v>
      </c>
      <c r="AS161" s="530">
        <v>99506</v>
      </c>
      <c r="AT161" s="530">
        <v>99506</v>
      </c>
      <c r="AU161" s="769">
        <v>5.75</v>
      </c>
      <c r="AV161" s="747">
        <v>116347000000</v>
      </c>
      <c r="AW161" s="534">
        <f>(_xlfn.XLOOKUP(RPBOD3[[#This Row],[Bonds_ShortName]],FNRP!D:D,FNRP!H:H,_xlfn.XLOOKUP(RPBOD3[[#This Row],[Bonds_ShortName]],FNRP!AV:AV,FNRP!AZ:AZ,,0),0)-RPBOD3[[#This Row],[PTCK_Remain]]-10^5)*RPBOD3[[#This Row],[Quantity]]</f>
        <v>2558816605.2199316</v>
      </c>
      <c r="AY161" s="128"/>
      <c r="AZ161" s="610">
        <v>46252</v>
      </c>
      <c r="BA161" s="850">
        <v>50077</v>
      </c>
      <c r="BB161" s="852" t="s">
        <v>720</v>
      </c>
      <c r="BC161" s="39" t="s">
        <v>824</v>
      </c>
      <c r="BD161" s="530">
        <v>500000</v>
      </c>
      <c r="BE161" s="530">
        <v>151624</v>
      </c>
      <c r="BF161" s="658">
        <v>46204</v>
      </c>
      <c r="BG161" s="658">
        <v>46205</v>
      </c>
      <c r="BH161" s="658">
        <v>53613</v>
      </c>
      <c r="BI161" s="500">
        <v>78647500000</v>
      </c>
      <c r="BJ161" s="49">
        <v>7.9</v>
      </c>
      <c r="BK161" s="49">
        <v>162.18004581700001</v>
      </c>
      <c r="BL161" s="630" t="s">
        <v>2172</v>
      </c>
      <c r="BM161" s="49" t="s">
        <v>1033</v>
      </c>
      <c r="BN16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61" s="396">
        <f>(PTCK_offBS[[#This Row],[VALUE_DATE]]-PTCK_offBS[[#This Row],[LAST_PMT]])*PTCK_offBS[[#This Row],[COUPON_RATE]]*1000/(DATE(YEAR(PTCK_offBS[[#This Row],[LAST_PMT]])+1,MONTH(PTCK_offBS[[#This Row],[LAST_PMT]]),DAY(PTCK_offBS[[#This Row],[LAST_PMT]]))-PTCK_offBS[[#This Row],[LAST_PMT]])</f>
        <v>5670.6849315068503</v>
      </c>
      <c r="BP161" s="396">
        <f>PTCK_offBS[[#This Row],[GROSS_AMOUNT]]/PTCK_offBS[[#This Row],[QUANTITY]]-PTCK_offBS[[#This Row],[START_ACC]]-10^5</f>
        <v>51624.315068493161</v>
      </c>
      <c r="BQ161" s="396">
        <f>IF(PTCK_offBS[[#This Row],[BS]]="Others",PTCK_offBS[[#This Row],[PTCK]]*(PTCK_offBS[[#This Row],[MATURITY_DATE]]-PTCK_offBS[[#This Row],[POSTED_DT]]-1)/(PTCK_offBS[[#This Row],[MATURITY_DATE]]-PTCK_offBS[[#This Row],[VALUE_DATE]]),PTCK_offBS[[#This Row],[PTCK]])</f>
        <v>51289.816266753463</v>
      </c>
      <c r="BR161" s="396">
        <f>PTCK_offBS[[#This Row],[PTCK remain]]*PTCK_offBS[[#This Row],[QUANTITY]]</f>
        <v>25644908133.376732</v>
      </c>
    </row>
    <row r="162" spans="20:70" x14ac:dyDescent="0.3">
      <c r="T162" s="362"/>
      <c r="AK162" s="734"/>
      <c r="AL162" s="128">
        <v>48341</v>
      </c>
      <c r="AM162" s="128" t="s">
        <v>2741</v>
      </c>
      <c r="AN162" s="736">
        <v>2.8</v>
      </c>
      <c r="AO162" s="128" t="s">
        <v>823</v>
      </c>
      <c r="AP162" s="49" t="s">
        <v>2180</v>
      </c>
      <c r="AQ162" s="530">
        <v>500000</v>
      </c>
      <c r="AR162" s="500">
        <v>-2248.7133564640003</v>
      </c>
      <c r="AS162" s="530">
        <v>97623</v>
      </c>
      <c r="AT162" s="530">
        <v>98973</v>
      </c>
      <c r="AU162" s="769">
        <v>3.03</v>
      </c>
      <c r="AV162" s="747">
        <v>116347000000</v>
      </c>
      <c r="AW162" s="534">
        <f>(_xlfn.XLOOKUP(RPBOD3[[#This Row],[Bonds_ShortName]],FNRP!D:D,FNRP!H:H,_xlfn.XLOOKUP(RPBOD3[[#This Row],[Bonds_ShortName]],FNRP!AV:AV,FNRP!AZ:AZ,,0),0)-RPBOD3[[#This Row],[PTCK_Remain]]-10^5)*RPBOD3[[#This Row],[Quantity]]</f>
        <v>-6536643321.7680025</v>
      </c>
      <c r="AY162" s="128"/>
      <c r="AZ162" s="610">
        <v>46252</v>
      </c>
      <c r="BA162" s="850">
        <v>50169</v>
      </c>
      <c r="BB162" s="852" t="s">
        <v>2497</v>
      </c>
      <c r="BC162" s="39" t="s">
        <v>824</v>
      </c>
      <c r="BD162" s="530">
        <v>800000</v>
      </c>
      <c r="BE162" s="530">
        <v>106769</v>
      </c>
      <c r="BF162" s="658">
        <v>46219</v>
      </c>
      <c r="BG162" s="658">
        <v>46220</v>
      </c>
      <c r="BH162" s="658">
        <v>55966</v>
      </c>
      <c r="BI162" s="500">
        <v>86483200000</v>
      </c>
      <c r="BJ162" s="49">
        <v>4.2</v>
      </c>
      <c r="BK162" s="49">
        <v>163.18004581700001</v>
      </c>
      <c r="BL162" s="630" t="s">
        <v>2172</v>
      </c>
      <c r="BM162" s="49" t="s">
        <v>1033</v>
      </c>
      <c r="BN16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62" s="396">
        <f>(PTCK_offBS[[#This Row],[VALUE_DATE]]-PTCK_offBS[[#This Row],[LAST_PMT]])*PTCK_offBS[[#This Row],[COUPON_RATE]]*1000/(DATE(YEAR(PTCK_offBS[[#This Row],[LAST_PMT]])+1,MONTH(PTCK_offBS[[#This Row],[LAST_PMT]]),DAY(PTCK_offBS[[#This Row],[LAST_PMT]]))-PTCK_offBS[[#This Row],[LAST_PMT]])</f>
        <v>1334.7945205479455</v>
      </c>
      <c r="BP162" s="396">
        <f>PTCK_offBS[[#This Row],[GROSS_AMOUNT]]/PTCK_offBS[[#This Row],[QUANTITY]]-PTCK_offBS[[#This Row],[START_ACC]]-10^5</f>
        <v>6769.2054794520518</v>
      </c>
      <c r="BQ162" s="396">
        <f>IF(PTCK_offBS[[#This Row],[BS]]="Others",PTCK_offBS[[#This Row],[PTCK]]*(PTCK_offBS[[#This Row],[MATURITY_DATE]]-PTCK_offBS[[#This Row],[POSTED_DT]]-1)/(PTCK_offBS[[#This Row],[MATURITY_DATE]]-PTCK_offBS[[#This Row],[VALUE_DATE]]),PTCK_offBS[[#This Row],[PTCK]])</f>
        <v>6746.28491913788</v>
      </c>
      <c r="BR162" s="396">
        <f>PTCK_offBS[[#This Row],[PTCK remain]]*PTCK_offBS[[#This Row],[QUANTITY]]</f>
        <v>5397027935.3103037</v>
      </c>
    </row>
    <row r="163" spans="20:70" x14ac:dyDescent="0.3">
      <c r="T163" s="362"/>
      <c r="AK163" s="734"/>
      <c r="AL163" s="128">
        <v>48338</v>
      </c>
      <c r="AM163" s="128" t="s">
        <v>2800</v>
      </c>
      <c r="AN163" s="736">
        <v>2.2999999999999998</v>
      </c>
      <c r="AO163" s="128" t="s">
        <v>823</v>
      </c>
      <c r="AP163" s="49" t="s">
        <v>2180</v>
      </c>
      <c r="AQ163" s="530">
        <v>1500000</v>
      </c>
      <c r="AR163" s="500">
        <v>-6706.0514609481324</v>
      </c>
      <c r="AS163" s="530">
        <v>92928</v>
      </c>
      <c r="AT163" s="530">
        <v>95058</v>
      </c>
      <c r="AU163" s="769">
        <v>2.96</v>
      </c>
      <c r="AV163" s="747">
        <v>116347000000</v>
      </c>
      <c r="AW163" s="534">
        <f>(_xlfn.XLOOKUP(RPBOD3[[#This Row],[Bonds_ShortName]],FNRP!D:D,FNRP!H:H,_xlfn.XLOOKUP(RPBOD3[[#This Row],[Bonds_ShortName]],FNRP!AV:AV,FNRP!AZ:AZ,,0),0)-RPBOD3[[#This Row],[PTCK_Remain]]-10^5)*RPBOD3[[#This Row],[Quantity]]</f>
        <v>-20930922808.577801</v>
      </c>
      <c r="AY163" s="128"/>
      <c r="AZ163" s="610">
        <v>46252</v>
      </c>
      <c r="BA163" s="850">
        <v>50167</v>
      </c>
      <c r="BB163" s="852" t="s">
        <v>712</v>
      </c>
      <c r="BC163" s="39" t="s">
        <v>824</v>
      </c>
      <c r="BD163" s="530">
        <v>7000000</v>
      </c>
      <c r="BE163" s="530">
        <v>93297</v>
      </c>
      <c r="BF163" s="658">
        <v>46219</v>
      </c>
      <c r="BG163" s="658">
        <v>46220</v>
      </c>
      <c r="BH163" s="658">
        <v>51144</v>
      </c>
      <c r="BI163" s="500">
        <v>666127000000</v>
      </c>
      <c r="BJ163" s="49">
        <v>3.6</v>
      </c>
      <c r="BK163" s="49">
        <v>164.18004581700001</v>
      </c>
      <c r="BL163" s="630" t="s">
        <v>2172</v>
      </c>
      <c r="BM163" s="49" t="s">
        <v>1033</v>
      </c>
      <c r="BN16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63" s="396">
        <f>(PTCK_offBS[[#This Row],[VALUE_DATE]]-PTCK_offBS[[#This Row],[LAST_PMT]])*PTCK_offBS[[#This Row],[COUPON_RATE]]*1000/(DATE(YEAR(PTCK_offBS[[#This Row],[LAST_PMT]])+1,MONTH(PTCK_offBS[[#This Row],[LAST_PMT]]),DAY(PTCK_offBS[[#This Row],[LAST_PMT]]))-PTCK_offBS[[#This Row],[LAST_PMT]])</f>
        <v>1864.1095890410959</v>
      </c>
      <c r="BP163" s="396">
        <f>PTCK_offBS[[#This Row],[GROSS_AMOUNT]]/PTCK_offBS[[#This Row],[QUANTITY]]-PTCK_offBS[[#This Row],[START_ACC]]-10^5</f>
        <v>-6703.1095890410943</v>
      </c>
      <c r="BQ163" s="396">
        <f>IF(PTCK_offBS[[#This Row],[BS]]="Others",PTCK_offBS[[#This Row],[PTCK]]*(PTCK_offBS[[#This Row],[MATURITY_DATE]]-PTCK_offBS[[#This Row],[POSTED_DT]]-1)/(PTCK_offBS[[#This Row],[MATURITY_DATE]]-PTCK_offBS[[#This Row],[VALUE_DATE]]),PTCK_offBS[[#This Row],[PTCK]])</f>
        <v>-6658.1862307067413</v>
      </c>
      <c r="BR163" s="396">
        <f>PTCK_offBS[[#This Row],[PTCK remain]]*PTCK_offBS[[#This Row],[QUANTITY]]</f>
        <v>-46607303614.947189</v>
      </c>
    </row>
    <row r="164" spans="20:70" x14ac:dyDescent="0.3">
      <c r="T164" s="362"/>
      <c r="AK164" s="734"/>
      <c r="AL164" s="128">
        <v>48337</v>
      </c>
      <c r="AM164" s="128" t="s">
        <v>2835</v>
      </c>
      <c r="AN164" s="736">
        <v>2.7</v>
      </c>
      <c r="AO164" s="128" t="s">
        <v>823</v>
      </c>
      <c r="AP164" s="49" t="s">
        <v>2180</v>
      </c>
      <c r="AQ164" s="530">
        <v>4000000</v>
      </c>
      <c r="AR164" s="500">
        <v>-2399.8135440901028</v>
      </c>
      <c r="AS164" s="530">
        <v>97473</v>
      </c>
      <c r="AT164" s="530">
        <v>99100</v>
      </c>
      <c r="AU164" s="769">
        <v>2.9299547339999998</v>
      </c>
      <c r="AV164" s="747">
        <v>116347000000</v>
      </c>
      <c r="AW164" s="534">
        <f>(_xlfn.XLOOKUP(RPBOD3[[#This Row],[Bonds_ShortName]],FNRP!D:D,FNRP!H:H,_xlfn.XLOOKUP(RPBOD3[[#This Row],[Bonds_ShortName]],FNRP!AV:AV,FNRP!AZ:AZ,,0),0)-RPBOD3[[#This Row],[PTCK_Remain]]-10^5)*RPBOD3[[#This Row],[Quantity]]</f>
        <v>-59692745823.639565</v>
      </c>
      <c r="AY164" s="128"/>
      <c r="AZ164" s="610">
        <v>46252</v>
      </c>
      <c r="BA164" s="850">
        <v>50190</v>
      </c>
      <c r="BB164" s="852" t="s">
        <v>2499</v>
      </c>
      <c r="BC164" s="39" t="s">
        <v>824</v>
      </c>
      <c r="BD164" s="530">
        <v>2000000</v>
      </c>
      <c r="BE164" s="530">
        <v>111247</v>
      </c>
      <c r="BF164" s="658">
        <v>46231</v>
      </c>
      <c r="BG164" s="658">
        <v>46232</v>
      </c>
      <c r="BH164" s="658">
        <v>48556</v>
      </c>
      <c r="BI164" s="500">
        <v>228622000000</v>
      </c>
      <c r="BJ164" s="49">
        <v>4.8</v>
      </c>
      <c r="BK164" s="49">
        <v>165.18004581700001</v>
      </c>
      <c r="BL164" s="630" t="s">
        <v>2172</v>
      </c>
      <c r="BM164" s="49" t="s">
        <v>1033</v>
      </c>
      <c r="BN16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O164" s="396">
        <f>(PTCK_offBS[[#This Row],[VALUE_DATE]]-PTCK_offBS[[#This Row],[LAST_PMT]])*PTCK_offBS[[#This Row],[COUPON_RATE]]*1000/(DATE(YEAR(PTCK_offBS[[#This Row],[LAST_PMT]])+1,MONTH(PTCK_offBS[[#This Row],[LAST_PMT]]),DAY(PTCK_offBS[[#This Row],[LAST_PMT]]))-PTCK_offBS[[#This Row],[LAST_PMT]])</f>
        <v>3064.1095890410952</v>
      </c>
      <c r="BP164" s="396">
        <f>PTCK_offBS[[#This Row],[GROSS_AMOUNT]]/PTCK_offBS[[#This Row],[QUANTITY]]-PTCK_offBS[[#This Row],[START_ACC]]-10^5</f>
        <v>11246.890410958906</v>
      </c>
      <c r="BQ164" s="396">
        <f>IF(PTCK_offBS[[#This Row],[BS]]="Others",PTCK_offBS[[#This Row],[PTCK]]*(PTCK_offBS[[#This Row],[MATURITY_DATE]]-PTCK_offBS[[#This Row],[POSTED_DT]]-1)/(PTCK_offBS[[#This Row],[MATURITY_DATE]]-PTCK_offBS[[#This Row],[VALUE_DATE]]),PTCK_offBS[[#This Row],[PTCK]])</f>
        <v>11145.261883149036</v>
      </c>
      <c r="BR164" s="396">
        <f>PTCK_offBS[[#This Row],[PTCK remain]]*PTCK_offBS[[#This Row],[QUANTITY]]</f>
        <v>22290523766.298073</v>
      </c>
    </row>
    <row r="165" spans="20:70" x14ac:dyDescent="0.3">
      <c r="T165" s="362"/>
      <c r="AK165" s="734"/>
      <c r="AL165" s="128">
        <v>48340</v>
      </c>
      <c r="AM165" s="128" t="s">
        <v>712</v>
      </c>
      <c r="AN165" s="736">
        <v>3.6</v>
      </c>
      <c r="AO165" s="128" t="s">
        <v>823</v>
      </c>
      <c r="AP165" s="49" t="s">
        <v>2180</v>
      </c>
      <c r="AQ165" s="530">
        <v>500000</v>
      </c>
      <c r="AR165" s="500">
        <v>7605.4910471000203</v>
      </c>
      <c r="AS165" s="530">
        <v>107990</v>
      </c>
      <c r="AT165" s="530">
        <v>111343</v>
      </c>
      <c r="AU165" s="769">
        <v>2.9</v>
      </c>
      <c r="AV165" s="747">
        <v>116347000000</v>
      </c>
      <c r="AW165" s="534">
        <f>(_xlfn.XLOOKUP(RPBOD3[[#This Row],[Bonds_ShortName]],FNRP!D:D,FNRP!H:H,_xlfn.XLOOKUP(RPBOD3[[#This Row],[Bonds_ShortName]],FNRP!AV:AV,FNRP!AZ:AZ,,0),0)-RPBOD3[[#This Row],[PTCK_Remain]]-10^5)*RPBOD3[[#This Row],[Quantity]]</f>
        <v>-8435245523.5500088</v>
      </c>
      <c r="AY165" s="128"/>
      <c r="AZ165" s="610">
        <v>46252</v>
      </c>
      <c r="BA165" s="850">
        <v>50266</v>
      </c>
      <c r="BB165" s="852" t="s">
        <v>720</v>
      </c>
      <c r="BC165" s="39" t="s">
        <v>824</v>
      </c>
      <c r="BD165" s="530">
        <v>4550000</v>
      </c>
      <c r="BE165" s="530">
        <v>152170</v>
      </c>
      <c r="BF165" s="658">
        <v>46240</v>
      </c>
      <c r="BG165" s="658">
        <v>46241</v>
      </c>
      <c r="BH165" s="658">
        <v>53613</v>
      </c>
      <c r="BI165" s="500">
        <v>721721000000</v>
      </c>
      <c r="BJ165" s="49">
        <v>7.9</v>
      </c>
      <c r="BK165" s="49">
        <v>166.18004581700001</v>
      </c>
      <c r="BL165" s="630" t="s">
        <v>2172</v>
      </c>
      <c r="BM165" s="49" t="s">
        <v>1033</v>
      </c>
      <c r="BN16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65" s="396">
        <f>(PTCK_offBS[[#This Row],[VALUE_DATE]]-PTCK_offBS[[#This Row],[LAST_PMT]])*PTCK_offBS[[#This Row],[COUPON_RATE]]*1000/(DATE(YEAR(PTCK_offBS[[#This Row],[LAST_PMT]])+1,MONTH(PTCK_offBS[[#This Row],[LAST_PMT]]),DAY(PTCK_offBS[[#This Row],[LAST_PMT]]))-PTCK_offBS[[#This Row],[LAST_PMT]])</f>
        <v>6449.8630136986312</v>
      </c>
      <c r="BP165" s="396">
        <f>PTCK_offBS[[#This Row],[GROSS_AMOUNT]]/PTCK_offBS[[#This Row],[QUANTITY]]-PTCK_offBS[[#This Row],[START_ACC]]-10^5</f>
        <v>52170.136986301368</v>
      </c>
      <c r="BQ165" s="396">
        <f>IF(PTCK_offBS[[#This Row],[BS]]="Others",PTCK_offBS[[#This Row],[PTCK]]*(PTCK_offBS[[#This Row],[MATURITY_DATE]]-PTCK_offBS[[#This Row],[POSTED_DT]]-1)/(PTCK_offBS[[#This Row],[MATURITY_DATE]]-PTCK_offBS[[#This Row],[VALUE_DATE]]),PTCK_offBS[[#This Row],[PTCK]])</f>
        <v>52085.215439389322</v>
      </c>
      <c r="BR165" s="396">
        <f>PTCK_offBS[[#This Row],[PTCK remain]]*PTCK_offBS[[#This Row],[QUANTITY]]</f>
        <v>236987730249.22141</v>
      </c>
    </row>
    <row r="166" spans="20:70" x14ac:dyDescent="0.3">
      <c r="T166" s="362"/>
      <c r="AK166" s="734"/>
      <c r="AL166" s="128">
        <v>48339</v>
      </c>
      <c r="AM166" s="128" t="s">
        <v>2380</v>
      </c>
      <c r="AN166" s="736">
        <v>4.7</v>
      </c>
      <c r="AO166" s="128" t="s">
        <v>823</v>
      </c>
      <c r="AP166" s="49" t="s">
        <v>2180</v>
      </c>
      <c r="AQ166" s="530">
        <v>500000</v>
      </c>
      <c r="AR166" s="500">
        <v>18991.950126286178</v>
      </c>
      <c r="AS166" s="530">
        <v>120120</v>
      </c>
      <c r="AT166" s="530">
        <v>124550</v>
      </c>
      <c r="AU166" s="769">
        <v>2.72</v>
      </c>
      <c r="AV166" s="747">
        <v>116347000000</v>
      </c>
      <c r="AW166" s="534">
        <f>(_xlfn.XLOOKUP(RPBOD3[[#This Row],[Bonds_ShortName]],FNRP!D:D,FNRP!H:H,_xlfn.XLOOKUP(RPBOD3[[#This Row],[Bonds_ShortName]],FNRP!AV:AV,FNRP!AZ:AZ,,0),0)-RPBOD3[[#This Row],[PTCK_Remain]]-10^5)*RPBOD3[[#This Row],[Quantity]]</f>
        <v>-8560975063.1430874</v>
      </c>
      <c r="AY166" s="128"/>
      <c r="AZ166" s="610">
        <v>46252</v>
      </c>
      <c r="BA166" s="850">
        <v>50278</v>
      </c>
      <c r="BB166" s="852" t="s">
        <v>718</v>
      </c>
      <c r="BC166" s="39" t="s">
        <v>824</v>
      </c>
      <c r="BD166" s="530">
        <v>1960000</v>
      </c>
      <c r="BE166" s="530">
        <v>145786</v>
      </c>
      <c r="BF166" s="658">
        <v>46240</v>
      </c>
      <c r="BG166" s="658">
        <v>46241</v>
      </c>
      <c r="BH166" s="658">
        <v>53355</v>
      </c>
      <c r="BI166" s="500">
        <v>293945120000</v>
      </c>
      <c r="BJ166" s="49">
        <v>8</v>
      </c>
      <c r="BK166" s="49">
        <v>167.18004581700001</v>
      </c>
      <c r="BL166" s="630" t="s">
        <v>2172</v>
      </c>
      <c r="BM166" s="49" t="s">
        <v>1033</v>
      </c>
      <c r="BN16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66" s="396">
        <f>(PTCK_offBS[[#This Row],[VALUE_DATE]]-PTCK_offBS[[#This Row],[LAST_PMT]])*PTCK_offBS[[#This Row],[COUPON_RATE]]*1000/(DATE(YEAR(PTCK_offBS[[#This Row],[LAST_PMT]])+1,MONTH(PTCK_offBS[[#This Row],[LAST_PMT]]),DAY(PTCK_offBS[[#This Row],[LAST_PMT]]))-PTCK_offBS[[#This Row],[LAST_PMT]])</f>
        <v>4186.3013698630139</v>
      </c>
      <c r="BP166" s="396">
        <f>PTCK_offBS[[#This Row],[GROSS_AMOUNT]]/PTCK_offBS[[#This Row],[QUANTITY]]-PTCK_offBS[[#This Row],[START_ACC]]-10^5</f>
        <v>45785.698630136991</v>
      </c>
      <c r="BQ166" s="396">
        <f>IF(PTCK_offBS[[#This Row],[BS]]="Others",PTCK_offBS[[#This Row],[PTCK]]*(PTCK_offBS[[#This Row],[MATURITY_DATE]]-PTCK_offBS[[#This Row],[POSTED_DT]]-1)/(PTCK_offBS[[#This Row],[MATURITY_DATE]]-PTCK_offBS[[#This Row],[VALUE_DATE]]),PTCK_offBS[[#This Row],[PTCK]])</f>
        <v>45708.46663919495</v>
      </c>
      <c r="BR166" s="396">
        <f>PTCK_offBS[[#This Row],[PTCK remain]]*PTCK_offBS[[#This Row],[QUANTITY]]</f>
        <v>89588594612.822098</v>
      </c>
    </row>
    <row r="167" spans="20:70" x14ac:dyDescent="0.3">
      <c r="T167" s="362"/>
      <c r="AK167" s="734"/>
      <c r="AL167" s="128">
        <v>41177</v>
      </c>
      <c r="AM167" s="128" t="s">
        <v>711</v>
      </c>
      <c r="AN167" s="736">
        <v>4.9000000000000004</v>
      </c>
      <c r="AO167" s="128" t="s">
        <v>823</v>
      </c>
      <c r="AP167" s="49" t="s">
        <v>2180</v>
      </c>
      <c r="AQ167" s="530">
        <v>500000</v>
      </c>
      <c r="AR167" s="500">
        <v>25661.246469229198</v>
      </c>
      <c r="AS167" s="530">
        <v>130856</v>
      </c>
      <c r="AT167" s="530">
        <v>132275</v>
      </c>
      <c r="AU167" s="769">
        <v>2.5</v>
      </c>
      <c r="AV167" s="747">
        <v>116347000000</v>
      </c>
      <c r="AW167" s="534">
        <f>(_xlfn.XLOOKUP(RPBOD3[[#This Row],[Bonds_ShortName]],FNRP!D:D,FNRP!H:H,_xlfn.XLOOKUP(RPBOD3[[#This Row],[Bonds_ShortName]],FNRP!AV:AV,FNRP!AZ:AZ,,0),0)-RPBOD3[[#This Row],[PTCK_Remain]]-10^5)*RPBOD3[[#This Row],[Quantity]]</f>
        <v>-11027623234.614599</v>
      </c>
      <c r="AY167" s="128"/>
      <c r="AZ167" s="610">
        <v>46252</v>
      </c>
      <c r="BA167" s="850">
        <v>50286</v>
      </c>
      <c r="BB167" s="852" t="s">
        <v>636</v>
      </c>
      <c r="BC167" s="39" t="s">
        <v>824</v>
      </c>
      <c r="BD167" s="530">
        <v>1000000</v>
      </c>
      <c r="BE167" s="530">
        <v>91606</v>
      </c>
      <c r="BF167" s="658">
        <v>46240</v>
      </c>
      <c r="BG167" s="658">
        <v>46241</v>
      </c>
      <c r="BH167" s="658">
        <v>47862</v>
      </c>
      <c r="BI167" s="500">
        <v>92842000000</v>
      </c>
      <c r="BJ167" s="49">
        <v>2.2000000000000002</v>
      </c>
      <c r="BK167" s="49">
        <v>168.18004581700001</v>
      </c>
      <c r="BL167" s="630" t="s">
        <v>2172</v>
      </c>
      <c r="BM167" s="49" t="s">
        <v>1033</v>
      </c>
      <c r="BN16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67" s="396">
        <f>(PTCK_offBS[[#This Row],[VALUE_DATE]]-PTCK_offBS[[#This Row],[LAST_PMT]])*PTCK_offBS[[#This Row],[COUPON_RATE]]*1000/(DATE(YEAR(PTCK_offBS[[#This Row],[LAST_PMT]])+1,MONTH(PTCK_offBS[[#This Row],[LAST_PMT]]),DAY(PTCK_offBS[[#This Row],[LAST_PMT]]))-PTCK_offBS[[#This Row],[LAST_PMT]])</f>
        <v>1235.6164383561645</v>
      </c>
      <c r="BP167" s="396">
        <f>PTCK_offBS[[#This Row],[GROSS_AMOUNT]]/PTCK_offBS[[#This Row],[QUANTITY]]-PTCK_offBS[[#This Row],[START_ACC]]-10^5</f>
        <v>-8393.61643835617</v>
      </c>
      <c r="BQ167" s="396">
        <f>IF(PTCK_offBS[[#This Row],[BS]]="Others",PTCK_offBS[[#This Row],[PTCK]]*(PTCK_offBS[[#This Row],[MATURITY_DATE]]-PTCK_offBS[[#This Row],[POSTED_DT]]-1)/(PTCK_offBS[[#This Row],[MATURITY_DATE]]-PTCK_offBS[[#This Row],[VALUE_DATE]]),PTCK_offBS[[#This Row],[PTCK]])</f>
        <v>-8331.4798576897447</v>
      </c>
      <c r="BR167" s="396">
        <f>PTCK_offBS[[#This Row],[PTCK remain]]*PTCK_offBS[[#This Row],[QUANTITY]]</f>
        <v>-8331479857.6897449</v>
      </c>
    </row>
    <row r="168" spans="20:70" x14ac:dyDescent="0.3">
      <c r="T168" s="362"/>
      <c r="AK168" s="734"/>
      <c r="AL168" s="128">
        <v>41176</v>
      </c>
      <c r="AM168" s="128" t="s">
        <v>703</v>
      </c>
      <c r="AN168" s="736">
        <v>2.2000000000000002</v>
      </c>
      <c r="AO168" s="128" t="s">
        <v>823</v>
      </c>
      <c r="AP168" s="49" t="s">
        <v>2180</v>
      </c>
      <c r="AQ168" s="530">
        <v>2000000</v>
      </c>
      <c r="AR168" s="500">
        <v>-1776.9738529300901</v>
      </c>
      <c r="AS168" s="530">
        <v>97756</v>
      </c>
      <c r="AT168" s="530">
        <v>98411</v>
      </c>
      <c r="AU168" s="769">
        <v>2.4066999999999998</v>
      </c>
      <c r="AV168" s="747">
        <v>116347000000</v>
      </c>
      <c r="AW168" s="534">
        <f>(_xlfn.XLOOKUP(RPBOD3[[#This Row],[Bonds_ShortName]],FNRP!D:D,FNRP!H:H,_xlfn.XLOOKUP(RPBOD3[[#This Row],[Bonds_ShortName]],FNRP!AV:AV,FNRP!AZ:AZ,,0),0)-RPBOD3[[#This Row],[PTCK_Remain]]-10^5)*RPBOD3[[#This Row],[Quantity]]</f>
        <v>-32310052294.139809</v>
      </c>
      <c r="AY168" s="128"/>
      <c r="AZ168" s="610">
        <v>46252</v>
      </c>
      <c r="BA168" s="850">
        <v>50276</v>
      </c>
      <c r="BB168" s="852" t="s">
        <v>720</v>
      </c>
      <c r="BC168" s="39" t="s">
        <v>824</v>
      </c>
      <c r="BD168" s="530">
        <v>550000</v>
      </c>
      <c r="BE168" s="530">
        <v>153206</v>
      </c>
      <c r="BF168" s="658">
        <v>46240</v>
      </c>
      <c r="BG168" s="658">
        <v>46241</v>
      </c>
      <c r="BH168" s="658">
        <v>53613</v>
      </c>
      <c r="BI168" s="500">
        <v>87810800000</v>
      </c>
      <c r="BJ168" s="49">
        <v>7.9</v>
      </c>
      <c r="BK168" s="49">
        <v>169.18004581700001</v>
      </c>
      <c r="BL168" s="630" t="s">
        <v>2172</v>
      </c>
      <c r="BM168" s="49" t="s">
        <v>1033</v>
      </c>
      <c r="BN16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68" s="396">
        <f>(PTCK_offBS[[#This Row],[VALUE_DATE]]-PTCK_offBS[[#This Row],[LAST_PMT]])*PTCK_offBS[[#This Row],[COUPON_RATE]]*1000/(DATE(YEAR(PTCK_offBS[[#This Row],[LAST_PMT]])+1,MONTH(PTCK_offBS[[#This Row],[LAST_PMT]]),DAY(PTCK_offBS[[#This Row],[LAST_PMT]]))-PTCK_offBS[[#This Row],[LAST_PMT]])</f>
        <v>6449.8630136986312</v>
      </c>
      <c r="BP168" s="396">
        <f>PTCK_offBS[[#This Row],[GROSS_AMOUNT]]/PTCK_offBS[[#This Row],[QUANTITY]]-PTCK_offBS[[#This Row],[START_ACC]]-10^5</f>
        <v>53206.136986301368</v>
      </c>
      <c r="BQ168" s="396">
        <f>IF(PTCK_offBS[[#This Row],[BS]]="Others",PTCK_offBS[[#This Row],[PTCK]]*(PTCK_offBS[[#This Row],[MATURITY_DATE]]-PTCK_offBS[[#This Row],[POSTED_DT]]-1)/(PTCK_offBS[[#This Row],[MATURITY_DATE]]-PTCK_offBS[[#This Row],[VALUE_DATE]]),PTCK_offBS[[#This Row],[PTCK]])</f>
        <v>53119.529058488617</v>
      </c>
      <c r="BR168" s="396">
        <f>PTCK_offBS[[#This Row],[PTCK remain]]*PTCK_offBS[[#This Row],[QUANTITY]]</f>
        <v>29215740982.168739</v>
      </c>
    </row>
    <row r="169" spans="20:70" x14ac:dyDescent="0.3">
      <c r="T169" s="362"/>
      <c r="AK169" s="734"/>
      <c r="AL169" s="128">
        <v>41175</v>
      </c>
      <c r="AM169" s="128" t="s">
        <v>713</v>
      </c>
      <c r="AN169" s="736">
        <v>3.3</v>
      </c>
      <c r="AO169" s="128" t="s">
        <v>823</v>
      </c>
      <c r="AP169" s="49" t="s">
        <v>2180</v>
      </c>
      <c r="AQ169" s="530">
        <v>1000000</v>
      </c>
      <c r="AR169" s="500">
        <v>6205.7023816583096</v>
      </c>
      <c r="AS169" s="530">
        <v>107379</v>
      </c>
      <c r="AT169" s="530">
        <v>108533</v>
      </c>
      <c r="AU169" s="769">
        <v>2.7412999999999998</v>
      </c>
      <c r="AV169" s="747">
        <v>116347000000</v>
      </c>
      <c r="AW169" s="534">
        <f>(_xlfn.XLOOKUP(RPBOD3[[#This Row],[Bonds_ShortName]],FNRP!D:D,FNRP!H:H,_xlfn.XLOOKUP(RPBOD3[[#This Row],[Bonds_ShortName]],FNRP!AV:AV,FNRP!AZ:AZ,,0),0)-RPBOD3[[#This Row],[PTCK_Remain]]-10^5)*RPBOD3[[#This Row],[Quantity]]</f>
        <v>-18965702381.65831</v>
      </c>
      <c r="AY169" s="128"/>
      <c r="AZ169" s="610">
        <v>46252</v>
      </c>
      <c r="BA169" s="850">
        <v>50284</v>
      </c>
      <c r="BB169" s="852" t="s">
        <v>681</v>
      </c>
      <c r="BC169" s="39" t="s">
        <v>824</v>
      </c>
      <c r="BD169" s="530">
        <v>950000</v>
      </c>
      <c r="BE169" s="530">
        <v>127001</v>
      </c>
      <c r="BF169" s="658">
        <v>46240</v>
      </c>
      <c r="BG169" s="658">
        <v>46241</v>
      </c>
      <c r="BH169" s="658">
        <v>49695</v>
      </c>
      <c r="BI169" s="500">
        <v>124619100000</v>
      </c>
      <c r="BJ169" s="49">
        <v>7.7</v>
      </c>
      <c r="BK169" s="49">
        <v>170.18004581700001</v>
      </c>
      <c r="BL169" s="630" t="s">
        <v>2172</v>
      </c>
      <c r="BM169" s="49" t="s">
        <v>1033</v>
      </c>
      <c r="BN16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169" s="396">
        <f>(PTCK_offBS[[#This Row],[VALUE_DATE]]-PTCK_offBS[[#This Row],[LAST_PMT]])*PTCK_offBS[[#This Row],[COUPON_RATE]]*1000/(DATE(YEAR(PTCK_offBS[[#This Row],[LAST_PMT]])+1,MONTH(PTCK_offBS[[#This Row],[LAST_PMT]]),DAY(PTCK_offBS[[#This Row],[LAST_PMT]]))-PTCK_offBS[[#This Row],[LAST_PMT]])</f>
        <v>4176.9863013698632</v>
      </c>
      <c r="BP169" s="396">
        <f>PTCK_offBS[[#This Row],[GROSS_AMOUNT]]/PTCK_offBS[[#This Row],[QUANTITY]]-PTCK_offBS[[#This Row],[START_ACC]]-10^5</f>
        <v>27001.013698630137</v>
      </c>
      <c r="BQ169" s="396">
        <f>IF(PTCK_offBS[[#This Row],[BS]]="Others",PTCK_offBS[[#This Row],[PTCK]]*(PTCK_offBS[[#This Row],[MATURITY_DATE]]-PTCK_offBS[[#This Row],[POSTED_DT]]-1)/(PTCK_offBS[[#This Row],[MATURITY_DATE]]-PTCK_offBS[[#This Row],[VALUE_DATE]]),PTCK_offBS[[#This Row],[PTCK]])</f>
        <v>26907.205891918049</v>
      </c>
      <c r="BR169" s="396">
        <f>PTCK_offBS[[#This Row],[PTCK remain]]*PTCK_offBS[[#This Row],[QUANTITY]]</f>
        <v>25561845597.322147</v>
      </c>
    </row>
    <row r="170" spans="20:70" x14ac:dyDescent="0.3">
      <c r="T170" s="362"/>
      <c r="AK170" s="734"/>
      <c r="AL170" s="128">
        <v>41178</v>
      </c>
      <c r="AM170" s="128" t="s">
        <v>713</v>
      </c>
      <c r="AN170" s="736">
        <v>3.3</v>
      </c>
      <c r="AO170" s="128" t="s">
        <v>823</v>
      </c>
      <c r="AP170" s="49" t="s">
        <v>2180</v>
      </c>
      <c r="AQ170" s="530">
        <v>6000000</v>
      </c>
      <c r="AR170" s="500">
        <v>6221.0085566168163</v>
      </c>
      <c r="AS170" s="530">
        <v>107396</v>
      </c>
      <c r="AT170" s="530">
        <v>108559</v>
      </c>
      <c r="AU170" s="769">
        <v>2.74</v>
      </c>
      <c r="AV170" s="747">
        <v>116347000000</v>
      </c>
      <c r="AW170" s="534">
        <f>(_xlfn.XLOOKUP(RPBOD3[[#This Row],[Bonds_ShortName]],FNRP!D:D,FNRP!H:H,_xlfn.XLOOKUP(RPBOD3[[#This Row],[Bonds_ShortName]],FNRP!AV:AV,FNRP!AZ:AZ,,0),0)-RPBOD3[[#This Row],[PTCK_Remain]]-10^5)*RPBOD3[[#This Row],[Quantity]]</f>
        <v>-113886051339.70088</v>
      </c>
      <c r="AY170" s="128"/>
      <c r="AZ170" s="610">
        <v>46252</v>
      </c>
      <c r="BA170" s="850">
        <v>50280</v>
      </c>
      <c r="BB170" s="852" t="s">
        <v>729</v>
      </c>
      <c r="BC170" s="39" t="s">
        <v>824</v>
      </c>
      <c r="BD170" s="530">
        <v>500000</v>
      </c>
      <c r="BE170" s="530">
        <v>117548</v>
      </c>
      <c r="BF170" s="658">
        <v>46240</v>
      </c>
      <c r="BG170" s="658">
        <v>46241</v>
      </c>
      <c r="BH170" s="658">
        <v>54692</v>
      </c>
      <c r="BI170" s="500">
        <v>61018000000</v>
      </c>
      <c r="BJ170" s="49">
        <v>5.2</v>
      </c>
      <c r="BK170" s="49">
        <v>171.18004581700001</v>
      </c>
      <c r="BL170" s="630" t="s">
        <v>2172</v>
      </c>
      <c r="BM170" s="49" t="s">
        <v>1033</v>
      </c>
      <c r="BN17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70" s="396">
        <f>(PTCK_offBS[[#This Row],[VALUE_DATE]]-PTCK_offBS[[#This Row],[LAST_PMT]])*PTCK_offBS[[#This Row],[COUPON_RATE]]*1000/(DATE(YEAR(PTCK_offBS[[#This Row],[LAST_PMT]])+1,MONTH(PTCK_offBS[[#This Row],[LAST_PMT]]),DAY(PTCK_offBS[[#This Row],[LAST_PMT]]))-PTCK_offBS[[#This Row],[LAST_PMT]])</f>
        <v>4487.6712328767126</v>
      </c>
      <c r="BP170" s="396">
        <f>PTCK_offBS[[#This Row],[GROSS_AMOUNT]]/PTCK_offBS[[#This Row],[QUANTITY]]-PTCK_offBS[[#This Row],[START_ACC]]-10^5</f>
        <v>17548.328767123283</v>
      </c>
      <c r="BQ170" s="396">
        <f>IF(PTCK_offBS[[#This Row],[BS]]="Others",PTCK_offBS[[#This Row],[PTCK]]*(PTCK_offBS[[#This Row],[MATURITY_DATE]]-PTCK_offBS[[#This Row],[POSTED_DT]]-1)/(PTCK_offBS[[#This Row],[MATURITY_DATE]]-PTCK_offBS[[#This Row],[VALUE_DATE]]),PTCK_offBS[[#This Row],[PTCK]])</f>
        <v>17523.411012395383</v>
      </c>
      <c r="BR170" s="396">
        <f>PTCK_offBS[[#This Row],[PTCK remain]]*PTCK_offBS[[#This Row],[QUANTITY]]</f>
        <v>8761705506.197691</v>
      </c>
    </row>
    <row r="171" spans="20:70" x14ac:dyDescent="0.3">
      <c r="T171" s="362"/>
      <c r="AK171" s="734"/>
      <c r="AL171" s="128">
        <v>41967</v>
      </c>
      <c r="AM171" s="128" t="s">
        <v>2303</v>
      </c>
      <c r="AN171" s="736">
        <v>4.9000000000000004</v>
      </c>
      <c r="AO171" s="128" t="s">
        <v>823</v>
      </c>
      <c r="AP171" s="49" t="s">
        <v>2180</v>
      </c>
      <c r="AQ171" s="530">
        <v>1000000</v>
      </c>
      <c r="AR171" s="500">
        <v>21871.378700413399</v>
      </c>
      <c r="AS171" s="530">
        <v>126429</v>
      </c>
      <c r="AT171" s="530">
        <v>128437</v>
      </c>
      <c r="AU171" s="769">
        <v>2.57</v>
      </c>
      <c r="AV171" s="747">
        <v>116347000000</v>
      </c>
      <c r="AW171" s="534">
        <f>(_xlfn.XLOOKUP(RPBOD3[[#This Row],[Bonds_ShortName]],FNRP!D:D,FNRP!H:H,_xlfn.XLOOKUP(RPBOD3[[#This Row],[Bonds_ShortName]],FNRP!AV:AV,FNRP!AZ:AZ,,0),0)-RPBOD3[[#This Row],[PTCK_Remain]]-10^5)*RPBOD3[[#This Row],[Quantity]]</f>
        <v>-18246378700.413391</v>
      </c>
      <c r="AY171" s="128"/>
      <c r="AZ171" s="610">
        <v>46252</v>
      </c>
      <c r="BA171" s="850">
        <v>50282</v>
      </c>
      <c r="BB171" s="852" t="s">
        <v>729</v>
      </c>
      <c r="BC171" s="39" t="s">
        <v>824</v>
      </c>
      <c r="BD171" s="530">
        <v>250000</v>
      </c>
      <c r="BE171" s="530">
        <v>107681</v>
      </c>
      <c r="BF171" s="658">
        <v>46240</v>
      </c>
      <c r="BG171" s="658">
        <v>46241</v>
      </c>
      <c r="BH171" s="658">
        <v>54692</v>
      </c>
      <c r="BI171" s="500">
        <v>28042250000</v>
      </c>
      <c r="BJ171" s="49">
        <v>5.2</v>
      </c>
      <c r="BK171" s="49">
        <v>172.18004581700001</v>
      </c>
      <c r="BL171" s="630" t="s">
        <v>2172</v>
      </c>
      <c r="BM171" s="49" t="s">
        <v>1033</v>
      </c>
      <c r="BN17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71" s="396">
        <f>(PTCK_offBS[[#This Row],[VALUE_DATE]]-PTCK_offBS[[#This Row],[LAST_PMT]])*PTCK_offBS[[#This Row],[COUPON_RATE]]*1000/(DATE(YEAR(PTCK_offBS[[#This Row],[LAST_PMT]])+1,MONTH(PTCK_offBS[[#This Row],[LAST_PMT]]),DAY(PTCK_offBS[[#This Row],[LAST_PMT]]))-PTCK_offBS[[#This Row],[LAST_PMT]])</f>
        <v>4487.6712328767126</v>
      </c>
      <c r="BP171" s="396">
        <f>PTCK_offBS[[#This Row],[GROSS_AMOUNT]]/PTCK_offBS[[#This Row],[QUANTITY]]-PTCK_offBS[[#This Row],[START_ACC]]-10^5</f>
        <v>7681.3287671232829</v>
      </c>
      <c r="BQ171" s="396">
        <f>IF(PTCK_offBS[[#This Row],[BS]]="Others",PTCK_offBS[[#This Row],[PTCK]]*(PTCK_offBS[[#This Row],[MATURITY_DATE]]-PTCK_offBS[[#This Row],[POSTED_DT]]-1)/(PTCK_offBS[[#This Row],[MATURITY_DATE]]-PTCK_offBS[[#This Row],[VALUE_DATE]]),PTCK_offBS[[#This Row],[PTCK]])</f>
        <v>7670.4216620226462</v>
      </c>
      <c r="BR171" s="396">
        <f>PTCK_offBS[[#This Row],[PTCK remain]]*PTCK_offBS[[#This Row],[QUANTITY]]</f>
        <v>1917605415.5056615</v>
      </c>
    </row>
    <row r="172" spans="20:70" x14ac:dyDescent="0.3">
      <c r="T172" s="362"/>
      <c r="AK172" s="734"/>
      <c r="AL172" s="128">
        <v>41968</v>
      </c>
      <c r="AM172" s="128" t="s">
        <v>2380</v>
      </c>
      <c r="AN172" s="736">
        <v>4.7</v>
      </c>
      <c r="AO172" s="128" t="s">
        <v>823</v>
      </c>
      <c r="AP172" s="49" t="s">
        <v>2180</v>
      </c>
      <c r="AQ172" s="530">
        <v>1500000</v>
      </c>
      <c r="AR172" s="500">
        <v>21625.857912596603</v>
      </c>
      <c r="AS172" s="530">
        <v>126079</v>
      </c>
      <c r="AT172" s="530">
        <v>127376</v>
      </c>
      <c r="AU172" s="769">
        <v>2.44</v>
      </c>
      <c r="AV172" s="747">
        <v>116347000000</v>
      </c>
      <c r="AW172" s="534">
        <f>(_xlfn.XLOOKUP(RPBOD3[[#This Row],[Bonds_ShortName]],FNRP!D:D,FNRP!H:H,_xlfn.XLOOKUP(RPBOD3[[#This Row],[Bonds_ShortName]],FNRP!AV:AV,FNRP!AZ:AZ,,0),0)-RPBOD3[[#This Row],[PTCK_Remain]]-10^5)*RPBOD3[[#This Row],[Quantity]]</f>
        <v>-29633786868.894909</v>
      </c>
      <c r="AY172" s="128"/>
      <c r="AZ172" s="610">
        <v>46252</v>
      </c>
      <c r="BA172" s="850">
        <v>50430</v>
      </c>
      <c r="BB172" s="852" t="s">
        <v>2497</v>
      </c>
      <c r="BC172" s="39" t="s">
        <v>824</v>
      </c>
      <c r="BD172" s="530">
        <v>800000</v>
      </c>
      <c r="BE172" s="530">
        <v>99979</v>
      </c>
      <c r="BF172" s="658">
        <v>46261</v>
      </c>
      <c r="BG172" s="658">
        <v>46262</v>
      </c>
      <c r="BH172" s="658">
        <v>55966</v>
      </c>
      <c r="BI172" s="500">
        <v>81437600000</v>
      </c>
      <c r="BJ172" s="49">
        <v>4.2</v>
      </c>
      <c r="BK172" s="49">
        <v>173.18004581700001</v>
      </c>
      <c r="BL172" s="630" t="s">
        <v>2172</v>
      </c>
      <c r="BM172" s="49" t="s">
        <v>1033</v>
      </c>
      <c r="BN17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72" s="396">
        <f>(PTCK_offBS[[#This Row],[VALUE_DATE]]-PTCK_offBS[[#This Row],[LAST_PMT]])*PTCK_offBS[[#This Row],[COUPON_RATE]]*1000/(DATE(YEAR(PTCK_offBS[[#This Row],[LAST_PMT]])+1,MONTH(PTCK_offBS[[#This Row],[LAST_PMT]]),DAY(PTCK_offBS[[#This Row],[LAST_PMT]]))-PTCK_offBS[[#This Row],[LAST_PMT]])</f>
        <v>1818.0821917808219</v>
      </c>
      <c r="BP172" s="396">
        <f>PTCK_offBS[[#This Row],[GROSS_AMOUNT]]/PTCK_offBS[[#This Row],[QUANTITY]]-PTCK_offBS[[#This Row],[START_ACC]]-10^5</f>
        <v>-21.082191780820722</v>
      </c>
      <c r="BQ172" s="396">
        <f>IF(PTCK_offBS[[#This Row],[BS]]="Others",PTCK_offBS[[#This Row],[PTCK]]*(PTCK_offBS[[#This Row],[MATURITY_DATE]]-PTCK_offBS[[#This Row],[POSTED_DT]]-1)/(PTCK_offBS[[#This Row],[MATURITY_DATE]]-PTCK_offBS[[#This Row],[VALUE_DATE]]),PTCK_offBS[[#This Row],[PTCK]])</f>
        <v>-21.101744514335497</v>
      </c>
      <c r="BR172" s="396">
        <f>PTCK_offBS[[#This Row],[PTCK remain]]*PTCK_offBS[[#This Row],[QUANTITY]]</f>
        <v>-16881395.611468397</v>
      </c>
    </row>
    <row r="173" spans="20:70" x14ac:dyDescent="0.3">
      <c r="T173" s="362"/>
      <c r="AK173" s="734"/>
      <c r="AL173" s="128">
        <v>41965</v>
      </c>
      <c r="AM173" s="128" t="s">
        <v>709</v>
      </c>
      <c r="AN173" s="736">
        <v>5.2</v>
      </c>
      <c r="AO173" s="128" t="s">
        <v>823</v>
      </c>
      <c r="AP173" s="49" t="s">
        <v>2180</v>
      </c>
      <c r="AQ173" s="530">
        <v>500000</v>
      </c>
      <c r="AR173" s="500">
        <v>26331.287443830002</v>
      </c>
      <c r="AS173" s="530">
        <v>131737</v>
      </c>
      <c r="AT173" s="530">
        <v>132746</v>
      </c>
      <c r="AU173" s="769">
        <v>2.46</v>
      </c>
      <c r="AV173" s="747">
        <v>116347000000</v>
      </c>
      <c r="AW173" s="534">
        <f>(_xlfn.XLOOKUP(RPBOD3[[#This Row],[Bonds_ShortName]],FNRP!D:D,FNRP!H:H,_xlfn.XLOOKUP(RPBOD3[[#This Row],[Bonds_ShortName]],FNRP!AV:AV,FNRP!AZ:AZ,,0),0)-RPBOD3[[#This Row],[PTCK_Remain]]-10^5)*RPBOD3[[#This Row],[Quantity]]</f>
        <v>-10034643721.915003</v>
      </c>
      <c r="AY173" s="128"/>
      <c r="AZ173" s="610">
        <v>46252</v>
      </c>
      <c r="BA173" s="850">
        <v>50426</v>
      </c>
      <c r="BB173" s="852" t="s">
        <v>636</v>
      </c>
      <c r="BC173" s="39" t="s">
        <v>824</v>
      </c>
      <c r="BD173" s="530">
        <v>1000000</v>
      </c>
      <c r="BE173" s="530">
        <v>96635</v>
      </c>
      <c r="BF173" s="658">
        <v>46261</v>
      </c>
      <c r="BG173" s="658">
        <v>46262</v>
      </c>
      <c r="BH173" s="658">
        <v>47862</v>
      </c>
      <c r="BI173" s="500">
        <v>97997000000</v>
      </c>
      <c r="BJ173" s="49">
        <v>2.2000000000000002</v>
      </c>
      <c r="BK173" s="49">
        <v>174.18004581700001</v>
      </c>
      <c r="BL173" s="630" t="s">
        <v>2172</v>
      </c>
      <c r="BM173" s="49" t="s">
        <v>1033</v>
      </c>
      <c r="BN17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173" s="396">
        <f>(PTCK_offBS[[#This Row],[VALUE_DATE]]-PTCK_offBS[[#This Row],[LAST_PMT]])*PTCK_offBS[[#This Row],[COUPON_RATE]]*1000/(DATE(YEAR(PTCK_offBS[[#This Row],[LAST_PMT]])+1,MONTH(PTCK_offBS[[#This Row],[LAST_PMT]]),DAY(PTCK_offBS[[#This Row],[LAST_PMT]]))-PTCK_offBS[[#This Row],[LAST_PMT]])</f>
        <v>1362.191780821918</v>
      </c>
      <c r="BP173" s="396">
        <f>PTCK_offBS[[#This Row],[GROSS_AMOUNT]]/PTCK_offBS[[#This Row],[QUANTITY]]-PTCK_offBS[[#This Row],[START_ACC]]-10^5</f>
        <v>-3365.191780821915</v>
      </c>
      <c r="BQ173" s="396">
        <f>IF(PTCK_offBS[[#This Row],[BS]]="Others",PTCK_offBS[[#This Row],[PTCK]]*(PTCK_offBS[[#This Row],[MATURITY_DATE]]-PTCK_offBS[[#This Row],[POSTED_DT]]-1)/(PTCK_offBS[[#This Row],[MATURITY_DATE]]-PTCK_offBS[[#This Row],[VALUE_DATE]]),PTCK_offBS[[#This Row],[PTCK]])</f>
        <v>-3384.1209845890385</v>
      </c>
      <c r="BR173" s="396">
        <f>PTCK_offBS[[#This Row],[PTCK remain]]*PTCK_offBS[[#This Row],[QUANTITY]]</f>
        <v>-3384120984.5890384</v>
      </c>
    </row>
    <row r="174" spans="20:70" x14ac:dyDescent="0.3">
      <c r="T174" s="362"/>
      <c r="AK174" s="734"/>
      <c r="AL174" s="128">
        <v>41969</v>
      </c>
      <c r="AM174" s="128" t="s">
        <v>2786</v>
      </c>
      <c r="AN174" s="736">
        <v>2.6</v>
      </c>
      <c r="AO174" s="128" t="s">
        <v>823</v>
      </c>
      <c r="AP174" s="49" t="s">
        <v>2180</v>
      </c>
      <c r="AQ174" s="530">
        <v>1000000</v>
      </c>
      <c r="AR174" s="500">
        <v>1924.6840746468699</v>
      </c>
      <c r="AS174" s="530">
        <v>102295</v>
      </c>
      <c r="AT174" s="530">
        <v>103567</v>
      </c>
      <c r="AU174" s="769">
        <v>2.41</v>
      </c>
      <c r="AV174" s="747">
        <v>116347000000</v>
      </c>
      <c r="AW174" s="534">
        <f>(_xlfn.XLOOKUP(RPBOD3[[#This Row],[Bonds_ShortName]],FNRP!D:D,FNRP!H:H,_xlfn.XLOOKUP(RPBOD3[[#This Row],[Bonds_ShortName]],FNRP!AV:AV,FNRP!AZ:AZ,,0),0)-RPBOD3[[#This Row],[PTCK_Remain]]-10^5)*RPBOD3[[#This Row],[Quantity]]</f>
        <v>-19478684074.646866</v>
      </c>
      <c r="AY174" s="128"/>
      <c r="AZ174" s="610">
        <v>46252</v>
      </c>
      <c r="BA174" s="850">
        <v>50424</v>
      </c>
      <c r="BB174" s="852" t="s">
        <v>702</v>
      </c>
      <c r="BC174" s="39" t="s">
        <v>824</v>
      </c>
      <c r="BD174" s="530">
        <v>500000</v>
      </c>
      <c r="BE174" s="530">
        <v>82770</v>
      </c>
      <c r="BF174" s="658">
        <v>46261</v>
      </c>
      <c r="BG174" s="658">
        <v>46262</v>
      </c>
      <c r="BH174" s="658">
        <v>49899</v>
      </c>
      <c r="BI174" s="500">
        <v>41435500000</v>
      </c>
      <c r="BJ174" s="49">
        <v>2.2999999999999998</v>
      </c>
      <c r="BK174" s="49">
        <v>175.18004581700001</v>
      </c>
      <c r="BL174" s="630" t="s">
        <v>2172</v>
      </c>
      <c r="BM174" s="49" t="s">
        <v>1033</v>
      </c>
      <c r="BN17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46246</v>
      </c>
      <c r="BO174" s="396">
        <f>(PTCK_offBS[[#This Row],[VALUE_DATE]]-PTCK_offBS[[#This Row],[LAST_PMT]])*PTCK_offBS[[#This Row],[COUPON_RATE]]*1000/(DATE(YEAR(PTCK_offBS[[#This Row],[LAST_PMT]])+1,MONTH(PTCK_offBS[[#This Row],[LAST_PMT]]),DAY(PTCK_offBS[[#This Row],[LAST_PMT]]))-PTCK_offBS[[#This Row],[LAST_PMT]])</f>
        <v>100.82191780821918</v>
      </c>
      <c r="BP174" s="396">
        <f>PTCK_offBS[[#This Row],[GROSS_AMOUNT]]/PTCK_offBS[[#This Row],[QUANTITY]]-PTCK_offBS[[#This Row],[START_ACC]]-10^5</f>
        <v>-17229.821917808222</v>
      </c>
      <c r="BQ174" s="396">
        <f>IF(PTCK_offBS[[#This Row],[BS]]="Others",PTCK_offBS[[#This Row],[PTCK]]*(PTCK_offBS[[#This Row],[MATURITY_DATE]]-PTCK_offBS[[#This Row],[POSTED_DT]]-1)/(PTCK_offBS[[#This Row],[MATURITY_DATE]]-PTCK_offBS[[#This Row],[VALUE_DATE]]),PTCK_offBS[[#This Row],[PTCK]])</f>
        <v>-17272.458265693916</v>
      </c>
      <c r="BR174" s="396">
        <f>PTCK_offBS[[#This Row],[PTCK remain]]*PTCK_offBS[[#This Row],[QUANTITY]]</f>
        <v>-8636229132.8469582</v>
      </c>
    </row>
    <row r="175" spans="20:70" x14ac:dyDescent="0.3">
      <c r="T175" s="362"/>
      <c r="AK175" s="734"/>
      <c r="AL175" s="128">
        <v>41966</v>
      </c>
      <c r="AM175" s="128" t="s">
        <v>2386</v>
      </c>
      <c r="AN175" s="736">
        <v>4.4000000000000004</v>
      </c>
      <c r="AO175" s="128" t="s">
        <v>823</v>
      </c>
      <c r="AP175" s="49" t="s">
        <v>2180</v>
      </c>
      <c r="AQ175" s="530">
        <v>2000000</v>
      </c>
      <c r="AR175" s="500">
        <v>18537.517192964198</v>
      </c>
      <c r="AS175" s="530">
        <v>122342</v>
      </c>
      <c r="AT175" s="530">
        <v>123184</v>
      </c>
      <c r="AU175" s="769">
        <v>2.4700000000000002</v>
      </c>
      <c r="AV175" s="747">
        <v>116347000000</v>
      </c>
      <c r="AW175" s="534">
        <f>(_xlfn.XLOOKUP(RPBOD3[[#This Row],[Bonds_ShortName]],FNRP!D:D,FNRP!H:H,_xlfn.XLOOKUP(RPBOD3[[#This Row],[Bonds_ShortName]],FNRP!AV:AV,FNRP!AZ:AZ,,0),0)-RPBOD3[[#This Row],[PTCK_Remain]]-10^5)*RPBOD3[[#This Row],[Quantity]]</f>
        <v>-38637034385.928391</v>
      </c>
      <c r="AY175" s="128"/>
      <c r="AZ175" s="610">
        <v>46252</v>
      </c>
      <c r="BA175" s="850">
        <v>50428</v>
      </c>
      <c r="BB175" s="852" t="s">
        <v>2831</v>
      </c>
      <c r="BC175" s="39" t="s">
        <v>824</v>
      </c>
      <c r="BD175" s="530">
        <v>3000000</v>
      </c>
      <c r="BE175" s="530">
        <v>97727</v>
      </c>
      <c r="BF175" s="658">
        <v>46261</v>
      </c>
      <c r="BG175" s="658">
        <v>46262</v>
      </c>
      <c r="BH175" s="658">
        <v>49115</v>
      </c>
      <c r="BI175" s="500">
        <v>294711000000</v>
      </c>
      <c r="BJ175" s="49">
        <v>2.7</v>
      </c>
      <c r="BK175" s="49">
        <v>176.18004581700001</v>
      </c>
      <c r="BL175" s="630" t="s">
        <v>2172</v>
      </c>
      <c r="BM175" s="49" t="s">
        <v>1033</v>
      </c>
      <c r="BN17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46193</v>
      </c>
      <c r="BO175" s="396">
        <f>(PTCK_offBS[[#This Row],[VALUE_DATE]]-PTCK_offBS[[#This Row],[LAST_PMT]])*PTCK_offBS[[#This Row],[COUPON_RATE]]*1000/(DATE(YEAR(PTCK_offBS[[#This Row],[LAST_PMT]])+1,MONTH(PTCK_offBS[[#This Row],[LAST_PMT]]),DAY(PTCK_offBS[[#This Row],[LAST_PMT]]))-PTCK_offBS[[#This Row],[LAST_PMT]])</f>
        <v>510.41095890410958</v>
      </c>
      <c r="BP175" s="396">
        <f>PTCK_offBS[[#This Row],[GROSS_AMOUNT]]/PTCK_offBS[[#This Row],[QUANTITY]]-PTCK_offBS[[#This Row],[START_ACC]]-10^5</f>
        <v>-2273.4109589041036</v>
      </c>
      <c r="BQ175" s="396">
        <f>IF(PTCK_offBS[[#This Row],[BS]]="Others",PTCK_offBS[[#This Row],[PTCK]]*(PTCK_offBS[[#This Row],[MATURITY_DATE]]-PTCK_offBS[[#This Row],[POSTED_DT]]-1)/(PTCK_offBS[[#This Row],[MATURITY_DATE]]-PTCK_offBS[[#This Row],[VALUE_DATE]]),PTCK_offBS[[#This Row],[PTCK]])</f>
        <v>-2280.5826023075865</v>
      </c>
      <c r="BR175" s="396">
        <f>PTCK_offBS[[#This Row],[PTCK remain]]*PTCK_offBS[[#This Row],[QUANTITY]]</f>
        <v>-6841747806.92276</v>
      </c>
    </row>
    <row r="176" spans="20:70" x14ac:dyDescent="0.3">
      <c r="T176" s="362"/>
      <c r="AK176" s="734"/>
      <c r="AL176" s="128">
        <v>47035</v>
      </c>
      <c r="AM176" s="128" t="s">
        <v>1147</v>
      </c>
      <c r="AN176" s="736">
        <v>6</v>
      </c>
      <c r="AO176" s="128" t="s">
        <v>907</v>
      </c>
      <c r="AP176" s="49" t="s">
        <v>2180</v>
      </c>
      <c r="AQ176" s="530">
        <v>1000000</v>
      </c>
      <c r="AR176" s="500">
        <v>18734.043152287901</v>
      </c>
      <c r="AS176" s="530">
        <v>121485</v>
      </c>
      <c r="AT176" s="530">
        <v>126351</v>
      </c>
      <c r="AU176" s="769">
        <v>3</v>
      </c>
      <c r="AV176" s="747">
        <v>116347000000</v>
      </c>
      <c r="AW176" s="534">
        <f>(_xlfn.XLOOKUP(RPBOD3[[#This Row],[Bonds_ShortName]],FNRP!D:D,FNRP!H:H,_xlfn.XLOOKUP(RPBOD3[[#This Row],[Bonds_ShortName]],FNRP!AV:AV,FNRP!AZ:AZ,,0),0)-RPBOD3[[#This Row],[PTCK_Remain]]-10^5)*RPBOD3[[#This Row],[Quantity]]</f>
        <v>-11734043152.287893</v>
      </c>
      <c r="AY176" s="128"/>
      <c r="AZ176" s="610">
        <v>46252</v>
      </c>
      <c r="BA176" s="850">
        <v>50315</v>
      </c>
      <c r="BB176" s="852" t="s">
        <v>729</v>
      </c>
      <c r="BC176" s="39" t="s">
        <v>824</v>
      </c>
      <c r="BD176" s="530">
        <v>250000</v>
      </c>
      <c r="BE176" s="530">
        <v>107680</v>
      </c>
      <c r="BF176" s="658">
        <v>46246</v>
      </c>
      <c r="BG176" s="658">
        <v>46247</v>
      </c>
      <c r="BH176" s="658">
        <v>54692</v>
      </c>
      <c r="BI176" s="500">
        <v>28063250000</v>
      </c>
      <c r="BJ176" s="49">
        <v>5.2</v>
      </c>
      <c r="BK176" s="49">
        <v>177.18004581700001</v>
      </c>
      <c r="BL176" s="630" t="s">
        <v>2172</v>
      </c>
      <c r="BM176" s="49" t="s">
        <v>1033</v>
      </c>
      <c r="BN17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176" s="396">
        <f>(PTCK_offBS[[#This Row],[VALUE_DATE]]-PTCK_offBS[[#This Row],[LAST_PMT]])*PTCK_offBS[[#This Row],[COUPON_RATE]]*1000/(DATE(YEAR(PTCK_offBS[[#This Row],[LAST_PMT]])+1,MONTH(PTCK_offBS[[#This Row],[LAST_PMT]]),DAY(PTCK_offBS[[#This Row],[LAST_PMT]]))-PTCK_offBS[[#This Row],[LAST_PMT]])</f>
        <v>4573.1506849315065</v>
      </c>
      <c r="BP176" s="396">
        <f>PTCK_offBS[[#This Row],[GROSS_AMOUNT]]/PTCK_offBS[[#This Row],[QUANTITY]]-PTCK_offBS[[#This Row],[START_ACC]]-10^5</f>
        <v>7679.8493150684953</v>
      </c>
      <c r="BQ176" s="396">
        <f>IF(PTCK_offBS[[#This Row],[BS]]="Others",PTCK_offBS[[#This Row],[PTCK]]*(PTCK_offBS[[#This Row],[MATURITY_DATE]]-PTCK_offBS[[#This Row],[POSTED_DT]]-1)/(PTCK_offBS[[#This Row],[MATURITY_DATE]]-PTCK_offBS[[#This Row],[VALUE_DATE]]),PTCK_offBS[[#This Row],[PTCK]])</f>
        <v>7674.3929390009516</v>
      </c>
      <c r="BR176" s="396">
        <f>PTCK_offBS[[#This Row],[PTCK remain]]*PTCK_offBS[[#This Row],[QUANTITY]]</f>
        <v>1918598234.7502379</v>
      </c>
    </row>
    <row r="177" spans="20:70" x14ac:dyDescent="0.3">
      <c r="T177" s="362"/>
      <c r="AK177" s="734"/>
      <c r="AL177" s="128">
        <v>45064</v>
      </c>
      <c r="AM177" s="128" t="s">
        <v>2381</v>
      </c>
      <c r="AN177" s="736">
        <v>4.5</v>
      </c>
      <c r="AO177" s="128" t="s">
        <v>823</v>
      </c>
      <c r="AP177" s="49" t="s">
        <v>2180</v>
      </c>
      <c r="AQ177" s="530">
        <v>1000000</v>
      </c>
      <c r="AR177" s="500">
        <v>13195.283475544202</v>
      </c>
      <c r="AS177" s="530">
        <v>116575</v>
      </c>
      <c r="AT177" s="530">
        <v>121001</v>
      </c>
      <c r="AU177" s="769">
        <v>2.2200000000000002</v>
      </c>
      <c r="AV177" s="747">
        <v>116347000000</v>
      </c>
      <c r="AW177" s="534">
        <f>(_xlfn.XLOOKUP(RPBOD3[[#This Row],[Bonds_ShortName]],FNRP!D:D,FNRP!H:H,_xlfn.XLOOKUP(RPBOD3[[#This Row],[Bonds_ShortName]],FNRP!AV:AV,FNRP!AZ:AZ,,0),0)-RPBOD3[[#This Row],[PTCK_Remain]]-10^5)*RPBOD3[[#This Row],[Quantity]]</f>
        <v>-12050283475.544201</v>
      </c>
      <c r="AY177" s="128"/>
      <c r="AZ177" s="610">
        <v>46252</v>
      </c>
      <c r="BA177" s="850">
        <v>50313</v>
      </c>
      <c r="BB177" s="852" t="s">
        <v>2497</v>
      </c>
      <c r="BC177" s="39" t="s">
        <v>824</v>
      </c>
      <c r="BD177" s="530">
        <v>800000</v>
      </c>
      <c r="BE177" s="530">
        <v>99937</v>
      </c>
      <c r="BF177" s="658">
        <v>46246</v>
      </c>
      <c r="BG177" s="658">
        <v>46247</v>
      </c>
      <c r="BH177" s="658">
        <v>55966</v>
      </c>
      <c r="BI177" s="500">
        <v>81265600000</v>
      </c>
      <c r="BJ177" s="49">
        <v>4.2</v>
      </c>
      <c r="BK177" s="49">
        <v>178.18004581700001</v>
      </c>
      <c r="BL177" s="630" t="s">
        <v>2172</v>
      </c>
      <c r="BM177" s="49" t="s">
        <v>1033</v>
      </c>
      <c r="BN17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77" s="396">
        <f>(PTCK_offBS[[#This Row],[VALUE_DATE]]-PTCK_offBS[[#This Row],[LAST_PMT]])*PTCK_offBS[[#This Row],[COUPON_RATE]]*1000/(DATE(YEAR(PTCK_offBS[[#This Row],[LAST_PMT]])+1,MONTH(PTCK_offBS[[#This Row],[LAST_PMT]]),DAY(PTCK_offBS[[#This Row],[LAST_PMT]]))-PTCK_offBS[[#This Row],[LAST_PMT]])</f>
        <v>1645.4794520547946</v>
      </c>
      <c r="BP177" s="396">
        <f>PTCK_offBS[[#This Row],[GROSS_AMOUNT]]/PTCK_offBS[[#This Row],[QUANTITY]]-PTCK_offBS[[#This Row],[START_ACC]]-10^5</f>
        <v>-63.479452054787544</v>
      </c>
      <c r="BQ177" s="396">
        <f>IF(PTCK_offBS[[#This Row],[BS]]="Others",PTCK_offBS[[#This Row],[PTCK]]*(PTCK_offBS[[#This Row],[MATURITY_DATE]]-PTCK_offBS[[#This Row],[POSTED_DT]]-1)/(PTCK_offBS[[#This Row],[MATURITY_DATE]]-PTCK_offBS[[#This Row],[VALUE_DATE]]),PTCK_offBS[[#This Row],[PTCK]])</f>
        <v>-63.440263176062501</v>
      </c>
      <c r="BR177" s="396">
        <f>PTCK_offBS[[#This Row],[PTCK remain]]*PTCK_offBS[[#This Row],[QUANTITY]]</f>
        <v>-50752210.540849999</v>
      </c>
    </row>
    <row r="178" spans="20:70" x14ac:dyDescent="0.3">
      <c r="T178" s="362"/>
      <c r="AK178" s="734"/>
      <c r="AL178" s="128">
        <v>45065</v>
      </c>
      <c r="AM178" s="128" t="s">
        <v>693</v>
      </c>
      <c r="AN178" s="736">
        <v>2.7</v>
      </c>
      <c r="AO178" s="128" t="s">
        <v>823</v>
      </c>
      <c r="AP178" s="49" t="s">
        <v>2180</v>
      </c>
      <c r="AQ178" s="530">
        <v>500000</v>
      </c>
      <c r="AR178" s="500">
        <v>1766.1038936026039</v>
      </c>
      <c r="AS178" s="530">
        <v>102077</v>
      </c>
      <c r="AT178" s="530">
        <v>102329</v>
      </c>
      <c r="AU178" s="769">
        <v>2.48</v>
      </c>
      <c r="AV178" s="747">
        <v>116347000000</v>
      </c>
      <c r="AW178" s="534">
        <f>(_xlfn.XLOOKUP(RPBOD3[[#This Row],[Bonds_ShortName]],FNRP!D:D,FNRP!H:H,_xlfn.XLOOKUP(RPBOD3[[#This Row],[Bonds_ShortName]],FNRP!AV:AV,FNRP!AZ:AZ,,0),0)-RPBOD3[[#This Row],[PTCK_Remain]]-10^5)*RPBOD3[[#This Row],[Quantity]]</f>
        <v>-7298051946.801301</v>
      </c>
      <c r="AY178" s="128"/>
      <c r="AZ178" s="610">
        <v>46252</v>
      </c>
      <c r="BA178" s="850">
        <v>49473</v>
      </c>
      <c r="BB178" s="852" t="s">
        <v>608</v>
      </c>
      <c r="BC178" s="39" t="s">
        <v>824</v>
      </c>
      <c r="BD178" s="530">
        <v>2400000</v>
      </c>
      <c r="BE178" s="530">
        <v>112381</v>
      </c>
      <c r="BF178" s="658">
        <v>46128</v>
      </c>
      <c r="BG178" s="658">
        <v>46129</v>
      </c>
      <c r="BH178" s="658">
        <v>47542</v>
      </c>
      <c r="BI178" s="500">
        <v>272080800000</v>
      </c>
      <c r="BJ178" s="49">
        <v>7.5</v>
      </c>
      <c r="BK178" s="49">
        <v>179.18004581700001</v>
      </c>
      <c r="BL178" s="630" t="s">
        <v>2172</v>
      </c>
      <c r="BM178" s="49" t="s">
        <v>1033</v>
      </c>
      <c r="BN17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46081</v>
      </c>
      <c r="BO178" s="396">
        <f>(PTCK_offBS[[#This Row],[VALUE_DATE]]-PTCK_offBS[[#This Row],[LAST_PMT]])*PTCK_offBS[[#This Row],[COUPON_RATE]]*1000/(DATE(YEAR(PTCK_offBS[[#This Row],[LAST_PMT]])+1,MONTH(PTCK_offBS[[#This Row],[LAST_PMT]]),DAY(PTCK_offBS[[#This Row],[LAST_PMT]]))-PTCK_offBS[[#This Row],[LAST_PMT]])</f>
        <v>986.30136986301375</v>
      </c>
      <c r="BP178" s="396">
        <f>PTCK_offBS[[#This Row],[GROSS_AMOUNT]]/PTCK_offBS[[#This Row],[QUANTITY]]-PTCK_offBS[[#This Row],[START_ACC]]-10^5</f>
        <v>12380.698630136991</v>
      </c>
      <c r="BQ178" s="396">
        <f>IF(PTCK_offBS[[#This Row],[BS]]="Others",PTCK_offBS[[#This Row],[PTCK]]*(PTCK_offBS[[#This Row],[MATURITY_DATE]]-PTCK_offBS[[#This Row],[POSTED_DT]]-1)/(PTCK_offBS[[#This Row],[MATURITY_DATE]]-PTCK_offBS[[#This Row],[VALUE_DATE]]),PTCK_offBS[[#This Row],[PTCK]])</f>
        <v>11294.211276890715</v>
      </c>
      <c r="BR178" s="396">
        <f>PTCK_offBS[[#This Row],[PTCK remain]]*PTCK_offBS[[#This Row],[QUANTITY]]</f>
        <v>27106107064.537716</v>
      </c>
    </row>
    <row r="179" spans="20:70" x14ac:dyDescent="0.3">
      <c r="T179" s="362"/>
      <c r="AK179" s="734"/>
      <c r="AL179" s="128">
        <v>42091</v>
      </c>
      <c r="AM179" s="128" t="s">
        <v>665</v>
      </c>
      <c r="AN179" s="736">
        <v>5.3</v>
      </c>
      <c r="AO179" s="128" t="s">
        <v>823</v>
      </c>
      <c r="AP179" s="49" t="s">
        <v>2180</v>
      </c>
      <c r="AQ179" s="530">
        <v>3000000</v>
      </c>
      <c r="AR179" s="500">
        <v>19393.264560391301</v>
      </c>
      <c r="AS179" s="530">
        <v>125527</v>
      </c>
      <c r="AT179" s="530">
        <v>127076</v>
      </c>
      <c r="AU179" s="769">
        <v>2.33</v>
      </c>
      <c r="AV179" s="747">
        <v>116347000000</v>
      </c>
      <c r="AW179" s="534">
        <f>(_xlfn.XLOOKUP(RPBOD3[[#This Row],[Bonds_ShortName]],FNRP!D:D,FNRP!H:H,_xlfn.XLOOKUP(RPBOD3[[#This Row],[Bonds_ShortName]],FNRP!AV:AV,FNRP!AZ:AZ,,0),0)-RPBOD3[[#This Row],[PTCK_Remain]]-10^5)*RPBOD3[[#This Row],[Quantity]]</f>
        <v>-40140793681.173889</v>
      </c>
      <c r="AY179" s="128"/>
      <c r="AZ179" s="610">
        <v>46252</v>
      </c>
      <c r="BA179" s="850">
        <v>49709</v>
      </c>
      <c r="BB179" s="852" t="s">
        <v>2785</v>
      </c>
      <c r="BC179" s="39" t="s">
        <v>824</v>
      </c>
      <c r="BD179" s="530">
        <v>1000000</v>
      </c>
      <c r="BE179" s="530">
        <v>95142</v>
      </c>
      <c r="BF179" s="658">
        <v>46150</v>
      </c>
      <c r="BG179" s="658">
        <v>46153</v>
      </c>
      <c r="BH179" s="658">
        <v>48836</v>
      </c>
      <c r="BI179" s="500">
        <v>96648000000</v>
      </c>
      <c r="BJ179" s="49">
        <v>2.2999999999999998</v>
      </c>
      <c r="BK179" s="49">
        <v>180.18004581700001</v>
      </c>
      <c r="BL179" s="630" t="s">
        <v>2172</v>
      </c>
      <c r="BM179" s="49" t="s">
        <v>1033</v>
      </c>
      <c r="BN17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O179" s="396">
        <f>(PTCK_offBS[[#This Row],[VALUE_DATE]]-PTCK_offBS[[#This Row],[LAST_PMT]])*PTCK_offBS[[#This Row],[COUPON_RATE]]*1000/(DATE(YEAR(PTCK_offBS[[#This Row],[LAST_PMT]])+1,MONTH(PTCK_offBS[[#This Row],[LAST_PMT]]),DAY(PTCK_offBS[[#This Row],[LAST_PMT]]))-PTCK_offBS[[#This Row],[LAST_PMT]])</f>
        <v>1506.0273972602736</v>
      </c>
      <c r="BP179" s="396">
        <f>PTCK_offBS[[#This Row],[GROSS_AMOUNT]]/PTCK_offBS[[#This Row],[QUANTITY]]-PTCK_offBS[[#This Row],[START_ACC]]-10^5</f>
        <v>-4858.0273972602736</v>
      </c>
      <c r="BQ179" s="396">
        <f>IF(PTCK_offBS[[#This Row],[BS]]="Others",PTCK_offBS[[#This Row],[PTCK]]*(PTCK_offBS[[#This Row],[MATURITY_DATE]]-PTCK_offBS[[#This Row],[POSTED_DT]]-1)/(PTCK_offBS[[#This Row],[MATURITY_DATE]]-PTCK_offBS[[#This Row],[VALUE_DATE]]),PTCK_offBS[[#This Row],[PTCK]])</f>
        <v>-4676.9604051894476</v>
      </c>
      <c r="BR179" s="396">
        <f>PTCK_offBS[[#This Row],[PTCK remain]]*PTCK_offBS[[#This Row],[QUANTITY]]</f>
        <v>-4676960405.1894474</v>
      </c>
    </row>
    <row r="180" spans="20:70" x14ac:dyDescent="0.3">
      <c r="T180" s="362"/>
      <c r="AK180" s="734"/>
      <c r="AL180" s="128">
        <v>45432</v>
      </c>
      <c r="AM180" s="128" t="s">
        <v>2741</v>
      </c>
      <c r="AN180" s="736">
        <v>2.8</v>
      </c>
      <c r="AO180" s="128" t="s">
        <v>823</v>
      </c>
      <c r="AP180" s="49" t="s">
        <v>2180</v>
      </c>
      <c r="AQ180" s="530">
        <v>3000000</v>
      </c>
      <c r="AR180" s="500">
        <v>580.71376332592331</v>
      </c>
      <c r="AS180" s="530">
        <v>100654</v>
      </c>
      <c r="AT180" s="530">
        <v>102518</v>
      </c>
      <c r="AU180" s="769">
        <v>2.74</v>
      </c>
      <c r="AV180" s="747">
        <v>116347000000</v>
      </c>
      <c r="AW180" s="534">
        <f>(_xlfn.XLOOKUP(RPBOD3[[#This Row],[Bonds_ShortName]],FNRP!D:D,FNRP!H:H,_xlfn.XLOOKUP(RPBOD3[[#This Row],[Bonds_ShortName]],FNRP!AV:AV,FNRP!AZ:AZ,,0),0)-RPBOD3[[#This Row],[PTCK_Remain]]-10^5)*RPBOD3[[#This Row],[Quantity]]</f>
        <v>-47708141289.977776</v>
      </c>
      <c r="AY180" s="128"/>
      <c r="AZ180" s="610">
        <v>46252</v>
      </c>
      <c r="BA180" s="850">
        <v>49708</v>
      </c>
      <c r="BB180" s="852" t="s">
        <v>2785</v>
      </c>
      <c r="BC180" s="39" t="s">
        <v>824</v>
      </c>
      <c r="BD180" s="530">
        <v>1000000</v>
      </c>
      <c r="BE180" s="530">
        <v>95142</v>
      </c>
      <c r="BF180" s="658">
        <v>46150</v>
      </c>
      <c r="BG180" s="658">
        <v>46153</v>
      </c>
      <c r="BH180" s="658">
        <v>48836</v>
      </c>
      <c r="BI180" s="500">
        <v>96648000000</v>
      </c>
      <c r="BJ180" s="49">
        <v>2.2999999999999998</v>
      </c>
      <c r="BK180" s="49">
        <v>181.18004581700001</v>
      </c>
      <c r="BL180" s="630" t="s">
        <v>2172</v>
      </c>
      <c r="BM180" s="49" t="s">
        <v>1033</v>
      </c>
      <c r="BN18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O180" s="396">
        <f>(PTCK_offBS[[#This Row],[VALUE_DATE]]-PTCK_offBS[[#This Row],[LAST_PMT]])*PTCK_offBS[[#This Row],[COUPON_RATE]]*1000/(DATE(YEAR(PTCK_offBS[[#This Row],[LAST_PMT]])+1,MONTH(PTCK_offBS[[#This Row],[LAST_PMT]]),DAY(PTCK_offBS[[#This Row],[LAST_PMT]]))-PTCK_offBS[[#This Row],[LAST_PMT]])</f>
        <v>1506.0273972602736</v>
      </c>
      <c r="BP180" s="396">
        <f>PTCK_offBS[[#This Row],[GROSS_AMOUNT]]/PTCK_offBS[[#This Row],[QUANTITY]]-PTCK_offBS[[#This Row],[START_ACC]]-10^5</f>
        <v>-4858.0273972602736</v>
      </c>
      <c r="BQ180" s="396">
        <f>IF(PTCK_offBS[[#This Row],[BS]]="Others",PTCK_offBS[[#This Row],[PTCK]]*(PTCK_offBS[[#This Row],[MATURITY_DATE]]-PTCK_offBS[[#This Row],[POSTED_DT]]-1)/(PTCK_offBS[[#This Row],[MATURITY_DATE]]-PTCK_offBS[[#This Row],[VALUE_DATE]]),PTCK_offBS[[#This Row],[PTCK]])</f>
        <v>-4676.9604051894476</v>
      </c>
      <c r="BR180" s="396">
        <f>PTCK_offBS[[#This Row],[PTCK remain]]*PTCK_offBS[[#This Row],[QUANTITY]]</f>
        <v>-4676960405.1894474</v>
      </c>
    </row>
    <row r="181" spans="20:70" x14ac:dyDescent="0.3">
      <c r="T181" s="362"/>
      <c r="AK181" s="734"/>
      <c r="AL181" s="128">
        <v>42192</v>
      </c>
      <c r="AM181" s="128" t="s">
        <v>2502</v>
      </c>
      <c r="AN181" s="736">
        <v>3.2</v>
      </c>
      <c r="AO181" s="128" t="s">
        <v>823</v>
      </c>
      <c r="AP181" s="49" t="s">
        <v>2180</v>
      </c>
      <c r="AQ181" s="530">
        <v>1500000</v>
      </c>
      <c r="AR181" s="500">
        <v>5414.506176091787</v>
      </c>
      <c r="AS181" s="530">
        <v>107303</v>
      </c>
      <c r="AT181" s="530">
        <v>107399</v>
      </c>
      <c r="AU181" s="769">
        <v>2.2879135779999999</v>
      </c>
      <c r="AV181" s="747">
        <v>116347000000</v>
      </c>
      <c r="AW181" s="534">
        <f>(_xlfn.XLOOKUP(RPBOD3[[#This Row],[Bonds_ShortName]],FNRP!D:D,FNRP!H:H,_xlfn.XLOOKUP(RPBOD3[[#This Row],[Bonds_ShortName]],FNRP!AV:AV,FNRP!AZ:AZ,,0),0)-RPBOD3[[#This Row],[PTCK_Remain]]-10^5)*RPBOD3[[#This Row],[Quantity]]</f>
        <v>-17489259264.137684</v>
      </c>
      <c r="AY181" s="128"/>
      <c r="AZ181" s="610">
        <v>46252</v>
      </c>
      <c r="BA181" s="850">
        <v>49710</v>
      </c>
      <c r="BB181" s="852" t="s">
        <v>2785</v>
      </c>
      <c r="BC181" s="39" t="s">
        <v>824</v>
      </c>
      <c r="BD181" s="530">
        <v>1000000</v>
      </c>
      <c r="BE181" s="530">
        <v>95142</v>
      </c>
      <c r="BF181" s="658">
        <v>46150</v>
      </c>
      <c r="BG181" s="658">
        <v>46153</v>
      </c>
      <c r="BH181" s="658">
        <v>48836</v>
      </c>
      <c r="BI181" s="500">
        <v>96648000000</v>
      </c>
      <c r="BJ181" s="49">
        <v>2.2999999999999998</v>
      </c>
      <c r="BK181" s="49">
        <v>182.18004581700001</v>
      </c>
      <c r="BL181" s="630" t="s">
        <v>2172</v>
      </c>
      <c r="BM181" s="49" t="s">
        <v>1033</v>
      </c>
      <c r="BN18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45914</v>
      </c>
      <c r="BO181" s="396">
        <f>(PTCK_offBS[[#This Row],[VALUE_DATE]]-PTCK_offBS[[#This Row],[LAST_PMT]])*PTCK_offBS[[#This Row],[COUPON_RATE]]*1000/(DATE(YEAR(PTCK_offBS[[#This Row],[LAST_PMT]])+1,MONTH(PTCK_offBS[[#This Row],[LAST_PMT]]),DAY(PTCK_offBS[[#This Row],[LAST_PMT]]))-PTCK_offBS[[#This Row],[LAST_PMT]])</f>
        <v>1506.0273972602736</v>
      </c>
      <c r="BP181" s="396">
        <f>PTCK_offBS[[#This Row],[GROSS_AMOUNT]]/PTCK_offBS[[#This Row],[QUANTITY]]-PTCK_offBS[[#This Row],[START_ACC]]-10^5</f>
        <v>-4858.0273972602736</v>
      </c>
      <c r="BQ181" s="396">
        <f>IF(PTCK_offBS[[#This Row],[BS]]="Others",PTCK_offBS[[#This Row],[PTCK]]*(PTCK_offBS[[#This Row],[MATURITY_DATE]]-PTCK_offBS[[#This Row],[POSTED_DT]]-1)/(PTCK_offBS[[#This Row],[MATURITY_DATE]]-PTCK_offBS[[#This Row],[VALUE_DATE]]),PTCK_offBS[[#This Row],[PTCK]])</f>
        <v>-4676.9604051894476</v>
      </c>
      <c r="BR181" s="396">
        <f>PTCK_offBS[[#This Row],[PTCK remain]]*PTCK_offBS[[#This Row],[QUANTITY]]</f>
        <v>-4676960405.1894474</v>
      </c>
    </row>
    <row r="182" spans="20:70" ht="14.4" customHeight="1" x14ac:dyDescent="0.3">
      <c r="T182" s="362"/>
      <c r="AK182" s="734"/>
      <c r="AL182" s="128">
        <v>42194</v>
      </c>
      <c r="AM182" s="128" t="s">
        <v>669</v>
      </c>
      <c r="AN182" s="736">
        <v>4.5999999999999996</v>
      </c>
      <c r="AO182" s="128" t="s">
        <v>823</v>
      </c>
      <c r="AP182" s="49" t="s">
        <v>2180</v>
      </c>
      <c r="AQ182" s="530">
        <v>1000000</v>
      </c>
      <c r="AR182" s="500">
        <v>16238.585788263001</v>
      </c>
      <c r="AS182" s="530">
        <v>120986</v>
      </c>
      <c r="AT182" s="530">
        <v>124430</v>
      </c>
      <c r="AU182" s="769">
        <v>2.2799999999999998</v>
      </c>
      <c r="AV182" s="747">
        <v>116347000000</v>
      </c>
      <c r="AW182" s="534">
        <f>(_xlfn.XLOOKUP(RPBOD3[[#This Row],[Bonds_ShortName]],FNRP!D:D,FNRP!H:H,_xlfn.XLOOKUP(RPBOD3[[#This Row],[Bonds_ShortName]],FNRP!AV:AV,FNRP!AZ:AZ,,0),0)-RPBOD3[[#This Row],[PTCK_Remain]]-10^5)*RPBOD3[[#This Row],[Quantity]]</f>
        <v>-14611585788.263008</v>
      </c>
      <c r="AY182" s="128"/>
      <c r="AZ182" s="610">
        <v>46252</v>
      </c>
      <c r="BA182" s="850">
        <v>50317</v>
      </c>
      <c r="BB182" s="852" t="s">
        <v>718</v>
      </c>
      <c r="BC182" s="39" t="s">
        <v>824</v>
      </c>
      <c r="BD182" s="530">
        <v>700000</v>
      </c>
      <c r="BE182" s="530">
        <v>145756</v>
      </c>
      <c r="BF182" s="658">
        <v>46244</v>
      </c>
      <c r="BG182" s="658">
        <v>46245</v>
      </c>
      <c r="BH182" s="658">
        <v>53355</v>
      </c>
      <c r="BI182" s="500">
        <v>105021000000</v>
      </c>
      <c r="BJ182" s="49">
        <v>8</v>
      </c>
      <c r="BK182" s="49">
        <v>183.18004581700001</v>
      </c>
      <c r="BL182" s="630" t="s">
        <v>2172</v>
      </c>
      <c r="BM182" s="49" t="s">
        <v>1033</v>
      </c>
      <c r="BN18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82" s="396">
        <f>(PTCK_offBS[[#This Row],[VALUE_DATE]]-PTCK_offBS[[#This Row],[LAST_PMT]])*PTCK_offBS[[#This Row],[COUPON_RATE]]*1000/(DATE(YEAR(PTCK_offBS[[#This Row],[LAST_PMT]])+1,MONTH(PTCK_offBS[[#This Row],[LAST_PMT]]),DAY(PTCK_offBS[[#This Row],[LAST_PMT]]))-PTCK_offBS[[#This Row],[LAST_PMT]])</f>
        <v>4273.9726027397264</v>
      </c>
      <c r="BP182" s="396">
        <f>PTCK_offBS[[#This Row],[GROSS_AMOUNT]]/PTCK_offBS[[#This Row],[QUANTITY]]-PTCK_offBS[[#This Row],[START_ACC]]-10^5</f>
        <v>45756.027397260274</v>
      </c>
      <c r="BQ182" s="396">
        <f>IF(PTCK_offBS[[#This Row],[BS]]="Others",PTCK_offBS[[#This Row],[PTCK]]*(PTCK_offBS[[#This Row],[MATURITY_DATE]]-PTCK_offBS[[#This Row],[POSTED_DT]]-1)/(PTCK_offBS[[#This Row],[MATURITY_DATE]]-PTCK_offBS[[#This Row],[VALUE_DATE]]),PTCK_offBS[[#This Row],[PTCK]])</f>
        <v>45704.543822129745</v>
      </c>
      <c r="BR182" s="396">
        <f>PTCK_offBS[[#This Row],[PTCK remain]]*PTCK_offBS[[#This Row],[QUANTITY]]</f>
        <v>31993180675.490822</v>
      </c>
    </row>
    <row r="183" spans="20:70" ht="14.4" customHeight="1" x14ac:dyDescent="0.3">
      <c r="T183" s="362"/>
      <c r="AK183" s="734"/>
      <c r="AL183" s="128">
        <v>42190</v>
      </c>
      <c r="AM183" s="128" t="s">
        <v>713</v>
      </c>
      <c r="AN183" s="736">
        <v>3.3</v>
      </c>
      <c r="AO183" s="128" t="s">
        <v>823</v>
      </c>
      <c r="AP183" s="49" t="s">
        <v>2180</v>
      </c>
      <c r="AQ183" s="530">
        <v>2000000</v>
      </c>
      <c r="AR183" s="500">
        <v>6597.4529671526006</v>
      </c>
      <c r="AS183" s="530">
        <v>107690</v>
      </c>
      <c r="AT183" s="530">
        <v>109926</v>
      </c>
      <c r="AU183" s="769">
        <v>2.71</v>
      </c>
      <c r="AV183" s="747">
        <v>116347000000</v>
      </c>
      <c r="AW183" s="534">
        <f>(_xlfn.XLOOKUP(RPBOD3[[#This Row],[Bonds_ShortName]],FNRP!D:D,FNRP!H:H,_xlfn.XLOOKUP(RPBOD3[[#This Row],[Bonds_ShortName]],FNRP!AV:AV,FNRP!AZ:AZ,,0),0)-RPBOD3[[#This Row],[PTCK_Remain]]-10^5)*RPBOD3[[#This Row],[Quantity]]</f>
        <v>-38714905934.305191</v>
      </c>
      <c r="AY183" s="128"/>
      <c r="AZ183" s="610">
        <v>46252</v>
      </c>
      <c r="BA183" s="850">
        <v>47942</v>
      </c>
      <c r="BB183" s="852" t="s">
        <v>720</v>
      </c>
      <c r="BC183" s="39" t="s">
        <v>824</v>
      </c>
      <c r="BD183" s="530">
        <v>580000</v>
      </c>
      <c r="BE183" s="530">
        <v>154517</v>
      </c>
      <c r="BF183" s="658">
        <v>45972</v>
      </c>
      <c r="BG183" s="658">
        <v>45973</v>
      </c>
      <c r="BH183" s="658">
        <v>53613</v>
      </c>
      <c r="BI183" s="500">
        <v>89996280000</v>
      </c>
      <c r="BJ183" s="49">
        <v>7.9</v>
      </c>
      <c r="BK183" s="49">
        <v>184.18004581700001</v>
      </c>
      <c r="BL183" s="630" t="s">
        <v>2172</v>
      </c>
      <c r="BM183" s="49" t="s">
        <v>1033</v>
      </c>
      <c r="BN18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83" s="396">
        <f>(PTCK_offBS[[#This Row],[VALUE_DATE]]-PTCK_offBS[[#This Row],[LAST_PMT]])*PTCK_offBS[[#This Row],[COUPON_RATE]]*1000/(DATE(YEAR(PTCK_offBS[[#This Row],[LAST_PMT]])+1,MONTH(PTCK_offBS[[#This Row],[LAST_PMT]]),DAY(PTCK_offBS[[#This Row],[LAST_PMT]]))-PTCK_offBS[[#This Row],[LAST_PMT]])</f>
        <v>649.31506849315065</v>
      </c>
      <c r="BP183" s="396">
        <f>PTCK_offBS[[#This Row],[GROSS_AMOUNT]]/PTCK_offBS[[#This Row],[QUANTITY]]-PTCK_offBS[[#This Row],[START_ACC]]-10^5</f>
        <v>54516.684931506839</v>
      </c>
      <c r="BQ183" s="396">
        <f>IF(PTCK_offBS[[#This Row],[BS]]="Others",PTCK_offBS[[#This Row],[PTCK]]*(PTCK_offBS[[#This Row],[MATURITY_DATE]]-PTCK_offBS[[#This Row],[POSTED_DT]]-1)/(PTCK_offBS[[#This Row],[MATURITY_DATE]]-PTCK_offBS[[#This Row],[VALUE_DATE]]),PTCK_offBS[[#This Row],[PTCK]])</f>
        <v>52518.691242917586</v>
      </c>
      <c r="BR183" s="396">
        <f>PTCK_offBS[[#This Row],[PTCK remain]]*PTCK_offBS[[#This Row],[QUANTITY]]</f>
        <v>30460840920.8922</v>
      </c>
    </row>
    <row r="184" spans="20:70" ht="14.4" customHeight="1" x14ac:dyDescent="0.3">
      <c r="T184" s="362"/>
      <c r="AK184" s="734"/>
      <c r="AL184" s="128">
        <v>49559</v>
      </c>
      <c r="AM184" s="128" t="s">
        <v>2497</v>
      </c>
      <c r="AN184" s="736">
        <v>4.2</v>
      </c>
      <c r="AO184" s="128" t="s">
        <v>823</v>
      </c>
      <c r="AP184" s="49" t="s">
        <v>824</v>
      </c>
      <c r="AQ184" s="530">
        <v>1300000</v>
      </c>
      <c r="AR184" s="500">
        <v>-2636.3537927428615</v>
      </c>
      <c r="AS184" s="530">
        <v>97333</v>
      </c>
      <c r="AT184" s="530">
        <v>97759</v>
      </c>
      <c r="AU184" s="769">
        <v>4.37</v>
      </c>
      <c r="AV184" s="747">
        <v>116347000000</v>
      </c>
      <c r="AW184" s="534">
        <f>(_xlfn.XLOOKUP(RPBOD3[[#This Row],[Bonds_ShortName]],FNRP!D:D,FNRP!H:H,_xlfn.XLOOKUP(RPBOD3[[#This Row],[Bonds_ShortName]],FNRP!AV:AV,FNRP!AZ:AZ,,0),0)-RPBOD3[[#This Row],[PTCK_Remain]]-10^5)*RPBOD3[[#This Row],[Quantity]]</f>
        <v>-6543740069.434288</v>
      </c>
      <c r="AY184" s="128"/>
      <c r="AZ184" s="610">
        <v>46252</v>
      </c>
      <c r="BA184" s="850">
        <v>47944</v>
      </c>
      <c r="BB184" s="852" t="s">
        <v>720</v>
      </c>
      <c r="BC184" s="39" t="s">
        <v>824</v>
      </c>
      <c r="BD184" s="530">
        <v>420000</v>
      </c>
      <c r="BE184" s="530">
        <v>154517</v>
      </c>
      <c r="BF184" s="658">
        <v>45972</v>
      </c>
      <c r="BG184" s="658">
        <v>45973</v>
      </c>
      <c r="BH184" s="658">
        <v>53613</v>
      </c>
      <c r="BI184" s="500">
        <v>65169720000</v>
      </c>
      <c r="BJ184" s="49">
        <v>7.9</v>
      </c>
      <c r="BK184" s="49">
        <v>185.18004581700001</v>
      </c>
      <c r="BL184" s="630" t="s">
        <v>2172</v>
      </c>
      <c r="BM184" s="49" t="s">
        <v>1033</v>
      </c>
      <c r="BN18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84" s="396">
        <f>(PTCK_offBS[[#This Row],[VALUE_DATE]]-PTCK_offBS[[#This Row],[LAST_PMT]])*PTCK_offBS[[#This Row],[COUPON_RATE]]*1000/(DATE(YEAR(PTCK_offBS[[#This Row],[LAST_PMT]])+1,MONTH(PTCK_offBS[[#This Row],[LAST_PMT]]),DAY(PTCK_offBS[[#This Row],[LAST_PMT]]))-PTCK_offBS[[#This Row],[LAST_PMT]])</f>
        <v>649.31506849315065</v>
      </c>
      <c r="BP184" s="396">
        <f>PTCK_offBS[[#This Row],[GROSS_AMOUNT]]/PTCK_offBS[[#This Row],[QUANTITY]]-PTCK_offBS[[#This Row],[START_ACC]]-10^5</f>
        <v>54516.684931506839</v>
      </c>
      <c r="BQ184" s="396">
        <f>IF(PTCK_offBS[[#This Row],[BS]]="Others",PTCK_offBS[[#This Row],[PTCK]]*(PTCK_offBS[[#This Row],[MATURITY_DATE]]-PTCK_offBS[[#This Row],[POSTED_DT]]-1)/(PTCK_offBS[[#This Row],[MATURITY_DATE]]-PTCK_offBS[[#This Row],[VALUE_DATE]]),PTCK_offBS[[#This Row],[PTCK]])</f>
        <v>52518.691242917586</v>
      </c>
      <c r="BR184" s="396">
        <f>PTCK_offBS[[#This Row],[PTCK remain]]*PTCK_offBS[[#This Row],[QUANTITY]]</f>
        <v>22057850322.025387</v>
      </c>
    </row>
    <row r="185" spans="20:70" ht="14.4" customHeight="1" x14ac:dyDescent="0.3">
      <c r="T185" s="362"/>
      <c r="AK185" s="734"/>
      <c r="AL185" s="128">
        <v>42869</v>
      </c>
      <c r="AM185" s="128" t="s">
        <v>2775</v>
      </c>
      <c r="AN185" s="736">
        <v>3.6</v>
      </c>
      <c r="AO185" s="128" t="s">
        <v>907</v>
      </c>
      <c r="AP185" s="49" t="s">
        <v>2176</v>
      </c>
      <c r="AQ185" s="530">
        <v>2000000</v>
      </c>
      <c r="AR185" s="500">
        <v>2873.4520627324846</v>
      </c>
      <c r="AS185" s="530">
        <v>103383</v>
      </c>
      <c r="AT185" s="530">
        <v>105517</v>
      </c>
      <c r="AU185" s="769">
        <v>3.3</v>
      </c>
      <c r="AV185" s="747">
        <v>116347000000</v>
      </c>
      <c r="AW185" s="534">
        <f>(_xlfn.XLOOKUP(RPBOD3[[#This Row],[Bonds_ShortName]],FNRP!D:D,FNRP!H:H,_xlfn.XLOOKUP(RPBOD3[[#This Row],[Bonds_ShortName]],FNRP!AV:AV,FNRP!AZ:AZ,,0),0)-RPBOD3[[#This Row],[PTCK_Remain]]-10^5)*RPBOD3[[#This Row],[Quantity]]</f>
        <v>-31062904125.464962</v>
      </c>
      <c r="AY185" s="128"/>
      <c r="AZ185" s="610">
        <v>46252</v>
      </c>
      <c r="BA185" s="850">
        <v>50199</v>
      </c>
      <c r="BB185" s="852" t="s">
        <v>2371</v>
      </c>
      <c r="BC185" s="39" t="s">
        <v>824</v>
      </c>
      <c r="BD185" s="530">
        <v>620000</v>
      </c>
      <c r="BE185" s="530">
        <v>75980</v>
      </c>
      <c r="BF185" s="658">
        <v>46224</v>
      </c>
      <c r="BG185" s="658">
        <v>46225</v>
      </c>
      <c r="BH185" s="658">
        <v>55531</v>
      </c>
      <c r="BI185" s="500">
        <v>48043800000</v>
      </c>
      <c r="BJ185" s="49">
        <v>2.9</v>
      </c>
      <c r="BK185" s="49">
        <v>186.18004581700001</v>
      </c>
      <c r="BL185" s="630" t="s">
        <v>2172</v>
      </c>
      <c r="BM185" s="49" t="s">
        <v>1033</v>
      </c>
      <c r="BN18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46035</v>
      </c>
      <c r="BO185" s="396">
        <f>(PTCK_offBS[[#This Row],[VALUE_DATE]]-PTCK_offBS[[#This Row],[LAST_PMT]])*PTCK_offBS[[#This Row],[COUPON_RATE]]*1000/(DATE(YEAR(PTCK_offBS[[#This Row],[LAST_PMT]])+1,MONTH(PTCK_offBS[[#This Row],[LAST_PMT]]),DAY(PTCK_offBS[[#This Row],[LAST_PMT]]))-PTCK_offBS[[#This Row],[LAST_PMT]])</f>
        <v>1509.5890410958905</v>
      </c>
      <c r="BP185" s="396">
        <f>PTCK_offBS[[#This Row],[GROSS_AMOUNT]]/PTCK_offBS[[#This Row],[QUANTITY]]-PTCK_offBS[[#This Row],[START_ACC]]-10^5</f>
        <v>-24019.589041095896</v>
      </c>
      <c r="BQ185" s="396">
        <f>IF(PTCK_offBS[[#This Row],[BS]]="Others",PTCK_offBS[[#This Row],[PTCK]]*(PTCK_offBS[[#This Row],[MATURITY_DATE]]-PTCK_offBS[[#This Row],[POSTED_DT]]-1)/(PTCK_offBS[[#This Row],[MATURITY_DATE]]-PTCK_offBS[[#This Row],[VALUE_DATE]]),PTCK_offBS[[#This Row],[PTCK]])</f>
        <v>-23947.318624896598</v>
      </c>
      <c r="BR185" s="396">
        <f>PTCK_offBS[[#This Row],[PTCK remain]]*PTCK_offBS[[#This Row],[QUANTITY]]</f>
        <v>-14847337547.43589</v>
      </c>
    </row>
    <row r="186" spans="20:70" x14ac:dyDescent="0.3">
      <c r="T186" s="362"/>
      <c r="AK186" s="734"/>
      <c r="AL186" s="128">
        <v>48326</v>
      </c>
      <c r="AM186" s="128" t="s">
        <v>3051</v>
      </c>
      <c r="AN186" s="736">
        <v>2.9</v>
      </c>
      <c r="AO186" s="128" t="s">
        <v>823</v>
      </c>
      <c r="AP186" s="49" t="s">
        <v>824</v>
      </c>
      <c r="AQ186" s="530">
        <v>500000</v>
      </c>
      <c r="AR186" s="500">
        <v>-6382.7920691283998</v>
      </c>
      <c r="AS186" s="530">
        <v>93105</v>
      </c>
      <c r="AT186" s="530">
        <v>95393</v>
      </c>
      <c r="AU186" s="769">
        <v>3.8</v>
      </c>
      <c r="AV186" s="747">
        <v>116347000000</v>
      </c>
      <c r="AW186" s="534">
        <f>(_xlfn.XLOOKUP(RPBOD3[[#This Row],[Bonds_ShortName]],FNRP!D:D,FNRP!H:H,_xlfn.XLOOKUP(RPBOD3[[#This Row],[Bonds_ShortName]],FNRP!AV:AV,FNRP!AZ:AZ,,0),0)-RPBOD3[[#This Row],[PTCK_Remain]]-10^5)*RPBOD3[[#This Row],[Quantity]]</f>
        <v>-1989603965.4358029</v>
      </c>
      <c r="AY186" s="128"/>
      <c r="AZ186" s="610">
        <v>46252</v>
      </c>
      <c r="BA186" s="850">
        <v>49912</v>
      </c>
      <c r="BB186" s="852" t="s">
        <v>712</v>
      </c>
      <c r="BC186" s="39" t="s">
        <v>824</v>
      </c>
      <c r="BD186" s="530">
        <v>500000</v>
      </c>
      <c r="BE186" s="530">
        <v>99868</v>
      </c>
      <c r="BF186" s="658">
        <v>46183</v>
      </c>
      <c r="BG186" s="658">
        <v>46184</v>
      </c>
      <c r="BH186" s="658">
        <v>51144</v>
      </c>
      <c r="BI186" s="500">
        <v>50688500000</v>
      </c>
      <c r="BJ186" s="49">
        <v>3.6</v>
      </c>
      <c r="BK186" s="49">
        <v>187.18004581700001</v>
      </c>
      <c r="BL186" s="630" t="s">
        <v>2172</v>
      </c>
      <c r="BM186" s="49" t="s">
        <v>1033</v>
      </c>
      <c r="BN18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46031</v>
      </c>
      <c r="BO186" s="396">
        <f>(PTCK_offBS[[#This Row],[VALUE_DATE]]-PTCK_offBS[[#This Row],[LAST_PMT]])*PTCK_offBS[[#This Row],[COUPON_RATE]]*1000/(DATE(YEAR(PTCK_offBS[[#This Row],[LAST_PMT]])+1,MONTH(PTCK_offBS[[#This Row],[LAST_PMT]]),DAY(PTCK_offBS[[#This Row],[LAST_PMT]]))-PTCK_offBS[[#This Row],[LAST_PMT]])</f>
        <v>1509.0410958904113</v>
      </c>
      <c r="BP186" s="396">
        <f>PTCK_offBS[[#This Row],[GROSS_AMOUNT]]/PTCK_offBS[[#This Row],[QUANTITY]]-PTCK_offBS[[#This Row],[START_ACC]]-10^5</f>
        <v>-132.04109589041036</v>
      </c>
      <c r="BQ186" s="396">
        <f>IF(PTCK_offBS[[#This Row],[BS]]="Others",PTCK_offBS[[#This Row],[PTCK]]*(PTCK_offBS[[#This Row],[MATURITY_DATE]]-PTCK_offBS[[#This Row],[POSTED_DT]]-1)/(PTCK_offBS[[#This Row],[MATURITY_DATE]]-PTCK_offBS[[#This Row],[VALUE_DATE]]),PTCK_offBS[[#This Row],[PTCK]])</f>
        <v>-130.20423387096716</v>
      </c>
      <c r="BR186" s="396">
        <f>PTCK_offBS[[#This Row],[PTCK remain]]*PTCK_offBS[[#This Row],[QUANTITY]]</f>
        <v>-65102116.935483582</v>
      </c>
    </row>
    <row r="187" spans="20:70" ht="14.4" customHeight="1" x14ac:dyDescent="0.3">
      <c r="T187" s="362"/>
      <c r="AK187" s="734"/>
      <c r="AL187" s="128">
        <v>47036</v>
      </c>
      <c r="AM187" s="128" t="s">
        <v>2775</v>
      </c>
      <c r="AN187" s="736">
        <v>3.6</v>
      </c>
      <c r="AO187" s="128" t="s">
        <v>907</v>
      </c>
      <c r="AP187" s="49" t="s">
        <v>2180</v>
      </c>
      <c r="AQ187" s="530">
        <v>2580000</v>
      </c>
      <c r="AR187" s="500">
        <v>4027.5284317848832</v>
      </c>
      <c r="AS187" s="530">
        <v>104373</v>
      </c>
      <c r="AT187" s="530">
        <v>106937</v>
      </c>
      <c r="AU187" s="769">
        <v>3.19</v>
      </c>
      <c r="AV187" s="747">
        <v>116347000000</v>
      </c>
      <c r="AW187" s="534">
        <f>(_xlfn.XLOOKUP(RPBOD3[[#This Row],[Bonds_ShortName]],FNRP!D:D,FNRP!H:H,_xlfn.XLOOKUP(RPBOD3[[#This Row],[Bonds_ShortName]],FNRP!AV:AV,FNRP!AZ:AZ,,0),0)-RPBOD3[[#This Row],[PTCK_Remain]]-10^5)*RPBOD3[[#This Row],[Quantity]]</f>
        <v>-43048663354.005005</v>
      </c>
      <c r="AY187" s="128"/>
      <c r="AZ187" s="610">
        <v>46252</v>
      </c>
      <c r="BA187" s="850">
        <v>49908</v>
      </c>
      <c r="BB187" s="852" t="s">
        <v>720</v>
      </c>
      <c r="BC187" s="39" t="s">
        <v>824</v>
      </c>
      <c r="BD187" s="530">
        <v>2800000</v>
      </c>
      <c r="BE187" s="530">
        <v>151572</v>
      </c>
      <c r="BF187" s="658">
        <v>46183</v>
      </c>
      <c r="BG187" s="658">
        <v>46184</v>
      </c>
      <c r="BH187" s="658">
        <v>53613</v>
      </c>
      <c r="BI187" s="500">
        <v>439006400000</v>
      </c>
      <c r="BJ187" s="49">
        <v>7.9</v>
      </c>
      <c r="BK187" s="49">
        <v>188.18004581700001</v>
      </c>
      <c r="BL187" s="630" t="s">
        <v>2172</v>
      </c>
      <c r="BM187" s="49" t="s">
        <v>1033</v>
      </c>
      <c r="BN18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187" s="396">
        <f>(PTCK_offBS[[#This Row],[VALUE_DATE]]-PTCK_offBS[[#This Row],[LAST_PMT]])*PTCK_offBS[[#This Row],[COUPON_RATE]]*1000/(DATE(YEAR(PTCK_offBS[[#This Row],[LAST_PMT]])+1,MONTH(PTCK_offBS[[#This Row],[LAST_PMT]]),DAY(PTCK_offBS[[#This Row],[LAST_PMT]]))-PTCK_offBS[[#This Row],[LAST_PMT]])</f>
        <v>5216.1643835616442</v>
      </c>
      <c r="BP187" s="396">
        <f>PTCK_offBS[[#This Row],[GROSS_AMOUNT]]/PTCK_offBS[[#This Row],[QUANTITY]]-PTCK_offBS[[#This Row],[START_ACC]]-10^5</f>
        <v>51571.835616438359</v>
      </c>
      <c r="BQ187" s="396">
        <f>IF(PTCK_offBS[[#This Row],[BS]]="Others",PTCK_offBS[[#This Row],[PTCK]]*(PTCK_offBS[[#This Row],[MATURITY_DATE]]-PTCK_offBS[[#This Row],[POSTED_DT]]-1)/(PTCK_offBS[[#This Row],[MATURITY_DATE]]-PTCK_offBS[[#This Row],[VALUE_DATE]]),PTCK_offBS[[#This Row],[PTCK]])</f>
        <v>51092.840239195895</v>
      </c>
      <c r="BR187" s="396">
        <f>PTCK_offBS[[#This Row],[PTCK remain]]*PTCK_offBS[[#This Row],[QUANTITY]]</f>
        <v>143059952669.7485</v>
      </c>
    </row>
    <row r="188" spans="20:70" ht="14.4" customHeight="1" x14ac:dyDescent="0.3">
      <c r="T188" s="362"/>
      <c r="AK188" s="734"/>
      <c r="AL188" s="128">
        <v>42196</v>
      </c>
      <c r="AM188" s="128" t="s">
        <v>2386</v>
      </c>
      <c r="AN188" s="736">
        <v>4.4000000000000004</v>
      </c>
      <c r="AO188" s="128" t="s">
        <v>823</v>
      </c>
      <c r="AP188" s="49" t="s">
        <v>2180</v>
      </c>
      <c r="AQ188" s="530">
        <v>1000000</v>
      </c>
      <c r="AR188" s="500">
        <v>19309.223771143301</v>
      </c>
      <c r="AS188" s="530">
        <v>123217</v>
      </c>
      <c r="AT188" s="530">
        <v>124203</v>
      </c>
      <c r="AU188" s="769">
        <v>2.4</v>
      </c>
      <c r="AV188" s="747">
        <v>116347000000</v>
      </c>
      <c r="AW188" s="534">
        <f>(_xlfn.XLOOKUP(RPBOD3[[#This Row],[Bonds_ShortName]],FNRP!D:D,FNRP!H:H,_xlfn.XLOOKUP(RPBOD3[[#This Row],[Bonds_ShortName]],FNRP!AV:AV,FNRP!AZ:AZ,,0),0)-RPBOD3[[#This Row],[PTCK_Remain]]-10^5)*RPBOD3[[#This Row],[Quantity]]</f>
        <v>-20090223771.143299</v>
      </c>
      <c r="AY188" s="128"/>
      <c r="AZ188" s="610">
        <v>46252</v>
      </c>
      <c r="BA188" s="850">
        <v>49910</v>
      </c>
      <c r="BB188" s="852" t="s">
        <v>2497</v>
      </c>
      <c r="BC188" s="39" t="s">
        <v>824</v>
      </c>
      <c r="BD188" s="530">
        <v>700000</v>
      </c>
      <c r="BE188" s="530">
        <v>103133</v>
      </c>
      <c r="BF188" s="658">
        <v>46183</v>
      </c>
      <c r="BG188" s="658">
        <v>46184</v>
      </c>
      <c r="BH188" s="658">
        <v>55966</v>
      </c>
      <c r="BI188" s="500">
        <v>72837800000</v>
      </c>
      <c r="BJ188" s="49">
        <v>4.2</v>
      </c>
      <c r="BK188" s="49">
        <v>189.18004581700001</v>
      </c>
      <c r="BL188" s="630" t="s">
        <v>2172</v>
      </c>
      <c r="BM188" s="49" t="s">
        <v>1033</v>
      </c>
      <c r="BN18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88" s="396">
        <f>(PTCK_offBS[[#This Row],[VALUE_DATE]]-PTCK_offBS[[#This Row],[LAST_PMT]])*PTCK_offBS[[#This Row],[COUPON_RATE]]*1000/(DATE(YEAR(PTCK_offBS[[#This Row],[LAST_PMT]])+1,MONTH(PTCK_offBS[[#This Row],[LAST_PMT]]),DAY(PTCK_offBS[[#This Row],[LAST_PMT]]))-PTCK_offBS[[#This Row],[LAST_PMT]])</f>
        <v>920.54794520547944</v>
      </c>
      <c r="BP188" s="396">
        <f>PTCK_offBS[[#This Row],[GROSS_AMOUNT]]/PTCK_offBS[[#This Row],[QUANTITY]]-PTCK_offBS[[#This Row],[START_ACC]]-10^5</f>
        <v>3133.452054794514</v>
      </c>
      <c r="BQ188" s="396">
        <f>IF(PTCK_offBS[[#This Row],[BS]]="Others",PTCK_offBS[[#This Row],[PTCK]]*(PTCK_offBS[[#This Row],[MATURITY_DATE]]-PTCK_offBS[[#This Row],[POSTED_DT]]-1)/(PTCK_offBS[[#This Row],[MATURITY_DATE]]-PTCK_offBS[[#This Row],[VALUE_DATE]]),PTCK_offBS[[#This Row],[PTCK]])</f>
        <v>3111.3493976915879</v>
      </c>
      <c r="BR188" s="396">
        <f>PTCK_offBS[[#This Row],[PTCK remain]]*PTCK_offBS[[#This Row],[QUANTITY]]</f>
        <v>2177944578.3841114</v>
      </c>
    </row>
    <row r="189" spans="20:70" ht="14.4" customHeight="1" x14ac:dyDescent="0.3">
      <c r="T189" s="362"/>
      <c r="AK189" s="734"/>
      <c r="AL189" s="128">
        <v>48421</v>
      </c>
      <c r="AM189" s="128" t="s">
        <v>2836</v>
      </c>
      <c r="AN189" s="736">
        <v>2.7</v>
      </c>
      <c r="AO189" s="128" t="s">
        <v>823</v>
      </c>
      <c r="AP189" s="49" t="s">
        <v>824</v>
      </c>
      <c r="AQ189" s="530">
        <v>500000</v>
      </c>
      <c r="AR189" s="500">
        <v>-2889.1860910279001</v>
      </c>
      <c r="AS189" s="530">
        <v>96888</v>
      </c>
      <c r="AT189" s="530">
        <v>98175</v>
      </c>
      <c r="AU189" s="769">
        <v>3.12</v>
      </c>
      <c r="AV189" s="747">
        <v>116347000000</v>
      </c>
      <c r="AW189" s="534">
        <f>(_xlfn.XLOOKUP(RPBOD3[[#This Row],[Bonds_ShortName]],FNRP!D:D,FNRP!H:H,_xlfn.XLOOKUP(RPBOD3[[#This Row],[Bonds_ShortName]],FNRP!AV:AV,FNRP!AZ:AZ,,0),0)-RPBOD3[[#This Row],[PTCK_Remain]]-10^5)*RPBOD3[[#This Row],[Quantity]]</f>
        <v>-3987906954.4860468</v>
      </c>
      <c r="AY189" s="128"/>
      <c r="AZ189" s="610">
        <v>46252</v>
      </c>
      <c r="BA189" s="850">
        <v>50040</v>
      </c>
      <c r="BB189" s="852" t="s">
        <v>615</v>
      </c>
      <c r="BC189" s="39" t="s">
        <v>824</v>
      </c>
      <c r="BD189" s="530">
        <v>3660000</v>
      </c>
      <c r="BE189" s="530">
        <v>116380</v>
      </c>
      <c r="BF189" s="658">
        <v>46202</v>
      </c>
      <c r="BG189" s="658">
        <v>46203</v>
      </c>
      <c r="BH189" s="658">
        <v>47855</v>
      </c>
      <c r="BI189" s="500">
        <v>439210980000</v>
      </c>
      <c r="BJ189" s="49">
        <v>7.6</v>
      </c>
      <c r="BK189" s="49">
        <v>190.18004581700001</v>
      </c>
      <c r="BL189" s="630" t="s">
        <v>2172</v>
      </c>
      <c r="BM189" s="49" t="s">
        <v>1033</v>
      </c>
      <c r="BN18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189" s="396">
        <f>(PTCK_offBS[[#This Row],[VALUE_DATE]]-PTCK_offBS[[#This Row],[LAST_PMT]])*PTCK_offBS[[#This Row],[COUPON_RATE]]*1000/(DATE(YEAR(PTCK_offBS[[#This Row],[LAST_PMT]])+1,MONTH(PTCK_offBS[[#This Row],[LAST_PMT]]),DAY(PTCK_offBS[[#This Row],[LAST_PMT]]))-PTCK_offBS[[#This Row],[LAST_PMT]])</f>
        <v>3623.0136986301363</v>
      </c>
      <c r="BP189" s="396">
        <f>PTCK_offBS[[#This Row],[GROSS_AMOUNT]]/PTCK_offBS[[#This Row],[QUANTITY]]-PTCK_offBS[[#This Row],[START_ACC]]-10^5</f>
        <v>16379.986301369863</v>
      </c>
      <c r="BQ189" s="396">
        <f>IF(PTCK_offBS[[#This Row],[BS]]="Others",PTCK_offBS[[#This Row],[PTCK]]*(PTCK_offBS[[#This Row],[MATURITY_DATE]]-PTCK_offBS[[#This Row],[POSTED_DT]]-1)/(PTCK_offBS[[#This Row],[MATURITY_DATE]]-PTCK_offBS[[#This Row],[VALUE_DATE]]),PTCK_offBS[[#This Row],[PTCK]])</f>
        <v>15884.224004112906</v>
      </c>
      <c r="BR189" s="396">
        <f>PTCK_offBS[[#This Row],[PTCK remain]]*PTCK_offBS[[#This Row],[QUANTITY]]</f>
        <v>58136259855.053238</v>
      </c>
    </row>
    <row r="190" spans="20:70" ht="14.4" customHeight="1" x14ac:dyDescent="0.3">
      <c r="T190" s="362"/>
      <c r="AK190" s="734"/>
      <c r="AL190" s="128">
        <v>45190</v>
      </c>
      <c r="AM190" s="128" t="s">
        <v>2380</v>
      </c>
      <c r="AN190" s="736">
        <v>4.7</v>
      </c>
      <c r="AO190" s="128" t="s">
        <v>823</v>
      </c>
      <c r="AP190" s="49" t="s">
        <v>2180</v>
      </c>
      <c r="AQ190" s="530">
        <v>1500000</v>
      </c>
      <c r="AR190" s="500">
        <v>21267.587504584932</v>
      </c>
      <c r="AS190" s="530">
        <v>124266</v>
      </c>
      <c r="AT190" s="530">
        <v>124330</v>
      </c>
      <c r="AU190" s="769">
        <v>2.4900000000000002</v>
      </c>
      <c r="AV190" s="747">
        <v>116347000000</v>
      </c>
      <c r="AW190" s="534">
        <f>(_xlfn.XLOOKUP(RPBOD3[[#This Row],[Bonds_ShortName]],FNRP!D:D,FNRP!H:H,_xlfn.XLOOKUP(RPBOD3[[#This Row],[Bonds_ShortName]],FNRP!AV:AV,FNRP!AZ:AZ,,0),0)-RPBOD3[[#This Row],[PTCK_Remain]]-10^5)*RPBOD3[[#This Row],[Quantity]]</f>
        <v>-29096381256.877388</v>
      </c>
      <c r="AY190" s="128"/>
      <c r="AZ190" s="610">
        <v>46252</v>
      </c>
      <c r="BA190" s="850">
        <v>50042</v>
      </c>
      <c r="BB190" s="852" t="s">
        <v>717</v>
      </c>
      <c r="BC190" s="39" t="s">
        <v>824</v>
      </c>
      <c r="BD190" s="530">
        <v>580000</v>
      </c>
      <c r="BE190" s="530">
        <v>153297</v>
      </c>
      <c r="BF190" s="658">
        <v>46202</v>
      </c>
      <c r="BG190" s="658">
        <v>46203</v>
      </c>
      <c r="BH190" s="658">
        <v>53326</v>
      </c>
      <c r="BI190" s="500">
        <v>91225880000</v>
      </c>
      <c r="BJ190" s="49">
        <v>8</v>
      </c>
      <c r="BK190" s="49">
        <v>191.18004581700001</v>
      </c>
      <c r="BL190" s="630" t="s">
        <v>2172</v>
      </c>
      <c r="BM190" s="49" t="s">
        <v>1033</v>
      </c>
      <c r="BN19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46021</v>
      </c>
      <c r="BO190" s="396">
        <f>(PTCK_offBS[[#This Row],[VALUE_DATE]]-PTCK_offBS[[#This Row],[LAST_PMT]])*PTCK_offBS[[#This Row],[COUPON_RATE]]*1000/(DATE(YEAR(PTCK_offBS[[#This Row],[LAST_PMT]])+1,MONTH(PTCK_offBS[[#This Row],[LAST_PMT]]),DAY(PTCK_offBS[[#This Row],[LAST_PMT]]))-PTCK_offBS[[#This Row],[LAST_PMT]])</f>
        <v>3989.0410958904108</v>
      </c>
      <c r="BP190" s="396">
        <f>PTCK_offBS[[#This Row],[GROSS_AMOUNT]]/PTCK_offBS[[#This Row],[QUANTITY]]-PTCK_offBS[[#This Row],[START_ACC]]-10^5</f>
        <v>53296.958904109575</v>
      </c>
      <c r="BQ190" s="396">
        <f>IF(PTCK_offBS[[#This Row],[BS]]="Others",PTCK_offBS[[#This Row],[PTCK]]*(PTCK_offBS[[#This Row],[MATURITY_DATE]]-PTCK_offBS[[#This Row],[POSTED_DT]]-1)/(PTCK_offBS[[#This Row],[MATURITY_DATE]]-PTCK_offBS[[#This Row],[VALUE_DATE]]),PTCK_offBS[[#This Row],[PTCK]])</f>
        <v>52922.840141621084</v>
      </c>
      <c r="BR190" s="396">
        <f>PTCK_offBS[[#This Row],[PTCK remain]]*PTCK_offBS[[#This Row],[QUANTITY]]</f>
        <v>30695247282.140228</v>
      </c>
    </row>
    <row r="191" spans="20:70" ht="14.4" customHeight="1" x14ac:dyDescent="0.3">
      <c r="T191" s="362"/>
      <c r="AK191" s="734"/>
      <c r="AL191" s="128">
        <v>49641</v>
      </c>
      <c r="AM191" s="128" t="s">
        <v>724</v>
      </c>
      <c r="AN191" s="736">
        <v>7.6</v>
      </c>
      <c r="AO191" s="128" t="s">
        <v>823</v>
      </c>
      <c r="AP191" s="49" t="s">
        <v>824</v>
      </c>
      <c r="AQ191" s="530">
        <v>2000000</v>
      </c>
      <c r="AR191" s="500">
        <v>43492.841346128</v>
      </c>
      <c r="AS191" s="530">
        <v>144092</v>
      </c>
      <c r="AT191" s="530">
        <v>144446</v>
      </c>
      <c r="AU191" s="769">
        <v>4.3499999999999996</v>
      </c>
      <c r="AV191" s="747">
        <v>116347000000</v>
      </c>
      <c r="AW191" s="534">
        <f>(_xlfn.XLOOKUP(RPBOD3[[#This Row],[Bonds_ShortName]],FNRP!D:D,FNRP!H:H,_xlfn.XLOOKUP(RPBOD3[[#This Row],[Bonds_ShortName]],FNRP!AV:AV,FNRP!AZ:AZ,,0),0)-RPBOD3[[#This Row],[PTCK_Remain]]-10^5)*RPBOD3[[#This Row],[Quantity]]</f>
        <v>-10441682692.255999</v>
      </c>
      <c r="AY191" s="128"/>
      <c r="AZ191" s="610">
        <v>46252</v>
      </c>
      <c r="BA191" s="850">
        <v>50418</v>
      </c>
      <c r="BB191" s="852" t="s">
        <v>2499</v>
      </c>
      <c r="BC191" s="39" t="s">
        <v>824</v>
      </c>
      <c r="BD191" s="530">
        <v>1000000</v>
      </c>
      <c r="BE191" s="530">
        <v>111117</v>
      </c>
      <c r="BF191" s="658">
        <v>46258</v>
      </c>
      <c r="BG191" s="658">
        <v>46259</v>
      </c>
      <c r="BH191" s="658">
        <v>48556</v>
      </c>
      <c r="BI191" s="500">
        <v>114536000000</v>
      </c>
      <c r="BJ191" s="49">
        <v>4.8</v>
      </c>
      <c r="BK191" s="49">
        <v>192.18004581700001</v>
      </c>
      <c r="BL191" s="630" t="s">
        <v>2172</v>
      </c>
      <c r="BM191" s="49" t="s">
        <v>1033</v>
      </c>
      <c r="BN19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45999</v>
      </c>
      <c r="BO191" s="396">
        <f>(PTCK_offBS[[#This Row],[VALUE_DATE]]-PTCK_offBS[[#This Row],[LAST_PMT]])*PTCK_offBS[[#This Row],[COUPON_RATE]]*1000/(DATE(YEAR(PTCK_offBS[[#This Row],[LAST_PMT]])+1,MONTH(PTCK_offBS[[#This Row],[LAST_PMT]]),DAY(PTCK_offBS[[#This Row],[LAST_PMT]]))-PTCK_offBS[[#This Row],[LAST_PMT]])</f>
        <v>3419.178082191781</v>
      </c>
      <c r="BP191" s="396">
        <f>PTCK_offBS[[#This Row],[GROSS_AMOUNT]]/PTCK_offBS[[#This Row],[QUANTITY]]-PTCK_offBS[[#This Row],[START_ACC]]-10^5</f>
        <v>11116.821917808222</v>
      </c>
      <c r="BQ191" s="396">
        <f>IF(PTCK_offBS[[#This Row],[BS]]="Others",PTCK_offBS[[#This Row],[PTCK]]*(PTCK_offBS[[#This Row],[MATURITY_DATE]]-PTCK_offBS[[#This Row],[POSTED_DT]]-1)/(PTCK_offBS[[#This Row],[MATURITY_DATE]]-PTCK_offBS[[#This Row],[VALUE_DATE]]),PTCK_offBS[[#This Row],[PTCK]])</f>
        <v>11145.860198829923</v>
      </c>
      <c r="BR191" s="396">
        <f>PTCK_offBS[[#This Row],[PTCK remain]]*PTCK_offBS[[#This Row],[QUANTITY]]</f>
        <v>11145860198.829924</v>
      </c>
    </row>
    <row r="192" spans="20:70" ht="14.4" customHeight="1" x14ac:dyDescent="0.3">
      <c r="T192" s="362"/>
      <c r="AK192" s="734"/>
      <c r="AL192" s="128">
        <v>50036</v>
      </c>
      <c r="AM192" s="128" t="s">
        <v>2497</v>
      </c>
      <c r="AN192" s="736">
        <v>4.2</v>
      </c>
      <c r="AO192" s="128" t="s">
        <v>823</v>
      </c>
      <c r="AP192" s="49" t="s">
        <v>824</v>
      </c>
      <c r="AQ192" s="530">
        <v>700000</v>
      </c>
      <c r="AR192" s="500">
        <v>3214.2112327645859</v>
      </c>
      <c r="AS192" s="530">
        <v>103234</v>
      </c>
      <c r="AT192" s="530">
        <v>104247</v>
      </c>
      <c r="AU192" s="769">
        <v>4</v>
      </c>
      <c r="AV192" s="747">
        <v>116347000000</v>
      </c>
      <c r="AW192" s="534">
        <f>(_xlfn.XLOOKUP(RPBOD3[[#This Row],[Bonds_ShortName]],FNRP!D:D,FNRP!H:H,_xlfn.XLOOKUP(RPBOD3[[#This Row],[Bonds_ShortName]],FNRP!AV:AV,FNRP!AZ:AZ,,0),0)-RPBOD3[[#This Row],[PTCK_Remain]]-10^5)*RPBOD3[[#This Row],[Quantity]]</f>
        <v>-7618947862.9352121</v>
      </c>
      <c r="AY192" s="128"/>
      <c r="AZ192" s="610">
        <v>46252</v>
      </c>
      <c r="BA192" s="850">
        <v>50422</v>
      </c>
      <c r="BB192" s="852" t="s">
        <v>3517</v>
      </c>
      <c r="BC192" s="39" t="s">
        <v>824</v>
      </c>
      <c r="BD192" s="530">
        <v>2000000</v>
      </c>
      <c r="BE192" s="530">
        <v>98269</v>
      </c>
      <c r="BF192" s="658">
        <v>46258</v>
      </c>
      <c r="BG192" s="658">
        <v>46259</v>
      </c>
      <c r="BH192" s="658">
        <v>47688</v>
      </c>
      <c r="BI192" s="500">
        <v>197012000000</v>
      </c>
      <c r="BJ192" s="49">
        <v>2.7</v>
      </c>
      <c r="BK192" s="49">
        <v>193.18004581700001</v>
      </c>
      <c r="BL192" s="630" t="s">
        <v>2172</v>
      </c>
      <c r="BM192" s="49" t="s">
        <v>1033</v>
      </c>
      <c r="BN19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46227</v>
      </c>
      <c r="BO192" s="396">
        <f>(PTCK_offBS[[#This Row],[VALUE_DATE]]-PTCK_offBS[[#This Row],[LAST_PMT]])*PTCK_offBS[[#This Row],[COUPON_RATE]]*1000/(DATE(YEAR(PTCK_offBS[[#This Row],[LAST_PMT]])+1,MONTH(PTCK_offBS[[#This Row],[LAST_PMT]]),DAY(PTCK_offBS[[#This Row],[LAST_PMT]]))-PTCK_offBS[[#This Row],[LAST_PMT]])</f>
        <v>236.7123287671233</v>
      </c>
      <c r="BP192" s="396">
        <f>PTCK_offBS[[#This Row],[GROSS_AMOUNT]]/PTCK_offBS[[#This Row],[QUANTITY]]-PTCK_offBS[[#This Row],[START_ACC]]-10^5</f>
        <v>-1730.7123287671275</v>
      </c>
      <c r="BQ192" s="396">
        <f>IF(PTCK_offBS[[#This Row],[BS]]="Others",PTCK_offBS[[#This Row],[PTCK]]*(PTCK_offBS[[#This Row],[MATURITY_DATE]]-PTCK_offBS[[#This Row],[POSTED_DT]]-1)/(PTCK_offBS[[#This Row],[MATURITY_DATE]]-PTCK_offBS[[#This Row],[VALUE_DATE]]),PTCK_offBS[[#This Row],[PTCK]])</f>
        <v>-1737.9791405044282</v>
      </c>
      <c r="BR192" s="396">
        <f>PTCK_offBS[[#This Row],[PTCK remain]]*PTCK_offBS[[#This Row],[QUANTITY]]</f>
        <v>-3475958281.0088563</v>
      </c>
    </row>
    <row r="193" spans="20:70" ht="14.4" customHeight="1" x14ac:dyDescent="0.3">
      <c r="T193" s="362"/>
      <c r="AK193" s="734"/>
      <c r="AL193" s="128">
        <v>45193</v>
      </c>
      <c r="AM193" s="128" t="s">
        <v>2380</v>
      </c>
      <c r="AN193" s="736">
        <v>4.7</v>
      </c>
      <c r="AO193" s="128" t="s">
        <v>823</v>
      </c>
      <c r="AP193" s="49" t="s">
        <v>2180</v>
      </c>
      <c r="AQ193" s="530">
        <v>3500000</v>
      </c>
      <c r="AR193" s="500">
        <v>21376.678086522199</v>
      </c>
      <c r="AS193" s="530">
        <v>124400</v>
      </c>
      <c r="AT193" s="530">
        <v>124439</v>
      </c>
      <c r="AU193" s="769">
        <v>2.48</v>
      </c>
      <c r="AV193" s="747">
        <v>116347000000</v>
      </c>
      <c r="AW193" s="534">
        <f>(_xlfn.XLOOKUP(RPBOD3[[#This Row],[Bonds_ShortName]],FNRP!D:D,FNRP!H:H,_xlfn.XLOOKUP(RPBOD3[[#This Row],[Bonds_ShortName]],FNRP!AV:AV,FNRP!AZ:AZ,,0),0)-RPBOD3[[#This Row],[PTCK_Remain]]-10^5)*RPBOD3[[#This Row],[Quantity]]</f>
        <v>-68273373302.827682</v>
      </c>
      <c r="AY193" s="128"/>
      <c r="AZ193" s="610">
        <v>46252</v>
      </c>
      <c r="BA193" s="850">
        <v>50420</v>
      </c>
      <c r="BB193" s="852" t="s">
        <v>2398</v>
      </c>
      <c r="BC193" s="39" t="s">
        <v>824</v>
      </c>
      <c r="BD193" s="530">
        <v>500000</v>
      </c>
      <c r="BE193" s="530">
        <v>108789</v>
      </c>
      <c r="BF193" s="658">
        <v>46258</v>
      </c>
      <c r="BG193" s="658">
        <v>46259</v>
      </c>
      <c r="BH193" s="658">
        <v>48633</v>
      </c>
      <c r="BI193" s="500">
        <v>55422500000</v>
      </c>
      <c r="BJ193" s="49">
        <v>4.0999999999999996</v>
      </c>
      <c r="BK193" s="49">
        <v>194.18004581700001</v>
      </c>
      <c r="BL193" s="630" t="s">
        <v>2172</v>
      </c>
      <c r="BM193" s="49" t="s">
        <v>1033</v>
      </c>
      <c r="BN19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46076</v>
      </c>
      <c r="BO193" s="396">
        <f>(PTCK_offBS[[#This Row],[VALUE_DATE]]-PTCK_offBS[[#This Row],[LAST_PMT]])*PTCK_offBS[[#This Row],[COUPON_RATE]]*1000/(DATE(YEAR(PTCK_offBS[[#This Row],[LAST_PMT]])+1,MONTH(PTCK_offBS[[#This Row],[LAST_PMT]]),DAY(PTCK_offBS[[#This Row],[LAST_PMT]]))-PTCK_offBS[[#This Row],[LAST_PMT]])</f>
        <v>2055.6164383561645</v>
      </c>
      <c r="BP193" s="396">
        <f>PTCK_offBS[[#This Row],[GROSS_AMOUNT]]/PTCK_offBS[[#This Row],[QUANTITY]]-PTCK_offBS[[#This Row],[START_ACC]]-10^5</f>
        <v>8789.38356164383</v>
      </c>
      <c r="BQ193" s="396">
        <f>IF(PTCK_offBS[[#This Row],[BS]]="Others",PTCK_offBS[[#This Row],[PTCK]]*(PTCK_offBS[[#This Row],[MATURITY_DATE]]-PTCK_offBS[[#This Row],[POSTED_DT]]-1)/(PTCK_offBS[[#This Row],[MATURITY_DATE]]-PTCK_offBS[[#This Row],[VALUE_DATE]]),PTCK_offBS[[#This Row],[PTCK]])</f>
        <v>8811.5976734255746</v>
      </c>
      <c r="BR193" s="396">
        <f>PTCK_offBS[[#This Row],[PTCK remain]]*PTCK_offBS[[#This Row],[QUANTITY]]</f>
        <v>4405798836.7127876</v>
      </c>
    </row>
    <row r="194" spans="20:70" ht="14.4" customHeight="1" x14ac:dyDescent="0.3">
      <c r="T194" s="362"/>
      <c r="AK194" s="734"/>
      <c r="AL194" s="128">
        <v>45511</v>
      </c>
      <c r="AM194" s="128" t="s">
        <v>2503</v>
      </c>
      <c r="AN194" s="736">
        <v>3.4</v>
      </c>
      <c r="AO194" s="128" t="s">
        <v>823</v>
      </c>
      <c r="AP194" s="49" t="s">
        <v>2180</v>
      </c>
      <c r="AQ194" s="530">
        <v>500000</v>
      </c>
      <c r="AR194" s="500">
        <v>7304.5227787508602</v>
      </c>
      <c r="AS194" s="530">
        <v>108230</v>
      </c>
      <c r="AT194" s="530">
        <v>111127</v>
      </c>
      <c r="AU194" s="769">
        <v>2.65</v>
      </c>
      <c r="AV194" s="747">
        <v>116347000000</v>
      </c>
      <c r="AW194" s="534">
        <f>(_xlfn.XLOOKUP(RPBOD3[[#This Row],[Bonds_ShortName]],FNRP!D:D,FNRP!H:H,_xlfn.XLOOKUP(RPBOD3[[#This Row],[Bonds_ShortName]],FNRP!AV:AV,FNRP!AZ:AZ,,0),0)-RPBOD3[[#This Row],[PTCK_Remain]]-10^5)*RPBOD3[[#This Row],[Quantity]]</f>
        <v>-8534761389.3754311</v>
      </c>
      <c r="AY194" s="128"/>
      <c r="AZ194" s="610">
        <v>46252</v>
      </c>
      <c r="BA194" s="850">
        <v>50102</v>
      </c>
      <c r="BB194" s="852" t="s">
        <v>2497</v>
      </c>
      <c r="BC194" s="39" t="s">
        <v>824</v>
      </c>
      <c r="BD194" s="530">
        <v>700000</v>
      </c>
      <c r="BE194" s="530">
        <v>101176</v>
      </c>
      <c r="BF194" s="658">
        <v>46199</v>
      </c>
      <c r="BG194" s="658">
        <v>46202</v>
      </c>
      <c r="BH194" s="658">
        <v>55966</v>
      </c>
      <c r="BI194" s="500">
        <v>71612800000</v>
      </c>
      <c r="BJ194" s="49">
        <v>4.2</v>
      </c>
      <c r="BK194" s="49">
        <v>195.18004581700001</v>
      </c>
      <c r="BL194" s="630" t="s">
        <v>2172</v>
      </c>
      <c r="BM194" s="49" t="s">
        <v>1033</v>
      </c>
      <c r="BN19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94" s="396">
        <f>(PTCK_offBS[[#This Row],[VALUE_DATE]]-PTCK_offBS[[#This Row],[LAST_PMT]])*PTCK_offBS[[#This Row],[COUPON_RATE]]*1000/(DATE(YEAR(PTCK_offBS[[#This Row],[LAST_PMT]])+1,MONTH(PTCK_offBS[[#This Row],[LAST_PMT]]),DAY(PTCK_offBS[[#This Row],[LAST_PMT]]))-PTCK_offBS[[#This Row],[LAST_PMT]])</f>
        <v>1127.6712328767123</v>
      </c>
      <c r="BP194" s="396">
        <f>PTCK_offBS[[#This Row],[GROSS_AMOUNT]]/PTCK_offBS[[#This Row],[QUANTITY]]-PTCK_offBS[[#This Row],[START_ACC]]-10^5</f>
        <v>1176.3287671232829</v>
      </c>
      <c r="BQ194" s="396">
        <f>IF(PTCK_offBS[[#This Row],[BS]]="Others",PTCK_offBS[[#This Row],[PTCK]]*(PTCK_offBS[[#This Row],[MATURITY_DATE]]-PTCK_offBS[[#This Row],[POSTED_DT]]-1)/(PTCK_offBS[[#This Row],[MATURITY_DATE]]-PTCK_offBS[[#This Row],[VALUE_DATE]]),PTCK_offBS[[#This Row],[PTCK]])</f>
        <v>1170.1844853613729</v>
      </c>
      <c r="BR194" s="396">
        <f>PTCK_offBS[[#This Row],[PTCK remain]]*PTCK_offBS[[#This Row],[QUANTITY]]</f>
        <v>819129139.75296104</v>
      </c>
    </row>
    <row r="195" spans="20:70" ht="14.4" customHeight="1" x14ac:dyDescent="0.3">
      <c r="T195" s="362"/>
      <c r="AK195" s="734"/>
      <c r="AL195" s="128">
        <v>48359</v>
      </c>
      <c r="AM195" s="128" t="s">
        <v>2775</v>
      </c>
      <c r="AN195" s="736">
        <v>3.6</v>
      </c>
      <c r="AO195" s="128" t="s">
        <v>907</v>
      </c>
      <c r="AP195" s="49" t="s">
        <v>2180</v>
      </c>
      <c r="AQ195" s="530">
        <v>2000000</v>
      </c>
      <c r="AR195" s="500">
        <v>3449.2831544343949</v>
      </c>
      <c r="AS195" s="530">
        <v>103637</v>
      </c>
      <c r="AT195" s="530">
        <v>103982</v>
      </c>
      <c r="AU195" s="769">
        <v>3.25</v>
      </c>
      <c r="AV195" s="747">
        <v>116347000000</v>
      </c>
      <c r="AW195" s="534">
        <f>(_xlfn.XLOOKUP(RPBOD3[[#This Row],[Bonds_ShortName]],FNRP!D:D,FNRP!H:H,_xlfn.XLOOKUP(RPBOD3[[#This Row],[Bonds_ShortName]],FNRP!AV:AV,FNRP!AZ:AZ,,0),0)-RPBOD3[[#This Row],[PTCK_Remain]]-10^5)*RPBOD3[[#This Row],[Quantity]]</f>
        <v>-32214566308.868786</v>
      </c>
      <c r="AY195" s="128"/>
      <c r="AZ195" s="610">
        <v>46252</v>
      </c>
      <c r="BA195" s="850">
        <v>49561</v>
      </c>
      <c r="BB195" s="852" t="s">
        <v>2831</v>
      </c>
      <c r="BC195" s="39" t="s">
        <v>824</v>
      </c>
      <c r="BD195" s="530">
        <v>2000000</v>
      </c>
      <c r="BE195" s="530">
        <v>98455</v>
      </c>
      <c r="BF195" s="658">
        <v>46135</v>
      </c>
      <c r="BG195" s="658">
        <v>46136</v>
      </c>
      <c r="BH195" s="658">
        <v>49115</v>
      </c>
      <c r="BI195" s="500">
        <v>201466000000</v>
      </c>
      <c r="BJ195" s="49">
        <v>2.7</v>
      </c>
      <c r="BK195" s="49">
        <v>196.18004581700001</v>
      </c>
      <c r="BL195" s="630" t="s">
        <v>2172</v>
      </c>
      <c r="BM195" s="49" t="s">
        <v>1033</v>
      </c>
      <c r="BN19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45828</v>
      </c>
      <c r="BO195" s="396">
        <f>(PTCK_offBS[[#This Row],[VALUE_DATE]]-PTCK_offBS[[#This Row],[LAST_PMT]])*PTCK_offBS[[#This Row],[COUPON_RATE]]*1000/(DATE(YEAR(PTCK_offBS[[#This Row],[LAST_PMT]])+1,MONTH(PTCK_offBS[[#This Row],[LAST_PMT]]),DAY(PTCK_offBS[[#This Row],[LAST_PMT]]))-PTCK_offBS[[#This Row],[LAST_PMT]])</f>
        <v>2278.3561643835615</v>
      </c>
      <c r="BP195" s="396">
        <f>PTCK_offBS[[#This Row],[GROSS_AMOUNT]]/PTCK_offBS[[#This Row],[QUANTITY]]-PTCK_offBS[[#This Row],[START_ACC]]-10^5</f>
        <v>-1545.3561643835565</v>
      </c>
      <c r="BQ195" s="396">
        <f>IF(PTCK_offBS[[#This Row],[BS]]="Others",PTCK_offBS[[#This Row],[PTCK]]*(PTCK_offBS[[#This Row],[MATURITY_DATE]]-PTCK_offBS[[#This Row],[POSTED_DT]]-1)/(PTCK_offBS[[#This Row],[MATURITY_DATE]]-PTCK_offBS[[#This Row],[VALUE_DATE]]),PTCK_offBS[[#This Row],[PTCK]])</f>
        <v>-1484.6624177461358</v>
      </c>
      <c r="BR195" s="396">
        <f>PTCK_offBS[[#This Row],[PTCK remain]]*PTCK_offBS[[#This Row],[QUANTITY]]</f>
        <v>-2969324835.4922714</v>
      </c>
    </row>
    <row r="196" spans="20:70" ht="14.4" customHeight="1" x14ac:dyDescent="0.3">
      <c r="T196" s="362"/>
      <c r="AK196" s="734"/>
      <c r="AL196" s="128">
        <v>42093</v>
      </c>
      <c r="AM196" s="128" t="s">
        <v>668</v>
      </c>
      <c r="AN196" s="736">
        <v>5</v>
      </c>
      <c r="AO196" s="128" t="s">
        <v>823</v>
      </c>
      <c r="AP196" s="49" t="s">
        <v>2180</v>
      </c>
      <c r="AQ196" s="530">
        <v>2500000</v>
      </c>
      <c r="AR196" s="500">
        <v>18077.7063340924</v>
      </c>
      <c r="AS196" s="530">
        <v>123499</v>
      </c>
      <c r="AT196" s="530">
        <v>127939</v>
      </c>
      <c r="AU196" s="769">
        <v>2.36</v>
      </c>
      <c r="AV196" s="747">
        <v>116347000000</v>
      </c>
      <c r="AW196" s="534">
        <f>(_xlfn.XLOOKUP(RPBOD3[[#This Row],[Bonds_ShortName]],FNRP!D:D,FNRP!H:H,_xlfn.XLOOKUP(RPBOD3[[#This Row],[Bonds_ShortName]],FNRP!AV:AV,FNRP!AZ:AZ,,0),0)-RPBOD3[[#This Row],[PTCK_Remain]]-10^5)*RPBOD3[[#This Row],[Quantity]]</f>
        <v>-34624265835.23098</v>
      </c>
      <c r="AY196" s="128"/>
      <c r="AZ196" s="610">
        <v>46252</v>
      </c>
      <c r="BA196" s="850">
        <v>49860</v>
      </c>
      <c r="BB196" s="852" t="s">
        <v>3026</v>
      </c>
      <c r="BC196" s="39" t="s">
        <v>824</v>
      </c>
      <c r="BD196" s="530">
        <v>1400000</v>
      </c>
      <c r="BE196" s="530">
        <v>70894</v>
      </c>
      <c r="BF196" s="658">
        <v>46170</v>
      </c>
      <c r="BG196" s="658">
        <v>46171</v>
      </c>
      <c r="BH196" s="658">
        <v>56267</v>
      </c>
      <c r="BI196" s="500">
        <v>100658600000</v>
      </c>
      <c r="BJ196" s="49">
        <v>2.8</v>
      </c>
      <c r="BK196" s="49">
        <v>197.18004581700001</v>
      </c>
      <c r="BL196" s="630" t="s">
        <v>2172</v>
      </c>
      <c r="BM196" s="49" t="s">
        <v>1033</v>
      </c>
      <c r="BN19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46040</v>
      </c>
      <c r="BO196" s="396">
        <f>(PTCK_offBS[[#This Row],[VALUE_DATE]]-PTCK_offBS[[#This Row],[LAST_PMT]])*PTCK_offBS[[#This Row],[COUPON_RATE]]*1000/(DATE(YEAR(PTCK_offBS[[#This Row],[LAST_PMT]])+1,MONTH(PTCK_offBS[[#This Row],[LAST_PMT]]),DAY(PTCK_offBS[[#This Row],[LAST_PMT]]))-PTCK_offBS[[#This Row],[LAST_PMT]])</f>
        <v>1004.9315068493149</v>
      </c>
      <c r="BP196" s="396">
        <f>PTCK_offBS[[#This Row],[GROSS_AMOUNT]]/PTCK_offBS[[#This Row],[QUANTITY]]-PTCK_offBS[[#This Row],[START_ACC]]-10^5</f>
        <v>-29105.931506849316</v>
      </c>
      <c r="BQ196" s="396">
        <f>IF(PTCK_offBS[[#This Row],[BS]]="Others",PTCK_offBS[[#This Row],[PTCK]]*(PTCK_offBS[[#This Row],[MATURITY_DATE]]-PTCK_offBS[[#This Row],[POSTED_DT]]-1)/(PTCK_offBS[[#This Row],[MATURITY_DATE]]-PTCK_offBS[[#This Row],[VALUE_DATE]]),PTCK_offBS[[#This Row],[PTCK]])</f>
        <v>-28869.532300870545</v>
      </c>
      <c r="BR196" s="396">
        <f>PTCK_offBS[[#This Row],[PTCK remain]]*PTCK_offBS[[#This Row],[QUANTITY]]</f>
        <v>-40417345221.218765</v>
      </c>
    </row>
    <row r="197" spans="20:70" ht="14.4" customHeight="1" x14ac:dyDescent="0.3">
      <c r="T197" s="362"/>
      <c r="AK197" s="734"/>
      <c r="AL197" s="128">
        <v>45440</v>
      </c>
      <c r="AM197" s="128" t="s">
        <v>2741</v>
      </c>
      <c r="AN197" s="736">
        <v>2.8</v>
      </c>
      <c r="AO197" s="128" t="s">
        <v>823</v>
      </c>
      <c r="AP197" s="49" t="s">
        <v>2180</v>
      </c>
      <c r="AQ197" s="530">
        <v>1500000</v>
      </c>
      <c r="AR197" s="500">
        <v>1075.38008776124</v>
      </c>
      <c r="AS197" s="530">
        <v>101211</v>
      </c>
      <c r="AT197" s="530">
        <v>103075</v>
      </c>
      <c r="AU197" s="769">
        <v>2.69</v>
      </c>
      <c r="AV197" s="747">
        <v>116347000000</v>
      </c>
      <c r="AW197" s="534">
        <f>(_xlfn.XLOOKUP(RPBOD3[[#This Row],[Bonds_ShortName]],FNRP!D:D,FNRP!H:H,_xlfn.XLOOKUP(RPBOD3[[#This Row],[Bonds_ShortName]],FNRP!AV:AV,FNRP!AZ:AZ,,0),0)-RPBOD3[[#This Row],[PTCK_Remain]]-10^5)*RPBOD3[[#This Row],[Quantity]]</f>
        <v>-24596070131.641857</v>
      </c>
      <c r="AY197" s="128"/>
      <c r="AZ197" s="610">
        <v>46252</v>
      </c>
      <c r="BA197" s="850">
        <v>50440</v>
      </c>
      <c r="BB197" s="852" t="s">
        <v>3051</v>
      </c>
      <c r="BC197" s="39" t="s">
        <v>824</v>
      </c>
      <c r="BD197" s="530">
        <v>1600000</v>
      </c>
      <c r="BE197" s="530">
        <v>93875</v>
      </c>
      <c r="BF197" s="658">
        <v>46261</v>
      </c>
      <c r="BG197" s="658">
        <v>46262</v>
      </c>
      <c r="BH197" s="658">
        <v>49367</v>
      </c>
      <c r="BI197" s="500">
        <v>152513600000</v>
      </c>
      <c r="BJ197" s="49">
        <v>2.9</v>
      </c>
      <c r="BK197" s="49">
        <v>198.18004581700001</v>
      </c>
      <c r="BL197" s="630" t="s">
        <v>2172</v>
      </c>
      <c r="BM197" s="49" t="s">
        <v>1033</v>
      </c>
      <c r="BN19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46080</v>
      </c>
      <c r="BO197" s="396">
        <f>(PTCK_offBS[[#This Row],[VALUE_DATE]]-PTCK_offBS[[#This Row],[LAST_PMT]])*PTCK_offBS[[#This Row],[COUPON_RATE]]*1000/(DATE(YEAR(PTCK_offBS[[#This Row],[LAST_PMT]])+1,MONTH(PTCK_offBS[[#This Row],[LAST_PMT]]),DAY(PTCK_offBS[[#This Row],[LAST_PMT]]))-PTCK_offBS[[#This Row],[LAST_PMT]])</f>
        <v>1446.027397260274</v>
      </c>
      <c r="BP197" s="396">
        <f>PTCK_offBS[[#This Row],[GROSS_AMOUNT]]/PTCK_offBS[[#This Row],[QUANTITY]]-PTCK_offBS[[#This Row],[START_ACC]]-10^5</f>
        <v>-6125.0273972602736</v>
      </c>
      <c r="BQ197" s="396">
        <f>IF(PTCK_offBS[[#This Row],[BS]]="Others",PTCK_offBS[[#This Row],[PTCK]]*(PTCK_offBS[[#This Row],[MATURITY_DATE]]-PTCK_offBS[[#This Row],[POSTED_DT]]-1)/(PTCK_offBS[[#This Row],[MATURITY_DATE]]-PTCK_offBS[[#This Row],[VALUE_DATE]]),PTCK_offBS[[#This Row],[PTCK]])</f>
        <v>-6142.7810998610275</v>
      </c>
      <c r="BR197" s="396">
        <f>PTCK_offBS[[#This Row],[PTCK remain]]*PTCK_offBS[[#This Row],[QUANTITY]]</f>
        <v>-9828449759.7776432</v>
      </c>
    </row>
    <row r="198" spans="20:70" ht="14.4" customHeight="1" x14ac:dyDescent="0.3">
      <c r="T198" s="362"/>
      <c r="AK198" s="734"/>
      <c r="AL198" s="128">
        <v>41982</v>
      </c>
      <c r="AM198" s="128" t="s">
        <v>2799</v>
      </c>
      <c r="AN198" s="736">
        <v>2.1</v>
      </c>
      <c r="AO198" s="128" t="s">
        <v>823</v>
      </c>
      <c r="AP198" s="49" t="s">
        <v>2180</v>
      </c>
      <c r="AQ198" s="530">
        <v>1000000</v>
      </c>
      <c r="AR198" s="500">
        <v>-923.96830815807198</v>
      </c>
      <c r="AS198" s="530">
        <v>98782</v>
      </c>
      <c r="AT198" s="530">
        <v>99298</v>
      </c>
      <c r="AU198" s="769">
        <v>2.2400000000000002</v>
      </c>
      <c r="AV198" s="747">
        <v>116347000000</v>
      </c>
      <c r="AW198" s="534">
        <f>(_xlfn.XLOOKUP(RPBOD3[[#This Row],[Bonds_ShortName]],FNRP!D:D,FNRP!H:H,_xlfn.XLOOKUP(RPBOD3[[#This Row],[Bonds_ShortName]],FNRP!AV:AV,FNRP!AZ:AZ,,0),0)-RPBOD3[[#This Row],[PTCK_Remain]]-10^5)*RPBOD3[[#This Row],[Quantity]]</f>
        <v>-12939031691.841927</v>
      </c>
      <c r="AY198" s="128"/>
      <c r="AZ198" s="610">
        <v>46252</v>
      </c>
      <c r="BA198" s="850">
        <v>50444</v>
      </c>
      <c r="BB198" s="852" t="s">
        <v>2497</v>
      </c>
      <c r="BC198" s="39" t="s">
        <v>824</v>
      </c>
      <c r="BD198" s="530">
        <v>800000</v>
      </c>
      <c r="BE198" s="530">
        <v>95482</v>
      </c>
      <c r="BF198" s="658">
        <v>46261</v>
      </c>
      <c r="BG198" s="658">
        <v>46262</v>
      </c>
      <c r="BH198" s="658">
        <v>55966</v>
      </c>
      <c r="BI198" s="500">
        <v>77840000000</v>
      </c>
      <c r="BJ198" s="49">
        <v>4.2</v>
      </c>
      <c r="BK198" s="49">
        <v>199.18004581700001</v>
      </c>
      <c r="BL198" s="630" t="s">
        <v>2172</v>
      </c>
      <c r="BM198" s="49" t="s">
        <v>1033</v>
      </c>
      <c r="BN19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198" s="396">
        <f>(PTCK_offBS[[#This Row],[VALUE_DATE]]-PTCK_offBS[[#This Row],[LAST_PMT]])*PTCK_offBS[[#This Row],[COUPON_RATE]]*1000/(DATE(YEAR(PTCK_offBS[[#This Row],[LAST_PMT]])+1,MONTH(PTCK_offBS[[#This Row],[LAST_PMT]]),DAY(PTCK_offBS[[#This Row],[LAST_PMT]]))-PTCK_offBS[[#This Row],[LAST_PMT]])</f>
        <v>1818.0821917808219</v>
      </c>
      <c r="BP198" s="396">
        <f>PTCK_offBS[[#This Row],[GROSS_AMOUNT]]/PTCK_offBS[[#This Row],[QUANTITY]]-PTCK_offBS[[#This Row],[START_ACC]]-10^5</f>
        <v>-4518.0821917808207</v>
      </c>
      <c r="BQ198" s="396">
        <f>IF(PTCK_offBS[[#This Row],[BS]]="Others",PTCK_offBS[[#This Row],[PTCK]]*(PTCK_offBS[[#This Row],[MATURITY_DATE]]-PTCK_offBS[[#This Row],[POSTED_DT]]-1)/(PTCK_offBS[[#This Row],[MATURITY_DATE]]-PTCK_offBS[[#This Row],[VALUE_DATE]]),PTCK_offBS[[#This Row],[PTCK]])</f>
        <v>-4522.2724988424479</v>
      </c>
      <c r="BR198" s="396">
        <f>PTCK_offBS[[#This Row],[PTCK remain]]*PTCK_offBS[[#This Row],[QUANTITY]]</f>
        <v>-3617817999.0739584</v>
      </c>
    </row>
    <row r="199" spans="20:70" ht="14.4" customHeight="1" x14ac:dyDescent="0.3">
      <c r="T199" s="362"/>
      <c r="AK199" s="734"/>
      <c r="AL199" s="128">
        <v>41986</v>
      </c>
      <c r="AM199" s="128" t="s">
        <v>2799</v>
      </c>
      <c r="AN199" s="736">
        <v>2.1</v>
      </c>
      <c r="AO199" s="128" t="s">
        <v>823</v>
      </c>
      <c r="AP199" s="49" t="s">
        <v>2180</v>
      </c>
      <c r="AQ199" s="530">
        <v>1000000</v>
      </c>
      <c r="AR199" s="500">
        <v>-923.96830815807198</v>
      </c>
      <c r="AS199" s="530">
        <v>98782</v>
      </c>
      <c r="AT199" s="530">
        <v>99298</v>
      </c>
      <c r="AU199" s="769">
        <v>2.2400000000000002</v>
      </c>
      <c r="AV199" s="747">
        <v>116347000000</v>
      </c>
      <c r="AW199" s="534">
        <f>(_xlfn.XLOOKUP(RPBOD3[[#This Row],[Bonds_ShortName]],FNRP!D:D,FNRP!H:H,_xlfn.XLOOKUP(RPBOD3[[#This Row],[Bonds_ShortName]],FNRP!AV:AV,FNRP!AZ:AZ,,0),0)-RPBOD3[[#This Row],[PTCK_Remain]]-10^5)*RPBOD3[[#This Row],[Quantity]]</f>
        <v>-12939031691.841927</v>
      </c>
      <c r="AY199" s="128"/>
      <c r="AZ199" s="610">
        <v>46252</v>
      </c>
      <c r="BA199" s="850">
        <v>49187</v>
      </c>
      <c r="BB199" s="852" t="s">
        <v>718</v>
      </c>
      <c r="BC199" s="39" t="s">
        <v>824</v>
      </c>
      <c r="BD199" s="530">
        <v>700000</v>
      </c>
      <c r="BE199" s="530">
        <v>155894</v>
      </c>
      <c r="BF199" s="658">
        <v>46099</v>
      </c>
      <c r="BG199" s="658">
        <v>46100</v>
      </c>
      <c r="BH199" s="658">
        <v>53355</v>
      </c>
      <c r="BI199" s="500">
        <v>109893000000</v>
      </c>
      <c r="BJ199" s="49">
        <v>8</v>
      </c>
      <c r="BK199" s="49">
        <v>200.18004581700001</v>
      </c>
      <c r="BL199" s="630" t="s">
        <v>2172</v>
      </c>
      <c r="BM199" s="49" t="s">
        <v>1033</v>
      </c>
      <c r="BN19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46050</v>
      </c>
      <c r="BO199" s="396">
        <f>(PTCK_offBS[[#This Row],[VALUE_DATE]]-PTCK_offBS[[#This Row],[LAST_PMT]])*PTCK_offBS[[#This Row],[COUPON_RATE]]*1000/(DATE(YEAR(PTCK_offBS[[#This Row],[LAST_PMT]])+1,MONTH(PTCK_offBS[[#This Row],[LAST_PMT]]),DAY(PTCK_offBS[[#This Row],[LAST_PMT]]))-PTCK_offBS[[#This Row],[LAST_PMT]])</f>
        <v>1095.8904109589041</v>
      </c>
      <c r="BP199" s="396">
        <f>PTCK_offBS[[#This Row],[GROSS_AMOUNT]]/PTCK_offBS[[#This Row],[QUANTITY]]-PTCK_offBS[[#This Row],[START_ACC]]-10^5</f>
        <v>55894.109589041094</v>
      </c>
      <c r="BQ199" s="396">
        <f>IF(PTCK_offBS[[#This Row],[BS]]="Others",PTCK_offBS[[#This Row],[PTCK]]*(PTCK_offBS[[#This Row],[MATURITY_DATE]]-PTCK_offBS[[#This Row],[POSTED_DT]]-1)/(PTCK_offBS[[#This Row],[MATURITY_DATE]]-PTCK_offBS[[#This Row],[VALUE_DATE]]),PTCK_offBS[[#This Row],[PTCK]])</f>
        <v>54715.364066350085</v>
      </c>
      <c r="BR199" s="396">
        <f>PTCK_offBS[[#This Row],[PTCK remain]]*PTCK_offBS[[#This Row],[QUANTITY]]</f>
        <v>38300754846.445061</v>
      </c>
    </row>
    <row r="200" spans="20:70" ht="14.4" customHeight="1" x14ac:dyDescent="0.3">
      <c r="T200" s="362"/>
      <c r="AK200" s="734"/>
      <c r="AL200" s="128">
        <v>45063</v>
      </c>
      <c r="AM200" s="128" t="s">
        <v>2497</v>
      </c>
      <c r="AN200" s="736">
        <v>4.2</v>
      </c>
      <c r="AO200" s="128" t="s">
        <v>823</v>
      </c>
      <c r="AP200" s="49" t="s">
        <v>2180</v>
      </c>
      <c r="AQ200" s="530">
        <v>3500000</v>
      </c>
      <c r="AR200" s="500">
        <v>22129.796236529146</v>
      </c>
      <c r="AS200" s="530">
        <v>123499</v>
      </c>
      <c r="AT200" s="530">
        <v>126698</v>
      </c>
      <c r="AU200" s="769">
        <v>2.96</v>
      </c>
      <c r="AV200" s="747">
        <v>116347000000</v>
      </c>
      <c r="AW200" s="534">
        <f>(_xlfn.XLOOKUP(RPBOD3[[#This Row],[Bonds_ShortName]],FNRP!D:D,FNRP!H:H,_xlfn.XLOOKUP(RPBOD3[[#This Row],[Bonds_ShortName]],FNRP!AV:AV,FNRP!AZ:AZ,,0),0)-RPBOD3[[#This Row],[PTCK_Remain]]-10^5)*RPBOD3[[#This Row],[Quantity]]</f>
        <v>-104299286827.85201</v>
      </c>
      <c r="AY200" s="128"/>
      <c r="AZ200" s="610">
        <v>46252</v>
      </c>
      <c r="BA200" s="850">
        <v>50237</v>
      </c>
      <c r="BB200" s="852" t="s">
        <v>2497</v>
      </c>
      <c r="BC200" s="39" t="s">
        <v>824</v>
      </c>
      <c r="BD200" s="530">
        <v>800000</v>
      </c>
      <c r="BE200" s="530">
        <v>96680</v>
      </c>
      <c r="BF200" s="658">
        <v>46230</v>
      </c>
      <c r="BG200" s="658">
        <v>46231</v>
      </c>
      <c r="BH200" s="658">
        <v>55966</v>
      </c>
      <c r="BI200" s="500">
        <v>78512800000</v>
      </c>
      <c r="BJ200" s="49">
        <v>4.2</v>
      </c>
      <c r="BK200" s="49">
        <v>201.18004581700001</v>
      </c>
      <c r="BL200" s="630" t="s">
        <v>2172</v>
      </c>
      <c r="BM200" s="49" t="s">
        <v>1033</v>
      </c>
      <c r="BN20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0" s="396">
        <f>(PTCK_offBS[[#This Row],[VALUE_DATE]]-PTCK_offBS[[#This Row],[LAST_PMT]])*PTCK_offBS[[#This Row],[COUPON_RATE]]*1000/(DATE(YEAR(PTCK_offBS[[#This Row],[LAST_PMT]])+1,MONTH(PTCK_offBS[[#This Row],[LAST_PMT]]),DAY(PTCK_offBS[[#This Row],[LAST_PMT]]))-PTCK_offBS[[#This Row],[LAST_PMT]])</f>
        <v>1461.3698630136987</v>
      </c>
      <c r="BP200" s="396">
        <f>PTCK_offBS[[#This Row],[GROSS_AMOUNT]]/PTCK_offBS[[#This Row],[QUANTITY]]-PTCK_offBS[[#This Row],[START_ACC]]-10^5</f>
        <v>-3320.3698630136932</v>
      </c>
      <c r="BQ200" s="396">
        <f>IF(PTCK_offBS[[#This Row],[BS]]="Others",PTCK_offBS[[#This Row],[PTCK]]*(PTCK_offBS[[#This Row],[MATURITY_DATE]]-PTCK_offBS[[#This Row],[POSTED_DT]]-1)/(PTCK_offBS[[#This Row],[MATURITY_DATE]]-PTCK_offBS[[#This Row],[VALUE_DATE]]),PTCK_offBS[[#This Row],[PTCK]])</f>
        <v>-3312.8662023063175</v>
      </c>
      <c r="BR200" s="396">
        <f>PTCK_offBS[[#This Row],[PTCK remain]]*PTCK_offBS[[#This Row],[QUANTITY]]</f>
        <v>-2650292961.8450541</v>
      </c>
    </row>
    <row r="201" spans="20:70" x14ac:dyDescent="0.3">
      <c r="T201" s="362"/>
      <c r="AK201" s="734"/>
      <c r="AL201" s="128">
        <v>45142</v>
      </c>
      <c r="AM201" s="128" t="s">
        <v>2496</v>
      </c>
      <c r="AN201" s="736">
        <v>3.8</v>
      </c>
      <c r="AO201" s="128" t="s">
        <v>823</v>
      </c>
      <c r="AP201" s="49" t="s">
        <v>2180</v>
      </c>
      <c r="AQ201" s="530">
        <v>2500000</v>
      </c>
      <c r="AR201" s="500">
        <v>11221.78040190592</v>
      </c>
      <c r="AS201" s="530">
        <v>112793</v>
      </c>
      <c r="AT201" s="530">
        <v>115771</v>
      </c>
      <c r="AU201" s="769">
        <v>2.64</v>
      </c>
      <c r="AV201" s="747">
        <v>116347000000</v>
      </c>
      <c r="AW201" s="534">
        <f>(_xlfn.XLOOKUP(RPBOD3[[#This Row],[Bonds_ShortName]],FNRP!D:D,FNRP!H:H,_xlfn.XLOOKUP(RPBOD3[[#This Row],[Bonds_ShortName]],FNRP!AV:AV,FNRP!AZ:AZ,,0),0)-RPBOD3[[#This Row],[PTCK_Remain]]-10^5)*RPBOD3[[#This Row],[Quantity]]</f>
        <v>-43424451004.764816</v>
      </c>
      <c r="AY201" s="128"/>
      <c r="AZ201" s="610">
        <v>46252</v>
      </c>
      <c r="BA201" s="850">
        <v>50239</v>
      </c>
      <c r="BB201" s="852" t="s">
        <v>720</v>
      </c>
      <c r="BC201" s="39" t="s">
        <v>824</v>
      </c>
      <c r="BD201" s="530">
        <v>500000</v>
      </c>
      <c r="BE201" s="530">
        <v>151344</v>
      </c>
      <c r="BF201" s="658">
        <v>46230</v>
      </c>
      <c r="BG201" s="658">
        <v>46231</v>
      </c>
      <c r="BH201" s="658">
        <v>53613</v>
      </c>
      <c r="BI201" s="500">
        <v>78788500000</v>
      </c>
      <c r="BJ201" s="49">
        <v>7.9</v>
      </c>
      <c r="BK201" s="49">
        <v>202.18004581700001</v>
      </c>
      <c r="BL201" s="630" t="s">
        <v>2172</v>
      </c>
      <c r="BM201" s="49" t="s">
        <v>1033</v>
      </c>
      <c r="BN20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201" s="396">
        <f>(PTCK_offBS[[#This Row],[VALUE_DATE]]-PTCK_offBS[[#This Row],[LAST_PMT]])*PTCK_offBS[[#This Row],[COUPON_RATE]]*1000/(DATE(YEAR(PTCK_offBS[[#This Row],[LAST_PMT]])+1,MONTH(PTCK_offBS[[#This Row],[LAST_PMT]]),DAY(PTCK_offBS[[#This Row],[LAST_PMT]]))-PTCK_offBS[[#This Row],[LAST_PMT]])</f>
        <v>6233.4246575342477</v>
      </c>
      <c r="BP201" s="396">
        <f>PTCK_offBS[[#This Row],[GROSS_AMOUNT]]/PTCK_offBS[[#This Row],[QUANTITY]]-PTCK_offBS[[#This Row],[START_ACC]]-10^5</f>
        <v>51343.575342465745</v>
      </c>
      <c r="BQ201" s="396">
        <f>IF(PTCK_offBS[[#This Row],[BS]]="Others",PTCK_offBS[[#This Row],[PTCK]]*(PTCK_offBS[[#This Row],[MATURITY_DATE]]-PTCK_offBS[[#This Row],[POSTED_DT]]-1)/(PTCK_offBS[[#This Row],[MATURITY_DATE]]-PTCK_offBS[[#This Row],[VALUE_DATE]]),PTCK_offBS[[#This Row],[PTCK]])</f>
        <v>51190.560081353004</v>
      </c>
      <c r="BR201" s="396">
        <f>PTCK_offBS[[#This Row],[PTCK remain]]*PTCK_offBS[[#This Row],[QUANTITY]]</f>
        <v>25595280040.676502</v>
      </c>
    </row>
    <row r="202" spans="20:70" x14ac:dyDescent="0.3">
      <c r="T202" s="362"/>
      <c r="AK202" s="734"/>
      <c r="AL202" s="128">
        <v>46900</v>
      </c>
      <c r="AM202" s="128" t="s">
        <v>616</v>
      </c>
      <c r="AN202" s="736">
        <v>7.6</v>
      </c>
      <c r="AO202" s="128" t="s">
        <v>823</v>
      </c>
      <c r="AP202" s="49" t="s">
        <v>824</v>
      </c>
      <c r="AQ202" s="530">
        <v>500000</v>
      </c>
      <c r="AR202" s="500">
        <v>23533.147376558201</v>
      </c>
      <c r="AS202" s="530">
        <v>128963</v>
      </c>
      <c r="AT202" s="530">
        <v>131045</v>
      </c>
      <c r="AU202" s="769">
        <v>2.1644999999999999</v>
      </c>
      <c r="AV202" s="747">
        <v>116347000000</v>
      </c>
      <c r="AW202" s="534">
        <f>(_xlfn.XLOOKUP(RPBOD3[[#This Row],[Bonds_ShortName]],FNRP!D:D,FNRP!H:H,_xlfn.XLOOKUP(RPBOD3[[#This Row],[Bonds_ShortName]],FNRP!AV:AV,FNRP!AZ:AZ,,0),0)-RPBOD3[[#This Row],[PTCK_Remain]]-10^5)*RPBOD3[[#This Row],[Quantity]]</f>
        <v>-4606573688.2791023</v>
      </c>
      <c r="AY202" s="128"/>
      <c r="AZ202" s="610">
        <v>46252</v>
      </c>
      <c r="BA202" s="850">
        <v>49492</v>
      </c>
      <c r="BB202" s="852" t="s">
        <v>2497</v>
      </c>
      <c r="BC202" s="39" t="s">
        <v>824</v>
      </c>
      <c r="BD202" s="530">
        <v>300000</v>
      </c>
      <c r="BE202" s="530">
        <v>101607</v>
      </c>
      <c r="BF202" s="658">
        <v>46128</v>
      </c>
      <c r="BG202" s="658">
        <v>46129</v>
      </c>
      <c r="BH202" s="658">
        <v>55966</v>
      </c>
      <c r="BI202" s="500">
        <v>30568500000</v>
      </c>
      <c r="BJ202" s="49">
        <v>4.2</v>
      </c>
      <c r="BK202" s="49">
        <v>203.18004581700001</v>
      </c>
      <c r="BL202" s="630" t="s">
        <v>2172</v>
      </c>
      <c r="BM202" s="49" t="s">
        <v>1033</v>
      </c>
      <c r="BN20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2" s="396">
        <f>(PTCK_offBS[[#This Row],[VALUE_DATE]]-PTCK_offBS[[#This Row],[LAST_PMT]])*PTCK_offBS[[#This Row],[COUPON_RATE]]*1000/(DATE(YEAR(PTCK_offBS[[#This Row],[LAST_PMT]])+1,MONTH(PTCK_offBS[[#This Row],[LAST_PMT]]),DAY(PTCK_offBS[[#This Row],[LAST_PMT]]))-PTCK_offBS[[#This Row],[LAST_PMT]])</f>
        <v>287.67123287671234</v>
      </c>
      <c r="BP202" s="396">
        <f>PTCK_offBS[[#This Row],[GROSS_AMOUNT]]/PTCK_offBS[[#This Row],[QUANTITY]]-PTCK_offBS[[#This Row],[START_ACC]]-10^5</f>
        <v>1607.3287671232829</v>
      </c>
      <c r="BQ202" s="396">
        <f>IF(PTCK_offBS[[#This Row],[BS]]="Others",PTCK_offBS[[#This Row],[PTCK]]*(PTCK_offBS[[#This Row],[MATURITY_DATE]]-PTCK_offBS[[#This Row],[POSTED_DT]]-1)/(PTCK_offBS[[#This Row],[MATURITY_DATE]]-PTCK_offBS[[#This Row],[VALUE_DATE]]),PTCK_offBS[[#This Row],[PTCK]])</f>
        <v>1587.0676339400677</v>
      </c>
      <c r="BR202" s="396">
        <f>PTCK_offBS[[#This Row],[PTCK remain]]*PTCK_offBS[[#This Row],[QUANTITY]]</f>
        <v>476120290.18202031</v>
      </c>
    </row>
    <row r="203" spans="20:70" x14ac:dyDescent="0.3">
      <c r="T203" s="362"/>
      <c r="AK203" s="734"/>
      <c r="AL203" s="128">
        <v>45510</v>
      </c>
      <c r="AM203" s="128" t="s">
        <v>2835</v>
      </c>
      <c r="AN203" s="736">
        <v>2.7</v>
      </c>
      <c r="AO203" s="128" t="s">
        <v>823</v>
      </c>
      <c r="AP203" s="49" t="s">
        <v>2180</v>
      </c>
      <c r="AQ203" s="530">
        <v>3000000</v>
      </c>
      <c r="AR203" s="500">
        <v>-1761.2873119938265</v>
      </c>
      <c r="AS203" s="530">
        <v>98034</v>
      </c>
      <c r="AT203" s="530">
        <v>100194</v>
      </c>
      <c r="AU203" s="769">
        <v>2.87</v>
      </c>
      <c r="AV203" s="747">
        <v>116347000000</v>
      </c>
      <c r="AW203" s="534">
        <f>(_xlfn.XLOOKUP(RPBOD3[[#This Row],[Bonds_ShortName]],FNRP!D:D,FNRP!H:H,_xlfn.XLOOKUP(RPBOD3[[#This Row],[Bonds_ShortName]],FNRP!AV:AV,FNRP!AZ:AZ,,0),0)-RPBOD3[[#This Row],[PTCK_Remain]]-10^5)*RPBOD3[[#This Row],[Quantity]]</f>
        <v>-46685138064.018509</v>
      </c>
      <c r="AY203" s="128"/>
      <c r="AZ203" s="610">
        <v>46252</v>
      </c>
      <c r="BA203" s="850">
        <v>49493</v>
      </c>
      <c r="BB203" s="852" t="s">
        <v>2497</v>
      </c>
      <c r="BC203" s="39" t="s">
        <v>824</v>
      </c>
      <c r="BD203" s="530">
        <v>1000000</v>
      </c>
      <c r="BE203" s="530">
        <v>101607</v>
      </c>
      <c r="BF203" s="658">
        <v>46128</v>
      </c>
      <c r="BG203" s="658">
        <v>46129</v>
      </c>
      <c r="BH203" s="658">
        <v>55966</v>
      </c>
      <c r="BI203" s="500">
        <v>101895000000</v>
      </c>
      <c r="BJ203" s="49">
        <v>4.2</v>
      </c>
      <c r="BK203" s="49">
        <v>204.18004581700001</v>
      </c>
      <c r="BL203" s="630" t="s">
        <v>2172</v>
      </c>
      <c r="BM203" s="49" t="s">
        <v>1033</v>
      </c>
      <c r="BN20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3" s="396">
        <f>(PTCK_offBS[[#This Row],[VALUE_DATE]]-PTCK_offBS[[#This Row],[LAST_PMT]])*PTCK_offBS[[#This Row],[COUPON_RATE]]*1000/(DATE(YEAR(PTCK_offBS[[#This Row],[LAST_PMT]])+1,MONTH(PTCK_offBS[[#This Row],[LAST_PMT]]),DAY(PTCK_offBS[[#This Row],[LAST_PMT]]))-PTCK_offBS[[#This Row],[LAST_PMT]])</f>
        <v>287.67123287671234</v>
      </c>
      <c r="BP203" s="396">
        <f>PTCK_offBS[[#This Row],[GROSS_AMOUNT]]/PTCK_offBS[[#This Row],[QUANTITY]]-PTCK_offBS[[#This Row],[START_ACC]]-10^5</f>
        <v>1607.3287671232829</v>
      </c>
      <c r="BQ203" s="396">
        <f>IF(PTCK_offBS[[#This Row],[BS]]="Others",PTCK_offBS[[#This Row],[PTCK]]*(PTCK_offBS[[#This Row],[MATURITY_DATE]]-PTCK_offBS[[#This Row],[POSTED_DT]]-1)/(PTCK_offBS[[#This Row],[MATURITY_DATE]]-PTCK_offBS[[#This Row],[VALUE_DATE]]),PTCK_offBS[[#This Row],[PTCK]])</f>
        <v>1587.0676339400677</v>
      </c>
      <c r="BR203" s="396">
        <f>PTCK_offBS[[#This Row],[PTCK remain]]*PTCK_offBS[[#This Row],[QUANTITY]]</f>
        <v>1587067633.9400678</v>
      </c>
    </row>
    <row r="204" spans="20:70" ht="14.4" customHeight="1" x14ac:dyDescent="0.3">
      <c r="T204" s="362"/>
      <c r="AK204" s="734"/>
      <c r="AL204" s="128">
        <v>47108</v>
      </c>
      <c r="AM204" s="128" t="s">
        <v>2380</v>
      </c>
      <c r="AN204" s="736">
        <v>4.7</v>
      </c>
      <c r="AO204" s="128" t="s">
        <v>823</v>
      </c>
      <c r="AP204" s="49" t="s">
        <v>2180</v>
      </c>
      <c r="AQ204" s="530">
        <v>2000000</v>
      </c>
      <c r="AR204" s="500">
        <v>18896.336195147302</v>
      </c>
      <c r="AS204" s="530">
        <v>120606</v>
      </c>
      <c r="AT204" s="530">
        <v>123374</v>
      </c>
      <c r="AU204" s="769">
        <v>2.72</v>
      </c>
      <c r="AV204" s="747">
        <v>116347000000</v>
      </c>
      <c r="AW204" s="534">
        <f>(_xlfn.XLOOKUP(RPBOD3[[#This Row],[Bonds_ShortName]],FNRP!D:D,FNRP!H:H,_xlfn.XLOOKUP(RPBOD3[[#This Row],[Bonds_ShortName]],FNRP!AV:AV,FNRP!AZ:AZ,,0),0)-RPBOD3[[#This Row],[PTCK_Remain]]-10^5)*RPBOD3[[#This Row],[Quantity]]</f>
        <v>-34052672390.294609</v>
      </c>
      <c r="AY204" s="128"/>
      <c r="AZ204" s="610">
        <v>46252</v>
      </c>
      <c r="BA204" s="850">
        <v>49394</v>
      </c>
      <c r="BB204" s="852" t="s">
        <v>2497</v>
      </c>
      <c r="BC204" s="39" t="s">
        <v>824</v>
      </c>
      <c r="BD204" s="530">
        <v>500000</v>
      </c>
      <c r="BE204" s="530">
        <v>98418</v>
      </c>
      <c r="BF204" s="658">
        <v>46120</v>
      </c>
      <c r="BG204" s="658">
        <v>46121</v>
      </c>
      <c r="BH204" s="658">
        <v>55966</v>
      </c>
      <c r="BI204" s="500">
        <v>49307000000</v>
      </c>
      <c r="BJ204" s="49">
        <v>4.2</v>
      </c>
      <c r="BK204" s="49">
        <v>205.18004581700001</v>
      </c>
      <c r="BL204" s="630" t="s">
        <v>2172</v>
      </c>
      <c r="BM204" s="49" t="s">
        <v>1033</v>
      </c>
      <c r="BN20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4" s="396">
        <f>(PTCK_offBS[[#This Row],[VALUE_DATE]]-PTCK_offBS[[#This Row],[LAST_PMT]])*PTCK_offBS[[#This Row],[COUPON_RATE]]*1000/(DATE(YEAR(PTCK_offBS[[#This Row],[LAST_PMT]])+1,MONTH(PTCK_offBS[[#This Row],[LAST_PMT]]),DAY(PTCK_offBS[[#This Row],[LAST_PMT]]))-PTCK_offBS[[#This Row],[LAST_PMT]])</f>
        <v>195.61643835616439</v>
      </c>
      <c r="BP204" s="396">
        <f>PTCK_offBS[[#This Row],[GROSS_AMOUNT]]/PTCK_offBS[[#This Row],[QUANTITY]]-PTCK_offBS[[#This Row],[START_ACC]]-10^5</f>
        <v>-1581.61643835617</v>
      </c>
      <c r="BQ204" s="396">
        <f>IF(PTCK_offBS[[#This Row],[BS]]="Others",PTCK_offBS[[#This Row],[PTCK]]*(PTCK_offBS[[#This Row],[MATURITY_DATE]]-PTCK_offBS[[#This Row],[POSTED_DT]]-1)/(PTCK_offBS[[#This Row],[MATURITY_DATE]]-PTCK_offBS[[#This Row],[VALUE_DATE]]),PTCK_offBS[[#This Row],[PTCK]])</f>
        <v>-1560.4104078977632</v>
      </c>
      <c r="BR204" s="396">
        <f>PTCK_offBS[[#This Row],[PTCK remain]]*PTCK_offBS[[#This Row],[QUANTITY]]</f>
        <v>-780205203.94888163</v>
      </c>
    </row>
    <row r="205" spans="20:70" ht="14.4" customHeight="1" x14ac:dyDescent="0.3">
      <c r="T205" s="362"/>
      <c r="AK205" s="734"/>
      <c r="AL205" s="128">
        <v>49769</v>
      </c>
      <c r="AM205" s="128" t="s">
        <v>2835</v>
      </c>
      <c r="AN205" s="736">
        <v>2.7</v>
      </c>
      <c r="AO205" s="128" t="s">
        <v>823</v>
      </c>
      <c r="AP205" s="49" t="s">
        <v>824</v>
      </c>
      <c r="AQ205" s="530">
        <v>2000000</v>
      </c>
      <c r="AR205" s="500">
        <v>-5661.7786962185</v>
      </c>
      <c r="AS205" s="530">
        <v>94220</v>
      </c>
      <c r="AT205" s="530">
        <v>94257</v>
      </c>
      <c r="AU205" s="769">
        <v>3.2526999999999999</v>
      </c>
      <c r="AV205" s="747">
        <v>116347000000</v>
      </c>
      <c r="AW205" s="534">
        <f>(_xlfn.XLOOKUP(RPBOD3[[#This Row],[Bonds_ShortName]],FNRP!D:D,FNRP!H:H,_xlfn.XLOOKUP(RPBOD3[[#This Row],[Bonds_ShortName]],FNRP!AV:AV,FNRP!AZ:AZ,,0),0)-RPBOD3[[#This Row],[PTCK_Remain]]-10^5)*RPBOD3[[#This Row],[Quantity]]</f>
        <v>-23322442607.562988</v>
      </c>
      <c r="AY205" s="128"/>
      <c r="AZ205" s="610">
        <v>46252</v>
      </c>
      <c r="BA205" s="850">
        <v>49657</v>
      </c>
      <c r="BB205" s="852" t="s">
        <v>2497</v>
      </c>
      <c r="BC205" s="39" t="s">
        <v>824</v>
      </c>
      <c r="BD205" s="530">
        <v>500000</v>
      </c>
      <c r="BE205" s="530">
        <v>101597</v>
      </c>
      <c r="BF205" s="658">
        <v>46147</v>
      </c>
      <c r="BG205" s="658">
        <v>46148</v>
      </c>
      <c r="BH205" s="658">
        <v>55966</v>
      </c>
      <c r="BI205" s="500">
        <v>51051500000</v>
      </c>
      <c r="BJ205" s="49">
        <v>4.2</v>
      </c>
      <c r="BK205" s="49">
        <v>206.18004581700001</v>
      </c>
      <c r="BL205" s="630" t="s">
        <v>2172</v>
      </c>
      <c r="BM205" s="49" t="s">
        <v>1033</v>
      </c>
      <c r="BN20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5" s="396">
        <f>(PTCK_offBS[[#This Row],[VALUE_DATE]]-PTCK_offBS[[#This Row],[LAST_PMT]])*PTCK_offBS[[#This Row],[COUPON_RATE]]*1000/(DATE(YEAR(PTCK_offBS[[#This Row],[LAST_PMT]])+1,MONTH(PTCK_offBS[[#This Row],[LAST_PMT]]),DAY(PTCK_offBS[[#This Row],[LAST_PMT]]))-PTCK_offBS[[#This Row],[LAST_PMT]])</f>
        <v>506.30136986301369</v>
      </c>
      <c r="BP205" s="396">
        <f>PTCK_offBS[[#This Row],[GROSS_AMOUNT]]/PTCK_offBS[[#This Row],[QUANTITY]]-PTCK_offBS[[#This Row],[START_ACC]]-10^5</f>
        <v>1596.6986301369907</v>
      </c>
      <c r="BQ205" s="396">
        <f>IF(PTCK_offBS[[#This Row],[BS]]="Others",PTCK_offBS[[#This Row],[PTCK]]*(PTCK_offBS[[#This Row],[MATURITY_DATE]]-PTCK_offBS[[#This Row],[POSTED_DT]]-1)/(PTCK_offBS[[#This Row],[MATURITY_DATE]]-PTCK_offBS[[#This Row],[VALUE_DATE]]),PTCK_offBS[[#This Row],[PTCK]])</f>
        <v>1579.6225091180067</v>
      </c>
      <c r="BR205" s="396">
        <f>PTCK_offBS[[#This Row],[PTCK remain]]*PTCK_offBS[[#This Row],[QUANTITY]]</f>
        <v>789811254.55900335</v>
      </c>
    </row>
    <row r="206" spans="20:70" ht="14.4" customHeight="1" x14ac:dyDescent="0.3">
      <c r="T206" s="362"/>
      <c r="AK206" s="734"/>
      <c r="AL206" s="128">
        <v>48334</v>
      </c>
      <c r="AM206" s="128" t="s">
        <v>2834</v>
      </c>
      <c r="AN206" s="736">
        <v>2.7</v>
      </c>
      <c r="AO206" s="128" t="s">
        <v>823</v>
      </c>
      <c r="AP206" s="49" t="s">
        <v>2180</v>
      </c>
      <c r="AQ206" s="530">
        <v>2000000</v>
      </c>
      <c r="AR206" s="500">
        <v>-147.4842682878685</v>
      </c>
      <c r="AS206" s="530">
        <v>99840</v>
      </c>
      <c r="AT206" s="530">
        <v>101053</v>
      </c>
      <c r="AU206" s="769">
        <v>2.7201</v>
      </c>
      <c r="AV206" s="747">
        <v>116347000000</v>
      </c>
      <c r="AW206" s="534">
        <f>(_xlfn.XLOOKUP(RPBOD3[[#This Row],[Bonds_ShortName]],FNRP!D:D,FNRP!H:H,_xlfn.XLOOKUP(RPBOD3[[#This Row],[Bonds_ShortName]],FNRP!AV:AV,FNRP!AZ:AZ,,0),0)-RPBOD3[[#This Row],[PTCK_Remain]]-10^5)*RPBOD3[[#This Row],[Quantity]]</f>
        <v>-21329031463.424267</v>
      </c>
      <c r="AY206" s="128"/>
      <c r="AZ206" s="610">
        <v>46252</v>
      </c>
      <c r="BA206" s="850">
        <v>49754</v>
      </c>
      <c r="BB206" s="852" t="s">
        <v>615</v>
      </c>
      <c r="BC206" s="39" t="s">
        <v>824</v>
      </c>
      <c r="BD206" s="530">
        <v>600000</v>
      </c>
      <c r="BE206" s="530">
        <v>118222</v>
      </c>
      <c r="BF206" s="658">
        <v>46154</v>
      </c>
      <c r="BG206" s="658">
        <v>46155</v>
      </c>
      <c r="BH206" s="658">
        <v>47855</v>
      </c>
      <c r="BI206" s="500">
        <v>72507600000</v>
      </c>
      <c r="BJ206" s="49">
        <v>7.6</v>
      </c>
      <c r="BK206" s="49">
        <v>207.18004581700001</v>
      </c>
      <c r="BL206" s="630" t="s">
        <v>2172</v>
      </c>
      <c r="BM206" s="49" t="s">
        <v>1033</v>
      </c>
      <c r="BN20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46029</v>
      </c>
      <c r="BO206" s="396">
        <f>(PTCK_offBS[[#This Row],[VALUE_DATE]]-PTCK_offBS[[#This Row],[LAST_PMT]])*PTCK_offBS[[#This Row],[COUPON_RATE]]*1000/(DATE(YEAR(PTCK_offBS[[#This Row],[LAST_PMT]])+1,MONTH(PTCK_offBS[[#This Row],[LAST_PMT]]),DAY(PTCK_offBS[[#This Row],[LAST_PMT]]))-PTCK_offBS[[#This Row],[LAST_PMT]])</f>
        <v>2623.561643835616</v>
      </c>
      <c r="BP206" s="396">
        <f>PTCK_offBS[[#This Row],[GROSS_AMOUNT]]/PTCK_offBS[[#This Row],[QUANTITY]]-PTCK_offBS[[#This Row],[START_ACC]]-10^5</f>
        <v>18222.438356164377</v>
      </c>
      <c r="BQ206" s="396">
        <f>IF(PTCK_offBS[[#This Row],[BS]]="Others",PTCK_offBS[[#This Row],[PTCK]]*(PTCK_offBS[[#This Row],[MATURITY_DATE]]-PTCK_offBS[[#This Row],[POSTED_DT]]-1)/(PTCK_offBS[[#This Row],[MATURITY_DATE]]-PTCK_offBS[[#This Row],[VALUE_DATE]]),PTCK_offBS[[#This Row],[PTCK]])</f>
        <v>17171.968380338432</v>
      </c>
      <c r="BR206" s="396">
        <f>PTCK_offBS[[#This Row],[PTCK remain]]*PTCK_offBS[[#This Row],[QUANTITY]]</f>
        <v>10303181028.20306</v>
      </c>
    </row>
    <row r="207" spans="20:70" x14ac:dyDescent="0.3">
      <c r="T207" s="362"/>
      <c r="AK207" s="734"/>
      <c r="AL207" s="128">
        <v>45447</v>
      </c>
      <c r="AM207" s="128" t="s">
        <v>2503</v>
      </c>
      <c r="AN207" s="736">
        <v>3.4</v>
      </c>
      <c r="AO207" s="128" t="s">
        <v>823</v>
      </c>
      <c r="AP207" s="49" t="s">
        <v>2180</v>
      </c>
      <c r="AQ207" s="530">
        <v>1500000</v>
      </c>
      <c r="AR207" s="500">
        <v>6796.5599357911997</v>
      </c>
      <c r="AS207" s="530">
        <v>107648</v>
      </c>
      <c r="AT207" s="530">
        <v>110601</v>
      </c>
      <c r="AU207" s="769">
        <v>2.7</v>
      </c>
      <c r="AV207" s="747">
        <v>116347000000</v>
      </c>
      <c r="AW207" s="534">
        <f>(_xlfn.XLOOKUP(RPBOD3[[#This Row],[Bonds_ShortName]],FNRP!D:D,FNRP!H:H,_xlfn.XLOOKUP(RPBOD3[[#This Row],[Bonds_ShortName]],FNRP!AV:AV,FNRP!AZ:AZ,,0),0)-RPBOD3[[#This Row],[PTCK_Remain]]-10^5)*RPBOD3[[#This Row],[Quantity]]</f>
        <v>-24842339903.686798</v>
      </c>
      <c r="AY207" s="128"/>
      <c r="AZ207" s="610">
        <v>46252</v>
      </c>
      <c r="BA207" s="850">
        <v>49987</v>
      </c>
      <c r="BB207" s="852" t="s">
        <v>2831</v>
      </c>
      <c r="BC207" s="39" t="s">
        <v>824</v>
      </c>
      <c r="BD207" s="530">
        <v>3000000</v>
      </c>
      <c r="BE207" s="530">
        <v>97714</v>
      </c>
      <c r="BF207" s="658">
        <v>46185</v>
      </c>
      <c r="BG207" s="658">
        <v>46188</v>
      </c>
      <c r="BH207" s="658">
        <v>49115</v>
      </c>
      <c r="BI207" s="500">
        <v>301131000000</v>
      </c>
      <c r="BJ207" s="49">
        <v>2.7</v>
      </c>
      <c r="BK207" s="49">
        <v>208.18004581700001</v>
      </c>
      <c r="BL207" s="630" t="s">
        <v>2172</v>
      </c>
      <c r="BM207" s="49" t="s">
        <v>1033</v>
      </c>
      <c r="BN20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45828</v>
      </c>
      <c r="BO207" s="396">
        <f>(PTCK_offBS[[#This Row],[VALUE_DATE]]-PTCK_offBS[[#This Row],[LAST_PMT]])*PTCK_offBS[[#This Row],[COUPON_RATE]]*1000/(DATE(YEAR(PTCK_offBS[[#This Row],[LAST_PMT]])+1,MONTH(PTCK_offBS[[#This Row],[LAST_PMT]]),DAY(PTCK_offBS[[#This Row],[LAST_PMT]]))-PTCK_offBS[[#This Row],[LAST_PMT]])</f>
        <v>2663.0136986301372</v>
      </c>
      <c r="BP207" s="396">
        <f>PTCK_offBS[[#This Row],[GROSS_AMOUNT]]/PTCK_offBS[[#This Row],[QUANTITY]]-PTCK_offBS[[#This Row],[START_ACC]]-10^5</f>
        <v>-2286.0136986301368</v>
      </c>
      <c r="BQ207" s="396">
        <f>IF(PTCK_offBS[[#This Row],[BS]]="Others",PTCK_offBS[[#This Row],[PTCK]]*(PTCK_offBS[[#This Row],[MATURITY_DATE]]-PTCK_offBS[[#This Row],[POSTED_DT]]-1)/(PTCK_offBS[[#This Row],[MATURITY_DATE]]-PTCK_offBS[[#This Row],[VALUE_DATE]]),PTCK_offBS[[#This Row],[PTCK]])</f>
        <v>-2235.2481057326449</v>
      </c>
      <c r="BR207" s="396">
        <f>PTCK_offBS[[#This Row],[PTCK remain]]*PTCK_offBS[[#This Row],[QUANTITY]]</f>
        <v>-6705744317.1979351</v>
      </c>
    </row>
    <row r="208" spans="20:70" ht="14.4" customHeight="1" x14ac:dyDescent="0.3">
      <c r="T208" s="362"/>
      <c r="AK208" s="734"/>
      <c r="AL208" s="128">
        <v>45448</v>
      </c>
      <c r="AM208" s="128" t="s">
        <v>2835</v>
      </c>
      <c r="AN208" s="736">
        <v>2.7</v>
      </c>
      <c r="AO208" s="128" t="s">
        <v>823</v>
      </c>
      <c r="AP208" s="49" t="s">
        <v>2180</v>
      </c>
      <c r="AQ208" s="530">
        <v>3500000</v>
      </c>
      <c r="AR208" s="500">
        <v>-1965.4764531654944</v>
      </c>
      <c r="AS208" s="530">
        <v>97809</v>
      </c>
      <c r="AT208" s="530">
        <v>100013</v>
      </c>
      <c r="AU208" s="769">
        <v>2.89</v>
      </c>
      <c r="AV208" s="747">
        <v>116347000000</v>
      </c>
      <c r="AW208" s="534">
        <f>(_xlfn.XLOOKUP(RPBOD3[[#This Row],[Bonds_ShortName]],FNRP!D:D,FNRP!H:H,_xlfn.XLOOKUP(RPBOD3[[#This Row],[Bonds_ShortName]],FNRP!AV:AV,FNRP!AZ:AZ,,0),0)-RPBOD3[[#This Row],[PTCK_Remain]]-10^5)*RPBOD3[[#This Row],[Quantity]]</f>
        <v>-53751332413.920769</v>
      </c>
      <c r="AY208" s="128"/>
      <c r="AZ208" s="610">
        <v>46252</v>
      </c>
      <c r="BA208" s="850">
        <v>49993</v>
      </c>
      <c r="BB208" s="852" t="s">
        <v>2497</v>
      </c>
      <c r="BC208" s="39" t="s">
        <v>824</v>
      </c>
      <c r="BD208" s="530">
        <v>700000</v>
      </c>
      <c r="BE208" s="530">
        <v>103160</v>
      </c>
      <c r="BF208" s="658">
        <v>46185</v>
      </c>
      <c r="BG208" s="658">
        <v>46188</v>
      </c>
      <c r="BH208" s="658">
        <v>55966</v>
      </c>
      <c r="BI208" s="500">
        <v>72888900000</v>
      </c>
      <c r="BJ208" s="49">
        <v>4.2</v>
      </c>
      <c r="BK208" s="49">
        <v>209.18004581700001</v>
      </c>
      <c r="BL208" s="630" t="s">
        <v>2172</v>
      </c>
      <c r="BM208" s="49" t="s">
        <v>1033</v>
      </c>
      <c r="BN20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08" s="396">
        <f>(PTCK_offBS[[#This Row],[VALUE_DATE]]-PTCK_offBS[[#This Row],[LAST_PMT]])*PTCK_offBS[[#This Row],[COUPON_RATE]]*1000/(DATE(YEAR(PTCK_offBS[[#This Row],[LAST_PMT]])+1,MONTH(PTCK_offBS[[#This Row],[LAST_PMT]]),DAY(PTCK_offBS[[#This Row],[LAST_PMT]]))-PTCK_offBS[[#This Row],[LAST_PMT]])</f>
        <v>966.57534246575347</v>
      </c>
      <c r="BP208" s="396">
        <f>PTCK_offBS[[#This Row],[GROSS_AMOUNT]]/PTCK_offBS[[#This Row],[QUANTITY]]-PTCK_offBS[[#This Row],[START_ACC]]-10^5</f>
        <v>3160.4246575342404</v>
      </c>
      <c r="BQ208" s="396">
        <f>IF(PTCK_offBS[[#This Row],[BS]]="Others",PTCK_offBS[[#This Row],[PTCK]]*(PTCK_offBS[[#This Row],[MATURITY_DATE]]-PTCK_offBS[[#This Row],[POSTED_DT]]-1)/(PTCK_offBS[[#This Row],[MATURITY_DATE]]-PTCK_offBS[[#This Row],[VALUE_DATE]]),PTCK_offBS[[#This Row],[PTCK]])</f>
        <v>3139.4154938259435</v>
      </c>
      <c r="BR208" s="396">
        <f>PTCK_offBS[[#This Row],[PTCK remain]]*PTCK_offBS[[#This Row],[QUANTITY]]</f>
        <v>2197590845.6781607</v>
      </c>
    </row>
    <row r="209" spans="37:70" x14ac:dyDescent="0.3">
      <c r="AK209" s="734"/>
      <c r="AL209" s="128">
        <v>46906</v>
      </c>
      <c r="AM209" s="128" t="s">
        <v>1204</v>
      </c>
      <c r="AN209" s="736">
        <v>5.3</v>
      </c>
      <c r="AO209" s="128" t="s">
        <v>823</v>
      </c>
      <c r="AP209" s="49" t="s">
        <v>2180</v>
      </c>
      <c r="AQ209" s="530">
        <v>500000</v>
      </c>
      <c r="AR209" s="500">
        <v>17805.997171720821</v>
      </c>
      <c r="AS209" s="530">
        <v>120411</v>
      </c>
      <c r="AT209" s="530">
        <v>124114</v>
      </c>
      <c r="AU209" s="769">
        <v>2.54</v>
      </c>
      <c r="AV209" s="747">
        <v>116347000000</v>
      </c>
      <c r="AW209" s="534">
        <f>(_xlfn.XLOOKUP(RPBOD3[[#This Row],[Bonds_ShortName]],FNRP!D:D,FNRP!H:H,_xlfn.XLOOKUP(RPBOD3[[#This Row],[Bonds_ShortName]],FNRP!AV:AV,FNRP!AZ:AZ,,0),0)-RPBOD3[[#This Row],[PTCK_Remain]]-10^5)*RPBOD3[[#This Row],[Quantity]]</f>
        <v>-5921498585.8604126</v>
      </c>
      <c r="AY209" s="128"/>
      <c r="AZ209" s="610">
        <v>46252</v>
      </c>
      <c r="BA209" s="850">
        <v>50290</v>
      </c>
      <c r="BB209" s="852" t="s">
        <v>720</v>
      </c>
      <c r="BC209" s="39" t="s">
        <v>824</v>
      </c>
      <c r="BD209" s="530">
        <v>1000000</v>
      </c>
      <c r="BE209" s="530">
        <v>153146</v>
      </c>
      <c r="BF209" s="658">
        <v>46241</v>
      </c>
      <c r="BG209" s="658">
        <v>46244</v>
      </c>
      <c r="BH209" s="658">
        <v>53613</v>
      </c>
      <c r="BI209" s="500">
        <v>159661000000</v>
      </c>
      <c r="BJ209" s="49">
        <v>7.9</v>
      </c>
      <c r="BK209" s="49">
        <v>210.18004581700001</v>
      </c>
      <c r="BL209" s="630" t="s">
        <v>2172</v>
      </c>
      <c r="BM209" s="49" t="s">
        <v>1033</v>
      </c>
      <c r="BN20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45943</v>
      </c>
      <c r="BO209" s="396">
        <f>(PTCK_offBS[[#This Row],[VALUE_DATE]]-PTCK_offBS[[#This Row],[LAST_PMT]])*PTCK_offBS[[#This Row],[COUPON_RATE]]*1000/(DATE(YEAR(PTCK_offBS[[#This Row],[LAST_PMT]])+1,MONTH(PTCK_offBS[[#This Row],[LAST_PMT]]),DAY(PTCK_offBS[[#This Row],[LAST_PMT]]))-PTCK_offBS[[#This Row],[LAST_PMT]])</f>
        <v>6514.7945205479455</v>
      </c>
      <c r="BP209" s="396">
        <f>PTCK_offBS[[#This Row],[GROSS_AMOUNT]]/PTCK_offBS[[#This Row],[QUANTITY]]-PTCK_offBS[[#This Row],[START_ACC]]-10^5</f>
        <v>53146.205479452066</v>
      </c>
      <c r="BQ209" s="396">
        <f>IF(PTCK_offBS[[#This Row],[BS]]="Others",PTCK_offBS[[#This Row],[PTCK]]*(PTCK_offBS[[#This Row],[MATURITY_DATE]]-PTCK_offBS[[#This Row],[POSTED_DT]]-1)/(PTCK_offBS[[#This Row],[MATURITY_DATE]]-PTCK_offBS[[#This Row],[VALUE_DATE]]),PTCK_offBS[[#This Row],[PTCK]])</f>
        <v>53081.296285624536</v>
      </c>
      <c r="BR209" s="396">
        <f>PTCK_offBS[[#This Row],[PTCK remain]]*PTCK_offBS[[#This Row],[QUANTITY]]</f>
        <v>53081296285.624535</v>
      </c>
    </row>
    <row r="210" spans="37:70" ht="14.4" customHeight="1" x14ac:dyDescent="0.3">
      <c r="AK210" s="734"/>
      <c r="AL210" s="128">
        <v>49852</v>
      </c>
      <c r="AM210" s="128" t="s">
        <v>2497</v>
      </c>
      <c r="AN210" s="736">
        <v>4.2</v>
      </c>
      <c r="AO210" s="128" t="s">
        <v>823</v>
      </c>
      <c r="AP210" s="49" t="s">
        <v>824</v>
      </c>
      <c r="AQ210" s="530">
        <v>1000000</v>
      </c>
      <c r="AR210" s="500">
        <v>-1493.95310266622</v>
      </c>
      <c r="AS210" s="530">
        <v>98495</v>
      </c>
      <c r="AT210" s="530">
        <v>99381</v>
      </c>
      <c r="AU210" s="769">
        <v>4.2946999999999997</v>
      </c>
      <c r="AV210" s="747">
        <v>116347000000</v>
      </c>
      <c r="AW210" s="534">
        <f>(_xlfn.XLOOKUP(RPBOD3[[#This Row],[Bonds_ShortName]],FNRP!D:D,FNRP!H:H,_xlfn.XLOOKUP(RPBOD3[[#This Row],[Bonds_ShortName]],FNRP!AV:AV,FNRP!AZ:AZ,,0),0)-RPBOD3[[#This Row],[PTCK_Remain]]-10^5)*RPBOD3[[#This Row],[Quantity]]</f>
        <v>-6176046897.3337851</v>
      </c>
      <c r="AY210" s="128"/>
      <c r="AZ210" s="610">
        <v>46252</v>
      </c>
      <c r="BA210" s="850">
        <v>50288</v>
      </c>
      <c r="BB210" s="852" t="s">
        <v>681</v>
      </c>
      <c r="BC210" s="39" t="s">
        <v>824</v>
      </c>
      <c r="BD210" s="530">
        <v>1000000</v>
      </c>
      <c r="BE210" s="530">
        <v>130017</v>
      </c>
      <c r="BF210" s="658">
        <v>46241</v>
      </c>
      <c r="BG210" s="658">
        <v>46244</v>
      </c>
      <c r="BH210" s="658">
        <v>49695</v>
      </c>
      <c r="BI210" s="500">
        <v>134257000000</v>
      </c>
      <c r="BJ210" s="49">
        <v>7.7</v>
      </c>
      <c r="BK210" s="49">
        <v>211.18004581700001</v>
      </c>
      <c r="BL210" s="630" t="s">
        <v>2172</v>
      </c>
      <c r="BM210" s="49" t="s">
        <v>1033</v>
      </c>
      <c r="BN21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46043</v>
      </c>
      <c r="BO210" s="396">
        <f>(PTCK_offBS[[#This Row],[VALUE_DATE]]-PTCK_offBS[[#This Row],[LAST_PMT]])*PTCK_offBS[[#This Row],[COUPON_RATE]]*1000/(DATE(YEAR(PTCK_offBS[[#This Row],[LAST_PMT]])+1,MONTH(PTCK_offBS[[#This Row],[LAST_PMT]]),DAY(PTCK_offBS[[#This Row],[LAST_PMT]]))-PTCK_offBS[[#This Row],[LAST_PMT]])</f>
        <v>4240.2739726027394</v>
      </c>
      <c r="BP210" s="396">
        <f>PTCK_offBS[[#This Row],[GROSS_AMOUNT]]/PTCK_offBS[[#This Row],[QUANTITY]]-PTCK_offBS[[#This Row],[START_ACC]]-10^5</f>
        <v>30016.726027397264</v>
      </c>
      <c r="BQ210" s="396">
        <f>IF(PTCK_offBS[[#This Row],[BS]]="Others",PTCK_offBS[[#This Row],[PTCK]]*(PTCK_offBS[[#This Row],[MATURITY_DATE]]-PTCK_offBS[[#This Row],[POSTED_DT]]-1)/(PTCK_offBS[[#This Row],[MATURITY_DATE]]-PTCK_offBS[[#This Row],[VALUE_DATE]]),PTCK_offBS[[#This Row],[PTCK]])</f>
        <v>29938.444215097472</v>
      </c>
      <c r="BR210" s="396">
        <f>PTCK_offBS[[#This Row],[PTCK remain]]*PTCK_offBS[[#This Row],[QUANTITY]]</f>
        <v>29938444215.097473</v>
      </c>
    </row>
    <row r="211" spans="37:70" x14ac:dyDescent="0.3">
      <c r="AK211" s="734"/>
      <c r="AL211" s="128">
        <v>49930</v>
      </c>
      <c r="AM211" s="128" t="s">
        <v>2381</v>
      </c>
      <c r="AN211" s="736">
        <v>4.5</v>
      </c>
      <c r="AO211" s="128" t="s">
        <v>823</v>
      </c>
      <c r="AP211" s="49" t="s">
        <v>824</v>
      </c>
      <c r="AQ211" s="530">
        <v>3000000</v>
      </c>
      <c r="AR211" s="500">
        <v>9159.452413934634</v>
      </c>
      <c r="AS211" s="530">
        <v>109442</v>
      </c>
      <c r="AT211" s="530">
        <v>111341</v>
      </c>
      <c r="AU211" s="769">
        <v>2.9</v>
      </c>
      <c r="AV211" s="747">
        <v>116347000000</v>
      </c>
      <c r="AW211" s="534">
        <f>(_xlfn.XLOOKUP(RPBOD3[[#This Row],[Bonds_ShortName]],FNRP!D:D,FNRP!H:H,_xlfn.XLOOKUP(RPBOD3[[#This Row],[Bonds_ShortName]],FNRP!AV:AV,FNRP!AZ:AZ,,0),0)-RPBOD3[[#This Row],[PTCK_Remain]]-10^5)*RPBOD3[[#This Row],[Quantity]]</f>
        <v>-24043357241.803898</v>
      </c>
      <c r="AY211" s="128"/>
      <c r="AZ211" s="610">
        <v>46252</v>
      </c>
      <c r="BA211" s="850">
        <v>50329</v>
      </c>
      <c r="BB211" s="852" t="s">
        <v>729</v>
      </c>
      <c r="BC211" s="39" t="s">
        <v>824</v>
      </c>
      <c r="BD211" s="530">
        <v>1750000</v>
      </c>
      <c r="BE211" s="530">
        <v>109885</v>
      </c>
      <c r="BF211" s="658">
        <v>46246</v>
      </c>
      <c r="BG211" s="658">
        <v>46247</v>
      </c>
      <c r="BH211" s="658">
        <v>54692</v>
      </c>
      <c r="BI211" s="500">
        <v>200301500000</v>
      </c>
      <c r="BJ211" s="49">
        <v>5.2</v>
      </c>
      <c r="BK211" s="49">
        <v>212.18004581700001</v>
      </c>
      <c r="BL211" s="630" t="s">
        <v>2172</v>
      </c>
      <c r="BM211" s="49" t="s">
        <v>1033</v>
      </c>
      <c r="BN21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45926</v>
      </c>
      <c r="BO211" s="396">
        <f>(PTCK_offBS[[#This Row],[VALUE_DATE]]-PTCK_offBS[[#This Row],[LAST_PMT]])*PTCK_offBS[[#This Row],[COUPON_RATE]]*1000/(DATE(YEAR(PTCK_offBS[[#This Row],[LAST_PMT]])+1,MONTH(PTCK_offBS[[#This Row],[LAST_PMT]]),DAY(PTCK_offBS[[#This Row],[LAST_PMT]]))-PTCK_offBS[[#This Row],[LAST_PMT]])</f>
        <v>4573.1506849315065</v>
      </c>
      <c r="BP211" s="396">
        <f>PTCK_offBS[[#This Row],[GROSS_AMOUNT]]/PTCK_offBS[[#This Row],[QUANTITY]]-PTCK_offBS[[#This Row],[START_ACC]]-10^5</f>
        <v>9884.8493150684953</v>
      </c>
      <c r="BQ211" s="396">
        <f>IF(PTCK_offBS[[#This Row],[BS]]="Others",PTCK_offBS[[#This Row],[PTCK]]*(PTCK_offBS[[#This Row],[MATURITY_DATE]]-PTCK_offBS[[#This Row],[POSTED_DT]]-1)/(PTCK_offBS[[#This Row],[MATURITY_DATE]]-PTCK_offBS[[#This Row],[VALUE_DATE]]),PTCK_offBS[[#This Row],[PTCK]])</f>
        <v>9877.8263315409149</v>
      </c>
      <c r="BR211" s="396">
        <f>PTCK_offBS[[#This Row],[PTCK remain]]*PTCK_offBS[[#This Row],[QUANTITY]]</f>
        <v>17286196080.196602</v>
      </c>
    </row>
    <row r="212" spans="37:70" ht="14.4" customHeight="1" x14ac:dyDescent="0.3">
      <c r="AK212" s="734"/>
      <c r="AL212" s="128">
        <v>50021</v>
      </c>
      <c r="AM212" s="128" t="s">
        <v>2385</v>
      </c>
      <c r="AN212" s="736">
        <v>4.2</v>
      </c>
      <c r="AO212" s="128" t="s">
        <v>823</v>
      </c>
      <c r="AP212" s="49" t="s">
        <v>824</v>
      </c>
      <c r="AQ212" s="530">
        <v>1000000</v>
      </c>
      <c r="AR212" s="500">
        <v>6977.8326315670001</v>
      </c>
      <c r="AS212" s="530">
        <v>107141</v>
      </c>
      <c r="AT212" s="530">
        <v>108786</v>
      </c>
      <c r="AU212" s="769">
        <v>2.9906000000000001</v>
      </c>
      <c r="AV212" s="747">
        <v>116347000000</v>
      </c>
      <c r="AW212" s="534">
        <f>(_xlfn.XLOOKUP(RPBOD3[[#This Row],[Bonds_ShortName]],FNRP!D:D,FNRP!H:H,_xlfn.XLOOKUP(RPBOD3[[#This Row],[Bonds_ShortName]],FNRP!AV:AV,FNRP!AZ:AZ,,0),0)-RPBOD3[[#This Row],[PTCK_Remain]]-10^5)*RPBOD3[[#This Row],[Quantity]]</f>
        <v>-7497832631.5669985</v>
      </c>
      <c r="AY212" s="128"/>
      <c r="AZ212" s="610">
        <v>46252</v>
      </c>
      <c r="BA212" s="850">
        <v>50159</v>
      </c>
      <c r="BB212" s="852" t="s">
        <v>2497</v>
      </c>
      <c r="BC212" s="39" t="s">
        <v>824</v>
      </c>
      <c r="BD212" s="530">
        <v>1600000</v>
      </c>
      <c r="BE212" s="530">
        <v>93756</v>
      </c>
      <c r="BF212" s="658">
        <v>46210</v>
      </c>
      <c r="BG212" s="658">
        <v>46211</v>
      </c>
      <c r="BH212" s="658">
        <v>55966</v>
      </c>
      <c r="BI212" s="500">
        <v>151979200000</v>
      </c>
      <c r="BJ212" s="49">
        <v>4.2</v>
      </c>
      <c r="BK212" s="49">
        <v>213.18004581700001</v>
      </c>
      <c r="BL212" s="630" t="s">
        <v>2172</v>
      </c>
      <c r="BM212" s="49" t="s">
        <v>1033</v>
      </c>
      <c r="BN21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12" s="396">
        <f>(PTCK_offBS[[#This Row],[VALUE_DATE]]-PTCK_offBS[[#This Row],[LAST_PMT]])*PTCK_offBS[[#This Row],[COUPON_RATE]]*1000/(DATE(YEAR(PTCK_offBS[[#This Row],[LAST_PMT]])+1,MONTH(PTCK_offBS[[#This Row],[LAST_PMT]]),DAY(PTCK_offBS[[#This Row],[LAST_PMT]]))-PTCK_offBS[[#This Row],[LAST_PMT]])</f>
        <v>1231.232876712329</v>
      </c>
      <c r="BP212" s="396">
        <f>PTCK_offBS[[#This Row],[GROSS_AMOUNT]]/PTCK_offBS[[#This Row],[QUANTITY]]-PTCK_offBS[[#This Row],[START_ACC]]-10^5</f>
        <v>-6244.2328767123254</v>
      </c>
      <c r="BQ212" s="396">
        <f>IF(PTCK_offBS[[#This Row],[BS]]="Others",PTCK_offBS[[#This Row],[PTCK]]*(PTCK_offBS[[#This Row],[MATURITY_DATE]]-PTCK_offBS[[#This Row],[POSTED_DT]]-1)/(PTCK_offBS[[#This Row],[MATURITY_DATE]]-PTCK_offBS[[#This Row],[VALUE_DATE]]),PTCK_offBS[[#This Row],[PTCK]])</f>
        <v>-6217.3484296777879</v>
      </c>
      <c r="BR212" s="396">
        <f>PTCK_offBS[[#This Row],[PTCK remain]]*PTCK_offBS[[#This Row],[QUANTITY]]</f>
        <v>-9947757487.4844608</v>
      </c>
    </row>
    <row r="213" spans="37:70" ht="14.4" customHeight="1" x14ac:dyDescent="0.3">
      <c r="AK213" s="734"/>
      <c r="AL213" s="128">
        <v>50023</v>
      </c>
      <c r="AM213" s="128" t="s">
        <v>2742</v>
      </c>
      <c r="AN213" s="736">
        <v>2.4</v>
      </c>
      <c r="AO213" s="128" t="s">
        <v>823</v>
      </c>
      <c r="AP213" s="49" t="s">
        <v>824</v>
      </c>
      <c r="AQ213" s="530">
        <v>2000000</v>
      </c>
      <c r="AR213" s="500">
        <v>-3673.2771838859703</v>
      </c>
      <c r="AS213" s="530">
        <v>96246</v>
      </c>
      <c r="AT213" s="530">
        <v>98574</v>
      </c>
      <c r="AU213" s="769">
        <v>3</v>
      </c>
      <c r="AV213" s="747">
        <v>116347000000</v>
      </c>
      <c r="AW213" s="534">
        <f>(_xlfn.XLOOKUP(RPBOD3[[#This Row],[Bonds_ShortName]],FNRP!D:D,FNRP!H:H,_xlfn.XLOOKUP(RPBOD3[[#This Row],[Bonds_ShortName]],FNRP!AV:AV,FNRP!AZ:AZ,,0),0)-RPBOD3[[#This Row],[PTCK_Remain]]-10^5)*RPBOD3[[#This Row],[Quantity]]</f>
        <v>-14947445632.228046</v>
      </c>
      <c r="AY213" s="128"/>
      <c r="AZ213" s="610">
        <v>46252</v>
      </c>
      <c r="BA213" s="850">
        <v>50187</v>
      </c>
      <c r="BB213" s="852" t="s">
        <v>2497</v>
      </c>
      <c r="BC213" s="39" t="s">
        <v>824</v>
      </c>
      <c r="BD213" s="530">
        <v>480000</v>
      </c>
      <c r="BE213" s="530">
        <v>104870</v>
      </c>
      <c r="BF213" s="658">
        <v>46224</v>
      </c>
      <c r="BG213" s="658">
        <v>46225</v>
      </c>
      <c r="BH213" s="658">
        <v>55966</v>
      </c>
      <c r="BI213" s="500">
        <v>51005760000</v>
      </c>
      <c r="BJ213" s="49">
        <v>4.2</v>
      </c>
      <c r="BK213" s="49">
        <v>214.18004581700001</v>
      </c>
      <c r="BL213" s="630" t="s">
        <v>2172</v>
      </c>
      <c r="BM213" s="49" t="s">
        <v>1033</v>
      </c>
      <c r="BN21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13" s="396">
        <f>(PTCK_offBS[[#This Row],[VALUE_DATE]]-PTCK_offBS[[#This Row],[LAST_PMT]])*PTCK_offBS[[#This Row],[COUPON_RATE]]*1000/(DATE(YEAR(PTCK_offBS[[#This Row],[LAST_PMT]])+1,MONTH(PTCK_offBS[[#This Row],[LAST_PMT]]),DAY(PTCK_offBS[[#This Row],[LAST_PMT]]))-PTCK_offBS[[#This Row],[LAST_PMT]])</f>
        <v>1392.3287671232879</v>
      </c>
      <c r="BP213" s="396">
        <f>PTCK_offBS[[#This Row],[GROSS_AMOUNT]]/PTCK_offBS[[#This Row],[QUANTITY]]-PTCK_offBS[[#This Row],[START_ACC]]-10^5</f>
        <v>4869.6712328767171</v>
      </c>
      <c r="BQ213" s="396">
        <f>IF(PTCK_offBS[[#This Row],[BS]]="Others",PTCK_offBS[[#This Row],[PTCK]]*(PTCK_offBS[[#This Row],[MATURITY_DATE]]-PTCK_offBS[[#This Row],[POSTED_DT]]-1)/(PTCK_offBS[[#This Row],[MATURITY_DATE]]-PTCK_offBS[[#This Row],[VALUE_DATE]]),PTCK_offBS[[#This Row],[PTCK]])</f>
        <v>4855.6736151248897</v>
      </c>
      <c r="BR213" s="396">
        <f>PTCK_offBS[[#This Row],[PTCK remain]]*PTCK_offBS[[#This Row],[QUANTITY]]</f>
        <v>2330723335.2599468</v>
      </c>
    </row>
    <row r="214" spans="37:70" ht="14.4" customHeight="1" x14ac:dyDescent="0.3">
      <c r="AK214" s="734"/>
      <c r="AL214" s="128">
        <v>50169</v>
      </c>
      <c r="AM214" s="128" t="s">
        <v>2497</v>
      </c>
      <c r="AN214" s="736">
        <v>4.2</v>
      </c>
      <c r="AO214" s="128" t="s">
        <v>823</v>
      </c>
      <c r="AP214" s="49" t="s">
        <v>824</v>
      </c>
      <c r="AQ214" s="530">
        <v>800000</v>
      </c>
      <c r="AR214" s="500">
        <v>6746.2849191378746</v>
      </c>
      <c r="AS214" s="530">
        <v>106769</v>
      </c>
      <c r="AT214" s="530">
        <v>108104</v>
      </c>
      <c r="AU214" s="769">
        <v>3.7913000000000001</v>
      </c>
      <c r="AV214" s="747">
        <v>116347000000</v>
      </c>
      <c r="AW214" s="534">
        <f>(_xlfn.XLOOKUP(RPBOD3[[#This Row],[Bonds_ShortName]],FNRP!D:D,FNRP!H:H,_xlfn.XLOOKUP(RPBOD3[[#This Row],[Bonds_ShortName]],FNRP!AV:AV,FNRP!AZ:AZ,,0),0)-RPBOD3[[#This Row],[PTCK_Remain]]-10^5)*RPBOD3[[#This Row],[Quantity]]</f>
        <v>-11533027935.310303</v>
      </c>
      <c r="AY214" s="128"/>
      <c r="AZ214" s="610">
        <v>46252</v>
      </c>
      <c r="BA214" s="850">
        <v>50402</v>
      </c>
      <c r="BB214" s="852" t="s">
        <v>636</v>
      </c>
      <c r="BC214" s="39" t="s">
        <v>824</v>
      </c>
      <c r="BD214" s="530">
        <v>1000000</v>
      </c>
      <c r="BE214" s="530">
        <v>92706</v>
      </c>
      <c r="BF214" s="658">
        <v>46254</v>
      </c>
      <c r="BG214" s="658">
        <v>46255</v>
      </c>
      <c r="BH214" s="658">
        <v>47862</v>
      </c>
      <c r="BI214" s="500">
        <v>94026000000</v>
      </c>
      <c r="BJ214" s="49">
        <v>2.2000000000000002</v>
      </c>
      <c r="BK214" s="49">
        <v>215.18004581700001</v>
      </c>
      <c r="BL214" s="630" t="s">
        <v>2172</v>
      </c>
      <c r="BM214" s="49" t="s">
        <v>1033</v>
      </c>
      <c r="BN21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46036</v>
      </c>
      <c r="BO214" s="396">
        <f>(PTCK_offBS[[#This Row],[VALUE_DATE]]-PTCK_offBS[[#This Row],[LAST_PMT]])*PTCK_offBS[[#This Row],[COUPON_RATE]]*1000/(DATE(YEAR(PTCK_offBS[[#This Row],[LAST_PMT]])+1,MONTH(PTCK_offBS[[#This Row],[LAST_PMT]]),DAY(PTCK_offBS[[#This Row],[LAST_PMT]]))-PTCK_offBS[[#This Row],[LAST_PMT]])</f>
        <v>1320</v>
      </c>
      <c r="BP214" s="396">
        <f>PTCK_offBS[[#This Row],[GROSS_AMOUNT]]/PTCK_offBS[[#This Row],[QUANTITY]]-PTCK_offBS[[#This Row],[START_ACC]]-10^5</f>
        <v>-7294</v>
      </c>
      <c r="BQ214" s="396">
        <f>IF(PTCK_offBS[[#This Row],[BS]]="Others",PTCK_offBS[[#This Row],[PTCK]]*(PTCK_offBS[[#This Row],[MATURITY_DATE]]-PTCK_offBS[[#This Row],[POSTED_DT]]-1)/(PTCK_offBS[[#This Row],[MATURITY_DATE]]-PTCK_offBS[[#This Row],[VALUE_DATE]]),PTCK_offBS[[#This Row],[PTCK]])</f>
        <v>-7303.0777846919727</v>
      </c>
      <c r="BR214" s="396">
        <f>PTCK_offBS[[#This Row],[PTCK remain]]*PTCK_offBS[[#This Row],[QUANTITY]]</f>
        <v>-7303077784.6919727</v>
      </c>
    </row>
    <row r="215" spans="37:70" ht="14.4" customHeight="1" x14ac:dyDescent="0.3">
      <c r="AK215" s="734"/>
      <c r="AL215" s="128">
        <v>50192</v>
      </c>
      <c r="AM215" s="128" t="s">
        <v>2785</v>
      </c>
      <c r="AN215" s="736">
        <v>2.2999999999999998</v>
      </c>
      <c r="AO215" s="128" t="s">
        <v>823</v>
      </c>
      <c r="AP215" s="49" t="s">
        <v>824</v>
      </c>
      <c r="AQ215" s="530">
        <v>3000000</v>
      </c>
      <c r="AR215" s="500">
        <v>-4706.5708130799667</v>
      </c>
      <c r="AS215" s="530">
        <v>95255</v>
      </c>
      <c r="AT215" s="530">
        <v>97259</v>
      </c>
      <c r="AU215" s="769">
        <v>3.05</v>
      </c>
      <c r="AV215" s="747">
        <v>116347000000</v>
      </c>
      <c r="AW215" s="534">
        <f>(_xlfn.XLOOKUP(RPBOD3[[#This Row],[Bonds_ShortName]],FNRP!D:D,FNRP!H:H,_xlfn.XLOOKUP(RPBOD3[[#This Row],[Bonds_ShortName]],FNRP!AV:AV,FNRP!AZ:AZ,,0),0)-RPBOD3[[#This Row],[PTCK_Remain]]-10^5)*RPBOD3[[#This Row],[Quantity]]</f>
        <v>-22036287560.760117</v>
      </c>
      <c r="AY215" s="128"/>
      <c r="AZ215" s="610">
        <v>46252</v>
      </c>
      <c r="BA215" s="850">
        <v>45624</v>
      </c>
      <c r="BB215" s="852" t="s">
        <v>2398</v>
      </c>
      <c r="BC215" s="39" t="s">
        <v>824</v>
      </c>
      <c r="BD215" s="530">
        <v>1000000</v>
      </c>
      <c r="BE215" s="530">
        <v>110641</v>
      </c>
      <c r="BF215" s="658">
        <v>45721</v>
      </c>
      <c r="BG215" s="658">
        <v>45722</v>
      </c>
      <c r="BH215" s="658">
        <v>48633</v>
      </c>
      <c r="BI215" s="500">
        <v>110765000000</v>
      </c>
      <c r="BJ215" s="49">
        <v>4.0999999999999996</v>
      </c>
      <c r="BK215" s="49">
        <v>216.18004581700001</v>
      </c>
      <c r="BL215" s="630" t="s">
        <v>2172</v>
      </c>
      <c r="BM215" s="49" t="s">
        <v>1033</v>
      </c>
      <c r="BN21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45711</v>
      </c>
      <c r="BO215" s="396">
        <f>(PTCK_offBS[[#This Row],[VALUE_DATE]]-PTCK_offBS[[#This Row],[LAST_PMT]])*PTCK_offBS[[#This Row],[COUPON_RATE]]*1000/(DATE(YEAR(PTCK_offBS[[#This Row],[LAST_PMT]])+1,MONTH(PTCK_offBS[[#This Row],[LAST_PMT]]),DAY(PTCK_offBS[[#This Row],[LAST_PMT]]))-PTCK_offBS[[#This Row],[LAST_PMT]])</f>
        <v>123.56164383561642</v>
      </c>
      <c r="BP215" s="396">
        <f>PTCK_offBS[[#This Row],[GROSS_AMOUNT]]/PTCK_offBS[[#This Row],[QUANTITY]]-PTCK_offBS[[#This Row],[START_ACC]]-10^5</f>
        <v>10641.438356164377</v>
      </c>
      <c r="BQ215" s="396">
        <f>IF(PTCK_offBS[[#This Row],[BS]]="Others",PTCK_offBS[[#This Row],[PTCK]]*(PTCK_offBS[[#This Row],[MATURITY_DATE]]-PTCK_offBS[[#This Row],[POSTED_DT]]-1)/(PTCK_offBS[[#This Row],[MATURITY_DATE]]-PTCK_offBS[[#This Row],[VALUE_DATE]]),PTCK_offBS[[#This Row],[PTCK]])</f>
        <v>8700.3171719928596</v>
      </c>
      <c r="BR215" s="396">
        <f>PTCK_offBS[[#This Row],[PTCK remain]]*PTCK_offBS[[#This Row],[QUANTITY]]</f>
        <v>8700317171.9928589</v>
      </c>
    </row>
    <row r="216" spans="37:70" ht="14.4" customHeight="1" x14ac:dyDescent="0.3">
      <c r="AK216" s="734"/>
      <c r="AL216" s="128">
        <v>50194</v>
      </c>
      <c r="AM216" s="128" t="s">
        <v>2852</v>
      </c>
      <c r="AN216" s="736">
        <v>2.4</v>
      </c>
      <c r="AO216" s="128" t="s">
        <v>823</v>
      </c>
      <c r="AP216" s="49" t="s">
        <v>824</v>
      </c>
      <c r="AQ216" s="530">
        <v>1000000</v>
      </c>
      <c r="AR216" s="500">
        <v>-5644.25909062133</v>
      </c>
      <c r="AS216" s="530">
        <v>94313</v>
      </c>
      <c r="AT216" s="530">
        <v>95030</v>
      </c>
      <c r="AU216" s="769">
        <v>3.2452000000000001</v>
      </c>
      <c r="AV216" s="747">
        <v>116347000000</v>
      </c>
      <c r="AW216" s="534">
        <f>(_xlfn.XLOOKUP(RPBOD3[[#This Row],[Bonds_ShortName]],FNRP!D:D,FNRP!H:H,_xlfn.XLOOKUP(RPBOD3[[#This Row],[Bonds_ShortName]],FNRP!AV:AV,FNRP!AZ:AZ,,0),0)-RPBOD3[[#This Row],[PTCK_Remain]]-10^5)*RPBOD3[[#This Row],[Quantity]]</f>
        <v>-6759740909.3786697</v>
      </c>
      <c r="AY216" s="128"/>
      <c r="AZ216" s="610">
        <v>46252</v>
      </c>
      <c r="BA216" s="850">
        <v>49718</v>
      </c>
      <c r="BB216" s="852" t="s">
        <v>2497</v>
      </c>
      <c r="BC216" s="39" t="s">
        <v>824</v>
      </c>
      <c r="BD216" s="530">
        <v>1000000</v>
      </c>
      <c r="BE216" s="530">
        <v>98352</v>
      </c>
      <c r="BF216" s="658">
        <v>46154</v>
      </c>
      <c r="BG216" s="658">
        <v>46155</v>
      </c>
      <c r="BH216" s="658">
        <v>55966</v>
      </c>
      <c r="BI216" s="500">
        <v>98939000000</v>
      </c>
      <c r="BJ216" s="49">
        <v>4.2</v>
      </c>
      <c r="BK216" s="49">
        <v>217.18004581700001</v>
      </c>
      <c r="BL216" s="630" t="s">
        <v>2172</v>
      </c>
      <c r="BM216" s="49" t="s">
        <v>1033</v>
      </c>
      <c r="BN21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16" s="396">
        <f>(PTCK_offBS[[#This Row],[VALUE_DATE]]-PTCK_offBS[[#This Row],[LAST_PMT]])*PTCK_offBS[[#This Row],[COUPON_RATE]]*1000/(DATE(YEAR(PTCK_offBS[[#This Row],[LAST_PMT]])+1,MONTH(PTCK_offBS[[#This Row],[LAST_PMT]]),DAY(PTCK_offBS[[#This Row],[LAST_PMT]]))-PTCK_offBS[[#This Row],[LAST_PMT]])</f>
        <v>586.84931506849318</v>
      </c>
      <c r="BP216" s="396">
        <f>PTCK_offBS[[#This Row],[GROSS_AMOUNT]]/PTCK_offBS[[#This Row],[QUANTITY]]-PTCK_offBS[[#This Row],[START_ACC]]-10^5</f>
        <v>-1647.8493150684953</v>
      </c>
      <c r="BQ216" s="396">
        <f>IF(PTCK_offBS[[#This Row],[BS]]="Others",PTCK_offBS[[#This Row],[PTCK]]*(PTCK_offBS[[#This Row],[MATURITY_DATE]]-PTCK_offBS[[#This Row],[POSTED_DT]]-1)/(PTCK_offBS[[#This Row],[MATURITY_DATE]]-PTCK_offBS[[#This Row],[VALUE_DATE]]),PTCK_offBS[[#This Row],[PTCK]])</f>
        <v>-1631.3892974477928</v>
      </c>
      <c r="BR216" s="396">
        <f>PTCK_offBS[[#This Row],[PTCK remain]]*PTCK_offBS[[#This Row],[QUANTITY]]</f>
        <v>-1631389297.4477928</v>
      </c>
    </row>
    <row r="217" spans="37:70" ht="14.4" customHeight="1" x14ac:dyDescent="0.3">
      <c r="AK217" s="734"/>
      <c r="AL217" s="128">
        <v>50313</v>
      </c>
      <c r="AM217" s="128" t="s">
        <v>2497</v>
      </c>
      <c r="AN217" s="736">
        <v>4.2</v>
      </c>
      <c r="AO217" s="128" t="s">
        <v>823</v>
      </c>
      <c r="AP217" s="49" t="s">
        <v>824</v>
      </c>
      <c r="AQ217" s="530">
        <v>800000</v>
      </c>
      <c r="AR217" s="500">
        <v>-63.440263176069621</v>
      </c>
      <c r="AS217" s="530">
        <v>99937</v>
      </c>
      <c r="AT217" s="530">
        <v>101582</v>
      </c>
      <c r="AU217" s="769">
        <v>4.2027000000000001</v>
      </c>
      <c r="AV217" s="747">
        <v>116347000000</v>
      </c>
      <c r="AW217" s="534">
        <f>(_xlfn.XLOOKUP(RPBOD3[[#This Row],[Bonds_ShortName]],FNRP!D:D,FNRP!H:H,_xlfn.XLOOKUP(RPBOD3[[#This Row],[Bonds_ShortName]],FNRP!AV:AV,FNRP!AZ:AZ,,0),0)-RPBOD3[[#This Row],[PTCK_Remain]]-10^5)*RPBOD3[[#This Row],[Quantity]]</f>
        <v>-6085247789.4591398</v>
      </c>
      <c r="AY217" s="128"/>
      <c r="AZ217" s="610">
        <v>46252</v>
      </c>
      <c r="BA217" s="850">
        <v>49733</v>
      </c>
      <c r="BB217" s="852" t="s">
        <v>730</v>
      </c>
      <c r="BC217" s="39" t="s">
        <v>824</v>
      </c>
      <c r="BD217" s="530">
        <v>1100000</v>
      </c>
      <c r="BE217" s="530">
        <v>90064</v>
      </c>
      <c r="BF217" s="658">
        <v>46153</v>
      </c>
      <c r="BG217" s="658">
        <v>46154</v>
      </c>
      <c r="BH217" s="658">
        <v>54804</v>
      </c>
      <c r="BI217" s="500">
        <v>100399200000</v>
      </c>
      <c r="BJ217" s="49">
        <v>3.8</v>
      </c>
      <c r="BK217" s="49">
        <v>218.18004581700001</v>
      </c>
      <c r="BL217" s="630" t="s">
        <v>2172</v>
      </c>
      <c r="BM217" s="49" t="s">
        <v>1033</v>
      </c>
      <c r="BN21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46038</v>
      </c>
      <c r="BO217" s="396">
        <f>(PTCK_offBS[[#This Row],[VALUE_DATE]]-PTCK_offBS[[#This Row],[LAST_PMT]])*PTCK_offBS[[#This Row],[COUPON_RATE]]*1000/(DATE(YEAR(PTCK_offBS[[#This Row],[LAST_PMT]])+1,MONTH(PTCK_offBS[[#This Row],[LAST_PMT]]),DAY(PTCK_offBS[[#This Row],[LAST_PMT]]))-PTCK_offBS[[#This Row],[LAST_PMT]])</f>
        <v>1207.6712328767121</v>
      </c>
      <c r="BP217" s="396">
        <f>PTCK_offBS[[#This Row],[GROSS_AMOUNT]]/PTCK_offBS[[#This Row],[QUANTITY]]-PTCK_offBS[[#This Row],[START_ACC]]-10^5</f>
        <v>-9935.6712328767171</v>
      </c>
      <c r="BQ217" s="396">
        <f>IF(PTCK_offBS[[#This Row],[BS]]="Others",PTCK_offBS[[#This Row],[PTCK]]*(PTCK_offBS[[#This Row],[MATURITY_DATE]]-PTCK_offBS[[#This Row],[POSTED_DT]]-1)/(PTCK_offBS[[#This Row],[MATURITY_DATE]]-PTCK_offBS[[#This Row],[VALUE_DATE]]),PTCK_offBS[[#This Row],[PTCK]])</f>
        <v>-9821.9566141420582</v>
      </c>
      <c r="BR217" s="396">
        <f>PTCK_offBS[[#This Row],[PTCK remain]]*PTCK_offBS[[#This Row],[QUANTITY]]</f>
        <v>-10804152275.556265</v>
      </c>
    </row>
    <row r="218" spans="37:70" ht="14.4" customHeight="1" x14ac:dyDescent="0.3">
      <c r="AK218" s="734"/>
      <c r="AL218" s="128">
        <v>41818</v>
      </c>
      <c r="AM218" s="128" t="s">
        <v>2774</v>
      </c>
      <c r="AN218" s="736">
        <v>3.3</v>
      </c>
      <c r="AO218" s="128" t="s">
        <v>907</v>
      </c>
      <c r="AP218" s="49" t="s">
        <v>824</v>
      </c>
      <c r="AQ218" s="530">
        <v>1500000</v>
      </c>
      <c r="AR218" s="500">
        <v>1681.3730800944732</v>
      </c>
      <c r="AS218" s="530">
        <v>102238</v>
      </c>
      <c r="AT218" s="530">
        <v>103446</v>
      </c>
      <c r="AU218" s="769">
        <v>3.0272999999999999</v>
      </c>
      <c r="AV218" s="747">
        <v>116347000000</v>
      </c>
      <c r="AW218" s="534">
        <f>(_xlfn.XLOOKUP(RPBOD3[[#This Row],[Bonds_ShortName]],FNRP!D:D,FNRP!H:H,_xlfn.XLOOKUP(RPBOD3[[#This Row],[Bonds_ShortName]],FNRP!AV:AV,FNRP!AZ:AZ,,0),0)-RPBOD3[[#This Row],[PTCK_Remain]]-10^5)*RPBOD3[[#This Row],[Quantity]]</f>
        <v>-16208059620.141714</v>
      </c>
      <c r="AY218" s="128"/>
      <c r="AZ218" s="610">
        <v>46252</v>
      </c>
      <c r="BA218" s="850">
        <v>49835</v>
      </c>
      <c r="BB218" s="852" t="s">
        <v>2497</v>
      </c>
      <c r="BC218" s="39" t="s">
        <v>824</v>
      </c>
      <c r="BD218" s="530">
        <v>700000</v>
      </c>
      <c r="BE218" s="530">
        <v>101596</v>
      </c>
      <c r="BF218" s="658">
        <v>46170</v>
      </c>
      <c r="BG218" s="658">
        <v>46171</v>
      </c>
      <c r="BH218" s="658">
        <v>55966</v>
      </c>
      <c r="BI218" s="500">
        <v>71656900000</v>
      </c>
      <c r="BJ218" s="49">
        <v>4.2</v>
      </c>
      <c r="BK218" s="49">
        <v>219.18004581700001</v>
      </c>
      <c r="BL218" s="630" t="s">
        <v>2172</v>
      </c>
      <c r="BM218" s="49" t="s">
        <v>1033</v>
      </c>
      <c r="BN21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18" s="396">
        <f>(PTCK_offBS[[#This Row],[VALUE_DATE]]-PTCK_offBS[[#This Row],[LAST_PMT]])*PTCK_offBS[[#This Row],[COUPON_RATE]]*1000/(DATE(YEAR(PTCK_offBS[[#This Row],[LAST_PMT]])+1,MONTH(PTCK_offBS[[#This Row],[LAST_PMT]]),DAY(PTCK_offBS[[#This Row],[LAST_PMT]]))-PTCK_offBS[[#This Row],[LAST_PMT]])</f>
        <v>770.95890410958918</v>
      </c>
      <c r="BP218" s="396">
        <f>PTCK_offBS[[#This Row],[GROSS_AMOUNT]]/PTCK_offBS[[#This Row],[QUANTITY]]-PTCK_offBS[[#This Row],[START_ACC]]-10^5</f>
        <v>1596.0410958904104</v>
      </c>
      <c r="BQ218" s="396">
        <f>IF(PTCK_offBS[[#This Row],[BS]]="Others",PTCK_offBS[[#This Row],[PTCK]]*(PTCK_offBS[[#This Row],[MATURITY_DATE]]-PTCK_offBS[[#This Row],[POSTED_DT]]-1)/(PTCK_offBS[[#This Row],[MATURITY_DATE]]-PTCK_offBS[[#This Row],[VALUE_DATE]]),PTCK_offBS[[#This Row],[PTCK]])</f>
        <v>1582.6796492479384</v>
      </c>
      <c r="BR218" s="396">
        <f>PTCK_offBS[[#This Row],[PTCK remain]]*PTCK_offBS[[#This Row],[QUANTITY]]</f>
        <v>1107875754.473557</v>
      </c>
    </row>
    <row r="219" spans="37:70" ht="14.4" customHeight="1" x14ac:dyDescent="0.3">
      <c r="AK219" s="734"/>
      <c r="AL219" s="128">
        <v>41820</v>
      </c>
      <c r="AM219" s="128" t="s">
        <v>2774</v>
      </c>
      <c r="AN219" s="736">
        <v>3.3</v>
      </c>
      <c r="AO219" s="128" t="s">
        <v>907</v>
      </c>
      <c r="AP219" s="49" t="s">
        <v>824</v>
      </c>
      <c r="AQ219" s="530">
        <v>1000000</v>
      </c>
      <c r="AR219" s="500">
        <v>1681.37308009447</v>
      </c>
      <c r="AS219" s="530">
        <v>102238</v>
      </c>
      <c r="AT219" s="530">
        <v>103446</v>
      </c>
      <c r="AU219" s="769">
        <v>3.0272999999999999</v>
      </c>
      <c r="AV219" s="747">
        <v>116347000000</v>
      </c>
      <c r="AW219" s="534">
        <f>(_xlfn.XLOOKUP(RPBOD3[[#This Row],[Bonds_ShortName]],FNRP!D:D,FNRP!H:H,_xlfn.XLOOKUP(RPBOD3[[#This Row],[Bonds_ShortName]],FNRP!AV:AV,FNRP!AZ:AZ,,0),0)-RPBOD3[[#This Row],[PTCK_Remain]]-10^5)*RPBOD3[[#This Row],[Quantity]]</f>
        <v>-10805373080.094477</v>
      </c>
      <c r="AY219" s="128"/>
      <c r="AZ219" s="610">
        <v>46252</v>
      </c>
      <c r="BA219" s="850">
        <v>50406</v>
      </c>
      <c r="BB219" s="852" t="s">
        <v>1209</v>
      </c>
      <c r="BC219" s="39" t="s">
        <v>824</v>
      </c>
      <c r="BD219" s="530">
        <v>190000</v>
      </c>
      <c r="BE219" s="530">
        <v>123262</v>
      </c>
      <c r="BF219" s="658">
        <v>46258</v>
      </c>
      <c r="BG219" s="658">
        <v>46259</v>
      </c>
      <c r="BH219" s="658">
        <v>49528</v>
      </c>
      <c r="BI219" s="500">
        <v>23492360000</v>
      </c>
      <c r="BJ219" s="49">
        <v>7.75</v>
      </c>
      <c r="BK219" s="49">
        <v>220.18004581700001</v>
      </c>
      <c r="BL219" s="630" t="s">
        <v>2172</v>
      </c>
      <c r="BM219" s="49" t="s">
        <v>1033</v>
      </c>
      <c r="BN21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46241</v>
      </c>
      <c r="BO219" s="396">
        <f>(PTCK_offBS[[#This Row],[VALUE_DATE]]-PTCK_offBS[[#This Row],[LAST_PMT]])*PTCK_offBS[[#This Row],[COUPON_RATE]]*1000/(DATE(YEAR(PTCK_offBS[[#This Row],[LAST_PMT]])+1,MONTH(PTCK_offBS[[#This Row],[LAST_PMT]]),DAY(PTCK_offBS[[#This Row],[LAST_PMT]]))-PTCK_offBS[[#This Row],[LAST_PMT]])</f>
        <v>382.1917808219178</v>
      </c>
      <c r="BP219" s="396">
        <f>PTCK_offBS[[#This Row],[GROSS_AMOUNT]]/PTCK_offBS[[#This Row],[QUANTITY]]-PTCK_offBS[[#This Row],[START_ACC]]-10^5</f>
        <v>23261.808219178085</v>
      </c>
      <c r="BQ219" s="396">
        <f>IF(PTCK_offBS[[#This Row],[BS]]="Others",PTCK_offBS[[#This Row],[PTCK]]*(PTCK_offBS[[#This Row],[MATURITY_DATE]]-PTCK_offBS[[#This Row],[POSTED_DT]]-1)/(PTCK_offBS[[#This Row],[MATURITY_DATE]]-PTCK_offBS[[#This Row],[VALUE_DATE]]),PTCK_offBS[[#This Row],[PTCK]])</f>
        <v>23304.503492752596</v>
      </c>
      <c r="BR219" s="396">
        <f>PTCK_offBS[[#This Row],[PTCK remain]]*PTCK_offBS[[#This Row],[QUANTITY]]</f>
        <v>4427855663.6229935</v>
      </c>
    </row>
    <row r="220" spans="37:70" ht="14.4" customHeight="1" x14ac:dyDescent="0.3">
      <c r="AK220" s="734"/>
      <c r="AL220" s="128">
        <v>45636</v>
      </c>
      <c r="AM220" s="128" t="s">
        <v>2381</v>
      </c>
      <c r="AN220" s="736">
        <v>4.5</v>
      </c>
      <c r="AO220" s="128" t="s">
        <v>823</v>
      </c>
      <c r="AP220" s="49" t="s">
        <v>2180</v>
      </c>
      <c r="AQ220" s="530">
        <v>2000000</v>
      </c>
      <c r="AR220" s="500">
        <v>12393.943266994049</v>
      </c>
      <c r="AS220" s="530">
        <v>115217</v>
      </c>
      <c r="AT220" s="530">
        <v>115957</v>
      </c>
      <c r="AU220" s="769">
        <v>2.35</v>
      </c>
      <c r="AV220" s="747">
        <v>116347000000</v>
      </c>
      <c r="AW220" s="534">
        <f>(_xlfn.XLOOKUP(RPBOD3[[#This Row],[Bonds_ShortName]],FNRP!D:D,FNRP!H:H,_xlfn.XLOOKUP(RPBOD3[[#This Row],[Bonds_ShortName]],FNRP!AV:AV,FNRP!AZ:AZ,,0),0)-RPBOD3[[#This Row],[PTCK_Remain]]-10^5)*RPBOD3[[#This Row],[Quantity]]</f>
        <v>-22497886533.988087</v>
      </c>
      <c r="AY220" s="128"/>
      <c r="AZ220" s="610">
        <v>46252</v>
      </c>
      <c r="BA220" s="850">
        <v>50404</v>
      </c>
      <c r="BB220" s="852" t="s">
        <v>2497</v>
      </c>
      <c r="BC220" s="39" t="s">
        <v>824</v>
      </c>
      <c r="BD220" s="530">
        <v>800000</v>
      </c>
      <c r="BE220" s="530">
        <v>103175</v>
      </c>
      <c r="BF220" s="658">
        <v>46258</v>
      </c>
      <c r="BG220" s="658">
        <v>46259</v>
      </c>
      <c r="BH220" s="658">
        <v>55966</v>
      </c>
      <c r="BI220" s="500">
        <v>83967200000</v>
      </c>
      <c r="BJ220" s="49">
        <v>4.2</v>
      </c>
      <c r="BK220" s="49">
        <v>221.18004581700001</v>
      </c>
      <c r="BL220" s="630" t="s">
        <v>2172</v>
      </c>
      <c r="BM220" s="49" t="s">
        <v>1033</v>
      </c>
      <c r="BN22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46104</v>
      </c>
      <c r="BO220" s="396">
        <f>(PTCK_offBS[[#This Row],[VALUE_DATE]]-PTCK_offBS[[#This Row],[LAST_PMT]])*PTCK_offBS[[#This Row],[COUPON_RATE]]*1000/(DATE(YEAR(PTCK_offBS[[#This Row],[LAST_PMT]])+1,MONTH(PTCK_offBS[[#This Row],[LAST_PMT]]),DAY(PTCK_offBS[[#This Row],[LAST_PMT]]))-PTCK_offBS[[#This Row],[LAST_PMT]])</f>
        <v>1783.5616438356165</v>
      </c>
      <c r="BP220" s="396">
        <f>PTCK_offBS[[#This Row],[GROSS_AMOUNT]]/PTCK_offBS[[#This Row],[QUANTITY]]-PTCK_offBS[[#This Row],[START_ACC]]-10^5</f>
        <v>3175.4383561643772</v>
      </c>
      <c r="BQ220" s="396">
        <f>IF(PTCK_offBS[[#This Row],[BS]]="Others",PTCK_offBS[[#This Row],[PTCK]]*(PTCK_offBS[[#This Row],[MATURITY_DATE]]-PTCK_offBS[[#This Row],[POSTED_DT]]-1)/(PTCK_offBS[[#This Row],[MATURITY_DATE]]-PTCK_offBS[[#This Row],[VALUE_DATE]]),PTCK_offBS[[#This Row],[PTCK]])</f>
        <v>3177.4011284047178</v>
      </c>
      <c r="BR220" s="396">
        <f>PTCK_offBS[[#This Row],[PTCK remain]]*PTCK_offBS[[#This Row],[QUANTITY]]</f>
        <v>2541920902.7237744</v>
      </c>
    </row>
    <row r="221" spans="37:70" x14ac:dyDescent="0.3">
      <c r="AK221" s="734"/>
      <c r="AL221" s="128">
        <v>45102</v>
      </c>
      <c r="AM221" s="128" t="s">
        <v>703</v>
      </c>
      <c r="AN221" s="736">
        <v>2.2000000000000002</v>
      </c>
      <c r="AO221" s="128" t="s">
        <v>823</v>
      </c>
      <c r="AP221" s="49" t="s">
        <v>2180</v>
      </c>
      <c r="AQ221" s="530">
        <v>500000</v>
      </c>
      <c r="AR221" s="500">
        <v>-1826.3061680720241</v>
      </c>
      <c r="AS221" s="530">
        <v>97877</v>
      </c>
      <c r="AT221" s="530">
        <v>98552</v>
      </c>
      <c r="AU221" s="769">
        <v>2.41</v>
      </c>
      <c r="AV221" s="747">
        <v>116347000000</v>
      </c>
      <c r="AW221" s="534">
        <f>(_xlfn.XLOOKUP(RPBOD3[[#This Row],[Bonds_ShortName]],FNRP!D:D,FNRP!H:H,_xlfn.XLOOKUP(RPBOD3[[#This Row],[Bonds_ShortName]],FNRP!AV:AV,FNRP!AZ:AZ,,0),0)-RPBOD3[[#This Row],[PTCK_Remain]]-10^5)*RPBOD3[[#This Row],[Quantity]]</f>
        <v>-8052846915.9639864</v>
      </c>
      <c r="AY221" s="128"/>
      <c r="AZ221" s="610">
        <v>46252</v>
      </c>
      <c r="BA221" s="850">
        <v>50048</v>
      </c>
      <c r="BB221" s="852" t="s">
        <v>3317</v>
      </c>
      <c r="BC221" s="39" t="s">
        <v>824</v>
      </c>
      <c r="BD221" s="530">
        <v>110000</v>
      </c>
      <c r="BE221" s="530">
        <v>98599</v>
      </c>
      <c r="BF221" s="658">
        <v>46190</v>
      </c>
      <c r="BG221" s="658">
        <v>46191</v>
      </c>
      <c r="BH221" s="658">
        <v>49528</v>
      </c>
      <c r="BI221" s="500">
        <v>11159170000</v>
      </c>
      <c r="BJ221" s="49">
        <v>3.3</v>
      </c>
      <c r="BK221" s="49">
        <v>222.18004581700001</v>
      </c>
      <c r="BL221" s="630" t="s">
        <v>2172</v>
      </c>
      <c r="BM221" s="49" t="s">
        <v>1033</v>
      </c>
      <c r="BN22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45876</v>
      </c>
      <c r="BO221" s="396">
        <f>(PTCK_offBS[[#This Row],[VALUE_DATE]]-PTCK_offBS[[#This Row],[LAST_PMT]])*PTCK_offBS[[#This Row],[COUPON_RATE]]*1000/(DATE(YEAR(PTCK_offBS[[#This Row],[LAST_PMT]])+1,MONTH(PTCK_offBS[[#This Row],[LAST_PMT]]),DAY(PTCK_offBS[[#This Row],[LAST_PMT]]))-PTCK_offBS[[#This Row],[LAST_PMT]])</f>
        <v>2847.9452054794519</v>
      </c>
      <c r="BP221" s="396">
        <f>PTCK_offBS[[#This Row],[GROSS_AMOUNT]]/PTCK_offBS[[#This Row],[QUANTITY]]-PTCK_offBS[[#This Row],[START_ACC]]-10^5</f>
        <v>-1400.9452054794529</v>
      </c>
      <c r="BQ221" s="396">
        <f>IF(PTCK_offBS[[#This Row],[BS]]="Others",PTCK_offBS[[#This Row],[PTCK]]*(PTCK_offBS[[#This Row],[MATURITY_DATE]]-PTCK_offBS[[#This Row],[POSTED_DT]]-1)/(PTCK_offBS[[#This Row],[MATURITY_DATE]]-PTCK_offBS[[#This Row],[VALUE_DATE]]),PTCK_offBS[[#This Row],[PTCK]])</f>
        <v>-1374.9162565014108</v>
      </c>
      <c r="BR221" s="396">
        <f>PTCK_offBS[[#This Row],[PTCK remain]]*PTCK_offBS[[#This Row],[QUANTITY]]</f>
        <v>-151240788.21515518</v>
      </c>
    </row>
    <row r="222" spans="37:70" ht="14.4" customHeight="1" x14ac:dyDescent="0.3">
      <c r="AK222" s="734"/>
      <c r="AL222" s="128">
        <v>47986</v>
      </c>
      <c r="AM222" s="128" t="s">
        <v>2839</v>
      </c>
      <c r="AN222" s="736">
        <v>2.7</v>
      </c>
      <c r="AO222" s="128" t="s">
        <v>823</v>
      </c>
      <c r="AP222" s="49" t="s">
        <v>824</v>
      </c>
      <c r="AQ222" s="530">
        <v>1000000</v>
      </c>
      <c r="AR222" s="500">
        <v>-2864.2696178442202</v>
      </c>
      <c r="AS222" s="530">
        <v>96863</v>
      </c>
      <c r="AT222" s="530">
        <v>97536</v>
      </c>
      <c r="AU222" s="769">
        <v>3.1141000000000001</v>
      </c>
      <c r="AV222" s="747">
        <v>116347000000</v>
      </c>
      <c r="AW222" s="534">
        <f>(_xlfn.XLOOKUP(RPBOD3[[#This Row],[Bonds_ShortName]],FNRP!D:D,FNRP!H:H,_xlfn.XLOOKUP(RPBOD3[[#This Row],[Bonds_ShortName]],FNRP!AV:AV,FNRP!AZ:AZ,,0),0)-RPBOD3[[#This Row],[PTCK_Remain]]-10^5)*RPBOD3[[#This Row],[Quantity]]</f>
        <v>-8106730382.1557722</v>
      </c>
      <c r="AY222" s="128"/>
      <c r="AZ222" s="610">
        <v>46252</v>
      </c>
      <c r="BA222" s="850">
        <v>50342</v>
      </c>
      <c r="BB222" s="852" t="s">
        <v>2781</v>
      </c>
      <c r="BC222" s="39" t="s">
        <v>4054</v>
      </c>
      <c r="BD222" s="530">
        <v>3000000</v>
      </c>
      <c r="BE222" s="530">
        <v>101292</v>
      </c>
      <c r="BF222" s="658">
        <v>46245</v>
      </c>
      <c r="BG222" s="658">
        <v>46245</v>
      </c>
      <c r="BH222" s="658">
        <v>48904</v>
      </c>
      <c r="BI222" s="500">
        <v>310362000000</v>
      </c>
      <c r="BJ222" s="49">
        <v>3</v>
      </c>
      <c r="BK222" s="49">
        <v>223.18004581700001</v>
      </c>
      <c r="BL222" s="630" t="s">
        <v>2172</v>
      </c>
      <c r="BM222" s="49" t="s">
        <v>1033</v>
      </c>
      <c r="BN222"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O222" s="396">
        <f>(PTCK_offBS[[#This Row],[VALUE_DATE]]-PTCK_offBS[[#This Row],[LAST_PMT]])*PTCK_offBS[[#This Row],[COUPON_RATE]]*1000/(DATE(YEAR(PTCK_offBS[[#This Row],[LAST_PMT]])+1,MONTH(PTCK_offBS[[#This Row],[LAST_PMT]]),DAY(PTCK_offBS[[#This Row],[LAST_PMT]]))-PTCK_offBS[[#This Row],[LAST_PMT]])</f>
        <v>2161.6438356164385</v>
      </c>
      <c r="BP222" s="396">
        <f>PTCK_offBS[[#This Row],[GROSS_AMOUNT]]/PTCK_offBS[[#This Row],[QUANTITY]]-PTCK_offBS[[#This Row],[START_ACC]]-10^5</f>
        <v>1292.3561643835565</v>
      </c>
      <c r="BQ222" s="396">
        <f>IF(PTCK_offBS[[#This Row],[BS]]="Others",PTCK_offBS[[#This Row],[PTCK]]*(PTCK_offBS[[#This Row],[MATURITY_DATE]]-PTCK_offBS[[#This Row],[POSTED_DT]]-1)/(PTCK_offBS[[#This Row],[MATURITY_DATE]]-PTCK_offBS[[#This Row],[VALUE_DATE]]),PTCK_offBS[[#This Row],[PTCK]])</f>
        <v>1288.4679171796947</v>
      </c>
      <c r="BR222" s="396">
        <f>PTCK_offBS[[#This Row],[PTCK remain]]*PTCK_offBS[[#This Row],[QUANTITY]]</f>
        <v>3865403751.539084</v>
      </c>
    </row>
    <row r="223" spans="37:70" ht="14.4" customHeight="1" x14ac:dyDescent="0.3">
      <c r="AK223" s="734"/>
      <c r="AL223" s="128">
        <v>45101</v>
      </c>
      <c r="AM223" s="128" t="s">
        <v>2794</v>
      </c>
      <c r="AN223" s="736">
        <v>2.2000000000000002</v>
      </c>
      <c r="AO223" s="128" t="s">
        <v>823</v>
      </c>
      <c r="AP223" s="49" t="s">
        <v>2180</v>
      </c>
      <c r="AQ223" s="530">
        <v>500000</v>
      </c>
      <c r="AR223" s="500">
        <v>-1.331977739726</v>
      </c>
      <c r="AS223" s="530">
        <v>99998</v>
      </c>
      <c r="AT223" s="530">
        <v>100137</v>
      </c>
      <c r="AU223" s="769">
        <v>2.2000000000000002</v>
      </c>
      <c r="AV223" s="747">
        <v>116347000000</v>
      </c>
      <c r="AW223" s="534">
        <f>(_xlfn.XLOOKUP(RPBOD3[[#This Row],[Bonds_ShortName]],FNRP!D:D,FNRP!H:H,_xlfn.XLOOKUP(RPBOD3[[#This Row],[Bonds_ShortName]],FNRP!AV:AV,FNRP!AZ:AZ,,0),0)-RPBOD3[[#This Row],[PTCK_Remain]]-10^5)*RPBOD3[[#This Row],[Quantity]]</f>
        <v>-6533834011.1301365</v>
      </c>
      <c r="AY223" s="128"/>
      <c r="AZ223" s="610">
        <v>46252</v>
      </c>
      <c r="BA223" s="850">
        <v>50344</v>
      </c>
      <c r="BB223" s="852" t="s">
        <v>2781</v>
      </c>
      <c r="BC223" s="39" t="s">
        <v>4054</v>
      </c>
      <c r="BD223" s="530">
        <v>2000000</v>
      </c>
      <c r="BE223" s="530">
        <v>101292</v>
      </c>
      <c r="BF223" s="658">
        <v>46245</v>
      </c>
      <c r="BG223" s="658">
        <v>46245</v>
      </c>
      <c r="BH223" s="658">
        <v>48904</v>
      </c>
      <c r="BI223" s="500">
        <v>206908000000</v>
      </c>
      <c r="BJ223" s="49">
        <v>3</v>
      </c>
      <c r="BK223" s="49">
        <v>224.18004581700001</v>
      </c>
      <c r="BL223" s="630" t="s">
        <v>2172</v>
      </c>
      <c r="BM223" s="49" t="s">
        <v>1033</v>
      </c>
      <c r="BN223"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45982</v>
      </c>
      <c r="BO223" s="396">
        <f>(PTCK_offBS[[#This Row],[VALUE_DATE]]-PTCK_offBS[[#This Row],[LAST_PMT]])*PTCK_offBS[[#This Row],[COUPON_RATE]]*1000/(DATE(YEAR(PTCK_offBS[[#This Row],[LAST_PMT]])+1,MONTH(PTCK_offBS[[#This Row],[LAST_PMT]]),DAY(PTCK_offBS[[#This Row],[LAST_PMT]]))-PTCK_offBS[[#This Row],[LAST_PMT]])</f>
        <v>2161.6438356164385</v>
      </c>
      <c r="BP223" s="396">
        <f>PTCK_offBS[[#This Row],[GROSS_AMOUNT]]/PTCK_offBS[[#This Row],[QUANTITY]]-PTCK_offBS[[#This Row],[START_ACC]]-10^5</f>
        <v>1292.3561643835565</v>
      </c>
      <c r="BQ223" s="396">
        <f>IF(PTCK_offBS[[#This Row],[BS]]="Others",PTCK_offBS[[#This Row],[PTCK]]*(PTCK_offBS[[#This Row],[MATURITY_DATE]]-PTCK_offBS[[#This Row],[POSTED_DT]]-1)/(PTCK_offBS[[#This Row],[MATURITY_DATE]]-PTCK_offBS[[#This Row],[VALUE_DATE]]),PTCK_offBS[[#This Row],[PTCK]])</f>
        <v>1288.4679171796947</v>
      </c>
      <c r="BR223" s="396">
        <f>PTCK_offBS[[#This Row],[PTCK remain]]*PTCK_offBS[[#This Row],[QUANTITY]]</f>
        <v>2576935834.3593893</v>
      </c>
    </row>
    <row r="224" spans="37:70" x14ac:dyDescent="0.3">
      <c r="AK224" s="734"/>
      <c r="AL224" s="128">
        <v>45529</v>
      </c>
      <c r="AM224" s="128" t="s">
        <v>2741</v>
      </c>
      <c r="AN224" s="736">
        <v>2.8</v>
      </c>
      <c r="AO224" s="128" t="s">
        <v>823</v>
      </c>
      <c r="AP224" s="49" t="s">
        <v>2180</v>
      </c>
      <c r="AQ224" s="530">
        <v>1500000</v>
      </c>
      <c r="AR224" s="500">
        <v>680.10537299476664</v>
      </c>
      <c r="AS224" s="530">
        <v>100765</v>
      </c>
      <c r="AT224" s="530">
        <v>102675</v>
      </c>
      <c r="AU224" s="769">
        <v>2.73</v>
      </c>
      <c r="AV224" s="747">
        <v>116347000000</v>
      </c>
      <c r="AW224" s="534">
        <f>(_xlfn.XLOOKUP(RPBOD3[[#This Row],[Bonds_ShortName]],FNRP!D:D,FNRP!H:H,_xlfn.XLOOKUP(RPBOD3[[#This Row],[Bonds_ShortName]],FNRP!AV:AV,FNRP!AZ:AZ,,0),0)-RPBOD3[[#This Row],[PTCK_Remain]]-10^5)*RPBOD3[[#This Row],[Quantity]]</f>
        <v>-24003158059.492138</v>
      </c>
      <c r="AY224" s="128"/>
      <c r="AZ224" s="610">
        <v>46252</v>
      </c>
      <c r="BA224" s="850">
        <v>50340</v>
      </c>
      <c r="BB224" s="852" t="s">
        <v>568</v>
      </c>
      <c r="BC224" s="39" t="s">
        <v>4054</v>
      </c>
      <c r="BD224" s="530">
        <v>3000000</v>
      </c>
      <c r="BE224" s="530">
        <v>102193</v>
      </c>
      <c r="BF224" s="658">
        <v>46245</v>
      </c>
      <c r="BG224" s="658">
        <v>46245</v>
      </c>
      <c r="BH224" s="658">
        <v>46432</v>
      </c>
      <c r="BI224" s="500">
        <v>316236000000</v>
      </c>
      <c r="BJ224" s="49">
        <v>6.6</v>
      </c>
      <c r="BK224" s="49">
        <v>225.18004581700001</v>
      </c>
      <c r="BL224" s="630" t="s">
        <v>2172</v>
      </c>
      <c r="BM224" s="49" t="s">
        <v>1033</v>
      </c>
      <c r="BN224"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46067</v>
      </c>
      <c r="BO224" s="396">
        <f>(PTCK_offBS[[#This Row],[VALUE_DATE]]-PTCK_offBS[[#This Row],[LAST_PMT]])*PTCK_offBS[[#This Row],[COUPON_RATE]]*1000/(DATE(YEAR(PTCK_offBS[[#This Row],[LAST_PMT]])+1,MONTH(PTCK_offBS[[#This Row],[LAST_PMT]]),DAY(PTCK_offBS[[#This Row],[LAST_PMT]]))-PTCK_offBS[[#This Row],[LAST_PMT]])</f>
        <v>3218.6301369863013</v>
      </c>
      <c r="BP224" s="396">
        <f>PTCK_offBS[[#This Row],[GROSS_AMOUNT]]/PTCK_offBS[[#This Row],[QUANTITY]]-PTCK_offBS[[#This Row],[START_ACC]]-10^5</f>
        <v>2193.3698630136932</v>
      </c>
      <c r="BQ224" s="396">
        <f>IF(PTCK_offBS[[#This Row],[BS]]="Others",PTCK_offBS[[#This Row],[PTCK]]*(PTCK_offBS[[#This Row],[MATURITY_DATE]]-PTCK_offBS[[#This Row],[POSTED_DT]]-1)/(PTCK_offBS[[#This Row],[MATURITY_DATE]]-PTCK_offBS[[#This Row],[VALUE_DATE]]),PTCK_offBS[[#This Row],[PTCK]])</f>
        <v>2099.5358581788828</v>
      </c>
      <c r="BR224" s="396">
        <f>PTCK_offBS[[#This Row],[PTCK remain]]*PTCK_offBS[[#This Row],[QUANTITY]]</f>
        <v>6298607574.5366488</v>
      </c>
    </row>
    <row r="225" spans="37:70" x14ac:dyDescent="0.3">
      <c r="AK225" s="734"/>
      <c r="AL225" s="128">
        <v>47189</v>
      </c>
      <c r="AM225" s="128" t="s">
        <v>2852</v>
      </c>
      <c r="AN225" s="736">
        <v>2.4</v>
      </c>
      <c r="AO225" s="128" t="s">
        <v>823</v>
      </c>
      <c r="AP225" s="49" t="s">
        <v>825</v>
      </c>
      <c r="AQ225" s="530">
        <v>1000000</v>
      </c>
      <c r="AR225" s="500">
        <v>-5608.5024678315895</v>
      </c>
      <c r="AS225" s="530">
        <v>93644</v>
      </c>
      <c r="AT225" s="530">
        <v>94453</v>
      </c>
      <c r="AU225" s="769">
        <v>3.2524999999999999</v>
      </c>
      <c r="AV225" s="747">
        <v>116347000000</v>
      </c>
      <c r="AW225" s="534">
        <f>(_xlfn.XLOOKUP(RPBOD3[[#This Row],[Bonds_ShortName]],FNRP!D:D,FNRP!H:H,_xlfn.XLOOKUP(RPBOD3[[#This Row],[Bonds_ShortName]],FNRP!AV:AV,FNRP!AZ:AZ,,0),0)-RPBOD3[[#This Row],[PTCK_Remain]]-10^5)*RPBOD3[[#This Row],[Quantity]]</f>
        <v>-6795497532.1684036</v>
      </c>
      <c r="AY225" s="128"/>
      <c r="AZ225" s="610">
        <v>46252</v>
      </c>
      <c r="BA225" s="850">
        <v>50338</v>
      </c>
      <c r="BB225" s="852" t="s">
        <v>655</v>
      </c>
      <c r="BC225" s="39" t="s">
        <v>4054</v>
      </c>
      <c r="BD225" s="530">
        <v>340000</v>
      </c>
      <c r="BE225" s="530">
        <v>99745</v>
      </c>
      <c r="BF225" s="658">
        <v>46245</v>
      </c>
      <c r="BG225" s="658">
        <v>46245</v>
      </c>
      <c r="BH225" s="658">
        <v>48415</v>
      </c>
      <c r="BI225" s="500">
        <v>34030260000</v>
      </c>
      <c r="BJ225" s="49">
        <v>5.7</v>
      </c>
      <c r="BK225" s="49">
        <v>226.18004581700001</v>
      </c>
      <c r="BL225" s="630" t="s">
        <v>2172</v>
      </c>
      <c r="BM225" s="49" t="s">
        <v>1033</v>
      </c>
      <c r="BN225"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46223</v>
      </c>
      <c r="BO225" s="396">
        <f>(PTCK_offBS[[#This Row],[VALUE_DATE]]-PTCK_offBS[[#This Row],[LAST_PMT]])*PTCK_offBS[[#This Row],[COUPON_RATE]]*1000/(DATE(YEAR(PTCK_offBS[[#This Row],[LAST_PMT]])+1,MONTH(PTCK_offBS[[#This Row],[LAST_PMT]]),DAY(PTCK_offBS[[#This Row],[LAST_PMT]]))-PTCK_offBS[[#This Row],[LAST_PMT]])</f>
        <v>343.56164383561645</v>
      </c>
      <c r="BP225" s="396">
        <f>PTCK_offBS[[#This Row],[GROSS_AMOUNT]]/PTCK_offBS[[#This Row],[QUANTITY]]-PTCK_offBS[[#This Row],[START_ACC]]-10^5</f>
        <v>-254.56164383562282</v>
      </c>
      <c r="BQ225" s="396">
        <f>IF(PTCK_offBS[[#This Row],[BS]]="Others",PTCK_offBS[[#This Row],[PTCK]]*(PTCK_offBS[[#This Row],[MATURITY_DATE]]-PTCK_offBS[[#This Row],[POSTED_DT]]-1)/(PTCK_offBS[[#This Row],[MATURITY_DATE]]-PTCK_offBS[[#This Row],[VALUE_DATE]]),PTCK_offBS[[#This Row],[PTCK]])</f>
        <v>-253.62316772931638</v>
      </c>
      <c r="BR225" s="396">
        <f>PTCK_offBS[[#This Row],[PTCK remain]]*PTCK_offBS[[#This Row],[QUANTITY]]</f>
        <v>-86231877.027967572</v>
      </c>
    </row>
    <row r="226" spans="37:70" ht="14.4" customHeight="1" x14ac:dyDescent="0.3">
      <c r="AK226" s="734"/>
      <c r="AL226" s="128">
        <v>47255</v>
      </c>
      <c r="AM226" s="128" t="s">
        <v>2785</v>
      </c>
      <c r="AN226" s="736">
        <v>2.2999999999999998</v>
      </c>
      <c r="AO226" s="128" t="s">
        <v>823</v>
      </c>
      <c r="AP226" s="49" t="s">
        <v>824</v>
      </c>
      <c r="AQ226" s="530">
        <v>1000000</v>
      </c>
      <c r="AR226" s="500">
        <v>-4965.2088006139902</v>
      </c>
      <c r="AS226" s="530">
        <v>94339</v>
      </c>
      <c r="AT226" s="530">
        <v>96494</v>
      </c>
      <c r="AU226" s="769">
        <v>3.1040999999999999</v>
      </c>
      <c r="AV226" s="747">
        <v>116347000000</v>
      </c>
      <c r="AW226" s="534">
        <f>(_xlfn.XLOOKUP(RPBOD3[[#This Row],[Bonds_ShortName]],FNRP!D:D,FNRP!H:H,_xlfn.XLOOKUP(RPBOD3[[#This Row],[Bonds_ShortName]],FNRP!AV:AV,FNRP!AZ:AZ,,0),0)-RPBOD3[[#This Row],[PTCK_Remain]]-10^5)*RPBOD3[[#This Row],[Quantity]]</f>
        <v>-7086791199.3860035</v>
      </c>
      <c r="AY226" s="128"/>
      <c r="AZ226" s="610">
        <v>46252</v>
      </c>
      <c r="BA226" s="850">
        <v>50346</v>
      </c>
      <c r="BB226" s="852" t="s">
        <v>2852</v>
      </c>
      <c r="BC226" s="39" t="s">
        <v>4054</v>
      </c>
      <c r="BD226" s="530">
        <v>500000</v>
      </c>
      <c r="BE226" s="530">
        <v>98076</v>
      </c>
      <c r="BF226" s="658">
        <v>46245</v>
      </c>
      <c r="BG226" s="658">
        <v>46245</v>
      </c>
      <c r="BH226" s="658">
        <v>49045</v>
      </c>
      <c r="BI226" s="500">
        <v>49439000000</v>
      </c>
      <c r="BJ226" s="49">
        <v>2.4</v>
      </c>
      <c r="BK226" s="49">
        <v>227.18004581700001</v>
      </c>
      <c r="BL226" s="630" t="s">
        <v>2172</v>
      </c>
      <c r="BM226" s="49" t="s">
        <v>1033</v>
      </c>
      <c r="BN226"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46123</v>
      </c>
      <c r="BO226" s="396">
        <f>(PTCK_offBS[[#This Row],[VALUE_DATE]]-PTCK_offBS[[#This Row],[LAST_PMT]])*PTCK_offBS[[#This Row],[COUPON_RATE]]*1000/(DATE(YEAR(PTCK_offBS[[#This Row],[LAST_PMT]])+1,MONTH(PTCK_offBS[[#This Row],[LAST_PMT]]),DAY(PTCK_offBS[[#This Row],[LAST_PMT]]))-PTCK_offBS[[#This Row],[LAST_PMT]])</f>
        <v>802.19178082191786</v>
      </c>
      <c r="BP226" s="396">
        <f>PTCK_offBS[[#This Row],[GROSS_AMOUNT]]/PTCK_offBS[[#This Row],[QUANTITY]]-PTCK_offBS[[#This Row],[START_ACC]]-10^5</f>
        <v>-1924.191780821915</v>
      </c>
      <c r="BQ226" s="396">
        <f>IF(PTCK_offBS[[#This Row],[BS]]="Others",PTCK_offBS[[#This Row],[PTCK]]*(PTCK_offBS[[#This Row],[MATURITY_DATE]]-PTCK_offBS[[#This Row],[POSTED_DT]]-1)/(PTCK_offBS[[#This Row],[MATURITY_DATE]]-PTCK_offBS[[#This Row],[VALUE_DATE]]),PTCK_offBS[[#This Row],[PTCK]])</f>
        <v>-1918.6940900195666</v>
      </c>
      <c r="BR226" s="396">
        <f>PTCK_offBS[[#This Row],[PTCK remain]]*PTCK_offBS[[#This Row],[QUANTITY]]</f>
        <v>-959347045.00978327</v>
      </c>
    </row>
    <row r="227" spans="37:70" ht="14.4" customHeight="1" x14ac:dyDescent="0.3">
      <c r="AK227" s="734"/>
      <c r="AL227" s="128">
        <v>45177</v>
      </c>
      <c r="AM227" s="128" t="s">
        <v>2503</v>
      </c>
      <c r="AN227" s="736">
        <v>3.4</v>
      </c>
      <c r="AO227" s="128" t="s">
        <v>823</v>
      </c>
      <c r="AP227" s="49" t="s">
        <v>2180</v>
      </c>
      <c r="AQ227" s="530">
        <v>1500000</v>
      </c>
      <c r="AR227" s="500">
        <v>7289.1112466571994</v>
      </c>
      <c r="AS227" s="530">
        <v>108296</v>
      </c>
      <c r="AT227" s="530">
        <v>110737</v>
      </c>
      <c r="AU227" s="769">
        <v>2.65</v>
      </c>
      <c r="AV227" s="747">
        <v>116347000000</v>
      </c>
      <c r="AW227" s="534">
        <f>(_xlfn.XLOOKUP(RPBOD3[[#This Row],[Bonds_ShortName]],FNRP!D:D,FNRP!H:H,_xlfn.XLOOKUP(RPBOD3[[#This Row],[Bonds_ShortName]],FNRP!AV:AV,FNRP!AZ:AZ,,0),0)-RPBOD3[[#This Row],[PTCK_Remain]]-10^5)*RPBOD3[[#This Row],[Quantity]]</f>
        <v>-25581166869.98579</v>
      </c>
      <c r="AY227" s="128"/>
      <c r="AZ227" s="610">
        <v>46252</v>
      </c>
      <c r="BA227" s="850">
        <v>50387</v>
      </c>
      <c r="BB227" s="852" t="s">
        <v>2503</v>
      </c>
      <c r="BC227" s="39" t="s">
        <v>4054</v>
      </c>
      <c r="BD227" s="530">
        <v>2000000</v>
      </c>
      <c r="BE227" s="530">
        <v>106927</v>
      </c>
      <c r="BF227" s="658">
        <v>46246</v>
      </c>
      <c r="BG227" s="658">
        <v>46246</v>
      </c>
      <c r="BH227" s="658">
        <v>50515</v>
      </c>
      <c r="BI227" s="500">
        <v>215978000000</v>
      </c>
      <c r="BJ227" s="49">
        <v>3.4</v>
      </c>
      <c r="BK227" s="49">
        <v>228.18004581700001</v>
      </c>
      <c r="BL227" s="630" t="s">
        <v>2172</v>
      </c>
      <c r="BM227" s="49" t="s">
        <v>1033</v>
      </c>
      <c r="BN227"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O227" s="396">
        <f>(PTCK_offBS[[#This Row],[VALUE_DATE]]-PTCK_offBS[[#This Row],[LAST_PMT]])*PTCK_offBS[[#This Row],[COUPON_RATE]]*1000/(DATE(YEAR(PTCK_offBS[[#This Row],[LAST_PMT]])+1,MONTH(PTCK_offBS[[#This Row],[LAST_PMT]]),DAY(PTCK_offBS[[#This Row],[LAST_PMT]]))-PTCK_offBS[[#This Row],[LAST_PMT]])</f>
        <v>1061.9178082191779</v>
      </c>
      <c r="BP227" s="396">
        <f>PTCK_offBS[[#This Row],[GROSS_AMOUNT]]/PTCK_offBS[[#This Row],[QUANTITY]]-PTCK_offBS[[#This Row],[START_ACC]]-10^5</f>
        <v>6927.0821917808207</v>
      </c>
      <c r="BQ227" s="396">
        <f>IF(PTCK_offBS[[#This Row],[BS]]="Others",PTCK_offBS[[#This Row],[PTCK]]*(PTCK_offBS[[#This Row],[MATURITY_DATE]]-PTCK_offBS[[#This Row],[POSTED_DT]]-1)/(PTCK_offBS[[#This Row],[MATURITY_DATE]]-PTCK_offBS[[#This Row],[VALUE_DATE]]),PTCK_offBS[[#This Row],[PTCK]])</f>
        <v>6915.7236592574036</v>
      </c>
      <c r="BR227" s="396">
        <f>PTCK_offBS[[#This Row],[PTCK remain]]*PTCK_offBS[[#This Row],[QUANTITY]]</f>
        <v>13831447318.514807</v>
      </c>
    </row>
    <row r="228" spans="37:70" ht="14.4" customHeight="1" x14ac:dyDescent="0.3">
      <c r="AK228" s="734"/>
      <c r="AL228" s="128">
        <v>45178</v>
      </c>
      <c r="AM228" s="128" t="s">
        <v>2381</v>
      </c>
      <c r="AN228" s="736">
        <v>4.5</v>
      </c>
      <c r="AO228" s="128" t="s">
        <v>823</v>
      </c>
      <c r="AP228" s="49" t="s">
        <v>2180</v>
      </c>
      <c r="AQ228" s="530">
        <v>500000</v>
      </c>
      <c r="AR228" s="500">
        <v>12945.3062629011</v>
      </c>
      <c r="AS228" s="530">
        <v>116216</v>
      </c>
      <c r="AT228" s="530">
        <v>116241</v>
      </c>
      <c r="AU228" s="769">
        <v>2.2599999999999998</v>
      </c>
      <c r="AV228" s="747">
        <v>116347000000</v>
      </c>
      <c r="AW228" s="534">
        <f>(_xlfn.XLOOKUP(RPBOD3[[#This Row],[Bonds_ShortName]],FNRP!D:D,FNRP!H:H,_xlfn.XLOOKUP(RPBOD3[[#This Row],[Bonds_ShortName]],FNRP!AV:AV,FNRP!AZ:AZ,,0),0)-RPBOD3[[#This Row],[PTCK_Remain]]-10^5)*RPBOD3[[#This Row],[Quantity]]</f>
        <v>-5900153131.4505482</v>
      </c>
      <c r="AY228" s="128"/>
      <c r="AZ228" s="610">
        <v>46252</v>
      </c>
      <c r="BA228" s="850">
        <v>50389</v>
      </c>
      <c r="BB228" s="852" t="s">
        <v>2503</v>
      </c>
      <c r="BC228" s="39" t="s">
        <v>4054</v>
      </c>
      <c r="BD228" s="530">
        <v>1500000</v>
      </c>
      <c r="BE228" s="530">
        <v>106927</v>
      </c>
      <c r="BF228" s="658">
        <v>46246</v>
      </c>
      <c r="BG228" s="658">
        <v>46246</v>
      </c>
      <c r="BH228" s="658">
        <v>50515</v>
      </c>
      <c r="BI228" s="500">
        <v>161983500000</v>
      </c>
      <c r="BJ228" s="49">
        <v>3.4</v>
      </c>
      <c r="BK228" s="49">
        <v>229.18004581700001</v>
      </c>
      <c r="BL228" s="630" t="s">
        <v>2172</v>
      </c>
      <c r="BM228" s="49" t="s">
        <v>1033</v>
      </c>
      <c r="BN228"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46132</v>
      </c>
      <c r="BO228" s="396">
        <f>(PTCK_offBS[[#This Row],[VALUE_DATE]]-PTCK_offBS[[#This Row],[LAST_PMT]])*PTCK_offBS[[#This Row],[COUPON_RATE]]*1000/(DATE(YEAR(PTCK_offBS[[#This Row],[LAST_PMT]])+1,MONTH(PTCK_offBS[[#This Row],[LAST_PMT]]),DAY(PTCK_offBS[[#This Row],[LAST_PMT]]))-PTCK_offBS[[#This Row],[LAST_PMT]])</f>
        <v>1061.9178082191779</v>
      </c>
      <c r="BP228" s="396">
        <f>PTCK_offBS[[#This Row],[GROSS_AMOUNT]]/PTCK_offBS[[#This Row],[QUANTITY]]-PTCK_offBS[[#This Row],[START_ACC]]-10^5</f>
        <v>6927.0821917808207</v>
      </c>
      <c r="BQ228" s="396">
        <f>IF(PTCK_offBS[[#This Row],[BS]]="Others",PTCK_offBS[[#This Row],[PTCK]]*(PTCK_offBS[[#This Row],[MATURITY_DATE]]-PTCK_offBS[[#This Row],[POSTED_DT]]-1)/(PTCK_offBS[[#This Row],[MATURITY_DATE]]-PTCK_offBS[[#This Row],[VALUE_DATE]]),PTCK_offBS[[#This Row],[PTCK]])</f>
        <v>6915.7236592574036</v>
      </c>
      <c r="BR228" s="396">
        <f>PTCK_offBS[[#This Row],[PTCK remain]]*PTCK_offBS[[#This Row],[QUANTITY]]</f>
        <v>10373585488.886105</v>
      </c>
    </row>
    <row r="229" spans="37:70" ht="14.4" customHeight="1" x14ac:dyDescent="0.3">
      <c r="AK229" s="734"/>
      <c r="AL229" s="128">
        <v>45179</v>
      </c>
      <c r="AM229" s="128" t="s">
        <v>704</v>
      </c>
      <c r="AN229" s="736">
        <v>2.2999999999999998</v>
      </c>
      <c r="AO229" s="128" t="s">
        <v>823</v>
      </c>
      <c r="AP229" s="49" t="s">
        <v>2180</v>
      </c>
      <c r="AQ229" s="530">
        <v>500000</v>
      </c>
      <c r="AR229" s="500">
        <v>-974.87876712328602</v>
      </c>
      <c r="AS229" s="530">
        <v>98872</v>
      </c>
      <c r="AT229" s="530">
        <v>99143</v>
      </c>
      <c r="AU229" s="769">
        <v>2.41</v>
      </c>
      <c r="AV229" s="747">
        <v>116347000000</v>
      </c>
      <c r="AW229" s="534">
        <f>(_xlfn.XLOOKUP(RPBOD3[[#This Row],[Bonds_ShortName]],FNRP!D:D,FNRP!H:H,_xlfn.XLOOKUP(RPBOD3[[#This Row],[Bonds_ShortName]],FNRP!AV:AV,FNRP!AZ:AZ,,0),0)-RPBOD3[[#This Row],[PTCK_Remain]]-10^5)*RPBOD3[[#This Row],[Quantity]]</f>
        <v>-8246060616.4383574</v>
      </c>
      <c r="AY229" s="128"/>
      <c r="AZ229" s="610">
        <v>46252</v>
      </c>
      <c r="BA229" s="850">
        <v>50457</v>
      </c>
      <c r="BB229" s="852" t="s">
        <v>2839</v>
      </c>
      <c r="BC229" s="39" t="s">
        <v>4054</v>
      </c>
      <c r="BD229" s="530">
        <v>2000000</v>
      </c>
      <c r="BE229" s="530">
        <v>99646</v>
      </c>
      <c r="BF229" s="658">
        <v>46252</v>
      </c>
      <c r="BG229" s="658">
        <v>46252</v>
      </c>
      <c r="BH229" s="658">
        <v>49171</v>
      </c>
      <c r="BI229" s="500">
        <v>199336000000</v>
      </c>
      <c r="BJ229" s="49">
        <v>2.7</v>
      </c>
      <c r="BK229" s="49">
        <v>230.18004581700001</v>
      </c>
      <c r="BL229" s="630" t="s">
        <v>2172</v>
      </c>
      <c r="BM229" s="49" t="s">
        <v>1033</v>
      </c>
      <c r="BN229"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46249</v>
      </c>
      <c r="BO229" s="396">
        <f>(PTCK_offBS[[#This Row],[VALUE_DATE]]-PTCK_offBS[[#This Row],[LAST_PMT]])*PTCK_offBS[[#This Row],[COUPON_RATE]]*1000/(DATE(YEAR(PTCK_offBS[[#This Row],[LAST_PMT]])+1,MONTH(PTCK_offBS[[#This Row],[LAST_PMT]]),DAY(PTCK_offBS[[#This Row],[LAST_PMT]]))-PTCK_offBS[[#This Row],[LAST_PMT]])</f>
        <v>22.191780821917813</v>
      </c>
      <c r="BP229" s="396">
        <f>PTCK_offBS[[#This Row],[GROSS_AMOUNT]]/PTCK_offBS[[#This Row],[QUANTITY]]-PTCK_offBS[[#This Row],[START_ACC]]-10^5</f>
        <v>-354.19178082191502</v>
      </c>
      <c r="BQ229" s="396">
        <f>IF(PTCK_offBS[[#This Row],[BS]]="Others",PTCK_offBS[[#This Row],[PTCK]]*(PTCK_offBS[[#This Row],[MATURITY_DATE]]-PTCK_offBS[[#This Row],[POSTED_DT]]-1)/(PTCK_offBS[[#This Row],[MATURITY_DATE]]-PTCK_offBS[[#This Row],[VALUE_DATE]]),PTCK_offBS[[#This Row],[PTCK]])</f>
        <v>-354.07044071200687</v>
      </c>
      <c r="BR229" s="396">
        <f>PTCK_offBS[[#This Row],[PTCK remain]]*PTCK_offBS[[#This Row],[QUANTITY]]</f>
        <v>-708140881.42401373</v>
      </c>
    </row>
    <row r="230" spans="37:70" ht="14.4" customHeight="1" x14ac:dyDescent="0.3">
      <c r="AK230" s="734"/>
      <c r="AL230" s="128">
        <v>45205</v>
      </c>
      <c r="AM230" s="128" t="s">
        <v>712</v>
      </c>
      <c r="AN230" s="736">
        <v>3.6</v>
      </c>
      <c r="AO230" s="128" t="s">
        <v>823</v>
      </c>
      <c r="AP230" s="49" t="s">
        <v>2180</v>
      </c>
      <c r="AQ230" s="530">
        <v>500000</v>
      </c>
      <c r="AR230" s="500">
        <v>10271.443997807401</v>
      </c>
      <c r="AS230" s="530">
        <v>111494</v>
      </c>
      <c r="AT230" s="530">
        <v>111543</v>
      </c>
      <c r="AU230" s="769">
        <v>2.66</v>
      </c>
      <c r="AV230" s="747">
        <v>116347000000</v>
      </c>
      <c r="AW230" s="534">
        <f>(_xlfn.XLOOKUP(RPBOD3[[#This Row],[Bonds_ShortName]],FNRP!D:D,FNRP!H:H,_xlfn.XLOOKUP(RPBOD3[[#This Row],[Bonds_ShortName]],FNRP!AV:AV,FNRP!AZ:AZ,,0),0)-RPBOD3[[#This Row],[PTCK_Remain]]-10^5)*RPBOD3[[#This Row],[Quantity]]</f>
        <v>-9768221998.9036961</v>
      </c>
      <c r="AY230" s="128"/>
      <c r="AZ230" s="610">
        <v>46252</v>
      </c>
      <c r="BA230" s="850">
        <v>50461</v>
      </c>
      <c r="BB230" s="852" t="s">
        <v>2835</v>
      </c>
      <c r="BC230" s="39" t="s">
        <v>4054</v>
      </c>
      <c r="BD230" s="530">
        <v>4000000</v>
      </c>
      <c r="BE230" s="530">
        <v>97579</v>
      </c>
      <c r="BF230" s="658">
        <v>46252</v>
      </c>
      <c r="BG230" s="658">
        <v>46252</v>
      </c>
      <c r="BH230" s="658">
        <v>50899</v>
      </c>
      <c r="BI230" s="500">
        <v>393304000000</v>
      </c>
      <c r="BJ230" s="49">
        <v>2.7</v>
      </c>
      <c r="BK230" s="49">
        <v>231.18004581700001</v>
      </c>
      <c r="BL230" s="630" t="s">
        <v>2172</v>
      </c>
      <c r="BM230" s="49" t="s">
        <v>1033</v>
      </c>
      <c r="BN230"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46151</v>
      </c>
      <c r="BO230" s="396">
        <f>(PTCK_offBS[[#This Row],[VALUE_DATE]]-PTCK_offBS[[#This Row],[LAST_PMT]])*PTCK_offBS[[#This Row],[COUPON_RATE]]*1000/(DATE(YEAR(PTCK_offBS[[#This Row],[LAST_PMT]])+1,MONTH(PTCK_offBS[[#This Row],[LAST_PMT]]),DAY(PTCK_offBS[[#This Row],[LAST_PMT]]))-PTCK_offBS[[#This Row],[LAST_PMT]])</f>
        <v>747.12328767123302</v>
      </c>
      <c r="BP230" s="396">
        <f>PTCK_offBS[[#This Row],[GROSS_AMOUNT]]/PTCK_offBS[[#This Row],[QUANTITY]]-PTCK_offBS[[#This Row],[START_ACC]]-10^5</f>
        <v>-2421.1232876712311</v>
      </c>
      <c r="BQ230" s="396">
        <f>IF(PTCK_offBS[[#This Row],[BS]]="Others",PTCK_offBS[[#This Row],[PTCK]]*(PTCK_offBS[[#This Row],[MATURITY_DATE]]-PTCK_offBS[[#This Row],[POSTED_DT]]-1)/(PTCK_offBS[[#This Row],[MATURITY_DATE]]-PTCK_offBS[[#This Row],[VALUE_DATE]]),PTCK_offBS[[#This Row],[PTCK]])</f>
        <v>-2420.6022798623931</v>
      </c>
      <c r="BR230" s="396">
        <f>PTCK_offBS[[#This Row],[PTCK remain]]*PTCK_offBS[[#This Row],[QUANTITY]]</f>
        <v>-9682409119.4495716</v>
      </c>
    </row>
    <row r="231" spans="37:70" ht="14.4" customHeight="1" x14ac:dyDescent="0.3">
      <c r="AK231" s="734"/>
      <c r="AL231" s="128">
        <v>45204</v>
      </c>
      <c r="AM231" s="128" t="s">
        <v>2496</v>
      </c>
      <c r="AN231" s="736">
        <v>3.8</v>
      </c>
      <c r="AO231" s="128" t="s">
        <v>823</v>
      </c>
      <c r="AP231" s="49" t="s">
        <v>2180</v>
      </c>
      <c r="AQ231" s="530">
        <v>1000000</v>
      </c>
      <c r="AR231" s="500">
        <v>11539.711794019899</v>
      </c>
      <c r="AS231" s="530">
        <v>113126</v>
      </c>
      <c r="AT231" s="530">
        <v>116218</v>
      </c>
      <c r="AU231" s="769">
        <v>2.61</v>
      </c>
      <c r="AV231" s="747">
        <v>116347000000</v>
      </c>
      <c r="AW231" s="534">
        <f>(_xlfn.XLOOKUP(RPBOD3[[#This Row],[Bonds_ShortName]],FNRP!D:D,FNRP!H:H,_xlfn.XLOOKUP(RPBOD3[[#This Row],[Bonds_ShortName]],FNRP!AV:AV,FNRP!AZ:AZ,,0),0)-RPBOD3[[#This Row],[PTCK_Remain]]-10^5)*RPBOD3[[#This Row],[Quantity]]</f>
        <v>-17687711794.019894</v>
      </c>
      <c r="AY231" s="128"/>
      <c r="AZ231" s="610">
        <v>46252</v>
      </c>
      <c r="BA231" s="850">
        <v>50459</v>
      </c>
      <c r="BB231" s="852" t="s">
        <v>695</v>
      </c>
      <c r="BC231" s="39" t="s">
        <v>4054</v>
      </c>
      <c r="BD231" s="530">
        <v>1000000</v>
      </c>
      <c r="BE231" s="530">
        <v>99831</v>
      </c>
      <c r="BF231" s="658">
        <v>46252</v>
      </c>
      <c r="BG231" s="658">
        <v>46252</v>
      </c>
      <c r="BH231" s="658">
        <v>49640</v>
      </c>
      <c r="BI231" s="500">
        <v>101929000000</v>
      </c>
      <c r="BJ231" s="49">
        <v>2.9</v>
      </c>
      <c r="BK231" s="49">
        <v>232.18004581700001</v>
      </c>
      <c r="BL231" s="630" t="s">
        <v>2172</v>
      </c>
      <c r="BM231" s="49" t="s">
        <v>1033</v>
      </c>
      <c r="BN231" s="693">
        <f>IF(DATE(YEAR(PTCK_offBS[[#This Row],[VALUE_DATE]]),MONTH(PTCK_offBS[[#This Row],[MATURITY_DATE]]),DAY(PTCK_offBS[[#This Row],[MATURITY_DATE]]))&gt;PTCK_offBS[[#This Row],[VALUE_DATE]],DATE(YEAR(PTCK_offBS[[#This Row],[VALUE_DATE]])-1, MONTH(PTCK_offBS[[#This Row],[MATURITY_DATE]]),DAY(PTCK_offBS[[#This Row],[MATURITY_DATE]])),DATE(YEAR(PTCK_offBS[[#This Row],[VALUE_DATE]]),MONTH(PTCK_offBS[[#This Row],[MATURITY_DATE]]),DAY(PTCK_offBS[[#This Row],[MATURITY_DATE]])))</f>
        <v>45988</v>
      </c>
      <c r="BO231" s="396">
        <f>(PTCK_offBS[[#This Row],[VALUE_DATE]]-PTCK_offBS[[#This Row],[LAST_PMT]])*PTCK_offBS[[#This Row],[COUPON_RATE]]*1000/(DATE(YEAR(PTCK_offBS[[#This Row],[LAST_PMT]])+1,MONTH(PTCK_offBS[[#This Row],[LAST_PMT]]),DAY(PTCK_offBS[[#This Row],[LAST_PMT]]))-PTCK_offBS[[#This Row],[LAST_PMT]])</f>
        <v>2097.5342465753424</v>
      </c>
      <c r="BP231" s="396">
        <f>PTCK_offBS[[#This Row],[GROSS_AMOUNT]]/PTCK_offBS[[#This Row],[QUANTITY]]-PTCK_offBS[[#This Row],[START_ACC]]-10^5</f>
        <v>-168.53424657534924</v>
      </c>
      <c r="BQ231" s="396">
        <f>IF(PTCK_offBS[[#This Row],[BS]]="Others",PTCK_offBS[[#This Row],[PTCK]]*(PTCK_offBS[[#This Row],[MATURITY_DATE]]-PTCK_offBS[[#This Row],[POSTED_DT]]-1)/(PTCK_offBS[[#This Row],[MATURITY_DATE]]-PTCK_offBS[[#This Row],[VALUE_DATE]]),PTCK_offBS[[#This Row],[PTCK]])</f>
        <v>-168.48450211059856</v>
      </c>
      <c r="BR231" s="396">
        <f>PTCK_offBS[[#This Row],[PTCK remain]]*PTCK_offBS[[#This Row],[QUANTITY]]</f>
        <v>-168484502.11059856</v>
      </c>
    </row>
    <row r="232" spans="37:70" ht="14.4" customHeight="1" x14ac:dyDescent="0.3">
      <c r="AK232" s="734"/>
      <c r="AL232" s="128">
        <v>49473</v>
      </c>
      <c r="AM232" s="128" t="s">
        <v>608</v>
      </c>
      <c r="AN232" s="736">
        <v>7.5</v>
      </c>
      <c r="AO232" s="128" t="s">
        <v>823</v>
      </c>
      <c r="AP232" s="49" t="s">
        <v>824</v>
      </c>
      <c r="AQ232" s="530">
        <v>2400000</v>
      </c>
      <c r="AR232" s="500">
        <v>11294.211276890708</v>
      </c>
      <c r="AS232" s="530">
        <v>112381</v>
      </c>
      <c r="AT232" s="530">
        <v>113367</v>
      </c>
      <c r="AU232" s="769">
        <v>3.9790999999999999</v>
      </c>
      <c r="AV232" s="747">
        <v>116347000000</v>
      </c>
      <c r="AW232" s="534">
        <f>(_xlfn.XLOOKUP(RPBOD3[[#This Row],[Bonds_ShortName]],FNRP!D:D,FNRP!H:H,_xlfn.XLOOKUP(RPBOD3[[#This Row],[Bonds_ShortName]],FNRP!AV:AV,FNRP!AZ:AZ,,0),0)-RPBOD3[[#This Row],[PTCK_Remain]]-10^5)*RPBOD3[[#This Row],[Quantity]]</f>
        <v>1288292935.462296</v>
      </c>
      <c r="AY232" s="128"/>
      <c r="AZ232" s="128"/>
      <c r="BA232" s="11"/>
      <c r="BD232" s="233"/>
      <c r="BE232" s="530"/>
      <c r="BG232" s="530"/>
      <c r="BH232" s="530"/>
      <c r="BI232" s="530"/>
      <c r="BJ232" s="530"/>
      <c r="BK232" s="530"/>
      <c r="BL232" s="530"/>
      <c r="BM232" s="530"/>
      <c r="BN232" s="530"/>
      <c r="BO232" s="530"/>
      <c r="BR232" s="661"/>
    </row>
    <row r="233" spans="37:70" ht="14.4" customHeight="1" x14ac:dyDescent="0.3">
      <c r="AK233" s="734"/>
      <c r="AL233" s="128">
        <v>47730</v>
      </c>
      <c r="AM233" s="128" t="s">
        <v>1205</v>
      </c>
      <c r="AN233" s="736">
        <v>5.3</v>
      </c>
      <c r="AO233" s="128" t="s">
        <v>823</v>
      </c>
      <c r="AP233" s="49" t="s">
        <v>824</v>
      </c>
      <c r="AQ233" s="530">
        <v>500000</v>
      </c>
      <c r="AR233" s="500">
        <v>13651.403853862841</v>
      </c>
      <c r="AS233" s="530">
        <v>115184</v>
      </c>
      <c r="AT233" s="530">
        <v>119743</v>
      </c>
      <c r="AU233" s="769">
        <v>3.1543999999999999</v>
      </c>
      <c r="AV233" s="747">
        <v>116347000000</v>
      </c>
      <c r="AW233" s="534">
        <f>(_xlfn.XLOOKUP(RPBOD3[[#This Row],[Bonds_ShortName]],FNRP!D:D,FNRP!H:H,_xlfn.XLOOKUP(RPBOD3[[#This Row],[Bonds_ShortName]],FNRP!AV:AV,FNRP!AZ:AZ,,0),0)-RPBOD3[[#This Row],[PTCK_Remain]]-10^5)*RPBOD3[[#This Row],[Quantity]]</f>
        <v>-3830201926.9314189</v>
      </c>
      <c r="AY233" s="128"/>
      <c r="AZ233" s="128"/>
      <c r="BA233" s="11"/>
      <c r="BD233" s="233"/>
      <c r="BE233" s="530"/>
      <c r="BG233" s="530"/>
      <c r="BH233" s="530"/>
      <c r="BI233" s="530"/>
      <c r="BJ233" s="530"/>
      <c r="BK233" s="530"/>
      <c r="BL233" s="530"/>
      <c r="BM233" s="530"/>
      <c r="BN233" s="530"/>
      <c r="BO233" s="530"/>
      <c r="BR233" s="661"/>
    </row>
    <row r="234" spans="37:70" ht="14.4" customHeight="1" x14ac:dyDescent="0.3">
      <c r="AK234" s="734"/>
      <c r="AL234" s="128">
        <v>47724</v>
      </c>
      <c r="AM234" s="128" t="s">
        <v>702</v>
      </c>
      <c r="AN234" s="736">
        <v>2.2999999999999998</v>
      </c>
      <c r="AO234" s="128" t="s">
        <v>823</v>
      </c>
      <c r="AP234" s="49" t="s">
        <v>824</v>
      </c>
      <c r="AQ234" s="530">
        <v>500000</v>
      </c>
      <c r="AR234" s="500">
        <v>-2437.1918953531399</v>
      </c>
      <c r="AS234" s="530">
        <v>97362</v>
      </c>
      <c r="AT234" s="530">
        <v>97809</v>
      </c>
      <c r="AU234" s="769">
        <v>2.5825</v>
      </c>
      <c r="AV234" s="747">
        <v>116347000000</v>
      </c>
      <c r="AW234" s="534">
        <f>(_xlfn.XLOOKUP(RPBOD3[[#This Row],[Bonds_ShortName]],FNRP!D:D,FNRP!H:H,_xlfn.XLOOKUP(RPBOD3[[#This Row],[Bonds_ShortName]],FNRP!AV:AV,FNRP!AZ:AZ,,0),0)-RPBOD3[[#This Row],[PTCK_Remain]]-10^5)*RPBOD3[[#This Row],[Quantity]]</f>
        <v>-7287904052.3234291</v>
      </c>
      <c r="AY234" s="128"/>
      <c r="AZ234" s="128"/>
      <c r="BA234" s="11"/>
      <c r="BD234" s="233"/>
      <c r="BE234" s="530"/>
      <c r="BG234" s="530"/>
      <c r="BH234" s="530"/>
      <c r="BI234" s="530"/>
      <c r="BJ234" s="530"/>
      <c r="BK234" s="530"/>
      <c r="BL234" s="530"/>
      <c r="BM234" s="530"/>
      <c r="BN234" s="530"/>
      <c r="BO234" s="530"/>
      <c r="BR234" s="661"/>
    </row>
    <row r="235" spans="37:70" ht="14.4" customHeight="1" x14ac:dyDescent="0.3">
      <c r="AK235" s="734"/>
      <c r="AL235" s="128">
        <v>47722</v>
      </c>
      <c r="AM235" s="128" t="s">
        <v>638</v>
      </c>
      <c r="AN235" s="736">
        <v>2.2999999999999998</v>
      </c>
      <c r="AO235" s="128" t="s">
        <v>823</v>
      </c>
      <c r="AP235" s="49" t="s">
        <v>824</v>
      </c>
      <c r="AQ235" s="530">
        <v>500000</v>
      </c>
      <c r="AR235" s="500">
        <v>-1331.120733574516</v>
      </c>
      <c r="AS235" s="530">
        <v>98436</v>
      </c>
      <c r="AT235" s="530">
        <v>99501</v>
      </c>
      <c r="AU235" s="769">
        <v>2.6055000000000001</v>
      </c>
      <c r="AV235" s="747">
        <v>116347000000</v>
      </c>
      <c r="AW235" s="534">
        <f>(_xlfn.XLOOKUP(RPBOD3[[#This Row],[Bonds_ShortName]],FNRP!D:D,FNRP!H:H,_xlfn.XLOOKUP(RPBOD3[[#This Row],[Bonds_ShortName]],FNRP!AV:AV,FNRP!AZ:AZ,,0),0)-RPBOD3[[#This Row],[PTCK_Remain]]-10^5)*RPBOD3[[#This Row],[Quantity]]</f>
        <v>-3250939633.2127433</v>
      </c>
      <c r="AY235" s="128"/>
      <c r="AZ235" s="128"/>
      <c r="BA235" s="11"/>
      <c r="BD235" s="233"/>
      <c r="BE235" s="530"/>
      <c r="BG235" s="530"/>
      <c r="BH235" s="530"/>
      <c r="BI235" s="530"/>
      <c r="BJ235" s="530"/>
      <c r="BK235" s="530"/>
      <c r="BL235" s="530"/>
      <c r="BM235" s="530"/>
      <c r="BN235" s="530"/>
      <c r="BO235" s="530"/>
      <c r="BR235" s="661"/>
    </row>
    <row r="236" spans="37:70" ht="14.4" customHeight="1" x14ac:dyDescent="0.3">
      <c r="AK236" s="734"/>
      <c r="AL236" s="128">
        <v>46500</v>
      </c>
      <c r="AM236" s="128" t="s">
        <v>2862</v>
      </c>
      <c r="AN236" s="736">
        <v>2.6</v>
      </c>
      <c r="AO236" s="128" t="s">
        <v>823</v>
      </c>
      <c r="AP236" s="49" t="s">
        <v>825</v>
      </c>
      <c r="AQ236" s="530">
        <v>500000</v>
      </c>
      <c r="AR236" s="500">
        <v>-2066.6806917425201</v>
      </c>
      <c r="AS236" s="530">
        <v>97627</v>
      </c>
      <c r="AT236" s="530">
        <v>99429</v>
      </c>
      <c r="AU236" s="769">
        <v>2.8935</v>
      </c>
      <c r="AV236" s="747">
        <v>116347000000</v>
      </c>
      <c r="AW236" s="534">
        <f>(_xlfn.XLOOKUP(RPBOD3[[#This Row],[Bonds_ShortName]],FNRP!D:D,FNRP!H:H,_xlfn.XLOOKUP(RPBOD3[[#This Row],[Bonds_ShortName]],FNRP!AV:AV,FNRP!AZ:AZ,,0),0)-RPBOD3[[#This Row],[PTCK_Remain]]-10^5)*RPBOD3[[#This Row],[Quantity]]</f>
        <v>-4873159654.1287432</v>
      </c>
      <c r="AY236" s="128"/>
      <c r="AZ236" s="128"/>
      <c r="BA236" s="11"/>
      <c r="BD236" s="233"/>
      <c r="BE236" s="530"/>
      <c r="BG236" s="530"/>
      <c r="BH236" s="530"/>
      <c r="BI236" s="530"/>
      <c r="BJ236" s="530"/>
      <c r="BK236" s="530"/>
      <c r="BL236" s="530"/>
      <c r="BM236" s="530"/>
      <c r="BN236" s="530"/>
      <c r="BO236" s="530"/>
      <c r="BR236" s="661"/>
    </row>
    <row r="237" spans="37:70" ht="14.4" customHeight="1" x14ac:dyDescent="0.3">
      <c r="AK237" s="734"/>
      <c r="AL237" s="128">
        <v>47096</v>
      </c>
      <c r="AM237" s="128" t="s">
        <v>2502</v>
      </c>
      <c r="AN237" s="736">
        <v>3.2</v>
      </c>
      <c r="AO237" s="128" t="s">
        <v>823</v>
      </c>
      <c r="AP237" s="49" t="s">
        <v>824</v>
      </c>
      <c r="AQ237" s="530">
        <v>500000</v>
      </c>
      <c r="AR237" s="500">
        <v>4290.1487077593001</v>
      </c>
      <c r="AS237" s="530">
        <v>104956</v>
      </c>
      <c r="AT237" s="530">
        <v>105973</v>
      </c>
      <c r="AU237" s="769">
        <v>2.4822000000000002</v>
      </c>
      <c r="AV237" s="747">
        <v>116347000000</v>
      </c>
      <c r="AW237" s="534">
        <f>(_xlfn.XLOOKUP(RPBOD3[[#This Row],[Bonds_ShortName]],FNRP!D:D,FNRP!H:H,_xlfn.XLOOKUP(RPBOD3[[#This Row],[Bonds_ShortName]],FNRP!AV:AV,FNRP!AZ:AZ,,0),0)-RPBOD3[[#This Row],[PTCK_Remain]]-10^5)*RPBOD3[[#This Row],[Quantity]]</f>
        <v>-5267574353.879652</v>
      </c>
      <c r="AY237" s="128"/>
      <c r="AZ237" s="128"/>
      <c r="BA237" s="11"/>
      <c r="BD237" s="233"/>
      <c r="BE237" s="530"/>
      <c r="BG237" s="530"/>
      <c r="BH237" s="530"/>
      <c r="BI237" s="530"/>
      <c r="BJ237" s="530"/>
      <c r="BK237" s="530"/>
      <c r="BL237" s="530"/>
      <c r="BM237" s="530"/>
      <c r="BN237" s="530"/>
      <c r="BO237" s="530"/>
      <c r="BR237" s="661"/>
    </row>
    <row r="238" spans="37:70" ht="14.4" customHeight="1" x14ac:dyDescent="0.3">
      <c r="AK238" s="734"/>
      <c r="AL238" s="128">
        <v>49973</v>
      </c>
      <c r="AM238" s="128" t="s">
        <v>2836</v>
      </c>
      <c r="AN238" s="736">
        <v>2.7</v>
      </c>
      <c r="AO238" s="128" t="s">
        <v>823</v>
      </c>
      <c r="AP238" s="49" t="s">
        <v>2176</v>
      </c>
      <c r="AQ238" s="530">
        <v>1000000</v>
      </c>
      <c r="AR238" s="500">
        <v>-2127.05018195303</v>
      </c>
      <c r="AS238" s="530">
        <v>97825</v>
      </c>
      <c r="AT238" s="530">
        <v>100281</v>
      </c>
      <c r="AU238" s="769">
        <v>3.0064000000000002</v>
      </c>
      <c r="AV238" s="747">
        <v>116347000000</v>
      </c>
      <c r="AW238" s="534">
        <f>(_xlfn.XLOOKUP(RPBOD3[[#This Row],[Bonds_ShortName]],FNRP!D:D,FNRP!H:H,_xlfn.XLOOKUP(RPBOD3[[#This Row],[Bonds_ShortName]],FNRP!AV:AV,FNRP!AZ:AZ,,0),0)-RPBOD3[[#This Row],[PTCK_Remain]]-10^5)*RPBOD3[[#This Row],[Quantity]]</f>
        <v>-8737949818.0469666</v>
      </c>
      <c r="AY238" s="128"/>
      <c r="AZ238" s="128"/>
      <c r="BA238" s="11"/>
      <c r="BD238" s="233"/>
      <c r="BE238" s="530"/>
      <c r="BG238" s="530"/>
      <c r="BH238" s="530"/>
      <c r="BI238" s="530"/>
      <c r="BJ238" s="530"/>
      <c r="BK238" s="530"/>
      <c r="BL238" s="530"/>
      <c r="BM238" s="530"/>
      <c r="BN238" s="530"/>
      <c r="BO238" s="530"/>
      <c r="BR238" s="661"/>
    </row>
    <row r="239" spans="37:70" ht="14.4" customHeight="1" x14ac:dyDescent="0.3">
      <c r="AK239" s="734"/>
      <c r="AL239" s="128">
        <v>49910</v>
      </c>
      <c r="AM239" s="128" t="s">
        <v>2497</v>
      </c>
      <c r="AN239" s="736">
        <v>4.2</v>
      </c>
      <c r="AO239" s="128" t="s">
        <v>823</v>
      </c>
      <c r="AP239" s="49" t="s">
        <v>824</v>
      </c>
      <c r="AQ239" s="530">
        <v>700000</v>
      </c>
      <c r="AR239" s="500">
        <v>3111.3493976915856</v>
      </c>
      <c r="AS239" s="530">
        <v>103133</v>
      </c>
      <c r="AT239" s="530">
        <v>104054</v>
      </c>
      <c r="AU239" s="769">
        <v>4.0061999999999998</v>
      </c>
      <c r="AV239" s="747">
        <v>116347000000</v>
      </c>
      <c r="AW239" s="534">
        <f>(_xlfn.XLOOKUP(RPBOD3[[#This Row],[Bonds_ShortName]],FNRP!D:D,FNRP!H:H,_xlfn.XLOOKUP(RPBOD3[[#This Row],[Bonds_ShortName]],FNRP!AV:AV,FNRP!AZ:AZ,,0),0)-RPBOD3[[#This Row],[PTCK_Remain]]-10^5)*RPBOD3[[#This Row],[Quantity]]</f>
        <v>-7546944578.3841143</v>
      </c>
      <c r="AY239" s="128"/>
      <c r="AZ239" s="128"/>
      <c r="BA239" s="11"/>
      <c r="BD239" s="233"/>
      <c r="BE239" s="530"/>
      <c r="BG239" s="530"/>
      <c r="BH239" s="530"/>
      <c r="BI239" s="530"/>
      <c r="BJ239" s="530"/>
      <c r="BK239" s="530"/>
      <c r="BL239" s="530"/>
      <c r="BM239" s="530"/>
      <c r="BN239" s="530"/>
      <c r="BO239" s="530"/>
      <c r="BR239" s="661"/>
    </row>
    <row r="240" spans="37:70" ht="14.4" customHeight="1" x14ac:dyDescent="0.3">
      <c r="AK240" s="734"/>
      <c r="AL240" s="128">
        <v>38993</v>
      </c>
      <c r="AM240" s="128" t="s">
        <v>700</v>
      </c>
      <c r="AN240" s="736">
        <v>2.5</v>
      </c>
      <c r="AO240" s="128" t="s">
        <v>823</v>
      </c>
      <c r="AP240" s="49" t="s">
        <v>2180</v>
      </c>
      <c r="AQ240" s="530">
        <v>60000</v>
      </c>
      <c r="AR240" s="500">
        <v>-9710.7741045903513</v>
      </c>
      <c r="AS240" s="530">
        <v>86570</v>
      </c>
      <c r="AT240" s="530">
        <v>88186</v>
      </c>
      <c r="AU240" s="769">
        <v>3.8</v>
      </c>
      <c r="AV240" s="747">
        <v>116347000000</v>
      </c>
      <c r="AW240" s="534">
        <f>(_xlfn.XLOOKUP(RPBOD3[[#This Row],[Bonds_ShortName]],FNRP!D:D,FNRP!H:H,_xlfn.XLOOKUP(RPBOD3[[#This Row],[Bonds_ShortName]],FNRP!AV:AV,FNRP!AZ:AZ,,0),0)-RPBOD3[[#This Row],[PTCK_Remain]]-10^5)*RPBOD3[[#This Row],[Quantity]]</f>
        <v>-313093553.7245788</v>
      </c>
      <c r="AY240" s="128"/>
      <c r="AZ240" s="128"/>
      <c r="BA240" s="11"/>
      <c r="BD240" s="233"/>
      <c r="BE240" s="530"/>
      <c r="BG240" s="530"/>
      <c r="BH240" s="530"/>
      <c r="BI240" s="530"/>
      <c r="BJ240" s="530"/>
      <c r="BK240" s="530"/>
      <c r="BL240" s="530"/>
      <c r="BM240" s="530"/>
      <c r="BN240" s="530"/>
      <c r="BO240" s="530"/>
      <c r="BR240" s="661"/>
    </row>
    <row r="241" spans="37:70" ht="14.4" customHeight="1" x14ac:dyDescent="0.3">
      <c r="AK241" s="734"/>
      <c r="AL241" s="128">
        <v>50102</v>
      </c>
      <c r="AM241" s="128" t="s">
        <v>2497</v>
      </c>
      <c r="AN241" s="736">
        <v>4.2</v>
      </c>
      <c r="AO241" s="128" t="s">
        <v>823</v>
      </c>
      <c r="AP241" s="49" t="s">
        <v>824</v>
      </c>
      <c r="AQ241" s="530">
        <v>700000</v>
      </c>
      <c r="AR241" s="500">
        <v>1170.1844853613773</v>
      </c>
      <c r="AS241" s="530">
        <v>101176</v>
      </c>
      <c r="AT241" s="530">
        <v>102304</v>
      </c>
      <c r="AU241" s="769">
        <v>4.1254999999999997</v>
      </c>
      <c r="AV241" s="747">
        <v>116347000000</v>
      </c>
      <c r="AW241" s="534">
        <f>(_xlfn.XLOOKUP(RPBOD3[[#This Row],[Bonds_ShortName]],FNRP!D:D,FNRP!H:H,_xlfn.XLOOKUP(RPBOD3[[#This Row],[Bonds_ShortName]],FNRP!AV:AV,FNRP!AZ:AZ,,0),0)-RPBOD3[[#This Row],[PTCK_Remain]]-10^5)*RPBOD3[[#This Row],[Quantity]]</f>
        <v>-6188129139.7529612</v>
      </c>
      <c r="AY241" s="128"/>
      <c r="AZ241" s="128"/>
      <c r="BA241" s="11"/>
      <c r="BD241" s="233"/>
      <c r="BE241" s="530"/>
      <c r="BG241" s="530"/>
      <c r="BH241" s="530"/>
      <c r="BI241" s="530"/>
      <c r="BJ241" s="530"/>
      <c r="BK241" s="530"/>
      <c r="BL241" s="530"/>
      <c r="BM241" s="530"/>
      <c r="BN241" s="530"/>
      <c r="BO241" s="530"/>
      <c r="BR241" s="661"/>
    </row>
    <row r="242" spans="37:70" ht="14.4" customHeight="1" x14ac:dyDescent="0.3">
      <c r="AK242" s="734"/>
      <c r="AL242" s="128">
        <v>50100</v>
      </c>
      <c r="AM242" s="128" t="s">
        <v>3317</v>
      </c>
      <c r="AN242" s="736">
        <v>3.3</v>
      </c>
      <c r="AO242" s="128" t="s">
        <v>823</v>
      </c>
      <c r="AP242" s="49" t="s">
        <v>824</v>
      </c>
      <c r="AQ242" s="530">
        <v>3500000</v>
      </c>
      <c r="AR242" s="500">
        <v>-1409.4485951284598</v>
      </c>
      <c r="AS242" s="530">
        <v>98569</v>
      </c>
      <c r="AT242" s="530">
        <v>101516</v>
      </c>
      <c r="AU242" s="769">
        <v>3.4853999999999998</v>
      </c>
      <c r="AV242" s="747">
        <v>116347000000</v>
      </c>
      <c r="AW242" s="534">
        <f>(_xlfn.XLOOKUP(RPBOD3[[#This Row],[Bonds_ShortName]],FNRP!D:D,FNRP!H:H,_xlfn.XLOOKUP(RPBOD3[[#This Row],[Bonds_ShortName]],FNRP!AV:AV,FNRP!AZ:AZ,,0),0)-RPBOD3[[#This Row],[PTCK_Remain]]-10^5)*RPBOD3[[#This Row],[Quantity]]</f>
        <v>-23112429917.050396</v>
      </c>
      <c r="AY242" s="128"/>
      <c r="AZ242" s="128"/>
      <c r="BA242" s="11"/>
      <c r="BD242" s="233"/>
      <c r="BE242" s="530"/>
      <c r="BG242" s="530"/>
      <c r="BH242" s="530"/>
      <c r="BI242" s="530"/>
      <c r="BJ242" s="530"/>
      <c r="BK242" s="530"/>
      <c r="BL242" s="530"/>
      <c r="BM242" s="530"/>
      <c r="BN242" s="530"/>
      <c r="BO242" s="530"/>
      <c r="BR242" s="661"/>
    </row>
    <row r="243" spans="37:70" ht="14.4" customHeight="1" x14ac:dyDescent="0.3">
      <c r="AK243" s="734"/>
      <c r="AL243" s="128">
        <v>49112</v>
      </c>
      <c r="AM243" s="128" t="s">
        <v>636</v>
      </c>
      <c r="AN243" s="736">
        <v>2.2000000000000002</v>
      </c>
      <c r="AO243" s="128" t="s">
        <v>823</v>
      </c>
      <c r="AP243" s="49" t="s">
        <v>824</v>
      </c>
      <c r="AQ243" s="530">
        <v>1000000</v>
      </c>
      <c r="AR243" s="500">
        <v>-5791.2979452054697</v>
      </c>
      <c r="AS243" s="530">
        <v>93636</v>
      </c>
      <c r="AT243" s="530">
        <v>93986</v>
      </c>
      <c r="AU243" s="769">
        <v>3.6568000000000001</v>
      </c>
      <c r="AV243" s="747">
        <v>116347000000</v>
      </c>
      <c r="AW243" s="534">
        <f>(_xlfn.XLOOKUP(RPBOD3[[#This Row],[Bonds_ShortName]],FNRP!D:D,FNRP!H:H,_xlfn.XLOOKUP(RPBOD3[[#This Row],[Bonds_ShortName]],FNRP!AV:AV,FNRP!AZ:AZ,,0),0)-RPBOD3[[#This Row],[PTCK_Remain]]-10^5)*RPBOD3[[#This Row],[Quantity]]</f>
        <v>-1664702054.7945285</v>
      </c>
      <c r="AY243" s="128"/>
      <c r="AZ243" s="128"/>
      <c r="BA243" s="11"/>
      <c r="BD243" s="233"/>
      <c r="BE243" s="530"/>
      <c r="BG243" s="530"/>
      <c r="BH243" s="530"/>
      <c r="BI243" s="530"/>
      <c r="BJ243" s="530"/>
      <c r="BK243" s="530"/>
      <c r="BL243" s="530"/>
      <c r="BM243" s="530"/>
      <c r="BN243" s="530"/>
      <c r="BO243" s="530"/>
      <c r="BR243" s="661"/>
    </row>
    <row r="244" spans="37:70" ht="14.4" customHeight="1" x14ac:dyDescent="0.3">
      <c r="AK244" s="734"/>
      <c r="AL244" s="128">
        <v>49561</v>
      </c>
      <c r="AM244" s="128" t="s">
        <v>2831</v>
      </c>
      <c r="AN244" s="736">
        <v>2.7</v>
      </c>
      <c r="AO244" s="128" t="s">
        <v>823</v>
      </c>
      <c r="AP244" s="49" t="s">
        <v>824</v>
      </c>
      <c r="AQ244" s="530">
        <v>500000</v>
      </c>
      <c r="AR244" s="500">
        <v>-1484.6624177461399</v>
      </c>
      <c r="AS244" s="530">
        <v>98455</v>
      </c>
      <c r="AT244" s="530">
        <v>100733</v>
      </c>
      <c r="AU244" s="769">
        <v>2.9148999999999998</v>
      </c>
      <c r="AV244" s="747">
        <v>116347000000</v>
      </c>
      <c r="AW244" s="534">
        <f>(_xlfn.XLOOKUP(RPBOD3[[#This Row],[Bonds_ShortName]],FNRP!D:D,FNRP!H:H,_xlfn.XLOOKUP(RPBOD3[[#This Row],[Bonds_ShortName]],FNRP!AV:AV,FNRP!AZ:AZ,,0),0)-RPBOD3[[#This Row],[PTCK_Remain]]-10^5)*RPBOD3[[#This Row],[Quantity]]</f>
        <v>-4636668791.1269331</v>
      </c>
      <c r="AY244" s="128"/>
      <c r="AZ244" s="128"/>
      <c r="BA244" s="11"/>
      <c r="BD244" s="233"/>
      <c r="BE244" s="530"/>
      <c r="BG244" s="530"/>
      <c r="BH244" s="530"/>
      <c r="BI244" s="530"/>
      <c r="BJ244" s="530"/>
      <c r="BK244" s="530"/>
      <c r="BL244" s="530"/>
      <c r="BM244" s="530"/>
      <c r="BN244" s="530"/>
      <c r="BO244" s="530"/>
      <c r="BR244" s="661"/>
    </row>
    <row r="245" spans="37:70" ht="14.4" customHeight="1" x14ac:dyDescent="0.3">
      <c r="AK245" s="734"/>
      <c r="AL245" s="128">
        <v>48295</v>
      </c>
      <c r="AM245" s="128" t="s">
        <v>2839</v>
      </c>
      <c r="AN245" s="736">
        <v>2.7</v>
      </c>
      <c r="AO245" s="128" t="s">
        <v>823</v>
      </c>
      <c r="AP245" s="49" t="s">
        <v>2180</v>
      </c>
      <c r="AQ245" s="530">
        <v>2000000</v>
      </c>
      <c r="AR245" s="500">
        <v>-359.07142764396548</v>
      </c>
      <c r="AS245" s="530">
        <v>99611</v>
      </c>
      <c r="AT245" s="530">
        <v>100513</v>
      </c>
      <c r="AU245" s="769">
        <v>2.7501000000000002</v>
      </c>
      <c r="AV245" s="747">
        <v>116347000000</v>
      </c>
      <c r="AW245" s="534">
        <f>(_xlfn.XLOOKUP(RPBOD3[[#This Row],[Bonds_ShortName]],FNRP!D:D,FNRP!H:H,_xlfn.XLOOKUP(RPBOD3[[#This Row],[Bonds_ShortName]],FNRP!AV:AV,FNRP!AZ:AZ,,0),0)-RPBOD3[[#This Row],[PTCK_Remain]]-10^5)*RPBOD3[[#This Row],[Quantity]]</f>
        <v>-21223857144.712063</v>
      </c>
      <c r="AY245" s="128"/>
      <c r="AZ245" s="128"/>
      <c r="BA245" s="11"/>
      <c r="BD245" s="233"/>
      <c r="BE245" s="530"/>
      <c r="BG245" s="530"/>
      <c r="BH245" s="530"/>
      <c r="BI245" s="530"/>
      <c r="BJ245" s="530"/>
      <c r="BK245" s="530"/>
      <c r="BL245" s="530"/>
      <c r="BM245" s="530"/>
      <c r="BN245" s="530"/>
      <c r="BO245" s="530"/>
      <c r="BR245" s="661"/>
    </row>
    <row r="246" spans="37:70" ht="14.4" customHeight="1" x14ac:dyDescent="0.3">
      <c r="AK246" s="734"/>
      <c r="AL246" s="128">
        <v>47454</v>
      </c>
      <c r="AM246" s="128" t="s">
        <v>2381</v>
      </c>
      <c r="AN246" s="736">
        <v>4.5</v>
      </c>
      <c r="AO246" s="128" t="s">
        <v>823</v>
      </c>
      <c r="AP246" s="49" t="s">
        <v>824</v>
      </c>
      <c r="AQ246" s="530">
        <v>2000000</v>
      </c>
      <c r="AR246" s="500">
        <v>8853.1705969986488</v>
      </c>
      <c r="AS246" s="530">
        <v>110023</v>
      </c>
      <c r="AT246" s="530">
        <v>113512</v>
      </c>
      <c r="AU246" s="769">
        <v>2.9382000000000001</v>
      </c>
      <c r="AV246" s="747">
        <v>116347000000</v>
      </c>
      <c r="AW246" s="534">
        <f>(_xlfn.XLOOKUP(RPBOD3[[#This Row],[Bonds_ShortName]],FNRP!D:D,FNRP!H:H,_xlfn.XLOOKUP(RPBOD3[[#This Row],[Bonds_ShortName]],FNRP!AV:AV,FNRP!AZ:AZ,,0),0)-RPBOD3[[#This Row],[PTCK_Remain]]-10^5)*RPBOD3[[#This Row],[Quantity]]</f>
        <v>-15416341193.997301</v>
      </c>
      <c r="AY246" s="128"/>
      <c r="AZ246" s="128"/>
      <c r="BA246" s="11"/>
      <c r="BD246" s="233"/>
      <c r="BE246" s="530"/>
      <c r="BG246" s="530"/>
      <c r="BH246" s="530"/>
      <c r="BI246" s="530"/>
      <c r="BJ246" s="530"/>
      <c r="BK246" s="530"/>
      <c r="BL246" s="530"/>
      <c r="BM246" s="530"/>
      <c r="BN246" s="530"/>
      <c r="BO246" s="530"/>
      <c r="BR246" s="661"/>
    </row>
    <row r="247" spans="37:70" x14ac:dyDescent="0.3">
      <c r="AK247" s="734"/>
      <c r="AL247" s="128">
        <v>48869</v>
      </c>
      <c r="AM247" s="128" t="s">
        <v>3517</v>
      </c>
      <c r="AN247" s="736">
        <v>2.7</v>
      </c>
      <c r="AO247" s="128" t="s">
        <v>823</v>
      </c>
      <c r="AP247" s="49" t="s">
        <v>824</v>
      </c>
      <c r="AQ247" s="530">
        <v>2000000</v>
      </c>
      <c r="AR247" s="500">
        <v>-1113.6976630759252</v>
      </c>
      <c r="AS247" s="530">
        <v>98736</v>
      </c>
      <c r="AT247" s="530">
        <v>100193</v>
      </c>
      <c r="AU247" s="769">
        <v>3.0045999999999999</v>
      </c>
      <c r="AV247" s="747">
        <v>116347000000</v>
      </c>
      <c r="AW247" s="534">
        <f>(_xlfn.XLOOKUP(RPBOD3[[#This Row],[Bonds_ShortName]],FNRP!D:D,FNRP!H:H,_xlfn.XLOOKUP(RPBOD3[[#This Row],[Bonds_ShortName]],FNRP!AV:AV,FNRP!AZ:AZ,,0),0)-RPBOD3[[#This Row],[PTCK_Remain]]-10^5)*RPBOD3[[#This Row],[Quantity]]</f>
        <v>-6734604673.8481379</v>
      </c>
      <c r="AY247" s="128"/>
      <c r="AZ247" s="128"/>
      <c r="BA247" s="11"/>
      <c r="BD247" s="233"/>
      <c r="BE247" s="530"/>
      <c r="BG247" s="530"/>
      <c r="BH247" s="530"/>
      <c r="BI247" s="530"/>
      <c r="BJ247" s="530"/>
      <c r="BK247" s="530"/>
      <c r="BL247" s="530"/>
      <c r="BM247" s="530"/>
      <c r="BN247" s="530"/>
      <c r="BO247" s="530"/>
      <c r="BR247" s="661"/>
    </row>
    <row r="248" spans="37:70" ht="14.4" customHeight="1" x14ac:dyDescent="0.3">
      <c r="AK248" s="734"/>
      <c r="AL248" s="128">
        <v>43063</v>
      </c>
      <c r="AM248" s="128" t="s">
        <v>2775</v>
      </c>
      <c r="AN248" s="736">
        <v>3.6</v>
      </c>
      <c r="AO248" s="128" t="s">
        <v>907</v>
      </c>
      <c r="AP248" s="49" t="s">
        <v>824</v>
      </c>
      <c r="AQ248" s="530">
        <v>2000000</v>
      </c>
      <c r="AR248" s="500">
        <v>3335.7357388283949</v>
      </c>
      <c r="AS248" s="530">
        <v>103920</v>
      </c>
      <c r="AT248" s="530">
        <v>106143</v>
      </c>
      <c r="AU248" s="769">
        <v>3.2532000000000001</v>
      </c>
      <c r="AV248" s="747">
        <v>116347000000</v>
      </c>
      <c r="AW248" s="534">
        <f>(_xlfn.XLOOKUP(RPBOD3[[#This Row],[Bonds_ShortName]],FNRP!D:D,FNRP!H:H,_xlfn.XLOOKUP(RPBOD3[[#This Row],[Bonds_ShortName]],FNRP!AV:AV,FNRP!AZ:AZ,,0),0)-RPBOD3[[#This Row],[PTCK_Remain]]-10^5)*RPBOD3[[#This Row],[Quantity]]</f>
        <v>-31987471477.656799</v>
      </c>
      <c r="AY248" s="128"/>
      <c r="AZ248" s="128"/>
      <c r="BA248" s="11"/>
      <c r="BD248" s="233"/>
      <c r="BE248" s="530"/>
      <c r="BG248" s="530"/>
      <c r="BH248" s="530"/>
      <c r="BI248" s="530"/>
      <c r="BJ248" s="530"/>
      <c r="BK248" s="530"/>
      <c r="BL248" s="530"/>
      <c r="BM248" s="530"/>
      <c r="BN248" s="530"/>
      <c r="BO248" s="530"/>
      <c r="BR248" s="661"/>
    </row>
    <row r="249" spans="37:70" x14ac:dyDescent="0.3">
      <c r="AK249" s="734"/>
      <c r="AL249" s="128">
        <v>50237</v>
      </c>
      <c r="AM249" s="128" t="s">
        <v>2497</v>
      </c>
      <c r="AN249" s="736">
        <v>4.2</v>
      </c>
      <c r="AO249" s="128" t="s">
        <v>823</v>
      </c>
      <c r="AP249" s="49" t="s">
        <v>824</v>
      </c>
      <c r="AQ249" s="530">
        <v>800000</v>
      </c>
      <c r="AR249" s="500">
        <v>-3312.8662023063125</v>
      </c>
      <c r="AS249" s="530">
        <v>96680</v>
      </c>
      <c r="AT249" s="530">
        <v>98141</v>
      </c>
      <c r="AU249" s="769">
        <v>4.4130000000000003</v>
      </c>
      <c r="AV249" s="747">
        <v>116347000000</v>
      </c>
      <c r="AW249" s="534">
        <f>(_xlfn.XLOOKUP(RPBOD3[[#This Row],[Bonds_ShortName]],FNRP!D:D,FNRP!H:H,_xlfn.XLOOKUP(RPBOD3[[#This Row],[Bonds_ShortName]],FNRP!AV:AV,FNRP!AZ:AZ,,0),0)-RPBOD3[[#This Row],[PTCK_Remain]]-10^5)*RPBOD3[[#This Row],[Quantity]]</f>
        <v>-3485707038.1549535</v>
      </c>
      <c r="AY249" s="128"/>
      <c r="AZ249" s="128"/>
      <c r="BA249" s="11"/>
      <c r="BD249" s="233"/>
      <c r="BE249" s="530"/>
      <c r="BG249" s="530"/>
      <c r="BH249" s="530"/>
      <c r="BI249" s="530"/>
      <c r="BJ249" s="530"/>
      <c r="BK249" s="530"/>
      <c r="BL249" s="530"/>
      <c r="BM249" s="530"/>
      <c r="BN249" s="530"/>
      <c r="BO249" s="530"/>
      <c r="BR249" s="661"/>
    </row>
    <row r="250" spans="37:70" ht="14.4" customHeight="1" x14ac:dyDescent="0.3">
      <c r="AK250" s="734"/>
      <c r="AL250" s="128">
        <v>49492</v>
      </c>
      <c r="AM250" s="128" t="s">
        <v>2497</v>
      </c>
      <c r="AN250" s="736">
        <v>4.2</v>
      </c>
      <c r="AO250" s="128" t="s">
        <v>823</v>
      </c>
      <c r="AP250" s="49" t="s">
        <v>824</v>
      </c>
      <c r="AQ250" s="530">
        <v>300000</v>
      </c>
      <c r="AR250" s="500">
        <v>1587.06763394007</v>
      </c>
      <c r="AS250" s="530">
        <v>101607</v>
      </c>
      <c r="AT250" s="530">
        <v>101895</v>
      </c>
      <c r="AU250" s="769">
        <v>4.0999999999999996</v>
      </c>
      <c r="AV250" s="747">
        <v>116347000000</v>
      </c>
      <c r="AW250" s="534">
        <f>(_xlfn.XLOOKUP(RPBOD3[[#This Row],[Bonds_ShortName]],FNRP!D:D,FNRP!H:H,_xlfn.XLOOKUP(RPBOD3[[#This Row],[Bonds_ShortName]],FNRP!AV:AV,FNRP!AZ:AZ,,0),0)-RPBOD3[[#This Row],[PTCK_Remain]]-10^5)*RPBOD3[[#This Row],[Quantity]]</f>
        <v>-2777120290.1820202</v>
      </c>
      <c r="AY250" s="128"/>
      <c r="AZ250" s="128"/>
      <c r="BA250" s="11"/>
      <c r="BD250" s="233"/>
      <c r="BE250" s="530"/>
      <c r="BG250" s="530"/>
      <c r="BH250" s="530"/>
      <c r="BI250" s="530"/>
      <c r="BJ250" s="530"/>
      <c r="BK250" s="530"/>
      <c r="BL250" s="530"/>
      <c r="BM250" s="530"/>
      <c r="BN250" s="530"/>
      <c r="BO250" s="530"/>
      <c r="BR250" s="661"/>
    </row>
    <row r="251" spans="37:70" ht="14.4" customHeight="1" x14ac:dyDescent="0.3">
      <c r="AK251" s="734"/>
      <c r="AL251" s="128">
        <v>49493</v>
      </c>
      <c r="AM251" s="128" t="s">
        <v>2497</v>
      </c>
      <c r="AN251" s="736">
        <v>4.2</v>
      </c>
      <c r="AO251" s="128" t="s">
        <v>823</v>
      </c>
      <c r="AP251" s="49" t="s">
        <v>824</v>
      </c>
      <c r="AQ251" s="530">
        <v>1000000</v>
      </c>
      <c r="AR251" s="500">
        <v>1587.06763394007</v>
      </c>
      <c r="AS251" s="530">
        <v>101607</v>
      </c>
      <c r="AT251" s="530">
        <v>101895</v>
      </c>
      <c r="AU251" s="769">
        <v>4.0999999999999996</v>
      </c>
      <c r="AV251" s="747">
        <v>116347000000</v>
      </c>
      <c r="AW251" s="534">
        <f>(_xlfn.XLOOKUP(RPBOD3[[#This Row],[Bonds_ShortName]],FNRP!D:D,FNRP!H:H,_xlfn.XLOOKUP(RPBOD3[[#This Row],[Bonds_ShortName]],FNRP!AV:AV,FNRP!AZ:AZ,,0),0)-RPBOD3[[#This Row],[PTCK_Remain]]-10^5)*RPBOD3[[#This Row],[Quantity]]</f>
        <v>-9257067633.9400673</v>
      </c>
      <c r="AY251" s="128"/>
      <c r="AZ251" s="128"/>
      <c r="BA251" s="11"/>
      <c r="BD251" s="233"/>
      <c r="BE251" s="530"/>
      <c r="BG251" s="530"/>
      <c r="BH251" s="530"/>
      <c r="BI251" s="530"/>
      <c r="BJ251" s="530"/>
      <c r="BK251" s="530"/>
      <c r="BL251" s="530"/>
      <c r="BM251" s="530"/>
      <c r="BN251" s="530"/>
      <c r="BO251" s="530"/>
      <c r="BR251" s="661"/>
    </row>
    <row r="252" spans="37:70" ht="14.4" customHeight="1" x14ac:dyDescent="0.3">
      <c r="AK252" s="734"/>
      <c r="AL252" s="128">
        <v>49394</v>
      </c>
      <c r="AM252" s="128" t="s">
        <v>2497</v>
      </c>
      <c r="AN252" s="736">
        <v>4.2</v>
      </c>
      <c r="AO252" s="128" t="s">
        <v>823</v>
      </c>
      <c r="AP252" s="49" t="s">
        <v>824</v>
      </c>
      <c r="AQ252" s="530">
        <v>500000</v>
      </c>
      <c r="AR252" s="500">
        <v>-1560.4104078977562</v>
      </c>
      <c r="AS252" s="530">
        <v>98418</v>
      </c>
      <c r="AT252" s="530">
        <v>98614</v>
      </c>
      <c r="AU252" s="769">
        <v>4.3</v>
      </c>
      <c r="AV252" s="747">
        <v>116347000000</v>
      </c>
      <c r="AW252" s="534">
        <f>(_xlfn.XLOOKUP(RPBOD3[[#This Row],[Bonds_ShortName]],FNRP!D:D,FNRP!H:H,_xlfn.XLOOKUP(RPBOD3[[#This Row],[Bonds_ShortName]],FNRP!AV:AV,FNRP!AZ:AZ,,0),0)-RPBOD3[[#This Row],[PTCK_Remain]]-10^5)*RPBOD3[[#This Row],[Quantity]]</f>
        <v>-3054794796.0511227</v>
      </c>
      <c r="AY252" s="128"/>
      <c r="AZ252" s="128"/>
      <c r="BA252" s="11"/>
      <c r="BD252" s="233"/>
      <c r="BE252" s="530"/>
      <c r="BG252" s="530"/>
      <c r="BH252" s="530"/>
      <c r="BI252" s="530"/>
      <c r="BJ252" s="530"/>
      <c r="BK252" s="530"/>
      <c r="BL252" s="530"/>
      <c r="BM252" s="530"/>
      <c r="BN252" s="530"/>
      <c r="BO252" s="530"/>
      <c r="BR252" s="661"/>
    </row>
    <row r="253" spans="37:70" ht="14.4" customHeight="1" x14ac:dyDescent="0.3">
      <c r="AK253" s="734"/>
      <c r="AL253" s="128">
        <v>49657</v>
      </c>
      <c r="AM253" s="128" t="s">
        <v>2497</v>
      </c>
      <c r="AN253" s="736">
        <v>4.2</v>
      </c>
      <c r="AO253" s="128" t="s">
        <v>823</v>
      </c>
      <c r="AP253" s="49" t="s">
        <v>824</v>
      </c>
      <c r="AQ253" s="530">
        <v>500000</v>
      </c>
      <c r="AR253" s="500">
        <v>1579.622509118002</v>
      </c>
      <c r="AS253" s="530">
        <v>101597</v>
      </c>
      <c r="AT253" s="530">
        <v>102103</v>
      </c>
      <c r="AU253" s="769">
        <v>4.1002999999999998</v>
      </c>
      <c r="AV253" s="747">
        <v>116347000000</v>
      </c>
      <c r="AW253" s="534">
        <f>(_xlfn.XLOOKUP(RPBOD3[[#This Row],[Bonds_ShortName]],FNRP!D:D,FNRP!H:H,_xlfn.XLOOKUP(RPBOD3[[#This Row],[Bonds_ShortName]],FNRP!AV:AV,FNRP!AZ:AZ,,0),0)-RPBOD3[[#This Row],[PTCK_Remain]]-10^5)*RPBOD3[[#This Row],[Quantity]]</f>
        <v>-4624811254.5589972</v>
      </c>
      <c r="AY253" s="128"/>
      <c r="AZ253" s="128"/>
      <c r="BA253" s="11"/>
      <c r="BD253" s="233"/>
      <c r="BE253" s="530"/>
      <c r="BG253" s="530"/>
      <c r="BH253" s="530"/>
      <c r="BI253" s="530"/>
      <c r="BJ253" s="530"/>
      <c r="BK253" s="530"/>
      <c r="BL253" s="530"/>
      <c r="BM253" s="530"/>
      <c r="BN253" s="530"/>
      <c r="BO253" s="530"/>
      <c r="BR253" s="661"/>
    </row>
    <row r="254" spans="37:70" x14ac:dyDescent="0.3">
      <c r="AK254" s="734"/>
      <c r="AL254" s="128">
        <v>49989</v>
      </c>
      <c r="AM254" s="128" t="s">
        <v>2834</v>
      </c>
      <c r="AN254" s="736">
        <v>2.7</v>
      </c>
      <c r="AO254" s="128" t="s">
        <v>823</v>
      </c>
      <c r="AP254" s="49" t="s">
        <v>2176</v>
      </c>
      <c r="AQ254" s="530">
        <v>2500000</v>
      </c>
      <c r="AR254" s="500">
        <v>-2322.951414345132</v>
      </c>
      <c r="AS254" s="530">
        <v>97625</v>
      </c>
      <c r="AT254" s="530">
        <v>100184</v>
      </c>
      <c r="AU254" s="769">
        <v>3.0367000000000002</v>
      </c>
      <c r="AV254" s="747">
        <v>116347000000</v>
      </c>
      <c r="AW254" s="534">
        <f>(_xlfn.XLOOKUP(RPBOD3[[#This Row],[Bonds_ShortName]],FNRP!D:D,FNRP!H:H,_xlfn.XLOOKUP(RPBOD3[[#This Row],[Bonds_ShortName]],FNRP!AV:AV,FNRP!AZ:AZ,,0),0)-RPBOD3[[#This Row],[PTCK_Remain]]-10^5)*RPBOD3[[#This Row],[Quantity]]</f>
        <v>-21222621464.137154</v>
      </c>
      <c r="AY254" s="128"/>
      <c r="AZ254" s="128"/>
      <c r="BA254" s="11"/>
      <c r="BD254" s="233"/>
      <c r="BE254" s="530"/>
      <c r="BG254" s="530"/>
      <c r="BH254" s="530"/>
      <c r="BI254" s="530"/>
      <c r="BJ254" s="530"/>
      <c r="BK254" s="530"/>
      <c r="BL254" s="530"/>
      <c r="BM254" s="530"/>
      <c r="BN254" s="530"/>
      <c r="BO254" s="530"/>
      <c r="BR254" s="661"/>
    </row>
    <row r="255" spans="37:70" x14ac:dyDescent="0.3">
      <c r="AK255" s="734"/>
      <c r="AL255" s="128">
        <v>49987</v>
      </c>
      <c r="AM255" s="128" t="s">
        <v>2831</v>
      </c>
      <c r="AN255" s="736">
        <v>2.7</v>
      </c>
      <c r="AO255" s="128" t="s">
        <v>823</v>
      </c>
      <c r="AP255" s="49" t="s">
        <v>824</v>
      </c>
      <c r="AQ255" s="530">
        <v>3000000</v>
      </c>
      <c r="AR255" s="500">
        <v>-2235.2481057326436</v>
      </c>
      <c r="AS255" s="530">
        <v>97714</v>
      </c>
      <c r="AT255" s="530">
        <v>100377</v>
      </c>
      <c r="AU255" s="769">
        <v>3.0255000000000001</v>
      </c>
      <c r="AV255" s="747">
        <v>116347000000</v>
      </c>
      <c r="AW255" s="534">
        <f>(_xlfn.XLOOKUP(RPBOD3[[#This Row],[Bonds_ShortName]],FNRP!D:D,FNRP!H:H,_xlfn.XLOOKUP(RPBOD3[[#This Row],[Bonds_ShortName]],FNRP!AV:AV,FNRP!AZ:AZ,,0),0)-RPBOD3[[#This Row],[PTCK_Remain]]-10^5)*RPBOD3[[#This Row],[Quantity]]</f>
        <v>-25568255682.80209</v>
      </c>
      <c r="AY255" s="128"/>
      <c r="AZ255" s="128"/>
      <c r="BA255" s="11"/>
      <c r="BD255" s="233"/>
      <c r="BE255" s="530"/>
      <c r="BG255" s="530"/>
      <c r="BH255" s="530"/>
      <c r="BI255" s="530"/>
      <c r="BJ255" s="530"/>
      <c r="BK255" s="530"/>
      <c r="BL255" s="530"/>
      <c r="BM255" s="530"/>
      <c r="BN255" s="530"/>
      <c r="BO255" s="530"/>
      <c r="BR255" s="661"/>
    </row>
    <row r="256" spans="37:70" x14ac:dyDescent="0.3">
      <c r="AK256" s="734"/>
      <c r="AL256" s="128">
        <v>49993</v>
      </c>
      <c r="AM256" s="128" t="s">
        <v>2497</v>
      </c>
      <c r="AN256" s="736">
        <v>4.2</v>
      </c>
      <c r="AO256" s="128" t="s">
        <v>823</v>
      </c>
      <c r="AP256" s="49" t="s">
        <v>824</v>
      </c>
      <c r="AQ256" s="530">
        <v>700000</v>
      </c>
      <c r="AR256" s="500">
        <v>3139.415493825943</v>
      </c>
      <c r="AS256" s="530">
        <v>103160</v>
      </c>
      <c r="AT256" s="530">
        <v>104127</v>
      </c>
      <c r="AU256" s="769">
        <v>4.0045000000000002</v>
      </c>
      <c r="AV256" s="747">
        <v>116347000000</v>
      </c>
      <c r="AW256" s="534">
        <f>(_xlfn.XLOOKUP(RPBOD3[[#This Row],[Bonds_ShortName]],FNRP!D:D,FNRP!H:H,_xlfn.XLOOKUP(RPBOD3[[#This Row],[Bonds_ShortName]],FNRP!AV:AV,FNRP!AZ:AZ,,0),0)-RPBOD3[[#This Row],[PTCK_Remain]]-10^5)*RPBOD3[[#This Row],[Quantity]]</f>
        <v>-7566590845.6781616</v>
      </c>
      <c r="AY256" s="128"/>
      <c r="AZ256" s="128"/>
      <c r="BA256" s="11"/>
      <c r="BD256" s="233"/>
      <c r="BE256" s="530"/>
      <c r="BG256" s="530"/>
      <c r="BH256" s="530"/>
      <c r="BI256" s="530"/>
      <c r="BJ256" s="530"/>
      <c r="BK256" s="530"/>
      <c r="BL256" s="530"/>
      <c r="BM256" s="530"/>
      <c r="BN256" s="530"/>
      <c r="BO256" s="530"/>
      <c r="BR256" s="661"/>
    </row>
    <row r="257" spans="37:70" x14ac:dyDescent="0.3">
      <c r="AK257" s="734"/>
      <c r="AL257" s="128">
        <v>50068</v>
      </c>
      <c r="AM257" s="128" t="s">
        <v>3081</v>
      </c>
      <c r="AN257" s="736">
        <v>2.9</v>
      </c>
      <c r="AO257" s="128" t="s">
        <v>823</v>
      </c>
      <c r="AP257" s="49" t="s">
        <v>824</v>
      </c>
      <c r="AQ257" s="530">
        <v>500000</v>
      </c>
      <c r="AR257" s="500">
        <v>-3794.11452501956</v>
      </c>
      <c r="AS257" s="530">
        <v>96136</v>
      </c>
      <c r="AT257" s="530">
        <v>96938</v>
      </c>
      <c r="AU257" s="769">
        <v>3.4184999999999999</v>
      </c>
      <c r="AV257" s="747">
        <v>116347000000</v>
      </c>
      <c r="AW257" s="534">
        <f>(_xlfn.XLOOKUP(RPBOD3[[#This Row],[Bonds_ShortName]],FNRP!D:D,FNRP!H:H,_xlfn.XLOOKUP(RPBOD3[[#This Row],[Bonds_ShortName]],FNRP!AV:AV,FNRP!AZ:AZ,,0),0)-RPBOD3[[#This Row],[PTCK_Remain]]-10^5)*RPBOD3[[#This Row],[Quantity]]</f>
        <v>-3308442737.4902225</v>
      </c>
      <c r="AY257" s="128"/>
      <c r="AZ257" s="128"/>
      <c r="BA257" s="11"/>
      <c r="BD257" s="233"/>
      <c r="BE257" s="530"/>
      <c r="BG257" s="530"/>
      <c r="BH257" s="530"/>
      <c r="BI257" s="530"/>
      <c r="BJ257" s="530"/>
      <c r="BK257" s="530"/>
      <c r="BL257" s="530"/>
      <c r="BM257" s="530"/>
      <c r="BN257" s="530"/>
      <c r="BO257" s="530"/>
      <c r="BR257" s="661"/>
    </row>
    <row r="258" spans="37:70" x14ac:dyDescent="0.3">
      <c r="AK258" s="734"/>
      <c r="AL258" s="128">
        <v>50187</v>
      </c>
      <c r="AM258" s="128" t="s">
        <v>2497</v>
      </c>
      <c r="AN258" s="736">
        <v>4.2</v>
      </c>
      <c r="AO258" s="128" t="s">
        <v>823</v>
      </c>
      <c r="AP258" s="49" t="s">
        <v>824</v>
      </c>
      <c r="AQ258" s="530">
        <v>480000</v>
      </c>
      <c r="AR258" s="500">
        <v>4855.6736151248751</v>
      </c>
      <c r="AS258" s="530">
        <v>104870</v>
      </c>
      <c r="AT258" s="530">
        <v>106262</v>
      </c>
      <c r="AU258" s="769">
        <v>3.9018999999999999</v>
      </c>
      <c r="AV258" s="747">
        <v>116347000000</v>
      </c>
      <c r="AW258" s="534">
        <f>(_xlfn.XLOOKUP(RPBOD3[[#This Row],[Bonds_ShortName]],FNRP!D:D,FNRP!H:H,_xlfn.XLOOKUP(RPBOD3[[#This Row],[Bonds_ShortName]],FNRP!AV:AV,FNRP!AZ:AZ,,0),0)-RPBOD3[[#This Row],[PTCK_Remain]]-10^5)*RPBOD3[[#This Row],[Quantity]]</f>
        <v>-6012323335.2599411</v>
      </c>
      <c r="AY258" s="128"/>
      <c r="AZ258" s="128"/>
      <c r="BA258" s="11"/>
      <c r="BD258" s="233"/>
      <c r="BE258" s="530"/>
      <c r="BG258" s="530"/>
      <c r="BH258" s="530"/>
      <c r="BI258" s="530"/>
      <c r="BJ258" s="530"/>
      <c r="BK258" s="530"/>
      <c r="BL258" s="530"/>
      <c r="BM258" s="530"/>
      <c r="BN258" s="530"/>
      <c r="BO258" s="530"/>
      <c r="BR258" s="661"/>
    </row>
    <row r="259" spans="37:70" x14ac:dyDescent="0.3">
      <c r="AK259" s="734"/>
      <c r="AL259" s="128">
        <v>46914</v>
      </c>
      <c r="AM259" s="128" t="s">
        <v>709</v>
      </c>
      <c r="AN259" s="736">
        <v>5.2</v>
      </c>
      <c r="AO259" s="128" t="s">
        <v>823</v>
      </c>
      <c r="AP259" s="49" t="s">
        <v>2180</v>
      </c>
      <c r="AQ259" s="530">
        <v>500000</v>
      </c>
      <c r="AR259" s="500">
        <v>23568.246874831402</v>
      </c>
      <c r="AS259" s="530">
        <v>125765</v>
      </c>
      <c r="AT259" s="530">
        <v>128244</v>
      </c>
      <c r="AU259" s="769">
        <v>2.74</v>
      </c>
      <c r="AV259" s="747">
        <v>116347000000</v>
      </c>
      <c r="AW259" s="534">
        <f>(_xlfn.XLOOKUP(RPBOD3[[#This Row],[Bonds_ShortName]],FNRP!D:D,FNRP!H:H,_xlfn.XLOOKUP(RPBOD3[[#This Row],[Bonds_ShortName]],FNRP!AV:AV,FNRP!AZ:AZ,,0),0)-RPBOD3[[#This Row],[PTCK_Remain]]-10^5)*RPBOD3[[#This Row],[Quantity]]</f>
        <v>-8653123437.415699</v>
      </c>
      <c r="AZ259" s="128"/>
      <c r="BA259" s="11"/>
      <c r="BD259" s="233"/>
      <c r="BE259" s="530"/>
      <c r="BG259" s="530"/>
      <c r="BH259" s="530"/>
      <c r="BI259" s="530"/>
      <c r="BJ259" s="530"/>
      <c r="BK259" s="530"/>
      <c r="BL259" s="530"/>
      <c r="BM259" s="530"/>
      <c r="BN259" s="530"/>
      <c r="BO259" s="530"/>
      <c r="BR259" s="661"/>
    </row>
    <row r="260" spans="37:70" x14ac:dyDescent="0.3">
      <c r="AK260" s="734"/>
      <c r="AL260" s="128">
        <v>45624</v>
      </c>
      <c r="AM260" s="128" t="s">
        <v>2398</v>
      </c>
      <c r="AN260" s="736">
        <v>4.0999999999999996</v>
      </c>
      <c r="AO260" s="128" t="s">
        <v>823</v>
      </c>
      <c r="AP260" s="49" t="s">
        <v>824</v>
      </c>
      <c r="AQ260" s="530">
        <v>500000</v>
      </c>
      <c r="AR260" s="500">
        <v>8700.3171719928614</v>
      </c>
      <c r="AS260" s="530">
        <v>110641</v>
      </c>
      <c r="AT260" s="530">
        <v>110765</v>
      </c>
      <c r="AU260" s="769">
        <v>2.6040000000000001</v>
      </c>
      <c r="AV260" s="747">
        <v>116347000000</v>
      </c>
      <c r="AW260" s="534">
        <f>(_xlfn.XLOOKUP(RPBOD3[[#This Row],[Bonds_ShortName]],FNRP!D:D,FNRP!H:H,_xlfn.XLOOKUP(RPBOD3[[#This Row],[Bonds_ShortName]],FNRP!AV:AV,FNRP!AZ:AZ,,0),0)-RPBOD3[[#This Row],[PTCK_Remain]]-10^5)*RPBOD3[[#This Row],[Quantity]]</f>
        <v>-4896658585.9964323</v>
      </c>
      <c r="AZ260" s="128"/>
      <c r="BA260" s="11"/>
      <c r="BD260" s="233"/>
      <c r="BE260" s="530"/>
      <c r="BG260" s="530"/>
      <c r="BH260" s="530"/>
      <c r="BI260" s="530"/>
      <c r="BJ260" s="530"/>
      <c r="BK260" s="530"/>
      <c r="BL260" s="530"/>
      <c r="BM260" s="530"/>
      <c r="BN260" s="530"/>
      <c r="BO260" s="530"/>
      <c r="BR260" s="661"/>
    </row>
    <row r="261" spans="37:70" x14ac:dyDescent="0.3">
      <c r="AK261" s="734"/>
      <c r="AL261" s="128">
        <v>49120</v>
      </c>
      <c r="AM261" s="128" t="s">
        <v>2831</v>
      </c>
      <c r="AN261" s="736">
        <v>2.7</v>
      </c>
      <c r="AO261" s="128" t="s">
        <v>823</v>
      </c>
      <c r="AP261" s="49" t="s">
        <v>824</v>
      </c>
      <c r="AQ261" s="530">
        <v>1000000</v>
      </c>
      <c r="AR261" s="500">
        <v>-2115.8508602993402</v>
      </c>
      <c r="AS261" s="530">
        <v>97765</v>
      </c>
      <c r="AT261" s="530">
        <v>99718</v>
      </c>
      <c r="AU261" s="769">
        <v>3.008</v>
      </c>
      <c r="AV261" s="747">
        <v>116347000000</v>
      </c>
      <c r="AW261" s="534">
        <f>(_xlfn.XLOOKUP(RPBOD3[[#This Row],[Bonds_ShortName]],FNRP!D:D,FNRP!H:H,_xlfn.XLOOKUP(RPBOD3[[#This Row],[Bonds_ShortName]],FNRP!AV:AV,FNRP!AZ:AZ,,0),0)-RPBOD3[[#This Row],[PTCK_Remain]]-10^5)*RPBOD3[[#This Row],[Quantity]]</f>
        <v>-8642149139.7006607</v>
      </c>
      <c r="AZ261" s="128"/>
      <c r="BA261" s="11"/>
      <c r="BD261" s="233"/>
      <c r="BE261" s="530"/>
      <c r="BG261" s="530"/>
      <c r="BH261" s="530"/>
      <c r="BI261" s="530"/>
      <c r="BJ261" s="530"/>
      <c r="BK261" s="530"/>
      <c r="BL261" s="530"/>
      <c r="BM261" s="530"/>
      <c r="BN261" s="530"/>
      <c r="BO261" s="530"/>
      <c r="BR261" s="661"/>
    </row>
    <row r="262" spans="37:70" x14ac:dyDescent="0.3">
      <c r="AK262" s="734"/>
      <c r="AL262" s="128">
        <v>49718</v>
      </c>
      <c r="AM262" s="128" t="s">
        <v>2497</v>
      </c>
      <c r="AN262" s="736">
        <v>4.2</v>
      </c>
      <c r="AO262" s="128" t="s">
        <v>823</v>
      </c>
      <c r="AP262" s="49" t="s">
        <v>824</v>
      </c>
      <c r="AQ262" s="530">
        <v>1000000</v>
      </c>
      <c r="AR262" s="500">
        <v>-1631.3892974477899</v>
      </c>
      <c r="AS262" s="530">
        <v>98352</v>
      </c>
      <c r="AT262" s="530">
        <v>98939</v>
      </c>
      <c r="AU262" s="769">
        <v>4.3040000000000003</v>
      </c>
      <c r="AV262" s="747">
        <v>116347000000</v>
      </c>
      <c r="AW262" s="534">
        <f>(_xlfn.XLOOKUP(RPBOD3[[#This Row],[Bonds_ShortName]],FNRP!D:D,FNRP!H:H,_xlfn.XLOOKUP(RPBOD3[[#This Row],[Bonds_ShortName]],FNRP!AV:AV,FNRP!AZ:AZ,,0),0)-RPBOD3[[#This Row],[PTCK_Remain]]-10^5)*RPBOD3[[#This Row],[Quantity]]</f>
        <v>-6038610702.552207</v>
      </c>
      <c r="AZ262" s="128"/>
      <c r="BA262" s="11"/>
      <c r="BD262" s="233"/>
      <c r="BE262" s="530"/>
      <c r="BG262" s="530"/>
      <c r="BH262" s="530"/>
      <c r="BI262" s="530"/>
      <c r="BJ262" s="530"/>
      <c r="BK262" s="530"/>
      <c r="BL262" s="530"/>
      <c r="BM262" s="530"/>
      <c r="BN262" s="530"/>
      <c r="BO262" s="530"/>
      <c r="BR262" s="661"/>
    </row>
    <row r="263" spans="37:70" x14ac:dyDescent="0.3">
      <c r="AK263" s="734"/>
      <c r="AL263" s="128">
        <v>49835</v>
      </c>
      <c r="AM263" s="128" t="s">
        <v>2497</v>
      </c>
      <c r="AN263" s="736">
        <v>4.2</v>
      </c>
      <c r="AO263" s="128" t="s">
        <v>823</v>
      </c>
      <c r="AP263" s="49" t="s">
        <v>824</v>
      </c>
      <c r="AQ263" s="530">
        <v>700000</v>
      </c>
      <c r="AR263" s="500">
        <v>1582.6796492479286</v>
      </c>
      <c r="AS263" s="530">
        <v>101596</v>
      </c>
      <c r="AT263" s="530">
        <v>102367</v>
      </c>
      <c r="AU263" s="769">
        <v>4.0999999999999996</v>
      </c>
      <c r="AV263" s="747">
        <v>116347000000</v>
      </c>
      <c r="AW263" s="534">
        <f>(_xlfn.XLOOKUP(RPBOD3[[#This Row],[Bonds_ShortName]],FNRP!D:D,FNRP!H:H,_xlfn.XLOOKUP(RPBOD3[[#This Row],[Bonds_ShortName]],FNRP!AV:AV,FNRP!AZ:AZ,,0),0)-RPBOD3[[#This Row],[PTCK_Remain]]-10^5)*RPBOD3[[#This Row],[Quantity]]</f>
        <v>-6476875754.4735537</v>
      </c>
      <c r="AZ263" s="128"/>
      <c r="BA263" s="11"/>
      <c r="BD263" s="233"/>
      <c r="BE263" s="530"/>
      <c r="BG263" s="530"/>
      <c r="BH263" s="530"/>
      <c r="BI263" s="530"/>
      <c r="BJ263" s="530"/>
      <c r="BK263" s="530"/>
      <c r="BL263" s="530"/>
      <c r="BM263" s="530"/>
      <c r="BN263" s="530"/>
      <c r="BO263" s="530"/>
      <c r="BR263" s="661"/>
    </row>
    <row r="264" spans="37:70" x14ac:dyDescent="0.3">
      <c r="AK264" s="734"/>
      <c r="AZ264" s="128"/>
      <c r="BA264" s="11"/>
      <c r="BD264" s="233"/>
      <c r="BE264" s="530"/>
      <c r="BG264" s="530"/>
      <c r="BH264" s="530"/>
      <c r="BI264" s="530"/>
      <c r="BJ264" s="530"/>
      <c r="BK264" s="530"/>
      <c r="BL264" s="530"/>
      <c r="BM264" s="530"/>
      <c r="BN264" s="530"/>
      <c r="BO264" s="530"/>
      <c r="BR264" s="661"/>
    </row>
    <row r="265" spans="37:70" x14ac:dyDescent="0.3">
      <c r="AK265" s="734"/>
      <c r="AZ265" s="128"/>
      <c r="BA265" s="11"/>
      <c r="BD265" s="233"/>
      <c r="BE265" s="530"/>
      <c r="BG265" s="530"/>
      <c r="BH265" s="530"/>
      <c r="BI265" s="530"/>
      <c r="BJ265" s="530"/>
      <c r="BK265" s="530"/>
      <c r="BL265" s="530"/>
      <c r="BM265" s="530"/>
      <c r="BN265" s="530"/>
      <c r="BO265" s="530"/>
      <c r="BR265" s="661"/>
    </row>
    <row r="266" spans="37:70" x14ac:dyDescent="0.3">
      <c r="AK266" s="734"/>
      <c r="AZ266" s="128"/>
      <c r="BA266" s="11"/>
      <c r="BD266" s="233"/>
      <c r="BE266" s="530"/>
      <c r="BG266" s="530"/>
      <c r="BH266" s="530"/>
      <c r="BI266" s="530"/>
      <c r="BJ266" s="530"/>
      <c r="BK266" s="530"/>
      <c r="BL266" s="530"/>
      <c r="BM266" s="530"/>
      <c r="BN266" s="530"/>
      <c r="BO266" s="530"/>
      <c r="BR266" s="661"/>
    </row>
    <row r="267" spans="37:70" x14ac:dyDescent="0.3">
      <c r="AK267" s="734"/>
      <c r="AZ267" s="128"/>
      <c r="BA267" s="11"/>
      <c r="BD267" s="233"/>
      <c r="BE267" s="530"/>
      <c r="BG267" s="530"/>
      <c r="BH267" s="530"/>
      <c r="BI267" s="530"/>
      <c r="BJ267" s="530"/>
      <c r="BK267" s="530"/>
      <c r="BL267" s="530"/>
      <c r="BM267" s="530"/>
      <c r="BN267" s="530"/>
      <c r="BO267" s="530"/>
      <c r="BR267" s="661"/>
    </row>
    <row r="268" spans="37:70" x14ac:dyDescent="0.3">
      <c r="AK268" s="734"/>
      <c r="AZ268" s="128"/>
      <c r="BA268" s="11"/>
      <c r="BD268" s="233"/>
      <c r="BE268" s="530"/>
      <c r="BG268" s="530"/>
      <c r="BH268" s="530"/>
      <c r="BI268" s="530"/>
      <c r="BJ268" s="530"/>
      <c r="BK268" s="530"/>
      <c r="BL268" s="530"/>
      <c r="BM268" s="530"/>
      <c r="BN268" s="530"/>
      <c r="BO268" s="530"/>
      <c r="BR268" s="661"/>
    </row>
    <row r="269" spans="37:70" x14ac:dyDescent="0.3">
      <c r="AK269" s="734"/>
      <c r="AZ269" s="128"/>
      <c r="BA269" s="11"/>
      <c r="BD269" s="233"/>
      <c r="BE269" s="530"/>
      <c r="BG269" s="530"/>
      <c r="BH269" s="530"/>
      <c r="BI269" s="530"/>
      <c r="BJ269" s="530"/>
      <c r="BK269" s="530"/>
      <c r="BL269" s="530"/>
      <c r="BM269" s="530"/>
      <c r="BN269" s="530"/>
      <c r="BO269" s="530"/>
      <c r="BR269" s="661"/>
    </row>
    <row r="270" spans="37:70" x14ac:dyDescent="0.3">
      <c r="AK270" s="734"/>
      <c r="AZ270" s="128"/>
      <c r="BA270" s="11"/>
      <c r="BD270" s="233"/>
      <c r="BE270" s="530"/>
      <c r="BG270" s="530"/>
      <c r="BH270" s="530"/>
      <c r="BI270" s="530"/>
      <c r="BJ270" s="530"/>
      <c r="BK270" s="530"/>
      <c r="BL270" s="530"/>
      <c r="BM270" s="530"/>
      <c r="BN270" s="530"/>
      <c r="BO270" s="530"/>
      <c r="BR270" s="661"/>
    </row>
    <row r="271" spans="37:70" x14ac:dyDescent="0.3">
      <c r="AK271" s="731"/>
      <c r="AZ271" s="128"/>
      <c r="BA271" s="11"/>
      <c r="BD271" s="233"/>
      <c r="BE271" s="530"/>
      <c r="BG271" s="530"/>
      <c r="BH271" s="530"/>
      <c r="BI271" s="530"/>
      <c r="BJ271" s="530"/>
      <c r="BK271" s="530"/>
      <c r="BL271" s="530"/>
      <c r="BM271" s="530"/>
      <c r="BN271" s="530"/>
      <c r="BO271" s="530"/>
      <c r="BR271" s="661"/>
    </row>
    <row r="272" spans="37:70" x14ac:dyDescent="0.3">
      <c r="AK272" s="731"/>
      <c r="AZ272" s="128"/>
      <c r="BA272" s="11"/>
      <c r="BD272" s="233"/>
      <c r="BE272" s="530"/>
      <c r="BG272" s="530"/>
      <c r="BH272" s="530"/>
      <c r="BI272" s="530"/>
      <c r="BJ272" s="530"/>
      <c r="BK272" s="530"/>
      <c r="BL272" s="530"/>
      <c r="BM272" s="530"/>
      <c r="BN272" s="530"/>
      <c r="BO272" s="530"/>
      <c r="BR272" s="661"/>
    </row>
    <row r="273" spans="37:70" x14ac:dyDescent="0.3">
      <c r="AK273" s="731"/>
      <c r="AZ273" s="128"/>
      <c r="BA273" s="11"/>
      <c r="BD273" s="233"/>
      <c r="BE273" s="530"/>
      <c r="BG273" s="530"/>
      <c r="BH273" s="530"/>
      <c r="BI273" s="530"/>
      <c r="BJ273" s="530"/>
      <c r="BK273" s="530"/>
      <c r="BL273" s="530"/>
      <c r="BM273" s="530"/>
      <c r="BN273" s="530"/>
      <c r="BO273" s="530"/>
      <c r="BR273" s="661"/>
    </row>
    <row r="274" spans="37:70" x14ac:dyDescent="0.3">
      <c r="AK274" s="731"/>
      <c r="AZ274" s="128"/>
      <c r="BA274" s="11"/>
      <c r="BD274" s="233"/>
      <c r="BE274" s="530"/>
      <c r="BG274" s="530"/>
      <c r="BH274" s="530"/>
      <c r="BI274" s="530"/>
      <c r="BJ274" s="530"/>
      <c r="BK274" s="530"/>
      <c r="BL274" s="530"/>
      <c r="BM274" s="530"/>
      <c r="BN274" s="530"/>
      <c r="BO274" s="530"/>
      <c r="BR274" s="661"/>
    </row>
    <row r="275" spans="37:70" x14ac:dyDescent="0.3">
      <c r="AK275" s="731"/>
      <c r="AZ275" s="128"/>
      <c r="BA275" s="11"/>
      <c r="BD275" s="233"/>
      <c r="BE275" s="530"/>
      <c r="BG275" s="530"/>
      <c r="BH275" s="530"/>
      <c r="BI275" s="530"/>
      <c r="BJ275" s="530"/>
      <c r="BK275" s="530"/>
      <c r="BL275" s="530"/>
      <c r="BM275" s="530"/>
      <c r="BN275" s="530"/>
      <c r="BO275" s="530"/>
      <c r="BR275" s="661"/>
    </row>
    <row r="276" spans="37:70" x14ac:dyDescent="0.3">
      <c r="AK276" s="731"/>
      <c r="AZ276" s="128"/>
      <c r="BA276" s="11"/>
      <c r="BD276" s="233"/>
      <c r="BE276" s="530"/>
      <c r="BG276" s="530"/>
      <c r="BH276" s="530"/>
      <c r="BI276" s="530"/>
      <c r="BJ276" s="530"/>
      <c r="BK276" s="530"/>
      <c r="BL276" s="530"/>
      <c r="BM276" s="530"/>
      <c r="BN276" s="530"/>
      <c r="BO276" s="530"/>
      <c r="BR276" s="661"/>
    </row>
    <row r="277" spans="37:70" x14ac:dyDescent="0.3">
      <c r="AK277" s="731"/>
      <c r="AZ277" s="128"/>
      <c r="BA277" s="11"/>
      <c r="BD277" s="233"/>
      <c r="BE277" s="530"/>
      <c r="BG277" s="530"/>
      <c r="BH277" s="530"/>
      <c r="BI277" s="530"/>
      <c r="BJ277" s="530"/>
      <c r="BK277" s="530"/>
      <c r="BL277" s="530"/>
      <c r="BM277" s="530"/>
      <c r="BN277" s="530"/>
      <c r="BO277" s="530"/>
      <c r="BR277" s="661"/>
    </row>
    <row r="278" spans="37:70" x14ac:dyDescent="0.3">
      <c r="AK278" s="731"/>
      <c r="AZ278" s="128"/>
      <c r="BA278" s="11"/>
      <c r="BD278" s="233"/>
      <c r="BE278" s="530"/>
      <c r="BG278" s="530"/>
      <c r="BH278" s="530"/>
      <c r="BI278" s="530"/>
      <c r="BJ278" s="530"/>
      <c r="BK278" s="530"/>
      <c r="BL278" s="530"/>
      <c r="BM278" s="530"/>
      <c r="BN278" s="530"/>
      <c r="BO278" s="530"/>
      <c r="BR278" s="661"/>
    </row>
    <row r="279" spans="37:70" x14ac:dyDescent="0.3">
      <c r="AK279" s="731"/>
      <c r="AZ279" s="128"/>
      <c r="BA279" s="11"/>
      <c r="BD279" s="233"/>
      <c r="BE279" s="530"/>
      <c r="BG279" s="530"/>
      <c r="BH279" s="530"/>
      <c r="BI279" s="530"/>
      <c r="BJ279" s="530"/>
      <c r="BK279" s="530"/>
      <c r="BL279" s="530"/>
      <c r="BM279" s="530"/>
      <c r="BN279" s="530"/>
      <c r="BO279" s="530"/>
      <c r="BR279" s="661"/>
    </row>
    <row r="280" spans="37:70" x14ac:dyDescent="0.3">
      <c r="AK280" s="731"/>
      <c r="AZ280" s="128"/>
      <c r="BA280" s="11"/>
      <c r="BD280" s="233"/>
      <c r="BE280" s="530"/>
      <c r="BG280" s="530"/>
      <c r="BH280" s="530"/>
      <c r="BI280" s="530"/>
      <c r="BJ280" s="530"/>
      <c r="BK280" s="530"/>
      <c r="BL280" s="530"/>
      <c r="BM280" s="530"/>
      <c r="BN280" s="530"/>
      <c r="BO280" s="530"/>
      <c r="BR280" s="661"/>
    </row>
    <row r="281" spans="37:70" x14ac:dyDescent="0.3">
      <c r="AK281" s="731"/>
      <c r="AZ281" s="128"/>
      <c r="BA281" s="11"/>
      <c r="BD281" s="233"/>
      <c r="BE281" s="530"/>
      <c r="BG281" s="530"/>
      <c r="BH281" s="530"/>
      <c r="BI281" s="530"/>
      <c r="BJ281" s="530"/>
      <c r="BK281" s="530"/>
      <c r="BL281" s="530"/>
      <c r="BM281" s="530"/>
      <c r="BN281" s="530"/>
      <c r="BO281" s="530"/>
      <c r="BR281" s="661"/>
    </row>
    <row r="282" spans="37:70" x14ac:dyDescent="0.3">
      <c r="AK282" s="731"/>
      <c r="AZ282" s="128"/>
      <c r="BA282" s="11"/>
      <c r="BD282" s="233"/>
      <c r="BE282" s="530"/>
      <c r="BG282" s="530"/>
      <c r="BH282" s="530"/>
      <c r="BI282" s="530"/>
      <c r="BJ282" s="530"/>
      <c r="BK282" s="530"/>
      <c r="BL282" s="530"/>
      <c r="BM282" s="530"/>
      <c r="BN282" s="530"/>
      <c r="BO282" s="530"/>
      <c r="BR282" s="661"/>
    </row>
    <row r="283" spans="37:70" x14ac:dyDescent="0.3">
      <c r="AK283" s="731"/>
      <c r="AZ283" s="128"/>
      <c r="BA283" s="11"/>
      <c r="BD283" s="233"/>
      <c r="BE283" s="530"/>
      <c r="BG283" s="530"/>
      <c r="BH283" s="530"/>
      <c r="BI283" s="530"/>
      <c r="BJ283" s="530"/>
      <c r="BK283" s="530"/>
      <c r="BL283" s="530"/>
      <c r="BM283" s="530"/>
      <c r="BN283" s="530"/>
      <c r="BO283" s="530"/>
      <c r="BR283" s="661"/>
    </row>
    <row r="284" spans="37:70" x14ac:dyDescent="0.3">
      <c r="AK284" s="731"/>
      <c r="AZ284" s="128"/>
      <c r="BA284" s="11"/>
      <c r="BD284" s="233"/>
      <c r="BE284" s="530"/>
      <c r="BG284" s="530"/>
      <c r="BH284" s="530"/>
      <c r="BI284" s="530"/>
      <c r="BJ284" s="530"/>
      <c r="BK284" s="530"/>
      <c r="BL284" s="530"/>
      <c r="BM284" s="530"/>
      <c r="BN284" s="530"/>
      <c r="BO284" s="530"/>
      <c r="BR284" s="661"/>
    </row>
    <row r="285" spans="37:70" x14ac:dyDescent="0.3">
      <c r="AK285" s="731"/>
      <c r="AZ285" s="128"/>
      <c r="BA285" s="11"/>
      <c r="BD285" s="233"/>
      <c r="BE285" s="530"/>
      <c r="BG285" s="530"/>
      <c r="BH285" s="530"/>
      <c r="BI285" s="530"/>
      <c r="BJ285" s="530"/>
      <c r="BK285" s="530"/>
      <c r="BL285" s="530"/>
      <c r="BM285" s="530"/>
      <c r="BN285" s="530"/>
      <c r="BO285" s="530"/>
      <c r="BR285" s="661"/>
    </row>
    <row r="286" spans="37:70" x14ac:dyDescent="0.3">
      <c r="AK286" s="731"/>
      <c r="AZ286" s="128"/>
      <c r="BA286" s="11"/>
      <c r="BD286" s="233"/>
      <c r="BE286" s="530"/>
      <c r="BG286" s="530"/>
      <c r="BH286" s="530"/>
      <c r="BI286" s="530"/>
      <c r="BJ286" s="530"/>
      <c r="BK286" s="530"/>
      <c r="BL286" s="530"/>
      <c r="BM286" s="530"/>
      <c r="BN286" s="530"/>
      <c r="BO286" s="530"/>
      <c r="BR286" s="661"/>
    </row>
    <row r="287" spans="37:70" x14ac:dyDescent="0.3">
      <c r="AK287" s="731"/>
      <c r="AZ287" s="128"/>
      <c r="BA287" s="11"/>
      <c r="BD287" s="233"/>
      <c r="BE287" s="530"/>
      <c r="BG287" s="530"/>
      <c r="BH287" s="530"/>
      <c r="BI287" s="530"/>
      <c r="BJ287" s="530"/>
      <c r="BK287" s="530"/>
      <c r="BL287" s="530"/>
      <c r="BM287" s="530"/>
      <c r="BN287" s="530"/>
      <c r="BO287" s="530"/>
      <c r="BR287" s="661"/>
    </row>
    <row r="288" spans="37:70" x14ac:dyDescent="0.3">
      <c r="AK288" s="731"/>
      <c r="AZ288" s="128"/>
      <c r="BA288" s="11"/>
      <c r="BD288" s="233"/>
      <c r="BE288" s="530"/>
      <c r="BG288" s="530"/>
      <c r="BH288" s="530"/>
      <c r="BI288" s="530"/>
      <c r="BJ288" s="530"/>
      <c r="BK288" s="530"/>
      <c r="BL288" s="530"/>
      <c r="BM288" s="530"/>
      <c r="BN288" s="530"/>
      <c r="BO288" s="530"/>
      <c r="BR288" s="661"/>
    </row>
    <row r="289" spans="37:70" x14ac:dyDescent="0.3">
      <c r="AK289" s="731"/>
      <c r="AZ289" s="128"/>
      <c r="BA289" s="11"/>
      <c r="BD289" s="233"/>
      <c r="BE289" s="530"/>
      <c r="BG289" s="530"/>
      <c r="BH289" s="530"/>
      <c r="BI289" s="530"/>
      <c r="BJ289" s="530"/>
      <c r="BK289" s="530"/>
      <c r="BL289" s="530"/>
      <c r="BM289" s="530"/>
      <c r="BN289" s="530"/>
      <c r="BO289" s="530"/>
      <c r="BR289" s="661"/>
    </row>
    <row r="290" spans="37:70" x14ac:dyDescent="0.3">
      <c r="AK290" s="731"/>
      <c r="AZ290" s="128"/>
      <c r="BA290" s="11"/>
      <c r="BD290" s="233"/>
      <c r="BE290" s="530"/>
      <c r="BG290" s="530"/>
      <c r="BH290" s="530"/>
      <c r="BI290" s="530"/>
      <c r="BJ290" s="530"/>
      <c r="BK290" s="530"/>
      <c r="BL290" s="530"/>
      <c r="BM290" s="530"/>
      <c r="BN290" s="530"/>
      <c r="BO290" s="530"/>
      <c r="BR290" s="661"/>
    </row>
    <row r="291" spans="37:70" x14ac:dyDescent="0.3">
      <c r="AK291" s="731"/>
      <c r="AZ291" s="128"/>
      <c r="BA291" s="11"/>
      <c r="BD291" s="233"/>
      <c r="BE291" s="530"/>
      <c r="BG291" s="530"/>
      <c r="BH291" s="530"/>
      <c r="BI291" s="530"/>
      <c r="BJ291" s="530"/>
      <c r="BK291" s="530"/>
      <c r="BL291" s="530"/>
      <c r="BM291" s="530"/>
      <c r="BN291" s="530"/>
      <c r="BO291" s="530"/>
      <c r="BR291" s="661"/>
    </row>
    <row r="292" spans="37:70" x14ac:dyDescent="0.3">
      <c r="AK292" s="731"/>
      <c r="AZ292" s="128"/>
      <c r="BA292" s="11"/>
      <c r="BD292" s="233"/>
      <c r="BE292" s="530"/>
      <c r="BG292" s="530"/>
      <c r="BH292" s="530"/>
      <c r="BI292" s="530"/>
      <c r="BJ292" s="530"/>
      <c r="BK292" s="530"/>
      <c r="BL292" s="530"/>
      <c r="BM292" s="530"/>
      <c r="BN292" s="530"/>
      <c r="BO292" s="530"/>
      <c r="BR292" s="661"/>
    </row>
    <row r="293" spans="37:70" x14ac:dyDescent="0.3">
      <c r="AK293" s="731"/>
      <c r="AZ293" s="128"/>
      <c r="BA293" s="11"/>
      <c r="BD293" s="233"/>
      <c r="BE293" s="530"/>
      <c r="BG293" s="530"/>
      <c r="BH293" s="530"/>
      <c r="BI293" s="530"/>
      <c r="BJ293" s="530"/>
      <c r="BK293" s="530"/>
      <c r="BL293" s="530"/>
      <c r="BM293" s="530"/>
      <c r="BN293" s="530"/>
      <c r="BO293" s="530"/>
      <c r="BR293" s="661"/>
    </row>
    <row r="294" spans="37:70" x14ac:dyDescent="0.3">
      <c r="AK294" s="731"/>
      <c r="AZ294" s="128"/>
      <c r="BA294" s="11"/>
      <c r="BD294" s="233"/>
      <c r="BE294" s="530"/>
      <c r="BG294" s="530"/>
      <c r="BH294" s="530"/>
      <c r="BI294" s="530"/>
      <c r="BJ294" s="530"/>
      <c r="BK294" s="530"/>
      <c r="BL294" s="530"/>
      <c r="BM294" s="530"/>
      <c r="BN294" s="530"/>
      <c r="BO294" s="530"/>
      <c r="BR294" s="661"/>
    </row>
    <row r="295" spans="37:70" x14ac:dyDescent="0.3">
      <c r="AK295" s="731"/>
      <c r="AZ295" s="128"/>
      <c r="BA295" s="11"/>
      <c r="BD295" s="233"/>
      <c r="BE295" s="530"/>
      <c r="BG295" s="530"/>
      <c r="BH295" s="530"/>
      <c r="BI295" s="530"/>
      <c r="BJ295" s="530"/>
      <c r="BK295" s="530"/>
      <c r="BL295" s="530"/>
      <c r="BM295" s="530"/>
      <c r="BN295" s="530"/>
      <c r="BO295" s="530"/>
      <c r="BR295" s="661"/>
    </row>
    <row r="296" spans="37:70" x14ac:dyDescent="0.3">
      <c r="AK296" s="731"/>
      <c r="AZ296" s="128"/>
      <c r="BA296" s="11"/>
      <c r="BD296" s="233"/>
      <c r="BE296" s="530"/>
      <c r="BG296" s="530"/>
      <c r="BH296" s="530"/>
      <c r="BI296" s="530"/>
      <c r="BJ296" s="530"/>
      <c r="BK296" s="530"/>
      <c r="BL296" s="530"/>
      <c r="BM296" s="530"/>
      <c r="BN296" s="530"/>
      <c r="BO296" s="530"/>
      <c r="BR296" s="661"/>
    </row>
    <row r="297" spans="37:70" x14ac:dyDescent="0.3">
      <c r="AK297" s="731"/>
      <c r="AZ297" s="128"/>
      <c r="BA297" s="11"/>
      <c r="BD297" s="233"/>
      <c r="BE297" s="530"/>
      <c r="BG297" s="530"/>
      <c r="BH297" s="530"/>
      <c r="BI297" s="530"/>
      <c r="BJ297" s="530"/>
      <c r="BK297" s="530"/>
      <c r="BL297" s="530"/>
      <c r="BM297" s="530"/>
      <c r="BN297" s="530"/>
      <c r="BO297" s="530"/>
      <c r="BR297" s="661"/>
    </row>
    <row r="298" spans="37:70" x14ac:dyDescent="0.3">
      <c r="AK298" s="731"/>
      <c r="AZ298" s="128"/>
      <c r="BA298" s="11"/>
      <c r="BD298" s="233"/>
      <c r="BE298" s="530"/>
      <c r="BG298" s="530"/>
      <c r="BH298" s="530"/>
      <c r="BI298" s="530"/>
      <c r="BJ298" s="530"/>
      <c r="BK298" s="530"/>
      <c r="BL298" s="530"/>
      <c r="BM298" s="530"/>
      <c r="BN298" s="530"/>
      <c r="BO298" s="530"/>
      <c r="BR298" s="661"/>
    </row>
    <row r="299" spans="37:70" x14ac:dyDescent="0.3">
      <c r="AK299" s="731"/>
      <c r="AZ299" s="128"/>
      <c r="BA299" s="11"/>
      <c r="BD299" s="233"/>
      <c r="BE299" s="530"/>
      <c r="BG299" s="530"/>
      <c r="BH299" s="530"/>
      <c r="BI299" s="530"/>
      <c r="BJ299" s="530"/>
      <c r="BK299" s="530"/>
      <c r="BL299" s="530"/>
      <c r="BM299" s="530"/>
      <c r="BN299" s="530"/>
      <c r="BO299" s="530"/>
      <c r="BR299" s="661"/>
    </row>
    <row r="300" spans="37:70" x14ac:dyDescent="0.3">
      <c r="AK300" s="731"/>
      <c r="AZ300" s="128"/>
      <c r="BA300" s="11"/>
      <c r="BD300" s="233"/>
      <c r="BE300" s="530"/>
      <c r="BG300" s="530"/>
      <c r="BH300" s="530"/>
      <c r="BI300" s="530"/>
      <c r="BJ300" s="530"/>
      <c r="BK300" s="530"/>
      <c r="BL300" s="530"/>
      <c r="BM300" s="530"/>
      <c r="BN300" s="530"/>
      <c r="BO300" s="530"/>
      <c r="BR300" s="661"/>
    </row>
    <row r="301" spans="37:70" x14ac:dyDescent="0.3">
      <c r="AK301" s="731"/>
      <c r="AZ301" s="128"/>
      <c r="BA301" s="11"/>
      <c r="BD301" s="233"/>
      <c r="BE301" s="530"/>
      <c r="BG301" s="530"/>
      <c r="BH301" s="530"/>
      <c r="BI301" s="530"/>
      <c r="BJ301" s="530"/>
      <c r="BK301" s="530"/>
      <c r="BL301" s="530"/>
      <c r="BM301" s="530"/>
      <c r="BN301" s="530"/>
      <c r="BO301" s="530"/>
      <c r="BR301" s="661"/>
    </row>
    <row r="302" spans="37:70" x14ac:dyDescent="0.3">
      <c r="AK302" s="731"/>
      <c r="AZ302" s="128"/>
      <c r="BA302" s="11"/>
      <c r="BD302" s="233"/>
      <c r="BE302" s="530"/>
      <c r="BG302" s="530"/>
      <c r="BH302" s="530"/>
      <c r="BI302" s="530"/>
      <c r="BJ302" s="530"/>
      <c r="BK302" s="530"/>
      <c r="BL302" s="530"/>
      <c r="BM302" s="530"/>
      <c r="BN302" s="530"/>
      <c r="BO302" s="530"/>
      <c r="BR302" s="661"/>
    </row>
    <row r="303" spans="37:70" x14ac:dyDescent="0.3">
      <c r="AK303" s="731"/>
      <c r="AZ303" s="128"/>
      <c r="BA303" s="11"/>
      <c r="BD303" s="233"/>
      <c r="BE303" s="530"/>
      <c r="BG303" s="530"/>
      <c r="BH303" s="530"/>
      <c r="BI303" s="530"/>
      <c r="BJ303" s="530"/>
      <c r="BK303" s="530"/>
      <c r="BL303" s="530"/>
      <c r="BM303" s="530"/>
      <c r="BN303" s="530"/>
      <c r="BO303" s="530"/>
      <c r="BR303" s="661"/>
    </row>
    <row r="304" spans="37:70" x14ac:dyDescent="0.3">
      <c r="AK304" s="731"/>
      <c r="AZ304" s="128"/>
      <c r="BA304" s="11"/>
      <c r="BD304" s="233"/>
      <c r="BE304" s="530"/>
      <c r="BG304" s="530"/>
      <c r="BH304" s="530"/>
      <c r="BI304" s="530"/>
      <c r="BJ304" s="530"/>
      <c r="BK304" s="530"/>
      <c r="BL304" s="530"/>
      <c r="BM304" s="530"/>
      <c r="BN304" s="530"/>
      <c r="BO304" s="530"/>
      <c r="BR304" s="661"/>
    </row>
    <row r="305" spans="37:70" x14ac:dyDescent="0.3">
      <c r="AK305" s="731"/>
      <c r="AZ305" s="128"/>
      <c r="BA305" s="11"/>
      <c r="BD305" s="233"/>
      <c r="BE305" s="530"/>
      <c r="BG305" s="530"/>
      <c r="BH305" s="530"/>
      <c r="BI305" s="530"/>
      <c r="BJ305" s="530"/>
      <c r="BK305" s="530"/>
      <c r="BL305" s="530"/>
      <c r="BM305" s="530"/>
      <c r="BN305" s="530"/>
      <c r="BO305" s="530"/>
      <c r="BR305" s="661"/>
    </row>
    <row r="306" spans="37:70" x14ac:dyDescent="0.3">
      <c r="AK306" s="731"/>
      <c r="AZ306" s="128"/>
      <c r="BA306" s="11"/>
      <c r="BD306" s="233"/>
      <c r="BE306" s="530"/>
      <c r="BG306" s="530"/>
      <c r="BH306" s="530"/>
      <c r="BI306" s="530"/>
      <c r="BJ306" s="530"/>
      <c r="BK306" s="530"/>
      <c r="BL306" s="530"/>
      <c r="BM306" s="530"/>
      <c r="BN306" s="530"/>
      <c r="BO306" s="530"/>
      <c r="BR306" s="661"/>
    </row>
    <row r="307" spans="37:70" x14ac:dyDescent="0.3">
      <c r="AK307" s="731"/>
      <c r="AZ307" s="128"/>
      <c r="BA307" s="11"/>
      <c r="BD307" s="233"/>
      <c r="BE307" s="530"/>
      <c r="BG307" s="530"/>
      <c r="BH307" s="530"/>
      <c r="BI307" s="530"/>
      <c r="BJ307" s="530"/>
      <c r="BK307" s="530"/>
      <c r="BL307" s="530"/>
      <c r="BM307" s="530"/>
      <c r="BN307" s="530"/>
      <c r="BO307" s="530"/>
      <c r="BR307" s="661"/>
    </row>
    <row r="308" spans="37:70" x14ac:dyDescent="0.3">
      <c r="AK308" s="731"/>
      <c r="AZ308" s="128"/>
      <c r="BA308" s="11"/>
      <c r="BD308" s="233"/>
      <c r="BE308" s="530"/>
      <c r="BG308" s="530"/>
      <c r="BH308" s="530"/>
      <c r="BI308" s="530"/>
      <c r="BJ308" s="530"/>
      <c r="BK308" s="530"/>
      <c r="BL308" s="530"/>
      <c r="BM308" s="530"/>
      <c r="BN308" s="530"/>
      <c r="BO308" s="530"/>
      <c r="BR308" s="661"/>
    </row>
    <row r="309" spans="37:70" x14ac:dyDescent="0.3">
      <c r="AK309" s="731"/>
      <c r="AZ309" s="128"/>
      <c r="BA309" s="11"/>
      <c r="BD309" s="233"/>
      <c r="BE309" s="530"/>
      <c r="BG309" s="530"/>
      <c r="BH309" s="530"/>
      <c r="BI309" s="530"/>
      <c r="BJ309" s="530"/>
      <c r="BK309" s="530"/>
      <c r="BL309" s="530"/>
      <c r="BM309" s="530"/>
      <c r="BN309" s="530"/>
      <c r="BO309" s="530"/>
      <c r="BR309" s="661"/>
    </row>
    <row r="310" spans="37:70" x14ac:dyDescent="0.3">
      <c r="AK310" s="731"/>
      <c r="AZ310" s="128"/>
      <c r="BA310" s="11"/>
      <c r="BD310" s="233"/>
      <c r="BE310" s="530"/>
      <c r="BG310" s="530"/>
      <c r="BH310" s="530"/>
      <c r="BI310" s="530"/>
      <c r="BJ310" s="530"/>
      <c r="BK310" s="530"/>
      <c r="BL310" s="530"/>
      <c r="BM310" s="530"/>
      <c r="BN310" s="530"/>
      <c r="BO310" s="530"/>
      <c r="BR310" s="661"/>
    </row>
    <row r="311" spans="37:70" x14ac:dyDescent="0.3">
      <c r="AK311" s="731"/>
      <c r="AZ311" s="128"/>
      <c r="BA311" s="11"/>
      <c r="BD311" s="233"/>
      <c r="BE311" s="530"/>
      <c r="BG311" s="530"/>
      <c r="BH311" s="530"/>
      <c r="BI311" s="530"/>
      <c r="BJ311" s="530"/>
      <c r="BK311" s="530"/>
      <c r="BL311" s="530"/>
      <c r="BM311" s="530"/>
      <c r="BN311" s="530"/>
      <c r="BO311" s="530"/>
      <c r="BR311" s="661"/>
    </row>
    <row r="312" spans="37:70" x14ac:dyDescent="0.3">
      <c r="AK312" s="731"/>
      <c r="AZ312" s="128"/>
      <c r="BA312" s="11"/>
      <c r="BD312" s="233"/>
      <c r="BE312" s="530"/>
      <c r="BG312" s="530"/>
      <c r="BH312" s="530"/>
      <c r="BI312" s="530"/>
      <c r="BJ312" s="530"/>
      <c r="BK312" s="530"/>
      <c r="BL312" s="530"/>
      <c r="BM312" s="530"/>
      <c r="BN312" s="530"/>
      <c r="BO312" s="530"/>
      <c r="BR312" s="661"/>
    </row>
    <row r="313" spans="37:70" x14ac:dyDescent="0.3">
      <c r="AK313" s="731"/>
      <c r="AZ313" s="128"/>
      <c r="BA313" s="11"/>
      <c r="BD313" s="233"/>
      <c r="BE313" s="530"/>
      <c r="BG313" s="530"/>
      <c r="BH313" s="530"/>
      <c r="BI313" s="530"/>
      <c r="BJ313" s="530"/>
      <c r="BK313" s="530"/>
      <c r="BL313" s="530"/>
      <c r="BM313" s="530"/>
      <c r="BN313" s="530"/>
      <c r="BO313" s="530"/>
      <c r="BR313" s="661"/>
    </row>
    <row r="314" spans="37:70" x14ac:dyDescent="0.3">
      <c r="AK314" s="731"/>
      <c r="AZ314" s="128"/>
      <c r="BA314" s="11"/>
      <c r="BD314" s="233"/>
      <c r="BE314" s="530"/>
      <c r="BG314" s="530"/>
      <c r="BH314" s="530"/>
      <c r="BI314" s="530"/>
      <c r="BJ314" s="530"/>
      <c r="BK314" s="530"/>
      <c r="BL314" s="530"/>
      <c r="BM314" s="530"/>
      <c r="BN314" s="530"/>
      <c r="BO314" s="530"/>
      <c r="BR314" s="661"/>
    </row>
    <row r="315" spans="37:70" x14ac:dyDescent="0.3">
      <c r="AK315" s="731"/>
      <c r="AZ315" s="128"/>
      <c r="BA315" s="11"/>
      <c r="BD315" s="233"/>
      <c r="BE315" s="530"/>
      <c r="BG315" s="530"/>
      <c r="BH315" s="530"/>
      <c r="BI315" s="530"/>
      <c r="BJ315" s="530"/>
      <c r="BK315" s="530"/>
      <c r="BL315" s="530"/>
      <c r="BM315" s="530"/>
      <c r="BN315" s="530"/>
      <c r="BO315" s="530"/>
      <c r="BR315" s="661"/>
    </row>
    <row r="316" spans="37:70" x14ac:dyDescent="0.3">
      <c r="AK316" s="731"/>
      <c r="AZ316" s="128"/>
      <c r="BA316" s="11"/>
      <c r="BD316" s="233"/>
      <c r="BE316" s="530"/>
      <c r="BG316" s="530"/>
      <c r="BH316" s="530"/>
      <c r="BI316" s="530"/>
      <c r="BJ316" s="530"/>
      <c r="BK316" s="530"/>
      <c r="BL316" s="530"/>
      <c r="BM316" s="530"/>
      <c r="BN316" s="530"/>
      <c r="BO316" s="530"/>
      <c r="BR316" s="661"/>
    </row>
    <row r="317" spans="37:70" x14ac:dyDescent="0.3">
      <c r="AK317" s="731"/>
      <c r="AZ317" s="128"/>
      <c r="BA317" s="11"/>
      <c r="BD317" s="233"/>
      <c r="BE317" s="530"/>
      <c r="BG317" s="530"/>
      <c r="BH317" s="530"/>
      <c r="BI317" s="530"/>
      <c r="BJ317" s="530"/>
      <c r="BK317" s="530"/>
      <c r="BL317" s="530"/>
      <c r="BM317" s="530"/>
      <c r="BN317" s="530"/>
      <c r="BO317" s="530"/>
      <c r="BR317" s="661"/>
    </row>
    <row r="318" spans="37:70" x14ac:dyDescent="0.3">
      <c r="AK318" s="731"/>
      <c r="AZ318" s="128"/>
      <c r="BA318" s="11"/>
      <c r="BD318" s="233"/>
      <c r="BE318" s="530"/>
      <c r="BG318" s="530"/>
      <c r="BH318" s="530"/>
      <c r="BI318" s="530"/>
      <c r="BJ318" s="530"/>
      <c r="BK318" s="530"/>
      <c r="BL318" s="530"/>
      <c r="BM318" s="530"/>
      <c r="BN318" s="530"/>
      <c r="BO318" s="530"/>
      <c r="BR318" s="661"/>
    </row>
    <row r="319" spans="37:70" x14ac:dyDescent="0.3">
      <c r="AK319" s="731"/>
      <c r="AZ319" s="128"/>
      <c r="BA319" s="11"/>
      <c r="BD319" s="233"/>
      <c r="BE319" s="530"/>
      <c r="BG319" s="530"/>
      <c r="BH319" s="530"/>
      <c r="BI319" s="530"/>
      <c r="BJ319" s="530"/>
      <c r="BK319" s="530"/>
      <c r="BL319" s="530"/>
      <c r="BM319" s="530"/>
      <c r="BN319" s="530"/>
      <c r="BO319" s="530"/>
      <c r="BR319" s="661"/>
    </row>
    <row r="320" spans="37:70" x14ac:dyDescent="0.3">
      <c r="AK320" s="731"/>
      <c r="AZ320" s="128"/>
      <c r="BA320" s="11"/>
      <c r="BD320" s="233"/>
      <c r="BE320" s="530"/>
      <c r="BG320" s="530"/>
      <c r="BH320" s="530"/>
      <c r="BI320" s="530"/>
      <c r="BJ320" s="530"/>
      <c r="BK320" s="530"/>
      <c r="BL320" s="530"/>
      <c r="BM320" s="530"/>
      <c r="BN320" s="530"/>
      <c r="BO320" s="530"/>
      <c r="BR320" s="661"/>
    </row>
    <row r="321" spans="37:70" x14ac:dyDescent="0.3">
      <c r="AK321" s="731"/>
      <c r="AZ321" s="128"/>
      <c r="BA321" s="11"/>
      <c r="BD321" s="233"/>
      <c r="BE321" s="530"/>
      <c r="BG321" s="530"/>
      <c r="BH321" s="530"/>
      <c r="BI321" s="530"/>
      <c r="BJ321" s="530"/>
      <c r="BK321" s="530"/>
      <c r="BL321" s="530"/>
      <c r="BM321" s="530"/>
      <c r="BN321" s="530"/>
      <c r="BO321" s="530"/>
      <c r="BR321" s="661"/>
    </row>
    <row r="322" spans="37:70" x14ac:dyDescent="0.3">
      <c r="AK322" s="731"/>
      <c r="AZ322" s="128"/>
      <c r="BA322" s="11"/>
      <c r="BD322" s="233"/>
      <c r="BE322" s="530"/>
      <c r="BG322" s="530"/>
      <c r="BH322" s="530"/>
      <c r="BI322" s="530"/>
      <c r="BJ322" s="530"/>
      <c r="BK322" s="530"/>
      <c r="BL322" s="530"/>
      <c r="BM322" s="530"/>
      <c r="BN322" s="530"/>
      <c r="BO322" s="530"/>
      <c r="BR322" s="661"/>
    </row>
    <row r="323" spans="37:70" x14ac:dyDescent="0.3">
      <c r="AK323" s="731"/>
      <c r="AZ323" s="128"/>
      <c r="BA323" s="11"/>
      <c r="BD323" s="233"/>
      <c r="BE323" s="530"/>
      <c r="BG323" s="530"/>
      <c r="BH323" s="530"/>
      <c r="BI323" s="530"/>
      <c r="BJ323" s="530"/>
      <c r="BK323" s="530"/>
      <c r="BL323" s="530"/>
      <c r="BM323" s="530"/>
      <c r="BN323" s="530"/>
      <c r="BO323" s="530"/>
      <c r="BR323" s="661"/>
    </row>
    <row r="324" spans="37:70" x14ac:dyDescent="0.3">
      <c r="AK324" s="731"/>
      <c r="AZ324" s="128"/>
      <c r="BA324" s="11"/>
      <c r="BD324" s="233"/>
      <c r="BE324" s="530"/>
      <c r="BG324" s="530"/>
      <c r="BH324" s="530"/>
      <c r="BI324" s="530"/>
      <c r="BJ324" s="530"/>
      <c r="BK324" s="530"/>
      <c r="BL324" s="530"/>
      <c r="BM324" s="530"/>
      <c r="BN324" s="530"/>
      <c r="BO324" s="530"/>
      <c r="BR324" s="661"/>
    </row>
    <row r="325" spans="37:70" x14ac:dyDescent="0.3">
      <c r="AK325" s="731"/>
      <c r="AZ325" s="128"/>
      <c r="BA325" s="11"/>
      <c r="BD325" s="233"/>
      <c r="BE325" s="530"/>
      <c r="BG325" s="530"/>
      <c r="BH325" s="530"/>
      <c r="BI325" s="530"/>
      <c r="BJ325" s="530"/>
      <c r="BK325" s="530"/>
      <c r="BL325" s="530"/>
      <c r="BM325" s="530"/>
      <c r="BN325" s="530"/>
      <c r="BO325" s="530"/>
      <c r="BR325" s="661"/>
    </row>
    <row r="326" spans="37:70" x14ac:dyDescent="0.3">
      <c r="AK326" s="731"/>
      <c r="AZ326" s="128"/>
      <c r="BA326" s="11"/>
      <c r="BD326" s="233"/>
      <c r="BE326" s="530"/>
      <c r="BG326" s="530"/>
      <c r="BH326" s="530"/>
      <c r="BI326" s="530"/>
      <c r="BJ326" s="530"/>
      <c r="BK326" s="530"/>
      <c r="BL326" s="530"/>
      <c r="BM326" s="530"/>
      <c r="BN326" s="530"/>
      <c r="BO326" s="530"/>
      <c r="BR326" s="661"/>
    </row>
    <row r="327" spans="37:70" x14ac:dyDescent="0.3">
      <c r="AK327" s="731"/>
      <c r="AZ327" s="128"/>
      <c r="BA327" s="11"/>
      <c r="BD327" s="233"/>
      <c r="BE327" s="530"/>
      <c r="BG327" s="530"/>
      <c r="BH327" s="530"/>
      <c r="BI327" s="530"/>
      <c r="BJ327" s="530"/>
      <c r="BK327" s="530"/>
      <c r="BL327" s="530"/>
      <c r="BM327" s="530"/>
      <c r="BN327" s="530"/>
      <c r="BO327" s="530"/>
      <c r="BR327" s="661"/>
    </row>
    <row r="328" spans="37:70" x14ac:dyDescent="0.3">
      <c r="AK328" s="731"/>
      <c r="AZ328" s="128"/>
      <c r="BA328" s="11"/>
      <c r="BD328" s="233"/>
      <c r="BE328" s="530"/>
      <c r="BG328" s="530"/>
      <c r="BH328" s="530"/>
      <c r="BI328" s="530"/>
      <c r="BJ328" s="530"/>
      <c r="BK328" s="530"/>
      <c r="BL328" s="530"/>
      <c r="BM328" s="530"/>
      <c r="BN328" s="530"/>
      <c r="BO328" s="530"/>
      <c r="BR328" s="661"/>
    </row>
    <row r="329" spans="37:70" x14ac:dyDescent="0.3">
      <c r="AK329" s="731"/>
      <c r="AZ329" s="128"/>
      <c r="BA329" s="11"/>
      <c r="BD329" s="233"/>
      <c r="BE329" s="530"/>
      <c r="BG329" s="530"/>
      <c r="BH329" s="530"/>
      <c r="BI329" s="530"/>
      <c r="BJ329" s="530"/>
      <c r="BK329" s="530"/>
      <c r="BL329" s="530"/>
      <c r="BM329" s="530"/>
      <c r="BN329" s="530"/>
      <c r="BO329" s="530"/>
      <c r="BR329" s="661"/>
    </row>
    <row r="330" spans="37:70" x14ac:dyDescent="0.3">
      <c r="AK330" s="731"/>
      <c r="AZ330" s="128"/>
      <c r="BA330" s="11"/>
      <c r="BD330" s="233"/>
      <c r="BE330" s="530"/>
      <c r="BG330" s="530"/>
      <c r="BH330" s="530"/>
      <c r="BI330" s="530"/>
      <c r="BJ330" s="530"/>
      <c r="BK330" s="530"/>
      <c r="BL330" s="530"/>
      <c r="BM330" s="530"/>
      <c r="BN330" s="530"/>
      <c r="BO330" s="530"/>
      <c r="BR330" s="661"/>
    </row>
    <row r="331" spans="37:70" x14ac:dyDescent="0.3">
      <c r="AK331" s="731"/>
      <c r="AZ331" s="128"/>
      <c r="BA331" s="11"/>
      <c r="BD331" s="233"/>
      <c r="BE331" s="530"/>
      <c r="BG331" s="530"/>
      <c r="BH331" s="530"/>
      <c r="BI331" s="530"/>
      <c r="BJ331" s="530"/>
      <c r="BK331" s="530"/>
      <c r="BL331" s="530"/>
      <c r="BM331" s="530"/>
      <c r="BN331" s="530"/>
      <c r="BO331" s="530"/>
      <c r="BR331" s="661"/>
    </row>
    <row r="332" spans="37:70" x14ac:dyDescent="0.3">
      <c r="AK332" s="731"/>
      <c r="AZ332" s="128"/>
      <c r="BA332" s="11"/>
      <c r="BD332" s="233"/>
      <c r="BE332" s="530"/>
      <c r="BG332" s="530"/>
      <c r="BH332" s="530"/>
      <c r="BI332" s="530"/>
      <c r="BJ332" s="530"/>
      <c r="BK332" s="530"/>
      <c r="BL332" s="530"/>
      <c r="BM332" s="530"/>
      <c r="BN332" s="530"/>
      <c r="BO332" s="530"/>
      <c r="BR332" s="661"/>
    </row>
    <row r="333" spans="37:70" x14ac:dyDescent="0.3">
      <c r="AK333" s="731"/>
      <c r="AZ333" s="128"/>
      <c r="BA333" s="11"/>
      <c r="BD333" s="233"/>
      <c r="BE333" s="530"/>
      <c r="BG333" s="530"/>
      <c r="BH333" s="530"/>
      <c r="BI333" s="530"/>
      <c r="BJ333" s="530"/>
      <c r="BK333" s="530"/>
      <c r="BL333" s="530"/>
      <c r="BM333" s="530"/>
      <c r="BN333" s="530"/>
      <c r="BO333" s="530"/>
      <c r="BR333" s="661"/>
    </row>
    <row r="334" spans="37:70" x14ac:dyDescent="0.3">
      <c r="AK334" s="731"/>
      <c r="AZ334" s="128"/>
      <c r="BA334" s="11"/>
      <c r="BD334" s="233"/>
      <c r="BE334" s="530"/>
      <c r="BG334" s="530"/>
      <c r="BH334" s="530"/>
      <c r="BI334" s="530"/>
      <c r="BJ334" s="530"/>
      <c r="BK334" s="530"/>
      <c r="BL334" s="530"/>
      <c r="BM334" s="530"/>
      <c r="BN334" s="530"/>
      <c r="BO334" s="530"/>
      <c r="BR334" s="661"/>
    </row>
    <row r="335" spans="37:70" x14ac:dyDescent="0.3">
      <c r="AK335" s="731"/>
      <c r="AZ335" s="128"/>
      <c r="BA335" s="11"/>
      <c r="BD335" s="233"/>
      <c r="BE335" s="530"/>
      <c r="BG335" s="530"/>
      <c r="BH335" s="530"/>
      <c r="BI335" s="530"/>
      <c r="BJ335" s="530"/>
      <c r="BK335" s="530"/>
      <c r="BL335" s="530"/>
      <c r="BM335" s="530"/>
      <c r="BN335" s="530"/>
      <c r="BO335" s="530"/>
      <c r="BR335" s="661"/>
    </row>
    <row r="336" spans="37:70" x14ac:dyDescent="0.3">
      <c r="AK336" s="731"/>
      <c r="AZ336" s="128"/>
      <c r="BA336" s="11"/>
      <c r="BD336" s="233"/>
      <c r="BE336" s="530"/>
      <c r="BG336" s="530"/>
      <c r="BH336" s="530"/>
      <c r="BI336" s="530"/>
      <c r="BJ336" s="530"/>
      <c r="BK336" s="530"/>
      <c r="BL336" s="530"/>
      <c r="BM336" s="530"/>
      <c r="BN336" s="530"/>
      <c r="BO336" s="530"/>
      <c r="BR336" s="661"/>
    </row>
    <row r="337" spans="37:70" x14ac:dyDescent="0.3">
      <c r="AK337" s="731"/>
      <c r="AZ337" s="128"/>
      <c r="BA337" s="11"/>
      <c r="BD337" s="233"/>
      <c r="BE337" s="530"/>
      <c r="BG337" s="530"/>
      <c r="BH337" s="530"/>
      <c r="BI337" s="530"/>
      <c r="BJ337" s="530"/>
      <c r="BK337" s="530"/>
      <c r="BL337" s="530"/>
      <c r="BM337" s="530"/>
      <c r="BN337" s="530"/>
      <c r="BO337" s="530"/>
      <c r="BR337" s="661"/>
    </row>
    <row r="338" spans="37:70" x14ac:dyDescent="0.3">
      <c r="AK338" s="731"/>
      <c r="AZ338" s="128"/>
      <c r="BA338" s="11"/>
      <c r="BD338" s="233"/>
      <c r="BE338" s="530"/>
      <c r="BG338" s="530"/>
      <c r="BH338" s="530"/>
      <c r="BI338" s="530"/>
      <c r="BJ338" s="530"/>
      <c r="BK338" s="530"/>
      <c r="BL338" s="530"/>
      <c r="BM338" s="530"/>
      <c r="BN338" s="530"/>
      <c r="BO338" s="530"/>
      <c r="BR338" s="661"/>
    </row>
    <row r="339" spans="37:70" x14ac:dyDescent="0.3">
      <c r="AK339" s="731"/>
      <c r="AZ339" s="128"/>
      <c r="BA339" s="11"/>
      <c r="BD339" s="233"/>
      <c r="BE339" s="530"/>
      <c r="BG339" s="530"/>
      <c r="BH339" s="530"/>
      <c r="BI339" s="530"/>
      <c r="BJ339" s="530"/>
      <c r="BK339" s="530"/>
      <c r="BL339" s="530"/>
      <c r="BM339" s="530"/>
      <c r="BN339" s="530"/>
      <c r="BO339" s="530"/>
      <c r="BR339" s="661"/>
    </row>
    <row r="340" spans="37:70" x14ac:dyDescent="0.3">
      <c r="AK340" s="731"/>
      <c r="AZ340" s="128"/>
      <c r="BA340" s="11"/>
      <c r="BD340" s="233"/>
      <c r="BE340" s="530"/>
      <c r="BG340" s="530"/>
      <c r="BH340" s="530"/>
      <c r="BI340" s="530"/>
      <c r="BJ340" s="530"/>
      <c r="BK340" s="530"/>
      <c r="BL340" s="530"/>
      <c r="BM340" s="530"/>
      <c r="BN340" s="530"/>
      <c r="BO340" s="530"/>
      <c r="BR340" s="661"/>
    </row>
    <row r="341" spans="37:70" x14ac:dyDescent="0.3">
      <c r="AK341" s="731"/>
      <c r="AZ341" s="128"/>
      <c r="BA341" s="11"/>
      <c r="BD341" s="233"/>
      <c r="BE341" s="530"/>
      <c r="BG341" s="530"/>
      <c r="BH341" s="530"/>
      <c r="BI341" s="530"/>
      <c r="BJ341" s="530"/>
      <c r="BK341" s="530"/>
      <c r="BL341" s="530"/>
      <c r="BM341" s="530"/>
      <c r="BN341" s="530"/>
      <c r="BO341" s="530"/>
      <c r="BR341" s="661"/>
    </row>
    <row r="342" spans="37:70" x14ac:dyDescent="0.3">
      <c r="AK342" s="731"/>
      <c r="AZ342" s="128"/>
      <c r="BA342" s="11"/>
      <c r="BD342" s="233"/>
      <c r="BE342" s="530"/>
      <c r="BG342" s="530"/>
      <c r="BH342" s="530"/>
      <c r="BI342" s="530"/>
      <c r="BJ342" s="530"/>
      <c r="BK342" s="530"/>
      <c r="BL342" s="530"/>
      <c r="BM342" s="530"/>
      <c r="BN342" s="530"/>
      <c r="BO342" s="530"/>
      <c r="BR342" s="661"/>
    </row>
    <row r="343" spans="37:70" x14ac:dyDescent="0.3">
      <c r="AK343" s="731"/>
      <c r="AZ343" s="128"/>
      <c r="BA343" s="11"/>
      <c r="BD343" s="233"/>
      <c r="BE343" s="530"/>
      <c r="BG343" s="530"/>
      <c r="BH343" s="530"/>
      <c r="BI343" s="530"/>
      <c r="BJ343" s="530"/>
      <c r="BK343" s="530"/>
      <c r="BL343" s="530"/>
      <c r="BM343" s="530"/>
      <c r="BN343" s="530"/>
      <c r="BO343" s="530"/>
      <c r="BR343" s="661"/>
    </row>
    <row r="344" spans="37:70" x14ac:dyDescent="0.3">
      <c r="AK344" s="731"/>
      <c r="AZ344" s="128"/>
      <c r="BA344" s="11"/>
      <c r="BD344" s="233"/>
      <c r="BE344" s="530"/>
      <c r="BG344" s="530"/>
      <c r="BH344" s="530"/>
      <c r="BI344" s="530"/>
      <c r="BJ344" s="530"/>
      <c r="BK344" s="530"/>
      <c r="BL344" s="530"/>
      <c r="BM344" s="530"/>
      <c r="BN344" s="530"/>
      <c r="BO344" s="530"/>
      <c r="BR344" s="661"/>
    </row>
    <row r="345" spans="37:70" x14ac:dyDescent="0.3">
      <c r="AK345" s="731"/>
      <c r="AZ345" s="128"/>
      <c r="BA345" s="11"/>
      <c r="BD345" s="233"/>
      <c r="BE345" s="530"/>
      <c r="BG345" s="530"/>
      <c r="BH345" s="530"/>
      <c r="BI345" s="530"/>
      <c r="BJ345" s="530"/>
      <c r="BK345" s="530"/>
      <c r="BL345" s="530"/>
      <c r="BM345" s="530"/>
      <c r="BN345" s="530"/>
      <c r="BO345" s="530"/>
      <c r="BR345" s="661"/>
    </row>
    <row r="346" spans="37:70" x14ac:dyDescent="0.3">
      <c r="AK346" s="731"/>
      <c r="AZ346" s="128"/>
      <c r="BA346" s="11"/>
      <c r="BD346" s="233"/>
      <c r="BE346" s="530"/>
      <c r="BG346" s="530"/>
      <c r="BH346" s="530"/>
      <c r="BI346" s="530"/>
      <c r="BJ346" s="530"/>
      <c r="BK346" s="530"/>
      <c r="BL346" s="530"/>
      <c r="BM346" s="530"/>
      <c r="BN346" s="530"/>
      <c r="BO346" s="530"/>
      <c r="BR346" s="661"/>
    </row>
    <row r="347" spans="37:70" x14ac:dyDescent="0.3">
      <c r="AK347" s="731"/>
      <c r="AZ347" s="128"/>
      <c r="BA347" s="11"/>
      <c r="BD347" s="233"/>
      <c r="BE347" s="530"/>
      <c r="BG347" s="530"/>
      <c r="BH347" s="530"/>
      <c r="BI347" s="530"/>
      <c r="BJ347" s="530"/>
      <c r="BK347" s="530"/>
      <c r="BL347" s="530"/>
      <c r="BM347" s="530"/>
      <c r="BN347" s="530"/>
      <c r="BO347" s="530"/>
      <c r="BR347" s="661"/>
    </row>
    <row r="348" spans="37:70" x14ac:dyDescent="0.3">
      <c r="AK348" s="731"/>
      <c r="AZ348" s="128"/>
      <c r="BA348" s="11"/>
      <c r="BD348" s="233"/>
      <c r="BE348" s="530"/>
      <c r="BG348" s="530"/>
      <c r="BH348" s="530"/>
      <c r="BI348" s="530"/>
      <c r="BJ348" s="530"/>
      <c r="BK348" s="530"/>
      <c r="BL348" s="530"/>
      <c r="BM348" s="530"/>
      <c r="BN348" s="530"/>
      <c r="BO348" s="530"/>
      <c r="BR348" s="661"/>
    </row>
    <row r="349" spans="37:70" x14ac:dyDescent="0.3">
      <c r="AK349" s="731"/>
      <c r="AZ349" s="128"/>
      <c r="BA349" s="11"/>
      <c r="BD349" s="233"/>
      <c r="BE349" s="530"/>
      <c r="BG349" s="530"/>
      <c r="BH349" s="530"/>
      <c r="BI349" s="530"/>
      <c r="BJ349" s="530"/>
      <c r="BK349" s="530"/>
      <c r="BL349" s="530"/>
      <c r="BM349" s="530"/>
      <c r="BN349" s="530"/>
      <c r="BO349" s="530"/>
      <c r="BR349" s="661"/>
    </row>
    <row r="350" spans="37:70" x14ac:dyDescent="0.3">
      <c r="AK350" s="731"/>
      <c r="AZ350" s="128"/>
      <c r="BA350" s="11"/>
      <c r="BD350" s="233"/>
      <c r="BE350" s="530"/>
      <c r="BG350" s="530"/>
      <c r="BH350" s="530"/>
      <c r="BI350" s="530"/>
      <c r="BJ350" s="530"/>
      <c r="BK350" s="530"/>
      <c r="BL350" s="530"/>
      <c r="BM350" s="530"/>
      <c r="BN350" s="530"/>
      <c r="BO350" s="530"/>
      <c r="BR350" s="661"/>
    </row>
    <row r="351" spans="37:70" x14ac:dyDescent="0.3">
      <c r="AK351" s="731"/>
      <c r="AZ351" s="128"/>
      <c r="BA351" s="11"/>
      <c r="BD351" s="233"/>
      <c r="BE351" s="530"/>
      <c r="BG351" s="530"/>
      <c r="BH351" s="530"/>
      <c r="BI351" s="530"/>
      <c r="BJ351" s="530"/>
      <c r="BK351" s="530"/>
      <c r="BL351" s="530"/>
      <c r="BM351" s="530"/>
      <c r="BN351" s="530"/>
      <c r="BO351" s="530"/>
      <c r="BR351" s="661"/>
    </row>
    <row r="352" spans="37:70" x14ac:dyDescent="0.3">
      <c r="AK352" s="731"/>
      <c r="AZ352" s="128"/>
      <c r="BA352" s="11"/>
      <c r="BD352" s="233"/>
      <c r="BE352" s="530"/>
      <c r="BG352" s="530"/>
      <c r="BH352" s="530"/>
      <c r="BI352" s="530"/>
      <c r="BJ352" s="530"/>
      <c r="BK352" s="530"/>
      <c r="BL352" s="530"/>
      <c r="BM352" s="530"/>
      <c r="BN352" s="530"/>
      <c r="BO352" s="530"/>
      <c r="BR352" s="661"/>
    </row>
    <row r="353" spans="37:70" x14ac:dyDescent="0.3">
      <c r="AK353" s="731"/>
      <c r="AZ353" s="128"/>
      <c r="BA353" s="11"/>
      <c r="BD353" s="233"/>
      <c r="BE353" s="530"/>
      <c r="BG353" s="530"/>
      <c r="BH353" s="530"/>
      <c r="BI353" s="530"/>
      <c r="BJ353" s="530"/>
      <c r="BK353" s="530"/>
      <c r="BL353" s="530"/>
      <c r="BM353" s="530"/>
      <c r="BN353" s="530"/>
      <c r="BO353" s="530"/>
      <c r="BR353" s="661"/>
    </row>
    <row r="354" spans="37:70" x14ac:dyDescent="0.3">
      <c r="AK354" s="731"/>
      <c r="AZ354" s="128"/>
      <c r="BA354" s="11"/>
      <c r="BD354" s="233"/>
      <c r="BE354" s="530"/>
      <c r="BG354" s="530"/>
      <c r="BH354" s="530"/>
      <c r="BI354" s="530"/>
      <c r="BJ354" s="530"/>
      <c r="BK354" s="530"/>
      <c r="BL354" s="530"/>
      <c r="BM354" s="530"/>
      <c r="BN354" s="530"/>
      <c r="BO354" s="530"/>
      <c r="BR354" s="661"/>
    </row>
    <row r="355" spans="37:70" x14ac:dyDescent="0.3">
      <c r="AK355" s="731"/>
      <c r="AZ355" s="128"/>
      <c r="BA355" s="11"/>
      <c r="BD355" s="233"/>
      <c r="BE355" s="530"/>
      <c r="BG355" s="530"/>
      <c r="BH355" s="530"/>
      <c r="BI355" s="530"/>
      <c r="BJ355" s="530"/>
      <c r="BK355" s="530"/>
      <c r="BL355" s="530"/>
      <c r="BM355" s="530"/>
      <c r="BN355" s="530"/>
      <c r="BO355" s="530"/>
      <c r="BR355" s="661"/>
    </row>
    <row r="356" spans="37:70" x14ac:dyDescent="0.3">
      <c r="AK356" s="731"/>
      <c r="AZ356" s="128"/>
      <c r="BA356" s="11"/>
      <c r="BD356" s="233"/>
      <c r="BE356" s="530"/>
      <c r="BG356" s="530"/>
      <c r="BH356" s="530"/>
      <c r="BI356" s="530"/>
      <c r="BJ356" s="530"/>
      <c r="BK356" s="530"/>
      <c r="BL356" s="530"/>
      <c r="BM356" s="530"/>
      <c r="BN356" s="530"/>
      <c r="BO356" s="530"/>
      <c r="BR356" s="661"/>
    </row>
    <row r="357" spans="37:70" x14ac:dyDescent="0.3">
      <c r="AK357" s="731"/>
      <c r="AZ357" s="128"/>
      <c r="BA357" s="11"/>
      <c r="BD357" s="233"/>
      <c r="BE357" s="530"/>
      <c r="BG357" s="530"/>
      <c r="BH357" s="530"/>
      <c r="BI357" s="530"/>
      <c r="BJ357" s="530"/>
      <c r="BK357" s="530"/>
      <c r="BL357" s="530"/>
      <c r="BM357" s="530"/>
      <c r="BN357" s="530"/>
      <c r="BO357" s="530"/>
      <c r="BR357" s="661"/>
    </row>
    <row r="358" spans="37:70" x14ac:dyDescent="0.3">
      <c r="AK358" s="731"/>
      <c r="AZ358" s="128"/>
      <c r="BA358" s="11"/>
      <c r="BD358" s="233"/>
      <c r="BE358" s="530"/>
      <c r="BG358" s="530"/>
      <c r="BH358" s="530"/>
      <c r="BI358" s="530"/>
      <c r="BJ358" s="530"/>
      <c r="BK358" s="530"/>
      <c r="BL358" s="530"/>
      <c r="BM358" s="530"/>
      <c r="BN358" s="530"/>
      <c r="BO358" s="530"/>
      <c r="BR358" s="661"/>
    </row>
    <row r="359" spans="37:70" x14ac:dyDescent="0.3">
      <c r="AK359" s="731"/>
      <c r="AZ359" s="128"/>
      <c r="BA359" s="11"/>
      <c r="BD359" s="233"/>
      <c r="BE359" s="530"/>
      <c r="BG359" s="530"/>
      <c r="BH359" s="530"/>
      <c r="BI359" s="530"/>
      <c r="BJ359" s="530"/>
      <c r="BK359" s="530"/>
      <c r="BL359" s="530"/>
      <c r="BM359" s="530"/>
      <c r="BN359" s="530"/>
      <c r="BO359" s="530"/>
      <c r="BR359" s="661"/>
    </row>
    <row r="360" spans="37:70" x14ac:dyDescent="0.3">
      <c r="AK360" s="731"/>
      <c r="AZ360" s="128"/>
      <c r="BA360" s="11"/>
      <c r="BD360" s="233"/>
      <c r="BE360" s="530"/>
      <c r="BG360" s="530"/>
      <c r="BH360" s="530"/>
      <c r="BI360" s="530"/>
      <c r="BJ360" s="530"/>
      <c r="BK360" s="530"/>
      <c r="BL360" s="530"/>
      <c r="BM360" s="530"/>
      <c r="BN360" s="530"/>
      <c r="BO360" s="530"/>
      <c r="BR360" s="661"/>
    </row>
    <row r="361" spans="37:70" x14ac:dyDescent="0.3">
      <c r="AK361" s="731"/>
      <c r="AZ361" s="128"/>
      <c r="BA361" s="11"/>
      <c r="BD361" s="233"/>
      <c r="BE361" s="530"/>
      <c r="BG361" s="530"/>
      <c r="BH361" s="530"/>
      <c r="BI361" s="530"/>
      <c r="BJ361" s="530"/>
      <c r="BK361" s="530"/>
      <c r="BL361" s="530"/>
      <c r="BM361" s="530"/>
      <c r="BN361" s="530"/>
      <c r="BO361" s="530"/>
      <c r="BR361" s="661"/>
    </row>
    <row r="362" spans="37:70" x14ac:dyDescent="0.3">
      <c r="AK362" s="731"/>
      <c r="AZ362" s="128"/>
      <c r="BA362" s="11"/>
      <c r="BD362" s="233"/>
      <c r="BE362" s="530"/>
      <c r="BG362" s="530"/>
      <c r="BH362" s="530"/>
      <c r="BI362" s="530"/>
      <c r="BJ362" s="530"/>
      <c r="BK362" s="530"/>
      <c r="BL362" s="530"/>
      <c r="BM362" s="530"/>
      <c r="BN362" s="530"/>
      <c r="BO362" s="530"/>
      <c r="BR362" s="661"/>
    </row>
    <row r="363" spans="37:70" x14ac:dyDescent="0.3">
      <c r="AK363" s="731"/>
      <c r="AZ363" s="128"/>
      <c r="BA363" s="11"/>
      <c r="BD363" s="233"/>
      <c r="BE363" s="530"/>
      <c r="BG363" s="530"/>
      <c r="BH363" s="530"/>
      <c r="BI363" s="530"/>
      <c r="BJ363" s="530"/>
      <c r="BK363" s="530"/>
      <c r="BL363" s="530"/>
      <c r="BM363" s="530"/>
      <c r="BN363" s="530"/>
      <c r="BO363" s="530"/>
      <c r="BR363" s="661"/>
    </row>
    <row r="364" spans="37:70" x14ac:dyDescent="0.3">
      <c r="AK364" s="731"/>
      <c r="AZ364" s="128"/>
      <c r="BA364" s="11"/>
      <c r="BD364" s="233"/>
      <c r="BE364" s="530"/>
      <c r="BG364" s="530"/>
      <c r="BH364" s="530"/>
      <c r="BI364" s="530"/>
      <c r="BJ364" s="530"/>
      <c r="BK364" s="530"/>
      <c r="BL364" s="530"/>
      <c r="BM364" s="530"/>
      <c r="BN364" s="530"/>
      <c r="BO364" s="530"/>
      <c r="BR364" s="661"/>
    </row>
    <row r="365" spans="37:70" x14ac:dyDescent="0.3">
      <c r="AK365" s="731"/>
      <c r="AZ365" s="128"/>
      <c r="BA365" s="11"/>
      <c r="BD365" s="233"/>
      <c r="BE365" s="530"/>
      <c r="BG365" s="530"/>
      <c r="BH365" s="530"/>
      <c r="BI365" s="530"/>
      <c r="BJ365" s="530"/>
      <c r="BK365" s="530"/>
      <c r="BL365" s="530"/>
      <c r="BM365" s="530"/>
      <c r="BN365" s="530"/>
      <c r="BO365" s="530"/>
      <c r="BR365" s="661"/>
    </row>
    <row r="366" spans="37:70" x14ac:dyDescent="0.3">
      <c r="AK366" s="731"/>
      <c r="AZ366" s="128"/>
      <c r="BA366" s="11"/>
      <c r="BD366" s="233"/>
      <c r="BE366" s="530"/>
      <c r="BG366" s="530"/>
      <c r="BH366" s="530"/>
      <c r="BI366" s="530"/>
      <c r="BJ366" s="530"/>
      <c r="BK366" s="530"/>
      <c r="BL366" s="530"/>
      <c r="BM366" s="530"/>
      <c r="BN366" s="530"/>
      <c r="BO366" s="530"/>
      <c r="BR366" s="661"/>
    </row>
    <row r="367" spans="37:70" x14ac:dyDescent="0.3">
      <c r="AK367" s="731"/>
      <c r="AZ367" s="128"/>
      <c r="BA367" s="11"/>
      <c r="BD367" s="233"/>
      <c r="BE367" s="530"/>
      <c r="BG367" s="530"/>
      <c r="BH367" s="530"/>
      <c r="BI367" s="530"/>
      <c r="BJ367" s="530"/>
      <c r="BK367" s="530"/>
      <c r="BL367" s="530"/>
      <c r="BM367" s="530"/>
      <c r="BN367" s="530"/>
      <c r="BO367" s="530"/>
      <c r="BR367" s="661"/>
    </row>
    <row r="368" spans="37:70" x14ac:dyDescent="0.3">
      <c r="AK368" s="731"/>
      <c r="AZ368" s="128"/>
      <c r="BA368" s="11"/>
      <c r="BD368" s="233"/>
      <c r="BE368" s="530"/>
      <c r="BG368" s="530"/>
      <c r="BH368" s="530"/>
      <c r="BI368" s="530"/>
      <c r="BJ368" s="530"/>
      <c r="BK368" s="530"/>
      <c r="BL368" s="530"/>
      <c r="BM368" s="530"/>
      <c r="BN368" s="530"/>
      <c r="BO368" s="530"/>
      <c r="BR368" s="661"/>
    </row>
    <row r="369" spans="52:70" x14ac:dyDescent="0.3">
      <c r="AZ369" s="128"/>
      <c r="BA369" s="11"/>
      <c r="BD369" s="233"/>
      <c r="BE369" s="530"/>
      <c r="BG369" s="530"/>
      <c r="BH369" s="530"/>
      <c r="BI369" s="530"/>
      <c r="BJ369" s="530"/>
      <c r="BK369" s="530"/>
      <c r="BL369" s="530"/>
      <c r="BM369" s="530"/>
      <c r="BN369" s="530"/>
      <c r="BO369" s="530"/>
      <c r="BR369" s="661"/>
    </row>
    <row r="370" spans="52:70" x14ac:dyDescent="0.3">
      <c r="AZ370" s="128"/>
      <c r="BA370" s="11"/>
      <c r="BD370" s="233"/>
      <c r="BE370" s="530"/>
      <c r="BG370" s="530"/>
      <c r="BH370" s="530"/>
      <c r="BI370" s="530"/>
      <c r="BJ370" s="530"/>
      <c r="BK370" s="530"/>
      <c r="BL370" s="530"/>
      <c r="BM370" s="530"/>
      <c r="BN370" s="530"/>
      <c r="BO370" s="530"/>
      <c r="BR370" s="661"/>
    </row>
    <row r="371" spans="52:70" x14ac:dyDescent="0.3">
      <c r="AZ371" s="128"/>
      <c r="BA371" s="11"/>
      <c r="BD371" s="233"/>
      <c r="BE371" s="530"/>
      <c r="BG371" s="530"/>
      <c r="BH371" s="530"/>
      <c r="BI371" s="530"/>
      <c r="BJ371" s="530"/>
      <c r="BK371" s="530"/>
      <c r="BL371" s="530"/>
      <c r="BM371" s="530"/>
      <c r="BN371" s="530"/>
      <c r="BO371" s="530"/>
      <c r="BR371" s="661"/>
    </row>
    <row r="372" spans="52:70" x14ac:dyDescent="0.3">
      <c r="AZ372" s="128"/>
      <c r="BA372" s="11"/>
      <c r="BD372" s="233"/>
      <c r="BE372" s="530"/>
      <c r="BG372" s="530"/>
      <c r="BH372" s="530"/>
      <c r="BI372" s="530"/>
      <c r="BJ372" s="530"/>
      <c r="BK372" s="530"/>
      <c r="BL372" s="530"/>
      <c r="BM372" s="530"/>
      <c r="BN372" s="530"/>
      <c r="BO372" s="530"/>
      <c r="BR372" s="661"/>
    </row>
    <row r="373" spans="52:70" x14ac:dyDescent="0.3">
      <c r="AZ373" s="128"/>
      <c r="BA373" s="11"/>
      <c r="BD373" s="233"/>
      <c r="BE373" s="530"/>
      <c r="BG373" s="530"/>
      <c r="BH373" s="530"/>
      <c r="BI373" s="530"/>
      <c r="BJ373" s="530"/>
      <c r="BK373" s="530"/>
      <c r="BL373" s="530"/>
      <c r="BM373" s="530"/>
      <c r="BN373" s="530"/>
      <c r="BO373" s="530"/>
      <c r="BR373" s="661"/>
    </row>
    <row r="374" spans="52:70" x14ac:dyDescent="0.3">
      <c r="AZ374" s="128"/>
      <c r="BA374" s="11"/>
      <c r="BD374" s="233"/>
      <c r="BE374" s="530"/>
      <c r="BG374" s="530"/>
      <c r="BH374" s="530"/>
      <c r="BI374" s="530"/>
      <c r="BJ374" s="530"/>
      <c r="BK374" s="530"/>
      <c r="BL374" s="530"/>
      <c r="BM374" s="530"/>
      <c r="BN374" s="530"/>
      <c r="BO374" s="530"/>
      <c r="BR374" s="661"/>
    </row>
    <row r="375" spans="52:70" x14ac:dyDescent="0.3">
      <c r="AZ375" s="128"/>
      <c r="BA375" s="11"/>
      <c r="BD375" s="233"/>
      <c r="BE375" s="530"/>
      <c r="BG375" s="530"/>
      <c r="BH375" s="530"/>
      <c r="BI375" s="530"/>
      <c r="BJ375" s="530"/>
      <c r="BK375" s="530"/>
      <c r="BL375" s="530"/>
      <c r="BM375" s="530"/>
      <c r="BN375" s="530"/>
      <c r="BO375" s="530"/>
      <c r="BR375" s="661"/>
    </row>
    <row r="376" spans="52:70" x14ac:dyDescent="0.3">
      <c r="AZ376" s="128"/>
      <c r="BA376" s="11"/>
      <c r="BD376" s="233"/>
      <c r="BE376" s="530"/>
      <c r="BG376" s="530"/>
      <c r="BH376" s="530"/>
      <c r="BI376" s="530"/>
      <c r="BJ376" s="530"/>
      <c r="BK376" s="530"/>
      <c r="BL376" s="530"/>
      <c r="BM376" s="530"/>
      <c r="BN376" s="530"/>
      <c r="BO376" s="530"/>
      <c r="BR376" s="661"/>
    </row>
    <row r="377" spans="52:70" x14ac:dyDescent="0.3">
      <c r="AZ377" s="128"/>
      <c r="BA377" s="11"/>
      <c r="BD377" s="233"/>
      <c r="BE377" s="530"/>
      <c r="BG377" s="530"/>
      <c r="BH377" s="530"/>
      <c r="BI377" s="530"/>
      <c r="BJ377" s="530"/>
      <c r="BK377" s="530"/>
      <c r="BL377" s="530"/>
      <c r="BM377" s="530"/>
      <c r="BN377" s="530"/>
      <c r="BO377" s="530"/>
      <c r="BR377" s="661"/>
    </row>
    <row r="378" spans="52:70" x14ac:dyDescent="0.3">
      <c r="AZ378" s="128"/>
      <c r="BA378" s="11"/>
      <c r="BD378" s="233"/>
      <c r="BE378" s="530"/>
      <c r="BG378" s="530"/>
      <c r="BH378" s="530"/>
      <c r="BI378" s="530"/>
      <c r="BJ378" s="530"/>
      <c r="BK378" s="530"/>
      <c r="BL378" s="530"/>
      <c r="BM378" s="530"/>
      <c r="BN378" s="530"/>
      <c r="BO378" s="530"/>
      <c r="BR378" s="661"/>
    </row>
    <row r="379" spans="52:70" x14ac:dyDescent="0.3">
      <c r="AZ379" s="128"/>
      <c r="BA379" s="11"/>
      <c r="BD379" s="233"/>
      <c r="BE379" s="530"/>
      <c r="BG379" s="530"/>
      <c r="BH379" s="530"/>
      <c r="BI379" s="530"/>
      <c r="BJ379" s="530"/>
      <c r="BK379" s="530"/>
      <c r="BL379" s="530"/>
      <c r="BM379" s="530"/>
      <c r="BN379" s="530"/>
      <c r="BO379" s="530"/>
      <c r="BR379" s="661"/>
    </row>
    <row r="380" spans="52:70" x14ac:dyDescent="0.3">
      <c r="AZ380" s="128"/>
      <c r="BA380" s="11"/>
      <c r="BD380" s="233"/>
      <c r="BE380" s="530"/>
      <c r="BG380" s="530"/>
      <c r="BH380" s="530"/>
      <c r="BI380" s="530"/>
      <c r="BJ380" s="530"/>
      <c r="BK380" s="530"/>
      <c r="BL380" s="530"/>
      <c r="BM380" s="530"/>
      <c r="BN380" s="530"/>
      <c r="BO380" s="530"/>
      <c r="BR380" s="661"/>
    </row>
    <row r="381" spans="52:70" x14ac:dyDescent="0.3">
      <c r="AZ381" s="128"/>
      <c r="BA381" s="11"/>
      <c r="BD381" s="233"/>
      <c r="BE381" s="530"/>
      <c r="BG381" s="530"/>
      <c r="BH381" s="530"/>
      <c r="BI381" s="530"/>
      <c r="BJ381" s="530"/>
      <c r="BK381" s="530"/>
      <c r="BL381" s="530"/>
      <c r="BM381" s="530"/>
      <c r="BN381" s="530"/>
      <c r="BO381" s="530"/>
      <c r="BR381" s="661"/>
    </row>
    <row r="382" spans="52:70" x14ac:dyDescent="0.3">
      <c r="AZ382" s="128"/>
      <c r="BA382" s="11"/>
      <c r="BD382" s="233"/>
      <c r="BE382" s="530"/>
      <c r="BG382" s="530"/>
      <c r="BH382" s="530"/>
      <c r="BI382" s="530"/>
      <c r="BJ382" s="530"/>
      <c r="BK382" s="530"/>
      <c r="BL382" s="530"/>
      <c r="BM382" s="530"/>
      <c r="BN382" s="530"/>
      <c r="BO382" s="530"/>
      <c r="BR382" s="661"/>
    </row>
    <row r="383" spans="52:70" x14ac:dyDescent="0.3">
      <c r="AZ383" s="128"/>
      <c r="BA383" s="11"/>
      <c r="BD383" s="233"/>
      <c r="BE383" s="530"/>
      <c r="BG383" s="530"/>
      <c r="BH383" s="530"/>
      <c r="BI383" s="530"/>
      <c r="BJ383" s="530"/>
      <c r="BK383" s="530"/>
      <c r="BL383" s="530"/>
      <c r="BM383" s="530"/>
      <c r="BN383" s="530"/>
      <c r="BO383" s="530"/>
      <c r="BR383" s="661"/>
    </row>
    <row r="384" spans="52:70" x14ac:dyDescent="0.3">
      <c r="AZ384" s="128"/>
      <c r="BA384" s="11"/>
      <c r="BD384" s="233"/>
      <c r="BE384" s="530"/>
      <c r="BG384" s="530"/>
      <c r="BH384" s="530"/>
      <c r="BI384" s="530"/>
      <c r="BJ384" s="530"/>
      <c r="BK384" s="530"/>
      <c r="BL384" s="530"/>
      <c r="BM384" s="530"/>
      <c r="BN384" s="530"/>
      <c r="BO384" s="530"/>
      <c r="BR384" s="661"/>
    </row>
    <row r="385" spans="52:70" x14ac:dyDescent="0.3">
      <c r="AZ385" s="128"/>
      <c r="BA385" s="11"/>
      <c r="BD385" s="233"/>
      <c r="BE385" s="530"/>
      <c r="BG385" s="530"/>
      <c r="BH385" s="530"/>
      <c r="BI385" s="530"/>
      <c r="BJ385" s="530"/>
      <c r="BK385" s="530"/>
      <c r="BL385" s="530"/>
      <c r="BM385" s="530"/>
      <c r="BN385" s="530"/>
      <c r="BO385" s="530"/>
      <c r="BR385" s="661"/>
    </row>
    <row r="386" spans="52:70" x14ac:dyDescent="0.3">
      <c r="AZ386" s="128"/>
      <c r="BA386" s="11"/>
      <c r="BD386" s="233"/>
      <c r="BE386" s="530"/>
      <c r="BG386" s="530"/>
      <c r="BH386" s="530"/>
      <c r="BI386" s="530"/>
      <c r="BJ386" s="530"/>
      <c r="BK386" s="530"/>
      <c r="BL386" s="530"/>
      <c r="BM386" s="530"/>
      <c r="BN386" s="530"/>
      <c r="BO386" s="530"/>
      <c r="BR386" s="661"/>
    </row>
    <row r="387" spans="52:70" x14ac:dyDescent="0.3">
      <c r="AZ387" s="128"/>
      <c r="BA387" s="11"/>
      <c r="BD387" s="233"/>
      <c r="BE387" s="530"/>
      <c r="BG387" s="530"/>
      <c r="BH387" s="530"/>
      <c r="BI387" s="530"/>
      <c r="BJ387" s="530"/>
      <c r="BK387" s="530"/>
      <c r="BL387" s="530"/>
      <c r="BM387" s="530"/>
      <c r="BN387" s="530"/>
      <c r="BO387" s="530"/>
      <c r="BR387" s="661"/>
    </row>
    <row r="388" spans="52:70" x14ac:dyDescent="0.3">
      <c r="AZ388" s="128"/>
      <c r="BA388" s="11"/>
      <c r="BD388" s="233"/>
      <c r="BE388" s="530"/>
      <c r="BG388" s="530"/>
      <c r="BH388" s="530"/>
      <c r="BI388" s="530"/>
      <c r="BJ388" s="530"/>
      <c r="BK388" s="530"/>
      <c r="BL388" s="530"/>
      <c r="BM388" s="530"/>
      <c r="BN388" s="530"/>
      <c r="BO388" s="530"/>
      <c r="BR388" s="661"/>
    </row>
    <row r="389" spans="52:70" x14ac:dyDescent="0.3">
      <c r="AZ389" s="128"/>
      <c r="BA389" s="11"/>
      <c r="BD389" s="233"/>
      <c r="BE389" s="530"/>
      <c r="BG389" s="530"/>
      <c r="BH389" s="530"/>
      <c r="BI389" s="530"/>
      <c r="BJ389" s="530"/>
      <c r="BK389" s="530"/>
      <c r="BL389" s="530"/>
      <c r="BM389" s="530"/>
      <c r="BN389" s="530"/>
      <c r="BO389" s="530"/>
      <c r="BR389" s="661"/>
    </row>
    <row r="390" spans="52:70" x14ac:dyDescent="0.3">
      <c r="AZ390" s="128"/>
      <c r="BA390" s="11"/>
      <c r="BD390" s="233"/>
      <c r="BE390" s="530"/>
      <c r="BG390" s="530"/>
      <c r="BH390" s="530"/>
      <c r="BI390" s="530"/>
      <c r="BJ390" s="530"/>
      <c r="BK390" s="530"/>
      <c r="BL390" s="530"/>
      <c r="BM390" s="530"/>
      <c r="BN390" s="530"/>
      <c r="BO390" s="530"/>
      <c r="BR390" s="661"/>
    </row>
    <row r="391" spans="52:70" x14ac:dyDescent="0.3">
      <c r="AZ391" s="128"/>
      <c r="BA391" s="11"/>
      <c r="BD391" s="233"/>
      <c r="BE391" s="530"/>
      <c r="BG391" s="530"/>
      <c r="BH391" s="530"/>
      <c r="BI391" s="530"/>
      <c r="BJ391" s="530"/>
      <c r="BK391" s="530"/>
      <c r="BL391" s="530"/>
      <c r="BM391" s="530"/>
      <c r="BN391" s="530"/>
      <c r="BO391" s="530"/>
      <c r="BR391" s="661"/>
    </row>
    <row r="392" spans="52:70" x14ac:dyDescent="0.3">
      <c r="AZ392" s="128"/>
      <c r="BA392" s="11"/>
      <c r="BD392" s="233"/>
      <c r="BE392" s="530"/>
      <c r="BG392" s="530"/>
      <c r="BH392" s="530"/>
      <c r="BI392" s="530"/>
      <c r="BJ392" s="530"/>
      <c r="BK392" s="530"/>
      <c r="BL392" s="530"/>
      <c r="BM392" s="530"/>
      <c r="BN392" s="530"/>
      <c r="BO392" s="530"/>
      <c r="BR392" s="661"/>
    </row>
    <row r="393" spans="52:70" x14ac:dyDescent="0.3">
      <c r="AZ393" s="128"/>
      <c r="BA393" s="11"/>
      <c r="BD393" s="233"/>
      <c r="BE393" s="530"/>
      <c r="BG393" s="530"/>
      <c r="BH393" s="530"/>
      <c r="BI393" s="530"/>
      <c r="BJ393" s="530"/>
      <c r="BK393" s="530"/>
      <c r="BL393" s="530"/>
      <c r="BM393" s="530"/>
      <c r="BN393" s="530"/>
      <c r="BO393" s="530"/>
      <c r="BR393" s="661"/>
    </row>
    <row r="394" spans="52:70" x14ac:dyDescent="0.3">
      <c r="AZ394" s="128"/>
      <c r="BA394" s="11"/>
      <c r="BD394" s="233"/>
      <c r="BE394" s="530"/>
      <c r="BG394" s="530"/>
      <c r="BH394" s="530"/>
      <c r="BI394" s="530"/>
      <c r="BJ394" s="530"/>
      <c r="BK394" s="530"/>
      <c r="BL394" s="530"/>
      <c r="BM394" s="530"/>
      <c r="BN394" s="530"/>
      <c r="BO394" s="530"/>
      <c r="BR394" s="661"/>
    </row>
    <row r="395" spans="52:70" x14ac:dyDescent="0.3">
      <c r="AZ395" s="128"/>
      <c r="BA395" s="11"/>
      <c r="BD395" s="233"/>
      <c r="BE395" s="530"/>
      <c r="BG395" s="530"/>
      <c r="BH395" s="530"/>
      <c r="BI395" s="530"/>
      <c r="BJ395" s="530"/>
      <c r="BK395" s="530"/>
      <c r="BL395" s="530"/>
      <c r="BM395" s="530"/>
      <c r="BN395" s="530"/>
      <c r="BO395" s="530"/>
      <c r="BR395" s="661"/>
    </row>
    <row r="396" spans="52:70" x14ac:dyDescent="0.3">
      <c r="AZ396" s="128"/>
      <c r="BA396" s="11"/>
      <c r="BD396" s="233"/>
      <c r="BE396" s="530"/>
      <c r="BG396" s="530"/>
      <c r="BH396" s="530"/>
      <c r="BI396" s="530"/>
      <c r="BJ396" s="530"/>
      <c r="BK396" s="530"/>
      <c r="BL396" s="530"/>
      <c r="BM396" s="530"/>
      <c r="BN396" s="530"/>
      <c r="BO396" s="530"/>
      <c r="BR396" s="661"/>
    </row>
    <row r="397" spans="52:70" x14ac:dyDescent="0.3">
      <c r="AZ397" s="128"/>
      <c r="BA397" s="11"/>
      <c r="BD397" s="233"/>
      <c r="BE397" s="530"/>
      <c r="BG397" s="530"/>
      <c r="BH397" s="530"/>
      <c r="BI397" s="530"/>
      <c r="BJ397" s="530"/>
      <c r="BK397" s="530"/>
      <c r="BL397" s="530"/>
      <c r="BM397" s="530"/>
      <c r="BN397" s="530"/>
      <c r="BO397" s="530"/>
      <c r="BR397" s="661"/>
    </row>
    <row r="398" spans="52:70" x14ac:dyDescent="0.3">
      <c r="AZ398" s="128"/>
      <c r="BA398" s="11"/>
      <c r="BD398" s="233"/>
      <c r="BE398" s="530"/>
      <c r="BG398" s="530"/>
      <c r="BH398" s="530"/>
      <c r="BI398" s="530"/>
      <c r="BJ398" s="530"/>
      <c r="BK398" s="530"/>
      <c r="BL398" s="530"/>
      <c r="BM398" s="530"/>
      <c r="BN398" s="530"/>
      <c r="BO398" s="530"/>
      <c r="BR398" s="661"/>
    </row>
    <row r="399" spans="52:70" x14ac:dyDescent="0.3">
      <c r="AZ399" s="128"/>
      <c r="BA399" s="11"/>
      <c r="BD399" s="233"/>
      <c r="BE399" s="530"/>
      <c r="BG399" s="530"/>
      <c r="BH399" s="530"/>
      <c r="BI399" s="530"/>
      <c r="BJ399" s="530"/>
      <c r="BK399" s="530"/>
      <c r="BL399" s="530"/>
      <c r="BM399" s="530"/>
      <c r="BN399" s="530"/>
      <c r="BO399" s="530"/>
      <c r="BR399" s="661"/>
    </row>
    <row r="400" spans="52:70" x14ac:dyDescent="0.3">
      <c r="AZ400" s="128"/>
      <c r="BA400" s="11"/>
      <c r="BD400" s="233"/>
      <c r="BE400" s="530"/>
      <c r="BG400" s="530"/>
      <c r="BH400" s="530"/>
      <c r="BI400" s="530"/>
      <c r="BJ400" s="530"/>
      <c r="BK400" s="530"/>
      <c r="BL400" s="530"/>
      <c r="BM400" s="530"/>
      <c r="BN400" s="530"/>
      <c r="BO400" s="530"/>
      <c r="BR400" s="661"/>
    </row>
    <row r="401" spans="52:70" x14ac:dyDescent="0.3">
      <c r="AZ401" s="128"/>
      <c r="BA401" s="11"/>
      <c r="BD401" s="233"/>
      <c r="BE401" s="530"/>
      <c r="BG401" s="530"/>
      <c r="BH401" s="530"/>
      <c r="BI401" s="530"/>
      <c r="BJ401" s="530"/>
      <c r="BK401" s="530"/>
      <c r="BL401" s="530"/>
      <c r="BM401" s="530"/>
      <c r="BN401" s="530"/>
      <c r="BO401" s="530"/>
      <c r="BR401" s="661"/>
    </row>
    <row r="402" spans="52:70" x14ac:dyDescent="0.3">
      <c r="AZ402" s="128"/>
      <c r="BA402" s="11"/>
      <c r="BD402" s="233"/>
      <c r="BE402" s="530"/>
      <c r="BG402" s="530"/>
      <c r="BH402" s="530"/>
      <c r="BI402" s="530"/>
      <c r="BJ402" s="530"/>
      <c r="BK402" s="530"/>
      <c r="BL402" s="530"/>
      <c r="BM402" s="530"/>
      <c r="BN402" s="530"/>
      <c r="BO402" s="530"/>
      <c r="BR402" s="661"/>
    </row>
    <row r="403" spans="52:70" x14ac:dyDescent="0.3">
      <c r="AZ403" s="128"/>
      <c r="BA403" s="11"/>
      <c r="BD403" s="233"/>
      <c r="BE403" s="530"/>
      <c r="BG403" s="530"/>
      <c r="BH403" s="530"/>
      <c r="BI403" s="530"/>
      <c r="BJ403" s="530"/>
      <c r="BK403" s="530"/>
      <c r="BL403" s="530"/>
      <c r="BM403" s="530"/>
      <c r="BN403" s="530"/>
      <c r="BO403" s="530"/>
      <c r="BR403" s="661"/>
    </row>
    <row r="404" spans="52:70" x14ac:dyDescent="0.3">
      <c r="AZ404" s="128"/>
      <c r="BA404" s="11"/>
      <c r="BD404" s="233"/>
      <c r="BE404" s="530"/>
      <c r="BG404" s="530"/>
      <c r="BH404" s="530"/>
      <c r="BI404" s="530"/>
      <c r="BJ404" s="530"/>
      <c r="BK404" s="530"/>
      <c r="BL404" s="530"/>
      <c r="BM404" s="530"/>
      <c r="BN404" s="530"/>
      <c r="BO404" s="530"/>
      <c r="BR404" s="661"/>
    </row>
    <row r="405" spans="52:70" x14ac:dyDescent="0.3">
      <c r="AZ405" s="128"/>
      <c r="BA405" s="11"/>
      <c r="BD405" s="233"/>
      <c r="BE405" s="530"/>
      <c r="BG405" s="530"/>
      <c r="BH405" s="530"/>
      <c r="BI405" s="530"/>
      <c r="BJ405" s="530"/>
      <c r="BK405" s="530"/>
      <c r="BL405" s="530"/>
      <c r="BM405" s="530"/>
      <c r="BN405" s="530"/>
      <c r="BO405" s="530"/>
      <c r="BR405" s="661"/>
    </row>
    <row r="406" spans="52:70" x14ac:dyDescent="0.3">
      <c r="AZ406" s="128"/>
      <c r="BA406" s="11"/>
      <c r="BD406" s="233"/>
      <c r="BE406" s="530"/>
      <c r="BG406" s="530"/>
      <c r="BH406" s="530"/>
      <c r="BI406" s="530"/>
      <c r="BJ406" s="530"/>
      <c r="BK406" s="530"/>
      <c r="BL406" s="530"/>
      <c r="BM406" s="530"/>
      <c r="BN406" s="530"/>
      <c r="BO406" s="530"/>
      <c r="BR406" s="661"/>
    </row>
    <row r="407" spans="52:70" x14ac:dyDescent="0.3">
      <c r="AZ407" s="128"/>
      <c r="BA407" s="11"/>
      <c r="BD407" s="233"/>
      <c r="BE407" s="530"/>
      <c r="BG407" s="530"/>
      <c r="BH407" s="530"/>
      <c r="BI407" s="530"/>
      <c r="BJ407" s="530"/>
      <c r="BK407" s="530"/>
      <c r="BL407" s="530"/>
      <c r="BM407" s="530"/>
      <c r="BN407" s="530"/>
      <c r="BO407" s="530"/>
      <c r="BR407" s="661"/>
    </row>
    <row r="408" spans="52:70" x14ac:dyDescent="0.3">
      <c r="AZ408" s="128"/>
      <c r="BA408" s="11"/>
      <c r="BD408" s="233"/>
      <c r="BE408" s="530"/>
      <c r="BG408" s="530"/>
      <c r="BH408" s="530"/>
      <c r="BI408" s="530"/>
      <c r="BJ408" s="530"/>
      <c r="BK408" s="530"/>
      <c r="BL408" s="530"/>
      <c r="BM408" s="530"/>
      <c r="BN408" s="530"/>
      <c r="BO408" s="530"/>
      <c r="BR408" s="661"/>
    </row>
    <row r="409" spans="52:70" x14ac:dyDescent="0.3">
      <c r="AZ409" s="128"/>
      <c r="BA409" s="11"/>
      <c r="BD409" s="233"/>
      <c r="BE409" s="530"/>
      <c r="BG409" s="530"/>
      <c r="BH409" s="530"/>
      <c r="BI409" s="530"/>
      <c r="BJ409" s="530"/>
      <c r="BK409" s="530"/>
      <c r="BL409" s="530"/>
      <c r="BM409" s="530"/>
      <c r="BN409" s="530"/>
      <c r="BO409" s="530"/>
      <c r="BR409" s="661"/>
    </row>
    <row r="410" spans="52:70" x14ac:dyDescent="0.3">
      <c r="AZ410" s="128"/>
      <c r="BA410" s="11"/>
      <c r="BD410" s="233"/>
      <c r="BE410" s="530"/>
      <c r="BG410" s="530"/>
      <c r="BH410" s="530"/>
      <c r="BI410" s="530"/>
      <c r="BJ410" s="530"/>
      <c r="BK410" s="530"/>
      <c r="BL410" s="530"/>
      <c r="BM410" s="530"/>
      <c r="BN410" s="530"/>
      <c r="BO410" s="530"/>
      <c r="BR410" s="661"/>
    </row>
    <row r="411" spans="52:70" x14ac:dyDescent="0.3">
      <c r="AZ411" s="128"/>
      <c r="BA411" s="11"/>
      <c r="BD411" s="233"/>
      <c r="BE411" s="530"/>
      <c r="BG411" s="530"/>
      <c r="BH411" s="530"/>
      <c r="BI411" s="530"/>
      <c r="BJ411" s="530"/>
      <c r="BK411" s="530"/>
      <c r="BL411" s="530"/>
      <c r="BM411" s="530"/>
      <c r="BN411" s="530"/>
      <c r="BO411" s="530"/>
      <c r="BR411" s="661"/>
    </row>
    <row r="412" spans="52:70" x14ac:dyDescent="0.3">
      <c r="AZ412" s="128"/>
      <c r="BA412" s="11"/>
      <c r="BD412" s="233"/>
      <c r="BE412" s="530"/>
      <c r="BG412" s="530"/>
      <c r="BH412" s="530"/>
      <c r="BI412" s="530"/>
      <c r="BJ412" s="530"/>
      <c r="BK412" s="530"/>
      <c r="BL412" s="530"/>
      <c r="BM412" s="530"/>
      <c r="BN412" s="530"/>
      <c r="BO412" s="530"/>
      <c r="BR412" s="661"/>
    </row>
    <row r="413" spans="52:70" x14ac:dyDescent="0.3">
      <c r="AZ413" s="128"/>
      <c r="BA413" s="11"/>
      <c r="BD413" s="233"/>
      <c r="BE413" s="530"/>
      <c r="BG413" s="530"/>
      <c r="BH413" s="530"/>
      <c r="BI413" s="530"/>
      <c r="BJ413" s="530"/>
      <c r="BK413" s="530"/>
      <c r="BL413" s="530"/>
      <c r="BM413" s="530"/>
      <c r="BN413" s="530"/>
      <c r="BO413" s="530"/>
      <c r="BR413" s="661"/>
    </row>
    <row r="414" spans="52:70" x14ac:dyDescent="0.3">
      <c r="AZ414" s="128"/>
      <c r="BA414" s="11"/>
      <c r="BD414" s="233"/>
      <c r="BE414" s="530"/>
      <c r="BG414" s="530"/>
      <c r="BH414" s="530"/>
      <c r="BI414" s="530"/>
      <c r="BJ414" s="530"/>
      <c r="BK414" s="530"/>
      <c r="BL414" s="530"/>
      <c r="BM414" s="530"/>
      <c r="BN414" s="530"/>
      <c r="BO414" s="530"/>
      <c r="BR414" s="661"/>
    </row>
    <row r="415" spans="52:70" x14ac:dyDescent="0.3">
      <c r="AZ415" s="128"/>
      <c r="BA415" s="11"/>
      <c r="BD415" s="233"/>
      <c r="BE415" s="530"/>
      <c r="BG415" s="530"/>
      <c r="BH415" s="530"/>
      <c r="BI415" s="530"/>
      <c r="BJ415" s="530"/>
      <c r="BK415" s="530"/>
      <c r="BL415" s="530"/>
      <c r="BM415" s="530"/>
      <c r="BN415" s="530"/>
      <c r="BO415" s="530"/>
      <c r="BR415" s="661"/>
    </row>
    <row r="416" spans="52:70" x14ac:dyDescent="0.3">
      <c r="AZ416" s="128"/>
      <c r="BA416" s="11"/>
      <c r="BD416" s="233"/>
      <c r="BE416" s="530"/>
      <c r="BG416" s="530"/>
      <c r="BH416" s="530"/>
      <c r="BI416" s="530"/>
      <c r="BJ416" s="530"/>
      <c r="BK416" s="530"/>
      <c r="BL416" s="530"/>
      <c r="BM416" s="530"/>
      <c r="BN416" s="530"/>
      <c r="BO416" s="530"/>
      <c r="BR416" s="661"/>
    </row>
    <row r="417" spans="52:70" x14ac:dyDescent="0.3">
      <c r="AZ417" s="128"/>
      <c r="BA417" s="11"/>
      <c r="BD417" s="233"/>
      <c r="BE417" s="530"/>
      <c r="BG417" s="530"/>
      <c r="BH417" s="530"/>
      <c r="BI417" s="530"/>
      <c r="BJ417" s="530"/>
      <c r="BK417" s="530"/>
      <c r="BL417" s="530"/>
      <c r="BM417" s="530"/>
      <c r="BN417" s="530"/>
      <c r="BO417" s="530"/>
      <c r="BR417" s="661"/>
    </row>
    <row r="418" spans="52:70" x14ac:dyDescent="0.3">
      <c r="AZ418" s="128"/>
      <c r="BA418" s="11"/>
      <c r="BD418" s="233"/>
      <c r="BE418" s="530"/>
      <c r="BG418" s="530"/>
      <c r="BH418" s="530"/>
      <c r="BI418" s="530"/>
      <c r="BJ418" s="530"/>
      <c r="BK418" s="530"/>
      <c r="BL418" s="530"/>
      <c r="BM418" s="530"/>
      <c r="BN418" s="530"/>
      <c r="BO418" s="530"/>
      <c r="BR418" s="661"/>
    </row>
    <row r="419" spans="52:70" x14ac:dyDescent="0.3">
      <c r="AZ419" s="128"/>
      <c r="BA419" s="11"/>
      <c r="BD419" s="233"/>
      <c r="BE419" s="530"/>
      <c r="BG419" s="530"/>
      <c r="BH419" s="530"/>
      <c r="BI419" s="530"/>
      <c r="BJ419" s="530"/>
      <c r="BK419" s="530"/>
      <c r="BL419" s="530"/>
      <c r="BM419" s="530"/>
      <c r="BN419" s="530"/>
      <c r="BO419" s="530"/>
      <c r="BR419" s="661"/>
    </row>
    <row r="420" spans="52:70" x14ac:dyDescent="0.3">
      <c r="AZ420" s="128"/>
      <c r="BA420" s="11"/>
      <c r="BD420" s="233"/>
      <c r="BE420" s="530"/>
      <c r="BG420" s="530"/>
      <c r="BH420" s="530"/>
      <c r="BI420" s="530"/>
      <c r="BJ420" s="530"/>
      <c r="BK420" s="530"/>
      <c r="BL420" s="530"/>
      <c r="BM420" s="530"/>
      <c r="BN420" s="530"/>
      <c r="BO420" s="530"/>
      <c r="BR420" s="661"/>
    </row>
    <row r="421" spans="52:70" x14ac:dyDescent="0.3">
      <c r="AZ421" s="128"/>
      <c r="BA421" s="11"/>
      <c r="BD421" s="233"/>
      <c r="BE421" s="530"/>
      <c r="BG421" s="530"/>
      <c r="BH421" s="530"/>
      <c r="BI421" s="530"/>
      <c r="BJ421" s="530"/>
      <c r="BK421" s="530"/>
      <c r="BL421" s="530"/>
      <c r="BM421" s="530"/>
      <c r="BN421" s="530"/>
      <c r="BO421" s="530"/>
      <c r="BR421" s="661"/>
    </row>
    <row r="422" spans="52:70" x14ac:dyDescent="0.3">
      <c r="AZ422" s="128"/>
      <c r="BA422" s="11"/>
      <c r="BD422" s="233"/>
      <c r="BE422" s="530"/>
      <c r="BG422" s="530"/>
      <c r="BH422" s="530"/>
      <c r="BI422" s="530"/>
      <c r="BJ422" s="530"/>
      <c r="BK422" s="530"/>
      <c r="BL422" s="530"/>
      <c r="BM422" s="530"/>
      <c r="BN422" s="530"/>
      <c r="BO422" s="530"/>
      <c r="BR422" s="661"/>
    </row>
    <row r="423" spans="52:70" x14ac:dyDescent="0.3">
      <c r="AZ423" s="128"/>
      <c r="BA423" s="11"/>
      <c r="BD423" s="233"/>
      <c r="BE423" s="530"/>
      <c r="BG423" s="530"/>
      <c r="BH423" s="530"/>
      <c r="BI423" s="530"/>
      <c r="BJ423" s="530"/>
      <c r="BK423" s="530"/>
      <c r="BL423" s="530"/>
      <c r="BM423" s="530"/>
      <c r="BN423" s="530"/>
      <c r="BO423" s="530"/>
      <c r="BR423" s="661"/>
    </row>
    <row r="424" spans="52:70" x14ac:dyDescent="0.3">
      <c r="AZ424" s="128"/>
      <c r="BA424" s="11"/>
      <c r="BD424" s="233"/>
      <c r="BE424" s="530"/>
      <c r="BG424" s="530"/>
      <c r="BH424" s="530"/>
      <c r="BI424" s="530"/>
      <c r="BJ424" s="530"/>
      <c r="BK424" s="530"/>
      <c r="BL424" s="530"/>
      <c r="BM424" s="530"/>
      <c r="BN424" s="530"/>
      <c r="BO424" s="530"/>
      <c r="BR424" s="661"/>
    </row>
    <row r="425" spans="52:70" x14ac:dyDescent="0.3">
      <c r="AZ425" s="128"/>
      <c r="BA425" s="11"/>
      <c r="BD425" s="233"/>
      <c r="BE425" s="530"/>
      <c r="BG425" s="530"/>
      <c r="BH425" s="530"/>
      <c r="BI425" s="530"/>
      <c r="BJ425" s="530"/>
      <c r="BK425" s="530"/>
      <c r="BL425" s="530"/>
      <c r="BM425" s="530"/>
      <c r="BN425" s="530"/>
      <c r="BO425" s="530"/>
      <c r="BR425" s="661"/>
    </row>
    <row r="426" spans="52:70" x14ac:dyDescent="0.3">
      <c r="AZ426" s="128"/>
      <c r="BA426" s="11"/>
      <c r="BD426" s="233"/>
      <c r="BE426" s="530"/>
      <c r="BG426" s="530"/>
      <c r="BH426" s="530"/>
      <c r="BI426" s="530"/>
      <c r="BJ426" s="530"/>
      <c r="BK426" s="530"/>
      <c r="BL426" s="530"/>
      <c r="BM426" s="530"/>
      <c r="BN426" s="530"/>
      <c r="BO426" s="530"/>
      <c r="BR426" s="661"/>
    </row>
    <row r="427" spans="52:70" x14ac:dyDescent="0.3">
      <c r="AZ427" s="128"/>
      <c r="BA427" s="11"/>
      <c r="BD427" s="233"/>
      <c r="BE427" s="530"/>
      <c r="BG427" s="530"/>
      <c r="BH427" s="530"/>
      <c r="BI427" s="530"/>
      <c r="BJ427" s="530"/>
      <c r="BK427" s="530"/>
      <c r="BL427" s="530"/>
      <c r="BM427" s="530"/>
      <c r="BN427" s="530"/>
      <c r="BO427" s="530"/>
      <c r="BR427" s="661"/>
    </row>
    <row r="428" spans="52:70" x14ac:dyDescent="0.3">
      <c r="AZ428" s="128"/>
      <c r="BA428" s="11"/>
      <c r="BD428" s="233"/>
      <c r="BE428" s="530"/>
      <c r="BG428" s="530"/>
      <c r="BH428" s="530"/>
      <c r="BI428" s="530"/>
      <c r="BJ428" s="530"/>
      <c r="BK428" s="530"/>
      <c r="BL428" s="530"/>
      <c r="BM428" s="530"/>
      <c r="BN428" s="530"/>
      <c r="BO428" s="530"/>
      <c r="BR428" s="661"/>
    </row>
    <row r="429" spans="52:70" x14ac:dyDescent="0.3">
      <c r="AZ429" s="128"/>
      <c r="BA429" s="11"/>
      <c r="BD429" s="233"/>
      <c r="BE429" s="530"/>
      <c r="BG429" s="530"/>
      <c r="BH429" s="530"/>
      <c r="BI429" s="530"/>
      <c r="BJ429" s="530"/>
      <c r="BK429" s="530"/>
      <c r="BL429" s="530"/>
      <c r="BM429" s="530"/>
      <c r="BN429" s="530"/>
      <c r="BO429" s="530"/>
      <c r="BR429" s="661"/>
    </row>
    <row r="430" spans="52:70" x14ac:dyDescent="0.3">
      <c r="AZ430" s="128"/>
      <c r="BA430" s="11"/>
      <c r="BD430" s="233"/>
      <c r="BE430" s="530"/>
      <c r="BG430" s="530"/>
      <c r="BH430" s="530"/>
      <c r="BI430" s="530"/>
      <c r="BJ430" s="530"/>
      <c r="BK430" s="530"/>
      <c r="BL430" s="530"/>
      <c r="BM430" s="530"/>
      <c r="BN430" s="530"/>
      <c r="BO430" s="530"/>
      <c r="BR430" s="661"/>
    </row>
    <row r="431" spans="52:70" x14ac:dyDescent="0.3">
      <c r="AZ431" s="128"/>
      <c r="BA431" s="11"/>
      <c r="BD431" s="233"/>
      <c r="BE431" s="530"/>
      <c r="BG431" s="530"/>
      <c r="BH431" s="530"/>
      <c r="BI431" s="530"/>
      <c r="BJ431" s="530"/>
      <c r="BK431" s="530"/>
      <c r="BL431" s="530"/>
      <c r="BM431" s="530"/>
      <c r="BN431" s="530"/>
      <c r="BO431" s="530"/>
      <c r="BR431" s="661"/>
    </row>
    <row r="432" spans="52:70" x14ac:dyDescent="0.3">
      <c r="AZ432" s="128"/>
      <c r="BA432" s="11"/>
      <c r="BD432" s="233"/>
      <c r="BE432" s="530"/>
      <c r="BG432" s="530"/>
      <c r="BH432" s="530"/>
      <c r="BI432" s="530"/>
      <c r="BJ432" s="530"/>
      <c r="BK432" s="530"/>
      <c r="BL432" s="530"/>
      <c r="BM432" s="530"/>
      <c r="BN432" s="530"/>
      <c r="BO432" s="530"/>
      <c r="BR432" s="661"/>
    </row>
    <row r="433" spans="52:70" x14ac:dyDescent="0.3">
      <c r="AZ433" s="128"/>
      <c r="BA433" s="11"/>
      <c r="BD433" s="233"/>
      <c r="BE433" s="530"/>
      <c r="BG433" s="530"/>
      <c r="BH433" s="530"/>
      <c r="BI433" s="530"/>
      <c r="BJ433" s="530"/>
      <c r="BK433" s="530"/>
      <c r="BL433" s="530"/>
      <c r="BM433" s="530"/>
      <c r="BN433" s="530"/>
      <c r="BO433" s="530"/>
      <c r="BR433" s="661"/>
    </row>
    <row r="434" spans="52:70" x14ac:dyDescent="0.3">
      <c r="AZ434" s="128"/>
      <c r="BA434" s="11"/>
      <c r="BD434" s="233"/>
      <c r="BE434" s="530"/>
      <c r="BG434" s="530"/>
      <c r="BH434" s="530"/>
      <c r="BI434" s="530"/>
      <c r="BJ434" s="530"/>
      <c r="BK434" s="530"/>
      <c r="BL434" s="530"/>
      <c r="BM434" s="530"/>
      <c r="BN434" s="530"/>
      <c r="BO434" s="530"/>
      <c r="BR434" s="661"/>
    </row>
    <row r="435" spans="52:70" x14ac:dyDescent="0.3">
      <c r="AZ435" s="128"/>
      <c r="BA435" s="11"/>
      <c r="BD435" s="233"/>
      <c r="BE435" s="530"/>
      <c r="BG435" s="530"/>
      <c r="BH435" s="530"/>
      <c r="BI435" s="530"/>
      <c r="BJ435" s="530"/>
      <c r="BK435" s="530"/>
      <c r="BL435" s="530"/>
      <c r="BM435" s="530"/>
      <c r="BN435" s="530"/>
      <c r="BO435" s="530"/>
      <c r="BR435" s="661"/>
    </row>
    <row r="436" spans="52:70" x14ac:dyDescent="0.3">
      <c r="AZ436" s="128"/>
      <c r="BA436" s="11"/>
      <c r="BD436" s="233"/>
      <c r="BE436" s="530"/>
      <c r="BG436" s="530"/>
      <c r="BH436" s="530"/>
      <c r="BI436" s="530"/>
      <c r="BJ436" s="530"/>
      <c r="BK436" s="530"/>
      <c r="BL436" s="530"/>
      <c r="BM436" s="530"/>
      <c r="BN436" s="530"/>
      <c r="BO436" s="530"/>
      <c r="BR436" s="661"/>
    </row>
    <row r="437" spans="52:70" x14ac:dyDescent="0.3">
      <c r="AZ437" s="128"/>
      <c r="BA437" s="11"/>
      <c r="BD437" s="233"/>
      <c r="BE437" s="530"/>
      <c r="BG437" s="530"/>
      <c r="BH437" s="530"/>
      <c r="BI437" s="530"/>
      <c r="BJ437" s="530"/>
      <c r="BK437" s="530"/>
      <c r="BL437" s="530"/>
      <c r="BM437" s="530"/>
      <c r="BN437" s="530"/>
      <c r="BO437" s="530"/>
      <c r="BR437" s="661"/>
    </row>
    <row r="438" spans="52:70" x14ac:dyDescent="0.3">
      <c r="AZ438" s="128"/>
      <c r="BA438" s="11"/>
      <c r="BD438" s="233"/>
      <c r="BE438" s="530"/>
      <c r="BG438" s="530"/>
      <c r="BH438" s="530"/>
      <c r="BI438" s="530"/>
      <c r="BJ438" s="530"/>
      <c r="BK438" s="530"/>
      <c r="BL438" s="530"/>
      <c r="BM438" s="530"/>
      <c r="BN438" s="530"/>
      <c r="BO438" s="530"/>
      <c r="BR438" s="661"/>
    </row>
    <row r="439" spans="52:70" x14ac:dyDescent="0.3">
      <c r="AZ439" s="128"/>
      <c r="BA439" s="11"/>
      <c r="BD439" s="233"/>
      <c r="BE439" s="530"/>
      <c r="BG439" s="530"/>
      <c r="BH439" s="530"/>
      <c r="BI439" s="530"/>
      <c r="BJ439" s="530"/>
      <c r="BK439" s="530"/>
      <c r="BL439" s="530"/>
      <c r="BM439" s="530"/>
      <c r="BN439" s="530"/>
      <c r="BO439" s="530"/>
      <c r="BR439" s="661"/>
    </row>
    <row r="440" spans="52:70" x14ac:dyDescent="0.3">
      <c r="AZ440" s="128"/>
      <c r="BA440" s="11"/>
      <c r="BD440" s="233"/>
      <c r="BE440" s="530"/>
      <c r="BG440" s="530"/>
      <c r="BH440" s="530"/>
      <c r="BI440" s="530"/>
      <c r="BJ440" s="530"/>
      <c r="BK440" s="530"/>
      <c r="BL440" s="530"/>
      <c r="BM440" s="530"/>
      <c r="BN440" s="530"/>
      <c r="BO440" s="530"/>
      <c r="BR440" s="661"/>
    </row>
    <row r="441" spans="52:70" x14ac:dyDescent="0.3">
      <c r="AZ441" s="128"/>
      <c r="BA441" s="11"/>
      <c r="BD441" s="233"/>
      <c r="BE441" s="530"/>
      <c r="BG441" s="530"/>
      <c r="BH441" s="530"/>
      <c r="BI441" s="530"/>
      <c r="BJ441" s="530"/>
      <c r="BK441" s="530"/>
      <c r="BL441" s="530"/>
      <c r="BM441" s="530"/>
      <c r="BN441" s="530"/>
      <c r="BO441" s="530"/>
      <c r="BR441" s="661"/>
    </row>
    <row r="442" spans="52:70" x14ac:dyDescent="0.3">
      <c r="AZ442" s="128"/>
      <c r="BA442" s="11"/>
      <c r="BD442" s="233"/>
      <c r="BE442" s="530"/>
      <c r="BG442" s="530"/>
      <c r="BH442" s="530"/>
      <c r="BI442" s="530"/>
      <c r="BJ442" s="530"/>
      <c r="BK442" s="530"/>
      <c r="BL442" s="530"/>
      <c r="BM442" s="530"/>
      <c r="BN442" s="530"/>
      <c r="BO442" s="530"/>
      <c r="BR442" s="661"/>
    </row>
    <row r="443" spans="52:70" x14ac:dyDescent="0.3">
      <c r="AZ443" s="128"/>
      <c r="BA443" s="11"/>
      <c r="BD443" s="233"/>
      <c r="BE443" s="530"/>
      <c r="BG443" s="530"/>
      <c r="BH443" s="530"/>
      <c r="BI443" s="530"/>
      <c r="BJ443" s="530"/>
      <c r="BK443" s="530"/>
      <c r="BL443" s="530"/>
      <c r="BM443" s="530"/>
      <c r="BN443" s="530"/>
      <c r="BO443" s="530"/>
      <c r="BR443" s="661"/>
    </row>
    <row r="444" spans="52:70" x14ac:dyDescent="0.3">
      <c r="AZ444" s="128"/>
      <c r="BA444" s="11"/>
      <c r="BD444" s="233"/>
      <c r="BE444" s="530"/>
      <c r="BG444" s="530"/>
      <c r="BH444" s="530"/>
      <c r="BI444" s="530"/>
      <c r="BJ444" s="530"/>
      <c r="BK444" s="530"/>
      <c r="BL444" s="530"/>
      <c r="BM444" s="530"/>
      <c r="BN444" s="530"/>
      <c r="BO444" s="530"/>
      <c r="BR444" s="661"/>
    </row>
    <row r="445" spans="52:70" x14ac:dyDescent="0.3">
      <c r="AZ445" s="128"/>
      <c r="BA445" s="11"/>
      <c r="BD445" s="233"/>
      <c r="BE445" s="530"/>
      <c r="BG445" s="530"/>
      <c r="BH445" s="530"/>
      <c r="BI445" s="530"/>
      <c r="BJ445" s="530"/>
      <c r="BK445" s="530"/>
      <c r="BL445" s="530"/>
      <c r="BM445" s="530"/>
      <c r="BN445" s="530"/>
      <c r="BO445" s="530"/>
      <c r="BR445" s="661"/>
    </row>
    <row r="446" spans="52:70" x14ac:dyDescent="0.3">
      <c r="AZ446" s="128"/>
      <c r="BA446" s="11"/>
      <c r="BD446" s="233"/>
      <c r="BE446" s="530"/>
      <c r="BG446" s="530"/>
      <c r="BH446" s="530"/>
      <c r="BI446" s="530"/>
      <c r="BJ446" s="530"/>
      <c r="BK446" s="530"/>
      <c r="BL446" s="530"/>
      <c r="BM446" s="530"/>
      <c r="BN446" s="530"/>
      <c r="BO446" s="530"/>
      <c r="BR446" s="661"/>
    </row>
    <row r="447" spans="52:70" x14ac:dyDescent="0.3">
      <c r="AZ447" s="128"/>
      <c r="BA447" s="11"/>
      <c r="BD447" s="233"/>
      <c r="BE447" s="530"/>
      <c r="BG447" s="530"/>
      <c r="BH447" s="530"/>
      <c r="BI447" s="530"/>
      <c r="BJ447" s="530"/>
      <c r="BK447" s="530"/>
      <c r="BL447" s="530"/>
      <c r="BM447" s="530"/>
      <c r="BN447" s="530"/>
      <c r="BO447" s="530"/>
      <c r="BR447" s="661"/>
    </row>
    <row r="448" spans="52:70" x14ac:dyDescent="0.3">
      <c r="AZ448" s="128"/>
      <c r="BA448" s="11"/>
      <c r="BD448" s="233"/>
      <c r="BE448" s="530"/>
      <c r="BG448" s="530"/>
      <c r="BH448" s="530"/>
      <c r="BI448" s="530"/>
      <c r="BJ448" s="530"/>
      <c r="BK448" s="530"/>
      <c r="BL448" s="530"/>
      <c r="BM448" s="530"/>
      <c r="BN448" s="530"/>
      <c r="BO448" s="530"/>
      <c r="BR448" s="661"/>
    </row>
    <row r="449" spans="52:70" x14ac:dyDescent="0.3">
      <c r="AZ449" s="128"/>
      <c r="BA449" s="11"/>
      <c r="BD449" s="233"/>
      <c r="BE449" s="530"/>
      <c r="BG449" s="530"/>
      <c r="BH449" s="530"/>
      <c r="BI449" s="530"/>
      <c r="BJ449" s="530"/>
      <c r="BK449" s="530"/>
      <c r="BL449" s="530"/>
      <c r="BM449" s="530"/>
      <c r="BN449" s="530"/>
      <c r="BO449" s="530"/>
      <c r="BR449" s="661"/>
    </row>
    <row r="450" spans="52:70" x14ac:dyDescent="0.3">
      <c r="AZ450" s="128"/>
      <c r="BA450" s="11"/>
      <c r="BD450" s="233"/>
      <c r="BE450" s="530"/>
      <c r="BG450" s="530"/>
      <c r="BH450" s="530"/>
      <c r="BI450" s="530"/>
      <c r="BJ450" s="530"/>
      <c r="BK450" s="530"/>
      <c r="BL450" s="530"/>
      <c r="BM450" s="530"/>
      <c r="BN450" s="530"/>
      <c r="BO450" s="530"/>
      <c r="BR450" s="661"/>
    </row>
    <row r="451" spans="52:70" x14ac:dyDescent="0.3">
      <c r="AZ451" s="128"/>
      <c r="BA451" s="11"/>
      <c r="BD451" s="233"/>
      <c r="BE451" s="530"/>
      <c r="BG451" s="530"/>
      <c r="BH451" s="530"/>
      <c r="BI451" s="530"/>
      <c r="BJ451" s="530"/>
      <c r="BK451" s="530"/>
      <c r="BL451" s="530"/>
      <c r="BM451" s="530"/>
      <c r="BN451" s="530"/>
      <c r="BO451" s="530"/>
      <c r="BR451" s="661"/>
    </row>
    <row r="452" spans="52:70" x14ac:dyDescent="0.3">
      <c r="AZ452" s="128"/>
      <c r="BA452" s="11"/>
      <c r="BD452" s="233"/>
      <c r="BE452" s="530"/>
      <c r="BG452" s="530"/>
      <c r="BH452" s="530"/>
      <c r="BI452" s="530"/>
      <c r="BJ452" s="530"/>
      <c r="BK452" s="530"/>
      <c r="BL452" s="530"/>
      <c r="BM452" s="530"/>
      <c r="BN452" s="530"/>
      <c r="BO452" s="530"/>
      <c r="BR452" s="661"/>
    </row>
    <row r="453" spans="52:70" x14ac:dyDescent="0.3">
      <c r="AZ453" s="128"/>
      <c r="BA453" s="11"/>
      <c r="BD453" s="233"/>
      <c r="BE453" s="530"/>
      <c r="BG453" s="530"/>
      <c r="BH453" s="530"/>
      <c r="BI453" s="530"/>
      <c r="BJ453" s="530"/>
      <c r="BK453" s="530"/>
      <c r="BL453" s="530"/>
      <c r="BM453" s="530"/>
      <c r="BN453" s="530"/>
      <c r="BO453" s="530"/>
      <c r="BR453" s="661"/>
    </row>
    <row r="454" spans="52:70" x14ac:dyDescent="0.3">
      <c r="AZ454" s="128"/>
      <c r="BA454" s="11"/>
      <c r="BD454" s="233"/>
      <c r="BE454" s="530"/>
      <c r="BG454" s="530"/>
      <c r="BH454" s="530"/>
      <c r="BI454" s="530"/>
      <c r="BJ454" s="530"/>
      <c r="BK454" s="530"/>
      <c r="BL454" s="530"/>
      <c r="BM454" s="530"/>
      <c r="BN454" s="530"/>
      <c r="BO454" s="530"/>
      <c r="BR454" s="661"/>
    </row>
    <row r="455" spans="52:70" x14ac:dyDescent="0.3">
      <c r="AZ455" s="128"/>
      <c r="BA455" s="11"/>
      <c r="BD455" s="233"/>
      <c r="BE455" s="530"/>
      <c r="BG455" s="530"/>
      <c r="BH455" s="530"/>
      <c r="BI455" s="530"/>
      <c r="BJ455" s="530"/>
      <c r="BK455" s="530"/>
      <c r="BL455" s="530"/>
      <c r="BM455" s="530"/>
      <c r="BN455" s="530"/>
      <c r="BO455" s="530"/>
      <c r="BR455" s="661"/>
    </row>
    <row r="456" spans="52:70" x14ac:dyDescent="0.3">
      <c r="AZ456" s="128"/>
      <c r="BA456" s="11"/>
      <c r="BD456" s="233"/>
      <c r="BE456" s="530"/>
      <c r="BG456" s="530"/>
      <c r="BH456" s="530"/>
      <c r="BI456" s="530"/>
      <c r="BJ456" s="530"/>
      <c r="BK456" s="530"/>
      <c r="BL456" s="530"/>
      <c r="BM456" s="530"/>
      <c r="BN456" s="530"/>
      <c r="BO456" s="530"/>
      <c r="BR456" s="661"/>
    </row>
    <row r="457" spans="52:70" x14ac:dyDescent="0.3">
      <c r="AZ457" s="128"/>
      <c r="BA457" s="11"/>
      <c r="BD457" s="233"/>
      <c r="BE457" s="530"/>
      <c r="BG457" s="530"/>
      <c r="BH457" s="530"/>
      <c r="BI457" s="530"/>
      <c r="BJ457" s="530"/>
      <c r="BK457" s="530"/>
      <c r="BL457" s="530"/>
      <c r="BM457" s="530"/>
      <c r="BN457" s="530"/>
      <c r="BO457" s="530"/>
      <c r="BR457" s="661"/>
    </row>
    <row r="458" spans="52:70" x14ac:dyDescent="0.3">
      <c r="AZ458" s="128"/>
      <c r="BA458" s="11"/>
      <c r="BD458" s="233"/>
      <c r="BE458" s="530"/>
      <c r="BG458" s="530"/>
      <c r="BH458" s="530"/>
      <c r="BI458" s="530"/>
      <c r="BJ458" s="530"/>
      <c r="BK458" s="530"/>
      <c r="BL458" s="530"/>
      <c r="BM458" s="530"/>
      <c r="BN458" s="530"/>
      <c r="BO458" s="530"/>
      <c r="BR458" s="661"/>
    </row>
    <row r="459" spans="52:70" x14ac:dyDescent="0.3">
      <c r="AZ459" s="128"/>
      <c r="BA459" s="11"/>
      <c r="BD459" s="233"/>
      <c r="BE459" s="530"/>
      <c r="BG459" s="530"/>
      <c r="BH459" s="530"/>
      <c r="BI459" s="530"/>
      <c r="BJ459" s="530"/>
      <c r="BK459" s="530"/>
      <c r="BL459" s="530"/>
      <c r="BM459" s="530"/>
      <c r="BN459" s="530"/>
      <c r="BO459" s="530"/>
      <c r="BR459" s="661"/>
    </row>
    <row r="460" spans="52:70" x14ac:dyDescent="0.3">
      <c r="AZ460" s="128"/>
      <c r="BA460" s="11"/>
      <c r="BD460" s="233"/>
      <c r="BE460" s="530"/>
      <c r="BG460" s="530"/>
      <c r="BH460" s="530"/>
      <c r="BI460" s="530"/>
      <c r="BJ460" s="530"/>
      <c r="BK460" s="530"/>
      <c r="BL460" s="530"/>
      <c r="BM460" s="530"/>
      <c r="BN460" s="530"/>
      <c r="BO460" s="530"/>
      <c r="BR460" s="661"/>
    </row>
    <row r="461" spans="52:70" x14ac:dyDescent="0.3">
      <c r="AZ461" s="128"/>
      <c r="BA461" s="11"/>
      <c r="BD461" s="233"/>
      <c r="BE461" s="530"/>
      <c r="BG461" s="530"/>
      <c r="BH461" s="530"/>
      <c r="BI461" s="530"/>
      <c r="BJ461" s="530"/>
      <c r="BK461" s="530"/>
      <c r="BL461" s="530"/>
      <c r="BM461" s="530"/>
      <c r="BN461" s="530"/>
      <c r="BO461" s="530"/>
      <c r="BR461" s="661"/>
    </row>
    <row r="462" spans="52:70" x14ac:dyDescent="0.3">
      <c r="AZ462" s="128"/>
      <c r="BA462" s="11"/>
      <c r="BD462" s="233"/>
      <c r="BE462" s="530"/>
      <c r="BG462" s="530"/>
      <c r="BH462" s="530"/>
      <c r="BI462" s="530"/>
      <c r="BJ462" s="530"/>
      <c r="BK462" s="530"/>
      <c r="BL462" s="530"/>
      <c r="BM462" s="530"/>
      <c r="BN462" s="530"/>
      <c r="BO462" s="530"/>
      <c r="BR462" s="661"/>
    </row>
    <row r="463" spans="52:70" x14ac:dyDescent="0.3">
      <c r="AZ463" s="128"/>
      <c r="BA463" s="11"/>
      <c r="BD463" s="233"/>
      <c r="BE463" s="530"/>
      <c r="BG463" s="530"/>
      <c r="BH463" s="530"/>
      <c r="BI463" s="530"/>
      <c r="BJ463" s="530"/>
      <c r="BK463" s="530"/>
      <c r="BL463" s="530"/>
      <c r="BM463" s="530"/>
      <c r="BN463" s="530"/>
      <c r="BO463" s="530"/>
      <c r="BR463" s="661"/>
    </row>
    <row r="464" spans="52:70" x14ac:dyDescent="0.3">
      <c r="AZ464" s="128"/>
      <c r="BA464" s="11"/>
      <c r="BD464" s="233"/>
      <c r="BE464" s="530"/>
      <c r="BG464" s="530"/>
      <c r="BH464" s="530"/>
      <c r="BI464" s="530"/>
      <c r="BJ464" s="530"/>
      <c r="BK464" s="530"/>
      <c r="BL464" s="530"/>
      <c r="BM464" s="530"/>
      <c r="BN464" s="530"/>
      <c r="BO464" s="530"/>
      <c r="BR464" s="661"/>
    </row>
    <row r="465" spans="52:70" x14ac:dyDescent="0.3">
      <c r="AZ465" s="128"/>
      <c r="BA465" s="11"/>
      <c r="BD465" s="233"/>
      <c r="BE465" s="530"/>
      <c r="BG465" s="530"/>
      <c r="BH465" s="530"/>
      <c r="BI465" s="530"/>
      <c r="BJ465" s="530"/>
      <c r="BK465" s="530"/>
      <c r="BL465" s="530"/>
      <c r="BM465" s="530"/>
      <c r="BN465" s="530"/>
      <c r="BO465" s="530"/>
      <c r="BR465" s="661"/>
    </row>
    <row r="466" spans="52:70" x14ac:dyDescent="0.3">
      <c r="AZ466" s="128"/>
      <c r="BA466" s="11"/>
      <c r="BD466" s="233"/>
      <c r="BE466" s="530"/>
      <c r="BG466" s="530"/>
      <c r="BH466" s="530"/>
      <c r="BI466" s="530"/>
      <c r="BJ466" s="530"/>
      <c r="BK466" s="530"/>
      <c r="BL466" s="530"/>
      <c r="BM466" s="530"/>
      <c r="BN466" s="530"/>
      <c r="BO466" s="530"/>
      <c r="BR466" s="661"/>
    </row>
    <row r="467" spans="52:70" x14ac:dyDescent="0.3">
      <c r="AZ467" s="128"/>
      <c r="BA467" s="11"/>
      <c r="BD467" s="233"/>
      <c r="BE467" s="530"/>
      <c r="BG467" s="530"/>
      <c r="BH467" s="530"/>
      <c r="BI467" s="530"/>
      <c r="BJ467" s="530"/>
      <c r="BK467" s="530"/>
      <c r="BL467" s="530"/>
      <c r="BM467" s="530"/>
      <c r="BN467" s="530"/>
      <c r="BO467" s="530"/>
      <c r="BR467" s="661"/>
    </row>
    <row r="468" spans="52:70" x14ac:dyDescent="0.3">
      <c r="AZ468" s="128"/>
      <c r="BA468" s="11"/>
      <c r="BD468" s="233"/>
      <c r="BE468" s="530"/>
      <c r="BG468" s="530"/>
      <c r="BH468" s="530"/>
      <c r="BI468" s="530"/>
      <c r="BJ468" s="530"/>
      <c r="BK468" s="530"/>
      <c r="BL468" s="530"/>
      <c r="BM468" s="530"/>
      <c r="BN468" s="530"/>
      <c r="BO468" s="530"/>
      <c r="BR468" s="661"/>
    </row>
    <row r="469" spans="52:70" x14ac:dyDescent="0.3">
      <c r="AZ469" s="128"/>
      <c r="BA469" s="11"/>
      <c r="BD469" s="233"/>
      <c r="BE469" s="530"/>
      <c r="BG469" s="530"/>
      <c r="BH469" s="530"/>
      <c r="BI469" s="530"/>
      <c r="BJ469" s="530"/>
      <c r="BK469" s="530"/>
      <c r="BL469" s="530"/>
      <c r="BM469" s="530"/>
      <c r="BN469" s="530"/>
      <c r="BO469" s="530"/>
      <c r="BR469" s="661"/>
    </row>
    <row r="470" spans="52:70" x14ac:dyDescent="0.3">
      <c r="AZ470" s="128"/>
      <c r="BA470" s="11"/>
      <c r="BD470" s="233"/>
      <c r="BE470" s="530"/>
      <c r="BG470" s="530"/>
      <c r="BH470" s="530"/>
      <c r="BI470" s="530"/>
      <c r="BJ470" s="530"/>
      <c r="BK470" s="530"/>
      <c r="BL470" s="530"/>
      <c r="BM470" s="530"/>
      <c r="BN470" s="530"/>
      <c r="BO470" s="530"/>
      <c r="BR470" s="661"/>
    </row>
    <row r="471" spans="52:70" x14ac:dyDescent="0.3">
      <c r="AZ471" s="128"/>
      <c r="BA471" s="11"/>
      <c r="BD471" s="233"/>
      <c r="BE471" s="530"/>
      <c r="BG471" s="530"/>
      <c r="BH471" s="530"/>
      <c r="BI471" s="530"/>
      <c r="BJ471" s="530"/>
      <c r="BK471" s="530"/>
      <c r="BL471" s="530"/>
      <c r="BM471" s="530"/>
      <c r="BN471" s="530"/>
      <c r="BO471" s="530"/>
      <c r="BR471" s="661"/>
    </row>
    <row r="472" spans="52:70" x14ac:dyDescent="0.3">
      <c r="AZ472" s="128"/>
      <c r="BA472" s="11"/>
      <c r="BD472" s="233"/>
      <c r="BE472" s="530"/>
      <c r="BG472" s="530"/>
      <c r="BH472" s="530"/>
      <c r="BI472" s="530"/>
      <c r="BJ472" s="530"/>
      <c r="BK472" s="530"/>
      <c r="BL472" s="530"/>
      <c r="BM472" s="530"/>
      <c r="BN472" s="530"/>
      <c r="BO472" s="530"/>
      <c r="BR472" s="661"/>
    </row>
  </sheetData>
  <mergeCells count="5">
    <mergeCell ref="A2:A3"/>
    <mergeCell ref="B2:B3"/>
    <mergeCell ref="C2:G2"/>
    <mergeCell ref="H2:L2"/>
    <mergeCell ref="M2:Q2"/>
  </mergeCells>
  <phoneticPr fontId="91" type="noConversion"/>
  <pageMargins left="0.7" right="0.7" top="0.75" bottom="0.75" header="0.3" footer="0.3"/>
  <pageSetup paperSize="9" orientation="portrait" r:id="rId1"/>
  <tableParts count="4">
    <tablePart r:id="rId2"/>
    <tablePart r:id="rId3"/>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tabColor theme="6" tint="0.39997558519241921"/>
  </sheetPr>
  <dimension ref="A1:BH255"/>
  <sheetViews>
    <sheetView workbookViewId="0">
      <pane ySplit="3" topLeftCell="A4" activePane="bottomLeft" state="frozen"/>
      <selection pane="bottomLeft" activeCell="AE4" sqref="AE4:AE5"/>
    </sheetView>
  </sheetViews>
  <sheetFormatPr defaultRowHeight="14.4" outlineLevelCol="1" x14ac:dyDescent="0.3"/>
  <cols>
    <col min="1" max="1" width="13.8984375" bestFit="1" customWidth="1"/>
    <col min="2" max="11" width="9.09765625" hidden="1" customWidth="1" outlineLevel="1"/>
    <col min="12" max="12" width="10.3984375" style="171" hidden="1" customWidth="1" outlineLevel="1"/>
    <col min="13" max="13" width="15.296875" style="35" hidden="1" customWidth="1" outlineLevel="1"/>
    <col min="14" max="14" width="6.69921875" style="171" hidden="1" customWidth="1" outlineLevel="1"/>
    <col min="15" max="15" width="9.09765625" style="412" collapsed="1"/>
    <col min="16" max="16" width="13.8984375" bestFit="1" customWidth="1"/>
    <col min="17" max="26" width="9.09765625" hidden="1" customWidth="1" outlineLevel="1"/>
    <col min="27" max="27" width="10.3984375" style="171" hidden="1" customWidth="1" outlineLevel="1"/>
    <col min="28" max="28" width="14.59765625" hidden="1" customWidth="1" outlineLevel="1"/>
    <col min="29" max="29" width="6.69921875" style="171" hidden="1" customWidth="1" outlineLevel="1"/>
    <col min="30" max="30" width="9.09765625" collapsed="1"/>
    <col min="31" max="31" width="13.8984375" bestFit="1" customWidth="1"/>
    <col min="32" max="41" width="9.09765625" hidden="1" customWidth="1" outlineLevel="1"/>
    <col min="42" max="42" width="10.3984375" style="171" hidden="1" customWidth="1" outlineLevel="1"/>
    <col min="43" max="43" width="14.59765625" style="35" hidden="1" customWidth="1" outlineLevel="1"/>
    <col min="44" max="44" width="6.69921875" style="171" hidden="1" customWidth="1" outlineLevel="1"/>
    <col min="45" max="45" width="10.69921875" bestFit="1" customWidth="1" collapsed="1"/>
    <col min="46" max="46" width="13.8984375" bestFit="1" customWidth="1"/>
    <col min="47" max="56" width="9.09765625" hidden="1" customWidth="1" outlineLevel="1"/>
    <col min="57" max="57" width="10.296875" style="171" hidden="1" customWidth="1" outlineLevel="1"/>
    <col min="58" max="58" width="14.59765625" hidden="1" customWidth="1" outlineLevel="1"/>
    <col min="59" max="59" width="10.296875" style="171" hidden="1" customWidth="1" outlineLevel="1"/>
    <col min="60" max="60" width="9.09765625" collapsed="1"/>
  </cols>
  <sheetData>
    <row r="1" spans="1:59" x14ac:dyDescent="0.3">
      <c r="A1" s="174" t="s">
        <v>3028</v>
      </c>
      <c r="B1" s="42" t="s">
        <v>877</v>
      </c>
      <c r="C1" s="42" t="s">
        <v>878</v>
      </c>
      <c r="D1" s="42" t="s">
        <v>879</v>
      </c>
      <c r="E1" s="42" t="s">
        <v>880</v>
      </c>
      <c r="F1" s="42" t="s">
        <v>881</v>
      </c>
      <c r="G1" s="42" t="s">
        <v>882</v>
      </c>
      <c r="H1" s="42" t="s">
        <v>883</v>
      </c>
      <c r="I1" s="42" t="s">
        <v>884</v>
      </c>
      <c r="J1" s="42" t="s">
        <v>885</v>
      </c>
      <c r="K1" s="42" t="s">
        <v>886</v>
      </c>
      <c r="M1" s="172"/>
      <c r="P1" s="174" t="s">
        <v>3029</v>
      </c>
      <c r="Q1" s="42" t="s">
        <v>877</v>
      </c>
      <c r="R1" s="42" t="s">
        <v>878</v>
      </c>
      <c r="S1" s="42" t="s">
        <v>879</v>
      </c>
      <c r="T1" s="42" t="s">
        <v>880</v>
      </c>
      <c r="U1" s="42" t="s">
        <v>881</v>
      </c>
      <c r="V1" s="42" t="s">
        <v>882</v>
      </c>
      <c r="W1" s="42" t="s">
        <v>883</v>
      </c>
      <c r="X1" s="42" t="s">
        <v>884</v>
      </c>
      <c r="Y1" s="42" t="s">
        <v>885</v>
      </c>
      <c r="Z1" s="42" t="s">
        <v>886</v>
      </c>
      <c r="AB1" s="10"/>
      <c r="AE1" s="8" t="s">
        <v>3030</v>
      </c>
      <c r="AF1" s="42" t="s">
        <v>877</v>
      </c>
      <c r="AG1" s="42" t="s">
        <v>878</v>
      </c>
      <c r="AH1" s="42" t="s">
        <v>879</v>
      </c>
      <c r="AI1" s="42" t="s">
        <v>880</v>
      </c>
      <c r="AJ1" s="42" t="s">
        <v>881</v>
      </c>
      <c r="AK1" s="42" t="s">
        <v>882</v>
      </c>
      <c r="AL1" s="42" t="s">
        <v>883</v>
      </c>
      <c r="AM1" s="42" t="s">
        <v>884</v>
      </c>
      <c r="AN1" s="42" t="s">
        <v>885</v>
      </c>
      <c r="AO1" s="42" t="s">
        <v>886</v>
      </c>
      <c r="AQ1" s="172"/>
      <c r="AT1" s="8" t="s">
        <v>3033</v>
      </c>
      <c r="AU1" s="42" t="s">
        <v>877</v>
      </c>
      <c r="AV1" s="42" t="s">
        <v>878</v>
      </c>
      <c r="AW1" s="42" t="s">
        <v>879</v>
      </c>
      <c r="AX1" s="42" t="s">
        <v>880</v>
      </c>
      <c r="AY1" s="42" t="s">
        <v>881</v>
      </c>
      <c r="AZ1" s="42" t="s">
        <v>882</v>
      </c>
      <c r="BA1" s="42" t="s">
        <v>883</v>
      </c>
      <c r="BB1" s="42" t="s">
        <v>884</v>
      </c>
      <c r="BC1" s="42" t="s">
        <v>885</v>
      </c>
      <c r="BD1" s="42" t="s">
        <v>886</v>
      </c>
      <c r="BF1" s="10"/>
    </row>
    <row r="2" spans="1:59" x14ac:dyDescent="0.3">
      <c r="B2" s="10"/>
      <c r="C2" s="10"/>
      <c r="D2" s="10"/>
      <c r="E2" s="10"/>
      <c r="F2" s="10"/>
      <c r="G2" s="10"/>
      <c r="H2" s="10"/>
      <c r="I2" s="10"/>
      <c r="J2" s="10"/>
      <c r="K2" s="10"/>
      <c r="M2" s="172"/>
      <c r="Q2" s="10"/>
      <c r="R2" s="10"/>
      <c r="S2" s="10"/>
      <c r="T2" s="10"/>
      <c r="U2" s="10"/>
      <c r="V2" s="10"/>
      <c r="W2" s="10"/>
      <c r="X2" s="10"/>
      <c r="Y2" s="10"/>
      <c r="Z2" s="10"/>
      <c r="AB2" s="10"/>
      <c r="AF2" s="10"/>
      <c r="AG2" s="10"/>
      <c r="AH2" s="10"/>
      <c r="AI2" s="10"/>
      <c r="AJ2" s="10"/>
      <c r="AK2" s="10"/>
      <c r="AL2" s="10"/>
      <c r="AM2" s="10"/>
      <c r="AN2" s="10"/>
      <c r="AO2" s="10"/>
      <c r="AQ2" s="172"/>
      <c r="AU2" s="10"/>
      <c r="AV2" s="10"/>
      <c r="AW2" s="10"/>
      <c r="AX2" s="10"/>
      <c r="AY2" s="10"/>
      <c r="AZ2" s="10"/>
      <c r="BA2" s="10"/>
      <c r="BB2" s="10"/>
      <c r="BC2" s="10"/>
      <c r="BD2" s="10"/>
      <c r="BF2" s="10"/>
    </row>
    <row r="3" spans="1:59" x14ac:dyDescent="0.3">
      <c r="A3" s="174" t="s">
        <v>3032</v>
      </c>
      <c r="B3" s="175">
        <f>SUMIFS('Phan tich_TB'!$CH:$CH,'Phan tich_TB'!$CG:$CG,B1,'Phan tich_TB'!$CE:$CE,"All",'Phan tich_TB'!$CC:$CC,"PV01")</f>
        <v>0</v>
      </c>
      <c r="C3" s="175">
        <f>SUMIFS('Phan tich_TB'!$CH:$CH,'Phan tich_TB'!$CG:$CG,C1,'Phan tich_TB'!$CE:$CE,"All",'Phan tich_TB'!$CC:$CC,"PV01")</f>
        <v>0</v>
      </c>
      <c r="D3" s="175">
        <f>SUMIFS('Phan tich_TB'!$CH:$CH,'Phan tich_TB'!$CG:$CG,D1,'Phan tich_TB'!$CE:$CE,"All",'Phan tich_TB'!$CC:$CC,"PV01")</f>
        <v>-9.2207272693740835E-2</v>
      </c>
      <c r="E3" s="175">
        <f>SUMIFS('Phan tich_TB'!$CH:$CH,'Phan tich_TB'!$CG:$CG,E1,'Phan tich_TB'!$CE:$CE,"All",'Phan tich_TB'!$CC:$CC,"PV01")</f>
        <v>-0.28848086085057228</v>
      </c>
      <c r="F3" s="175">
        <f>SUMIFS('Phan tich_TB'!$CH:$CH,'Phan tich_TB'!$CG:$CG,F1,'Phan tich_TB'!$CE:$CE,"All",'Phan tich_TB'!$CC:$CC,"PV01")</f>
        <v>-4.6764067196918453E-2</v>
      </c>
      <c r="G3" s="175">
        <f>SUMIFS('Phan tich_TB'!$CH:$CH,'Phan tich_TB'!$CG:$CG,G1,'Phan tich_TB'!$CE:$CE,"All",'Phan tich_TB'!$CC:$CC,"PV01")</f>
        <v>-2.7052413482364508</v>
      </c>
      <c r="H3" s="393">
        <f>SUMIFS('Phan tich_TB'!$CH:$CH,'Phan tich_TB'!$CG:$CG,H1,'Phan tich_TB'!$CE:$CE,"All",'Phan tich_TB'!$CC:$CC,"PV01")</f>
        <v>-4.1404800069412619</v>
      </c>
      <c r="I3" s="175">
        <f>SUMIFS('Phan tich_TB'!$CH:$CH,'Phan tich_TB'!$CG:$CG,I1,'Phan tich_TB'!$CE:$CE,"All",'Phan tich_TB'!$CC:$CC,"PV01")</f>
        <v>-3.363577214908553</v>
      </c>
      <c r="J3" s="175">
        <f>SUMIFS('Phan tich_TB'!$CH:$CH,'Phan tich_TB'!$CG:$CG,J1,'Phan tich_TB'!$CE:$CE,"All",'Phan tich_TB'!$CC:$CC,"PV01")</f>
        <v>0</v>
      </c>
      <c r="K3" s="175">
        <f>SUMIFS('Phan tich_TB'!$CH:$CH,'Phan tich_TB'!$CG:$CG,K1,'Phan tich_TB'!$CE:$CE,"All",'Phan tich_TB'!$CC:$CC,"PV01")</f>
        <v>0</v>
      </c>
      <c r="L3" s="176" t="s">
        <v>2854</v>
      </c>
      <c r="M3" s="327" t="s">
        <v>2855</v>
      </c>
      <c r="N3" s="317" t="s">
        <v>3031</v>
      </c>
      <c r="P3" s="174" t="s">
        <v>3032</v>
      </c>
      <c r="Q3" s="175">
        <f>VLOOKUP('VaR senerio'!Q$1,'Phan tich_TB'!$EG$2:$EH$13,2,0)</f>
        <v>0</v>
      </c>
      <c r="R3" s="175">
        <f>VLOOKUP('VaR senerio'!R$1,'Phan tich_TB'!$EG$2:$EH$13,2,0)</f>
        <v>0</v>
      </c>
      <c r="S3" s="175">
        <f>VLOOKUP('VaR senerio'!S$1,'Phan tich_TB'!$EG$2:$EH$13,2,0)</f>
        <v>0</v>
      </c>
      <c r="T3" s="175">
        <f>VLOOKUP('VaR senerio'!T$1,'Phan tich_TB'!$EG$2:$EH$13,2,0)</f>
        <v>0</v>
      </c>
      <c r="U3" s="175">
        <f>VLOOKUP('VaR senerio'!U$1,'Phan tich_TB'!$EG$2:$EH$13,2,0)</f>
        <v>0</v>
      </c>
      <c r="V3" s="175">
        <f>VLOOKUP('VaR senerio'!V$1,'Phan tich_TB'!$EG$2:$EH$13,2,0)</f>
        <v>-0.1274391624575</v>
      </c>
      <c r="W3" s="175">
        <f>VLOOKUP('VaR senerio'!W$1,'Phan tich_TB'!$EG$2:$EH$13,2,0)</f>
        <v>-1.1383127481100002</v>
      </c>
      <c r="X3" s="175">
        <f>VLOOKUP('VaR senerio'!X$1,'Phan tich_TB'!$EG$2:$EH$13,2,0)</f>
        <v>-0.39959547869000006</v>
      </c>
      <c r="Y3" s="175">
        <f>VLOOKUP('VaR senerio'!Y$1,'Phan tich_TB'!$EG$2:$EH$13,2,0)</f>
        <v>0</v>
      </c>
      <c r="Z3" s="175">
        <f>VLOOKUP('VaR senerio'!Z$1,'Phan tich_TB'!$EG$2:$EH$13,2,0)</f>
        <v>0</v>
      </c>
      <c r="AA3" s="176" t="s">
        <v>2854</v>
      </c>
      <c r="AB3" s="176" t="s">
        <v>2855</v>
      </c>
      <c r="AC3" s="317" t="s">
        <v>3031</v>
      </c>
      <c r="AE3" s="8" t="s">
        <v>3032</v>
      </c>
      <c r="AF3" s="175">
        <f>SUMIFS('Phan tich_TB'!$CH:$CH,'Phan tich_TB'!$CG:$CG,AF1,'Phan tich_TB'!$CE:$CE,"All",'Phan tich_TB'!$CC:$CC,"PV01")</f>
        <v>0</v>
      </c>
      <c r="AG3" s="175">
        <f>SUMIFS('Phan tich_TB'!$CH:$CH,'Phan tich_TB'!$CG:$CG,AG1,'Phan tich_TB'!$CE:$CE,"All",'Phan tich_TB'!$CC:$CC,"PV01")</f>
        <v>0</v>
      </c>
      <c r="AH3" s="175">
        <f>SUMIFS('Phan tich_TB'!$CH:$CH,'Phan tich_TB'!$CG:$CG,AH1,'Phan tich_TB'!$CE:$CE,"All",'Phan tich_TB'!$CC:$CC,"PV01")</f>
        <v>-9.2207272693740835E-2</v>
      </c>
      <c r="AI3" s="175">
        <f>SUMIFS('Phan tich_TB'!$CH:$CH,'Phan tich_TB'!$CG:$CG,AI1,'Phan tich_TB'!$CE:$CE,"All",'Phan tich_TB'!$CC:$CC,"PV01")</f>
        <v>-0.28848086085057228</v>
      </c>
      <c r="AJ3" s="175">
        <f>SUMIFS('Phan tich_TB'!$CH:$CH,'Phan tich_TB'!$CG:$CG,AJ1,'Phan tich_TB'!$CE:$CE,"All",'Phan tich_TB'!$CC:$CC,"PV01")</f>
        <v>-4.6764067196918453E-2</v>
      </c>
      <c r="AK3" s="175">
        <f>SUMIFS('Phan tich_TB'!$CH:$CH,'Phan tich_TB'!$CG:$CG,AK1,'Phan tich_TB'!$CE:$CE,"All",'Phan tich_TB'!$CC:$CC,"PV01")</f>
        <v>-2.7052413482364508</v>
      </c>
      <c r="AL3" s="175">
        <f>SUMIFS('Phan tich_TB'!$CH:$CH,'Phan tich_TB'!$CG:$CG,AL1,'Phan tich_TB'!$CE:$CE,"All",'Phan tich_TB'!$CC:$CC,"PV01")</f>
        <v>-4.1404800069412619</v>
      </c>
      <c r="AM3" s="175">
        <f>SUMIFS('Phan tich_TB'!$CH:$CH,'Phan tich_TB'!$CG:$CG,AM1,'Phan tich_TB'!$CE:$CE,"All",'Phan tich_TB'!$CC:$CC,"PV01")</f>
        <v>-3.363577214908553</v>
      </c>
      <c r="AN3" s="175">
        <f>SUMIFS('Phan tich_TB'!$CH:$CH,'Phan tich_TB'!$CG:$CG,AN1,'Phan tich_TB'!$CE:$CE,"All",'Phan tich_TB'!$CC:$CC,"PV01")</f>
        <v>0</v>
      </c>
      <c r="AO3" s="175">
        <f>SUMIFS('Phan tich_TB'!$CH:$CH,'Phan tich_TB'!$CG:$CG,AO1,'Phan tich_TB'!$CE:$CE,"All",'Phan tich_TB'!$CC:$CC,"PV01")</f>
        <v>0</v>
      </c>
      <c r="AP3" s="176" t="s">
        <v>2854</v>
      </c>
      <c r="AQ3" s="327" t="s">
        <v>2855</v>
      </c>
      <c r="AR3" s="317" t="s">
        <v>3031</v>
      </c>
      <c r="AT3" s="8" t="s">
        <v>3032</v>
      </c>
      <c r="AU3" s="175">
        <f>VLOOKUP('VaR senerio'!AU$1,'Phan tich_TB'!$EG$2:$EH$13,2,0)</f>
        <v>0</v>
      </c>
      <c r="AV3" s="175">
        <f>VLOOKUP('VaR senerio'!AV$1,'Phan tich_TB'!$EG$2:$EH$13,2,0)</f>
        <v>0</v>
      </c>
      <c r="AW3" s="175">
        <f>VLOOKUP('VaR senerio'!AW$1,'Phan tich_TB'!$EG$2:$EH$13,2,0)</f>
        <v>0</v>
      </c>
      <c r="AX3" s="175">
        <f>VLOOKUP('VaR senerio'!AX$1,'Phan tich_TB'!$EG$2:$EH$13,2,0)</f>
        <v>0</v>
      </c>
      <c r="AY3" s="175">
        <f>VLOOKUP('VaR senerio'!AY$1,'Phan tich_TB'!$EG$2:$EH$13,2,0)</f>
        <v>0</v>
      </c>
      <c r="AZ3" s="175">
        <f>VLOOKUP('VaR senerio'!AZ$1,'Phan tich_TB'!$EG$2:$EH$13,2,0)</f>
        <v>-0.1274391624575</v>
      </c>
      <c r="BA3" s="175">
        <f>VLOOKUP('VaR senerio'!BA$1,'Phan tich_TB'!$EG$2:$EH$13,2,0)</f>
        <v>-1.1383127481100002</v>
      </c>
      <c r="BB3" s="175">
        <f>VLOOKUP('VaR senerio'!BB$1,'Phan tich_TB'!$EG$2:$EH$13,2,0)</f>
        <v>-0.39959547869000006</v>
      </c>
      <c r="BC3" s="175">
        <f>VLOOKUP('VaR senerio'!BC$1,'Phan tich_TB'!$EG$2:$EH$13,2,0)</f>
        <v>0</v>
      </c>
      <c r="BD3" s="175">
        <f>VLOOKUP('VaR senerio'!BD$1,'Phan tich_TB'!$EG$2:$EH$13,2,0)</f>
        <v>0</v>
      </c>
      <c r="BE3" s="176" t="s">
        <v>2854</v>
      </c>
      <c r="BF3" s="176" t="s">
        <v>2855</v>
      </c>
      <c r="BG3" s="317" t="s">
        <v>3031</v>
      </c>
    </row>
    <row r="4" spans="1:59" x14ac:dyDescent="0.3">
      <c r="A4" s="37">
        <v>110</v>
      </c>
      <c r="B4" s="72">
        <f>'Yield 1Y'!R112*B$3</f>
        <v>0</v>
      </c>
      <c r="C4" s="72">
        <f>'Yield 1Y'!S112*C$3</f>
        <v>0</v>
      </c>
      <c r="D4" s="72">
        <f>'Yield 1Y'!T112*D$3</f>
        <v>-0.23051818173435537</v>
      </c>
      <c r="E4" s="72">
        <f>'Yield 1Y'!U112*E$3</f>
        <v>-0.72120215212642813</v>
      </c>
      <c r="F4" s="72">
        <f>'Yield 1Y'!V112*F$3</f>
        <v>-0.11691016799229779</v>
      </c>
      <c r="G4" s="72">
        <f>'Yield 1Y'!W112*G$3</f>
        <v>-3.7873378875310943</v>
      </c>
      <c r="H4" s="72">
        <f>'Yield 1Y'!X112*H$3</f>
        <v>2.8983360048591158</v>
      </c>
      <c r="I4" s="72">
        <f>'Yield 1Y'!Y112*I$3</f>
        <v>-2.3545040504358772</v>
      </c>
      <c r="J4" s="72">
        <f>'Yield 1Y'!Z112*J$3</f>
        <v>0</v>
      </c>
      <c r="K4" s="72">
        <f>'Yield 1Y'!AA112*K$3</f>
        <v>0</v>
      </c>
      <c r="L4" s="177">
        <f t="shared" ref="L4:L67" si="0">-SUM(B4:K4)</f>
        <v>4.3121364349609372</v>
      </c>
      <c r="M4" s="124">
        <f>VLOOKUP(A4,'Yield 1Y'!$F:$G,2,0)</f>
        <v>46094</v>
      </c>
      <c r="N4" s="318">
        <f t="shared" ref="N4:N67" si="1">_xlfn.RANK.AVG(L4,$L$4:$L$255)</f>
        <v>70</v>
      </c>
      <c r="P4" s="37">
        <v>1</v>
      </c>
      <c r="Q4" s="72">
        <f>Q$3*'Yield 1Y'!R3</f>
        <v>0</v>
      </c>
      <c r="R4" s="72">
        <f>R$3*'Yield 1Y'!S3</f>
        <v>0</v>
      </c>
      <c r="S4" s="72">
        <f>S$3*'Yield 1Y'!T3</f>
        <v>0</v>
      </c>
      <c r="T4" s="72">
        <f>T$3*'Yield 1Y'!U3</f>
        <v>0</v>
      </c>
      <c r="U4" s="72">
        <f>U$3*'Yield 1Y'!V3</f>
        <v>0</v>
      </c>
      <c r="V4" s="72">
        <f>V$3*'Yield 1Y'!W3</f>
        <v>2.5487832491497196E-2</v>
      </c>
      <c r="W4" s="72">
        <f>W$3*'Yield 1Y'!X3</f>
        <v>0.56915637405498798</v>
      </c>
      <c r="X4" s="72">
        <f>X$3*'Yield 1Y'!Y3</f>
        <v>0</v>
      </c>
      <c r="Y4" s="72">
        <f>Y$3*'Yield 1Y'!Z3</f>
        <v>0</v>
      </c>
      <c r="Z4" s="72">
        <f>Z$3*'Yield 1Y'!AA3</f>
        <v>0</v>
      </c>
      <c r="AA4" s="177">
        <f t="shared" ref="AA4:AA67" si="2">-SUM(Q4:Z4)</f>
        <v>-0.5946442065464852</v>
      </c>
      <c r="AB4" s="124">
        <f>VLOOKUP(P4,'Yield 1Y'!$F:$G,2,0)</f>
        <v>46252</v>
      </c>
      <c r="AC4" s="318">
        <f>_xlfn.RANK.EQ(AA4,$AA$4:$AA$255)</f>
        <v>236</v>
      </c>
      <c r="AE4" s="37">
        <v>110</v>
      </c>
      <c r="AF4" s="72">
        <f>AF$3*'Yield 1Y'!AB112</f>
        <v>0</v>
      </c>
      <c r="AG4" s="72">
        <f>AG$3*'Yield 1Y'!AC112</f>
        <v>0</v>
      </c>
      <c r="AH4" s="72">
        <f>AH$3*'Yield 1Y'!AD112</f>
        <v>-0.8851898178599128</v>
      </c>
      <c r="AI4" s="72">
        <f>AI$3*'Yield 1Y'!AE112</f>
        <v>-2.6251758337402133</v>
      </c>
      <c r="AJ4" s="72">
        <f>AJ$3*'Yield 1Y'!AF112</f>
        <v>-0.43022941821165017</v>
      </c>
      <c r="AK4" s="72">
        <f>AK$3*'Yield 1Y'!AG112</f>
        <v>-25.97031694306995</v>
      </c>
      <c r="AL4" s="72">
        <f>AL$3*'Yield 1Y'!AH112</f>
        <v>-50.099808083989267</v>
      </c>
      <c r="AM4" s="72">
        <f>AM$3*'Yield 1Y'!AI112</f>
        <v>-66.598828855189339</v>
      </c>
      <c r="AN4" s="72">
        <f>AN$3*'Yield 1Y'!AJ112</f>
        <v>0</v>
      </c>
      <c r="AO4" s="72">
        <f>AO$3*'Yield 1Y'!AK112</f>
        <v>0</v>
      </c>
      <c r="AP4" s="177">
        <f t="shared" ref="AP4:AP67" si="3">-SUM(AF4:AO4)</f>
        <v>146.60954895206032</v>
      </c>
      <c r="AQ4" s="124">
        <f>VLOOKUP(AE4,'Yield 1Y'!$F:$G,2,0)</f>
        <v>46094</v>
      </c>
      <c r="AR4" s="318">
        <f t="shared" ref="AR4:AR67" si="4">_xlfn.RANK.EQ(AP4,$AP$4:$AP$255)</f>
        <v>16</v>
      </c>
      <c r="AS4" s="35"/>
      <c r="AT4" s="37">
        <v>1</v>
      </c>
      <c r="AU4" s="72">
        <f>AU$3*'Yield 1Y'!AB3</f>
        <v>0</v>
      </c>
      <c r="AV4" s="72">
        <f>AV$3*'Yield 1Y'!AC3</f>
        <v>0</v>
      </c>
      <c r="AW4" s="72">
        <f>AW$3*'Yield 1Y'!AD3</f>
        <v>0</v>
      </c>
      <c r="AX4" s="72">
        <f>AX$3*'Yield 1Y'!AE3</f>
        <v>0</v>
      </c>
      <c r="AY4" s="72">
        <f>AY$3*'Yield 1Y'!AF3</f>
        <v>0</v>
      </c>
      <c r="AZ4" s="72">
        <f>AZ$3*'Yield 1Y'!AG3</f>
        <v>-0.11469524621174303</v>
      </c>
      <c r="BA4" s="72">
        <f>BA$3*'Yield 1Y'!AH3</f>
        <v>-2.3904567710310403</v>
      </c>
      <c r="BB4" s="72">
        <f>BB$3*'Yield 1Y'!AI3</f>
        <v>-0.71927186164200962</v>
      </c>
      <c r="BC4" s="72">
        <f>BC$3*'Yield 1Y'!AJ3</f>
        <v>0</v>
      </c>
      <c r="BD4" s="72">
        <f>BD$3*'Yield 1Y'!AK3</f>
        <v>0</v>
      </c>
      <c r="BE4" s="177">
        <f t="shared" ref="BE4:BE67" si="5">-SUM(AU4:BD4)</f>
        <v>3.2244238788847932</v>
      </c>
      <c r="BF4" s="124">
        <f>VLOOKUP(AT4,'Yield 1Y'!$F:$G,2,0)</f>
        <v>46252</v>
      </c>
      <c r="BG4" s="318">
        <f>_xlfn.RANK.EQ(BE4,$BE$4:$BE$255)</f>
        <v>197</v>
      </c>
    </row>
    <row r="5" spans="1:59" x14ac:dyDescent="0.3">
      <c r="A5" s="37">
        <v>41</v>
      </c>
      <c r="B5" s="72">
        <f>'Yield 1Y'!R43*B$3</f>
        <v>0</v>
      </c>
      <c r="C5" s="72">
        <f>'Yield 1Y'!S43*C$3</f>
        <v>0</v>
      </c>
      <c r="D5" s="72">
        <f>'Yield 1Y'!T43*D$3</f>
        <v>0</v>
      </c>
      <c r="E5" s="72">
        <f>'Yield 1Y'!U43*E$3</f>
        <v>-0.11539234434022902</v>
      </c>
      <c r="F5" s="72">
        <f>'Yield 1Y'!V43*F$3</f>
        <v>-3.2734847037841387E-2</v>
      </c>
      <c r="G5" s="72">
        <f>'Yield 1Y'!W43*G$3</f>
        <v>0</v>
      </c>
      <c r="H5" s="72">
        <f>'Yield 1Y'!X43*H$3</f>
        <v>1.2421440020824257</v>
      </c>
      <c r="I5" s="72">
        <f>'Yield 1Y'!Y43*I$3</f>
        <v>0.67271544298163655</v>
      </c>
      <c r="J5" s="72">
        <f>'Yield 1Y'!Z43*J$3</f>
        <v>0</v>
      </c>
      <c r="K5" s="72">
        <f>'Yield 1Y'!AA43*K$3</f>
        <v>0</v>
      </c>
      <c r="L5" s="177">
        <f t="shared" si="0"/>
        <v>-1.766732253685992</v>
      </c>
      <c r="M5" s="124">
        <f>VLOOKUP(A5,'Yield 1Y'!$F:$G,2,0)</f>
        <v>46196</v>
      </c>
      <c r="N5" s="318">
        <f t="shared" si="1"/>
        <v>229</v>
      </c>
      <c r="P5" s="37">
        <v>2</v>
      </c>
      <c r="Q5" s="72">
        <f>Q$3*'Yield 1Y'!R4</f>
        <v>0</v>
      </c>
      <c r="R5" s="72">
        <f>R$3*'Yield 1Y'!S4</f>
        <v>0</v>
      </c>
      <c r="S5" s="72">
        <f>S$3*'Yield 1Y'!T4</f>
        <v>0</v>
      </c>
      <c r="T5" s="72">
        <f>T$3*'Yield 1Y'!U4</f>
        <v>0</v>
      </c>
      <c r="U5" s="72">
        <f>U$3*'Yield 1Y'!V4</f>
        <v>0</v>
      </c>
      <c r="V5" s="72">
        <f>V$3*'Yield 1Y'!W4</f>
        <v>-0.10195132996600009</v>
      </c>
      <c r="W5" s="72">
        <f>W$3*'Yield 1Y'!X4</f>
        <v>-3.3011069695189907</v>
      </c>
      <c r="X5" s="72">
        <f>X$3*'Yield 1Y'!Y4</f>
        <v>-0.15983819147601791</v>
      </c>
      <c r="Y5" s="72">
        <f>Y$3*'Yield 1Y'!Z4</f>
        <v>0</v>
      </c>
      <c r="Z5" s="72">
        <f>Z$3*'Yield 1Y'!AA4</f>
        <v>0</v>
      </c>
      <c r="AA5" s="177">
        <f t="shared" si="2"/>
        <v>3.5628964909610086</v>
      </c>
      <c r="AB5" s="124">
        <f>VLOOKUP(P5,'Yield 1Y'!$F:$G,2,0)</f>
        <v>46251</v>
      </c>
      <c r="AC5" s="318">
        <f t="shared" ref="AC5:AC68" si="6">_xlfn.RANK.EQ(AA5,$AA$4:$AA$255)</f>
        <v>15</v>
      </c>
      <c r="AE5" s="37">
        <v>109</v>
      </c>
      <c r="AF5" s="72">
        <f>AF$3*'Yield 1Y'!AB111</f>
        <v>0</v>
      </c>
      <c r="AG5" s="72">
        <f>AG$3*'Yield 1Y'!AC111</f>
        <v>0</v>
      </c>
      <c r="AH5" s="72">
        <f>AH$3*'Yield 1Y'!AD111</f>
        <v>-0.84830690878241644</v>
      </c>
      <c r="AI5" s="72">
        <f>AI$3*'Yield 1Y'!AE111</f>
        <v>-2.5097834893999713</v>
      </c>
      <c r="AJ5" s="72">
        <f>AJ$3*'Yield 1Y'!AF111</f>
        <v>-0.39281816445411538</v>
      </c>
      <c r="AK5" s="72">
        <f>AK$3*'Yield 1Y'!AG111</f>
        <v>-24.88822040377525</v>
      </c>
      <c r="AL5" s="72">
        <f>AL$3*'Yield 1Y'!AH111</f>
        <v>-46.373376077742172</v>
      </c>
      <c r="AM5" s="72">
        <f>AM$3*'Yield 1Y'!AI111</f>
        <v>-56.171739488972918</v>
      </c>
      <c r="AN5" s="72">
        <f>AN$3*'Yield 1Y'!AJ111</f>
        <v>0</v>
      </c>
      <c r="AO5" s="72">
        <f>AO$3*'Yield 1Y'!AK111</f>
        <v>0</v>
      </c>
      <c r="AP5" s="177">
        <f t="shared" si="3"/>
        <v>131.18424453312684</v>
      </c>
      <c r="AQ5" s="124">
        <f>VLOOKUP(AE5,'Yield 1Y'!$F:$G,2,0)</f>
        <v>46097</v>
      </c>
      <c r="AR5" s="318">
        <f t="shared" si="4"/>
        <v>22</v>
      </c>
      <c r="AS5" s="35"/>
      <c r="AT5" s="37">
        <v>1</v>
      </c>
      <c r="AU5" s="72">
        <f>AU$3*'Yield 1Y'!AB122</f>
        <v>0</v>
      </c>
      <c r="AV5" s="72">
        <f>AV$3*'Yield 1Y'!AC122</f>
        <v>0</v>
      </c>
      <c r="AW5" s="72">
        <f>AW$3*'Yield 1Y'!AD122</f>
        <v>0</v>
      </c>
      <c r="AX5" s="72">
        <f>AX$3*'Yield 1Y'!AE122</f>
        <v>0</v>
      </c>
      <c r="AY5" s="72">
        <f>AY$3*'Yield 1Y'!AF122</f>
        <v>0</v>
      </c>
      <c r="AZ5" s="72">
        <f>AZ$3*'Yield 1Y'!AG122</f>
        <v>0</v>
      </c>
      <c r="BA5" s="72">
        <f>BA$3*'Yield 1Y'!AH122</f>
        <v>-3.5287695191410164</v>
      </c>
      <c r="BB5" s="72">
        <f>BB$3*'Yield 1Y'!AI122</f>
        <v>-2.3176537764020111</v>
      </c>
      <c r="BC5" s="72">
        <f>BC$3*'Yield 1Y'!AJ122</f>
        <v>0</v>
      </c>
      <c r="BD5" s="72">
        <f>BD$3*'Yield 1Y'!AK122</f>
        <v>0</v>
      </c>
      <c r="BE5" s="177">
        <f t="shared" si="5"/>
        <v>5.846423295543028</v>
      </c>
      <c r="BF5" s="124">
        <f>VLOOKUP(AT5,'Yield 1Y'!$F:$G,2,0)</f>
        <v>46252</v>
      </c>
      <c r="BG5" s="318">
        <f t="shared" ref="BG5:BG68" si="7">_xlfn.RANK.EQ(BE5,$BE$4:$BE$255)</f>
        <v>137</v>
      </c>
    </row>
    <row r="6" spans="1:59" x14ac:dyDescent="0.3">
      <c r="A6" s="37">
        <v>94</v>
      </c>
      <c r="B6" s="72">
        <f>'Yield 1Y'!R96*B$3</f>
        <v>0</v>
      </c>
      <c r="C6" s="72">
        <f>'Yield 1Y'!S96*C$3</f>
        <v>0</v>
      </c>
      <c r="D6" s="72">
        <f>'Yield 1Y'!T96*D$3</f>
        <v>-7.3765818154992738E-2</v>
      </c>
      <c r="E6" s="72">
        <f>'Yield 1Y'!U96*E$3</f>
        <v>-0.11539234434022902</v>
      </c>
      <c r="F6" s="72">
        <f>'Yield 1Y'!V96*F$3</f>
        <v>0</v>
      </c>
      <c r="G6" s="72">
        <f>'Yield 1Y'!W96*G$3</f>
        <v>0</v>
      </c>
      <c r="H6" s="72">
        <f>'Yield 1Y'!X96*H$3</f>
        <v>-2.8983360048587481</v>
      </c>
      <c r="I6" s="72">
        <f>'Yield 1Y'!Y96*I$3</f>
        <v>-3.0272194934178125</v>
      </c>
      <c r="J6" s="72">
        <f>'Yield 1Y'!Z96*J$3</f>
        <v>0</v>
      </c>
      <c r="K6" s="72">
        <f>'Yield 1Y'!AA96*K$3</f>
        <v>0</v>
      </c>
      <c r="L6" s="177">
        <f t="shared" si="0"/>
        <v>6.1147136607717822</v>
      </c>
      <c r="M6" s="124">
        <f>VLOOKUP(A6,'Yield 1Y'!$F:$G,2,0)</f>
        <v>46118</v>
      </c>
      <c r="N6" s="318">
        <f t="shared" si="1"/>
        <v>55</v>
      </c>
      <c r="P6" s="37">
        <v>3</v>
      </c>
      <c r="Q6" s="72">
        <f>Q$3*'Yield 1Y'!R5</f>
        <v>0</v>
      </c>
      <c r="R6" s="72">
        <f>R$3*'Yield 1Y'!S5</f>
        <v>0</v>
      </c>
      <c r="S6" s="72">
        <f>S$3*'Yield 1Y'!T5</f>
        <v>0</v>
      </c>
      <c r="T6" s="72">
        <f>T$3*'Yield 1Y'!U5</f>
        <v>0</v>
      </c>
      <c r="U6" s="72">
        <f>U$3*'Yield 1Y'!V5</f>
        <v>0</v>
      </c>
      <c r="V6" s="72">
        <f>V$3*'Yield 1Y'!W5</f>
        <v>3.823174873725145E-2</v>
      </c>
      <c r="W6" s="72">
        <f>W$3*'Yield 1Y'!X5</f>
        <v>-0.11383127481103802</v>
      </c>
      <c r="X6" s="72">
        <f>X$3*'Yield 1Y'!Y5</f>
        <v>0</v>
      </c>
      <c r="Y6" s="72">
        <f>Y$3*'Yield 1Y'!Z5</f>
        <v>0</v>
      </c>
      <c r="Z6" s="72">
        <f>Z$3*'Yield 1Y'!AA5</f>
        <v>0</v>
      </c>
      <c r="AA6" s="177">
        <f t="shared" si="2"/>
        <v>7.5599526073786574E-2</v>
      </c>
      <c r="AB6" s="124">
        <f>VLOOKUP(P6,'Yield 1Y'!$F:$G,2,0)</f>
        <v>46248</v>
      </c>
      <c r="AC6" s="318">
        <f t="shared" si="6"/>
        <v>168</v>
      </c>
      <c r="AE6" s="37">
        <v>108</v>
      </c>
      <c r="AF6" s="72">
        <f>AF$3*'Yield 1Y'!AB110</f>
        <v>0</v>
      </c>
      <c r="AG6" s="72">
        <f>AG$3*'Yield 1Y'!AC110</f>
        <v>0</v>
      </c>
      <c r="AH6" s="72">
        <f>AH$3*'Yield 1Y'!AD110</f>
        <v>-1.1986945450186339</v>
      </c>
      <c r="AI6" s="72">
        <f>AI$3*'Yield 1Y'!AE110</f>
        <v>-0.95198684080689899</v>
      </c>
      <c r="AJ6" s="72">
        <f>AJ$3*'Yield 1Y'!AF110</f>
        <v>-0.52375755260548718</v>
      </c>
      <c r="AK6" s="72">
        <f>AK$3*'Yield 1Y'!AG110</f>
        <v>-10.279917123298342</v>
      </c>
      <c r="AL6" s="72">
        <f>AL$3*'Yield 1Y'!AH110</f>
        <v>-57.138624095789375</v>
      </c>
      <c r="AM6" s="72">
        <f>AM$3*'Yield 1Y'!AI110</f>
        <v>-63.235251640280858</v>
      </c>
      <c r="AN6" s="72">
        <f>AN$3*'Yield 1Y'!AJ110</f>
        <v>0</v>
      </c>
      <c r="AO6" s="72">
        <f>AO$3*'Yield 1Y'!AK110</f>
        <v>0</v>
      </c>
      <c r="AP6" s="177">
        <f t="shared" si="3"/>
        <v>133.32823179779959</v>
      </c>
      <c r="AQ6" s="124">
        <f>VLOOKUP(AE6,'Yield 1Y'!$F:$G,2,0)</f>
        <v>46098</v>
      </c>
      <c r="AR6" s="318">
        <f t="shared" si="4"/>
        <v>20</v>
      </c>
      <c r="AS6" s="35"/>
      <c r="AT6" s="37">
        <v>2</v>
      </c>
      <c r="AU6" s="72">
        <f>AU$3*'Yield 1Y'!AB4</f>
        <v>0</v>
      </c>
      <c r="AV6" s="72">
        <f>AV$3*'Yield 1Y'!AC4</f>
        <v>0</v>
      </c>
      <c r="AW6" s="72">
        <f>AW$3*'Yield 1Y'!AD4</f>
        <v>0</v>
      </c>
      <c r="AX6" s="72">
        <f>AX$3*'Yield 1Y'!AE4</f>
        <v>0</v>
      </c>
      <c r="AY6" s="72">
        <f>AY$3*'Yield 1Y'!AF4</f>
        <v>0</v>
      </c>
      <c r="AZ6" s="72">
        <f>AZ$3*'Yield 1Y'!AG4</f>
        <v>-0.11469524621174303</v>
      </c>
      <c r="BA6" s="72">
        <f>BA$3*'Yield 1Y'!AH4</f>
        <v>-2.3904567710310403</v>
      </c>
      <c r="BB6" s="72">
        <f>BB$3*'Yield 1Y'!AI4</f>
        <v>-1.0389482445939922</v>
      </c>
      <c r="BC6" s="72">
        <f>BC$3*'Yield 1Y'!AJ4</f>
        <v>0</v>
      </c>
      <c r="BD6" s="72">
        <f>BD$3*'Yield 1Y'!AK4</f>
        <v>0</v>
      </c>
      <c r="BE6" s="177">
        <f t="shared" si="5"/>
        <v>3.5441002618367756</v>
      </c>
      <c r="BF6" s="124">
        <f>VLOOKUP(AT6,'Yield 1Y'!$F:$G,2,0)</f>
        <v>46251</v>
      </c>
      <c r="BG6" s="318">
        <f t="shared" si="7"/>
        <v>185</v>
      </c>
    </row>
    <row r="7" spans="1:59" x14ac:dyDescent="0.3">
      <c r="A7" s="37">
        <v>95</v>
      </c>
      <c r="B7" s="72">
        <f>'Yield 1Y'!R97*B$3</f>
        <v>0</v>
      </c>
      <c r="C7" s="72">
        <f>'Yield 1Y'!S97*C$3</f>
        <v>0</v>
      </c>
      <c r="D7" s="72">
        <f>'Yield 1Y'!T97*D$3</f>
        <v>0</v>
      </c>
      <c r="E7" s="72">
        <f>'Yield 1Y'!U97*E$3</f>
        <v>0</v>
      </c>
      <c r="F7" s="72">
        <f>'Yield 1Y'!V97*F$3</f>
        <v>0</v>
      </c>
      <c r="G7" s="72">
        <f>'Yield 1Y'!W97*G$3</f>
        <v>-1.3526206741181965</v>
      </c>
      <c r="H7" s="72">
        <f>'Yield 1Y'!X97*H$3</f>
        <v>-2.070240003470587</v>
      </c>
      <c r="I7" s="72">
        <f>'Yield 1Y'!Y97*I$3</f>
        <v>0</v>
      </c>
      <c r="J7" s="72">
        <f>'Yield 1Y'!Z97*J$3</f>
        <v>0</v>
      </c>
      <c r="K7" s="72">
        <f>'Yield 1Y'!AA97*K$3</f>
        <v>0</v>
      </c>
      <c r="L7" s="177">
        <f t="shared" si="0"/>
        <v>3.4228606775887833</v>
      </c>
      <c r="M7" s="124">
        <f>VLOOKUP(A7,'Yield 1Y'!$F:$G,2,0)</f>
        <v>46115</v>
      </c>
      <c r="N7" s="318">
        <f t="shared" si="1"/>
        <v>84</v>
      </c>
      <c r="P7" s="37">
        <v>4</v>
      </c>
      <c r="Q7" s="72">
        <f>Q$3*'Yield 1Y'!R6</f>
        <v>0</v>
      </c>
      <c r="R7" s="72">
        <f>R$3*'Yield 1Y'!S6</f>
        <v>0</v>
      </c>
      <c r="S7" s="72">
        <f>S$3*'Yield 1Y'!T6</f>
        <v>0</v>
      </c>
      <c r="T7" s="72">
        <f>T$3*'Yield 1Y'!U6</f>
        <v>0</v>
      </c>
      <c r="U7" s="72">
        <f>U$3*'Yield 1Y'!V6</f>
        <v>0</v>
      </c>
      <c r="V7" s="72">
        <f>V$3*'Yield 1Y'!W6</f>
        <v>-0.10195132996600009</v>
      </c>
      <c r="W7" s="72">
        <f>W$3*'Yield 1Y'!X6</f>
        <v>0</v>
      </c>
      <c r="X7" s="72">
        <f>X$3*'Yield 1Y'!Y6</f>
        <v>0</v>
      </c>
      <c r="Y7" s="72">
        <f>Y$3*'Yield 1Y'!Z6</f>
        <v>0</v>
      </c>
      <c r="Z7" s="72">
        <f>Z$3*'Yield 1Y'!AA6</f>
        <v>0</v>
      </c>
      <c r="AA7" s="177">
        <f t="shared" si="2"/>
        <v>0.10195132996600009</v>
      </c>
      <c r="AB7" s="124">
        <f>VLOOKUP(P7,'Yield 1Y'!$F:$G,2,0)</f>
        <v>46247</v>
      </c>
      <c r="AC7" s="318">
        <f t="shared" si="6"/>
        <v>165</v>
      </c>
      <c r="AE7" s="37">
        <v>111</v>
      </c>
      <c r="AF7" s="72">
        <f>AF$3*'Yield 1Y'!AB113</f>
        <v>0</v>
      </c>
      <c r="AG7" s="72">
        <f>AG$3*'Yield 1Y'!AC113</f>
        <v>0</v>
      </c>
      <c r="AH7" s="72">
        <f>AH$3*'Yield 1Y'!AD113</f>
        <v>-0.69155454520305792</v>
      </c>
      <c r="AI7" s="72">
        <f>AI$3*'Yield 1Y'!AE113</f>
        <v>-2.5097834893999713</v>
      </c>
      <c r="AJ7" s="72">
        <f>AJ$3*'Yield 1Y'!AF113</f>
        <v>-0.33202487709812184</v>
      </c>
      <c r="AK7" s="72">
        <f>AK$3*'Yield 1Y'!AG113</f>
        <v>-25.97031694306995</v>
      </c>
      <c r="AL7" s="72">
        <f>AL$3*'Yield 1Y'!AH113</f>
        <v>-39.748608066635967</v>
      </c>
      <c r="AM7" s="72">
        <f>AM$3*'Yield 1Y'!AI113</f>
        <v>-58.189885817917983</v>
      </c>
      <c r="AN7" s="72">
        <f>AN$3*'Yield 1Y'!AJ113</f>
        <v>0</v>
      </c>
      <c r="AO7" s="72">
        <f>AO$3*'Yield 1Y'!AK113</f>
        <v>0</v>
      </c>
      <c r="AP7" s="177">
        <f t="shared" si="3"/>
        <v>127.44217373932504</v>
      </c>
      <c r="AQ7" s="124">
        <f>VLOOKUP(AE7,'Yield 1Y'!$F:$G,2,0)</f>
        <v>46093</v>
      </c>
      <c r="AR7" s="318">
        <f t="shared" si="4"/>
        <v>25</v>
      </c>
      <c r="AS7" s="35"/>
      <c r="AT7" s="37">
        <v>2</v>
      </c>
      <c r="AU7" s="72">
        <f>AU$3*'Yield 1Y'!AB115</f>
        <v>0</v>
      </c>
      <c r="AV7" s="72">
        <f>AV$3*'Yield 1Y'!AC115</f>
        <v>0</v>
      </c>
      <c r="AW7" s="72">
        <f>AW$3*'Yield 1Y'!AD115</f>
        <v>0</v>
      </c>
      <c r="AX7" s="72">
        <f>AX$3*'Yield 1Y'!AE115</f>
        <v>0</v>
      </c>
      <c r="AY7" s="72">
        <f>AY$3*'Yield 1Y'!AF115</f>
        <v>0</v>
      </c>
      <c r="AZ7" s="72">
        <f>AZ$3*'Yield 1Y'!AG115</f>
        <v>-0.79012280723650352</v>
      </c>
      <c r="BA7" s="72">
        <f>BA$3*'Yield 1Y'!AH115</f>
        <v>-7.1713703130929698</v>
      </c>
      <c r="BB7" s="72">
        <f>BB$3*'Yield 1Y'!AI115</f>
        <v>-3.2367233773889987</v>
      </c>
      <c r="BC7" s="72">
        <f>BC$3*'Yield 1Y'!AJ115</f>
        <v>0</v>
      </c>
      <c r="BD7" s="72">
        <f>BD$3*'Yield 1Y'!AK115</f>
        <v>0</v>
      </c>
      <c r="BE7" s="177">
        <f t="shared" si="5"/>
        <v>11.198216497718473</v>
      </c>
      <c r="BF7" s="124">
        <f>VLOOKUP(AT7,'Yield 1Y'!$F:$G,2,0)</f>
        <v>46251</v>
      </c>
      <c r="BG7" s="318">
        <f t="shared" si="7"/>
        <v>54</v>
      </c>
    </row>
    <row r="8" spans="1:59" x14ac:dyDescent="0.3">
      <c r="A8" s="37">
        <v>79</v>
      </c>
      <c r="B8" s="72">
        <f>'Yield 1Y'!R81*B$3</f>
        <v>0</v>
      </c>
      <c r="C8" s="72">
        <f>'Yield 1Y'!S81*C$3</f>
        <v>0</v>
      </c>
      <c r="D8" s="72">
        <f>'Yield 1Y'!T81*D$3</f>
        <v>0</v>
      </c>
      <c r="E8" s="72">
        <f>'Yield 1Y'!U81*E$3</f>
        <v>0</v>
      </c>
      <c r="F8" s="72">
        <f>'Yield 1Y'!V81*F$3</f>
        <v>0</v>
      </c>
      <c r="G8" s="72">
        <f>'Yield 1Y'!W81*G$3</f>
        <v>0</v>
      </c>
      <c r="H8" s="72">
        <f>'Yield 1Y'!X81*H$3</f>
        <v>0</v>
      </c>
      <c r="I8" s="72">
        <f>'Yield 1Y'!Y81*I$3</f>
        <v>0</v>
      </c>
      <c r="J8" s="72">
        <f>'Yield 1Y'!Z81*J$3</f>
        <v>0</v>
      </c>
      <c r="K8" s="72">
        <f>'Yield 1Y'!AA81*K$3</f>
        <v>0</v>
      </c>
      <c r="L8" s="177">
        <f t="shared" si="0"/>
        <v>0</v>
      </c>
      <c r="M8" s="124">
        <f>VLOOKUP(A8,'Yield 1Y'!$F:$G,2,0)</f>
        <v>46140</v>
      </c>
      <c r="N8" s="318">
        <f t="shared" si="1"/>
        <v>195.5</v>
      </c>
      <c r="P8" s="37">
        <v>5</v>
      </c>
      <c r="Q8" s="72">
        <f>Q$3*'Yield 1Y'!R7</f>
        <v>0</v>
      </c>
      <c r="R8" s="72">
        <f>R$3*'Yield 1Y'!S7</f>
        <v>0</v>
      </c>
      <c r="S8" s="72">
        <f>S$3*'Yield 1Y'!T7</f>
        <v>0</v>
      </c>
      <c r="T8" s="72">
        <f>T$3*'Yield 1Y'!U7</f>
        <v>0</v>
      </c>
      <c r="U8" s="72">
        <f>U$3*'Yield 1Y'!V7</f>
        <v>0</v>
      </c>
      <c r="V8" s="72">
        <f>V$3*'Yield 1Y'!W7</f>
        <v>0</v>
      </c>
      <c r="W8" s="72">
        <f>W$3*'Yield 1Y'!X7</f>
        <v>-0.56915637405498798</v>
      </c>
      <c r="X8" s="72">
        <f>X$3*'Yield 1Y'!Y7</f>
        <v>0</v>
      </c>
      <c r="Y8" s="72">
        <f>Y$3*'Yield 1Y'!Z7</f>
        <v>0</v>
      </c>
      <c r="Z8" s="72">
        <f>Z$3*'Yield 1Y'!AA7</f>
        <v>0</v>
      </c>
      <c r="AA8" s="177">
        <f t="shared" si="2"/>
        <v>0.56915637405498798</v>
      </c>
      <c r="AB8" s="124">
        <f>VLOOKUP(P8,'Yield 1Y'!$F:$G,2,0)</f>
        <v>46246</v>
      </c>
      <c r="AC8" s="318">
        <f t="shared" si="6"/>
        <v>90</v>
      </c>
      <c r="AE8" s="37">
        <v>107</v>
      </c>
      <c r="AF8" s="72">
        <f>AF$3*'Yield 1Y'!AB109</f>
        <v>0</v>
      </c>
      <c r="AG8" s="72">
        <f>AG$3*'Yield 1Y'!AC109</f>
        <v>0</v>
      </c>
      <c r="AH8" s="72">
        <f>AH$3*'Yield 1Y'!AD109</f>
        <v>-1.1986945450186339</v>
      </c>
      <c r="AI8" s="72">
        <f>AI$3*'Yield 1Y'!AE109</f>
        <v>-0.95198684080689899</v>
      </c>
      <c r="AJ8" s="72">
        <f>AJ$3*'Yield 1Y'!AF109</f>
        <v>-0.52375755260548718</v>
      </c>
      <c r="AK8" s="72">
        <f>AK$3*'Yield 1Y'!AG109</f>
        <v>-10.279917123298342</v>
      </c>
      <c r="AL8" s="72">
        <f>AL$3*'Yield 1Y'!AH109</f>
        <v>-57.138624095789375</v>
      </c>
      <c r="AM8" s="72">
        <f>AM$3*'Yield 1Y'!AI109</f>
        <v>-63.907967083262484</v>
      </c>
      <c r="AN8" s="72">
        <f>AN$3*'Yield 1Y'!AJ109</f>
        <v>0</v>
      </c>
      <c r="AO8" s="72">
        <f>AO$3*'Yield 1Y'!AK109</f>
        <v>0</v>
      </c>
      <c r="AP8" s="177">
        <f t="shared" si="3"/>
        <v>134.00094724078122</v>
      </c>
      <c r="AQ8" s="124">
        <f>VLOOKUP(AE8,'Yield 1Y'!$F:$G,2,0)</f>
        <v>46099</v>
      </c>
      <c r="AR8" s="318">
        <f t="shared" si="4"/>
        <v>19</v>
      </c>
      <c r="AS8" s="35"/>
      <c r="AT8" s="37">
        <v>3</v>
      </c>
      <c r="AU8" s="72">
        <f>AU$3*'Yield 1Y'!AB5</f>
        <v>0</v>
      </c>
      <c r="AV8" s="72">
        <f>AV$3*'Yield 1Y'!AC5</f>
        <v>0</v>
      </c>
      <c r="AW8" s="72">
        <f>AW$3*'Yield 1Y'!AD5</f>
        <v>0</v>
      </c>
      <c r="AX8" s="72">
        <f>AX$3*'Yield 1Y'!AE5</f>
        <v>0</v>
      </c>
      <c r="AY8" s="72">
        <f>AY$3*'Yield 1Y'!AF5</f>
        <v>0</v>
      </c>
      <c r="AZ8" s="72">
        <f>AZ$3*'Yield 1Y'!AG5</f>
        <v>-0.11469524621174303</v>
      </c>
      <c r="BA8" s="72">
        <f>BA$3*'Yield 1Y'!AH5</f>
        <v>-7.0575390382820329</v>
      </c>
      <c r="BB8" s="72">
        <f>BB$3*'Yield 1Y'!AI5</f>
        <v>-1.7182605583670063</v>
      </c>
      <c r="BC8" s="72">
        <f>BC$3*'Yield 1Y'!AJ5</f>
        <v>0</v>
      </c>
      <c r="BD8" s="72">
        <f>BD$3*'Yield 1Y'!AK5</f>
        <v>0</v>
      </c>
      <c r="BE8" s="177">
        <f t="shared" si="5"/>
        <v>8.8904948428607824</v>
      </c>
      <c r="BF8" s="124">
        <f>VLOOKUP(AT8,'Yield 1Y'!$F:$G,2,0)</f>
        <v>46248</v>
      </c>
      <c r="BG8" s="318">
        <f t="shared" si="7"/>
        <v>74</v>
      </c>
    </row>
    <row r="9" spans="1:59" x14ac:dyDescent="0.3">
      <c r="A9" s="37">
        <v>81</v>
      </c>
      <c r="B9" s="72">
        <f>'Yield 1Y'!R83*B$3</f>
        <v>0</v>
      </c>
      <c r="C9" s="72">
        <f>'Yield 1Y'!S83*C$3</f>
        <v>0</v>
      </c>
      <c r="D9" s="72">
        <f>'Yield 1Y'!T83*D$3</f>
        <v>-3.6882909077496369E-2</v>
      </c>
      <c r="E9" s="72">
        <f>'Yield 1Y'!U83*E$3</f>
        <v>-8.6544258255162154E-2</v>
      </c>
      <c r="F9" s="72">
        <f>'Yield 1Y'!V83*F$3</f>
        <v>-9.3528134393826602E-3</v>
      </c>
      <c r="G9" s="72">
        <f>'Yield 1Y'!W83*G$3</f>
        <v>0.81157240447096601</v>
      </c>
      <c r="H9" s="72">
        <f>'Yield 1Y'!X83*H$3</f>
        <v>-1.242144002082058</v>
      </c>
      <c r="I9" s="72">
        <f>'Yield 1Y'!Y83*I$3</f>
        <v>0</v>
      </c>
      <c r="J9" s="72">
        <f>'Yield 1Y'!Z83*J$3</f>
        <v>0</v>
      </c>
      <c r="K9" s="72">
        <f>'Yield 1Y'!AA83*K$3</f>
        <v>0</v>
      </c>
      <c r="L9" s="177">
        <f t="shared" si="0"/>
        <v>0.5633515783831331</v>
      </c>
      <c r="M9" s="124">
        <f>VLOOKUP(A9,'Yield 1Y'!$F:$G,2,0)</f>
        <v>46135</v>
      </c>
      <c r="N9" s="318">
        <f t="shared" si="1"/>
        <v>168</v>
      </c>
      <c r="P9" s="37">
        <v>6</v>
      </c>
      <c r="Q9" s="72">
        <f>Q$3*'Yield 1Y'!R8</f>
        <v>0</v>
      </c>
      <c r="R9" s="72">
        <f>R$3*'Yield 1Y'!S8</f>
        <v>0</v>
      </c>
      <c r="S9" s="72">
        <f>S$3*'Yield 1Y'!T8</f>
        <v>0</v>
      </c>
      <c r="T9" s="72">
        <f>T$3*'Yield 1Y'!U8</f>
        <v>0</v>
      </c>
      <c r="U9" s="72">
        <f>U$3*'Yield 1Y'!V8</f>
        <v>0</v>
      </c>
      <c r="V9" s="72">
        <f>V$3*'Yield 1Y'!W8</f>
        <v>-3.823174873725145E-2</v>
      </c>
      <c r="W9" s="72">
        <f>W$3*'Yield 1Y'!X8</f>
        <v>-0.22766254962197496</v>
      </c>
      <c r="X9" s="72">
        <f>X$3*'Yield 1Y'!Y8</f>
        <v>0</v>
      </c>
      <c r="Y9" s="72">
        <f>Y$3*'Yield 1Y'!Z8</f>
        <v>0</v>
      </c>
      <c r="Z9" s="72">
        <f>Z$3*'Yield 1Y'!AA8</f>
        <v>0</v>
      </c>
      <c r="AA9" s="177">
        <f t="shared" si="2"/>
        <v>0.2658942983592264</v>
      </c>
      <c r="AB9" s="124">
        <f>VLOOKUP(P9,'Yield 1Y'!$F:$G,2,0)</f>
        <v>46245</v>
      </c>
      <c r="AC9" s="318">
        <f t="shared" si="6"/>
        <v>132</v>
      </c>
      <c r="AE9" s="37">
        <v>106</v>
      </c>
      <c r="AF9" s="72">
        <f>AF$3*'Yield 1Y'!AB108</f>
        <v>0</v>
      </c>
      <c r="AG9" s="72">
        <f>AG$3*'Yield 1Y'!AC108</f>
        <v>0</v>
      </c>
      <c r="AH9" s="72">
        <f>AH$3*'Yield 1Y'!AD108</f>
        <v>-1.1986945450186339</v>
      </c>
      <c r="AI9" s="72">
        <f>AI$3*'Yield 1Y'!AE108</f>
        <v>-0.95198684080689899</v>
      </c>
      <c r="AJ9" s="72">
        <f>AJ$3*'Yield 1Y'!AF108</f>
        <v>-0.52375755260548718</v>
      </c>
      <c r="AK9" s="72">
        <f>AK$3*'Yield 1Y'!AG108</f>
        <v>-10.279917123298342</v>
      </c>
      <c r="AL9" s="72">
        <f>AL$3*'Yield 1Y'!AH108</f>
        <v>-57.138624095789375</v>
      </c>
      <c r="AM9" s="72">
        <f>AM$3*'Yield 1Y'!AI108</f>
        <v>-60.880747589844823</v>
      </c>
      <c r="AN9" s="72">
        <f>AN$3*'Yield 1Y'!AJ108</f>
        <v>0</v>
      </c>
      <c r="AO9" s="72">
        <f>AO$3*'Yield 1Y'!AK108</f>
        <v>0</v>
      </c>
      <c r="AP9" s="177">
        <f t="shared" si="3"/>
        <v>130.97372774736357</v>
      </c>
      <c r="AQ9" s="124">
        <f>VLOOKUP(AE9,'Yield 1Y'!$F:$G,2,0)</f>
        <v>46100</v>
      </c>
      <c r="AR9" s="318">
        <f t="shared" si="4"/>
        <v>23</v>
      </c>
      <c r="AS9" s="35"/>
      <c r="AT9" s="37">
        <v>3</v>
      </c>
      <c r="AU9" s="72">
        <f>AU$3*'Yield 1Y'!AB200</f>
        <v>0</v>
      </c>
      <c r="AV9" s="72">
        <f>AV$3*'Yield 1Y'!AC200</f>
        <v>0</v>
      </c>
      <c r="AW9" s="72">
        <f>AW$3*'Yield 1Y'!AD200</f>
        <v>0</v>
      </c>
      <c r="AX9" s="72">
        <f>AX$3*'Yield 1Y'!AE200</f>
        <v>0</v>
      </c>
      <c r="AY9" s="72">
        <f>AY$3*'Yield 1Y'!AF200</f>
        <v>0</v>
      </c>
      <c r="AZ9" s="72">
        <f>AZ$3*'Yield 1Y'!AG200</f>
        <v>-0.90481805344825228</v>
      </c>
      <c r="BA9" s="72">
        <f>BA$3*'Yield 1Y'!AH200</f>
        <v>-4.6670822672509917</v>
      </c>
      <c r="BB9" s="72">
        <f>BB$3*'Yield 1Y'!AI200</f>
        <v>-1.0789077924630055</v>
      </c>
      <c r="BC9" s="72">
        <f>BC$3*'Yield 1Y'!AJ200</f>
        <v>0</v>
      </c>
      <c r="BD9" s="72">
        <f>BD$3*'Yield 1Y'!AK200</f>
        <v>0</v>
      </c>
      <c r="BE9" s="177">
        <f t="shared" si="5"/>
        <v>6.6508081131622498</v>
      </c>
      <c r="BF9" s="124">
        <f>VLOOKUP(AT9,'Yield 1Y'!$F:$G,2,0)</f>
        <v>46248</v>
      </c>
      <c r="BG9" s="318">
        <f t="shared" si="7"/>
        <v>116</v>
      </c>
    </row>
    <row r="10" spans="1:59" x14ac:dyDescent="0.3">
      <c r="A10" s="37">
        <v>76</v>
      </c>
      <c r="B10" s="72">
        <f>'Yield 1Y'!R78*B$3</f>
        <v>0</v>
      </c>
      <c r="C10" s="72">
        <f>'Yield 1Y'!S78*C$3</f>
        <v>0</v>
      </c>
      <c r="D10" s="72">
        <f>'Yield 1Y'!T78*D$3</f>
        <v>0.15675236357935854</v>
      </c>
      <c r="E10" s="72">
        <f>'Yield 1Y'!U78*E$3</f>
        <v>0.28848086085056612</v>
      </c>
      <c r="F10" s="72">
        <f>'Yield 1Y'!V78*F$3</f>
        <v>1.8705626878769473E-2</v>
      </c>
      <c r="G10" s="72">
        <f>'Yield 1Y'!W78*G$3</f>
        <v>0.27052413482373544</v>
      </c>
      <c r="H10" s="72">
        <f>'Yield 1Y'!X78*H$3</f>
        <v>-2.4842880041648514</v>
      </c>
      <c r="I10" s="72">
        <f>'Yield 1Y'!Y78*I$3</f>
        <v>0</v>
      </c>
      <c r="J10" s="72">
        <f>'Yield 1Y'!Z78*J$3</f>
        <v>0</v>
      </c>
      <c r="K10" s="72">
        <f>'Yield 1Y'!AA78*K$3</f>
        <v>0</v>
      </c>
      <c r="L10" s="177">
        <f t="shared" si="0"/>
        <v>1.7498250180324217</v>
      </c>
      <c r="M10" s="124">
        <f>VLOOKUP(A10,'Yield 1Y'!$F:$G,2,0)</f>
        <v>46147</v>
      </c>
      <c r="N10" s="318">
        <f t="shared" si="1"/>
        <v>125</v>
      </c>
      <c r="P10" s="37">
        <v>7</v>
      </c>
      <c r="Q10" s="72">
        <f>Q$3*'Yield 1Y'!R9</f>
        <v>0</v>
      </c>
      <c r="R10" s="72">
        <f>R$3*'Yield 1Y'!S9</f>
        <v>0</v>
      </c>
      <c r="S10" s="72">
        <f>S$3*'Yield 1Y'!T9</f>
        <v>0</v>
      </c>
      <c r="T10" s="72">
        <f>T$3*'Yield 1Y'!U9</f>
        <v>0</v>
      </c>
      <c r="U10" s="72">
        <f>U$3*'Yield 1Y'!V9</f>
        <v>0</v>
      </c>
      <c r="V10" s="72">
        <f>V$3*'Yield 1Y'!W9</f>
        <v>-2.5487832491497196E-2</v>
      </c>
      <c r="W10" s="72">
        <f>W$3*'Yield 1Y'!X9</f>
        <v>-0.11383127481103802</v>
      </c>
      <c r="X10" s="72">
        <f>X$3*'Yield 1Y'!Y9</f>
        <v>0</v>
      </c>
      <c r="Y10" s="72">
        <f>Y$3*'Yield 1Y'!Z9</f>
        <v>0</v>
      </c>
      <c r="Z10" s="72">
        <f>Z$3*'Yield 1Y'!AA9</f>
        <v>0</v>
      </c>
      <c r="AA10" s="177">
        <f t="shared" si="2"/>
        <v>0.13931910730253522</v>
      </c>
      <c r="AB10" s="124">
        <f>VLOOKUP(P10,'Yield 1Y'!$F:$G,2,0)</f>
        <v>46244</v>
      </c>
      <c r="AC10" s="318">
        <f t="shared" si="6"/>
        <v>156</v>
      </c>
      <c r="AE10" s="37">
        <v>104</v>
      </c>
      <c r="AF10" s="72">
        <f>AF$3*'Yield 1Y'!AB106</f>
        <v>0</v>
      </c>
      <c r="AG10" s="72">
        <f>AG$3*'Yield 1Y'!AC106</f>
        <v>0</v>
      </c>
      <c r="AH10" s="72">
        <f>AH$3*'Yield 1Y'!AD106</f>
        <v>-1.0788250905167678</v>
      </c>
      <c r="AI10" s="72">
        <f>AI$3*'Yield 1Y'!AE106</f>
        <v>-1.1827715294873571</v>
      </c>
      <c r="AJ10" s="72">
        <f>AJ$3*'Yield 1Y'!AF106</f>
        <v>-0.46764067196918285</v>
      </c>
      <c r="AK10" s="72">
        <f>AK$3*'Yield 1Y'!AG106</f>
        <v>-10.279917123298342</v>
      </c>
      <c r="AL10" s="72">
        <f>AL$3*'Yield 1Y'!AH106</f>
        <v>-50.927904085377612</v>
      </c>
      <c r="AM10" s="72">
        <f>AM$3*'Yield 1Y'!AI106</f>
        <v>-56.844454931954566</v>
      </c>
      <c r="AN10" s="72">
        <f>AN$3*'Yield 1Y'!AJ106</f>
        <v>0</v>
      </c>
      <c r="AO10" s="72">
        <f>AO$3*'Yield 1Y'!AK106</f>
        <v>0</v>
      </c>
      <c r="AP10" s="177">
        <f t="shared" si="3"/>
        <v>120.78151343260382</v>
      </c>
      <c r="AQ10" s="124">
        <f>VLOOKUP(AE10,'Yield 1Y'!$F:$G,2,0)</f>
        <v>46104</v>
      </c>
      <c r="AR10" s="318">
        <f t="shared" si="4"/>
        <v>28</v>
      </c>
      <c r="AS10" s="35"/>
      <c r="AT10" s="37">
        <v>4</v>
      </c>
      <c r="AU10" s="72">
        <f>AU$3*'Yield 1Y'!AB165</f>
        <v>0</v>
      </c>
      <c r="AV10" s="72">
        <f>AV$3*'Yield 1Y'!AC165</f>
        <v>0</v>
      </c>
      <c r="AW10" s="72">
        <f>AW$3*'Yield 1Y'!AD165</f>
        <v>0</v>
      </c>
      <c r="AX10" s="72">
        <f>AX$3*'Yield 1Y'!AE165</f>
        <v>0</v>
      </c>
      <c r="AY10" s="72">
        <f>AY$3*'Yield 1Y'!AF165</f>
        <v>0</v>
      </c>
      <c r="AZ10" s="72">
        <f>AZ$3*'Yield 1Y'!AG165</f>
        <v>-0.61170797979600056</v>
      </c>
      <c r="BA10" s="72">
        <f>BA$3*'Yield 1Y'!AH165</f>
        <v>-1.5936378473540269</v>
      </c>
      <c r="BB10" s="72">
        <f>BB$3*'Yield 1Y'!AI165</f>
        <v>-0.83915050524899648</v>
      </c>
      <c r="BC10" s="72">
        <f>BC$3*'Yield 1Y'!AJ165</f>
        <v>0</v>
      </c>
      <c r="BD10" s="72">
        <f>BD$3*'Yield 1Y'!AK165</f>
        <v>0</v>
      </c>
      <c r="BE10" s="177">
        <f t="shared" si="5"/>
        <v>3.044496332399024</v>
      </c>
      <c r="BF10" s="124">
        <f>VLOOKUP(AT10,'Yield 1Y'!$F:$G,2,0)</f>
        <v>46247</v>
      </c>
      <c r="BG10" s="318">
        <f t="shared" si="7"/>
        <v>200</v>
      </c>
    </row>
    <row r="11" spans="1:59" x14ac:dyDescent="0.3">
      <c r="A11" s="37">
        <v>140</v>
      </c>
      <c r="B11" s="72">
        <f>'Yield 1Y'!R142*B$3</f>
        <v>0</v>
      </c>
      <c r="C11" s="72">
        <f>'Yield 1Y'!S142*C$3</f>
        <v>0</v>
      </c>
      <c r="D11" s="72">
        <f>'Yield 1Y'!T142*D$3</f>
        <v>0</v>
      </c>
      <c r="E11" s="72">
        <f>'Yield 1Y'!U142*E$3</f>
        <v>-5.7696172170108105E-2</v>
      </c>
      <c r="F11" s="72">
        <f>'Yield 1Y'!V142*F$3</f>
        <v>-1.402922015907399E-2</v>
      </c>
      <c r="G11" s="72">
        <f>'Yield 1Y'!W142*G$3</f>
        <v>-2.9757654830601283</v>
      </c>
      <c r="H11" s="72">
        <f>'Yield 1Y'!X142*H$3</f>
        <v>1.2421440020824257</v>
      </c>
      <c r="I11" s="72">
        <f>'Yield 1Y'!Y142*I$3</f>
        <v>-1.6817886074542407</v>
      </c>
      <c r="J11" s="72">
        <f>'Yield 1Y'!Z142*J$3</f>
        <v>0</v>
      </c>
      <c r="K11" s="72">
        <f>'Yield 1Y'!AA142*K$3</f>
        <v>0</v>
      </c>
      <c r="L11" s="177">
        <f t="shared" si="0"/>
        <v>3.4871354807611255</v>
      </c>
      <c r="M11" s="124">
        <f>VLOOKUP(A11,'Yield 1Y'!$F:$G,2,0)</f>
        <v>46045</v>
      </c>
      <c r="N11" s="318">
        <f t="shared" si="1"/>
        <v>83</v>
      </c>
      <c r="P11" s="37">
        <v>8</v>
      </c>
      <c r="Q11" s="72">
        <f>Q$3*'Yield 1Y'!R10</f>
        <v>0</v>
      </c>
      <c r="R11" s="72">
        <f>R$3*'Yield 1Y'!S10</f>
        <v>0</v>
      </c>
      <c r="S11" s="72">
        <f>S$3*'Yield 1Y'!T10</f>
        <v>0</v>
      </c>
      <c r="T11" s="72">
        <f>T$3*'Yield 1Y'!U10</f>
        <v>0</v>
      </c>
      <c r="U11" s="72">
        <f>U$3*'Yield 1Y'!V10</f>
        <v>0</v>
      </c>
      <c r="V11" s="72">
        <f>V$3*'Yield 1Y'!W10</f>
        <v>-8.9207413720257159E-2</v>
      </c>
      <c r="W11" s="72">
        <f>W$3*'Yield 1Y'!X10</f>
        <v>-0.34149382443301302</v>
      </c>
      <c r="X11" s="72">
        <f>X$3*'Yield 1Y'!Y10</f>
        <v>0</v>
      </c>
      <c r="Y11" s="72">
        <f>Y$3*'Yield 1Y'!Z10</f>
        <v>0</v>
      </c>
      <c r="Z11" s="72">
        <f>Z$3*'Yield 1Y'!AA10</f>
        <v>0</v>
      </c>
      <c r="AA11" s="177">
        <f t="shared" si="2"/>
        <v>0.43070123815327016</v>
      </c>
      <c r="AB11" s="124">
        <f>VLOOKUP(P11,'Yield 1Y'!$F:$G,2,0)</f>
        <v>46241</v>
      </c>
      <c r="AC11" s="318">
        <f t="shared" si="6"/>
        <v>105</v>
      </c>
      <c r="AE11" s="37">
        <v>105</v>
      </c>
      <c r="AF11" s="72">
        <f>AF$3*'Yield 1Y'!AB107</f>
        <v>0</v>
      </c>
      <c r="AG11" s="72">
        <f>AG$3*'Yield 1Y'!AC107</f>
        <v>0</v>
      </c>
      <c r="AH11" s="72">
        <f>AH$3*'Yield 1Y'!AD107</f>
        <v>-1.1986945450186339</v>
      </c>
      <c r="AI11" s="72">
        <f>AI$3*'Yield 1Y'!AE107</f>
        <v>-0.95198684080689899</v>
      </c>
      <c r="AJ11" s="72">
        <f>AJ$3*'Yield 1Y'!AF107</f>
        <v>-0.52375755260548718</v>
      </c>
      <c r="AK11" s="72">
        <f>AK$3*'Yield 1Y'!AG107</f>
        <v>-10.279917123298342</v>
      </c>
      <c r="AL11" s="72">
        <f>AL$3*'Yield 1Y'!AH107</f>
        <v>-57.138624095789375</v>
      </c>
      <c r="AM11" s="72">
        <f>AM$3*'Yield 1Y'!AI107</f>
        <v>-59.871674425372376</v>
      </c>
      <c r="AN11" s="72">
        <f>AN$3*'Yield 1Y'!AJ107</f>
        <v>0</v>
      </c>
      <c r="AO11" s="72">
        <f>AO$3*'Yield 1Y'!AK107</f>
        <v>0</v>
      </c>
      <c r="AP11" s="177">
        <f t="shared" si="3"/>
        <v>129.96465458289111</v>
      </c>
      <c r="AQ11" s="124">
        <f>VLOOKUP(AE11,'Yield 1Y'!$F:$G,2,0)</f>
        <v>46101</v>
      </c>
      <c r="AR11" s="318">
        <f t="shared" si="4"/>
        <v>24</v>
      </c>
      <c r="AS11" s="35"/>
      <c r="AT11" s="37">
        <v>5</v>
      </c>
      <c r="AU11" s="72">
        <f>AU$3*'Yield 1Y'!AB19</f>
        <v>0</v>
      </c>
      <c r="AV11" s="72">
        <f>AV$3*'Yield 1Y'!AC19</f>
        <v>0</v>
      </c>
      <c r="AW11" s="72">
        <f>AW$3*'Yield 1Y'!AD19</f>
        <v>0</v>
      </c>
      <c r="AX11" s="72">
        <f>AX$3*'Yield 1Y'!AE19</f>
        <v>0</v>
      </c>
      <c r="AY11" s="72">
        <f>AY$3*'Yield 1Y'!AF19</f>
        <v>0</v>
      </c>
      <c r="AZ11" s="72">
        <f>AZ$3*'Yield 1Y'!AG19</f>
        <v>-0.1529269949490058</v>
      </c>
      <c r="BA11" s="72">
        <f>BA$3*'Yield 1Y'!AH19</f>
        <v>-8.0820205115809696</v>
      </c>
      <c r="BB11" s="72">
        <f>BB$3*'Yield 1Y'!AI19</f>
        <v>-1.558422366891006</v>
      </c>
      <c r="BC11" s="72">
        <f>BC$3*'Yield 1Y'!AJ19</f>
        <v>0</v>
      </c>
      <c r="BD11" s="72">
        <f>BD$3*'Yield 1Y'!AK19</f>
        <v>0</v>
      </c>
      <c r="BE11" s="177">
        <f t="shared" si="5"/>
        <v>9.793369873420982</v>
      </c>
      <c r="BF11" s="124">
        <f>VLOOKUP(AT11,'Yield 1Y'!$F:$G,2,0)</f>
        <v>46246</v>
      </c>
      <c r="BG11" s="318">
        <f t="shared" si="7"/>
        <v>60</v>
      </c>
    </row>
    <row r="12" spans="1:59" x14ac:dyDescent="0.3">
      <c r="A12" s="37">
        <v>27</v>
      </c>
      <c r="B12" s="72">
        <f>'Yield 1Y'!R29*B$3</f>
        <v>0</v>
      </c>
      <c r="C12" s="72">
        <f>'Yield 1Y'!S29*C$3</f>
        <v>0</v>
      </c>
      <c r="D12" s="72">
        <f>'Yield 1Y'!T29*D$3</f>
        <v>0</v>
      </c>
      <c r="E12" s="72">
        <f>'Yield 1Y'!U29*E$3</f>
        <v>0</v>
      </c>
      <c r="F12" s="72">
        <f>'Yield 1Y'!V29*F$3</f>
        <v>0</v>
      </c>
      <c r="G12" s="72">
        <f>'Yield 1Y'!W29*G$3</f>
        <v>-0.54104826964723052</v>
      </c>
      <c r="H12" s="72">
        <f>'Yield 1Y'!X29*H$3</f>
        <v>0</v>
      </c>
      <c r="I12" s="72">
        <f>'Yield 1Y'!Y29*I$3</f>
        <v>0</v>
      </c>
      <c r="J12" s="72">
        <f>'Yield 1Y'!Z29*J$3</f>
        <v>0</v>
      </c>
      <c r="K12" s="72">
        <f>'Yield 1Y'!AA29*K$3</f>
        <v>0</v>
      </c>
      <c r="L12" s="177">
        <f t="shared" si="0"/>
        <v>0.54104826964723052</v>
      </c>
      <c r="M12" s="124">
        <f>VLOOKUP(A12,'Yield 1Y'!$F:$G,2,0)</f>
        <v>46216</v>
      </c>
      <c r="N12" s="318">
        <f t="shared" si="1"/>
        <v>170</v>
      </c>
      <c r="P12" s="37">
        <v>9</v>
      </c>
      <c r="Q12" s="72">
        <f>Q$3*'Yield 1Y'!R11</f>
        <v>0</v>
      </c>
      <c r="R12" s="72">
        <f>R$3*'Yield 1Y'!S11</f>
        <v>0</v>
      </c>
      <c r="S12" s="72">
        <f>S$3*'Yield 1Y'!T11</f>
        <v>0</v>
      </c>
      <c r="T12" s="72">
        <f>T$3*'Yield 1Y'!U11</f>
        <v>0</v>
      </c>
      <c r="U12" s="72">
        <f>U$3*'Yield 1Y'!V11</f>
        <v>0</v>
      </c>
      <c r="V12" s="72">
        <f>V$3*'Yield 1Y'!W11</f>
        <v>-8.9207413720245834E-2</v>
      </c>
      <c r="W12" s="72">
        <f>W$3*'Yield 1Y'!X11</f>
        <v>-0.45532509924394993</v>
      </c>
      <c r="X12" s="72">
        <f>X$3*'Yield 1Y'!Y11</f>
        <v>0</v>
      </c>
      <c r="Y12" s="72">
        <f>Y$3*'Yield 1Y'!Z11</f>
        <v>0</v>
      </c>
      <c r="Z12" s="72">
        <f>Z$3*'Yield 1Y'!AA11</f>
        <v>0</v>
      </c>
      <c r="AA12" s="177">
        <f t="shared" si="2"/>
        <v>0.5445325129641958</v>
      </c>
      <c r="AB12" s="124">
        <f>VLOOKUP(P12,'Yield 1Y'!$F:$G,2,0)</f>
        <v>46240</v>
      </c>
      <c r="AC12" s="318">
        <f t="shared" si="6"/>
        <v>92</v>
      </c>
      <c r="AE12" s="37">
        <v>103</v>
      </c>
      <c r="AF12" s="72">
        <f>AF$3*'Yield 1Y'!AB105</f>
        <v>0</v>
      </c>
      <c r="AG12" s="72">
        <f>AG$3*'Yield 1Y'!AC105</f>
        <v>0</v>
      </c>
      <c r="AH12" s="72">
        <f>AH$3*'Yield 1Y'!AD105</f>
        <v>-0.99583854509240188</v>
      </c>
      <c r="AI12" s="72">
        <f>AI$3*'Yield 1Y'!AE105</f>
        <v>-1.0673791851471153</v>
      </c>
      <c r="AJ12" s="72">
        <f>AJ$3*'Yield 1Y'!AF105</f>
        <v>-0.46764067196918285</v>
      </c>
      <c r="AK12" s="72">
        <f>AK$3*'Yield 1Y'!AG105</f>
        <v>-9.19782058400388</v>
      </c>
      <c r="AL12" s="72">
        <f>AL$3*'Yield 1Y'!AH105</f>
        <v>-48.85766408190684</v>
      </c>
      <c r="AM12" s="72">
        <f>AM$3*'Yield 1Y'!AI105</f>
        <v>-54.153593160027711</v>
      </c>
      <c r="AN12" s="72">
        <f>AN$3*'Yield 1Y'!AJ105</f>
        <v>0</v>
      </c>
      <c r="AO12" s="72">
        <f>AO$3*'Yield 1Y'!AK105</f>
        <v>0</v>
      </c>
      <c r="AP12" s="177">
        <f t="shared" si="3"/>
        <v>114.73993622814713</v>
      </c>
      <c r="AQ12" s="124">
        <f>VLOOKUP(AE12,'Yield 1Y'!$F:$G,2,0)</f>
        <v>46105</v>
      </c>
      <c r="AR12" s="318">
        <f t="shared" si="4"/>
        <v>33</v>
      </c>
      <c r="AS12" s="35"/>
      <c r="AT12" s="37">
        <v>6</v>
      </c>
      <c r="AU12" s="72">
        <f>AU$3*'Yield 1Y'!AB26</f>
        <v>0</v>
      </c>
      <c r="AV12" s="72">
        <f>AV$3*'Yield 1Y'!AC26</f>
        <v>0</v>
      </c>
      <c r="AW12" s="72">
        <f>AW$3*'Yield 1Y'!AD26</f>
        <v>0</v>
      </c>
      <c r="AX12" s="72">
        <f>AX$3*'Yield 1Y'!AE26</f>
        <v>0</v>
      </c>
      <c r="AY12" s="72">
        <f>AY$3*'Yield 1Y'!AF26</f>
        <v>0</v>
      </c>
      <c r="AZ12" s="72">
        <f>AZ$3*'Yield 1Y'!AG26</f>
        <v>0</v>
      </c>
      <c r="BA12" s="72">
        <f>BA$3*'Yield 1Y'!AH26</f>
        <v>0</v>
      </c>
      <c r="BB12" s="72">
        <f>BB$3*'Yield 1Y'!AI26</f>
        <v>-0.35963593082099593</v>
      </c>
      <c r="BC12" s="72">
        <f>BC$3*'Yield 1Y'!AJ26</f>
        <v>0</v>
      </c>
      <c r="BD12" s="72">
        <f>BD$3*'Yield 1Y'!AK26</f>
        <v>0</v>
      </c>
      <c r="BE12" s="177">
        <f t="shared" si="5"/>
        <v>0.35963593082099593</v>
      </c>
      <c r="BF12" s="124">
        <f>VLOOKUP(AT12,'Yield 1Y'!$F:$G,2,0)</f>
        <v>46245</v>
      </c>
      <c r="BG12" s="318">
        <f t="shared" si="7"/>
        <v>245</v>
      </c>
    </row>
    <row r="13" spans="1:59" x14ac:dyDescent="0.3">
      <c r="A13" s="37">
        <v>152</v>
      </c>
      <c r="B13" s="72">
        <f>'Yield 1Y'!R154*B$3</f>
        <v>0</v>
      </c>
      <c r="C13" s="72">
        <f>'Yield 1Y'!S154*C$3</f>
        <v>0</v>
      </c>
      <c r="D13" s="72">
        <f>'Yield 1Y'!T154*D$3</f>
        <v>-8.2986545424365801E-2</v>
      </c>
      <c r="E13" s="72">
        <f>'Yield 1Y'!U154*E$3</f>
        <v>-1.2116196155723982</v>
      </c>
      <c r="F13" s="72">
        <f>'Yield 1Y'!V154*F$3</f>
        <v>-0.35073050397688921</v>
      </c>
      <c r="G13" s="72">
        <f>'Yield 1Y'!W154*G$3</f>
        <v>-10.550441258122197</v>
      </c>
      <c r="H13" s="72">
        <f>'Yield 1Y'!X154*H$3</f>
        <v>-16.561920027765062</v>
      </c>
      <c r="I13" s="72">
        <f>'Yield 1Y'!Y154*I$3</f>
        <v>-20.181463289451187</v>
      </c>
      <c r="J13" s="72">
        <f>'Yield 1Y'!Z154*J$3</f>
        <v>0</v>
      </c>
      <c r="K13" s="72">
        <f>'Yield 1Y'!AA154*K$3</f>
        <v>0</v>
      </c>
      <c r="L13" s="177">
        <f t="shared" si="0"/>
        <v>48.939161240312103</v>
      </c>
      <c r="M13" s="124">
        <f>VLOOKUP(A13,'Yield 1Y'!$F:$G,2,0)</f>
        <v>46029</v>
      </c>
      <c r="N13" s="318">
        <f t="shared" si="1"/>
        <v>5</v>
      </c>
      <c r="P13" s="37">
        <v>10</v>
      </c>
      <c r="Q13" s="72">
        <f>Q$3*'Yield 1Y'!R12</f>
        <v>0</v>
      </c>
      <c r="R13" s="72">
        <f>R$3*'Yield 1Y'!S12</f>
        <v>0</v>
      </c>
      <c r="S13" s="72">
        <f>S$3*'Yield 1Y'!T12</f>
        <v>0</v>
      </c>
      <c r="T13" s="72">
        <f>T$3*'Yield 1Y'!U12</f>
        <v>0</v>
      </c>
      <c r="U13" s="72">
        <f>U$3*'Yield 1Y'!V12</f>
        <v>0</v>
      </c>
      <c r="V13" s="72">
        <f>V$3*'Yield 1Y'!W12</f>
        <v>0</v>
      </c>
      <c r="W13" s="72">
        <f>W$3*'Yield 1Y'!X12</f>
        <v>0.45532509924394993</v>
      </c>
      <c r="X13" s="72">
        <f>X$3*'Yield 1Y'!Y12</f>
        <v>0</v>
      </c>
      <c r="Y13" s="72">
        <f>Y$3*'Yield 1Y'!Z12</f>
        <v>0</v>
      </c>
      <c r="Z13" s="72">
        <f>Z$3*'Yield 1Y'!AA12</f>
        <v>0</v>
      </c>
      <c r="AA13" s="177">
        <f t="shared" si="2"/>
        <v>-0.45532509924394993</v>
      </c>
      <c r="AB13" s="124">
        <f>VLOOKUP(P13,'Yield 1Y'!$F:$G,2,0)</f>
        <v>46239</v>
      </c>
      <c r="AC13" s="318">
        <f t="shared" si="6"/>
        <v>226</v>
      </c>
      <c r="AE13" s="37">
        <v>112</v>
      </c>
      <c r="AF13" s="72">
        <f>AF$3*'Yield 1Y'!AB114</f>
        <v>0</v>
      </c>
      <c r="AG13" s="72">
        <f>AG$3*'Yield 1Y'!AC114</f>
        <v>0</v>
      </c>
      <c r="AH13" s="72">
        <f>AH$3*'Yield 1Y'!AD114</f>
        <v>-0.82986545424367031</v>
      </c>
      <c r="AI13" s="72">
        <f>AI$3*'Yield 1Y'!AE114</f>
        <v>-1.5577966485930981</v>
      </c>
      <c r="AJ13" s="72">
        <f>AJ$3*'Yield 1Y'!AF114</f>
        <v>-0.23382033598459351</v>
      </c>
      <c r="AK13" s="72">
        <f>AK$3*'Yield 1Y'!AG114</f>
        <v>-16.772496359066071</v>
      </c>
      <c r="AL13" s="72">
        <f>AL$3*'Yield 1Y'!AH114</f>
        <v>-26.085024043729835</v>
      </c>
      <c r="AM13" s="72">
        <f>AM$3*'Yield 1Y'!AI114</f>
        <v>-28.59040632672269</v>
      </c>
      <c r="AN13" s="72">
        <f>AN$3*'Yield 1Y'!AJ114</f>
        <v>0</v>
      </c>
      <c r="AO13" s="72">
        <f>AO$3*'Yield 1Y'!AK114</f>
        <v>0</v>
      </c>
      <c r="AP13" s="177">
        <f t="shared" si="3"/>
        <v>74.069409168339959</v>
      </c>
      <c r="AQ13" s="124">
        <f>VLOOKUP(AE13,'Yield 1Y'!$F:$G,2,0)</f>
        <v>46092</v>
      </c>
      <c r="AR13" s="318">
        <f t="shared" si="4"/>
        <v>48</v>
      </c>
      <c r="AS13" s="35"/>
      <c r="AT13" s="37">
        <v>7</v>
      </c>
      <c r="AU13" s="72">
        <f>AU$3*'Yield 1Y'!AB46</f>
        <v>0</v>
      </c>
      <c r="AV13" s="72">
        <f>AV$3*'Yield 1Y'!AC46</f>
        <v>0</v>
      </c>
      <c r="AW13" s="72">
        <f>AW$3*'Yield 1Y'!AD46</f>
        <v>0</v>
      </c>
      <c r="AX13" s="72">
        <f>AX$3*'Yield 1Y'!AE46</f>
        <v>0</v>
      </c>
      <c r="AY13" s="72">
        <f>AY$3*'Yield 1Y'!AF46</f>
        <v>0</v>
      </c>
      <c r="AZ13" s="72">
        <f>AZ$3*'Yield 1Y'!AG46</f>
        <v>-0.52250056607574336</v>
      </c>
      <c r="BA13" s="72">
        <f>BA$3*'Yield 1Y'!AH46</f>
        <v>-3.9840946183849661</v>
      </c>
      <c r="BB13" s="72">
        <f>BB$3*'Yield 1Y'!AI46</f>
        <v>-1.7981796541049975</v>
      </c>
      <c r="BC13" s="72">
        <f>BC$3*'Yield 1Y'!AJ46</f>
        <v>0</v>
      </c>
      <c r="BD13" s="72">
        <f>BD$3*'Yield 1Y'!AK46</f>
        <v>0</v>
      </c>
      <c r="BE13" s="177">
        <f t="shared" si="5"/>
        <v>6.3047748385657076</v>
      </c>
      <c r="BF13" s="124">
        <f>VLOOKUP(AT13,'Yield 1Y'!$F:$G,2,0)</f>
        <v>46244</v>
      </c>
      <c r="BG13" s="318">
        <f t="shared" si="7"/>
        <v>122</v>
      </c>
    </row>
    <row r="14" spans="1:59" x14ac:dyDescent="0.3">
      <c r="A14" s="37">
        <v>122</v>
      </c>
      <c r="B14" s="72">
        <f>'Yield 1Y'!R124*B$3</f>
        <v>0</v>
      </c>
      <c r="C14" s="72">
        <f>'Yield 1Y'!S124*C$3</f>
        <v>0</v>
      </c>
      <c r="D14" s="72">
        <f>'Yield 1Y'!T124*D$3</f>
        <v>0</v>
      </c>
      <c r="E14" s="72">
        <f>'Yield 1Y'!U124*E$3</f>
        <v>5.7696172170108105E-2</v>
      </c>
      <c r="F14" s="72">
        <f>'Yield 1Y'!V124*F$3</f>
        <v>1.8705626878767399E-2</v>
      </c>
      <c r="G14" s="72">
        <f>'Yield 1Y'!W124*G$3</f>
        <v>0</v>
      </c>
      <c r="H14" s="72">
        <f>'Yield 1Y'!X124*H$3</f>
        <v>0</v>
      </c>
      <c r="I14" s="72">
        <f>'Yield 1Y'!Y124*I$3</f>
        <v>0</v>
      </c>
      <c r="J14" s="72">
        <f>'Yield 1Y'!Z124*J$3</f>
        <v>0</v>
      </c>
      <c r="K14" s="72">
        <f>'Yield 1Y'!AA124*K$3</f>
        <v>0</v>
      </c>
      <c r="L14" s="177">
        <f t="shared" si="0"/>
        <v>-7.6401799048875507E-2</v>
      </c>
      <c r="M14" s="124">
        <f>VLOOKUP(A14,'Yield 1Y'!$F:$G,2,0)</f>
        <v>46078</v>
      </c>
      <c r="N14" s="318">
        <f t="shared" si="1"/>
        <v>204.5</v>
      </c>
      <c r="P14" s="37">
        <v>11</v>
      </c>
      <c r="Q14" s="72">
        <f>Q$3*'Yield 1Y'!R13</f>
        <v>0</v>
      </c>
      <c r="R14" s="72">
        <f>R$3*'Yield 1Y'!S13</f>
        <v>0</v>
      </c>
      <c r="S14" s="72">
        <f>S$3*'Yield 1Y'!T13</f>
        <v>0</v>
      </c>
      <c r="T14" s="72">
        <f>T$3*'Yield 1Y'!U13</f>
        <v>0</v>
      </c>
      <c r="U14" s="72">
        <f>U$3*'Yield 1Y'!V13</f>
        <v>0</v>
      </c>
      <c r="V14" s="72">
        <f>V$3*'Yield 1Y'!W13</f>
        <v>-0.10195132996600009</v>
      </c>
      <c r="W14" s="72">
        <f>W$3*'Yield 1Y'!X13</f>
        <v>-0.22766254962197496</v>
      </c>
      <c r="X14" s="72">
        <f>X$3*'Yield 1Y'!Y13</f>
        <v>0</v>
      </c>
      <c r="Y14" s="72">
        <f>Y$3*'Yield 1Y'!Z13</f>
        <v>0</v>
      </c>
      <c r="Z14" s="72">
        <f>Z$3*'Yield 1Y'!AA13</f>
        <v>0</v>
      </c>
      <c r="AA14" s="177">
        <f t="shared" si="2"/>
        <v>0.32961387958797506</v>
      </c>
      <c r="AB14" s="124">
        <f>VLOOKUP(P14,'Yield 1Y'!$F:$G,2,0)</f>
        <v>46238</v>
      </c>
      <c r="AC14" s="318">
        <f t="shared" si="6"/>
        <v>121</v>
      </c>
      <c r="AE14" s="37">
        <v>93</v>
      </c>
      <c r="AF14" s="72">
        <f>AF$3*'Yield 1Y'!AB95</f>
        <v>0</v>
      </c>
      <c r="AG14" s="72">
        <f>AG$3*'Yield 1Y'!AC95</f>
        <v>0</v>
      </c>
      <c r="AH14" s="72">
        <f>AH$3*'Yield 1Y'!AD95</f>
        <v>-8.2986545424365801E-2</v>
      </c>
      <c r="AI14" s="72">
        <f>AI$3*'Yield 1Y'!AE95</f>
        <v>0</v>
      </c>
      <c r="AJ14" s="72">
        <f>AJ$3*'Yield 1Y'!AF95</f>
        <v>-3.7411253757534797E-2</v>
      </c>
      <c r="AK14" s="72">
        <f>AK$3*'Yield 1Y'!AG95</f>
        <v>-7.8451999098856842</v>
      </c>
      <c r="AL14" s="72">
        <f>AL$3*'Yield 1Y'!AH95</f>
        <v>-4.5545280076354384</v>
      </c>
      <c r="AM14" s="72">
        <f>AM$3*'Yield 1Y'!AI95</f>
        <v>-4.372650379381235</v>
      </c>
      <c r="AN14" s="72">
        <f>AN$3*'Yield 1Y'!AJ95</f>
        <v>0</v>
      </c>
      <c r="AO14" s="72">
        <f>AO$3*'Yield 1Y'!AK95</f>
        <v>0</v>
      </c>
      <c r="AP14" s="177">
        <f t="shared" si="3"/>
        <v>16.892776096084258</v>
      </c>
      <c r="AQ14" s="124">
        <f>VLOOKUP(AE14,'Yield 1Y'!$F:$G,2,0)</f>
        <v>46119</v>
      </c>
      <c r="AR14" s="318">
        <f t="shared" si="4"/>
        <v>214</v>
      </c>
      <c r="AS14" s="35"/>
      <c r="AT14" s="37">
        <v>8</v>
      </c>
      <c r="AU14" s="72">
        <f>AU$3*'Yield 1Y'!AB13</f>
        <v>0</v>
      </c>
      <c r="AV14" s="72">
        <f>AV$3*'Yield 1Y'!AC13</f>
        <v>0</v>
      </c>
      <c r="AW14" s="72">
        <f>AW$3*'Yield 1Y'!AD13</f>
        <v>0</v>
      </c>
      <c r="AX14" s="72">
        <f>AX$3*'Yield 1Y'!AE13</f>
        <v>0</v>
      </c>
      <c r="AY14" s="72">
        <f>AY$3*'Yield 1Y'!AF13</f>
        <v>0</v>
      </c>
      <c r="AZ14" s="72">
        <f>AZ$3*'Yield 1Y'!AG13</f>
        <v>0</v>
      </c>
      <c r="BA14" s="72">
        <f>BA$3*'Yield 1Y'!AH13</f>
        <v>-10.358646007800973</v>
      </c>
      <c r="BB14" s="72">
        <f>BB$3*'Yield 1Y'!AI13</f>
        <v>-2.0778964891880021</v>
      </c>
      <c r="BC14" s="72">
        <f>BC$3*'Yield 1Y'!AJ13</f>
        <v>0</v>
      </c>
      <c r="BD14" s="72">
        <f>BD$3*'Yield 1Y'!AK13</f>
        <v>0</v>
      </c>
      <c r="BE14" s="177">
        <f t="shared" si="5"/>
        <v>12.436542496988974</v>
      </c>
      <c r="BF14" s="124">
        <f>VLOOKUP(AT14,'Yield 1Y'!$F:$G,2,0)</f>
        <v>46241</v>
      </c>
      <c r="BG14" s="318">
        <f t="shared" si="7"/>
        <v>45</v>
      </c>
    </row>
    <row r="15" spans="1:59" x14ac:dyDescent="0.3">
      <c r="A15" s="37">
        <v>115</v>
      </c>
      <c r="B15" s="72">
        <f>'Yield 1Y'!R117*B$3</f>
        <v>0</v>
      </c>
      <c r="C15" s="72">
        <f>'Yield 1Y'!S117*C$3</f>
        <v>0</v>
      </c>
      <c r="D15" s="72">
        <f>'Yield 1Y'!T117*D$3</f>
        <v>0</v>
      </c>
      <c r="E15" s="72">
        <f>'Yield 1Y'!U117*E$3</f>
        <v>0</v>
      </c>
      <c r="F15" s="72">
        <f>'Yield 1Y'!V117*F$3</f>
        <v>0</v>
      </c>
      <c r="G15" s="72">
        <f>'Yield 1Y'!W117*G$3</f>
        <v>0</v>
      </c>
      <c r="H15" s="72">
        <f>'Yield 1Y'!X117*H$3</f>
        <v>-0.8280960013881612</v>
      </c>
      <c r="I15" s="72">
        <f>'Yield 1Y'!Y117*I$3</f>
        <v>0</v>
      </c>
      <c r="J15" s="72">
        <f>'Yield 1Y'!Z117*J$3</f>
        <v>0</v>
      </c>
      <c r="K15" s="72">
        <f>'Yield 1Y'!AA117*K$3</f>
        <v>0</v>
      </c>
      <c r="L15" s="177">
        <f t="shared" si="0"/>
        <v>0.8280960013881612</v>
      </c>
      <c r="M15" s="124">
        <f>VLOOKUP(A15,'Yield 1Y'!$F:$G,2,0)</f>
        <v>46087</v>
      </c>
      <c r="N15" s="318">
        <f t="shared" si="1"/>
        <v>159</v>
      </c>
      <c r="P15" s="37">
        <v>12</v>
      </c>
      <c r="Q15" s="72">
        <f>Q$3*'Yield 1Y'!R14</f>
        <v>0</v>
      </c>
      <c r="R15" s="72">
        <f>R$3*'Yield 1Y'!S14</f>
        <v>0</v>
      </c>
      <c r="S15" s="72">
        <f>S$3*'Yield 1Y'!T14</f>
        <v>0</v>
      </c>
      <c r="T15" s="72">
        <f>T$3*'Yield 1Y'!U14</f>
        <v>0</v>
      </c>
      <c r="U15" s="72">
        <f>U$3*'Yield 1Y'!V14</f>
        <v>0</v>
      </c>
      <c r="V15" s="72">
        <f>V$3*'Yield 1Y'!W14</f>
        <v>-2.5487832491497196E-2</v>
      </c>
      <c r="W15" s="72">
        <f>W$3*'Yield 1Y'!X14</f>
        <v>0</v>
      </c>
      <c r="X15" s="72">
        <f>X$3*'Yield 1Y'!Y14</f>
        <v>0.15983819147601791</v>
      </c>
      <c r="Y15" s="72">
        <f>Y$3*'Yield 1Y'!Z14</f>
        <v>0</v>
      </c>
      <c r="Z15" s="72">
        <f>Z$3*'Yield 1Y'!AA14</f>
        <v>0</v>
      </c>
      <c r="AA15" s="177">
        <f t="shared" si="2"/>
        <v>-0.13435035898452072</v>
      </c>
      <c r="AB15" s="124">
        <f>VLOOKUP(P15,'Yield 1Y'!$F:$G,2,0)</f>
        <v>46237</v>
      </c>
      <c r="AC15" s="318">
        <f t="shared" si="6"/>
        <v>202</v>
      </c>
      <c r="AE15" s="37">
        <v>92</v>
      </c>
      <c r="AF15" s="72">
        <f>AF$3*'Yield 1Y'!AB94</f>
        <v>0</v>
      </c>
      <c r="AG15" s="72">
        <f>AG$3*'Yield 1Y'!AC94</f>
        <v>0</v>
      </c>
      <c r="AH15" s="72">
        <f>AH$3*'Yield 1Y'!AD94</f>
        <v>-8.2986545424365801E-2</v>
      </c>
      <c r="AI15" s="72">
        <f>AI$3*'Yield 1Y'!AE94</f>
        <v>0</v>
      </c>
      <c r="AJ15" s="72">
        <f>AJ$3*'Yield 1Y'!AF94</f>
        <v>-3.7411253757534797E-2</v>
      </c>
      <c r="AK15" s="72">
        <f>AK$3*'Yield 1Y'!AG94</f>
        <v>-7.8451999098856842</v>
      </c>
      <c r="AL15" s="72">
        <f>AL$3*'Yield 1Y'!AH94</f>
        <v>-3.3123840055530125</v>
      </c>
      <c r="AM15" s="72">
        <f>AM$3*'Yield 1Y'!AI94</f>
        <v>-2.018146328945059</v>
      </c>
      <c r="AN15" s="72">
        <f>AN$3*'Yield 1Y'!AJ94</f>
        <v>0</v>
      </c>
      <c r="AO15" s="72">
        <f>AO$3*'Yield 1Y'!AK94</f>
        <v>0</v>
      </c>
      <c r="AP15" s="177">
        <f t="shared" si="3"/>
        <v>13.296128043565657</v>
      </c>
      <c r="AQ15" s="124">
        <f>VLOOKUP(AE15,'Yield 1Y'!$F:$G,2,0)</f>
        <v>46120</v>
      </c>
      <c r="AR15" s="318">
        <f t="shared" si="4"/>
        <v>219</v>
      </c>
      <c r="AS15" s="35"/>
      <c r="AT15" s="37">
        <v>9</v>
      </c>
      <c r="AU15" s="72">
        <f>AU$3*'Yield 1Y'!AB217</f>
        <v>0</v>
      </c>
      <c r="AV15" s="72">
        <f>AV$3*'Yield 1Y'!AC217</f>
        <v>0</v>
      </c>
      <c r="AW15" s="72">
        <f>AW$3*'Yield 1Y'!AD217</f>
        <v>0</v>
      </c>
      <c r="AX15" s="72">
        <f>AX$3*'Yield 1Y'!AE217</f>
        <v>0</v>
      </c>
      <c r="AY15" s="72">
        <f>AY$3*'Yield 1Y'!AF217</f>
        <v>0</v>
      </c>
      <c r="AZ15" s="72">
        <f>AZ$3*'Yield 1Y'!AG217</f>
        <v>-0.44603706860125181</v>
      </c>
      <c r="BA15" s="72">
        <f>BA$3*'Yield 1Y'!AH217</f>
        <v>-4.0979258931960043</v>
      </c>
      <c r="BB15" s="72">
        <f>BB$3*'Yield 1Y'!AI217</f>
        <v>-1.6383414626289972</v>
      </c>
      <c r="BC15" s="72">
        <f>BC$3*'Yield 1Y'!AJ217</f>
        <v>0</v>
      </c>
      <c r="BD15" s="72">
        <f>BD$3*'Yield 1Y'!AK217</f>
        <v>0</v>
      </c>
      <c r="BE15" s="177">
        <f t="shared" si="5"/>
        <v>6.1823044244262526</v>
      </c>
      <c r="BF15" s="124">
        <f>VLOOKUP(AT15,'Yield 1Y'!$F:$G,2,0)</f>
        <v>46240</v>
      </c>
      <c r="BG15" s="318">
        <f t="shared" si="7"/>
        <v>124</v>
      </c>
    </row>
    <row r="16" spans="1:59" x14ac:dyDescent="0.3">
      <c r="A16" s="37">
        <v>111</v>
      </c>
      <c r="B16" s="72">
        <f>'Yield 1Y'!R113*B$3</f>
        <v>0</v>
      </c>
      <c r="C16" s="72">
        <f>'Yield 1Y'!S113*C$3</f>
        <v>0</v>
      </c>
      <c r="D16" s="72">
        <f>'Yield 1Y'!T113*D$3</f>
        <v>-0.30428399988934401</v>
      </c>
      <c r="E16" s="72">
        <f>'Yield 1Y'!U113*E$3</f>
        <v>-2.6540239198252675</v>
      </c>
      <c r="F16" s="72">
        <f>'Yield 1Y'!V113*F$3</f>
        <v>-0.70146100795377431</v>
      </c>
      <c r="G16" s="72">
        <f>'Yield 1Y'!W113*G$3</f>
        <v>-33.003944448484667</v>
      </c>
      <c r="H16" s="72">
        <f>'Yield 1Y'!X113*H$3</f>
        <v>-4.5545280076354384</v>
      </c>
      <c r="I16" s="72">
        <f>'Yield 1Y'!Y113*I$3</f>
        <v>-3.3635772149084815</v>
      </c>
      <c r="J16" s="72">
        <f>'Yield 1Y'!Z113*J$3</f>
        <v>0</v>
      </c>
      <c r="K16" s="72">
        <f>'Yield 1Y'!AA113*K$3</f>
        <v>0</v>
      </c>
      <c r="L16" s="177">
        <f t="shared" si="0"/>
        <v>44.581818598696977</v>
      </c>
      <c r="M16" s="124">
        <f>VLOOKUP(A16,'Yield 1Y'!$F:$G,2,0)</f>
        <v>46093</v>
      </c>
      <c r="N16" s="318">
        <f t="shared" si="1"/>
        <v>6</v>
      </c>
      <c r="P16" s="37">
        <v>13</v>
      </c>
      <c r="Q16" s="72">
        <f>Q$3*'Yield 1Y'!R15</f>
        <v>0</v>
      </c>
      <c r="R16" s="72">
        <f>R$3*'Yield 1Y'!S15</f>
        <v>0</v>
      </c>
      <c r="S16" s="72">
        <f>S$3*'Yield 1Y'!T15</f>
        <v>0</v>
      </c>
      <c r="T16" s="72">
        <f>T$3*'Yield 1Y'!U15</f>
        <v>0</v>
      </c>
      <c r="U16" s="72">
        <f>U$3*'Yield 1Y'!V15</f>
        <v>0</v>
      </c>
      <c r="V16" s="72">
        <f>V$3*'Yield 1Y'!W15</f>
        <v>0</v>
      </c>
      <c r="W16" s="72">
        <f>W$3*'Yield 1Y'!X15</f>
        <v>0.22766254962197496</v>
      </c>
      <c r="X16" s="72">
        <f>X$3*'Yield 1Y'!Y15</f>
        <v>-0.15983819147601791</v>
      </c>
      <c r="Y16" s="72">
        <f>Y$3*'Yield 1Y'!Z15</f>
        <v>0</v>
      </c>
      <c r="Z16" s="72">
        <f>Z$3*'Yield 1Y'!AA15</f>
        <v>0</v>
      </c>
      <c r="AA16" s="177">
        <f t="shared" si="2"/>
        <v>-6.7824358145957053E-2</v>
      </c>
      <c r="AB16" s="124">
        <f>VLOOKUP(P16,'Yield 1Y'!$F:$G,2,0)</f>
        <v>46234</v>
      </c>
      <c r="AC16" s="318">
        <f t="shared" si="6"/>
        <v>198</v>
      </c>
      <c r="AE16" s="37">
        <v>91</v>
      </c>
      <c r="AF16" s="72">
        <f>AF$3*'Yield 1Y'!AB93</f>
        <v>0</v>
      </c>
      <c r="AG16" s="72">
        <f>AG$3*'Yield 1Y'!AC93</f>
        <v>0</v>
      </c>
      <c r="AH16" s="72">
        <f>AH$3*'Yield 1Y'!AD93</f>
        <v>-8.2986545424365801E-2</v>
      </c>
      <c r="AI16" s="72">
        <f>AI$3*'Yield 1Y'!AE93</f>
        <v>0</v>
      </c>
      <c r="AJ16" s="72">
        <f>AJ$3*'Yield 1Y'!AF93</f>
        <v>-3.7411253757534797E-2</v>
      </c>
      <c r="AK16" s="72">
        <f>AK$3*'Yield 1Y'!AG93</f>
        <v>-1.082096539294461</v>
      </c>
      <c r="AL16" s="72">
        <f>AL$3*'Yield 1Y'!AH93</f>
        <v>-3.3123840055530125</v>
      </c>
      <c r="AM16" s="72">
        <f>AM$3*'Yield 1Y'!AI93</f>
        <v>-1.6817886074542407</v>
      </c>
      <c r="AN16" s="72">
        <f>AN$3*'Yield 1Y'!AJ93</f>
        <v>0</v>
      </c>
      <c r="AO16" s="72">
        <f>AO$3*'Yield 1Y'!AK93</f>
        <v>0</v>
      </c>
      <c r="AP16" s="177">
        <f t="shared" si="3"/>
        <v>6.196666951483615</v>
      </c>
      <c r="AQ16" s="124">
        <f>VLOOKUP(AE16,'Yield 1Y'!$F:$G,2,0)</f>
        <v>46121</v>
      </c>
      <c r="AR16" s="318">
        <f t="shared" si="4"/>
        <v>235</v>
      </c>
      <c r="AS16" s="35"/>
      <c r="AT16" s="37">
        <v>10</v>
      </c>
      <c r="AU16" s="72">
        <f>AU$3*'Yield 1Y'!AB15</f>
        <v>0</v>
      </c>
      <c r="AV16" s="72">
        <f>AV$3*'Yield 1Y'!AC15</f>
        <v>0</v>
      </c>
      <c r="AW16" s="72">
        <f>AW$3*'Yield 1Y'!AD15</f>
        <v>0</v>
      </c>
      <c r="AX16" s="72">
        <f>AX$3*'Yield 1Y'!AE15</f>
        <v>0</v>
      </c>
      <c r="AY16" s="72">
        <f>AY$3*'Yield 1Y'!AF15</f>
        <v>0</v>
      </c>
      <c r="AZ16" s="72">
        <f>AZ$3*'Yield 1Y'!AG15</f>
        <v>0</v>
      </c>
      <c r="BA16" s="72">
        <f>BA$3*'Yield 1Y'!AH15</f>
        <v>-7.1713703130929698</v>
      </c>
      <c r="BB16" s="72">
        <f>BB$3*'Yield 1Y'!AI15</f>
        <v>-1.3985841754150059</v>
      </c>
      <c r="BC16" s="72">
        <f>BC$3*'Yield 1Y'!AJ15</f>
        <v>0</v>
      </c>
      <c r="BD16" s="72">
        <f>BD$3*'Yield 1Y'!AK15</f>
        <v>0</v>
      </c>
      <c r="BE16" s="177">
        <f t="shared" si="5"/>
        <v>8.5699544885079764</v>
      </c>
      <c r="BF16" s="124">
        <f>VLOOKUP(AT16,'Yield 1Y'!$F:$G,2,0)</f>
        <v>46239</v>
      </c>
      <c r="BG16" s="318">
        <f t="shared" si="7"/>
        <v>77</v>
      </c>
    </row>
    <row r="17" spans="1:59" x14ac:dyDescent="0.3">
      <c r="A17" s="37">
        <v>77</v>
      </c>
      <c r="B17" s="72">
        <f>'Yield 1Y'!R79*B$3</f>
        <v>0</v>
      </c>
      <c r="C17" s="72">
        <f>'Yield 1Y'!S79*C$3</f>
        <v>0</v>
      </c>
      <c r="D17" s="72">
        <f>'Yield 1Y'!T79*D$3</f>
        <v>0</v>
      </c>
      <c r="E17" s="72">
        <f>'Yield 1Y'!U79*E$3</f>
        <v>5.7696172170120914E-2</v>
      </c>
      <c r="F17" s="72">
        <f>'Yield 1Y'!V79*F$3</f>
        <v>1.4029220159076067E-2</v>
      </c>
      <c r="G17" s="72">
        <f>'Yield 1Y'!W79*G$3</f>
        <v>0</v>
      </c>
      <c r="H17" s="72">
        <f>'Yield 1Y'!X79*H$3</f>
        <v>4.140480006941174</v>
      </c>
      <c r="I17" s="72">
        <f>'Yield 1Y'!Y79*I$3</f>
        <v>0</v>
      </c>
      <c r="J17" s="72">
        <f>'Yield 1Y'!Z79*J$3</f>
        <v>0</v>
      </c>
      <c r="K17" s="72">
        <f>'Yield 1Y'!AA79*K$3</f>
        <v>0</v>
      </c>
      <c r="L17" s="177">
        <f t="shared" si="0"/>
        <v>-4.2122053992703714</v>
      </c>
      <c r="M17" s="124">
        <f>VLOOKUP(A17,'Yield 1Y'!$F:$G,2,0)</f>
        <v>46146</v>
      </c>
      <c r="N17" s="318">
        <f t="shared" si="1"/>
        <v>244</v>
      </c>
      <c r="P17" s="37">
        <v>14</v>
      </c>
      <c r="Q17" s="72">
        <f>Q$3*'Yield 1Y'!R16</f>
        <v>0</v>
      </c>
      <c r="R17" s="72">
        <f>R$3*'Yield 1Y'!S16</f>
        <v>0</v>
      </c>
      <c r="S17" s="72">
        <f>S$3*'Yield 1Y'!T16</f>
        <v>0</v>
      </c>
      <c r="T17" s="72">
        <f>T$3*'Yield 1Y'!U16</f>
        <v>0</v>
      </c>
      <c r="U17" s="72">
        <f>U$3*'Yield 1Y'!V16</f>
        <v>0</v>
      </c>
      <c r="V17" s="72">
        <f>V$3*'Yield 1Y'!W16</f>
        <v>3.823174873725145E-2</v>
      </c>
      <c r="W17" s="72">
        <f>W$3*'Yield 1Y'!X16</f>
        <v>-0.34149382443301302</v>
      </c>
      <c r="X17" s="72">
        <f>X$3*'Yield 1Y'!Y16</f>
        <v>0</v>
      </c>
      <c r="Y17" s="72">
        <f>Y$3*'Yield 1Y'!Z16</f>
        <v>0</v>
      </c>
      <c r="Z17" s="72">
        <f>Z$3*'Yield 1Y'!AA16</f>
        <v>0</v>
      </c>
      <c r="AA17" s="177">
        <f t="shared" si="2"/>
        <v>0.30326207569576158</v>
      </c>
      <c r="AB17" s="124">
        <f>VLOOKUP(P17,'Yield 1Y'!$F:$G,2,0)</f>
        <v>46233</v>
      </c>
      <c r="AC17" s="318">
        <f t="shared" si="6"/>
        <v>127</v>
      </c>
      <c r="AE17" s="37">
        <v>96</v>
      </c>
      <c r="AF17" s="72">
        <f>AF$3*'Yield 1Y'!AB98</f>
        <v>0</v>
      </c>
      <c r="AG17" s="72">
        <f>AG$3*'Yield 1Y'!AC98</f>
        <v>0</v>
      </c>
      <c r="AH17" s="72">
        <f>AH$3*'Yield 1Y'!AD98</f>
        <v>-0.14753163630998548</v>
      </c>
      <c r="AI17" s="72">
        <f>AI$3*'Yield 1Y'!AE98</f>
        <v>0</v>
      </c>
      <c r="AJ17" s="72">
        <f>AJ$3*'Yield 1Y'!AF98</f>
        <v>-7.9498914234760923E-2</v>
      </c>
      <c r="AK17" s="72">
        <f>AK$3*'Yield 1Y'!AG98</f>
        <v>-7.8451999098856842</v>
      </c>
      <c r="AL17" s="72">
        <f>AL$3*'Yield 1Y'!AH98</f>
        <v>-8.6950080145766115</v>
      </c>
      <c r="AM17" s="72">
        <f>AM$3*'Yield 1Y'!AI98</f>
        <v>-6.3907967083262935</v>
      </c>
      <c r="AN17" s="72">
        <f>AN$3*'Yield 1Y'!AJ98</f>
        <v>0</v>
      </c>
      <c r="AO17" s="72">
        <f>AO$3*'Yield 1Y'!AK98</f>
        <v>0</v>
      </c>
      <c r="AP17" s="177">
        <f t="shared" si="3"/>
        <v>23.158035183333332</v>
      </c>
      <c r="AQ17" s="124">
        <f>VLOOKUP(AE17,'Yield 1Y'!$F:$G,2,0)</f>
        <v>46114</v>
      </c>
      <c r="AR17" s="318">
        <f t="shared" si="4"/>
        <v>194</v>
      </c>
      <c r="AS17" s="35"/>
      <c r="AT17" s="37">
        <v>11</v>
      </c>
      <c r="AU17" s="72">
        <f>AU$3*'Yield 1Y'!AB211</f>
        <v>0</v>
      </c>
      <c r="AV17" s="72">
        <f>AV$3*'Yield 1Y'!AC211</f>
        <v>0</v>
      </c>
      <c r="AW17" s="72">
        <f>AW$3*'Yield 1Y'!AD211</f>
        <v>0</v>
      </c>
      <c r="AX17" s="72">
        <f>AX$3*'Yield 1Y'!AE211</f>
        <v>0</v>
      </c>
      <c r="AY17" s="72">
        <f>AY$3*'Yield 1Y'!AF211</f>
        <v>0</v>
      </c>
      <c r="AZ17" s="72">
        <f>AZ$3*'Yield 1Y'!AG211</f>
        <v>-0.81561063972800074</v>
      </c>
      <c r="BA17" s="72">
        <f>BA$3*'Yield 1Y'!AH211</f>
        <v>-4.4394197176289669</v>
      </c>
      <c r="BB17" s="72">
        <f>BB$3*'Yield 1Y'!AI211</f>
        <v>-2.1178560370569977</v>
      </c>
      <c r="BC17" s="72">
        <f>BC$3*'Yield 1Y'!AJ211</f>
        <v>0</v>
      </c>
      <c r="BD17" s="72">
        <f>BD$3*'Yield 1Y'!AK211</f>
        <v>0</v>
      </c>
      <c r="BE17" s="177">
        <f t="shared" si="5"/>
        <v>7.3728863944139658</v>
      </c>
      <c r="BF17" s="124">
        <f>VLOOKUP(AT17,'Yield 1Y'!$F:$G,2,0)</f>
        <v>46238</v>
      </c>
      <c r="BG17" s="318">
        <f t="shared" si="7"/>
        <v>106</v>
      </c>
    </row>
    <row r="18" spans="1:59" x14ac:dyDescent="0.3">
      <c r="A18" s="37">
        <v>84</v>
      </c>
      <c r="B18" s="72">
        <f>'Yield 1Y'!R86*B$3</f>
        <v>0</v>
      </c>
      <c r="C18" s="72">
        <f>'Yield 1Y'!S86*C$3</f>
        <v>0</v>
      </c>
      <c r="D18" s="72">
        <f>'Yield 1Y'!T86*D$3</f>
        <v>-0.38727054531371391</v>
      </c>
      <c r="E18" s="72">
        <f>'Yield 1Y'!U86*E$3</f>
        <v>-0.60580980778619908</v>
      </c>
      <c r="F18" s="72">
        <f>'Yield 1Y'!V86*F$3</f>
        <v>-9.3528134393826602E-3</v>
      </c>
      <c r="G18" s="72">
        <f>'Yield 1Y'!W86*G$3</f>
        <v>-1.623144808941932</v>
      </c>
      <c r="H18" s="72">
        <f>'Yield 1Y'!X86*H$3</f>
        <v>-4.1404800069415417</v>
      </c>
      <c r="I18" s="72">
        <f>'Yield 1Y'!Y86*I$3</f>
        <v>-1.0090731644726041</v>
      </c>
      <c r="J18" s="72">
        <f>'Yield 1Y'!Z86*J$3</f>
        <v>0</v>
      </c>
      <c r="K18" s="72">
        <f>'Yield 1Y'!AA86*K$3</f>
        <v>0</v>
      </c>
      <c r="L18" s="177">
        <f t="shared" si="0"/>
        <v>7.7751311468953741</v>
      </c>
      <c r="M18" s="124">
        <f>VLOOKUP(A18,'Yield 1Y'!$F:$G,2,0)</f>
        <v>46132</v>
      </c>
      <c r="N18" s="318">
        <f t="shared" si="1"/>
        <v>41</v>
      </c>
      <c r="P18" s="37">
        <v>15</v>
      </c>
      <c r="Q18" s="72">
        <f>Q$3*'Yield 1Y'!R17</f>
        <v>0</v>
      </c>
      <c r="R18" s="72">
        <f>R$3*'Yield 1Y'!S17</f>
        <v>0</v>
      </c>
      <c r="S18" s="72">
        <f>S$3*'Yield 1Y'!T17</f>
        <v>0</v>
      </c>
      <c r="T18" s="72">
        <f>T$3*'Yield 1Y'!U17</f>
        <v>0</v>
      </c>
      <c r="U18" s="72">
        <f>U$3*'Yield 1Y'!V17</f>
        <v>0</v>
      </c>
      <c r="V18" s="72">
        <f>V$3*'Yield 1Y'!W17</f>
        <v>-3.823174873725145E-2</v>
      </c>
      <c r="W18" s="72">
        <f>W$3*'Yield 1Y'!X17</f>
        <v>-0.11383127481093692</v>
      </c>
      <c r="X18" s="72">
        <f>X$3*'Yield 1Y'!Y17</f>
        <v>0</v>
      </c>
      <c r="Y18" s="72">
        <f>Y$3*'Yield 1Y'!Z17</f>
        <v>0</v>
      </c>
      <c r="Z18" s="72">
        <f>Z$3*'Yield 1Y'!AA17</f>
        <v>0</v>
      </c>
      <c r="AA18" s="177">
        <f t="shared" si="2"/>
        <v>0.15206302354818838</v>
      </c>
      <c r="AB18" s="124">
        <f>VLOOKUP(P18,'Yield 1Y'!$F:$G,2,0)</f>
        <v>46232</v>
      </c>
      <c r="AC18" s="318">
        <f t="shared" si="6"/>
        <v>154</v>
      </c>
      <c r="AE18" s="37">
        <v>75</v>
      </c>
      <c r="AF18" s="72">
        <f>AF$3*'Yield 1Y'!AB77</f>
        <v>0</v>
      </c>
      <c r="AG18" s="72">
        <f>AG$3*'Yield 1Y'!AC77</f>
        <v>0</v>
      </c>
      <c r="AH18" s="72">
        <f>AH$3*'Yield 1Y'!AD77</f>
        <v>-0.49791927254619889</v>
      </c>
      <c r="AI18" s="72">
        <f>AI$3*'Yield 1Y'!AE77</f>
        <v>-0.11539234434021621</v>
      </c>
      <c r="AJ18" s="72">
        <f>AJ$3*'Yield 1Y'!AF77</f>
        <v>-0.25252596286335882</v>
      </c>
      <c r="AK18" s="72">
        <f>AK$3*'Yield 1Y'!AG77</f>
        <v>2.1641930785891628</v>
      </c>
      <c r="AL18" s="72">
        <f>AL$3*'Yield 1Y'!AH77</f>
        <v>-22.358592037482925</v>
      </c>
      <c r="AM18" s="72">
        <f>AM$3*'Yield 1Y'!AI77</f>
        <v>-7.06351215130793</v>
      </c>
      <c r="AN18" s="72">
        <f>AN$3*'Yield 1Y'!AJ77</f>
        <v>0</v>
      </c>
      <c r="AO18" s="72">
        <f>AO$3*'Yield 1Y'!AK77</f>
        <v>0</v>
      </c>
      <c r="AP18" s="177">
        <f t="shared" si="3"/>
        <v>28.123748689951466</v>
      </c>
      <c r="AQ18" s="124">
        <f>VLOOKUP(AE18,'Yield 1Y'!$F:$G,2,0)</f>
        <v>46148</v>
      </c>
      <c r="AR18" s="318">
        <f t="shared" si="4"/>
        <v>170</v>
      </c>
      <c r="AT18" s="37">
        <v>12</v>
      </c>
      <c r="AU18" s="72">
        <f>AU$3*'Yield 1Y'!AB149</f>
        <v>0</v>
      </c>
      <c r="AV18" s="72">
        <f>AV$3*'Yield 1Y'!AC149</f>
        <v>0</v>
      </c>
      <c r="AW18" s="72">
        <f>AW$3*'Yield 1Y'!AD149</f>
        <v>0</v>
      </c>
      <c r="AX18" s="72">
        <f>AX$3*'Yield 1Y'!AE149</f>
        <v>0</v>
      </c>
      <c r="AY18" s="72">
        <f>AY$3*'Yield 1Y'!AF149</f>
        <v>0</v>
      </c>
      <c r="AZ18" s="72">
        <f>AZ$3*'Yield 1Y'!AG149</f>
        <v>-2.2301853430062479</v>
      </c>
      <c r="BA18" s="72">
        <f>BA$3*'Yield 1Y'!AH149</f>
        <v>-13.090596603264975</v>
      </c>
      <c r="BB18" s="72">
        <f>BB$3*'Yield 1Y'!AI149</f>
        <v>-9.510372392822001</v>
      </c>
      <c r="BC18" s="72">
        <f>BC$3*'Yield 1Y'!AJ149</f>
        <v>0</v>
      </c>
      <c r="BD18" s="72">
        <f>BD$3*'Yield 1Y'!AK149</f>
        <v>0</v>
      </c>
      <c r="BE18" s="177">
        <f t="shared" si="5"/>
        <v>24.831154339093224</v>
      </c>
      <c r="BF18" s="124">
        <f>VLOOKUP(AT18,'Yield 1Y'!$F:$G,2,0)</f>
        <v>46237</v>
      </c>
      <c r="BG18" s="318">
        <f t="shared" si="7"/>
        <v>7</v>
      </c>
    </row>
    <row r="19" spans="1:59" x14ac:dyDescent="0.3">
      <c r="A19" s="37">
        <v>113</v>
      </c>
      <c r="B19" s="72">
        <f>'Yield 1Y'!R115*B$3</f>
        <v>0</v>
      </c>
      <c r="C19" s="72">
        <f>'Yield 1Y'!S115*C$3</f>
        <v>0</v>
      </c>
      <c r="D19" s="72">
        <f>'Yield 1Y'!T115*D$3</f>
        <v>-0.1936352726568549</v>
      </c>
      <c r="E19" s="72">
        <f>'Yield 1Y'!U115*E$3</f>
        <v>-0.54811363561607818</v>
      </c>
      <c r="F19" s="72">
        <f>'Yield 1Y'!V115*F$3</f>
        <v>-8.4175320954454333E-2</v>
      </c>
      <c r="G19" s="72">
        <f>'Yield 1Y'!W115*G$3</f>
        <v>0</v>
      </c>
      <c r="H19" s="72">
        <f>'Yield 1Y'!X115*H$3</f>
        <v>-3.7264320062472769</v>
      </c>
      <c r="I19" s="72">
        <f>'Yield 1Y'!Y115*I$3</f>
        <v>-1.6817886074542407</v>
      </c>
      <c r="J19" s="72">
        <f>'Yield 1Y'!Z115*J$3</f>
        <v>0</v>
      </c>
      <c r="K19" s="72">
        <f>'Yield 1Y'!AA115*K$3</f>
        <v>0</v>
      </c>
      <c r="L19" s="177">
        <f t="shared" si="0"/>
        <v>6.234144842928905</v>
      </c>
      <c r="M19" s="124">
        <f>VLOOKUP(A19,'Yield 1Y'!$F:$G,2,0)</f>
        <v>46091</v>
      </c>
      <c r="N19" s="318">
        <f t="shared" si="1"/>
        <v>53</v>
      </c>
      <c r="P19" s="37">
        <v>16</v>
      </c>
      <c r="Q19" s="72">
        <f>Q$3*'Yield 1Y'!R18</f>
        <v>0</v>
      </c>
      <c r="R19" s="72">
        <f>R$3*'Yield 1Y'!S18</f>
        <v>0</v>
      </c>
      <c r="S19" s="72">
        <f>S$3*'Yield 1Y'!T18</f>
        <v>0</v>
      </c>
      <c r="T19" s="72">
        <f>T$3*'Yield 1Y'!U18</f>
        <v>0</v>
      </c>
      <c r="U19" s="72">
        <f>U$3*'Yield 1Y'!V18</f>
        <v>0</v>
      </c>
      <c r="V19" s="72">
        <f>V$3*'Yield 1Y'!W18</f>
        <v>0</v>
      </c>
      <c r="W19" s="72">
        <f>W$3*'Yield 1Y'!X18</f>
        <v>0</v>
      </c>
      <c r="X19" s="72">
        <f>X$3*'Yield 1Y'!Y18</f>
        <v>0</v>
      </c>
      <c r="Y19" s="72">
        <f>Y$3*'Yield 1Y'!Z18</f>
        <v>0</v>
      </c>
      <c r="Z19" s="72">
        <f>Z$3*'Yield 1Y'!AA18</f>
        <v>0</v>
      </c>
      <c r="AA19" s="177">
        <f t="shared" si="2"/>
        <v>0</v>
      </c>
      <c r="AB19" s="124">
        <f>VLOOKUP(P19,'Yield 1Y'!$F:$G,2,0)</f>
        <v>46231</v>
      </c>
      <c r="AC19" s="318">
        <f t="shared" si="6"/>
        <v>179</v>
      </c>
      <c r="AE19" s="37">
        <v>94</v>
      </c>
      <c r="AF19" s="72">
        <f>AF$3*'Yield 1Y'!AB96</f>
        <v>0</v>
      </c>
      <c r="AG19" s="72">
        <f>AG$3*'Yield 1Y'!AC96</f>
        <v>0</v>
      </c>
      <c r="AH19" s="72">
        <f>AH$3*'Yield 1Y'!AD96</f>
        <v>-0.1936352726568549</v>
      </c>
      <c r="AI19" s="72">
        <f>AI$3*'Yield 1Y'!AE96</f>
        <v>0</v>
      </c>
      <c r="AJ19" s="72">
        <f>AJ$3*'Yield 1Y'!AF96</f>
        <v>-9.352813439383699E-2</v>
      </c>
      <c r="AK19" s="72">
        <f>AK$3*'Yield 1Y'!AG96</f>
        <v>-7.8451999098856842</v>
      </c>
      <c r="AL19" s="72">
        <f>AL$3*'Yield 1Y'!AH96</f>
        <v>-11.17929601874128</v>
      </c>
      <c r="AM19" s="72">
        <f>AM$3*'Yield 1Y'!AI96</f>
        <v>-7.3998698727987486</v>
      </c>
      <c r="AN19" s="72">
        <f>AN$3*'Yield 1Y'!AJ96</f>
        <v>0</v>
      </c>
      <c r="AO19" s="72">
        <f>AO$3*'Yield 1Y'!AK96</f>
        <v>0</v>
      </c>
      <c r="AP19" s="177">
        <f t="shared" si="3"/>
        <v>26.711529208476403</v>
      </c>
      <c r="AQ19" s="124">
        <f>VLOOKUP(AE19,'Yield 1Y'!$F:$G,2,0)</f>
        <v>46118</v>
      </c>
      <c r="AR19" s="318">
        <f t="shared" si="4"/>
        <v>176</v>
      </c>
      <c r="AT19" s="37">
        <v>13</v>
      </c>
      <c r="AU19" s="72">
        <f>AU$3*'Yield 1Y'!AB31</f>
        <v>0</v>
      </c>
      <c r="AV19" s="72">
        <f>AV$3*'Yield 1Y'!AC31</f>
        <v>0</v>
      </c>
      <c r="AW19" s="72">
        <f>AW$3*'Yield 1Y'!AD31</f>
        <v>0</v>
      </c>
      <c r="AX19" s="72">
        <f>AX$3*'Yield 1Y'!AE31</f>
        <v>0</v>
      </c>
      <c r="AY19" s="72">
        <f>AY$3*'Yield 1Y'!AF31</f>
        <v>0</v>
      </c>
      <c r="AZ19" s="72">
        <f>AZ$3*'Yield 1Y'!AG31</f>
        <v>-5.0975664983005708E-2</v>
      </c>
      <c r="BA19" s="72">
        <f>BA$3*'Yield 1Y'!AH31</f>
        <v>-1.9351316717870399</v>
      </c>
      <c r="BB19" s="72">
        <f>BB$3*'Yield 1Y'!AI31</f>
        <v>-0.71927186164199186</v>
      </c>
      <c r="BC19" s="72">
        <f>BC$3*'Yield 1Y'!AJ31</f>
        <v>0</v>
      </c>
      <c r="BD19" s="72">
        <f>BD$3*'Yield 1Y'!AK31</f>
        <v>0</v>
      </c>
      <c r="BE19" s="177">
        <f t="shared" si="5"/>
        <v>2.7053791984120377</v>
      </c>
      <c r="BF19" s="124">
        <f>VLOOKUP(AT19,'Yield 1Y'!$F:$G,2,0)</f>
        <v>46234</v>
      </c>
      <c r="BG19" s="318">
        <f t="shared" si="7"/>
        <v>207</v>
      </c>
    </row>
    <row r="20" spans="1:59" x14ac:dyDescent="0.3">
      <c r="A20" s="114">
        <v>237</v>
      </c>
      <c r="B20" s="72">
        <f>'Yield 1Y'!R239*B$3</f>
        <v>0</v>
      </c>
      <c r="C20" s="72">
        <f>'Yield 1Y'!S239*C$3</f>
        <v>0</v>
      </c>
      <c r="D20" s="72">
        <f>'Yield 1Y'!T239*D$3</f>
        <v>0</v>
      </c>
      <c r="E20" s="72">
        <f>'Yield 1Y'!U239*E$3</f>
        <v>0</v>
      </c>
      <c r="F20" s="72">
        <f>'Yield 1Y'!V239*F$3</f>
        <v>0</v>
      </c>
      <c r="G20" s="72">
        <f>'Yield 1Y'!W239*G$3</f>
        <v>-0.27052413482361526</v>
      </c>
      <c r="H20" s="72">
        <f>'Yield 1Y'!X239*H$3</f>
        <v>-0.82809600138834505</v>
      </c>
      <c r="I20" s="72">
        <f>'Yield 1Y'!Y239*I$3</f>
        <v>0</v>
      </c>
      <c r="J20" s="72">
        <f>'Yield 1Y'!Z239*J$3</f>
        <v>0</v>
      </c>
      <c r="K20" s="72">
        <f>'Yield 1Y'!AA239*K$3</f>
        <v>0</v>
      </c>
      <c r="L20" s="394">
        <f t="shared" si="0"/>
        <v>1.0986201362119603</v>
      </c>
      <c r="M20" s="124">
        <f>VLOOKUP(A20,'Yield 1Y'!$F:$G,2,0)</f>
        <v>45908</v>
      </c>
      <c r="N20" s="318">
        <f t="shared" si="1"/>
        <v>149</v>
      </c>
      <c r="P20" s="37">
        <v>17</v>
      </c>
      <c r="Q20" s="72">
        <f>Q$3*'Yield 1Y'!R19</f>
        <v>0</v>
      </c>
      <c r="R20" s="72">
        <f>R$3*'Yield 1Y'!S19</f>
        <v>0</v>
      </c>
      <c r="S20" s="72">
        <f>S$3*'Yield 1Y'!T19</f>
        <v>0</v>
      </c>
      <c r="T20" s="72">
        <f>T$3*'Yield 1Y'!U19</f>
        <v>0</v>
      </c>
      <c r="U20" s="72">
        <f>U$3*'Yield 1Y'!V19</f>
        <v>0</v>
      </c>
      <c r="V20" s="72">
        <f>V$3*'Yield 1Y'!W19</f>
        <v>1.2743916245742937E-2</v>
      </c>
      <c r="W20" s="72">
        <f>W$3*'Yield 1Y'!X19</f>
        <v>-0.34149382443301302</v>
      </c>
      <c r="X20" s="72">
        <f>X$3*'Yield 1Y'!Y19</f>
        <v>0.15983819147601791</v>
      </c>
      <c r="Y20" s="72">
        <f>Y$3*'Yield 1Y'!Z19</f>
        <v>0</v>
      </c>
      <c r="Z20" s="72">
        <f>Z$3*'Yield 1Y'!AA19</f>
        <v>0</v>
      </c>
      <c r="AA20" s="177">
        <f t="shared" si="2"/>
        <v>0.16891171671125216</v>
      </c>
      <c r="AB20" s="124">
        <f>VLOOKUP(P20,'Yield 1Y'!$F:$G,2,0)</f>
        <v>46230</v>
      </c>
      <c r="AC20" s="318">
        <f t="shared" si="6"/>
        <v>151</v>
      </c>
      <c r="AE20" s="37">
        <v>74</v>
      </c>
      <c r="AF20" s="72">
        <f>AF$3*'Yield 1Y'!AB76</f>
        <v>0</v>
      </c>
      <c r="AG20" s="72">
        <f>AG$3*'Yield 1Y'!AC76</f>
        <v>0</v>
      </c>
      <c r="AH20" s="72">
        <f>AH$3*'Yield 1Y'!AD76</f>
        <v>-0.11986945450186216</v>
      </c>
      <c r="AI20" s="72">
        <f>AI$3*'Yield 1Y'!AE76</f>
        <v>0</v>
      </c>
      <c r="AJ20" s="72">
        <f>AJ$3*'Yield 1Y'!AF76</f>
        <v>-6.0793287355993521E-2</v>
      </c>
      <c r="AK20" s="72">
        <f>AK$3*'Yield 1Y'!AG76</f>
        <v>3.2462896178836238</v>
      </c>
      <c r="AL20" s="72">
        <f>AL$3*'Yield 1Y'!AH76</f>
        <v>-4.968576008329519</v>
      </c>
      <c r="AM20" s="72">
        <f>AM$3*'Yield 1Y'!AI76</f>
        <v>1.3454308859634223</v>
      </c>
      <c r="AN20" s="72">
        <f>AN$3*'Yield 1Y'!AJ76</f>
        <v>0</v>
      </c>
      <c r="AO20" s="72">
        <f>AO$3*'Yield 1Y'!AK76</f>
        <v>0</v>
      </c>
      <c r="AP20" s="177">
        <f t="shared" si="3"/>
        <v>0.55751824634032832</v>
      </c>
      <c r="AQ20" s="124">
        <f>VLOOKUP(AE20,'Yield 1Y'!$F:$G,2,0)</f>
        <v>46149</v>
      </c>
      <c r="AR20" s="318">
        <f t="shared" si="4"/>
        <v>247</v>
      </c>
      <c r="AT20" s="37">
        <v>14</v>
      </c>
      <c r="AU20" s="72">
        <f>AU$3*'Yield 1Y'!AB87</f>
        <v>0</v>
      </c>
      <c r="AV20" s="72">
        <f>AV$3*'Yield 1Y'!AC87</f>
        <v>0</v>
      </c>
      <c r="AW20" s="72">
        <f>AW$3*'Yield 1Y'!AD87</f>
        <v>0</v>
      </c>
      <c r="AX20" s="72">
        <f>AX$3*'Yield 1Y'!AE87</f>
        <v>0</v>
      </c>
      <c r="AY20" s="72">
        <f>AY$3*'Yield 1Y'!AF87</f>
        <v>0</v>
      </c>
      <c r="AZ20" s="72">
        <f>AZ$3*'Yield 1Y'!AG87</f>
        <v>3.8231748737240133E-2</v>
      </c>
      <c r="BA20" s="72">
        <f>BA$3*'Yield 1Y'!AH87</f>
        <v>-0.91065019848800088</v>
      </c>
      <c r="BB20" s="72">
        <f>BB$3*'Yield 1Y'!AI87</f>
        <v>-0.27971683508300471</v>
      </c>
      <c r="BC20" s="72">
        <f>BC$3*'Yield 1Y'!AJ87</f>
        <v>0</v>
      </c>
      <c r="BD20" s="72">
        <f>BD$3*'Yield 1Y'!AK87</f>
        <v>0</v>
      </c>
      <c r="BE20" s="177">
        <f t="shared" si="5"/>
        <v>1.1521352848337654</v>
      </c>
      <c r="BF20" s="124">
        <f>VLOOKUP(AT20,'Yield 1Y'!$F:$G,2,0)</f>
        <v>46233</v>
      </c>
      <c r="BG20" s="318">
        <f t="shared" si="7"/>
        <v>227</v>
      </c>
    </row>
    <row r="21" spans="1:59" x14ac:dyDescent="0.3">
      <c r="A21" s="114">
        <v>39</v>
      </c>
      <c r="B21" s="72">
        <f>'Yield 1Y'!R41*B$3</f>
        <v>0</v>
      </c>
      <c r="C21" s="72">
        <f>'Yield 1Y'!S41*C$3</f>
        <v>0</v>
      </c>
      <c r="D21" s="72">
        <f>'Yield 1Y'!T41*D$3</f>
        <v>0</v>
      </c>
      <c r="E21" s="72">
        <f>'Yield 1Y'!U41*E$3</f>
        <v>0</v>
      </c>
      <c r="F21" s="72">
        <f>'Yield 1Y'!V41*F$3</f>
        <v>0</v>
      </c>
      <c r="G21" s="72">
        <f>'Yield 1Y'!W41*G$3</f>
        <v>0</v>
      </c>
      <c r="H21" s="72">
        <f>'Yield 1Y'!X41*H$3</f>
        <v>-0.41404800069426445</v>
      </c>
      <c r="I21" s="72">
        <f>'Yield 1Y'!Y41*I$3</f>
        <v>-0.67271544298193531</v>
      </c>
      <c r="J21" s="72">
        <f>'Yield 1Y'!Z41*J$3</f>
        <v>0</v>
      </c>
      <c r="K21" s="72">
        <f>'Yield 1Y'!AA41*K$3</f>
        <v>0</v>
      </c>
      <c r="L21" s="394">
        <f t="shared" si="0"/>
        <v>1.0867634436761997</v>
      </c>
      <c r="M21" s="124">
        <f>VLOOKUP(A21,'Yield 1Y'!$F:$G,2,0)</f>
        <v>46198</v>
      </c>
      <c r="N21" s="318">
        <f t="shared" si="1"/>
        <v>150</v>
      </c>
      <c r="P21" s="37">
        <v>18</v>
      </c>
      <c r="Q21" s="72">
        <f>Q$3*'Yield 1Y'!R20</f>
        <v>0</v>
      </c>
      <c r="R21" s="72">
        <f>R$3*'Yield 1Y'!S20</f>
        <v>0</v>
      </c>
      <c r="S21" s="72">
        <f>S$3*'Yield 1Y'!T20</f>
        <v>0</v>
      </c>
      <c r="T21" s="72">
        <f>T$3*'Yield 1Y'!U20</f>
        <v>0</v>
      </c>
      <c r="U21" s="72">
        <f>U$3*'Yield 1Y'!V20</f>
        <v>0</v>
      </c>
      <c r="V21" s="72">
        <f>V$3*'Yield 1Y'!W20</f>
        <v>-1.2743916245742937E-2</v>
      </c>
      <c r="W21" s="72">
        <f>W$3*'Yield 1Y'!X20</f>
        <v>0.45532509924394993</v>
      </c>
      <c r="X21" s="72">
        <f>X$3*'Yield 1Y'!Y20</f>
        <v>0</v>
      </c>
      <c r="Y21" s="72">
        <f>Y$3*'Yield 1Y'!Z20</f>
        <v>0</v>
      </c>
      <c r="Z21" s="72">
        <f>Z$3*'Yield 1Y'!AA20</f>
        <v>0</v>
      </c>
      <c r="AA21" s="177">
        <f t="shared" si="2"/>
        <v>-0.44258118299820698</v>
      </c>
      <c r="AB21" s="124">
        <f>VLOOKUP(P21,'Yield 1Y'!$F:$G,2,0)</f>
        <v>46227</v>
      </c>
      <c r="AC21" s="318">
        <f t="shared" si="6"/>
        <v>224</v>
      </c>
      <c r="AE21" s="37">
        <v>77</v>
      </c>
      <c r="AF21" s="72">
        <f>AF$3*'Yield 1Y'!AB79</f>
        <v>0</v>
      </c>
      <c r="AG21" s="72">
        <f>AG$3*'Yield 1Y'!AC79</f>
        <v>0</v>
      </c>
      <c r="AH21" s="72">
        <f>AH$3*'Yield 1Y'!AD79</f>
        <v>-0.46103636346870253</v>
      </c>
      <c r="AI21" s="72">
        <f>AI$3*'Yield 1Y'!AE79</f>
        <v>-0.14424043042528306</v>
      </c>
      <c r="AJ21" s="72">
        <f>AJ$3*'Yield 1Y'!AF79</f>
        <v>-0.23382033598459351</v>
      </c>
      <c r="AK21" s="72">
        <f>AK$3*'Yield 1Y'!AG79</f>
        <v>-1.3526206741181965</v>
      </c>
      <c r="AL21" s="72">
        <f>AL$3*'Yield 1Y'!AH79</f>
        <v>-29.397408049283033</v>
      </c>
      <c r="AM21" s="72">
        <f>AM$3*'Yield 1Y'!AI79</f>
        <v>-9.754373923234775</v>
      </c>
      <c r="AN21" s="72">
        <f>AN$3*'Yield 1Y'!AJ79</f>
        <v>0</v>
      </c>
      <c r="AO21" s="72">
        <f>AO$3*'Yield 1Y'!AK79</f>
        <v>0</v>
      </c>
      <c r="AP21" s="177">
        <f t="shared" si="3"/>
        <v>41.343499776514584</v>
      </c>
      <c r="AQ21" s="124">
        <f>VLOOKUP(AE21,'Yield 1Y'!$F:$G,2,0)</f>
        <v>46146</v>
      </c>
      <c r="AR21" s="318">
        <f t="shared" si="4"/>
        <v>118</v>
      </c>
      <c r="AT21" s="37">
        <v>15</v>
      </c>
      <c r="AU21" s="72">
        <f>AU$3*'Yield 1Y'!AB253</f>
        <v>0</v>
      </c>
      <c r="AV21" s="72">
        <f>AV$3*'Yield 1Y'!AC253</f>
        <v>0</v>
      </c>
      <c r="AW21" s="72">
        <f>AW$3*'Yield 1Y'!AD253</f>
        <v>0</v>
      </c>
      <c r="AX21" s="72">
        <f>AX$3*'Yield 1Y'!AE253</f>
        <v>0</v>
      </c>
      <c r="AY21" s="72">
        <f>AY$3*'Yield 1Y'!AF253</f>
        <v>0</v>
      </c>
      <c r="AZ21" s="72">
        <f>AZ$3*'Yield 1Y'!AG253</f>
        <v>-1.0322572159057495</v>
      </c>
      <c r="BA21" s="72">
        <f>BA$3*'Yield 1Y'!AH253</f>
        <v>-14.684234450619002</v>
      </c>
      <c r="BB21" s="72">
        <f>BB$3*'Yield 1Y'!AI253</f>
        <v>-4.1158334305069912</v>
      </c>
      <c r="BC21" s="72">
        <f>BC$3*'Yield 1Y'!AJ253</f>
        <v>0</v>
      </c>
      <c r="BD21" s="72">
        <f>BD$3*'Yield 1Y'!AK253</f>
        <v>0</v>
      </c>
      <c r="BE21" s="177">
        <f t="shared" si="5"/>
        <v>19.832325097031742</v>
      </c>
      <c r="BF21" s="124">
        <f>VLOOKUP(AT21,'Yield 1Y'!$F:$G,2,0)</f>
        <v>46232</v>
      </c>
      <c r="BG21" s="318">
        <f t="shared" si="7"/>
        <v>30</v>
      </c>
    </row>
    <row r="22" spans="1:59" x14ac:dyDescent="0.3">
      <c r="A22" s="37">
        <v>101</v>
      </c>
      <c r="B22" s="72">
        <f>'Yield 1Y'!R103*B$3</f>
        <v>0</v>
      </c>
      <c r="C22" s="72">
        <f>'Yield 1Y'!S103*C$3</f>
        <v>0</v>
      </c>
      <c r="D22" s="72">
        <f>'Yield 1Y'!T103*D$3</f>
        <v>0</v>
      </c>
      <c r="E22" s="72">
        <f>'Yield 1Y'!U103*E$3</f>
        <v>-0.14424043042528306</v>
      </c>
      <c r="F22" s="72">
        <f>'Yield 1Y'!V103*F$3</f>
        <v>-4.6764067196917454E-2</v>
      </c>
      <c r="G22" s="72">
        <f>'Yield 1Y'!W103*G$3</f>
        <v>-6.7631033705912227</v>
      </c>
      <c r="H22" s="72">
        <f>'Yield 1Y'!X103*H$3</f>
        <v>-0.41404800069389674</v>
      </c>
      <c r="I22" s="72">
        <f>'Yield 1Y'!Y103*I$3</f>
        <v>0</v>
      </c>
      <c r="J22" s="72">
        <f>'Yield 1Y'!Z103*J$3</f>
        <v>0</v>
      </c>
      <c r="K22" s="72">
        <f>'Yield 1Y'!AA103*K$3</f>
        <v>0</v>
      </c>
      <c r="L22" s="177">
        <f t="shared" si="0"/>
        <v>7.3681558689073201</v>
      </c>
      <c r="M22" s="124">
        <f>VLOOKUP(A22,'Yield 1Y'!$F:$G,2,0)</f>
        <v>46107</v>
      </c>
      <c r="N22" s="318">
        <f t="shared" si="1"/>
        <v>46</v>
      </c>
      <c r="P22" s="37">
        <v>19</v>
      </c>
      <c r="Q22" s="72">
        <f>Q$3*'Yield 1Y'!R21</f>
        <v>0</v>
      </c>
      <c r="R22" s="72">
        <f>R$3*'Yield 1Y'!S21</f>
        <v>0</v>
      </c>
      <c r="S22" s="72">
        <f>S$3*'Yield 1Y'!T21</f>
        <v>0</v>
      </c>
      <c r="T22" s="72">
        <f>T$3*'Yield 1Y'!U21</f>
        <v>0</v>
      </c>
      <c r="U22" s="72">
        <f>U$3*'Yield 1Y'!V21</f>
        <v>0</v>
      </c>
      <c r="V22" s="72">
        <f>V$3*'Yield 1Y'!W21</f>
        <v>1.2743916245742937E-2</v>
      </c>
      <c r="W22" s="72">
        <f>W$3*'Yield 1Y'!X21</f>
        <v>-0.22766254962197496</v>
      </c>
      <c r="X22" s="72">
        <f>X$3*'Yield 1Y'!Y21</f>
        <v>0</v>
      </c>
      <c r="Y22" s="72">
        <f>Y$3*'Yield 1Y'!Z21</f>
        <v>0</v>
      </c>
      <c r="Z22" s="72">
        <f>Z$3*'Yield 1Y'!AA21</f>
        <v>0</v>
      </c>
      <c r="AA22" s="177">
        <f t="shared" si="2"/>
        <v>0.21491863337623202</v>
      </c>
      <c r="AB22" s="124">
        <f>VLOOKUP(P22,'Yield 1Y'!$F:$G,2,0)</f>
        <v>46226</v>
      </c>
      <c r="AC22" s="318">
        <f t="shared" si="6"/>
        <v>142</v>
      </c>
      <c r="AE22" s="37">
        <v>76</v>
      </c>
      <c r="AF22" s="72">
        <f>AF$3*'Yield 1Y'!AB78</f>
        <v>0</v>
      </c>
      <c r="AG22" s="72">
        <f>AG$3*'Yield 1Y'!AC78</f>
        <v>0</v>
      </c>
      <c r="AH22" s="72">
        <f>AH$3*'Yield 1Y'!AD78</f>
        <v>-0.49791927254619889</v>
      </c>
      <c r="AI22" s="72">
        <f>AI$3*'Yield 1Y'!AE78</f>
        <v>-0.14424043042528306</v>
      </c>
      <c r="AJ22" s="72">
        <f>AJ$3*'Yield 1Y'!AF78</f>
        <v>-0.25252596286335882</v>
      </c>
      <c r="AK22" s="72">
        <f>AK$3*'Yield 1Y'!AG78</f>
        <v>1.893668943765427</v>
      </c>
      <c r="AL22" s="72">
        <f>AL$3*'Yield 1Y'!AH78</f>
        <v>-22.358592037482925</v>
      </c>
      <c r="AM22" s="72">
        <f>AM$3*'Yield 1Y'!AI78</f>
        <v>-8.0725853157805343</v>
      </c>
      <c r="AN22" s="72">
        <f>AN$3*'Yield 1Y'!AJ78</f>
        <v>0</v>
      </c>
      <c r="AO22" s="72">
        <f>AO$3*'Yield 1Y'!AK78</f>
        <v>0</v>
      </c>
      <c r="AP22" s="177">
        <f t="shared" si="3"/>
        <v>29.432194075332873</v>
      </c>
      <c r="AQ22" s="124">
        <f>VLOOKUP(AE22,'Yield 1Y'!$F:$G,2,0)</f>
        <v>46147</v>
      </c>
      <c r="AR22" s="318">
        <f t="shared" si="4"/>
        <v>166</v>
      </c>
      <c r="AT22" s="37">
        <v>16</v>
      </c>
      <c r="AU22" s="72">
        <f>AU$3*'Yield 1Y'!AB228</f>
        <v>0</v>
      </c>
      <c r="AV22" s="72">
        <f>AV$3*'Yield 1Y'!AC228</f>
        <v>0</v>
      </c>
      <c r="AW22" s="72">
        <f>AW$3*'Yield 1Y'!AD228</f>
        <v>0</v>
      </c>
      <c r="AX22" s="72">
        <f>AX$3*'Yield 1Y'!AE228</f>
        <v>0</v>
      </c>
      <c r="AY22" s="72">
        <f>AY$3*'Yield 1Y'!AF228</f>
        <v>0</v>
      </c>
      <c r="AZ22" s="72">
        <f>AZ$3*'Yield 1Y'!AG228</f>
        <v>-0.24213440866924599</v>
      </c>
      <c r="BA22" s="72">
        <f>BA$3*'Yield 1Y'!AH228</f>
        <v>-2.845781870275041</v>
      </c>
      <c r="BB22" s="72">
        <f>BB$3*'Yield 1Y'!AI228</f>
        <v>-0.95902914885600099</v>
      </c>
      <c r="BC22" s="72">
        <f>BC$3*'Yield 1Y'!AJ228</f>
        <v>0</v>
      </c>
      <c r="BD22" s="72">
        <f>BD$3*'Yield 1Y'!AK228</f>
        <v>0</v>
      </c>
      <c r="BE22" s="177">
        <f t="shared" si="5"/>
        <v>4.0469454278002885</v>
      </c>
      <c r="BF22" s="124">
        <f>VLOOKUP(AT22,'Yield 1Y'!$F:$G,2,0)</f>
        <v>46231</v>
      </c>
      <c r="BG22" s="318">
        <f t="shared" si="7"/>
        <v>182</v>
      </c>
    </row>
    <row r="23" spans="1:59" x14ac:dyDescent="0.3">
      <c r="A23" s="37">
        <v>78</v>
      </c>
      <c r="B23" s="72">
        <f>'Yield 1Y'!R80*B$3</f>
        <v>0</v>
      </c>
      <c r="C23" s="72">
        <f>'Yield 1Y'!S80*C$3</f>
        <v>0</v>
      </c>
      <c r="D23" s="72">
        <f>'Yield 1Y'!T80*D$3</f>
        <v>-0.23051818173435126</v>
      </c>
      <c r="E23" s="72">
        <f>'Yield 1Y'!U80*E$3</f>
        <v>-0.3750251191057411</v>
      </c>
      <c r="F23" s="72">
        <f>'Yield 1Y'!V80*F$3</f>
        <v>0</v>
      </c>
      <c r="G23" s="72">
        <f>'Yield 1Y'!W80*G$3</f>
        <v>0</v>
      </c>
      <c r="H23" s="72">
        <f>'Yield 1Y'!X80*H$3</f>
        <v>-1.2421440020824257</v>
      </c>
      <c r="I23" s="72">
        <f>'Yield 1Y'!Y80*I$3</f>
        <v>-0.33635772149096765</v>
      </c>
      <c r="J23" s="72">
        <f>'Yield 1Y'!Z80*J$3</f>
        <v>0</v>
      </c>
      <c r="K23" s="72">
        <f>'Yield 1Y'!AA80*K$3</f>
        <v>0</v>
      </c>
      <c r="L23" s="177">
        <f t="shared" si="0"/>
        <v>2.1840450244134857</v>
      </c>
      <c r="M23" s="124">
        <f>VLOOKUP(A23,'Yield 1Y'!$F:$G,2,0)</f>
        <v>46141</v>
      </c>
      <c r="N23" s="318">
        <f t="shared" si="1"/>
        <v>114</v>
      </c>
      <c r="P23" s="37">
        <v>20</v>
      </c>
      <c r="Q23" s="72">
        <f>Q$3*'Yield 1Y'!R22</f>
        <v>0</v>
      </c>
      <c r="R23" s="72">
        <f>R$3*'Yield 1Y'!S22</f>
        <v>0</v>
      </c>
      <c r="S23" s="72">
        <f>S$3*'Yield 1Y'!T22</f>
        <v>0</v>
      </c>
      <c r="T23" s="72">
        <f>T$3*'Yield 1Y'!U22</f>
        <v>0</v>
      </c>
      <c r="U23" s="72">
        <f>U$3*'Yield 1Y'!V22</f>
        <v>0</v>
      </c>
      <c r="V23" s="72">
        <f>V$3*'Yield 1Y'!W22</f>
        <v>-1.2743916245742937E-2</v>
      </c>
      <c r="W23" s="72">
        <f>W$3*'Yield 1Y'!X22</f>
        <v>0.11383127481103802</v>
      </c>
      <c r="X23" s="72">
        <f>X$3*'Yield 1Y'!Y22</f>
        <v>0</v>
      </c>
      <c r="Y23" s="72">
        <f>Y$3*'Yield 1Y'!Z22</f>
        <v>0</v>
      </c>
      <c r="Z23" s="72">
        <f>Z$3*'Yield 1Y'!AA22</f>
        <v>0</v>
      </c>
      <c r="AA23" s="177">
        <f t="shared" si="2"/>
        <v>-0.10108735856529509</v>
      </c>
      <c r="AB23" s="124">
        <f>VLOOKUP(P23,'Yield 1Y'!$F:$G,2,0)</f>
        <v>46225</v>
      </c>
      <c r="AC23" s="318">
        <f t="shared" si="6"/>
        <v>200</v>
      </c>
      <c r="AE23" s="37">
        <v>89</v>
      </c>
      <c r="AF23" s="72">
        <f>AF$3*'Yield 1Y'!AB91</f>
        <v>0</v>
      </c>
      <c r="AG23" s="72">
        <f>AG$3*'Yield 1Y'!AC91</f>
        <v>0</v>
      </c>
      <c r="AH23" s="72">
        <f>AH$3*'Yield 1Y'!AD91</f>
        <v>-8.2986545424365801E-2</v>
      </c>
      <c r="AI23" s="72">
        <f>AI$3*'Yield 1Y'!AE91</f>
        <v>0</v>
      </c>
      <c r="AJ23" s="72">
        <f>AJ$3*'Yield 1Y'!AF91</f>
        <v>-3.7411253757534797E-2</v>
      </c>
      <c r="AK23" s="72">
        <f>AK$3*'Yield 1Y'!AG91</f>
        <v>0</v>
      </c>
      <c r="AL23" s="72">
        <f>AL$3*'Yield 1Y'!AH91</f>
        <v>-3.3123840055530125</v>
      </c>
      <c r="AM23" s="72">
        <f>AM$3*'Yield 1Y'!AI91</f>
        <v>-1.6817886074542407</v>
      </c>
      <c r="AN23" s="72">
        <f>AN$3*'Yield 1Y'!AJ91</f>
        <v>0</v>
      </c>
      <c r="AO23" s="72">
        <f>AO$3*'Yield 1Y'!AK91</f>
        <v>0</v>
      </c>
      <c r="AP23" s="177">
        <f t="shared" si="3"/>
        <v>5.1145704121891544</v>
      </c>
      <c r="AQ23" s="124">
        <f>VLOOKUP(AE23,'Yield 1Y'!$F:$G,2,0)</f>
        <v>46125</v>
      </c>
      <c r="AR23" s="318">
        <f t="shared" si="4"/>
        <v>238</v>
      </c>
      <c r="AT23" s="37">
        <v>17</v>
      </c>
      <c r="AU23" s="72">
        <f>AU$3*'Yield 1Y'!AB236</f>
        <v>0</v>
      </c>
      <c r="AV23" s="72">
        <f>AV$3*'Yield 1Y'!AC236</f>
        <v>0</v>
      </c>
      <c r="AW23" s="72">
        <f>AW$3*'Yield 1Y'!AD236</f>
        <v>0</v>
      </c>
      <c r="AX23" s="72">
        <f>AX$3*'Yield 1Y'!AE236</f>
        <v>0</v>
      </c>
      <c r="AY23" s="72">
        <f>AY$3*'Yield 1Y'!AF236</f>
        <v>0</v>
      </c>
      <c r="AZ23" s="72">
        <f>AZ$3*'Yield 1Y'!AG236</f>
        <v>-0.31859790614375455</v>
      </c>
      <c r="BA23" s="72">
        <f>BA$3*'Yield 1Y'!AH236</f>
        <v>-6.4883826642269939</v>
      </c>
      <c r="BB23" s="72">
        <f>BB$3*'Yield 1Y'!AI236</f>
        <v>-1.1188673403320011</v>
      </c>
      <c r="BC23" s="72">
        <f>BC$3*'Yield 1Y'!AJ236</f>
        <v>0</v>
      </c>
      <c r="BD23" s="72">
        <f>BD$3*'Yield 1Y'!AK236</f>
        <v>0</v>
      </c>
      <c r="BE23" s="177">
        <f t="shared" si="5"/>
        <v>7.9258479107027497</v>
      </c>
      <c r="BF23" s="124">
        <f>VLOOKUP(AT23,'Yield 1Y'!$F:$G,2,0)</f>
        <v>46230</v>
      </c>
      <c r="BG23" s="318">
        <f t="shared" si="7"/>
        <v>91</v>
      </c>
    </row>
    <row r="24" spans="1:59" x14ac:dyDescent="0.3">
      <c r="A24" s="37">
        <v>116</v>
      </c>
      <c r="B24" s="72">
        <f>'Yield 1Y'!R118*B$3</f>
        <v>0</v>
      </c>
      <c r="C24" s="72">
        <f>'Yield 1Y'!S118*C$3</f>
        <v>0</v>
      </c>
      <c r="D24" s="72">
        <f>'Yield 1Y'!T118*D$3</f>
        <v>0</v>
      </c>
      <c r="E24" s="72">
        <f>'Yield 1Y'!U118*E$3</f>
        <v>-0.17308851651033713</v>
      </c>
      <c r="F24" s="72">
        <f>'Yield 1Y'!V118*F$3</f>
        <v>-5.1440473916610864E-2</v>
      </c>
      <c r="G24" s="72">
        <f>'Yield 1Y'!W118*G$3</f>
        <v>-0.54104826964723052</v>
      </c>
      <c r="H24" s="72">
        <f>'Yield 1Y'!X118*H$3</f>
        <v>0.41404800069426445</v>
      </c>
      <c r="I24" s="72">
        <f>'Yield 1Y'!Y118*I$3</f>
        <v>-0.67271544298193531</v>
      </c>
      <c r="J24" s="72">
        <f>'Yield 1Y'!Z118*J$3</f>
        <v>0</v>
      </c>
      <c r="K24" s="72">
        <f>'Yield 1Y'!AA118*K$3</f>
        <v>0</v>
      </c>
      <c r="L24" s="177">
        <f t="shared" si="0"/>
        <v>1.0242447023618493</v>
      </c>
      <c r="M24" s="124">
        <f>VLOOKUP(A24,'Yield 1Y'!$F:$G,2,0)</f>
        <v>46086</v>
      </c>
      <c r="N24" s="318">
        <f t="shared" si="1"/>
        <v>153</v>
      </c>
      <c r="P24" s="37">
        <v>21</v>
      </c>
      <c r="Q24" s="72">
        <f>Q$3*'Yield 1Y'!R23</f>
        <v>0</v>
      </c>
      <c r="R24" s="72">
        <f>R$3*'Yield 1Y'!S23</f>
        <v>0</v>
      </c>
      <c r="S24" s="72">
        <f>S$3*'Yield 1Y'!T23</f>
        <v>0</v>
      </c>
      <c r="T24" s="72">
        <f>T$3*'Yield 1Y'!U23</f>
        <v>0</v>
      </c>
      <c r="U24" s="72">
        <f>U$3*'Yield 1Y'!V23</f>
        <v>0</v>
      </c>
      <c r="V24" s="72">
        <f>V$3*'Yield 1Y'!W23</f>
        <v>-3.823174873725145E-2</v>
      </c>
      <c r="W24" s="72">
        <f>W$3*'Yield 1Y'!X23</f>
        <v>-0.68298764886602603</v>
      </c>
      <c r="X24" s="72">
        <f>X$3*'Yield 1Y'!Y23</f>
        <v>0</v>
      </c>
      <c r="Y24" s="72">
        <f>Y$3*'Yield 1Y'!Z23</f>
        <v>0</v>
      </c>
      <c r="Z24" s="72">
        <f>Z$3*'Yield 1Y'!AA23</f>
        <v>0</v>
      </c>
      <c r="AA24" s="177">
        <f t="shared" si="2"/>
        <v>0.72121939760327747</v>
      </c>
      <c r="AB24" s="124">
        <f>VLOOKUP(P24,'Yield 1Y'!$F:$G,2,0)</f>
        <v>46224</v>
      </c>
      <c r="AC24" s="318">
        <f t="shared" si="6"/>
        <v>69</v>
      </c>
      <c r="AE24" s="37">
        <v>78</v>
      </c>
      <c r="AF24" s="72">
        <f>AF$3*'Yield 1Y'!AB80</f>
        <v>0</v>
      </c>
      <c r="AG24" s="72">
        <f>AG$3*'Yield 1Y'!AC80</f>
        <v>0</v>
      </c>
      <c r="AH24" s="72">
        <f>AH$3*'Yield 1Y'!AD80</f>
        <v>-0.46103636346870253</v>
      </c>
      <c r="AI24" s="72">
        <f>AI$3*'Yield 1Y'!AE80</f>
        <v>-0.28848086085056612</v>
      </c>
      <c r="AJ24" s="72">
        <f>AJ$3*'Yield 1Y'!AF80</f>
        <v>-0.23382033598459351</v>
      </c>
      <c r="AK24" s="72">
        <f>AK$3*'Yield 1Y'!AG80</f>
        <v>-0.27052413482373544</v>
      </c>
      <c r="AL24" s="72">
        <f>AL$3*'Yield 1Y'!AH80</f>
        <v>-29.397408049283033</v>
      </c>
      <c r="AM24" s="72">
        <f>AM$3*'Yield 1Y'!AI80</f>
        <v>-9.754373923234775</v>
      </c>
      <c r="AN24" s="72">
        <f>AN$3*'Yield 1Y'!AJ80</f>
        <v>0</v>
      </c>
      <c r="AO24" s="72">
        <f>AO$3*'Yield 1Y'!AK80</f>
        <v>0</v>
      </c>
      <c r="AP24" s="177">
        <f t="shared" si="3"/>
        <v>40.405643667645407</v>
      </c>
      <c r="AQ24" s="124">
        <f>VLOOKUP(AE24,'Yield 1Y'!$F:$G,2,0)</f>
        <v>46141</v>
      </c>
      <c r="AR24" s="318">
        <f t="shared" si="4"/>
        <v>124</v>
      </c>
      <c r="AT24" s="37">
        <v>18</v>
      </c>
      <c r="AU24" s="72">
        <f>AU$3*'Yield 1Y'!AB74</f>
        <v>0</v>
      </c>
      <c r="AV24" s="72">
        <f>AV$3*'Yield 1Y'!AC74</f>
        <v>0</v>
      </c>
      <c r="AW24" s="72">
        <f>AW$3*'Yield 1Y'!AD74</f>
        <v>0</v>
      </c>
      <c r="AX24" s="72">
        <f>AX$3*'Yield 1Y'!AE74</f>
        <v>0</v>
      </c>
      <c r="AY24" s="72">
        <f>AY$3*'Yield 1Y'!AF74</f>
        <v>0</v>
      </c>
      <c r="AZ24" s="72">
        <f>AZ$3*'Yield 1Y'!AG74</f>
        <v>0.10195132996600009</v>
      </c>
      <c r="BA24" s="72">
        <f>BA$3*'Yield 1Y'!AH74</f>
        <v>-1.3659752977320014</v>
      </c>
      <c r="BB24" s="72">
        <f>BB$3*'Yield 1Y'!AI74</f>
        <v>0</v>
      </c>
      <c r="BC24" s="72">
        <f>BC$3*'Yield 1Y'!AJ74</f>
        <v>0</v>
      </c>
      <c r="BD24" s="72">
        <f>BD$3*'Yield 1Y'!AK74</f>
        <v>0</v>
      </c>
      <c r="BE24" s="177">
        <f t="shared" si="5"/>
        <v>1.2640239677660015</v>
      </c>
      <c r="BF24" s="124">
        <f>VLOOKUP(AT24,'Yield 1Y'!$F:$G,2,0)</f>
        <v>46227</v>
      </c>
      <c r="BG24" s="318">
        <f t="shared" si="7"/>
        <v>224</v>
      </c>
    </row>
    <row r="25" spans="1:59" x14ac:dyDescent="0.3">
      <c r="A25" s="37">
        <v>107</v>
      </c>
      <c r="B25" s="72">
        <f>'Yield 1Y'!R109*B$3</f>
        <v>0</v>
      </c>
      <c r="C25" s="72">
        <f>'Yield 1Y'!S109*C$3</f>
        <v>0</v>
      </c>
      <c r="D25" s="72">
        <f>'Yield 1Y'!T109*D$3</f>
        <v>0</v>
      </c>
      <c r="E25" s="72">
        <f>'Yield 1Y'!U109*E$3</f>
        <v>-5.7696172170108105E-2</v>
      </c>
      <c r="F25" s="72">
        <f>'Yield 1Y'!V109*F$3</f>
        <v>-1.8705626878769473E-2</v>
      </c>
      <c r="G25" s="72">
        <f>'Yield 1Y'!W109*G$3</f>
        <v>0</v>
      </c>
      <c r="H25" s="72">
        <f>'Yield 1Y'!X109*H$3</f>
        <v>-1.2421440020824257</v>
      </c>
      <c r="I25" s="72">
        <f>'Yield 1Y'!Y109*I$3</f>
        <v>0</v>
      </c>
      <c r="J25" s="72">
        <f>'Yield 1Y'!Z109*J$3</f>
        <v>0</v>
      </c>
      <c r="K25" s="72">
        <f>'Yield 1Y'!AA109*K$3</f>
        <v>0</v>
      </c>
      <c r="L25" s="177">
        <f t="shared" si="0"/>
        <v>1.3185458011313034</v>
      </c>
      <c r="M25" s="124">
        <f>VLOOKUP(A25,'Yield 1Y'!$F:$G,2,0)</f>
        <v>46099</v>
      </c>
      <c r="N25" s="318">
        <f t="shared" si="1"/>
        <v>140</v>
      </c>
      <c r="P25" s="37">
        <v>22</v>
      </c>
      <c r="Q25" s="72">
        <f>Q$3*'Yield 1Y'!R24</f>
        <v>0</v>
      </c>
      <c r="R25" s="72">
        <f>R$3*'Yield 1Y'!S24</f>
        <v>0</v>
      </c>
      <c r="S25" s="72">
        <f>S$3*'Yield 1Y'!T24</f>
        <v>0</v>
      </c>
      <c r="T25" s="72">
        <f>T$3*'Yield 1Y'!U24</f>
        <v>0</v>
      </c>
      <c r="U25" s="72">
        <f>U$3*'Yield 1Y'!V24</f>
        <v>0</v>
      </c>
      <c r="V25" s="72">
        <f>V$3*'Yield 1Y'!W24</f>
        <v>1.2743916245754256E-2</v>
      </c>
      <c r="W25" s="72">
        <f>W$3*'Yield 1Y'!X24</f>
        <v>0.34149382443301302</v>
      </c>
      <c r="X25" s="72">
        <f>X$3*'Yield 1Y'!Y24</f>
        <v>0.11987864360700456</v>
      </c>
      <c r="Y25" s="72">
        <f>Y$3*'Yield 1Y'!Z24</f>
        <v>0</v>
      </c>
      <c r="Z25" s="72">
        <f>Z$3*'Yield 1Y'!AA24</f>
        <v>0</v>
      </c>
      <c r="AA25" s="177">
        <f t="shared" si="2"/>
        <v>-0.47411638428577185</v>
      </c>
      <c r="AB25" s="124">
        <f>VLOOKUP(P25,'Yield 1Y'!$F:$G,2,0)</f>
        <v>46223</v>
      </c>
      <c r="AC25" s="318">
        <f t="shared" si="6"/>
        <v>228</v>
      </c>
      <c r="AE25" s="37">
        <v>95</v>
      </c>
      <c r="AF25" s="72">
        <f>AF$3*'Yield 1Y'!AB97</f>
        <v>0</v>
      </c>
      <c r="AG25" s="72">
        <f>AG$3*'Yield 1Y'!AC97</f>
        <v>0</v>
      </c>
      <c r="AH25" s="72">
        <f>AH$3*'Yield 1Y'!AD97</f>
        <v>-0.14753163630998548</v>
      </c>
      <c r="AI25" s="72">
        <f>AI$3*'Yield 1Y'!AE97</f>
        <v>0</v>
      </c>
      <c r="AJ25" s="72">
        <f>AJ$3*'Yield 1Y'!AF97</f>
        <v>-7.9498914234760923E-2</v>
      </c>
      <c r="AK25" s="72">
        <f>AK$3*'Yield 1Y'!AG97</f>
        <v>-7.8451999098856842</v>
      </c>
      <c r="AL25" s="72">
        <f>AL$3*'Yield 1Y'!AH97</f>
        <v>-8.6950080145766115</v>
      </c>
      <c r="AM25" s="72">
        <f>AM$3*'Yield 1Y'!AI97</f>
        <v>-7.3998698727987486</v>
      </c>
      <c r="AN25" s="72">
        <f>AN$3*'Yield 1Y'!AJ97</f>
        <v>0</v>
      </c>
      <c r="AO25" s="72">
        <f>AO$3*'Yield 1Y'!AK97</f>
        <v>0</v>
      </c>
      <c r="AP25" s="177">
        <f t="shared" si="3"/>
        <v>24.16710834780579</v>
      </c>
      <c r="AQ25" s="124">
        <f>VLOOKUP(AE25,'Yield 1Y'!$F:$G,2,0)</f>
        <v>46115</v>
      </c>
      <c r="AR25" s="318">
        <f t="shared" si="4"/>
        <v>189</v>
      </c>
      <c r="AT25" s="37">
        <v>19</v>
      </c>
      <c r="AU25" s="72">
        <f>AU$3*'Yield 1Y'!AB216</f>
        <v>0</v>
      </c>
      <c r="AV25" s="72">
        <f>AV$3*'Yield 1Y'!AC216</f>
        <v>0</v>
      </c>
      <c r="AW25" s="72">
        <f>AW$3*'Yield 1Y'!AD216</f>
        <v>0</v>
      </c>
      <c r="AX25" s="72">
        <f>AX$3*'Yield 1Y'!AE216</f>
        <v>0</v>
      </c>
      <c r="AY25" s="72">
        <f>AY$3*'Yield 1Y'!AF216</f>
        <v>0</v>
      </c>
      <c r="AZ25" s="72">
        <f>AZ$3*'Yield 1Y'!AG216</f>
        <v>-0.35682965488100032</v>
      </c>
      <c r="BA25" s="72">
        <f>BA$3*'Yield 1Y'!AH216</f>
        <v>-4.6670822672509917</v>
      </c>
      <c r="BB25" s="72">
        <f>BB$3*'Yield 1Y'!AI216</f>
        <v>-2.5973706114849984</v>
      </c>
      <c r="BC25" s="72">
        <f>BC$3*'Yield 1Y'!AJ216</f>
        <v>0</v>
      </c>
      <c r="BD25" s="72">
        <f>BD$3*'Yield 1Y'!AK216</f>
        <v>0</v>
      </c>
      <c r="BE25" s="177">
        <f t="shared" si="5"/>
        <v>7.6212825336169905</v>
      </c>
      <c r="BF25" s="124">
        <f>VLOOKUP(AT25,'Yield 1Y'!$F:$G,2,0)</f>
        <v>46226</v>
      </c>
      <c r="BG25" s="318">
        <f t="shared" si="7"/>
        <v>97</v>
      </c>
    </row>
    <row r="26" spans="1:59" x14ac:dyDescent="0.3">
      <c r="A26" s="37">
        <v>1</v>
      </c>
      <c r="B26" s="72">
        <f>'Yield 1Y'!R3*B$3</f>
        <v>0</v>
      </c>
      <c r="C26" s="72">
        <f>'Yield 1Y'!S3*C$3</f>
        <v>0</v>
      </c>
      <c r="D26" s="72">
        <f>'Yield 1Y'!T3*D$3</f>
        <v>0</v>
      </c>
      <c r="E26" s="72">
        <f>'Yield 1Y'!U3*E$3</f>
        <v>0.14424043042528306</v>
      </c>
      <c r="F26" s="72">
        <f>'Yield 1Y'!V3*F$3</f>
        <v>4.6764067196917454E-2</v>
      </c>
      <c r="G26" s="72">
        <f>'Yield 1Y'!W3*G$3</f>
        <v>0.54104826964723052</v>
      </c>
      <c r="H26" s="72">
        <f>'Yield 1Y'!X3*H$3</f>
        <v>2.070240003470587</v>
      </c>
      <c r="I26" s="72">
        <f>'Yield 1Y'!Y3*I$3</f>
        <v>0</v>
      </c>
      <c r="J26" s="72">
        <f>'Yield 1Y'!Z3*J$3</f>
        <v>0</v>
      </c>
      <c r="K26" s="72">
        <f>'Yield 1Y'!AA3*K$3</f>
        <v>0</v>
      </c>
      <c r="L26" s="177">
        <f t="shared" si="0"/>
        <v>-2.802292770740018</v>
      </c>
      <c r="M26" s="124">
        <f>VLOOKUP(A26,'Yield 1Y'!$F:$G,2,0)</f>
        <v>46252</v>
      </c>
      <c r="N26" s="318">
        <f t="shared" si="1"/>
        <v>242</v>
      </c>
      <c r="P26" s="37">
        <v>23</v>
      </c>
      <c r="Q26" s="72">
        <f>Q$3*'Yield 1Y'!R25</f>
        <v>0</v>
      </c>
      <c r="R26" s="72">
        <f>R$3*'Yield 1Y'!S25</f>
        <v>0</v>
      </c>
      <c r="S26" s="72">
        <f>S$3*'Yield 1Y'!T25</f>
        <v>0</v>
      </c>
      <c r="T26" s="72">
        <f>T$3*'Yield 1Y'!U25</f>
        <v>0</v>
      </c>
      <c r="U26" s="72">
        <f>U$3*'Yield 1Y'!V25</f>
        <v>0</v>
      </c>
      <c r="V26" s="72">
        <f>V$3*'Yield 1Y'!W25</f>
        <v>1.2743916245742937E-2</v>
      </c>
      <c r="W26" s="72">
        <f>W$3*'Yield 1Y'!X25</f>
        <v>-0.34149382443301302</v>
      </c>
      <c r="X26" s="72">
        <f>X$3*'Yield 1Y'!Y25</f>
        <v>-0.11987864360700456</v>
      </c>
      <c r="Y26" s="72">
        <f>Y$3*'Yield 1Y'!Z25</f>
        <v>0</v>
      </c>
      <c r="Z26" s="72">
        <f>Z$3*'Yield 1Y'!AA25</f>
        <v>0</v>
      </c>
      <c r="AA26" s="177">
        <f t="shared" si="2"/>
        <v>0.44862855179427463</v>
      </c>
      <c r="AB26" s="124">
        <f>VLOOKUP(P26,'Yield 1Y'!$F:$G,2,0)</f>
        <v>46220</v>
      </c>
      <c r="AC26" s="318">
        <f t="shared" si="6"/>
        <v>101</v>
      </c>
      <c r="AE26" s="37">
        <v>90</v>
      </c>
      <c r="AF26" s="72">
        <f>AF$3*'Yield 1Y'!AB92</f>
        <v>0</v>
      </c>
      <c r="AG26" s="72">
        <f>AG$3*'Yield 1Y'!AC92</f>
        <v>0</v>
      </c>
      <c r="AH26" s="72">
        <f>AH$3*'Yield 1Y'!AD92</f>
        <v>-8.2986545424365801E-2</v>
      </c>
      <c r="AI26" s="72">
        <f>AI$3*'Yield 1Y'!AE92</f>
        <v>0</v>
      </c>
      <c r="AJ26" s="72">
        <f>AJ$3*'Yield 1Y'!AF92</f>
        <v>-3.7411253757534797E-2</v>
      </c>
      <c r="AK26" s="72">
        <f>AK$3*'Yield 1Y'!AG92</f>
        <v>0</v>
      </c>
      <c r="AL26" s="72">
        <f>AL$3*'Yield 1Y'!AH92</f>
        <v>-3.3123840055530125</v>
      </c>
      <c r="AM26" s="72">
        <f>AM$3*'Yield 1Y'!AI92</f>
        <v>-3.0272194934176628</v>
      </c>
      <c r="AN26" s="72">
        <f>AN$3*'Yield 1Y'!AJ92</f>
        <v>0</v>
      </c>
      <c r="AO26" s="72">
        <f>AO$3*'Yield 1Y'!AK92</f>
        <v>0</v>
      </c>
      <c r="AP26" s="177">
        <f t="shared" si="3"/>
        <v>6.4600012981525765</v>
      </c>
      <c r="AQ26" s="124">
        <f>VLOOKUP(AE26,'Yield 1Y'!$F:$G,2,0)</f>
        <v>46122</v>
      </c>
      <c r="AR26" s="318">
        <f t="shared" si="4"/>
        <v>233</v>
      </c>
      <c r="AT26" s="37">
        <v>20</v>
      </c>
      <c r="AU26" s="72">
        <f>AU$3*'Yield 1Y'!AB107</f>
        <v>0</v>
      </c>
      <c r="AV26" s="72">
        <f>AV$3*'Yield 1Y'!AC107</f>
        <v>0</v>
      </c>
      <c r="AW26" s="72">
        <f>AW$3*'Yield 1Y'!AD107</f>
        <v>0</v>
      </c>
      <c r="AX26" s="72">
        <f>AX$3*'Yield 1Y'!AE107</f>
        <v>0</v>
      </c>
      <c r="AY26" s="72">
        <f>AY$3*'Yield 1Y'!AF107</f>
        <v>0</v>
      </c>
      <c r="AZ26" s="72">
        <f>AZ$3*'Yield 1Y'!AG107</f>
        <v>-0.48426881733849197</v>
      </c>
      <c r="BA26" s="72">
        <f>BA$3*'Yield 1Y'!AH107</f>
        <v>-15.708715923917991</v>
      </c>
      <c r="BB26" s="72">
        <f>BB$3*'Yield 1Y'!AI107</f>
        <v>-7.1127995206820174</v>
      </c>
      <c r="BC26" s="72">
        <f>BC$3*'Yield 1Y'!AJ107</f>
        <v>0</v>
      </c>
      <c r="BD26" s="72">
        <f>BD$3*'Yield 1Y'!AK107</f>
        <v>0</v>
      </c>
      <c r="BE26" s="177">
        <f t="shared" si="5"/>
        <v>23.305784261938499</v>
      </c>
      <c r="BF26" s="124">
        <f>VLOOKUP(AT26,'Yield 1Y'!$F:$G,2,0)</f>
        <v>46225</v>
      </c>
      <c r="BG26" s="318">
        <f t="shared" si="7"/>
        <v>15</v>
      </c>
    </row>
    <row r="27" spans="1:59" x14ac:dyDescent="0.3">
      <c r="A27" s="37">
        <v>8</v>
      </c>
      <c r="B27" s="72">
        <f>'Yield 1Y'!R10*B$3</f>
        <v>0</v>
      </c>
      <c r="C27" s="72">
        <f>'Yield 1Y'!S10*C$3</f>
        <v>0</v>
      </c>
      <c r="D27" s="72">
        <f>'Yield 1Y'!T10*D$3</f>
        <v>0</v>
      </c>
      <c r="E27" s="72">
        <f>'Yield 1Y'!U10*E$3</f>
        <v>-2.8848086085054053E-2</v>
      </c>
      <c r="F27" s="72">
        <f>'Yield 1Y'!V10*F$3</f>
        <v>-1.4029220159076067E-2</v>
      </c>
      <c r="G27" s="72">
        <f>'Yield 1Y'!W10*G$3</f>
        <v>-1.8936689437656673</v>
      </c>
      <c r="H27" s="72">
        <f>'Yield 1Y'!X10*H$3</f>
        <v>-1.2421440020824257</v>
      </c>
      <c r="I27" s="72">
        <f>'Yield 1Y'!Y10*I$3</f>
        <v>0</v>
      </c>
      <c r="J27" s="72">
        <f>'Yield 1Y'!Z10*J$3</f>
        <v>0</v>
      </c>
      <c r="K27" s="72">
        <f>'Yield 1Y'!AA10*K$3</f>
        <v>0</v>
      </c>
      <c r="L27" s="177">
        <f t="shared" si="0"/>
        <v>3.1786902520922231</v>
      </c>
      <c r="M27" s="124">
        <f>VLOOKUP(A27,'Yield 1Y'!$F:$G,2,0)</f>
        <v>46241</v>
      </c>
      <c r="N27" s="318">
        <f t="shared" si="1"/>
        <v>91</v>
      </c>
      <c r="P27" s="37">
        <v>24</v>
      </c>
      <c r="Q27" s="72">
        <f>Q$3*'Yield 1Y'!R26</f>
        <v>0</v>
      </c>
      <c r="R27" s="72">
        <f>R$3*'Yield 1Y'!S26</f>
        <v>0</v>
      </c>
      <c r="S27" s="72">
        <f>S$3*'Yield 1Y'!T26</f>
        <v>0</v>
      </c>
      <c r="T27" s="72">
        <f>T$3*'Yield 1Y'!U26</f>
        <v>0</v>
      </c>
      <c r="U27" s="72">
        <f>U$3*'Yield 1Y'!V26</f>
        <v>0</v>
      </c>
      <c r="V27" s="72">
        <f>V$3*'Yield 1Y'!W26</f>
        <v>-5.0975664982994391E-2</v>
      </c>
      <c r="W27" s="72">
        <f>W$3*'Yield 1Y'!X26</f>
        <v>-0.22766254962197496</v>
      </c>
      <c r="X27" s="72">
        <f>X$3*'Yield 1Y'!Y26</f>
        <v>-0.15983819147601791</v>
      </c>
      <c r="Y27" s="72">
        <f>Y$3*'Yield 1Y'!Z26</f>
        <v>0</v>
      </c>
      <c r="Z27" s="72">
        <f>Z$3*'Yield 1Y'!AA26</f>
        <v>0</v>
      </c>
      <c r="AA27" s="177">
        <f t="shared" si="2"/>
        <v>0.43847640608098726</v>
      </c>
      <c r="AB27" s="124">
        <f>VLOOKUP(P27,'Yield 1Y'!$F:$G,2,0)</f>
        <v>46219</v>
      </c>
      <c r="AC27" s="318">
        <f t="shared" si="6"/>
        <v>102</v>
      </c>
      <c r="AE27" s="37">
        <v>73</v>
      </c>
      <c r="AF27" s="72">
        <f>AF$3*'Yield 1Y'!AB75</f>
        <v>0</v>
      </c>
      <c r="AG27" s="72">
        <f>AG$3*'Yield 1Y'!AC75</f>
        <v>0</v>
      </c>
      <c r="AH27" s="72">
        <f>AH$3*'Yield 1Y'!AD75</f>
        <v>-0.51636072708494918</v>
      </c>
      <c r="AI27" s="72">
        <f>AI$3*'Yield 1Y'!AE75</f>
        <v>-0.25963277476549929</v>
      </c>
      <c r="AJ27" s="72">
        <f>AJ$3*'Yield 1Y'!AF75</f>
        <v>-0.26187877630274359</v>
      </c>
      <c r="AK27" s="72">
        <f>AK$3*'Yield 1Y'!AG75</f>
        <v>-1.082096539294461</v>
      </c>
      <c r="AL27" s="72">
        <f>AL$3*'Yield 1Y'!AH75</f>
        <v>-22.358592037482925</v>
      </c>
      <c r="AM27" s="72">
        <f>AM$3*'Yield 1Y'!AI75</f>
        <v>-6.7271544298171122</v>
      </c>
      <c r="AN27" s="72">
        <f>AN$3*'Yield 1Y'!AJ75</f>
        <v>0</v>
      </c>
      <c r="AO27" s="72">
        <f>AO$3*'Yield 1Y'!AK75</f>
        <v>0</v>
      </c>
      <c r="AP27" s="177">
        <f t="shared" si="3"/>
        <v>31.20571528474769</v>
      </c>
      <c r="AQ27" s="124">
        <f>VLOOKUP(AE27,'Yield 1Y'!$F:$G,2,0)</f>
        <v>46150</v>
      </c>
      <c r="AR27" s="318">
        <f t="shared" si="4"/>
        <v>163</v>
      </c>
      <c r="AT27" s="37">
        <v>21</v>
      </c>
      <c r="AU27" s="72">
        <f>AU$3*'Yield 1Y'!AB69</f>
        <v>0</v>
      </c>
      <c r="AV27" s="72">
        <f>AV$3*'Yield 1Y'!AC69</f>
        <v>0</v>
      </c>
      <c r="AW27" s="72">
        <f>AW$3*'Yield 1Y'!AD69</f>
        <v>0</v>
      </c>
      <c r="AX27" s="72">
        <f>AX$3*'Yield 1Y'!AE69</f>
        <v>0</v>
      </c>
      <c r="AY27" s="72">
        <f>AY$3*'Yield 1Y'!AF69</f>
        <v>0</v>
      </c>
      <c r="AZ27" s="72">
        <f>AZ$3*'Yield 1Y'!AG69</f>
        <v>2.5487832491497196E-2</v>
      </c>
      <c r="BA27" s="72">
        <f>BA$3*'Yield 1Y'!AH69</f>
        <v>1.9351316717869893</v>
      </c>
      <c r="BB27" s="72">
        <f>BB$3*'Yield 1Y'!AI69</f>
        <v>0.47951457442798273</v>
      </c>
      <c r="BC27" s="72">
        <f>BC$3*'Yield 1Y'!AJ69</f>
        <v>0</v>
      </c>
      <c r="BD27" s="72">
        <f>BD$3*'Yield 1Y'!AK69</f>
        <v>0</v>
      </c>
      <c r="BE27" s="177">
        <f t="shared" si="5"/>
        <v>-2.4401340787064694</v>
      </c>
      <c r="BF27" s="124">
        <f>VLOOKUP(AT27,'Yield 1Y'!$F:$G,2,0)</f>
        <v>46224</v>
      </c>
      <c r="BG27" s="318">
        <f t="shared" si="7"/>
        <v>251</v>
      </c>
    </row>
    <row r="28" spans="1:59" x14ac:dyDescent="0.3">
      <c r="A28" s="37">
        <v>136</v>
      </c>
      <c r="B28" s="72">
        <f>'Yield 1Y'!R138*B$3</f>
        <v>0</v>
      </c>
      <c r="C28" s="72">
        <f>'Yield 1Y'!S138*C$3</f>
        <v>0</v>
      </c>
      <c r="D28" s="72">
        <f>'Yield 1Y'!T138*D$3</f>
        <v>0</v>
      </c>
      <c r="E28" s="72">
        <f>'Yield 1Y'!U138*E$3</f>
        <v>0.14424043042528306</v>
      </c>
      <c r="F28" s="72">
        <f>'Yield 1Y'!V138*F$3</f>
        <v>5.1440473916608789E-2</v>
      </c>
      <c r="G28" s="72">
        <f>'Yield 1Y'!W138*G$3</f>
        <v>0</v>
      </c>
      <c r="H28" s="72">
        <f>'Yield 1Y'!X138*H$3</f>
        <v>-2.0702400034709547</v>
      </c>
      <c r="I28" s="72">
        <f>'Yield 1Y'!Y138*I$3</f>
        <v>0</v>
      </c>
      <c r="J28" s="72">
        <f>'Yield 1Y'!Z138*J$3</f>
        <v>0</v>
      </c>
      <c r="K28" s="72">
        <f>'Yield 1Y'!AA138*K$3</f>
        <v>0</v>
      </c>
      <c r="L28" s="177">
        <f t="shared" si="0"/>
        <v>1.8745590991290628</v>
      </c>
      <c r="M28" s="124">
        <f>VLOOKUP(A28,'Yield 1Y'!$F:$G,2,0)</f>
        <v>46051</v>
      </c>
      <c r="N28" s="318">
        <f t="shared" si="1"/>
        <v>120</v>
      </c>
      <c r="P28" s="37">
        <v>25</v>
      </c>
      <c r="Q28" s="72">
        <f>Q$3*'Yield 1Y'!R27</f>
        <v>0</v>
      </c>
      <c r="R28" s="72">
        <f>R$3*'Yield 1Y'!S27</f>
        <v>0</v>
      </c>
      <c r="S28" s="72">
        <f>S$3*'Yield 1Y'!T27</f>
        <v>0</v>
      </c>
      <c r="T28" s="72">
        <f>T$3*'Yield 1Y'!U27</f>
        <v>0</v>
      </c>
      <c r="U28" s="72">
        <f>U$3*'Yield 1Y'!V27</f>
        <v>0</v>
      </c>
      <c r="V28" s="72">
        <f>V$3*'Yield 1Y'!W27</f>
        <v>2.5487832491497196E-2</v>
      </c>
      <c r="W28" s="72">
        <f>W$3*'Yield 1Y'!X27</f>
        <v>-0.22766254962207605</v>
      </c>
      <c r="X28" s="72">
        <f>X$3*'Yield 1Y'!Y27</f>
        <v>0</v>
      </c>
      <c r="Y28" s="72">
        <f>Y$3*'Yield 1Y'!Z27</f>
        <v>0</v>
      </c>
      <c r="Z28" s="72">
        <f>Z$3*'Yield 1Y'!AA27</f>
        <v>0</v>
      </c>
      <c r="AA28" s="177">
        <f t="shared" si="2"/>
        <v>0.20217471713057886</v>
      </c>
      <c r="AB28" s="124">
        <f>VLOOKUP(P28,'Yield 1Y'!$F:$G,2,0)</f>
        <v>46218</v>
      </c>
      <c r="AC28" s="318">
        <f t="shared" si="6"/>
        <v>143</v>
      </c>
      <c r="AE28" s="37">
        <v>72</v>
      </c>
      <c r="AF28" s="72">
        <f>AF$3*'Yield 1Y'!AB74</f>
        <v>0</v>
      </c>
      <c r="AG28" s="72">
        <f>AG$3*'Yield 1Y'!AC74</f>
        <v>0</v>
      </c>
      <c r="AH28" s="72">
        <f>AH$3*'Yield 1Y'!AD74</f>
        <v>-0.13831090904061241</v>
      </c>
      <c r="AI28" s="72">
        <f>AI$3*'Yield 1Y'!AE74</f>
        <v>-0.14424043042528306</v>
      </c>
      <c r="AJ28" s="72">
        <f>AJ$3*'Yield 1Y'!AF74</f>
        <v>-7.0146100795378266E-2</v>
      </c>
      <c r="AK28" s="72">
        <f>AK$3*'Yield 1Y'!AG74</f>
        <v>2.1641930785891628</v>
      </c>
      <c r="AL28" s="72">
        <f>AL$3*'Yield 1Y'!AH74</f>
        <v>-4.968576008329519</v>
      </c>
      <c r="AM28" s="72">
        <f>AM$3*'Yield 1Y'!AI74</f>
        <v>0</v>
      </c>
      <c r="AN28" s="72">
        <f>AN$3*'Yield 1Y'!AJ74</f>
        <v>0</v>
      </c>
      <c r="AO28" s="72">
        <f>AO$3*'Yield 1Y'!AK74</f>
        <v>0</v>
      </c>
      <c r="AP28" s="177">
        <f t="shared" si="3"/>
        <v>3.1570803700016299</v>
      </c>
      <c r="AQ28" s="124">
        <f>VLOOKUP(AE28,'Yield 1Y'!$F:$G,2,0)</f>
        <v>46153</v>
      </c>
      <c r="AR28" s="318">
        <f t="shared" si="4"/>
        <v>239</v>
      </c>
      <c r="AT28" s="37">
        <v>22</v>
      </c>
      <c r="AU28" s="72">
        <f>AU$3*'Yield 1Y'!AB67</f>
        <v>0</v>
      </c>
      <c r="AV28" s="72">
        <f>AV$3*'Yield 1Y'!AC67</f>
        <v>0</v>
      </c>
      <c r="AW28" s="72">
        <f>AW$3*'Yield 1Y'!AD67</f>
        <v>0</v>
      </c>
      <c r="AX28" s="72">
        <f>AX$3*'Yield 1Y'!AE67</f>
        <v>0</v>
      </c>
      <c r="AY28" s="72">
        <f>AY$3*'Yield 1Y'!AF67</f>
        <v>0</v>
      </c>
      <c r="AZ28" s="72">
        <f>AZ$3*'Yield 1Y'!AG67</f>
        <v>-0.34408573863524039</v>
      </c>
      <c r="BA28" s="72">
        <f>BA$3*'Yield 1Y'!AH67</f>
        <v>0</v>
      </c>
      <c r="BB28" s="72">
        <f>BB$3*'Yield 1Y'!AI67</f>
        <v>-3.9959547868995603E-2</v>
      </c>
      <c r="BC28" s="72">
        <f>BC$3*'Yield 1Y'!AJ67</f>
        <v>0</v>
      </c>
      <c r="BD28" s="72">
        <f>BD$3*'Yield 1Y'!AK67</f>
        <v>0</v>
      </c>
      <c r="BE28" s="177">
        <f t="shared" si="5"/>
        <v>0.38404528650423597</v>
      </c>
      <c r="BF28" s="124">
        <f>VLOOKUP(AT28,'Yield 1Y'!$F:$G,2,0)</f>
        <v>46223</v>
      </c>
      <c r="BG28" s="318">
        <f t="shared" si="7"/>
        <v>244</v>
      </c>
    </row>
    <row r="29" spans="1:59" x14ac:dyDescent="0.3">
      <c r="A29" s="37">
        <v>114</v>
      </c>
      <c r="B29" s="72">
        <f>'Yield 1Y'!R116*B$3</f>
        <v>0</v>
      </c>
      <c r="C29" s="72">
        <f>'Yield 1Y'!S116*C$3</f>
        <v>0</v>
      </c>
      <c r="D29" s="72">
        <f>'Yield 1Y'!T116*D$3</f>
        <v>-0.15675236357935854</v>
      </c>
      <c r="E29" s="72">
        <f>'Yield 1Y'!U116*E$3</f>
        <v>-0.37502511910575392</v>
      </c>
      <c r="F29" s="72">
        <f>'Yield 1Y'!V116*F$3</f>
        <v>-4.6764067196917454E-2</v>
      </c>
      <c r="G29" s="72">
        <f>'Yield 1Y'!W116*G$3</f>
        <v>-5.9515309661202567</v>
      </c>
      <c r="H29" s="72">
        <f>'Yield 1Y'!X116*H$3</f>
        <v>-4.5545280076354384</v>
      </c>
      <c r="I29" s="72">
        <f>'Yield 1Y'!Y116*I$3</f>
        <v>-7.7362275942895664</v>
      </c>
      <c r="J29" s="72">
        <f>'Yield 1Y'!Z116*J$3</f>
        <v>0</v>
      </c>
      <c r="K29" s="72">
        <f>'Yield 1Y'!AA116*K$3</f>
        <v>0</v>
      </c>
      <c r="L29" s="177">
        <f t="shared" si="0"/>
        <v>18.820828117927292</v>
      </c>
      <c r="M29" s="124">
        <f>VLOOKUP(A29,'Yield 1Y'!$F:$G,2,0)</f>
        <v>46090</v>
      </c>
      <c r="N29" s="318">
        <f t="shared" si="1"/>
        <v>22</v>
      </c>
      <c r="P29" s="37">
        <v>26</v>
      </c>
      <c r="Q29" s="72">
        <f>Q$3*'Yield 1Y'!R28</f>
        <v>0</v>
      </c>
      <c r="R29" s="72">
        <f>R$3*'Yield 1Y'!S28</f>
        <v>0</v>
      </c>
      <c r="S29" s="72">
        <f>S$3*'Yield 1Y'!T28</f>
        <v>0</v>
      </c>
      <c r="T29" s="72">
        <f>T$3*'Yield 1Y'!U28</f>
        <v>0</v>
      </c>
      <c r="U29" s="72">
        <f>U$3*'Yield 1Y'!V28</f>
        <v>0</v>
      </c>
      <c r="V29" s="72">
        <f>V$3*'Yield 1Y'!W28</f>
        <v>0</v>
      </c>
      <c r="W29" s="72">
        <f>W$3*'Yield 1Y'!X28</f>
        <v>0</v>
      </c>
      <c r="X29" s="72">
        <f>X$3*'Yield 1Y'!Y28</f>
        <v>0</v>
      </c>
      <c r="Y29" s="72">
        <f>Y$3*'Yield 1Y'!Z28</f>
        <v>0</v>
      </c>
      <c r="Z29" s="72">
        <f>Z$3*'Yield 1Y'!AA28</f>
        <v>0</v>
      </c>
      <c r="AA29" s="177">
        <f t="shared" si="2"/>
        <v>0</v>
      </c>
      <c r="AB29" s="124">
        <f>VLOOKUP(P29,'Yield 1Y'!$F:$G,2,0)</f>
        <v>46217</v>
      </c>
      <c r="AC29" s="318">
        <f t="shared" si="6"/>
        <v>179</v>
      </c>
      <c r="AE29" s="37">
        <v>102</v>
      </c>
      <c r="AF29" s="72">
        <f>AF$3*'Yield 1Y'!AB104</f>
        <v>0</v>
      </c>
      <c r="AG29" s="72">
        <f>AG$3*'Yield 1Y'!AC104</f>
        <v>0</v>
      </c>
      <c r="AH29" s="72">
        <f>AH$3*'Yield 1Y'!AD104</f>
        <v>-0.99583854509240188</v>
      </c>
      <c r="AI29" s="72">
        <f>AI$3*'Yield 1Y'!AE104</f>
        <v>-1.0673791851471153</v>
      </c>
      <c r="AJ29" s="72">
        <f>AJ$3*'Yield 1Y'!AF104</f>
        <v>-0.46764067196918285</v>
      </c>
      <c r="AK29" s="72">
        <f>AK$3*'Yield 1Y'!AG104</f>
        <v>-9.19782058400388</v>
      </c>
      <c r="AL29" s="72">
        <f>AL$3*'Yield 1Y'!AH104</f>
        <v>-50.099808083989267</v>
      </c>
      <c r="AM29" s="72">
        <f>AM$3*'Yield 1Y'!AI104</f>
        <v>-55.162666324500314</v>
      </c>
      <c r="AN29" s="72">
        <f>AN$3*'Yield 1Y'!AJ104</f>
        <v>0</v>
      </c>
      <c r="AO29" s="72">
        <f>AO$3*'Yield 1Y'!AK104</f>
        <v>0</v>
      </c>
      <c r="AP29" s="177">
        <f t="shared" si="3"/>
        <v>116.99115339470217</v>
      </c>
      <c r="AQ29" s="124">
        <f>VLOOKUP(AE29,'Yield 1Y'!$F:$G,2,0)</f>
        <v>46106</v>
      </c>
      <c r="AR29" s="318">
        <f t="shared" si="4"/>
        <v>30</v>
      </c>
      <c r="AT29" s="37">
        <v>23</v>
      </c>
      <c r="AU29" s="72">
        <f>AU$3*'Yield 1Y'!AB9</f>
        <v>0</v>
      </c>
      <c r="AV29" s="72">
        <f>AV$3*'Yield 1Y'!AC9</f>
        <v>0</v>
      </c>
      <c r="AW29" s="72">
        <f>AW$3*'Yield 1Y'!AD9</f>
        <v>0</v>
      </c>
      <c r="AX29" s="72">
        <f>AX$3*'Yield 1Y'!AE9</f>
        <v>0</v>
      </c>
      <c r="AY29" s="72">
        <f>AY$3*'Yield 1Y'!AF9</f>
        <v>0</v>
      </c>
      <c r="AZ29" s="72">
        <f>AZ$3*'Yield 1Y'!AG9</f>
        <v>-0.11469524621174303</v>
      </c>
      <c r="BA29" s="72">
        <f>BA$3*'Yield 1Y'!AH9</f>
        <v>-5.6915637405500314</v>
      </c>
      <c r="BB29" s="72">
        <f>BB$3*'Yield 1Y'!AI9</f>
        <v>-1.3985841754150059</v>
      </c>
      <c r="BC29" s="72">
        <f>BC$3*'Yield 1Y'!AJ9</f>
        <v>0</v>
      </c>
      <c r="BD29" s="72">
        <f>BD$3*'Yield 1Y'!AK9</f>
        <v>0</v>
      </c>
      <c r="BE29" s="177">
        <f t="shared" si="5"/>
        <v>7.2048431621767799</v>
      </c>
      <c r="BF29" s="124">
        <f>VLOOKUP(AT29,'Yield 1Y'!$F:$G,2,0)</f>
        <v>46220</v>
      </c>
      <c r="BG29" s="318">
        <f t="shared" si="7"/>
        <v>109</v>
      </c>
    </row>
    <row r="30" spans="1:59" x14ac:dyDescent="0.3">
      <c r="A30" s="37">
        <v>245</v>
      </c>
      <c r="B30" s="72">
        <f>'Yield 1Y'!R247*B$3</f>
        <v>0</v>
      </c>
      <c r="C30" s="72">
        <f>'Yield 1Y'!S247*C$3</f>
        <v>0</v>
      </c>
      <c r="D30" s="72">
        <f>'Yield 1Y'!T247*D$3</f>
        <v>-0.37804981804433674</v>
      </c>
      <c r="E30" s="72">
        <f>'Yield 1Y'!U247*E$3</f>
        <v>-1.5866447346781394</v>
      </c>
      <c r="F30" s="72">
        <f>'Yield 1Y'!V247*F$3</f>
        <v>-0.31331925021935442</v>
      </c>
      <c r="G30" s="72">
        <f>'Yield 1Y'!W247*G$3</f>
        <v>-22.453503190362472</v>
      </c>
      <c r="H30" s="72">
        <f>'Yield 1Y'!X247*H$3</f>
        <v>0</v>
      </c>
      <c r="I30" s="72">
        <f>'Yield 1Y'!Y247*I$3</f>
        <v>0</v>
      </c>
      <c r="J30" s="72">
        <f>'Yield 1Y'!Z247*J$3</f>
        <v>0</v>
      </c>
      <c r="K30" s="72">
        <f>'Yield 1Y'!AA247*K$3</f>
        <v>0</v>
      </c>
      <c r="L30" s="177">
        <f t="shared" si="0"/>
        <v>24.731516993304304</v>
      </c>
      <c r="M30" s="124">
        <f>VLOOKUP(A30,'Yield 1Y'!$F:$G,2,0)</f>
        <v>45894</v>
      </c>
      <c r="N30" s="318">
        <f t="shared" si="1"/>
        <v>14</v>
      </c>
      <c r="P30" s="37">
        <v>27</v>
      </c>
      <c r="Q30" s="72">
        <f>Q$3*'Yield 1Y'!R29</f>
        <v>0</v>
      </c>
      <c r="R30" s="72">
        <f>R$3*'Yield 1Y'!S29</f>
        <v>0</v>
      </c>
      <c r="S30" s="72">
        <f>S$3*'Yield 1Y'!T29</f>
        <v>0</v>
      </c>
      <c r="T30" s="72">
        <f>T$3*'Yield 1Y'!U29</f>
        <v>0</v>
      </c>
      <c r="U30" s="72">
        <f>U$3*'Yield 1Y'!V29</f>
        <v>0</v>
      </c>
      <c r="V30" s="72">
        <f>V$3*'Yield 1Y'!W29</f>
        <v>-2.5487832491497196E-2</v>
      </c>
      <c r="W30" s="72">
        <f>W$3*'Yield 1Y'!X29</f>
        <v>0</v>
      </c>
      <c r="X30" s="72">
        <f>X$3*'Yield 1Y'!Y29</f>
        <v>0</v>
      </c>
      <c r="Y30" s="72">
        <f>Y$3*'Yield 1Y'!Z29</f>
        <v>0</v>
      </c>
      <c r="Z30" s="72">
        <f>Z$3*'Yield 1Y'!AA29</f>
        <v>0</v>
      </c>
      <c r="AA30" s="177">
        <f t="shared" si="2"/>
        <v>2.5487832491497196E-2</v>
      </c>
      <c r="AB30" s="124">
        <f>VLOOKUP(P30,'Yield 1Y'!$F:$G,2,0)</f>
        <v>46216</v>
      </c>
      <c r="AC30" s="318">
        <f t="shared" si="6"/>
        <v>175</v>
      </c>
      <c r="AE30" s="37">
        <v>71</v>
      </c>
      <c r="AF30" s="72">
        <f>AF$3*'Yield 1Y'!AB73</f>
        <v>0</v>
      </c>
      <c r="AG30" s="72">
        <f>AG$3*'Yield 1Y'!AC73</f>
        <v>0</v>
      </c>
      <c r="AH30" s="72">
        <f>AH$3*'Yield 1Y'!AD73</f>
        <v>-9.2207272693742959E-2</v>
      </c>
      <c r="AI30" s="72">
        <f>AI$3*'Yield 1Y'!AE73</f>
        <v>-0.14424043042528306</v>
      </c>
      <c r="AJ30" s="72">
        <f>AJ$3*'Yield 1Y'!AF73</f>
        <v>-5.1440473916610864E-2</v>
      </c>
      <c r="AK30" s="72">
        <f>AK$3*'Yield 1Y'!AG73</f>
        <v>2.1641930785891628</v>
      </c>
      <c r="AL30" s="72">
        <f>AL$3*'Yield 1Y'!AH73</f>
        <v>-3.3123840055530125</v>
      </c>
      <c r="AM30" s="72">
        <f>AM$3*'Yield 1Y'!AI73</f>
        <v>0.33635772149081827</v>
      </c>
      <c r="AN30" s="72">
        <f>AN$3*'Yield 1Y'!AJ73</f>
        <v>0</v>
      </c>
      <c r="AO30" s="72">
        <f>AO$3*'Yield 1Y'!AK73</f>
        <v>0</v>
      </c>
      <c r="AP30" s="177">
        <f t="shared" si="3"/>
        <v>1.0997213825086685</v>
      </c>
      <c r="AQ30" s="124">
        <f>VLOOKUP(AE30,'Yield 1Y'!$F:$G,2,0)</f>
        <v>46154</v>
      </c>
      <c r="AR30" s="318">
        <f t="shared" si="4"/>
        <v>246</v>
      </c>
      <c r="AT30" s="37">
        <v>24</v>
      </c>
      <c r="AU30" s="72">
        <f>AU$3*'Yield 1Y'!AB14</f>
        <v>0</v>
      </c>
      <c r="AV30" s="72">
        <f>AV$3*'Yield 1Y'!AC14</f>
        <v>0</v>
      </c>
      <c r="AW30" s="72">
        <f>AW$3*'Yield 1Y'!AD14</f>
        <v>0</v>
      </c>
      <c r="AX30" s="72">
        <f>AX$3*'Yield 1Y'!AE14</f>
        <v>0</v>
      </c>
      <c r="AY30" s="72">
        <f>AY$3*'Yield 1Y'!AF14</f>
        <v>0</v>
      </c>
      <c r="AZ30" s="72">
        <f>AZ$3*'Yield 1Y'!AG14</f>
        <v>0</v>
      </c>
      <c r="BA30" s="72">
        <f>BA$3*'Yield 1Y'!AH14</f>
        <v>-11.838452580343962</v>
      </c>
      <c r="BB30" s="72">
        <f>BB$3*'Yield 1Y'!AI14</f>
        <v>-2.2377346806640022</v>
      </c>
      <c r="BC30" s="72">
        <f>BC$3*'Yield 1Y'!AJ14</f>
        <v>0</v>
      </c>
      <c r="BD30" s="72">
        <f>BD$3*'Yield 1Y'!AK14</f>
        <v>0</v>
      </c>
      <c r="BE30" s="177">
        <f t="shared" si="5"/>
        <v>14.076187261007963</v>
      </c>
      <c r="BF30" s="124">
        <f>VLOOKUP(AT30,'Yield 1Y'!$F:$G,2,0)</f>
        <v>46219</v>
      </c>
      <c r="BG30" s="318">
        <f t="shared" si="7"/>
        <v>37</v>
      </c>
    </row>
    <row r="31" spans="1:59" x14ac:dyDescent="0.3">
      <c r="A31" s="37">
        <v>131</v>
      </c>
      <c r="B31" s="72">
        <f>'Yield 1Y'!R133*B$3</f>
        <v>0</v>
      </c>
      <c r="C31" s="72">
        <f>'Yield 1Y'!S133*C$3</f>
        <v>0</v>
      </c>
      <c r="D31" s="72">
        <f>'Yield 1Y'!T133*D$3</f>
        <v>0.10142799996311604</v>
      </c>
      <c r="E31" s="72">
        <f>'Yield 1Y'!U133*E$3</f>
        <v>0.20193660259540397</v>
      </c>
      <c r="F31" s="72">
        <f>'Yield 1Y'!V133*F$3</f>
        <v>1.4029220159076067E-2</v>
      </c>
      <c r="G31" s="72">
        <f>'Yield 1Y'!W133*G$3</f>
        <v>0</v>
      </c>
      <c r="H31" s="72">
        <f>'Yield 1Y'!X133*H$3</f>
        <v>0</v>
      </c>
      <c r="I31" s="72">
        <f>'Yield 1Y'!Y133*I$3</f>
        <v>-0.33635772149096765</v>
      </c>
      <c r="J31" s="72">
        <f>'Yield 1Y'!Z133*J$3</f>
        <v>0</v>
      </c>
      <c r="K31" s="72">
        <f>'Yield 1Y'!AA133*K$3</f>
        <v>0</v>
      </c>
      <c r="L31" s="177">
        <f t="shared" si="0"/>
        <v>1.8963898773371568E-2</v>
      </c>
      <c r="M31" s="124">
        <f>VLOOKUP(A31,'Yield 1Y'!$F:$G,2,0)</f>
        <v>46058</v>
      </c>
      <c r="N31" s="318">
        <f t="shared" si="1"/>
        <v>190</v>
      </c>
      <c r="P31" s="37">
        <v>28</v>
      </c>
      <c r="Q31" s="72">
        <f>Q$3*'Yield 1Y'!R30</f>
        <v>0</v>
      </c>
      <c r="R31" s="72">
        <f>R$3*'Yield 1Y'!S30</f>
        <v>0</v>
      </c>
      <c r="S31" s="72">
        <f>S$3*'Yield 1Y'!T30</f>
        <v>0</v>
      </c>
      <c r="T31" s="72">
        <f>T$3*'Yield 1Y'!U30</f>
        <v>0</v>
      </c>
      <c r="U31" s="72">
        <f>U$3*'Yield 1Y'!V30</f>
        <v>0</v>
      </c>
      <c r="V31" s="72">
        <f>V$3*'Yield 1Y'!W30</f>
        <v>0</v>
      </c>
      <c r="W31" s="72">
        <f>W$3*'Yield 1Y'!X30</f>
        <v>-0.11383127481093692</v>
      </c>
      <c r="X31" s="72">
        <f>X$3*'Yield 1Y'!Y30</f>
        <v>-0.31967638295200035</v>
      </c>
      <c r="Y31" s="72">
        <f>Y$3*'Yield 1Y'!Z30</f>
        <v>0</v>
      </c>
      <c r="Z31" s="72">
        <f>Z$3*'Yield 1Y'!AA30</f>
        <v>0</v>
      </c>
      <c r="AA31" s="177">
        <f t="shared" si="2"/>
        <v>0.43350765776293726</v>
      </c>
      <c r="AB31" s="124">
        <f>VLOOKUP(P31,'Yield 1Y'!$F:$G,2,0)</f>
        <v>46213</v>
      </c>
      <c r="AC31" s="318">
        <f t="shared" si="6"/>
        <v>103</v>
      </c>
      <c r="AE31" s="37">
        <v>113</v>
      </c>
      <c r="AF31" s="72">
        <f>AF$3*'Yield 1Y'!AB115</f>
        <v>0</v>
      </c>
      <c r="AG31" s="72">
        <f>AG$3*'Yield 1Y'!AC115</f>
        <v>0</v>
      </c>
      <c r="AH31" s="72">
        <f>AH$3*'Yield 1Y'!AD115</f>
        <v>-0.82986545424367031</v>
      </c>
      <c r="AI31" s="72">
        <f>AI$3*'Yield 1Y'!AE115</f>
        <v>-1.5577966485930981</v>
      </c>
      <c r="AJ31" s="72">
        <f>AJ$3*'Yield 1Y'!AF115</f>
        <v>-0.23382033598459351</v>
      </c>
      <c r="AK31" s="72">
        <f>AK$3*'Yield 1Y'!AG115</f>
        <v>-16.772496359066071</v>
      </c>
      <c r="AL31" s="72">
        <f>AL$3*'Yield 1Y'!AH115</f>
        <v>-26.085024043729835</v>
      </c>
      <c r="AM31" s="72">
        <f>AM$3*'Yield 1Y'!AI115</f>
        <v>-27.244975440759266</v>
      </c>
      <c r="AN31" s="72">
        <f>AN$3*'Yield 1Y'!AJ115</f>
        <v>0</v>
      </c>
      <c r="AO31" s="72">
        <f>AO$3*'Yield 1Y'!AK115</f>
        <v>0</v>
      </c>
      <c r="AP31" s="177">
        <f t="shared" si="3"/>
        <v>72.723978282376535</v>
      </c>
      <c r="AQ31" s="124">
        <f>VLOOKUP(AE31,'Yield 1Y'!$F:$G,2,0)</f>
        <v>46091</v>
      </c>
      <c r="AR31" s="318">
        <f t="shared" si="4"/>
        <v>49</v>
      </c>
      <c r="AT31" s="37">
        <v>25</v>
      </c>
      <c r="AU31" s="72">
        <f>AU$3*'Yield 1Y'!AB64</f>
        <v>0</v>
      </c>
      <c r="AV31" s="72">
        <f>AV$3*'Yield 1Y'!AC64</f>
        <v>0</v>
      </c>
      <c r="AW31" s="72">
        <f>AW$3*'Yield 1Y'!AD64</f>
        <v>0</v>
      </c>
      <c r="AX31" s="72">
        <f>AX$3*'Yield 1Y'!AE64</f>
        <v>0</v>
      </c>
      <c r="AY31" s="72">
        <f>AY$3*'Yield 1Y'!AF64</f>
        <v>0</v>
      </c>
      <c r="AZ31" s="72">
        <f>AZ$3*'Yield 1Y'!AG64</f>
        <v>-0.3950614036182461</v>
      </c>
      <c r="BA31" s="72">
        <f>BA$3*'Yield 1Y'!AH64</f>
        <v>0</v>
      </c>
      <c r="BB31" s="72">
        <f>BB$3*'Yield 1Y'!AI64</f>
        <v>-0.39959547868999157</v>
      </c>
      <c r="BC31" s="72">
        <f>BC$3*'Yield 1Y'!AJ64</f>
        <v>0</v>
      </c>
      <c r="BD31" s="72">
        <f>BD$3*'Yield 1Y'!AK64</f>
        <v>0</v>
      </c>
      <c r="BE31" s="177">
        <f t="shared" si="5"/>
        <v>0.79465688230823761</v>
      </c>
      <c r="BF31" s="124">
        <f>VLOOKUP(AT31,'Yield 1Y'!$F:$G,2,0)</f>
        <v>46218</v>
      </c>
      <c r="BG31" s="318">
        <f t="shared" si="7"/>
        <v>238</v>
      </c>
    </row>
    <row r="32" spans="1:59" x14ac:dyDescent="0.3">
      <c r="A32" s="114">
        <v>225</v>
      </c>
      <c r="B32" s="72">
        <f>'Yield 1Y'!R227*B$3</f>
        <v>0</v>
      </c>
      <c r="C32" s="72">
        <f>'Yield 1Y'!S227*C$3</f>
        <v>0</v>
      </c>
      <c r="D32" s="72">
        <f>'Yield 1Y'!T227*D$3</f>
        <v>0</v>
      </c>
      <c r="E32" s="72">
        <f>'Yield 1Y'!U227*E$3</f>
        <v>-0.11539234434022902</v>
      </c>
      <c r="F32" s="72">
        <f>'Yield 1Y'!V227*F$3</f>
        <v>-3.7411253757534797E-2</v>
      </c>
      <c r="G32" s="72">
        <f>'Yield 1Y'!W227*G$3</f>
        <v>0</v>
      </c>
      <c r="H32" s="72">
        <f>'Yield 1Y'!X227*H$3</f>
        <v>0</v>
      </c>
      <c r="I32" s="72">
        <f>'Yield 1Y'!Y227*I$3</f>
        <v>-1.0090731644726041</v>
      </c>
      <c r="J32" s="72">
        <f>'Yield 1Y'!Z227*J$3</f>
        <v>0</v>
      </c>
      <c r="K32" s="72">
        <f>'Yield 1Y'!AA227*K$3</f>
        <v>0</v>
      </c>
      <c r="L32" s="394">
        <f t="shared" si="0"/>
        <v>1.1618767625703679</v>
      </c>
      <c r="M32" s="124">
        <f>VLOOKUP(A32,'Yield 1Y'!$F:$G,2,0)</f>
        <v>45924</v>
      </c>
      <c r="N32" s="318">
        <f t="shared" si="1"/>
        <v>146</v>
      </c>
      <c r="P32" s="37">
        <v>29</v>
      </c>
      <c r="Q32" s="72">
        <f>Q$3*'Yield 1Y'!R31</f>
        <v>0</v>
      </c>
      <c r="R32" s="72">
        <f>R$3*'Yield 1Y'!S31</f>
        <v>0</v>
      </c>
      <c r="S32" s="72">
        <f>S$3*'Yield 1Y'!T31</f>
        <v>0</v>
      </c>
      <c r="T32" s="72">
        <f>T$3*'Yield 1Y'!U31</f>
        <v>0</v>
      </c>
      <c r="U32" s="72">
        <f>U$3*'Yield 1Y'!V31</f>
        <v>0</v>
      </c>
      <c r="V32" s="72">
        <f>V$3*'Yield 1Y'!W31</f>
        <v>-6.3719581228748642E-2</v>
      </c>
      <c r="W32" s="72">
        <f>W$3*'Yield 1Y'!X31</f>
        <v>0.22766254962197496</v>
      </c>
      <c r="X32" s="72">
        <f>X$3*'Yield 1Y'!Y31</f>
        <v>0.31967638295200035</v>
      </c>
      <c r="Y32" s="72">
        <f>Y$3*'Yield 1Y'!Z31</f>
        <v>0</v>
      </c>
      <c r="Z32" s="72">
        <f>Z$3*'Yield 1Y'!AA31</f>
        <v>0</v>
      </c>
      <c r="AA32" s="177">
        <f t="shared" si="2"/>
        <v>-0.48361935134522666</v>
      </c>
      <c r="AB32" s="124">
        <f>VLOOKUP(P32,'Yield 1Y'!$F:$G,2,0)</f>
        <v>46212</v>
      </c>
      <c r="AC32" s="318">
        <f t="shared" si="6"/>
        <v>230</v>
      </c>
      <c r="AE32" s="37">
        <v>115</v>
      </c>
      <c r="AF32" s="72">
        <f>AF$3*'Yield 1Y'!AB117</f>
        <v>0</v>
      </c>
      <c r="AG32" s="72">
        <f>AG$3*'Yield 1Y'!AC117</f>
        <v>0</v>
      </c>
      <c r="AH32" s="72">
        <f>AH$3*'Yield 1Y'!AD117</f>
        <v>-0.49791927254619889</v>
      </c>
      <c r="AI32" s="72">
        <f>AI$3*'Yield 1Y'!AE117</f>
        <v>-1.6731889929333144</v>
      </c>
      <c r="AJ32" s="72">
        <f>AJ$3*'Yield 1Y'!AF117</f>
        <v>-0.10755735455291097</v>
      </c>
      <c r="AK32" s="72">
        <f>AK$3*'Yield 1Y'!AG117</f>
        <v>-15.690399819771608</v>
      </c>
      <c r="AL32" s="72">
        <f>AL$3*'Yield 1Y'!AH117</f>
        <v>-11.179296018741463</v>
      </c>
      <c r="AM32" s="72">
        <f>AM$3*'Yield 1Y'!AI117</f>
        <v>-16.145170631560919</v>
      </c>
      <c r="AN32" s="72">
        <f>AN$3*'Yield 1Y'!AJ117</f>
        <v>0</v>
      </c>
      <c r="AO32" s="72">
        <f>AO$3*'Yield 1Y'!AK117</f>
        <v>0</v>
      </c>
      <c r="AP32" s="177">
        <f t="shared" si="3"/>
        <v>45.29353209010641</v>
      </c>
      <c r="AQ32" s="124">
        <f>VLOOKUP(AE32,'Yield 1Y'!$F:$G,2,0)</f>
        <v>46087</v>
      </c>
      <c r="AR32" s="318">
        <f t="shared" si="4"/>
        <v>99</v>
      </c>
      <c r="AT32" s="37">
        <v>26</v>
      </c>
      <c r="AU32" s="72">
        <f>AU$3*'Yield 1Y'!AB134</f>
        <v>0</v>
      </c>
      <c r="AV32" s="72">
        <f>AV$3*'Yield 1Y'!AC134</f>
        <v>0</v>
      </c>
      <c r="AW32" s="72">
        <f>AW$3*'Yield 1Y'!AD134</f>
        <v>0</v>
      </c>
      <c r="AX32" s="72">
        <f>AX$3*'Yield 1Y'!AE134</f>
        <v>0</v>
      </c>
      <c r="AY32" s="72">
        <f>AY$3*'Yield 1Y'!AF134</f>
        <v>0</v>
      </c>
      <c r="AZ32" s="72">
        <f>AZ$3*'Yield 1Y'!AG134</f>
        <v>-3.823174873725145E-2</v>
      </c>
      <c r="BA32" s="72">
        <f>BA$3*'Yield 1Y'!AH134</f>
        <v>-3.1872756947080032</v>
      </c>
      <c r="BB32" s="72">
        <f>BB$3*'Yield 1Y'!AI134</f>
        <v>-1.7981796541050152</v>
      </c>
      <c r="BC32" s="72">
        <f>BC$3*'Yield 1Y'!AJ134</f>
        <v>0</v>
      </c>
      <c r="BD32" s="72">
        <f>BD$3*'Yield 1Y'!AK134</f>
        <v>0</v>
      </c>
      <c r="BE32" s="177">
        <f t="shared" si="5"/>
        <v>5.0236870975502699</v>
      </c>
      <c r="BF32" s="124">
        <f>VLOOKUP(AT32,'Yield 1Y'!$F:$G,2,0)</f>
        <v>46217</v>
      </c>
      <c r="BG32" s="318">
        <f t="shared" si="7"/>
        <v>156</v>
      </c>
    </row>
    <row r="33" spans="1:59" x14ac:dyDescent="0.3">
      <c r="A33" s="37">
        <v>126</v>
      </c>
      <c r="B33" s="72">
        <f>'Yield 1Y'!R128*B$3</f>
        <v>0</v>
      </c>
      <c r="C33" s="72">
        <f>'Yield 1Y'!S128*C$3</f>
        <v>0</v>
      </c>
      <c r="D33" s="72">
        <f>'Yield 1Y'!T128*D$3</f>
        <v>0</v>
      </c>
      <c r="E33" s="72">
        <f>'Yield 1Y'!U128*E$3</f>
        <v>-0.11539234434022902</v>
      </c>
      <c r="F33" s="72">
        <f>'Yield 1Y'!V128*F$3</f>
        <v>-3.2734847037843469E-2</v>
      </c>
      <c r="G33" s="72">
        <f>'Yield 1Y'!W128*G$3</f>
        <v>0</v>
      </c>
      <c r="H33" s="72">
        <f>'Yield 1Y'!X128*H$3</f>
        <v>0</v>
      </c>
      <c r="I33" s="72">
        <f>'Yield 1Y'!Y128*I$3</f>
        <v>0</v>
      </c>
      <c r="J33" s="72">
        <f>'Yield 1Y'!Z128*J$3</f>
        <v>0</v>
      </c>
      <c r="K33" s="72">
        <f>'Yield 1Y'!AA128*K$3</f>
        <v>0</v>
      </c>
      <c r="L33" s="177">
        <f t="shared" si="0"/>
        <v>0.14812719137807248</v>
      </c>
      <c r="M33" s="124">
        <f>VLOOKUP(A33,'Yield 1Y'!$F:$G,2,0)</f>
        <v>46065</v>
      </c>
      <c r="N33" s="318">
        <f t="shared" si="1"/>
        <v>186</v>
      </c>
      <c r="P33" s="37">
        <v>30</v>
      </c>
      <c r="Q33" s="72">
        <f>Q$3*'Yield 1Y'!R32</f>
        <v>0</v>
      </c>
      <c r="R33" s="72">
        <f>R$3*'Yield 1Y'!S32</f>
        <v>0</v>
      </c>
      <c r="S33" s="72">
        <f>S$3*'Yield 1Y'!T32</f>
        <v>0</v>
      </c>
      <c r="T33" s="72">
        <f>T$3*'Yield 1Y'!U32</f>
        <v>0</v>
      </c>
      <c r="U33" s="72">
        <f>U$3*'Yield 1Y'!V32</f>
        <v>0</v>
      </c>
      <c r="V33" s="72">
        <f>V$3*'Yield 1Y'!W32</f>
        <v>-1.2743916245754256E-2</v>
      </c>
      <c r="W33" s="72">
        <f>W$3*'Yield 1Y'!X32</f>
        <v>0</v>
      </c>
      <c r="X33" s="72">
        <f>X$3*'Yield 1Y'!Y32</f>
        <v>0</v>
      </c>
      <c r="Y33" s="72">
        <f>Y$3*'Yield 1Y'!Z32</f>
        <v>0</v>
      </c>
      <c r="Z33" s="72">
        <f>Z$3*'Yield 1Y'!AA32</f>
        <v>0</v>
      </c>
      <c r="AA33" s="177">
        <f t="shared" si="2"/>
        <v>1.2743916245754256E-2</v>
      </c>
      <c r="AB33" s="124">
        <f>VLOOKUP(P33,'Yield 1Y'!$F:$G,2,0)</f>
        <v>46211</v>
      </c>
      <c r="AC33" s="318">
        <f t="shared" si="6"/>
        <v>177</v>
      </c>
      <c r="AE33" s="37">
        <v>70</v>
      </c>
      <c r="AF33" s="72">
        <f>AF$3*'Yield 1Y'!AB72</f>
        <v>0</v>
      </c>
      <c r="AG33" s="72">
        <f>AG$3*'Yield 1Y'!AC72</f>
        <v>0</v>
      </c>
      <c r="AH33" s="72">
        <f>AH$3*'Yield 1Y'!AD72</f>
        <v>-9.2207272693742959E-2</v>
      </c>
      <c r="AI33" s="72">
        <f>AI$3*'Yield 1Y'!AE72</f>
        <v>-0.14424043042528306</v>
      </c>
      <c r="AJ33" s="72">
        <f>AJ$3*'Yield 1Y'!AF72</f>
        <v>-5.1440473916610864E-2</v>
      </c>
      <c r="AK33" s="72">
        <f>AK$3*'Yield 1Y'!AG72</f>
        <v>2.1641930785891628</v>
      </c>
      <c r="AL33" s="72">
        <f>AL$3*'Yield 1Y'!AH72</f>
        <v>-3.3123840055530125</v>
      </c>
      <c r="AM33" s="72">
        <f>AM$3*'Yield 1Y'!AI72</f>
        <v>1.0090731644726041</v>
      </c>
      <c r="AN33" s="72">
        <f>AN$3*'Yield 1Y'!AJ72</f>
        <v>0</v>
      </c>
      <c r="AO33" s="72">
        <f>AO$3*'Yield 1Y'!AK72</f>
        <v>0</v>
      </c>
      <c r="AP33" s="177">
        <f t="shared" si="3"/>
        <v>0.42700593952688259</v>
      </c>
      <c r="AQ33" s="124">
        <f>VLOOKUP(AE33,'Yield 1Y'!$F:$G,2,0)</f>
        <v>46155</v>
      </c>
      <c r="AR33" s="318">
        <f t="shared" si="4"/>
        <v>248</v>
      </c>
      <c r="AT33" s="37">
        <v>27</v>
      </c>
      <c r="AU33" s="72">
        <f>AU$3*'Yield 1Y'!AB84</f>
        <v>0</v>
      </c>
      <c r="AV33" s="72">
        <f>AV$3*'Yield 1Y'!AC84</f>
        <v>0</v>
      </c>
      <c r="AW33" s="72">
        <f>AW$3*'Yield 1Y'!AD84</f>
        <v>0</v>
      </c>
      <c r="AX33" s="72">
        <f>AX$3*'Yield 1Y'!AE84</f>
        <v>0</v>
      </c>
      <c r="AY33" s="72">
        <f>AY$3*'Yield 1Y'!AF84</f>
        <v>0</v>
      </c>
      <c r="AZ33" s="72">
        <f>AZ$3*'Yield 1Y'!AG84</f>
        <v>-1.2743916245754256E-2</v>
      </c>
      <c r="BA33" s="72">
        <f>BA$3*'Yield 1Y'!AH84</f>
        <v>-4.7809135420620299</v>
      </c>
      <c r="BB33" s="72">
        <f>BB$3*'Yield 1Y'!AI84</f>
        <v>-0.71927186164200962</v>
      </c>
      <c r="BC33" s="72">
        <f>BC$3*'Yield 1Y'!AJ84</f>
        <v>0</v>
      </c>
      <c r="BD33" s="72">
        <f>BD$3*'Yield 1Y'!AK84</f>
        <v>0</v>
      </c>
      <c r="BE33" s="177">
        <f t="shared" si="5"/>
        <v>5.5129293199497935</v>
      </c>
      <c r="BF33" s="124">
        <f>VLOOKUP(AT33,'Yield 1Y'!$F:$G,2,0)</f>
        <v>46216</v>
      </c>
      <c r="BG33" s="318">
        <f t="shared" si="7"/>
        <v>146</v>
      </c>
    </row>
    <row r="34" spans="1:59" x14ac:dyDescent="0.3">
      <c r="A34" s="37">
        <v>138</v>
      </c>
      <c r="B34" s="72">
        <f>'Yield 1Y'!R140*B$3</f>
        <v>0</v>
      </c>
      <c r="C34" s="72">
        <f>'Yield 1Y'!S140*C$3</f>
        <v>0</v>
      </c>
      <c r="D34" s="72">
        <f>'Yield 1Y'!T140*D$3</f>
        <v>0</v>
      </c>
      <c r="E34" s="72">
        <f>'Yield 1Y'!U140*E$3</f>
        <v>5.7696172170108105E-2</v>
      </c>
      <c r="F34" s="72">
        <f>'Yield 1Y'!V140*F$3</f>
        <v>1.4029220159076067E-2</v>
      </c>
      <c r="G34" s="72">
        <f>'Yield 1Y'!W140*G$3</f>
        <v>0</v>
      </c>
      <c r="H34" s="72">
        <f>'Yield 1Y'!X140*H$3</f>
        <v>0</v>
      </c>
      <c r="I34" s="72">
        <f>'Yield 1Y'!Y140*I$3</f>
        <v>0</v>
      </c>
      <c r="J34" s="72">
        <f>'Yield 1Y'!Z140*J$3</f>
        <v>0</v>
      </c>
      <c r="K34" s="72">
        <f>'Yield 1Y'!AA140*K$3</f>
        <v>0</v>
      </c>
      <c r="L34" s="177">
        <f t="shared" si="0"/>
        <v>-7.1725392329184179E-2</v>
      </c>
      <c r="M34" s="124">
        <f>VLOOKUP(A34,'Yield 1Y'!$F:$G,2,0)</f>
        <v>46049</v>
      </c>
      <c r="N34" s="318">
        <f t="shared" si="1"/>
        <v>202</v>
      </c>
      <c r="P34" s="37">
        <v>31</v>
      </c>
      <c r="Q34" s="72">
        <f>Q$3*'Yield 1Y'!R33</f>
        <v>0</v>
      </c>
      <c r="R34" s="72">
        <f>R$3*'Yield 1Y'!S33</f>
        <v>0</v>
      </c>
      <c r="S34" s="72">
        <f>S$3*'Yield 1Y'!T33</f>
        <v>0</v>
      </c>
      <c r="T34" s="72">
        <f>T$3*'Yield 1Y'!U33</f>
        <v>0</v>
      </c>
      <c r="U34" s="72">
        <f>U$3*'Yield 1Y'!V33</f>
        <v>0</v>
      </c>
      <c r="V34" s="72">
        <f>V$3*'Yield 1Y'!W33</f>
        <v>0</v>
      </c>
      <c r="W34" s="72">
        <f>W$3*'Yield 1Y'!X33</f>
        <v>-0.22766254962197496</v>
      </c>
      <c r="X34" s="72">
        <f>X$3*'Yield 1Y'!Y33</f>
        <v>-7.9919095737991205E-2</v>
      </c>
      <c r="Y34" s="72">
        <f>Y$3*'Yield 1Y'!Z33</f>
        <v>0</v>
      </c>
      <c r="Z34" s="72">
        <f>Z$3*'Yield 1Y'!AA33</f>
        <v>0</v>
      </c>
      <c r="AA34" s="177">
        <f t="shared" si="2"/>
        <v>0.30758164535996618</v>
      </c>
      <c r="AB34" s="124">
        <f>VLOOKUP(P34,'Yield 1Y'!$F:$G,2,0)</f>
        <v>46210</v>
      </c>
      <c r="AC34" s="318">
        <f t="shared" si="6"/>
        <v>126</v>
      </c>
      <c r="AE34" s="37">
        <v>88</v>
      </c>
      <c r="AF34" s="72">
        <f>AF$3*'Yield 1Y'!AB90</f>
        <v>0</v>
      </c>
      <c r="AG34" s="72">
        <f>AG$3*'Yield 1Y'!AC90</f>
        <v>0</v>
      </c>
      <c r="AH34" s="72">
        <f>AH$3*'Yield 1Y'!AD90</f>
        <v>-8.2986545424365801E-2</v>
      </c>
      <c r="AI34" s="72">
        <f>AI$3*'Yield 1Y'!AE90</f>
        <v>0</v>
      </c>
      <c r="AJ34" s="72">
        <f>AJ$3*'Yield 1Y'!AF90</f>
        <v>-3.7411253757534797E-2</v>
      </c>
      <c r="AK34" s="72">
        <f>AK$3*'Yield 1Y'!AG90</f>
        <v>0</v>
      </c>
      <c r="AL34" s="72">
        <f>AL$3*'Yield 1Y'!AH90</f>
        <v>-3.3123840055530125</v>
      </c>
      <c r="AM34" s="72">
        <f>AM$3*'Yield 1Y'!AI90</f>
        <v>-3.0272194934176628</v>
      </c>
      <c r="AN34" s="72">
        <f>AN$3*'Yield 1Y'!AJ90</f>
        <v>0</v>
      </c>
      <c r="AO34" s="72">
        <f>AO$3*'Yield 1Y'!AK90</f>
        <v>0</v>
      </c>
      <c r="AP34" s="177">
        <f t="shared" si="3"/>
        <v>6.4600012981525765</v>
      </c>
      <c r="AQ34" s="124">
        <f>VLOOKUP(AE34,'Yield 1Y'!$F:$G,2,0)</f>
        <v>46126</v>
      </c>
      <c r="AR34" s="318">
        <f t="shared" si="4"/>
        <v>233</v>
      </c>
      <c r="AT34" s="37">
        <v>28</v>
      </c>
      <c r="AU34" s="72">
        <f>AU$3*'Yield 1Y'!AB104</f>
        <v>0</v>
      </c>
      <c r="AV34" s="72">
        <f>AV$3*'Yield 1Y'!AC104</f>
        <v>0</v>
      </c>
      <c r="AW34" s="72">
        <f>AW$3*'Yield 1Y'!AD104</f>
        <v>0</v>
      </c>
      <c r="AX34" s="72">
        <f>AX$3*'Yield 1Y'!AE104</f>
        <v>0</v>
      </c>
      <c r="AY34" s="72">
        <f>AY$3*'Yield 1Y'!AF104</f>
        <v>0</v>
      </c>
      <c r="AZ34" s="72">
        <f>AZ$3*'Yield 1Y'!AG104</f>
        <v>-0.43329315235549759</v>
      </c>
      <c r="BA34" s="72">
        <f>BA$3*'Yield 1Y'!AH104</f>
        <v>-13.773584252131002</v>
      </c>
      <c r="BB34" s="72">
        <f>BB$3*'Yield 1Y'!AI104</f>
        <v>-6.5533658505160064</v>
      </c>
      <c r="BC34" s="72">
        <f>BC$3*'Yield 1Y'!AJ104</f>
        <v>0</v>
      </c>
      <c r="BD34" s="72">
        <f>BD$3*'Yield 1Y'!AK104</f>
        <v>0</v>
      </c>
      <c r="BE34" s="177">
        <f t="shared" si="5"/>
        <v>20.760243255002507</v>
      </c>
      <c r="BF34" s="124">
        <f>VLOOKUP(AT34,'Yield 1Y'!$F:$G,2,0)</f>
        <v>46213</v>
      </c>
      <c r="BG34" s="318">
        <f t="shared" si="7"/>
        <v>25</v>
      </c>
    </row>
    <row r="35" spans="1:59" x14ac:dyDescent="0.3">
      <c r="A35" s="37">
        <v>143</v>
      </c>
      <c r="B35" s="72">
        <f>'Yield 1Y'!R145*B$3</f>
        <v>0</v>
      </c>
      <c r="C35" s="72">
        <f>'Yield 1Y'!S145*C$3</f>
        <v>0</v>
      </c>
      <c r="D35" s="72">
        <f>'Yield 1Y'!T145*D$3</f>
        <v>-5.5324363616246597E-2</v>
      </c>
      <c r="E35" s="72">
        <f>'Yield 1Y'!U145*E$3</f>
        <v>0.25963277476551211</v>
      </c>
      <c r="F35" s="72">
        <f>'Yield 1Y'!V145*F$3</f>
        <v>0.11691016799229571</v>
      </c>
      <c r="G35" s="72">
        <f>'Yield 1Y'!W145*G$3</f>
        <v>21.912454920715241</v>
      </c>
      <c r="H35" s="72">
        <f>'Yield 1Y'!X145*H$3</f>
        <v>34.780032058306446</v>
      </c>
      <c r="I35" s="72">
        <f>'Yield 1Y'!Y145*I$3</f>
        <v>14.463382024106828</v>
      </c>
      <c r="J35" s="72">
        <f>'Yield 1Y'!Z145*J$3</f>
        <v>0</v>
      </c>
      <c r="K35" s="72">
        <f>'Yield 1Y'!AA145*K$3</f>
        <v>0</v>
      </c>
      <c r="L35" s="177">
        <f t="shared" si="0"/>
        <v>-71.477087582270087</v>
      </c>
      <c r="M35" s="124">
        <f>VLOOKUP(A35,'Yield 1Y'!$F:$G,2,0)</f>
        <v>46042</v>
      </c>
      <c r="N35" s="318">
        <f t="shared" si="1"/>
        <v>252</v>
      </c>
      <c r="P35" s="37">
        <v>32</v>
      </c>
      <c r="Q35" s="72">
        <f>Q$3*'Yield 1Y'!R34</f>
        <v>0</v>
      </c>
      <c r="R35" s="72">
        <f>R$3*'Yield 1Y'!S34</f>
        <v>0</v>
      </c>
      <c r="S35" s="72">
        <f>S$3*'Yield 1Y'!T34</f>
        <v>0</v>
      </c>
      <c r="T35" s="72">
        <f>T$3*'Yield 1Y'!U34</f>
        <v>0</v>
      </c>
      <c r="U35" s="72">
        <f>U$3*'Yield 1Y'!V34</f>
        <v>0</v>
      </c>
      <c r="V35" s="72">
        <f>V$3*'Yield 1Y'!W34</f>
        <v>0</v>
      </c>
      <c r="W35" s="72">
        <f>W$3*'Yield 1Y'!X34</f>
        <v>-0.11383127481103802</v>
      </c>
      <c r="X35" s="72">
        <f>X$3*'Yield 1Y'!Y34</f>
        <v>0</v>
      </c>
      <c r="Y35" s="72">
        <f>Y$3*'Yield 1Y'!Z34</f>
        <v>0</v>
      </c>
      <c r="Z35" s="72">
        <f>Z$3*'Yield 1Y'!AA34</f>
        <v>0</v>
      </c>
      <c r="AA35" s="177">
        <f t="shared" si="2"/>
        <v>0.11383127481103802</v>
      </c>
      <c r="AB35" s="124">
        <f>VLOOKUP(P35,'Yield 1Y'!$F:$G,2,0)</f>
        <v>46209</v>
      </c>
      <c r="AC35" s="318">
        <f t="shared" si="6"/>
        <v>159</v>
      </c>
      <c r="AE35" s="37">
        <v>114</v>
      </c>
      <c r="AF35" s="72">
        <f>AF$3*'Yield 1Y'!AB116</f>
        <v>0</v>
      </c>
      <c r="AG35" s="72">
        <f>AG$3*'Yield 1Y'!AC116</f>
        <v>0</v>
      </c>
      <c r="AH35" s="72">
        <f>AH$3*'Yield 1Y'!AD116</f>
        <v>-0.65467163612556156</v>
      </c>
      <c r="AI35" s="72">
        <f>AI$3*'Yield 1Y'!AE116</f>
        <v>-1.4424043042528563</v>
      </c>
      <c r="AJ35" s="72">
        <f>AJ$3*'Yield 1Y'!AF116</f>
        <v>-0.18705626878767398</v>
      </c>
      <c r="AK35" s="72">
        <f>AK$3*'Yield 1Y'!AG116</f>
        <v>-15.690399819771608</v>
      </c>
      <c r="AL35" s="72">
        <f>AL$3*'Yield 1Y'!AH116</f>
        <v>-18.218112030541569</v>
      </c>
      <c r="AM35" s="72">
        <f>AM$3*'Yield 1Y'!AI116</f>
        <v>-20.517821010942153</v>
      </c>
      <c r="AN35" s="72">
        <f>AN$3*'Yield 1Y'!AJ116</f>
        <v>0</v>
      </c>
      <c r="AO35" s="72">
        <f>AO$3*'Yield 1Y'!AK116</f>
        <v>0</v>
      </c>
      <c r="AP35" s="177">
        <f t="shared" si="3"/>
        <v>56.710465070421421</v>
      </c>
      <c r="AQ35" s="124">
        <f>VLOOKUP(AE35,'Yield 1Y'!$F:$G,2,0)</f>
        <v>46090</v>
      </c>
      <c r="AR35" s="318">
        <f t="shared" si="4"/>
        <v>67</v>
      </c>
      <c r="AT35" s="37">
        <v>29</v>
      </c>
      <c r="AU35" s="72">
        <f>AU$3*'Yield 1Y'!AB102</f>
        <v>0</v>
      </c>
      <c r="AV35" s="72">
        <f>AV$3*'Yield 1Y'!AC102</f>
        <v>0</v>
      </c>
      <c r="AW35" s="72">
        <f>AW$3*'Yield 1Y'!AD102</f>
        <v>0</v>
      </c>
      <c r="AX35" s="72">
        <f>AX$3*'Yield 1Y'!AE102</f>
        <v>0</v>
      </c>
      <c r="AY35" s="72">
        <f>AY$3*'Yield 1Y'!AF102</f>
        <v>0</v>
      </c>
      <c r="AZ35" s="72">
        <f>AZ$3*'Yield 1Y'!AG102</f>
        <v>-0.36957357112674893</v>
      </c>
      <c r="BA35" s="72">
        <f>BA$3*'Yield 1Y'!AH102</f>
        <v>-7.1713703130929698</v>
      </c>
      <c r="BB35" s="72">
        <f>BB$3*'Yield 1Y'!AI102</f>
        <v>-1.9580178455809976</v>
      </c>
      <c r="BC35" s="72">
        <f>BC$3*'Yield 1Y'!AJ102</f>
        <v>0</v>
      </c>
      <c r="BD35" s="72">
        <f>BD$3*'Yield 1Y'!AK102</f>
        <v>0</v>
      </c>
      <c r="BE35" s="177">
        <f t="shared" si="5"/>
        <v>9.4989617298007154</v>
      </c>
      <c r="BF35" s="124">
        <f>VLOOKUP(AT35,'Yield 1Y'!$F:$G,2,0)</f>
        <v>46212</v>
      </c>
      <c r="BG35" s="318">
        <f t="shared" si="7"/>
        <v>65</v>
      </c>
    </row>
    <row r="36" spans="1:59" x14ac:dyDescent="0.3">
      <c r="A36" s="37">
        <v>236</v>
      </c>
      <c r="B36" s="72">
        <f>'Yield 1Y'!R238*B$3</f>
        <v>0</v>
      </c>
      <c r="C36" s="72">
        <f>'Yield 1Y'!S238*C$3</f>
        <v>0</v>
      </c>
      <c r="D36" s="72">
        <f>'Yield 1Y'!T238*D$3</f>
        <v>-7.3765818154992738E-2</v>
      </c>
      <c r="E36" s="72">
        <f>'Yield 1Y'!U238*E$3</f>
        <v>-0.11539234434022902</v>
      </c>
      <c r="F36" s="72">
        <f>'Yield 1Y'!V238*F$3</f>
        <v>0</v>
      </c>
      <c r="G36" s="72">
        <f>'Yield 1Y'!W238*G$3</f>
        <v>0.27052413482361526</v>
      </c>
      <c r="H36" s="72">
        <f>'Yield 1Y'!X238*H$3</f>
        <v>-0.8280960013881612</v>
      </c>
      <c r="I36" s="72">
        <f>'Yield 1Y'!Y238*I$3</f>
        <v>-0.33635772149081827</v>
      </c>
      <c r="J36" s="72">
        <f>'Yield 1Y'!Z238*J$3</f>
        <v>0</v>
      </c>
      <c r="K36" s="72">
        <f>'Yield 1Y'!AA238*K$3</f>
        <v>0</v>
      </c>
      <c r="L36" s="177">
        <f t="shared" si="0"/>
        <v>1.083087750550586</v>
      </c>
      <c r="M36" s="124">
        <f>VLOOKUP(A36,'Yield 1Y'!$F:$G,2,0)</f>
        <v>45909</v>
      </c>
      <c r="N36" s="318">
        <f t="shared" si="1"/>
        <v>152</v>
      </c>
      <c r="P36" s="37">
        <v>33</v>
      </c>
      <c r="Q36" s="72">
        <f>Q$3*'Yield 1Y'!R35</f>
        <v>0</v>
      </c>
      <c r="R36" s="72">
        <f>R$3*'Yield 1Y'!S35</f>
        <v>0</v>
      </c>
      <c r="S36" s="72">
        <f>S$3*'Yield 1Y'!T35</f>
        <v>0</v>
      </c>
      <c r="T36" s="72">
        <f>T$3*'Yield 1Y'!U35</f>
        <v>0</v>
      </c>
      <c r="U36" s="72">
        <f>U$3*'Yield 1Y'!V35</f>
        <v>0</v>
      </c>
      <c r="V36" s="72">
        <f>V$3*'Yield 1Y'!W35</f>
        <v>0</v>
      </c>
      <c r="W36" s="72">
        <f>W$3*'Yield 1Y'!X35</f>
        <v>0.34149382443301302</v>
      </c>
      <c r="X36" s="72">
        <f>X$3*'Yield 1Y'!Y35</f>
        <v>7.9919095737991205E-2</v>
      </c>
      <c r="Y36" s="72">
        <f>Y$3*'Yield 1Y'!Z35</f>
        <v>0</v>
      </c>
      <c r="Z36" s="72">
        <f>Z$3*'Yield 1Y'!AA35</f>
        <v>0</v>
      </c>
      <c r="AA36" s="177">
        <f t="shared" si="2"/>
        <v>-0.42141292017100423</v>
      </c>
      <c r="AB36" s="124">
        <f>VLOOKUP(P36,'Yield 1Y'!$F:$G,2,0)</f>
        <v>46206</v>
      </c>
      <c r="AC36" s="318">
        <f t="shared" si="6"/>
        <v>222</v>
      </c>
      <c r="AE36" s="37">
        <v>69</v>
      </c>
      <c r="AF36" s="72">
        <f>AF$3*'Yield 1Y'!AB71</f>
        <v>0</v>
      </c>
      <c r="AG36" s="72">
        <f>AG$3*'Yield 1Y'!AC71</f>
        <v>0</v>
      </c>
      <c r="AH36" s="72">
        <f>AH$3*'Yield 1Y'!AD71</f>
        <v>-9.2207272693742959E-2</v>
      </c>
      <c r="AI36" s="72">
        <f>AI$3*'Yield 1Y'!AE71</f>
        <v>-0.28848086085056612</v>
      </c>
      <c r="AJ36" s="72">
        <f>AJ$3*'Yield 1Y'!AF71</f>
        <v>-5.1440473916610864E-2</v>
      </c>
      <c r="AK36" s="72">
        <f>AK$3*'Yield 1Y'!AG71</f>
        <v>0.54104826964723052</v>
      </c>
      <c r="AL36" s="72">
        <f>AL$3*'Yield 1Y'!AH71</f>
        <v>-3.3123840055530125</v>
      </c>
      <c r="AM36" s="72">
        <f>AM$3*'Yield 1Y'!AI71</f>
        <v>0.67271544298178587</v>
      </c>
      <c r="AN36" s="72">
        <f>AN$3*'Yield 1Y'!AJ71</f>
        <v>0</v>
      </c>
      <c r="AO36" s="72">
        <f>AO$3*'Yield 1Y'!AK71</f>
        <v>0</v>
      </c>
      <c r="AP36" s="177">
        <f t="shared" si="3"/>
        <v>2.530748900384916</v>
      </c>
      <c r="AQ36" s="124">
        <f>VLOOKUP(AE36,'Yield 1Y'!$F:$G,2,0)</f>
        <v>46156</v>
      </c>
      <c r="AR36" s="318">
        <f t="shared" si="4"/>
        <v>243</v>
      </c>
      <c r="AT36" s="37">
        <v>30</v>
      </c>
      <c r="AU36" s="72">
        <f>AU$3*'Yield 1Y'!AB39</f>
        <v>0</v>
      </c>
      <c r="AV36" s="72">
        <f>AV$3*'Yield 1Y'!AC39</f>
        <v>0</v>
      </c>
      <c r="AW36" s="72">
        <f>AW$3*'Yield 1Y'!AD39</f>
        <v>0</v>
      </c>
      <c r="AX36" s="72">
        <f>AX$3*'Yield 1Y'!AE39</f>
        <v>0</v>
      </c>
      <c r="AY36" s="72">
        <f>AY$3*'Yield 1Y'!AF39</f>
        <v>0</v>
      </c>
      <c r="AZ36" s="72">
        <f>AZ$3*'Yield 1Y'!AG39</f>
        <v>-0.25487832491499457</v>
      </c>
      <c r="BA36" s="72">
        <f>BA$3*'Yield 1Y'!AH39</f>
        <v>-2.845781870275041</v>
      </c>
      <c r="BB36" s="72">
        <f>BB$3*'Yield 1Y'!AI39</f>
        <v>-1.4385437232840015</v>
      </c>
      <c r="BC36" s="72">
        <f>BC$3*'Yield 1Y'!AJ39</f>
        <v>0</v>
      </c>
      <c r="BD36" s="72">
        <f>BD$3*'Yield 1Y'!AK39</f>
        <v>0</v>
      </c>
      <c r="BE36" s="177">
        <f t="shared" si="5"/>
        <v>4.5392039184740369</v>
      </c>
      <c r="BF36" s="124">
        <f>VLOOKUP(AT36,'Yield 1Y'!$F:$G,2,0)</f>
        <v>46211</v>
      </c>
      <c r="BG36" s="318">
        <f t="shared" si="7"/>
        <v>171</v>
      </c>
    </row>
    <row r="37" spans="1:59" x14ac:dyDescent="0.3">
      <c r="A37" s="37">
        <v>154</v>
      </c>
      <c r="B37" s="72">
        <f>'Yield 1Y'!R156*B$3</f>
        <v>0</v>
      </c>
      <c r="C37" s="72">
        <f>'Yield 1Y'!S156*C$3</f>
        <v>0</v>
      </c>
      <c r="D37" s="72">
        <f>'Yield 1Y'!T156*D$3</f>
        <v>-0.26740109081184765</v>
      </c>
      <c r="E37" s="72">
        <f>'Yield 1Y'!U156*E$3</f>
        <v>-0.34617703302068703</v>
      </c>
      <c r="F37" s="72">
        <f>'Yield 1Y'!V156*F$3</f>
        <v>1.4029220159076067E-2</v>
      </c>
      <c r="G37" s="72">
        <f>'Yield 1Y'!W156*G$3</f>
        <v>0.81157240447096601</v>
      </c>
      <c r="H37" s="72">
        <f>'Yield 1Y'!X156*H$3</f>
        <v>-1.6561920027763224</v>
      </c>
      <c r="I37" s="72">
        <f>'Yield 1Y'!Y156*I$3</f>
        <v>-1.3454308859635717</v>
      </c>
      <c r="J37" s="72">
        <f>'Yield 1Y'!Z156*J$3</f>
        <v>0</v>
      </c>
      <c r="K37" s="72">
        <f>'Yield 1Y'!AA156*K$3</f>
        <v>0</v>
      </c>
      <c r="L37" s="177">
        <f t="shared" si="0"/>
        <v>2.7895993879423866</v>
      </c>
      <c r="M37" s="124">
        <f>VLOOKUP(A37,'Yield 1Y'!$F:$G,2,0)</f>
        <v>46027</v>
      </c>
      <c r="N37" s="318">
        <f t="shared" si="1"/>
        <v>98</v>
      </c>
      <c r="P37" s="37">
        <v>34</v>
      </c>
      <c r="Q37" s="72">
        <f>Q$3*'Yield 1Y'!R36</f>
        <v>0</v>
      </c>
      <c r="R37" s="72">
        <f>R$3*'Yield 1Y'!S36</f>
        <v>0</v>
      </c>
      <c r="S37" s="72">
        <f>S$3*'Yield 1Y'!T36</f>
        <v>0</v>
      </c>
      <c r="T37" s="72">
        <f>T$3*'Yield 1Y'!U36</f>
        <v>0</v>
      </c>
      <c r="U37" s="72">
        <f>U$3*'Yield 1Y'!V36</f>
        <v>0</v>
      </c>
      <c r="V37" s="72">
        <f>V$3*'Yield 1Y'!W36</f>
        <v>3.823174873725145E-2</v>
      </c>
      <c r="W37" s="72">
        <f>W$3*'Yield 1Y'!X36</f>
        <v>-0.11383127481103802</v>
      </c>
      <c r="X37" s="72">
        <f>X$3*'Yield 1Y'!Y36</f>
        <v>0</v>
      </c>
      <c r="Y37" s="72">
        <f>Y$3*'Yield 1Y'!Z36</f>
        <v>0</v>
      </c>
      <c r="Z37" s="72">
        <f>Z$3*'Yield 1Y'!AA36</f>
        <v>0</v>
      </c>
      <c r="AA37" s="177">
        <f t="shared" si="2"/>
        <v>7.5599526073786574E-2</v>
      </c>
      <c r="AB37" s="124">
        <f>VLOOKUP(P37,'Yield 1Y'!$F:$G,2,0)</f>
        <v>46205</v>
      </c>
      <c r="AC37" s="318">
        <f t="shared" si="6"/>
        <v>168</v>
      </c>
      <c r="AE37" s="37">
        <v>101</v>
      </c>
      <c r="AF37" s="72">
        <f>AF$3*'Yield 1Y'!AB103</f>
        <v>0</v>
      </c>
      <c r="AG37" s="72">
        <f>AG$3*'Yield 1Y'!AC103</f>
        <v>0</v>
      </c>
      <c r="AH37" s="72">
        <f>AH$3*'Yield 1Y'!AD103</f>
        <v>-0.80220327243554701</v>
      </c>
      <c r="AI37" s="72">
        <f>AI$3*'Yield 1Y'!AE103</f>
        <v>-0.11539234434024183</v>
      </c>
      <c r="AJ37" s="72">
        <f>AJ$3*'Yield 1Y'!AF103</f>
        <v>-0.36943613085565458</v>
      </c>
      <c r="AK37" s="72">
        <f>AK$3*'Yield 1Y'!AG103</f>
        <v>-6.7631033705912227</v>
      </c>
      <c r="AL37" s="72">
        <f>AL$3*'Yield 1Y'!AH103</f>
        <v>-36.436224061083138</v>
      </c>
      <c r="AM37" s="72">
        <f>AM$3*'Yield 1Y'!AI103</f>
        <v>-25.899544554795845</v>
      </c>
      <c r="AN37" s="72">
        <f>AN$3*'Yield 1Y'!AJ103</f>
        <v>0</v>
      </c>
      <c r="AO37" s="72">
        <f>AO$3*'Yield 1Y'!AK103</f>
        <v>0</v>
      </c>
      <c r="AP37" s="177">
        <f t="shared" si="3"/>
        <v>70.385903734101646</v>
      </c>
      <c r="AQ37" s="124">
        <f>VLOOKUP(AE37,'Yield 1Y'!$F:$G,2,0)</f>
        <v>46107</v>
      </c>
      <c r="AR37" s="318">
        <f t="shared" si="4"/>
        <v>54</v>
      </c>
      <c r="AT37" s="37">
        <v>31</v>
      </c>
      <c r="AU37" s="72">
        <f>AU$3*'Yield 1Y'!AB71</f>
        <v>0</v>
      </c>
      <c r="AV37" s="72">
        <f>AV$3*'Yield 1Y'!AC71</f>
        <v>0</v>
      </c>
      <c r="AW37" s="72">
        <f>AW$3*'Yield 1Y'!AD71</f>
        <v>0</v>
      </c>
      <c r="AX37" s="72">
        <f>AX$3*'Yield 1Y'!AE71</f>
        <v>0</v>
      </c>
      <c r="AY37" s="72">
        <f>AY$3*'Yield 1Y'!AF71</f>
        <v>0</v>
      </c>
      <c r="AZ37" s="72">
        <f>AZ$3*'Yield 1Y'!AG71</f>
        <v>2.5487832491497196E-2</v>
      </c>
      <c r="BA37" s="72">
        <f>BA$3*'Yield 1Y'!AH71</f>
        <v>-0.91065019848800088</v>
      </c>
      <c r="BB37" s="72">
        <f>BB$3*'Yield 1Y'!AI71</f>
        <v>7.9919095738008955E-2</v>
      </c>
      <c r="BC37" s="72">
        <f>BC$3*'Yield 1Y'!AJ71</f>
        <v>0</v>
      </c>
      <c r="BD37" s="72">
        <f>BD$3*'Yield 1Y'!AK71</f>
        <v>0</v>
      </c>
      <c r="BE37" s="177">
        <f t="shared" si="5"/>
        <v>0.80524327025849474</v>
      </c>
      <c r="BF37" s="124">
        <f>VLOOKUP(AT37,'Yield 1Y'!$F:$G,2,0)</f>
        <v>46210</v>
      </c>
      <c r="BG37" s="318">
        <f t="shared" si="7"/>
        <v>237</v>
      </c>
    </row>
    <row r="38" spans="1:59" x14ac:dyDescent="0.3">
      <c r="A38" s="37">
        <v>49</v>
      </c>
      <c r="B38" s="72">
        <f>'Yield 1Y'!R51*B$3</f>
        <v>0</v>
      </c>
      <c r="C38" s="72">
        <f>'Yield 1Y'!S51*C$3</f>
        <v>0</v>
      </c>
      <c r="D38" s="72">
        <f>'Yield 1Y'!T51*D$3</f>
        <v>-0.11986945450186216</v>
      </c>
      <c r="E38" s="72">
        <f>'Yield 1Y'!U51*E$3</f>
        <v>-0.43272129127586201</v>
      </c>
      <c r="F38" s="72">
        <f>'Yield 1Y'!V51*F$3</f>
        <v>-7.9498914234763005E-2</v>
      </c>
      <c r="G38" s="72">
        <f>'Yield 1Y'!W51*G$3</f>
        <v>-3.7873378875308541</v>
      </c>
      <c r="H38" s="72">
        <f>'Yield 1Y'!X51*H$3</f>
        <v>-2.8983360048591158</v>
      </c>
      <c r="I38" s="72">
        <f>'Yield 1Y'!Y51*I$3</f>
        <v>-0.33635772149066889</v>
      </c>
      <c r="J38" s="72">
        <f>'Yield 1Y'!Z51*J$3</f>
        <v>0</v>
      </c>
      <c r="K38" s="72">
        <f>'Yield 1Y'!AA51*K$3</f>
        <v>0</v>
      </c>
      <c r="L38" s="177">
        <f t="shared" si="0"/>
        <v>7.6541212738931259</v>
      </c>
      <c r="M38" s="124">
        <f>VLOOKUP(A38,'Yield 1Y'!$F:$G,2,0)</f>
        <v>46184</v>
      </c>
      <c r="N38" s="318">
        <f t="shared" si="1"/>
        <v>42</v>
      </c>
      <c r="P38" s="37">
        <v>35</v>
      </c>
      <c r="Q38" s="72">
        <f>Q$3*'Yield 1Y'!R37</f>
        <v>0</v>
      </c>
      <c r="R38" s="72">
        <f>R$3*'Yield 1Y'!S37</f>
        <v>0</v>
      </c>
      <c r="S38" s="72">
        <f>S$3*'Yield 1Y'!T37</f>
        <v>0</v>
      </c>
      <c r="T38" s="72">
        <f>T$3*'Yield 1Y'!U37</f>
        <v>0</v>
      </c>
      <c r="U38" s="72">
        <f>U$3*'Yield 1Y'!V37</f>
        <v>0</v>
      </c>
      <c r="V38" s="72">
        <f>V$3*'Yield 1Y'!W37</f>
        <v>-6.3719581228748642E-2</v>
      </c>
      <c r="W38" s="72">
        <f>W$3*'Yield 1Y'!X37</f>
        <v>-0.34149382443301302</v>
      </c>
      <c r="X38" s="72">
        <f>X$3*'Yield 1Y'!Y37</f>
        <v>-0.19979773934499578</v>
      </c>
      <c r="Y38" s="72">
        <f>Y$3*'Yield 1Y'!Z37</f>
        <v>0</v>
      </c>
      <c r="Z38" s="72">
        <f>Z$3*'Yield 1Y'!AA37</f>
        <v>0</v>
      </c>
      <c r="AA38" s="177">
        <f t="shared" si="2"/>
        <v>0.60501114500675746</v>
      </c>
      <c r="AB38" s="124">
        <f>VLOOKUP(P38,'Yield 1Y'!$F:$G,2,0)</f>
        <v>46204</v>
      </c>
      <c r="AC38" s="318">
        <f t="shared" si="6"/>
        <v>83</v>
      </c>
      <c r="AE38" s="37">
        <v>116</v>
      </c>
      <c r="AF38" s="72">
        <f>AF$3*'Yield 1Y'!AB118</f>
        <v>0</v>
      </c>
      <c r="AG38" s="72">
        <f>AG$3*'Yield 1Y'!AC118</f>
        <v>0</v>
      </c>
      <c r="AH38" s="72">
        <f>AH$3*'Yield 1Y'!AD118</f>
        <v>-0.49791927254619889</v>
      </c>
      <c r="AI38" s="72">
        <f>AI$3*'Yield 1Y'!AE118</f>
        <v>-1.6731889929333144</v>
      </c>
      <c r="AJ38" s="72">
        <f>AJ$3*'Yield 1Y'!AF118</f>
        <v>-0.10755735455291097</v>
      </c>
      <c r="AK38" s="72">
        <f>AK$3*'Yield 1Y'!AG118</f>
        <v>-15.690399819771608</v>
      </c>
      <c r="AL38" s="72">
        <f>AL$3*'Yield 1Y'!AH118</f>
        <v>-11.179296018741463</v>
      </c>
      <c r="AM38" s="72">
        <f>AM$3*'Yield 1Y'!AI118</f>
        <v>-15.472455188579282</v>
      </c>
      <c r="AN38" s="72">
        <f>AN$3*'Yield 1Y'!AJ118</f>
        <v>0</v>
      </c>
      <c r="AO38" s="72">
        <f>AO$3*'Yield 1Y'!AK118</f>
        <v>0</v>
      </c>
      <c r="AP38" s="177">
        <f t="shared" si="3"/>
        <v>44.620816647124776</v>
      </c>
      <c r="AQ38" s="124">
        <f>VLOOKUP(AE38,'Yield 1Y'!$F:$G,2,0)</f>
        <v>46086</v>
      </c>
      <c r="AR38" s="318">
        <f t="shared" si="4"/>
        <v>103</v>
      </c>
      <c r="AT38" s="37">
        <v>32</v>
      </c>
      <c r="AU38" s="72">
        <f>AU$3*'Yield 1Y'!AB208</f>
        <v>0</v>
      </c>
      <c r="AV38" s="72">
        <f>AV$3*'Yield 1Y'!AC208</f>
        <v>0</v>
      </c>
      <c r="AW38" s="72">
        <f>AW$3*'Yield 1Y'!AD208</f>
        <v>0</v>
      </c>
      <c r="AX38" s="72">
        <f>AX$3*'Yield 1Y'!AE208</f>
        <v>0</v>
      </c>
      <c r="AY38" s="72">
        <f>AY$3*'Yield 1Y'!AF208</f>
        <v>0</v>
      </c>
      <c r="AZ38" s="72">
        <f>AZ$3*'Yield 1Y'!AG208</f>
        <v>-1.0322572159057495</v>
      </c>
      <c r="BA38" s="72">
        <f>BA$3*'Yield 1Y'!AH208</f>
        <v>-7.0575390382819823</v>
      </c>
      <c r="BB38" s="72">
        <f>BB$3*'Yield 1Y'!AI208</f>
        <v>-2.4774919678779939</v>
      </c>
      <c r="BC38" s="72">
        <f>BC$3*'Yield 1Y'!AJ208</f>
        <v>0</v>
      </c>
      <c r="BD38" s="72">
        <f>BD$3*'Yield 1Y'!AK208</f>
        <v>0</v>
      </c>
      <c r="BE38" s="177">
        <f t="shared" si="5"/>
        <v>10.567288222065725</v>
      </c>
      <c r="BF38" s="124">
        <f>VLOOKUP(AT38,'Yield 1Y'!$F:$G,2,0)</f>
        <v>46209</v>
      </c>
      <c r="BG38" s="318">
        <f t="shared" si="7"/>
        <v>58</v>
      </c>
    </row>
    <row r="39" spans="1:59" x14ac:dyDescent="0.3">
      <c r="A39" s="37">
        <v>55</v>
      </c>
      <c r="B39" s="72">
        <f>'Yield 1Y'!R57*B$3</f>
        <v>0</v>
      </c>
      <c r="C39" s="72">
        <f>'Yield 1Y'!S57*C$3</f>
        <v>0</v>
      </c>
      <c r="D39" s="72">
        <f>'Yield 1Y'!T57*D$3</f>
        <v>-0.14753163630998137</v>
      </c>
      <c r="E39" s="72">
        <f>'Yield 1Y'!U57*E$3</f>
        <v>-0.25963277476551211</v>
      </c>
      <c r="F39" s="72">
        <f>'Yield 1Y'!V57*F$3</f>
        <v>0</v>
      </c>
      <c r="G39" s="72">
        <f>'Yield 1Y'!W57*G$3</f>
        <v>0</v>
      </c>
      <c r="H39" s="72">
        <f>'Yield 1Y'!X57*H$3</f>
        <v>-0.41404800069389674</v>
      </c>
      <c r="I39" s="72">
        <f>'Yield 1Y'!Y57*I$3</f>
        <v>0</v>
      </c>
      <c r="J39" s="72">
        <f>'Yield 1Y'!Z57*J$3</f>
        <v>0</v>
      </c>
      <c r="K39" s="72">
        <f>'Yield 1Y'!AA57*K$3</f>
        <v>0</v>
      </c>
      <c r="L39" s="177">
        <f t="shared" si="0"/>
        <v>0.82121241176939019</v>
      </c>
      <c r="M39" s="124">
        <f>VLOOKUP(A39,'Yield 1Y'!$F:$G,2,0)</f>
        <v>46176</v>
      </c>
      <c r="N39" s="318">
        <f t="shared" si="1"/>
        <v>160</v>
      </c>
      <c r="P39" s="37">
        <v>36</v>
      </c>
      <c r="Q39" s="72">
        <f>Q$3*'Yield 1Y'!R38</f>
        <v>0</v>
      </c>
      <c r="R39" s="72">
        <f>R$3*'Yield 1Y'!S38</f>
        <v>0</v>
      </c>
      <c r="S39" s="72">
        <f>S$3*'Yield 1Y'!T38</f>
        <v>0</v>
      </c>
      <c r="T39" s="72">
        <f>T$3*'Yield 1Y'!U38</f>
        <v>0</v>
      </c>
      <c r="U39" s="72">
        <f>U$3*'Yield 1Y'!V38</f>
        <v>0</v>
      </c>
      <c r="V39" s="72">
        <f>V$3*'Yield 1Y'!W38</f>
        <v>-0.11469524621175435</v>
      </c>
      <c r="W39" s="72">
        <f>W$3*'Yield 1Y'!X38</f>
        <v>0.45532509924405101</v>
      </c>
      <c r="X39" s="72">
        <f>X$3*'Yield 1Y'!Y38</f>
        <v>0.279716835082987</v>
      </c>
      <c r="Y39" s="72">
        <f>Y$3*'Yield 1Y'!Z38</f>
        <v>0</v>
      </c>
      <c r="Z39" s="72">
        <f>Z$3*'Yield 1Y'!AA38</f>
        <v>0</v>
      </c>
      <c r="AA39" s="177">
        <f t="shared" si="2"/>
        <v>-0.62034668811528371</v>
      </c>
      <c r="AB39" s="124">
        <f>VLOOKUP(P39,'Yield 1Y'!$F:$G,2,0)</f>
        <v>46203</v>
      </c>
      <c r="AC39" s="318">
        <f t="shared" si="6"/>
        <v>238</v>
      </c>
      <c r="AE39" s="37">
        <v>97</v>
      </c>
      <c r="AF39" s="72">
        <f>AF$3*'Yield 1Y'!AB99</f>
        <v>0</v>
      </c>
      <c r="AG39" s="72">
        <f>AG$3*'Yield 1Y'!AC99</f>
        <v>0</v>
      </c>
      <c r="AH39" s="72">
        <f>AH$3*'Yield 1Y'!AD99</f>
        <v>-0.14753163630998548</v>
      </c>
      <c r="AI39" s="72">
        <f>AI$3*'Yield 1Y'!AE99</f>
        <v>0</v>
      </c>
      <c r="AJ39" s="72">
        <f>AJ$3*'Yield 1Y'!AF99</f>
        <v>-7.9498914234760923E-2</v>
      </c>
      <c r="AK39" s="72">
        <f>AK$3*'Yield 1Y'!AG99</f>
        <v>-7.8451999098856842</v>
      </c>
      <c r="AL39" s="72">
        <f>AL$3*'Yield 1Y'!AH99</f>
        <v>-8.6950080145766115</v>
      </c>
      <c r="AM39" s="72">
        <f>AM$3*'Yield 1Y'!AI99</f>
        <v>-4.0362926578902671</v>
      </c>
      <c r="AN39" s="72">
        <f>AN$3*'Yield 1Y'!AJ99</f>
        <v>0</v>
      </c>
      <c r="AO39" s="72">
        <f>AO$3*'Yield 1Y'!AK99</f>
        <v>0</v>
      </c>
      <c r="AP39" s="177">
        <f t="shared" si="3"/>
        <v>20.803531132897309</v>
      </c>
      <c r="AQ39" s="124">
        <f>VLOOKUP(AE39,'Yield 1Y'!$F:$G,2,0)</f>
        <v>46113</v>
      </c>
      <c r="AR39" s="318">
        <f t="shared" si="4"/>
        <v>199</v>
      </c>
      <c r="AT39" s="37">
        <v>33</v>
      </c>
      <c r="AU39" s="72">
        <f>AU$3*'Yield 1Y'!AB124</f>
        <v>0</v>
      </c>
      <c r="AV39" s="72">
        <f>AV$3*'Yield 1Y'!AC124</f>
        <v>0</v>
      </c>
      <c r="AW39" s="72">
        <f>AW$3*'Yield 1Y'!AD124</f>
        <v>0</v>
      </c>
      <c r="AX39" s="72">
        <f>AX$3*'Yield 1Y'!AE124</f>
        <v>0</v>
      </c>
      <c r="AY39" s="72">
        <f>AY$3*'Yield 1Y'!AF124</f>
        <v>0</v>
      </c>
      <c r="AZ39" s="72">
        <f>AZ$3*'Yield 1Y'!AG124</f>
        <v>-1.2743916245742937E-2</v>
      </c>
      <c r="BA39" s="72">
        <f>BA$3*'Yield 1Y'!AH124</f>
        <v>-2.2766254962200025</v>
      </c>
      <c r="BB39" s="72">
        <f>BB$3*'Yield 1Y'!AI124</f>
        <v>-1.9580178455809976</v>
      </c>
      <c r="BC39" s="72">
        <f>BC$3*'Yield 1Y'!AJ124</f>
        <v>0</v>
      </c>
      <c r="BD39" s="72">
        <f>BD$3*'Yield 1Y'!AK124</f>
        <v>0</v>
      </c>
      <c r="BE39" s="177">
        <f t="shared" si="5"/>
        <v>4.2473872580467429</v>
      </c>
      <c r="BF39" s="124">
        <f>VLOOKUP(AT39,'Yield 1Y'!$F:$G,2,0)</f>
        <v>46206</v>
      </c>
      <c r="BG39" s="318">
        <f t="shared" si="7"/>
        <v>181</v>
      </c>
    </row>
    <row r="40" spans="1:59" x14ac:dyDescent="0.3">
      <c r="A40" s="37">
        <v>142</v>
      </c>
      <c r="B40" s="72">
        <f>'Yield 1Y'!R144*B$3</f>
        <v>0</v>
      </c>
      <c r="C40" s="72">
        <f>'Yield 1Y'!S144*C$3</f>
        <v>0</v>
      </c>
      <c r="D40" s="72">
        <f>'Yield 1Y'!T144*D$3</f>
        <v>0</v>
      </c>
      <c r="E40" s="72">
        <f>'Yield 1Y'!U144*E$3</f>
        <v>0.17308851651034993</v>
      </c>
      <c r="F40" s="72">
        <f>'Yield 1Y'!V144*F$3</f>
        <v>5.6116880636302192E-2</v>
      </c>
      <c r="G40" s="72">
        <f>'Yield 1Y'!W144*G$3</f>
        <v>-6.222055100943872</v>
      </c>
      <c r="H40" s="72">
        <f>'Yield 1Y'!X144*H$3</f>
        <v>6.624768011106025</v>
      </c>
      <c r="I40" s="72">
        <f>'Yield 1Y'!Y144*I$3</f>
        <v>10.090731644725743</v>
      </c>
      <c r="J40" s="72">
        <f>'Yield 1Y'!Z144*J$3</f>
        <v>0</v>
      </c>
      <c r="K40" s="72">
        <f>'Yield 1Y'!AA144*K$3</f>
        <v>0</v>
      </c>
      <c r="L40" s="177">
        <f t="shared" si="0"/>
        <v>-10.722649952034548</v>
      </c>
      <c r="M40" s="124">
        <f>VLOOKUP(A40,'Yield 1Y'!$F:$G,2,0)</f>
        <v>46043</v>
      </c>
      <c r="N40" s="318">
        <f t="shared" si="1"/>
        <v>251</v>
      </c>
      <c r="P40" s="37">
        <v>37</v>
      </c>
      <c r="Q40" s="72">
        <f>Q$3*'Yield 1Y'!R39</f>
        <v>0</v>
      </c>
      <c r="R40" s="72">
        <f>R$3*'Yield 1Y'!S39</f>
        <v>0</v>
      </c>
      <c r="S40" s="72">
        <f>S$3*'Yield 1Y'!T39</f>
        <v>0</v>
      </c>
      <c r="T40" s="72">
        <f>T$3*'Yield 1Y'!U39</f>
        <v>0</v>
      </c>
      <c r="U40" s="72">
        <f>U$3*'Yield 1Y'!V39</f>
        <v>0</v>
      </c>
      <c r="V40" s="72">
        <f>V$3*'Yield 1Y'!W39</f>
        <v>0</v>
      </c>
      <c r="W40" s="72">
        <f>W$3*'Yield 1Y'!X39</f>
        <v>-0.34149382443301302</v>
      </c>
      <c r="X40" s="72">
        <f>X$3*'Yield 1Y'!Y39</f>
        <v>-0.19979773934499578</v>
      </c>
      <c r="Y40" s="72">
        <f>Y$3*'Yield 1Y'!Z39</f>
        <v>0</v>
      </c>
      <c r="Z40" s="72">
        <f>Z$3*'Yield 1Y'!AA39</f>
        <v>0</v>
      </c>
      <c r="AA40" s="177">
        <f t="shared" si="2"/>
        <v>0.5412915637780088</v>
      </c>
      <c r="AB40" s="124">
        <f>VLOOKUP(P40,'Yield 1Y'!$F:$G,2,0)</f>
        <v>46202</v>
      </c>
      <c r="AC40" s="318">
        <f t="shared" si="6"/>
        <v>94</v>
      </c>
      <c r="AE40" s="37">
        <v>252</v>
      </c>
      <c r="AF40" s="72">
        <f>AF$3*'Yield 1Y'!AB254</f>
        <v>0</v>
      </c>
      <c r="AG40" s="72">
        <f>AG$3*'Yield 1Y'!AC254</f>
        <v>0</v>
      </c>
      <c r="AH40" s="72">
        <f>AH$3*'Yield 1Y'!AD254</f>
        <v>-1.0511629087086485</v>
      </c>
      <c r="AI40" s="72">
        <f>AI$3*'Yield 1Y'!AE254</f>
        <v>-1.9905179398689601</v>
      </c>
      <c r="AJ40" s="72">
        <f>AJ$3*'Yield 1Y'!AF254</f>
        <v>-0.55649239964333064</v>
      </c>
      <c r="AK40" s="72">
        <f>AK$3*'Yield 1Y'!AG254</f>
        <v>-19.748261842126077</v>
      </c>
      <c r="AL40" s="72">
        <f>AL$3*'Yield 1Y'!AH254</f>
        <v>-48.44361608121276</v>
      </c>
      <c r="AM40" s="72">
        <f>AM$3*'Yield 1Y'!AI254</f>
        <v>-31.95398354163132</v>
      </c>
      <c r="AN40" s="72">
        <f>AN$3*'Yield 1Y'!AJ254</f>
        <v>0</v>
      </c>
      <c r="AO40" s="72">
        <f>AO$3*'Yield 1Y'!AK254</f>
        <v>0</v>
      </c>
      <c r="AP40" s="177">
        <f t="shared" si="3"/>
        <v>103.7440347131911</v>
      </c>
      <c r="AQ40" s="124">
        <f>VLOOKUP(AE40,'Yield 1Y'!$F:$G,2,0)</f>
        <v>45883</v>
      </c>
      <c r="AR40" s="318">
        <f t="shared" si="4"/>
        <v>36</v>
      </c>
      <c r="AT40" s="37">
        <v>34</v>
      </c>
      <c r="AU40" s="72">
        <f>AU$3*'Yield 1Y'!AB146</f>
        <v>0</v>
      </c>
      <c r="AV40" s="72">
        <f>AV$3*'Yield 1Y'!AC146</f>
        <v>0</v>
      </c>
      <c r="AW40" s="72">
        <f>AW$3*'Yield 1Y'!AD146</f>
        <v>0</v>
      </c>
      <c r="AX40" s="72">
        <f>AX$3*'Yield 1Y'!AE146</f>
        <v>0</v>
      </c>
      <c r="AY40" s="72">
        <f>AY$3*'Yield 1Y'!AF146</f>
        <v>0</v>
      </c>
      <c r="AZ40" s="72">
        <f>AZ$3*'Yield 1Y'!AG146</f>
        <v>-2.2811610079892422</v>
      </c>
      <c r="BA40" s="72">
        <f>BA$3*'Yield 1Y'!AH146</f>
        <v>-10.700139832233985</v>
      </c>
      <c r="BB40" s="72">
        <f>BB$3*'Yield 1Y'!AI146</f>
        <v>-9.7101701321669971</v>
      </c>
      <c r="BC40" s="72">
        <f>BC$3*'Yield 1Y'!AJ146</f>
        <v>0</v>
      </c>
      <c r="BD40" s="72">
        <f>BD$3*'Yield 1Y'!AK146</f>
        <v>0</v>
      </c>
      <c r="BE40" s="177">
        <f t="shared" si="5"/>
        <v>22.691470972390224</v>
      </c>
      <c r="BF40" s="124">
        <f>VLOOKUP(AT40,'Yield 1Y'!$F:$G,2,0)</f>
        <v>46205</v>
      </c>
      <c r="BG40" s="318">
        <f t="shared" si="7"/>
        <v>19</v>
      </c>
    </row>
    <row r="41" spans="1:59" x14ac:dyDescent="0.3">
      <c r="A41" s="37">
        <v>6</v>
      </c>
      <c r="B41" s="72">
        <f>'Yield 1Y'!R8*B$3</f>
        <v>0</v>
      </c>
      <c r="C41" s="72">
        <f>'Yield 1Y'!S8*C$3</f>
        <v>0</v>
      </c>
      <c r="D41" s="72">
        <f>'Yield 1Y'!T8*D$3</f>
        <v>0</v>
      </c>
      <c r="E41" s="72">
        <f>'Yield 1Y'!U8*E$3</f>
        <v>0</v>
      </c>
      <c r="F41" s="72">
        <f>'Yield 1Y'!V8*F$3</f>
        <v>0</v>
      </c>
      <c r="G41" s="72">
        <f>'Yield 1Y'!W8*G$3</f>
        <v>-0.81157240447096601</v>
      </c>
      <c r="H41" s="72">
        <f>'Yield 1Y'!X8*H$3</f>
        <v>-0.8280960013881612</v>
      </c>
      <c r="I41" s="72">
        <f>'Yield 1Y'!Y8*I$3</f>
        <v>0</v>
      </c>
      <c r="J41" s="72">
        <f>'Yield 1Y'!Z8*J$3</f>
        <v>0</v>
      </c>
      <c r="K41" s="72">
        <f>'Yield 1Y'!AA8*K$3</f>
        <v>0</v>
      </c>
      <c r="L41" s="177">
        <f t="shared" si="0"/>
        <v>1.6396684058591271</v>
      </c>
      <c r="M41" s="124">
        <f>VLOOKUP(A41,'Yield 1Y'!$F:$G,2,0)</f>
        <v>46245</v>
      </c>
      <c r="N41" s="318">
        <f t="shared" si="1"/>
        <v>130</v>
      </c>
      <c r="P41" s="37">
        <v>38</v>
      </c>
      <c r="Q41" s="72">
        <f>Q$3*'Yield 1Y'!R40</f>
        <v>0</v>
      </c>
      <c r="R41" s="72">
        <f>R$3*'Yield 1Y'!S40</f>
        <v>0</v>
      </c>
      <c r="S41" s="72">
        <f>S$3*'Yield 1Y'!T40</f>
        <v>0</v>
      </c>
      <c r="T41" s="72">
        <f>T$3*'Yield 1Y'!U40</f>
        <v>0</v>
      </c>
      <c r="U41" s="72">
        <f>U$3*'Yield 1Y'!V40</f>
        <v>0</v>
      </c>
      <c r="V41" s="72">
        <f>V$3*'Yield 1Y'!W40</f>
        <v>-1.2743916245742937E-2</v>
      </c>
      <c r="W41" s="72">
        <f>W$3*'Yield 1Y'!X40</f>
        <v>0.11383127481103802</v>
      </c>
      <c r="X41" s="72">
        <f>X$3*'Yield 1Y'!Y40</f>
        <v>7.9919095738026705E-2</v>
      </c>
      <c r="Y41" s="72">
        <f>Y$3*'Yield 1Y'!Z40</f>
        <v>0</v>
      </c>
      <c r="Z41" s="72">
        <f>Z$3*'Yield 1Y'!AA40</f>
        <v>0</v>
      </c>
      <c r="AA41" s="177">
        <f t="shared" si="2"/>
        <v>-0.1810064543033218</v>
      </c>
      <c r="AB41" s="124">
        <f>VLOOKUP(P41,'Yield 1Y'!$F:$G,2,0)</f>
        <v>46199</v>
      </c>
      <c r="AC41" s="318">
        <f t="shared" si="6"/>
        <v>203</v>
      </c>
      <c r="AE41" s="37">
        <v>4</v>
      </c>
      <c r="AF41" s="72">
        <f>AF$3*'Yield 1Y'!AB6</f>
        <v>0</v>
      </c>
      <c r="AG41" s="72">
        <f>AG$3*'Yield 1Y'!AC6</f>
        <v>0</v>
      </c>
      <c r="AH41" s="72">
        <f>AH$3*'Yield 1Y'!AD6</f>
        <v>-0.57168509070119167</v>
      </c>
      <c r="AI41" s="72">
        <f>AI$3*'Yield 1Y'!AE6</f>
        <v>-0.23078468868045804</v>
      </c>
      <c r="AJ41" s="72">
        <f>AJ$3*'Yield 1Y'!AF6</f>
        <v>-0.28993721662089361</v>
      </c>
      <c r="AK41" s="72">
        <f>AK$3*'Yield 1Y'!AG6</f>
        <v>-2.4347172134126578</v>
      </c>
      <c r="AL41" s="72">
        <f>AL$3*'Yield 1Y'!AH6</f>
        <v>-25.670976043035939</v>
      </c>
      <c r="AM41" s="72">
        <f>AM$3*'Yield 1Y'!AI6</f>
        <v>-15.472455188579282</v>
      </c>
      <c r="AN41" s="72">
        <f>AN$3*'Yield 1Y'!AJ6</f>
        <v>0</v>
      </c>
      <c r="AO41" s="72">
        <f>AO$3*'Yield 1Y'!AK6</f>
        <v>0</v>
      </c>
      <c r="AP41" s="177">
        <f t="shared" si="3"/>
        <v>44.670555441030423</v>
      </c>
      <c r="AQ41" s="124">
        <f>VLOOKUP(AE41,'Yield 1Y'!$F:$G,2,0)</f>
        <v>46247</v>
      </c>
      <c r="AR41" s="318">
        <f t="shared" si="4"/>
        <v>102</v>
      </c>
      <c r="AT41" s="37">
        <v>35</v>
      </c>
      <c r="AU41" s="72">
        <f>AU$3*'Yield 1Y'!AB113</f>
        <v>0</v>
      </c>
      <c r="AV41" s="72">
        <f>AV$3*'Yield 1Y'!AC113</f>
        <v>0</v>
      </c>
      <c r="AW41" s="72">
        <f>AW$3*'Yield 1Y'!AD113</f>
        <v>0</v>
      </c>
      <c r="AX41" s="72">
        <f>AX$3*'Yield 1Y'!AE113</f>
        <v>0</v>
      </c>
      <c r="AY41" s="72">
        <f>AY$3*'Yield 1Y'!AF113</f>
        <v>0</v>
      </c>
      <c r="AZ41" s="72">
        <f>AZ$3*'Yield 1Y'!AG113</f>
        <v>-1.2234159595920011</v>
      </c>
      <c r="BA41" s="72">
        <f>BA$3*'Yield 1Y'!AH113</f>
        <v>-10.92780238185596</v>
      </c>
      <c r="BB41" s="72">
        <f>BB$3*'Yield 1Y'!AI113</f>
        <v>-6.9130017813370026</v>
      </c>
      <c r="BC41" s="72">
        <f>BC$3*'Yield 1Y'!AJ113</f>
        <v>0</v>
      </c>
      <c r="BD41" s="72">
        <f>BD$3*'Yield 1Y'!AK113</f>
        <v>0</v>
      </c>
      <c r="BE41" s="177">
        <f t="shared" si="5"/>
        <v>19.064220122784963</v>
      </c>
      <c r="BF41" s="124">
        <f>VLOOKUP(AT41,'Yield 1Y'!$F:$G,2,0)</f>
        <v>46204</v>
      </c>
      <c r="BG41" s="318">
        <f t="shared" si="7"/>
        <v>31</v>
      </c>
    </row>
    <row r="42" spans="1:59" x14ac:dyDescent="0.3">
      <c r="A42" s="114">
        <v>234</v>
      </c>
      <c r="B42" s="72">
        <f>'Yield 1Y'!R236*B$3</f>
        <v>0</v>
      </c>
      <c r="C42" s="72">
        <f>'Yield 1Y'!S236*C$3</f>
        <v>0</v>
      </c>
      <c r="D42" s="72">
        <f>'Yield 1Y'!T236*D$3</f>
        <v>-4.6103636346873526E-2</v>
      </c>
      <c r="E42" s="72">
        <f>'Yield 1Y'!U236*E$3</f>
        <v>5.7696172170108105E-2</v>
      </c>
      <c r="F42" s="72">
        <f>'Yield 1Y'!V236*F$3</f>
        <v>3.7411253757534797E-2</v>
      </c>
      <c r="G42" s="72">
        <f>'Yield 1Y'!W236*G$3</f>
        <v>-1.8936689437655472</v>
      </c>
      <c r="H42" s="72">
        <f>'Yield 1Y'!X236*H$3</f>
        <v>-6.2107200104119444</v>
      </c>
      <c r="I42" s="72">
        <f>'Yield 1Y'!Y236*I$3</f>
        <v>-4.7090081008719036</v>
      </c>
      <c r="J42" s="72">
        <f>'Yield 1Y'!Z236*J$3</f>
        <v>0</v>
      </c>
      <c r="K42" s="72">
        <f>'Yield 1Y'!AA236*K$3</f>
        <v>0</v>
      </c>
      <c r="L42" s="394">
        <f t="shared" si="0"/>
        <v>12.764393265468625</v>
      </c>
      <c r="M42" s="124">
        <f>VLOOKUP(A42,'Yield 1Y'!$F:$G,2,0)</f>
        <v>45911</v>
      </c>
      <c r="N42" s="318">
        <f t="shared" si="1"/>
        <v>31</v>
      </c>
      <c r="P42" s="37">
        <v>39</v>
      </c>
      <c r="Q42" s="72">
        <f>Q$3*'Yield 1Y'!R41</f>
        <v>0</v>
      </c>
      <c r="R42" s="72">
        <f>R$3*'Yield 1Y'!S41</f>
        <v>0</v>
      </c>
      <c r="S42" s="72">
        <f>S$3*'Yield 1Y'!T41</f>
        <v>0</v>
      </c>
      <c r="T42" s="72">
        <f>T$3*'Yield 1Y'!U41</f>
        <v>0</v>
      </c>
      <c r="U42" s="72">
        <f>U$3*'Yield 1Y'!V41</f>
        <v>0</v>
      </c>
      <c r="V42" s="72">
        <f>V$3*'Yield 1Y'!W41</f>
        <v>0</v>
      </c>
      <c r="W42" s="72">
        <f>W$3*'Yield 1Y'!X41</f>
        <v>-0.11383127481103802</v>
      </c>
      <c r="X42" s="72">
        <f>X$3*'Yield 1Y'!Y41</f>
        <v>-7.9919095738026705E-2</v>
      </c>
      <c r="Y42" s="72">
        <f>Y$3*'Yield 1Y'!Z41</f>
        <v>0</v>
      </c>
      <c r="Z42" s="72">
        <f>Z$3*'Yield 1Y'!AA41</f>
        <v>0</v>
      </c>
      <c r="AA42" s="177">
        <f t="shared" si="2"/>
        <v>0.19375037054906474</v>
      </c>
      <c r="AB42" s="124">
        <f>VLOOKUP(P42,'Yield 1Y'!$F:$G,2,0)</f>
        <v>46198</v>
      </c>
      <c r="AC42" s="318">
        <f t="shared" si="6"/>
        <v>148</v>
      </c>
      <c r="AE42" s="37">
        <v>1</v>
      </c>
      <c r="AF42" s="72">
        <f>AF$3*'Yield 1Y'!AB3</f>
        <v>0</v>
      </c>
      <c r="AG42" s="72">
        <f>AG$3*'Yield 1Y'!AC3</f>
        <v>0</v>
      </c>
      <c r="AH42" s="72">
        <f>AH$3*'Yield 1Y'!AD3</f>
        <v>-0.1936352726568549</v>
      </c>
      <c r="AI42" s="72">
        <f>AI$3*'Yield 1Y'!AE3</f>
        <v>-0.23078468868045804</v>
      </c>
      <c r="AJ42" s="72">
        <f>AJ$3*'Yield 1Y'!AF3</f>
        <v>-9.352813439383699E-2</v>
      </c>
      <c r="AK42" s="72">
        <f>AK$3*'Yield 1Y'!AG3</f>
        <v>-2.4347172134126578</v>
      </c>
      <c r="AL42" s="72">
        <f>AL$3*'Yield 1Y'!AH3</f>
        <v>-8.6950080145767963</v>
      </c>
      <c r="AM42" s="72">
        <f>AM$3*'Yield 1Y'!AI3</f>
        <v>-6.0544389868354758</v>
      </c>
      <c r="AN42" s="72">
        <f>AN$3*'Yield 1Y'!AJ3</f>
        <v>0</v>
      </c>
      <c r="AO42" s="72">
        <f>AO$3*'Yield 1Y'!AK3</f>
        <v>0</v>
      </c>
      <c r="AP42" s="177">
        <f t="shared" si="3"/>
        <v>17.702112310556078</v>
      </c>
      <c r="AQ42" s="124">
        <f>VLOOKUP(AE42,'Yield 1Y'!$F:$G,2,0)</f>
        <v>46252</v>
      </c>
      <c r="AR42" s="318">
        <f t="shared" si="4"/>
        <v>212</v>
      </c>
      <c r="AT42" s="37">
        <v>36</v>
      </c>
      <c r="AU42" s="72">
        <f>AU$3*'Yield 1Y'!AB42</f>
        <v>0</v>
      </c>
      <c r="AV42" s="72">
        <f>AV$3*'Yield 1Y'!AC42</f>
        <v>0</v>
      </c>
      <c r="AW42" s="72">
        <f>AW$3*'Yield 1Y'!AD42</f>
        <v>0</v>
      </c>
      <c r="AX42" s="72">
        <f>AX$3*'Yield 1Y'!AE42</f>
        <v>0</v>
      </c>
      <c r="AY42" s="72">
        <f>AY$3*'Yield 1Y'!AF42</f>
        <v>0</v>
      </c>
      <c r="AZ42" s="72">
        <f>AZ$3*'Yield 1Y'!AG42</f>
        <v>-0.58622014730450334</v>
      </c>
      <c r="BA42" s="72">
        <f>BA$3*'Yield 1Y'!AH42</f>
        <v>-3.3011069695189907</v>
      </c>
      <c r="BB42" s="72">
        <f>BB$3*'Yield 1Y'!AI42</f>
        <v>-1.7182605583670063</v>
      </c>
      <c r="BC42" s="72">
        <f>BC$3*'Yield 1Y'!AJ42</f>
        <v>0</v>
      </c>
      <c r="BD42" s="72">
        <f>BD$3*'Yield 1Y'!AK42</f>
        <v>0</v>
      </c>
      <c r="BE42" s="177">
        <f t="shared" si="5"/>
        <v>5.6055876751905007</v>
      </c>
      <c r="BF42" s="124">
        <f>VLOOKUP(AT42,'Yield 1Y'!$F:$G,2,0)</f>
        <v>46203</v>
      </c>
      <c r="BG42" s="318">
        <f t="shared" si="7"/>
        <v>144</v>
      </c>
    </row>
    <row r="43" spans="1:59" x14ac:dyDescent="0.3">
      <c r="A43" s="37">
        <v>121</v>
      </c>
      <c r="B43" s="72">
        <f>'Yield 1Y'!R123*B$3</f>
        <v>0</v>
      </c>
      <c r="C43" s="72">
        <f>'Yield 1Y'!S123*C$3</f>
        <v>0</v>
      </c>
      <c r="D43" s="72">
        <f>'Yield 1Y'!T123*D$3</f>
        <v>0</v>
      </c>
      <c r="E43" s="72">
        <f>'Yield 1Y'!U123*E$3</f>
        <v>-0.11539234434022902</v>
      </c>
      <c r="F43" s="72">
        <f>'Yield 1Y'!V123*F$3</f>
        <v>-3.7411253757534797E-2</v>
      </c>
      <c r="G43" s="72">
        <f>'Yield 1Y'!W123*G$3</f>
        <v>-1.0820965392945814</v>
      </c>
      <c r="H43" s="72">
        <f>'Yield 1Y'!X123*H$3</f>
        <v>-1.2421440020824257</v>
      </c>
      <c r="I43" s="72">
        <f>'Yield 1Y'!Y123*I$3</f>
        <v>-2.3545040504358772</v>
      </c>
      <c r="J43" s="72">
        <f>'Yield 1Y'!Z123*J$3</f>
        <v>0</v>
      </c>
      <c r="K43" s="72">
        <f>'Yield 1Y'!AA123*K$3</f>
        <v>0</v>
      </c>
      <c r="L43" s="177">
        <f t="shared" si="0"/>
        <v>4.8315481899106478</v>
      </c>
      <c r="M43" s="124">
        <f>VLOOKUP(A43,'Yield 1Y'!$F:$G,2,0)</f>
        <v>46079</v>
      </c>
      <c r="N43" s="318">
        <f t="shared" si="1"/>
        <v>66</v>
      </c>
      <c r="P43" s="37">
        <v>40</v>
      </c>
      <c r="Q43" s="72">
        <f>Q$3*'Yield 1Y'!R42</f>
        <v>0</v>
      </c>
      <c r="R43" s="72">
        <f>R$3*'Yield 1Y'!S42</f>
        <v>0</v>
      </c>
      <c r="S43" s="72">
        <f>S$3*'Yield 1Y'!T42</f>
        <v>0</v>
      </c>
      <c r="T43" s="72">
        <f>T$3*'Yield 1Y'!U42</f>
        <v>0</v>
      </c>
      <c r="U43" s="72">
        <f>U$3*'Yield 1Y'!V42</f>
        <v>0</v>
      </c>
      <c r="V43" s="72">
        <f>V$3*'Yield 1Y'!W42</f>
        <v>0</v>
      </c>
      <c r="W43" s="72">
        <f>W$3*'Yield 1Y'!X42</f>
        <v>-0.22766254962197496</v>
      </c>
      <c r="X43" s="72">
        <f>X$3*'Yield 1Y'!Y42</f>
        <v>-0.15983819147598241</v>
      </c>
      <c r="Y43" s="72">
        <f>Y$3*'Yield 1Y'!Z42</f>
        <v>0</v>
      </c>
      <c r="Z43" s="72">
        <f>Z$3*'Yield 1Y'!AA42</f>
        <v>0</v>
      </c>
      <c r="AA43" s="177">
        <f t="shared" si="2"/>
        <v>0.3875007410979574</v>
      </c>
      <c r="AB43" s="124">
        <f>VLOOKUP(P43,'Yield 1Y'!$F:$G,2,0)</f>
        <v>46197</v>
      </c>
      <c r="AC43" s="318">
        <f t="shared" si="6"/>
        <v>109</v>
      </c>
      <c r="AE43" s="37">
        <v>6</v>
      </c>
      <c r="AF43" s="72">
        <f>AF$3*'Yield 1Y'!AB8</f>
        <v>0</v>
      </c>
      <c r="AG43" s="72">
        <f>AG$3*'Yield 1Y'!AC8</f>
        <v>0</v>
      </c>
      <c r="AH43" s="72">
        <f>AH$3*'Yield 1Y'!AD8</f>
        <v>-0.46103636346870253</v>
      </c>
      <c r="AI43" s="72">
        <f>AI$3*'Yield 1Y'!AE8</f>
        <v>-0.23078468868045804</v>
      </c>
      <c r="AJ43" s="72">
        <f>AJ$3*'Yield 1Y'!AF8</f>
        <v>-0.23382033598459143</v>
      </c>
      <c r="AK43" s="72">
        <f>AK$3*'Yield 1Y'!AG8</f>
        <v>-2.4347172134126578</v>
      </c>
      <c r="AL43" s="72">
        <f>AL$3*'Yield 1Y'!AH8</f>
        <v>-20.702400034706422</v>
      </c>
      <c r="AM43" s="72">
        <f>AM$3*'Yield 1Y'!AI8</f>
        <v>-12.108877973670802</v>
      </c>
      <c r="AN43" s="72">
        <f>AN$3*'Yield 1Y'!AJ8</f>
        <v>0</v>
      </c>
      <c r="AO43" s="72">
        <f>AO$3*'Yield 1Y'!AK8</f>
        <v>0</v>
      </c>
      <c r="AP43" s="177">
        <f t="shared" si="3"/>
        <v>36.171636609923631</v>
      </c>
      <c r="AQ43" s="124">
        <f>VLOOKUP(AE43,'Yield 1Y'!$F:$G,2,0)</f>
        <v>46245</v>
      </c>
      <c r="AR43" s="318">
        <f t="shared" si="4"/>
        <v>139</v>
      </c>
      <c r="AT43" s="37">
        <v>37</v>
      </c>
      <c r="AU43" s="72">
        <f>AU$3*'Yield 1Y'!AB60</f>
        <v>0</v>
      </c>
      <c r="AV43" s="72">
        <f>AV$3*'Yield 1Y'!AC60</f>
        <v>0</v>
      </c>
      <c r="AW43" s="72">
        <f>AW$3*'Yield 1Y'!AD60</f>
        <v>0</v>
      </c>
      <c r="AX43" s="72">
        <f>AX$3*'Yield 1Y'!AE60</f>
        <v>0</v>
      </c>
      <c r="AY43" s="72">
        <f>AY$3*'Yield 1Y'!AF60</f>
        <v>0</v>
      </c>
      <c r="AZ43" s="72">
        <f>AZ$3*'Yield 1Y'!AG60</f>
        <v>-1.0704889646429954</v>
      </c>
      <c r="BA43" s="72">
        <f>BA$3*'Yield 1Y'!AH60</f>
        <v>-2.1627942214089644</v>
      </c>
      <c r="BB43" s="72">
        <f>BB$3*'Yield 1Y'!AI60</f>
        <v>-1.7981796541049975</v>
      </c>
      <c r="BC43" s="72">
        <f>BC$3*'Yield 1Y'!AJ60</f>
        <v>0</v>
      </c>
      <c r="BD43" s="72">
        <f>BD$3*'Yield 1Y'!AK60</f>
        <v>0</v>
      </c>
      <c r="BE43" s="177">
        <f t="shared" si="5"/>
        <v>5.0314628401569568</v>
      </c>
      <c r="BF43" s="124">
        <f>VLOOKUP(AT43,'Yield 1Y'!$F:$G,2,0)</f>
        <v>46202</v>
      </c>
      <c r="BG43" s="318">
        <f t="shared" si="7"/>
        <v>155</v>
      </c>
    </row>
    <row r="44" spans="1:59" x14ac:dyDescent="0.3">
      <c r="A44" s="37">
        <v>56</v>
      </c>
      <c r="B44" s="72">
        <f>'Yield 1Y'!R58*B$3</f>
        <v>0</v>
      </c>
      <c r="C44" s="72">
        <f>'Yield 1Y'!S58*C$3</f>
        <v>0</v>
      </c>
      <c r="D44" s="72">
        <f>'Yield 1Y'!T58*D$3</f>
        <v>-0.19363527265685901</v>
      </c>
      <c r="E44" s="72">
        <f>'Yield 1Y'!U58*E$3</f>
        <v>-0.31732894693563302</v>
      </c>
      <c r="F44" s="72">
        <f>'Yield 1Y'!V58*F$3</f>
        <v>-4.6764067196934074E-3</v>
      </c>
      <c r="G44" s="72">
        <f>'Yield 1Y'!W58*G$3</f>
        <v>0</v>
      </c>
      <c r="H44" s="72">
        <f>'Yield 1Y'!X58*H$3</f>
        <v>0.8280960013881612</v>
      </c>
      <c r="I44" s="72">
        <f>'Yield 1Y'!Y58*I$3</f>
        <v>0</v>
      </c>
      <c r="J44" s="72">
        <f>'Yield 1Y'!Z58*J$3</f>
        <v>0</v>
      </c>
      <c r="K44" s="72">
        <f>'Yield 1Y'!AA58*K$3</f>
        <v>0</v>
      </c>
      <c r="L44" s="177">
        <f t="shared" si="0"/>
        <v>-0.31245537507597576</v>
      </c>
      <c r="M44" s="124">
        <f>VLOOKUP(A44,'Yield 1Y'!$F:$G,2,0)</f>
        <v>46175</v>
      </c>
      <c r="N44" s="318">
        <f t="shared" si="1"/>
        <v>207</v>
      </c>
      <c r="P44" s="37">
        <v>41</v>
      </c>
      <c r="Q44" s="72">
        <f>Q$3*'Yield 1Y'!R43</f>
        <v>0</v>
      </c>
      <c r="R44" s="72">
        <f>R$3*'Yield 1Y'!S43</f>
        <v>0</v>
      </c>
      <c r="S44" s="72">
        <f>S$3*'Yield 1Y'!T43</f>
        <v>0</v>
      </c>
      <c r="T44" s="72">
        <f>T$3*'Yield 1Y'!U43</f>
        <v>0</v>
      </c>
      <c r="U44" s="72">
        <f>U$3*'Yield 1Y'!V43</f>
        <v>0</v>
      </c>
      <c r="V44" s="72">
        <f>V$3*'Yield 1Y'!W43</f>
        <v>0</v>
      </c>
      <c r="W44" s="72">
        <f>W$3*'Yield 1Y'!X43</f>
        <v>0.34149382443301302</v>
      </c>
      <c r="X44" s="72">
        <f>X$3*'Yield 1Y'!Y43</f>
        <v>7.9919095737991205E-2</v>
      </c>
      <c r="Y44" s="72">
        <f>Y$3*'Yield 1Y'!Z43</f>
        <v>0</v>
      </c>
      <c r="Z44" s="72">
        <f>Z$3*'Yield 1Y'!AA43</f>
        <v>0</v>
      </c>
      <c r="AA44" s="177">
        <f t="shared" si="2"/>
        <v>-0.42141292017100423</v>
      </c>
      <c r="AB44" s="124">
        <f>VLOOKUP(P44,'Yield 1Y'!$F:$G,2,0)</f>
        <v>46196</v>
      </c>
      <c r="AC44" s="318">
        <f t="shared" si="6"/>
        <v>222</v>
      </c>
      <c r="AE44" s="37">
        <v>5</v>
      </c>
      <c r="AF44" s="72">
        <f>AF$3*'Yield 1Y'!AB7</f>
        <v>0</v>
      </c>
      <c r="AG44" s="72">
        <f>AG$3*'Yield 1Y'!AC7</f>
        <v>0</v>
      </c>
      <c r="AH44" s="72">
        <f>AH$3*'Yield 1Y'!AD7</f>
        <v>-0.57168509070119167</v>
      </c>
      <c r="AI44" s="72">
        <f>AI$3*'Yield 1Y'!AE7</f>
        <v>-0.23078468868045804</v>
      </c>
      <c r="AJ44" s="72">
        <f>AJ$3*'Yield 1Y'!AF7</f>
        <v>-0.28993721662089361</v>
      </c>
      <c r="AK44" s="72">
        <f>AK$3*'Yield 1Y'!AG7</f>
        <v>-2.4347172134126578</v>
      </c>
      <c r="AL44" s="72">
        <f>AL$3*'Yield 1Y'!AH7</f>
        <v>-25.670976043035939</v>
      </c>
      <c r="AM44" s="72">
        <f>AM$3*'Yield 1Y'!AI7</f>
        <v>-13.790666581125041</v>
      </c>
      <c r="AN44" s="72">
        <f>AN$3*'Yield 1Y'!AJ7</f>
        <v>0</v>
      </c>
      <c r="AO44" s="72">
        <f>AO$3*'Yield 1Y'!AK7</f>
        <v>0</v>
      </c>
      <c r="AP44" s="177">
        <f t="shared" si="3"/>
        <v>42.988766833576179</v>
      </c>
      <c r="AQ44" s="124">
        <f>VLOOKUP(AE44,'Yield 1Y'!$F:$G,2,0)</f>
        <v>46246</v>
      </c>
      <c r="AR44" s="318">
        <f t="shared" si="4"/>
        <v>109</v>
      </c>
      <c r="AT44" s="37">
        <v>38</v>
      </c>
      <c r="AU44" s="72">
        <f>AU$3*'Yield 1Y'!AB232</f>
        <v>0</v>
      </c>
      <c r="AV44" s="72">
        <f>AV$3*'Yield 1Y'!AC232</f>
        <v>0</v>
      </c>
      <c r="AW44" s="72">
        <f>AW$3*'Yield 1Y'!AD232</f>
        <v>0</v>
      </c>
      <c r="AX44" s="72">
        <f>AX$3*'Yield 1Y'!AE232</f>
        <v>0</v>
      </c>
      <c r="AY44" s="72">
        <f>AY$3*'Yield 1Y'!AF232</f>
        <v>0</v>
      </c>
      <c r="AZ44" s="72">
        <f>AZ$3*'Yield 1Y'!AG232</f>
        <v>-0.29311007365224601</v>
      </c>
      <c r="BA44" s="72">
        <f>BA$3*'Yield 1Y'!AH232</f>
        <v>-3.6426007939520035</v>
      </c>
      <c r="BB44" s="72">
        <f>BB$3*'Yield 1Y'!AI232</f>
        <v>-0.6393527659040007</v>
      </c>
      <c r="BC44" s="72">
        <f>BC$3*'Yield 1Y'!AJ232</f>
        <v>0</v>
      </c>
      <c r="BD44" s="72">
        <f>BD$3*'Yield 1Y'!AK232</f>
        <v>0</v>
      </c>
      <c r="BE44" s="177">
        <f t="shared" si="5"/>
        <v>4.5750636335082504</v>
      </c>
      <c r="BF44" s="124">
        <f>VLOOKUP(AT44,'Yield 1Y'!$F:$G,2,0)</f>
        <v>46199</v>
      </c>
      <c r="BG44" s="318">
        <f t="shared" si="7"/>
        <v>169</v>
      </c>
    </row>
    <row r="45" spans="1:59" x14ac:dyDescent="0.3">
      <c r="A45" s="37">
        <v>151</v>
      </c>
      <c r="B45" s="72">
        <f>'Yield 1Y'!R153*B$3</f>
        <v>0</v>
      </c>
      <c r="C45" s="72">
        <f>'Yield 1Y'!S153*C$3</f>
        <v>0</v>
      </c>
      <c r="D45" s="72">
        <f>'Yield 1Y'!T153*D$3</f>
        <v>-0.4425949089299564</v>
      </c>
      <c r="E45" s="72">
        <f>'Yield 1Y'!U153*E$3</f>
        <v>-2.7405681780804425</v>
      </c>
      <c r="F45" s="72">
        <f>'Yield 1Y'!V153*F$3</f>
        <v>-0.66404975419624157</v>
      </c>
      <c r="G45" s="72">
        <f>'Yield 1Y'!W153*G$3</f>
        <v>-19.477737707302463</v>
      </c>
      <c r="H45" s="72">
        <f>'Yield 1Y'!X153*H$3</f>
        <v>-32.709792054835859</v>
      </c>
      <c r="I45" s="72">
        <f>'Yield 1Y'!Y153*I$3</f>
        <v>-17.826959239015309</v>
      </c>
      <c r="J45" s="72">
        <f>'Yield 1Y'!Z153*J$3</f>
        <v>0</v>
      </c>
      <c r="K45" s="72">
        <f>'Yield 1Y'!AA153*K$3</f>
        <v>0</v>
      </c>
      <c r="L45" s="177">
        <f t="shared" si="0"/>
        <v>73.861701842360276</v>
      </c>
      <c r="M45" s="124">
        <f>VLOOKUP(A45,'Yield 1Y'!$F:$G,2,0)</f>
        <v>46030</v>
      </c>
      <c r="N45" s="318">
        <f t="shared" si="1"/>
        <v>2</v>
      </c>
      <c r="P45" s="37">
        <v>42</v>
      </c>
      <c r="Q45" s="72">
        <f>Q$3*'Yield 1Y'!R44</f>
        <v>0</v>
      </c>
      <c r="R45" s="72">
        <f>R$3*'Yield 1Y'!S44</f>
        <v>0</v>
      </c>
      <c r="S45" s="72">
        <f>S$3*'Yield 1Y'!T44</f>
        <v>0</v>
      </c>
      <c r="T45" s="72">
        <f>T$3*'Yield 1Y'!U44</f>
        <v>0</v>
      </c>
      <c r="U45" s="72">
        <f>U$3*'Yield 1Y'!V44</f>
        <v>0</v>
      </c>
      <c r="V45" s="72">
        <f>V$3*'Yield 1Y'!W44</f>
        <v>0</v>
      </c>
      <c r="W45" s="72">
        <f>W$3*'Yield 1Y'!X44</f>
        <v>-0.79681892367706397</v>
      </c>
      <c r="X45" s="72">
        <f>X$3*'Yield 1Y'!Y44</f>
        <v>-0.11987864360700456</v>
      </c>
      <c r="Y45" s="72">
        <f>Y$3*'Yield 1Y'!Z44</f>
        <v>0</v>
      </c>
      <c r="Z45" s="72">
        <f>Z$3*'Yield 1Y'!AA44</f>
        <v>0</v>
      </c>
      <c r="AA45" s="177">
        <f t="shared" si="2"/>
        <v>0.91669756728406848</v>
      </c>
      <c r="AB45" s="124">
        <f>VLOOKUP(P45,'Yield 1Y'!$F:$G,2,0)</f>
        <v>46195</v>
      </c>
      <c r="AC45" s="318">
        <f t="shared" si="6"/>
        <v>61</v>
      </c>
      <c r="AE45" s="37">
        <v>87</v>
      </c>
      <c r="AF45" s="72">
        <f>AF$3*'Yield 1Y'!AB89</f>
        <v>0</v>
      </c>
      <c r="AG45" s="72">
        <f>AG$3*'Yield 1Y'!AC89</f>
        <v>0</v>
      </c>
      <c r="AH45" s="72">
        <f>AH$3*'Yield 1Y'!AD89</f>
        <v>-8.2986545424365801E-2</v>
      </c>
      <c r="AI45" s="72">
        <f>AI$3*'Yield 1Y'!AE89</f>
        <v>-0.14424043042528306</v>
      </c>
      <c r="AJ45" s="72">
        <f>AJ$3*'Yield 1Y'!AF89</f>
        <v>-3.7411253757534797E-2</v>
      </c>
      <c r="AK45" s="72">
        <f>AK$3*'Yield 1Y'!AG89</f>
        <v>1.082096539294461</v>
      </c>
      <c r="AL45" s="72">
        <f>AL$3*'Yield 1Y'!AH89</f>
        <v>-3.3123840055530125</v>
      </c>
      <c r="AM45" s="72">
        <f>AM$3*'Yield 1Y'!AI89</f>
        <v>-3.0272194934176628</v>
      </c>
      <c r="AN45" s="72">
        <f>AN$3*'Yield 1Y'!AJ89</f>
        <v>0</v>
      </c>
      <c r="AO45" s="72">
        <f>AO$3*'Yield 1Y'!AK89</f>
        <v>0</v>
      </c>
      <c r="AP45" s="177">
        <f t="shared" si="3"/>
        <v>5.5221451892833979</v>
      </c>
      <c r="AQ45" s="124">
        <f>VLOOKUP(AE45,'Yield 1Y'!$F:$G,2,0)</f>
        <v>46127</v>
      </c>
      <c r="AR45" s="318">
        <f t="shared" si="4"/>
        <v>236</v>
      </c>
      <c r="AT45" s="37">
        <v>39</v>
      </c>
      <c r="AU45" s="72">
        <f>AU$3*'Yield 1Y'!AB6</f>
        <v>0</v>
      </c>
      <c r="AV45" s="72">
        <f>AV$3*'Yield 1Y'!AC6</f>
        <v>0</v>
      </c>
      <c r="AW45" s="72">
        <f>AW$3*'Yield 1Y'!AD6</f>
        <v>0</v>
      </c>
      <c r="AX45" s="72">
        <f>AX$3*'Yield 1Y'!AE6</f>
        <v>0</v>
      </c>
      <c r="AY45" s="72">
        <f>AY$3*'Yield 1Y'!AF6</f>
        <v>0</v>
      </c>
      <c r="AZ45" s="72">
        <f>AZ$3*'Yield 1Y'!AG6</f>
        <v>-0.11469524621174303</v>
      </c>
      <c r="BA45" s="72">
        <f>BA$3*'Yield 1Y'!AH6</f>
        <v>-7.0575390382820329</v>
      </c>
      <c r="BB45" s="72">
        <f>BB$3*'Yield 1Y'!AI6</f>
        <v>-1.8381392019739931</v>
      </c>
      <c r="BC45" s="72">
        <f>BC$3*'Yield 1Y'!AJ6</f>
        <v>0</v>
      </c>
      <c r="BD45" s="72">
        <f>BD$3*'Yield 1Y'!AK6</f>
        <v>0</v>
      </c>
      <c r="BE45" s="177">
        <f t="shared" si="5"/>
        <v>9.0103734864677687</v>
      </c>
      <c r="BF45" s="124">
        <f>VLOOKUP(AT45,'Yield 1Y'!$F:$G,2,0)</f>
        <v>46198</v>
      </c>
      <c r="BG45" s="318">
        <f t="shared" si="7"/>
        <v>73</v>
      </c>
    </row>
    <row r="46" spans="1:59" x14ac:dyDescent="0.3">
      <c r="A46" s="37">
        <v>92</v>
      </c>
      <c r="B46" s="72">
        <f>'Yield 1Y'!R94*B$3</f>
        <v>0</v>
      </c>
      <c r="C46" s="72">
        <f>'Yield 1Y'!S94*C$3</f>
        <v>0</v>
      </c>
      <c r="D46" s="72">
        <f>'Yield 1Y'!T94*D$3</f>
        <v>0</v>
      </c>
      <c r="E46" s="72">
        <f>'Yield 1Y'!U94*E$3</f>
        <v>5.7696172170120914E-2</v>
      </c>
      <c r="F46" s="72">
        <f>'Yield 1Y'!V94*F$3</f>
        <v>1.870562687876532E-2</v>
      </c>
      <c r="G46" s="72">
        <f>'Yield 1Y'!W94*G$3</f>
        <v>-1.0820965392947015</v>
      </c>
      <c r="H46" s="72">
        <f>'Yield 1Y'!X94*H$3</f>
        <v>-0.41404800069389674</v>
      </c>
      <c r="I46" s="72">
        <f>'Yield 1Y'!Y94*I$3</f>
        <v>-1.6817886074542407</v>
      </c>
      <c r="J46" s="72">
        <f>'Yield 1Y'!Z94*J$3</f>
        <v>0</v>
      </c>
      <c r="K46" s="72">
        <f>'Yield 1Y'!AA94*K$3</f>
        <v>0</v>
      </c>
      <c r="L46" s="177">
        <f t="shared" si="0"/>
        <v>3.1015313483939524</v>
      </c>
      <c r="M46" s="124">
        <f>VLOOKUP(A46,'Yield 1Y'!$F:$G,2,0)</f>
        <v>46120</v>
      </c>
      <c r="N46" s="318">
        <f t="shared" si="1"/>
        <v>94</v>
      </c>
      <c r="P46" s="37">
        <v>43</v>
      </c>
      <c r="Q46" s="72">
        <f>Q$3*'Yield 1Y'!R45</f>
        <v>0</v>
      </c>
      <c r="R46" s="72">
        <f>R$3*'Yield 1Y'!S45</f>
        <v>0</v>
      </c>
      <c r="S46" s="72">
        <f>S$3*'Yield 1Y'!T45</f>
        <v>0</v>
      </c>
      <c r="T46" s="72">
        <f>T$3*'Yield 1Y'!U45</f>
        <v>0</v>
      </c>
      <c r="U46" s="72">
        <f>U$3*'Yield 1Y'!V45</f>
        <v>0</v>
      </c>
      <c r="V46" s="72">
        <f>V$3*'Yield 1Y'!W45</f>
        <v>-0.14018307870325156</v>
      </c>
      <c r="W46" s="72">
        <f>W$3*'Yield 1Y'!X45</f>
        <v>-0.56915637405498798</v>
      </c>
      <c r="X46" s="72">
        <f>X$3*'Yield 1Y'!Y45</f>
        <v>-0.23975728721400913</v>
      </c>
      <c r="Y46" s="72">
        <f>Y$3*'Yield 1Y'!Z45</f>
        <v>0</v>
      </c>
      <c r="Z46" s="72">
        <f>Z$3*'Yield 1Y'!AA45</f>
        <v>0</v>
      </c>
      <c r="AA46" s="177">
        <f t="shared" si="2"/>
        <v>0.94909673997224864</v>
      </c>
      <c r="AB46" s="124">
        <f>VLOOKUP(P46,'Yield 1Y'!$F:$G,2,0)</f>
        <v>46192</v>
      </c>
      <c r="AC46" s="318">
        <f t="shared" si="6"/>
        <v>57</v>
      </c>
      <c r="AE46" s="37">
        <v>3</v>
      </c>
      <c r="AF46" s="72">
        <f>AF$3*'Yield 1Y'!AB5</f>
        <v>0</v>
      </c>
      <c r="AG46" s="72">
        <f>AG$3*'Yield 1Y'!AC5</f>
        <v>0</v>
      </c>
      <c r="AH46" s="72">
        <f>AH$3*'Yield 1Y'!AD5</f>
        <v>-0.57168509070119167</v>
      </c>
      <c r="AI46" s="72">
        <f>AI$3*'Yield 1Y'!AE5</f>
        <v>-0.23078468868045804</v>
      </c>
      <c r="AJ46" s="72">
        <f>AJ$3*'Yield 1Y'!AF5</f>
        <v>-0.28993721662089361</v>
      </c>
      <c r="AK46" s="72">
        <f>AK$3*'Yield 1Y'!AG5</f>
        <v>-2.4347172134126578</v>
      </c>
      <c r="AL46" s="72">
        <f>AL$3*'Yield 1Y'!AH5</f>
        <v>-25.670976043035939</v>
      </c>
      <c r="AM46" s="72">
        <f>AM$3*'Yield 1Y'!AI5</f>
        <v>-14.463382024106828</v>
      </c>
      <c r="AN46" s="72">
        <f>AN$3*'Yield 1Y'!AJ5</f>
        <v>0</v>
      </c>
      <c r="AO46" s="72">
        <f>AO$3*'Yield 1Y'!AK5</f>
        <v>0</v>
      </c>
      <c r="AP46" s="177">
        <f t="shared" si="3"/>
        <v>43.661482276557969</v>
      </c>
      <c r="AQ46" s="124">
        <f>VLOOKUP(AE46,'Yield 1Y'!$F:$G,2,0)</f>
        <v>46248</v>
      </c>
      <c r="AR46" s="318">
        <f t="shared" si="4"/>
        <v>107</v>
      </c>
      <c r="AT46" s="37">
        <v>40</v>
      </c>
      <c r="AU46" s="72">
        <f>AU$3*'Yield 1Y'!AB27</f>
        <v>0</v>
      </c>
      <c r="AV46" s="72">
        <f>AV$3*'Yield 1Y'!AC27</f>
        <v>0</v>
      </c>
      <c r="AW46" s="72">
        <f>AW$3*'Yield 1Y'!AD27</f>
        <v>0</v>
      </c>
      <c r="AX46" s="72">
        <f>AX$3*'Yield 1Y'!AE27</f>
        <v>0</v>
      </c>
      <c r="AY46" s="72">
        <f>AY$3*'Yield 1Y'!AF27</f>
        <v>0</v>
      </c>
      <c r="AZ46" s="72">
        <f>AZ$3*'Yield 1Y'!AG27</f>
        <v>0</v>
      </c>
      <c r="BA46" s="72">
        <f>BA$3*'Yield 1Y'!AH27</f>
        <v>0</v>
      </c>
      <c r="BB46" s="72">
        <f>BB$3*'Yield 1Y'!AI27</f>
        <v>-0.15983819147600017</v>
      </c>
      <c r="BC46" s="72">
        <f>BC$3*'Yield 1Y'!AJ27</f>
        <v>0</v>
      </c>
      <c r="BD46" s="72">
        <f>BD$3*'Yield 1Y'!AK27</f>
        <v>0</v>
      </c>
      <c r="BE46" s="177">
        <f t="shared" si="5"/>
        <v>0.15983819147600017</v>
      </c>
      <c r="BF46" s="124">
        <f>VLOOKUP(AT46,'Yield 1Y'!$F:$G,2,0)</f>
        <v>46197</v>
      </c>
      <c r="BG46" s="318">
        <f t="shared" si="7"/>
        <v>247</v>
      </c>
    </row>
    <row r="47" spans="1:59" x14ac:dyDescent="0.3">
      <c r="A47" s="37">
        <v>93</v>
      </c>
      <c r="B47" s="72">
        <f>'Yield 1Y'!R95*B$3</f>
        <v>0</v>
      </c>
      <c r="C47" s="72">
        <f>'Yield 1Y'!S95*C$3</f>
        <v>0</v>
      </c>
      <c r="D47" s="72">
        <f>'Yield 1Y'!T95*D$3</f>
        <v>0</v>
      </c>
      <c r="E47" s="72">
        <f>'Yield 1Y'!U95*E$3</f>
        <v>-5.7696172170120914E-2</v>
      </c>
      <c r="F47" s="72">
        <f>'Yield 1Y'!V95*F$3</f>
        <v>-1.870562687876532E-2</v>
      </c>
      <c r="G47" s="72">
        <f>'Yield 1Y'!W95*G$3</f>
        <v>0</v>
      </c>
      <c r="H47" s="72">
        <f>'Yield 1Y'!X95*H$3</f>
        <v>0.41404800069389674</v>
      </c>
      <c r="I47" s="72">
        <f>'Yield 1Y'!Y95*I$3</f>
        <v>-1.0090731644726041</v>
      </c>
      <c r="J47" s="72">
        <f>'Yield 1Y'!Z95*J$3</f>
        <v>0</v>
      </c>
      <c r="K47" s="72">
        <f>'Yield 1Y'!AA95*K$3</f>
        <v>0</v>
      </c>
      <c r="L47" s="177">
        <f t="shared" si="0"/>
        <v>0.67142696282759351</v>
      </c>
      <c r="M47" s="124">
        <f>VLOOKUP(A47,'Yield 1Y'!$F:$G,2,0)</f>
        <v>46119</v>
      </c>
      <c r="N47" s="318">
        <f t="shared" si="1"/>
        <v>165</v>
      </c>
      <c r="P47" s="37">
        <v>44</v>
      </c>
      <c r="Q47" s="72">
        <f>Q$3*'Yield 1Y'!R46</f>
        <v>0</v>
      </c>
      <c r="R47" s="72">
        <f>R$3*'Yield 1Y'!S46</f>
        <v>0</v>
      </c>
      <c r="S47" s="72">
        <f>S$3*'Yield 1Y'!T46</f>
        <v>0</v>
      </c>
      <c r="T47" s="72">
        <f>T$3*'Yield 1Y'!U46</f>
        <v>0</v>
      </c>
      <c r="U47" s="72">
        <f>U$3*'Yield 1Y'!V46</f>
        <v>0</v>
      </c>
      <c r="V47" s="72">
        <f>V$3*'Yield 1Y'!W46</f>
        <v>-0.45878098484700608</v>
      </c>
      <c r="W47" s="72">
        <f>W$3*'Yield 1Y'!X46</f>
        <v>-3.7564320687629409</v>
      </c>
      <c r="X47" s="72">
        <f>X$3*'Yield 1Y'!Y46</f>
        <v>-0.67931231377297852</v>
      </c>
      <c r="Y47" s="72">
        <f>Y$3*'Yield 1Y'!Z46</f>
        <v>0</v>
      </c>
      <c r="Z47" s="72">
        <f>Z$3*'Yield 1Y'!AA46</f>
        <v>0</v>
      </c>
      <c r="AA47" s="177">
        <f t="shared" si="2"/>
        <v>4.8945253673829257</v>
      </c>
      <c r="AB47" s="124">
        <f>VLOOKUP(P47,'Yield 1Y'!$F:$G,2,0)</f>
        <v>46191</v>
      </c>
      <c r="AC47" s="318">
        <f t="shared" si="6"/>
        <v>11</v>
      </c>
      <c r="AE47" s="37">
        <v>251</v>
      </c>
      <c r="AF47" s="72">
        <f>AF$3*'Yield 1Y'!AB253</f>
        <v>0</v>
      </c>
      <c r="AG47" s="72">
        <f>AG$3*'Yield 1Y'!AC253</f>
        <v>0</v>
      </c>
      <c r="AH47" s="72">
        <f>AH$3*'Yield 1Y'!AD253</f>
        <v>-1.2447981813655034</v>
      </c>
      <c r="AI47" s="72">
        <f>AI$3*'Yield 1Y'!AE253</f>
        <v>-2.221302628549418</v>
      </c>
      <c r="AJ47" s="72">
        <f>AJ$3*'Yield 1Y'!AF253</f>
        <v>-0.65002053403716553</v>
      </c>
      <c r="AK47" s="72">
        <f>AK$3*'Yield 1Y'!AG253</f>
        <v>-21.912454920715241</v>
      </c>
      <c r="AL47" s="72">
        <f>AL$3*'Yield 1Y'!AH253</f>
        <v>-53.41219208954228</v>
      </c>
      <c r="AM47" s="72">
        <f>AM$3*'Yield 1Y'!AI253</f>
        <v>-34.644845313558015</v>
      </c>
      <c r="AN47" s="72">
        <f>AN$3*'Yield 1Y'!AJ253</f>
        <v>0</v>
      </c>
      <c r="AO47" s="72">
        <f>AO$3*'Yield 1Y'!AK253</f>
        <v>0</v>
      </c>
      <c r="AP47" s="177">
        <f t="shared" si="3"/>
        <v>114.08561366776763</v>
      </c>
      <c r="AQ47" s="124">
        <f>VLOOKUP(AE47,'Yield 1Y'!$F:$G,2,0)</f>
        <v>45884</v>
      </c>
      <c r="AR47" s="318">
        <f t="shared" si="4"/>
        <v>34</v>
      </c>
      <c r="AT47" s="37">
        <v>41</v>
      </c>
      <c r="AU47" s="72">
        <f>AU$3*'Yield 1Y'!AB218</f>
        <v>0</v>
      </c>
      <c r="AV47" s="72">
        <f>AV$3*'Yield 1Y'!AC218</f>
        <v>0</v>
      </c>
      <c r="AW47" s="72">
        <f>AW$3*'Yield 1Y'!AD218</f>
        <v>0</v>
      </c>
      <c r="AX47" s="72">
        <f>AX$3*'Yield 1Y'!AE218</f>
        <v>0</v>
      </c>
      <c r="AY47" s="72">
        <f>AY$3*'Yield 1Y'!AF218</f>
        <v>0</v>
      </c>
      <c r="AZ47" s="72">
        <f>AZ$3*'Yield 1Y'!AG218</f>
        <v>-0.44603706860125181</v>
      </c>
      <c r="BA47" s="72">
        <f>BA$3*'Yield 1Y'!AH218</f>
        <v>-4.0979258931960043</v>
      </c>
      <c r="BB47" s="72">
        <f>BB$3*'Yield 1Y'!AI218</f>
        <v>-1.8780987498430064</v>
      </c>
      <c r="BC47" s="72">
        <f>BC$3*'Yield 1Y'!AJ218</f>
        <v>0</v>
      </c>
      <c r="BD47" s="72">
        <f>BD$3*'Yield 1Y'!AK218</f>
        <v>0</v>
      </c>
      <c r="BE47" s="177">
        <f t="shared" si="5"/>
        <v>6.4220617116402625</v>
      </c>
      <c r="BF47" s="124">
        <f>VLOOKUP(AT47,'Yield 1Y'!$F:$G,2,0)</f>
        <v>46196</v>
      </c>
      <c r="BG47" s="318">
        <f t="shared" si="7"/>
        <v>120</v>
      </c>
    </row>
    <row r="48" spans="1:59" x14ac:dyDescent="0.3">
      <c r="A48" s="37">
        <v>96</v>
      </c>
      <c r="B48" s="72">
        <f>'Yield 1Y'!R98*B$3</f>
        <v>0</v>
      </c>
      <c r="C48" s="72">
        <f>'Yield 1Y'!S98*C$3</f>
        <v>0</v>
      </c>
      <c r="D48" s="72">
        <f>'Yield 1Y'!T98*D$3</f>
        <v>0</v>
      </c>
      <c r="E48" s="72">
        <f>'Yield 1Y'!U98*E$3</f>
        <v>-0.11539234434022902</v>
      </c>
      <c r="F48" s="72">
        <f>'Yield 1Y'!V98*F$3</f>
        <v>-3.2734847037841387E-2</v>
      </c>
      <c r="G48" s="72">
        <f>'Yield 1Y'!W98*G$3</f>
        <v>0</v>
      </c>
      <c r="H48" s="72">
        <f>'Yield 1Y'!X98*H$3</f>
        <v>1.2421440020824257</v>
      </c>
      <c r="I48" s="72">
        <f>'Yield 1Y'!Y98*I$3</f>
        <v>0</v>
      </c>
      <c r="J48" s="72">
        <f>'Yield 1Y'!Z98*J$3</f>
        <v>0</v>
      </c>
      <c r="K48" s="72">
        <f>'Yield 1Y'!AA98*K$3</f>
        <v>0</v>
      </c>
      <c r="L48" s="177">
        <f t="shared" si="0"/>
        <v>-1.0940168107043553</v>
      </c>
      <c r="M48" s="124">
        <f>VLOOKUP(A48,'Yield 1Y'!$F:$G,2,0)</f>
        <v>46114</v>
      </c>
      <c r="N48" s="318">
        <f t="shared" si="1"/>
        <v>214</v>
      </c>
      <c r="P48" s="37">
        <v>45</v>
      </c>
      <c r="Q48" s="72">
        <f>Q$3*'Yield 1Y'!R47</f>
        <v>0</v>
      </c>
      <c r="R48" s="72">
        <f>R$3*'Yield 1Y'!S47</f>
        <v>0</v>
      </c>
      <c r="S48" s="72">
        <f>S$3*'Yield 1Y'!T47</f>
        <v>0</v>
      </c>
      <c r="T48" s="72">
        <f>T$3*'Yield 1Y'!U47</f>
        <v>0</v>
      </c>
      <c r="U48" s="72">
        <f>U$3*'Yield 1Y'!V47</f>
        <v>0</v>
      </c>
      <c r="V48" s="72">
        <f>V$3*'Yield 1Y'!W47</f>
        <v>0</v>
      </c>
      <c r="W48" s="72">
        <f>W$3*'Yield 1Y'!X47</f>
        <v>-0.22766254962207605</v>
      </c>
      <c r="X48" s="72">
        <f>X$3*'Yield 1Y'!Y47</f>
        <v>0</v>
      </c>
      <c r="Y48" s="72">
        <f>Y$3*'Yield 1Y'!Z47</f>
        <v>0</v>
      </c>
      <c r="Z48" s="72">
        <f>Z$3*'Yield 1Y'!AA47</f>
        <v>0</v>
      </c>
      <c r="AA48" s="177">
        <f t="shared" si="2"/>
        <v>0.22766254962207605</v>
      </c>
      <c r="AB48" s="124">
        <f>VLOOKUP(P48,'Yield 1Y'!$F:$G,2,0)</f>
        <v>46190</v>
      </c>
      <c r="AC48" s="318">
        <f t="shared" si="6"/>
        <v>137</v>
      </c>
      <c r="AE48" s="37">
        <v>34</v>
      </c>
      <c r="AF48" s="72">
        <f>AF$3*'Yield 1Y'!AB36</f>
        <v>0</v>
      </c>
      <c r="AG48" s="72">
        <f>AG$3*'Yield 1Y'!AC36</f>
        <v>0</v>
      </c>
      <c r="AH48" s="72">
        <f>AH$3*'Yield 1Y'!AD36</f>
        <v>-0.23051818173435126</v>
      </c>
      <c r="AI48" s="72">
        <f>AI$3*'Yield 1Y'!AE36</f>
        <v>-0.95198684080689899</v>
      </c>
      <c r="AJ48" s="72">
        <f>AJ$3*'Yield 1Y'!AF36</f>
        <v>-0.15432142174983052</v>
      </c>
      <c r="AK48" s="72">
        <f>AK$3*'Yield 1Y'!AG36</f>
        <v>-7.8451999098856842</v>
      </c>
      <c r="AL48" s="72">
        <f>AL$3*'Yield 1Y'!AH36</f>
        <v>-8.6950080145767963</v>
      </c>
      <c r="AM48" s="72">
        <f>AM$3*'Yield 1Y'!AI36</f>
        <v>-6.0544389868353257</v>
      </c>
      <c r="AN48" s="72">
        <f>AN$3*'Yield 1Y'!AJ36</f>
        <v>0</v>
      </c>
      <c r="AO48" s="72">
        <f>AO$3*'Yield 1Y'!AK36</f>
        <v>0</v>
      </c>
      <c r="AP48" s="177">
        <f t="shared" si="3"/>
        <v>23.931473355588889</v>
      </c>
      <c r="AQ48" s="124">
        <f>VLOOKUP(AE48,'Yield 1Y'!$F:$G,2,0)</f>
        <v>46205</v>
      </c>
      <c r="AR48" s="318">
        <f t="shared" si="4"/>
        <v>191</v>
      </c>
      <c r="AT48" s="37">
        <v>42</v>
      </c>
      <c r="AU48" s="72">
        <f>AU$3*'Yield 1Y'!AB37</f>
        <v>0</v>
      </c>
      <c r="AV48" s="72">
        <f>AV$3*'Yield 1Y'!AC37</f>
        <v>0</v>
      </c>
      <c r="AW48" s="72">
        <f>AW$3*'Yield 1Y'!AD37</f>
        <v>0</v>
      </c>
      <c r="AX48" s="72">
        <f>AX$3*'Yield 1Y'!AE37</f>
        <v>0</v>
      </c>
      <c r="AY48" s="72">
        <f>AY$3*'Yield 1Y'!AF37</f>
        <v>0</v>
      </c>
      <c r="AZ48" s="72">
        <f>AZ$3*'Yield 1Y'!AG37</f>
        <v>-0.42054923610974332</v>
      </c>
      <c r="BA48" s="72">
        <f>BA$3*'Yield 1Y'!AH37</f>
        <v>-3.3011069695190414</v>
      </c>
      <c r="BB48" s="72">
        <f>BB$3*'Yield 1Y'!AI37</f>
        <v>-1.5184628190220104</v>
      </c>
      <c r="BC48" s="72">
        <f>BC$3*'Yield 1Y'!AJ37</f>
        <v>0</v>
      </c>
      <c r="BD48" s="72">
        <f>BD$3*'Yield 1Y'!AK37</f>
        <v>0</v>
      </c>
      <c r="BE48" s="177">
        <f t="shared" si="5"/>
        <v>5.2401190246507952</v>
      </c>
      <c r="BF48" s="124">
        <f>VLOOKUP(AT48,'Yield 1Y'!$F:$G,2,0)</f>
        <v>46195</v>
      </c>
      <c r="BG48" s="318">
        <f t="shared" si="7"/>
        <v>152</v>
      </c>
    </row>
    <row r="49" spans="1:59" x14ac:dyDescent="0.3">
      <c r="A49" s="37">
        <v>119</v>
      </c>
      <c r="B49" s="72">
        <f>'Yield 1Y'!R121*B$3</f>
        <v>0</v>
      </c>
      <c r="C49" s="72">
        <f>'Yield 1Y'!S121*C$3</f>
        <v>0</v>
      </c>
      <c r="D49" s="72">
        <f>'Yield 1Y'!T121*D$3</f>
        <v>-8.2986545424365801E-2</v>
      </c>
      <c r="E49" s="72">
        <f>'Yield 1Y'!U121*E$3</f>
        <v>-1.0962272712321692</v>
      </c>
      <c r="F49" s="72">
        <f>'Yield 1Y'!V121*F$3</f>
        <v>-0.31331925021935442</v>
      </c>
      <c r="G49" s="72">
        <f>'Yield 1Y'!W121*G$3</f>
        <v>-8.1157240447094203</v>
      </c>
      <c r="H49" s="72">
        <f>'Yield 1Y'!X121*H$3</f>
        <v>-15.733824026376901</v>
      </c>
      <c r="I49" s="72">
        <f>'Yield 1Y'!Y121*I$3</f>
        <v>-4.3726503793810858</v>
      </c>
      <c r="J49" s="72">
        <f>'Yield 1Y'!Z121*J$3</f>
        <v>0</v>
      </c>
      <c r="K49" s="72">
        <f>'Yield 1Y'!AA121*K$3</f>
        <v>0</v>
      </c>
      <c r="L49" s="177">
        <f t="shared" si="0"/>
        <v>29.714731517343296</v>
      </c>
      <c r="M49" s="124">
        <f>VLOOKUP(A49,'Yield 1Y'!$F:$G,2,0)</f>
        <v>46083</v>
      </c>
      <c r="N49" s="318">
        <f t="shared" si="1"/>
        <v>11</v>
      </c>
      <c r="P49" s="37">
        <v>46</v>
      </c>
      <c r="Q49" s="72">
        <f>Q$3*'Yield 1Y'!R48</f>
        <v>0</v>
      </c>
      <c r="R49" s="72">
        <f>R$3*'Yield 1Y'!S48</f>
        <v>0</v>
      </c>
      <c r="S49" s="72">
        <f>S$3*'Yield 1Y'!T48</f>
        <v>0</v>
      </c>
      <c r="T49" s="72">
        <f>T$3*'Yield 1Y'!U48</f>
        <v>0</v>
      </c>
      <c r="U49" s="72">
        <f>U$3*'Yield 1Y'!V48</f>
        <v>0</v>
      </c>
      <c r="V49" s="72">
        <f>V$3*'Yield 1Y'!W48</f>
        <v>-7.6463497474502901E-2</v>
      </c>
      <c r="W49" s="72">
        <f>W$3*'Yield 1Y'!X48</f>
        <v>0</v>
      </c>
      <c r="X49" s="72">
        <f>X$3*'Yield 1Y'!Y48</f>
        <v>0</v>
      </c>
      <c r="Y49" s="72">
        <f>Y$3*'Yield 1Y'!Z48</f>
        <v>0</v>
      </c>
      <c r="Z49" s="72">
        <f>Z$3*'Yield 1Y'!AA48</f>
        <v>0</v>
      </c>
      <c r="AA49" s="177">
        <f t="shared" si="2"/>
        <v>7.6463497474502901E-2</v>
      </c>
      <c r="AB49" s="124">
        <f>VLOOKUP(P49,'Yield 1Y'!$F:$G,2,0)</f>
        <v>46189</v>
      </c>
      <c r="AC49" s="318">
        <f t="shared" si="6"/>
        <v>167</v>
      </c>
      <c r="AE49" s="37">
        <v>36</v>
      </c>
      <c r="AF49" s="72">
        <f>AF$3*'Yield 1Y'!AB38</f>
        <v>0</v>
      </c>
      <c r="AG49" s="72">
        <f>AG$3*'Yield 1Y'!AC38</f>
        <v>0</v>
      </c>
      <c r="AH49" s="72">
        <f>AH$3*'Yield 1Y'!AD38</f>
        <v>-0.30428399988934401</v>
      </c>
      <c r="AI49" s="72">
        <f>AI$3*'Yield 1Y'!AE38</f>
        <v>-1.6154928207631807</v>
      </c>
      <c r="AJ49" s="72">
        <f>AJ$3*'Yield 1Y'!AF38</f>
        <v>-0.23382033598459143</v>
      </c>
      <c r="AK49" s="72">
        <f>AK$3*'Yield 1Y'!AG38</f>
        <v>-14.067255010829436</v>
      </c>
      <c r="AL49" s="72">
        <f>AL$3*'Yield 1Y'!AH38</f>
        <v>-12.007392020129808</v>
      </c>
      <c r="AM49" s="72">
        <f>AM$3*'Yield 1Y'!AI38</f>
        <v>-12.108877973670802</v>
      </c>
      <c r="AN49" s="72">
        <f>AN$3*'Yield 1Y'!AJ38</f>
        <v>0</v>
      </c>
      <c r="AO49" s="72">
        <f>AO$3*'Yield 1Y'!AK38</f>
        <v>0</v>
      </c>
      <c r="AP49" s="177">
        <f t="shared" si="3"/>
        <v>40.33712216126716</v>
      </c>
      <c r="AQ49" s="124">
        <f>VLOOKUP(AE49,'Yield 1Y'!$F:$G,2,0)</f>
        <v>46203</v>
      </c>
      <c r="AR49" s="318">
        <f t="shared" si="4"/>
        <v>126</v>
      </c>
      <c r="AT49" s="37">
        <v>43</v>
      </c>
      <c r="AU49" s="72">
        <f>AU$3*'Yield 1Y'!AB48</f>
        <v>0</v>
      </c>
      <c r="AV49" s="72">
        <f>AV$3*'Yield 1Y'!AC48</f>
        <v>0</v>
      </c>
      <c r="AW49" s="72">
        <f>AW$3*'Yield 1Y'!AD48</f>
        <v>0</v>
      </c>
      <c r="AX49" s="72">
        <f>AX$3*'Yield 1Y'!AE48</f>
        <v>0</v>
      </c>
      <c r="AY49" s="72">
        <f>AY$3*'Yield 1Y'!AF48</f>
        <v>0</v>
      </c>
      <c r="AZ49" s="72">
        <f>AZ$3*'Yield 1Y'!AG48</f>
        <v>-0.89207413720250361</v>
      </c>
      <c r="BA49" s="72">
        <f>BA$3*'Yield 1Y'!AH48</f>
        <v>-5.9192262901719559</v>
      </c>
      <c r="BB49" s="72">
        <f>BB$3*'Yield 1Y'!AI48</f>
        <v>-1.6383414626289972</v>
      </c>
      <c r="BC49" s="72">
        <f>BC$3*'Yield 1Y'!AJ48</f>
        <v>0</v>
      </c>
      <c r="BD49" s="72">
        <f>BD$3*'Yield 1Y'!AK48</f>
        <v>0</v>
      </c>
      <c r="BE49" s="177">
        <f t="shared" si="5"/>
        <v>8.4496418900034573</v>
      </c>
      <c r="BF49" s="124">
        <f>VLOOKUP(AT49,'Yield 1Y'!$F:$G,2,0)</f>
        <v>46192</v>
      </c>
      <c r="BG49" s="318">
        <f t="shared" si="7"/>
        <v>79</v>
      </c>
    </row>
    <row r="50" spans="1:59" x14ac:dyDescent="0.3">
      <c r="A50" s="37">
        <v>3</v>
      </c>
      <c r="B50" s="72">
        <f>'Yield 1Y'!R5*B$3</f>
        <v>0</v>
      </c>
      <c r="C50" s="72">
        <f>'Yield 1Y'!S5*C$3</f>
        <v>0</v>
      </c>
      <c r="D50" s="72">
        <f>'Yield 1Y'!T5*D$3</f>
        <v>0</v>
      </c>
      <c r="E50" s="72">
        <f>'Yield 1Y'!U5*E$3</f>
        <v>0.14424043042528306</v>
      </c>
      <c r="F50" s="72">
        <f>'Yield 1Y'!V5*F$3</f>
        <v>5.1440473916610864E-2</v>
      </c>
      <c r="G50" s="72">
        <f>'Yield 1Y'!W5*G$3</f>
        <v>0.81157240447096601</v>
      </c>
      <c r="H50" s="72">
        <f>'Yield 1Y'!X5*H$3</f>
        <v>-0.41404800069426445</v>
      </c>
      <c r="I50" s="72">
        <f>'Yield 1Y'!Y5*I$3</f>
        <v>0</v>
      </c>
      <c r="J50" s="72">
        <f>'Yield 1Y'!Z5*J$3</f>
        <v>0</v>
      </c>
      <c r="K50" s="72">
        <f>'Yield 1Y'!AA5*K$3</f>
        <v>0</v>
      </c>
      <c r="L50" s="177">
        <f t="shared" si="0"/>
        <v>-0.59320530811859551</v>
      </c>
      <c r="M50" s="124">
        <f>VLOOKUP(A50,'Yield 1Y'!$F:$G,2,0)</f>
        <v>46248</v>
      </c>
      <c r="N50" s="318">
        <f t="shared" si="1"/>
        <v>211</v>
      </c>
      <c r="P50" s="37">
        <v>47</v>
      </c>
      <c r="Q50" s="72">
        <f>Q$3*'Yield 1Y'!R49</f>
        <v>0</v>
      </c>
      <c r="R50" s="72">
        <f>R$3*'Yield 1Y'!S49</f>
        <v>0</v>
      </c>
      <c r="S50" s="72">
        <f>S$3*'Yield 1Y'!T49</f>
        <v>0</v>
      </c>
      <c r="T50" s="72">
        <f>T$3*'Yield 1Y'!U49</f>
        <v>0</v>
      </c>
      <c r="U50" s="72">
        <f>U$3*'Yield 1Y'!V49</f>
        <v>0</v>
      </c>
      <c r="V50" s="72">
        <f>V$3*'Yield 1Y'!W49</f>
        <v>0</v>
      </c>
      <c r="W50" s="72">
        <f>W$3*'Yield 1Y'!X49</f>
        <v>-0.34149382443291187</v>
      </c>
      <c r="X50" s="72">
        <f>X$3*'Yield 1Y'!Y49</f>
        <v>-3.9959547869013352E-2</v>
      </c>
      <c r="Y50" s="72">
        <f>Y$3*'Yield 1Y'!Z49</f>
        <v>0</v>
      </c>
      <c r="Z50" s="72">
        <f>Z$3*'Yield 1Y'!AA49</f>
        <v>0</v>
      </c>
      <c r="AA50" s="177">
        <f t="shared" si="2"/>
        <v>0.38145337230192522</v>
      </c>
      <c r="AB50" s="124">
        <f>VLOOKUP(P50,'Yield 1Y'!$F:$G,2,0)</f>
        <v>46188</v>
      </c>
      <c r="AC50" s="318">
        <f t="shared" si="6"/>
        <v>112</v>
      </c>
      <c r="AE50" s="37">
        <v>35</v>
      </c>
      <c r="AF50" s="72">
        <f>AF$3*'Yield 1Y'!AB37</f>
        <v>0</v>
      </c>
      <c r="AG50" s="72">
        <f>AG$3*'Yield 1Y'!AC37</f>
        <v>0</v>
      </c>
      <c r="AH50" s="72">
        <f>AH$3*'Yield 1Y'!AD37</f>
        <v>-0.30428399988934401</v>
      </c>
      <c r="AI50" s="72">
        <f>AI$3*'Yield 1Y'!AE37</f>
        <v>-1.1250753573172234</v>
      </c>
      <c r="AJ50" s="72">
        <f>AJ$3*'Yield 1Y'!AF37</f>
        <v>-0.19640908222705664</v>
      </c>
      <c r="AK50" s="72">
        <f>AK$3*'Yield 1Y'!AG37</f>
        <v>-8.9272964491801456</v>
      </c>
      <c r="AL50" s="72">
        <f>AL$3*'Yield 1Y'!AH37</f>
        <v>-12.007392020129808</v>
      </c>
      <c r="AM50" s="72">
        <f>AM$3*'Yield 1Y'!AI37</f>
        <v>-12.781593416652587</v>
      </c>
      <c r="AN50" s="72">
        <f>AN$3*'Yield 1Y'!AJ37</f>
        <v>0</v>
      </c>
      <c r="AO50" s="72">
        <f>AO$3*'Yield 1Y'!AK37</f>
        <v>0</v>
      </c>
      <c r="AP50" s="177">
        <f t="shared" si="3"/>
        <v>35.342050325396166</v>
      </c>
      <c r="AQ50" s="124">
        <f>VLOOKUP(AE50,'Yield 1Y'!$F:$G,2,0)</f>
        <v>46204</v>
      </c>
      <c r="AR50" s="318">
        <f t="shared" si="4"/>
        <v>143</v>
      </c>
      <c r="AT50" s="37">
        <v>44</v>
      </c>
      <c r="AU50" s="72">
        <f>AU$3*'Yield 1Y'!AB30</f>
        <v>0</v>
      </c>
      <c r="AV50" s="72">
        <f>AV$3*'Yield 1Y'!AC30</f>
        <v>0</v>
      </c>
      <c r="AW50" s="72">
        <f>AW$3*'Yield 1Y'!AD30</f>
        <v>0</v>
      </c>
      <c r="AX50" s="72">
        <f>AX$3*'Yield 1Y'!AE30</f>
        <v>0</v>
      </c>
      <c r="AY50" s="72">
        <f>AY$3*'Yield 1Y'!AF30</f>
        <v>0</v>
      </c>
      <c r="AZ50" s="72">
        <f>AZ$3*'Yield 1Y'!AG30</f>
        <v>-0.26762224116074884</v>
      </c>
      <c r="BA50" s="72">
        <f>BA$3*'Yield 1Y'!AH30</f>
        <v>-0.45532509924400044</v>
      </c>
      <c r="BB50" s="72">
        <f>BB$3*'Yield 1Y'!AI30</f>
        <v>-0.35963593082099593</v>
      </c>
      <c r="BC50" s="72">
        <f>BC$3*'Yield 1Y'!AJ30</f>
        <v>0</v>
      </c>
      <c r="BD50" s="72">
        <f>BD$3*'Yield 1Y'!AK30</f>
        <v>0</v>
      </c>
      <c r="BE50" s="177">
        <f t="shared" si="5"/>
        <v>1.0825832712257453</v>
      </c>
      <c r="BF50" s="124">
        <f>VLOOKUP(AT50,'Yield 1Y'!$F:$G,2,0)</f>
        <v>46191</v>
      </c>
      <c r="BG50" s="318">
        <f t="shared" si="7"/>
        <v>230</v>
      </c>
    </row>
    <row r="51" spans="1:59" x14ac:dyDescent="0.3">
      <c r="A51" s="37">
        <v>108</v>
      </c>
      <c r="B51" s="72">
        <f>'Yield 1Y'!R110*B$3</f>
        <v>0</v>
      </c>
      <c r="C51" s="72">
        <f>'Yield 1Y'!S110*C$3</f>
        <v>0</v>
      </c>
      <c r="D51" s="72">
        <f>'Yield 1Y'!T110*D$3</f>
        <v>-0.3872705453137098</v>
      </c>
      <c r="E51" s="72">
        <f>'Yield 1Y'!U110*E$3</f>
        <v>-0.69235406604137406</v>
      </c>
      <c r="F51" s="72">
        <f>'Yield 1Y'!V110*F$3</f>
        <v>-3.2734847037841387E-2</v>
      </c>
      <c r="G51" s="72">
        <f>'Yield 1Y'!W110*G$3</f>
        <v>0</v>
      </c>
      <c r="H51" s="72">
        <f>'Yield 1Y'!X110*H$3</f>
        <v>1.2421440020824257</v>
      </c>
      <c r="I51" s="72">
        <f>'Yield 1Y'!Y110*I$3</f>
        <v>0</v>
      </c>
      <c r="J51" s="72">
        <f>'Yield 1Y'!Z110*J$3</f>
        <v>0</v>
      </c>
      <c r="K51" s="72">
        <f>'Yield 1Y'!AA110*K$3</f>
        <v>0</v>
      </c>
      <c r="L51" s="177">
        <f t="shared" si="0"/>
        <v>-0.12978454368950043</v>
      </c>
      <c r="M51" s="124">
        <f>VLOOKUP(A51,'Yield 1Y'!$F:$G,2,0)</f>
        <v>46098</v>
      </c>
      <c r="N51" s="318">
        <f t="shared" si="1"/>
        <v>206</v>
      </c>
      <c r="P51" s="37">
        <v>48</v>
      </c>
      <c r="Q51" s="72">
        <f>Q$3*'Yield 1Y'!R50</f>
        <v>0</v>
      </c>
      <c r="R51" s="72">
        <f>R$3*'Yield 1Y'!S50</f>
        <v>0</v>
      </c>
      <c r="S51" s="72">
        <f>S$3*'Yield 1Y'!T50</f>
        <v>0</v>
      </c>
      <c r="T51" s="72">
        <f>T$3*'Yield 1Y'!U50</f>
        <v>0</v>
      </c>
      <c r="U51" s="72">
        <f>U$3*'Yield 1Y'!V50</f>
        <v>0</v>
      </c>
      <c r="V51" s="72">
        <f>V$3*'Yield 1Y'!W50</f>
        <v>0</v>
      </c>
      <c r="W51" s="72">
        <f>W$3*'Yield 1Y'!X50</f>
        <v>0</v>
      </c>
      <c r="X51" s="72">
        <f>X$3*'Yield 1Y'!Y50</f>
        <v>-0.11987864360700456</v>
      </c>
      <c r="Y51" s="72">
        <f>Y$3*'Yield 1Y'!Z50</f>
        <v>0</v>
      </c>
      <c r="Z51" s="72">
        <f>Z$3*'Yield 1Y'!AA50</f>
        <v>0</v>
      </c>
      <c r="AA51" s="177">
        <f t="shared" si="2"/>
        <v>0.11987864360700456</v>
      </c>
      <c r="AB51" s="124">
        <f>VLOOKUP(P51,'Yield 1Y'!$F:$G,2,0)</f>
        <v>46185</v>
      </c>
      <c r="AC51" s="318">
        <f t="shared" si="6"/>
        <v>157</v>
      </c>
      <c r="AE51" s="37">
        <v>117</v>
      </c>
      <c r="AF51" s="72">
        <f>AF$3*'Yield 1Y'!AB119</f>
        <v>0</v>
      </c>
      <c r="AG51" s="72">
        <f>AG$3*'Yield 1Y'!AC119</f>
        <v>0</v>
      </c>
      <c r="AH51" s="72">
        <f>AH$3*'Yield 1Y'!AD119</f>
        <v>-0.49791927254619889</v>
      </c>
      <c r="AI51" s="72">
        <f>AI$3*'Yield 1Y'!AE119</f>
        <v>-1.6731889929333144</v>
      </c>
      <c r="AJ51" s="72">
        <f>AJ$3*'Yield 1Y'!AF119</f>
        <v>-0.10755735455291097</v>
      </c>
      <c r="AK51" s="72">
        <f>AK$3*'Yield 1Y'!AG119</f>
        <v>-15.690399819771608</v>
      </c>
      <c r="AL51" s="72">
        <f>AL$3*'Yield 1Y'!AH119</f>
        <v>-11.179296018741463</v>
      </c>
      <c r="AM51" s="72">
        <f>AM$3*'Yield 1Y'!AI119</f>
        <v>-14.799739745597646</v>
      </c>
      <c r="AN51" s="72">
        <f>AN$3*'Yield 1Y'!AJ119</f>
        <v>0</v>
      </c>
      <c r="AO51" s="72">
        <f>AO$3*'Yield 1Y'!AK119</f>
        <v>0</v>
      </c>
      <c r="AP51" s="177">
        <f t="shared" si="3"/>
        <v>43.948101204143143</v>
      </c>
      <c r="AQ51" s="124">
        <f>VLOOKUP(AE51,'Yield 1Y'!$F:$G,2,0)</f>
        <v>46085</v>
      </c>
      <c r="AR51" s="318">
        <f t="shared" si="4"/>
        <v>106</v>
      </c>
      <c r="AT51" s="37">
        <v>45</v>
      </c>
      <c r="AU51" s="72">
        <f>AU$3*'Yield 1Y'!AB44</f>
        <v>0</v>
      </c>
      <c r="AV51" s="72">
        <f>AV$3*'Yield 1Y'!AC44</f>
        <v>0</v>
      </c>
      <c r="AW51" s="72">
        <f>AW$3*'Yield 1Y'!AD44</f>
        <v>0</v>
      </c>
      <c r="AX51" s="72">
        <f>AX$3*'Yield 1Y'!AE44</f>
        <v>0</v>
      </c>
      <c r="AY51" s="72">
        <f>AY$3*'Yield 1Y'!AF44</f>
        <v>0</v>
      </c>
      <c r="AZ51" s="72">
        <f>AZ$3*'Yield 1Y'!AG44</f>
        <v>-0.57347623105874912</v>
      </c>
      <c r="BA51" s="72">
        <f>BA$3*'Yield 1Y'!AH44</f>
        <v>-3.5287695191409658</v>
      </c>
      <c r="BB51" s="72">
        <f>BB$3*'Yield 1Y'!AI44</f>
        <v>-1.5983819147600016</v>
      </c>
      <c r="BC51" s="72">
        <f>BC$3*'Yield 1Y'!AJ44</f>
        <v>0</v>
      </c>
      <c r="BD51" s="72">
        <f>BD$3*'Yield 1Y'!AK44</f>
        <v>0</v>
      </c>
      <c r="BE51" s="177">
        <f t="shared" si="5"/>
        <v>5.7006276649597165</v>
      </c>
      <c r="BF51" s="124">
        <f>VLOOKUP(AT51,'Yield 1Y'!$F:$G,2,0)</f>
        <v>46190</v>
      </c>
      <c r="BG51" s="318">
        <f t="shared" si="7"/>
        <v>142</v>
      </c>
    </row>
    <row r="52" spans="1:59" x14ac:dyDescent="0.3">
      <c r="A52" s="37">
        <v>102</v>
      </c>
      <c r="B52" s="72">
        <f>'Yield 1Y'!R104*B$3</f>
        <v>0</v>
      </c>
      <c r="C52" s="72">
        <f>'Yield 1Y'!S104*C$3</f>
        <v>0</v>
      </c>
      <c r="D52" s="72">
        <f>'Yield 1Y'!T104*D$3</f>
        <v>-2.7662181808123298E-2</v>
      </c>
      <c r="E52" s="72">
        <f>'Yield 1Y'!U104*E$3</f>
        <v>-0.14424043042529588</v>
      </c>
      <c r="F52" s="72">
        <f>'Yield 1Y'!V104*F$3</f>
        <v>-3.2734847037841387E-2</v>
      </c>
      <c r="G52" s="72">
        <f>'Yield 1Y'!W104*G$3</f>
        <v>0</v>
      </c>
      <c r="H52" s="72">
        <f>'Yield 1Y'!X104*H$3</f>
        <v>2.4842880041648514</v>
      </c>
      <c r="I52" s="72">
        <f>'Yield 1Y'!Y104*I$3</f>
        <v>0</v>
      </c>
      <c r="J52" s="72">
        <f>'Yield 1Y'!Z104*J$3</f>
        <v>0</v>
      </c>
      <c r="K52" s="72">
        <f>'Yield 1Y'!AA104*K$3</f>
        <v>0</v>
      </c>
      <c r="L52" s="177">
        <f t="shared" si="0"/>
        <v>-2.2796505448935909</v>
      </c>
      <c r="M52" s="124">
        <f>VLOOKUP(A52,'Yield 1Y'!$F:$G,2,0)</f>
        <v>46106</v>
      </c>
      <c r="N52" s="318">
        <f t="shared" si="1"/>
        <v>236</v>
      </c>
      <c r="P52" s="37">
        <v>49</v>
      </c>
      <c r="Q52" s="72">
        <f>Q$3*'Yield 1Y'!R51</f>
        <v>0</v>
      </c>
      <c r="R52" s="72">
        <f>R$3*'Yield 1Y'!S51</f>
        <v>0</v>
      </c>
      <c r="S52" s="72">
        <f>S$3*'Yield 1Y'!T51</f>
        <v>0</v>
      </c>
      <c r="T52" s="72">
        <f>T$3*'Yield 1Y'!U51</f>
        <v>0</v>
      </c>
      <c r="U52" s="72">
        <f>U$3*'Yield 1Y'!V51</f>
        <v>0</v>
      </c>
      <c r="V52" s="72">
        <f>V$3*'Yield 1Y'!W51</f>
        <v>-0.17841482744049167</v>
      </c>
      <c r="W52" s="72">
        <f>W$3*'Yield 1Y'!X51</f>
        <v>-0.79681892367706397</v>
      </c>
      <c r="X52" s="72">
        <f>X$3*'Yield 1Y'!Y51</f>
        <v>-3.995954786897786E-2</v>
      </c>
      <c r="Y52" s="72">
        <f>Y$3*'Yield 1Y'!Z51</f>
        <v>0</v>
      </c>
      <c r="Z52" s="72">
        <f>Z$3*'Yield 1Y'!AA51</f>
        <v>0</v>
      </c>
      <c r="AA52" s="177">
        <f t="shared" si="2"/>
        <v>1.0151932989865335</v>
      </c>
      <c r="AB52" s="124">
        <f>VLOOKUP(P52,'Yield 1Y'!$F:$G,2,0)</f>
        <v>46184</v>
      </c>
      <c r="AC52" s="318">
        <f t="shared" si="6"/>
        <v>54</v>
      </c>
      <c r="AE52" s="37">
        <v>43</v>
      </c>
      <c r="AF52" s="72">
        <f>AF$3*'Yield 1Y'!AB45</f>
        <v>0</v>
      </c>
      <c r="AG52" s="72">
        <f>AG$3*'Yield 1Y'!AC45</f>
        <v>0</v>
      </c>
      <c r="AH52" s="72">
        <f>AH$3*'Yield 1Y'!AD45</f>
        <v>-0.32272545442809425</v>
      </c>
      <c r="AI52" s="72">
        <f>AI$3*'Yield 1Y'!AE45</f>
        <v>-1.2404677016574652</v>
      </c>
      <c r="AJ52" s="72">
        <f>AJ$3*'Yield 1Y'!AF45</f>
        <v>-0.16835064190890658</v>
      </c>
      <c r="AK52" s="72">
        <f>AK$3*'Yield 1Y'!AG45</f>
        <v>-13.255682606358471</v>
      </c>
      <c r="AL52" s="72">
        <f>AL$3*'Yield 1Y'!AH45</f>
        <v>-14.491680024294292</v>
      </c>
      <c r="AM52" s="72">
        <f>AM$3*'Yield 1Y'!AI45</f>
        <v>-16.145170631561069</v>
      </c>
      <c r="AN52" s="72">
        <f>AN$3*'Yield 1Y'!AJ45</f>
        <v>0</v>
      </c>
      <c r="AO52" s="72">
        <f>AO$3*'Yield 1Y'!AK45</f>
        <v>0</v>
      </c>
      <c r="AP52" s="177">
        <f t="shared" si="3"/>
        <v>45.624077060208293</v>
      </c>
      <c r="AQ52" s="124">
        <f>VLOOKUP(AE52,'Yield 1Y'!$F:$G,2,0)</f>
        <v>46192</v>
      </c>
      <c r="AR52" s="318">
        <f t="shared" si="4"/>
        <v>98</v>
      </c>
      <c r="AT52" s="37">
        <v>46</v>
      </c>
      <c r="AU52" s="72">
        <f>AU$3*'Yield 1Y'!AB112</f>
        <v>0</v>
      </c>
      <c r="AV52" s="72">
        <f>AV$3*'Yield 1Y'!AC112</f>
        <v>0</v>
      </c>
      <c r="AW52" s="72">
        <f>AW$3*'Yield 1Y'!AD112</f>
        <v>0</v>
      </c>
      <c r="AX52" s="72">
        <f>AX$3*'Yield 1Y'!AE112</f>
        <v>0</v>
      </c>
      <c r="AY52" s="72">
        <f>AY$3*'Yield 1Y'!AF112</f>
        <v>0</v>
      </c>
      <c r="AZ52" s="72">
        <f>AZ$3*'Yield 1Y'!AG112</f>
        <v>-1.2234159595920011</v>
      </c>
      <c r="BA52" s="72">
        <f>BA$3*'Yield 1Y'!AH112</f>
        <v>-13.773584252131002</v>
      </c>
      <c r="BB52" s="72">
        <f>BB$3*'Yield 1Y'!AI112</f>
        <v>-7.9119904780620001</v>
      </c>
      <c r="BC52" s="72">
        <f>BC$3*'Yield 1Y'!AJ112</f>
        <v>0</v>
      </c>
      <c r="BD52" s="72">
        <f>BD$3*'Yield 1Y'!AK112</f>
        <v>0</v>
      </c>
      <c r="BE52" s="177">
        <f t="shared" si="5"/>
        <v>22.908990689785004</v>
      </c>
      <c r="BF52" s="124">
        <f>VLOOKUP(AT52,'Yield 1Y'!$F:$G,2,0)</f>
        <v>46189</v>
      </c>
      <c r="BG52" s="318">
        <f t="shared" si="7"/>
        <v>17</v>
      </c>
    </row>
    <row r="53" spans="1:59" x14ac:dyDescent="0.3">
      <c r="A53" s="37">
        <v>145</v>
      </c>
      <c r="B53" s="72">
        <f>'Yield 1Y'!R147*B$3</f>
        <v>0</v>
      </c>
      <c r="C53" s="72">
        <f>'Yield 1Y'!S147*C$3</f>
        <v>0</v>
      </c>
      <c r="D53" s="72">
        <f>'Yield 1Y'!T147*D$3</f>
        <v>0.1936352726568549</v>
      </c>
      <c r="E53" s="72">
        <f>'Yield 1Y'!U147*E$3</f>
        <v>0.34617703302068703</v>
      </c>
      <c r="F53" s="72">
        <f>'Yield 1Y'!V147*F$3</f>
        <v>1.8705626878767399E-2</v>
      </c>
      <c r="G53" s="72">
        <f>'Yield 1Y'!W147*G$3</f>
        <v>-2.1641930785891628</v>
      </c>
      <c r="H53" s="72">
        <f>'Yield 1Y'!X147*H$3</f>
        <v>0.41404800069426445</v>
      </c>
      <c r="I53" s="72">
        <f>'Yield 1Y'!Y147*I$3</f>
        <v>0</v>
      </c>
      <c r="J53" s="72">
        <f>'Yield 1Y'!Z147*J$3</f>
        <v>0</v>
      </c>
      <c r="K53" s="72">
        <f>'Yield 1Y'!AA147*K$3</f>
        <v>0</v>
      </c>
      <c r="L53" s="177">
        <f t="shared" si="0"/>
        <v>1.1916271453385892</v>
      </c>
      <c r="M53" s="124">
        <f>VLOOKUP(A53,'Yield 1Y'!$F:$G,2,0)</f>
        <v>46038</v>
      </c>
      <c r="N53" s="318">
        <f t="shared" si="1"/>
        <v>144</v>
      </c>
      <c r="P53" s="37">
        <v>50</v>
      </c>
      <c r="Q53" s="72">
        <f>Q$3*'Yield 1Y'!R52</f>
        <v>0</v>
      </c>
      <c r="R53" s="72">
        <f>R$3*'Yield 1Y'!S52</f>
        <v>0</v>
      </c>
      <c r="S53" s="72">
        <f>S$3*'Yield 1Y'!T52</f>
        <v>0</v>
      </c>
      <c r="T53" s="72">
        <f>T$3*'Yield 1Y'!U52</f>
        <v>0</v>
      </c>
      <c r="U53" s="72">
        <f>U$3*'Yield 1Y'!V52</f>
        <v>0</v>
      </c>
      <c r="V53" s="72">
        <f>V$3*'Yield 1Y'!W52</f>
        <v>-6.3719581228748642E-2</v>
      </c>
      <c r="W53" s="72">
        <f>W$3*'Yield 1Y'!X52</f>
        <v>-0.11383127481093692</v>
      </c>
      <c r="X53" s="72">
        <f>X$3*'Yield 1Y'!Y52</f>
        <v>-0.59939321803502277</v>
      </c>
      <c r="Y53" s="72">
        <f>Y$3*'Yield 1Y'!Z52</f>
        <v>0</v>
      </c>
      <c r="Z53" s="72">
        <f>Z$3*'Yield 1Y'!AA52</f>
        <v>0</v>
      </c>
      <c r="AA53" s="177">
        <f t="shared" si="2"/>
        <v>0.77694407407470834</v>
      </c>
      <c r="AB53" s="124">
        <f>VLOOKUP(P53,'Yield 1Y'!$F:$G,2,0)</f>
        <v>46183</v>
      </c>
      <c r="AC53" s="318">
        <f t="shared" si="6"/>
        <v>66</v>
      </c>
      <c r="AE53" s="37">
        <v>2</v>
      </c>
      <c r="AF53" s="72">
        <f>AF$3*'Yield 1Y'!AB4</f>
        <v>0</v>
      </c>
      <c r="AG53" s="72">
        <f>AG$3*'Yield 1Y'!AC4</f>
        <v>0</v>
      </c>
      <c r="AH53" s="72">
        <f>AH$3*'Yield 1Y'!AD4</f>
        <v>-0.1936352726568549</v>
      </c>
      <c r="AI53" s="72">
        <f>AI$3*'Yield 1Y'!AE4</f>
        <v>-0.23078468868045804</v>
      </c>
      <c r="AJ53" s="72">
        <f>AJ$3*'Yield 1Y'!AF4</f>
        <v>-9.352813439383699E-2</v>
      </c>
      <c r="AK53" s="72">
        <f>AK$3*'Yield 1Y'!AG4</f>
        <v>-2.4347172134126578</v>
      </c>
      <c r="AL53" s="72">
        <f>AL$3*'Yield 1Y'!AH4</f>
        <v>-8.6950080145767963</v>
      </c>
      <c r="AM53" s="72">
        <f>AM$3*'Yield 1Y'!AI4</f>
        <v>-8.7453007587621716</v>
      </c>
      <c r="AN53" s="72">
        <f>AN$3*'Yield 1Y'!AJ4</f>
        <v>0</v>
      </c>
      <c r="AO53" s="72">
        <f>AO$3*'Yield 1Y'!AK4</f>
        <v>0</v>
      </c>
      <c r="AP53" s="177">
        <f t="shared" si="3"/>
        <v>20.392974082482773</v>
      </c>
      <c r="AQ53" s="124">
        <f>VLOOKUP(AE53,'Yield 1Y'!$F:$G,2,0)</f>
        <v>46251</v>
      </c>
      <c r="AR53" s="318">
        <f t="shared" si="4"/>
        <v>201</v>
      </c>
      <c r="AT53" s="37">
        <v>47</v>
      </c>
      <c r="AU53" s="72">
        <f>AU$3*'Yield 1Y'!AB88</f>
        <v>0</v>
      </c>
      <c r="AV53" s="72">
        <f>AV$3*'Yield 1Y'!AC88</f>
        <v>0</v>
      </c>
      <c r="AW53" s="72">
        <f>AW$3*'Yield 1Y'!AD88</f>
        <v>0</v>
      </c>
      <c r="AX53" s="72">
        <f>AX$3*'Yield 1Y'!AE88</f>
        <v>0</v>
      </c>
      <c r="AY53" s="72">
        <f>AY$3*'Yield 1Y'!AF88</f>
        <v>0</v>
      </c>
      <c r="AZ53" s="72">
        <f>AZ$3*'Yield 1Y'!AG88</f>
        <v>5.0975664982994391E-2</v>
      </c>
      <c r="BA53" s="72">
        <f>BA$3*'Yield 1Y'!AH88</f>
        <v>-0.91065019848800088</v>
      </c>
      <c r="BB53" s="72">
        <f>BB$3*'Yield 1Y'!AI88</f>
        <v>0</v>
      </c>
      <c r="BC53" s="72">
        <f>BC$3*'Yield 1Y'!AJ88</f>
        <v>0</v>
      </c>
      <c r="BD53" s="72">
        <f>BD$3*'Yield 1Y'!AK88</f>
        <v>0</v>
      </c>
      <c r="BE53" s="177">
        <f t="shared" si="5"/>
        <v>0.85967453350500644</v>
      </c>
      <c r="BF53" s="124">
        <f>VLOOKUP(AT53,'Yield 1Y'!$F:$G,2,0)</f>
        <v>46188</v>
      </c>
      <c r="BG53" s="318">
        <f t="shared" si="7"/>
        <v>235</v>
      </c>
    </row>
    <row r="54" spans="1:59" x14ac:dyDescent="0.3">
      <c r="A54" s="37">
        <v>226</v>
      </c>
      <c r="B54" s="72">
        <f>'Yield 1Y'!R228*B$3</f>
        <v>0</v>
      </c>
      <c r="C54" s="72">
        <f>'Yield 1Y'!S228*C$3</f>
        <v>0</v>
      </c>
      <c r="D54" s="72">
        <f>'Yield 1Y'!T228*D$3</f>
        <v>0</v>
      </c>
      <c r="E54" s="72">
        <f>'Yield 1Y'!U228*E$3</f>
        <v>-8.6544258255174963E-2</v>
      </c>
      <c r="F54" s="72">
        <f>'Yield 1Y'!V228*F$3</f>
        <v>-3.2734847037843469E-2</v>
      </c>
      <c r="G54" s="72">
        <f>'Yield 1Y'!W228*G$3</f>
        <v>0</v>
      </c>
      <c r="H54" s="72">
        <f>'Yield 1Y'!X228*H$3</f>
        <v>0</v>
      </c>
      <c r="I54" s="72">
        <f>'Yield 1Y'!Y228*I$3</f>
        <v>-1.6817886074542407</v>
      </c>
      <c r="J54" s="72">
        <f>'Yield 1Y'!Z228*J$3</f>
        <v>0</v>
      </c>
      <c r="K54" s="72">
        <f>'Yield 1Y'!AA228*K$3</f>
        <v>0</v>
      </c>
      <c r="L54" s="177">
        <f t="shared" si="0"/>
        <v>1.8010677127472592</v>
      </c>
      <c r="M54" s="124">
        <f>VLOOKUP(A54,'Yield 1Y'!$F:$G,2,0)</f>
        <v>45923</v>
      </c>
      <c r="N54" s="318">
        <f t="shared" si="1"/>
        <v>122</v>
      </c>
      <c r="P54" s="37">
        <v>51</v>
      </c>
      <c r="Q54" s="72">
        <f>Q$3*'Yield 1Y'!R53</f>
        <v>0</v>
      </c>
      <c r="R54" s="72">
        <f>R$3*'Yield 1Y'!S53</f>
        <v>0</v>
      </c>
      <c r="S54" s="72">
        <f>S$3*'Yield 1Y'!T53</f>
        <v>0</v>
      </c>
      <c r="T54" s="72">
        <f>T$3*'Yield 1Y'!U53</f>
        <v>0</v>
      </c>
      <c r="U54" s="72">
        <f>U$3*'Yield 1Y'!V53</f>
        <v>0</v>
      </c>
      <c r="V54" s="72">
        <f>V$3*'Yield 1Y'!W53</f>
        <v>0</v>
      </c>
      <c r="W54" s="72">
        <f>W$3*'Yield 1Y'!X53</f>
        <v>-0.45532509924405101</v>
      </c>
      <c r="X54" s="72">
        <f>X$3*'Yield 1Y'!Y53</f>
        <v>-0.11987864360700456</v>
      </c>
      <c r="Y54" s="72">
        <f>Y$3*'Yield 1Y'!Z53</f>
        <v>0</v>
      </c>
      <c r="Z54" s="72">
        <f>Z$3*'Yield 1Y'!AA53</f>
        <v>0</v>
      </c>
      <c r="AA54" s="177">
        <f t="shared" si="2"/>
        <v>0.57520374285105558</v>
      </c>
      <c r="AB54" s="124">
        <f>VLOOKUP(P54,'Yield 1Y'!$F:$G,2,0)</f>
        <v>46182</v>
      </c>
      <c r="AC54" s="318">
        <f t="shared" si="6"/>
        <v>87</v>
      </c>
      <c r="AE54" s="37">
        <v>21</v>
      </c>
      <c r="AF54" s="72">
        <f>AF$3*'Yield 1Y'!AB23</f>
        <v>0</v>
      </c>
      <c r="AG54" s="72">
        <f>AG$3*'Yield 1Y'!AC23</f>
        <v>0</v>
      </c>
      <c r="AH54" s="72">
        <f>AH$3*'Yield 1Y'!AD23</f>
        <v>-0.497919272546203</v>
      </c>
      <c r="AI54" s="72">
        <f>AI$3*'Yield 1Y'!AE23</f>
        <v>-0.49041746344598292</v>
      </c>
      <c r="AJ54" s="72">
        <f>AJ$3*'Yield 1Y'!AF23</f>
        <v>-0.17770345534828924</v>
      </c>
      <c r="AK54" s="72">
        <f>AK$3*'Yield 1Y'!AG23</f>
        <v>-3.2462896178838641</v>
      </c>
      <c r="AL54" s="72">
        <f>AL$3*'Yield 1Y'!AH23</f>
        <v>-8.6950080145766115</v>
      </c>
      <c r="AM54" s="72">
        <f>AM$3*'Yield 1Y'!AI23</f>
        <v>-5.7180812653445079</v>
      </c>
      <c r="AN54" s="72">
        <f>AN$3*'Yield 1Y'!AJ23</f>
        <v>0</v>
      </c>
      <c r="AO54" s="72">
        <f>AO$3*'Yield 1Y'!AK23</f>
        <v>0</v>
      </c>
      <c r="AP54" s="177">
        <f t="shared" si="3"/>
        <v>18.825419089145459</v>
      </c>
      <c r="AQ54" s="124">
        <f>VLOOKUP(AE54,'Yield 1Y'!$F:$G,2,0)</f>
        <v>46224</v>
      </c>
      <c r="AR54" s="318">
        <f t="shared" si="4"/>
        <v>207</v>
      </c>
      <c r="AT54" s="37">
        <v>48</v>
      </c>
      <c r="AU54" s="72">
        <f>AU$3*'Yield 1Y'!AB73</f>
        <v>0</v>
      </c>
      <c r="AV54" s="72">
        <f>AV$3*'Yield 1Y'!AC73</f>
        <v>0</v>
      </c>
      <c r="AW54" s="72">
        <f>AW$3*'Yield 1Y'!AD73</f>
        <v>0</v>
      </c>
      <c r="AX54" s="72">
        <f>AX$3*'Yield 1Y'!AE73</f>
        <v>0</v>
      </c>
      <c r="AY54" s="72">
        <f>AY$3*'Yield 1Y'!AF73</f>
        <v>0</v>
      </c>
      <c r="AZ54" s="72">
        <f>AZ$3*'Yield 1Y'!AG73</f>
        <v>0.10195132996600009</v>
      </c>
      <c r="BA54" s="72">
        <f>BA$3*'Yield 1Y'!AH73</f>
        <v>-0.91065019848800088</v>
      </c>
      <c r="BB54" s="72">
        <f>BB$3*'Yield 1Y'!AI73</f>
        <v>3.9959547868995603E-2</v>
      </c>
      <c r="BC54" s="72">
        <f>BC$3*'Yield 1Y'!AJ73</f>
        <v>0</v>
      </c>
      <c r="BD54" s="72">
        <f>BD$3*'Yield 1Y'!AK73</f>
        <v>0</v>
      </c>
      <c r="BE54" s="177">
        <f t="shared" si="5"/>
        <v>0.76873932065300521</v>
      </c>
      <c r="BF54" s="124">
        <f>VLOOKUP(AT54,'Yield 1Y'!$F:$G,2,0)</f>
        <v>46185</v>
      </c>
      <c r="BG54" s="318">
        <f t="shared" si="7"/>
        <v>239</v>
      </c>
    </row>
    <row r="55" spans="1:59" x14ac:dyDescent="0.3">
      <c r="A55" s="37">
        <v>172</v>
      </c>
      <c r="B55" s="72">
        <f>'Yield 1Y'!R174*B$3</f>
        <v>0</v>
      </c>
      <c r="C55" s="72">
        <f>'Yield 1Y'!S174*C$3</f>
        <v>0</v>
      </c>
      <c r="D55" s="72">
        <f>'Yield 1Y'!T174*D$3</f>
        <v>-9.2207272693742959E-2</v>
      </c>
      <c r="E55" s="72">
        <f>'Yield 1Y'!U174*E$3</f>
        <v>-0.20193660259540397</v>
      </c>
      <c r="F55" s="72">
        <f>'Yield 1Y'!V174*F$3</f>
        <v>-1.8705626878767399E-2</v>
      </c>
      <c r="G55" s="72">
        <f>'Yield 1Y'!W174*G$3</f>
        <v>-0.54104826964735075</v>
      </c>
      <c r="H55" s="72">
        <f>'Yield 1Y'!X174*H$3</f>
        <v>-0.8280960013881612</v>
      </c>
      <c r="I55" s="72">
        <f>'Yield 1Y'!Y174*I$3</f>
        <v>-1.6817886074545394</v>
      </c>
      <c r="J55" s="72">
        <f>'Yield 1Y'!Z174*J$3</f>
        <v>0</v>
      </c>
      <c r="K55" s="72">
        <f>'Yield 1Y'!AA174*K$3</f>
        <v>0</v>
      </c>
      <c r="L55" s="177">
        <f t="shared" si="0"/>
        <v>3.3637823806579661</v>
      </c>
      <c r="M55" s="124">
        <f>VLOOKUP(A55,'Yield 1Y'!$F:$G,2,0)</f>
        <v>45999</v>
      </c>
      <c r="N55" s="318">
        <f t="shared" si="1"/>
        <v>87</v>
      </c>
      <c r="P55" s="37">
        <v>52</v>
      </c>
      <c r="Q55" s="72">
        <f>Q$3*'Yield 1Y'!R54</f>
        <v>0</v>
      </c>
      <c r="R55" s="72">
        <f>R$3*'Yield 1Y'!S54</f>
        <v>0</v>
      </c>
      <c r="S55" s="72">
        <f>S$3*'Yield 1Y'!T54</f>
        <v>0</v>
      </c>
      <c r="T55" s="72">
        <f>T$3*'Yield 1Y'!U54</f>
        <v>0</v>
      </c>
      <c r="U55" s="72">
        <f>U$3*'Yield 1Y'!V54</f>
        <v>0</v>
      </c>
      <c r="V55" s="72">
        <f>V$3*'Yield 1Y'!W54</f>
        <v>0</v>
      </c>
      <c r="W55" s="72">
        <f>W$3*'Yield 1Y'!X54</f>
        <v>-0.11383127481103802</v>
      </c>
      <c r="X55" s="72">
        <f>X$3*'Yield 1Y'!Y54</f>
        <v>-0.11987864360696907</v>
      </c>
      <c r="Y55" s="72">
        <f>Y$3*'Yield 1Y'!Z54</f>
        <v>0</v>
      </c>
      <c r="Z55" s="72">
        <f>Z$3*'Yield 1Y'!AA54</f>
        <v>0</v>
      </c>
      <c r="AA55" s="177">
        <f t="shared" si="2"/>
        <v>0.23370991841800709</v>
      </c>
      <c r="AB55" s="124">
        <f>VLOOKUP(P55,'Yield 1Y'!$F:$G,2,0)</f>
        <v>46181</v>
      </c>
      <c r="AC55" s="318">
        <f t="shared" si="6"/>
        <v>136</v>
      </c>
      <c r="AE55" s="37">
        <v>37</v>
      </c>
      <c r="AF55" s="72">
        <f>AF$3*'Yield 1Y'!AB39</f>
        <v>0</v>
      </c>
      <c r="AG55" s="72">
        <f>AG$3*'Yield 1Y'!AC39</f>
        <v>0</v>
      </c>
      <c r="AH55" s="72">
        <f>AH$3*'Yield 1Y'!AD39</f>
        <v>-0.26740109081184765</v>
      </c>
      <c r="AI55" s="72">
        <f>AI$3*'Yield 1Y'!AE39</f>
        <v>-0.7500502382114822</v>
      </c>
      <c r="AJ55" s="72">
        <f>AJ$3*'Yield 1Y'!AF39</f>
        <v>-0.17770345534828924</v>
      </c>
      <c r="AK55" s="72">
        <f>AK$3*'Yield 1Y'!AG39</f>
        <v>-5.4104826964727861</v>
      </c>
      <c r="AL55" s="72">
        <f>AL$3*'Yield 1Y'!AH39</f>
        <v>-10.351200017353301</v>
      </c>
      <c r="AM55" s="72">
        <f>AM$3*'Yield 1Y'!AI39</f>
        <v>-12.108877973670802</v>
      </c>
      <c r="AN55" s="72">
        <f>AN$3*'Yield 1Y'!AJ39</f>
        <v>0</v>
      </c>
      <c r="AO55" s="72">
        <f>AO$3*'Yield 1Y'!AK39</f>
        <v>0</v>
      </c>
      <c r="AP55" s="177">
        <f t="shared" si="3"/>
        <v>29.065715471868508</v>
      </c>
      <c r="AQ55" s="124">
        <f>VLOOKUP(AE55,'Yield 1Y'!$F:$G,2,0)</f>
        <v>46202</v>
      </c>
      <c r="AR55" s="318">
        <f t="shared" si="4"/>
        <v>167</v>
      </c>
      <c r="AT55" s="37">
        <v>49</v>
      </c>
      <c r="AU55" s="72">
        <f>AU$3*'Yield 1Y'!AB119</f>
        <v>0</v>
      </c>
      <c r="AV55" s="72">
        <f>AV$3*'Yield 1Y'!AC119</f>
        <v>0</v>
      </c>
      <c r="AW55" s="72">
        <f>AW$3*'Yield 1Y'!AD119</f>
        <v>0</v>
      </c>
      <c r="AX55" s="72">
        <f>AX$3*'Yield 1Y'!AE119</f>
        <v>0</v>
      </c>
      <c r="AY55" s="72">
        <f>AY$3*'Yield 1Y'!AF119</f>
        <v>0</v>
      </c>
      <c r="AZ55" s="72">
        <f>AZ$3*'Yield 1Y'!AG119</f>
        <v>-0.73914714225350919</v>
      </c>
      <c r="BA55" s="72">
        <f>BA$3*'Yield 1Y'!AH119</f>
        <v>-3.0734444198970157</v>
      </c>
      <c r="BB55" s="72">
        <f>BB$3*'Yield 1Y'!AI119</f>
        <v>-1.7582201062360019</v>
      </c>
      <c r="BC55" s="72">
        <f>BC$3*'Yield 1Y'!AJ119</f>
        <v>0</v>
      </c>
      <c r="BD55" s="72">
        <f>BD$3*'Yield 1Y'!AK119</f>
        <v>0</v>
      </c>
      <c r="BE55" s="177">
        <f t="shared" si="5"/>
        <v>5.5708116683865265</v>
      </c>
      <c r="BF55" s="124">
        <f>VLOOKUP(AT55,'Yield 1Y'!$F:$G,2,0)</f>
        <v>46184</v>
      </c>
      <c r="BG55" s="318">
        <f t="shared" si="7"/>
        <v>145</v>
      </c>
    </row>
    <row r="56" spans="1:59" x14ac:dyDescent="0.3">
      <c r="A56" s="37">
        <v>20</v>
      </c>
      <c r="B56" s="72">
        <f>'Yield 1Y'!R22*B$3</f>
        <v>0</v>
      </c>
      <c r="C56" s="72">
        <f>'Yield 1Y'!S22*C$3</f>
        <v>0</v>
      </c>
      <c r="D56" s="72">
        <f>'Yield 1Y'!T22*D$3</f>
        <v>-0.30428399988934401</v>
      </c>
      <c r="E56" s="72">
        <f>'Yield 1Y'!U22*E$3</f>
        <v>-0.51926554953103699</v>
      </c>
      <c r="F56" s="72">
        <f>'Yield 1Y'!V22*F$3</f>
        <v>-1.4029220159076067E-2</v>
      </c>
      <c r="G56" s="72">
        <f>'Yield 1Y'!W22*G$3</f>
        <v>-0.27052413482349513</v>
      </c>
      <c r="H56" s="72">
        <f>'Yield 1Y'!X22*H$3</f>
        <v>0.41404800069426445</v>
      </c>
      <c r="I56" s="72">
        <f>'Yield 1Y'!Y22*I$3</f>
        <v>0</v>
      </c>
      <c r="J56" s="72">
        <f>'Yield 1Y'!Z22*J$3</f>
        <v>0</v>
      </c>
      <c r="K56" s="72">
        <f>'Yield 1Y'!AA22*K$3</f>
        <v>0</v>
      </c>
      <c r="L56" s="177">
        <f t="shared" si="0"/>
        <v>0.69405490370868783</v>
      </c>
      <c r="M56" s="124">
        <f>VLOOKUP(A56,'Yield 1Y'!$F:$G,2,0)</f>
        <v>46225</v>
      </c>
      <c r="N56" s="318">
        <f t="shared" si="1"/>
        <v>164</v>
      </c>
      <c r="P56" s="37">
        <v>53</v>
      </c>
      <c r="Q56" s="72">
        <f>Q$3*'Yield 1Y'!R55</f>
        <v>0</v>
      </c>
      <c r="R56" s="72">
        <f>R$3*'Yield 1Y'!S55</f>
        <v>0</v>
      </c>
      <c r="S56" s="72">
        <f>S$3*'Yield 1Y'!T55</f>
        <v>0</v>
      </c>
      <c r="T56" s="72">
        <f>T$3*'Yield 1Y'!U55</f>
        <v>0</v>
      </c>
      <c r="U56" s="72">
        <f>U$3*'Yield 1Y'!V55</f>
        <v>0</v>
      </c>
      <c r="V56" s="72">
        <f>V$3*'Yield 1Y'!W55</f>
        <v>0</v>
      </c>
      <c r="W56" s="72">
        <f>W$3*'Yield 1Y'!X55</f>
        <v>0</v>
      </c>
      <c r="X56" s="72">
        <f>X$3*'Yield 1Y'!Y55</f>
        <v>0</v>
      </c>
      <c r="Y56" s="72">
        <f>Y$3*'Yield 1Y'!Z55</f>
        <v>0</v>
      </c>
      <c r="Z56" s="72">
        <f>Z$3*'Yield 1Y'!AA55</f>
        <v>0</v>
      </c>
      <c r="AA56" s="177">
        <f t="shared" si="2"/>
        <v>0</v>
      </c>
      <c r="AB56" s="124">
        <f>VLOOKUP(P56,'Yield 1Y'!$F:$G,2,0)</f>
        <v>46178</v>
      </c>
      <c r="AC56" s="318">
        <f t="shared" si="6"/>
        <v>179</v>
      </c>
      <c r="AE56" s="37">
        <v>38</v>
      </c>
      <c r="AF56" s="72">
        <f>AF$3*'Yield 1Y'!AB40</f>
        <v>0</v>
      </c>
      <c r="AG56" s="72">
        <f>AG$3*'Yield 1Y'!AC40</f>
        <v>0</v>
      </c>
      <c r="AH56" s="72">
        <f>AH$3*'Yield 1Y'!AD40</f>
        <v>-0.26740109081184765</v>
      </c>
      <c r="AI56" s="72">
        <f>AI$3*'Yield 1Y'!AE40</f>
        <v>-0.7500502382114822</v>
      </c>
      <c r="AJ56" s="72">
        <f>AJ$3*'Yield 1Y'!AF40</f>
        <v>-0.17770345534828924</v>
      </c>
      <c r="AK56" s="72">
        <f>AK$3*'Yield 1Y'!AG40</f>
        <v>-5.4104826964727861</v>
      </c>
      <c r="AL56" s="72">
        <f>AL$3*'Yield 1Y'!AH40</f>
        <v>-10.351200017353301</v>
      </c>
      <c r="AM56" s="72">
        <f>AM$3*'Yield 1Y'!AI40</f>
        <v>-11.772520252179984</v>
      </c>
      <c r="AN56" s="72">
        <f>AN$3*'Yield 1Y'!AJ40</f>
        <v>0</v>
      </c>
      <c r="AO56" s="72">
        <f>AO$3*'Yield 1Y'!AK40</f>
        <v>0</v>
      </c>
      <c r="AP56" s="177">
        <f t="shared" si="3"/>
        <v>28.729357750377691</v>
      </c>
      <c r="AQ56" s="124">
        <f>VLOOKUP(AE56,'Yield 1Y'!$F:$G,2,0)</f>
        <v>46199</v>
      </c>
      <c r="AR56" s="318">
        <f t="shared" si="4"/>
        <v>168</v>
      </c>
      <c r="AT56" s="37">
        <v>50</v>
      </c>
      <c r="AU56" s="72">
        <f>AU$3*'Yield 1Y'!AB66</f>
        <v>0</v>
      </c>
      <c r="AV56" s="72">
        <f>AV$3*'Yield 1Y'!AC66</f>
        <v>0</v>
      </c>
      <c r="AW56" s="72">
        <f>AW$3*'Yield 1Y'!AD66</f>
        <v>0</v>
      </c>
      <c r="AX56" s="72">
        <f>AX$3*'Yield 1Y'!AE66</f>
        <v>0</v>
      </c>
      <c r="AY56" s="72">
        <f>AY$3*'Yield 1Y'!AF66</f>
        <v>0</v>
      </c>
      <c r="AZ56" s="72">
        <f>AZ$3*'Yield 1Y'!AG66</f>
        <v>-0.3950614036182461</v>
      </c>
      <c r="BA56" s="72">
        <f>BA$3*'Yield 1Y'!AH66</f>
        <v>0</v>
      </c>
      <c r="BB56" s="72">
        <f>BB$3*'Yield 1Y'!AI66</f>
        <v>-0.23975728721399137</v>
      </c>
      <c r="BC56" s="72">
        <f>BC$3*'Yield 1Y'!AJ66</f>
        <v>0</v>
      </c>
      <c r="BD56" s="72">
        <f>BD$3*'Yield 1Y'!AK66</f>
        <v>0</v>
      </c>
      <c r="BE56" s="177">
        <f t="shared" si="5"/>
        <v>0.63481869083223752</v>
      </c>
      <c r="BF56" s="124">
        <f>VLOOKUP(AT56,'Yield 1Y'!$F:$G,2,0)</f>
        <v>46183</v>
      </c>
      <c r="BG56" s="318">
        <f t="shared" si="7"/>
        <v>242</v>
      </c>
    </row>
    <row r="57" spans="1:59" x14ac:dyDescent="0.3">
      <c r="A57" s="37">
        <v>223</v>
      </c>
      <c r="B57" s="72">
        <f>'Yield 1Y'!R225*B$3</f>
        <v>0</v>
      </c>
      <c r="C57" s="72">
        <f>'Yield 1Y'!S225*C$3</f>
        <v>0</v>
      </c>
      <c r="D57" s="72">
        <f>'Yield 1Y'!T225*D$3</f>
        <v>0</v>
      </c>
      <c r="E57" s="72">
        <f>'Yield 1Y'!U225*E$3</f>
        <v>-0.34617703302068703</v>
      </c>
      <c r="F57" s="72">
        <f>'Yield 1Y'!V225*F$3</f>
        <v>-0.10755735455291306</v>
      </c>
      <c r="G57" s="72">
        <f>'Yield 1Y'!W225*G$3</f>
        <v>0.27052413482361526</v>
      </c>
      <c r="H57" s="72">
        <f>'Yield 1Y'!X225*H$3</f>
        <v>-2.8983360048587481</v>
      </c>
      <c r="I57" s="72">
        <f>'Yield 1Y'!Y225*I$3</f>
        <v>-2.0181463289452082</v>
      </c>
      <c r="J57" s="72">
        <f>'Yield 1Y'!Z225*J$3</f>
        <v>0</v>
      </c>
      <c r="K57" s="72">
        <f>'Yield 1Y'!AA225*K$3</f>
        <v>0</v>
      </c>
      <c r="L57" s="177">
        <f t="shared" si="0"/>
        <v>5.0996925865539406</v>
      </c>
      <c r="M57" s="124">
        <f>VLOOKUP(A57,'Yield 1Y'!$F:$G,2,0)</f>
        <v>45926</v>
      </c>
      <c r="N57" s="318">
        <f t="shared" si="1"/>
        <v>63</v>
      </c>
      <c r="P57" s="37">
        <v>54</v>
      </c>
      <c r="Q57" s="72">
        <f>Q$3*'Yield 1Y'!R56</f>
        <v>0</v>
      </c>
      <c r="R57" s="72">
        <f>R$3*'Yield 1Y'!S56</f>
        <v>0</v>
      </c>
      <c r="S57" s="72">
        <f>S$3*'Yield 1Y'!T56</f>
        <v>0</v>
      </c>
      <c r="T57" s="72">
        <f>T$3*'Yield 1Y'!U56</f>
        <v>0</v>
      </c>
      <c r="U57" s="72">
        <f>U$3*'Yield 1Y'!V56</f>
        <v>0</v>
      </c>
      <c r="V57" s="72">
        <f>V$3*'Yield 1Y'!W56</f>
        <v>-2.5487832491508513E-2</v>
      </c>
      <c r="W57" s="72">
        <f>W$3*'Yield 1Y'!X56</f>
        <v>-0.56915637405498798</v>
      </c>
      <c r="X57" s="72">
        <f>X$3*'Yield 1Y'!Y56</f>
        <v>-0.47951457442801826</v>
      </c>
      <c r="Y57" s="72">
        <f>Y$3*'Yield 1Y'!Z56</f>
        <v>0</v>
      </c>
      <c r="Z57" s="72">
        <f>Z$3*'Yield 1Y'!AA56</f>
        <v>0</v>
      </c>
      <c r="AA57" s="177">
        <f t="shared" si="2"/>
        <v>1.0741587809745148</v>
      </c>
      <c r="AB57" s="124">
        <f>VLOOKUP(P57,'Yield 1Y'!$F:$G,2,0)</f>
        <v>46177</v>
      </c>
      <c r="AC57" s="318">
        <f t="shared" si="6"/>
        <v>51</v>
      </c>
      <c r="AE57" s="37">
        <v>41</v>
      </c>
      <c r="AF57" s="72">
        <f>AF$3*'Yield 1Y'!AB43</f>
        <v>0</v>
      </c>
      <c r="AG57" s="72">
        <f>AG$3*'Yield 1Y'!AC43</f>
        <v>0</v>
      </c>
      <c r="AH57" s="72">
        <f>AH$3*'Yield 1Y'!AD43</f>
        <v>-0.28584254535059789</v>
      </c>
      <c r="AI57" s="72">
        <f>AI$3*'Yield 1Y'!AE43</f>
        <v>-1.0096830129770071</v>
      </c>
      <c r="AJ57" s="72">
        <f>AJ$3*'Yield 1Y'!AF43</f>
        <v>-0.14496860831044786</v>
      </c>
      <c r="AK57" s="72">
        <f>AK$3*'Yield 1Y'!AG43</f>
        <v>-12.17358606706401</v>
      </c>
      <c r="AL57" s="72">
        <f>AL$3*'Yield 1Y'!AH43</f>
        <v>-12.835488021517785</v>
      </c>
      <c r="AM57" s="72">
        <f>AM$3*'Yield 1Y'!AI43</f>
        <v>-14.799739745597646</v>
      </c>
      <c r="AN57" s="72">
        <f>AN$3*'Yield 1Y'!AJ43</f>
        <v>0</v>
      </c>
      <c r="AO57" s="72">
        <f>AO$3*'Yield 1Y'!AK43</f>
        <v>0</v>
      </c>
      <c r="AP57" s="177">
        <f t="shared" si="3"/>
        <v>41.249308000817493</v>
      </c>
      <c r="AQ57" s="124">
        <f>VLOOKUP(AE57,'Yield 1Y'!$F:$G,2,0)</f>
        <v>46196</v>
      </c>
      <c r="AR57" s="318">
        <f t="shared" si="4"/>
        <v>119</v>
      </c>
      <c r="AT57" s="37">
        <v>51</v>
      </c>
      <c r="AU57" s="72">
        <f>AU$3*'Yield 1Y'!AB24</f>
        <v>0</v>
      </c>
      <c r="AV57" s="72">
        <f>AV$3*'Yield 1Y'!AC24</f>
        <v>0</v>
      </c>
      <c r="AW57" s="72">
        <f>AW$3*'Yield 1Y'!AD24</f>
        <v>0</v>
      </c>
      <c r="AX57" s="72">
        <f>AX$3*'Yield 1Y'!AE24</f>
        <v>0</v>
      </c>
      <c r="AY57" s="72">
        <f>AY$3*'Yield 1Y'!AF24</f>
        <v>0</v>
      </c>
      <c r="AZ57" s="72">
        <f>AZ$3*'Yield 1Y'!AG24</f>
        <v>-0.1529269949490058</v>
      </c>
      <c r="BA57" s="72">
        <f>BA$3*'Yield 1Y'!AH24</f>
        <v>-0.91065019848800088</v>
      </c>
      <c r="BB57" s="72">
        <f>BB$3*'Yield 1Y'!AI24</f>
        <v>-0.39959547869000928</v>
      </c>
      <c r="BC57" s="72">
        <f>BC$3*'Yield 1Y'!AJ24</f>
        <v>0</v>
      </c>
      <c r="BD57" s="72">
        <f>BD$3*'Yield 1Y'!AK24</f>
        <v>0</v>
      </c>
      <c r="BE57" s="177">
        <f t="shared" si="5"/>
        <v>1.463172672127016</v>
      </c>
      <c r="BF57" s="124">
        <f>VLOOKUP(AT57,'Yield 1Y'!$F:$G,2,0)</f>
        <v>46182</v>
      </c>
      <c r="BG57" s="318">
        <f t="shared" si="7"/>
        <v>219</v>
      </c>
    </row>
    <row r="58" spans="1:59" x14ac:dyDescent="0.3">
      <c r="A58" s="37">
        <v>32</v>
      </c>
      <c r="B58" s="72">
        <f>'Yield 1Y'!R34*B$3</f>
        <v>0</v>
      </c>
      <c r="C58" s="72">
        <f>'Yield 1Y'!S34*C$3</f>
        <v>0</v>
      </c>
      <c r="D58" s="72">
        <f>'Yield 1Y'!T34*D$3</f>
        <v>0</v>
      </c>
      <c r="E58" s="72">
        <f>'Yield 1Y'!U34*E$3</f>
        <v>0</v>
      </c>
      <c r="F58" s="72">
        <f>'Yield 1Y'!V34*F$3</f>
        <v>0</v>
      </c>
      <c r="G58" s="72">
        <f>'Yield 1Y'!W34*G$3</f>
        <v>0</v>
      </c>
      <c r="H58" s="72">
        <f>'Yield 1Y'!X34*H$3</f>
        <v>-0.41404800069426445</v>
      </c>
      <c r="I58" s="72">
        <f>'Yield 1Y'!Y34*I$3</f>
        <v>0</v>
      </c>
      <c r="J58" s="72">
        <f>'Yield 1Y'!Z34*J$3</f>
        <v>0</v>
      </c>
      <c r="K58" s="72">
        <f>'Yield 1Y'!AA34*K$3</f>
        <v>0</v>
      </c>
      <c r="L58" s="177">
        <f t="shared" si="0"/>
        <v>0.41404800069426445</v>
      </c>
      <c r="M58" s="124">
        <f>VLOOKUP(A58,'Yield 1Y'!$F:$G,2,0)</f>
        <v>46209</v>
      </c>
      <c r="N58" s="318">
        <f t="shared" si="1"/>
        <v>178</v>
      </c>
      <c r="P58" s="37">
        <v>55</v>
      </c>
      <c r="Q58" s="72">
        <f>Q$3*'Yield 1Y'!R57</f>
        <v>0</v>
      </c>
      <c r="R58" s="72">
        <f>R$3*'Yield 1Y'!S57</f>
        <v>0</v>
      </c>
      <c r="S58" s="72">
        <f>S$3*'Yield 1Y'!T57</f>
        <v>0</v>
      </c>
      <c r="T58" s="72">
        <f>T$3*'Yield 1Y'!U57</f>
        <v>0</v>
      </c>
      <c r="U58" s="72">
        <f>U$3*'Yield 1Y'!V57</f>
        <v>0</v>
      </c>
      <c r="V58" s="72">
        <f>V$3*'Yield 1Y'!W57</f>
        <v>0</v>
      </c>
      <c r="W58" s="72">
        <f>W$3*'Yield 1Y'!X57</f>
        <v>-0.11383127481093692</v>
      </c>
      <c r="X58" s="72">
        <f>X$3*'Yield 1Y'!Y57</f>
        <v>0</v>
      </c>
      <c r="Y58" s="72">
        <f>Y$3*'Yield 1Y'!Z57</f>
        <v>0</v>
      </c>
      <c r="Z58" s="72">
        <f>Z$3*'Yield 1Y'!AA57</f>
        <v>0</v>
      </c>
      <c r="AA58" s="177">
        <f t="shared" si="2"/>
        <v>0.11383127481093692</v>
      </c>
      <c r="AB58" s="124">
        <f>VLOOKUP(P58,'Yield 1Y'!$F:$G,2,0)</f>
        <v>46176</v>
      </c>
      <c r="AC58" s="318">
        <f t="shared" si="6"/>
        <v>162</v>
      </c>
      <c r="AE58" s="37">
        <v>7</v>
      </c>
      <c r="AF58" s="72">
        <f>AF$3*'Yield 1Y'!AB9</f>
        <v>0</v>
      </c>
      <c r="AG58" s="72">
        <f>AG$3*'Yield 1Y'!AC9</f>
        <v>0</v>
      </c>
      <c r="AH58" s="72">
        <f>AH$3*'Yield 1Y'!AD9</f>
        <v>-0.46103636346870253</v>
      </c>
      <c r="AI58" s="72">
        <f>AI$3*'Yield 1Y'!AE9</f>
        <v>-0.23078468868045804</v>
      </c>
      <c r="AJ58" s="72">
        <f>AJ$3*'Yield 1Y'!AF9</f>
        <v>-0.23382033598459143</v>
      </c>
      <c r="AK58" s="72">
        <f>AK$3*'Yield 1Y'!AG9</f>
        <v>-2.4347172134126578</v>
      </c>
      <c r="AL58" s="72">
        <f>AL$3*'Yield 1Y'!AH9</f>
        <v>-20.702400034706422</v>
      </c>
      <c r="AM58" s="72">
        <f>AM$3*'Yield 1Y'!AI9</f>
        <v>-11.772520252179984</v>
      </c>
      <c r="AN58" s="72">
        <f>AN$3*'Yield 1Y'!AJ9</f>
        <v>0</v>
      </c>
      <c r="AO58" s="72">
        <f>AO$3*'Yield 1Y'!AK9</f>
        <v>0</v>
      </c>
      <c r="AP58" s="177">
        <f t="shared" si="3"/>
        <v>35.835278888432811</v>
      </c>
      <c r="AQ58" s="124">
        <f>VLOOKUP(AE58,'Yield 1Y'!$F:$G,2,0)</f>
        <v>46244</v>
      </c>
      <c r="AR58" s="318">
        <f t="shared" si="4"/>
        <v>140</v>
      </c>
      <c r="AT58" s="37">
        <v>52</v>
      </c>
      <c r="AU58" s="72">
        <f>AU$3*'Yield 1Y'!AB213</f>
        <v>0</v>
      </c>
      <c r="AV58" s="72">
        <f>AV$3*'Yield 1Y'!AC213</f>
        <v>0</v>
      </c>
      <c r="AW58" s="72">
        <f>AW$3*'Yield 1Y'!AD213</f>
        <v>0</v>
      </c>
      <c r="AX58" s="72">
        <f>AX$3*'Yield 1Y'!AE213</f>
        <v>0</v>
      </c>
      <c r="AY58" s="72">
        <f>AY$3*'Yield 1Y'!AF213</f>
        <v>0</v>
      </c>
      <c r="AZ58" s="72">
        <f>AZ$3*'Yield 1Y'!AG213</f>
        <v>-0.67542756102474921</v>
      </c>
      <c r="BA58" s="72">
        <f>BA$3*'Yield 1Y'!AH213</f>
        <v>-4.6670822672509917</v>
      </c>
      <c r="BB58" s="72">
        <f>BB$3*'Yield 1Y'!AI213</f>
        <v>-2.2776942285330155</v>
      </c>
      <c r="BC58" s="72">
        <f>BC$3*'Yield 1Y'!AJ213</f>
        <v>0</v>
      </c>
      <c r="BD58" s="72">
        <f>BD$3*'Yield 1Y'!AK213</f>
        <v>0</v>
      </c>
      <c r="BE58" s="177">
        <f t="shared" si="5"/>
        <v>7.6202040568087561</v>
      </c>
      <c r="BF58" s="124">
        <f>VLOOKUP(AT58,'Yield 1Y'!$F:$G,2,0)</f>
        <v>46181</v>
      </c>
      <c r="BG58" s="318">
        <f t="shared" si="7"/>
        <v>98</v>
      </c>
    </row>
    <row r="59" spans="1:59" x14ac:dyDescent="0.3">
      <c r="A59" s="114">
        <v>227</v>
      </c>
      <c r="B59" s="72">
        <f>'Yield 1Y'!R229*B$3</f>
        <v>0</v>
      </c>
      <c r="C59" s="72">
        <f>'Yield 1Y'!S229*C$3</f>
        <v>0</v>
      </c>
      <c r="D59" s="72">
        <f>'Yield 1Y'!T229*D$3</f>
        <v>-0.1106487272324891</v>
      </c>
      <c r="E59" s="72">
        <f>'Yield 1Y'!U229*E$3</f>
        <v>-0.17308851651033713</v>
      </c>
      <c r="F59" s="72">
        <f>'Yield 1Y'!V229*F$3</f>
        <v>0</v>
      </c>
      <c r="G59" s="72">
        <f>'Yield 1Y'!W229*G$3</f>
        <v>-1.3526206741183167</v>
      </c>
      <c r="H59" s="72">
        <f>'Yield 1Y'!X229*H$3</f>
        <v>-2.4842880041646676</v>
      </c>
      <c r="I59" s="72">
        <f>'Yield 1Y'!Y229*I$3</f>
        <v>-1.68178860745439</v>
      </c>
      <c r="J59" s="72">
        <f>'Yield 1Y'!Z229*J$3</f>
        <v>0</v>
      </c>
      <c r="K59" s="72">
        <f>'Yield 1Y'!AA229*K$3</f>
        <v>0</v>
      </c>
      <c r="L59" s="394">
        <f t="shared" si="0"/>
        <v>5.8024345294802</v>
      </c>
      <c r="M59" s="124">
        <f>VLOOKUP(A59,'Yield 1Y'!$F:$G,2,0)</f>
        <v>45922</v>
      </c>
      <c r="N59" s="318">
        <f t="shared" si="1"/>
        <v>60</v>
      </c>
      <c r="P59" s="37">
        <v>56</v>
      </c>
      <c r="Q59" s="72">
        <f>Q$3*'Yield 1Y'!R58</f>
        <v>0</v>
      </c>
      <c r="R59" s="72">
        <f>R$3*'Yield 1Y'!S58</f>
        <v>0</v>
      </c>
      <c r="S59" s="72">
        <f>S$3*'Yield 1Y'!T58</f>
        <v>0</v>
      </c>
      <c r="T59" s="72">
        <f>T$3*'Yield 1Y'!U58</f>
        <v>0</v>
      </c>
      <c r="U59" s="72">
        <f>U$3*'Yield 1Y'!V58</f>
        <v>0</v>
      </c>
      <c r="V59" s="72">
        <f>V$3*'Yield 1Y'!W58</f>
        <v>0</v>
      </c>
      <c r="W59" s="72">
        <f>W$3*'Yield 1Y'!X58</f>
        <v>0.22766254962197496</v>
      </c>
      <c r="X59" s="72">
        <f>X$3*'Yield 1Y'!Y58</f>
        <v>0</v>
      </c>
      <c r="Y59" s="72">
        <f>Y$3*'Yield 1Y'!Z58</f>
        <v>0</v>
      </c>
      <c r="Z59" s="72">
        <f>Z$3*'Yield 1Y'!AA58</f>
        <v>0</v>
      </c>
      <c r="AA59" s="177">
        <f t="shared" si="2"/>
        <v>-0.22766254962197496</v>
      </c>
      <c r="AB59" s="124">
        <f>VLOOKUP(P59,'Yield 1Y'!$F:$G,2,0)</f>
        <v>46175</v>
      </c>
      <c r="AC59" s="318">
        <f t="shared" si="6"/>
        <v>205</v>
      </c>
      <c r="AE59" s="37">
        <v>40</v>
      </c>
      <c r="AF59" s="72">
        <f>AF$3*'Yield 1Y'!AB42</f>
        <v>0</v>
      </c>
      <c r="AG59" s="72">
        <f>AG$3*'Yield 1Y'!AC42</f>
        <v>0</v>
      </c>
      <c r="AH59" s="72">
        <f>AH$3*'Yield 1Y'!AD42</f>
        <v>-0.26740109081184765</v>
      </c>
      <c r="AI59" s="72">
        <f>AI$3*'Yield 1Y'!AE42</f>
        <v>-1.038531099062074</v>
      </c>
      <c r="AJ59" s="72">
        <f>AJ$3*'Yield 1Y'!AF42</f>
        <v>-0.13561579487106312</v>
      </c>
      <c r="AK59" s="72">
        <f>AK$3*'Yield 1Y'!AG42</f>
        <v>-12.444110201887744</v>
      </c>
      <c r="AL59" s="72">
        <f>AL$3*'Yield 1Y'!AH42</f>
        <v>-12.007392020129624</v>
      </c>
      <c r="AM59" s="72">
        <f>AM$3*'Yield 1Y'!AI42</f>
        <v>-14.463382024106828</v>
      </c>
      <c r="AN59" s="72">
        <f>AN$3*'Yield 1Y'!AJ42</f>
        <v>0</v>
      </c>
      <c r="AO59" s="72">
        <f>AO$3*'Yield 1Y'!AK42</f>
        <v>0</v>
      </c>
      <c r="AP59" s="177">
        <f t="shared" si="3"/>
        <v>40.356432230869181</v>
      </c>
      <c r="AQ59" s="124">
        <f>VLOOKUP(AE59,'Yield 1Y'!$F:$G,2,0)</f>
        <v>46197</v>
      </c>
      <c r="AR59" s="318">
        <f t="shared" si="4"/>
        <v>125</v>
      </c>
      <c r="AT59" s="37">
        <v>53</v>
      </c>
      <c r="AU59" s="72">
        <f>AU$3*'Yield 1Y'!AB158</f>
        <v>0</v>
      </c>
      <c r="AV59" s="72">
        <f>AV$3*'Yield 1Y'!AC158</f>
        <v>0</v>
      </c>
      <c r="AW59" s="72">
        <f>AW$3*'Yield 1Y'!AD158</f>
        <v>0</v>
      </c>
      <c r="AX59" s="72">
        <f>AX$3*'Yield 1Y'!AE158</f>
        <v>0</v>
      </c>
      <c r="AY59" s="72">
        <f>AY$3*'Yield 1Y'!AF158</f>
        <v>0</v>
      </c>
      <c r="AZ59" s="72">
        <f>AZ$3*'Yield 1Y'!AG158</f>
        <v>-0.47152490109274903</v>
      </c>
      <c r="BA59" s="72">
        <f>BA$3*'Yield 1Y'!AH158</f>
        <v>-1.3659752977320014</v>
      </c>
      <c r="BB59" s="72">
        <f>BB$3*'Yield 1Y'!AI158</f>
        <v>-0.59939321803500512</v>
      </c>
      <c r="BC59" s="72">
        <f>BC$3*'Yield 1Y'!AJ158</f>
        <v>0</v>
      </c>
      <c r="BD59" s="72">
        <f>BD$3*'Yield 1Y'!AK158</f>
        <v>0</v>
      </c>
      <c r="BE59" s="177">
        <f t="shared" si="5"/>
        <v>2.4368934168597556</v>
      </c>
      <c r="BF59" s="124">
        <f>VLOOKUP(AT59,'Yield 1Y'!$F:$G,2,0)</f>
        <v>46178</v>
      </c>
      <c r="BG59" s="318">
        <f t="shared" si="7"/>
        <v>209</v>
      </c>
    </row>
    <row r="60" spans="1:59" x14ac:dyDescent="0.3">
      <c r="A60" s="37">
        <v>248</v>
      </c>
      <c r="B60" s="72">
        <f>'Yield 1Y'!R250*B$3</f>
        <v>0</v>
      </c>
      <c r="C60" s="72">
        <f>'Yield 1Y'!S250*C$3</f>
        <v>0</v>
      </c>
      <c r="D60" s="72">
        <f>'Yield 1Y'!T250*D$3</f>
        <v>-4.6103636346869432E-2</v>
      </c>
      <c r="E60" s="72">
        <f>'Yield 1Y'!U250*E$3</f>
        <v>-0.17308851651033713</v>
      </c>
      <c r="F60" s="72">
        <f>'Yield 1Y'!V250*F$3</f>
        <v>-3.7411253757534797E-2</v>
      </c>
      <c r="G60" s="72">
        <f>'Yield 1Y'!W250*G$3</f>
        <v>-2.7052413482363931</v>
      </c>
      <c r="H60" s="72">
        <f>'Yield 1Y'!X250*H$3</f>
        <v>0.4140480006940806</v>
      </c>
      <c r="I60" s="72">
        <f>'Yield 1Y'!Y250*I$3</f>
        <v>0</v>
      </c>
      <c r="J60" s="72">
        <f>'Yield 1Y'!Z250*J$3</f>
        <v>0</v>
      </c>
      <c r="K60" s="72">
        <f>'Yield 1Y'!AA250*K$3</f>
        <v>0</v>
      </c>
      <c r="L60" s="177">
        <f t="shared" si="0"/>
        <v>2.5477967541570541</v>
      </c>
      <c r="M60" s="124">
        <f>VLOOKUP(A60,'Yield 1Y'!$F:$G,2,0)</f>
        <v>45889</v>
      </c>
      <c r="N60" s="318">
        <f t="shared" si="1"/>
        <v>106</v>
      </c>
      <c r="P60" s="37">
        <v>57</v>
      </c>
      <c r="Q60" s="72">
        <f>Q$3*'Yield 1Y'!R59</f>
        <v>0</v>
      </c>
      <c r="R60" s="72">
        <f>R$3*'Yield 1Y'!S59</f>
        <v>0</v>
      </c>
      <c r="S60" s="72">
        <f>S$3*'Yield 1Y'!T59</f>
        <v>0</v>
      </c>
      <c r="T60" s="72">
        <f>T$3*'Yield 1Y'!U59</f>
        <v>0</v>
      </c>
      <c r="U60" s="72">
        <f>U$3*'Yield 1Y'!V59</f>
        <v>0</v>
      </c>
      <c r="V60" s="72">
        <f>V$3*'Yield 1Y'!W59</f>
        <v>0</v>
      </c>
      <c r="W60" s="72">
        <f>W$3*'Yield 1Y'!X59</f>
        <v>-1.024481473299039</v>
      </c>
      <c r="X60" s="72">
        <f>X$3*'Yield 1Y'!Y59</f>
        <v>-0.279716835082987</v>
      </c>
      <c r="Y60" s="72">
        <f>Y$3*'Yield 1Y'!Z59</f>
        <v>0</v>
      </c>
      <c r="Z60" s="72">
        <f>Z$3*'Yield 1Y'!AA59</f>
        <v>0</v>
      </c>
      <c r="AA60" s="177">
        <f t="shared" si="2"/>
        <v>1.3041983083820261</v>
      </c>
      <c r="AB60" s="124">
        <f>VLOOKUP(P60,'Yield 1Y'!$F:$G,2,0)</f>
        <v>46174</v>
      </c>
      <c r="AC60" s="318">
        <f t="shared" si="6"/>
        <v>46</v>
      </c>
      <c r="AE60" s="37">
        <v>39</v>
      </c>
      <c r="AF60" s="72">
        <f>AF$3*'Yield 1Y'!AB41</f>
        <v>0</v>
      </c>
      <c r="AG60" s="72">
        <f>AG$3*'Yield 1Y'!AC41</f>
        <v>0</v>
      </c>
      <c r="AH60" s="72">
        <f>AH$3*'Yield 1Y'!AD41</f>
        <v>-0.15675236357935854</v>
      </c>
      <c r="AI60" s="72">
        <f>AI$3*'Yield 1Y'!AE41</f>
        <v>-0.86544258255172402</v>
      </c>
      <c r="AJ60" s="72">
        <f>AJ$3*'Yield 1Y'!AF41</f>
        <v>-7.9498914234760923E-2</v>
      </c>
      <c r="AK60" s="72">
        <f>AK$3*'Yield 1Y'!AG41</f>
        <v>-10.009392988474847</v>
      </c>
      <c r="AL60" s="72">
        <f>AL$3*'Yield 1Y'!AH41</f>
        <v>-6.624768011106025</v>
      </c>
      <c r="AM60" s="72">
        <f>AM$3*'Yield 1Y'!AI41</f>
        <v>-9.4180162017439564</v>
      </c>
      <c r="AN60" s="72">
        <f>AN$3*'Yield 1Y'!AJ41</f>
        <v>0</v>
      </c>
      <c r="AO60" s="72">
        <f>AO$3*'Yield 1Y'!AK41</f>
        <v>0</v>
      </c>
      <c r="AP60" s="177">
        <f t="shared" si="3"/>
        <v>27.153871061690673</v>
      </c>
      <c r="AQ60" s="124">
        <f>VLOOKUP(AE60,'Yield 1Y'!$F:$G,2,0)</f>
        <v>46198</v>
      </c>
      <c r="AR60" s="318">
        <f t="shared" si="4"/>
        <v>174</v>
      </c>
      <c r="AT60" s="37">
        <v>54</v>
      </c>
      <c r="AU60" s="72">
        <f>AU$3*'Yield 1Y'!AB125</f>
        <v>0</v>
      </c>
      <c r="AV60" s="72">
        <f>AV$3*'Yield 1Y'!AC125</f>
        <v>0</v>
      </c>
      <c r="AW60" s="72">
        <f>AW$3*'Yield 1Y'!AD125</f>
        <v>0</v>
      </c>
      <c r="AX60" s="72">
        <f>AX$3*'Yield 1Y'!AE125</f>
        <v>0</v>
      </c>
      <c r="AY60" s="72">
        <f>AY$3*'Yield 1Y'!AF125</f>
        <v>0</v>
      </c>
      <c r="AZ60" s="72">
        <f>AZ$3*'Yield 1Y'!AG125</f>
        <v>0</v>
      </c>
      <c r="BA60" s="72">
        <f>BA$3*'Yield 1Y'!AH125</f>
        <v>-4.4394197176290175</v>
      </c>
      <c r="BB60" s="72">
        <f>BB$3*'Yield 1Y'!AI125</f>
        <v>-2.9170469944369986</v>
      </c>
      <c r="BC60" s="72">
        <f>BC$3*'Yield 1Y'!AJ125</f>
        <v>0</v>
      </c>
      <c r="BD60" s="72">
        <f>BD$3*'Yield 1Y'!AK125</f>
        <v>0</v>
      </c>
      <c r="BE60" s="177">
        <f t="shared" si="5"/>
        <v>7.3564667120660161</v>
      </c>
      <c r="BF60" s="124">
        <f>VLOOKUP(AT60,'Yield 1Y'!$F:$G,2,0)</f>
        <v>46177</v>
      </c>
      <c r="BG60" s="318">
        <f t="shared" si="7"/>
        <v>107</v>
      </c>
    </row>
    <row r="61" spans="1:59" x14ac:dyDescent="0.3">
      <c r="A61" s="37">
        <v>48</v>
      </c>
      <c r="B61" s="72">
        <f>'Yield 1Y'!R50*B$3</f>
        <v>0</v>
      </c>
      <c r="C61" s="72">
        <f>'Yield 1Y'!S50*C$3</f>
        <v>0</v>
      </c>
      <c r="D61" s="72">
        <f>'Yield 1Y'!T50*D$3</f>
        <v>-3.6882909077496369E-2</v>
      </c>
      <c r="E61" s="72">
        <f>'Yield 1Y'!U50*E$3</f>
        <v>-5.7696172170108105E-2</v>
      </c>
      <c r="F61" s="72">
        <f>'Yield 1Y'!V50*F$3</f>
        <v>0</v>
      </c>
      <c r="G61" s="72">
        <f>'Yield 1Y'!W50*G$3</f>
        <v>0</v>
      </c>
      <c r="H61" s="72">
        <f>'Yield 1Y'!X50*H$3</f>
        <v>0</v>
      </c>
      <c r="I61" s="72">
        <f>'Yield 1Y'!Y50*I$3</f>
        <v>-1.0090731644726041</v>
      </c>
      <c r="J61" s="72">
        <f>'Yield 1Y'!Z50*J$3</f>
        <v>0</v>
      </c>
      <c r="K61" s="72">
        <f>'Yield 1Y'!AA50*K$3</f>
        <v>0</v>
      </c>
      <c r="L61" s="177">
        <f t="shared" si="0"/>
        <v>1.1036522457202085</v>
      </c>
      <c r="M61" s="124">
        <f>VLOOKUP(A61,'Yield 1Y'!$F:$G,2,0)</f>
        <v>46185</v>
      </c>
      <c r="N61" s="318">
        <f t="shared" si="1"/>
        <v>148</v>
      </c>
      <c r="P61" s="37">
        <v>58</v>
      </c>
      <c r="Q61" s="72">
        <f>Q$3*'Yield 1Y'!R60</f>
        <v>0</v>
      </c>
      <c r="R61" s="72">
        <f>R$3*'Yield 1Y'!S60</f>
        <v>0</v>
      </c>
      <c r="S61" s="72">
        <f>S$3*'Yield 1Y'!T60</f>
        <v>0</v>
      </c>
      <c r="T61" s="72">
        <f>T$3*'Yield 1Y'!U60</f>
        <v>0</v>
      </c>
      <c r="U61" s="72">
        <f>U$3*'Yield 1Y'!V60</f>
        <v>0</v>
      </c>
      <c r="V61" s="72">
        <f>V$3*'Yield 1Y'!W60</f>
        <v>-0.17841482744049167</v>
      </c>
      <c r="W61" s="72">
        <f>W$3*'Yield 1Y'!X60</f>
        <v>0.56915637405498798</v>
      </c>
      <c r="X61" s="72">
        <f>X$3*'Yield 1Y'!Y60</f>
        <v>0.15983819147598241</v>
      </c>
      <c r="Y61" s="72">
        <f>Y$3*'Yield 1Y'!Z60</f>
        <v>0</v>
      </c>
      <c r="Z61" s="72">
        <f>Z$3*'Yield 1Y'!AA60</f>
        <v>0</v>
      </c>
      <c r="AA61" s="177">
        <f t="shared" si="2"/>
        <v>-0.55057973809047878</v>
      </c>
      <c r="AB61" s="124">
        <f>VLOOKUP(P61,'Yield 1Y'!$F:$G,2,0)</f>
        <v>46171</v>
      </c>
      <c r="AC61" s="318">
        <f t="shared" si="6"/>
        <v>232</v>
      </c>
      <c r="AE61" s="37">
        <v>42</v>
      </c>
      <c r="AF61" s="72">
        <f>AF$3*'Yield 1Y'!AB44</f>
        <v>0</v>
      </c>
      <c r="AG61" s="72">
        <f>AG$3*'Yield 1Y'!AC44</f>
        <v>0</v>
      </c>
      <c r="AH61" s="72">
        <f>AH$3*'Yield 1Y'!AD44</f>
        <v>-0.28584254535059789</v>
      </c>
      <c r="AI61" s="72">
        <f>AI$3*'Yield 1Y'!AE44</f>
        <v>-1.1250753573172234</v>
      </c>
      <c r="AJ61" s="72">
        <f>AJ$3*'Yield 1Y'!AF44</f>
        <v>-0.14496860831044786</v>
      </c>
      <c r="AK61" s="72">
        <f>AK$3*'Yield 1Y'!AG44</f>
        <v>-12.17358606706401</v>
      </c>
      <c r="AL61" s="72">
        <f>AL$3*'Yield 1Y'!AH44</f>
        <v>-12.835488021517785</v>
      </c>
      <c r="AM61" s="72">
        <f>AM$3*'Yield 1Y'!AI44</f>
        <v>-13.454308859634224</v>
      </c>
      <c r="AN61" s="72">
        <f>AN$3*'Yield 1Y'!AJ44</f>
        <v>0</v>
      </c>
      <c r="AO61" s="72">
        <f>AO$3*'Yield 1Y'!AK44</f>
        <v>0</v>
      </c>
      <c r="AP61" s="177">
        <f t="shared" si="3"/>
        <v>40.019269459194291</v>
      </c>
      <c r="AQ61" s="124">
        <f>VLOOKUP(AE61,'Yield 1Y'!$F:$G,2,0)</f>
        <v>46195</v>
      </c>
      <c r="AR61" s="318">
        <f t="shared" si="4"/>
        <v>127</v>
      </c>
      <c r="AT61" s="37">
        <v>55</v>
      </c>
      <c r="AU61" s="72">
        <f>AU$3*'Yield 1Y'!AB55</f>
        <v>0</v>
      </c>
      <c r="AV61" s="72">
        <f>AV$3*'Yield 1Y'!AC55</f>
        <v>0</v>
      </c>
      <c r="AW61" s="72">
        <f>AW$3*'Yield 1Y'!AD55</f>
        <v>0</v>
      </c>
      <c r="AX61" s="72">
        <f>AX$3*'Yield 1Y'!AE55</f>
        <v>0</v>
      </c>
      <c r="AY61" s="72">
        <f>AY$3*'Yield 1Y'!AF55</f>
        <v>0</v>
      </c>
      <c r="AZ61" s="72">
        <f>AZ$3*'Yield 1Y'!AG55</f>
        <v>-1.9753070180912533</v>
      </c>
      <c r="BA61" s="72">
        <f>BA$3*'Yield 1Y'!AH55</f>
        <v>-7.8543579619589954</v>
      </c>
      <c r="BB61" s="72">
        <f>BB$3*'Yield 1Y'!AI55</f>
        <v>-2.6772897072230073</v>
      </c>
      <c r="BC61" s="72">
        <f>BC$3*'Yield 1Y'!AJ55</f>
        <v>0</v>
      </c>
      <c r="BD61" s="72">
        <f>BD$3*'Yield 1Y'!AK55</f>
        <v>0</v>
      </c>
      <c r="BE61" s="177">
        <f t="shared" si="5"/>
        <v>12.506954687273256</v>
      </c>
      <c r="BF61" s="124">
        <f>VLOOKUP(AT61,'Yield 1Y'!$F:$G,2,0)</f>
        <v>46176</v>
      </c>
      <c r="BG61" s="318">
        <f t="shared" si="7"/>
        <v>44</v>
      </c>
    </row>
    <row r="62" spans="1:59" x14ac:dyDescent="0.3">
      <c r="A62" s="37">
        <v>228</v>
      </c>
      <c r="B62" s="72">
        <f>'Yield 1Y'!R230*B$3</f>
        <v>0</v>
      </c>
      <c r="C62" s="72">
        <f>'Yield 1Y'!S230*C$3</f>
        <v>0</v>
      </c>
      <c r="D62" s="72">
        <f>'Yield 1Y'!T230*D$3</f>
        <v>0</v>
      </c>
      <c r="E62" s="72">
        <f>'Yield 1Y'!U230*E$3</f>
        <v>-0.11539234434022902</v>
      </c>
      <c r="F62" s="72">
        <f>'Yield 1Y'!V230*F$3</f>
        <v>-3.2734847037843469E-2</v>
      </c>
      <c r="G62" s="72">
        <f>'Yield 1Y'!W230*G$3</f>
        <v>0.81157240447096601</v>
      </c>
      <c r="H62" s="72">
        <f>'Yield 1Y'!X230*H$3</f>
        <v>-1.2421440020824257</v>
      </c>
      <c r="I62" s="72">
        <f>'Yield 1Y'!Y230*I$3</f>
        <v>0</v>
      </c>
      <c r="J62" s="72">
        <f>'Yield 1Y'!Z230*J$3</f>
        <v>0</v>
      </c>
      <c r="K62" s="72">
        <f>'Yield 1Y'!AA230*K$3</f>
        <v>0</v>
      </c>
      <c r="L62" s="177">
        <f t="shared" si="0"/>
        <v>0.5786987889895322</v>
      </c>
      <c r="M62" s="124">
        <f>VLOOKUP(A62,'Yield 1Y'!$F:$G,2,0)</f>
        <v>45919</v>
      </c>
      <c r="N62" s="318">
        <f t="shared" si="1"/>
        <v>167</v>
      </c>
      <c r="P62" s="37">
        <v>59</v>
      </c>
      <c r="Q62" s="72">
        <f>Q$3*'Yield 1Y'!R61</f>
        <v>0</v>
      </c>
      <c r="R62" s="72">
        <f>R$3*'Yield 1Y'!S61</f>
        <v>0</v>
      </c>
      <c r="S62" s="72">
        <f>S$3*'Yield 1Y'!T61</f>
        <v>0</v>
      </c>
      <c r="T62" s="72">
        <f>T$3*'Yield 1Y'!U61</f>
        <v>0</v>
      </c>
      <c r="U62" s="72">
        <f>U$3*'Yield 1Y'!V61</f>
        <v>0</v>
      </c>
      <c r="V62" s="72">
        <f>V$3*'Yield 1Y'!W61</f>
        <v>-0.28036615740650311</v>
      </c>
      <c r="W62" s="72">
        <f>W$3*'Yield 1Y'!X61</f>
        <v>-8.4235143360139837</v>
      </c>
      <c r="X62" s="72">
        <f>X$3*'Yield 1Y'!Y61</f>
        <v>-4.9949434836250006</v>
      </c>
      <c r="Y62" s="72">
        <f>Y$3*'Yield 1Y'!Z61</f>
        <v>0</v>
      </c>
      <c r="Z62" s="72">
        <f>Z$3*'Yield 1Y'!AA61</f>
        <v>0</v>
      </c>
      <c r="AA62" s="177">
        <f t="shared" si="2"/>
        <v>13.698823977045487</v>
      </c>
      <c r="AB62" s="124">
        <f>VLOOKUP(P62,'Yield 1Y'!$F:$G,2,0)</f>
        <v>46170</v>
      </c>
      <c r="AC62" s="318">
        <f t="shared" si="6"/>
        <v>1</v>
      </c>
      <c r="AE62" s="37">
        <v>9</v>
      </c>
      <c r="AF62" s="72">
        <f>AF$3*'Yield 1Y'!AB11</f>
        <v>0</v>
      </c>
      <c r="AG62" s="72">
        <f>AG$3*'Yield 1Y'!AC11</f>
        <v>0</v>
      </c>
      <c r="AH62" s="72">
        <f>AH$3*'Yield 1Y'!AD11</f>
        <v>-0.46103636346870253</v>
      </c>
      <c r="AI62" s="72">
        <f>AI$3*'Yield 1Y'!AE11</f>
        <v>-0.11539234434021621</v>
      </c>
      <c r="AJ62" s="72">
        <f>AJ$3*'Yield 1Y'!AF11</f>
        <v>-0.23382033598459143</v>
      </c>
      <c r="AK62" s="72">
        <f>AK$3*'Yield 1Y'!AG11</f>
        <v>-1.082096539294461</v>
      </c>
      <c r="AL62" s="72">
        <f>AL$3*'Yield 1Y'!AH11</f>
        <v>-27.741216046506526</v>
      </c>
      <c r="AM62" s="72">
        <f>AM$3*'Yield 1Y'!AI11</f>
        <v>-12.781593416652438</v>
      </c>
      <c r="AN62" s="72">
        <f>AN$3*'Yield 1Y'!AJ11</f>
        <v>0</v>
      </c>
      <c r="AO62" s="72">
        <f>AO$3*'Yield 1Y'!AK11</f>
        <v>0</v>
      </c>
      <c r="AP62" s="177">
        <f t="shared" si="3"/>
        <v>42.415155046246937</v>
      </c>
      <c r="AQ62" s="124">
        <f>VLOOKUP(AE62,'Yield 1Y'!$F:$G,2,0)</f>
        <v>46240</v>
      </c>
      <c r="AR62" s="318">
        <f t="shared" si="4"/>
        <v>114</v>
      </c>
      <c r="AT62" s="37">
        <v>56</v>
      </c>
      <c r="AU62" s="72">
        <f>AU$3*'Yield 1Y'!AB221</f>
        <v>0</v>
      </c>
      <c r="AV62" s="72">
        <f>AV$3*'Yield 1Y'!AC221</f>
        <v>0</v>
      </c>
      <c r="AW62" s="72">
        <f>AW$3*'Yield 1Y'!AD221</f>
        <v>0</v>
      </c>
      <c r="AX62" s="72">
        <f>AX$3*'Yield 1Y'!AE221</f>
        <v>0</v>
      </c>
      <c r="AY62" s="72">
        <f>AY$3*'Yield 1Y'!AF221</f>
        <v>0</v>
      </c>
      <c r="AZ62" s="72">
        <f>AZ$3*'Yield 1Y'!AG221</f>
        <v>-0.44603706860125181</v>
      </c>
      <c r="BA62" s="72">
        <f>BA$3*'Yield 1Y'!AH221</f>
        <v>-5.4639011909280057</v>
      </c>
      <c r="BB62" s="72">
        <f>BB$3*'Yield 1Y'!AI221</f>
        <v>-2.3176537764019933</v>
      </c>
      <c r="BC62" s="72">
        <f>BC$3*'Yield 1Y'!AJ221</f>
        <v>0</v>
      </c>
      <c r="BD62" s="72">
        <f>BD$3*'Yield 1Y'!AK221</f>
        <v>0</v>
      </c>
      <c r="BE62" s="177">
        <f t="shared" si="5"/>
        <v>8.2275920359312504</v>
      </c>
      <c r="BF62" s="124">
        <f>VLOOKUP(AT62,'Yield 1Y'!$F:$G,2,0)</f>
        <v>46175</v>
      </c>
      <c r="BG62" s="318">
        <f t="shared" si="7"/>
        <v>83</v>
      </c>
    </row>
    <row r="63" spans="1:59" x14ac:dyDescent="0.3">
      <c r="A63" s="37">
        <v>98</v>
      </c>
      <c r="B63" s="72">
        <f>'Yield 1Y'!R100*B$3</f>
        <v>0</v>
      </c>
      <c r="C63" s="72">
        <f>'Yield 1Y'!S100*C$3</f>
        <v>0</v>
      </c>
      <c r="D63" s="72">
        <f>'Yield 1Y'!T100*D$3</f>
        <v>0</v>
      </c>
      <c r="E63" s="72">
        <f>'Yield 1Y'!U100*E$3</f>
        <v>5.7696172170108105E-2</v>
      </c>
      <c r="F63" s="72">
        <f>'Yield 1Y'!V100*F$3</f>
        <v>1.4029220159076067E-2</v>
      </c>
      <c r="G63" s="72">
        <f>'Yield 1Y'!W100*G$3</f>
        <v>0</v>
      </c>
      <c r="H63" s="72">
        <f>'Yield 1Y'!X100*H$3</f>
        <v>-2.070240003470587</v>
      </c>
      <c r="I63" s="72">
        <f>'Yield 1Y'!Y100*I$3</f>
        <v>0</v>
      </c>
      <c r="J63" s="72">
        <f>'Yield 1Y'!Z100*J$3</f>
        <v>0</v>
      </c>
      <c r="K63" s="72">
        <f>'Yield 1Y'!AA100*K$3</f>
        <v>0</v>
      </c>
      <c r="L63" s="177">
        <f t="shared" si="0"/>
        <v>1.9985146111414029</v>
      </c>
      <c r="M63" s="124">
        <f>VLOOKUP(A63,'Yield 1Y'!$F:$G,2,0)</f>
        <v>46112</v>
      </c>
      <c r="N63" s="318">
        <f t="shared" si="1"/>
        <v>117</v>
      </c>
      <c r="P63" s="37">
        <v>60</v>
      </c>
      <c r="Q63" s="72">
        <f>Q$3*'Yield 1Y'!R62</f>
        <v>0</v>
      </c>
      <c r="R63" s="72">
        <f>R$3*'Yield 1Y'!S62</f>
        <v>0</v>
      </c>
      <c r="S63" s="72">
        <f>S$3*'Yield 1Y'!T62</f>
        <v>0</v>
      </c>
      <c r="T63" s="72">
        <f>T$3*'Yield 1Y'!U62</f>
        <v>0</v>
      </c>
      <c r="U63" s="72">
        <f>U$3*'Yield 1Y'!V62</f>
        <v>0</v>
      </c>
      <c r="V63" s="72">
        <f>V$3*'Yield 1Y'!W62</f>
        <v>-3.823174873725145E-2</v>
      </c>
      <c r="W63" s="72">
        <f>W$3*'Yield 1Y'!X62</f>
        <v>-0.22766254962197496</v>
      </c>
      <c r="X63" s="72">
        <f>X$3*'Yield 1Y'!Y62</f>
        <v>0</v>
      </c>
      <c r="Y63" s="72">
        <f>Y$3*'Yield 1Y'!Z62</f>
        <v>0</v>
      </c>
      <c r="Z63" s="72">
        <f>Z$3*'Yield 1Y'!AA62</f>
        <v>0</v>
      </c>
      <c r="AA63" s="177">
        <f t="shared" si="2"/>
        <v>0.2658942983592264</v>
      </c>
      <c r="AB63" s="124">
        <f>VLOOKUP(P63,'Yield 1Y'!$F:$G,2,0)</f>
        <v>46169</v>
      </c>
      <c r="AC63" s="318">
        <f t="shared" si="6"/>
        <v>132</v>
      </c>
      <c r="AE63" s="37">
        <v>8</v>
      </c>
      <c r="AF63" s="72">
        <f>AF$3*'Yield 1Y'!AB10</f>
        <v>0</v>
      </c>
      <c r="AG63" s="72">
        <f>AG$3*'Yield 1Y'!AC10</f>
        <v>0</v>
      </c>
      <c r="AH63" s="72">
        <f>AH$3*'Yield 1Y'!AD10</f>
        <v>-0.46103636346870253</v>
      </c>
      <c r="AI63" s="72">
        <f>AI$3*'Yield 1Y'!AE10</f>
        <v>-0.23078468868045804</v>
      </c>
      <c r="AJ63" s="72">
        <f>AJ$3*'Yield 1Y'!AF10</f>
        <v>-0.23382033598459143</v>
      </c>
      <c r="AK63" s="72">
        <f>AK$3*'Yield 1Y'!AG10</f>
        <v>-2.4347172134126578</v>
      </c>
      <c r="AL63" s="72">
        <f>AL$3*'Yield 1Y'!AH10</f>
        <v>-27.741216046506526</v>
      </c>
      <c r="AM63" s="72">
        <f>AM$3*'Yield 1Y'!AI10</f>
        <v>-13.454308859634224</v>
      </c>
      <c r="AN63" s="72">
        <f>AN$3*'Yield 1Y'!AJ10</f>
        <v>0</v>
      </c>
      <c r="AO63" s="72">
        <f>AO$3*'Yield 1Y'!AK10</f>
        <v>0</v>
      </c>
      <c r="AP63" s="177">
        <f t="shared" si="3"/>
        <v>44.555883507687156</v>
      </c>
      <c r="AQ63" s="124">
        <f>VLOOKUP(AE63,'Yield 1Y'!$F:$G,2,0)</f>
        <v>46241</v>
      </c>
      <c r="AR63" s="318">
        <f t="shared" si="4"/>
        <v>104</v>
      </c>
      <c r="AT63" s="37">
        <v>57</v>
      </c>
      <c r="AU63" s="72">
        <f>AU$3*'Yield 1Y'!AB131</f>
        <v>0</v>
      </c>
      <c r="AV63" s="72">
        <f>AV$3*'Yield 1Y'!AC131</f>
        <v>0</v>
      </c>
      <c r="AW63" s="72">
        <f>AW$3*'Yield 1Y'!AD131</f>
        <v>0</v>
      </c>
      <c r="AX63" s="72">
        <f>AX$3*'Yield 1Y'!AE131</f>
        <v>0</v>
      </c>
      <c r="AY63" s="72">
        <f>AY$3*'Yield 1Y'!AF131</f>
        <v>0</v>
      </c>
      <c r="AZ63" s="72">
        <f>AZ$3*'Yield 1Y'!AG131</f>
        <v>-5.0975664982994391E-2</v>
      </c>
      <c r="BA63" s="72">
        <f>BA$3*'Yield 1Y'!AH131</f>
        <v>-1.9351316717869893</v>
      </c>
      <c r="BB63" s="72">
        <f>BB$3*'Yield 1Y'!AI131</f>
        <v>-2.2776942285329977</v>
      </c>
      <c r="BC63" s="72">
        <f>BC$3*'Yield 1Y'!AJ131</f>
        <v>0</v>
      </c>
      <c r="BD63" s="72">
        <f>BD$3*'Yield 1Y'!AK131</f>
        <v>0</v>
      </c>
      <c r="BE63" s="177">
        <f t="shared" si="5"/>
        <v>4.2638015653029813</v>
      </c>
      <c r="BF63" s="124">
        <f>VLOOKUP(AT63,'Yield 1Y'!$F:$G,2,0)</f>
        <v>46174</v>
      </c>
      <c r="BG63" s="318">
        <f t="shared" si="7"/>
        <v>180</v>
      </c>
    </row>
    <row r="64" spans="1:59" x14ac:dyDescent="0.3">
      <c r="A64" s="37">
        <v>192</v>
      </c>
      <c r="B64" s="72">
        <f>'Yield 1Y'!R194*B$3</f>
        <v>0</v>
      </c>
      <c r="C64" s="72">
        <f>'Yield 1Y'!S194*C$3</f>
        <v>0</v>
      </c>
      <c r="D64" s="72">
        <f>'Yield 1Y'!T194*D$3</f>
        <v>-0.1936352726568549</v>
      </c>
      <c r="E64" s="72">
        <f>'Yield 1Y'!U194*E$3</f>
        <v>-0.3750251191057411</v>
      </c>
      <c r="F64" s="72">
        <f>'Yield 1Y'!V194*F$3</f>
        <v>-1.8705626878767399E-2</v>
      </c>
      <c r="G64" s="72">
        <f>'Yield 1Y'!W194*G$3</f>
        <v>-1.3526206741181965</v>
      </c>
      <c r="H64" s="72">
        <f>'Yield 1Y'!X194*H$3</f>
        <v>-3.726432006247093</v>
      </c>
      <c r="I64" s="72">
        <f>'Yield 1Y'!Y194*I$3</f>
        <v>-4.3726503793810858</v>
      </c>
      <c r="J64" s="72">
        <f>'Yield 1Y'!Z194*J$3</f>
        <v>0</v>
      </c>
      <c r="K64" s="72">
        <f>'Yield 1Y'!AA194*K$3</f>
        <v>0</v>
      </c>
      <c r="L64" s="177">
        <f t="shared" si="0"/>
        <v>10.039069078387739</v>
      </c>
      <c r="M64" s="124">
        <f>VLOOKUP(A64,'Yield 1Y'!$F:$G,2,0)</f>
        <v>45971</v>
      </c>
      <c r="N64" s="318">
        <f t="shared" si="1"/>
        <v>35</v>
      </c>
      <c r="P64" s="37">
        <v>61</v>
      </c>
      <c r="Q64" s="72">
        <f>Q$3*'Yield 1Y'!R63</f>
        <v>0</v>
      </c>
      <c r="R64" s="72">
        <f>R$3*'Yield 1Y'!S63</f>
        <v>0</v>
      </c>
      <c r="S64" s="72">
        <f>S$3*'Yield 1Y'!T63</f>
        <v>0</v>
      </c>
      <c r="T64" s="72">
        <f>T$3*'Yield 1Y'!U63</f>
        <v>0</v>
      </c>
      <c r="U64" s="72">
        <f>U$3*'Yield 1Y'!V63</f>
        <v>0</v>
      </c>
      <c r="V64" s="72">
        <f>V$3*'Yield 1Y'!W63</f>
        <v>0</v>
      </c>
      <c r="W64" s="72">
        <f>W$3*'Yield 1Y'!X63</f>
        <v>0</v>
      </c>
      <c r="X64" s="72">
        <f>X$3*'Yield 1Y'!Y63</f>
        <v>0</v>
      </c>
      <c r="Y64" s="72">
        <f>Y$3*'Yield 1Y'!Z63</f>
        <v>0</v>
      </c>
      <c r="Z64" s="72">
        <f>Z$3*'Yield 1Y'!AA63</f>
        <v>0</v>
      </c>
      <c r="AA64" s="177">
        <f t="shared" si="2"/>
        <v>0</v>
      </c>
      <c r="AB64" s="124">
        <f>VLOOKUP(P64,'Yield 1Y'!$F:$G,2,0)</f>
        <v>46168</v>
      </c>
      <c r="AC64" s="318">
        <f t="shared" si="6"/>
        <v>179</v>
      </c>
      <c r="AE64" s="37">
        <v>10</v>
      </c>
      <c r="AF64" s="72">
        <f>AF$3*'Yield 1Y'!AB12</f>
        <v>0</v>
      </c>
      <c r="AG64" s="72">
        <f>AG$3*'Yield 1Y'!AC12</f>
        <v>0</v>
      </c>
      <c r="AH64" s="72">
        <f>AH$3*'Yield 1Y'!AD12</f>
        <v>-0.37804981804433674</v>
      </c>
      <c r="AI64" s="72">
        <f>AI$3*'Yield 1Y'!AE12</f>
        <v>0</v>
      </c>
      <c r="AJ64" s="72">
        <f>AJ$3*'Yield 1Y'!AF12</f>
        <v>-0.19640908222705664</v>
      </c>
      <c r="AK64" s="72">
        <f>AK$3*'Yield 1Y'!AG12</f>
        <v>0</v>
      </c>
      <c r="AL64" s="72">
        <f>AL$3*'Yield 1Y'!AH12</f>
        <v>-24.014784040259247</v>
      </c>
      <c r="AM64" s="72">
        <f>AM$3*'Yield 1Y'!AI12</f>
        <v>-10.427089366216562</v>
      </c>
      <c r="AN64" s="72">
        <f>AN$3*'Yield 1Y'!AJ12</f>
        <v>0</v>
      </c>
      <c r="AO64" s="72">
        <f>AO$3*'Yield 1Y'!AK12</f>
        <v>0</v>
      </c>
      <c r="AP64" s="177">
        <f t="shared" si="3"/>
        <v>35.016332306747202</v>
      </c>
      <c r="AQ64" s="124">
        <f>VLOOKUP(AE64,'Yield 1Y'!$F:$G,2,0)</f>
        <v>46239</v>
      </c>
      <c r="AR64" s="318">
        <f t="shared" si="4"/>
        <v>145</v>
      </c>
      <c r="AT64" s="37">
        <v>58</v>
      </c>
      <c r="AU64" s="72">
        <f>AU$3*'Yield 1Y'!AB137</f>
        <v>0</v>
      </c>
      <c r="AV64" s="72">
        <f>AV$3*'Yield 1Y'!AC137</f>
        <v>0</v>
      </c>
      <c r="AW64" s="72">
        <f>AW$3*'Yield 1Y'!AD137</f>
        <v>0</v>
      </c>
      <c r="AX64" s="72">
        <f>AX$3*'Yield 1Y'!AE137</f>
        <v>0</v>
      </c>
      <c r="AY64" s="72">
        <f>AY$3*'Yield 1Y'!AF137</f>
        <v>0</v>
      </c>
      <c r="AZ64" s="72">
        <f>AZ$3*'Yield 1Y'!AG137</f>
        <v>0.10195132996600009</v>
      </c>
      <c r="BA64" s="72">
        <f>BA$3*'Yield 1Y'!AH137</f>
        <v>-1.7074691221650145</v>
      </c>
      <c r="BB64" s="72">
        <f>BB$3*'Yield 1Y'!AI137</f>
        <v>-0.51947412229699608</v>
      </c>
      <c r="BC64" s="72">
        <f>BC$3*'Yield 1Y'!AJ137</f>
        <v>0</v>
      </c>
      <c r="BD64" s="72">
        <f>BD$3*'Yield 1Y'!AK137</f>
        <v>0</v>
      </c>
      <c r="BE64" s="177">
        <f t="shared" si="5"/>
        <v>2.1249919144960101</v>
      </c>
      <c r="BF64" s="124">
        <f>VLOOKUP(AT64,'Yield 1Y'!$F:$G,2,0)</f>
        <v>46171</v>
      </c>
      <c r="BG64" s="318">
        <f t="shared" si="7"/>
        <v>211</v>
      </c>
    </row>
    <row r="65" spans="1:59" x14ac:dyDescent="0.3">
      <c r="A65" s="37">
        <v>89</v>
      </c>
      <c r="B65" s="72">
        <f>'Yield 1Y'!R91*B$3</f>
        <v>0</v>
      </c>
      <c r="C65" s="72">
        <f>'Yield 1Y'!S91*C$3</f>
        <v>0</v>
      </c>
      <c r="D65" s="72">
        <f>'Yield 1Y'!T91*D$3</f>
        <v>0</v>
      </c>
      <c r="E65" s="72">
        <f>'Yield 1Y'!U91*E$3</f>
        <v>0.11539234434022902</v>
      </c>
      <c r="F65" s="72">
        <f>'Yield 1Y'!V91*F$3</f>
        <v>3.7411253757534797E-2</v>
      </c>
      <c r="G65" s="72">
        <f>'Yield 1Y'!W91*G$3</f>
        <v>0</v>
      </c>
      <c r="H65" s="72">
        <f>'Yield 1Y'!X91*H$3</f>
        <v>1.242144002082058</v>
      </c>
      <c r="I65" s="72">
        <f>'Yield 1Y'!Y91*I$3</f>
        <v>0</v>
      </c>
      <c r="J65" s="72">
        <f>'Yield 1Y'!Z91*J$3</f>
        <v>0</v>
      </c>
      <c r="K65" s="72">
        <f>'Yield 1Y'!AA91*K$3</f>
        <v>0</v>
      </c>
      <c r="L65" s="177">
        <f t="shared" si="0"/>
        <v>-1.3949476001798218</v>
      </c>
      <c r="M65" s="124">
        <f>VLOOKUP(A65,'Yield 1Y'!$F:$G,2,0)</f>
        <v>46125</v>
      </c>
      <c r="N65" s="318">
        <f t="shared" si="1"/>
        <v>222</v>
      </c>
      <c r="P65" s="37">
        <v>62</v>
      </c>
      <c r="Q65" s="72">
        <f>Q$3*'Yield 1Y'!R64</f>
        <v>0</v>
      </c>
      <c r="R65" s="72">
        <f>R$3*'Yield 1Y'!S64</f>
        <v>0</v>
      </c>
      <c r="S65" s="72">
        <f>S$3*'Yield 1Y'!T64</f>
        <v>0</v>
      </c>
      <c r="T65" s="72">
        <f>T$3*'Yield 1Y'!U64</f>
        <v>0</v>
      </c>
      <c r="U65" s="72">
        <f>U$3*'Yield 1Y'!V64</f>
        <v>0</v>
      </c>
      <c r="V65" s="72">
        <f>V$3*'Yield 1Y'!W64</f>
        <v>0</v>
      </c>
      <c r="W65" s="72">
        <f>W$3*'Yield 1Y'!X64</f>
        <v>0.34149382443301302</v>
      </c>
      <c r="X65" s="72">
        <f>X$3*'Yield 1Y'!Y64</f>
        <v>0</v>
      </c>
      <c r="Y65" s="72">
        <f>Y$3*'Yield 1Y'!Z64</f>
        <v>0</v>
      </c>
      <c r="Z65" s="72">
        <f>Z$3*'Yield 1Y'!AA64</f>
        <v>0</v>
      </c>
      <c r="AA65" s="177">
        <f t="shared" si="2"/>
        <v>-0.34149382443301302</v>
      </c>
      <c r="AB65" s="124">
        <f>VLOOKUP(P65,'Yield 1Y'!$F:$G,2,0)</f>
        <v>46167</v>
      </c>
      <c r="AC65" s="318">
        <f t="shared" si="6"/>
        <v>216</v>
      </c>
      <c r="AE65" s="37">
        <v>141</v>
      </c>
      <c r="AF65" s="72">
        <f>AF$3*'Yield 1Y'!AB143</f>
        <v>0</v>
      </c>
      <c r="AG65" s="72">
        <f>AG$3*'Yield 1Y'!AC143</f>
        <v>0</v>
      </c>
      <c r="AH65" s="72">
        <f>AH$3*'Yield 1Y'!AD143</f>
        <v>8.2986545424365801E-2</v>
      </c>
      <c r="AI65" s="72">
        <f>AI$3*'Yield 1Y'!AE143</f>
        <v>-2.0482141120390556</v>
      </c>
      <c r="AJ65" s="72">
        <f>AJ$3*'Yield 1Y'!AF143</f>
        <v>-0.26187877630274359</v>
      </c>
      <c r="AK65" s="72">
        <f>AK$3*'Yield 1Y'!AG143</f>
        <v>-19.207213572478729</v>
      </c>
      <c r="AL65" s="72">
        <f>AL$3*'Yield 1Y'!AH143</f>
        <v>-17.804064029847488</v>
      </c>
      <c r="AM65" s="72">
        <f>AM$3*'Yield 1Y'!AI143</f>
        <v>-31.281268098649534</v>
      </c>
      <c r="AN65" s="72">
        <f>AN$3*'Yield 1Y'!AJ143</f>
        <v>0</v>
      </c>
      <c r="AO65" s="72">
        <f>AO$3*'Yield 1Y'!AK143</f>
        <v>0</v>
      </c>
      <c r="AP65" s="177">
        <f t="shared" si="3"/>
        <v>70.519652043893188</v>
      </c>
      <c r="AQ65" s="124">
        <f>VLOOKUP(AE65,'Yield 1Y'!$F:$G,2,0)</f>
        <v>46044</v>
      </c>
      <c r="AR65" s="318">
        <f t="shared" si="4"/>
        <v>53</v>
      </c>
      <c r="AT65" s="37">
        <v>59</v>
      </c>
      <c r="AU65" s="72">
        <f>AU$3*'Yield 1Y'!AB97</f>
        <v>0</v>
      </c>
      <c r="AV65" s="72">
        <f>AV$3*'Yield 1Y'!AC97</f>
        <v>0</v>
      </c>
      <c r="AW65" s="72">
        <f>AW$3*'Yield 1Y'!AD97</f>
        <v>0</v>
      </c>
      <c r="AX65" s="72">
        <f>AX$3*'Yield 1Y'!AE97</f>
        <v>0</v>
      </c>
      <c r="AY65" s="72">
        <f>AY$3*'Yield 1Y'!AF97</f>
        <v>0</v>
      </c>
      <c r="AZ65" s="72">
        <f>AZ$3*'Yield 1Y'!AG97</f>
        <v>-0.36957357112674893</v>
      </c>
      <c r="BA65" s="72">
        <f>BA$3*'Yield 1Y'!AH97</f>
        <v>-2.3904567710309896</v>
      </c>
      <c r="BB65" s="72">
        <f>BB$3*'Yield 1Y'!AI97</f>
        <v>-0.87911005311799206</v>
      </c>
      <c r="BC65" s="72">
        <f>BC$3*'Yield 1Y'!AJ97</f>
        <v>0</v>
      </c>
      <c r="BD65" s="72">
        <f>BD$3*'Yield 1Y'!AK97</f>
        <v>0</v>
      </c>
      <c r="BE65" s="177">
        <f t="shared" si="5"/>
        <v>3.6391403952757306</v>
      </c>
      <c r="BF65" s="124">
        <f>VLOOKUP(AT65,'Yield 1Y'!$F:$G,2,0)</f>
        <v>46170</v>
      </c>
      <c r="BG65" s="318">
        <f t="shared" si="7"/>
        <v>184</v>
      </c>
    </row>
    <row r="66" spans="1:59" x14ac:dyDescent="0.3">
      <c r="A66" s="37">
        <v>43</v>
      </c>
      <c r="B66" s="72">
        <f>'Yield 1Y'!R45*B$3</f>
        <v>0</v>
      </c>
      <c r="C66" s="72">
        <f>'Yield 1Y'!S45*C$3</f>
        <v>0</v>
      </c>
      <c r="D66" s="72">
        <f>'Yield 1Y'!T45*D$3</f>
        <v>-3.6882909077496369E-2</v>
      </c>
      <c r="E66" s="72">
        <f>'Yield 1Y'!U45*E$3</f>
        <v>-0.14424043042528306</v>
      </c>
      <c r="F66" s="72">
        <f>'Yield 1Y'!V45*F$3</f>
        <v>-3.2734847037841387E-2</v>
      </c>
      <c r="G66" s="72">
        <f>'Yield 1Y'!W45*G$3</f>
        <v>-2.9757654830601283</v>
      </c>
      <c r="H66" s="72">
        <f>'Yield 1Y'!X45*H$3</f>
        <v>-2.070240003470587</v>
      </c>
      <c r="I66" s="72">
        <f>'Yield 1Y'!Y45*I$3</f>
        <v>-2.0181463289452082</v>
      </c>
      <c r="J66" s="72">
        <f>'Yield 1Y'!Z45*J$3</f>
        <v>0</v>
      </c>
      <c r="K66" s="72">
        <f>'Yield 1Y'!AA45*K$3</f>
        <v>0</v>
      </c>
      <c r="L66" s="177">
        <f t="shared" si="0"/>
        <v>7.2780100020165452</v>
      </c>
      <c r="M66" s="124">
        <f>VLOOKUP(A66,'Yield 1Y'!$F:$G,2,0)</f>
        <v>46192</v>
      </c>
      <c r="N66" s="318">
        <f t="shared" si="1"/>
        <v>47</v>
      </c>
      <c r="P66" s="37">
        <v>63</v>
      </c>
      <c r="Q66" s="72">
        <f>Q$3*'Yield 1Y'!R65</f>
        <v>0</v>
      </c>
      <c r="R66" s="72">
        <f>R$3*'Yield 1Y'!S65</f>
        <v>0</v>
      </c>
      <c r="S66" s="72">
        <f>S$3*'Yield 1Y'!T65</f>
        <v>0</v>
      </c>
      <c r="T66" s="72">
        <f>T$3*'Yield 1Y'!U65</f>
        <v>0</v>
      </c>
      <c r="U66" s="72">
        <f>U$3*'Yield 1Y'!V65</f>
        <v>0</v>
      </c>
      <c r="V66" s="72">
        <f>V$3*'Yield 1Y'!W65</f>
        <v>0</v>
      </c>
      <c r="W66" s="72">
        <f>W$3*'Yield 1Y'!X65</f>
        <v>-0.22766254962197496</v>
      </c>
      <c r="X66" s="72">
        <f>X$3*'Yield 1Y'!Y65</f>
        <v>-0.279716835082987</v>
      </c>
      <c r="Y66" s="72">
        <f>Y$3*'Yield 1Y'!Z65</f>
        <v>0</v>
      </c>
      <c r="Z66" s="72">
        <f>Z$3*'Yield 1Y'!AA65</f>
        <v>0</v>
      </c>
      <c r="AA66" s="177">
        <f t="shared" si="2"/>
        <v>0.50737938470496191</v>
      </c>
      <c r="AB66" s="124">
        <f>VLOOKUP(P66,'Yield 1Y'!$F:$G,2,0)</f>
        <v>46164</v>
      </c>
      <c r="AC66" s="318">
        <f t="shared" si="6"/>
        <v>97</v>
      </c>
      <c r="AE66" s="37">
        <v>233</v>
      </c>
      <c r="AF66" s="72">
        <f>AF$3*'Yield 1Y'!AB235</f>
        <v>0</v>
      </c>
      <c r="AG66" s="72">
        <f>AG$3*'Yield 1Y'!AC235</f>
        <v>0</v>
      </c>
      <c r="AH66" s="72">
        <f>AH$3*'Yield 1Y'!AD235</f>
        <v>-0.43337418166058334</v>
      </c>
      <c r="AI66" s="72">
        <f>AI$3*'Yield 1Y'!AE235</f>
        <v>-0.23078468868045804</v>
      </c>
      <c r="AJ66" s="72">
        <f>AJ$3*'Yield 1Y'!AF235</f>
        <v>-0.22446752254520877</v>
      </c>
      <c r="AK66" s="72">
        <f>AK$3*'Yield 1Y'!AG235</f>
        <v>-5.6810068312966422</v>
      </c>
      <c r="AL66" s="72">
        <f>AL$3*'Yield 1Y'!AH235</f>
        <v>-19.874304033318076</v>
      </c>
      <c r="AM66" s="72">
        <f>AM$3*'Yield 1Y'!AI235</f>
        <v>-8.7453007587621716</v>
      </c>
      <c r="AN66" s="72">
        <f>AN$3*'Yield 1Y'!AJ235</f>
        <v>0</v>
      </c>
      <c r="AO66" s="72">
        <f>AO$3*'Yield 1Y'!AK235</f>
        <v>0</v>
      </c>
      <c r="AP66" s="177">
        <f t="shared" si="3"/>
        <v>35.18923801626314</v>
      </c>
      <c r="AQ66" s="124">
        <f>VLOOKUP(AE66,'Yield 1Y'!$F:$G,2,0)</f>
        <v>45912</v>
      </c>
      <c r="AR66" s="318">
        <f t="shared" si="4"/>
        <v>144</v>
      </c>
      <c r="AT66" s="37">
        <v>60</v>
      </c>
      <c r="AU66" s="72">
        <f>AU$3*'Yield 1Y'!AB51</f>
        <v>0</v>
      </c>
      <c r="AV66" s="72">
        <f>AV$3*'Yield 1Y'!AC51</f>
        <v>0</v>
      </c>
      <c r="AW66" s="72">
        <f>AW$3*'Yield 1Y'!AD51</f>
        <v>0</v>
      </c>
      <c r="AX66" s="72">
        <f>AX$3*'Yield 1Y'!AE51</f>
        <v>0</v>
      </c>
      <c r="AY66" s="72">
        <f>AY$3*'Yield 1Y'!AF51</f>
        <v>0</v>
      </c>
      <c r="AZ66" s="72">
        <f>AZ$3*'Yield 1Y'!AG51</f>
        <v>-1.8988435206167504</v>
      </c>
      <c r="BA66" s="72">
        <f>BA$3*'Yield 1Y'!AH51</f>
        <v>-9.1065019848799587</v>
      </c>
      <c r="BB66" s="72">
        <f>BB$3*'Yield 1Y'!AI51</f>
        <v>-1.9580178455809976</v>
      </c>
      <c r="BC66" s="72">
        <f>BC$3*'Yield 1Y'!AJ51</f>
        <v>0</v>
      </c>
      <c r="BD66" s="72">
        <f>BD$3*'Yield 1Y'!AK51</f>
        <v>0</v>
      </c>
      <c r="BE66" s="177">
        <f t="shared" si="5"/>
        <v>12.963363351077707</v>
      </c>
      <c r="BF66" s="124">
        <f>VLOOKUP(AT66,'Yield 1Y'!$F:$G,2,0)</f>
        <v>46169</v>
      </c>
      <c r="BG66" s="318">
        <f t="shared" si="7"/>
        <v>43</v>
      </c>
    </row>
    <row r="67" spans="1:59" x14ac:dyDescent="0.3">
      <c r="A67" s="37">
        <v>4</v>
      </c>
      <c r="B67" s="72">
        <f>'Yield 1Y'!R6*B$3</f>
        <v>0</v>
      </c>
      <c r="C67" s="72">
        <f>'Yield 1Y'!S6*C$3</f>
        <v>0</v>
      </c>
      <c r="D67" s="72">
        <f>'Yield 1Y'!T6*D$3</f>
        <v>0</v>
      </c>
      <c r="E67" s="72">
        <f>'Yield 1Y'!U6*E$3</f>
        <v>-0.20193660259540397</v>
      </c>
      <c r="F67" s="72">
        <f>'Yield 1Y'!V6*F$3</f>
        <v>-6.5469694075686938E-2</v>
      </c>
      <c r="G67" s="72">
        <f>'Yield 1Y'!W6*G$3</f>
        <v>-2.1641930785891628</v>
      </c>
      <c r="H67" s="72">
        <f>'Yield 1Y'!X6*H$3</f>
        <v>0</v>
      </c>
      <c r="I67" s="72">
        <f>'Yield 1Y'!Y6*I$3</f>
        <v>0</v>
      </c>
      <c r="J67" s="72">
        <f>'Yield 1Y'!Z6*J$3</f>
        <v>0</v>
      </c>
      <c r="K67" s="72">
        <f>'Yield 1Y'!AA6*K$3</f>
        <v>0</v>
      </c>
      <c r="L67" s="177">
        <f t="shared" si="0"/>
        <v>2.4315993752602538</v>
      </c>
      <c r="M67" s="124">
        <f>VLOOKUP(A67,'Yield 1Y'!$F:$G,2,0)</f>
        <v>46247</v>
      </c>
      <c r="N67" s="318">
        <f t="shared" si="1"/>
        <v>109</v>
      </c>
      <c r="P67" s="37">
        <v>64</v>
      </c>
      <c r="Q67" s="72">
        <f>Q$3*'Yield 1Y'!R66</f>
        <v>0</v>
      </c>
      <c r="R67" s="72">
        <f>R$3*'Yield 1Y'!S66</f>
        <v>0</v>
      </c>
      <c r="S67" s="72">
        <f>S$3*'Yield 1Y'!T66</f>
        <v>0</v>
      </c>
      <c r="T67" s="72">
        <f>T$3*'Yield 1Y'!U66</f>
        <v>0</v>
      </c>
      <c r="U67" s="72">
        <f>U$3*'Yield 1Y'!V66</f>
        <v>0</v>
      </c>
      <c r="V67" s="72">
        <f>V$3*'Yield 1Y'!W66</f>
        <v>0</v>
      </c>
      <c r="W67" s="72">
        <f>W$3*'Yield 1Y'!X66</f>
        <v>-0.79681892367706397</v>
      </c>
      <c r="X67" s="72">
        <f>X$3*'Yield 1Y'!Y66</f>
        <v>-0.11987864360700456</v>
      </c>
      <c r="Y67" s="72">
        <f>Y$3*'Yield 1Y'!Z66</f>
        <v>0</v>
      </c>
      <c r="Z67" s="72">
        <f>Z$3*'Yield 1Y'!AA66</f>
        <v>0</v>
      </c>
      <c r="AA67" s="177">
        <f t="shared" si="2"/>
        <v>0.91669756728406848</v>
      </c>
      <c r="AB67" s="124">
        <f>VLOOKUP(P67,'Yield 1Y'!$F:$G,2,0)</f>
        <v>46163</v>
      </c>
      <c r="AC67" s="318">
        <f t="shared" si="6"/>
        <v>61</v>
      </c>
      <c r="AE67" s="37">
        <v>22</v>
      </c>
      <c r="AF67" s="72">
        <f>AF$3*'Yield 1Y'!AB24</f>
        <v>0</v>
      </c>
      <c r="AG67" s="72">
        <f>AG$3*'Yield 1Y'!AC24</f>
        <v>0</v>
      </c>
      <c r="AH67" s="72">
        <f>AH$3*'Yield 1Y'!AD24</f>
        <v>-0.15675236357935854</v>
      </c>
      <c r="AI67" s="72">
        <f>AI$3*'Yield 1Y'!AE24</f>
        <v>-0.49041746344598292</v>
      </c>
      <c r="AJ67" s="72">
        <f>AJ$3*'Yield 1Y'!AF24</f>
        <v>-3.7411253757534797E-2</v>
      </c>
      <c r="AK67" s="72">
        <f>AK$3*'Yield 1Y'!AG24</f>
        <v>-3.2462896178838641</v>
      </c>
      <c r="AL67" s="72">
        <f>AL$3*'Yield 1Y'!AH24</f>
        <v>-3.3123840055530125</v>
      </c>
      <c r="AM67" s="72">
        <f>AM$3*'Yield 1Y'!AI24</f>
        <v>-3.3635772149086307</v>
      </c>
      <c r="AN67" s="72">
        <f>AN$3*'Yield 1Y'!AJ24</f>
        <v>0</v>
      </c>
      <c r="AO67" s="72">
        <f>AO$3*'Yield 1Y'!AK24</f>
        <v>0</v>
      </c>
      <c r="AP67" s="177">
        <f t="shared" si="3"/>
        <v>10.606831919128384</v>
      </c>
      <c r="AQ67" s="124">
        <f>VLOOKUP(AE67,'Yield 1Y'!$F:$G,2,0)</f>
        <v>46223</v>
      </c>
      <c r="AR67" s="318">
        <f t="shared" si="4"/>
        <v>227</v>
      </c>
      <c r="AT67" s="37">
        <v>61</v>
      </c>
      <c r="AU67" s="72">
        <f>AU$3*'Yield 1Y'!AB152</f>
        <v>0</v>
      </c>
      <c r="AV67" s="72">
        <f>AV$3*'Yield 1Y'!AC152</f>
        <v>0</v>
      </c>
      <c r="AW67" s="72">
        <f>AW$3*'Yield 1Y'!AD152</f>
        <v>0</v>
      </c>
      <c r="AX67" s="72">
        <f>AX$3*'Yield 1Y'!AE152</f>
        <v>0</v>
      </c>
      <c r="AY67" s="72">
        <f>AY$3*'Yield 1Y'!AF152</f>
        <v>0</v>
      </c>
      <c r="AZ67" s="72">
        <f>AZ$3*'Yield 1Y'!AG152</f>
        <v>-2.1664657617774994</v>
      </c>
      <c r="BA67" s="72">
        <f>BA$3*'Yield 1Y'!AH152</f>
        <v>-13.773584252131002</v>
      </c>
      <c r="BB67" s="72">
        <f>BB$3*'Yield 1Y'!AI152</f>
        <v>-8.4314646003590124</v>
      </c>
      <c r="BC67" s="72">
        <f>BC$3*'Yield 1Y'!AJ152</f>
        <v>0</v>
      </c>
      <c r="BD67" s="72">
        <f>BD$3*'Yield 1Y'!AK152</f>
        <v>0</v>
      </c>
      <c r="BE67" s="177">
        <f t="shared" si="5"/>
        <v>24.371514614267511</v>
      </c>
      <c r="BF67" s="124">
        <f>VLOOKUP(AT67,'Yield 1Y'!$F:$G,2,0)</f>
        <v>46168</v>
      </c>
      <c r="BG67" s="318">
        <f t="shared" si="7"/>
        <v>8</v>
      </c>
    </row>
    <row r="68" spans="1:59" x14ac:dyDescent="0.3">
      <c r="A68" s="37">
        <v>176</v>
      </c>
      <c r="B68" s="72">
        <f>'Yield 1Y'!R178*B$3</f>
        <v>0</v>
      </c>
      <c r="C68" s="72">
        <f>'Yield 1Y'!S178*C$3</f>
        <v>0</v>
      </c>
      <c r="D68" s="72">
        <f>'Yield 1Y'!T178*D$3</f>
        <v>-7.3765818154992738E-2</v>
      </c>
      <c r="E68" s="72">
        <f>'Yield 1Y'!U178*E$3</f>
        <v>-0.23078468868045804</v>
      </c>
      <c r="F68" s="72">
        <f>'Yield 1Y'!V178*F$3</f>
        <v>-3.2734847037843469E-2</v>
      </c>
      <c r="G68" s="72">
        <f>'Yield 1Y'!W178*G$3</f>
        <v>0</v>
      </c>
      <c r="H68" s="72">
        <f>'Yield 1Y'!X178*H$3</f>
        <v>-6.2107200104119444</v>
      </c>
      <c r="I68" s="72">
        <f>'Yield 1Y'!Y178*I$3</f>
        <v>-1.6817886074542407</v>
      </c>
      <c r="J68" s="72">
        <f>'Yield 1Y'!Z178*J$3</f>
        <v>0</v>
      </c>
      <c r="K68" s="72">
        <f>'Yield 1Y'!AA178*K$3</f>
        <v>0</v>
      </c>
      <c r="L68" s="177">
        <f t="shared" ref="L68:L131" si="8">-SUM(B68:K68)</f>
        <v>8.229793971739479</v>
      </c>
      <c r="M68" s="124">
        <f>VLOOKUP(A68,'Yield 1Y'!$F:$G,2,0)</f>
        <v>45993</v>
      </c>
      <c r="N68" s="318">
        <f t="shared" ref="N68:N131" si="9">_xlfn.RANK.AVG(L68,$L$4:$L$255)</f>
        <v>38</v>
      </c>
      <c r="P68" s="37">
        <v>65</v>
      </c>
      <c r="Q68" s="72">
        <f>Q$3*'Yield 1Y'!R67</f>
        <v>0</v>
      </c>
      <c r="R68" s="72">
        <f>R$3*'Yield 1Y'!S67</f>
        <v>0</v>
      </c>
      <c r="S68" s="72">
        <f>S$3*'Yield 1Y'!T67</f>
        <v>0</v>
      </c>
      <c r="T68" s="72">
        <f>T$3*'Yield 1Y'!U67</f>
        <v>0</v>
      </c>
      <c r="U68" s="72">
        <f>U$3*'Yield 1Y'!V67</f>
        <v>0</v>
      </c>
      <c r="V68" s="72">
        <f>V$3*'Yield 1Y'!W67</f>
        <v>-1.2743916245754256E-2</v>
      </c>
      <c r="W68" s="72">
        <f>W$3*'Yield 1Y'!X67</f>
        <v>-0.45532509924394993</v>
      </c>
      <c r="X68" s="72">
        <f>X$3*'Yield 1Y'!Y67</f>
        <v>-0.43955502655900491</v>
      </c>
      <c r="Y68" s="72">
        <f>Y$3*'Yield 1Y'!Z67</f>
        <v>0</v>
      </c>
      <c r="Z68" s="72">
        <f>Z$3*'Yield 1Y'!AA67</f>
        <v>0</v>
      </c>
      <c r="AA68" s="177">
        <f t="shared" ref="AA68:AA131" si="10">-SUM(Q68:Z68)</f>
        <v>0.90762404204870917</v>
      </c>
      <c r="AB68" s="124">
        <f>VLOOKUP(P68,'Yield 1Y'!$F:$G,2,0)</f>
        <v>46162</v>
      </c>
      <c r="AC68" s="318">
        <f t="shared" si="6"/>
        <v>63</v>
      </c>
      <c r="AE68" s="37">
        <v>23</v>
      </c>
      <c r="AF68" s="72">
        <f>AF$3*'Yield 1Y'!AB25</f>
        <v>0</v>
      </c>
      <c r="AG68" s="72">
        <f>AG$3*'Yield 1Y'!AC25</f>
        <v>0</v>
      </c>
      <c r="AH68" s="72">
        <f>AH$3*'Yield 1Y'!AD25</f>
        <v>-0.15675236357935854</v>
      </c>
      <c r="AI68" s="72">
        <f>AI$3*'Yield 1Y'!AE25</f>
        <v>-0.49041746344598292</v>
      </c>
      <c r="AJ68" s="72">
        <f>AJ$3*'Yield 1Y'!AF25</f>
        <v>-3.7411253757534797E-2</v>
      </c>
      <c r="AK68" s="72">
        <f>AK$3*'Yield 1Y'!AG25</f>
        <v>-3.2462896178838641</v>
      </c>
      <c r="AL68" s="72">
        <f>AL$3*'Yield 1Y'!AH25</f>
        <v>-3.3123840055530125</v>
      </c>
      <c r="AM68" s="72">
        <f>AM$3*'Yield 1Y'!AI25</f>
        <v>-3.0272194934176628</v>
      </c>
      <c r="AN68" s="72">
        <f>AN$3*'Yield 1Y'!AJ25</f>
        <v>0</v>
      </c>
      <c r="AO68" s="72">
        <f>AO$3*'Yield 1Y'!AK25</f>
        <v>0</v>
      </c>
      <c r="AP68" s="177">
        <f t="shared" ref="AP68:AP131" si="11">-SUM(AF68:AO68)</f>
        <v>10.270474197637416</v>
      </c>
      <c r="AQ68" s="124">
        <f>VLOOKUP(AE68,'Yield 1Y'!$F:$G,2,0)</f>
        <v>46220</v>
      </c>
      <c r="AR68" s="318">
        <f t="shared" ref="AR68:AR131" si="12">_xlfn.RANK.EQ(AP68,$AP$4:$AP$255)</f>
        <v>228</v>
      </c>
      <c r="AT68" s="37">
        <v>62</v>
      </c>
      <c r="AU68" s="72">
        <f>AU$3*'Yield 1Y'!AB144</f>
        <v>0</v>
      </c>
      <c r="AV68" s="72">
        <f>AV$3*'Yield 1Y'!AC144</f>
        <v>0</v>
      </c>
      <c r="AW68" s="72">
        <f>AW$3*'Yield 1Y'!AD144</f>
        <v>0</v>
      </c>
      <c r="AX68" s="72">
        <f>AX$3*'Yield 1Y'!AE144</f>
        <v>0</v>
      </c>
      <c r="AY68" s="72">
        <f>AY$3*'Yield 1Y'!AF144</f>
        <v>0</v>
      </c>
      <c r="AZ68" s="72">
        <f>AZ$3*'Yield 1Y'!AG144</f>
        <v>-2.0772583480572533</v>
      </c>
      <c r="BA68" s="72">
        <f>BA$3*'Yield 1Y'!AH144</f>
        <v>-10.358646007801024</v>
      </c>
      <c r="BB68" s="72">
        <f>BB$3*'Yield 1Y'!AI144</f>
        <v>-7.4324759036339989</v>
      </c>
      <c r="BC68" s="72">
        <f>BC$3*'Yield 1Y'!AJ144</f>
        <v>0</v>
      </c>
      <c r="BD68" s="72">
        <f>BD$3*'Yield 1Y'!AK144</f>
        <v>0</v>
      </c>
      <c r="BE68" s="177">
        <f t="shared" ref="BE68:BE131" si="13">-SUM(AU68:BD68)</f>
        <v>19.868380259492277</v>
      </c>
      <c r="BF68" s="124">
        <f>VLOOKUP(AT68,'Yield 1Y'!$F:$G,2,0)</f>
        <v>46167</v>
      </c>
      <c r="BG68" s="318">
        <f t="shared" si="7"/>
        <v>29</v>
      </c>
    </row>
    <row r="69" spans="1:59" x14ac:dyDescent="0.3">
      <c r="A69" s="37">
        <v>58</v>
      </c>
      <c r="B69" s="72">
        <f>'Yield 1Y'!R60*B$3</f>
        <v>0</v>
      </c>
      <c r="C69" s="72">
        <f>'Yield 1Y'!S60*C$3</f>
        <v>0</v>
      </c>
      <c r="D69" s="72">
        <f>'Yield 1Y'!T60*D$3</f>
        <v>-0.10142799996311194</v>
      </c>
      <c r="E69" s="72">
        <f>'Yield 1Y'!U60*E$3</f>
        <v>-5.7696172170108105E-2</v>
      </c>
      <c r="F69" s="72">
        <f>'Yield 1Y'!V60*F$3</f>
        <v>2.8058440318152134E-2</v>
      </c>
      <c r="G69" s="72">
        <f>'Yield 1Y'!W60*G$3</f>
        <v>-3.7873378875308541</v>
      </c>
      <c r="H69" s="72">
        <f>'Yield 1Y'!X60*H$3</f>
        <v>2.070240003470587</v>
      </c>
      <c r="I69" s="72">
        <f>'Yield 1Y'!Y60*I$3</f>
        <v>1.3454308859632731</v>
      </c>
      <c r="J69" s="72">
        <f>'Yield 1Y'!Z60*J$3</f>
        <v>0</v>
      </c>
      <c r="K69" s="72">
        <f>'Yield 1Y'!AA60*K$3</f>
        <v>0</v>
      </c>
      <c r="L69" s="177">
        <f t="shared" si="8"/>
        <v>0.50273272991206208</v>
      </c>
      <c r="M69" s="124">
        <f>VLOOKUP(A69,'Yield 1Y'!$F:$G,2,0)</f>
        <v>46171</v>
      </c>
      <c r="N69" s="318">
        <f t="shared" si="9"/>
        <v>174</v>
      </c>
      <c r="P69" s="37">
        <v>66</v>
      </c>
      <c r="Q69" s="72">
        <f>Q$3*'Yield 1Y'!R68</f>
        <v>0</v>
      </c>
      <c r="R69" s="72">
        <f>R$3*'Yield 1Y'!S68</f>
        <v>0</v>
      </c>
      <c r="S69" s="72">
        <f>S$3*'Yield 1Y'!T68</f>
        <v>0</v>
      </c>
      <c r="T69" s="72">
        <f>T$3*'Yield 1Y'!U68</f>
        <v>0</v>
      </c>
      <c r="U69" s="72">
        <f>U$3*'Yield 1Y'!V68</f>
        <v>0</v>
      </c>
      <c r="V69" s="72">
        <f>V$3*'Yield 1Y'!W68</f>
        <v>0</v>
      </c>
      <c r="W69" s="72">
        <f>W$3*'Yield 1Y'!X68</f>
        <v>0.45532509924394993</v>
      </c>
      <c r="X69" s="72">
        <f>X$3*'Yield 1Y'!Y68</f>
        <v>-0.19979773934499578</v>
      </c>
      <c r="Y69" s="72">
        <f>Y$3*'Yield 1Y'!Z68</f>
        <v>0</v>
      </c>
      <c r="Z69" s="72">
        <f>Z$3*'Yield 1Y'!AA68</f>
        <v>0</v>
      </c>
      <c r="AA69" s="177">
        <f t="shared" si="10"/>
        <v>-0.25552735989895414</v>
      </c>
      <c r="AB69" s="124">
        <f>VLOOKUP(P69,'Yield 1Y'!$F:$G,2,0)</f>
        <v>46161</v>
      </c>
      <c r="AC69" s="318">
        <f t="shared" ref="AC69:AC132" si="14">_xlfn.RANK.EQ(AA69,$AA$4:$AA$255)</f>
        <v>208</v>
      </c>
      <c r="AE69" s="37">
        <v>98</v>
      </c>
      <c r="AF69" s="72">
        <f>AF$3*'Yield 1Y'!AB100</f>
        <v>0</v>
      </c>
      <c r="AG69" s="72">
        <f>AG$3*'Yield 1Y'!AC100</f>
        <v>0</v>
      </c>
      <c r="AH69" s="72">
        <f>AH$3*'Yield 1Y'!AD100</f>
        <v>-0.14753163630998548</v>
      </c>
      <c r="AI69" s="72">
        <f>AI$3*'Yield 1Y'!AE100</f>
        <v>0</v>
      </c>
      <c r="AJ69" s="72">
        <f>AJ$3*'Yield 1Y'!AF100</f>
        <v>-7.9498914234760923E-2</v>
      </c>
      <c r="AK69" s="72">
        <f>AK$3*'Yield 1Y'!AG100</f>
        <v>-7.8451999098856842</v>
      </c>
      <c r="AL69" s="72">
        <f>AL$3*'Yield 1Y'!AH100</f>
        <v>-8.6950080145766115</v>
      </c>
      <c r="AM69" s="72">
        <f>AM$3*'Yield 1Y'!AI100</f>
        <v>-5.3817235438536892</v>
      </c>
      <c r="AN69" s="72">
        <f>AN$3*'Yield 1Y'!AJ100</f>
        <v>0</v>
      </c>
      <c r="AO69" s="72">
        <f>AO$3*'Yield 1Y'!AK100</f>
        <v>0</v>
      </c>
      <c r="AP69" s="177">
        <f t="shared" si="11"/>
        <v>22.148962018860729</v>
      </c>
      <c r="AQ69" s="124">
        <f>VLOOKUP(AE69,'Yield 1Y'!$F:$G,2,0)</f>
        <v>46112</v>
      </c>
      <c r="AR69" s="318">
        <f t="shared" si="12"/>
        <v>195</v>
      </c>
      <c r="AT69" s="37">
        <v>63</v>
      </c>
      <c r="AU69" s="72">
        <f>AU$3*'Yield 1Y'!AB212</f>
        <v>0</v>
      </c>
      <c r="AV69" s="72">
        <f>AV$3*'Yield 1Y'!AC212</f>
        <v>0</v>
      </c>
      <c r="AW69" s="72">
        <f>AW$3*'Yield 1Y'!AD212</f>
        <v>0</v>
      </c>
      <c r="AX69" s="72">
        <f>AX$3*'Yield 1Y'!AE212</f>
        <v>0</v>
      </c>
      <c r="AY69" s="72">
        <f>AY$3*'Yield 1Y'!AF212</f>
        <v>0</v>
      </c>
      <c r="AZ69" s="72">
        <f>AZ$3*'Yield 1Y'!AG212</f>
        <v>-0.67542756102474921</v>
      </c>
      <c r="BA69" s="72">
        <f>BA$3*'Yield 1Y'!AH212</f>
        <v>-4.6670822672509917</v>
      </c>
      <c r="BB69" s="72">
        <f>BB$3*'Yield 1Y'!AI212</f>
        <v>-2.1977751327950066</v>
      </c>
      <c r="BC69" s="72">
        <f>BC$3*'Yield 1Y'!AJ212</f>
        <v>0</v>
      </c>
      <c r="BD69" s="72">
        <f>BD$3*'Yield 1Y'!AK212</f>
        <v>0</v>
      </c>
      <c r="BE69" s="177">
        <f t="shared" si="13"/>
        <v>7.5402849610707481</v>
      </c>
      <c r="BF69" s="124">
        <f>VLOOKUP(AT69,'Yield 1Y'!$F:$G,2,0)</f>
        <v>46164</v>
      </c>
      <c r="BG69" s="318">
        <f t="shared" ref="BG69:BG132" si="15">_xlfn.RANK.EQ(BE69,$BE$4:$BE$255)</f>
        <v>99</v>
      </c>
    </row>
    <row r="70" spans="1:59" x14ac:dyDescent="0.3">
      <c r="A70" s="37">
        <v>135</v>
      </c>
      <c r="B70" s="72">
        <f>'Yield 1Y'!R137*B$3</f>
        <v>0</v>
      </c>
      <c r="C70" s="72">
        <f>'Yield 1Y'!S137*C$3</f>
        <v>0</v>
      </c>
      <c r="D70" s="72">
        <f>'Yield 1Y'!T137*D$3</f>
        <v>0</v>
      </c>
      <c r="E70" s="72">
        <f>'Yield 1Y'!U137*E$3</f>
        <v>-5.7696172170108105E-2</v>
      </c>
      <c r="F70" s="72">
        <f>'Yield 1Y'!V137*F$3</f>
        <v>-1.8705626878767399E-2</v>
      </c>
      <c r="G70" s="72">
        <f>'Yield 1Y'!W137*G$3</f>
        <v>0</v>
      </c>
      <c r="H70" s="72">
        <f>'Yield 1Y'!X137*H$3</f>
        <v>1.6561920027766901</v>
      </c>
      <c r="I70" s="72">
        <f>'Yield 1Y'!Y137*I$3</f>
        <v>0</v>
      </c>
      <c r="J70" s="72">
        <f>'Yield 1Y'!Z137*J$3</f>
        <v>0</v>
      </c>
      <c r="K70" s="72">
        <f>'Yield 1Y'!AA137*K$3</f>
        <v>0</v>
      </c>
      <c r="L70" s="177">
        <f t="shared" si="8"/>
        <v>-1.5797902037278146</v>
      </c>
      <c r="M70" s="124">
        <f>VLOOKUP(A70,'Yield 1Y'!$F:$G,2,0)</f>
        <v>46052</v>
      </c>
      <c r="N70" s="318">
        <f t="shared" si="9"/>
        <v>226</v>
      </c>
      <c r="P70" s="37">
        <v>67</v>
      </c>
      <c r="Q70" s="72">
        <f>Q$3*'Yield 1Y'!R69</f>
        <v>0</v>
      </c>
      <c r="R70" s="72">
        <f>R$3*'Yield 1Y'!S69</f>
        <v>0</v>
      </c>
      <c r="S70" s="72">
        <f>S$3*'Yield 1Y'!T69</f>
        <v>0</v>
      </c>
      <c r="T70" s="72">
        <f>T$3*'Yield 1Y'!U69</f>
        <v>0</v>
      </c>
      <c r="U70" s="72">
        <f>U$3*'Yield 1Y'!V69</f>
        <v>0</v>
      </c>
      <c r="V70" s="72">
        <f>V$3*'Yield 1Y'!W69</f>
        <v>0</v>
      </c>
      <c r="W70" s="72">
        <f>W$3*'Yield 1Y'!X69</f>
        <v>-0.45532509924394993</v>
      </c>
      <c r="X70" s="72">
        <f>X$3*'Yield 1Y'!Y69</f>
        <v>-3.9959547869013352E-2</v>
      </c>
      <c r="Y70" s="72">
        <f>Y$3*'Yield 1Y'!Z69</f>
        <v>0</v>
      </c>
      <c r="Z70" s="72">
        <f>Z$3*'Yield 1Y'!AA69</f>
        <v>0</v>
      </c>
      <c r="AA70" s="177">
        <f t="shared" si="10"/>
        <v>0.49528464711296327</v>
      </c>
      <c r="AB70" s="124">
        <f>VLOOKUP(P70,'Yield 1Y'!$F:$G,2,0)</f>
        <v>46160</v>
      </c>
      <c r="AC70" s="318">
        <f t="shared" si="14"/>
        <v>98</v>
      </c>
      <c r="AE70" s="37">
        <v>11</v>
      </c>
      <c r="AF70" s="72">
        <f>AF$3*'Yield 1Y'!AB13</f>
        <v>0</v>
      </c>
      <c r="AG70" s="72">
        <f>AG$3*'Yield 1Y'!AC13</f>
        <v>0</v>
      </c>
      <c r="AH70" s="72">
        <f>AH$3*'Yield 1Y'!AD13</f>
        <v>-0.53480218162369531</v>
      </c>
      <c r="AI70" s="72">
        <f>AI$3*'Yield 1Y'!AE13</f>
        <v>0</v>
      </c>
      <c r="AJ70" s="72">
        <f>AJ$3*'Yield 1Y'!AF13</f>
        <v>-0.35073050397688921</v>
      </c>
      <c r="AK70" s="72">
        <f>AK$3*'Yield 1Y'!AG13</f>
        <v>0</v>
      </c>
      <c r="AL70" s="72">
        <f>AL$3*'Yield 1Y'!AH13</f>
        <v>-37.678368063165379</v>
      </c>
      <c r="AM70" s="72">
        <f>AM$3*'Yield 1Y'!AI13</f>
        <v>-17.490601517524492</v>
      </c>
      <c r="AN70" s="72">
        <f>AN$3*'Yield 1Y'!AJ13</f>
        <v>0</v>
      </c>
      <c r="AO70" s="72">
        <f>AO$3*'Yield 1Y'!AK13</f>
        <v>0</v>
      </c>
      <c r="AP70" s="177">
        <f t="shared" si="11"/>
        <v>56.054502266290456</v>
      </c>
      <c r="AQ70" s="124">
        <f>VLOOKUP(AE70,'Yield 1Y'!$F:$G,2,0)</f>
        <v>46238</v>
      </c>
      <c r="AR70" s="318">
        <f t="shared" si="12"/>
        <v>69</v>
      </c>
      <c r="AT70" s="37">
        <v>64</v>
      </c>
      <c r="AU70" s="72">
        <f>AU$3*'Yield 1Y'!AB86</f>
        <v>0</v>
      </c>
      <c r="AV70" s="72">
        <f>AV$3*'Yield 1Y'!AC86</f>
        <v>0</v>
      </c>
      <c r="AW70" s="72">
        <f>AW$3*'Yield 1Y'!AD86</f>
        <v>0</v>
      </c>
      <c r="AX70" s="72">
        <f>AX$3*'Yield 1Y'!AE86</f>
        <v>0</v>
      </c>
      <c r="AY70" s="72">
        <f>AY$3*'Yield 1Y'!AF86</f>
        <v>0</v>
      </c>
      <c r="AZ70" s="72">
        <f>AZ$3*'Yield 1Y'!AG86</f>
        <v>-1.2743916245754256E-2</v>
      </c>
      <c r="BA70" s="72">
        <f>BA$3*'Yield 1Y'!AH86</f>
        <v>-4.7809135420620299</v>
      </c>
      <c r="BB70" s="72">
        <f>BB$3*'Yield 1Y'!AI86</f>
        <v>-0.95902914885600099</v>
      </c>
      <c r="BC70" s="72">
        <f>BC$3*'Yield 1Y'!AJ86</f>
        <v>0</v>
      </c>
      <c r="BD70" s="72">
        <f>BD$3*'Yield 1Y'!AK86</f>
        <v>0</v>
      </c>
      <c r="BE70" s="177">
        <f t="shared" si="13"/>
        <v>5.7526866071637848</v>
      </c>
      <c r="BF70" s="124">
        <f>VLOOKUP(AT70,'Yield 1Y'!$F:$G,2,0)</f>
        <v>46163</v>
      </c>
      <c r="BG70" s="318">
        <f t="shared" si="15"/>
        <v>140</v>
      </c>
    </row>
    <row r="71" spans="1:59" x14ac:dyDescent="0.3">
      <c r="A71" s="37">
        <v>148</v>
      </c>
      <c r="B71" s="72">
        <f>'Yield 1Y'!R150*B$3</f>
        <v>0</v>
      </c>
      <c r="C71" s="72">
        <f>'Yield 1Y'!S150*C$3</f>
        <v>0</v>
      </c>
      <c r="D71" s="72">
        <f>'Yield 1Y'!T150*D$3</f>
        <v>0</v>
      </c>
      <c r="E71" s="72">
        <f>'Yield 1Y'!U150*E$3</f>
        <v>-0.11539234434022902</v>
      </c>
      <c r="F71" s="72">
        <f>'Yield 1Y'!V150*F$3</f>
        <v>-3.7411253757534797E-2</v>
      </c>
      <c r="G71" s="72">
        <f>'Yield 1Y'!W150*G$3</f>
        <v>0</v>
      </c>
      <c r="H71" s="72">
        <f>'Yield 1Y'!X150*H$3</f>
        <v>4.5545280076354384</v>
      </c>
      <c r="I71" s="72">
        <f>'Yield 1Y'!Y150*I$3</f>
        <v>3.6999349363994489</v>
      </c>
      <c r="J71" s="72">
        <f>'Yield 1Y'!Z150*J$3</f>
        <v>0</v>
      </c>
      <c r="K71" s="72">
        <f>'Yield 1Y'!AA150*K$3</f>
        <v>0</v>
      </c>
      <c r="L71" s="177">
        <f t="shared" si="8"/>
        <v>-8.101659345937124</v>
      </c>
      <c r="M71" s="124">
        <f>VLOOKUP(A71,'Yield 1Y'!$F:$G,2,0)</f>
        <v>46035</v>
      </c>
      <c r="N71" s="318">
        <f t="shared" si="9"/>
        <v>249</v>
      </c>
      <c r="P71" s="37">
        <v>68</v>
      </c>
      <c r="Q71" s="72">
        <f>Q$3*'Yield 1Y'!R70</f>
        <v>0</v>
      </c>
      <c r="R71" s="72">
        <f>R$3*'Yield 1Y'!S70</f>
        <v>0</v>
      </c>
      <c r="S71" s="72">
        <f>S$3*'Yield 1Y'!T70</f>
        <v>0</v>
      </c>
      <c r="T71" s="72">
        <f>T$3*'Yield 1Y'!U70</f>
        <v>0</v>
      </c>
      <c r="U71" s="72">
        <f>U$3*'Yield 1Y'!V70</f>
        <v>0</v>
      </c>
      <c r="V71" s="72">
        <f>V$3*'Yield 1Y'!W70</f>
        <v>0</v>
      </c>
      <c r="W71" s="72">
        <f>W$3*'Yield 1Y'!X70</f>
        <v>0.34149382443301302</v>
      </c>
      <c r="X71" s="72">
        <f>X$3*'Yield 1Y'!Y70</f>
        <v>0</v>
      </c>
      <c r="Y71" s="72">
        <f>Y$3*'Yield 1Y'!Z70</f>
        <v>0</v>
      </c>
      <c r="Z71" s="72">
        <f>Z$3*'Yield 1Y'!AA70</f>
        <v>0</v>
      </c>
      <c r="AA71" s="177">
        <f t="shared" si="10"/>
        <v>-0.34149382443301302</v>
      </c>
      <c r="AB71" s="124">
        <f>VLOOKUP(P71,'Yield 1Y'!$F:$G,2,0)</f>
        <v>46157</v>
      </c>
      <c r="AC71" s="318">
        <f t="shared" si="14"/>
        <v>216</v>
      </c>
      <c r="AE71" s="37">
        <v>15</v>
      </c>
      <c r="AF71" s="72">
        <f>AF$3*'Yield 1Y'!AB17</f>
        <v>0</v>
      </c>
      <c r="AG71" s="72">
        <f>AG$3*'Yield 1Y'!AC17</f>
        <v>0</v>
      </c>
      <c r="AH71" s="72">
        <f>AH$3*'Yield 1Y'!AD17</f>
        <v>-0.65467163612556156</v>
      </c>
      <c r="AI71" s="72">
        <f>AI$3*'Yield 1Y'!AE17</f>
        <v>-0.37502511910576675</v>
      </c>
      <c r="AJ71" s="72">
        <f>AJ$3*'Yield 1Y'!AF17</f>
        <v>-0.33202487709812184</v>
      </c>
      <c r="AK71" s="72">
        <f>AK$3*'Yield 1Y'!AG17</f>
        <v>-3.2462896178838641</v>
      </c>
      <c r="AL71" s="72">
        <f>AL$3*'Yield 1Y'!AH17</f>
        <v>-29.397408049282848</v>
      </c>
      <c r="AM71" s="72">
        <f>AM$3*'Yield 1Y'!AI17</f>
        <v>-12.781593416652438</v>
      </c>
      <c r="AN71" s="72">
        <f>AN$3*'Yield 1Y'!AJ17</f>
        <v>0</v>
      </c>
      <c r="AO71" s="72">
        <f>AO$3*'Yield 1Y'!AK17</f>
        <v>0</v>
      </c>
      <c r="AP71" s="177">
        <f t="shared" si="11"/>
        <v>46.787012716148595</v>
      </c>
      <c r="AQ71" s="124">
        <f>VLOOKUP(AE71,'Yield 1Y'!$F:$G,2,0)</f>
        <v>46232</v>
      </c>
      <c r="AR71" s="318">
        <f t="shared" si="12"/>
        <v>94</v>
      </c>
      <c r="AT71" s="37">
        <v>65</v>
      </c>
      <c r="AU71" s="72">
        <f>AU$3*'Yield 1Y'!AB54</f>
        <v>0</v>
      </c>
      <c r="AV71" s="72">
        <f>AV$3*'Yield 1Y'!AC54</f>
        <v>0</v>
      </c>
      <c r="AW71" s="72">
        <f>AW$3*'Yield 1Y'!AD54</f>
        <v>0</v>
      </c>
      <c r="AX71" s="72">
        <f>AX$3*'Yield 1Y'!AE54</f>
        <v>0</v>
      </c>
      <c r="AY71" s="72">
        <f>AY$3*'Yield 1Y'!AF54</f>
        <v>0</v>
      </c>
      <c r="AZ71" s="72">
        <f>AZ$3*'Yield 1Y'!AG54</f>
        <v>-1.9753070180912533</v>
      </c>
      <c r="BA71" s="72">
        <f>BA$3*'Yield 1Y'!AH54</f>
        <v>-8.3096830612029962</v>
      </c>
      <c r="BB71" s="72">
        <f>BB$3*'Yield 1Y'!AI54</f>
        <v>-2.7172492550920029</v>
      </c>
      <c r="BC71" s="72">
        <f>BC$3*'Yield 1Y'!AJ54</f>
        <v>0</v>
      </c>
      <c r="BD71" s="72">
        <f>BD$3*'Yield 1Y'!AK54</f>
        <v>0</v>
      </c>
      <c r="BE71" s="177">
        <f t="shared" si="13"/>
        <v>13.002239334386253</v>
      </c>
      <c r="BF71" s="124">
        <f>VLOOKUP(AT71,'Yield 1Y'!$F:$G,2,0)</f>
        <v>46162</v>
      </c>
      <c r="BG71" s="318">
        <f t="shared" si="15"/>
        <v>41</v>
      </c>
    </row>
    <row r="72" spans="1:59" x14ac:dyDescent="0.3">
      <c r="A72" s="37">
        <v>212</v>
      </c>
      <c r="B72" s="72">
        <f>'Yield 1Y'!R214*B$3</f>
        <v>0</v>
      </c>
      <c r="C72" s="72">
        <f>'Yield 1Y'!S214*C$3</f>
        <v>0</v>
      </c>
      <c r="D72" s="72">
        <f>'Yield 1Y'!T214*D$3</f>
        <v>0</v>
      </c>
      <c r="E72" s="72">
        <f>'Yield 1Y'!U214*E$3</f>
        <v>0</v>
      </c>
      <c r="F72" s="72">
        <f>'Yield 1Y'!V214*F$3</f>
        <v>0</v>
      </c>
      <c r="G72" s="72">
        <f>'Yield 1Y'!W214*G$3</f>
        <v>8.3862481795329149</v>
      </c>
      <c r="H72" s="72">
        <f>'Yield 1Y'!X214*H$3</f>
        <v>-3.3123840055530125</v>
      </c>
      <c r="I72" s="72">
        <f>'Yield 1Y'!Y214*I$3</f>
        <v>0</v>
      </c>
      <c r="J72" s="72">
        <f>'Yield 1Y'!Z214*J$3</f>
        <v>0</v>
      </c>
      <c r="K72" s="72">
        <f>'Yield 1Y'!AA214*K$3</f>
        <v>0</v>
      </c>
      <c r="L72" s="177">
        <f t="shared" si="8"/>
        <v>-5.0738641739799029</v>
      </c>
      <c r="M72" s="124">
        <f>VLOOKUP(A72,'Yield 1Y'!$F:$G,2,0)</f>
        <v>45943</v>
      </c>
      <c r="N72" s="318">
        <f t="shared" si="9"/>
        <v>247</v>
      </c>
      <c r="P72" s="37">
        <v>69</v>
      </c>
      <c r="Q72" s="72">
        <f>Q$3*'Yield 1Y'!R71</f>
        <v>0</v>
      </c>
      <c r="R72" s="72">
        <f>R$3*'Yield 1Y'!S71</f>
        <v>0</v>
      </c>
      <c r="S72" s="72">
        <f>S$3*'Yield 1Y'!T71</f>
        <v>0</v>
      </c>
      <c r="T72" s="72">
        <f>T$3*'Yield 1Y'!U71</f>
        <v>0</v>
      </c>
      <c r="U72" s="72">
        <f>U$3*'Yield 1Y'!V71</f>
        <v>0</v>
      </c>
      <c r="V72" s="72">
        <f>V$3*'Yield 1Y'!W71</f>
        <v>-3.823174873725145E-2</v>
      </c>
      <c r="W72" s="72">
        <f>W$3*'Yield 1Y'!X71</f>
        <v>-0.56915637405498798</v>
      </c>
      <c r="X72" s="72">
        <f>X$3*'Yield 1Y'!Y71</f>
        <v>-7.9919095737991205E-2</v>
      </c>
      <c r="Y72" s="72">
        <f>Y$3*'Yield 1Y'!Z71</f>
        <v>0</v>
      </c>
      <c r="Z72" s="72">
        <f>Z$3*'Yield 1Y'!AA71</f>
        <v>0</v>
      </c>
      <c r="AA72" s="177">
        <f t="shared" si="10"/>
        <v>0.68730721853023058</v>
      </c>
      <c r="AB72" s="124">
        <f>VLOOKUP(P72,'Yield 1Y'!$F:$G,2,0)</f>
        <v>46156</v>
      </c>
      <c r="AC72" s="318">
        <f t="shared" si="14"/>
        <v>70</v>
      </c>
      <c r="AE72" s="37">
        <v>20</v>
      </c>
      <c r="AF72" s="72">
        <f>AF$3*'Yield 1Y'!AB22</f>
        <v>0</v>
      </c>
      <c r="AG72" s="72">
        <f>AG$3*'Yield 1Y'!AC22</f>
        <v>0</v>
      </c>
      <c r="AH72" s="72">
        <f>AH$3*'Yield 1Y'!AD22</f>
        <v>-0.65467163612556156</v>
      </c>
      <c r="AI72" s="72">
        <f>AI$3*'Yield 1Y'!AE22</f>
        <v>-0.49041746344598292</v>
      </c>
      <c r="AJ72" s="72">
        <f>AJ$3*'Yield 1Y'!AF22</f>
        <v>-0.33202487709812184</v>
      </c>
      <c r="AK72" s="72">
        <f>AK$3*'Yield 1Y'!AG22</f>
        <v>-3.2462896178838641</v>
      </c>
      <c r="AL72" s="72">
        <f>AL$3*'Yield 1Y'!AH22</f>
        <v>-22.358592037482744</v>
      </c>
      <c r="AM72" s="72">
        <f>AM$3*'Yield 1Y'!AI22</f>
        <v>-11.436162530689165</v>
      </c>
      <c r="AN72" s="72">
        <f>AN$3*'Yield 1Y'!AJ22</f>
        <v>0</v>
      </c>
      <c r="AO72" s="72">
        <f>AO$3*'Yield 1Y'!AK22</f>
        <v>0</v>
      </c>
      <c r="AP72" s="177">
        <f t="shared" si="11"/>
        <v>38.518158162725442</v>
      </c>
      <c r="AQ72" s="124">
        <f>VLOOKUP(AE72,'Yield 1Y'!$F:$G,2,0)</f>
        <v>46225</v>
      </c>
      <c r="AR72" s="318">
        <f t="shared" si="12"/>
        <v>134</v>
      </c>
      <c r="AT72" s="37">
        <v>66</v>
      </c>
      <c r="AU72" s="72">
        <f>AU$3*'Yield 1Y'!AB138</f>
        <v>0</v>
      </c>
      <c r="AV72" s="72">
        <f>AV$3*'Yield 1Y'!AC138</f>
        <v>0</v>
      </c>
      <c r="AW72" s="72">
        <f>AW$3*'Yield 1Y'!AD138</f>
        <v>0</v>
      </c>
      <c r="AX72" s="72">
        <f>AX$3*'Yield 1Y'!AE138</f>
        <v>0</v>
      </c>
      <c r="AY72" s="72">
        <f>AY$3*'Yield 1Y'!AF138</f>
        <v>0</v>
      </c>
      <c r="AZ72" s="72">
        <f>AZ$3*'Yield 1Y'!AG138</f>
        <v>0.10195132996600009</v>
      </c>
      <c r="BA72" s="72">
        <f>BA$3*'Yield 1Y'!AH138</f>
        <v>0.68298764886597541</v>
      </c>
      <c r="BB72" s="72">
        <f>BB$3*'Yield 1Y'!AI138</f>
        <v>3.9959547868995603E-2</v>
      </c>
      <c r="BC72" s="72">
        <f>BC$3*'Yield 1Y'!AJ138</f>
        <v>0</v>
      </c>
      <c r="BD72" s="72">
        <f>BD$3*'Yield 1Y'!AK138</f>
        <v>0</v>
      </c>
      <c r="BE72" s="177">
        <f t="shared" si="13"/>
        <v>-0.82489852670097108</v>
      </c>
      <c r="BF72" s="124">
        <f>VLOOKUP(AT72,'Yield 1Y'!$F:$G,2,0)</f>
        <v>46161</v>
      </c>
      <c r="BG72" s="318">
        <f t="shared" si="15"/>
        <v>250</v>
      </c>
    </row>
    <row r="73" spans="1:59" x14ac:dyDescent="0.3">
      <c r="A73" s="37">
        <v>14</v>
      </c>
      <c r="B73" s="72">
        <f>'Yield 1Y'!R16*B$3</f>
        <v>0</v>
      </c>
      <c r="C73" s="72">
        <f>'Yield 1Y'!S16*C$3</f>
        <v>0</v>
      </c>
      <c r="D73" s="72">
        <f>'Yield 1Y'!T16*D$3</f>
        <v>0</v>
      </c>
      <c r="E73" s="72">
        <f>'Yield 1Y'!U16*E$3</f>
        <v>-5.7696172170120914E-2</v>
      </c>
      <c r="F73" s="72">
        <f>'Yield 1Y'!V16*F$3</f>
        <v>-1.870562687876532E-2</v>
      </c>
      <c r="G73" s="72">
        <f>'Yield 1Y'!W16*G$3</f>
        <v>0.81157240447096601</v>
      </c>
      <c r="H73" s="72">
        <f>'Yield 1Y'!X16*H$3</f>
        <v>-1.2421440020824257</v>
      </c>
      <c r="I73" s="72">
        <f>'Yield 1Y'!Y16*I$3</f>
        <v>0</v>
      </c>
      <c r="J73" s="72">
        <f>'Yield 1Y'!Z16*J$3</f>
        <v>0</v>
      </c>
      <c r="K73" s="72">
        <f>'Yield 1Y'!AA16*K$3</f>
        <v>0</v>
      </c>
      <c r="L73" s="177">
        <f t="shared" si="8"/>
        <v>0.50697339666034591</v>
      </c>
      <c r="M73" s="124">
        <f>VLOOKUP(A73,'Yield 1Y'!$F:$G,2,0)</f>
        <v>46233</v>
      </c>
      <c r="N73" s="318">
        <f t="shared" si="9"/>
        <v>173</v>
      </c>
      <c r="P73" s="37">
        <v>70</v>
      </c>
      <c r="Q73" s="72">
        <f>Q$3*'Yield 1Y'!R72</f>
        <v>0</v>
      </c>
      <c r="R73" s="72">
        <f>R$3*'Yield 1Y'!S72</f>
        <v>0</v>
      </c>
      <c r="S73" s="72">
        <f>S$3*'Yield 1Y'!T72</f>
        <v>0</v>
      </c>
      <c r="T73" s="72">
        <f>T$3*'Yield 1Y'!U72</f>
        <v>0</v>
      </c>
      <c r="U73" s="72">
        <f>U$3*'Yield 1Y'!V72</f>
        <v>0</v>
      </c>
      <c r="V73" s="72">
        <f>V$3*'Yield 1Y'!W72</f>
        <v>0</v>
      </c>
      <c r="W73" s="72">
        <f>W$3*'Yield 1Y'!X72</f>
        <v>-0.22766254962207605</v>
      </c>
      <c r="X73" s="72">
        <f>X$3*'Yield 1Y'!Y72</f>
        <v>-7.9919095737991205E-2</v>
      </c>
      <c r="Y73" s="72">
        <f>Y$3*'Yield 1Y'!Z72</f>
        <v>0</v>
      </c>
      <c r="Z73" s="72">
        <f>Z$3*'Yield 1Y'!AA72</f>
        <v>0</v>
      </c>
      <c r="AA73" s="177">
        <f t="shared" si="10"/>
        <v>0.30758164536006727</v>
      </c>
      <c r="AB73" s="124">
        <f>VLOOKUP(P73,'Yield 1Y'!$F:$G,2,0)</f>
        <v>46155</v>
      </c>
      <c r="AC73" s="318">
        <f t="shared" si="14"/>
        <v>125</v>
      </c>
      <c r="AE73" s="37">
        <v>99</v>
      </c>
      <c r="AF73" s="72">
        <f>AF$3*'Yield 1Y'!AB101</f>
        <v>0</v>
      </c>
      <c r="AG73" s="72">
        <f>AG$3*'Yield 1Y'!AC101</f>
        <v>0</v>
      </c>
      <c r="AH73" s="72">
        <f>AH$3*'Yield 1Y'!AD101</f>
        <v>-0.60856799977869214</v>
      </c>
      <c r="AI73" s="72">
        <f>AI$3*'Yield 1Y'!AE101</f>
        <v>0</v>
      </c>
      <c r="AJ73" s="72">
        <f>AJ$3*'Yield 1Y'!AF101</f>
        <v>-0.27123158974212624</v>
      </c>
      <c r="AK73" s="72">
        <f>AK$3*'Yield 1Y'!AG101</f>
        <v>-7.8451999098856842</v>
      </c>
      <c r="AL73" s="72">
        <f>AL$3*'Yield 1Y'!AH101</f>
        <v>-26.085024043729835</v>
      </c>
      <c r="AM73" s="72">
        <f>AM$3*'Yield 1Y'!AI101</f>
        <v>-14.12702430261586</v>
      </c>
      <c r="AN73" s="72">
        <f>AN$3*'Yield 1Y'!AJ101</f>
        <v>0</v>
      </c>
      <c r="AO73" s="72">
        <f>AO$3*'Yield 1Y'!AK101</f>
        <v>0</v>
      </c>
      <c r="AP73" s="177">
        <f t="shared" si="11"/>
        <v>48.937047845752197</v>
      </c>
      <c r="AQ73" s="124">
        <f>VLOOKUP(AE73,'Yield 1Y'!$F:$G,2,0)</f>
        <v>46111</v>
      </c>
      <c r="AR73" s="318">
        <f t="shared" si="12"/>
        <v>84</v>
      </c>
      <c r="AT73" s="37">
        <v>67</v>
      </c>
      <c r="AU73" s="72">
        <f>AU$3*'Yield 1Y'!AB49</f>
        <v>0</v>
      </c>
      <c r="AV73" s="72">
        <f>AV$3*'Yield 1Y'!AC49</f>
        <v>0</v>
      </c>
      <c r="AW73" s="72">
        <f>AW$3*'Yield 1Y'!AD49</f>
        <v>0</v>
      </c>
      <c r="AX73" s="72">
        <f>AX$3*'Yield 1Y'!AE49</f>
        <v>0</v>
      </c>
      <c r="AY73" s="72">
        <f>AY$3*'Yield 1Y'!AF49</f>
        <v>0</v>
      </c>
      <c r="AZ73" s="72">
        <f>AZ$3*'Yield 1Y'!AG49</f>
        <v>-1.2743916245750069</v>
      </c>
      <c r="BA73" s="72">
        <f>BA$3*'Yield 1Y'!AH49</f>
        <v>-8.3096830612029962</v>
      </c>
      <c r="BB73" s="72">
        <f>BB$3*'Yield 1Y'!AI49</f>
        <v>-1.918058297712002</v>
      </c>
      <c r="BC73" s="72">
        <f>BC$3*'Yield 1Y'!AJ49</f>
        <v>0</v>
      </c>
      <c r="BD73" s="72">
        <f>BD$3*'Yield 1Y'!AK49</f>
        <v>0</v>
      </c>
      <c r="BE73" s="177">
        <f t="shared" si="13"/>
        <v>11.502132983490004</v>
      </c>
      <c r="BF73" s="124">
        <f>VLOOKUP(AT73,'Yield 1Y'!$F:$G,2,0)</f>
        <v>46160</v>
      </c>
      <c r="BG73" s="318">
        <f t="shared" si="15"/>
        <v>48</v>
      </c>
    </row>
    <row r="74" spans="1:59" x14ac:dyDescent="0.3">
      <c r="A74" s="37">
        <v>232</v>
      </c>
      <c r="B74" s="72">
        <f>'Yield 1Y'!R234*B$3</f>
        <v>0</v>
      </c>
      <c r="C74" s="72">
        <f>'Yield 1Y'!S234*C$3</f>
        <v>0</v>
      </c>
      <c r="D74" s="72">
        <f>'Yield 1Y'!T234*D$3</f>
        <v>-2.7662181808119204E-2</v>
      </c>
      <c r="E74" s="72">
        <f>'Yield 1Y'!U234*E$3</f>
        <v>-8.6544258255174963E-2</v>
      </c>
      <c r="F74" s="72">
        <f>'Yield 1Y'!V234*F$3</f>
        <v>-1.8705626878767399E-2</v>
      </c>
      <c r="G74" s="72">
        <f>'Yield 1Y'!W234*G$3</f>
        <v>2.9757654830600084</v>
      </c>
      <c r="H74" s="72">
        <f>'Yield 1Y'!X234*H$3</f>
        <v>2.070240003470587</v>
      </c>
      <c r="I74" s="72">
        <f>'Yield 1Y'!Y234*I$3</f>
        <v>-1.0090731644724547</v>
      </c>
      <c r="J74" s="72">
        <f>'Yield 1Y'!Z234*J$3</f>
        <v>0</v>
      </c>
      <c r="K74" s="72">
        <f>'Yield 1Y'!AA234*K$3</f>
        <v>0</v>
      </c>
      <c r="L74" s="177">
        <f t="shared" si="8"/>
        <v>-3.9040202551160799</v>
      </c>
      <c r="M74" s="124">
        <f>VLOOKUP(A74,'Yield 1Y'!$F:$G,2,0)</f>
        <v>45915</v>
      </c>
      <c r="N74" s="318">
        <f t="shared" si="9"/>
        <v>243</v>
      </c>
      <c r="P74" s="37">
        <v>71</v>
      </c>
      <c r="Q74" s="72">
        <f>Q$3*'Yield 1Y'!R73</f>
        <v>0</v>
      </c>
      <c r="R74" s="72">
        <f>R$3*'Yield 1Y'!S73</f>
        <v>0</v>
      </c>
      <c r="S74" s="72">
        <f>S$3*'Yield 1Y'!T73</f>
        <v>0</v>
      </c>
      <c r="T74" s="72">
        <f>T$3*'Yield 1Y'!U73</f>
        <v>0</v>
      </c>
      <c r="U74" s="72">
        <f>U$3*'Yield 1Y'!V73</f>
        <v>0</v>
      </c>
      <c r="V74" s="72">
        <f>V$3*'Yield 1Y'!W73</f>
        <v>0</v>
      </c>
      <c r="W74" s="72">
        <f>W$3*'Yield 1Y'!X73</f>
        <v>-0.11383127481093692</v>
      </c>
      <c r="X74" s="72">
        <f>X$3*'Yield 1Y'!Y73</f>
        <v>0</v>
      </c>
      <c r="Y74" s="72">
        <f>Y$3*'Yield 1Y'!Z73</f>
        <v>0</v>
      </c>
      <c r="Z74" s="72">
        <f>Z$3*'Yield 1Y'!AA73</f>
        <v>0</v>
      </c>
      <c r="AA74" s="177">
        <f t="shared" si="10"/>
        <v>0.11383127481093692</v>
      </c>
      <c r="AB74" s="124">
        <f>VLOOKUP(P74,'Yield 1Y'!$F:$G,2,0)</f>
        <v>46154</v>
      </c>
      <c r="AC74" s="318">
        <f t="shared" si="14"/>
        <v>162</v>
      </c>
      <c r="AE74" s="37">
        <v>16</v>
      </c>
      <c r="AF74" s="72">
        <f>AF$3*'Yield 1Y'!AB18</f>
        <v>0</v>
      </c>
      <c r="AG74" s="72">
        <f>AG$3*'Yield 1Y'!AC18</f>
        <v>0</v>
      </c>
      <c r="AH74" s="72">
        <f>AH$3*'Yield 1Y'!AD18</f>
        <v>-0.65467163612556156</v>
      </c>
      <c r="AI74" s="72">
        <f>AI$3*'Yield 1Y'!AE18</f>
        <v>-0.49041746344598292</v>
      </c>
      <c r="AJ74" s="72">
        <f>AJ$3*'Yield 1Y'!AF18</f>
        <v>-0.33202487709812184</v>
      </c>
      <c r="AK74" s="72">
        <f>AK$3*'Yield 1Y'!AG18</f>
        <v>-3.2462896178838641</v>
      </c>
      <c r="AL74" s="72">
        <f>AL$3*'Yield 1Y'!AH18</f>
        <v>-29.397408049282848</v>
      </c>
      <c r="AM74" s="72">
        <f>AM$3*'Yield 1Y'!AI18</f>
        <v>-12.781593416652587</v>
      </c>
      <c r="AN74" s="72">
        <f>AN$3*'Yield 1Y'!AJ18</f>
        <v>0</v>
      </c>
      <c r="AO74" s="72">
        <f>AO$3*'Yield 1Y'!AK18</f>
        <v>0</v>
      </c>
      <c r="AP74" s="177">
        <f t="shared" si="11"/>
        <v>46.90240506048896</v>
      </c>
      <c r="AQ74" s="124">
        <f>VLOOKUP(AE74,'Yield 1Y'!$F:$G,2,0)</f>
        <v>46231</v>
      </c>
      <c r="AR74" s="318">
        <f t="shared" si="12"/>
        <v>93</v>
      </c>
      <c r="AT74" s="37">
        <v>68</v>
      </c>
      <c r="AU74" s="72">
        <f>AU$3*'Yield 1Y'!AB229</f>
        <v>0</v>
      </c>
      <c r="AV74" s="72">
        <f>AV$3*'Yield 1Y'!AC229</f>
        <v>0</v>
      </c>
      <c r="AW74" s="72">
        <f>AW$3*'Yield 1Y'!AD229</f>
        <v>0</v>
      </c>
      <c r="AX74" s="72">
        <f>AX$3*'Yield 1Y'!AE229</f>
        <v>0</v>
      </c>
      <c r="AY74" s="72">
        <f>AY$3*'Yield 1Y'!AF229</f>
        <v>0</v>
      </c>
      <c r="AZ74" s="72">
        <f>AZ$3*'Yield 1Y'!AG229</f>
        <v>-0.24213440866924599</v>
      </c>
      <c r="BA74" s="72">
        <f>BA$3*'Yield 1Y'!AH229</f>
        <v>-3.7564320687630417</v>
      </c>
      <c r="BB74" s="72">
        <f>BB$3*'Yield 1Y'!AI229</f>
        <v>-0.99898869672499657</v>
      </c>
      <c r="BC74" s="72">
        <f>BC$3*'Yield 1Y'!AJ229</f>
        <v>0</v>
      </c>
      <c r="BD74" s="72">
        <f>BD$3*'Yield 1Y'!AK229</f>
        <v>0</v>
      </c>
      <c r="BE74" s="177">
        <f t="shared" si="13"/>
        <v>4.9975551741572843</v>
      </c>
      <c r="BF74" s="124">
        <f>VLOOKUP(AT74,'Yield 1Y'!$F:$G,2,0)</f>
        <v>46157</v>
      </c>
      <c r="BG74" s="318">
        <f t="shared" si="15"/>
        <v>157</v>
      </c>
    </row>
    <row r="75" spans="1:59" x14ac:dyDescent="0.3">
      <c r="A75" s="37">
        <v>210</v>
      </c>
      <c r="B75" s="72">
        <f>'Yield 1Y'!R212*B$3</f>
        <v>0</v>
      </c>
      <c r="C75" s="72">
        <f>'Yield 1Y'!S212*C$3</f>
        <v>0</v>
      </c>
      <c r="D75" s="72">
        <f>'Yield 1Y'!T212*D$3</f>
        <v>0</v>
      </c>
      <c r="E75" s="72">
        <f>'Yield 1Y'!U212*E$3</f>
        <v>0</v>
      </c>
      <c r="F75" s="72">
        <f>'Yield 1Y'!V212*F$3</f>
        <v>0</v>
      </c>
      <c r="G75" s="72">
        <f>'Yield 1Y'!W212*G$3</f>
        <v>-0.27052413482361526</v>
      </c>
      <c r="H75" s="72">
        <f>'Yield 1Y'!X212*H$3</f>
        <v>-0.4140480006940806</v>
      </c>
      <c r="I75" s="72">
        <f>'Yield 1Y'!Y212*I$3</f>
        <v>-1.6817886074542407</v>
      </c>
      <c r="J75" s="72">
        <f>'Yield 1Y'!Z212*J$3</f>
        <v>0</v>
      </c>
      <c r="K75" s="72">
        <f>'Yield 1Y'!AA212*K$3</f>
        <v>0</v>
      </c>
      <c r="L75" s="177">
        <f t="shared" si="8"/>
        <v>2.3663607429719367</v>
      </c>
      <c r="M75" s="124">
        <f>VLOOKUP(A75,'Yield 1Y'!$F:$G,2,0)</f>
        <v>45945</v>
      </c>
      <c r="N75" s="318">
        <f t="shared" si="9"/>
        <v>112</v>
      </c>
      <c r="P75" s="37">
        <v>72</v>
      </c>
      <c r="Q75" s="72">
        <f>Q$3*'Yield 1Y'!R74</f>
        <v>0</v>
      </c>
      <c r="R75" s="72">
        <f>R$3*'Yield 1Y'!S74</f>
        <v>0</v>
      </c>
      <c r="S75" s="72">
        <f>S$3*'Yield 1Y'!T74</f>
        <v>0</v>
      </c>
      <c r="T75" s="72">
        <f>T$3*'Yield 1Y'!U74</f>
        <v>0</v>
      </c>
      <c r="U75" s="72">
        <f>U$3*'Yield 1Y'!V74</f>
        <v>0</v>
      </c>
      <c r="V75" s="72">
        <f>V$3*'Yield 1Y'!W74</f>
        <v>0</v>
      </c>
      <c r="W75" s="72">
        <f>W$3*'Yield 1Y'!X74</f>
        <v>0</v>
      </c>
      <c r="X75" s="72">
        <f>X$3*'Yield 1Y'!Y74</f>
        <v>0</v>
      </c>
      <c r="Y75" s="72">
        <f>Y$3*'Yield 1Y'!Z74</f>
        <v>0</v>
      </c>
      <c r="Z75" s="72">
        <f>Z$3*'Yield 1Y'!AA74</f>
        <v>0</v>
      </c>
      <c r="AA75" s="177">
        <f t="shared" si="10"/>
        <v>0</v>
      </c>
      <c r="AB75" s="124">
        <f>VLOOKUP(P75,'Yield 1Y'!$F:$G,2,0)</f>
        <v>46153</v>
      </c>
      <c r="AC75" s="318">
        <f t="shared" si="14"/>
        <v>179</v>
      </c>
      <c r="AE75" s="37">
        <v>142</v>
      </c>
      <c r="AF75" s="72">
        <f>AF$3*'Yield 1Y'!AB144</f>
        <v>0</v>
      </c>
      <c r="AG75" s="72">
        <f>AG$3*'Yield 1Y'!AC144</f>
        <v>0</v>
      </c>
      <c r="AH75" s="72">
        <f>AH$3*'Yield 1Y'!AD144</f>
        <v>-0.4149327271218331</v>
      </c>
      <c r="AI75" s="72">
        <f>AI$3*'Yield 1Y'!AE144</f>
        <v>-4.9907188927149013</v>
      </c>
      <c r="AJ75" s="72">
        <f>AJ$3*'Yield 1Y'!AF144</f>
        <v>-0.53311036604486983</v>
      </c>
      <c r="AK75" s="72">
        <f>AK$3*'Yield 1Y'!AG144</f>
        <v>-44.09543397625422</v>
      </c>
      <c r="AL75" s="72">
        <f>AL$3*'Yield 1Y'!AH144</f>
        <v>-37.678368063165564</v>
      </c>
      <c r="AM75" s="72">
        <f>AM$3*'Yield 1Y'!AI144</f>
        <v>-62.562536197299067</v>
      </c>
      <c r="AN75" s="72">
        <f>AN$3*'Yield 1Y'!AJ144</f>
        <v>0</v>
      </c>
      <c r="AO75" s="72">
        <f>AO$3*'Yield 1Y'!AK144</f>
        <v>0</v>
      </c>
      <c r="AP75" s="177">
        <f t="shared" si="11"/>
        <v>150.27510022260046</v>
      </c>
      <c r="AQ75" s="124">
        <f>VLOOKUP(AE75,'Yield 1Y'!$F:$G,2,0)</f>
        <v>46043</v>
      </c>
      <c r="AR75" s="318">
        <f t="shared" si="12"/>
        <v>13</v>
      </c>
      <c r="AT75" s="37">
        <v>69</v>
      </c>
      <c r="AU75" s="72">
        <f>AU$3*'Yield 1Y'!AB17</f>
        <v>0</v>
      </c>
      <c r="AV75" s="72">
        <f>AV$3*'Yield 1Y'!AC17</f>
        <v>0</v>
      </c>
      <c r="AW75" s="72">
        <f>AW$3*'Yield 1Y'!AD17</f>
        <v>0</v>
      </c>
      <c r="AX75" s="72">
        <f>AX$3*'Yield 1Y'!AE17</f>
        <v>0</v>
      </c>
      <c r="AY75" s="72">
        <f>AY$3*'Yield 1Y'!AF17</f>
        <v>0</v>
      </c>
      <c r="AZ75" s="72">
        <f>AZ$3*'Yield 1Y'!AG17</f>
        <v>-0.1529269949490058</v>
      </c>
      <c r="BA75" s="72">
        <f>BA$3*'Yield 1Y'!AH17</f>
        <v>-8.0820205115809696</v>
      </c>
      <c r="BB75" s="72">
        <f>BB$3*'Yield 1Y'!AI17</f>
        <v>-1.5184628190219926</v>
      </c>
      <c r="BC75" s="72">
        <f>BC$3*'Yield 1Y'!AJ17</f>
        <v>0</v>
      </c>
      <c r="BD75" s="72">
        <f>BD$3*'Yield 1Y'!AK17</f>
        <v>0</v>
      </c>
      <c r="BE75" s="177">
        <f t="shared" si="13"/>
        <v>9.7534103255519682</v>
      </c>
      <c r="BF75" s="124">
        <f>VLOOKUP(AT75,'Yield 1Y'!$F:$G,2,0)</f>
        <v>46156</v>
      </c>
      <c r="BG75" s="318">
        <f t="shared" si="15"/>
        <v>62</v>
      </c>
    </row>
    <row r="76" spans="1:59" x14ac:dyDescent="0.3">
      <c r="A76" s="37">
        <v>198</v>
      </c>
      <c r="B76" s="72">
        <f>'Yield 1Y'!R200*B$3</f>
        <v>0</v>
      </c>
      <c r="C76" s="72">
        <f>'Yield 1Y'!S200*C$3</f>
        <v>0</v>
      </c>
      <c r="D76" s="72">
        <f>'Yield 1Y'!T200*D$3</f>
        <v>0</v>
      </c>
      <c r="E76" s="72">
        <f>'Yield 1Y'!U200*E$3</f>
        <v>0</v>
      </c>
      <c r="F76" s="72">
        <f>'Yield 1Y'!V200*F$3</f>
        <v>0</v>
      </c>
      <c r="G76" s="72">
        <f>'Yield 1Y'!W200*G$3</f>
        <v>0</v>
      </c>
      <c r="H76" s="72">
        <f>'Yield 1Y'!X200*H$3</f>
        <v>-4.140480006941174</v>
      </c>
      <c r="I76" s="72">
        <f>'Yield 1Y'!Y200*I$3</f>
        <v>-4.0362926578902671</v>
      </c>
      <c r="J76" s="72">
        <f>'Yield 1Y'!Z200*J$3</f>
        <v>0</v>
      </c>
      <c r="K76" s="72">
        <f>'Yield 1Y'!AA200*K$3</f>
        <v>0</v>
      </c>
      <c r="L76" s="177">
        <f t="shared" si="8"/>
        <v>8.1767726648314412</v>
      </c>
      <c r="M76" s="124">
        <f>VLOOKUP(A76,'Yield 1Y'!$F:$G,2,0)</f>
        <v>45961</v>
      </c>
      <c r="N76" s="318">
        <f t="shared" si="9"/>
        <v>39</v>
      </c>
      <c r="P76" s="37">
        <v>73</v>
      </c>
      <c r="Q76" s="72">
        <f>Q$3*'Yield 1Y'!R75</f>
        <v>0</v>
      </c>
      <c r="R76" s="72">
        <f>R$3*'Yield 1Y'!S75</f>
        <v>0</v>
      </c>
      <c r="S76" s="72">
        <f>S$3*'Yield 1Y'!T75</f>
        <v>0</v>
      </c>
      <c r="T76" s="72">
        <f>T$3*'Yield 1Y'!U75</f>
        <v>0</v>
      </c>
      <c r="U76" s="72">
        <f>U$3*'Yield 1Y'!V75</f>
        <v>0</v>
      </c>
      <c r="V76" s="72">
        <f>V$3*'Yield 1Y'!W75</f>
        <v>0</v>
      </c>
      <c r="W76" s="72">
        <f>W$3*'Yield 1Y'!X75</f>
        <v>0</v>
      </c>
      <c r="X76" s="72">
        <f>X$3*'Yield 1Y'!Y75</f>
        <v>-0.35963593082101369</v>
      </c>
      <c r="Y76" s="72">
        <f>Y$3*'Yield 1Y'!Z75</f>
        <v>0</v>
      </c>
      <c r="Z76" s="72">
        <f>Z$3*'Yield 1Y'!AA75</f>
        <v>0</v>
      </c>
      <c r="AA76" s="177">
        <f t="shared" si="10"/>
        <v>0.35963593082101369</v>
      </c>
      <c r="AB76" s="124">
        <f>VLOOKUP(P76,'Yield 1Y'!$F:$G,2,0)</f>
        <v>46150</v>
      </c>
      <c r="AC76" s="318">
        <f t="shared" si="14"/>
        <v>114</v>
      </c>
      <c r="AE76" s="37">
        <v>80</v>
      </c>
      <c r="AF76" s="72">
        <f>AF$3*'Yield 1Y'!AB82</f>
        <v>0</v>
      </c>
      <c r="AG76" s="72">
        <f>AG$3*'Yield 1Y'!AC82</f>
        <v>0</v>
      </c>
      <c r="AH76" s="72">
        <f>AH$3*'Yield 1Y'!AD82</f>
        <v>-0.46103636346870253</v>
      </c>
      <c r="AI76" s="72">
        <f>AI$3*'Yield 1Y'!AE82</f>
        <v>-0.28848086085056612</v>
      </c>
      <c r="AJ76" s="72">
        <f>AJ$3*'Yield 1Y'!AF82</f>
        <v>-0.23382033598459351</v>
      </c>
      <c r="AK76" s="72">
        <f>AK$3*'Yield 1Y'!AG82</f>
        <v>-0.27052413482373544</v>
      </c>
      <c r="AL76" s="72">
        <f>AL$3*'Yield 1Y'!AH82</f>
        <v>-19.046208031929915</v>
      </c>
      <c r="AM76" s="72">
        <f>AM$3*'Yield 1Y'!AI82</f>
        <v>-4.7090081008720528</v>
      </c>
      <c r="AN76" s="72">
        <f>AN$3*'Yield 1Y'!AJ82</f>
        <v>0</v>
      </c>
      <c r="AO76" s="72">
        <f>AO$3*'Yield 1Y'!AK82</f>
        <v>0</v>
      </c>
      <c r="AP76" s="177">
        <f t="shared" si="11"/>
        <v>25.009077827929566</v>
      </c>
      <c r="AQ76" s="124">
        <f>VLOOKUP(AE76,'Yield 1Y'!$F:$G,2,0)</f>
        <v>46136</v>
      </c>
      <c r="AR76" s="318">
        <f t="shared" si="12"/>
        <v>183</v>
      </c>
      <c r="AT76" s="37">
        <v>70</v>
      </c>
      <c r="AU76" s="72">
        <f>AU$3*'Yield 1Y'!AB139</f>
        <v>0</v>
      </c>
      <c r="AV76" s="72">
        <f>AV$3*'Yield 1Y'!AC139</f>
        <v>0</v>
      </c>
      <c r="AW76" s="72">
        <f>AW$3*'Yield 1Y'!AD139</f>
        <v>0</v>
      </c>
      <c r="AX76" s="72">
        <f>AX$3*'Yield 1Y'!AE139</f>
        <v>0</v>
      </c>
      <c r="AY76" s="72">
        <f>AY$3*'Yield 1Y'!AF139</f>
        <v>0</v>
      </c>
      <c r="AZ76" s="72">
        <f>AZ$3*'Yield 1Y'!AG139</f>
        <v>0</v>
      </c>
      <c r="BA76" s="72">
        <f>BA$3*'Yield 1Y'!AH139</f>
        <v>-2.6181193206530153</v>
      </c>
      <c r="BB76" s="72">
        <f>BB$3*'Yield 1Y'!AI139</f>
        <v>-0.67931231377299628</v>
      </c>
      <c r="BC76" s="72">
        <f>BC$3*'Yield 1Y'!AJ139</f>
        <v>0</v>
      </c>
      <c r="BD76" s="72">
        <f>BD$3*'Yield 1Y'!AK139</f>
        <v>0</v>
      </c>
      <c r="BE76" s="177">
        <f t="shared" si="13"/>
        <v>3.2974316344260117</v>
      </c>
      <c r="BF76" s="124">
        <f>VLOOKUP(AT76,'Yield 1Y'!$F:$G,2,0)</f>
        <v>46155</v>
      </c>
      <c r="BG76" s="318">
        <f t="shared" si="15"/>
        <v>193</v>
      </c>
    </row>
    <row r="77" spans="1:59" x14ac:dyDescent="0.3">
      <c r="A77" s="37">
        <v>130</v>
      </c>
      <c r="B77" s="72">
        <f>'Yield 1Y'!R132*B$3</f>
        <v>0</v>
      </c>
      <c r="C77" s="72">
        <f>'Yield 1Y'!S132*C$3</f>
        <v>0</v>
      </c>
      <c r="D77" s="72">
        <f>'Yield 1Y'!T132*D$3</f>
        <v>0</v>
      </c>
      <c r="E77" s="72">
        <f>'Yield 1Y'!U132*E$3</f>
        <v>-5.7696172170108105E-2</v>
      </c>
      <c r="F77" s="72">
        <f>'Yield 1Y'!V132*F$3</f>
        <v>-1.8705626878767399E-2</v>
      </c>
      <c r="G77" s="72">
        <f>'Yield 1Y'!W132*G$3</f>
        <v>0</v>
      </c>
      <c r="H77" s="72">
        <f>'Yield 1Y'!X132*H$3</f>
        <v>-1.2421440020824257</v>
      </c>
      <c r="I77" s="72">
        <f>'Yield 1Y'!Y132*I$3</f>
        <v>0</v>
      </c>
      <c r="J77" s="72">
        <f>'Yield 1Y'!Z132*J$3</f>
        <v>0</v>
      </c>
      <c r="K77" s="72">
        <f>'Yield 1Y'!AA132*K$3</f>
        <v>0</v>
      </c>
      <c r="L77" s="177">
        <f t="shared" si="8"/>
        <v>1.3185458011313012</v>
      </c>
      <c r="M77" s="124">
        <f>VLOOKUP(A77,'Yield 1Y'!$F:$G,2,0)</f>
        <v>46059</v>
      </c>
      <c r="N77" s="318">
        <f t="shared" si="9"/>
        <v>141</v>
      </c>
      <c r="P77" s="37">
        <v>74</v>
      </c>
      <c r="Q77" s="72">
        <f>Q$3*'Yield 1Y'!R76</f>
        <v>0</v>
      </c>
      <c r="R77" s="72">
        <f>R$3*'Yield 1Y'!S76</f>
        <v>0</v>
      </c>
      <c r="S77" s="72">
        <f>S$3*'Yield 1Y'!T76</f>
        <v>0</v>
      </c>
      <c r="T77" s="72">
        <f>T$3*'Yield 1Y'!U76</f>
        <v>0</v>
      </c>
      <c r="U77" s="72">
        <f>U$3*'Yield 1Y'!V76</f>
        <v>0</v>
      </c>
      <c r="V77" s="72">
        <f>V$3*'Yield 1Y'!W76</f>
        <v>0</v>
      </c>
      <c r="W77" s="72">
        <f>W$3*'Yield 1Y'!X76</f>
        <v>0</v>
      </c>
      <c r="X77" s="72">
        <f>X$3*'Yield 1Y'!Y76</f>
        <v>-7.9919095737991205E-2</v>
      </c>
      <c r="Y77" s="72">
        <f>Y$3*'Yield 1Y'!Z76</f>
        <v>0</v>
      </c>
      <c r="Z77" s="72">
        <f>Z$3*'Yield 1Y'!AA76</f>
        <v>0</v>
      </c>
      <c r="AA77" s="177">
        <f t="shared" si="10"/>
        <v>7.9919095737991205E-2</v>
      </c>
      <c r="AB77" s="124">
        <f>VLOOKUP(P77,'Yield 1Y'!$F:$G,2,0)</f>
        <v>46149</v>
      </c>
      <c r="AC77" s="318">
        <f t="shared" si="14"/>
        <v>166</v>
      </c>
      <c r="AE77" s="37">
        <v>79</v>
      </c>
      <c r="AF77" s="72">
        <f>AF$3*'Yield 1Y'!AB81</f>
        <v>0</v>
      </c>
      <c r="AG77" s="72">
        <f>AG$3*'Yield 1Y'!AC81</f>
        <v>0</v>
      </c>
      <c r="AH77" s="72">
        <f>AH$3*'Yield 1Y'!AD81</f>
        <v>-0.46103636346870253</v>
      </c>
      <c r="AI77" s="72">
        <f>AI$3*'Yield 1Y'!AE81</f>
        <v>-0.28848086085056612</v>
      </c>
      <c r="AJ77" s="72">
        <f>AJ$3*'Yield 1Y'!AF81</f>
        <v>-0.23382033598459351</v>
      </c>
      <c r="AK77" s="72">
        <f>AK$3*'Yield 1Y'!AG81</f>
        <v>-0.27052413482373544</v>
      </c>
      <c r="AL77" s="72">
        <f>AL$3*'Yield 1Y'!AH81</f>
        <v>-19.046208031929915</v>
      </c>
      <c r="AM77" s="72">
        <f>AM$3*'Yield 1Y'!AI81</f>
        <v>-6.0544389868354758</v>
      </c>
      <c r="AN77" s="72">
        <f>AN$3*'Yield 1Y'!AJ81</f>
        <v>0</v>
      </c>
      <c r="AO77" s="72">
        <f>AO$3*'Yield 1Y'!AK81</f>
        <v>0</v>
      </c>
      <c r="AP77" s="177">
        <f t="shared" si="11"/>
        <v>26.354508713892987</v>
      </c>
      <c r="AQ77" s="124">
        <f>VLOOKUP(AE77,'Yield 1Y'!$F:$G,2,0)</f>
        <v>46140</v>
      </c>
      <c r="AR77" s="318">
        <f t="shared" si="12"/>
        <v>178</v>
      </c>
      <c r="AT77" s="37">
        <v>71</v>
      </c>
      <c r="AU77" s="72">
        <f>AU$3*'Yield 1Y'!AB62</f>
        <v>0</v>
      </c>
      <c r="AV77" s="72">
        <f>AV$3*'Yield 1Y'!AC62</f>
        <v>0</v>
      </c>
      <c r="AW77" s="72">
        <f>AW$3*'Yield 1Y'!AD62</f>
        <v>0</v>
      </c>
      <c r="AX77" s="72">
        <f>AX$3*'Yield 1Y'!AE62</f>
        <v>0</v>
      </c>
      <c r="AY77" s="72">
        <f>AY$3*'Yield 1Y'!AF62</f>
        <v>0</v>
      </c>
      <c r="AZ77" s="72">
        <f>AZ$3*'Yield 1Y'!AG62</f>
        <v>-0.3950614036182461</v>
      </c>
      <c r="BA77" s="72">
        <f>BA$3*'Yield 1Y'!AH62</f>
        <v>0</v>
      </c>
      <c r="BB77" s="72">
        <f>BB$3*'Yield 1Y'!AI62</f>
        <v>-0.55943367016599166</v>
      </c>
      <c r="BC77" s="72">
        <f>BC$3*'Yield 1Y'!AJ62</f>
        <v>0</v>
      </c>
      <c r="BD77" s="72">
        <f>BD$3*'Yield 1Y'!AK62</f>
        <v>0</v>
      </c>
      <c r="BE77" s="177">
        <f t="shared" si="13"/>
        <v>0.9544950737842377</v>
      </c>
      <c r="BF77" s="124">
        <f>VLOOKUP(AT77,'Yield 1Y'!$F:$G,2,0)</f>
        <v>46154</v>
      </c>
      <c r="BG77" s="318">
        <f t="shared" si="15"/>
        <v>234</v>
      </c>
    </row>
    <row r="78" spans="1:59" x14ac:dyDescent="0.3">
      <c r="A78" s="37">
        <v>216</v>
      </c>
      <c r="B78" s="72">
        <f>'Yield 1Y'!R218*B$3</f>
        <v>0</v>
      </c>
      <c r="C78" s="72">
        <f>'Yield 1Y'!S218*C$3</f>
        <v>0</v>
      </c>
      <c r="D78" s="72">
        <f>'Yield 1Y'!T218*D$3</f>
        <v>0</v>
      </c>
      <c r="E78" s="72">
        <f>'Yield 1Y'!U218*E$3</f>
        <v>-5.7696172170120914E-2</v>
      </c>
      <c r="F78" s="72">
        <f>'Yield 1Y'!V218*F$3</f>
        <v>-1.8705626878767399E-2</v>
      </c>
      <c r="G78" s="72">
        <f>'Yield 1Y'!W218*G$3</f>
        <v>0.54104826964735075</v>
      </c>
      <c r="H78" s="72">
        <f>'Yield 1Y'!X218*H$3</f>
        <v>2.070240003470587</v>
      </c>
      <c r="I78" s="72">
        <f>'Yield 1Y'!Y218*I$3</f>
        <v>0</v>
      </c>
      <c r="J78" s="72">
        <f>'Yield 1Y'!Z218*J$3</f>
        <v>0</v>
      </c>
      <c r="K78" s="72">
        <f>'Yield 1Y'!AA218*K$3</f>
        <v>0</v>
      </c>
      <c r="L78" s="177">
        <f t="shared" si="8"/>
        <v>-2.5348864740690495</v>
      </c>
      <c r="M78" s="124">
        <f>VLOOKUP(A78,'Yield 1Y'!$F:$G,2,0)</f>
        <v>45937</v>
      </c>
      <c r="N78" s="318">
        <f t="shared" si="9"/>
        <v>240</v>
      </c>
      <c r="P78" s="37">
        <v>75</v>
      </c>
      <c r="Q78" s="72">
        <f>Q$3*'Yield 1Y'!R77</f>
        <v>0</v>
      </c>
      <c r="R78" s="72">
        <f>R$3*'Yield 1Y'!S77</f>
        <v>0</v>
      </c>
      <c r="S78" s="72">
        <f>S$3*'Yield 1Y'!T77</f>
        <v>0</v>
      </c>
      <c r="T78" s="72">
        <f>T$3*'Yield 1Y'!U77</f>
        <v>0</v>
      </c>
      <c r="U78" s="72">
        <f>U$3*'Yield 1Y'!V77</f>
        <v>0</v>
      </c>
      <c r="V78" s="72">
        <f>V$3*'Yield 1Y'!W77</f>
        <v>0</v>
      </c>
      <c r="W78" s="72">
        <f>W$3*'Yield 1Y'!X77</f>
        <v>-0.34149382443301302</v>
      </c>
      <c r="X78" s="72">
        <f>X$3*'Yield 1Y'!Y77</f>
        <v>0</v>
      </c>
      <c r="Y78" s="72">
        <f>Y$3*'Yield 1Y'!Z77</f>
        <v>0</v>
      </c>
      <c r="Z78" s="72">
        <f>Z$3*'Yield 1Y'!AA77</f>
        <v>0</v>
      </c>
      <c r="AA78" s="177">
        <f t="shared" si="10"/>
        <v>0.34149382443301302</v>
      </c>
      <c r="AB78" s="124">
        <f>VLOOKUP(P78,'Yield 1Y'!$F:$G,2,0)</f>
        <v>46148</v>
      </c>
      <c r="AC78" s="318">
        <f t="shared" si="14"/>
        <v>115</v>
      </c>
      <c r="AE78" s="37">
        <v>14</v>
      </c>
      <c r="AF78" s="72">
        <f>AF$3*'Yield 1Y'!AB16</f>
        <v>0</v>
      </c>
      <c r="AG78" s="72">
        <f>AG$3*'Yield 1Y'!AC16</f>
        <v>0</v>
      </c>
      <c r="AH78" s="72">
        <f>AH$3*'Yield 1Y'!AD16</f>
        <v>-0.65467163612556156</v>
      </c>
      <c r="AI78" s="72">
        <f>AI$3*'Yield 1Y'!AE16</f>
        <v>-0.37502511910576675</v>
      </c>
      <c r="AJ78" s="72">
        <f>AJ$3*'Yield 1Y'!AF16</f>
        <v>-0.33202487709812184</v>
      </c>
      <c r="AK78" s="72">
        <f>AK$3*'Yield 1Y'!AG16</f>
        <v>-3.2462896178838641</v>
      </c>
      <c r="AL78" s="72">
        <f>AL$3*'Yield 1Y'!AH16</f>
        <v>-29.397408049282848</v>
      </c>
      <c r="AM78" s="72">
        <f>AM$3*'Yield 1Y'!AI16</f>
        <v>-12.445235695161768</v>
      </c>
      <c r="AN78" s="72">
        <f>AN$3*'Yield 1Y'!AJ16</f>
        <v>0</v>
      </c>
      <c r="AO78" s="72">
        <f>AO$3*'Yield 1Y'!AK16</f>
        <v>0</v>
      </c>
      <c r="AP78" s="177">
        <f t="shared" si="11"/>
        <v>46.450654994657931</v>
      </c>
      <c r="AQ78" s="124">
        <f>VLOOKUP(AE78,'Yield 1Y'!$F:$G,2,0)</f>
        <v>46233</v>
      </c>
      <c r="AR78" s="318">
        <f t="shared" si="12"/>
        <v>95</v>
      </c>
      <c r="AT78" s="37">
        <v>72</v>
      </c>
      <c r="AU78" s="72">
        <f>AU$3*'Yield 1Y'!AB52</f>
        <v>0</v>
      </c>
      <c r="AV78" s="72">
        <f>AV$3*'Yield 1Y'!AC52</f>
        <v>0</v>
      </c>
      <c r="AW78" s="72">
        <f>AW$3*'Yield 1Y'!AD52</f>
        <v>0</v>
      </c>
      <c r="AX78" s="72">
        <f>AX$3*'Yield 1Y'!AE52</f>
        <v>0</v>
      </c>
      <c r="AY78" s="72">
        <f>AY$3*'Yield 1Y'!AF52</f>
        <v>0</v>
      </c>
      <c r="AZ78" s="72">
        <f>AZ$3*'Yield 1Y'!AG52</f>
        <v>-1.962563101845499</v>
      </c>
      <c r="BA78" s="72">
        <f>BA$3*'Yield 1Y'!AH52</f>
        <v>-8.5373456108249712</v>
      </c>
      <c r="BB78" s="72">
        <f>BB$3*'Yield 1Y'!AI52</f>
        <v>-2.6772897072230073</v>
      </c>
      <c r="BC78" s="72">
        <f>BC$3*'Yield 1Y'!AJ52</f>
        <v>0</v>
      </c>
      <c r="BD78" s="72">
        <f>BD$3*'Yield 1Y'!AK52</f>
        <v>0</v>
      </c>
      <c r="BE78" s="177">
        <f t="shared" si="13"/>
        <v>13.177198419893477</v>
      </c>
      <c r="BF78" s="124">
        <f>VLOOKUP(AT78,'Yield 1Y'!$F:$G,2,0)</f>
        <v>46153</v>
      </c>
      <c r="BG78" s="318">
        <f t="shared" si="15"/>
        <v>39</v>
      </c>
    </row>
    <row r="79" spans="1:59" x14ac:dyDescent="0.3">
      <c r="A79" s="114">
        <v>23</v>
      </c>
      <c r="B79" s="72">
        <f>'Yield 1Y'!R25*B$3</f>
        <v>0</v>
      </c>
      <c r="C79" s="72">
        <f>'Yield 1Y'!S25*C$3</f>
        <v>0</v>
      </c>
      <c r="D79" s="72">
        <f>'Yield 1Y'!T25*D$3</f>
        <v>-7.3765818154992738E-2</v>
      </c>
      <c r="E79" s="72">
        <f>'Yield 1Y'!U25*E$3</f>
        <v>0</v>
      </c>
      <c r="F79" s="72">
        <f>'Yield 1Y'!V25*F$3</f>
        <v>3.7411253757534797E-2</v>
      </c>
      <c r="G79" s="72">
        <f>'Yield 1Y'!W25*G$3</f>
        <v>0.27052413482349513</v>
      </c>
      <c r="H79" s="72">
        <f>'Yield 1Y'!X25*H$3</f>
        <v>-1.2421440020824257</v>
      </c>
      <c r="I79" s="72">
        <f>'Yield 1Y'!Y25*I$3</f>
        <v>-1.0090731644726041</v>
      </c>
      <c r="J79" s="72">
        <f>'Yield 1Y'!Z25*J$3</f>
        <v>0</v>
      </c>
      <c r="K79" s="72">
        <f>'Yield 1Y'!AA25*K$3</f>
        <v>0</v>
      </c>
      <c r="L79" s="394">
        <f t="shared" si="8"/>
        <v>2.0170475961289926</v>
      </c>
      <c r="M79" s="124">
        <f>VLOOKUP(A79,'Yield 1Y'!$F:$G,2,0)</f>
        <v>46220</v>
      </c>
      <c r="N79" s="318">
        <f t="shared" si="9"/>
        <v>116</v>
      </c>
      <c r="P79" s="37">
        <v>76</v>
      </c>
      <c r="Q79" s="72">
        <f>Q$3*'Yield 1Y'!R78</f>
        <v>0</v>
      </c>
      <c r="R79" s="72">
        <f>R$3*'Yield 1Y'!S78</f>
        <v>0</v>
      </c>
      <c r="S79" s="72">
        <f>S$3*'Yield 1Y'!T78</f>
        <v>0</v>
      </c>
      <c r="T79" s="72">
        <f>T$3*'Yield 1Y'!U78</f>
        <v>0</v>
      </c>
      <c r="U79" s="72">
        <f>U$3*'Yield 1Y'!V78</f>
        <v>0</v>
      </c>
      <c r="V79" s="72">
        <f>V$3*'Yield 1Y'!W78</f>
        <v>1.2743916245754256E-2</v>
      </c>
      <c r="W79" s="72">
        <f>W$3*'Yield 1Y'!X78</f>
        <v>-0.68298764886602603</v>
      </c>
      <c r="X79" s="72">
        <f>X$3*'Yield 1Y'!Y78</f>
        <v>0</v>
      </c>
      <c r="Y79" s="72">
        <f>Y$3*'Yield 1Y'!Z78</f>
        <v>0</v>
      </c>
      <c r="Z79" s="72">
        <f>Z$3*'Yield 1Y'!AA78</f>
        <v>0</v>
      </c>
      <c r="AA79" s="177">
        <f t="shared" si="10"/>
        <v>0.67024373262027181</v>
      </c>
      <c r="AB79" s="124">
        <f>VLOOKUP(P79,'Yield 1Y'!$F:$G,2,0)</f>
        <v>46147</v>
      </c>
      <c r="AC79" s="318">
        <f t="shared" si="14"/>
        <v>74</v>
      </c>
      <c r="AE79" s="37">
        <v>18</v>
      </c>
      <c r="AF79" s="72">
        <f>AF$3*'Yield 1Y'!AB20</f>
        <v>0</v>
      </c>
      <c r="AG79" s="72">
        <f>AG$3*'Yield 1Y'!AC20</f>
        <v>0</v>
      </c>
      <c r="AH79" s="72">
        <f>AH$3*'Yield 1Y'!AD20</f>
        <v>-0.65467163612556156</v>
      </c>
      <c r="AI79" s="72">
        <f>AI$3*'Yield 1Y'!AE20</f>
        <v>-0.49041746344598292</v>
      </c>
      <c r="AJ79" s="72">
        <f>AJ$3*'Yield 1Y'!AF20</f>
        <v>-0.33202487709812184</v>
      </c>
      <c r="AK79" s="72">
        <f>AK$3*'Yield 1Y'!AG20</f>
        <v>-3.2462896178838641</v>
      </c>
      <c r="AL79" s="72">
        <f>AL$3*'Yield 1Y'!AH20</f>
        <v>-22.358592037482744</v>
      </c>
      <c r="AM79" s="72">
        <f>AM$3*'Yield 1Y'!AI20</f>
        <v>-9.754373923234775</v>
      </c>
      <c r="AN79" s="72">
        <f>AN$3*'Yield 1Y'!AJ20</f>
        <v>0</v>
      </c>
      <c r="AO79" s="72">
        <f>AO$3*'Yield 1Y'!AK20</f>
        <v>0</v>
      </c>
      <c r="AP79" s="177">
        <f t="shared" si="11"/>
        <v>36.836369555271048</v>
      </c>
      <c r="AQ79" s="124">
        <f>VLOOKUP(AE79,'Yield 1Y'!$F:$G,2,0)</f>
        <v>46227</v>
      </c>
      <c r="AR79" s="318">
        <f t="shared" si="12"/>
        <v>138</v>
      </c>
      <c r="AT79" s="37">
        <v>73</v>
      </c>
      <c r="AU79" s="72">
        <f>AU$3*'Yield 1Y'!AB141</f>
        <v>0</v>
      </c>
      <c r="AV79" s="72">
        <f>AV$3*'Yield 1Y'!AC141</f>
        <v>0</v>
      </c>
      <c r="AW79" s="72">
        <f>AW$3*'Yield 1Y'!AD141</f>
        <v>0</v>
      </c>
      <c r="AX79" s="72">
        <f>AX$3*'Yield 1Y'!AE141</f>
        <v>0</v>
      </c>
      <c r="AY79" s="72">
        <f>AY$3*'Yield 1Y'!AF141</f>
        <v>0</v>
      </c>
      <c r="AZ79" s="72">
        <f>AZ$3*'Yield 1Y'!AG141</f>
        <v>-0.31859790614375455</v>
      </c>
      <c r="BA79" s="72">
        <f>BA$3*'Yield 1Y'!AH141</f>
        <v>-3.7564320687629911</v>
      </c>
      <c r="BB79" s="72">
        <f>BB$3*'Yield 1Y'!AI141</f>
        <v>-2.2776942285329977</v>
      </c>
      <c r="BC79" s="72">
        <f>BC$3*'Yield 1Y'!AJ141</f>
        <v>0</v>
      </c>
      <c r="BD79" s="72">
        <f>BD$3*'Yield 1Y'!AK141</f>
        <v>0</v>
      </c>
      <c r="BE79" s="177">
        <f t="shared" si="13"/>
        <v>6.3527242034397435</v>
      </c>
      <c r="BF79" s="124">
        <f>VLOOKUP(AT79,'Yield 1Y'!$F:$G,2,0)</f>
        <v>46150</v>
      </c>
      <c r="BG79" s="318">
        <f t="shared" si="15"/>
        <v>121</v>
      </c>
    </row>
    <row r="80" spans="1:59" x14ac:dyDescent="0.3">
      <c r="A80" s="37">
        <v>85</v>
      </c>
      <c r="B80" s="72">
        <f>'Yield 1Y'!R87*B$3</f>
        <v>0</v>
      </c>
      <c r="C80" s="72">
        <f>'Yield 1Y'!S87*C$3</f>
        <v>0</v>
      </c>
      <c r="D80" s="72">
        <f>'Yield 1Y'!T87*D$3</f>
        <v>0</v>
      </c>
      <c r="E80" s="72">
        <f>'Yield 1Y'!U87*E$3</f>
        <v>-0.20193660259540397</v>
      </c>
      <c r="F80" s="72">
        <f>'Yield 1Y'!V87*F$3</f>
        <v>-5.6116880636300118E-2</v>
      </c>
      <c r="G80" s="72">
        <f>'Yield 1Y'!W87*G$3</f>
        <v>0</v>
      </c>
      <c r="H80" s="72">
        <f>'Yield 1Y'!X87*H$3</f>
        <v>-0.41404800069389674</v>
      </c>
      <c r="I80" s="72">
        <f>'Yield 1Y'!Y87*I$3</f>
        <v>-0.67271544298163655</v>
      </c>
      <c r="J80" s="72">
        <f>'Yield 1Y'!Z87*J$3</f>
        <v>0</v>
      </c>
      <c r="K80" s="72">
        <f>'Yield 1Y'!AA87*K$3</f>
        <v>0</v>
      </c>
      <c r="L80" s="177">
        <f t="shared" si="8"/>
        <v>1.3448169269072374</v>
      </c>
      <c r="M80" s="124">
        <f>VLOOKUP(A80,'Yield 1Y'!$F:$G,2,0)</f>
        <v>46129</v>
      </c>
      <c r="N80" s="318">
        <f t="shared" si="9"/>
        <v>139</v>
      </c>
      <c r="P80" s="37">
        <v>77</v>
      </c>
      <c r="Q80" s="72">
        <f>Q$3*'Yield 1Y'!R79</f>
        <v>0</v>
      </c>
      <c r="R80" s="72">
        <f>R$3*'Yield 1Y'!S79</f>
        <v>0</v>
      </c>
      <c r="S80" s="72">
        <f>S$3*'Yield 1Y'!T79</f>
        <v>0</v>
      </c>
      <c r="T80" s="72">
        <f>T$3*'Yield 1Y'!U79</f>
        <v>0</v>
      </c>
      <c r="U80" s="72">
        <f>U$3*'Yield 1Y'!V79</f>
        <v>0</v>
      </c>
      <c r="V80" s="72">
        <f>V$3*'Yield 1Y'!W79</f>
        <v>0</v>
      </c>
      <c r="W80" s="72">
        <f>W$3*'Yield 1Y'!X79</f>
        <v>1.138312748109976</v>
      </c>
      <c r="X80" s="72">
        <f>X$3*'Yield 1Y'!Y79</f>
        <v>0</v>
      </c>
      <c r="Y80" s="72">
        <f>Y$3*'Yield 1Y'!Z79</f>
        <v>0</v>
      </c>
      <c r="Z80" s="72">
        <f>Z$3*'Yield 1Y'!AA79</f>
        <v>0</v>
      </c>
      <c r="AA80" s="177">
        <f t="shared" si="10"/>
        <v>-1.138312748109976</v>
      </c>
      <c r="AB80" s="124">
        <f>VLOOKUP(P80,'Yield 1Y'!$F:$G,2,0)</f>
        <v>46146</v>
      </c>
      <c r="AC80" s="318">
        <f t="shared" si="14"/>
        <v>244</v>
      </c>
      <c r="AE80" s="37">
        <v>100</v>
      </c>
      <c r="AF80" s="72">
        <f>AF$3*'Yield 1Y'!AB102</f>
        <v>0</v>
      </c>
      <c r="AG80" s="72">
        <f>AG$3*'Yield 1Y'!AC102</f>
        <v>0</v>
      </c>
      <c r="AH80" s="72">
        <f>AH$3*'Yield 1Y'!AD102</f>
        <v>-0.60856799977869214</v>
      </c>
      <c r="AI80" s="72">
        <f>AI$3*'Yield 1Y'!AE102</f>
        <v>0</v>
      </c>
      <c r="AJ80" s="72">
        <f>AJ$3*'Yield 1Y'!AF102</f>
        <v>-0.27123158974212624</v>
      </c>
      <c r="AK80" s="72">
        <f>AK$3*'Yield 1Y'!AG102</f>
        <v>-7.8451999098856842</v>
      </c>
      <c r="AL80" s="72">
        <f>AL$3*'Yield 1Y'!AH102</f>
        <v>-26.085024043729835</v>
      </c>
      <c r="AM80" s="72">
        <f>AM$3*'Yield 1Y'!AI102</f>
        <v>-16.481528353051885</v>
      </c>
      <c r="AN80" s="72">
        <f>AN$3*'Yield 1Y'!AJ102</f>
        <v>0</v>
      </c>
      <c r="AO80" s="72">
        <f>AO$3*'Yield 1Y'!AK102</f>
        <v>0</v>
      </c>
      <c r="AP80" s="177">
        <f t="shared" si="11"/>
        <v>51.291551896188224</v>
      </c>
      <c r="AQ80" s="124">
        <f>VLOOKUP(AE80,'Yield 1Y'!$F:$G,2,0)</f>
        <v>46108</v>
      </c>
      <c r="AR80" s="318">
        <f t="shared" si="12"/>
        <v>78</v>
      </c>
      <c r="AT80" s="37">
        <v>74</v>
      </c>
      <c r="AU80" s="72">
        <f>AU$3*'Yield 1Y'!AB70</f>
        <v>0</v>
      </c>
      <c r="AV80" s="72">
        <f>AV$3*'Yield 1Y'!AC70</f>
        <v>0</v>
      </c>
      <c r="AW80" s="72">
        <f>AW$3*'Yield 1Y'!AD70</f>
        <v>0</v>
      </c>
      <c r="AX80" s="72">
        <f>AX$3*'Yield 1Y'!AE70</f>
        <v>0</v>
      </c>
      <c r="AY80" s="72">
        <f>AY$3*'Yield 1Y'!AF70</f>
        <v>0</v>
      </c>
      <c r="AZ80" s="72">
        <f>AZ$3*'Yield 1Y'!AG70</f>
        <v>2.5487832491497196E-2</v>
      </c>
      <c r="BA80" s="72">
        <f>BA$3*'Yield 1Y'!AH70</f>
        <v>1.9351316717869893</v>
      </c>
      <c r="BB80" s="72">
        <f>BB$3*'Yield 1Y'!AI70</f>
        <v>0.4795145744280005</v>
      </c>
      <c r="BC80" s="72">
        <f>BC$3*'Yield 1Y'!AJ70</f>
        <v>0</v>
      </c>
      <c r="BD80" s="72">
        <f>BD$3*'Yield 1Y'!AK70</f>
        <v>0</v>
      </c>
      <c r="BE80" s="177">
        <f t="shared" si="13"/>
        <v>-2.4401340787064871</v>
      </c>
      <c r="BF80" s="124">
        <f>VLOOKUP(AT80,'Yield 1Y'!$F:$G,2,0)</f>
        <v>46149</v>
      </c>
      <c r="BG80" s="318">
        <f t="shared" si="15"/>
        <v>252</v>
      </c>
    </row>
    <row r="81" spans="1:59" x14ac:dyDescent="0.3">
      <c r="A81" s="37">
        <v>213</v>
      </c>
      <c r="B81" s="72">
        <f>'Yield 1Y'!R215*B$3</f>
        <v>0</v>
      </c>
      <c r="C81" s="72">
        <f>'Yield 1Y'!S215*C$3</f>
        <v>0</v>
      </c>
      <c r="D81" s="72">
        <f>'Yield 1Y'!T215*D$3</f>
        <v>0</v>
      </c>
      <c r="E81" s="72">
        <f>'Yield 1Y'!U215*E$3</f>
        <v>-5.7696172170120914E-2</v>
      </c>
      <c r="F81" s="72">
        <f>'Yield 1Y'!V215*F$3</f>
        <v>-2.3382033598458727E-2</v>
      </c>
      <c r="G81" s="72">
        <f>'Yield 1Y'!W215*G$3</f>
        <v>-7.5746757750620688</v>
      </c>
      <c r="H81" s="72">
        <f>'Yield 1Y'!X215*H$3</f>
        <v>-5.79667200971768</v>
      </c>
      <c r="I81" s="72">
        <f>'Yield 1Y'!Y215*I$3</f>
        <v>-4.0362926578902671</v>
      </c>
      <c r="J81" s="72">
        <f>'Yield 1Y'!Z215*J$3</f>
        <v>0</v>
      </c>
      <c r="K81" s="72">
        <f>'Yield 1Y'!AA215*K$3</f>
        <v>0</v>
      </c>
      <c r="L81" s="177">
        <f t="shared" si="8"/>
        <v>17.488718648438596</v>
      </c>
      <c r="M81" s="124">
        <f>VLOOKUP(A81,'Yield 1Y'!$F:$G,2,0)</f>
        <v>45940</v>
      </c>
      <c r="N81" s="318">
        <f t="shared" si="9"/>
        <v>24</v>
      </c>
      <c r="P81" s="37">
        <v>78</v>
      </c>
      <c r="Q81" s="72">
        <f>Q$3*'Yield 1Y'!R80</f>
        <v>0</v>
      </c>
      <c r="R81" s="72">
        <f>R$3*'Yield 1Y'!S80</f>
        <v>0</v>
      </c>
      <c r="S81" s="72">
        <f>S$3*'Yield 1Y'!T80</f>
        <v>0</v>
      </c>
      <c r="T81" s="72">
        <f>T$3*'Yield 1Y'!U80</f>
        <v>0</v>
      </c>
      <c r="U81" s="72">
        <f>U$3*'Yield 1Y'!V80</f>
        <v>0</v>
      </c>
      <c r="V81" s="72">
        <f>V$3*'Yield 1Y'!W80</f>
        <v>0</v>
      </c>
      <c r="W81" s="72">
        <f>W$3*'Yield 1Y'!X80</f>
        <v>-0.34149382443301302</v>
      </c>
      <c r="X81" s="72">
        <f>X$3*'Yield 1Y'!Y80</f>
        <v>-3.9959547869013352E-2</v>
      </c>
      <c r="Y81" s="72">
        <f>Y$3*'Yield 1Y'!Z80</f>
        <v>0</v>
      </c>
      <c r="Z81" s="72">
        <f>Z$3*'Yield 1Y'!AA80</f>
        <v>0</v>
      </c>
      <c r="AA81" s="177">
        <f t="shared" si="10"/>
        <v>0.38145337230202636</v>
      </c>
      <c r="AB81" s="124">
        <f>VLOOKUP(P81,'Yield 1Y'!$F:$G,2,0)</f>
        <v>46141</v>
      </c>
      <c r="AC81" s="318">
        <f t="shared" si="14"/>
        <v>110</v>
      </c>
      <c r="AE81" s="37">
        <v>17</v>
      </c>
      <c r="AF81" s="72">
        <f>AF$3*'Yield 1Y'!AB19</f>
        <v>0</v>
      </c>
      <c r="AG81" s="72">
        <f>AG$3*'Yield 1Y'!AC19</f>
        <v>0</v>
      </c>
      <c r="AH81" s="72">
        <f>AH$3*'Yield 1Y'!AD19</f>
        <v>-0.65467163612556156</v>
      </c>
      <c r="AI81" s="72">
        <f>AI$3*'Yield 1Y'!AE19</f>
        <v>-0.49041746344598292</v>
      </c>
      <c r="AJ81" s="72">
        <f>AJ$3*'Yield 1Y'!AF19</f>
        <v>-0.33202487709812184</v>
      </c>
      <c r="AK81" s="72">
        <f>AK$3*'Yield 1Y'!AG19</f>
        <v>-3.2462896178838641</v>
      </c>
      <c r="AL81" s="72">
        <f>AL$3*'Yield 1Y'!AH19</f>
        <v>-29.397408049282848</v>
      </c>
      <c r="AM81" s="72">
        <f>AM$3*'Yield 1Y'!AI19</f>
        <v>-13.117951138143406</v>
      </c>
      <c r="AN81" s="72">
        <f>AN$3*'Yield 1Y'!AJ19</f>
        <v>0</v>
      </c>
      <c r="AO81" s="72">
        <f>AO$3*'Yield 1Y'!AK19</f>
        <v>0</v>
      </c>
      <c r="AP81" s="177">
        <f t="shared" si="11"/>
        <v>47.23876278197978</v>
      </c>
      <c r="AQ81" s="124">
        <f>VLOOKUP(AE81,'Yield 1Y'!$F:$G,2,0)</f>
        <v>46230</v>
      </c>
      <c r="AR81" s="318">
        <f t="shared" si="12"/>
        <v>91</v>
      </c>
      <c r="AT81" s="37">
        <v>75</v>
      </c>
      <c r="AU81" s="72">
        <f>AU$3*'Yield 1Y'!AB161</f>
        <v>0</v>
      </c>
      <c r="AV81" s="72">
        <f>AV$3*'Yield 1Y'!AC161</f>
        <v>0</v>
      </c>
      <c r="AW81" s="72">
        <f>AW$3*'Yield 1Y'!AD161</f>
        <v>0</v>
      </c>
      <c r="AX81" s="72">
        <f>AX$3*'Yield 1Y'!AE161</f>
        <v>0</v>
      </c>
      <c r="AY81" s="72">
        <f>AY$3*'Yield 1Y'!AF161</f>
        <v>0</v>
      </c>
      <c r="AZ81" s="72">
        <f>AZ$3*'Yield 1Y'!AG161</f>
        <v>-0.40780531986400037</v>
      </c>
      <c r="BA81" s="72">
        <f>BA$3*'Yield 1Y'!AH161</f>
        <v>-0.45532509924400044</v>
      </c>
      <c r="BB81" s="72">
        <f>BB$3*'Yield 1Y'!AI161</f>
        <v>-0.51947412229699608</v>
      </c>
      <c r="BC81" s="72">
        <f>BC$3*'Yield 1Y'!AJ161</f>
        <v>0</v>
      </c>
      <c r="BD81" s="72">
        <f>BD$3*'Yield 1Y'!AK161</f>
        <v>0</v>
      </c>
      <c r="BE81" s="177">
        <f t="shared" si="13"/>
        <v>1.382604541404997</v>
      </c>
      <c r="BF81" s="124">
        <f>VLOOKUP(AT81,'Yield 1Y'!$F:$G,2,0)</f>
        <v>46148</v>
      </c>
      <c r="BG81" s="318">
        <f t="shared" si="15"/>
        <v>221</v>
      </c>
    </row>
    <row r="82" spans="1:59" x14ac:dyDescent="0.3">
      <c r="A82" s="37">
        <v>169</v>
      </c>
      <c r="B82" s="72">
        <f>'Yield 1Y'!R171*B$3</f>
        <v>0</v>
      </c>
      <c r="C82" s="72">
        <f>'Yield 1Y'!S171*C$3</f>
        <v>0</v>
      </c>
      <c r="D82" s="72">
        <f>'Yield 1Y'!T171*D$3</f>
        <v>0</v>
      </c>
      <c r="E82" s="72">
        <f>'Yield 1Y'!U171*E$3</f>
        <v>-0.14424043042528306</v>
      </c>
      <c r="F82" s="72">
        <f>'Yield 1Y'!V171*F$3</f>
        <v>-4.6764067196917454E-2</v>
      </c>
      <c r="G82" s="72">
        <f>'Yield 1Y'!W171*G$3</f>
        <v>-1.6231448089418119</v>
      </c>
      <c r="H82" s="72">
        <f>'Yield 1Y'!X171*H$3</f>
        <v>-11.179296018741463</v>
      </c>
      <c r="I82" s="72">
        <f>'Yield 1Y'!Y171*I$3</f>
        <v>-7.3998698727985994</v>
      </c>
      <c r="J82" s="72">
        <f>'Yield 1Y'!Z171*J$3</f>
        <v>0</v>
      </c>
      <c r="K82" s="72">
        <f>'Yield 1Y'!AA171*K$3</f>
        <v>0</v>
      </c>
      <c r="L82" s="177">
        <f t="shared" si="8"/>
        <v>20.393315198104073</v>
      </c>
      <c r="M82" s="124">
        <f>VLOOKUP(A82,'Yield 1Y'!$F:$G,2,0)</f>
        <v>46002</v>
      </c>
      <c r="N82" s="318">
        <f t="shared" si="9"/>
        <v>19</v>
      </c>
      <c r="P82" s="37">
        <v>79</v>
      </c>
      <c r="Q82" s="72">
        <f>Q$3*'Yield 1Y'!R81</f>
        <v>0</v>
      </c>
      <c r="R82" s="72">
        <f>R$3*'Yield 1Y'!S81</f>
        <v>0</v>
      </c>
      <c r="S82" s="72">
        <f>S$3*'Yield 1Y'!T81</f>
        <v>0</v>
      </c>
      <c r="T82" s="72">
        <f>T$3*'Yield 1Y'!U81</f>
        <v>0</v>
      </c>
      <c r="U82" s="72">
        <f>U$3*'Yield 1Y'!V81</f>
        <v>0</v>
      </c>
      <c r="V82" s="72">
        <f>V$3*'Yield 1Y'!W81</f>
        <v>0</v>
      </c>
      <c r="W82" s="72">
        <f>W$3*'Yield 1Y'!X81</f>
        <v>0</v>
      </c>
      <c r="X82" s="72">
        <f>X$3*'Yield 1Y'!Y81</f>
        <v>0</v>
      </c>
      <c r="Y82" s="72">
        <f>Y$3*'Yield 1Y'!Z81</f>
        <v>0</v>
      </c>
      <c r="Z82" s="72">
        <f>Z$3*'Yield 1Y'!AA81</f>
        <v>0</v>
      </c>
      <c r="AA82" s="177">
        <f t="shared" si="10"/>
        <v>0</v>
      </c>
      <c r="AB82" s="124">
        <f>VLOOKUP(P82,'Yield 1Y'!$F:$G,2,0)</f>
        <v>46140</v>
      </c>
      <c r="AC82" s="318">
        <f t="shared" si="14"/>
        <v>179</v>
      </c>
      <c r="AE82" s="37">
        <v>29</v>
      </c>
      <c r="AF82" s="72">
        <f>AF$3*'Yield 1Y'!AB31</f>
        <v>0</v>
      </c>
      <c r="AG82" s="72">
        <f>AG$3*'Yield 1Y'!AC31</f>
        <v>0</v>
      </c>
      <c r="AH82" s="72">
        <f>AH$3*'Yield 1Y'!AD31</f>
        <v>-0.1936352726568549</v>
      </c>
      <c r="AI82" s="72">
        <f>AI$3*'Yield 1Y'!AE31</f>
        <v>0.11539234434024183</v>
      </c>
      <c r="AJ82" s="72">
        <f>AJ$3*'Yield 1Y'!AF31</f>
        <v>-0.13561579487106312</v>
      </c>
      <c r="AK82" s="72">
        <f>AK$3*'Yield 1Y'!AG31</f>
        <v>-1.0820965392947015</v>
      </c>
      <c r="AL82" s="72">
        <f>AL$3*'Yield 1Y'!AH31</f>
        <v>-7.0388160118002894</v>
      </c>
      <c r="AM82" s="72">
        <f>AM$3*'Yield 1Y'!AI31</f>
        <v>-6.0544389868353257</v>
      </c>
      <c r="AN82" s="72">
        <f>AN$3*'Yield 1Y'!AJ31</f>
        <v>0</v>
      </c>
      <c r="AO82" s="72">
        <f>AO$3*'Yield 1Y'!AK31</f>
        <v>0</v>
      </c>
      <c r="AP82" s="177">
        <f t="shared" si="11"/>
        <v>14.389210261117993</v>
      </c>
      <c r="AQ82" s="124">
        <f>VLOOKUP(AE82,'Yield 1Y'!$F:$G,2,0)</f>
        <v>46212</v>
      </c>
      <c r="AR82" s="318">
        <f t="shared" si="12"/>
        <v>217</v>
      </c>
      <c r="AT82" s="37">
        <v>76</v>
      </c>
      <c r="AU82" s="72">
        <f>AU$3*'Yield 1Y'!AB205</f>
        <v>0</v>
      </c>
      <c r="AV82" s="72">
        <f>AV$3*'Yield 1Y'!AC205</f>
        <v>0</v>
      </c>
      <c r="AW82" s="72">
        <f>AW$3*'Yield 1Y'!AD205</f>
        <v>0</v>
      </c>
      <c r="AX82" s="72">
        <f>AX$3*'Yield 1Y'!AE205</f>
        <v>0</v>
      </c>
      <c r="AY82" s="72">
        <f>AY$3*'Yield 1Y'!AF205</f>
        <v>0</v>
      </c>
      <c r="AZ82" s="72">
        <f>AZ$3*'Yield 1Y'!AG205</f>
        <v>-0.73914714225349787</v>
      </c>
      <c r="BA82" s="72">
        <f>BA$3*'Yield 1Y'!AH205</f>
        <v>-8.3096830612029962</v>
      </c>
      <c r="BB82" s="72">
        <f>BB$3*'Yield 1Y'!AI205</f>
        <v>-2.1578155849259932</v>
      </c>
      <c r="BC82" s="72">
        <f>BC$3*'Yield 1Y'!AJ205</f>
        <v>0</v>
      </c>
      <c r="BD82" s="72">
        <f>BD$3*'Yield 1Y'!AK205</f>
        <v>0</v>
      </c>
      <c r="BE82" s="177">
        <f t="shared" si="13"/>
        <v>11.206645788382486</v>
      </c>
      <c r="BF82" s="124">
        <f>VLOOKUP(AT82,'Yield 1Y'!$F:$G,2,0)</f>
        <v>46147</v>
      </c>
      <c r="BG82" s="318">
        <f t="shared" si="15"/>
        <v>53</v>
      </c>
    </row>
    <row r="83" spans="1:59" x14ac:dyDescent="0.3">
      <c r="A83" s="37">
        <v>118</v>
      </c>
      <c r="B83" s="72">
        <f>'Yield 1Y'!R120*B$3</f>
        <v>0</v>
      </c>
      <c r="C83" s="72">
        <f>'Yield 1Y'!S120*C$3</f>
        <v>0</v>
      </c>
      <c r="D83" s="72">
        <f>'Yield 1Y'!T120*D$3</f>
        <v>-0.14753163630998548</v>
      </c>
      <c r="E83" s="72">
        <f>'Yield 1Y'!U120*E$3</f>
        <v>-8.6544258255174963E-2</v>
      </c>
      <c r="F83" s="72">
        <f>'Yield 1Y'!V120*F$3</f>
        <v>4.6764067196919536E-2</v>
      </c>
      <c r="G83" s="72">
        <f>'Yield 1Y'!W120*G$3</f>
        <v>0</v>
      </c>
      <c r="H83" s="72">
        <f>'Yield 1Y'!X120*H$3</f>
        <v>-2.070240003470587</v>
      </c>
      <c r="I83" s="72">
        <f>'Yield 1Y'!Y120*I$3</f>
        <v>-1.6817886074542407</v>
      </c>
      <c r="J83" s="72">
        <f>'Yield 1Y'!Z120*J$3</f>
        <v>0</v>
      </c>
      <c r="K83" s="72">
        <f>'Yield 1Y'!AA120*K$3</f>
        <v>0</v>
      </c>
      <c r="L83" s="177">
        <f t="shared" si="8"/>
        <v>3.9393404382930686</v>
      </c>
      <c r="M83" s="124">
        <f>VLOOKUP(A83,'Yield 1Y'!$F:$G,2,0)</f>
        <v>46084</v>
      </c>
      <c r="N83" s="318">
        <f t="shared" si="9"/>
        <v>73</v>
      </c>
      <c r="P83" s="37">
        <v>80</v>
      </c>
      <c r="Q83" s="72">
        <f>Q$3*'Yield 1Y'!R82</f>
        <v>0</v>
      </c>
      <c r="R83" s="72">
        <f>R$3*'Yield 1Y'!S82</f>
        <v>0</v>
      </c>
      <c r="S83" s="72">
        <f>S$3*'Yield 1Y'!T82</f>
        <v>0</v>
      </c>
      <c r="T83" s="72">
        <f>T$3*'Yield 1Y'!U82</f>
        <v>0</v>
      </c>
      <c r="U83" s="72">
        <f>U$3*'Yield 1Y'!V82</f>
        <v>0</v>
      </c>
      <c r="V83" s="72">
        <f>V$3*'Yield 1Y'!W82</f>
        <v>0</v>
      </c>
      <c r="W83" s="72">
        <f>W$3*'Yield 1Y'!X82</f>
        <v>0</v>
      </c>
      <c r="X83" s="72">
        <f>X$3*'Yield 1Y'!Y82</f>
        <v>-3.995954786897786E-2</v>
      </c>
      <c r="Y83" s="72">
        <f>Y$3*'Yield 1Y'!Z82</f>
        <v>0</v>
      </c>
      <c r="Z83" s="72">
        <f>Z$3*'Yield 1Y'!AA82</f>
        <v>0</v>
      </c>
      <c r="AA83" s="177">
        <f t="shared" si="10"/>
        <v>3.995954786897786E-2</v>
      </c>
      <c r="AB83" s="124">
        <f>VLOOKUP(P83,'Yield 1Y'!$F:$G,2,0)</f>
        <v>46136</v>
      </c>
      <c r="AC83" s="318">
        <f t="shared" si="14"/>
        <v>172</v>
      </c>
      <c r="AE83" s="37">
        <v>12</v>
      </c>
      <c r="AF83" s="72">
        <f>AF$3*'Yield 1Y'!AB14</f>
        <v>0</v>
      </c>
      <c r="AG83" s="72">
        <f>AG$3*'Yield 1Y'!AC14</f>
        <v>0</v>
      </c>
      <c r="AH83" s="72">
        <f>AH$3*'Yield 1Y'!AD14</f>
        <v>-0.87596909059053973</v>
      </c>
      <c r="AI83" s="72">
        <f>AI$3*'Yield 1Y'!AE14</f>
        <v>0</v>
      </c>
      <c r="AJ83" s="72">
        <f>AJ$3*'Yield 1Y'!AF14</f>
        <v>-0.49102270556764366</v>
      </c>
      <c r="AK83" s="72">
        <f>AK$3*'Yield 1Y'!AG14</f>
        <v>0</v>
      </c>
      <c r="AL83" s="72">
        <f>AL$3*'Yield 1Y'!AH14</f>
        <v>-43.060992072188981</v>
      </c>
      <c r="AM83" s="72">
        <f>AM$3*'Yield 1Y'!AI14</f>
        <v>-18.836032403487913</v>
      </c>
      <c r="AN83" s="72">
        <f>AN$3*'Yield 1Y'!AJ14</f>
        <v>0</v>
      </c>
      <c r="AO83" s="72">
        <f>AO$3*'Yield 1Y'!AK14</f>
        <v>0</v>
      </c>
      <c r="AP83" s="177">
        <f t="shared" si="11"/>
        <v>63.264016271835075</v>
      </c>
      <c r="AQ83" s="124">
        <f>VLOOKUP(AE83,'Yield 1Y'!$F:$G,2,0)</f>
        <v>46237</v>
      </c>
      <c r="AR83" s="318">
        <f t="shared" si="12"/>
        <v>60</v>
      </c>
      <c r="AT83" s="37">
        <v>77</v>
      </c>
      <c r="AU83" s="72">
        <f>AU$3*'Yield 1Y'!AB93</f>
        <v>0</v>
      </c>
      <c r="AV83" s="72">
        <f>AV$3*'Yield 1Y'!AC93</f>
        <v>0</v>
      </c>
      <c r="AW83" s="72">
        <f>AW$3*'Yield 1Y'!AD93</f>
        <v>0</v>
      </c>
      <c r="AX83" s="72">
        <f>AX$3*'Yield 1Y'!AE93</f>
        <v>0</v>
      </c>
      <c r="AY83" s="72">
        <f>AY$3*'Yield 1Y'!AF93</f>
        <v>0</v>
      </c>
      <c r="AZ83" s="72">
        <f>AZ$3*'Yield 1Y'!AG93</f>
        <v>-5.0975664982994391E-2</v>
      </c>
      <c r="BA83" s="72">
        <f>BA$3*'Yield 1Y'!AH93</f>
        <v>-0.91065019848800088</v>
      </c>
      <c r="BB83" s="72">
        <f>BB$3*'Yield 1Y'!AI93</f>
        <v>-0.19979773934499578</v>
      </c>
      <c r="BC83" s="72">
        <f>BC$3*'Yield 1Y'!AJ93</f>
        <v>0</v>
      </c>
      <c r="BD83" s="72">
        <f>BD$3*'Yield 1Y'!AK93</f>
        <v>0</v>
      </c>
      <c r="BE83" s="177">
        <f t="shared" si="13"/>
        <v>1.161423602815991</v>
      </c>
      <c r="BF83" s="124">
        <f>VLOOKUP(AT83,'Yield 1Y'!$F:$G,2,0)</f>
        <v>46146</v>
      </c>
      <c r="BG83" s="318">
        <f t="shared" si="15"/>
        <v>226</v>
      </c>
    </row>
    <row r="84" spans="1:59" x14ac:dyDescent="0.3">
      <c r="A84" s="37">
        <v>2</v>
      </c>
      <c r="B84" s="72">
        <f>'Yield 1Y'!R4*B$3</f>
        <v>0</v>
      </c>
      <c r="C84" s="72">
        <f>'Yield 1Y'!S4*C$3</f>
        <v>0</v>
      </c>
      <c r="D84" s="72">
        <f>'Yield 1Y'!T4*D$3</f>
        <v>0</v>
      </c>
      <c r="E84" s="72">
        <f>'Yield 1Y'!U4*E$3</f>
        <v>-0.14424043042528306</v>
      </c>
      <c r="F84" s="72">
        <f>'Yield 1Y'!V4*F$3</f>
        <v>-5.1440473916610864E-2</v>
      </c>
      <c r="G84" s="72">
        <f>'Yield 1Y'!W4*G$3</f>
        <v>-2.1641930785891628</v>
      </c>
      <c r="H84" s="72">
        <f>'Yield 1Y'!X4*H$3</f>
        <v>-12.007392020129624</v>
      </c>
      <c r="I84" s="72">
        <f>'Yield 1Y'!Y4*I$3</f>
        <v>-1.3454308859635717</v>
      </c>
      <c r="J84" s="72">
        <f>'Yield 1Y'!Z4*J$3</f>
        <v>0</v>
      </c>
      <c r="K84" s="72">
        <f>'Yield 1Y'!AA4*K$3</f>
        <v>0</v>
      </c>
      <c r="L84" s="177">
        <f t="shared" si="8"/>
        <v>15.712696889024253</v>
      </c>
      <c r="M84" s="124">
        <f>VLOOKUP(A84,'Yield 1Y'!$F:$G,2,0)</f>
        <v>46251</v>
      </c>
      <c r="N84" s="318">
        <f t="shared" si="9"/>
        <v>26</v>
      </c>
      <c r="P84" s="37">
        <v>81</v>
      </c>
      <c r="Q84" s="72">
        <f>Q$3*'Yield 1Y'!R83</f>
        <v>0</v>
      </c>
      <c r="R84" s="72">
        <f>R$3*'Yield 1Y'!S83</f>
        <v>0</v>
      </c>
      <c r="S84" s="72">
        <f>S$3*'Yield 1Y'!T83</f>
        <v>0</v>
      </c>
      <c r="T84" s="72">
        <f>T$3*'Yield 1Y'!U83</f>
        <v>0</v>
      </c>
      <c r="U84" s="72">
        <f>U$3*'Yield 1Y'!V83</f>
        <v>0</v>
      </c>
      <c r="V84" s="72">
        <f>V$3*'Yield 1Y'!W83</f>
        <v>3.823174873725145E-2</v>
      </c>
      <c r="W84" s="72">
        <f>W$3*'Yield 1Y'!X83</f>
        <v>-0.34149382443291187</v>
      </c>
      <c r="X84" s="72">
        <f>X$3*'Yield 1Y'!Y83</f>
        <v>0</v>
      </c>
      <c r="Y84" s="72">
        <f>Y$3*'Yield 1Y'!Z83</f>
        <v>0</v>
      </c>
      <c r="Z84" s="72">
        <f>Z$3*'Yield 1Y'!AA83</f>
        <v>0</v>
      </c>
      <c r="AA84" s="177">
        <f t="shared" si="10"/>
        <v>0.30326207569566044</v>
      </c>
      <c r="AB84" s="124">
        <f>VLOOKUP(P84,'Yield 1Y'!$F:$G,2,0)</f>
        <v>46135</v>
      </c>
      <c r="AC84" s="318">
        <f t="shared" si="14"/>
        <v>129</v>
      </c>
      <c r="AE84" s="37">
        <v>136</v>
      </c>
      <c r="AF84" s="72">
        <f>AF$3*'Yield 1Y'!AB138</f>
        <v>0</v>
      </c>
      <c r="AG84" s="72">
        <f>AG$3*'Yield 1Y'!AC138</f>
        <v>0</v>
      </c>
      <c r="AH84" s="72">
        <f>AH$3*'Yield 1Y'!AD138</f>
        <v>0</v>
      </c>
      <c r="AI84" s="72">
        <f>AI$3*'Yield 1Y'!AE138</f>
        <v>0.23078468868045804</v>
      </c>
      <c r="AJ84" s="72">
        <f>AJ$3*'Yield 1Y'!AF138</f>
        <v>4.6764067196917454E-2</v>
      </c>
      <c r="AK84" s="72">
        <f>AK$3*'Yield 1Y'!AG138</f>
        <v>2.1641930785891628</v>
      </c>
      <c r="AL84" s="72">
        <f>AL$3*'Yield 1Y'!AH138</f>
        <v>2.4842880041646676</v>
      </c>
      <c r="AM84" s="72">
        <f>AM$3*'Yield 1Y'!AI138</f>
        <v>0.33635772149081827</v>
      </c>
      <c r="AN84" s="72">
        <f>AN$3*'Yield 1Y'!AJ138</f>
        <v>0</v>
      </c>
      <c r="AO84" s="72">
        <f>AO$3*'Yield 1Y'!AK138</f>
        <v>0</v>
      </c>
      <c r="AP84" s="177">
        <f t="shared" si="11"/>
        <v>-5.2623875601220238</v>
      </c>
      <c r="AQ84" s="124">
        <f>VLOOKUP(AE84,'Yield 1Y'!$F:$G,2,0)</f>
        <v>46051</v>
      </c>
      <c r="AR84" s="318">
        <f t="shared" si="12"/>
        <v>250</v>
      </c>
      <c r="AT84" s="37">
        <v>78</v>
      </c>
      <c r="AU84" s="72">
        <f>AU$3*'Yield 1Y'!AB157</f>
        <v>0</v>
      </c>
      <c r="AV84" s="72">
        <f>AV$3*'Yield 1Y'!AC157</f>
        <v>0</v>
      </c>
      <c r="AW84" s="72">
        <f>AW$3*'Yield 1Y'!AD157</f>
        <v>0</v>
      </c>
      <c r="AX84" s="72">
        <f>AX$3*'Yield 1Y'!AE157</f>
        <v>0</v>
      </c>
      <c r="AY84" s="72">
        <f>AY$3*'Yield 1Y'!AF157</f>
        <v>0</v>
      </c>
      <c r="AZ84" s="72">
        <f>AZ$3*'Yield 1Y'!AG157</f>
        <v>-0.47152490109274903</v>
      </c>
      <c r="BA84" s="72">
        <f>BA$3*'Yield 1Y'!AH157</f>
        <v>-1.3659752977320014</v>
      </c>
      <c r="BB84" s="72">
        <f>BB$3*'Yield 1Y'!AI157</f>
        <v>-0.91906960098700541</v>
      </c>
      <c r="BC84" s="72">
        <f>BC$3*'Yield 1Y'!AJ157</f>
        <v>0</v>
      </c>
      <c r="BD84" s="72">
        <f>BD$3*'Yield 1Y'!AK157</f>
        <v>0</v>
      </c>
      <c r="BE84" s="177">
        <f t="shared" si="13"/>
        <v>2.7565697998117558</v>
      </c>
      <c r="BF84" s="124">
        <f>VLOOKUP(AT84,'Yield 1Y'!$F:$G,2,0)</f>
        <v>46141</v>
      </c>
      <c r="BG84" s="318">
        <f t="shared" si="15"/>
        <v>205</v>
      </c>
    </row>
    <row r="85" spans="1:59" x14ac:dyDescent="0.3">
      <c r="A85" s="37">
        <v>196</v>
      </c>
      <c r="B85" s="72">
        <f>'Yield 1Y'!R198*B$3</f>
        <v>0</v>
      </c>
      <c r="C85" s="72">
        <f>'Yield 1Y'!S198*C$3</f>
        <v>0</v>
      </c>
      <c r="D85" s="72">
        <f>'Yield 1Y'!T198*D$3</f>
        <v>0</v>
      </c>
      <c r="E85" s="72">
        <f>'Yield 1Y'!U198*E$3</f>
        <v>0</v>
      </c>
      <c r="F85" s="72">
        <f>'Yield 1Y'!V198*F$3</f>
        <v>0</v>
      </c>
      <c r="G85" s="72">
        <f>'Yield 1Y'!W198*G$3</f>
        <v>0</v>
      </c>
      <c r="H85" s="72">
        <f>'Yield 1Y'!X198*H$3</f>
        <v>-2.070240003470587</v>
      </c>
      <c r="I85" s="72">
        <f>'Yield 1Y'!Y198*I$3</f>
        <v>-0.67271544298178587</v>
      </c>
      <c r="J85" s="72">
        <f>'Yield 1Y'!Z198*J$3</f>
        <v>0</v>
      </c>
      <c r="K85" s="72">
        <f>'Yield 1Y'!AA198*K$3</f>
        <v>0</v>
      </c>
      <c r="L85" s="177">
        <f t="shared" si="8"/>
        <v>2.7429554464523731</v>
      </c>
      <c r="M85" s="124">
        <f>VLOOKUP(A85,'Yield 1Y'!$F:$G,2,0)</f>
        <v>45965</v>
      </c>
      <c r="N85" s="318">
        <f t="shared" si="9"/>
        <v>100</v>
      </c>
      <c r="P85" s="37">
        <v>82</v>
      </c>
      <c r="Q85" s="72">
        <f>Q$3*'Yield 1Y'!R84</f>
        <v>0</v>
      </c>
      <c r="R85" s="72">
        <f>R$3*'Yield 1Y'!S84</f>
        <v>0</v>
      </c>
      <c r="S85" s="72">
        <f>S$3*'Yield 1Y'!T84</f>
        <v>0</v>
      </c>
      <c r="T85" s="72">
        <f>T$3*'Yield 1Y'!U84</f>
        <v>0</v>
      </c>
      <c r="U85" s="72">
        <f>U$3*'Yield 1Y'!V84</f>
        <v>0</v>
      </c>
      <c r="V85" s="72">
        <f>V$3*'Yield 1Y'!W84</f>
        <v>0</v>
      </c>
      <c r="W85" s="72">
        <f>W$3*'Yield 1Y'!X84</f>
        <v>0.56915637405498798</v>
      </c>
      <c r="X85" s="72">
        <f>X$3*'Yield 1Y'!Y84</f>
        <v>0</v>
      </c>
      <c r="Y85" s="72">
        <f>Y$3*'Yield 1Y'!Z84</f>
        <v>0</v>
      </c>
      <c r="Z85" s="72">
        <f>Z$3*'Yield 1Y'!AA84</f>
        <v>0</v>
      </c>
      <c r="AA85" s="177">
        <f t="shared" si="10"/>
        <v>-0.56915637405498798</v>
      </c>
      <c r="AB85" s="124">
        <f>VLOOKUP(P85,'Yield 1Y'!$F:$G,2,0)</f>
        <v>46134</v>
      </c>
      <c r="AC85" s="318">
        <f t="shared" si="14"/>
        <v>233</v>
      </c>
      <c r="AE85" s="37">
        <v>137</v>
      </c>
      <c r="AF85" s="72">
        <f>AF$3*'Yield 1Y'!AB139</f>
        <v>0</v>
      </c>
      <c r="AG85" s="72">
        <f>AG$3*'Yield 1Y'!AC139</f>
        <v>0</v>
      </c>
      <c r="AH85" s="72">
        <f>AH$3*'Yield 1Y'!AD139</f>
        <v>0.28584254535059789</v>
      </c>
      <c r="AI85" s="72">
        <f>AI$3*'Yield 1Y'!AE139</f>
        <v>0</v>
      </c>
      <c r="AJ85" s="72">
        <f>AJ$3*'Yield 1Y'!AF139</f>
        <v>-0.10755735455291306</v>
      </c>
      <c r="AK85" s="72">
        <f>AK$3*'Yield 1Y'!AG139</f>
        <v>0</v>
      </c>
      <c r="AL85" s="72">
        <f>AL$3*'Yield 1Y'!AH139</f>
        <v>-9.5231040159649574</v>
      </c>
      <c r="AM85" s="72">
        <f>AM$3*'Yield 1Y'!AI139</f>
        <v>-5.7180812653445079</v>
      </c>
      <c r="AN85" s="72">
        <f>AN$3*'Yield 1Y'!AJ139</f>
        <v>0</v>
      </c>
      <c r="AO85" s="72">
        <f>AO$3*'Yield 1Y'!AK139</f>
        <v>0</v>
      </c>
      <c r="AP85" s="177">
        <f t="shared" si="11"/>
        <v>15.062900090511782</v>
      </c>
      <c r="AQ85" s="124">
        <f>VLOOKUP(AE85,'Yield 1Y'!$F:$G,2,0)</f>
        <v>46050</v>
      </c>
      <c r="AR85" s="318">
        <f t="shared" si="12"/>
        <v>216</v>
      </c>
      <c r="AT85" s="37">
        <v>79</v>
      </c>
      <c r="AU85" s="72">
        <f>AU$3*'Yield 1Y'!AB136</f>
        <v>0</v>
      </c>
      <c r="AV85" s="72">
        <f>AV$3*'Yield 1Y'!AC136</f>
        <v>0</v>
      </c>
      <c r="AW85" s="72">
        <f>AW$3*'Yield 1Y'!AD136</f>
        <v>0</v>
      </c>
      <c r="AX85" s="72">
        <f>AX$3*'Yield 1Y'!AE136</f>
        <v>0</v>
      </c>
      <c r="AY85" s="72">
        <f>AY$3*'Yield 1Y'!AF136</f>
        <v>0</v>
      </c>
      <c r="AZ85" s="72">
        <f>AZ$3*'Yield 1Y'!AG136</f>
        <v>0.11469524621174303</v>
      </c>
      <c r="BA85" s="72">
        <f>BA$3*'Yield 1Y'!AH136</f>
        <v>-2.8457818702749904</v>
      </c>
      <c r="BB85" s="72">
        <f>BB$3*'Yield 1Y'!AI136</f>
        <v>-0.4795145744280005</v>
      </c>
      <c r="BC85" s="72">
        <f>BC$3*'Yield 1Y'!AJ136</f>
        <v>0</v>
      </c>
      <c r="BD85" s="72">
        <f>BD$3*'Yield 1Y'!AK136</f>
        <v>0</v>
      </c>
      <c r="BE85" s="177">
        <f t="shared" si="13"/>
        <v>3.2106011984912479</v>
      </c>
      <c r="BF85" s="124">
        <f>VLOOKUP(AT85,'Yield 1Y'!$F:$G,2,0)</f>
        <v>46140</v>
      </c>
      <c r="BG85" s="318">
        <f t="shared" si="15"/>
        <v>199</v>
      </c>
    </row>
    <row r="86" spans="1:59" x14ac:dyDescent="0.3">
      <c r="A86" s="37">
        <v>5</v>
      </c>
      <c r="B86" s="72">
        <f>'Yield 1Y'!R7*B$3</f>
        <v>0</v>
      </c>
      <c r="C86" s="72">
        <f>'Yield 1Y'!S7*C$3</f>
        <v>0</v>
      </c>
      <c r="D86" s="72">
        <f>'Yield 1Y'!T7*D$3</f>
        <v>-0.1106487272324891</v>
      </c>
      <c r="E86" s="72">
        <f>'Yield 1Y'!U7*E$3</f>
        <v>-0.20193660259539117</v>
      </c>
      <c r="F86" s="72">
        <f>'Yield 1Y'!V7*F$3</f>
        <v>-4.6764067196934074E-3</v>
      </c>
      <c r="G86" s="72">
        <f>'Yield 1Y'!W7*G$3</f>
        <v>0</v>
      </c>
      <c r="H86" s="72">
        <f>'Yield 1Y'!X7*H$3</f>
        <v>-2.070240003470587</v>
      </c>
      <c r="I86" s="72">
        <f>'Yield 1Y'!Y7*I$3</f>
        <v>0</v>
      </c>
      <c r="J86" s="72">
        <f>'Yield 1Y'!Z7*J$3</f>
        <v>0</v>
      </c>
      <c r="K86" s="72">
        <f>'Yield 1Y'!AA7*K$3</f>
        <v>0</v>
      </c>
      <c r="L86" s="177">
        <f t="shared" si="8"/>
        <v>2.3875017400181608</v>
      </c>
      <c r="M86" s="124">
        <f>VLOOKUP(A86,'Yield 1Y'!$F:$G,2,0)</f>
        <v>46246</v>
      </c>
      <c r="N86" s="318">
        <f t="shared" si="9"/>
        <v>111</v>
      </c>
      <c r="P86" s="37">
        <v>83</v>
      </c>
      <c r="Q86" s="72">
        <f>Q$3*'Yield 1Y'!R85</f>
        <v>0</v>
      </c>
      <c r="R86" s="72">
        <f>R$3*'Yield 1Y'!S85</f>
        <v>0</v>
      </c>
      <c r="S86" s="72">
        <f>S$3*'Yield 1Y'!T85</f>
        <v>0</v>
      </c>
      <c r="T86" s="72">
        <f>T$3*'Yield 1Y'!U85</f>
        <v>0</v>
      </c>
      <c r="U86" s="72">
        <f>U$3*'Yield 1Y'!V85</f>
        <v>0</v>
      </c>
      <c r="V86" s="72">
        <f>V$3*'Yield 1Y'!W85</f>
        <v>-2.5487832491497196E-2</v>
      </c>
      <c r="W86" s="72">
        <f>W$3*'Yield 1Y'!X85</f>
        <v>0</v>
      </c>
      <c r="X86" s="72">
        <f>X$3*'Yield 1Y'!Y85</f>
        <v>-0.11987864360700456</v>
      </c>
      <c r="Y86" s="72">
        <f>Y$3*'Yield 1Y'!Z85</f>
        <v>0</v>
      </c>
      <c r="Z86" s="72">
        <f>Z$3*'Yield 1Y'!AA85</f>
        <v>0</v>
      </c>
      <c r="AA86" s="177">
        <f t="shared" si="10"/>
        <v>0.14536647609850176</v>
      </c>
      <c r="AB86" s="124">
        <f>VLOOKUP(P86,'Yield 1Y'!$F:$G,2,0)</f>
        <v>46133</v>
      </c>
      <c r="AC86" s="318">
        <f t="shared" si="14"/>
        <v>155</v>
      </c>
      <c r="AE86" s="37">
        <v>231</v>
      </c>
      <c r="AF86" s="72">
        <f>AF$3*'Yield 1Y'!AB233</f>
        <v>0</v>
      </c>
      <c r="AG86" s="72">
        <f>AG$3*'Yield 1Y'!AC233</f>
        <v>0</v>
      </c>
      <c r="AH86" s="72">
        <f>AH$3*'Yield 1Y'!AD233</f>
        <v>-0.29506327261997095</v>
      </c>
      <c r="AI86" s="72">
        <f>AI$3*'Yield 1Y'!AE233</f>
        <v>-0.23078468868045804</v>
      </c>
      <c r="AJ86" s="72">
        <f>AJ$3*'Yield 1Y'!AF233</f>
        <v>-0.14496860831044786</v>
      </c>
      <c r="AK86" s="72">
        <f>AK$3*'Yield 1Y'!AG233</f>
        <v>-6.2220551009437521</v>
      </c>
      <c r="AL86" s="72">
        <f>AL$3*'Yield 1Y'!AH233</f>
        <v>-13.24953602221205</v>
      </c>
      <c r="AM86" s="72">
        <f>AM$3*'Yield 1Y'!AI233</f>
        <v>-4.7090081008719036</v>
      </c>
      <c r="AN86" s="72">
        <f>AN$3*'Yield 1Y'!AJ233</f>
        <v>0</v>
      </c>
      <c r="AO86" s="72">
        <f>AO$3*'Yield 1Y'!AK233</f>
        <v>0</v>
      </c>
      <c r="AP86" s="177">
        <f t="shared" si="11"/>
        <v>24.85141579363858</v>
      </c>
      <c r="AQ86" s="124">
        <f>VLOOKUP(AE86,'Yield 1Y'!$F:$G,2,0)</f>
        <v>45916</v>
      </c>
      <c r="AR86" s="318">
        <f t="shared" si="12"/>
        <v>185</v>
      </c>
      <c r="AT86" s="37">
        <v>80</v>
      </c>
      <c r="AU86" s="72">
        <f>AU$3*'Yield 1Y'!AB68</f>
        <v>0</v>
      </c>
      <c r="AV86" s="72">
        <f>AV$3*'Yield 1Y'!AC68</f>
        <v>0</v>
      </c>
      <c r="AW86" s="72">
        <f>AW$3*'Yield 1Y'!AD68</f>
        <v>0</v>
      </c>
      <c r="AX86" s="72">
        <f>AX$3*'Yield 1Y'!AE68</f>
        <v>0</v>
      </c>
      <c r="AY86" s="72">
        <f>AY$3*'Yield 1Y'!AF68</f>
        <v>0</v>
      </c>
      <c r="AZ86" s="72">
        <f>AZ$3*'Yield 1Y'!AG68</f>
        <v>-0.12743916245749728</v>
      </c>
      <c r="BA86" s="72">
        <f>BA$3*'Yield 1Y'!AH68</f>
        <v>0</v>
      </c>
      <c r="BB86" s="72">
        <f>BB$3*'Yield 1Y'!AI68</f>
        <v>0</v>
      </c>
      <c r="BC86" s="72">
        <f>BC$3*'Yield 1Y'!AJ68</f>
        <v>0</v>
      </c>
      <c r="BD86" s="72">
        <f>BD$3*'Yield 1Y'!AK68</f>
        <v>0</v>
      </c>
      <c r="BE86" s="177">
        <f t="shared" si="13"/>
        <v>0.12743916245749728</v>
      </c>
      <c r="BF86" s="124">
        <f>VLOOKUP(AT86,'Yield 1Y'!$F:$G,2,0)</f>
        <v>46136</v>
      </c>
      <c r="BG86" s="318">
        <f t="shared" si="15"/>
        <v>248</v>
      </c>
    </row>
    <row r="87" spans="1:59" x14ac:dyDescent="0.3">
      <c r="A87" s="37">
        <v>190</v>
      </c>
      <c r="B87" s="72">
        <f>'Yield 1Y'!R192*B$3</f>
        <v>0</v>
      </c>
      <c r="C87" s="72">
        <f>'Yield 1Y'!S192*C$3</f>
        <v>0</v>
      </c>
      <c r="D87" s="72">
        <f>'Yield 1Y'!T192*D$3</f>
        <v>0</v>
      </c>
      <c r="E87" s="72">
        <f>'Yield 1Y'!U192*E$3</f>
        <v>0</v>
      </c>
      <c r="F87" s="72">
        <f>'Yield 1Y'!V192*F$3</f>
        <v>0</v>
      </c>
      <c r="G87" s="72">
        <f>'Yield 1Y'!W192*G$3</f>
        <v>0</v>
      </c>
      <c r="H87" s="72">
        <f>'Yield 1Y'!X192*H$3</f>
        <v>-4.5545280076354384</v>
      </c>
      <c r="I87" s="72">
        <f>'Yield 1Y'!Y192*I$3</f>
        <v>-1.6817886074542407</v>
      </c>
      <c r="J87" s="72">
        <f>'Yield 1Y'!Z192*J$3</f>
        <v>0</v>
      </c>
      <c r="K87" s="72">
        <f>'Yield 1Y'!AA192*K$3</f>
        <v>0</v>
      </c>
      <c r="L87" s="177">
        <f t="shared" si="8"/>
        <v>6.2363166150896792</v>
      </c>
      <c r="M87" s="124">
        <f>VLOOKUP(A87,'Yield 1Y'!$F:$G,2,0)</f>
        <v>45973</v>
      </c>
      <c r="N87" s="318">
        <f t="shared" si="9"/>
        <v>52</v>
      </c>
      <c r="P87" s="37">
        <v>84</v>
      </c>
      <c r="Q87" s="72">
        <f>Q$3*'Yield 1Y'!R86</f>
        <v>0</v>
      </c>
      <c r="R87" s="72">
        <f>R$3*'Yield 1Y'!S86</f>
        <v>0</v>
      </c>
      <c r="S87" s="72">
        <f>S$3*'Yield 1Y'!T86</f>
        <v>0</v>
      </c>
      <c r="T87" s="72">
        <f>T$3*'Yield 1Y'!U86</f>
        <v>0</v>
      </c>
      <c r="U87" s="72">
        <f>U$3*'Yield 1Y'!V86</f>
        <v>0</v>
      </c>
      <c r="V87" s="72">
        <f>V$3*'Yield 1Y'!W86</f>
        <v>-7.6463497474502901E-2</v>
      </c>
      <c r="W87" s="72">
        <f>W$3*'Yield 1Y'!X86</f>
        <v>-1.138312748110077</v>
      </c>
      <c r="X87" s="72">
        <f>X$3*'Yield 1Y'!Y86</f>
        <v>-0.11987864360700456</v>
      </c>
      <c r="Y87" s="72">
        <f>Y$3*'Yield 1Y'!Z86</f>
        <v>0</v>
      </c>
      <c r="Z87" s="72">
        <f>Z$3*'Yield 1Y'!AA86</f>
        <v>0</v>
      </c>
      <c r="AA87" s="177">
        <f t="shared" si="10"/>
        <v>1.3346548891915844</v>
      </c>
      <c r="AB87" s="124">
        <f>VLOOKUP(P87,'Yield 1Y'!$F:$G,2,0)</f>
        <v>46132</v>
      </c>
      <c r="AC87" s="318">
        <f t="shared" si="14"/>
        <v>43</v>
      </c>
      <c r="AE87" s="37">
        <v>129</v>
      </c>
      <c r="AF87" s="72">
        <f>AF$3*'Yield 1Y'!AB131</f>
        <v>0</v>
      </c>
      <c r="AG87" s="72">
        <f>AG$3*'Yield 1Y'!AC131</f>
        <v>0</v>
      </c>
      <c r="AH87" s="72">
        <f>AH$3*'Yield 1Y'!AD131</f>
        <v>-0.1936352726568549</v>
      </c>
      <c r="AI87" s="72">
        <f>AI$3*'Yield 1Y'!AE131</f>
        <v>0</v>
      </c>
      <c r="AJ87" s="72">
        <f>AJ$3*'Yield 1Y'!AF131</f>
        <v>-7.9498914234760923E-2</v>
      </c>
      <c r="AK87" s="72">
        <f>AK$3*'Yield 1Y'!AG131</f>
        <v>-1.082096539294461</v>
      </c>
      <c r="AL87" s="72">
        <f>AL$3*'Yield 1Y'!AH131</f>
        <v>-7.0388160118001055</v>
      </c>
      <c r="AM87" s="72">
        <f>AM$3*'Yield 1Y'!AI131</f>
        <v>-19.172390124978733</v>
      </c>
      <c r="AN87" s="72">
        <f>AN$3*'Yield 1Y'!AJ131</f>
        <v>0</v>
      </c>
      <c r="AO87" s="72">
        <f>AO$3*'Yield 1Y'!AK131</f>
        <v>0</v>
      </c>
      <c r="AP87" s="177">
        <f t="shared" si="11"/>
        <v>27.566436862964913</v>
      </c>
      <c r="AQ87" s="124">
        <f>VLOOKUP(AE87,'Yield 1Y'!$F:$G,2,0)</f>
        <v>46062</v>
      </c>
      <c r="AR87" s="318">
        <f t="shared" si="12"/>
        <v>173</v>
      </c>
      <c r="AT87" s="37">
        <v>81</v>
      </c>
      <c r="AU87" s="72">
        <f>AU$3*'Yield 1Y'!AB22</f>
        <v>0</v>
      </c>
      <c r="AV87" s="72">
        <f>AV$3*'Yield 1Y'!AC22</f>
        <v>0</v>
      </c>
      <c r="AW87" s="72">
        <f>AW$3*'Yield 1Y'!AD22</f>
        <v>0</v>
      </c>
      <c r="AX87" s="72">
        <f>AX$3*'Yield 1Y'!AE22</f>
        <v>0</v>
      </c>
      <c r="AY87" s="72">
        <f>AY$3*'Yield 1Y'!AF22</f>
        <v>0</v>
      </c>
      <c r="AZ87" s="72">
        <f>AZ$3*'Yield 1Y'!AG22</f>
        <v>-0.1529269949490058</v>
      </c>
      <c r="BA87" s="72">
        <f>BA$3*'Yield 1Y'!AH22</f>
        <v>-6.1468888397939807</v>
      </c>
      <c r="BB87" s="72">
        <f>BB$3*'Yield 1Y'!AI22</f>
        <v>-1.3586246275460103</v>
      </c>
      <c r="BC87" s="72">
        <f>BC$3*'Yield 1Y'!AJ22</f>
        <v>0</v>
      </c>
      <c r="BD87" s="72">
        <f>BD$3*'Yield 1Y'!AK22</f>
        <v>0</v>
      </c>
      <c r="BE87" s="177">
        <f t="shared" si="13"/>
        <v>7.658440462288997</v>
      </c>
      <c r="BF87" s="124">
        <f>VLOOKUP(AT87,'Yield 1Y'!$F:$G,2,0)</f>
        <v>46135</v>
      </c>
      <c r="BG87" s="318">
        <f t="shared" si="15"/>
        <v>96</v>
      </c>
    </row>
    <row r="88" spans="1:59" x14ac:dyDescent="0.3">
      <c r="A88" s="37">
        <v>218</v>
      </c>
      <c r="B88" s="72">
        <f>'Yield 1Y'!R220*B$3</f>
        <v>0</v>
      </c>
      <c r="C88" s="72">
        <f>'Yield 1Y'!S220*C$3</f>
        <v>0</v>
      </c>
      <c r="D88" s="72">
        <f>'Yield 1Y'!T220*D$3</f>
        <v>0</v>
      </c>
      <c r="E88" s="72">
        <f>'Yield 1Y'!U220*E$3</f>
        <v>0</v>
      </c>
      <c r="F88" s="72">
        <f>'Yield 1Y'!V220*F$3</f>
        <v>0</v>
      </c>
      <c r="G88" s="72">
        <f>'Yield 1Y'!W220*G$3</f>
        <v>-0.54104826964735075</v>
      </c>
      <c r="H88" s="72">
        <f>'Yield 1Y'!X220*H$3</f>
        <v>4.968576008329519</v>
      </c>
      <c r="I88" s="72">
        <f>'Yield 1Y'!Y220*I$3</f>
        <v>-1.6817886074542407</v>
      </c>
      <c r="J88" s="72">
        <f>'Yield 1Y'!Z220*J$3</f>
        <v>0</v>
      </c>
      <c r="K88" s="72">
        <f>'Yield 1Y'!AA220*K$3</f>
        <v>0</v>
      </c>
      <c r="L88" s="177">
        <f t="shared" si="8"/>
        <v>-2.7457391312279276</v>
      </c>
      <c r="M88" s="124">
        <f>VLOOKUP(A88,'Yield 1Y'!$F:$G,2,0)</f>
        <v>45933</v>
      </c>
      <c r="N88" s="318">
        <f t="shared" si="9"/>
        <v>241</v>
      </c>
      <c r="P88" s="37">
        <v>85</v>
      </c>
      <c r="Q88" s="72">
        <f>Q$3*'Yield 1Y'!R87</f>
        <v>0</v>
      </c>
      <c r="R88" s="72">
        <f>R$3*'Yield 1Y'!S87</f>
        <v>0</v>
      </c>
      <c r="S88" s="72">
        <f>S$3*'Yield 1Y'!T87</f>
        <v>0</v>
      </c>
      <c r="T88" s="72">
        <f>T$3*'Yield 1Y'!U87</f>
        <v>0</v>
      </c>
      <c r="U88" s="72">
        <f>U$3*'Yield 1Y'!V87</f>
        <v>0</v>
      </c>
      <c r="V88" s="72">
        <f>V$3*'Yield 1Y'!W87</f>
        <v>0</v>
      </c>
      <c r="W88" s="72">
        <f>W$3*'Yield 1Y'!X87</f>
        <v>-0.11383127481093692</v>
      </c>
      <c r="X88" s="72">
        <f>X$3*'Yield 1Y'!Y87</f>
        <v>-7.9919095737991205E-2</v>
      </c>
      <c r="Y88" s="72">
        <f>Y$3*'Yield 1Y'!Z87</f>
        <v>0</v>
      </c>
      <c r="Z88" s="72">
        <f>Z$3*'Yield 1Y'!AA87</f>
        <v>0</v>
      </c>
      <c r="AA88" s="177">
        <f t="shared" si="10"/>
        <v>0.19375037054892813</v>
      </c>
      <c r="AB88" s="124">
        <f>VLOOKUP(P88,'Yield 1Y'!$F:$G,2,0)</f>
        <v>46129</v>
      </c>
      <c r="AC88" s="318">
        <f t="shared" si="14"/>
        <v>150</v>
      </c>
      <c r="AE88" s="37">
        <v>124</v>
      </c>
      <c r="AF88" s="72">
        <f>AF$3*'Yield 1Y'!AB126</f>
        <v>0</v>
      </c>
      <c r="AG88" s="72">
        <f>AG$3*'Yield 1Y'!AC126</f>
        <v>0</v>
      </c>
      <c r="AH88" s="72">
        <f>AH$3*'Yield 1Y'!AD126</f>
        <v>9.2207272693730687E-3</v>
      </c>
      <c r="AI88" s="72">
        <f>AI$3*'Yield 1Y'!AE126</f>
        <v>8.6544258255174963E-2</v>
      </c>
      <c r="AJ88" s="72">
        <f>AJ$3*'Yield 1Y'!AF126</f>
        <v>-6.5469694075686938E-2</v>
      </c>
      <c r="AK88" s="72">
        <f>AK$3*'Yield 1Y'!AG126</f>
        <v>-0.27052413482349513</v>
      </c>
      <c r="AL88" s="72">
        <f>AL$3*'Yield 1Y'!AH126</f>
        <v>-11.179296018741463</v>
      </c>
      <c r="AM88" s="72">
        <f>AM$3*'Yield 1Y'!AI126</f>
        <v>-23.545040504359967</v>
      </c>
      <c r="AN88" s="72">
        <f>AN$3*'Yield 1Y'!AJ126</f>
        <v>0</v>
      </c>
      <c r="AO88" s="72">
        <f>AO$3*'Yield 1Y'!AK126</f>
        <v>0</v>
      </c>
      <c r="AP88" s="177">
        <f t="shared" si="11"/>
        <v>34.964565366476066</v>
      </c>
      <c r="AQ88" s="124">
        <f>VLOOKUP(AE88,'Yield 1Y'!$F:$G,2,0)</f>
        <v>46076</v>
      </c>
      <c r="AR88" s="318">
        <f t="shared" si="12"/>
        <v>146</v>
      </c>
      <c r="AT88" s="37">
        <v>82</v>
      </c>
      <c r="AU88" s="72">
        <f>AU$3*'Yield 1Y'!AB166</f>
        <v>0</v>
      </c>
      <c r="AV88" s="72">
        <f>AV$3*'Yield 1Y'!AC166</f>
        <v>0</v>
      </c>
      <c r="AW88" s="72">
        <f>AW$3*'Yield 1Y'!AD166</f>
        <v>0</v>
      </c>
      <c r="AX88" s="72">
        <f>AX$3*'Yield 1Y'!AE166</f>
        <v>0</v>
      </c>
      <c r="AY88" s="72">
        <f>AY$3*'Yield 1Y'!AF166</f>
        <v>0</v>
      </c>
      <c r="AZ88" s="72">
        <f>AZ$3*'Yield 1Y'!AG166</f>
        <v>-0.61170797979600056</v>
      </c>
      <c r="BA88" s="72">
        <f>BA$3*'Yield 1Y'!AH166</f>
        <v>-3.0734444198970157</v>
      </c>
      <c r="BB88" s="72">
        <f>BB$3*'Yield 1Y'!AI166</f>
        <v>-0.95902914885600099</v>
      </c>
      <c r="BC88" s="72">
        <f>BC$3*'Yield 1Y'!AJ166</f>
        <v>0</v>
      </c>
      <c r="BD88" s="72">
        <f>BD$3*'Yield 1Y'!AK166</f>
        <v>0</v>
      </c>
      <c r="BE88" s="177">
        <f t="shared" si="13"/>
        <v>4.6441815485490174</v>
      </c>
      <c r="BF88" s="124">
        <f>VLOOKUP(AT88,'Yield 1Y'!$F:$G,2,0)</f>
        <v>46134</v>
      </c>
      <c r="BG88" s="318">
        <f t="shared" si="15"/>
        <v>165</v>
      </c>
    </row>
    <row r="89" spans="1:59" x14ac:dyDescent="0.3">
      <c r="A89" s="37">
        <v>10</v>
      </c>
      <c r="B89" s="72">
        <f>'Yield 1Y'!R12*B$3</f>
        <v>0</v>
      </c>
      <c r="C89" s="72">
        <f>'Yield 1Y'!S12*C$3</f>
        <v>0</v>
      </c>
      <c r="D89" s="72">
        <f>'Yield 1Y'!T12*D$3</f>
        <v>0</v>
      </c>
      <c r="E89" s="72">
        <f>'Yield 1Y'!U12*E$3</f>
        <v>8.6544258255162154E-2</v>
      </c>
      <c r="F89" s="72">
        <f>'Yield 1Y'!V12*F$3</f>
        <v>1.8705626878769473E-2</v>
      </c>
      <c r="G89" s="72">
        <f>'Yield 1Y'!W12*G$3</f>
        <v>0</v>
      </c>
      <c r="H89" s="72">
        <f>'Yield 1Y'!X12*H$3</f>
        <v>1.6561920027763224</v>
      </c>
      <c r="I89" s="72">
        <f>'Yield 1Y'!Y12*I$3</f>
        <v>0</v>
      </c>
      <c r="J89" s="72">
        <f>'Yield 1Y'!Z12*J$3</f>
        <v>0</v>
      </c>
      <c r="K89" s="72">
        <f>'Yield 1Y'!AA12*K$3</f>
        <v>0</v>
      </c>
      <c r="L89" s="177">
        <f t="shared" si="8"/>
        <v>-1.761441887910254</v>
      </c>
      <c r="M89" s="124">
        <f>VLOOKUP(A89,'Yield 1Y'!$F:$G,2,0)</f>
        <v>46239</v>
      </c>
      <c r="N89" s="318">
        <f t="shared" si="9"/>
        <v>228</v>
      </c>
      <c r="P89" s="37">
        <v>86</v>
      </c>
      <c r="Q89" s="72">
        <f>Q$3*'Yield 1Y'!R88</f>
        <v>0</v>
      </c>
      <c r="R89" s="72">
        <f>R$3*'Yield 1Y'!S88</f>
        <v>0</v>
      </c>
      <c r="S89" s="72">
        <f>S$3*'Yield 1Y'!T88</f>
        <v>0</v>
      </c>
      <c r="T89" s="72">
        <f>T$3*'Yield 1Y'!U88</f>
        <v>0</v>
      </c>
      <c r="U89" s="72">
        <f>U$3*'Yield 1Y'!V88</f>
        <v>0</v>
      </c>
      <c r="V89" s="72">
        <f>V$3*'Yield 1Y'!W88</f>
        <v>-3.823174873725145E-2</v>
      </c>
      <c r="W89" s="72">
        <f>W$3*'Yield 1Y'!X88</f>
        <v>-0.34149382443301302</v>
      </c>
      <c r="X89" s="72">
        <f>X$3*'Yield 1Y'!Y88</f>
        <v>-0.23975728721400913</v>
      </c>
      <c r="Y89" s="72">
        <f>Y$3*'Yield 1Y'!Z88</f>
        <v>0</v>
      </c>
      <c r="Z89" s="72">
        <f>Z$3*'Yield 1Y'!AA88</f>
        <v>0</v>
      </c>
      <c r="AA89" s="177">
        <f t="shared" si="10"/>
        <v>0.61948286038427358</v>
      </c>
      <c r="AB89" s="124">
        <f>VLOOKUP(P89,'Yield 1Y'!$F:$G,2,0)</f>
        <v>46128</v>
      </c>
      <c r="AC89" s="318">
        <f t="shared" si="14"/>
        <v>82</v>
      </c>
      <c r="AE89" s="37">
        <v>19</v>
      </c>
      <c r="AF89" s="72">
        <f>AF$3*'Yield 1Y'!AB21</f>
        <v>0</v>
      </c>
      <c r="AG89" s="72">
        <f>AG$3*'Yield 1Y'!AC21</f>
        <v>0</v>
      </c>
      <c r="AH89" s="72">
        <f>AH$3*'Yield 1Y'!AD21</f>
        <v>-0.65467163612556156</v>
      </c>
      <c r="AI89" s="72">
        <f>AI$3*'Yield 1Y'!AE21</f>
        <v>-1.2116196155724239</v>
      </c>
      <c r="AJ89" s="72">
        <f>AJ$3*'Yield 1Y'!AF21</f>
        <v>-0.33202487709812184</v>
      </c>
      <c r="AK89" s="72">
        <f>AK$3*'Yield 1Y'!AG21</f>
        <v>-7.8451999098856842</v>
      </c>
      <c r="AL89" s="72">
        <f>AL$3*'Yield 1Y'!AH21</f>
        <v>-22.358592037482744</v>
      </c>
      <c r="AM89" s="72">
        <f>AM$3*'Yield 1Y'!AI21</f>
        <v>-10.090731644725743</v>
      </c>
      <c r="AN89" s="72">
        <f>AN$3*'Yield 1Y'!AJ21</f>
        <v>0</v>
      </c>
      <c r="AO89" s="72">
        <f>AO$3*'Yield 1Y'!AK21</f>
        <v>0</v>
      </c>
      <c r="AP89" s="177">
        <f t="shared" si="11"/>
        <v>42.492839720890281</v>
      </c>
      <c r="AQ89" s="124">
        <f>VLOOKUP(AE89,'Yield 1Y'!$F:$G,2,0)</f>
        <v>46226</v>
      </c>
      <c r="AR89" s="318">
        <f t="shared" si="12"/>
        <v>113</v>
      </c>
      <c r="AT89" s="37">
        <v>83</v>
      </c>
      <c r="AU89" s="72">
        <f>AU$3*'Yield 1Y'!AB57</f>
        <v>0</v>
      </c>
      <c r="AV89" s="72">
        <f>AV$3*'Yield 1Y'!AC57</f>
        <v>0</v>
      </c>
      <c r="AW89" s="72">
        <f>AW$3*'Yield 1Y'!AD57</f>
        <v>0</v>
      </c>
      <c r="AX89" s="72">
        <f>AX$3*'Yield 1Y'!AE57</f>
        <v>0</v>
      </c>
      <c r="AY89" s="72">
        <f>AY$3*'Yield 1Y'!AF57</f>
        <v>0</v>
      </c>
      <c r="AZ89" s="72">
        <f>AZ$3*'Yield 1Y'!AG57</f>
        <v>-2.0262826830742591</v>
      </c>
      <c r="BA89" s="72">
        <f>BA$3*'Yield 1Y'!AH57</f>
        <v>-6.3745513894159558</v>
      </c>
      <c r="BB89" s="72">
        <f>BB$3*'Yield 1Y'!AI57</f>
        <v>-2.4375324200089983</v>
      </c>
      <c r="BC89" s="72">
        <f>BC$3*'Yield 1Y'!AJ57</f>
        <v>0</v>
      </c>
      <c r="BD89" s="72">
        <f>BD$3*'Yield 1Y'!AK57</f>
        <v>0</v>
      </c>
      <c r="BE89" s="177">
        <f t="shared" si="13"/>
        <v>10.838366492499212</v>
      </c>
      <c r="BF89" s="124">
        <f>VLOOKUP(AT89,'Yield 1Y'!$F:$G,2,0)</f>
        <v>46133</v>
      </c>
      <c r="BG89" s="318">
        <f t="shared" si="15"/>
        <v>56</v>
      </c>
    </row>
    <row r="90" spans="1:59" x14ac:dyDescent="0.3">
      <c r="A90" s="37">
        <v>31</v>
      </c>
      <c r="B90" s="72">
        <f>'Yield 1Y'!R33*B$3</f>
        <v>0</v>
      </c>
      <c r="C90" s="72">
        <f>'Yield 1Y'!S33*C$3</f>
        <v>0</v>
      </c>
      <c r="D90" s="72">
        <f>'Yield 1Y'!T33*D$3</f>
        <v>0</v>
      </c>
      <c r="E90" s="72">
        <f>'Yield 1Y'!U33*E$3</f>
        <v>0</v>
      </c>
      <c r="F90" s="72">
        <f>'Yield 1Y'!V33*F$3</f>
        <v>0</v>
      </c>
      <c r="G90" s="72">
        <f>'Yield 1Y'!W33*G$3</f>
        <v>0</v>
      </c>
      <c r="H90" s="72">
        <f>'Yield 1Y'!X33*H$3</f>
        <v>-0.8280960013881612</v>
      </c>
      <c r="I90" s="72">
        <f>'Yield 1Y'!Y33*I$3</f>
        <v>-0.67271544298163655</v>
      </c>
      <c r="J90" s="72">
        <f>'Yield 1Y'!Z33*J$3</f>
        <v>0</v>
      </c>
      <c r="K90" s="72">
        <f>'Yield 1Y'!AA33*K$3</f>
        <v>0</v>
      </c>
      <c r="L90" s="177">
        <f t="shared" si="8"/>
        <v>1.5008114443697977</v>
      </c>
      <c r="M90" s="124">
        <f>VLOOKUP(A90,'Yield 1Y'!$F:$G,2,0)</f>
        <v>46210</v>
      </c>
      <c r="N90" s="318">
        <f t="shared" si="9"/>
        <v>135</v>
      </c>
      <c r="P90" s="37">
        <v>87</v>
      </c>
      <c r="Q90" s="72">
        <f>Q$3*'Yield 1Y'!R89</f>
        <v>0</v>
      </c>
      <c r="R90" s="72">
        <f>R$3*'Yield 1Y'!S89</f>
        <v>0</v>
      </c>
      <c r="S90" s="72">
        <f>S$3*'Yield 1Y'!T89</f>
        <v>0</v>
      </c>
      <c r="T90" s="72">
        <f>T$3*'Yield 1Y'!U89</f>
        <v>0</v>
      </c>
      <c r="U90" s="72">
        <f>U$3*'Yield 1Y'!V89</f>
        <v>0</v>
      </c>
      <c r="V90" s="72">
        <f>V$3*'Yield 1Y'!W89</f>
        <v>3.823174873725145E-2</v>
      </c>
      <c r="W90" s="72">
        <f>W$3*'Yield 1Y'!X89</f>
        <v>0.79681892367696294</v>
      </c>
      <c r="X90" s="72">
        <f>X$3*'Yield 1Y'!Y89</f>
        <v>0.11987864360700456</v>
      </c>
      <c r="Y90" s="72">
        <f>Y$3*'Yield 1Y'!Z89</f>
        <v>0</v>
      </c>
      <c r="Z90" s="72">
        <f>Z$3*'Yield 1Y'!AA89</f>
        <v>0</v>
      </c>
      <c r="AA90" s="177">
        <f t="shared" si="10"/>
        <v>-0.95492931602121889</v>
      </c>
      <c r="AB90" s="124">
        <f>VLOOKUP(P90,'Yield 1Y'!$F:$G,2,0)</f>
        <v>46127</v>
      </c>
      <c r="AC90" s="318">
        <f t="shared" si="14"/>
        <v>243</v>
      </c>
      <c r="AE90" s="37">
        <v>227</v>
      </c>
      <c r="AF90" s="72">
        <f>AF$3*'Yield 1Y'!AB229</f>
        <v>0</v>
      </c>
      <c r="AG90" s="72">
        <f>AG$3*'Yield 1Y'!AC229</f>
        <v>0</v>
      </c>
      <c r="AH90" s="72">
        <f>AH$3*'Yield 1Y'!AD229</f>
        <v>-0.30428399988934401</v>
      </c>
      <c r="AI90" s="72">
        <f>AI$3*'Yield 1Y'!AE229</f>
        <v>-0.49041746344597009</v>
      </c>
      <c r="AJ90" s="72">
        <f>AJ$3*'Yield 1Y'!AF229</f>
        <v>-0.15432142174983052</v>
      </c>
      <c r="AK90" s="72">
        <f>AK$3*'Yield 1Y'!AG229</f>
        <v>-5.1399585616491708</v>
      </c>
      <c r="AL90" s="72">
        <f>AL$3*'Yield 1Y'!AH229</f>
        <v>-13.663584022906315</v>
      </c>
      <c r="AM90" s="72">
        <f>AM$3*'Yield 1Y'!AI229</f>
        <v>-8.4089430372713529</v>
      </c>
      <c r="AN90" s="72">
        <f>AN$3*'Yield 1Y'!AJ229</f>
        <v>0</v>
      </c>
      <c r="AO90" s="72">
        <f>AO$3*'Yield 1Y'!AK229</f>
        <v>0</v>
      </c>
      <c r="AP90" s="177">
        <f t="shared" si="11"/>
        <v>28.161508506911982</v>
      </c>
      <c r="AQ90" s="124">
        <f>VLOOKUP(AE90,'Yield 1Y'!$F:$G,2,0)</f>
        <v>45922</v>
      </c>
      <c r="AR90" s="318">
        <f t="shared" si="12"/>
        <v>169</v>
      </c>
      <c r="AT90" s="37">
        <v>84</v>
      </c>
      <c r="AU90" s="72">
        <f>AU$3*'Yield 1Y'!AB121</f>
        <v>0</v>
      </c>
      <c r="AV90" s="72">
        <f>AV$3*'Yield 1Y'!AC121</f>
        <v>0</v>
      </c>
      <c r="AW90" s="72">
        <f>AW$3*'Yield 1Y'!AD121</f>
        <v>0</v>
      </c>
      <c r="AX90" s="72">
        <f>AX$3*'Yield 1Y'!AE121</f>
        <v>0</v>
      </c>
      <c r="AY90" s="72">
        <f>AY$3*'Yield 1Y'!AF121</f>
        <v>0</v>
      </c>
      <c r="AZ90" s="72">
        <f>AZ$3*'Yield 1Y'!AG121</f>
        <v>-5.0975664983005708E-2</v>
      </c>
      <c r="BA90" s="72">
        <f>BA$3*'Yield 1Y'!AH121</f>
        <v>-4.5532509924400051</v>
      </c>
      <c r="BB90" s="72">
        <f>BB$3*'Yield 1Y'!AI121</f>
        <v>-2.877087446568003</v>
      </c>
      <c r="BC90" s="72">
        <f>BC$3*'Yield 1Y'!AJ121</f>
        <v>0</v>
      </c>
      <c r="BD90" s="72">
        <f>BD$3*'Yield 1Y'!AK121</f>
        <v>0</v>
      </c>
      <c r="BE90" s="177">
        <f t="shared" si="13"/>
        <v>7.4813141039910143</v>
      </c>
      <c r="BF90" s="124">
        <f>VLOOKUP(AT90,'Yield 1Y'!$F:$G,2,0)</f>
        <v>46132</v>
      </c>
      <c r="BG90" s="318">
        <f t="shared" si="15"/>
        <v>101</v>
      </c>
    </row>
    <row r="91" spans="1:59" x14ac:dyDescent="0.3">
      <c r="A91" s="37">
        <v>28</v>
      </c>
      <c r="B91" s="72">
        <f>'Yield 1Y'!R30*B$3</f>
        <v>0</v>
      </c>
      <c r="C91" s="72">
        <f>'Yield 1Y'!S30*C$3</f>
        <v>0</v>
      </c>
      <c r="D91" s="72">
        <f>'Yield 1Y'!T30*D$3</f>
        <v>0</v>
      </c>
      <c r="E91" s="72">
        <f>'Yield 1Y'!U30*E$3</f>
        <v>0</v>
      </c>
      <c r="F91" s="72">
        <f>'Yield 1Y'!V30*F$3</f>
        <v>0</v>
      </c>
      <c r="G91" s="72">
        <f>'Yield 1Y'!W30*G$3</f>
        <v>0</v>
      </c>
      <c r="H91" s="72">
        <f>'Yield 1Y'!X30*H$3</f>
        <v>-0.41404800069389674</v>
      </c>
      <c r="I91" s="72">
        <f>'Yield 1Y'!Y30*I$3</f>
        <v>-2.6908617719268446</v>
      </c>
      <c r="J91" s="72">
        <f>'Yield 1Y'!Z30*J$3</f>
        <v>0</v>
      </c>
      <c r="K91" s="72">
        <f>'Yield 1Y'!AA30*K$3</f>
        <v>0</v>
      </c>
      <c r="L91" s="177">
        <f t="shared" si="8"/>
        <v>3.1049097726207413</v>
      </c>
      <c r="M91" s="124">
        <f>VLOOKUP(A91,'Yield 1Y'!$F:$G,2,0)</f>
        <v>46213</v>
      </c>
      <c r="N91" s="318">
        <f t="shared" si="9"/>
        <v>92</v>
      </c>
      <c r="P91" s="37">
        <v>88</v>
      </c>
      <c r="Q91" s="72">
        <f>Q$3*'Yield 1Y'!R90</f>
        <v>0</v>
      </c>
      <c r="R91" s="72">
        <f>R$3*'Yield 1Y'!S90</f>
        <v>0</v>
      </c>
      <c r="S91" s="72">
        <f>S$3*'Yield 1Y'!T90</f>
        <v>0</v>
      </c>
      <c r="T91" s="72">
        <f>T$3*'Yield 1Y'!U90</f>
        <v>0</v>
      </c>
      <c r="U91" s="72">
        <f>U$3*'Yield 1Y'!V90</f>
        <v>0</v>
      </c>
      <c r="V91" s="72">
        <f>V$3*'Yield 1Y'!W90</f>
        <v>3.823174873725145E-2</v>
      </c>
      <c r="W91" s="72">
        <f>W$3*'Yield 1Y'!X90</f>
        <v>0.22766254962207605</v>
      </c>
      <c r="X91" s="72">
        <f>X$3*'Yield 1Y'!Y90</f>
        <v>0</v>
      </c>
      <c r="Y91" s="72">
        <f>Y$3*'Yield 1Y'!Z90</f>
        <v>0</v>
      </c>
      <c r="Z91" s="72">
        <f>Z$3*'Yield 1Y'!AA90</f>
        <v>0</v>
      </c>
      <c r="AA91" s="177">
        <f t="shared" si="10"/>
        <v>-0.26589429835932749</v>
      </c>
      <c r="AB91" s="124">
        <f>VLOOKUP(P91,'Yield 1Y'!$F:$G,2,0)</f>
        <v>46126</v>
      </c>
      <c r="AC91" s="318">
        <f t="shared" si="14"/>
        <v>210</v>
      </c>
      <c r="AE91" s="37">
        <v>232</v>
      </c>
      <c r="AF91" s="72">
        <f>AF$3*'Yield 1Y'!AB234</f>
        <v>0</v>
      </c>
      <c r="AG91" s="72">
        <f>AG$3*'Yield 1Y'!AC234</f>
        <v>0</v>
      </c>
      <c r="AH91" s="72">
        <f>AH$3*'Yield 1Y'!AD234</f>
        <v>-0.39649127258308697</v>
      </c>
      <c r="AI91" s="72">
        <f>AI$3*'Yield 1Y'!AE234</f>
        <v>-0.37502511910575392</v>
      </c>
      <c r="AJ91" s="72">
        <f>AJ$3*'Yield 1Y'!AF234</f>
        <v>-0.21511470910582611</v>
      </c>
      <c r="AK91" s="72">
        <f>AK$3*'Yield 1Y'!AG234</f>
        <v>-7.0336275054148381</v>
      </c>
      <c r="AL91" s="72">
        <f>AL$3*'Yield 1Y'!AH234</f>
        <v>-17.804064029847304</v>
      </c>
      <c r="AM91" s="72">
        <f>AM$3*'Yield 1Y'!AI234</f>
        <v>-8.7453007587623208</v>
      </c>
      <c r="AN91" s="72">
        <f>AN$3*'Yield 1Y'!AJ234</f>
        <v>0</v>
      </c>
      <c r="AO91" s="72">
        <f>AO$3*'Yield 1Y'!AK234</f>
        <v>0</v>
      </c>
      <c r="AP91" s="177">
        <f t="shared" si="11"/>
        <v>34.569623394819132</v>
      </c>
      <c r="AQ91" s="124">
        <f>VLOOKUP(AE91,'Yield 1Y'!$F:$G,2,0)</f>
        <v>45915</v>
      </c>
      <c r="AR91" s="318">
        <f t="shared" si="12"/>
        <v>147</v>
      </c>
      <c r="AT91" s="37">
        <v>85</v>
      </c>
      <c r="AU91" s="72">
        <f>AU$3*'Yield 1Y'!AB186</f>
        <v>0</v>
      </c>
      <c r="AV91" s="72">
        <f>AV$3*'Yield 1Y'!AC186</f>
        <v>0</v>
      </c>
      <c r="AW91" s="72">
        <f>AW$3*'Yield 1Y'!AD186</f>
        <v>0</v>
      </c>
      <c r="AX91" s="72">
        <f>AX$3*'Yield 1Y'!AE186</f>
        <v>0</v>
      </c>
      <c r="AY91" s="72">
        <f>AY$3*'Yield 1Y'!AF186</f>
        <v>0</v>
      </c>
      <c r="AZ91" s="72">
        <f>AZ$3*'Yield 1Y'!AG186</f>
        <v>-0.79012280723649786</v>
      </c>
      <c r="BA91" s="72">
        <f>BA$3*'Yield 1Y'!AH186</f>
        <v>-6.7160452138490196</v>
      </c>
      <c r="BB91" s="72">
        <f>BB$3*'Yield 1Y'!AI186</f>
        <v>-1.5184628190220104</v>
      </c>
      <c r="BC91" s="72">
        <f>BC$3*'Yield 1Y'!AJ186</f>
        <v>0</v>
      </c>
      <c r="BD91" s="72">
        <f>BD$3*'Yield 1Y'!AK186</f>
        <v>0</v>
      </c>
      <c r="BE91" s="177">
        <f t="shared" si="13"/>
        <v>9.0246308401075286</v>
      </c>
      <c r="BF91" s="124">
        <f>VLOOKUP(AT91,'Yield 1Y'!$F:$G,2,0)</f>
        <v>46129</v>
      </c>
      <c r="BG91" s="318">
        <f t="shared" si="15"/>
        <v>72</v>
      </c>
    </row>
    <row r="92" spans="1:59" x14ac:dyDescent="0.3">
      <c r="A92" s="37">
        <v>91</v>
      </c>
      <c r="B92" s="72">
        <f>'Yield 1Y'!R93*B$3</f>
        <v>0</v>
      </c>
      <c r="C92" s="72">
        <f>'Yield 1Y'!S93*C$3</f>
        <v>0</v>
      </c>
      <c r="D92" s="72">
        <f>'Yield 1Y'!T93*D$3</f>
        <v>0</v>
      </c>
      <c r="E92" s="72">
        <f>'Yield 1Y'!U93*E$3</f>
        <v>-0.11539234434022902</v>
      </c>
      <c r="F92" s="72">
        <f>'Yield 1Y'!V93*F$3</f>
        <v>-3.2734847037841387E-2</v>
      </c>
      <c r="G92" s="72">
        <f>'Yield 1Y'!W93*G$3</f>
        <v>-0.81157240447072576</v>
      </c>
      <c r="H92" s="72">
        <f>'Yield 1Y'!X93*H$3</f>
        <v>-0.41404800069426445</v>
      </c>
      <c r="I92" s="72">
        <f>'Yield 1Y'!Y93*I$3</f>
        <v>0</v>
      </c>
      <c r="J92" s="72">
        <f>'Yield 1Y'!Z93*J$3</f>
        <v>0</v>
      </c>
      <c r="K92" s="72">
        <f>'Yield 1Y'!AA93*K$3</f>
        <v>0</v>
      </c>
      <c r="L92" s="177">
        <f t="shared" si="8"/>
        <v>1.3737475965430606</v>
      </c>
      <c r="M92" s="124">
        <f>VLOOKUP(A92,'Yield 1Y'!$F:$G,2,0)</f>
        <v>46121</v>
      </c>
      <c r="N92" s="318">
        <f t="shared" si="9"/>
        <v>137</v>
      </c>
      <c r="P92" s="37">
        <v>89</v>
      </c>
      <c r="Q92" s="72">
        <f>Q$3*'Yield 1Y'!R91</f>
        <v>0</v>
      </c>
      <c r="R92" s="72">
        <f>R$3*'Yield 1Y'!S91</f>
        <v>0</v>
      </c>
      <c r="S92" s="72">
        <f>S$3*'Yield 1Y'!T91</f>
        <v>0</v>
      </c>
      <c r="T92" s="72">
        <f>T$3*'Yield 1Y'!U91</f>
        <v>0</v>
      </c>
      <c r="U92" s="72">
        <f>U$3*'Yield 1Y'!V91</f>
        <v>0</v>
      </c>
      <c r="V92" s="72">
        <f>V$3*'Yield 1Y'!W91</f>
        <v>0</v>
      </c>
      <c r="W92" s="72">
        <f>W$3*'Yield 1Y'!X91</f>
        <v>0.34149382443291187</v>
      </c>
      <c r="X92" s="72">
        <f>X$3*'Yield 1Y'!Y91</f>
        <v>0</v>
      </c>
      <c r="Y92" s="72">
        <f>Y$3*'Yield 1Y'!Z91</f>
        <v>0</v>
      </c>
      <c r="Z92" s="72">
        <f>Z$3*'Yield 1Y'!AA91</f>
        <v>0</v>
      </c>
      <c r="AA92" s="177">
        <f t="shared" si="10"/>
        <v>-0.34149382443291187</v>
      </c>
      <c r="AB92" s="124">
        <f>VLOOKUP(P92,'Yield 1Y'!$F:$G,2,0)</f>
        <v>46125</v>
      </c>
      <c r="AC92" s="318">
        <f t="shared" si="14"/>
        <v>215</v>
      </c>
      <c r="AE92" s="37">
        <v>134</v>
      </c>
      <c r="AF92" s="72">
        <f>AF$3*'Yield 1Y'!AB136</f>
        <v>0</v>
      </c>
      <c r="AG92" s="72">
        <f>AG$3*'Yield 1Y'!AC136</f>
        <v>0</v>
      </c>
      <c r="AH92" s="72">
        <f>AH$3*'Yield 1Y'!AD136</f>
        <v>-4.6103636346869432E-2</v>
      </c>
      <c r="AI92" s="72">
        <f>AI$3*'Yield 1Y'!AE136</f>
        <v>0.25963277476552488</v>
      </c>
      <c r="AJ92" s="72">
        <f>AJ$3*'Yield 1Y'!AF136</f>
        <v>-0.14029220159075445</v>
      </c>
      <c r="AK92" s="72">
        <f>AK$3*'Yield 1Y'!AG136</f>
        <v>2.4347172134126578</v>
      </c>
      <c r="AL92" s="72">
        <f>AL$3*'Yield 1Y'!AH136</f>
        <v>-10.351200017353118</v>
      </c>
      <c r="AM92" s="72">
        <f>AM$3*'Yield 1Y'!AI136</f>
        <v>-4.0362926578902671</v>
      </c>
      <c r="AN92" s="72">
        <f>AN$3*'Yield 1Y'!AJ136</f>
        <v>0</v>
      </c>
      <c r="AO92" s="72">
        <f>AO$3*'Yield 1Y'!AK136</f>
        <v>0</v>
      </c>
      <c r="AP92" s="177">
        <f t="shared" si="11"/>
        <v>11.879538525002825</v>
      </c>
      <c r="AQ92" s="124">
        <f>VLOOKUP(AE92,'Yield 1Y'!$F:$G,2,0)</f>
        <v>46055</v>
      </c>
      <c r="AR92" s="318">
        <f t="shared" si="12"/>
        <v>222</v>
      </c>
      <c r="AT92" s="37">
        <v>86</v>
      </c>
      <c r="AU92" s="72">
        <f>AU$3*'Yield 1Y'!AB118</f>
        <v>0</v>
      </c>
      <c r="AV92" s="72">
        <f>AV$3*'Yield 1Y'!AC118</f>
        <v>0</v>
      </c>
      <c r="AW92" s="72">
        <f>AW$3*'Yield 1Y'!AD118</f>
        <v>0</v>
      </c>
      <c r="AX92" s="72">
        <f>AX$3*'Yield 1Y'!AE118</f>
        <v>0</v>
      </c>
      <c r="AY92" s="72">
        <f>AY$3*'Yield 1Y'!AF118</f>
        <v>0</v>
      </c>
      <c r="AZ92" s="72">
        <f>AZ$3*'Yield 1Y'!AG118</f>
        <v>-0.73914714225350919</v>
      </c>
      <c r="BA92" s="72">
        <f>BA$3*'Yield 1Y'!AH118</f>
        <v>-3.0734444198970157</v>
      </c>
      <c r="BB92" s="72">
        <f>BB$3*'Yield 1Y'!AI118</f>
        <v>-1.8381392019739931</v>
      </c>
      <c r="BC92" s="72">
        <f>BC$3*'Yield 1Y'!AJ118</f>
        <v>0</v>
      </c>
      <c r="BD92" s="72">
        <f>BD$3*'Yield 1Y'!AK118</f>
        <v>0</v>
      </c>
      <c r="BE92" s="177">
        <f t="shared" si="13"/>
        <v>5.6507307641245177</v>
      </c>
      <c r="BF92" s="124">
        <f>VLOOKUP(AT92,'Yield 1Y'!$F:$G,2,0)</f>
        <v>46128</v>
      </c>
      <c r="BG92" s="318">
        <f t="shared" si="15"/>
        <v>143</v>
      </c>
    </row>
    <row r="93" spans="1:59" x14ac:dyDescent="0.3">
      <c r="A93" s="37">
        <v>117</v>
      </c>
      <c r="B93" s="72">
        <f>'Yield 1Y'!R119*B$3</f>
        <v>0</v>
      </c>
      <c r="C93" s="72">
        <f>'Yield 1Y'!S119*C$3</f>
        <v>0</v>
      </c>
      <c r="D93" s="72">
        <f>'Yield 1Y'!T119*D$3</f>
        <v>0</v>
      </c>
      <c r="E93" s="72">
        <f>'Yield 1Y'!U119*E$3</f>
        <v>0</v>
      </c>
      <c r="F93" s="72">
        <f>'Yield 1Y'!V119*F$3</f>
        <v>0</v>
      </c>
      <c r="G93" s="72">
        <f>'Yield 1Y'!W119*G$3</f>
        <v>0</v>
      </c>
      <c r="H93" s="72">
        <f>'Yield 1Y'!X119*H$3</f>
        <v>-1.6561920027766901</v>
      </c>
      <c r="I93" s="72">
        <f>'Yield 1Y'!Y119*I$3</f>
        <v>0</v>
      </c>
      <c r="J93" s="72">
        <f>'Yield 1Y'!Z119*J$3</f>
        <v>0</v>
      </c>
      <c r="K93" s="72">
        <f>'Yield 1Y'!AA119*K$3</f>
        <v>0</v>
      </c>
      <c r="L93" s="177">
        <f t="shared" si="8"/>
        <v>1.6561920027766901</v>
      </c>
      <c r="M93" s="124">
        <f>VLOOKUP(A93,'Yield 1Y'!$F:$G,2,0)</f>
        <v>46085</v>
      </c>
      <c r="N93" s="318">
        <f t="shared" si="9"/>
        <v>129</v>
      </c>
      <c r="P93" s="37">
        <v>90</v>
      </c>
      <c r="Q93" s="72">
        <f>Q$3*'Yield 1Y'!R92</f>
        <v>0</v>
      </c>
      <c r="R93" s="72">
        <f>R$3*'Yield 1Y'!S92</f>
        <v>0</v>
      </c>
      <c r="S93" s="72">
        <f>S$3*'Yield 1Y'!T92</f>
        <v>0</v>
      </c>
      <c r="T93" s="72">
        <f>T$3*'Yield 1Y'!U92</f>
        <v>0</v>
      </c>
      <c r="U93" s="72">
        <f>U$3*'Yield 1Y'!V92</f>
        <v>0</v>
      </c>
      <c r="V93" s="72">
        <f>V$3*'Yield 1Y'!W92</f>
        <v>1.2743916245742937E-2</v>
      </c>
      <c r="W93" s="72">
        <f>W$3*'Yield 1Y'!X92</f>
        <v>-0.79681892367696294</v>
      </c>
      <c r="X93" s="72">
        <f>X$3*'Yield 1Y'!Y92</f>
        <v>0</v>
      </c>
      <c r="Y93" s="72">
        <f>Y$3*'Yield 1Y'!Z92</f>
        <v>0</v>
      </c>
      <c r="Z93" s="72">
        <f>Z$3*'Yield 1Y'!AA92</f>
        <v>0</v>
      </c>
      <c r="AA93" s="177">
        <f t="shared" si="10"/>
        <v>0.78407500743122005</v>
      </c>
      <c r="AB93" s="124">
        <f>VLOOKUP(P93,'Yield 1Y'!$F:$G,2,0)</f>
        <v>46122</v>
      </c>
      <c r="AC93" s="318">
        <f t="shared" si="14"/>
        <v>65</v>
      </c>
      <c r="AE93" s="37">
        <v>229</v>
      </c>
      <c r="AF93" s="72">
        <f>AF$3*'Yield 1Y'!AB231</f>
        <v>0</v>
      </c>
      <c r="AG93" s="72">
        <f>AG$3*'Yield 1Y'!AC231</f>
        <v>0</v>
      </c>
      <c r="AH93" s="72">
        <f>AH$3*'Yield 1Y'!AD231</f>
        <v>-0.1936352726568549</v>
      </c>
      <c r="AI93" s="72">
        <f>AI$3*'Yield 1Y'!AE231</f>
        <v>-0.49041746344597009</v>
      </c>
      <c r="AJ93" s="72">
        <f>AJ$3*'Yield 1Y'!AF231</f>
        <v>-9.352813439383699E-2</v>
      </c>
      <c r="AK93" s="72">
        <f>AK$3*'Yield 1Y'!AG231</f>
        <v>-5.1399585616491708</v>
      </c>
      <c r="AL93" s="72">
        <f>AL$3*'Yield 1Y'!AH231</f>
        <v>-8.6950080145767963</v>
      </c>
      <c r="AM93" s="72">
        <f>AM$3*'Yield 1Y'!AI231</f>
        <v>-5.0453658223628715</v>
      </c>
      <c r="AN93" s="72">
        <f>AN$3*'Yield 1Y'!AJ231</f>
        <v>0</v>
      </c>
      <c r="AO93" s="72">
        <f>AO$3*'Yield 1Y'!AK231</f>
        <v>0</v>
      </c>
      <c r="AP93" s="177">
        <f t="shared" si="11"/>
        <v>19.657913269085501</v>
      </c>
      <c r="AQ93" s="124">
        <f>VLOOKUP(AE93,'Yield 1Y'!$F:$G,2,0)</f>
        <v>45918</v>
      </c>
      <c r="AR93" s="318">
        <f t="shared" si="12"/>
        <v>203</v>
      </c>
      <c r="AT93" s="37">
        <v>87</v>
      </c>
      <c r="AU93" s="72">
        <f>AU$3*'Yield 1Y'!AB143</f>
        <v>0</v>
      </c>
      <c r="AV93" s="72">
        <f>AV$3*'Yield 1Y'!AC143</f>
        <v>0</v>
      </c>
      <c r="AW93" s="72">
        <f>AW$3*'Yield 1Y'!AD143</f>
        <v>0</v>
      </c>
      <c r="AX93" s="72">
        <f>AX$3*'Yield 1Y'!AE143</f>
        <v>0</v>
      </c>
      <c r="AY93" s="72">
        <f>AY$3*'Yield 1Y'!AF143</f>
        <v>0</v>
      </c>
      <c r="AZ93" s="72">
        <f>AZ$3*'Yield 1Y'!AG143</f>
        <v>-0.90481805344824662</v>
      </c>
      <c r="BA93" s="72">
        <f>BA$3*'Yield 1Y'!AH143</f>
        <v>-4.8947448168730174</v>
      </c>
      <c r="BB93" s="72">
        <f>BB$3*'Yield 1Y'!AI143</f>
        <v>-3.7162379518169995</v>
      </c>
      <c r="BC93" s="72">
        <f>BC$3*'Yield 1Y'!AJ143</f>
        <v>0</v>
      </c>
      <c r="BD93" s="72">
        <f>BD$3*'Yield 1Y'!AK143</f>
        <v>0</v>
      </c>
      <c r="BE93" s="177">
        <f t="shared" si="13"/>
        <v>9.5158008221382637</v>
      </c>
      <c r="BF93" s="124">
        <f>VLOOKUP(AT93,'Yield 1Y'!$F:$G,2,0)</f>
        <v>46127</v>
      </c>
      <c r="BG93" s="318">
        <f t="shared" si="15"/>
        <v>64</v>
      </c>
    </row>
    <row r="94" spans="1:59" x14ac:dyDescent="0.3">
      <c r="A94" s="37">
        <v>99</v>
      </c>
      <c r="B94" s="72">
        <f>'Yield 1Y'!R101*B$3</f>
        <v>0</v>
      </c>
      <c r="C94" s="72">
        <f>'Yield 1Y'!S101*C$3</f>
        <v>0</v>
      </c>
      <c r="D94" s="72">
        <f>'Yield 1Y'!T101*D$3</f>
        <v>0</v>
      </c>
      <c r="E94" s="72">
        <f>'Yield 1Y'!U101*E$3</f>
        <v>0</v>
      </c>
      <c r="F94" s="72">
        <f>'Yield 1Y'!V101*F$3</f>
        <v>0</v>
      </c>
      <c r="G94" s="72">
        <f>'Yield 1Y'!W101*G$3</f>
        <v>0</v>
      </c>
      <c r="H94" s="72">
        <f>'Yield 1Y'!X101*H$3</f>
        <v>2.070240003470587</v>
      </c>
      <c r="I94" s="72">
        <f>'Yield 1Y'!Y101*I$3</f>
        <v>0</v>
      </c>
      <c r="J94" s="72">
        <f>'Yield 1Y'!Z101*J$3</f>
        <v>0</v>
      </c>
      <c r="K94" s="72">
        <f>'Yield 1Y'!AA101*K$3</f>
        <v>0</v>
      </c>
      <c r="L94" s="177">
        <f t="shared" si="8"/>
        <v>-2.070240003470587</v>
      </c>
      <c r="M94" s="124">
        <f>VLOOKUP(A94,'Yield 1Y'!$F:$G,2,0)</f>
        <v>46111</v>
      </c>
      <c r="N94" s="318">
        <f t="shared" si="9"/>
        <v>235</v>
      </c>
      <c r="P94" s="37">
        <v>91</v>
      </c>
      <c r="Q94" s="72">
        <f>Q$3*'Yield 1Y'!R93</f>
        <v>0</v>
      </c>
      <c r="R94" s="72">
        <f>R$3*'Yield 1Y'!S93</f>
        <v>0</v>
      </c>
      <c r="S94" s="72">
        <f>S$3*'Yield 1Y'!T93</f>
        <v>0</v>
      </c>
      <c r="T94" s="72">
        <f>T$3*'Yield 1Y'!U93</f>
        <v>0</v>
      </c>
      <c r="U94" s="72">
        <f>U$3*'Yield 1Y'!V93</f>
        <v>0</v>
      </c>
      <c r="V94" s="72">
        <f>V$3*'Yield 1Y'!W93</f>
        <v>-3.8231748737240133E-2</v>
      </c>
      <c r="W94" s="72">
        <f>W$3*'Yield 1Y'!X93</f>
        <v>-0.11383127481103802</v>
      </c>
      <c r="X94" s="72">
        <f>X$3*'Yield 1Y'!Y93</f>
        <v>0</v>
      </c>
      <c r="Y94" s="72">
        <f>Y$3*'Yield 1Y'!Z93</f>
        <v>0</v>
      </c>
      <c r="Z94" s="72">
        <f>Z$3*'Yield 1Y'!AA93</f>
        <v>0</v>
      </c>
      <c r="AA94" s="177">
        <f t="shared" si="10"/>
        <v>0.15206302354827816</v>
      </c>
      <c r="AB94" s="124">
        <f>VLOOKUP(P94,'Yield 1Y'!$F:$G,2,0)</f>
        <v>46121</v>
      </c>
      <c r="AC94" s="318">
        <f t="shared" si="14"/>
        <v>153</v>
      </c>
      <c r="AE94" s="37">
        <v>135</v>
      </c>
      <c r="AF94" s="72">
        <f>AF$3*'Yield 1Y'!AB137</f>
        <v>0</v>
      </c>
      <c r="AG94" s="72">
        <f>AG$3*'Yield 1Y'!AC137</f>
        <v>0</v>
      </c>
      <c r="AH94" s="72">
        <f>AH$3*'Yield 1Y'!AD137</f>
        <v>3.6882909077496369E-2</v>
      </c>
      <c r="AI94" s="72">
        <f>AI$3*'Yield 1Y'!AE137</f>
        <v>0.23078468868045804</v>
      </c>
      <c r="AJ94" s="72">
        <f>AJ$3*'Yield 1Y'!AF137</f>
        <v>-7.0146100795378266E-2</v>
      </c>
      <c r="AK94" s="72">
        <f>AK$3*'Yield 1Y'!AG137</f>
        <v>2.1641930785891628</v>
      </c>
      <c r="AL94" s="72">
        <f>AL$3*'Yield 1Y'!AH137</f>
        <v>-6.2107200104119444</v>
      </c>
      <c r="AM94" s="72">
        <f>AM$3*'Yield 1Y'!AI137</f>
        <v>-4.3726503793810858</v>
      </c>
      <c r="AN94" s="72">
        <f>AN$3*'Yield 1Y'!AJ137</f>
        <v>0</v>
      </c>
      <c r="AO94" s="72">
        <f>AO$3*'Yield 1Y'!AK137</f>
        <v>0</v>
      </c>
      <c r="AP94" s="177">
        <f t="shared" si="11"/>
        <v>8.2216558142412914</v>
      </c>
      <c r="AQ94" s="124">
        <f>VLOOKUP(AE94,'Yield 1Y'!$F:$G,2,0)</f>
        <v>46052</v>
      </c>
      <c r="AR94" s="318">
        <f t="shared" si="12"/>
        <v>231</v>
      </c>
      <c r="AT94" s="37">
        <v>88</v>
      </c>
      <c r="AU94" s="72">
        <f>AU$3*'Yield 1Y'!AB170</f>
        <v>0</v>
      </c>
      <c r="AV94" s="72">
        <f>AV$3*'Yield 1Y'!AC170</f>
        <v>0</v>
      </c>
      <c r="AW94" s="72">
        <f>AW$3*'Yield 1Y'!AD170</f>
        <v>0</v>
      </c>
      <c r="AX94" s="72">
        <f>AX$3*'Yield 1Y'!AE170</f>
        <v>0</v>
      </c>
      <c r="AY94" s="72">
        <f>AY$3*'Yield 1Y'!AF170</f>
        <v>0</v>
      </c>
      <c r="AZ94" s="72">
        <f>AZ$3*'Yield 1Y'!AG170</f>
        <v>-1.1342085458717439</v>
      </c>
      <c r="BA94" s="72">
        <f>BA$3*'Yield 1Y'!AH170</f>
        <v>-5.9192262901720065</v>
      </c>
      <c r="BB94" s="72">
        <f>BB$3*'Yield 1Y'!AI170</f>
        <v>-1.5983819147600016</v>
      </c>
      <c r="BC94" s="72">
        <f>BC$3*'Yield 1Y'!AJ170</f>
        <v>0</v>
      </c>
      <c r="BD94" s="72">
        <f>BD$3*'Yield 1Y'!AK170</f>
        <v>0</v>
      </c>
      <c r="BE94" s="177">
        <f t="shared" si="13"/>
        <v>8.6518167508037518</v>
      </c>
      <c r="BF94" s="124">
        <f>VLOOKUP(AT94,'Yield 1Y'!$F:$G,2,0)</f>
        <v>46126</v>
      </c>
      <c r="BG94" s="318">
        <f t="shared" si="15"/>
        <v>76</v>
      </c>
    </row>
    <row r="95" spans="1:59" x14ac:dyDescent="0.3">
      <c r="A95" s="37">
        <v>106</v>
      </c>
      <c r="B95" s="72">
        <f>'Yield 1Y'!R108*B$3</f>
        <v>0</v>
      </c>
      <c r="C95" s="72">
        <f>'Yield 1Y'!S108*C$3</f>
        <v>0</v>
      </c>
      <c r="D95" s="72">
        <f>'Yield 1Y'!T108*D$3</f>
        <v>0</v>
      </c>
      <c r="E95" s="72">
        <f>'Yield 1Y'!U108*E$3</f>
        <v>8.6544258255174963E-2</v>
      </c>
      <c r="F95" s="72">
        <f>'Yield 1Y'!V108*F$3</f>
        <v>3.7411253757534797E-2</v>
      </c>
      <c r="G95" s="72">
        <f>'Yield 1Y'!W108*G$3</f>
        <v>0</v>
      </c>
      <c r="H95" s="72">
        <f>'Yield 1Y'!X108*H$3</f>
        <v>1.2421440020824257</v>
      </c>
      <c r="I95" s="72">
        <f>'Yield 1Y'!Y108*I$3</f>
        <v>0</v>
      </c>
      <c r="J95" s="72">
        <f>'Yield 1Y'!Z108*J$3</f>
        <v>0</v>
      </c>
      <c r="K95" s="72">
        <f>'Yield 1Y'!AA108*K$3</f>
        <v>0</v>
      </c>
      <c r="L95" s="177">
        <f t="shared" si="8"/>
        <v>-1.3660995140951355</v>
      </c>
      <c r="M95" s="124">
        <f>VLOOKUP(A95,'Yield 1Y'!$F:$G,2,0)</f>
        <v>46100</v>
      </c>
      <c r="N95" s="318">
        <f t="shared" si="9"/>
        <v>220</v>
      </c>
      <c r="P95" s="37">
        <v>92</v>
      </c>
      <c r="Q95" s="72">
        <f>Q$3*'Yield 1Y'!R94</f>
        <v>0</v>
      </c>
      <c r="R95" s="72">
        <f>R$3*'Yield 1Y'!S94</f>
        <v>0</v>
      </c>
      <c r="S95" s="72">
        <f>S$3*'Yield 1Y'!T94</f>
        <v>0</v>
      </c>
      <c r="T95" s="72">
        <f>T$3*'Yield 1Y'!U94</f>
        <v>0</v>
      </c>
      <c r="U95" s="72">
        <f>U$3*'Yield 1Y'!V94</f>
        <v>0</v>
      </c>
      <c r="V95" s="72">
        <f>V$3*'Yield 1Y'!W94</f>
        <v>-5.0975664983005708E-2</v>
      </c>
      <c r="W95" s="72">
        <f>W$3*'Yield 1Y'!X94</f>
        <v>-0.11383127481093692</v>
      </c>
      <c r="X95" s="72">
        <f>X$3*'Yield 1Y'!Y94</f>
        <v>-0.19979773934499578</v>
      </c>
      <c r="Y95" s="72">
        <f>Y$3*'Yield 1Y'!Z94</f>
        <v>0</v>
      </c>
      <c r="Z95" s="72">
        <f>Z$3*'Yield 1Y'!AA94</f>
        <v>0</v>
      </c>
      <c r="AA95" s="177">
        <f t="shared" si="10"/>
        <v>0.3646046791389384</v>
      </c>
      <c r="AB95" s="124">
        <f>VLOOKUP(P95,'Yield 1Y'!$F:$G,2,0)</f>
        <v>46120</v>
      </c>
      <c r="AC95" s="318">
        <f t="shared" si="14"/>
        <v>113</v>
      </c>
      <c r="AE95" s="37">
        <v>133</v>
      </c>
      <c r="AF95" s="72">
        <f>AF$3*'Yield 1Y'!AB135</f>
        <v>0</v>
      </c>
      <c r="AG95" s="72">
        <f>AG$3*'Yield 1Y'!AC135</f>
        <v>0</v>
      </c>
      <c r="AH95" s="72">
        <f>AH$3*'Yield 1Y'!AD135</f>
        <v>-0.11986945450186216</v>
      </c>
      <c r="AI95" s="72">
        <f>AI$3*'Yield 1Y'!AE135</f>
        <v>0.23078468868045804</v>
      </c>
      <c r="AJ95" s="72">
        <f>AJ$3*'Yield 1Y'!AF135</f>
        <v>-4.20876604772282E-2</v>
      </c>
      <c r="AK95" s="72">
        <f>AK$3*'Yield 1Y'!AG135</f>
        <v>2.1641930785891628</v>
      </c>
      <c r="AL95" s="72">
        <f>AL$3*'Yield 1Y'!AH135</f>
        <v>-3.726432006247093</v>
      </c>
      <c r="AM95" s="72">
        <f>AM$3*'Yield 1Y'!AI135</f>
        <v>-5.7180812653445079</v>
      </c>
      <c r="AN95" s="72">
        <f>AN$3*'Yield 1Y'!AJ135</f>
        <v>0</v>
      </c>
      <c r="AO95" s="72">
        <f>AO$3*'Yield 1Y'!AK135</f>
        <v>0</v>
      </c>
      <c r="AP95" s="177">
        <f t="shared" si="11"/>
        <v>7.2114926193010707</v>
      </c>
      <c r="AQ95" s="124">
        <f>VLOOKUP(AE95,'Yield 1Y'!$F:$G,2,0)</f>
        <v>46056</v>
      </c>
      <c r="AR95" s="318">
        <f t="shared" si="12"/>
        <v>232</v>
      </c>
      <c r="AT95" s="37">
        <v>89</v>
      </c>
      <c r="AU95" s="72">
        <f>AU$3*'Yield 1Y'!AB114</f>
        <v>0</v>
      </c>
      <c r="AV95" s="72">
        <f>AV$3*'Yield 1Y'!AC114</f>
        <v>0</v>
      </c>
      <c r="AW95" s="72">
        <f>AW$3*'Yield 1Y'!AD114</f>
        <v>0</v>
      </c>
      <c r="AX95" s="72">
        <f>AX$3*'Yield 1Y'!AE114</f>
        <v>0</v>
      </c>
      <c r="AY95" s="72">
        <f>AY$3*'Yield 1Y'!AF114</f>
        <v>0</v>
      </c>
      <c r="AZ95" s="72">
        <f>AZ$3*'Yield 1Y'!AG114</f>
        <v>-0.79012280723650352</v>
      </c>
      <c r="BA95" s="72">
        <f>BA$3*'Yield 1Y'!AH114</f>
        <v>-7.1713703130929698</v>
      </c>
      <c r="BB95" s="72">
        <f>BB$3*'Yield 1Y'!AI114</f>
        <v>-3.3965615688649993</v>
      </c>
      <c r="BC95" s="72">
        <f>BC$3*'Yield 1Y'!AJ114</f>
        <v>0</v>
      </c>
      <c r="BD95" s="72">
        <f>BD$3*'Yield 1Y'!AK114</f>
        <v>0</v>
      </c>
      <c r="BE95" s="177">
        <f t="shared" si="13"/>
        <v>11.358054689194473</v>
      </c>
      <c r="BF95" s="124">
        <f>VLOOKUP(AT95,'Yield 1Y'!$F:$G,2,0)</f>
        <v>46125</v>
      </c>
      <c r="BG95" s="318">
        <f t="shared" si="15"/>
        <v>49</v>
      </c>
    </row>
    <row r="96" spans="1:59" x14ac:dyDescent="0.3">
      <c r="A96" s="37">
        <v>7</v>
      </c>
      <c r="B96" s="72">
        <f>'Yield 1Y'!R9*B$3</f>
        <v>0</v>
      </c>
      <c r="C96" s="72">
        <f>'Yield 1Y'!S9*C$3</f>
        <v>0</v>
      </c>
      <c r="D96" s="72">
        <f>'Yield 1Y'!T9*D$3</f>
        <v>0</v>
      </c>
      <c r="E96" s="72">
        <f>'Yield 1Y'!U9*E$3</f>
        <v>-0.14424043042529588</v>
      </c>
      <c r="F96" s="72">
        <f>'Yield 1Y'!V9*F$3</f>
        <v>-4.6764067196917454E-2</v>
      </c>
      <c r="G96" s="72">
        <f>'Yield 1Y'!W9*G$3</f>
        <v>-0.54104826964723052</v>
      </c>
      <c r="H96" s="72">
        <f>'Yield 1Y'!X9*H$3</f>
        <v>-0.41404800069426445</v>
      </c>
      <c r="I96" s="72">
        <f>'Yield 1Y'!Y9*I$3</f>
        <v>0</v>
      </c>
      <c r="J96" s="72">
        <f>'Yield 1Y'!Z9*J$3</f>
        <v>0</v>
      </c>
      <c r="K96" s="72">
        <f>'Yield 1Y'!AA9*K$3</f>
        <v>0</v>
      </c>
      <c r="L96" s="177">
        <f t="shared" si="8"/>
        <v>1.1461007679637083</v>
      </c>
      <c r="M96" s="124">
        <f>VLOOKUP(A96,'Yield 1Y'!$F:$G,2,0)</f>
        <v>46244</v>
      </c>
      <c r="N96" s="318">
        <f t="shared" si="9"/>
        <v>147</v>
      </c>
      <c r="P96" s="37">
        <v>93</v>
      </c>
      <c r="Q96" s="72">
        <f>Q$3*'Yield 1Y'!R95</f>
        <v>0</v>
      </c>
      <c r="R96" s="72">
        <f>R$3*'Yield 1Y'!S95</f>
        <v>0</v>
      </c>
      <c r="S96" s="72">
        <f>S$3*'Yield 1Y'!T95</f>
        <v>0</v>
      </c>
      <c r="T96" s="72">
        <f>T$3*'Yield 1Y'!U95</f>
        <v>0</v>
      </c>
      <c r="U96" s="72">
        <f>U$3*'Yield 1Y'!V95</f>
        <v>0</v>
      </c>
      <c r="V96" s="72">
        <f>V$3*'Yield 1Y'!W95</f>
        <v>0</v>
      </c>
      <c r="W96" s="72">
        <f>W$3*'Yield 1Y'!X95</f>
        <v>0.11383127481093692</v>
      </c>
      <c r="X96" s="72">
        <f>X$3*'Yield 1Y'!Y95</f>
        <v>-0.11987864360700456</v>
      </c>
      <c r="Y96" s="72">
        <f>Y$3*'Yield 1Y'!Z95</f>
        <v>0</v>
      </c>
      <c r="Z96" s="72">
        <f>Z$3*'Yield 1Y'!AA95</f>
        <v>0</v>
      </c>
      <c r="AA96" s="177">
        <f t="shared" si="10"/>
        <v>6.0473687960676398E-3</v>
      </c>
      <c r="AB96" s="124">
        <f>VLOOKUP(P96,'Yield 1Y'!$F:$G,2,0)</f>
        <v>46119</v>
      </c>
      <c r="AC96" s="318">
        <f t="shared" si="14"/>
        <v>178</v>
      </c>
      <c r="AE96" s="37">
        <v>24</v>
      </c>
      <c r="AF96" s="72">
        <f>AF$3*'Yield 1Y'!AB26</f>
        <v>0</v>
      </c>
      <c r="AG96" s="72">
        <f>AG$3*'Yield 1Y'!AC26</f>
        <v>0</v>
      </c>
      <c r="AH96" s="72">
        <f>AH$3*'Yield 1Y'!AD26</f>
        <v>0</v>
      </c>
      <c r="AI96" s="72">
        <f>AI$3*'Yield 1Y'!AE26</f>
        <v>-0.11539234434021621</v>
      </c>
      <c r="AJ96" s="72">
        <f>AJ$3*'Yield 1Y'!AF26</f>
        <v>0</v>
      </c>
      <c r="AK96" s="72">
        <f>AK$3*'Yield 1Y'!AG26</f>
        <v>0</v>
      </c>
      <c r="AL96" s="72">
        <f>AL$3*'Yield 1Y'!AH26</f>
        <v>0</v>
      </c>
      <c r="AM96" s="72">
        <f>AM$3*'Yield 1Y'!AI26</f>
        <v>-3.0272194934176628</v>
      </c>
      <c r="AN96" s="72">
        <f>AN$3*'Yield 1Y'!AJ26</f>
        <v>0</v>
      </c>
      <c r="AO96" s="72">
        <f>AO$3*'Yield 1Y'!AK26</f>
        <v>0</v>
      </c>
      <c r="AP96" s="177">
        <f t="shared" si="11"/>
        <v>3.1426118377578791</v>
      </c>
      <c r="AQ96" s="124">
        <f>VLOOKUP(AE96,'Yield 1Y'!$F:$G,2,0)</f>
        <v>46219</v>
      </c>
      <c r="AR96" s="318">
        <f t="shared" si="12"/>
        <v>240</v>
      </c>
      <c r="AT96" s="37">
        <v>90</v>
      </c>
      <c r="AU96" s="72">
        <f>AU$3*'Yield 1Y'!AB133</f>
        <v>0</v>
      </c>
      <c r="AV96" s="72">
        <f>AV$3*'Yield 1Y'!AC133</f>
        <v>0</v>
      </c>
      <c r="AW96" s="72">
        <f>AW$3*'Yield 1Y'!AD133</f>
        <v>0</v>
      </c>
      <c r="AX96" s="72">
        <f>AX$3*'Yield 1Y'!AE133</f>
        <v>0</v>
      </c>
      <c r="AY96" s="72">
        <f>AY$3*'Yield 1Y'!AF133</f>
        <v>0</v>
      </c>
      <c r="AZ96" s="72">
        <f>AZ$3*'Yield 1Y'!AG133</f>
        <v>5.0975664983005708E-2</v>
      </c>
      <c r="BA96" s="72">
        <f>BA$3*'Yield 1Y'!AH133</f>
        <v>-1.9351316717869893</v>
      </c>
      <c r="BB96" s="72">
        <f>BB$3*'Yield 1Y'!AI133</f>
        <v>-1.4385437232840015</v>
      </c>
      <c r="BC96" s="72">
        <f>BC$3*'Yield 1Y'!AJ133</f>
        <v>0</v>
      </c>
      <c r="BD96" s="72">
        <f>BD$3*'Yield 1Y'!AK133</f>
        <v>0</v>
      </c>
      <c r="BE96" s="177">
        <f t="shared" si="13"/>
        <v>3.3226997300879848</v>
      </c>
      <c r="BF96" s="124">
        <f>VLOOKUP(AT96,'Yield 1Y'!$F:$G,2,0)</f>
        <v>46122</v>
      </c>
      <c r="BG96" s="318">
        <f t="shared" si="15"/>
        <v>192</v>
      </c>
    </row>
    <row r="97" spans="1:59" x14ac:dyDescent="0.3">
      <c r="A97" s="37">
        <v>59</v>
      </c>
      <c r="B97" s="72">
        <f>'Yield 1Y'!R61*B$3</f>
        <v>0</v>
      </c>
      <c r="C97" s="72">
        <f>'Yield 1Y'!S61*C$3</f>
        <v>0</v>
      </c>
      <c r="D97" s="72">
        <f>'Yield 1Y'!T61*D$3</f>
        <v>-7.3765818154992738E-2</v>
      </c>
      <c r="E97" s="72">
        <f>'Yield 1Y'!U61*E$3</f>
        <v>-0.95198684080689899</v>
      </c>
      <c r="F97" s="72">
        <f>'Yield 1Y'!V61*F$3</f>
        <v>-0.27123158974212624</v>
      </c>
      <c r="G97" s="72">
        <f>'Yield 1Y'!W61*G$3</f>
        <v>-5.9515309661202567</v>
      </c>
      <c r="H97" s="72">
        <f>'Yield 1Y'!X61*H$3</f>
        <v>-30.639552051365275</v>
      </c>
      <c r="I97" s="72">
        <f>'Yield 1Y'!Y61*I$3</f>
        <v>-42.04471518635691</v>
      </c>
      <c r="J97" s="72">
        <f>'Yield 1Y'!Z61*J$3</f>
        <v>0</v>
      </c>
      <c r="K97" s="72">
        <f>'Yield 1Y'!AA61*K$3</f>
        <v>0</v>
      </c>
      <c r="L97" s="177">
        <f t="shared" si="8"/>
        <v>79.932782452546462</v>
      </c>
      <c r="M97" s="124">
        <f>VLOOKUP(A97,'Yield 1Y'!$F:$G,2,0)</f>
        <v>46170</v>
      </c>
      <c r="N97" s="318">
        <f t="shared" si="9"/>
        <v>1</v>
      </c>
      <c r="P97" s="37">
        <v>94</v>
      </c>
      <c r="Q97" s="72">
        <f>Q$3*'Yield 1Y'!R96</f>
        <v>0</v>
      </c>
      <c r="R97" s="72">
        <f>R$3*'Yield 1Y'!S96</f>
        <v>0</v>
      </c>
      <c r="S97" s="72">
        <f>S$3*'Yield 1Y'!T96</f>
        <v>0</v>
      </c>
      <c r="T97" s="72">
        <f>T$3*'Yield 1Y'!U96</f>
        <v>0</v>
      </c>
      <c r="U97" s="72">
        <f>U$3*'Yield 1Y'!V96</f>
        <v>0</v>
      </c>
      <c r="V97" s="72">
        <f>V$3*'Yield 1Y'!W96</f>
        <v>0</v>
      </c>
      <c r="W97" s="72">
        <f>W$3*'Yield 1Y'!X96</f>
        <v>-0.79681892367696294</v>
      </c>
      <c r="X97" s="72">
        <f>X$3*'Yield 1Y'!Y96</f>
        <v>-0.35963593082101369</v>
      </c>
      <c r="Y97" s="72">
        <f>Y$3*'Yield 1Y'!Z96</f>
        <v>0</v>
      </c>
      <c r="Z97" s="72">
        <f>Z$3*'Yield 1Y'!AA96</f>
        <v>0</v>
      </c>
      <c r="AA97" s="177">
        <f t="shared" si="10"/>
        <v>1.1564548544979767</v>
      </c>
      <c r="AB97" s="124">
        <f>VLOOKUP(P97,'Yield 1Y'!$F:$G,2,0)</f>
        <v>46118</v>
      </c>
      <c r="AC97" s="318">
        <f t="shared" si="14"/>
        <v>49</v>
      </c>
      <c r="AE97" s="37">
        <v>118</v>
      </c>
      <c r="AF97" s="72">
        <f>AF$3*'Yield 1Y'!AB120</f>
        <v>0</v>
      </c>
      <c r="AG97" s="72">
        <f>AG$3*'Yield 1Y'!AC120</f>
        <v>0</v>
      </c>
      <c r="AH97" s="72">
        <f>AH$3*'Yield 1Y'!AD120</f>
        <v>-0.23051818173435126</v>
      </c>
      <c r="AI97" s="72">
        <f>AI$3*'Yield 1Y'!AE120</f>
        <v>-1.6731889929333144</v>
      </c>
      <c r="AJ97" s="72">
        <f>AJ$3*'Yield 1Y'!AF120</f>
        <v>-0.10755735455291097</v>
      </c>
      <c r="AK97" s="72">
        <f>AK$3*'Yield 1Y'!AG120</f>
        <v>-15.690399819771608</v>
      </c>
      <c r="AL97" s="72">
        <f>AL$3*'Yield 1Y'!AH120</f>
        <v>-12.835488021517969</v>
      </c>
      <c r="AM97" s="72">
        <f>AM$3*'Yield 1Y'!AI120</f>
        <v>-15.80881291007025</v>
      </c>
      <c r="AN97" s="72">
        <f>AN$3*'Yield 1Y'!AJ120</f>
        <v>0</v>
      </c>
      <c r="AO97" s="72">
        <f>AO$3*'Yield 1Y'!AK120</f>
        <v>0</v>
      </c>
      <c r="AP97" s="177">
        <f t="shared" si="11"/>
        <v>46.345965280580408</v>
      </c>
      <c r="AQ97" s="124">
        <f>VLOOKUP(AE97,'Yield 1Y'!$F:$G,2,0)</f>
        <v>46084</v>
      </c>
      <c r="AR97" s="318">
        <f t="shared" si="12"/>
        <v>96</v>
      </c>
      <c r="AT97" s="37">
        <v>91</v>
      </c>
      <c r="AU97" s="72">
        <f>AU$3*'Yield 1Y'!AB153</f>
        <v>0</v>
      </c>
      <c r="AV97" s="72">
        <f>AV$3*'Yield 1Y'!AC153</f>
        <v>0</v>
      </c>
      <c r="AW97" s="72">
        <f>AW$3*'Yield 1Y'!AD153</f>
        <v>0</v>
      </c>
      <c r="AX97" s="72">
        <f>AX$3*'Yield 1Y'!AE153</f>
        <v>0</v>
      </c>
      <c r="AY97" s="72">
        <f>AY$3*'Yield 1Y'!AF153</f>
        <v>0</v>
      </c>
      <c r="AZ97" s="72">
        <f>AZ$3*'Yield 1Y'!AG153</f>
        <v>-1.7459165256677558</v>
      </c>
      <c r="BA97" s="72">
        <f>BA$3*'Yield 1Y'!AH153</f>
        <v>-9.7894896337459851</v>
      </c>
      <c r="BB97" s="72">
        <f>BB$3*'Yield 1Y'!AI153</f>
        <v>-6.3535681111710112</v>
      </c>
      <c r="BC97" s="72">
        <f>BC$3*'Yield 1Y'!AJ153</f>
        <v>0</v>
      </c>
      <c r="BD97" s="72">
        <f>BD$3*'Yield 1Y'!AK153</f>
        <v>0</v>
      </c>
      <c r="BE97" s="177">
        <f t="shared" si="13"/>
        <v>17.888974270584754</v>
      </c>
      <c r="BF97" s="124">
        <f>VLOOKUP(AT97,'Yield 1Y'!$F:$G,2,0)</f>
        <v>46121</v>
      </c>
      <c r="BG97" s="318">
        <f t="shared" si="15"/>
        <v>36</v>
      </c>
    </row>
    <row r="98" spans="1:59" x14ac:dyDescent="0.3">
      <c r="A98" s="37">
        <v>185</v>
      </c>
      <c r="B98" s="72">
        <f>'Yield 1Y'!R187*B$3</f>
        <v>0</v>
      </c>
      <c r="C98" s="72">
        <f>'Yield 1Y'!S187*C$3</f>
        <v>0</v>
      </c>
      <c r="D98" s="72">
        <f>'Yield 1Y'!T187*D$3</f>
        <v>0</v>
      </c>
      <c r="E98" s="72">
        <f>'Yield 1Y'!U187*E$3</f>
        <v>0</v>
      </c>
      <c r="F98" s="72">
        <f>'Yield 1Y'!V187*F$3</f>
        <v>0</v>
      </c>
      <c r="G98" s="72">
        <f>'Yield 1Y'!W187*G$3</f>
        <v>0</v>
      </c>
      <c r="H98" s="72">
        <f>'Yield 1Y'!X187*H$3</f>
        <v>0</v>
      </c>
      <c r="I98" s="72">
        <f>'Yield 1Y'!Y187*I$3</f>
        <v>0</v>
      </c>
      <c r="J98" s="72">
        <f>'Yield 1Y'!Z187*J$3</f>
        <v>0</v>
      </c>
      <c r="K98" s="72">
        <f>'Yield 1Y'!AA187*K$3</f>
        <v>0</v>
      </c>
      <c r="L98" s="177">
        <f t="shared" si="8"/>
        <v>0</v>
      </c>
      <c r="M98" s="124">
        <f>VLOOKUP(A98,'Yield 1Y'!$F:$G,2,0)</f>
        <v>45980</v>
      </c>
      <c r="N98" s="318">
        <f t="shared" si="9"/>
        <v>195.5</v>
      </c>
      <c r="P98" s="37">
        <v>95</v>
      </c>
      <c r="Q98" s="72">
        <f>Q$3*'Yield 1Y'!R97</f>
        <v>0</v>
      </c>
      <c r="R98" s="72">
        <f>R$3*'Yield 1Y'!S97</f>
        <v>0</v>
      </c>
      <c r="S98" s="72">
        <f>S$3*'Yield 1Y'!T97</f>
        <v>0</v>
      </c>
      <c r="T98" s="72">
        <f>T$3*'Yield 1Y'!U97</f>
        <v>0</v>
      </c>
      <c r="U98" s="72">
        <f>U$3*'Yield 1Y'!V97</f>
        <v>0</v>
      </c>
      <c r="V98" s="72">
        <f>V$3*'Yield 1Y'!W97</f>
        <v>-6.3719581228748642E-2</v>
      </c>
      <c r="W98" s="72">
        <f>W$3*'Yield 1Y'!X97</f>
        <v>-0.56915637405498798</v>
      </c>
      <c r="X98" s="72">
        <f>X$3*'Yield 1Y'!Y97</f>
        <v>0</v>
      </c>
      <c r="Y98" s="72">
        <f>Y$3*'Yield 1Y'!Z97</f>
        <v>0</v>
      </c>
      <c r="Z98" s="72">
        <f>Z$3*'Yield 1Y'!AA97</f>
        <v>0</v>
      </c>
      <c r="AA98" s="177">
        <f t="shared" si="10"/>
        <v>0.63287595528373664</v>
      </c>
      <c r="AB98" s="124">
        <f>VLOOKUP(P98,'Yield 1Y'!$F:$G,2,0)</f>
        <v>46115</v>
      </c>
      <c r="AC98" s="318">
        <f t="shared" si="14"/>
        <v>80</v>
      </c>
      <c r="AE98" s="37">
        <v>27</v>
      </c>
      <c r="AF98" s="72">
        <f>AF$3*'Yield 1Y'!AB29</f>
        <v>0</v>
      </c>
      <c r="AG98" s="72">
        <f>AG$3*'Yield 1Y'!AC29</f>
        <v>0</v>
      </c>
      <c r="AH98" s="72">
        <f>AH$3*'Yield 1Y'!AD29</f>
        <v>-3.6882909077496369E-2</v>
      </c>
      <c r="AI98" s="72">
        <f>AI$3*'Yield 1Y'!AE29</f>
        <v>-0.60580980778619908</v>
      </c>
      <c r="AJ98" s="72">
        <f>AJ$3*'Yield 1Y'!AF29</f>
        <v>-1.8705626878767399E-2</v>
      </c>
      <c r="AK98" s="72">
        <f>AK$3*'Yield 1Y'!AG29</f>
        <v>-5.6810068312965214</v>
      </c>
      <c r="AL98" s="72">
        <f>AL$3*'Yield 1Y'!AH29</f>
        <v>-1.6561920027765062</v>
      </c>
      <c r="AM98" s="72">
        <f>AM$3*'Yield 1Y'!AI29</f>
        <v>-2.6908617719268446</v>
      </c>
      <c r="AN98" s="72">
        <f>AN$3*'Yield 1Y'!AJ29</f>
        <v>0</v>
      </c>
      <c r="AO98" s="72">
        <f>AO$3*'Yield 1Y'!AK29</f>
        <v>0</v>
      </c>
      <c r="AP98" s="177">
        <f t="shared" si="11"/>
        <v>10.689458949742335</v>
      </c>
      <c r="AQ98" s="124">
        <f>VLOOKUP(AE98,'Yield 1Y'!$F:$G,2,0)</f>
        <v>46216</v>
      </c>
      <c r="AR98" s="318">
        <f t="shared" si="12"/>
        <v>226</v>
      </c>
      <c r="AT98" s="37">
        <v>92</v>
      </c>
      <c r="AU98" s="72">
        <f>AU$3*'Yield 1Y'!AB201</f>
        <v>0</v>
      </c>
      <c r="AV98" s="72">
        <f>AV$3*'Yield 1Y'!AC201</f>
        <v>0</v>
      </c>
      <c r="AW98" s="72">
        <f>AW$3*'Yield 1Y'!AD201</f>
        <v>0</v>
      </c>
      <c r="AX98" s="72">
        <f>AX$3*'Yield 1Y'!AE201</f>
        <v>0</v>
      </c>
      <c r="AY98" s="72">
        <f>AY$3*'Yield 1Y'!AF201</f>
        <v>0</v>
      </c>
      <c r="AZ98" s="72">
        <f>AZ$3*'Yield 1Y'!AG201</f>
        <v>-0.75189105849925209</v>
      </c>
      <c r="BA98" s="72">
        <f>BA$3*'Yield 1Y'!AH201</f>
        <v>-5.4639011909280057</v>
      </c>
      <c r="BB98" s="72">
        <f>BB$3*'Yield 1Y'!AI201</f>
        <v>-1.1987864360700102</v>
      </c>
      <c r="BC98" s="72">
        <f>BC$3*'Yield 1Y'!AJ201</f>
        <v>0</v>
      </c>
      <c r="BD98" s="72">
        <f>BD$3*'Yield 1Y'!AK201</f>
        <v>0</v>
      </c>
      <c r="BE98" s="177">
        <f t="shared" si="13"/>
        <v>7.4145786854972684</v>
      </c>
      <c r="BF98" s="124">
        <f>VLOOKUP(AT98,'Yield 1Y'!$F:$G,2,0)</f>
        <v>46120</v>
      </c>
      <c r="BG98" s="318">
        <f t="shared" si="15"/>
        <v>104</v>
      </c>
    </row>
    <row r="99" spans="1:59" x14ac:dyDescent="0.3">
      <c r="A99" s="37">
        <v>47</v>
      </c>
      <c r="B99" s="72">
        <f>'Yield 1Y'!R49*B$3</f>
        <v>0</v>
      </c>
      <c r="C99" s="72">
        <f>'Yield 1Y'!S49*C$3</f>
        <v>0</v>
      </c>
      <c r="D99" s="72">
        <f>'Yield 1Y'!T49*D$3</f>
        <v>0</v>
      </c>
      <c r="E99" s="72">
        <f>'Yield 1Y'!U49*E$3</f>
        <v>0</v>
      </c>
      <c r="F99" s="72">
        <f>'Yield 1Y'!V49*F$3</f>
        <v>0</v>
      </c>
      <c r="G99" s="72">
        <f>'Yield 1Y'!W49*G$3</f>
        <v>0</v>
      </c>
      <c r="H99" s="72">
        <f>'Yield 1Y'!X49*H$3</f>
        <v>-1.242144002082058</v>
      </c>
      <c r="I99" s="72">
        <f>'Yield 1Y'!Y49*I$3</f>
        <v>-0.33635772149096765</v>
      </c>
      <c r="J99" s="72">
        <f>'Yield 1Y'!Z49*J$3</f>
        <v>0</v>
      </c>
      <c r="K99" s="72">
        <f>'Yield 1Y'!AA49*K$3</f>
        <v>0</v>
      </c>
      <c r="L99" s="177">
        <f t="shared" si="8"/>
        <v>1.5785017235730257</v>
      </c>
      <c r="M99" s="124">
        <f>VLOOKUP(A99,'Yield 1Y'!$F:$G,2,0)</f>
        <v>46188</v>
      </c>
      <c r="N99" s="318">
        <f t="shared" si="9"/>
        <v>133</v>
      </c>
      <c r="P99" s="37">
        <v>96</v>
      </c>
      <c r="Q99" s="72">
        <f>Q$3*'Yield 1Y'!R98</f>
        <v>0</v>
      </c>
      <c r="R99" s="72">
        <f>R$3*'Yield 1Y'!S98</f>
        <v>0</v>
      </c>
      <c r="S99" s="72">
        <f>S$3*'Yield 1Y'!T98</f>
        <v>0</v>
      </c>
      <c r="T99" s="72">
        <f>T$3*'Yield 1Y'!U98</f>
        <v>0</v>
      </c>
      <c r="U99" s="72">
        <f>U$3*'Yield 1Y'!V98</f>
        <v>0</v>
      </c>
      <c r="V99" s="72">
        <f>V$3*'Yield 1Y'!W98</f>
        <v>0</v>
      </c>
      <c r="W99" s="72">
        <f>W$3*'Yield 1Y'!X98</f>
        <v>0.34149382443301302</v>
      </c>
      <c r="X99" s="72">
        <f>X$3*'Yield 1Y'!Y98</f>
        <v>0</v>
      </c>
      <c r="Y99" s="72">
        <f>Y$3*'Yield 1Y'!Z98</f>
        <v>0</v>
      </c>
      <c r="Z99" s="72">
        <f>Z$3*'Yield 1Y'!AA98</f>
        <v>0</v>
      </c>
      <c r="AA99" s="177">
        <f t="shared" si="10"/>
        <v>-0.34149382443301302</v>
      </c>
      <c r="AB99" s="124">
        <f>VLOOKUP(P99,'Yield 1Y'!$F:$G,2,0)</f>
        <v>46114</v>
      </c>
      <c r="AC99" s="318">
        <f t="shared" si="14"/>
        <v>216</v>
      </c>
      <c r="AE99" s="37">
        <v>228</v>
      </c>
      <c r="AF99" s="72">
        <f>AF$3*'Yield 1Y'!AB230</f>
        <v>0</v>
      </c>
      <c r="AG99" s="72">
        <f>AG$3*'Yield 1Y'!AC230</f>
        <v>0</v>
      </c>
      <c r="AH99" s="72">
        <f>AH$3*'Yield 1Y'!AD230</f>
        <v>-0.1936352726568549</v>
      </c>
      <c r="AI99" s="72">
        <f>AI$3*'Yield 1Y'!AE230</f>
        <v>-0.49041746344597009</v>
      </c>
      <c r="AJ99" s="72">
        <f>AJ$3*'Yield 1Y'!AF230</f>
        <v>-9.352813439383699E-2</v>
      </c>
      <c r="AK99" s="72">
        <f>AK$3*'Yield 1Y'!AG230</f>
        <v>-5.1399585616491708</v>
      </c>
      <c r="AL99" s="72">
        <f>AL$3*'Yield 1Y'!AH230</f>
        <v>-8.6950080145767963</v>
      </c>
      <c r="AM99" s="72">
        <f>AM$3*'Yield 1Y'!AI230</f>
        <v>-6.3907967083262935</v>
      </c>
      <c r="AN99" s="72">
        <f>AN$3*'Yield 1Y'!AJ230</f>
        <v>0</v>
      </c>
      <c r="AO99" s="72">
        <f>AO$3*'Yield 1Y'!AK230</f>
        <v>0</v>
      </c>
      <c r="AP99" s="177">
        <f t="shared" si="11"/>
        <v>21.003344155048921</v>
      </c>
      <c r="AQ99" s="124">
        <f>VLOOKUP(AE99,'Yield 1Y'!$F:$G,2,0)</f>
        <v>45919</v>
      </c>
      <c r="AR99" s="318">
        <f t="shared" si="12"/>
        <v>198</v>
      </c>
      <c r="AT99" s="37">
        <v>93</v>
      </c>
      <c r="AU99" s="72">
        <f>AU$3*'Yield 1Y'!AB126</f>
        <v>0</v>
      </c>
      <c r="AV99" s="72">
        <f>AV$3*'Yield 1Y'!AC126</f>
        <v>0</v>
      </c>
      <c r="AW99" s="72">
        <f>AW$3*'Yield 1Y'!AD126</f>
        <v>0</v>
      </c>
      <c r="AX99" s="72">
        <f>AX$3*'Yield 1Y'!AE126</f>
        <v>0</v>
      </c>
      <c r="AY99" s="72">
        <f>AY$3*'Yield 1Y'!AF126</f>
        <v>0</v>
      </c>
      <c r="AZ99" s="72">
        <f>AZ$3*'Yield 1Y'!AG126</f>
        <v>-1.2743916245742937E-2</v>
      </c>
      <c r="BA99" s="72">
        <f>BA$3*'Yield 1Y'!AH126</f>
        <v>-3.0734444198970157</v>
      </c>
      <c r="BB99" s="72">
        <f>BB$3*'Yield 1Y'!AI126</f>
        <v>-2.7971683508300118</v>
      </c>
      <c r="BC99" s="72">
        <f>BC$3*'Yield 1Y'!AJ126</f>
        <v>0</v>
      </c>
      <c r="BD99" s="72">
        <f>BD$3*'Yield 1Y'!AK126</f>
        <v>0</v>
      </c>
      <c r="BE99" s="177">
        <f t="shared" si="13"/>
        <v>5.8833566869727703</v>
      </c>
      <c r="BF99" s="124">
        <f>VLOOKUP(AT99,'Yield 1Y'!$F:$G,2,0)</f>
        <v>46119</v>
      </c>
      <c r="BG99" s="318">
        <f t="shared" si="15"/>
        <v>132</v>
      </c>
    </row>
    <row r="100" spans="1:59" x14ac:dyDescent="0.3">
      <c r="A100" s="37">
        <v>100</v>
      </c>
      <c r="B100" s="72">
        <f>'Yield 1Y'!R102*B$3</f>
        <v>0</v>
      </c>
      <c r="C100" s="72">
        <f>'Yield 1Y'!S102*C$3</f>
        <v>0</v>
      </c>
      <c r="D100" s="72">
        <f>'Yield 1Y'!T102*D$3</f>
        <v>0</v>
      </c>
      <c r="E100" s="72">
        <f>'Yield 1Y'!U102*E$3</f>
        <v>8.6544258255174963E-2</v>
      </c>
      <c r="F100" s="72">
        <f>'Yield 1Y'!V102*F$3</f>
        <v>3.2734847037841387E-2</v>
      </c>
      <c r="G100" s="72">
        <f>'Yield 1Y'!W102*G$3</f>
        <v>0</v>
      </c>
      <c r="H100" s="72">
        <f>'Yield 1Y'!X102*H$3</f>
        <v>-4.9685760083297028</v>
      </c>
      <c r="I100" s="72">
        <f>'Yield 1Y'!Y102*I$3</f>
        <v>0</v>
      </c>
      <c r="J100" s="72">
        <f>'Yield 1Y'!Z102*J$3</f>
        <v>0</v>
      </c>
      <c r="K100" s="72">
        <f>'Yield 1Y'!AA102*K$3</f>
        <v>0</v>
      </c>
      <c r="L100" s="177">
        <f t="shared" si="8"/>
        <v>4.8492969030366861</v>
      </c>
      <c r="M100" s="124">
        <f>VLOOKUP(A100,'Yield 1Y'!$F:$G,2,0)</f>
        <v>46108</v>
      </c>
      <c r="N100" s="318">
        <f t="shared" si="9"/>
        <v>65</v>
      </c>
      <c r="P100" s="37">
        <v>97</v>
      </c>
      <c r="Q100" s="72">
        <f>Q$3*'Yield 1Y'!R99</f>
        <v>0</v>
      </c>
      <c r="R100" s="72">
        <f>R$3*'Yield 1Y'!S99</f>
        <v>0</v>
      </c>
      <c r="S100" s="72">
        <f>S$3*'Yield 1Y'!T99</f>
        <v>0</v>
      </c>
      <c r="T100" s="72">
        <f>T$3*'Yield 1Y'!U99</f>
        <v>0</v>
      </c>
      <c r="U100" s="72">
        <f>U$3*'Yield 1Y'!V99</f>
        <v>0</v>
      </c>
      <c r="V100" s="72">
        <f>V$3*'Yield 1Y'!W99</f>
        <v>0</v>
      </c>
      <c r="W100" s="72">
        <f>W$3*'Yield 1Y'!X99</f>
        <v>-0.34149382443301302</v>
      </c>
      <c r="X100" s="72">
        <f>X$3*'Yield 1Y'!Y99</f>
        <v>0</v>
      </c>
      <c r="Y100" s="72">
        <f>Y$3*'Yield 1Y'!Z99</f>
        <v>0</v>
      </c>
      <c r="Z100" s="72">
        <f>Z$3*'Yield 1Y'!AA99</f>
        <v>0</v>
      </c>
      <c r="AA100" s="177">
        <f t="shared" si="10"/>
        <v>0.34149382443301302</v>
      </c>
      <c r="AB100" s="124">
        <f>VLOOKUP(P100,'Yield 1Y'!$F:$G,2,0)</f>
        <v>46113</v>
      </c>
      <c r="AC100" s="318">
        <f t="shared" si="14"/>
        <v>115</v>
      </c>
      <c r="AE100" s="37">
        <v>128</v>
      </c>
      <c r="AF100" s="72">
        <f>AF$3*'Yield 1Y'!AB130</f>
        <v>0</v>
      </c>
      <c r="AG100" s="72">
        <f>AG$3*'Yield 1Y'!AC130</f>
        <v>0</v>
      </c>
      <c r="AH100" s="72">
        <f>AH$3*'Yield 1Y'!AD130</f>
        <v>-0.46103636346870253</v>
      </c>
      <c r="AI100" s="72">
        <f>AI$3*'Yield 1Y'!AE130</f>
        <v>0</v>
      </c>
      <c r="AJ100" s="72">
        <f>AJ$3*'Yield 1Y'!AF130</f>
        <v>-0.17770345534829132</v>
      </c>
      <c r="AK100" s="72">
        <f>AK$3*'Yield 1Y'!AG130</f>
        <v>-1.082096539294461</v>
      </c>
      <c r="AL100" s="72">
        <f>AL$3*'Yield 1Y'!AH130</f>
        <v>-17.390016029153223</v>
      </c>
      <c r="AM100" s="72">
        <f>AM$3*'Yield 1Y'!AI130</f>
        <v>-29.263121769704323</v>
      </c>
      <c r="AN100" s="72">
        <f>AN$3*'Yield 1Y'!AJ130</f>
        <v>0</v>
      </c>
      <c r="AO100" s="72">
        <f>AO$3*'Yield 1Y'!AK130</f>
        <v>0</v>
      </c>
      <c r="AP100" s="177">
        <f t="shared" si="11"/>
        <v>48.373974156968998</v>
      </c>
      <c r="AQ100" s="124">
        <f>VLOOKUP(AE100,'Yield 1Y'!$F:$G,2,0)</f>
        <v>46063</v>
      </c>
      <c r="AR100" s="318">
        <f t="shared" si="12"/>
        <v>86</v>
      </c>
      <c r="AT100" s="37">
        <v>94</v>
      </c>
      <c r="AU100" s="72">
        <f>AU$3*'Yield 1Y'!AB123</f>
        <v>0</v>
      </c>
      <c r="AV100" s="72">
        <f>AV$3*'Yield 1Y'!AC123</f>
        <v>0</v>
      </c>
      <c r="AW100" s="72">
        <f>AW$3*'Yield 1Y'!AD123</f>
        <v>0</v>
      </c>
      <c r="AX100" s="72">
        <f>AX$3*'Yield 1Y'!AE123</f>
        <v>0</v>
      </c>
      <c r="AY100" s="72">
        <f>AY$3*'Yield 1Y'!AF123</f>
        <v>0</v>
      </c>
      <c r="AZ100" s="72">
        <f>AZ$3*'Yield 1Y'!AG123</f>
        <v>0</v>
      </c>
      <c r="BA100" s="72">
        <f>BA$3*'Yield 1Y'!AH123</f>
        <v>-3.5287695191410164</v>
      </c>
      <c r="BB100" s="72">
        <f>BB$3*'Yield 1Y'!AI123</f>
        <v>-2.3975728721400027</v>
      </c>
      <c r="BC100" s="72">
        <f>BC$3*'Yield 1Y'!AJ123</f>
        <v>0</v>
      </c>
      <c r="BD100" s="72">
        <f>BD$3*'Yield 1Y'!AK123</f>
        <v>0</v>
      </c>
      <c r="BE100" s="177">
        <f t="shared" si="13"/>
        <v>5.9263423912810191</v>
      </c>
      <c r="BF100" s="124">
        <f>VLOOKUP(AT100,'Yield 1Y'!$F:$G,2,0)</f>
        <v>46118</v>
      </c>
      <c r="BG100" s="318">
        <f t="shared" si="15"/>
        <v>129</v>
      </c>
    </row>
    <row r="101" spans="1:59" x14ac:dyDescent="0.3">
      <c r="A101" s="37">
        <v>73</v>
      </c>
      <c r="B101" s="72">
        <f>'Yield 1Y'!R75*B$3</f>
        <v>0</v>
      </c>
      <c r="C101" s="72">
        <f>'Yield 1Y'!S75*C$3</f>
        <v>0</v>
      </c>
      <c r="D101" s="72">
        <f>'Yield 1Y'!T75*D$3</f>
        <v>0</v>
      </c>
      <c r="E101" s="72">
        <f>'Yield 1Y'!U75*E$3</f>
        <v>0</v>
      </c>
      <c r="F101" s="72">
        <f>'Yield 1Y'!V75*F$3</f>
        <v>0</v>
      </c>
      <c r="G101" s="72">
        <f>'Yield 1Y'!W75*G$3</f>
        <v>0</v>
      </c>
      <c r="H101" s="72">
        <f>'Yield 1Y'!X75*H$3</f>
        <v>0</v>
      </c>
      <c r="I101" s="72">
        <f>'Yield 1Y'!Y75*I$3</f>
        <v>-3.0272194934178125</v>
      </c>
      <c r="J101" s="72">
        <f>'Yield 1Y'!Z75*J$3</f>
        <v>0</v>
      </c>
      <c r="K101" s="72">
        <f>'Yield 1Y'!AA75*K$3</f>
        <v>0</v>
      </c>
      <c r="L101" s="177">
        <f t="shared" si="8"/>
        <v>3.0272194934178125</v>
      </c>
      <c r="M101" s="124">
        <f>VLOOKUP(A101,'Yield 1Y'!$F:$G,2,0)</f>
        <v>46150</v>
      </c>
      <c r="N101" s="318">
        <f t="shared" si="9"/>
        <v>95</v>
      </c>
      <c r="P101" s="37">
        <v>98</v>
      </c>
      <c r="Q101" s="72">
        <f>Q$3*'Yield 1Y'!R100</f>
        <v>0</v>
      </c>
      <c r="R101" s="72">
        <f>R$3*'Yield 1Y'!S100</f>
        <v>0</v>
      </c>
      <c r="S101" s="72">
        <f>S$3*'Yield 1Y'!T100</f>
        <v>0</v>
      </c>
      <c r="T101" s="72">
        <f>T$3*'Yield 1Y'!U100</f>
        <v>0</v>
      </c>
      <c r="U101" s="72">
        <f>U$3*'Yield 1Y'!V100</f>
        <v>0</v>
      </c>
      <c r="V101" s="72">
        <f>V$3*'Yield 1Y'!W100</f>
        <v>0</v>
      </c>
      <c r="W101" s="72">
        <f>W$3*'Yield 1Y'!X100</f>
        <v>-0.56915637405498798</v>
      </c>
      <c r="X101" s="72">
        <f>X$3*'Yield 1Y'!Y100</f>
        <v>0</v>
      </c>
      <c r="Y101" s="72">
        <f>Y$3*'Yield 1Y'!Z100</f>
        <v>0</v>
      </c>
      <c r="Z101" s="72">
        <f>Z$3*'Yield 1Y'!AA100</f>
        <v>0</v>
      </c>
      <c r="AA101" s="177">
        <f t="shared" si="10"/>
        <v>0.56915637405498798</v>
      </c>
      <c r="AB101" s="124">
        <f>VLOOKUP(P101,'Yield 1Y'!$F:$G,2,0)</f>
        <v>46112</v>
      </c>
      <c r="AC101" s="318">
        <f t="shared" si="14"/>
        <v>90</v>
      </c>
      <c r="AE101" s="37">
        <v>234</v>
      </c>
      <c r="AF101" s="72">
        <f>'Yield 1Y'!AB236*AF$3</f>
        <v>0</v>
      </c>
      <c r="AG101" s="72">
        <f>'Yield 1Y'!AC236*AG$3</f>
        <v>0</v>
      </c>
      <c r="AH101" s="72">
        <f>'Yield 1Y'!AD236*AH$3</f>
        <v>-0.47947781800745276</v>
      </c>
      <c r="AI101" s="72">
        <f>'Yield 1Y'!AE236*AI$3</f>
        <v>-0.34617703302068703</v>
      </c>
      <c r="AJ101" s="72">
        <f>'Yield 1Y'!AF236*AJ$3</f>
        <v>-0.24317314942397616</v>
      </c>
      <c r="AK101" s="72">
        <f>'Yield 1Y'!AG236*AK$3</f>
        <v>-6.7631033705912227</v>
      </c>
      <c r="AL101" s="72">
        <f>'Yield 1Y'!AH236*AL$3</f>
        <v>-23.600736039565167</v>
      </c>
      <c r="AM101" s="72">
        <f>'Yield 1Y'!AI236*AM$3</f>
        <v>-9.4180162017439564</v>
      </c>
      <c r="AN101" s="72">
        <f>'Yield 1Y'!AJ236*AN$3</f>
        <v>0</v>
      </c>
      <c r="AO101" s="72">
        <f>'Yield 1Y'!AK236*AO$3</f>
        <v>0</v>
      </c>
      <c r="AP101" s="177">
        <f t="shared" si="11"/>
        <v>40.850683612352462</v>
      </c>
      <c r="AQ101" s="124">
        <f>VLOOKUP(AE101,'Yield 1Y'!$F:$G,2,0)</f>
        <v>45911</v>
      </c>
      <c r="AR101" s="318">
        <f t="shared" si="12"/>
        <v>121</v>
      </c>
      <c r="AT101" s="37">
        <v>95</v>
      </c>
      <c r="AU101" s="72">
        <f>AU$3*'Yield 1Y'!AB128</f>
        <v>0</v>
      </c>
      <c r="AV101" s="72">
        <f>AV$3*'Yield 1Y'!AC128</f>
        <v>0</v>
      </c>
      <c r="AW101" s="72">
        <f>AW$3*'Yield 1Y'!AD128</f>
        <v>0</v>
      </c>
      <c r="AX101" s="72">
        <f>AX$3*'Yield 1Y'!AE128</f>
        <v>0</v>
      </c>
      <c r="AY101" s="72">
        <f>AY$3*'Yield 1Y'!AF128</f>
        <v>0</v>
      </c>
      <c r="AZ101" s="72">
        <f>AZ$3*'Yield 1Y'!AG128</f>
        <v>0</v>
      </c>
      <c r="BA101" s="72">
        <f>BA$3*'Yield 1Y'!AH128</f>
        <v>-4.2117571680069918</v>
      </c>
      <c r="BB101" s="72">
        <f>BB$3*'Yield 1Y'!AI128</f>
        <v>-3.756197499685995</v>
      </c>
      <c r="BC101" s="72">
        <f>BC$3*'Yield 1Y'!AJ128</f>
        <v>0</v>
      </c>
      <c r="BD101" s="72">
        <f>BD$3*'Yield 1Y'!AK128</f>
        <v>0</v>
      </c>
      <c r="BE101" s="177">
        <f t="shared" si="13"/>
        <v>7.9679546676929869</v>
      </c>
      <c r="BF101" s="124">
        <f>VLOOKUP(AT101,'Yield 1Y'!$F:$G,2,0)</f>
        <v>46115</v>
      </c>
      <c r="BG101" s="318">
        <f t="shared" si="15"/>
        <v>90</v>
      </c>
    </row>
    <row r="102" spans="1:59" x14ac:dyDescent="0.3">
      <c r="A102" s="37">
        <v>160</v>
      </c>
      <c r="B102" s="72">
        <f>'Yield 1Y'!R162*B$3</f>
        <v>0</v>
      </c>
      <c r="C102" s="72">
        <f>'Yield 1Y'!S162*C$3</f>
        <v>0</v>
      </c>
      <c r="D102" s="72">
        <f>'Yield 1Y'!T162*D$3</f>
        <v>0</v>
      </c>
      <c r="E102" s="72">
        <f>'Yield 1Y'!U162*E$3</f>
        <v>0</v>
      </c>
      <c r="F102" s="72">
        <f>'Yield 1Y'!V162*F$3</f>
        <v>0</v>
      </c>
      <c r="G102" s="72">
        <f>'Yield 1Y'!W162*G$3</f>
        <v>0</v>
      </c>
      <c r="H102" s="72">
        <f>'Yield 1Y'!X162*H$3</f>
        <v>0</v>
      </c>
      <c r="I102" s="72">
        <f>'Yield 1Y'!Y162*I$3</f>
        <v>0</v>
      </c>
      <c r="J102" s="72">
        <f>'Yield 1Y'!Z162*J$3</f>
        <v>0</v>
      </c>
      <c r="K102" s="72">
        <f>'Yield 1Y'!AA162*K$3</f>
        <v>0</v>
      </c>
      <c r="L102" s="177">
        <f t="shared" si="8"/>
        <v>0</v>
      </c>
      <c r="M102" s="124">
        <f>VLOOKUP(A102,'Yield 1Y'!$F:$G,2,0)</f>
        <v>46015</v>
      </c>
      <c r="N102" s="318">
        <f t="shared" si="9"/>
        <v>195.5</v>
      </c>
      <c r="P102" s="37">
        <v>99</v>
      </c>
      <c r="Q102" s="72">
        <f>Q$3*'Yield 1Y'!R101</f>
        <v>0</v>
      </c>
      <c r="R102" s="72">
        <f>R$3*'Yield 1Y'!S101</f>
        <v>0</v>
      </c>
      <c r="S102" s="72">
        <f>S$3*'Yield 1Y'!T101</f>
        <v>0</v>
      </c>
      <c r="T102" s="72">
        <f>T$3*'Yield 1Y'!U101</f>
        <v>0</v>
      </c>
      <c r="U102" s="72">
        <f>U$3*'Yield 1Y'!V101</f>
        <v>0</v>
      </c>
      <c r="V102" s="72">
        <f>V$3*'Yield 1Y'!W101</f>
        <v>0</v>
      </c>
      <c r="W102" s="72">
        <f>W$3*'Yield 1Y'!X101</f>
        <v>0.56915637405498798</v>
      </c>
      <c r="X102" s="72">
        <f>X$3*'Yield 1Y'!Y101</f>
        <v>0</v>
      </c>
      <c r="Y102" s="72">
        <f>Y$3*'Yield 1Y'!Z101</f>
        <v>0</v>
      </c>
      <c r="Z102" s="72">
        <f>Z$3*'Yield 1Y'!AA101</f>
        <v>0</v>
      </c>
      <c r="AA102" s="177">
        <f t="shared" si="10"/>
        <v>-0.56915637405498798</v>
      </c>
      <c r="AB102" s="124">
        <f>VLOOKUP(P102,'Yield 1Y'!$F:$G,2,0)</f>
        <v>46111</v>
      </c>
      <c r="AC102" s="318">
        <f t="shared" si="14"/>
        <v>233</v>
      </c>
      <c r="AE102" s="37">
        <v>230</v>
      </c>
      <c r="AF102" s="72">
        <f>'Yield 1Y'!AB232*AF$3</f>
        <v>0</v>
      </c>
      <c r="AG102" s="72">
        <f>'Yield 1Y'!AC232*AG$3</f>
        <v>0</v>
      </c>
      <c r="AH102" s="72">
        <f>'Yield 1Y'!AD232*AH$3</f>
        <v>-0.29506327261997095</v>
      </c>
      <c r="AI102" s="72">
        <f>'Yield 1Y'!AE232*AI$3</f>
        <v>-0.23078468868045804</v>
      </c>
      <c r="AJ102" s="72">
        <f>'Yield 1Y'!AF232*AJ$3</f>
        <v>-0.14496860831044786</v>
      </c>
      <c r="AK102" s="72">
        <f>'Yield 1Y'!AG232*AK$3</f>
        <v>-6.2220551009437521</v>
      </c>
      <c r="AL102" s="72">
        <f>'Yield 1Y'!AH232*AL$3</f>
        <v>-13.24953602221205</v>
      </c>
      <c r="AM102" s="72">
        <f>'Yield 1Y'!AI232*AM$3</f>
        <v>-5.3817235438536892</v>
      </c>
      <c r="AN102" s="72">
        <f>'Yield 1Y'!AJ232*AN$3</f>
        <v>0</v>
      </c>
      <c r="AO102" s="72">
        <f>'Yield 1Y'!AK232*AO$3</f>
        <v>0</v>
      </c>
      <c r="AP102" s="177">
        <f t="shared" si="11"/>
        <v>25.524131236620367</v>
      </c>
      <c r="AQ102" s="124">
        <f>VLOOKUP(AE102,'Yield 1Y'!$F:$G,2,0)</f>
        <v>45917</v>
      </c>
      <c r="AR102" s="318">
        <f t="shared" si="12"/>
        <v>182</v>
      </c>
      <c r="AT102" s="37">
        <v>96</v>
      </c>
      <c r="AU102" s="72">
        <f>AU$3*'Yield 1Y'!AB148</f>
        <v>0</v>
      </c>
      <c r="AV102" s="72">
        <f>AV$3*'Yield 1Y'!AC148</f>
        <v>0</v>
      </c>
      <c r="AW102" s="72">
        <f>AW$3*'Yield 1Y'!AD148</f>
        <v>0</v>
      </c>
      <c r="AX102" s="72">
        <f>AX$3*'Yield 1Y'!AE148</f>
        <v>0</v>
      </c>
      <c r="AY102" s="72">
        <f>AY$3*'Yield 1Y'!AF148</f>
        <v>0</v>
      </c>
      <c r="AZ102" s="72">
        <f>AZ$3*'Yield 1Y'!AG148</f>
        <v>-2.2811610079892422</v>
      </c>
      <c r="BA102" s="72">
        <f>BA$3*'Yield 1Y'!AH148</f>
        <v>-16.391703572783968</v>
      </c>
      <c r="BB102" s="72">
        <f>BB$3*'Yield 1Y'!AI148</f>
        <v>-10.029846515118997</v>
      </c>
      <c r="BC102" s="72">
        <f>BC$3*'Yield 1Y'!AJ148</f>
        <v>0</v>
      </c>
      <c r="BD102" s="72">
        <f>BD$3*'Yield 1Y'!AK148</f>
        <v>0</v>
      </c>
      <c r="BE102" s="177">
        <f t="shared" si="13"/>
        <v>28.702711095892205</v>
      </c>
      <c r="BF102" s="124">
        <f>VLOOKUP(AT102,'Yield 1Y'!$F:$G,2,0)</f>
        <v>46114</v>
      </c>
      <c r="BG102" s="318">
        <f t="shared" si="15"/>
        <v>2</v>
      </c>
    </row>
    <row r="103" spans="1:59" x14ac:dyDescent="0.3">
      <c r="A103" s="37">
        <v>120</v>
      </c>
      <c r="B103" s="72">
        <f>'Yield 1Y'!R122*B$3</f>
        <v>0</v>
      </c>
      <c r="C103" s="72">
        <f>'Yield 1Y'!S122*C$3</f>
        <v>0</v>
      </c>
      <c r="D103" s="72">
        <f>'Yield 1Y'!T122*D$3</f>
        <v>0</v>
      </c>
      <c r="E103" s="72">
        <f>'Yield 1Y'!U122*E$3</f>
        <v>0</v>
      </c>
      <c r="F103" s="72">
        <f>'Yield 1Y'!V122*F$3</f>
        <v>0</v>
      </c>
      <c r="G103" s="72">
        <f>'Yield 1Y'!W122*G$3</f>
        <v>-0.81157240447096601</v>
      </c>
      <c r="H103" s="72">
        <f>'Yield 1Y'!X122*H$3</f>
        <v>0</v>
      </c>
      <c r="I103" s="72">
        <f>'Yield 1Y'!Y122*I$3</f>
        <v>0</v>
      </c>
      <c r="J103" s="72">
        <f>'Yield 1Y'!Z122*J$3</f>
        <v>0</v>
      </c>
      <c r="K103" s="72">
        <f>'Yield 1Y'!AA122*K$3</f>
        <v>0</v>
      </c>
      <c r="L103" s="177">
        <f t="shared" si="8"/>
        <v>0.81157240447096601</v>
      </c>
      <c r="M103" s="124">
        <f>VLOOKUP(A103,'Yield 1Y'!$F:$G,2,0)</f>
        <v>46080</v>
      </c>
      <c r="N103" s="318">
        <f t="shared" si="9"/>
        <v>161</v>
      </c>
      <c r="P103" s="37">
        <v>100</v>
      </c>
      <c r="Q103" s="72">
        <f>Q$3*'Yield 1Y'!R102</f>
        <v>0</v>
      </c>
      <c r="R103" s="72">
        <f>R$3*'Yield 1Y'!S102</f>
        <v>0</v>
      </c>
      <c r="S103" s="72">
        <f>S$3*'Yield 1Y'!T102</f>
        <v>0</v>
      </c>
      <c r="T103" s="72">
        <f>T$3*'Yield 1Y'!U102</f>
        <v>0</v>
      </c>
      <c r="U103" s="72">
        <f>U$3*'Yield 1Y'!V102</f>
        <v>0</v>
      </c>
      <c r="V103" s="72">
        <f>V$3*'Yield 1Y'!W102</f>
        <v>0</v>
      </c>
      <c r="W103" s="72">
        <f>W$3*'Yield 1Y'!X102</f>
        <v>-1.3659752977320521</v>
      </c>
      <c r="X103" s="72">
        <f>X$3*'Yield 1Y'!Y102</f>
        <v>0</v>
      </c>
      <c r="Y103" s="72">
        <f>Y$3*'Yield 1Y'!Z102</f>
        <v>0</v>
      </c>
      <c r="Z103" s="72">
        <f>Z$3*'Yield 1Y'!AA102</f>
        <v>0</v>
      </c>
      <c r="AA103" s="177">
        <f t="shared" si="10"/>
        <v>1.3659752977320521</v>
      </c>
      <c r="AB103" s="124">
        <f>VLOOKUP(P103,'Yield 1Y'!$F:$G,2,0)</f>
        <v>46108</v>
      </c>
      <c r="AC103" s="318">
        <f t="shared" si="14"/>
        <v>42</v>
      </c>
      <c r="AE103" s="37">
        <v>138</v>
      </c>
      <c r="AF103" s="72">
        <f>AF$3*'Yield 1Y'!AB140</f>
        <v>0</v>
      </c>
      <c r="AG103" s="72">
        <f>AG$3*'Yield 1Y'!AC140</f>
        <v>0</v>
      </c>
      <c r="AH103" s="72">
        <f>AH$3*'Yield 1Y'!AD140</f>
        <v>0.13831090904061241</v>
      </c>
      <c r="AI103" s="72">
        <f>AI$3*'Yield 1Y'!AE140</f>
        <v>-0.11539234434021621</v>
      </c>
      <c r="AJ103" s="72">
        <f>AJ$3*'Yield 1Y'!AF140</f>
        <v>-0.15432142174983052</v>
      </c>
      <c r="AK103" s="72">
        <f>AK$3*'Yield 1Y'!AG140</f>
        <v>-1.3526206741181965</v>
      </c>
      <c r="AL103" s="72">
        <f>AL$3*'Yield 1Y'!AH140</f>
        <v>-13.66358402290613</v>
      </c>
      <c r="AM103" s="72">
        <f>AM$3*'Yield 1Y'!AI140</f>
        <v>-17.154243796033672</v>
      </c>
      <c r="AN103" s="72">
        <f>AN$3*'Yield 1Y'!AJ140</f>
        <v>0</v>
      </c>
      <c r="AO103" s="72">
        <f>AO$3*'Yield 1Y'!AK140</f>
        <v>0</v>
      </c>
      <c r="AP103" s="177">
        <f t="shared" si="11"/>
        <v>32.301851350107434</v>
      </c>
      <c r="AQ103" s="124">
        <f>VLOOKUP(AE103,'Yield 1Y'!$F:$G,2,0)</f>
        <v>46049</v>
      </c>
      <c r="AR103" s="318">
        <f t="shared" si="12"/>
        <v>159</v>
      </c>
      <c r="AT103" s="37">
        <v>97</v>
      </c>
      <c r="AU103" s="72">
        <f>AU$3*'Yield 1Y'!AB142</f>
        <v>0</v>
      </c>
      <c r="AV103" s="72">
        <f>AV$3*'Yield 1Y'!AC142</f>
        <v>0</v>
      </c>
      <c r="AW103" s="72">
        <f>AW$3*'Yield 1Y'!AD142</f>
        <v>0</v>
      </c>
      <c r="AX103" s="72">
        <f>AX$3*'Yield 1Y'!AE142</f>
        <v>0</v>
      </c>
      <c r="AY103" s="72">
        <f>AY$3*'Yield 1Y'!AF142</f>
        <v>0</v>
      </c>
      <c r="AZ103" s="72">
        <f>AZ$3*'Yield 1Y'!AG142</f>
        <v>-0.38231748737250321</v>
      </c>
      <c r="BA103" s="72">
        <f>BA$3*'Yield 1Y'!AH142</f>
        <v>-0.91065019848800088</v>
      </c>
      <c r="BB103" s="72">
        <f>BB$3*'Yield 1Y'!AI142</f>
        <v>-1.7182605583669885</v>
      </c>
      <c r="BC103" s="72">
        <f>BC$3*'Yield 1Y'!AJ142</f>
        <v>0</v>
      </c>
      <c r="BD103" s="72">
        <f>BD$3*'Yield 1Y'!AK142</f>
        <v>0</v>
      </c>
      <c r="BE103" s="177">
        <f t="shared" si="13"/>
        <v>3.0112282442274925</v>
      </c>
      <c r="BF103" s="124">
        <f>VLOOKUP(AT103,'Yield 1Y'!$F:$G,2,0)</f>
        <v>46113</v>
      </c>
      <c r="BG103" s="318">
        <f t="shared" si="15"/>
        <v>201</v>
      </c>
    </row>
    <row r="104" spans="1:59" x14ac:dyDescent="0.3">
      <c r="A104" s="37">
        <v>36</v>
      </c>
      <c r="B104" s="72">
        <f>'Yield 1Y'!R38*B$3</f>
        <v>0</v>
      </c>
      <c r="C104" s="72">
        <f>'Yield 1Y'!S38*C$3</f>
        <v>0</v>
      </c>
      <c r="D104" s="72">
        <f>'Yield 1Y'!T38*D$3</f>
        <v>-3.6882909077496369E-2</v>
      </c>
      <c r="E104" s="72">
        <f>'Yield 1Y'!U38*E$3</f>
        <v>-0.11539234434022902</v>
      </c>
      <c r="F104" s="72">
        <f>'Yield 1Y'!V38*F$3</f>
        <v>-2.3382033598462883E-2</v>
      </c>
      <c r="G104" s="72">
        <f>'Yield 1Y'!W38*G$3</f>
        <v>-2.434717213412898</v>
      </c>
      <c r="H104" s="72">
        <f>'Yield 1Y'!X38*H$3</f>
        <v>1.6561920027766901</v>
      </c>
      <c r="I104" s="72">
        <f>'Yield 1Y'!Y38*I$3</f>
        <v>2.3545040504358772</v>
      </c>
      <c r="J104" s="72">
        <f>'Yield 1Y'!Z38*J$3</f>
        <v>0</v>
      </c>
      <c r="K104" s="72">
        <f>'Yield 1Y'!AA38*K$3</f>
        <v>0</v>
      </c>
      <c r="L104" s="177">
        <f t="shared" si="8"/>
        <v>-1.4003215527834809</v>
      </c>
      <c r="M104" s="124">
        <f>VLOOKUP(A104,'Yield 1Y'!$F:$G,2,0)</f>
        <v>46203</v>
      </c>
      <c r="N104" s="318">
        <f t="shared" si="9"/>
        <v>223</v>
      </c>
      <c r="P104" s="37">
        <v>101</v>
      </c>
      <c r="Q104" s="72">
        <f>Q$3*'Yield 1Y'!R103</f>
        <v>0</v>
      </c>
      <c r="R104" s="72">
        <f>R$3*'Yield 1Y'!S103</f>
        <v>0</v>
      </c>
      <c r="S104" s="72">
        <f>S$3*'Yield 1Y'!T103</f>
        <v>0</v>
      </c>
      <c r="T104" s="72">
        <f>T$3*'Yield 1Y'!U103</f>
        <v>0</v>
      </c>
      <c r="U104" s="72">
        <f>U$3*'Yield 1Y'!V103</f>
        <v>0</v>
      </c>
      <c r="V104" s="72">
        <f>V$3*'Yield 1Y'!W103</f>
        <v>-0.31859790614375455</v>
      </c>
      <c r="W104" s="72">
        <f>W$3*'Yield 1Y'!X103</f>
        <v>-0.11383127481093692</v>
      </c>
      <c r="X104" s="72">
        <f>X$3*'Yield 1Y'!Y103</f>
        <v>0</v>
      </c>
      <c r="Y104" s="72">
        <f>Y$3*'Yield 1Y'!Z103</f>
        <v>0</v>
      </c>
      <c r="Z104" s="72">
        <f>Z$3*'Yield 1Y'!AA103</f>
        <v>0</v>
      </c>
      <c r="AA104" s="177">
        <f t="shared" si="10"/>
        <v>0.43242918095469146</v>
      </c>
      <c r="AB104" s="124">
        <f>VLOOKUP(P104,'Yield 1Y'!$F:$G,2,0)</f>
        <v>46107</v>
      </c>
      <c r="AC104" s="318">
        <f t="shared" si="14"/>
        <v>104</v>
      </c>
      <c r="AE104" s="37">
        <v>32</v>
      </c>
      <c r="AF104" s="72">
        <f>AF$3*'Yield 1Y'!AB34</f>
        <v>0</v>
      </c>
      <c r="AG104" s="72">
        <f>AG$3*'Yield 1Y'!AC34</f>
        <v>0</v>
      </c>
      <c r="AH104" s="72">
        <f>AH$3*'Yield 1Y'!AD34</f>
        <v>-0.1936352726568549</v>
      </c>
      <c r="AI104" s="72">
        <f>AI$3*'Yield 1Y'!AE34</f>
        <v>-0.60580980778619908</v>
      </c>
      <c r="AJ104" s="72">
        <f>AJ$3*'Yield 1Y'!AF34</f>
        <v>-0.13561579487106312</v>
      </c>
      <c r="AK104" s="72">
        <f>AK$3*'Yield 1Y'!AG34</f>
        <v>-5.6810068312965214</v>
      </c>
      <c r="AL104" s="72">
        <f>AL$3*'Yield 1Y'!AH34</f>
        <v>-7.0388160118002894</v>
      </c>
      <c r="AM104" s="72">
        <f>AM$3*'Yield 1Y'!AI34</f>
        <v>-6.0544389868353257</v>
      </c>
      <c r="AN104" s="72">
        <f>AN$3*'Yield 1Y'!AJ34</f>
        <v>0</v>
      </c>
      <c r="AO104" s="72">
        <f>AO$3*'Yield 1Y'!AK34</f>
        <v>0</v>
      </c>
      <c r="AP104" s="177">
        <f t="shared" si="11"/>
        <v>19.709322705246255</v>
      </c>
      <c r="AQ104" s="124">
        <f>VLOOKUP(AE104,'Yield 1Y'!$F:$G,2,0)</f>
        <v>46209</v>
      </c>
      <c r="AR104" s="318">
        <f t="shared" si="12"/>
        <v>202</v>
      </c>
      <c r="AT104" s="37">
        <v>98</v>
      </c>
      <c r="AU104" s="72">
        <f>AU$3*'Yield 1Y'!AB101</f>
        <v>0</v>
      </c>
      <c r="AV104" s="72">
        <f>AV$3*'Yield 1Y'!AC101</f>
        <v>0</v>
      </c>
      <c r="AW104" s="72">
        <f>AW$3*'Yield 1Y'!AD101</f>
        <v>0</v>
      </c>
      <c r="AX104" s="72">
        <f>AX$3*'Yield 1Y'!AE101</f>
        <v>0</v>
      </c>
      <c r="AY104" s="72">
        <f>AY$3*'Yield 1Y'!AF101</f>
        <v>0</v>
      </c>
      <c r="AZ104" s="72">
        <f>AZ$3*'Yield 1Y'!AG101</f>
        <v>-0.36957357112674893</v>
      </c>
      <c r="BA104" s="72">
        <f>BA$3*'Yield 1Y'!AH101</f>
        <v>-7.1713703130929698</v>
      </c>
      <c r="BB104" s="72">
        <f>BB$3*'Yield 1Y'!AI101</f>
        <v>-1.678301010497993</v>
      </c>
      <c r="BC104" s="72">
        <f>BC$3*'Yield 1Y'!AJ101</f>
        <v>0</v>
      </c>
      <c r="BD104" s="72">
        <f>BD$3*'Yield 1Y'!AK101</f>
        <v>0</v>
      </c>
      <c r="BE104" s="177">
        <f t="shared" si="13"/>
        <v>9.2192448947177112</v>
      </c>
      <c r="BF104" s="124">
        <f>VLOOKUP(AT104,'Yield 1Y'!$F:$G,2,0)</f>
        <v>46112</v>
      </c>
      <c r="BG104" s="318">
        <f t="shared" si="15"/>
        <v>70</v>
      </c>
    </row>
    <row r="105" spans="1:59" x14ac:dyDescent="0.3">
      <c r="A105" s="37">
        <v>155</v>
      </c>
      <c r="B105" s="72">
        <f>'Yield 1Y'!R157*B$3</f>
        <v>0</v>
      </c>
      <c r="C105" s="72">
        <f>'Yield 1Y'!S157*C$3</f>
        <v>0</v>
      </c>
      <c r="D105" s="72">
        <f>'Yield 1Y'!T157*D$3</f>
        <v>0</v>
      </c>
      <c r="E105" s="72">
        <f>'Yield 1Y'!U157*E$3</f>
        <v>-0.14424043042528306</v>
      </c>
      <c r="F105" s="72">
        <f>'Yield 1Y'!V157*F$3</f>
        <v>-3.7411253757534797E-2</v>
      </c>
      <c r="G105" s="72">
        <f>'Yield 1Y'!W157*G$3</f>
        <v>0</v>
      </c>
      <c r="H105" s="72">
        <f>'Yield 1Y'!X157*H$3</f>
        <v>-1.6561920027766901</v>
      </c>
      <c r="I105" s="72">
        <f>'Yield 1Y'!Y157*I$3</f>
        <v>-1.6817886074542407</v>
      </c>
      <c r="J105" s="72">
        <f>'Yield 1Y'!Z157*J$3</f>
        <v>0</v>
      </c>
      <c r="K105" s="72">
        <f>'Yield 1Y'!AA157*K$3</f>
        <v>0</v>
      </c>
      <c r="L105" s="177">
        <f t="shared" si="8"/>
        <v>3.5196322944137486</v>
      </c>
      <c r="M105" s="124">
        <f>VLOOKUP(A105,'Yield 1Y'!$F:$G,2,0)</f>
        <v>46022</v>
      </c>
      <c r="N105" s="318">
        <f t="shared" si="9"/>
        <v>82</v>
      </c>
      <c r="P105" s="37">
        <v>102</v>
      </c>
      <c r="Q105" s="72">
        <f>Q$3*'Yield 1Y'!R104</f>
        <v>0</v>
      </c>
      <c r="R105" s="72">
        <f>R$3*'Yield 1Y'!S104</f>
        <v>0</v>
      </c>
      <c r="S105" s="72">
        <f>S$3*'Yield 1Y'!T104</f>
        <v>0</v>
      </c>
      <c r="T105" s="72">
        <f>T$3*'Yield 1Y'!U104</f>
        <v>0</v>
      </c>
      <c r="U105" s="72">
        <f>U$3*'Yield 1Y'!V104</f>
        <v>0</v>
      </c>
      <c r="V105" s="72">
        <f>V$3*'Yield 1Y'!W104</f>
        <v>0</v>
      </c>
      <c r="W105" s="72">
        <f>W$3*'Yield 1Y'!X104</f>
        <v>0.68298764886602603</v>
      </c>
      <c r="X105" s="72">
        <f>X$3*'Yield 1Y'!Y104</f>
        <v>0</v>
      </c>
      <c r="Y105" s="72">
        <f>Y$3*'Yield 1Y'!Z104</f>
        <v>0</v>
      </c>
      <c r="Z105" s="72">
        <f>Z$3*'Yield 1Y'!AA104</f>
        <v>0</v>
      </c>
      <c r="AA105" s="177">
        <f t="shared" si="10"/>
        <v>-0.68298764886602603</v>
      </c>
      <c r="AB105" s="124">
        <f>VLOOKUP(P105,'Yield 1Y'!$F:$G,2,0)</f>
        <v>46106</v>
      </c>
      <c r="AC105" s="318">
        <f t="shared" si="14"/>
        <v>240</v>
      </c>
      <c r="AE105" s="37">
        <v>28</v>
      </c>
      <c r="AF105" s="72">
        <f>AF$3*'Yield 1Y'!AB30</f>
        <v>0</v>
      </c>
      <c r="AG105" s="72">
        <f>AG$3*'Yield 1Y'!AC30</f>
        <v>0</v>
      </c>
      <c r="AH105" s="72">
        <f>AH$3*'Yield 1Y'!AD30</f>
        <v>-3.6882909077496369E-2</v>
      </c>
      <c r="AI105" s="72">
        <f>AI$3*'Yield 1Y'!AE30</f>
        <v>-0.60580980778619908</v>
      </c>
      <c r="AJ105" s="72">
        <f>AJ$3*'Yield 1Y'!AF30</f>
        <v>-1.8705626878767399E-2</v>
      </c>
      <c r="AK105" s="72">
        <f>AK$3*'Yield 1Y'!AG30</f>
        <v>-5.6810068312965214</v>
      </c>
      <c r="AL105" s="72">
        <f>AL$3*'Yield 1Y'!AH30</f>
        <v>-1.6561920027765062</v>
      </c>
      <c r="AM105" s="72">
        <f>AM$3*'Yield 1Y'!AI30</f>
        <v>-3.0272194934176628</v>
      </c>
      <c r="AN105" s="72">
        <f>AN$3*'Yield 1Y'!AJ30</f>
        <v>0</v>
      </c>
      <c r="AO105" s="72">
        <f>AO$3*'Yield 1Y'!AK30</f>
        <v>0</v>
      </c>
      <c r="AP105" s="177">
        <f t="shared" si="11"/>
        <v>11.025816671233153</v>
      </c>
      <c r="AQ105" s="124">
        <f>VLOOKUP(AE105,'Yield 1Y'!$F:$G,2,0)</f>
        <v>46213</v>
      </c>
      <c r="AR105" s="318">
        <f t="shared" si="12"/>
        <v>225</v>
      </c>
      <c r="AT105" s="37">
        <v>99</v>
      </c>
      <c r="AU105" s="72">
        <f>AU$3*'Yield 1Y'!AB173</f>
        <v>0</v>
      </c>
      <c r="AV105" s="72">
        <f>AV$3*'Yield 1Y'!AC173</f>
        <v>0</v>
      </c>
      <c r="AW105" s="72">
        <f>AW$3*'Yield 1Y'!AD173</f>
        <v>0</v>
      </c>
      <c r="AX105" s="72">
        <f>AX$3*'Yield 1Y'!AE173</f>
        <v>0</v>
      </c>
      <c r="AY105" s="72">
        <f>AY$3*'Yield 1Y'!AF173</f>
        <v>0</v>
      </c>
      <c r="AZ105" s="72">
        <f>AZ$3*'Yield 1Y'!AG173</f>
        <v>-0.76463497474499509</v>
      </c>
      <c r="BA105" s="72">
        <f>BA$3*'Yield 1Y'!AH173</f>
        <v>-5.9192262901720065</v>
      </c>
      <c r="BB105" s="72">
        <f>BB$3*'Yield 1Y'!AI173</f>
        <v>-1.3985841754150059</v>
      </c>
      <c r="BC105" s="72">
        <f>BC$3*'Yield 1Y'!AJ173</f>
        <v>0</v>
      </c>
      <c r="BD105" s="72">
        <f>BD$3*'Yield 1Y'!AK173</f>
        <v>0</v>
      </c>
      <c r="BE105" s="177">
        <f t="shared" si="13"/>
        <v>8.0824454403320072</v>
      </c>
      <c r="BF105" s="124">
        <f>VLOOKUP(AT105,'Yield 1Y'!$F:$G,2,0)</f>
        <v>46111</v>
      </c>
      <c r="BG105" s="318">
        <f t="shared" si="15"/>
        <v>86</v>
      </c>
    </row>
    <row r="106" spans="1:59" x14ac:dyDescent="0.3">
      <c r="A106" s="37">
        <v>157</v>
      </c>
      <c r="B106" s="72">
        <f>'Yield 1Y'!R159*B$3</f>
        <v>0</v>
      </c>
      <c r="C106" s="72">
        <f>'Yield 1Y'!S159*C$3</f>
        <v>0</v>
      </c>
      <c r="D106" s="72">
        <f>'Yield 1Y'!T159*D$3</f>
        <v>-3.6882909077496369E-2</v>
      </c>
      <c r="E106" s="72">
        <f>'Yield 1Y'!U159*E$3</f>
        <v>-0.14424043042529588</v>
      </c>
      <c r="F106" s="72">
        <f>'Yield 1Y'!V159*F$3</f>
        <v>-3.2734847037843469E-2</v>
      </c>
      <c r="G106" s="72">
        <f>'Yield 1Y'!W159*G$3</f>
        <v>0</v>
      </c>
      <c r="H106" s="72">
        <f>'Yield 1Y'!X159*H$3</f>
        <v>-1.6561920027763224</v>
      </c>
      <c r="I106" s="72">
        <f>'Yield 1Y'!Y159*I$3</f>
        <v>-1.6817886074542407</v>
      </c>
      <c r="J106" s="72">
        <f>'Yield 1Y'!Z159*J$3</f>
        <v>0</v>
      </c>
      <c r="K106" s="72">
        <f>'Yield 1Y'!AA159*K$3</f>
        <v>0</v>
      </c>
      <c r="L106" s="177">
        <f t="shared" si="8"/>
        <v>3.5518387967711988</v>
      </c>
      <c r="M106" s="124">
        <f>VLOOKUP(A106,'Yield 1Y'!$F:$G,2,0)</f>
        <v>46020</v>
      </c>
      <c r="N106" s="318">
        <f t="shared" si="9"/>
        <v>80</v>
      </c>
      <c r="P106" s="37">
        <v>103</v>
      </c>
      <c r="Q106" s="72">
        <f>Q$3*'Yield 1Y'!R105</f>
        <v>0</v>
      </c>
      <c r="R106" s="72">
        <f>R$3*'Yield 1Y'!S105</f>
        <v>0</v>
      </c>
      <c r="S106" s="72">
        <f>S$3*'Yield 1Y'!T105</f>
        <v>0</v>
      </c>
      <c r="T106" s="72">
        <f>T$3*'Yield 1Y'!U105</f>
        <v>0</v>
      </c>
      <c r="U106" s="72">
        <f>U$3*'Yield 1Y'!V105</f>
        <v>0</v>
      </c>
      <c r="V106" s="72">
        <f>V$3*'Yield 1Y'!W105</f>
        <v>-3.8231748737240133E-2</v>
      </c>
      <c r="W106" s="72">
        <f>W$3*'Yield 1Y'!X105</f>
        <v>-0.91065019848800088</v>
      </c>
      <c r="X106" s="72">
        <f>X$3*'Yield 1Y'!Y105</f>
        <v>0</v>
      </c>
      <c r="Y106" s="72">
        <f>Y$3*'Yield 1Y'!Z105</f>
        <v>0</v>
      </c>
      <c r="Z106" s="72">
        <f>Z$3*'Yield 1Y'!AA105</f>
        <v>0</v>
      </c>
      <c r="AA106" s="177">
        <f t="shared" si="10"/>
        <v>0.948881947225241</v>
      </c>
      <c r="AB106" s="124">
        <f>VLOOKUP(P106,'Yield 1Y'!$F:$G,2,0)</f>
        <v>46105</v>
      </c>
      <c r="AC106" s="318">
        <f t="shared" si="14"/>
        <v>58</v>
      </c>
      <c r="AE106" s="37">
        <v>130</v>
      </c>
      <c r="AF106" s="72">
        <f>AF$3*'Yield 1Y'!AB132</f>
        <v>0</v>
      </c>
      <c r="AG106" s="72">
        <f>AG$3*'Yield 1Y'!AC132</f>
        <v>0</v>
      </c>
      <c r="AH106" s="72">
        <f>AH$3*'Yield 1Y'!AD132</f>
        <v>-0.1936352726568549</v>
      </c>
      <c r="AI106" s="72">
        <f>AI$3*'Yield 1Y'!AE132</f>
        <v>0</v>
      </c>
      <c r="AJ106" s="72">
        <f>AJ$3*'Yield 1Y'!AF132</f>
        <v>-7.9498914234760923E-2</v>
      </c>
      <c r="AK106" s="72">
        <f>AK$3*'Yield 1Y'!AG132</f>
        <v>-1.082096539294461</v>
      </c>
      <c r="AL106" s="72">
        <f>AL$3*'Yield 1Y'!AH132</f>
        <v>-7.0388160118001055</v>
      </c>
      <c r="AM106" s="72">
        <f>AM$3*'Yield 1Y'!AI132</f>
        <v>-12.108877973670802</v>
      </c>
      <c r="AN106" s="72">
        <f>AN$3*'Yield 1Y'!AJ132</f>
        <v>0</v>
      </c>
      <c r="AO106" s="72">
        <f>AO$3*'Yield 1Y'!AK132</f>
        <v>0</v>
      </c>
      <c r="AP106" s="177">
        <f t="shared" si="11"/>
        <v>20.502924711656984</v>
      </c>
      <c r="AQ106" s="124">
        <f>VLOOKUP(AE106,'Yield 1Y'!$F:$G,2,0)</f>
        <v>46059</v>
      </c>
      <c r="AR106" s="318">
        <f t="shared" si="12"/>
        <v>200</v>
      </c>
      <c r="AT106" s="37">
        <v>100</v>
      </c>
      <c r="AU106" s="72">
        <f>AU$3*'Yield 1Y'!AB219</f>
        <v>0</v>
      </c>
      <c r="AV106" s="72">
        <f>AV$3*'Yield 1Y'!AC219</f>
        <v>0</v>
      </c>
      <c r="AW106" s="72">
        <f>AW$3*'Yield 1Y'!AD219</f>
        <v>0</v>
      </c>
      <c r="AX106" s="72">
        <f>AX$3*'Yield 1Y'!AE219</f>
        <v>0</v>
      </c>
      <c r="AY106" s="72">
        <f>AY$3*'Yield 1Y'!AF219</f>
        <v>0</v>
      </c>
      <c r="AZ106" s="72">
        <f>AZ$3*'Yield 1Y'!AG219</f>
        <v>-0.44603706860125181</v>
      </c>
      <c r="BA106" s="72">
        <f>BA$3*'Yield 1Y'!AH219</f>
        <v>-4.0979258931960043</v>
      </c>
      <c r="BB106" s="72">
        <f>BB$3*'Yield 1Y'!AI219</f>
        <v>-1.918058297712002</v>
      </c>
      <c r="BC106" s="72">
        <f>BC$3*'Yield 1Y'!AJ219</f>
        <v>0</v>
      </c>
      <c r="BD106" s="72">
        <f>BD$3*'Yield 1Y'!AK219</f>
        <v>0</v>
      </c>
      <c r="BE106" s="177">
        <f t="shared" si="13"/>
        <v>6.4620212595092577</v>
      </c>
      <c r="BF106" s="124">
        <f>VLOOKUP(AT106,'Yield 1Y'!$F:$G,2,0)</f>
        <v>46108</v>
      </c>
      <c r="BG106" s="318">
        <f t="shared" si="15"/>
        <v>119</v>
      </c>
    </row>
    <row r="107" spans="1:59" x14ac:dyDescent="0.3">
      <c r="A107" s="37">
        <v>187</v>
      </c>
      <c r="B107" s="72">
        <f>'Yield 1Y'!R189*B$3</f>
        <v>0</v>
      </c>
      <c r="C107" s="72">
        <f>'Yield 1Y'!S189*C$3</f>
        <v>0</v>
      </c>
      <c r="D107" s="72">
        <f>'Yield 1Y'!T189*D$3</f>
        <v>0</v>
      </c>
      <c r="E107" s="72">
        <f>'Yield 1Y'!U189*E$3</f>
        <v>-2.8848086085054053E-2</v>
      </c>
      <c r="F107" s="72">
        <f>'Yield 1Y'!V189*F$3</f>
        <v>-1.402922015907399E-2</v>
      </c>
      <c r="G107" s="72">
        <f>'Yield 1Y'!W189*G$3</f>
        <v>0</v>
      </c>
      <c r="H107" s="72">
        <f>'Yield 1Y'!X189*H$3</f>
        <v>-0.8280960013881612</v>
      </c>
      <c r="I107" s="72">
        <f>'Yield 1Y'!Y189*I$3</f>
        <v>-1.6817886074542407</v>
      </c>
      <c r="J107" s="72">
        <f>'Yield 1Y'!Z189*J$3</f>
        <v>0</v>
      </c>
      <c r="K107" s="72">
        <f>'Yield 1Y'!AA189*K$3</f>
        <v>0</v>
      </c>
      <c r="L107" s="177">
        <f t="shared" si="8"/>
        <v>2.5527619150865299</v>
      </c>
      <c r="M107" s="124">
        <f>VLOOKUP(A107,'Yield 1Y'!$F:$G,2,0)</f>
        <v>45978</v>
      </c>
      <c r="N107" s="318">
        <f t="shared" si="9"/>
        <v>105</v>
      </c>
      <c r="P107" s="37">
        <v>104</v>
      </c>
      <c r="Q107" s="72">
        <f>Q$3*'Yield 1Y'!R106</f>
        <v>0</v>
      </c>
      <c r="R107" s="72">
        <f>R$3*'Yield 1Y'!S106</f>
        <v>0</v>
      </c>
      <c r="S107" s="72">
        <f>S$3*'Yield 1Y'!T106</f>
        <v>0</v>
      </c>
      <c r="T107" s="72">
        <f>T$3*'Yield 1Y'!U106</f>
        <v>0</v>
      </c>
      <c r="U107" s="72">
        <f>U$3*'Yield 1Y'!V106</f>
        <v>0</v>
      </c>
      <c r="V107" s="72">
        <f>V$3*'Yield 1Y'!W106</f>
        <v>-0.14018307870325156</v>
      </c>
      <c r="W107" s="72">
        <f>W$3*'Yield 1Y'!X106</f>
        <v>0.68298764886592489</v>
      </c>
      <c r="X107" s="72">
        <f>X$3*'Yield 1Y'!Y106</f>
        <v>0</v>
      </c>
      <c r="Y107" s="72">
        <f>Y$3*'Yield 1Y'!Z106</f>
        <v>0</v>
      </c>
      <c r="Z107" s="72">
        <f>Z$3*'Yield 1Y'!AA106</f>
        <v>0</v>
      </c>
      <c r="AA107" s="177">
        <f t="shared" si="10"/>
        <v>-0.54280457016267336</v>
      </c>
      <c r="AB107" s="124">
        <f>VLOOKUP(P107,'Yield 1Y'!$F:$G,2,0)</f>
        <v>46104</v>
      </c>
      <c r="AC107" s="318">
        <f t="shared" si="14"/>
        <v>231</v>
      </c>
      <c r="AE107" s="37">
        <v>127</v>
      </c>
      <c r="AF107" s="72">
        <f>AF$3*'Yield 1Y'!AB129</f>
        <v>0</v>
      </c>
      <c r="AG107" s="72">
        <f>AG$3*'Yield 1Y'!AC129</f>
        <v>0</v>
      </c>
      <c r="AH107" s="72">
        <f>AH$3*'Yield 1Y'!AD129</f>
        <v>-0.1106487272324891</v>
      </c>
      <c r="AI107" s="72">
        <f>AI$3*'Yield 1Y'!AE129</f>
        <v>0</v>
      </c>
      <c r="AJ107" s="72">
        <f>AJ$3*'Yield 1Y'!AF129</f>
        <v>-0.13561579487106312</v>
      </c>
      <c r="AK107" s="72">
        <f>AK$3*'Yield 1Y'!AG129</f>
        <v>-1.082096539294461</v>
      </c>
      <c r="AL107" s="72">
        <f>AL$3*'Yield 1Y'!AH129</f>
        <v>-15.319776025682637</v>
      </c>
      <c r="AM107" s="72">
        <f>AM$3*'Yield 1Y'!AI129</f>
        <v>-28.59040632672269</v>
      </c>
      <c r="AN107" s="72">
        <f>AN$3*'Yield 1Y'!AJ129</f>
        <v>0</v>
      </c>
      <c r="AO107" s="72">
        <f>AO$3*'Yield 1Y'!AK129</f>
        <v>0</v>
      </c>
      <c r="AP107" s="177">
        <f t="shared" si="11"/>
        <v>45.238543413803342</v>
      </c>
      <c r="AQ107" s="124">
        <f>VLOOKUP(AE107,'Yield 1Y'!$F:$G,2,0)</f>
        <v>46064</v>
      </c>
      <c r="AR107" s="318">
        <f t="shared" si="12"/>
        <v>100</v>
      </c>
      <c r="AT107" s="37">
        <v>101</v>
      </c>
      <c r="AU107" s="72">
        <f>AU$3*'Yield 1Y'!AB76</f>
        <v>0</v>
      </c>
      <c r="AV107" s="72">
        <f>AV$3*'Yield 1Y'!AC76</f>
        <v>0</v>
      </c>
      <c r="AW107" s="72">
        <f>AW$3*'Yield 1Y'!AD76</f>
        <v>0</v>
      </c>
      <c r="AX107" s="72">
        <f>AX$3*'Yield 1Y'!AE76</f>
        <v>0</v>
      </c>
      <c r="AY107" s="72">
        <f>AY$3*'Yield 1Y'!AF76</f>
        <v>0</v>
      </c>
      <c r="AZ107" s="72">
        <f>AZ$3*'Yield 1Y'!AG76</f>
        <v>0.15292699494899448</v>
      </c>
      <c r="BA107" s="72">
        <f>BA$3*'Yield 1Y'!AH76</f>
        <v>-1.3659752977320014</v>
      </c>
      <c r="BB107" s="72">
        <f>BB$3*'Yield 1Y'!AI76</f>
        <v>0.15983819147600017</v>
      </c>
      <c r="BC107" s="72">
        <f>BC$3*'Yield 1Y'!AJ76</f>
        <v>0</v>
      </c>
      <c r="BD107" s="72">
        <f>BD$3*'Yield 1Y'!AK76</f>
        <v>0</v>
      </c>
      <c r="BE107" s="177">
        <f t="shared" si="13"/>
        <v>1.0532101113070069</v>
      </c>
      <c r="BF107" s="124">
        <f>VLOOKUP(AT107,'Yield 1Y'!$F:$G,2,0)</f>
        <v>46107</v>
      </c>
      <c r="BG107" s="318">
        <f t="shared" si="15"/>
        <v>231</v>
      </c>
    </row>
    <row r="108" spans="1:59" x14ac:dyDescent="0.3">
      <c r="A108" s="37">
        <v>194</v>
      </c>
      <c r="B108" s="72">
        <f>'Yield 1Y'!R196*B$3</f>
        <v>0</v>
      </c>
      <c r="C108" s="72">
        <f>'Yield 1Y'!S196*C$3</f>
        <v>0</v>
      </c>
      <c r="D108" s="72">
        <f>'Yield 1Y'!T196*D$3</f>
        <v>0</v>
      </c>
      <c r="E108" s="72">
        <f>'Yield 1Y'!U196*E$3</f>
        <v>-5.7696172170108105E-2</v>
      </c>
      <c r="F108" s="72">
        <f>'Yield 1Y'!V196*F$3</f>
        <v>-1.8705626878767399E-2</v>
      </c>
      <c r="G108" s="72">
        <f>'Yield 1Y'!W196*G$3</f>
        <v>-1.3526206741181965</v>
      </c>
      <c r="H108" s="72">
        <f>'Yield 1Y'!X196*H$3</f>
        <v>-2.8983360048589319</v>
      </c>
      <c r="I108" s="72">
        <f>'Yield 1Y'!Y196*I$3</f>
        <v>-2.6908617719268446</v>
      </c>
      <c r="J108" s="72">
        <f>'Yield 1Y'!Z196*J$3</f>
        <v>0</v>
      </c>
      <c r="K108" s="72">
        <f>'Yield 1Y'!AA196*K$3</f>
        <v>0</v>
      </c>
      <c r="L108" s="177">
        <f t="shared" si="8"/>
        <v>7.018220249952849</v>
      </c>
      <c r="M108" s="124">
        <f>VLOOKUP(A108,'Yield 1Y'!$F:$G,2,0)</f>
        <v>45967</v>
      </c>
      <c r="N108" s="318">
        <f t="shared" si="9"/>
        <v>49</v>
      </c>
      <c r="P108" s="37">
        <v>105</v>
      </c>
      <c r="Q108" s="72">
        <f>Q$3*'Yield 1Y'!R107</f>
        <v>0</v>
      </c>
      <c r="R108" s="72">
        <f>R$3*'Yield 1Y'!S107</f>
        <v>0</v>
      </c>
      <c r="S108" s="72">
        <f>S$3*'Yield 1Y'!T107</f>
        <v>0</v>
      </c>
      <c r="T108" s="72">
        <f>T$3*'Yield 1Y'!U107</f>
        <v>0</v>
      </c>
      <c r="U108" s="72">
        <f>U$3*'Yield 1Y'!V107</f>
        <v>0</v>
      </c>
      <c r="V108" s="72">
        <f>V$3*'Yield 1Y'!W107</f>
        <v>-6.3719581228748642E-2</v>
      </c>
      <c r="W108" s="72">
        <f>W$3*'Yield 1Y'!X107</f>
        <v>-1.0244814732989378</v>
      </c>
      <c r="X108" s="72">
        <f>X$3*'Yield 1Y'!Y107</f>
        <v>0</v>
      </c>
      <c r="Y108" s="72">
        <f>Y$3*'Yield 1Y'!Z107</f>
        <v>0</v>
      </c>
      <c r="Z108" s="72">
        <f>Z$3*'Yield 1Y'!AA107</f>
        <v>0</v>
      </c>
      <c r="AA108" s="177">
        <f t="shared" si="10"/>
        <v>1.0882010545276863</v>
      </c>
      <c r="AB108" s="124">
        <f>VLOOKUP(P108,'Yield 1Y'!$F:$G,2,0)</f>
        <v>46101</v>
      </c>
      <c r="AC108" s="318">
        <f t="shared" si="14"/>
        <v>50</v>
      </c>
      <c r="AE108" s="37">
        <v>125</v>
      </c>
      <c r="AF108" s="72">
        <f>AF$3*'Yield 1Y'!AB127</f>
        <v>0</v>
      </c>
      <c r="AG108" s="72">
        <f>AG$3*'Yield 1Y'!AC127</f>
        <v>0</v>
      </c>
      <c r="AH108" s="72">
        <f>AH$3*'Yield 1Y'!AD127</f>
        <v>-7.3765818154992738E-2</v>
      </c>
      <c r="AI108" s="72">
        <f>AI$3*'Yield 1Y'!AE127</f>
        <v>0.11539234434024183</v>
      </c>
      <c r="AJ108" s="72">
        <f>AJ$3*'Yield 1Y'!AF127</f>
        <v>-0.13561579487106312</v>
      </c>
      <c r="AK108" s="72">
        <f>AK$3*'Yield 1Y'!AG127</f>
        <v>0</v>
      </c>
      <c r="AL108" s="72">
        <f>AL$3*'Yield 1Y'!AH127</f>
        <v>-15.319776025682637</v>
      </c>
      <c r="AM108" s="72">
        <f>AM$3*'Yield 1Y'!AI127</f>
        <v>-30.27219493417708</v>
      </c>
      <c r="AN108" s="72">
        <f>AN$3*'Yield 1Y'!AJ127</f>
        <v>0</v>
      </c>
      <c r="AO108" s="72">
        <f>AO$3*'Yield 1Y'!AK127</f>
        <v>0</v>
      </c>
      <c r="AP108" s="177">
        <f t="shared" si="11"/>
        <v>45.685960228545532</v>
      </c>
      <c r="AQ108" s="124">
        <f>VLOOKUP(AE108,'Yield 1Y'!$F:$G,2,0)</f>
        <v>46066</v>
      </c>
      <c r="AR108" s="318">
        <f t="shared" si="12"/>
        <v>97</v>
      </c>
      <c r="AT108" s="37">
        <v>102</v>
      </c>
      <c r="AU108" s="72">
        <f>AU$3*'Yield 1Y'!AB178</f>
        <v>0</v>
      </c>
      <c r="AV108" s="72">
        <f>AV$3*'Yield 1Y'!AC178</f>
        <v>0</v>
      </c>
      <c r="AW108" s="72">
        <f>AW$3*'Yield 1Y'!AD178</f>
        <v>0</v>
      </c>
      <c r="AX108" s="72">
        <f>AX$3*'Yield 1Y'!AE178</f>
        <v>0</v>
      </c>
      <c r="AY108" s="72">
        <f>AY$3*'Yield 1Y'!AF178</f>
        <v>0</v>
      </c>
      <c r="AZ108" s="72">
        <f>AZ$3*'Yield 1Y'!AG178</f>
        <v>-0.30585398989800028</v>
      </c>
      <c r="BA108" s="72">
        <f>BA$3*'Yield 1Y'!AH178</f>
        <v>-5.6915637405500314</v>
      </c>
      <c r="BB108" s="72">
        <f>BB$3*'Yield 1Y'!AI178</f>
        <v>-1.1987864360700102</v>
      </c>
      <c r="BC108" s="72">
        <f>BC$3*'Yield 1Y'!AJ178</f>
        <v>0</v>
      </c>
      <c r="BD108" s="72">
        <f>BD$3*'Yield 1Y'!AK178</f>
        <v>0</v>
      </c>
      <c r="BE108" s="177">
        <f t="shared" si="13"/>
        <v>7.1962041665180418</v>
      </c>
      <c r="BF108" s="124">
        <f>VLOOKUP(AT108,'Yield 1Y'!$F:$G,2,0)</f>
        <v>46106</v>
      </c>
      <c r="BG108" s="318">
        <f t="shared" si="15"/>
        <v>110</v>
      </c>
    </row>
    <row r="109" spans="1:59" x14ac:dyDescent="0.3">
      <c r="A109" s="37">
        <v>249</v>
      </c>
      <c r="B109" s="72">
        <f>'Yield 1Y'!R251*B$3</f>
        <v>0</v>
      </c>
      <c r="C109" s="72">
        <f>'Yield 1Y'!S251*C$3</f>
        <v>0</v>
      </c>
      <c r="D109" s="72">
        <f>'Yield 1Y'!T251*D$3</f>
        <v>-7.3765818154992738E-2</v>
      </c>
      <c r="E109" s="72">
        <f>'Yield 1Y'!U251*E$3</f>
        <v>-2.8848086085066862E-2</v>
      </c>
      <c r="F109" s="72">
        <f>'Yield 1Y'!V251*F$3</f>
        <v>3.2734847037843469E-2</v>
      </c>
      <c r="G109" s="72">
        <f>'Yield 1Y'!W251*G$3</f>
        <v>1.893668943765427</v>
      </c>
      <c r="H109" s="72">
        <f>'Yield 1Y'!X251*H$3</f>
        <v>-3.3123840055530125</v>
      </c>
      <c r="I109" s="72">
        <f>'Yield 1Y'!Y251*I$3</f>
        <v>-1.0090731644726041</v>
      </c>
      <c r="J109" s="72">
        <f>'Yield 1Y'!Z251*J$3</f>
        <v>0</v>
      </c>
      <c r="K109" s="72">
        <f>'Yield 1Y'!AA251*K$3</f>
        <v>0</v>
      </c>
      <c r="L109" s="177">
        <f t="shared" si="8"/>
        <v>2.4976672834624054</v>
      </c>
      <c r="M109" s="124">
        <f>VLOOKUP(A109,'Yield 1Y'!$F:$G,2,0)</f>
        <v>45888</v>
      </c>
      <c r="N109" s="318">
        <f t="shared" si="9"/>
        <v>107</v>
      </c>
      <c r="P109" s="37">
        <v>106</v>
      </c>
      <c r="Q109" s="72">
        <f>Q$3*'Yield 1Y'!R108</f>
        <v>0</v>
      </c>
      <c r="R109" s="72">
        <f>R$3*'Yield 1Y'!S108</f>
        <v>0</v>
      </c>
      <c r="S109" s="72">
        <f>S$3*'Yield 1Y'!T108</f>
        <v>0</v>
      </c>
      <c r="T109" s="72">
        <f>T$3*'Yield 1Y'!U108</f>
        <v>0</v>
      </c>
      <c r="U109" s="72">
        <f>U$3*'Yield 1Y'!V108</f>
        <v>0</v>
      </c>
      <c r="V109" s="72">
        <f>V$3*'Yield 1Y'!W108</f>
        <v>0</v>
      </c>
      <c r="W109" s="72">
        <f>W$3*'Yield 1Y'!X108</f>
        <v>0.34149382443301302</v>
      </c>
      <c r="X109" s="72">
        <f>X$3*'Yield 1Y'!Y108</f>
        <v>0</v>
      </c>
      <c r="Y109" s="72">
        <f>Y$3*'Yield 1Y'!Z108</f>
        <v>0</v>
      </c>
      <c r="Z109" s="72">
        <f>Z$3*'Yield 1Y'!AA108</f>
        <v>0</v>
      </c>
      <c r="AA109" s="177">
        <f t="shared" si="10"/>
        <v>-0.34149382443301302</v>
      </c>
      <c r="AB109" s="124">
        <f>VLOOKUP(P109,'Yield 1Y'!$F:$G,2,0)</f>
        <v>46100</v>
      </c>
      <c r="AC109" s="318">
        <f t="shared" si="14"/>
        <v>216</v>
      </c>
      <c r="AE109" s="37">
        <v>126</v>
      </c>
      <c r="AF109" s="72">
        <f>AF$3*'Yield 1Y'!AB128</f>
        <v>0</v>
      </c>
      <c r="AG109" s="72">
        <f>AG$3*'Yield 1Y'!AC128</f>
        <v>0</v>
      </c>
      <c r="AH109" s="72">
        <f>AH$3*'Yield 1Y'!AD128</f>
        <v>-7.3765818154992738E-2</v>
      </c>
      <c r="AI109" s="72">
        <f>AI$3*'Yield 1Y'!AE128</f>
        <v>0.11539234434024183</v>
      </c>
      <c r="AJ109" s="72">
        <f>AJ$3*'Yield 1Y'!AF128</f>
        <v>-0.13561579487106312</v>
      </c>
      <c r="AK109" s="72">
        <f>AK$3*'Yield 1Y'!AG128</f>
        <v>0</v>
      </c>
      <c r="AL109" s="72">
        <f>AL$3*'Yield 1Y'!AH128</f>
        <v>-15.319776025682637</v>
      </c>
      <c r="AM109" s="72">
        <f>AM$3*'Yield 1Y'!AI128</f>
        <v>-31.617625820140351</v>
      </c>
      <c r="AN109" s="72">
        <f>AN$3*'Yield 1Y'!AJ128</f>
        <v>0</v>
      </c>
      <c r="AO109" s="72">
        <f>AO$3*'Yield 1Y'!AK128</f>
        <v>0</v>
      </c>
      <c r="AP109" s="177">
        <f t="shared" si="11"/>
        <v>47.0313911145088</v>
      </c>
      <c r="AQ109" s="124">
        <f>VLOOKUP(AE109,'Yield 1Y'!$F:$G,2,0)</f>
        <v>46065</v>
      </c>
      <c r="AR109" s="318">
        <f t="shared" si="12"/>
        <v>92</v>
      </c>
      <c r="AT109" s="37">
        <v>103</v>
      </c>
      <c r="AU109" s="72">
        <f>AU$3*'Yield 1Y'!AB237</f>
        <v>0</v>
      </c>
      <c r="AV109" s="72">
        <f>AV$3*'Yield 1Y'!AC237</f>
        <v>0</v>
      </c>
      <c r="AW109" s="72">
        <f>AW$3*'Yield 1Y'!AD237</f>
        <v>0</v>
      </c>
      <c r="AX109" s="72">
        <f>AX$3*'Yield 1Y'!AE237</f>
        <v>0</v>
      </c>
      <c r="AY109" s="72">
        <f>AY$3*'Yield 1Y'!AF237</f>
        <v>0</v>
      </c>
      <c r="AZ109" s="72">
        <f>AZ$3*'Yield 1Y'!AG237</f>
        <v>-0.4842688173385033</v>
      </c>
      <c r="BA109" s="72">
        <f>BA$3*'Yield 1Y'!AH237</f>
        <v>-8.765008160446996</v>
      </c>
      <c r="BB109" s="72">
        <f>BB$3*'Yield 1Y'!AI237</f>
        <v>-1.9580178455809976</v>
      </c>
      <c r="BC109" s="72">
        <f>BC$3*'Yield 1Y'!AJ237</f>
        <v>0</v>
      </c>
      <c r="BD109" s="72">
        <f>BD$3*'Yield 1Y'!AK237</f>
        <v>0</v>
      </c>
      <c r="BE109" s="177">
        <f t="shared" si="13"/>
        <v>11.207294823366496</v>
      </c>
      <c r="BF109" s="124">
        <f>VLOOKUP(AT109,'Yield 1Y'!$F:$G,2,0)</f>
        <v>46105</v>
      </c>
      <c r="BG109" s="318">
        <f t="shared" si="15"/>
        <v>52</v>
      </c>
    </row>
    <row r="110" spans="1:59" x14ac:dyDescent="0.3">
      <c r="A110" s="37">
        <v>29</v>
      </c>
      <c r="B110" s="72">
        <f>'Yield 1Y'!R31*B$3</f>
        <v>0</v>
      </c>
      <c r="C110" s="72">
        <f>'Yield 1Y'!S31*C$3</f>
        <v>0</v>
      </c>
      <c r="D110" s="72">
        <f>'Yield 1Y'!T31*D$3</f>
        <v>0</v>
      </c>
      <c r="E110" s="72">
        <f>'Yield 1Y'!U31*E$3</f>
        <v>-8.6544258255174963E-2</v>
      </c>
      <c r="F110" s="72">
        <f>'Yield 1Y'!V31*F$3</f>
        <v>-3.2734847037845544E-2</v>
      </c>
      <c r="G110" s="72">
        <f>'Yield 1Y'!W31*G$3</f>
        <v>-1.3526206741181965</v>
      </c>
      <c r="H110" s="72">
        <f>'Yield 1Y'!X31*H$3</f>
        <v>0.8280960013881612</v>
      </c>
      <c r="I110" s="72">
        <f>'Yield 1Y'!Y31*I$3</f>
        <v>2.6908617719268446</v>
      </c>
      <c r="J110" s="72">
        <f>'Yield 1Y'!Z31*J$3</f>
        <v>0</v>
      </c>
      <c r="K110" s="72">
        <f>'Yield 1Y'!AA31*K$3</f>
        <v>0</v>
      </c>
      <c r="L110" s="177">
        <f t="shared" si="8"/>
        <v>-2.0470579939037887</v>
      </c>
      <c r="M110" s="124">
        <f>VLOOKUP(A110,'Yield 1Y'!$F:$G,2,0)</f>
        <v>46212</v>
      </c>
      <c r="N110" s="318">
        <f t="shared" si="9"/>
        <v>234</v>
      </c>
      <c r="P110" s="37">
        <v>107</v>
      </c>
      <c r="Q110" s="72">
        <f>Q$3*'Yield 1Y'!R109</f>
        <v>0</v>
      </c>
      <c r="R110" s="72">
        <f>R$3*'Yield 1Y'!S109</f>
        <v>0</v>
      </c>
      <c r="S110" s="72">
        <f>S$3*'Yield 1Y'!T109</f>
        <v>0</v>
      </c>
      <c r="T110" s="72">
        <f>T$3*'Yield 1Y'!U109</f>
        <v>0</v>
      </c>
      <c r="U110" s="72">
        <f>U$3*'Yield 1Y'!V109</f>
        <v>0</v>
      </c>
      <c r="V110" s="72">
        <f>V$3*'Yield 1Y'!W109</f>
        <v>0</v>
      </c>
      <c r="W110" s="72">
        <f>W$3*'Yield 1Y'!X109</f>
        <v>-0.34149382443301302</v>
      </c>
      <c r="X110" s="72">
        <f>X$3*'Yield 1Y'!Y109</f>
        <v>0</v>
      </c>
      <c r="Y110" s="72">
        <f>Y$3*'Yield 1Y'!Z109</f>
        <v>0</v>
      </c>
      <c r="Z110" s="72">
        <f>Z$3*'Yield 1Y'!AA109</f>
        <v>0</v>
      </c>
      <c r="AA110" s="177">
        <f t="shared" si="10"/>
        <v>0.34149382443301302</v>
      </c>
      <c r="AB110" s="124">
        <f>VLOOKUP(P110,'Yield 1Y'!$F:$G,2,0)</f>
        <v>46099</v>
      </c>
      <c r="AC110" s="318">
        <f t="shared" si="14"/>
        <v>115</v>
      </c>
      <c r="AE110" s="37">
        <v>26</v>
      </c>
      <c r="AF110" s="72">
        <f>AF$3*'Yield 1Y'!AB28</f>
        <v>0</v>
      </c>
      <c r="AG110" s="72">
        <f>AG$3*'Yield 1Y'!AC28</f>
        <v>0</v>
      </c>
      <c r="AH110" s="72">
        <f>AH$3*'Yield 1Y'!AD28</f>
        <v>0</v>
      </c>
      <c r="AI110" s="72">
        <f>AI$3*'Yield 1Y'!AE28</f>
        <v>-0.11539234434024183</v>
      </c>
      <c r="AJ110" s="72">
        <f>AJ$3*'Yield 1Y'!AF28</f>
        <v>0</v>
      </c>
      <c r="AK110" s="72">
        <f>AK$3*'Yield 1Y'!AG28</f>
        <v>-0.54104826964723052</v>
      </c>
      <c r="AL110" s="72">
        <f>AL$3*'Yield 1Y'!AH28</f>
        <v>0</v>
      </c>
      <c r="AM110" s="72">
        <f>AM$3*'Yield 1Y'!AI28</f>
        <v>-1.3454308859634223</v>
      </c>
      <c r="AN110" s="72">
        <f>AN$3*'Yield 1Y'!AJ28</f>
        <v>0</v>
      </c>
      <c r="AO110" s="72">
        <f>AO$3*'Yield 1Y'!AK28</f>
        <v>0</v>
      </c>
      <c r="AP110" s="177">
        <f t="shared" si="11"/>
        <v>2.0018714999508944</v>
      </c>
      <c r="AQ110" s="124">
        <f>VLOOKUP(AE110,'Yield 1Y'!$F:$G,2,0)</f>
        <v>46217</v>
      </c>
      <c r="AR110" s="318">
        <f t="shared" si="12"/>
        <v>244</v>
      </c>
      <c r="AT110" s="37">
        <v>104</v>
      </c>
      <c r="AU110" s="72">
        <f>AU$3*'Yield 1Y'!AB234</f>
        <v>0</v>
      </c>
      <c r="AV110" s="72">
        <f>AV$3*'Yield 1Y'!AC234</f>
        <v>0</v>
      </c>
      <c r="AW110" s="72">
        <f>AW$3*'Yield 1Y'!AD234</f>
        <v>0</v>
      </c>
      <c r="AX110" s="72">
        <f>AX$3*'Yield 1Y'!AE234</f>
        <v>0</v>
      </c>
      <c r="AY110" s="72">
        <f>AY$3*'Yield 1Y'!AF234</f>
        <v>0</v>
      </c>
      <c r="AZ110" s="72">
        <f>AZ$3*'Yield 1Y'!AG234</f>
        <v>-0.33134182238950316</v>
      </c>
      <c r="BA110" s="72">
        <f>BA$3*'Yield 1Y'!AH234</f>
        <v>-4.8947448168729668</v>
      </c>
      <c r="BB110" s="72">
        <f>BB$3*'Yield 1Y'!AI234</f>
        <v>-1.0389482445940099</v>
      </c>
      <c r="BC110" s="72">
        <f>BC$3*'Yield 1Y'!AJ234</f>
        <v>0</v>
      </c>
      <c r="BD110" s="72">
        <f>BD$3*'Yield 1Y'!AK234</f>
        <v>0</v>
      </c>
      <c r="BE110" s="177">
        <f t="shared" si="13"/>
        <v>6.2650348838564796</v>
      </c>
      <c r="BF110" s="124">
        <f>VLOOKUP(AT110,'Yield 1Y'!$F:$G,2,0)</f>
        <v>46104</v>
      </c>
      <c r="BG110" s="318">
        <f t="shared" si="15"/>
        <v>123</v>
      </c>
    </row>
    <row r="111" spans="1:59" x14ac:dyDescent="0.3">
      <c r="A111" s="37">
        <v>165</v>
      </c>
      <c r="B111" s="72">
        <f>'Yield 1Y'!R167*B$3</f>
        <v>0</v>
      </c>
      <c r="C111" s="72">
        <f>'Yield 1Y'!S167*C$3</f>
        <v>0</v>
      </c>
      <c r="D111" s="72">
        <f>'Yield 1Y'!T167*D$3</f>
        <v>0</v>
      </c>
      <c r="E111" s="72">
        <f>'Yield 1Y'!U167*E$3</f>
        <v>8.6544258255174963E-2</v>
      </c>
      <c r="F111" s="72">
        <f>'Yield 1Y'!V167*F$3</f>
        <v>3.2734847037843469E-2</v>
      </c>
      <c r="G111" s="72">
        <f>'Yield 1Y'!W167*G$3</f>
        <v>1.0820965392945814</v>
      </c>
      <c r="H111" s="72">
        <f>'Yield 1Y'!X167*H$3</f>
        <v>0.82809600138834505</v>
      </c>
      <c r="I111" s="72">
        <f>'Yield 1Y'!Y167*I$3</f>
        <v>0</v>
      </c>
      <c r="J111" s="72">
        <f>'Yield 1Y'!Z167*J$3</f>
        <v>0</v>
      </c>
      <c r="K111" s="72">
        <f>'Yield 1Y'!AA167*K$3</f>
        <v>0</v>
      </c>
      <c r="L111" s="177">
        <f t="shared" si="8"/>
        <v>-2.0294716459759448</v>
      </c>
      <c r="M111" s="124">
        <f>VLOOKUP(A111,'Yield 1Y'!$F:$G,2,0)</f>
        <v>46008</v>
      </c>
      <c r="N111" s="318">
        <f t="shared" si="9"/>
        <v>233</v>
      </c>
      <c r="P111" s="37">
        <v>108</v>
      </c>
      <c r="Q111" s="72">
        <f>Q$3*'Yield 1Y'!R110</f>
        <v>0</v>
      </c>
      <c r="R111" s="72">
        <f>R$3*'Yield 1Y'!S110</f>
        <v>0</v>
      </c>
      <c r="S111" s="72">
        <f>S$3*'Yield 1Y'!T110</f>
        <v>0</v>
      </c>
      <c r="T111" s="72">
        <f>T$3*'Yield 1Y'!U110</f>
        <v>0</v>
      </c>
      <c r="U111" s="72">
        <f>U$3*'Yield 1Y'!V110</f>
        <v>0</v>
      </c>
      <c r="V111" s="72">
        <f>V$3*'Yield 1Y'!W110</f>
        <v>0</v>
      </c>
      <c r="W111" s="72">
        <f>W$3*'Yield 1Y'!X110</f>
        <v>0.34149382443301302</v>
      </c>
      <c r="X111" s="72">
        <f>X$3*'Yield 1Y'!Y110</f>
        <v>0</v>
      </c>
      <c r="Y111" s="72">
        <f>Y$3*'Yield 1Y'!Z110</f>
        <v>0</v>
      </c>
      <c r="Z111" s="72">
        <f>Z$3*'Yield 1Y'!AA110</f>
        <v>0</v>
      </c>
      <c r="AA111" s="177">
        <f t="shared" si="10"/>
        <v>-0.34149382443301302</v>
      </c>
      <c r="AB111" s="124">
        <f>VLOOKUP(P111,'Yield 1Y'!$F:$G,2,0)</f>
        <v>46098</v>
      </c>
      <c r="AC111" s="318">
        <f t="shared" si="14"/>
        <v>216</v>
      </c>
      <c r="AE111" s="37">
        <v>139</v>
      </c>
      <c r="AF111" s="72">
        <f>AF$3*'Yield 1Y'!AB141</f>
        <v>0</v>
      </c>
      <c r="AG111" s="72">
        <f>AG$3*'Yield 1Y'!AC141</f>
        <v>0</v>
      </c>
      <c r="AH111" s="72">
        <f>AH$3*'Yield 1Y'!AD141</f>
        <v>0.4425949089299564</v>
      </c>
      <c r="AI111" s="72">
        <f>AI$3*'Yield 1Y'!AE141</f>
        <v>-0.72120215212641536</v>
      </c>
      <c r="AJ111" s="72">
        <f>AJ$3*'Yield 1Y'!AF141</f>
        <v>-0.11691016799229571</v>
      </c>
      <c r="AK111" s="72">
        <f>AK$3*'Yield 1Y'!AG141</f>
        <v>-6.7631033705912227</v>
      </c>
      <c r="AL111" s="72">
        <f>AL$3*'Yield 1Y'!AH141</f>
        <v>-13.66358402290613</v>
      </c>
      <c r="AM111" s="72">
        <f>AM$3*'Yield 1Y'!AI141</f>
        <v>-19.172390124978733</v>
      </c>
      <c r="AN111" s="72">
        <f>AN$3*'Yield 1Y'!AJ141</f>
        <v>0</v>
      </c>
      <c r="AO111" s="72">
        <f>AO$3*'Yield 1Y'!AK141</f>
        <v>0</v>
      </c>
      <c r="AP111" s="177">
        <f t="shared" si="11"/>
        <v>39.994594929664842</v>
      </c>
      <c r="AQ111" s="124">
        <f>VLOOKUP(AE111,'Yield 1Y'!$F:$G,2,0)</f>
        <v>46048</v>
      </c>
      <c r="AR111" s="318">
        <f t="shared" si="12"/>
        <v>128</v>
      </c>
      <c r="AT111" s="37">
        <v>105</v>
      </c>
      <c r="AU111" s="72">
        <f>AU$3*'Yield 1Y'!AB92</f>
        <v>0</v>
      </c>
      <c r="AV111" s="72">
        <f>AV$3*'Yield 1Y'!AC92</f>
        <v>0</v>
      </c>
      <c r="AW111" s="72">
        <f>AW$3*'Yield 1Y'!AD92</f>
        <v>0</v>
      </c>
      <c r="AX111" s="72">
        <f>AX$3*'Yield 1Y'!AE92</f>
        <v>0</v>
      </c>
      <c r="AY111" s="72">
        <f>AY$3*'Yield 1Y'!AF92</f>
        <v>0</v>
      </c>
      <c r="AZ111" s="72">
        <f>AZ$3*'Yield 1Y'!AG92</f>
        <v>0</v>
      </c>
      <c r="BA111" s="72">
        <f>BA$3*'Yield 1Y'!AH92</f>
        <v>-0.91065019848800088</v>
      </c>
      <c r="BB111" s="72">
        <f>BB$3*'Yield 1Y'!AI92</f>
        <v>-0.35963593082099593</v>
      </c>
      <c r="BC111" s="72">
        <f>BC$3*'Yield 1Y'!AJ92</f>
        <v>0</v>
      </c>
      <c r="BD111" s="72">
        <f>BD$3*'Yield 1Y'!AK92</f>
        <v>0</v>
      </c>
      <c r="BE111" s="177">
        <f t="shared" si="13"/>
        <v>1.2702861293089969</v>
      </c>
      <c r="BF111" s="124">
        <f>VLOOKUP(AT111,'Yield 1Y'!$F:$G,2,0)</f>
        <v>46101</v>
      </c>
      <c r="BG111" s="318">
        <f t="shared" si="15"/>
        <v>222</v>
      </c>
    </row>
    <row r="112" spans="1:59" x14ac:dyDescent="0.3">
      <c r="A112" s="37">
        <v>72</v>
      </c>
      <c r="B112" s="72">
        <f>'Yield 1Y'!R74*B$3</f>
        <v>0</v>
      </c>
      <c r="C112" s="72">
        <f>'Yield 1Y'!S74*C$3</f>
        <v>0</v>
      </c>
      <c r="D112" s="72">
        <f>'Yield 1Y'!T74*D$3</f>
        <v>0</v>
      </c>
      <c r="E112" s="72">
        <f>'Yield 1Y'!U74*E$3</f>
        <v>5.7696172170108105E-2</v>
      </c>
      <c r="F112" s="72">
        <f>'Yield 1Y'!V74*F$3</f>
        <v>1.870562687876532E-2</v>
      </c>
      <c r="G112" s="72">
        <f>'Yield 1Y'!W74*G$3</f>
        <v>0</v>
      </c>
      <c r="H112" s="72">
        <f>'Yield 1Y'!X74*H$3</f>
        <v>0</v>
      </c>
      <c r="I112" s="72">
        <f>'Yield 1Y'!Y74*I$3</f>
        <v>0</v>
      </c>
      <c r="J112" s="72">
        <f>'Yield 1Y'!Z74*J$3</f>
        <v>0</v>
      </c>
      <c r="K112" s="72">
        <f>'Yield 1Y'!AA74*K$3</f>
        <v>0</v>
      </c>
      <c r="L112" s="177">
        <f t="shared" si="8"/>
        <v>-7.6401799048873426E-2</v>
      </c>
      <c r="M112" s="124">
        <f>VLOOKUP(A112,'Yield 1Y'!$F:$G,2,0)</f>
        <v>46153</v>
      </c>
      <c r="N112" s="318">
        <f t="shared" si="9"/>
        <v>203</v>
      </c>
      <c r="P112" s="37">
        <v>109</v>
      </c>
      <c r="Q112" s="72">
        <f>Q$3*'Yield 1Y'!R111</f>
        <v>0</v>
      </c>
      <c r="R112" s="72">
        <f>R$3*'Yield 1Y'!S111</f>
        <v>0</v>
      </c>
      <c r="S112" s="72">
        <f>S$3*'Yield 1Y'!T111</f>
        <v>0</v>
      </c>
      <c r="T112" s="72">
        <f>T$3*'Yield 1Y'!U111</f>
        <v>0</v>
      </c>
      <c r="U112" s="72">
        <f>U$3*'Yield 1Y'!V111</f>
        <v>0</v>
      </c>
      <c r="V112" s="72">
        <f>V$3*'Yield 1Y'!W111</f>
        <v>2.5487832491497196E-2</v>
      </c>
      <c r="W112" s="72">
        <f>W$3*'Yield 1Y'!X111</f>
        <v>-0.56915637405508901</v>
      </c>
      <c r="X112" s="72">
        <f>X$3*'Yield 1Y'!Y111</f>
        <v>0</v>
      </c>
      <c r="Y112" s="72">
        <f>Y$3*'Yield 1Y'!Z111</f>
        <v>0</v>
      </c>
      <c r="Z112" s="72">
        <f>Z$3*'Yield 1Y'!AA111</f>
        <v>0</v>
      </c>
      <c r="AA112" s="177">
        <f t="shared" si="10"/>
        <v>0.54366854156359179</v>
      </c>
      <c r="AB112" s="124">
        <f>VLOOKUP(P112,'Yield 1Y'!$F:$G,2,0)</f>
        <v>46097</v>
      </c>
      <c r="AC112" s="318">
        <f t="shared" si="14"/>
        <v>93</v>
      </c>
      <c r="AE112" s="37">
        <v>30</v>
      </c>
      <c r="AF112" s="72">
        <f>AF$3*'Yield 1Y'!AB32</f>
        <v>0</v>
      </c>
      <c r="AG112" s="72">
        <f>AG$3*'Yield 1Y'!AC32</f>
        <v>0</v>
      </c>
      <c r="AH112" s="72">
        <f>AH$3*'Yield 1Y'!AD32</f>
        <v>-0.1936352726568549</v>
      </c>
      <c r="AI112" s="72">
        <f>AI$3*'Yield 1Y'!AE32</f>
        <v>-0.60580980778619908</v>
      </c>
      <c r="AJ112" s="72">
        <f>AJ$3*'Yield 1Y'!AF32</f>
        <v>-0.13561579487106312</v>
      </c>
      <c r="AK112" s="72">
        <f>AK$3*'Yield 1Y'!AG32</f>
        <v>-5.6810068312965214</v>
      </c>
      <c r="AL112" s="72">
        <f>AL$3*'Yield 1Y'!AH32</f>
        <v>-7.0388160118002894</v>
      </c>
      <c r="AM112" s="72">
        <f>AM$3*'Yield 1Y'!AI32</f>
        <v>-5.0453658223627222</v>
      </c>
      <c r="AN112" s="72">
        <f>AN$3*'Yield 1Y'!AJ32</f>
        <v>0</v>
      </c>
      <c r="AO112" s="72">
        <f>AO$3*'Yield 1Y'!AK32</f>
        <v>0</v>
      </c>
      <c r="AP112" s="177">
        <f t="shared" si="11"/>
        <v>18.700249540773651</v>
      </c>
      <c r="AQ112" s="124">
        <f>VLOOKUP(AE112,'Yield 1Y'!$F:$G,2,0)</f>
        <v>46211</v>
      </c>
      <c r="AR112" s="318">
        <f t="shared" si="12"/>
        <v>208</v>
      </c>
      <c r="AT112" s="37">
        <v>106</v>
      </c>
      <c r="AU112" s="72">
        <f>AU$3*'Yield 1Y'!AB202</f>
        <v>0</v>
      </c>
      <c r="AV112" s="72">
        <f>AV$3*'Yield 1Y'!AC202</f>
        <v>0</v>
      </c>
      <c r="AW112" s="72">
        <f>AW$3*'Yield 1Y'!AD202</f>
        <v>0</v>
      </c>
      <c r="AX112" s="72">
        <f>AX$3*'Yield 1Y'!AE202</f>
        <v>0</v>
      </c>
      <c r="AY112" s="72">
        <f>AY$3*'Yield 1Y'!AF202</f>
        <v>0</v>
      </c>
      <c r="AZ112" s="72">
        <f>AZ$3*'Yield 1Y'!AG202</f>
        <v>-0.75189105849924642</v>
      </c>
      <c r="BA112" s="72">
        <f>BA$3*'Yield 1Y'!AH202</f>
        <v>-8.3096830612029962</v>
      </c>
      <c r="BB112" s="72">
        <f>BB$3*'Yield 1Y'!AI202</f>
        <v>-2.1578155849259932</v>
      </c>
      <c r="BC112" s="72">
        <f>BC$3*'Yield 1Y'!AJ202</f>
        <v>0</v>
      </c>
      <c r="BD112" s="72">
        <f>BD$3*'Yield 1Y'!AK202</f>
        <v>0</v>
      </c>
      <c r="BE112" s="177">
        <f t="shared" si="13"/>
        <v>11.219389704628236</v>
      </c>
      <c r="BF112" s="124">
        <f>VLOOKUP(AT112,'Yield 1Y'!$F:$G,2,0)</f>
        <v>46100</v>
      </c>
      <c r="BG112" s="318">
        <f t="shared" si="15"/>
        <v>50</v>
      </c>
    </row>
    <row r="113" spans="1:59" x14ac:dyDescent="0.3">
      <c r="A113" s="37">
        <v>26</v>
      </c>
      <c r="B113" s="72">
        <f>'Yield 1Y'!R28*B$3</f>
        <v>0</v>
      </c>
      <c r="C113" s="72">
        <f>'Yield 1Y'!S28*C$3</f>
        <v>0</v>
      </c>
      <c r="D113" s="72">
        <f>'Yield 1Y'!T28*D$3</f>
        <v>0</v>
      </c>
      <c r="E113" s="72">
        <f>'Yield 1Y'!U28*E$3</f>
        <v>0</v>
      </c>
      <c r="F113" s="72">
        <f>'Yield 1Y'!V28*F$3</f>
        <v>0</v>
      </c>
      <c r="G113" s="72">
        <f>'Yield 1Y'!W28*G$3</f>
        <v>0</v>
      </c>
      <c r="H113" s="72">
        <f>'Yield 1Y'!X28*H$3</f>
        <v>0</v>
      </c>
      <c r="I113" s="72">
        <f>'Yield 1Y'!Y28*I$3</f>
        <v>0</v>
      </c>
      <c r="J113" s="72">
        <f>'Yield 1Y'!Z28*J$3</f>
        <v>0</v>
      </c>
      <c r="K113" s="72">
        <f>'Yield 1Y'!AA28*K$3</f>
        <v>0</v>
      </c>
      <c r="L113" s="177">
        <f t="shared" si="8"/>
        <v>0</v>
      </c>
      <c r="M113" s="124">
        <f>VLOOKUP(A113,'Yield 1Y'!$F:$G,2,0)</f>
        <v>46217</v>
      </c>
      <c r="N113" s="318">
        <f t="shared" si="9"/>
        <v>195.5</v>
      </c>
      <c r="P113" s="37">
        <v>110</v>
      </c>
      <c r="Q113" s="72">
        <f>Q$3*'Yield 1Y'!R112</f>
        <v>0</v>
      </c>
      <c r="R113" s="72">
        <f>R$3*'Yield 1Y'!S112</f>
        <v>0</v>
      </c>
      <c r="S113" s="72">
        <f>S$3*'Yield 1Y'!T112</f>
        <v>0</v>
      </c>
      <c r="T113" s="72">
        <f>T$3*'Yield 1Y'!U112</f>
        <v>0</v>
      </c>
      <c r="U113" s="72">
        <f>U$3*'Yield 1Y'!V112</f>
        <v>0</v>
      </c>
      <c r="V113" s="72">
        <f>V$3*'Yield 1Y'!W112</f>
        <v>-0.17841482744050299</v>
      </c>
      <c r="W113" s="72">
        <f>W$3*'Yield 1Y'!X112</f>
        <v>0.79681892367706397</v>
      </c>
      <c r="X113" s="72">
        <f>X$3*'Yield 1Y'!Y112</f>
        <v>-0.279716835082987</v>
      </c>
      <c r="Y113" s="72">
        <f>Y$3*'Yield 1Y'!Z112</f>
        <v>0</v>
      </c>
      <c r="Z113" s="72">
        <f>Z$3*'Yield 1Y'!AA112</f>
        <v>0</v>
      </c>
      <c r="AA113" s="177">
        <f t="shared" si="10"/>
        <v>-0.338687261153574</v>
      </c>
      <c r="AB113" s="124">
        <f>VLOOKUP(P113,'Yield 1Y'!$F:$G,2,0)</f>
        <v>46094</v>
      </c>
      <c r="AC113" s="318">
        <f t="shared" si="14"/>
        <v>214</v>
      </c>
      <c r="AE113" s="37">
        <v>25</v>
      </c>
      <c r="AF113" s="72">
        <f>AF$3*'Yield 1Y'!AB27</f>
        <v>0</v>
      </c>
      <c r="AG113" s="72">
        <f>AG$3*'Yield 1Y'!AC27</f>
        <v>0</v>
      </c>
      <c r="AH113" s="72">
        <f>AH$3*'Yield 1Y'!AD27</f>
        <v>0</v>
      </c>
      <c r="AI113" s="72">
        <f>AI$3*'Yield 1Y'!AE27</f>
        <v>-0.11539234434021621</v>
      </c>
      <c r="AJ113" s="72">
        <f>AJ$3*'Yield 1Y'!AF27</f>
        <v>0</v>
      </c>
      <c r="AK113" s="72">
        <f>AK$3*'Yield 1Y'!AG27</f>
        <v>0</v>
      </c>
      <c r="AL113" s="72">
        <f>AL$3*'Yield 1Y'!AH27</f>
        <v>0</v>
      </c>
      <c r="AM113" s="72">
        <f>AM$3*'Yield 1Y'!AI27</f>
        <v>-1.3454308859634223</v>
      </c>
      <c r="AN113" s="72">
        <f>AN$3*'Yield 1Y'!AJ27</f>
        <v>0</v>
      </c>
      <c r="AO113" s="72">
        <f>AO$3*'Yield 1Y'!AK27</f>
        <v>0</v>
      </c>
      <c r="AP113" s="177">
        <f t="shared" si="11"/>
        <v>1.4608232303036386</v>
      </c>
      <c r="AQ113" s="124">
        <f>VLOOKUP(AE113,'Yield 1Y'!$F:$G,2,0)</f>
        <v>46218</v>
      </c>
      <c r="AR113" s="318">
        <f t="shared" si="12"/>
        <v>245</v>
      </c>
      <c r="AT113" s="37">
        <v>107</v>
      </c>
      <c r="AU113" s="72">
        <f>AU$3*'Yield 1Y'!AB111</f>
        <v>0</v>
      </c>
      <c r="AV113" s="72">
        <f>AV$3*'Yield 1Y'!AC111</f>
        <v>0</v>
      </c>
      <c r="AW113" s="72">
        <f>AW$3*'Yield 1Y'!AD111</f>
        <v>0</v>
      </c>
      <c r="AX113" s="72">
        <f>AX$3*'Yield 1Y'!AE111</f>
        <v>0</v>
      </c>
      <c r="AY113" s="72">
        <f>AY$3*'Yield 1Y'!AF111</f>
        <v>0</v>
      </c>
      <c r="AZ113" s="72">
        <f>AZ$3*'Yield 1Y'!AG111</f>
        <v>-1.1724402946089953</v>
      </c>
      <c r="BA113" s="72">
        <f>BA$3*'Yield 1Y'!AH111</f>
        <v>-12.749102778832013</v>
      </c>
      <c r="BB113" s="72">
        <f>BB$3*'Yield 1Y'!AI111</f>
        <v>-6.6732444941230105</v>
      </c>
      <c r="BC113" s="72">
        <f>BC$3*'Yield 1Y'!AJ111</f>
        <v>0</v>
      </c>
      <c r="BD113" s="72">
        <f>BD$3*'Yield 1Y'!AK111</f>
        <v>0</v>
      </c>
      <c r="BE113" s="177">
        <f t="shared" si="13"/>
        <v>20.594787567564019</v>
      </c>
      <c r="BF113" s="124">
        <f>VLOOKUP(AT113,'Yield 1Y'!$F:$G,2,0)</f>
        <v>46099</v>
      </c>
      <c r="BG113" s="318">
        <f t="shared" si="15"/>
        <v>26</v>
      </c>
    </row>
    <row r="114" spans="1:59" x14ac:dyDescent="0.3">
      <c r="A114" s="37">
        <v>9</v>
      </c>
      <c r="B114" s="72">
        <f>'Yield 1Y'!R11*B$3</f>
        <v>0</v>
      </c>
      <c r="C114" s="72">
        <f>'Yield 1Y'!S11*C$3</f>
        <v>0</v>
      </c>
      <c r="D114" s="72">
        <f>'Yield 1Y'!T11*D$3</f>
        <v>-8.2986545424369895E-2</v>
      </c>
      <c r="E114" s="72">
        <f>'Yield 1Y'!U11*E$3</f>
        <v>-0.17308851651033713</v>
      </c>
      <c r="F114" s="72">
        <f>'Yield 1Y'!V11*F$3</f>
        <v>-9.3528134393826602E-3</v>
      </c>
      <c r="G114" s="72">
        <f>'Yield 1Y'!W11*G$3</f>
        <v>-1.893668943765427</v>
      </c>
      <c r="H114" s="72">
        <f>'Yield 1Y'!X11*H$3</f>
        <v>-1.6561920027763224</v>
      </c>
      <c r="I114" s="72">
        <f>'Yield 1Y'!Y11*I$3</f>
        <v>0</v>
      </c>
      <c r="J114" s="72">
        <f>'Yield 1Y'!Z11*J$3</f>
        <v>0</v>
      </c>
      <c r="K114" s="72">
        <f>'Yield 1Y'!AA11*K$3</f>
        <v>0</v>
      </c>
      <c r="L114" s="177">
        <f t="shared" si="8"/>
        <v>3.8152888219158392</v>
      </c>
      <c r="M114" s="124">
        <f>VLOOKUP(A114,'Yield 1Y'!$F:$G,2,0)</f>
        <v>46240</v>
      </c>
      <c r="N114" s="318">
        <f t="shared" si="9"/>
        <v>75</v>
      </c>
      <c r="P114" s="37">
        <v>111</v>
      </c>
      <c r="Q114" s="72">
        <f>Q$3*'Yield 1Y'!R113</f>
        <v>0</v>
      </c>
      <c r="R114" s="72">
        <f>R$3*'Yield 1Y'!S113</f>
        <v>0</v>
      </c>
      <c r="S114" s="72">
        <f>S$3*'Yield 1Y'!T113</f>
        <v>0</v>
      </c>
      <c r="T114" s="72">
        <f>T$3*'Yield 1Y'!U113</f>
        <v>0</v>
      </c>
      <c r="U114" s="72">
        <f>U$3*'Yield 1Y'!V113</f>
        <v>0</v>
      </c>
      <c r="V114" s="72">
        <f>V$3*'Yield 1Y'!W113</f>
        <v>-1.5547577819814986</v>
      </c>
      <c r="W114" s="72">
        <f>W$3*'Yield 1Y'!X113</f>
        <v>-1.2521440229210139</v>
      </c>
      <c r="X114" s="72">
        <f>X$3*'Yield 1Y'!Y113</f>
        <v>-0.39959547868999157</v>
      </c>
      <c r="Y114" s="72">
        <f>Y$3*'Yield 1Y'!Z113</f>
        <v>0</v>
      </c>
      <c r="Z114" s="72">
        <f>Z$3*'Yield 1Y'!AA113</f>
        <v>0</v>
      </c>
      <c r="AA114" s="177">
        <f t="shared" si="10"/>
        <v>3.2064972835925039</v>
      </c>
      <c r="AB114" s="124">
        <f>VLOOKUP(P114,'Yield 1Y'!$F:$G,2,0)</f>
        <v>46093</v>
      </c>
      <c r="AC114" s="318">
        <f t="shared" si="14"/>
        <v>16</v>
      </c>
      <c r="AE114" s="37">
        <v>140</v>
      </c>
      <c r="AF114" s="72">
        <f>AF$3*'Yield 1Y'!AB142</f>
        <v>0</v>
      </c>
      <c r="AG114" s="72">
        <f>AG$3*'Yield 1Y'!AC142</f>
        <v>0</v>
      </c>
      <c r="AH114" s="72">
        <f>AH$3*'Yield 1Y'!AD142</f>
        <v>0.59934727250931497</v>
      </c>
      <c r="AI114" s="72">
        <f>AI$3*'Yield 1Y'!AE142</f>
        <v>-0.83659449646665718</v>
      </c>
      <c r="AJ114" s="72">
        <f>AJ$3*'Yield 1Y'!AF142</f>
        <v>0</v>
      </c>
      <c r="AK114" s="72">
        <f>AK$3*'Yield 1Y'!AG142</f>
        <v>-8.1157240447094203</v>
      </c>
      <c r="AL114" s="72">
        <f>AL$3*'Yield 1Y'!AH142</f>
        <v>-3.3123840055530125</v>
      </c>
      <c r="AM114" s="72">
        <f>AM$3*'Yield 1Y'!AI142</f>
        <v>-14.463382024106679</v>
      </c>
      <c r="AN114" s="72">
        <f>AN$3*'Yield 1Y'!AJ142</f>
        <v>0</v>
      </c>
      <c r="AO114" s="72">
        <f>AO$3*'Yield 1Y'!AK142</f>
        <v>0</v>
      </c>
      <c r="AP114" s="177">
        <f t="shared" si="11"/>
        <v>26.128737298326453</v>
      </c>
      <c r="AQ114" s="124">
        <f>VLOOKUP(AE114,'Yield 1Y'!$F:$G,2,0)</f>
        <v>46045</v>
      </c>
      <c r="AR114" s="318">
        <f t="shared" si="12"/>
        <v>179</v>
      </c>
      <c r="AT114" s="37">
        <v>108</v>
      </c>
      <c r="AU114" s="72">
        <f>AU$3*'Yield 1Y'!AB171</f>
        <v>0</v>
      </c>
      <c r="AV114" s="72">
        <f>AV$3*'Yield 1Y'!AC171</f>
        <v>0</v>
      </c>
      <c r="AW114" s="72">
        <f>AW$3*'Yield 1Y'!AD171</f>
        <v>0</v>
      </c>
      <c r="AX114" s="72">
        <f>AX$3*'Yield 1Y'!AE171</f>
        <v>0</v>
      </c>
      <c r="AY114" s="72">
        <f>AY$3*'Yield 1Y'!AF171</f>
        <v>0</v>
      </c>
      <c r="AZ114" s="72">
        <f>AZ$3*'Yield 1Y'!AG171</f>
        <v>-0.98128155092274949</v>
      </c>
      <c r="BA114" s="72">
        <f>BA$3*'Yield 1Y'!AH171</f>
        <v>-5.9192262901720065</v>
      </c>
      <c r="BB114" s="72">
        <f>BB$3*'Yield 1Y'!AI171</f>
        <v>-1.5983819147600016</v>
      </c>
      <c r="BC114" s="72">
        <f>BC$3*'Yield 1Y'!AJ171</f>
        <v>0</v>
      </c>
      <c r="BD114" s="72">
        <f>BD$3*'Yield 1Y'!AK171</f>
        <v>0</v>
      </c>
      <c r="BE114" s="177">
        <f t="shared" si="13"/>
        <v>8.4988897558547567</v>
      </c>
      <c r="BF114" s="124">
        <f>VLOOKUP(AT114,'Yield 1Y'!$F:$G,2,0)</f>
        <v>46098</v>
      </c>
      <c r="BG114" s="318">
        <f t="shared" si="15"/>
        <v>78</v>
      </c>
    </row>
    <row r="115" spans="1:59" x14ac:dyDescent="0.3">
      <c r="A115" s="37">
        <v>12</v>
      </c>
      <c r="B115" s="72">
        <f>'Yield 1Y'!R14*B$3</f>
        <v>0</v>
      </c>
      <c r="C115" s="72">
        <f>'Yield 1Y'!S14*C$3</f>
        <v>0</v>
      </c>
      <c r="D115" s="72">
        <f>'Yield 1Y'!T14*D$3</f>
        <v>-0.37804981804433674</v>
      </c>
      <c r="E115" s="72">
        <f>'Yield 1Y'!U14*E$3</f>
        <v>-0.63465789387126603</v>
      </c>
      <c r="F115" s="72">
        <f>'Yield 1Y'!V14*F$3</f>
        <v>-1.4029220159071914E-2</v>
      </c>
      <c r="G115" s="72">
        <f>'Yield 1Y'!W14*G$3</f>
        <v>-0.54104826964723052</v>
      </c>
      <c r="H115" s="72">
        <f>'Yield 1Y'!X14*H$3</f>
        <v>0</v>
      </c>
      <c r="I115" s="72">
        <f>'Yield 1Y'!Y14*I$3</f>
        <v>1.3454308859635717</v>
      </c>
      <c r="J115" s="72">
        <f>'Yield 1Y'!Z14*J$3</f>
        <v>0</v>
      </c>
      <c r="K115" s="72">
        <f>'Yield 1Y'!AA14*K$3</f>
        <v>0</v>
      </c>
      <c r="L115" s="177">
        <f t="shared" si="8"/>
        <v>0.22235431575833342</v>
      </c>
      <c r="M115" s="124">
        <f>VLOOKUP(A115,'Yield 1Y'!$F:$G,2,0)</f>
        <v>46237</v>
      </c>
      <c r="N115" s="318">
        <f t="shared" si="9"/>
        <v>184</v>
      </c>
      <c r="P115" s="37">
        <v>112</v>
      </c>
      <c r="Q115" s="72">
        <f>Q$3*'Yield 1Y'!R114</f>
        <v>0</v>
      </c>
      <c r="R115" s="72">
        <f>R$3*'Yield 1Y'!S114</f>
        <v>0</v>
      </c>
      <c r="S115" s="72">
        <f>S$3*'Yield 1Y'!T114</f>
        <v>0</v>
      </c>
      <c r="T115" s="72">
        <f>T$3*'Yield 1Y'!U114</f>
        <v>0</v>
      </c>
      <c r="U115" s="72">
        <f>U$3*'Yield 1Y'!V114</f>
        <v>0</v>
      </c>
      <c r="V115" s="72">
        <f>V$3*'Yield 1Y'!W114</f>
        <v>-0.89207413720249795</v>
      </c>
      <c r="W115" s="72">
        <f>W$3*'Yield 1Y'!X114</f>
        <v>-0.22766254962197496</v>
      </c>
      <c r="X115" s="72">
        <f>X$3*'Yield 1Y'!Y114</f>
        <v>-1.1987864360700102</v>
      </c>
      <c r="Y115" s="72">
        <f>Y$3*'Yield 1Y'!Z114</f>
        <v>0</v>
      </c>
      <c r="Z115" s="72">
        <f>Z$3*'Yield 1Y'!AA114</f>
        <v>0</v>
      </c>
      <c r="AA115" s="177">
        <f t="shared" si="10"/>
        <v>2.3185231228944829</v>
      </c>
      <c r="AB115" s="124">
        <f>VLOOKUP(P115,'Yield 1Y'!$F:$G,2,0)</f>
        <v>46092</v>
      </c>
      <c r="AC115" s="318">
        <f t="shared" si="14"/>
        <v>29</v>
      </c>
      <c r="AE115" s="37">
        <v>68</v>
      </c>
      <c r="AF115" s="72">
        <f>AF$3*'Yield 1Y'!AB70</f>
        <v>0</v>
      </c>
      <c r="AG115" s="72">
        <f>AG$3*'Yield 1Y'!AC70</f>
        <v>0</v>
      </c>
      <c r="AH115" s="72">
        <f>AH$3*'Yield 1Y'!AD70</f>
        <v>-9.2207272693742959E-2</v>
      </c>
      <c r="AI115" s="72">
        <f>AI$3*'Yield 1Y'!AE70</f>
        <v>-0.28848086085056612</v>
      </c>
      <c r="AJ115" s="72">
        <f>AJ$3*'Yield 1Y'!AF70</f>
        <v>-5.1440473916610864E-2</v>
      </c>
      <c r="AK115" s="72">
        <f>AK$3*'Yield 1Y'!AG70</f>
        <v>0.54104826964723052</v>
      </c>
      <c r="AL115" s="72">
        <f>AL$3*'Yield 1Y'!AH70</f>
        <v>7.0388160118001055</v>
      </c>
      <c r="AM115" s="72">
        <f>AM$3*'Yield 1Y'!AI70</f>
        <v>4.0362926578902671</v>
      </c>
      <c r="AN115" s="72">
        <f>AN$3*'Yield 1Y'!AJ70</f>
        <v>0</v>
      </c>
      <c r="AO115" s="72">
        <f>AO$3*'Yield 1Y'!AK70</f>
        <v>0</v>
      </c>
      <c r="AP115" s="177">
        <f t="shared" si="11"/>
        <v>-11.184028331876682</v>
      </c>
      <c r="AQ115" s="124">
        <f>VLOOKUP(AE115,'Yield 1Y'!$F:$G,2,0)</f>
        <v>46157</v>
      </c>
      <c r="AR115" s="318">
        <f t="shared" si="12"/>
        <v>252</v>
      </c>
      <c r="AT115" s="37">
        <v>109</v>
      </c>
      <c r="AU115" s="72">
        <f>AU$3*'Yield 1Y'!AB183</f>
        <v>0</v>
      </c>
      <c r="AV115" s="72">
        <f>AV$3*'Yield 1Y'!AC183</f>
        <v>0</v>
      </c>
      <c r="AW115" s="72">
        <f>AW$3*'Yield 1Y'!AD183</f>
        <v>0</v>
      </c>
      <c r="AX115" s="72">
        <f>AX$3*'Yield 1Y'!AE183</f>
        <v>0</v>
      </c>
      <c r="AY115" s="72">
        <f>AY$3*'Yield 1Y'!AF183</f>
        <v>0</v>
      </c>
      <c r="AZ115" s="72">
        <f>AZ$3*'Yield 1Y'!AG183</f>
        <v>-0.36957357112676026</v>
      </c>
      <c r="BA115" s="72">
        <f>BA$3*'Yield 1Y'!AH183</f>
        <v>-4.5532509924400051</v>
      </c>
      <c r="BB115" s="72">
        <f>BB$3*'Yield 1Y'!AI183</f>
        <v>-0.95902914885600099</v>
      </c>
      <c r="BC115" s="72">
        <f>BC$3*'Yield 1Y'!AJ183</f>
        <v>0</v>
      </c>
      <c r="BD115" s="72">
        <f>BD$3*'Yield 1Y'!AK183</f>
        <v>0</v>
      </c>
      <c r="BE115" s="177">
        <f t="shared" si="13"/>
        <v>5.8818537124227657</v>
      </c>
      <c r="BF115" s="124">
        <f>VLOOKUP(AT115,'Yield 1Y'!$F:$G,2,0)</f>
        <v>46097</v>
      </c>
      <c r="BG115" s="318">
        <f t="shared" si="15"/>
        <v>133</v>
      </c>
    </row>
    <row r="116" spans="1:59" x14ac:dyDescent="0.3">
      <c r="A116" s="37">
        <v>178</v>
      </c>
      <c r="B116" s="72">
        <f>'Yield 1Y'!R180*B$3</f>
        <v>0</v>
      </c>
      <c r="C116" s="72">
        <f>'Yield 1Y'!S180*C$3</f>
        <v>0</v>
      </c>
      <c r="D116" s="72">
        <f>'Yield 1Y'!T180*D$3</f>
        <v>0</v>
      </c>
      <c r="E116" s="72">
        <f>'Yield 1Y'!U180*E$3</f>
        <v>0</v>
      </c>
      <c r="F116" s="72">
        <f>'Yield 1Y'!V180*F$3</f>
        <v>0</v>
      </c>
      <c r="G116" s="72">
        <f>'Yield 1Y'!W180*G$3</f>
        <v>0</v>
      </c>
      <c r="H116" s="72">
        <f>'Yield 1Y'!X180*H$3</f>
        <v>1.6561920027765062</v>
      </c>
      <c r="I116" s="72">
        <f>'Yield 1Y'!Y180*I$3</f>
        <v>-4.3726503793810858</v>
      </c>
      <c r="J116" s="72">
        <f>'Yield 1Y'!Z180*J$3</f>
        <v>0</v>
      </c>
      <c r="K116" s="72">
        <f>'Yield 1Y'!AA180*K$3</f>
        <v>0</v>
      </c>
      <c r="L116" s="177">
        <f t="shared" si="8"/>
        <v>2.7164583766045798</v>
      </c>
      <c r="M116" s="124">
        <f>VLOOKUP(A116,'Yield 1Y'!$F:$G,2,0)</f>
        <v>45989</v>
      </c>
      <c r="N116" s="318">
        <f t="shared" si="9"/>
        <v>101</v>
      </c>
      <c r="P116" s="37">
        <v>113</v>
      </c>
      <c r="Q116" s="72">
        <f>Q$3*'Yield 1Y'!R115</f>
        <v>0</v>
      </c>
      <c r="R116" s="72">
        <f>R$3*'Yield 1Y'!S115</f>
        <v>0</v>
      </c>
      <c r="S116" s="72">
        <f>S$3*'Yield 1Y'!T115</f>
        <v>0</v>
      </c>
      <c r="T116" s="72">
        <f>T$3*'Yield 1Y'!U115</f>
        <v>0</v>
      </c>
      <c r="U116" s="72">
        <f>U$3*'Yield 1Y'!V115</f>
        <v>0</v>
      </c>
      <c r="V116" s="72">
        <f>V$3*'Yield 1Y'!W115</f>
        <v>0</v>
      </c>
      <c r="W116" s="72">
        <f>W$3*'Yield 1Y'!X115</f>
        <v>-1.024481473299039</v>
      </c>
      <c r="X116" s="72">
        <f>X$3*'Yield 1Y'!Y115</f>
        <v>-0.19979773934499578</v>
      </c>
      <c r="Y116" s="72">
        <f>Y$3*'Yield 1Y'!Z115</f>
        <v>0</v>
      </c>
      <c r="Z116" s="72">
        <f>Z$3*'Yield 1Y'!AA115</f>
        <v>0</v>
      </c>
      <c r="AA116" s="177">
        <f t="shared" si="10"/>
        <v>1.2242792126440349</v>
      </c>
      <c r="AB116" s="124">
        <f>VLOOKUP(P116,'Yield 1Y'!$F:$G,2,0)</f>
        <v>46091</v>
      </c>
      <c r="AC116" s="318">
        <f t="shared" si="14"/>
        <v>47</v>
      </c>
      <c r="AE116" s="37">
        <v>214</v>
      </c>
      <c r="AF116" s="72">
        <f>AF$3*'Yield 1Y'!AB216</f>
        <v>0</v>
      </c>
      <c r="AG116" s="72">
        <f>AG$3*'Yield 1Y'!AC216</f>
        <v>0</v>
      </c>
      <c r="AH116" s="72">
        <f>AH$3*'Yield 1Y'!AD216</f>
        <v>-0.32272545442809014</v>
      </c>
      <c r="AI116" s="72">
        <f>AI$3*'Yield 1Y'!AE216</f>
        <v>-1.6443409068482602</v>
      </c>
      <c r="AJ116" s="72">
        <f>AJ$3*'Yield 1Y'!AF216</f>
        <v>-0.16367423518921526</v>
      </c>
      <c r="AK116" s="72">
        <f>AK$3*'Yield 1Y'!AG216</f>
        <v>-7.5746757750620688</v>
      </c>
      <c r="AL116" s="72">
        <f>AL$3*'Yield 1Y'!AH216</f>
        <v>-16.975968028459143</v>
      </c>
      <c r="AM116" s="72">
        <f>AM$3*'Yield 1Y'!AI216</f>
        <v>-21.863251896905577</v>
      </c>
      <c r="AN116" s="72">
        <f>AN$3*'Yield 1Y'!AJ216</f>
        <v>0</v>
      </c>
      <c r="AO116" s="72">
        <f>AO$3*'Yield 1Y'!AK216</f>
        <v>0</v>
      </c>
      <c r="AP116" s="177">
        <f t="shared" si="11"/>
        <v>48.544636296892349</v>
      </c>
      <c r="AQ116" s="124">
        <f>VLOOKUP(AE116,'Yield 1Y'!$F:$G,2,0)</f>
        <v>45939</v>
      </c>
      <c r="AR116" s="318">
        <f t="shared" si="12"/>
        <v>85</v>
      </c>
      <c r="AT116" s="37">
        <v>110</v>
      </c>
      <c r="AU116" s="72">
        <f>AU$3*'Yield 1Y'!AB150</f>
        <v>0</v>
      </c>
      <c r="AV116" s="72">
        <f>AV$3*'Yield 1Y'!AC150</f>
        <v>0</v>
      </c>
      <c r="AW116" s="72">
        <f>AW$3*'Yield 1Y'!AD150</f>
        <v>0</v>
      </c>
      <c r="AX116" s="72">
        <f>AX$3*'Yield 1Y'!AE150</f>
        <v>0</v>
      </c>
      <c r="AY116" s="72">
        <f>AY$3*'Yield 1Y'!AF150</f>
        <v>0</v>
      </c>
      <c r="AZ116" s="72">
        <f>AZ$3*'Yield 1Y'!AG150</f>
        <v>-2.2811610079892537</v>
      </c>
      <c r="BA116" s="72">
        <f>BA$3*'Yield 1Y'!AH150</f>
        <v>-11.383127481100011</v>
      </c>
      <c r="BB116" s="72">
        <f>BB$3*'Yield 1Y'!AI150</f>
        <v>-8.15174776527601</v>
      </c>
      <c r="BC116" s="72">
        <f>BC$3*'Yield 1Y'!AJ150</f>
        <v>0</v>
      </c>
      <c r="BD116" s="72">
        <f>BD$3*'Yield 1Y'!AK150</f>
        <v>0</v>
      </c>
      <c r="BE116" s="177">
        <f t="shared" si="13"/>
        <v>21.816036254365276</v>
      </c>
      <c r="BF116" s="124">
        <f>VLOOKUP(AT116,'Yield 1Y'!$F:$G,2,0)</f>
        <v>46094</v>
      </c>
      <c r="BG116" s="318">
        <f t="shared" si="15"/>
        <v>20</v>
      </c>
    </row>
    <row r="117" spans="1:59" x14ac:dyDescent="0.3">
      <c r="A117" s="37">
        <v>220</v>
      </c>
      <c r="B117" s="72">
        <f>'Yield 1Y'!R222*B$3</f>
        <v>0</v>
      </c>
      <c r="C117" s="72">
        <f>'Yield 1Y'!S222*C$3</f>
        <v>0</v>
      </c>
      <c r="D117" s="72">
        <f>'Yield 1Y'!T222*D$3</f>
        <v>0</v>
      </c>
      <c r="E117" s="72">
        <f>'Yield 1Y'!U222*E$3</f>
        <v>-5.7696172170120914E-2</v>
      </c>
      <c r="F117" s="72">
        <f>'Yield 1Y'!V222*F$3</f>
        <v>-1.8705626878767399E-2</v>
      </c>
      <c r="G117" s="72">
        <f>'Yield 1Y'!W222*G$3</f>
        <v>-1.3526206741181965</v>
      </c>
      <c r="H117" s="72">
        <f>'Yield 1Y'!X222*H$3</f>
        <v>-1.2421440020822418</v>
      </c>
      <c r="I117" s="72">
        <f>'Yield 1Y'!Y222*I$3</f>
        <v>-1.6817886074542407</v>
      </c>
      <c r="J117" s="72">
        <f>'Yield 1Y'!Z222*J$3</f>
        <v>0</v>
      </c>
      <c r="K117" s="72">
        <f>'Yield 1Y'!AA222*K$3</f>
        <v>0</v>
      </c>
      <c r="L117" s="177">
        <f t="shared" si="8"/>
        <v>4.3529550827035672</v>
      </c>
      <c r="M117" s="124">
        <f>VLOOKUP(A117,'Yield 1Y'!$F:$G,2,0)</f>
        <v>45931</v>
      </c>
      <c r="N117" s="318">
        <f t="shared" si="9"/>
        <v>68</v>
      </c>
      <c r="P117" s="37">
        <v>114</v>
      </c>
      <c r="Q117" s="72">
        <f>Q$3*'Yield 1Y'!R116</f>
        <v>0</v>
      </c>
      <c r="R117" s="72">
        <f>R$3*'Yield 1Y'!S116</f>
        <v>0</v>
      </c>
      <c r="S117" s="72">
        <f>S$3*'Yield 1Y'!T116</f>
        <v>0</v>
      </c>
      <c r="T117" s="72">
        <f>T$3*'Yield 1Y'!U116</f>
        <v>0</v>
      </c>
      <c r="U117" s="72">
        <f>U$3*'Yield 1Y'!V116</f>
        <v>0</v>
      </c>
      <c r="V117" s="72">
        <f>V$3*'Yield 1Y'!W116</f>
        <v>-0.28036615740650311</v>
      </c>
      <c r="W117" s="72">
        <f>W$3*'Yield 1Y'!X116</f>
        <v>-1.2521440229210139</v>
      </c>
      <c r="X117" s="72">
        <f>X$3*'Yield 1Y'!Y116</f>
        <v>-0.91906960098698764</v>
      </c>
      <c r="Y117" s="72">
        <f>Y$3*'Yield 1Y'!Z116</f>
        <v>0</v>
      </c>
      <c r="Z117" s="72">
        <f>Z$3*'Yield 1Y'!AA116</f>
        <v>0</v>
      </c>
      <c r="AA117" s="177">
        <f t="shared" si="10"/>
        <v>2.4515797813145044</v>
      </c>
      <c r="AB117" s="124">
        <f>VLOOKUP(P117,'Yield 1Y'!$F:$G,2,0)</f>
        <v>46090</v>
      </c>
      <c r="AC117" s="318">
        <f t="shared" si="14"/>
        <v>26</v>
      </c>
      <c r="AE117" s="37">
        <v>213</v>
      </c>
      <c r="AF117" s="72">
        <f>AF$3*'Yield 1Y'!AB215</f>
        <v>0</v>
      </c>
      <c r="AG117" s="72">
        <f>AG$3*'Yield 1Y'!AC215</f>
        <v>0</v>
      </c>
      <c r="AH117" s="72">
        <f>AH$3*'Yield 1Y'!AD215</f>
        <v>-0.32272545442809014</v>
      </c>
      <c r="AI117" s="72">
        <f>AI$3*'Yield 1Y'!AE215</f>
        <v>-1.9328217676988393</v>
      </c>
      <c r="AJ117" s="72">
        <f>AJ$3*'Yield 1Y'!AF215</f>
        <v>-0.16367423518921526</v>
      </c>
      <c r="AK117" s="72">
        <f>AK$3*'Yield 1Y'!AG215</f>
        <v>-11.091489527769427</v>
      </c>
      <c r="AL117" s="72">
        <f>AL$3*'Yield 1Y'!AH215</f>
        <v>-16.975968028459143</v>
      </c>
      <c r="AM117" s="72">
        <f>AM$3*'Yield 1Y'!AI215</f>
        <v>-18.499674681997096</v>
      </c>
      <c r="AN117" s="72">
        <f>AN$3*'Yield 1Y'!AJ215</f>
        <v>0</v>
      </c>
      <c r="AO117" s="72">
        <f>AO$3*'Yield 1Y'!AK215</f>
        <v>0</v>
      </c>
      <c r="AP117" s="177">
        <f t="shared" si="11"/>
        <v>48.986353695541808</v>
      </c>
      <c r="AQ117" s="124">
        <f>VLOOKUP(AE117,'Yield 1Y'!$F:$G,2,0)</f>
        <v>45940</v>
      </c>
      <c r="AR117" s="318">
        <f t="shared" si="12"/>
        <v>83</v>
      </c>
      <c r="AT117" s="37">
        <v>111</v>
      </c>
      <c r="AU117" s="72">
        <f>AU$3*'Yield 1Y'!AB132</f>
        <v>0</v>
      </c>
      <c r="AV117" s="72">
        <f>AV$3*'Yield 1Y'!AC132</f>
        <v>0</v>
      </c>
      <c r="AW117" s="72">
        <f>AW$3*'Yield 1Y'!AD132</f>
        <v>0</v>
      </c>
      <c r="AX117" s="72">
        <f>AX$3*'Yield 1Y'!AE132</f>
        <v>0</v>
      </c>
      <c r="AY117" s="72">
        <f>AY$3*'Yield 1Y'!AF132</f>
        <v>0</v>
      </c>
      <c r="AZ117" s="72">
        <f>AZ$3*'Yield 1Y'!AG132</f>
        <v>-5.0975664982994391E-2</v>
      </c>
      <c r="BA117" s="72">
        <f>BA$3*'Yield 1Y'!AH132</f>
        <v>-1.9351316717869893</v>
      </c>
      <c r="BB117" s="72">
        <f>BB$3*'Yield 1Y'!AI132</f>
        <v>-1.4385437232840015</v>
      </c>
      <c r="BC117" s="72">
        <f>BC$3*'Yield 1Y'!AJ132</f>
        <v>0</v>
      </c>
      <c r="BD117" s="72">
        <f>BD$3*'Yield 1Y'!AK132</f>
        <v>0</v>
      </c>
      <c r="BE117" s="177">
        <f t="shared" si="13"/>
        <v>3.4246510600539852</v>
      </c>
      <c r="BF117" s="124">
        <f>VLOOKUP(AT117,'Yield 1Y'!$F:$G,2,0)</f>
        <v>46093</v>
      </c>
      <c r="BG117" s="318">
        <f t="shared" si="15"/>
        <v>188</v>
      </c>
    </row>
    <row r="118" spans="1:59" x14ac:dyDescent="0.3">
      <c r="A118" s="37">
        <v>17</v>
      </c>
      <c r="B118" s="72">
        <f>'Yield 1Y'!R19*B$3</f>
        <v>0</v>
      </c>
      <c r="C118" s="72">
        <f>'Yield 1Y'!S19*C$3</f>
        <v>0</v>
      </c>
      <c r="D118" s="72">
        <f>'Yield 1Y'!T19*D$3</f>
        <v>-0.15675236357935854</v>
      </c>
      <c r="E118" s="72">
        <f>'Yield 1Y'!U19*E$3</f>
        <v>-0.28848086085057895</v>
      </c>
      <c r="F118" s="72">
        <f>'Yield 1Y'!V19*F$3</f>
        <v>-1.8705626878769473E-2</v>
      </c>
      <c r="G118" s="72">
        <f>'Yield 1Y'!W19*G$3</f>
        <v>0.27052413482349513</v>
      </c>
      <c r="H118" s="72">
        <f>'Yield 1Y'!X19*H$3</f>
        <v>-1.2421440020824257</v>
      </c>
      <c r="I118" s="72">
        <f>'Yield 1Y'!Y19*I$3</f>
        <v>1.3454308859635717</v>
      </c>
      <c r="J118" s="72">
        <f>'Yield 1Y'!Z19*J$3</f>
        <v>0</v>
      </c>
      <c r="K118" s="72">
        <f>'Yield 1Y'!AA19*K$3</f>
        <v>0</v>
      </c>
      <c r="L118" s="177">
        <f t="shared" si="8"/>
        <v>9.0127832604065761E-2</v>
      </c>
      <c r="M118" s="124">
        <f>VLOOKUP(A118,'Yield 1Y'!$F:$G,2,0)</f>
        <v>46230</v>
      </c>
      <c r="N118" s="318">
        <f t="shared" si="9"/>
        <v>189</v>
      </c>
      <c r="P118" s="37">
        <v>115</v>
      </c>
      <c r="Q118" s="72">
        <f>Q$3*'Yield 1Y'!R117</f>
        <v>0</v>
      </c>
      <c r="R118" s="72">
        <f>R$3*'Yield 1Y'!S117</f>
        <v>0</v>
      </c>
      <c r="S118" s="72">
        <f>S$3*'Yield 1Y'!T117</f>
        <v>0</v>
      </c>
      <c r="T118" s="72">
        <f>T$3*'Yield 1Y'!U117</f>
        <v>0</v>
      </c>
      <c r="U118" s="72">
        <f>U$3*'Yield 1Y'!V117</f>
        <v>0</v>
      </c>
      <c r="V118" s="72">
        <f>V$3*'Yield 1Y'!W117</f>
        <v>0</v>
      </c>
      <c r="W118" s="72">
        <f>W$3*'Yield 1Y'!X117</f>
        <v>-0.22766254962197496</v>
      </c>
      <c r="X118" s="72">
        <f>X$3*'Yield 1Y'!Y117</f>
        <v>0</v>
      </c>
      <c r="Y118" s="72">
        <f>Y$3*'Yield 1Y'!Z117</f>
        <v>0</v>
      </c>
      <c r="Z118" s="72">
        <f>Z$3*'Yield 1Y'!AA117</f>
        <v>0</v>
      </c>
      <c r="AA118" s="177">
        <f t="shared" si="10"/>
        <v>0.22766254962197496</v>
      </c>
      <c r="AB118" s="124">
        <f>VLOOKUP(P118,'Yield 1Y'!$F:$G,2,0)</f>
        <v>46087</v>
      </c>
      <c r="AC118" s="318">
        <f t="shared" si="14"/>
        <v>139</v>
      </c>
      <c r="AE118" s="37">
        <v>210</v>
      </c>
      <c r="AF118" s="72">
        <f>AF$3*'Yield 1Y'!AB212</f>
        <v>0</v>
      </c>
      <c r="AG118" s="72">
        <f>AG$3*'Yield 1Y'!AC212</f>
        <v>0</v>
      </c>
      <c r="AH118" s="72">
        <f>AH$3*'Yield 1Y'!AD212</f>
        <v>-0.32272545442809014</v>
      </c>
      <c r="AI118" s="72">
        <f>AI$3*'Yield 1Y'!AE212</f>
        <v>-2.3078468868045805</v>
      </c>
      <c r="AJ118" s="72">
        <f>AJ$3*'Yield 1Y'!AF212</f>
        <v>-0.16367423518921526</v>
      </c>
      <c r="AK118" s="72">
        <f>AK$3*'Yield 1Y'!AG212</f>
        <v>-14.337779145653172</v>
      </c>
      <c r="AL118" s="72">
        <f>AL$3*'Yield 1Y'!AH212</f>
        <v>-16.975968028459143</v>
      </c>
      <c r="AM118" s="72">
        <f>AM$3*'Yield 1Y'!AI212</f>
        <v>-18.499674681997096</v>
      </c>
      <c r="AN118" s="72">
        <f>AN$3*'Yield 1Y'!AJ212</f>
        <v>0</v>
      </c>
      <c r="AO118" s="72">
        <f>AO$3*'Yield 1Y'!AK212</f>
        <v>0</v>
      </c>
      <c r="AP118" s="177">
        <f t="shared" si="11"/>
        <v>52.607668432531298</v>
      </c>
      <c r="AQ118" s="124">
        <f>VLOOKUP(AE118,'Yield 1Y'!$F:$G,2,0)</f>
        <v>45945</v>
      </c>
      <c r="AR118" s="318">
        <f t="shared" si="12"/>
        <v>75</v>
      </c>
      <c r="AT118" s="37">
        <v>112</v>
      </c>
      <c r="AU118" s="72">
        <f>AU$3*'Yield 1Y'!AB226</f>
        <v>0</v>
      </c>
      <c r="AV118" s="72">
        <f>AV$3*'Yield 1Y'!AC226</f>
        <v>0</v>
      </c>
      <c r="AW118" s="72">
        <f>AW$3*'Yield 1Y'!AD226</f>
        <v>0</v>
      </c>
      <c r="AX118" s="72">
        <f>AX$3*'Yield 1Y'!AE226</f>
        <v>0</v>
      </c>
      <c r="AY118" s="72">
        <f>AY$3*'Yield 1Y'!AF226</f>
        <v>0</v>
      </c>
      <c r="AZ118" s="72">
        <f>AZ$3*'Yield 1Y'!AG226</f>
        <v>-0.50975664983000046</v>
      </c>
      <c r="BA118" s="72">
        <f>BA$3*'Yield 1Y'!AH226</f>
        <v>-3.3011069695189907</v>
      </c>
      <c r="BB118" s="72">
        <f>BB$3*'Yield 1Y'!AI226</f>
        <v>-1.1188673403320011</v>
      </c>
      <c r="BC118" s="72">
        <f>BC$3*'Yield 1Y'!AJ226</f>
        <v>0</v>
      </c>
      <c r="BD118" s="72">
        <f>BD$3*'Yield 1Y'!AK226</f>
        <v>0</v>
      </c>
      <c r="BE118" s="177">
        <f t="shared" si="13"/>
        <v>4.9297309596809917</v>
      </c>
      <c r="BF118" s="124">
        <f>VLOOKUP(AT118,'Yield 1Y'!$F:$G,2,0)</f>
        <v>46092</v>
      </c>
      <c r="BG118" s="318">
        <f t="shared" si="15"/>
        <v>160</v>
      </c>
    </row>
    <row r="119" spans="1:59" x14ac:dyDescent="0.3">
      <c r="A119" s="37">
        <v>164</v>
      </c>
      <c r="B119" s="72">
        <f>'Yield 1Y'!R166*B$3</f>
        <v>0</v>
      </c>
      <c r="C119" s="72">
        <f>'Yield 1Y'!S166*C$3</f>
        <v>0</v>
      </c>
      <c r="D119" s="72">
        <f>'Yield 1Y'!T166*D$3</f>
        <v>-7.3765818154992738E-2</v>
      </c>
      <c r="E119" s="72">
        <f>'Yield 1Y'!U166*E$3</f>
        <v>-0.11539234434022902</v>
      </c>
      <c r="F119" s="72">
        <f>'Yield 1Y'!V166*F$3</f>
        <v>0</v>
      </c>
      <c r="G119" s="72">
        <f>'Yield 1Y'!W166*G$3</f>
        <v>-1.3526206741183167</v>
      </c>
      <c r="H119" s="72">
        <f>'Yield 1Y'!X166*H$3</f>
        <v>-7.0388160118001055</v>
      </c>
      <c r="I119" s="72">
        <f>'Yield 1Y'!Y166*I$3</f>
        <v>-6.3907967083259951</v>
      </c>
      <c r="J119" s="72">
        <f>'Yield 1Y'!Z166*J$3</f>
        <v>0</v>
      </c>
      <c r="K119" s="72">
        <f>'Yield 1Y'!AA166*K$3</f>
        <v>0</v>
      </c>
      <c r="L119" s="177">
        <f t="shared" si="8"/>
        <v>14.971391556739638</v>
      </c>
      <c r="M119" s="124">
        <f>VLOOKUP(A119,'Yield 1Y'!$F:$G,2,0)</f>
        <v>46009</v>
      </c>
      <c r="N119" s="318">
        <f t="shared" si="9"/>
        <v>27</v>
      </c>
      <c r="P119" s="37">
        <v>116</v>
      </c>
      <c r="Q119" s="72">
        <f>Q$3*'Yield 1Y'!R118</f>
        <v>0</v>
      </c>
      <c r="R119" s="72">
        <f>R$3*'Yield 1Y'!S118</f>
        <v>0</v>
      </c>
      <c r="S119" s="72">
        <f>S$3*'Yield 1Y'!T118</f>
        <v>0</v>
      </c>
      <c r="T119" s="72">
        <f>T$3*'Yield 1Y'!U118</f>
        <v>0</v>
      </c>
      <c r="U119" s="72">
        <f>U$3*'Yield 1Y'!V118</f>
        <v>0</v>
      </c>
      <c r="V119" s="72">
        <f>V$3*'Yield 1Y'!W118</f>
        <v>-2.5487832491497196E-2</v>
      </c>
      <c r="W119" s="72">
        <f>W$3*'Yield 1Y'!X118</f>
        <v>0.11383127481103802</v>
      </c>
      <c r="X119" s="72">
        <f>X$3*'Yield 1Y'!Y118</f>
        <v>-7.9919095738026705E-2</v>
      </c>
      <c r="Y119" s="72">
        <f>Y$3*'Yield 1Y'!Z118</f>
        <v>0</v>
      </c>
      <c r="Z119" s="72">
        <f>Z$3*'Yield 1Y'!AA118</f>
        <v>0</v>
      </c>
      <c r="AA119" s="177">
        <f t="shared" si="10"/>
        <v>-8.4243465815141277E-3</v>
      </c>
      <c r="AB119" s="124">
        <f>VLOOKUP(P119,'Yield 1Y'!$F:$G,2,0)</f>
        <v>46086</v>
      </c>
      <c r="AC119" s="318">
        <f t="shared" si="14"/>
        <v>196</v>
      </c>
      <c r="AE119" s="37">
        <v>209</v>
      </c>
      <c r="AF119" s="72">
        <f>AF$3*'Yield 1Y'!AB211</f>
        <v>0</v>
      </c>
      <c r="AG119" s="72">
        <f>AG$3*'Yield 1Y'!AC211</f>
        <v>0</v>
      </c>
      <c r="AH119" s="72">
        <f>AH$3*'Yield 1Y'!AD211</f>
        <v>-0.28584254535059789</v>
      </c>
      <c r="AI119" s="72">
        <f>AI$3*'Yield 1Y'!AE211</f>
        <v>-2.0482141120390556</v>
      </c>
      <c r="AJ119" s="72">
        <f>AJ$3*'Yield 1Y'!AF211</f>
        <v>-0.12626298143168047</v>
      </c>
      <c r="AK119" s="72">
        <f>AK$3*'Yield 1Y'!AG211</f>
        <v>-17.313544628713302</v>
      </c>
      <c r="AL119" s="72">
        <f>AL$3*'Yield 1Y'!AH211</f>
        <v>-16.147872027070797</v>
      </c>
      <c r="AM119" s="72">
        <f>AM$3*'Yield 1Y'!AI211</f>
        <v>-17.826959239015309</v>
      </c>
      <c r="AN119" s="72">
        <f>AN$3*'Yield 1Y'!AJ211</f>
        <v>0</v>
      </c>
      <c r="AO119" s="72">
        <f>AO$3*'Yield 1Y'!AK211</f>
        <v>0</v>
      </c>
      <c r="AP119" s="177">
        <f t="shared" si="11"/>
        <v>53.74869553362074</v>
      </c>
      <c r="AQ119" s="124">
        <f>VLOOKUP(AE119,'Yield 1Y'!$F:$G,2,0)</f>
        <v>45946</v>
      </c>
      <c r="AR119" s="318">
        <f t="shared" si="12"/>
        <v>71</v>
      </c>
      <c r="AT119" s="37">
        <v>113</v>
      </c>
      <c r="AU119" s="72">
        <f>AU$3*'Yield 1Y'!AB168</f>
        <v>0</v>
      </c>
      <c r="AV119" s="72">
        <f>AV$3*'Yield 1Y'!AC168</f>
        <v>0</v>
      </c>
      <c r="AW119" s="72">
        <f>AW$3*'Yield 1Y'!AD168</f>
        <v>0</v>
      </c>
      <c r="AX119" s="72">
        <f>AX$3*'Yield 1Y'!AE168</f>
        <v>0</v>
      </c>
      <c r="AY119" s="72">
        <f>AY$3*'Yield 1Y'!AF168</f>
        <v>0</v>
      </c>
      <c r="AZ119" s="72">
        <f>AZ$3*'Yield 1Y'!AG168</f>
        <v>-0.95579371843125227</v>
      </c>
      <c r="BA119" s="72">
        <f>BA$3*'Yield 1Y'!AH168</f>
        <v>-3.6426007939520035</v>
      </c>
      <c r="BB119" s="72">
        <f>BB$3*'Yield 1Y'!AI168</f>
        <v>-1.318665079676997</v>
      </c>
      <c r="BC119" s="72">
        <f>BC$3*'Yield 1Y'!AJ168</f>
        <v>0</v>
      </c>
      <c r="BD119" s="72">
        <f>BD$3*'Yield 1Y'!AK168</f>
        <v>0</v>
      </c>
      <c r="BE119" s="177">
        <f t="shared" si="13"/>
        <v>5.9170595920602524</v>
      </c>
      <c r="BF119" s="124">
        <f>VLOOKUP(AT119,'Yield 1Y'!$F:$G,2,0)</f>
        <v>46091</v>
      </c>
      <c r="BG119" s="318">
        <f t="shared" si="15"/>
        <v>130</v>
      </c>
    </row>
    <row r="120" spans="1:59" x14ac:dyDescent="0.3">
      <c r="A120" s="37">
        <v>30</v>
      </c>
      <c r="B120" s="72">
        <f>'Yield 1Y'!R32*B$3</f>
        <v>0</v>
      </c>
      <c r="C120" s="72">
        <f>'Yield 1Y'!S32*C$3</f>
        <v>0</v>
      </c>
      <c r="D120" s="72">
        <f>'Yield 1Y'!T32*D$3</f>
        <v>0</v>
      </c>
      <c r="E120" s="72">
        <f>'Yield 1Y'!U32*E$3</f>
        <v>-2.8848086085054053E-2</v>
      </c>
      <c r="F120" s="72">
        <f>'Yield 1Y'!V32*F$3</f>
        <v>-9.3528134393826602E-3</v>
      </c>
      <c r="G120" s="72">
        <f>'Yield 1Y'!W32*G$3</f>
        <v>-0.27052413482373544</v>
      </c>
      <c r="H120" s="72">
        <f>'Yield 1Y'!X32*H$3</f>
        <v>0</v>
      </c>
      <c r="I120" s="72">
        <f>'Yield 1Y'!Y32*I$3</f>
        <v>0</v>
      </c>
      <c r="J120" s="72">
        <f>'Yield 1Y'!Z32*J$3</f>
        <v>0</v>
      </c>
      <c r="K120" s="72">
        <f>'Yield 1Y'!AA32*K$3</f>
        <v>0</v>
      </c>
      <c r="L120" s="177">
        <f t="shared" si="8"/>
        <v>0.30872503434817217</v>
      </c>
      <c r="M120" s="124">
        <f>VLOOKUP(A120,'Yield 1Y'!$F:$G,2,0)</f>
        <v>46211</v>
      </c>
      <c r="N120" s="318">
        <f t="shared" si="9"/>
        <v>182</v>
      </c>
      <c r="P120" s="37">
        <v>117</v>
      </c>
      <c r="Q120" s="72">
        <f>Q$3*'Yield 1Y'!R119</f>
        <v>0</v>
      </c>
      <c r="R120" s="72">
        <f>R$3*'Yield 1Y'!S119</f>
        <v>0</v>
      </c>
      <c r="S120" s="72">
        <f>S$3*'Yield 1Y'!T119</f>
        <v>0</v>
      </c>
      <c r="T120" s="72">
        <f>T$3*'Yield 1Y'!U119</f>
        <v>0</v>
      </c>
      <c r="U120" s="72">
        <f>U$3*'Yield 1Y'!V119</f>
        <v>0</v>
      </c>
      <c r="V120" s="72">
        <f>V$3*'Yield 1Y'!W119</f>
        <v>0</v>
      </c>
      <c r="W120" s="72">
        <f>W$3*'Yield 1Y'!X119</f>
        <v>-0.45532509924405101</v>
      </c>
      <c r="X120" s="72">
        <f>X$3*'Yield 1Y'!Y119</f>
        <v>0</v>
      </c>
      <c r="Y120" s="72">
        <f>Y$3*'Yield 1Y'!Z119</f>
        <v>0</v>
      </c>
      <c r="Z120" s="72">
        <f>Z$3*'Yield 1Y'!AA119</f>
        <v>0</v>
      </c>
      <c r="AA120" s="177">
        <f t="shared" si="10"/>
        <v>0.45532509924405101</v>
      </c>
      <c r="AB120" s="124">
        <f>VLOOKUP(P120,'Yield 1Y'!$F:$G,2,0)</f>
        <v>46085</v>
      </c>
      <c r="AC120" s="318">
        <f t="shared" si="14"/>
        <v>99</v>
      </c>
      <c r="AE120" s="37">
        <v>208</v>
      </c>
      <c r="AF120" s="72">
        <f>AF$3*'Yield 1Y'!AB210</f>
        <v>0</v>
      </c>
      <c r="AG120" s="72">
        <f>AG$3*'Yield 1Y'!AC210</f>
        <v>0</v>
      </c>
      <c r="AH120" s="72">
        <f>AH$3*'Yield 1Y'!AD210</f>
        <v>-0.34116690896684038</v>
      </c>
      <c r="AI120" s="72">
        <f>AI$3*'Yield 1Y'!AE210</f>
        <v>-2.0482141120390556</v>
      </c>
      <c r="AJ120" s="72">
        <f>AJ$3*'Yield 1Y'!AF210</f>
        <v>-0.15432142174983052</v>
      </c>
      <c r="AK120" s="72">
        <f>AK$3*'Yield 1Y'!AG210</f>
        <v>-17.313544628713302</v>
      </c>
      <c r="AL120" s="72">
        <f>AL$3*'Yield 1Y'!AH210</f>
        <v>-19.04620803192973</v>
      </c>
      <c r="AM120" s="72">
        <f>AM$3*'Yield 1Y'!AI210</f>
        <v>-18.836032403487913</v>
      </c>
      <c r="AN120" s="72">
        <f>AN$3*'Yield 1Y'!AJ210</f>
        <v>0</v>
      </c>
      <c r="AO120" s="72">
        <f>AO$3*'Yield 1Y'!AK210</f>
        <v>0</v>
      </c>
      <c r="AP120" s="177">
        <f t="shared" si="11"/>
        <v>57.739487506886668</v>
      </c>
      <c r="AQ120" s="124">
        <f>VLOOKUP(AE120,'Yield 1Y'!$F:$G,2,0)</f>
        <v>45947</v>
      </c>
      <c r="AR120" s="318">
        <f t="shared" si="12"/>
        <v>65</v>
      </c>
      <c r="AT120" s="37">
        <v>114</v>
      </c>
      <c r="AU120" s="72">
        <f>AU$3*'Yield 1Y'!AB109</f>
        <v>0</v>
      </c>
      <c r="AV120" s="72">
        <f>AV$3*'Yield 1Y'!AC109</f>
        <v>0</v>
      </c>
      <c r="AW120" s="72">
        <f>AW$3*'Yield 1Y'!AD109</f>
        <v>0</v>
      </c>
      <c r="AX120" s="72">
        <f>AX$3*'Yield 1Y'!AE109</f>
        <v>0</v>
      </c>
      <c r="AY120" s="72">
        <f>AY$3*'Yield 1Y'!AF109</f>
        <v>0</v>
      </c>
      <c r="AZ120" s="72">
        <f>AZ$3*'Yield 1Y'!AG109</f>
        <v>-0.48426881733849197</v>
      </c>
      <c r="BA120" s="72">
        <f>BA$3*'Yield 1Y'!AH109</f>
        <v>-15.708715923917991</v>
      </c>
      <c r="BB120" s="72">
        <f>BB$3*'Yield 1Y'!AI109</f>
        <v>-7.5923140951099981</v>
      </c>
      <c r="BC120" s="72">
        <f>BC$3*'Yield 1Y'!AJ109</f>
        <v>0</v>
      </c>
      <c r="BD120" s="72">
        <f>BD$3*'Yield 1Y'!AK109</f>
        <v>0</v>
      </c>
      <c r="BE120" s="177">
        <f t="shared" si="13"/>
        <v>23.785298836366479</v>
      </c>
      <c r="BF120" s="124">
        <f>VLOOKUP(AT120,'Yield 1Y'!$F:$G,2,0)</f>
        <v>46090</v>
      </c>
      <c r="BG120" s="318">
        <f t="shared" si="15"/>
        <v>11</v>
      </c>
    </row>
    <row r="121" spans="1:59" x14ac:dyDescent="0.3">
      <c r="A121" s="37">
        <v>104</v>
      </c>
      <c r="B121" s="72">
        <f>'Yield 1Y'!R106*B$3</f>
        <v>0</v>
      </c>
      <c r="C121" s="72">
        <f>'Yield 1Y'!S106*C$3</f>
        <v>0</v>
      </c>
      <c r="D121" s="72">
        <f>'Yield 1Y'!T106*D$3</f>
        <v>-1.8441454538750231E-2</v>
      </c>
      <c r="E121" s="72">
        <f>'Yield 1Y'!U106*E$3</f>
        <v>-0.11539234434022902</v>
      </c>
      <c r="F121" s="72">
        <f>'Yield 1Y'!V106*F$3</f>
        <v>-2.3382033598458727E-2</v>
      </c>
      <c r="G121" s="72">
        <f>'Yield 1Y'!W106*G$3</f>
        <v>-2.9757654830601283</v>
      </c>
      <c r="H121" s="72">
        <f>'Yield 1Y'!X106*H$3</f>
        <v>2.4842880041644837</v>
      </c>
      <c r="I121" s="72">
        <f>'Yield 1Y'!Y106*I$3</f>
        <v>0</v>
      </c>
      <c r="J121" s="72">
        <f>'Yield 1Y'!Z106*J$3</f>
        <v>0</v>
      </c>
      <c r="K121" s="72">
        <f>'Yield 1Y'!AA106*K$3</f>
        <v>0</v>
      </c>
      <c r="L121" s="177">
        <f t="shared" si="8"/>
        <v>0.64869331137308262</v>
      </c>
      <c r="M121" s="124">
        <f>VLOOKUP(A121,'Yield 1Y'!$F:$G,2,0)</f>
        <v>46104</v>
      </c>
      <c r="N121" s="318">
        <f t="shared" si="9"/>
        <v>166</v>
      </c>
      <c r="P121" s="37">
        <v>118</v>
      </c>
      <c r="Q121" s="72">
        <f>Q$3*'Yield 1Y'!R120</f>
        <v>0</v>
      </c>
      <c r="R121" s="72">
        <f>R$3*'Yield 1Y'!S120</f>
        <v>0</v>
      </c>
      <c r="S121" s="72">
        <f>S$3*'Yield 1Y'!T120</f>
        <v>0</v>
      </c>
      <c r="T121" s="72">
        <f>T$3*'Yield 1Y'!U120</f>
        <v>0</v>
      </c>
      <c r="U121" s="72">
        <f>U$3*'Yield 1Y'!V120</f>
        <v>0</v>
      </c>
      <c r="V121" s="72">
        <f>V$3*'Yield 1Y'!W120</f>
        <v>0</v>
      </c>
      <c r="W121" s="72">
        <f>W$3*'Yield 1Y'!X120</f>
        <v>-0.56915637405498798</v>
      </c>
      <c r="X121" s="72">
        <f>X$3*'Yield 1Y'!Y120</f>
        <v>-0.19979773934499578</v>
      </c>
      <c r="Y121" s="72">
        <f>Y$3*'Yield 1Y'!Z120</f>
        <v>0</v>
      </c>
      <c r="Z121" s="72">
        <f>Z$3*'Yield 1Y'!AA120</f>
        <v>0</v>
      </c>
      <c r="AA121" s="177">
        <f t="shared" si="10"/>
        <v>0.76895411339998376</v>
      </c>
      <c r="AB121" s="124">
        <f>VLOOKUP(P121,'Yield 1Y'!$F:$G,2,0)</f>
        <v>46084</v>
      </c>
      <c r="AC121" s="318">
        <f t="shared" si="14"/>
        <v>67</v>
      </c>
      <c r="AE121" s="37">
        <v>211</v>
      </c>
      <c r="AF121" s="72">
        <f>AF$3*'Yield 1Y'!AB213</f>
        <v>0</v>
      </c>
      <c r="AG121" s="72">
        <f>AG$3*'Yield 1Y'!AC213</f>
        <v>0</v>
      </c>
      <c r="AH121" s="72">
        <f>AH$3*'Yield 1Y'!AD213</f>
        <v>-0.32272545442809014</v>
      </c>
      <c r="AI121" s="72">
        <f>AI$3*'Yield 1Y'!AE213</f>
        <v>-2.3078468868045805</v>
      </c>
      <c r="AJ121" s="72">
        <f>AJ$3*'Yield 1Y'!AF213</f>
        <v>-0.16367423518921526</v>
      </c>
      <c r="AK121" s="72">
        <f>AK$3*'Yield 1Y'!AG213</f>
        <v>-14.337779145653172</v>
      </c>
      <c r="AL121" s="72">
        <f>AL$3*'Yield 1Y'!AH213</f>
        <v>-16.975968028459143</v>
      </c>
      <c r="AM121" s="72">
        <f>AM$3*'Yield 1Y'!AI213</f>
        <v>-19.172390124978882</v>
      </c>
      <c r="AN121" s="72">
        <f>AN$3*'Yield 1Y'!AJ213</f>
        <v>0</v>
      </c>
      <c r="AO121" s="72">
        <f>AO$3*'Yield 1Y'!AK213</f>
        <v>0</v>
      </c>
      <c r="AP121" s="177">
        <f t="shared" si="11"/>
        <v>53.280383875513081</v>
      </c>
      <c r="AQ121" s="124">
        <f>VLOOKUP(AE121,'Yield 1Y'!$F:$G,2,0)</f>
        <v>45944</v>
      </c>
      <c r="AR121" s="318">
        <f t="shared" si="12"/>
        <v>74</v>
      </c>
      <c r="AT121" s="37">
        <v>115</v>
      </c>
      <c r="AU121" s="72">
        <f>AU$3*'Yield 1Y'!AB164</f>
        <v>0</v>
      </c>
      <c r="AV121" s="72">
        <f>AV$3*'Yield 1Y'!AC164</f>
        <v>0</v>
      </c>
      <c r="AW121" s="72">
        <f>AW$3*'Yield 1Y'!AD164</f>
        <v>0</v>
      </c>
      <c r="AX121" s="72">
        <f>AX$3*'Yield 1Y'!AE164</f>
        <v>0</v>
      </c>
      <c r="AY121" s="72">
        <f>AY$3*'Yield 1Y'!AF164</f>
        <v>0</v>
      </c>
      <c r="AZ121" s="72">
        <f>AZ$3*'Yield 1Y'!AG164</f>
        <v>-0.5479883985672519</v>
      </c>
      <c r="BA121" s="72">
        <f>BA$3*'Yield 1Y'!AH164</f>
        <v>-0.45532509924400044</v>
      </c>
      <c r="BB121" s="72">
        <f>BB$3*'Yield 1Y'!AI164</f>
        <v>-0.55943367016599166</v>
      </c>
      <c r="BC121" s="72">
        <f>BC$3*'Yield 1Y'!AJ164</f>
        <v>0</v>
      </c>
      <c r="BD121" s="72">
        <f>BD$3*'Yield 1Y'!AK164</f>
        <v>0</v>
      </c>
      <c r="BE121" s="177">
        <f t="shared" si="13"/>
        <v>1.562747167977244</v>
      </c>
      <c r="BF121" s="124">
        <f>VLOOKUP(AT121,'Yield 1Y'!$F:$G,2,0)</f>
        <v>46087</v>
      </c>
      <c r="BG121" s="318">
        <f t="shared" si="15"/>
        <v>217</v>
      </c>
    </row>
    <row r="122" spans="1:59" x14ac:dyDescent="0.3">
      <c r="A122" s="37">
        <v>68</v>
      </c>
      <c r="B122" s="72">
        <f>'Yield 1Y'!R70*B$3</f>
        <v>0</v>
      </c>
      <c r="C122" s="72">
        <f>'Yield 1Y'!S70*C$3</f>
        <v>0</v>
      </c>
      <c r="D122" s="72">
        <f>'Yield 1Y'!T70*D$3</f>
        <v>0</v>
      </c>
      <c r="E122" s="72">
        <f>'Yield 1Y'!U70*E$3</f>
        <v>-8.6544258255174963E-2</v>
      </c>
      <c r="F122" s="72">
        <f>'Yield 1Y'!V70*F$3</f>
        <v>-2.8058440318152134E-2</v>
      </c>
      <c r="G122" s="72">
        <f>'Yield 1Y'!W70*G$3</f>
        <v>0</v>
      </c>
      <c r="H122" s="72">
        <f>'Yield 1Y'!X70*H$3</f>
        <v>1.2421440020824257</v>
      </c>
      <c r="I122" s="72">
        <f>'Yield 1Y'!Y70*I$3</f>
        <v>0</v>
      </c>
      <c r="J122" s="72">
        <f>'Yield 1Y'!Z70*J$3</f>
        <v>0</v>
      </c>
      <c r="K122" s="72">
        <f>'Yield 1Y'!AA70*K$3</f>
        <v>0</v>
      </c>
      <c r="L122" s="177">
        <f t="shared" si="8"/>
        <v>-1.1275413035090986</v>
      </c>
      <c r="M122" s="124">
        <f>VLOOKUP(A122,'Yield 1Y'!$F:$G,2,0)</f>
        <v>46157</v>
      </c>
      <c r="N122" s="318">
        <f t="shared" si="9"/>
        <v>215</v>
      </c>
      <c r="P122" s="37">
        <v>119</v>
      </c>
      <c r="Q122" s="72">
        <f>Q$3*'Yield 1Y'!R121</f>
        <v>0</v>
      </c>
      <c r="R122" s="72">
        <f>R$3*'Yield 1Y'!S121</f>
        <v>0</v>
      </c>
      <c r="S122" s="72">
        <f>S$3*'Yield 1Y'!T121</f>
        <v>0</v>
      </c>
      <c r="T122" s="72">
        <f>T$3*'Yield 1Y'!U121</f>
        <v>0</v>
      </c>
      <c r="U122" s="72">
        <f>U$3*'Yield 1Y'!V121</f>
        <v>0</v>
      </c>
      <c r="V122" s="72">
        <f>V$3*'Yield 1Y'!W121</f>
        <v>-0.38231748737250321</v>
      </c>
      <c r="W122" s="72">
        <f>W$3*'Yield 1Y'!X121</f>
        <v>-4.32558844281803</v>
      </c>
      <c r="X122" s="72">
        <f>X$3*'Yield 1Y'!Y121</f>
        <v>-0.51947412229699608</v>
      </c>
      <c r="Y122" s="72">
        <f>Y$3*'Yield 1Y'!Z121</f>
        <v>0</v>
      </c>
      <c r="Z122" s="72">
        <f>Z$3*'Yield 1Y'!AA121</f>
        <v>0</v>
      </c>
      <c r="AA122" s="177">
        <f t="shared" si="10"/>
        <v>5.2273800524875291</v>
      </c>
      <c r="AB122" s="124">
        <f>VLOOKUP(P122,'Yield 1Y'!$F:$G,2,0)</f>
        <v>46083</v>
      </c>
      <c r="AC122" s="318">
        <f t="shared" si="14"/>
        <v>10</v>
      </c>
      <c r="AE122" s="37">
        <v>13</v>
      </c>
      <c r="AF122" s="72">
        <f>AF$3*'Yield 1Y'!AB15</f>
        <v>0</v>
      </c>
      <c r="AG122" s="72">
        <f>AG$3*'Yield 1Y'!AC15</f>
        <v>0</v>
      </c>
      <c r="AH122" s="72">
        <f>AH$3*'Yield 1Y'!AD15</f>
        <v>-0.497919272546203</v>
      </c>
      <c r="AI122" s="72">
        <f>AI$3*'Yield 1Y'!AE15</f>
        <v>0</v>
      </c>
      <c r="AJ122" s="72">
        <f>AJ$3*'Yield 1Y'!AF15</f>
        <v>-0.29461362334058705</v>
      </c>
      <c r="AK122" s="72">
        <f>AK$3*'Yield 1Y'!AG15</f>
        <v>0</v>
      </c>
      <c r="AL122" s="72">
        <f>AL$3*'Yield 1Y'!AH15</f>
        <v>-26.085024043729835</v>
      </c>
      <c r="AM122" s="72">
        <f>AM$3*'Yield 1Y'!AI15</f>
        <v>-11.772520252179984</v>
      </c>
      <c r="AN122" s="72">
        <f>AN$3*'Yield 1Y'!AJ15</f>
        <v>0</v>
      </c>
      <c r="AO122" s="72">
        <f>AO$3*'Yield 1Y'!AK15</f>
        <v>0</v>
      </c>
      <c r="AP122" s="177">
        <f t="shared" si="11"/>
        <v>38.650077191796612</v>
      </c>
      <c r="AQ122" s="124">
        <f>VLOOKUP(AE122,'Yield 1Y'!$F:$G,2,0)</f>
        <v>46234</v>
      </c>
      <c r="AR122" s="318">
        <f t="shared" si="12"/>
        <v>133</v>
      </c>
      <c r="AT122" s="37">
        <v>116</v>
      </c>
      <c r="AU122" s="72">
        <f>AU$3*'Yield 1Y'!AB120</f>
        <v>0</v>
      </c>
      <c r="AV122" s="72">
        <f>AV$3*'Yield 1Y'!AC120</f>
        <v>0</v>
      </c>
      <c r="AW122" s="72">
        <f>AW$3*'Yield 1Y'!AD120</f>
        <v>0</v>
      </c>
      <c r="AX122" s="72">
        <f>AX$3*'Yield 1Y'!AE120</f>
        <v>0</v>
      </c>
      <c r="AY122" s="72">
        <f>AY$3*'Yield 1Y'!AF120</f>
        <v>0</v>
      </c>
      <c r="AZ122" s="72">
        <f>AZ$3*'Yield 1Y'!AG120</f>
        <v>-0.73914714225350919</v>
      </c>
      <c r="BA122" s="72">
        <f>BA$3*'Yield 1Y'!AH120</f>
        <v>-3.5287695191410164</v>
      </c>
      <c r="BB122" s="72">
        <f>BB$3*'Yield 1Y'!AI120</f>
        <v>-1.8780987498430064</v>
      </c>
      <c r="BC122" s="72">
        <f>BC$3*'Yield 1Y'!AJ120</f>
        <v>0</v>
      </c>
      <c r="BD122" s="72">
        <f>BD$3*'Yield 1Y'!AK120</f>
        <v>0</v>
      </c>
      <c r="BE122" s="177">
        <f t="shared" si="13"/>
        <v>6.1460154112375314</v>
      </c>
      <c r="BF122" s="124">
        <f>VLOOKUP(AT122,'Yield 1Y'!$F:$G,2,0)</f>
        <v>46086</v>
      </c>
      <c r="BG122" s="318">
        <f t="shared" si="15"/>
        <v>125</v>
      </c>
    </row>
    <row r="123" spans="1:59" x14ac:dyDescent="0.3">
      <c r="A123" s="37">
        <v>166</v>
      </c>
      <c r="B123" s="72">
        <f>'Yield 1Y'!R168*B$3</f>
        <v>0</v>
      </c>
      <c r="C123" s="72">
        <f>'Yield 1Y'!S168*C$3</f>
        <v>0</v>
      </c>
      <c r="D123" s="72">
        <f>'Yield 1Y'!T168*D$3</f>
        <v>0</v>
      </c>
      <c r="E123" s="72">
        <f>'Yield 1Y'!U168*E$3</f>
        <v>-0.20193660259540397</v>
      </c>
      <c r="F123" s="72">
        <f>'Yield 1Y'!V168*F$3</f>
        <v>-6.5469694075686938E-2</v>
      </c>
      <c r="G123" s="72">
        <f>'Yield 1Y'!W168*G$3</f>
        <v>-1.6231448089418119</v>
      </c>
      <c r="H123" s="72">
        <f>'Yield 1Y'!X168*H$3</f>
        <v>-1.6561920027765062</v>
      </c>
      <c r="I123" s="72">
        <f>'Yield 1Y'!Y168*I$3</f>
        <v>0</v>
      </c>
      <c r="J123" s="72">
        <f>'Yield 1Y'!Z168*J$3</f>
        <v>0</v>
      </c>
      <c r="K123" s="72">
        <f>'Yield 1Y'!AA168*K$3</f>
        <v>0</v>
      </c>
      <c r="L123" s="177">
        <f t="shared" si="8"/>
        <v>3.5467431083894088</v>
      </c>
      <c r="M123" s="124">
        <f>VLOOKUP(A123,'Yield 1Y'!$F:$G,2,0)</f>
        <v>46007</v>
      </c>
      <c r="N123" s="318">
        <f t="shared" si="9"/>
        <v>81</v>
      </c>
      <c r="P123" s="37">
        <v>120</v>
      </c>
      <c r="Q123" s="72">
        <f>Q$3*'Yield 1Y'!R122</f>
        <v>0</v>
      </c>
      <c r="R123" s="72">
        <f>R$3*'Yield 1Y'!S122</f>
        <v>0</v>
      </c>
      <c r="S123" s="72">
        <f>S$3*'Yield 1Y'!T122</f>
        <v>0</v>
      </c>
      <c r="T123" s="72">
        <f>T$3*'Yield 1Y'!U122</f>
        <v>0</v>
      </c>
      <c r="U123" s="72">
        <f>U$3*'Yield 1Y'!V122</f>
        <v>0</v>
      </c>
      <c r="V123" s="72">
        <f>V$3*'Yield 1Y'!W122</f>
        <v>-3.823174873725145E-2</v>
      </c>
      <c r="W123" s="72">
        <f>W$3*'Yield 1Y'!X122</f>
        <v>0</v>
      </c>
      <c r="X123" s="72">
        <f>X$3*'Yield 1Y'!Y122</f>
        <v>0</v>
      </c>
      <c r="Y123" s="72">
        <f>Y$3*'Yield 1Y'!Z122</f>
        <v>0</v>
      </c>
      <c r="Z123" s="72">
        <f>Z$3*'Yield 1Y'!AA122</f>
        <v>0</v>
      </c>
      <c r="AA123" s="177">
        <f t="shared" si="10"/>
        <v>3.823174873725145E-2</v>
      </c>
      <c r="AB123" s="124">
        <f>VLOOKUP(P123,'Yield 1Y'!$F:$G,2,0)</f>
        <v>46080</v>
      </c>
      <c r="AC123" s="318">
        <f t="shared" si="14"/>
        <v>173</v>
      </c>
      <c r="AE123" s="37">
        <v>212</v>
      </c>
      <c r="AF123" s="72">
        <f>AF$3*'Yield 1Y'!AB214</f>
        <v>0</v>
      </c>
      <c r="AG123" s="72">
        <f>AG$3*'Yield 1Y'!AC214</f>
        <v>0</v>
      </c>
      <c r="AH123" s="72">
        <f>AH$3*'Yield 1Y'!AD214</f>
        <v>-0.32272545442809014</v>
      </c>
      <c r="AI123" s="72">
        <f>AI$3*'Yield 1Y'!AE214</f>
        <v>-2.0770621981241222</v>
      </c>
      <c r="AJ123" s="72">
        <f>AJ$3*'Yield 1Y'!AF214</f>
        <v>-0.16367423518921526</v>
      </c>
      <c r="AK123" s="72">
        <f>AK$3*'Yield 1Y'!AG214</f>
        <v>-12.17358606706401</v>
      </c>
      <c r="AL123" s="72">
        <f>AL$3*'Yield 1Y'!AH214</f>
        <v>-16.975968028459143</v>
      </c>
      <c r="AM123" s="72">
        <f>AM$3*'Yield 1Y'!AI214</f>
        <v>-18.499674681997096</v>
      </c>
      <c r="AN123" s="72">
        <f>AN$3*'Yield 1Y'!AJ214</f>
        <v>0</v>
      </c>
      <c r="AO123" s="72">
        <f>AO$3*'Yield 1Y'!AK214</f>
        <v>0</v>
      </c>
      <c r="AP123" s="177">
        <f t="shared" si="11"/>
        <v>50.212690665261675</v>
      </c>
      <c r="AQ123" s="124">
        <f>VLOOKUP(AE123,'Yield 1Y'!$F:$G,2,0)</f>
        <v>45943</v>
      </c>
      <c r="AR123" s="318">
        <f t="shared" si="12"/>
        <v>80</v>
      </c>
      <c r="AT123" s="37">
        <v>117</v>
      </c>
      <c r="AU123" s="72">
        <f>AU$3*'Yield 1Y'!AB172</f>
        <v>0</v>
      </c>
      <c r="AV123" s="72">
        <f>AV$3*'Yield 1Y'!AC172</f>
        <v>0</v>
      </c>
      <c r="AW123" s="72">
        <f>AW$3*'Yield 1Y'!AD172</f>
        <v>0</v>
      </c>
      <c r="AX123" s="72">
        <f>AX$3*'Yield 1Y'!AE172</f>
        <v>0</v>
      </c>
      <c r="AY123" s="72">
        <f>AY$3*'Yield 1Y'!AF172</f>
        <v>0</v>
      </c>
      <c r="AZ123" s="72">
        <f>AZ$3*'Yield 1Y'!AG172</f>
        <v>-0.81561063972800074</v>
      </c>
      <c r="BA123" s="72">
        <f>BA$3*'Yield 1Y'!AH172</f>
        <v>-5.9192262901720065</v>
      </c>
      <c r="BB123" s="72">
        <f>BB$3*'Yield 1Y'!AI172</f>
        <v>-1.3985841754150059</v>
      </c>
      <c r="BC123" s="72">
        <f>BC$3*'Yield 1Y'!AJ172</f>
        <v>0</v>
      </c>
      <c r="BD123" s="72">
        <f>BD$3*'Yield 1Y'!AK172</f>
        <v>0</v>
      </c>
      <c r="BE123" s="177">
        <f t="shared" si="13"/>
        <v>8.1334211053150138</v>
      </c>
      <c r="BF123" s="124">
        <f>VLOOKUP(AT123,'Yield 1Y'!$F:$G,2,0)</f>
        <v>46085</v>
      </c>
      <c r="BG123" s="318">
        <f t="shared" si="15"/>
        <v>85</v>
      </c>
    </row>
    <row r="124" spans="1:59" x14ac:dyDescent="0.3">
      <c r="A124" s="37">
        <v>240</v>
      </c>
      <c r="B124" s="72">
        <f>'Yield 1Y'!R242*B$3</f>
        <v>0</v>
      </c>
      <c r="C124" s="72">
        <f>'Yield 1Y'!S242*C$3</f>
        <v>0</v>
      </c>
      <c r="D124" s="72">
        <f>'Yield 1Y'!T242*D$3</f>
        <v>0</v>
      </c>
      <c r="E124" s="72">
        <f>'Yield 1Y'!U242*E$3</f>
        <v>5.7696172170120914E-2</v>
      </c>
      <c r="F124" s="72">
        <f>'Yield 1Y'!V242*F$3</f>
        <v>1.402922015907399E-2</v>
      </c>
      <c r="G124" s="72">
        <f>'Yield 1Y'!W242*G$3</f>
        <v>1.6231448089418119</v>
      </c>
      <c r="H124" s="72">
        <f>'Yield 1Y'!X242*H$3</f>
        <v>0.8280960013881612</v>
      </c>
      <c r="I124" s="72">
        <f>'Yield 1Y'!Y242*I$3</f>
        <v>0</v>
      </c>
      <c r="J124" s="72">
        <f>'Yield 1Y'!Z242*J$3</f>
        <v>0</v>
      </c>
      <c r="K124" s="72">
        <f>'Yield 1Y'!AA242*K$3</f>
        <v>0</v>
      </c>
      <c r="L124" s="177">
        <f t="shared" si="8"/>
        <v>-2.5229662026591679</v>
      </c>
      <c r="M124" s="124">
        <f>VLOOKUP(A124,'Yield 1Y'!$F:$G,2,0)</f>
        <v>45903</v>
      </c>
      <c r="N124" s="318">
        <f t="shared" si="9"/>
        <v>239</v>
      </c>
      <c r="P124" s="37">
        <v>121</v>
      </c>
      <c r="Q124" s="72">
        <f>Q$3*'Yield 1Y'!R123</f>
        <v>0</v>
      </c>
      <c r="R124" s="72">
        <f>R$3*'Yield 1Y'!S123</f>
        <v>0</v>
      </c>
      <c r="S124" s="72">
        <f>S$3*'Yield 1Y'!T123</f>
        <v>0</v>
      </c>
      <c r="T124" s="72">
        <f>T$3*'Yield 1Y'!U123</f>
        <v>0</v>
      </c>
      <c r="U124" s="72">
        <f>U$3*'Yield 1Y'!V123</f>
        <v>0</v>
      </c>
      <c r="V124" s="72">
        <f>V$3*'Yield 1Y'!W123</f>
        <v>-5.0975664983000046E-2</v>
      </c>
      <c r="W124" s="72">
        <f>W$3*'Yield 1Y'!X123</f>
        <v>-0.34149382443301302</v>
      </c>
      <c r="X124" s="72">
        <f>X$3*'Yield 1Y'!Y123</f>
        <v>-0.279716835082987</v>
      </c>
      <c r="Y124" s="72">
        <f>Y$3*'Yield 1Y'!Z123</f>
        <v>0</v>
      </c>
      <c r="Z124" s="72">
        <f>Z$3*'Yield 1Y'!AA123</f>
        <v>0</v>
      </c>
      <c r="AA124" s="177">
        <f t="shared" si="10"/>
        <v>0.67218632449900007</v>
      </c>
      <c r="AB124" s="124">
        <f>VLOOKUP(P124,'Yield 1Y'!$F:$G,2,0)</f>
        <v>46079</v>
      </c>
      <c r="AC124" s="318">
        <f t="shared" si="14"/>
        <v>73</v>
      </c>
      <c r="AE124" s="37">
        <v>149</v>
      </c>
      <c r="AF124" s="72">
        <f>AF$3*'Yield 1Y'!AB151</f>
        <v>0</v>
      </c>
      <c r="AG124" s="72">
        <f>AG$3*'Yield 1Y'!AC151</f>
        <v>0</v>
      </c>
      <c r="AH124" s="72">
        <f>AH$3*'Yield 1Y'!AD151</f>
        <v>-1.0511629087086485</v>
      </c>
      <c r="AI124" s="72">
        <f>AI$3*'Yield 1Y'!AE151</f>
        <v>-5.0484150648850354</v>
      </c>
      <c r="AJ124" s="72">
        <f>AJ$3*'Yield 1Y'!AF151</f>
        <v>-0.53311036604486983</v>
      </c>
      <c r="AK124" s="72">
        <f>AK$3*'Yield 1Y'!AG151</f>
        <v>-44.095433976253979</v>
      </c>
      <c r="AL124" s="72">
        <f>AL$3*'Yield 1Y'!AH151</f>
        <v>-39.748608066636152</v>
      </c>
      <c r="AM124" s="72">
        <f>AM$3*'Yield 1Y'!AI151</f>
        <v>-67.271544298171122</v>
      </c>
      <c r="AN124" s="72">
        <f>AN$3*'Yield 1Y'!AJ151</f>
        <v>0</v>
      </c>
      <c r="AO124" s="72">
        <f>AO$3*'Yield 1Y'!AK151</f>
        <v>0</v>
      </c>
      <c r="AP124" s="177">
        <f t="shared" si="11"/>
        <v>157.74827468069981</v>
      </c>
      <c r="AQ124" s="124">
        <f>VLOOKUP(AE124,'Yield 1Y'!$F:$G,2,0)</f>
        <v>46034</v>
      </c>
      <c r="AR124" s="318">
        <f t="shared" si="12"/>
        <v>11</v>
      </c>
      <c r="AT124" s="37">
        <v>118</v>
      </c>
      <c r="AU124" s="72">
        <f>AU$3*'Yield 1Y'!AB156</f>
        <v>0</v>
      </c>
      <c r="AV124" s="72">
        <f>AV$3*'Yield 1Y'!AC156</f>
        <v>0</v>
      </c>
      <c r="AW124" s="72">
        <f>AW$3*'Yield 1Y'!AD156</f>
        <v>0</v>
      </c>
      <c r="AX124" s="72">
        <f>AX$3*'Yield 1Y'!AE156</f>
        <v>0</v>
      </c>
      <c r="AY124" s="72">
        <f>AY$3*'Yield 1Y'!AF156</f>
        <v>0</v>
      </c>
      <c r="AZ124" s="72">
        <f>AZ$3*'Yield 1Y'!AG156</f>
        <v>-0.47152490109274903</v>
      </c>
      <c r="BA124" s="72">
        <f>BA$3*'Yield 1Y'!AH156</f>
        <v>-3.7564320687629911</v>
      </c>
      <c r="BB124" s="72">
        <f>BB$3*'Yield 1Y'!AI156</f>
        <v>-1.2387459839390058</v>
      </c>
      <c r="BC124" s="72">
        <f>BC$3*'Yield 1Y'!AJ156</f>
        <v>0</v>
      </c>
      <c r="BD124" s="72">
        <f>BD$3*'Yield 1Y'!AK156</f>
        <v>0</v>
      </c>
      <c r="BE124" s="177">
        <f t="shared" si="13"/>
        <v>5.466702953794746</v>
      </c>
      <c r="BF124" s="124">
        <f>VLOOKUP(AT124,'Yield 1Y'!$F:$G,2,0)</f>
        <v>46084</v>
      </c>
      <c r="BG124" s="318">
        <f t="shared" si="15"/>
        <v>147</v>
      </c>
    </row>
    <row r="125" spans="1:59" x14ac:dyDescent="0.3">
      <c r="A125" s="37">
        <v>125</v>
      </c>
      <c r="B125" s="72">
        <f>'Yield 1Y'!R127*B$3</f>
        <v>0</v>
      </c>
      <c r="C125" s="72">
        <f>'Yield 1Y'!S127*C$3</f>
        <v>0</v>
      </c>
      <c r="D125" s="72">
        <f>'Yield 1Y'!T127*D$3</f>
        <v>0</v>
      </c>
      <c r="E125" s="72">
        <f>'Yield 1Y'!U127*E$3</f>
        <v>5.7696172170108105E-2</v>
      </c>
      <c r="F125" s="72">
        <f>'Yield 1Y'!V127*F$3</f>
        <v>1.8705626878767399E-2</v>
      </c>
      <c r="G125" s="72">
        <f>'Yield 1Y'!W127*G$3</f>
        <v>0</v>
      </c>
      <c r="H125" s="72">
        <f>'Yield 1Y'!X127*H$3</f>
        <v>0</v>
      </c>
      <c r="I125" s="72">
        <f>'Yield 1Y'!Y127*I$3</f>
        <v>0</v>
      </c>
      <c r="J125" s="72">
        <f>'Yield 1Y'!Z127*J$3</f>
        <v>0</v>
      </c>
      <c r="K125" s="72">
        <f>'Yield 1Y'!AA127*K$3</f>
        <v>0</v>
      </c>
      <c r="L125" s="177">
        <f t="shared" si="8"/>
        <v>-7.6401799048875507E-2</v>
      </c>
      <c r="M125" s="124">
        <f>VLOOKUP(A125,'Yield 1Y'!$F:$G,2,0)</f>
        <v>46066</v>
      </c>
      <c r="N125" s="318">
        <f t="shared" si="9"/>
        <v>204.5</v>
      </c>
      <c r="P125" s="37">
        <v>122</v>
      </c>
      <c r="Q125" s="72">
        <f>Q$3*'Yield 1Y'!R124</f>
        <v>0</v>
      </c>
      <c r="R125" s="72">
        <f>R$3*'Yield 1Y'!S124</f>
        <v>0</v>
      </c>
      <c r="S125" s="72">
        <f>S$3*'Yield 1Y'!T124</f>
        <v>0</v>
      </c>
      <c r="T125" s="72">
        <f>T$3*'Yield 1Y'!U124</f>
        <v>0</v>
      </c>
      <c r="U125" s="72">
        <f>U$3*'Yield 1Y'!V124</f>
        <v>0</v>
      </c>
      <c r="V125" s="72">
        <f>V$3*'Yield 1Y'!W124</f>
        <v>0</v>
      </c>
      <c r="W125" s="72">
        <f>W$3*'Yield 1Y'!X124</f>
        <v>0</v>
      </c>
      <c r="X125" s="72">
        <f>X$3*'Yield 1Y'!Y124</f>
        <v>0</v>
      </c>
      <c r="Y125" s="72">
        <f>Y$3*'Yield 1Y'!Z124</f>
        <v>0</v>
      </c>
      <c r="Z125" s="72">
        <f>Z$3*'Yield 1Y'!AA124</f>
        <v>0</v>
      </c>
      <c r="AA125" s="177">
        <f t="shared" si="10"/>
        <v>0</v>
      </c>
      <c r="AB125" s="124">
        <f>VLOOKUP(P125,'Yield 1Y'!$F:$G,2,0)</f>
        <v>46078</v>
      </c>
      <c r="AC125" s="318">
        <f t="shared" si="14"/>
        <v>179</v>
      </c>
      <c r="AE125" s="37">
        <v>33</v>
      </c>
      <c r="AF125" s="72">
        <f>AF$3*'Yield 1Y'!AB35</f>
        <v>0</v>
      </c>
      <c r="AG125" s="72">
        <f>AG$3*'Yield 1Y'!AC35</f>
        <v>0</v>
      </c>
      <c r="AH125" s="72">
        <f>AH$3*'Yield 1Y'!AD35</f>
        <v>-0.1936352726568549</v>
      </c>
      <c r="AI125" s="72">
        <f>AI$3*'Yield 1Y'!AE35</f>
        <v>-0.60580980778619908</v>
      </c>
      <c r="AJ125" s="72">
        <f>AJ$3*'Yield 1Y'!AF35</f>
        <v>-0.13561579487106312</v>
      </c>
      <c r="AK125" s="72">
        <f>AK$3*'Yield 1Y'!AG35</f>
        <v>-5.6810068312965214</v>
      </c>
      <c r="AL125" s="72">
        <f>AL$3*'Yield 1Y'!AH35</f>
        <v>-7.0388160118002894</v>
      </c>
      <c r="AM125" s="72">
        <f>AM$3*'Yield 1Y'!AI35</f>
        <v>-4.3726503793810858</v>
      </c>
      <c r="AN125" s="72">
        <f>AN$3*'Yield 1Y'!AJ35</f>
        <v>0</v>
      </c>
      <c r="AO125" s="72">
        <f>AO$3*'Yield 1Y'!AK35</f>
        <v>0</v>
      </c>
      <c r="AP125" s="177">
        <f t="shared" si="11"/>
        <v>18.027534097792014</v>
      </c>
      <c r="AQ125" s="124">
        <f>VLOOKUP(AE125,'Yield 1Y'!$F:$G,2,0)</f>
        <v>46206</v>
      </c>
      <c r="AR125" s="318">
        <f t="shared" si="12"/>
        <v>211</v>
      </c>
      <c r="AT125" s="37">
        <v>119</v>
      </c>
      <c r="AU125" s="72">
        <f>AU$3*'Yield 1Y'!AB105</f>
        <v>0</v>
      </c>
      <c r="AV125" s="72">
        <f>AV$3*'Yield 1Y'!AC105</f>
        <v>0</v>
      </c>
      <c r="AW125" s="72">
        <f>AW$3*'Yield 1Y'!AD105</f>
        <v>0</v>
      </c>
      <c r="AX125" s="72">
        <f>AX$3*'Yield 1Y'!AE105</f>
        <v>0</v>
      </c>
      <c r="AY125" s="72">
        <f>AY$3*'Yield 1Y'!AF105</f>
        <v>0</v>
      </c>
      <c r="AZ125" s="72">
        <f>AZ$3*'Yield 1Y'!AG105</f>
        <v>-0.43329315235549759</v>
      </c>
      <c r="BA125" s="72">
        <f>BA$3*'Yield 1Y'!AH105</f>
        <v>-13.432090427697988</v>
      </c>
      <c r="BB125" s="72">
        <f>BB$3*'Yield 1Y'!AI105</f>
        <v>-6.4334872069090014</v>
      </c>
      <c r="BC125" s="72">
        <f>BC$3*'Yield 1Y'!AJ105</f>
        <v>0</v>
      </c>
      <c r="BD125" s="72">
        <f>BD$3*'Yield 1Y'!AK105</f>
        <v>0</v>
      </c>
      <c r="BE125" s="177">
        <f t="shared" si="13"/>
        <v>20.298870786962489</v>
      </c>
      <c r="BF125" s="124">
        <f>VLOOKUP(AT125,'Yield 1Y'!$F:$G,2,0)</f>
        <v>46083</v>
      </c>
      <c r="BG125" s="318">
        <f t="shared" si="15"/>
        <v>28</v>
      </c>
    </row>
    <row r="126" spans="1:59" x14ac:dyDescent="0.3">
      <c r="A126" s="37">
        <v>97</v>
      </c>
      <c r="B126" s="72">
        <f>'Yield 1Y'!R99*B$3</f>
        <v>0</v>
      </c>
      <c r="C126" s="72">
        <f>'Yield 1Y'!S99*C$3</f>
        <v>0</v>
      </c>
      <c r="D126" s="72">
        <f>'Yield 1Y'!T99*D$3</f>
        <v>0</v>
      </c>
      <c r="E126" s="72">
        <f>'Yield 1Y'!U99*E$3</f>
        <v>5.7696172170120914E-2</v>
      </c>
      <c r="F126" s="72">
        <f>'Yield 1Y'!V99*F$3</f>
        <v>1.870562687876532E-2</v>
      </c>
      <c r="G126" s="72">
        <f>'Yield 1Y'!W99*G$3</f>
        <v>0</v>
      </c>
      <c r="H126" s="72">
        <f>'Yield 1Y'!X99*H$3</f>
        <v>-1.2421440020824257</v>
      </c>
      <c r="I126" s="72">
        <f>'Yield 1Y'!Y99*I$3</f>
        <v>0</v>
      </c>
      <c r="J126" s="72">
        <f>'Yield 1Y'!Z99*J$3</f>
        <v>0</v>
      </c>
      <c r="K126" s="72">
        <f>'Yield 1Y'!AA99*K$3</f>
        <v>0</v>
      </c>
      <c r="L126" s="177">
        <f t="shared" si="8"/>
        <v>1.1657422030335394</v>
      </c>
      <c r="M126" s="124">
        <f>VLOOKUP(A126,'Yield 1Y'!$F:$G,2,0)</f>
        <v>46113</v>
      </c>
      <c r="N126" s="318">
        <f t="shared" si="9"/>
        <v>145</v>
      </c>
      <c r="P126" s="37">
        <v>123</v>
      </c>
      <c r="Q126" s="72">
        <f>Q$3*'Yield 1Y'!R125</f>
        <v>0</v>
      </c>
      <c r="R126" s="72">
        <f>R$3*'Yield 1Y'!S125</f>
        <v>0</v>
      </c>
      <c r="S126" s="72">
        <f>S$3*'Yield 1Y'!T125</f>
        <v>0</v>
      </c>
      <c r="T126" s="72">
        <f>T$3*'Yield 1Y'!U125</f>
        <v>0</v>
      </c>
      <c r="U126" s="72">
        <f>U$3*'Yield 1Y'!V125</f>
        <v>0</v>
      </c>
      <c r="V126" s="72">
        <f>V$3*'Yield 1Y'!W125</f>
        <v>0</v>
      </c>
      <c r="W126" s="72">
        <f>W$3*'Yield 1Y'!X125</f>
        <v>-0.22766254962197496</v>
      </c>
      <c r="X126" s="72">
        <f>X$3*'Yield 1Y'!Y125</f>
        <v>0</v>
      </c>
      <c r="Y126" s="72">
        <f>Y$3*'Yield 1Y'!Z125</f>
        <v>0</v>
      </c>
      <c r="Z126" s="72">
        <f>Z$3*'Yield 1Y'!AA125</f>
        <v>0</v>
      </c>
      <c r="AA126" s="177">
        <f t="shared" si="10"/>
        <v>0.22766254962197496</v>
      </c>
      <c r="AB126" s="124">
        <f>VLOOKUP(P126,'Yield 1Y'!$F:$G,2,0)</f>
        <v>46077</v>
      </c>
      <c r="AC126" s="318">
        <f t="shared" si="14"/>
        <v>139</v>
      </c>
      <c r="AE126" s="37">
        <v>148</v>
      </c>
      <c r="AF126" s="72">
        <f>AF$3*'Yield 1Y'!AB150</f>
        <v>0</v>
      </c>
      <c r="AG126" s="72">
        <f>AG$3*'Yield 1Y'!AC150</f>
        <v>0</v>
      </c>
      <c r="AH126" s="72">
        <f>AH$3*'Yield 1Y'!AD150</f>
        <v>-0.78376181789680088</v>
      </c>
      <c r="AI126" s="72">
        <f>AI$3*'Yield 1Y'!AE150</f>
        <v>-5.4234401839907767</v>
      </c>
      <c r="AJ126" s="72">
        <f>AJ$3*'Yield 1Y'!AF150</f>
        <v>-0.51440473916610241</v>
      </c>
      <c r="AK126" s="72">
        <f>AK$3*'Yield 1Y'!AG150</f>
        <v>-48.423820133432542</v>
      </c>
      <c r="AL126" s="72">
        <f>AL$3*'Yield 1Y'!AH150</f>
        <v>-41.404800069412659</v>
      </c>
      <c r="AM126" s="72">
        <f>AM$3*'Yield 1Y'!AI150</f>
        <v>-68.616975184134546</v>
      </c>
      <c r="AN126" s="72">
        <f>AN$3*'Yield 1Y'!AJ150</f>
        <v>0</v>
      </c>
      <c r="AO126" s="72">
        <f>AO$3*'Yield 1Y'!AK150</f>
        <v>0</v>
      </c>
      <c r="AP126" s="177">
        <f t="shared" si="11"/>
        <v>165.16720212803341</v>
      </c>
      <c r="AQ126" s="124">
        <f>VLOOKUP(AE126,'Yield 1Y'!$F:$G,2,0)</f>
        <v>46035</v>
      </c>
      <c r="AR126" s="318">
        <f t="shared" si="12"/>
        <v>10</v>
      </c>
      <c r="AT126" s="37">
        <v>120</v>
      </c>
      <c r="AU126" s="72">
        <f>AU$3*'Yield 1Y'!AB189</f>
        <v>0</v>
      </c>
      <c r="AV126" s="72">
        <f>AV$3*'Yield 1Y'!AC189</f>
        <v>0</v>
      </c>
      <c r="AW126" s="72">
        <f>AW$3*'Yield 1Y'!AD189</f>
        <v>0</v>
      </c>
      <c r="AX126" s="72">
        <f>AX$3*'Yield 1Y'!AE189</f>
        <v>0</v>
      </c>
      <c r="AY126" s="72">
        <f>AY$3*'Yield 1Y'!AF189</f>
        <v>0</v>
      </c>
      <c r="AZ126" s="72">
        <f>AZ$3*'Yield 1Y'!AG189</f>
        <v>-0.90481805344825228</v>
      </c>
      <c r="BA126" s="72">
        <f>BA$3*'Yield 1Y'!AH189</f>
        <v>-2.8457818702749904</v>
      </c>
      <c r="BB126" s="72">
        <f>BB$3*'Yield 1Y'!AI189</f>
        <v>-0.87911005311799206</v>
      </c>
      <c r="BC126" s="72">
        <f>BC$3*'Yield 1Y'!AJ189</f>
        <v>0</v>
      </c>
      <c r="BD126" s="72">
        <f>BD$3*'Yield 1Y'!AK189</f>
        <v>0</v>
      </c>
      <c r="BE126" s="177">
        <f t="shared" si="13"/>
        <v>4.6297099768412346</v>
      </c>
      <c r="BF126" s="124">
        <f>VLOOKUP(AT126,'Yield 1Y'!$F:$G,2,0)</f>
        <v>46080</v>
      </c>
      <c r="BG126" s="318">
        <f t="shared" si="15"/>
        <v>166</v>
      </c>
    </row>
    <row r="127" spans="1:59" x14ac:dyDescent="0.3">
      <c r="A127" s="114">
        <v>235</v>
      </c>
      <c r="B127" s="72">
        <f>'Yield 1Y'!R237*B$3</f>
        <v>0</v>
      </c>
      <c r="C127" s="72">
        <f>'Yield 1Y'!S237*C$3</f>
        <v>0</v>
      </c>
      <c r="D127" s="72">
        <f>'Yield 1Y'!T237*D$3</f>
        <v>0</v>
      </c>
      <c r="E127" s="72">
        <f>'Yield 1Y'!U237*E$3</f>
        <v>-0.14424043042528306</v>
      </c>
      <c r="F127" s="72">
        <f>'Yield 1Y'!V237*F$3</f>
        <v>-5.1440473916608789E-2</v>
      </c>
      <c r="G127" s="72">
        <f>'Yield 1Y'!W237*G$3</f>
        <v>-0.27052413482361526</v>
      </c>
      <c r="H127" s="72">
        <f>'Yield 1Y'!X237*H$3</f>
        <v>-0.82809600138834505</v>
      </c>
      <c r="I127" s="72">
        <f>'Yield 1Y'!Y237*I$3</f>
        <v>-0.67271544298178587</v>
      </c>
      <c r="J127" s="72">
        <f>'Yield 1Y'!Z237*J$3</f>
        <v>0</v>
      </c>
      <c r="K127" s="72">
        <f>'Yield 1Y'!AA237*K$3</f>
        <v>0</v>
      </c>
      <c r="L127" s="394">
        <f t="shared" si="8"/>
        <v>1.9670164835356381</v>
      </c>
      <c r="M127" s="124">
        <f>VLOOKUP(A127,'Yield 1Y'!$F:$G,2,0)</f>
        <v>45910</v>
      </c>
      <c r="N127" s="318">
        <f t="shared" si="9"/>
        <v>118</v>
      </c>
      <c r="P127" s="37">
        <v>124</v>
      </c>
      <c r="Q127" s="72">
        <f>Q$3*'Yield 1Y'!R126</f>
        <v>0</v>
      </c>
      <c r="R127" s="72">
        <f>R$3*'Yield 1Y'!S126</f>
        <v>0</v>
      </c>
      <c r="S127" s="72">
        <f>S$3*'Yield 1Y'!T126</f>
        <v>0</v>
      </c>
      <c r="T127" s="72">
        <f>T$3*'Yield 1Y'!U126</f>
        <v>0</v>
      </c>
      <c r="U127" s="72">
        <f>U$3*'Yield 1Y'!V126</f>
        <v>0</v>
      </c>
      <c r="V127" s="72">
        <f>V$3*'Yield 1Y'!W126</f>
        <v>0</v>
      </c>
      <c r="W127" s="72">
        <f>W$3*'Yield 1Y'!X126</f>
        <v>-0.11383127481093692</v>
      </c>
      <c r="X127" s="72">
        <f>X$3*'Yield 1Y'!Y126</f>
        <v>0</v>
      </c>
      <c r="Y127" s="72">
        <f>Y$3*'Yield 1Y'!Z126</f>
        <v>0</v>
      </c>
      <c r="Z127" s="72">
        <f>Z$3*'Yield 1Y'!AA126</f>
        <v>0</v>
      </c>
      <c r="AA127" s="177">
        <f t="shared" si="10"/>
        <v>0.11383127481093692</v>
      </c>
      <c r="AB127" s="124">
        <f>VLOOKUP(P127,'Yield 1Y'!$F:$G,2,0)</f>
        <v>46076</v>
      </c>
      <c r="AC127" s="318">
        <f t="shared" si="14"/>
        <v>162</v>
      </c>
      <c r="AE127" s="37">
        <v>147</v>
      </c>
      <c r="AF127" s="72">
        <f>AF$3*'Yield 1Y'!AB149</f>
        <v>0</v>
      </c>
      <c r="AG127" s="72">
        <f>AG$3*'Yield 1Y'!AC149</f>
        <v>0</v>
      </c>
      <c r="AH127" s="72">
        <f>AH$3*'Yield 1Y'!AD149</f>
        <v>-0.97739709055365576</v>
      </c>
      <c r="AI127" s="72">
        <f>AI$3*'Yield 1Y'!AE149</f>
        <v>-5.3080478396505351</v>
      </c>
      <c r="AJ127" s="72">
        <f>AJ$3*'Yield 1Y'!AF149</f>
        <v>-0.58455083996148072</v>
      </c>
      <c r="AK127" s="72">
        <f>AK$3*'Yield 1Y'!AG149</f>
        <v>-47.341723594137839</v>
      </c>
      <c r="AL127" s="72">
        <f>AL$3*'Yield 1Y'!AH149</f>
        <v>-47.615520079824414</v>
      </c>
      <c r="AM127" s="72">
        <f>AM$3*'Yield 1Y'!AI149</f>
        <v>-80.053137714823549</v>
      </c>
      <c r="AN127" s="72">
        <f>AN$3*'Yield 1Y'!AJ149</f>
        <v>0</v>
      </c>
      <c r="AO127" s="72">
        <f>AO$3*'Yield 1Y'!AK149</f>
        <v>0</v>
      </c>
      <c r="AP127" s="177">
        <f t="shared" si="11"/>
        <v>181.88037715895149</v>
      </c>
      <c r="AQ127" s="124">
        <f>VLOOKUP(AE127,'Yield 1Y'!$F:$G,2,0)</f>
        <v>46036</v>
      </c>
      <c r="AR127" s="318">
        <f t="shared" si="12"/>
        <v>4</v>
      </c>
      <c r="AT127" s="37">
        <v>121</v>
      </c>
      <c r="AU127" s="72">
        <f>AU$3*'Yield 1Y'!AB89</f>
        <v>0</v>
      </c>
      <c r="AV127" s="72">
        <f>AV$3*'Yield 1Y'!AC89</f>
        <v>0</v>
      </c>
      <c r="AW127" s="72">
        <f>AW$3*'Yield 1Y'!AD89</f>
        <v>0</v>
      </c>
      <c r="AX127" s="72">
        <f>AX$3*'Yield 1Y'!AE89</f>
        <v>0</v>
      </c>
      <c r="AY127" s="72">
        <f>AY$3*'Yield 1Y'!AF89</f>
        <v>0</v>
      </c>
      <c r="AZ127" s="72">
        <f>AZ$3*'Yield 1Y'!AG89</f>
        <v>5.0975664982994391E-2</v>
      </c>
      <c r="BA127" s="72">
        <f>BA$3*'Yield 1Y'!AH89</f>
        <v>-0.91065019848800088</v>
      </c>
      <c r="BB127" s="72">
        <f>BB$3*'Yield 1Y'!AI89</f>
        <v>-0.35963593082099593</v>
      </c>
      <c r="BC127" s="72">
        <f>BC$3*'Yield 1Y'!AJ89</f>
        <v>0</v>
      </c>
      <c r="BD127" s="72">
        <f>BD$3*'Yield 1Y'!AK89</f>
        <v>0</v>
      </c>
      <c r="BE127" s="177">
        <f t="shared" si="13"/>
        <v>1.2193104643260024</v>
      </c>
      <c r="BF127" s="124">
        <f>VLOOKUP(AT127,'Yield 1Y'!$F:$G,2,0)</f>
        <v>46079</v>
      </c>
      <c r="BG127" s="318">
        <f t="shared" si="15"/>
        <v>225</v>
      </c>
    </row>
    <row r="128" spans="1:59" x14ac:dyDescent="0.3">
      <c r="A128" s="37">
        <v>182</v>
      </c>
      <c r="B128" s="72">
        <f>'Yield 1Y'!R184*B$3</f>
        <v>0</v>
      </c>
      <c r="C128" s="72">
        <f>'Yield 1Y'!S184*C$3</f>
        <v>0</v>
      </c>
      <c r="D128" s="72">
        <f>'Yield 1Y'!T184*D$3</f>
        <v>0</v>
      </c>
      <c r="E128" s="72">
        <f>'Yield 1Y'!U184*E$3</f>
        <v>0</v>
      </c>
      <c r="F128" s="72">
        <f>'Yield 1Y'!V184*F$3</f>
        <v>0</v>
      </c>
      <c r="G128" s="72">
        <f>'Yield 1Y'!W184*G$3</f>
        <v>0</v>
      </c>
      <c r="H128" s="72">
        <f>'Yield 1Y'!X184*H$3</f>
        <v>-7.4528640124943699</v>
      </c>
      <c r="I128" s="72">
        <f>'Yield 1Y'!Y184*I$3</f>
        <v>0</v>
      </c>
      <c r="J128" s="72">
        <f>'Yield 1Y'!Z184*J$3</f>
        <v>0</v>
      </c>
      <c r="K128" s="72">
        <f>'Yield 1Y'!AA184*K$3</f>
        <v>0</v>
      </c>
      <c r="L128" s="177">
        <f t="shared" si="8"/>
        <v>7.4528640124943699</v>
      </c>
      <c r="M128" s="124">
        <f>VLOOKUP(A128,'Yield 1Y'!$F:$G,2,0)</f>
        <v>45985</v>
      </c>
      <c r="N128" s="318">
        <f t="shared" si="9"/>
        <v>45</v>
      </c>
      <c r="P128" s="37">
        <v>125</v>
      </c>
      <c r="Q128" s="72">
        <f>Q$3*'Yield 1Y'!R127</f>
        <v>0</v>
      </c>
      <c r="R128" s="72">
        <f>R$3*'Yield 1Y'!S127</f>
        <v>0</v>
      </c>
      <c r="S128" s="72">
        <f>S$3*'Yield 1Y'!T127</f>
        <v>0</v>
      </c>
      <c r="T128" s="72">
        <f>T$3*'Yield 1Y'!U127</f>
        <v>0</v>
      </c>
      <c r="U128" s="72">
        <f>U$3*'Yield 1Y'!V127</f>
        <v>0</v>
      </c>
      <c r="V128" s="72">
        <f>V$3*'Yield 1Y'!W127</f>
        <v>0</v>
      </c>
      <c r="W128" s="72">
        <f>W$3*'Yield 1Y'!X127</f>
        <v>0</v>
      </c>
      <c r="X128" s="72">
        <f>X$3*'Yield 1Y'!Y127</f>
        <v>0</v>
      </c>
      <c r="Y128" s="72">
        <f>Y$3*'Yield 1Y'!Z127</f>
        <v>0</v>
      </c>
      <c r="Z128" s="72">
        <f>Z$3*'Yield 1Y'!AA127</f>
        <v>0</v>
      </c>
      <c r="AA128" s="177">
        <f t="shared" si="10"/>
        <v>0</v>
      </c>
      <c r="AB128" s="124">
        <f>VLOOKUP(P128,'Yield 1Y'!$F:$G,2,0)</f>
        <v>46066</v>
      </c>
      <c r="AC128" s="318">
        <f t="shared" si="14"/>
        <v>179</v>
      </c>
      <c r="AE128" s="37">
        <v>150</v>
      </c>
      <c r="AF128" s="72">
        <f>AF$3*'Yield 1Y'!AB152</f>
        <v>0</v>
      </c>
      <c r="AG128" s="72">
        <f>AG$3*'Yield 1Y'!AC152</f>
        <v>0</v>
      </c>
      <c r="AH128" s="72">
        <f>AH$3*'Yield 1Y'!AD152</f>
        <v>-1.2079152722880071</v>
      </c>
      <c r="AI128" s="72">
        <f>AI$3*'Yield 1Y'!AE152</f>
        <v>-5.1926554953102926</v>
      </c>
      <c r="AJ128" s="72">
        <f>AJ$3*'Yield 1Y'!AF152</f>
        <v>-0.65002053403716553</v>
      </c>
      <c r="AK128" s="72">
        <f>AK$3*'Yield 1Y'!AG152</f>
        <v>-45.989102920019647</v>
      </c>
      <c r="AL128" s="72">
        <f>AL$3*'Yield 1Y'!AH152</f>
        <v>-50.099808083989267</v>
      </c>
      <c r="AM128" s="72">
        <f>AM$3*'Yield 1Y'!AI152</f>
        <v>-70.971479234570566</v>
      </c>
      <c r="AN128" s="72">
        <f>AN$3*'Yield 1Y'!AJ152</f>
        <v>0</v>
      </c>
      <c r="AO128" s="72">
        <f>AO$3*'Yield 1Y'!AK152</f>
        <v>0</v>
      </c>
      <c r="AP128" s="177">
        <f t="shared" si="11"/>
        <v>174.11098154021494</v>
      </c>
      <c r="AQ128" s="124">
        <f>VLOOKUP(AE128,'Yield 1Y'!$F:$G,2,0)</f>
        <v>46031</v>
      </c>
      <c r="AR128" s="318">
        <f t="shared" si="12"/>
        <v>7</v>
      </c>
      <c r="AT128" s="37">
        <v>122</v>
      </c>
      <c r="AU128" s="72">
        <f>AU$3*'Yield 1Y'!AB197</f>
        <v>0</v>
      </c>
      <c r="AV128" s="72">
        <f>AV$3*'Yield 1Y'!AC197</f>
        <v>0</v>
      </c>
      <c r="AW128" s="72">
        <f>AW$3*'Yield 1Y'!AD197</f>
        <v>0</v>
      </c>
      <c r="AX128" s="72">
        <f>AX$3*'Yield 1Y'!AE197</f>
        <v>0</v>
      </c>
      <c r="AY128" s="72">
        <f>AY$3*'Yield 1Y'!AF197</f>
        <v>0</v>
      </c>
      <c r="AZ128" s="72">
        <f>AZ$3*'Yield 1Y'!AG197</f>
        <v>-0.79012280723650352</v>
      </c>
      <c r="BA128" s="72">
        <f>BA$3*'Yield 1Y'!AH197</f>
        <v>-0.91065019848800088</v>
      </c>
      <c r="BB128" s="72">
        <f>BB$3*'Yield 1Y'!AI197</f>
        <v>-0.23975728721400913</v>
      </c>
      <c r="BC128" s="72">
        <f>BC$3*'Yield 1Y'!AJ197</f>
        <v>0</v>
      </c>
      <c r="BD128" s="72">
        <f>BD$3*'Yield 1Y'!AK197</f>
        <v>0</v>
      </c>
      <c r="BE128" s="177">
        <f t="shared" si="13"/>
        <v>1.9405302929385133</v>
      </c>
      <c r="BF128" s="124">
        <f>VLOOKUP(AT128,'Yield 1Y'!$F:$G,2,0)</f>
        <v>46078</v>
      </c>
      <c r="BG128" s="318">
        <f t="shared" si="15"/>
        <v>213</v>
      </c>
    </row>
    <row r="129" spans="1:59" x14ac:dyDescent="0.3">
      <c r="A129" s="114">
        <v>203</v>
      </c>
      <c r="B129" s="72">
        <f>'Yield 1Y'!R205*B$3</f>
        <v>0</v>
      </c>
      <c r="C129" s="72">
        <f>'Yield 1Y'!S205*C$3</f>
        <v>0</v>
      </c>
      <c r="D129" s="72">
        <f>'Yield 1Y'!T205*D$3</f>
        <v>-7.3765818154992738E-2</v>
      </c>
      <c r="E129" s="72">
        <f>'Yield 1Y'!U205*E$3</f>
        <v>-0.17308851651034993</v>
      </c>
      <c r="F129" s="72">
        <f>'Yield 1Y'!V205*F$3</f>
        <v>-1.8705626878767399E-2</v>
      </c>
      <c r="G129" s="72">
        <f>'Yield 1Y'!W205*G$3</f>
        <v>0.54104826964723052</v>
      </c>
      <c r="H129" s="72">
        <f>'Yield 1Y'!X205*H$3</f>
        <v>1.6561920027765062</v>
      </c>
      <c r="I129" s="72">
        <f>'Yield 1Y'!Y205*I$3</f>
        <v>0</v>
      </c>
      <c r="J129" s="72">
        <f>'Yield 1Y'!Z205*J$3</f>
        <v>0</v>
      </c>
      <c r="K129" s="72">
        <f>'Yield 1Y'!AA205*K$3</f>
        <v>0</v>
      </c>
      <c r="L129" s="394">
        <f t="shared" si="8"/>
        <v>-1.9316803108796265</v>
      </c>
      <c r="M129" s="124">
        <f>VLOOKUP(A129,'Yield 1Y'!$F:$G,2,0)</f>
        <v>45954</v>
      </c>
      <c r="N129" s="318">
        <f t="shared" si="9"/>
        <v>232</v>
      </c>
      <c r="P129" s="37">
        <v>126</v>
      </c>
      <c r="Q129" s="72">
        <f>Q$3*'Yield 1Y'!R128</f>
        <v>0</v>
      </c>
      <c r="R129" s="72">
        <f>R$3*'Yield 1Y'!S128</f>
        <v>0</v>
      </c>
      <c r="S129" s="72">
        <f>S$3*'Yield 1Y'!T128</f>
        <v>0</v>
      </c>
      <c r="T129" s="72">
        <f>T$3*'Yield 1Y'!U128</f>
        <v>0</v>
      </c>
      <c r="U129" s="72">
        <f>U$3*'Yield 1Y'!V128</f>
        <v>0</v>
      </c>
      <c r="V129" s="72">
        <f>V$3*'Yield 1Y'!W128</f>
        <v>0</v>
      </c>
      <c r="W129" s="72">
        <f>W$3*'Yield 1Y'!X128</f>
        <v>0</v>
      </c>
      <c r="X129" s="72">
        <f>X$3*'Yield 1Y'!Y128</f>
        <v>0</v>
      </c>
      <c r="Y129" s="72">
        <f>Y$3*'Yield 1Y'!Z128</f>
        <v>0</v>
      </c>
      <c r="Z129" s="72">
        <f>Z$3*'Yield 1Y'!AA128</f>
        <v>0</v>
      </c>
      <c r="AA129" s="177">
        <f t="shared" si="10"/>
        <v>0</v>
      </c>
      <c r="AB129" s="124">
        <f>VLOOKUP(P129,'Yield 1Y'!$F:$G,2,0)</f>
        <v>46065</v>
      </c>
      <c r="AC129" s="318">
        <f t="shared" si="14"/>
        <v>179</v>
      </c>
      <c r="AE129" s="37">
        <v>145</v>
      </c>
      <c r="AF129" s="72">
        <f>AF$3*'Yield 1Y'!AB147</f>
        <v>0</v>
      </c>
      <c r="AG129" s="72">
        <f>AG$3*'Yield 1Y'!AC147</f>
        <v>0</v>
      </c>
      <c r="AH129" s="72">
        <f>AH$3*'Yield 1Y'!AD147</f>
        <v>-0.76532036335805065</v>
      </c>
      <c r="AI129" s="72">
        <f>AI$3*'Yield 1Y'!AE147</f>
        <v>-5.5099844422459263</v>
      </c>
      <c r="AJ129" s="72">
        <f>AJ$3*'Yield 1Y'!AF147</f>
        <v>-0.62196209371901545</v>
      </c>
      <c r="AK129" s="72">
        <f>AK$3*'Yield 1Y'!AG147</f>
        <v>-48.423820133432301</v>
      </c>
      <c r="AL129" s="72">
        <f>AL$3*'Yield 1Y'!AH147</f>
        <v>-50.927904085377428</v>
      </c>
      <c r="AM129" s="72">
        <f>AM$3*'Yield 1Y'!AI147</f>
        <v>-78.70770682886014</v>
      </c>
      <c r="AN129" s="72">
        <f>AN$3*'Yield 1Y'!AJ147</f>
        <v>0</v>
      </c>
      <c r="AO129" s="72">
        <f>AO$3*'Yield 1Y'!AK147</f>
        <v>0</v>
      </c>
      <c r="AP129" s="177">
        <f t="shared" si="11"/>
        <v>184.95669794699285</v>
      </c>
      <c r="AQ129" s="124">
        <f>VLOOKUP(AE129,'Yield 1Y'!$F:$G,2,0)</f>
        <v>46038</v>
      </c>
      <c r="AR129" s="318">
        <f t="shared" si="12"/>
        <v>2</v>
      </c>
      <c r="AT129" s="37">
        <v>123</v>
      </c>
      <c r="AU129" s="72">
        <f>AU$3*'Yield 1Y'!AB116</f>
        <v>0</v>
      </c>
      <c r="AV129" s="72">
        <f>AV$3*'Yield 1Y'!AC116</f>
        <v>0</v>
      </c>
      <c r="AW129" s="72">
        <f>AW$3*'Yield 1Y'!AD116</f>
        <v>0</v>
      </c>
      <c r="AX129" s="72">
        <f>AX$3*'Yield 1Y'!AE116</f>
        <v>0</v>
      </c>
      <c r="AY129" s="72">
        <f>AY$3*'Yield 1Y'!AF116</f>
        <v>0</v>
      </c>
      <c r="AZ129" s="72">
        <f>AZ$3*'Yield 1Y'!AG116</f>
        <v>-0.73914714225350919</v>
      </c>
      <c r="BA129" s="72">
        <f>BA$3*'Yield 1Y'!AH116</f>
        <v>-5.008576091684005</v>
      </c>
      <c r="BB129" s="72">
        <f>BB$3*'Yield 1Y'!AI116</f>
        <v>-2.4375324200089983</v>
      </c>
      <c r="BC129" s="72">
        <f>BC$3*'Yield 1Y'!AJ116</f>
        <v>0</v>
      </c>
      <c r="BD129" s="72">
        <f>BD$3*'Yield 1Y'!AK116</f>
        <v>0</v>
      </c>
      <c r="BE129" s="177">
        <f t="shared" si="13"/>
        <v>8.1852556539465127</v>
      </c>
      <c r="BF129" s="124">
        <f>VLOOKUP(AT129,'Yield 1Y'!$F:$G,2,0)</f>
        <v>46077</v>
      </c>
      <c r="BG129" s="318">
        <f t="shared" si="15"/>
        <v>84</v>
      </c>
    </row>
    <row r="130" spans="1:59" x14ac:dyDescent="0.3">
      <c r="A130" s="37">
        <v>52</v>
      </c>
      <c r="B130" s="72">
        <f>'Yield 1Y'!R54*B$3</f>
        <v>0</v>
      </c>
      <c r="C130" s="72">
        <f>'Yield 1Y'!S54*C$3</f>
        <v>0</v>
      </c>
      <c r="D130" s="72">
        <f>'Yield 1Y'!T54*D$3</f>
        <v>-3.6882909077496369E-2</v>
      </c>
      <c r="E130" s="72">
        <f>'Yield 1Y'!U54*E$3</f>
        <v>-8.6544258255174963E-2</v>
      </c>
      <c r="F130" s="72">
        <f>'Yield 1Y'!V54*F$3</f>
        <v>-4.6764067196892536E-3</v>
      </c>
      <c r="G130" s="72">
        <f>'Yield 1Y'!W54*G$3</f>
        <v>0</v>
      </c>
      <c r="H130" s="72">
        <f>'Yield 1Y'!X54*H$3</f>
        <v>-0.41404800069426445</v>
      </c>
      <c r="I130" s="72">
        <f>'Yield 1Y'!Y54*I$3</f>
        <v>-1.0090731644723054</v>
      </c>
      <c r="J130" s="72">
        <f>'Yield 1Y'!Z54*J$3</f>
        <v>0</v>
      </c>
      <c r="K130" s="72">
        <f>'Yield 1Y'!AA54*K$3</f>
        <v>0</v>
      </c>
      <c r="L130" s="177">
        <f t="shared" si="8"/>
        <v>1.5512247392189304</v>
      </c>
      <c r="M130" s="124">
        <f>VLOOKUP(A130,'Yield 1Y'!$F:$G,2,0)</f>
        <v>46181</v>
      </c>
      <c r="N130" s="318">
        <f t="shared" si="9"/>
        <v>134</v>
      </c>
      <c r="P130" s="37">
        <v>127</v>
      </c>
      <c r="Q130" s="72">
        <f>Q$3*'Yield 1Y'!R129</f>
        <v>0</v>
      </c>
      <c r="R130" s="72">
        <f>R$3*'Yield 1Y'!S129</f>
        <v>0</v>
      </c>
      <c r="S130" s="72">
        <f>S$3*'Yield 1Y'!T129</f>
        <v>0</v>
      </c>
      <c r="T130" s="72">
        <f>T$3*'Yield 1Y'!U129</f>
        <v>0</v>
      </c>
      <c r="U130" s="72">
        <f>U$3*'Yield 1Y'!V129</f>
        <v>0</v>
      </c>
      <c r="V130" s="72">
        <f>V$3*'Yield 1Y'!W129</f>
        <v>-0.14018307870324589</v>
      </c>
      <c r="W130" s="72">
        <f>W$3*'Yield 1Y'!X129</f>
        <v>-0.34149382443301302</v>
      </c>
      <c r="X130" s="72">
        <f>X$3*'Yield 1Y'!Y129</f>
        <v>-0.19979773934499578</v>
      </c>
      <c r="Y130" s="72">
        <f>Y$3*'Yield 1Y'!Z129</f>
        <v>0</v>
      </c>
      <c r="Z130" s="72">
        <f>Z$3*'Yield 1Y'!AA129</f>
        <v>0</v>
      </c>
      <c r="AA130" s="177">
        <f t="shared" si="10"/>
        <v>0.68147464248125467</v>
      </c>
      <c r="AB130" s="124">
        <f>VLOOKUP(P130,'Yield 1Y'!$F:$G,2,0)</f>
        <v>46064</v>
      </c>
      <c r="AC130" s="318">
        <f t="shared" si="14"/>
        <v>72</v>
      </c>
      <c r="AE130" s="37">
        <v>120</v>
      </c>
      <c r="AF130" s="72">
        <f>AF$3*'Yield 1Y'!AB122</f>
        <v>0</v>
      </c>
      <c r="AG130" s="72">
        <f>AG$3*'Yield 1Y'!AC122</f>
        <v>0</v>
      </c>
      <c r="AH130" s="72">
        <f>AH$3*'Yield 1Y'!AD122</f>
        <v>-0.35038763623621344</v>
      </c>
      <c r="AI130" s="72">
        <f>AI$3*'Yield 1Y'!AE122</f>
        <v>0</v>
      </c>
      <c r="AJ130" s="72">
        <f>AJ$3*'Yield 1Y'!AF122</f>
        <v>-0.10755735455291306</v>
      </c>
      <c r="AK130" s="72">
        <f>AK$3*'Yield 1Y'!AG122</f>
        <v>0</v>
      </c>
      <c r="AL130" s="72">
        <f>AL$3*'Yield 1Y'!AH122</f>
        <v>-12.835488021517969</v>
      </c>
      <c r="AM130" s="72">
        <f>AM$3*'Yield 1Y'!AI122</f>
        <v>-19.508747846469699</v>
      </c>
      <c r="AN130" s="72">
        <f>AN$3*'Yield 1Y'!AJ122</f>
        <v>0</v>
      </c>
      <c r="AO130" s="72">
        <f>AO$3*'Yield 1Y'!AK122</f>
        <v>0</v>
      </c>
      <c r="AP130" s="177">
        <f t="shared" si="11"/>
        <v>32.802180858776794</v>
      </c>
      <c r="AQ130" s="124">
        <f>VLOOKUP(AE130,'Yield 1Y'!$F:$G,2,0)</f>
        <v>46080</v>
      </c>
      <c r="AR130" s="318">
        <f t="shared" si="12"/>
        <v>158</v>
      </c>
      <c r="AT130" s="37">
        <v>124</v>
      </c>
      <c r="AU130" s="72">
        <f>AU$3*'Yield 1Y'!AB204</f>
        <v>0</v>
      </c>
      <c r="AV130" s="72">
        <f>AV$3*'Yield 1Y'!AC204</f>
        <v>0</v>
      </c>
      <c r="AW130" s="72">
        <f>AW$3*'Yield 1Y'!AD204</f>
        <v>0</v>
      </c>
      <c r="AX130" s="72">
        <f>AX$3*'Yield 1Y'!AE204</f>
        <v>0</v>
      </c>
      <c r="AY130" s="72">
        <f>AY$3*'Yield 1Y'!AF204</f>
        <v>0</v>
      </c>
      <c r="AZ130" s="72">
        <f>AZ$3*'Yield 1Y'!AG204</f>
        <v>-0.68817147727049777</v>
      </c>
      <c r="BA130" s="72">
        <f>BA$3*'Yield 1Y'!AH204</f>
        <v>-8.3096830612029962</v>
      </c>
      <c r="BB130" s="72">
        <f>BB$3*'Yield 1Y'!AI204</f>
        <v>-2.1578155849259932</v>
      </c>
      <c r="BC130" s="72">
        <f>BC$3*'Yield 1Y'!AJ204</f>
        <v>0</v>
      </c>
      <c r="BD130" s="72">
        <f>BD$3*'Yield 1Y'!AK204</f>
        <v>0</v>
      </c>
      <c r="BE130" s="177">
        <f t="shared" si="13"/>
        <v>11.155670123399487</v>
      </c>
      <c r="BF130" s="124">
        <f>VLOOKUP(AT130,'Yield 1Y'!$F:$G,2,0)</f>
        <v>46076</v>
      </c>
      <c r="BG130" s="318">
        <f t="shared" si="15"/>
        <v>55</v>
      </c>
    </row>
    <row r="131" spans="1:59" x14ac:dyDescent="0.3">
      <c r="A131" s="37">
        <v>128</v>
      </c>
      <c r="B131" s="72">
        <f>'Yield 1Y'!R130*B$3</f>
        <v>0</v>
      </c>
      <c r="C131" s="72">
        <f>'Yield 1Y'!S130*C$3</f>
        <v>0</v>
      </c>
      <c r="D131" s="72">
        <f>'Yield 1Y'!T130*D$3</f>
        <v>-0.23051818173435126</v>
      </c>
      <c r="E131" s="72">
        <f>'Yield 1Y'!U130*E$3</f>
        <v>-0.80774641038160311</v>
      </c>
      <c r="F131" s="72">
        <f>'Yield 1Y'!V130*F$3</f>
        <v>-0.13561579487106312</v>
      </c>
      <c r="G131" s="72">
        <f>'Yield 1Y'!W130*G$3</f>
        <v>-0.81157240447096601</v>
      </c>
      <c r="H131" s="72">
        <f>'Yield 1Y'!X130*H$3</f>
        <v>0</v>
      </c>
      <c r="I131" s="72">
        <f>'Yield 1Y'!Y130*I$3</f>
        <v>-1.0090731644726041</v>
      </c>
      <c r="J131" s="72">
        <f>'Yield 1Y'!Z130*J$3</f>
        <v>0</v>
      </c>
      <c r="K131" s="72">
        <f>'Yield 1Y'!AA130*K$3</f>
        <v>0</v>
      </c>
      <c r="L131" s="177">
        <f t="shared" si="8"/>
        <v>2.9945259559305875</v>
      </c>
      <c r="M131" s="124">
        <f>VLOOKUP(A131,'Yield 1Y'!$F:$G,2,0)</f>
        <v>46063</v>
      </c>
      <c r="N131" s="318">
        <f t="shared" si="9"/>
        <v>96</v>
      </c>
      <c r="P131" s="37">
        <v>128</v>
      </c>
      <c r="Q131" s="72">
        <f>Q$3*'Yield 1Y'!R130</f>
        <v>0</v>
      </c>
      <c r="R131" s="72">
        <f>R$3*'Yield 1Y'!S130</f>
        <v>0</v>
      </c>
      <c r="S131" s="72">
        <f>S$3*'Yield 1Y'!T130</f>
        <v>0</v>
      </c>
      <c r="T131" s="72">
        <f>T$3*'Yield 1Y'!U130</f>
        <v>0</v>
      </c>
      <c r="U131" s="72">
        <f>U$3*'Yield 1Y'!V130</f>
        <v>0</v>
      </c>
      <c r="V131" s="72">
        <f>V$3*'Yield 1Y'!W130</f>
        <v>-3.823174873725145E-2</v>
      </c>
      <c r="W131" s="72">
        <f>W$3*'Yield 1Y'!X130</f>
        <v>0</v>
      </c>
      <c r="X131" s="72">
        <f>X$3*'Yield 1Y'!Y130</f>
        <v>-0.11987864360700456</v>
      </c>
      <c r="Y131" s="72">
        <f>Y$3*'Yield 1Y'!Z130</f>
        <v>0</v>
      </c>
      <c r="Z131" s="72">
        <f>Z$3*'Yield 1Y'!AA130</f>
        <v>0</v>
      </c>
      <c r="AA131" s="177">
        <f t="shared" si="10"/>
        <v>0.158110392344256</v>
      </c>
      <c r="AB131" s="124">
        <f>VLOOKUP(P131,'Yield 1Y'!$F:$G,2,0)</f>
        <v>46063</v>
      </c>
      <c r="AC131" s="318">
        <f t="shared" si="14"/>
        <v>152</v>
      </c>
      <c r="AE131" s="37">
        <v>146</v>
      </c>
      <c r="AF131" s="72">
        <f>AF$3*'Yield 1Y'!AB148</f>
        <v>0</v>
      </c>
      <c r="AG131" s="72">
        <f>AG$3*'Yield 1Y'!AC148</f>
        <v>0</v>
      </c>
      <c r="AH131" s="72">
        <f>AH$3*'Yield 1Y'!AD148</f>
        <v>-0.72843745428055429</v>
      </c>
      <c r="AI131" s="72">
        <f>AI$3*'Yield 1Y'!AE148</f>
        <v>-5.5099844422459263</v>
      </c>
      <c r="AJ131" s="72">
        <f>AJ$3*'Yield 1Y'!AF148</f>
        <v>-0.73887226171131115</v>
      </c>
      <c r="AK131" s="72">
        <f>AK$3*'Yield 1Y'!AG148</f>
        <v>-48.423820133432301</v>
      </c>
      <c r="AL131" s="72">
        <f>AL$3*'Yield 1Y'!AH148</f>
        <v>-59.622912099954043</v>
      </c>
      <c r="AM131" s="72">
        <f>AM$3*'Yield 1Y'!AI148</f>
        <v>-84.425788094204634</v>
      </c>
      <c r="AN131" s="72">
        <f>AN$3*'Yield 1Y'!AJ148</f>
        <v>0</v>
      </c>
      <c r="AO131" s="72">
        <f>AO$3*'Yield 1Y'!AK148</f>
        <v>0</v>
      </c>
      <c r="AP131" s="177">
        <f t="shared" si="11"/>
        <v>199.44981448582877</v>
      </c>
      <c r="AQ131" s="124">
        <f>VLOOKUP(AE131,'Yield 1Y'!$F:$G,2,0)</f>
        <v>46037</v>
      </c>
      <c r="AR131" s="318">
        <f t="shared" si="12"/>
        <v>1</v>
      </c>
      <c r="AT131" s="37">
        <v>125</v>
      </c>
      <c r="AU131" s="72">
        <f>AU$3*'Yield 1Y'!AB103</f>
        <v>0</v>
      </c>
      <c r="AV131" s="72">
        <f>AV$3*'Yield 1Y'!AC103</f>
        <v>0</v>
      </c>
      <c r="AW131" s="72">
        <f>AW$3*'Yield 1Y'!AD103</f>
        <v>0</v>
      </c>
      <c r="AX131" s="72">
        <f>AX$3*'Yield 1Y'!AE103</f>
        <v>0</v>
      </c>
      <c r="AY131" s="72">
        <f>AY$3*'Yield 1Y'!AF103</f>
        <v>0</v>
      </c>
      <c r="AZ131" s="72">
        <f>AZ$3*'Yield 1Y'!AG103</f>
        <v>-0.31859790614375455</v>
      </c>
      <c r="BA131" s="72">
        <f>BA$3*'Yield 1Y'!AH103</f>
        <v>-10.01715218336801</v>
      </c>
      <c r="BB131" s="72">
        <f>BB$3*'Yield 1Y'!AI103</f>
        <v>-3.0768851859129986</v>
      </c>
      <c r="BC131" s="72">
        <f>BC$3*'Yield 1Y'!AJ103</f>
        <v>0</v>
      </c>
      <c r="BD131" s="72">
        <f>BD$3*'Yield 1Y'!AK103</f>
        <v>0</v>
      </c>
      <c r="BE131" s="177">
        <f t="shared" si="13"/>
        <v>13.412635275424762</v>
      </c>
      <c r="BF131" s="124">
        <f>VLOOKUP(AT131,'Yield 1Y'!$F:$G,2,0)</f>
        <v>46066</v>
      </c>
      <c r="BG131" s="318">
        <f t="shared" si="15"/>
        <v>38</v>
      </c>
    </row>
    <row r="132" spans="1:59" x14ac:dyDescent="0.3">
      <c r="A132" s="37">
        <v>37</v>
      </c>
      <c r="B132" s="72">
        <f>'Yield 1Y'!R39*B$3</f>
        <v>0</v>
      </c>
      <c r="C132" s="72">
        <f>'Yield 1Y'!S39*C$3</f>
        <v>0</v>
      </c>
      <c r="D132" s="72">
        <f>'Yield 1Y'!T39*D$3</f>
        <v>0</v>
      </c>
      <c r="E132" s="72">
        <f>'Yield 1Y'!U39*E$3</f>
        <v>-2.8848086085054053E-2</v>
      </c>
      <c r="F132" s="72">
        <f>'Yield 1Y'!V39*F$3</f>
        <v>-4.6764067196892536E-3</v>
      </c>
      <c r="G132" s="72">
        <f>'Yield 1Y'!W39*G$3</f>
        <v>0</v>
      </c>
      <c r="H132" s="72">
        <f>'Yield 1Y'!X39*H$3</f>
        <v>-1.2421440020824257</v>
      </c>
      <c r="I132" s="72">
        <f>'Yield 1Y'!Y39*I$3</f>
        <v>-1.6817886074542407</v>
      </c>
      <c r="J132" s="72">
        <f>'Yield 1Y'!Z39*J$3</f>
        <v>0</v>
      </c>
      <c r="K132" s="72">
        <f>'Yield 1Y'!AA39*K$3</f>
        <v>0</v>
      </c>
      <c r="L132" s="177">
        <f t="shared" ref="L132:L195" si="16">-SUM(B132:K132)</f>
        <v>2.9574571023414098</v>
      </c>
      <c r="M132" s="124">
        <f>VLOOKUP(A132,'Yield 1Y'!$F:$G,2,0)</f>
        <v>46202</v>
      </c>
      <c r="N132" s="318">
        <f t="shared" ref="N132:N195" si="17">_xlfn.RANK.AVG(L132,$L$4:$L$255)</f>
        <v>97</v>
      </c>
      <c r="P132" s="37">
        <v>129</v>
      </c>
      <c r="Q132" s="72">
        <f>Q$3*'Yield 1Y'!R131</f>
        <v>0</v>
      </c>
      <c r="R132" s="72">
        <f>R$3*'Yield 1Y'!S131</f>
        <v>0</v>
      </c>
      <c r="S132" s="72">
        <f>S$3*'Yield 1Y'!T131</f>
        <v>0</v>
      </c>
      <c r="T132" s="72">
        <f>T$3*'Yield 1Y'!U131</f>
        <v>0</v>
      </c>
      <c r="U132" s="72">
        <f>U$3*'Yield 1Y'!V131</f>
        <v>0</v>
      </c>
      <c r="V132" s="72">
        <f>V$3*'Yield 1Y'!W131</f>
        <v>-0.56073231481300057</v>
      </c>
      <c r="W132" s="72">
        <f>W$3*'Yield 1Y'!X131</f>
        <v>-2.162794221409015</v>
      </c>
      <c r="X132" s="72">
        <f>X$3*'Yield 1Y'!Y131</f>
        <v>0</v>
      </c>
      <c r="Y132" s="72">
        <f>Y$3*'Yield 1Y'!Z131</f>
        <v>0</v>
      </c>
      <c r="Z132" s="72">
        <f>Z$3*'Yield 1Y'!AA131</f>
        <v>0</v>
      </c>
      <c r="AA132" s="177">
        <f t="shared" ref="AA132:AA195" si="18">-SUM(Q132:Z132)</f>
        <v>2.7235265362220158</v>
      </c>
      <c r="AB132" s="124">
        <f>VLOOKUP(P132,'Yield 1Y'!$F:$G,2,0)</f>
        <v>46062</v>
      </c>
      <c r="AC132" s="318">
        <f t="shared" si="14"/>
        <v>24</v>
      </c>
      <c r="AE132" s="37">
        <v>226</v>
      </c>
      <c r="AF132" s="72">
        <f>AF$3*'Yield 1Y'!AB228</f>
        <v>0</v>
      </c>
      <c r="AG132" s="72">
        <f>AG$3*'Yield 1Y'!AC228</f>
        <v>0</v>
      </c>
      <c r="AH132" s="72">
        <f>AH$3*'Yield 1Y'!AD228</f>
        <v>-0.23051818173435126</v>
      </c>
      <c r="AI132" s="72">
        <f>AI$3*'Yield 1Y'!AE228</f>
        <v>-0.49041746344597009</v>
      </c>
      <c r="AJ132" s="72">
        <f>AJ$3*'Yield 1Y'!AF228</f>
        <v>-0.11691016799229571</v>
      </c>
      <c r="AK132" s="72">
        <f>AK$3*'Yield 1Y'!AG228</f>
        <v>-5.1399585616491708</v>
      </c>
      <c r="AL132" s="72">
        <f>AL$3*'Yield 1Y'!AH228</f>
        <v>-10.351200017353301</v>
      </c>
      <c r="AM132" s="72">
        <f>AM$3*'Yield 1Y'!AI228</f>
        <v>-8.0725853157805343</v>
      </c>
      <c r="AN132" s="72">
        <f>AN$3*'Yield 1Y'!AJ228</f>
        <v>0</v>
      </c>
      <c r="AO132" s="72">
        <f>AO$3*'Yield 1Y'!AK228</f>
        <v>0</v>
      </c>
      <c r="AP132" s="177">
        <f t="shared" ref="AP132:AP195" si="19">-SUM(AF132:AO132)</f>
        <v>24.401589707955623</v>
      </c>
      <c r="AQ132" s="124">
        <f>VLOOKUP(AE132,'Yield 1Y'!$F:$G,2,0)</f>
        <v>45923</v>
      </c>
      <c r="AR132" s="318">
        <f t="shared" ref="AR132:AR195" si="20">_xlfn.RANK.EQ(AP132,$AP$4:$AP$255)</f>
        <v>188</v>
      </c>
      <c r="AT132" s="37">
        <v>126</v>
      </c>
      <c r="AU132" s="72">
        <f>AU$3*'Yield 1Y'!AB169</f>
        <v>0</v>
      </c>
      <c r="AV132" s="72">
        <f>AV$3*'Yield 1Y'!AC169</f>
        <v>0</v>
      </c>
      <c r="AW132" s="72">
        <f>AW$3*'Yield 1Y'!AD169</f>
        <v>0</v>
      </c>
      <c r="AX132" s="72">
        <f>AX$3*'Yield 1Y'!AE169</f>
        <v>0</v>
      </c>
      <c r="AY132" s="72">
        <f>AY$3*'Yield 1Y'!AF169</f>
        <v>0</v>
      </c>
      <c r="AZ132" s="72">
        <f>AZ$3*'Yield 1Y'!AG169</f>
        <v>-1.0577450483972524</v>
      </c>
      <c r="BA132" s="72">
        <f>BA$3*'Yield 1Y'!AH169</f>
        <v>-4.5532509924400051</v>
      </c>
      <c r="BB132" s="72">
        <f>BB$3*'Yield 1Y'!AI169</f>
        <v>-1.3586246275459926</v>
      </c>
      <c r="BC132" s="72">
        <f>BC$3*'Yield 1Y'!AJ169</f>
        <v>0</v>
      </c>
      <c r="BD132" s="72">
        <f>BD$3*'Yield 1Y'!AK169</f>
        <v>0</v>
      </c>
      <c r="BE132" s="177">
        <f t="shared" ref="BE132:BE195" si="21">-SUM(AU132:BD132)</f>
        <v>6.96962066838325</v>
      </c>
      <c r="BF132" s="124">
        <f>VLOOKUP(AT132,'Yield 1Y'!$F:$G,2,0)</f>
        <v>46065</v>
      </c>
      <c r="BG132" s="318">
        <f t="shared" si="15"/>
        <v>113</v>
      </c>
    </row>
    <row r="133" spans="1:59" x14ac:dyDescent="0.3">
      <c r="A133" s="37">
        <v>129</v>
      </c>
      <c r="B133" s="72">
        <f>'Yield 1Y'!R131*B$3</f>
        <v>0</v>
      </c>
      <c r="C133" s="72">
        <f>'Yield 1Y'!S131*C$3</f>
        <v>0</v>
      </c>
      <c r="D133" s="72">
        <f>'Yield 1Y'!T131*D$3</f>
        <v>0</v>
      </c>
      <c r="E133" s="72">
        <f>'Yield 1Y'!U131*E$3</f>
        <v>-0.69235406604137406</v>
      </c>
      <c r="F133" s="72">
        <f>'Yield 1Y'!V131*F$3</f>
        <v>-0.2291439292649001</v>
      </c>
      <c r="G133" s="72">
        <f>'Yield 1Y'!W131*G$3</f>
        <v>-11.903061932240394</v>
      </c>
      <c r="H133" s="72">
        <f>'Yield 1Y'!X131*H$3</f>
        <v>-7.8669120131884505</v>
      </c>
      <c r="I133" s="72">
        <f>'Yield 1Y'!Y131*I$3</f>
        <v>0</v>
      </c>
      <c r="J133" s="72">
        <f>'Yield 1Y'!Z131*J$3</f>
        <v>0</v>
      </c>
      <c r="K133" s="72">
        <f>'Yield 1Y'!AA131*K$3</f>
        <v>0</v>
      </c>
      <c r="L133" s="177">
        <f t="shared" si="16"/>
        <v>20.69147194073512</v>
      </c>
      <c r="M133" s="124">
        <f>VLOOKUP(A133,'Yield 1Y'!$F:$G,2,0)</f>
        <v>46062</v>
      </c>
      <c r="N133" s="318">
        <f t="shared" si="17"/>
        <v>18</v>
      </c>
      <c r="P133" s="37">
        <v>130</v>
      </c>
      <c r="Q133" s="72">
        <f>Q$3*'Yield 1Y'!R132</f>
        <v>0</v>
      </c>
      <c r="R133" s="72">
        <f>R$3*'Yield 1Y'!S132</f>
        <v>0</v>
      </c>
      <c r="S133" s="72">
        <f>S$3*'Yield 1Y'!T132</f>
        <v>0</v>
      </c>
      <c r="T133" s="72">
        <f>T$3*'Yield 1Y'!U132</f>
        <v>0</v>
      </c>
      <c r="U133" s="72">
        <f>U$3*'Yield 1Y'!V132</f>
        <v>0</v>
      </c>
      <c r="V133" s="72">
        <f>V$3*'Yield 1Y'!W132</f>
        <v>0</v>
      </c>
      <c r="W133" s="72">
        <f>W$3*'Yield 1Y'!X132</f>
        <v>-0.34149382443301302</v>
      </c>
      <c r="X133" s="72">
        <f>X$3*'Yield 1Y'!Y132</f>
        <v>0</v>
      </c>
      <c r="Y133" s="72">
        <f>Y$3*'Yield 1Y'!Z132</f>
        <v>0</v>
      </c>
      <c r="Z133" s="72">
        <f>Z$3*'Yield 1Y'!AA132</f>
        <v>0</v>
      </c>
      <c r="AA133" s="177">
        <f t="shared" si="18"/>
        <v>0.34149382443301302</v>
      </c>
      <c r="AB133" s="124">
        <f>VLOOKUP(P133,'Yield 1Y'!$F:$G,2,0)</f>
        <v>46059</v>
      </c>
      <c r="AC133" s="318">
        <f t="shared" ref="AC133:AC196" si="22">_xlfn.RANK.EQ(AA133,$AA$4:$AA$255)</f>
        <v>115</v>
      </c>
      <c r="AE133" s="37">
        <v>143</v>
      </c>
      <c r="AF133" s="72">
        <f>AF$3*'Yield 1Y'!AB145</f>
        <v>0</v>
      </c>
      <c r="AG133" s="72">
        <f>AG$3*'Yield 1Y'!AC145</f>
        <v>0</v>
      </c>
      <c r="AH133" s="72">
        <f>AH$3*'Yield 1Y'!AD145</f>
        <v>-0.4149327271218331</v>
      </c>
      <c r="AI133" s="72">
        <f>AI$3*'Yield 1Y'!AE145</f>
        <v>-5.3368959257356012</v>
      </c>
      <c r="AJ133" s="72">
        <f>AJ$3*'Yield 1Y'!AF145</f>
        <v>-0.53311036604486983</v>
      </c>
      <c r="AK133" s="72">
        <f>AK$3*'Yield 1Y'!AG145</f>
        <v>-47.341723594137839</v>
      </c>
      <c r="AL133" s="72">
        <f>AL$3*'Yield 1Y'!AH145</f>
        <v>-41.404800069412659</v>
      </c>
      <c r="AM133" s="72">
        <f>AM$3*'Yield 1Y'!AI145</f>
        <v>-78.70770682886014</v>
      </c>
      <c r="AN133" s="72">
        <f>AN$3*'Yield 1Y'!AJ145</f>
        <v>0</v>
      </c>
      <c r="AO133" s="72">
        <f>AO$3*'Yield 1Y'!AK145</f>
        <v>0</v>
      </c>
      <c r="AP133" s="177">
        <f t="shared" si="19"/>
        <v>173.73916951131292</v>
      </c>
      <c r="AQ133" s="124">
        <f>VLOOKUP(AE133,'Yield 1Y'!$F:$G,2,0)</f>
        <v>46042</v>
      </c>
      <c r="AR133" s="318">
        <f t="shared" si="20"/>
        <v>8</v>
      </c>
      <c r="AT133" s="37">
        <v>127</v>
      </c>
      <c r="AU133" s="72">
        <f>AU$3*'Yield 1Y'!AB90</f>
        <v>0</v>
      </c>
      <c r="AV133" s="72">
        <f>AV$3*'Yield 1Y'!AC90</f>
        <v>0</v>
      </c>
      <c r="AW133" s="72">
        <f>AW$3*'Yield 1Y'!AD90</f>
        <v>0</v>
      </c>
      <c r="AX133" s="72">
        <f>AX$3*'Yield 1Y'!AE90</f>
        <v>0</v>
      </c>
      <c r="AY133" s="72">
        <f>AY$3*'Yield 1Y'!AF90</f>
        <v>0</v>
      </c>
      <c r="AZ133" s="72">
        <f>AZ$3*'Yield 1Y'!AG90</f>
        <v>0</v>
      </c>
      <c r="BA133" s="72">
        <f>BA$3*'Yield 1Y'!AH90</f>
        <v>-0.91065019848800088</v>
      </c>
      <c r="BB133" s="72">
        <f>BB$3*'Yield 1Y'!AI90</f>
        <v>-0.35963593082099593</v>
      </c>
      <c r="BC133" s="72">
        <f>BC$3*'Yield 1Y'!AJ90</f>
        <v>0</v>
      </c>
      <c r="BD133" s="72">
        <f>BD$3*'Yield 1Y'!AK90</f>
        <v>0</v>
      </c>
      <c r="BE133" s="177">
        <f t="shared" si="21"/>
        <v>1.2702861293089969</v>
      </c>
      <c r="BF133" s="124">
        <f>VLOOKUP(AT133,'Yield 1Y'!$F:$G,2,0)</f>
        <v>46064</v>
      </c>
      <c r="BG133" s="318">
        <f t="shared" ref="BG133:BG196" si="23">_xlfn.RANK.EQ(BE133,$BE$4:$BE$255)</f>
        <v>222</v>
      </c>
    </row>
    <row r="134" spans="1:59" x14ac:dyDescent="0.3">
      <c r="A134" s="37">
        <v>50</v>
      </c>
      <c r="B134" s="72">
        <f>'Yield 1Y'!R52*B$3</f>
        <v>0</v>
      </c>
      <c r="C134" s="72">
        <f>'Yield 1Y'!S52*C$3</f>
        <v>0</v>
      </c>
      <c r="D134" s="72">
        <f>'Yield 1Y'!T52*D$3</f>
        <v>-1.8441454538746137E-2</v>
      </c>
      <c r="E134" s="72">
        <f>'Yield 1Y'!U52*E$3</f>
        <v>-2.8848086085054053E-2</v>
      </c>
      <c r="F134" s="72">
        <f>'Yield 1Y'!V52*F$3</f>
        <v>0</v>
      </c>
      <c r="G134" s="72">
        <f>'Yield 1Y'!W52*G$3</f>
        <v>-1.3526206741181965</v>
      </c>
      <c r="H134" s="72">
        <f>'Yield 1Y'!X52*H$3</f>
        <v>-0.41404800069389674</v>
      </c>
      <c r="I134" s="72">
        <f>'Yield 1Y'!Y52*I$3</f>
        <v>-5.0453658223630207</v>
      </c>
      <c r="J134" s="72">
        <f>'Yield 1Y'!Z52*J$3</f>
        <v>0</v>
      </c>
      <c r="K134" s="72">
        <f>'Yield 1Y'!AA52*K$3</f>
        <v>0</v>
      </c>
      <c r="L134" s="177">
        <f t="shared" si="16"/>
        <v>6.8593240377989142</v>
      </c>
      <c r="M134" s="124">
        <f>VLOOKUP(A134,'Yield 1Y'!$F:$G,2,0)</f>
        <v>46183</v>
      </c>
      <c r="N134" s="318">
        <f t="shared" si="17"/>
        <v>51</v>
      </c>
      <c r="P134" s="37">
        <v>131</v>
      </c>
      <c r="Q134" s="72">
        <f>Q$3*'Yield 1Y'!R133</f>
        <v>0</v>
      </c>
      <c r="R134" s="72">
        <f>R$3*'Yield 1Y'!S133</f>
        <v>0</v>
      </c>
      <c r="S134" s="72">
        <f>S$3*'Yield 1Y'!T133</f>
        <v>0</v>
      </c>
      <c r="T134" s="72">
        <f>T$3*'Yield 1Y'!U133</f>
        <v>0</v>
      </c>
      <c r="U134" s="72">
        <f>U$3*'Yield 1Y'!V133</f>
        <v>0</v>
      </c>
      <c r="V134" s="72">
        <f>V$3*'Yield 1Y'!W133</f>
        <v>0</v>
      </c>
      <c r="W134" s="72">
        <f>W$3*'Yield 1Y'!X133</f>
        <v>0</v>
      </c>
      <c r="X134" s="72">
        <f>X$3*'Yield 1Y'!Y133</f>
        <v>-3.9959547869013352E-2</v>
      </c>
      <c r="Y134" s="72">
        <f>Y$3*'Yield 1Y'!Z133</f>
        <v>0</v>
      </c>
      <c r="Z134" s="72">
        <f>Z$3*'Yield 1Y'!AA133</f>
        <v>0</v>
      </c>
      <c r="AA134" s="177">
        <f t="shared" si="18"/>
        <v>3.9959547869013352E-2</v>
      </c>
      <c r="AB134" s="124">
        <f>VLOOKUP(P134,'Yield 1Y'!$F:$G,2,0)</f>
        <v>46058</v>
      </c>
      <c r="AC134" s="318">
        <f t="shared" si="22"/>
        <v>171</v>
      </c>
      <c r="AE134" s="37">
        <v>119</v>
      </c>
      <c r="AF134" s="72">
        <f>AF$3*'Yield 1Y'!AB121</f>
        <v>0</v>
      </c>
      <c r="AG134" s="72">
        <f>AG$3*'Yield 1Y'!AC121</f>
        <v>0</v>
      </c>
      <c r="AH134" s="72">
        <f>AH$3*'Yield 1Y'!AD121</f>
        <v>-0.3872705453137098</v>
      </c>
      <c r="AI134" s="72">
        <f>AI$3*'Yield 1Y'!AE121</f>
        <v>-0.11539234434024183</v>
      </c>
      <c r="AJ134" s="72">
        <f>AJ$3*'Yield 1Y'!AF121</f>
        <v>-0.14496860831044786</v>
      </c>
      <c r="AK134" s="72">
        <f>AK$3*'Yield 1Y'!AG121</f>
        <v>-1.0820965392947015</v>
      </c>
      <c r="AL134" s="72">
        <f>AL$3*'Yield 1Y'!AH121</f>
        <v>-16.561920027765062</v>
      </c>
      <c r="AM134" s="72">
        <f>AM$3*'Yield 1Y'!AI121</f>
        <v>-24.217755947341605</v>
      </c>
      <c r="AN134" s="72">
        <f>AN$3*'Yield 1Y'!AJ121</f>
        <v>0</v>
      </c>
      <c r="AO134" s="72">
        <f>AO$3*'Yield 1Y'!AK121</f>
        <v>0</v>
      </c>
      <c r="AP134" s="177">
        <f t="shared" si="19"/>
        <v>42.509404012365763</v>
      </c>
      <c r="AQ134" s="124">
        <f>VLOOKUP(AE134,'Yield 1Y'!$F:$G,2,0)</f>
        <v>46083</v>
      </c>
      <c r="AR134" s="318">
        <f t="shared" si="20"/>
        <v>112</v>
      </c>
      <c r="AT134" s="37">
        <v>128</v>
      </c>
      <c r="AU134" s="72">
        <f>AU$3*'Yield 1Y'!AB184</f>
        <v>0</v>
      </c>
      <c r="AV134" s="72">
        <f>AV$3*'Yield 1Y'!AC184</f>
        <v>0</v>
      </c>
      <c r="AW134" s="72">
        <f>AW$3*'Yield 1Y'!AD184</f>
        <v>0</v>
      </c>
      <c r="AX134" s="72">
        <f>AX$3*'Yield 1Y'!AE184</f>
        <v>0</v>
      </c>
      <c r="AY134" s="72">
        <f>AY$3*'Yield 1Y'!AF184</f>
        <v>0</v>
      </c>
      <c r="AZ134" s="72">
        <f>AZ$3*'Yield 1Y'!AG184</f>
        <v>-0.36957357112676026</v>
      </c>
      <c r="BA134" s="72">
        <f>BA$3*'Yield 1Y'!AH184</f>
        <v>-4.5532509924400051</v>
      </c>
      <c r="BB134" s="72">
        <f>BB$3*'Yield 1Y'!AI184</f>
        <v>-1.0389482445939922</v>
      </c>
      <c r="BC134" s="72">
        <f>BC$3*'Yield 1Y'!AJ184</f>
        <v>0</v>
      </c>
      <c r="BD134" s="72">
        <f>BD$3*'Yield 1Y'!AK184</f>
        <v>0</v>
      </c>
      <c r="BE134" s="177">
        <f t="shared" si="21"/>
        <v>5.9617728081607577</v>
      </c>
      <c r="BF134" s="124">
        <f>VLOOKUP(AT134,'Yield 1Y'!$F:$G,2,0)</f>
        <v>46063</v>
      </c>
      <c r="BG134" s="318">
        <f t="shared" si="23"/>
        <v>127</v>
      </c>
    </row>
    <row r="135" spans="1:59" x14ac:dyDescent="0.3">
      <c r="A135" s="37">
        <v>150</v>
      </c>
      <c r="B135" s="72">
        <f>'Yield 1Y'!R152*B$3</f>
        <v>0</v>
      </c>
      <c r="C135" s="72">
        <f>'Yield 1Y'!S152*C$3</f>
        <v>0</v>
      </c>
      <c r="D135" s="72">
        <f>'Yield 1Y'!T152*D$3</f>
        <v>-0.32272545442809425</v>
      </c>
      <c r="E135" s="72">
        <f>'Yield 1Y'!U152*E$3</f>
        <v>-1.5001004764229773</v>
      </c>
      <c r="F135" s="72">
        <f>'Yield 1Y'!V152*F$3</f>
        <v>-0.31799565693904575</v>
      </c>
      <c r="G135" s="72">
        <f>'Yield 1Y'!W152*G$3</f>
        <v>-5.1399585616491708</v>
      </c>
      <c r="H135" s="72">
        <f>'Yield 1Y'!X152*H$3</f>
        <v>7.0388160117999217</v>
      </c>
      <c r="I135" s="72">
        <f>'Yield 1Y'!Y152*I$3</f>
        <v>-3.3635772149087799</v>
      </c>
      <c r="J135" s="72">
        <f>'Yield 1Y'!Z152*J$3</f>
        <v>0</v>
      </c>
      <c r="K135" s="72">
        <f>'Yield 1Y'!AA152*K$3</f>
        <v>0</v>
      </c>
      <c r="L135" s="177">
        <f t="shared" si="16"/>
        <v>3.6055413525481459</v>
      </c>
      <c r="M135" s="124">
        <f>VLOOKUP(A135,'Yield 1Y'!$F:$G,2,0)</f>
        <v>46031</v>
      </c>
      <c r="N135" s="318">
        <f t="shared" si="17"/>
        <v>78</v>
      </c>
      <c r="P135" s="37">
        <v>132</v>
      </c>
      <c r="Q135" s="72">
        <f>Q$3*'Yield 1Y'!R134</f>
        <v>0</v>
      </c>
      <c r="R135" s="72">
        <f>R$3*'Yield 1Y'!S134</f>
        <v>0</v>
      </c>
      <c r="S135" s="72">
        <f>S$3*'Yield 1Y'!T134</f>
        <v>0</v>
      </c>
      <c r="T135" s="72">
        <f>T$3*'Yield 1Y'!U134</f>
        <v>0</v>
      </c>
      <c r="U135" s="72">
        <f>U$3*'Yield 1Y'!V134</f>
        <v>0</v>
      </c>
      <c r="V135" s="72">
        <f>V$3*'Yield 1Y'!W134</f>
        <v>0</v>
      </c>
      <c r="W135" s="72">
        <f>W$3*'Yield 1Y'!X134</f>
        <v>-1.7074691221649638</v>
      </c>
      <c r="X135" s="72">
        <f>X$3*'Yield 1Y'!Y134</f>
        <v>-0.19979773934499578</v>
      </c>
      <c r="Y135" s="72">
        <f>Y$3*'Yield 1Y'!Z134</f>
        <v>0</v>
      </c>
      <c r="Z135" s="72">
        <f>Z$3*'Yield 1Y'!AA134</f>
        <v>0</v>
      </c>
      <c r="AA135" s="177">
        <f t="shared" si="18"/>
        <v>1.9072668615099597</v>
      </c>
      <c r="AB135" s="124">
        <f>VLOOKUP(P135,'Yield 1Y'!$F:$G,2,0)</f>
        <v>46057</v>
      </c>
      <c r="AC135" s="318">
        <f t="shared" si="22"/>
        <v>37</v>
      </c>
      <c r="AE135" s="37">
        <v>207</v>
      </c>
      <c r="AF135" s="72">
        <f>AF$3*'Yield 1Y'!AB209</f>
        <v>0</v>
      </c>
      <c r="AG135" s="72">
        <f>AG$3*'Yield 1Y'!AC209</f>
        <v>0</v>
      </c>
      <c r="AH135" s="72">
        <f>AH$3*'Yield 1Y'!AD209</f>
        <v>-0.49791927254619889</v>
      </c>
      <c r="AI135" s="72">
        <f>AI$3*'Yield 1Y'!AE209</f>
        <v>-2.5097834893999713</v>
      </c>
      <c r="AJ135" s="72">
        <f>AJ$3*'Yield 1Y'!AF209</f>
        <v>-0.23382033598459351</v>
      </c>
      <c r="AK135" s="72">
        <f>AK$3*'Yield 1Y'!AG209</f>
        <v>-20.830358381420659</v>
      </c>
      <c r="AL135" s="72">
        <f>AL$3*'Yield 1Y'!AH209</f>
        <v>-25.670976043035754</v>
      </c>
      <c r="AM135" s="72">
        <f>AM$3*'Yield 1Y'!AI209</f>
        <v>-21.526894175414757</v>
      </c>
      <c r="AN135" s="72">
        <f>AN$3*'Yield 1Y'!AJ209</f>
        <v>0</v>
      </c>
      <c r="AO135" s="72">
        <f>AO$3*'Yield 1Y'!AK209</f>
        <v>0</v>
      </c>
      <c r="AP135" s="177">
        <f t="shared" si="19"/>
        <v>71.269751697801937</v>
      </c>
      <c r="AQ135" s="124">
        <f>VLOOKUP(AE135,'Yield 1Y'!$F:$G,2,0)</f>
        <v>45950</v>
      </c>
      <c r="AR135" s="318">
        <f t="shared" si="20"/>
        <v>52</v>
      </c>
      <c r="AT135" s="37">
        <v>129</v>
      </c>
      <c r="AU135" s="72">
        <f>AU$3*'Yield 1Y'!AB223</f>
        <v>0</v>
      </c>
      <c r="AV135" s="72">
        <f>AV$3*'Yield 1Y'!AC223</f>
        <v>0</v>
      </c>
      <c r="AW135" s="72">
        <f>AW$3*'Yield 1Y'!AD223</f>
        <v>0</v>
      </c>
      <c r="AX135" s="72">
        <f>AX$3*'Yield 1Y'!AE223</f>
        <v>0</v>
      </c>
      <c r="AY135" s="72">
        <f>AY$3*'Yield 1Y'!AF223</f>
        <v>0</v>
      </c>
      <c r="AZ135" s="72">
        <f>AZ$3*'Yield 1Y'!AG223</f>
        <v>-0.3695735711267546</v>
      </c>
      <c r="BA135" s="72">
        <f>BA$3*'Yield 1Y'!AH223</f>
        <v>-3.0734444198970157</v>
      </c>
      <c r="BB135" s="72">
        <f>BB$3*'Yield 1Y'!AI223</f>
        <v>-1.5184628190219926</v>
      </c>
      <c r="BC135" s="72">
        <f>BC$3*'Yield 1Y'!AJ223</f>
        <v>0</v>
      </c>
      <c r="BD135" s="72">
        <f>BD$3*'Yield 1Y'!AK223</f>
        <v>0</v>
      </c>
      <c r="BE135" s="177">
        <f t="shared" si="21"/>
        <v>4.9614808100457628</v>
      </c>
      <c r="BF135" s="124">
        <f>VLOOKUP(AT135,'Yield 1Y'!$F:$G,2,0)</f>
        <v>46062</v>
      </c>
      <c r="BG135" s="318">
        <f t="shared" si="23"/>
        <v>159</v>
      </c>
    </row>
    <row r="136" spans="1:59" x14ac:dyDescent="0.3">
      <c r="A136" s="37">
        <v>137</v>
      </c>
      <c r="B136" s="72">
        <f>'Yield 1Y'!R139*B$3</f>
        <v>0</v>
      </c>
      <c r="C136" s="72">
        <f>'Yield 1Y'!S139*C$3</f>
        <v>0</v>
      </c>
      <c r="D136" s="72">
        <f>'Yield 1Y'!T139*D$3</f>
        <v>-8.2986545424365801E-2</v>
      </c>
      <c r="E136" s="72">
        <f>'Yield 1Y'!U139*E$3</f>
        <v>-0.14424043042528306</v>
      </c>
      <c r="F136" s="72">
        <f>'Yield 1Y'!V139*F$3</f>
        <v>-9.3528134393826602E-3</v>
      </c>
      <c r="G136" s="72">
        <f>'Yield 1Y'!W139*G$3</f>
        <v>0</v>
      </c>
      <c r="H136" s="72">
        <f>'Yield 1Y'!X139*H$3</f>
        <v>1.2421440020824257</v>
      </c>
      <c r="I136" s="72">
        <f>'Yield 1Y'!Y139*I$3</f>
        <v>0</v>
      </c>
      <c r="J136" s="72">
        <f>'Yield 1Y'!Z139*J$3</f>
        <v>0</v>
      </c>
      <c r="K136" s="72">
        <f>'Yield 1Y'!AA139*K$3</f>
        <v>0</v>
      </c>
      <c r="L136" s="177">
        <f t="shared" si="16"/>
        <v>-1.0055642127933941</v>
      </c>
      <c r="M136" s="124">
        <f>VLOOKUP(A136,'Yield 1Y'!$F:$G,2,0)</f>
        <v>46050</v>
      </c>
      <c r="N136" s="318">
        <f t="shared" si="17"/>
        <v>213</v>
      </c>
      <c r="P136" s="37">
        <v>133</v>
      </c>
      <c r="Q136" s="72">
        <f>Q$3*'Yield 1Y'!R135</f>
        <v>0</v>
      </c>
      <c r="R136" s="72">
        <f>R$3*'Yield 1Y'!S135</f>
        <v>0</v>
      </c>
      <c r="S136" s="72">
        <f>S$3*'Yield 1Y'!T135</f>
        <v>0</v>
      </c>
      <c r="T136" s="72">
        <f>T$3*'Yield 1Y'!U135</f>
        <v>0</v>
      </c>
      <c r="U136" s="72">
        <f>U$3*'Yield 1Y'!V135</f>
        <v>0</v>
      </c>
      <c r="V136" s="72">
        <f>V$3*'Yield 1Y'!W135</f>
        <v>-3.823174873725145E-2</v>
      </c>
      <c r="W136" s="72">
        <f>W$3*'Yield 1Y'!X135</f>
        <v>0</v>
      </c>
      <c r="X136" s="72">
        <f>X$3*'Yield 1Y'!Y135</f>
        <v>0.11987864360700456</v>
      </c>
      <c r="Y136" s="72">
        <f>Y$3*'Yield 1Y'!Z135</f>
        <v>0</v>
      </c>
      <c r="Z136" s="72">
        <f>Z$3*'Yield 1Y'!AA135</f>
        <v>0</v>
      </c>
      <c r="AA136" s="177">
        <f t="shared" si="18"/>
        <v>-8.1646894869753114E-2</v>
      </c>
      <c r="AB136" s="124">
        <f>VLOOKUP(P136,'Yield 1Y'!$F:$G,2,0)</f>
        <v>46056</v>
      </c>
      <c r="AC136" s="318">
        <f t="shared" si="22"/>
        <v>199</v>
      </c>
      <c r="AE136" s="37">
        <v>154</v>
      </c>
      <c r="AF136" s="72">
        <f>AF$3*'Yield 1Y'!AB156</f>
        <v>0</v>
      </c>
      <c r="AG136" s="72">
        <f>AG$3*'Yield 1Y'!AC156</f>
        <v>0</v>
      </c>
      <c r="AH136" s="72">
        <f>AH$3*'Yield 1Y'!AD156</f>
        <v>-0.23051818173435537</v>
      </c>
      <c r="AI136" s="72">
        <f>AI$3*'Yield 1Y'!AE156</f>
        <v>-1.038531099062074</v>
      </c>
      <c r="AJ136" s="72">
        <f>AJ$3*'Yield 1Y'!AF156</f>
        <v>-0.13561579487106312</v>
      </c>
      <c r="AK136" s="72">
        <f>AK$3*'Yield 1Y'!AG156</f>
        <v>-10.009392988474847</v>
      </c>
      <c r="AL136" s="72">
        <f>AL$3*'Yield 1Y'!AH156</f>
        <v>-13.66358402290613</v>
      </c>
      <c r="AM136" s="72">
        <f>AM$3*'Yield 1Y'!AI156</f>
        <v>-10.427089366216562</v>
      </c>
      <c r="AN136" s="72">
        <f>AN$3*'Yield 1Y'!AJ156</f>
        <v>0</v>
      </c>
      <c r="AO136" s="72">
        <f>AO$3*'Yield 1Y'!AK156</f>
        <v>0</v>
      </c>
      <c r="AP136" s="177">
        <f t="shared" si="19"/>
        <v>35.50473145326503</v>
      </c>
      <c r="AQ136" s="124">
        <f>VLOOKUP(AE136,'Yield 1Y'!$F:$G,2,0)</f>
        <v>46027</v>
      </c>
      <c r="AR136" s="318">
        <f t="shared" si="20"/>
        <v>142</v>
      </c>
      <c r="AT136" s="37">
        <v>130</v>
      </c>
      <c r="AU136" s="72">
        <f>AU$3*'Yield 1Y'!AB188</f>
        <v>0</v>
      </c>
      <c r="AV136" s="72">
        <f>AV$3*'Yield 1Y'!AC188</f>
        <v>0</v>
      </c>
      <c r="AW136" s="72">
        <f>AW$3*'Yield 1Y'!AD188</f>
        <v>0</v>
      </c>
      <c r="AX136" s="72">
        <f>AX$3*'Yield 1Y'!AE188</f>
        <v>0</v>
      </c>
      <c r="AY136" s="72">
        <f>AY$3*'Yield 1Y'!AF188</f>
        <v>0</v>
      </c>
      <c r="AZ136" s="72">
        <f>AZ$3*'Yield 1Y'!AG188</f>
        <v>-0.8793302209567494</v>
      </c>
      <c r="BA136" s="72">
        <f>BA$3*'Yield 1Y'!AH188</f>
        <v>-2.8457818702749904</v>
      </c>
      <c r="BB136" s="72">
        <f>BB$3*'Yield 1Y'!AI188</f>
        <v>-0.87911005311799206</v>
      </c>
      <c r="BC136" s="72">
        <f>BC$3*'Yield 1Y'!AJ188</f>
        <v>0</v>
      </c>
      <c r="BD136" s="72">
        <f>BD$3*'Yield 1Y'!AK188</f>
        <v>0</v>
      </c>
      <c r="BE136" s="177">
        <f t="shared" si="21"/>
        <v>4.6042221443497322</v>
      </c>
      <c r="BF136" s="124">
        <f>VLOOKUP(AT136,'Yield 1Y'!$F:$G,2,0)</f>
        <v>46059</v>
      </c>
      <c r="BG136" s="318">
        <f t="shared" si="23"/>
        <v>167</v>
      </c>
    </row>
    <row r="137" spans="1:59" x14ac:dyDescent="0.3">
      <c r="A137" s="37">
        <v>22</v>
      </c>
      <c r="B137" s="72">
        <f>'Yield 1Y'!R24*B$3</f>
        <v>0</v>
      </c>
      <c r="C137" s="72">
        <f>'Yield 1Y'!S24*C$3</f>
        <v>0</v>
      </c>
      <c r="D137" s="72">
        <f>'Yield 1Y'!T24*D$3</f>
        <v>0</v>
      </c>
      <c r="E137" s="72">
        <f>'Yield 1Y'!U24*E$3</f>
        <v>-2.8848086085066862E-2</v>
      </c>
      <c r="F137" s="72">
        <f>'Yield 1Y'!V24*F$3</f>
        <v>-9.3528134393826602E-3</v>
      </c>
      <c r="G137" s="72">
        <f>'Yield 1Y'!W24*G$3</f>
        <v>0.27052413482373544</v>
      </c>
      <c r="H137" s="72">
        <f>'Yield 1Y'!X24*H$3</f>
        <v>1.2421440020824257</v>
      </c>
      <c r="I137" s="72">
        <f>'Yield 1Y'!Y24*I$3</f>
        <v>1.0090731644726041</v>
      </c>
      <c r="J137" s="72">
        <f>'Yield 1Y'!Z24*J$3</f>
        <v>0</v>
      </c>
      <c r="K137" s="72">
        <f>'Yield 1Y'!AA24*K$3</f>
        <v>0</v>
      </c>
      <c r="L137" s="177">
        <f t="shared" si="16"/>
        <v>-2.4835404018543157</v>
      </c>
      <c r="M137" s="124">
        <f>VLOOKUP(A137,'Yield 1Y'!$F:$G,2,0)</f>
        <v>46223</v>
      </c>
      <c r="N137" s="318">
        <f t="shared" si="17"/>
        <v>238</v>
      </c>
      <c r="P137" s="37">
        <v>134</v>
      </c>
      <c r="Q137" s="72">
        <f>Q$3*'Yield 1Y'!R136</f>
        <v>0</v>
      </c>
      <c r="R137" s="72">
        <f>R$3*'Yield 1Y'!S136</f>
        <v>0</v>
      </c>
      <c r="S137" s="72">
        <f>S$3*'Yield 1Y'!T136</f>
        <v>0</v>
      </c>
      <c r="T137" s="72">
        <f>T$3*'Yield 1Y'!U136</f>
        <v>0</v>
      </c>
      <c r="U137" s="72">
        <f>U$3*'Yield 1Y'!V136</f>
        <v>0</v>
      </c>
      <c r="V137" s="72">
        <f>V$3*'Yield 1Y'!W136</f>
        <v>-0.56073231481300057</v>
      </c>
      <c r="W137" s="72">
        <f>W$3*'Yield 1Y'!X136</f>
        <v>-1.3659752977320521</v>
      </c>
      <c r="X137" s="72">
        <f>X$3*'Yield 1Y'!Y136</f>
        <v>-0.19979773934499578</v>
      </c>
      <c r="Y137" s="72">
        <f>Y$3*'Yield 1Y'!Z136</f>
        <v>0</v>
      </c>
      <c r="Z137" s="72">
        <f>Z$3*'Yield 1Y'!AA136</f>
        <v>0</v>
      </c>
      <c r="AA137" s="177">
        <f t="shared" si="18"/>
        <v>2.1265053518900485</v>
      </c>
      <c r="AB137" s="124">
        <f>VLOOKUP(P137,'Yield 1Y'!$F:$G,2,0)</f>
        <v>46055</v>
      </c>
      <c r="AC137" s="318">
        <f t="shared" si="22"/>
        <v>30</v>
      </c>
      <c r="AE137" s="37">
        <v>153</v>
      </c>
      <c r="AF137" s="72">
        <f>AF$3*'Yield 1Y'!AB155</f>
        <v>0</v>
      </c>
      <c r="AG137" s="72">
        <f>AG$3*'Yield 1Y'!AC155</f>
        <v>0</v>
      </c>
      <c r="AH137" s="72">
        <f>AH$3*'Yield 1Y'!AD155</f>
        <v>-0.19363527265685901</v>
      </c>
      <c r="AI137" s="72">
        <f>AI$3*'Yield 1Y'!AE155</f>
        <v>-1.0385310990620484</v>
      </c>
      <c r="AJ137" s="72">
        <f>AJ$3*'Yield 1Y'!AF155</f>
        <v>-0.11691016799229571</v>
      </c>
      <c r="AK137" s="72">
        <f>AK$3*'Yield 1Y'!AG155</f>
        <v>-10.009392988474847</v>
      </c>
      <c r="AL137" s="72">
        <f>AL$3*'Yield 1Y'!AH155</f>
        <v>-12.007392020129624</v>
      </c>
      <c r="AM137" s="72">
        <f>AM$3*'Yield 1Y'!AI155</f>
        <v>-8.7453007587623208</v>
      </c>
      <c r="AN137" s="72">
        <f>AN$3*'Yield 1Y'!AJ155</f>
        <v>0</v>
      </c>
      <c r="AO137" s="72">
        <f>AO$3*'Yield 1Y'!AK155</f>
        <v>0</v>
      </c>
      <c r="AP137" s="177">
        <f t="shared" si="19"/>
        <v>32.111162307077997</v>
      </c>
      <c r="AQ137" s="124">
        <f>VLOOKUP(AE137,'Yield 1Y'!$F:$G,2,0)</f>
        <v>46028</v>
      </c>
      <c r="AR137" s="318">
        <f t="shared" si="20"/>
        <v>160</v>
      </c>
      <c r="AT137" s="37">
        <v>131</v>
      </c>
      <c r="AU137" s="72">
        <f>AU$3*'Yield 1Y'!AB159</f>
        <v>0</v>
      </c>
      <c r="AV137" s="72">
        <f>AV$3*'Yield 1Y'!AC159</f>
        <v>0</v>
      </c>
      <c r="AW137" s="72">
        <f>AW$3*'Yield 1Y'!AD159</f>
        <v>0</v>
      </c>
      <c r="AX137" s="72">
        <f>AX$3*'Yield 1Y'!AE159</f>
        <v>0</v>
      </c>
      <c r="AY137" s="72">
        <f>AY$3*'Yield 1Y'!AF159</f>
        <v>0</v>
      </c>
      <c r="AZ137" s="72">
        <f>AZ$3*'Yield 1Y'!AG159</f>
        <v>-0.36957357112674893</v>
      </c>
      <c r="BA137" s="72">
        <f>BA$3*'Yield 1Y'!AH159</f>
        <v>-1.3659752977320014</v>
      </c>
      <c r="BB137" s="72">
        <f>BB$3*'Yield 1Y'!AI159</f>
        <v>-0.87911005311800983</v>
      </c>
      <c r="BC137" s="72">
        <f>BC$3*'Yield 1Y'!AJ159</f>
        <v>0</v>
      </c>
      <c r="BD137" s="72">
        <f>BD$3*'Yield 1Y'!AK159</f>
        <v>0</v>
      </c>
      <c r="BE137" s="177">
        <f t="shared" si="21"/>
        <v>2.6146589219767602</v>
      </c>
      <c r="BF137" s="124">
        <f>VLOOKUP(AT137,'Yield 1Y'!$F:$G,2,0)</f>
        <v>46058</v>
      </c>
      <c r="BG137" s="318">
        <f t="shared" si="23"/>
        <v>208</v>
      </c>
    </row>
    <row r="138" spans="1:59" x14ac:dyDescent="0.3">
      <c r="A138" s="37">
        <v>141</v>
      </c>
      <c r="B138" s="72">
        <f>'Yield 1Y'!R143*B$3</f>
        <v>0</v>
      </c>
      <c r="C138" s="72">
        <f>'Yield 1Y'!S143*C$3</f>
        <v>0</v>
      </c>
      <c r="D138" s="72">
        <f>'Yield 1Y'!T143*D$3</f>
        <v>0</v>
      </c>
      <c r="E138" s="72">
        <f>'Yield 1Y'!U143*E$3</f>
        <v>-5.7696172170120914E-2</v>
      </c>
      <c r="F138" s="72">
        <f>'Yield 1Y'!V143*F$3</f>
        <v>-2.3382033598460805E-2</v>
      </c>
      <c r="G138" s="72">
        <f>'Yield 1Y'!W143*G$3</f>
        <v>-1.3526206741181965</v>
      </c>
      <c r="H138" s="72">
        <f>'Yield 1Y'!X143*H$3</f>
        <v>-8.6950080145766115</v>
      </c>
      <c r="I138" s="72">
        <f>'Yield 1Y'!Y143*I$3</f>
        <v>-2.3545040504361761</v>
      </c>
      <c r="J138" s="72">
        <f>'Yield 1Y'!Z143*J$3</f>
        <v>0</v>
      </c>
      <c r="K138" s="72">
        <f>'Yield 1Y'!AA143*K$3</f>
        <v>0</v>
      </c>
      <c r="L138" s="177">
        <f t="shared" si="16"/>
        <v>12.483210944899566</v>
      </c>
      <c r="M138" s="124">
        <f>VLOOKUP(A138,'Yield 1Y'!$F:$G,2,0)</f>
        <v>46044</v>
      </c>
      <c r="N138" s="318">
        <f t="shared" si="17"/>
        <v>32</v>
      </c>
      <c r="P138" s="37">
        <v>135</v>
      </c>
      <c r="Q138" s="72">
        <f>Q$3*'Yield 1Y'!R137</f>
        <v>0</v>
      </c>
      <c r="R138" s="72">
        <f>R$3*'Yield 1Y'!S137</f>
        <v>0</v>
      </c>
      <c r="S138" s="72">
        <f>S$3*'Yield 1Y'!T137</f>
        <v>0</v>
      </c>
      <c r="T138" s="72">
        <f>T$3*'Yield 1Y'!U137</f>
        <v>0</v>
      </c>
      <c r="U138" s="72">
        <f>U$3*'Yield 1Y'!V137</f>
        <v>0</v>
      </c>
      <c r="V138" s="72">
        <f>V$3*'Yield 1Y'!W137</f>
        <v>0</v>
      </c>
      <c r="W138" s="72">
        <f>W$3*'Yield 1Y'!X137</f>
        <v>0.45532509924405101</v>
      </c>
      <c r="X138" s="72">
        <f>X$3*'Yield 1Y'!Y137</f>
        <v>0</v>
      </c>
      <c r="Y138" s="72">
        <f>Y$3*'Yield 1Y'!Z137</f>
        <v>0</v>
      </c>
      <c r="Z138" s="72">
        <f>Z$3*'Yield 1Y'!AA137</f>
        <v>0</v>
      </c>
      <c r="AA138" s="177">
        <f t="shared" si="18"/>
        <v>-0.45532509924405101</v>
      </c>
      <c r="AB138" s="124">
        <f>VLOOKUP(P138,'Yield 1Y'!$F:$G,2,0)</f>
        <v>46052</v>
      </c>
      <c r="AC138" s="318">
        <f t="shared" si="22"/>
        <v>227</v>
      </c>
      <c r="AE138" s="37">
        <v>151</v>
      </c>
      <c r="AF138" s="72">
        <f>AF$3*'Yield 1Y'!AB153</f>
        <v>0</v>
      </c>
      <c r="AG138" s="72">
        <f>AG$3*'Yield 1Y'!AC153</f>
        <v>0</v>
      </c>
      <c r="AH138" s="72">
        <f>AH$3*'Yield 1Y'!AD153</f>
        <v>-0.69155454520305792</v>
      </c>
      <c r="AI138" s="72">
        <f>AI$3*'Yield 1Y'!AE153</f>
        <v>-3.9810358797378949</v>
      </c>
      <c r="AJ138" s="72">
        <f>AJ$3*'Yield 1Y'!AF153</f>
        <v>-0.38814175773442194</v>
      </c>
      <c r="AK138" s="72">
        <f>AK$3*'Yield 1Y'!AG153</f>
        <v>-37.0618064708395</v>
      </c>
      <c r="AL138" s="72">
        <f>AL$3*'Yield 1Y'!AH153</f>
        <v>-35.608128059694792</v>
      </c>
      <c r="AM138" s="72">
        <f>AM$3*'Yield 1Y'!AI153</f>
        <v>-53.480877717046077</v>
      </c>
      <c r="AN138" s="72">
        <f>AN$3*'Yield 1Y'!AJ153</f>
        <v>0</v>
      </c>
      <c r="AO138" s="72">
        <f>AO$3*'Yield 1Y'!AK153</f>
        <v>0</v>
      </c>
      <c r="AP138" s="177">
        <f t="shared" si="19"/>
        <v>131.21154443025574</v>
      </c>
      <c r="AQ138" s="124">
        <f>VLOOKUP(AE138,'Yield 1Y'!$F:$G,2,0)</f>
        <v>46030</v>
      </c>
      <c r="AR138" s="318">
        <f t="shared" si="20"/>
        <v>21</v>
      </c>
      <c r="AT138" s="37">
        <v>132</v>
      </c>
      <c r="AU138" s="72">
        <f>AU$3*'Yield 1Y'!AB130</f>
        <v>0</v>
      </c>
      <c r="AV138" s="72">
        <f>AV$3*'Yield 1Y'!AC130</f>
        <v>0</v>
      </c>
      <c r="AW138" s="72">
        <f>AW$3*'Yield 1Y'!AD130</f>
        <v>0</v>
      </c>
      <c r="AX138" s="72">
        <f>AX$3*'Yield 1Y'!AE130</f>
        <v>0</v>
      </c>
      <c r="AY138" s="72">
        <f>AY$3*'Yield 1Y'!AF130</f>
        <v>0</v>
      </c>
      <c r="AZ138" s="72">
        <f>AZ$3*'Yield 1Y'!AG130</f>
        <v>-5.0975664982994391E-2</v>
      </c>
      <c r="BA138" s="72">
        <f>BA$3*'Yield 1Y'!AH130</f>
        <v>-4.7809135420619793</v>
      </c>
      <c r="BB138" s="72">
        <f>BB$3*'Yield 1Y'!AI130</f>
        <v>-3.4764806646029904</v>
      </c>
      <c r="BC138" s="72">
        <f>BC$3*'Yield 1Y'!AJ130</f>
        <v>0</v>
      </c>
      <c r="BD138" s="72">
        <f>BD$3*'Yield 1Y'!AK130</f>
        <v>0</v>
      </c>
      <c r="BE138" s="177">
        <f t="shared" si="21"/>
        <v>8.3083698716479635</v>
      </c>
      <c r="BF138" s="124">
        <f>VLOOKUP(AT138,'Yield 1Y'!$F:$G,2,0)</f>
        <v>46057</v>
      </c>
      <c r="BG138" s="318">
        <f t="shared" si="23"/>
        <v>81</v>
      </c>
    </row>
    <row r="139" spans="1:59" x14ac:dyDescent="0.3">
      <c r="A139" s="37">
        <v>13</v>
      </c>
      <c r="B139" s="72">
        <f>'Yield 1Y'!R15*B$3</f>
        <v>0</v>
      </c>
      <c r="C139" s="72">
        <f>'Yield 1Y'!S15*C$3</f>
        <v>0</v>
      </c>
      <c r="D139" s="72">
        <f>'Yield 1Y'!T15*D$3</f>
        <v>0</v>
      </c>
      <c r="E139" s="72">
        <f>'Yield 1Y'!U15*E$3</f>
        <v>5.7696172170120914E-2</v>
      </c>
      <c r="F139" s="72">
        <f>'Yield 1Y'!V15*F$3</f>
        <v>1.870562687876532E-2</v>
      </c>
      <c r="G139" s="72">
        <f>'Yield 1Y'!W15*G$3</f>
        <v>0</v>
      </c>
      <c r="H139" s="72">
        <f>'Yield 1Y'!X15*H$3</f>
        <v>0.8280960013881612</v>
      </c>
      <c r="I139" s="72">
        <f>'Yield 1Y'!Y15*I$3</f>
        <v>-1.3454308859635717</v>
      </c>
      <c r="J139" s="72">
        <f>'Yield 1Y'!Z15*J$3</f>
        <v>0</v>
      </c>
      <c r="K139" s="72">
        <f>'Yield 1Y'!AA15*K$3</f>
        <v>0</v>
      </c>
      <c r="L139" s="177">
        <f t="shared" si="16"/>
        <v>0.44093308552652433</v>
      </c>
      <c r="M139" s="124">
        <f>VLOOKUP(A139,'Yield 1Y'!$F:$G,2,0)</f>
        <v>46234</v>
      </c>
      <c r="N139" s="318">
        <f t="shared" si="17"/>
        <v>176</v>
      </c>
      <c r="P139" s="37">
        <v>136</v>
      </c>
      <c r="Q139" s="72">
        <f>Q$3*'Yield 1Y'!R138</f>
        <v>0</v>
      </c>
      <c r="R139" s="72">
        <f>R$3*'Yield 1Y'!S138</f>
        <v>0</v>
      </c>
      <c r="S139" s="72">
        <f>S$3*'Yield 1Y'!T138</f>
        <v>0</v>
      </c>
      <c r="T139" s="72">
        <f>T$3*'Yield 1Y'!U138</f>
        <v>0</v>
      </c>
      <c r="U139" s="72">
        <f>U$3*'Yield 1Y'!V138</f>
        <v>0</v>
      </c>
      <c r="V139" s="72">
        <f>V$3*'Yield 1Y'!W138</f>
        <v>0</v>
      </c>
      <c r="W139" s="72">
        <f>W$3*'Yield 1Y'!X138</f>
        <v>-0.56915637405508901</v>
      </c>
      <c r="X139" s="72">
        <f>X$3*'Yield 1Y'!Y138</f>
        <v>0</v>
      </c>
      <c r="Y139" s="72">
        <f>Y$3*'Yield 1Y'!Z138</f>
        <v>0</v>
      </c>
      <c r="Z139" s="72">
        <f>Z$3*'Yield 1Y'!AA138</f>
        <v>0</v>
      </c>
      <c r="AA139" s="177">
        <f t="shared" si="18"/>
        <v>0.56915637405508901</v>
      </c>
      <c r="AB139" s="124">
        <f>VLOOKUP(P139,'Yield 1Y'!$F:$G,2,0)</f>
        <v>46051</v>
      </c>
      <c r="AC139" s="318">
        <f t="shared" si="22"/>
        <v>89</v>
      </c>
      <c r="AE139" s="37">
        <v>152</v>
      </c>
      <c r="AF139" s="72">
        <f>AF$3*'Yield 1Y'!AB154</f>
        <v>0</v>
      </c>
      <c r="AG139" s="72">
        <f>AG$3*'Yield 1Y'!AC154</f>
        <v>0</v>
      </c>
      <c r="AH139" s="72">
        <f>AH$3*'Yield 1Y'!AD154</f>
        <v>-0.19363527265685901</v>
      </c>
      <c r="AI139" s="72">
        <f>AI$3*'Yield 1Y'!AE154</f>
        <v>-1.0385310990620484</v>
      </c>
      <c r="AJ139" s="72">
        <f>AJ$3*'Yield 1Y'!AF154</f>
        <v>-0.11691016799229571</v>
      </c>
      <c r="AK139" s="72">
        <f>AK$3*'Yield 1Y'!AG154</f>
        <v>-10.009392988474847</v>
      </c>
      <c r="AL139" s="72">
        <f>AL$3*'Yield 1Y'!AH154</f>
        <v>-15.733824026376718</v>
      </c>
      <c r="AM139" s="72">
        <f>AM$3*'Yield 1Y'!AI154</f>
        <v>-22.872325061378181</v>
      </c>
      <c r="AN139" s="72">
        <f>AN$3*'Yield 1Y'!AJ154</f>
        <v>0</v>
      </c>
      <c r="AO139" s="72">
        <f>AO$3*'Yield 1Y'!AK154</f>
        <v>0</v>
      </c>
      <c r="AP139" s="177">
        <f t="shared" si="19"/>
        <v>49.96461861594095</v>
      </c>
      <c r="AQ139" s="124">
        <f>VLOOKUP(AE139,'Yield 1Y'!$F:$G,2,0)</f>
        <v>46029</v>
      </c>
      <c r="AR139" s="318">
        <f t="shared" si="20"/>
        <v>82</v>
      </c>
      <c r="AT139" s="37">
        <v>133</v>
      </c>
      <c r="AU139" s="72">
        <f>AU$3*'Yield 1Y'!AB227</f>
        <v>0</v>
      </c>
      <c r="AV139" s="72">
        <f>AV$3*'Yield 1Y'!AC227</f>
        <v>0</v>
      </c>
      <c r="AW139" s="72">
        <f>AW$3*'Yield 1Y'!AD227</f>
        <v>0</v>
      </c>
      <c r="AX139" s="72">
        <f>AX$3*'Yield 1Y'!AE227</f>
        <v>0</v>
      </c>
      <c r="AY139" s="72">
        <f>AY$3*'Yield 1Y'!AF227</f>
        <v>0</v>
      </c>
      <c r="AZ139" s="72">
        <f>AZ$3*'Yield 1Y'!AG227</f>
        <v>-0.24213440866924599</v>
      </c>
      <c r="BA139" s="72">
        <f>BA$3*'Yield 1Y'!AH227</f>
        <v>-2.845781870275041</v>
      </c>
      <c r="BB139" s="72">
        <f>BB$3*'Yield 1Y'!AI227</f>
        <v>-0.91906960098700541</v>
      </c>
      <c r="BC139" s="72">
        <f>BC$3*'Yield 1Y'!AJ227</f>
        <v>0</v>
      </c>
      <c r="BD139" s="72">
        <f>BD$3*'Yield 1Y'!AK227</f>
        <v>0</v>
      </c>
      <c r="BE139" s="177">
        <f t="shared" si="21"/>
        <v>4.0069858799312925</v>
      </c>
      <c r="BF139" s="124">
        <f>VLOOKUP(AT139,'Yield 1Y'!$F:$G,2,0)</f>
        <v>46056</v>
      </c>
      <c r="BG139" s="318">
        <f t="shared" si="23"/>
        <v>183</v>
      </c>
    </row>
    <row r="140" spans="1:59" x14ac:dyDescent="0.3">
      <c r="A140" s="37">
        <v>208</v>
      </c>
      <c r="B140" s="72">
        <f>'Yield 1Y'!R210*B$3</f>
        <v>0</v>
      </c>
      <c r="C140" s="72">
        <f>'Yield 1Y'!S210*C$3</f>
        <v>0</v>
      </c>
      <c r="D140" s="72">
        <f>'Yield 1Y'!T210*D$3</f>
        <v>-6.454509088561966E-2</v>
      </c>
      <c r="E140" s="72">
        <f>'Yield 1Y'!U210*E$3</f>
        <v>-8.6544258255174963E-2</v>
      </c>
      <c r="F140" s="72">
        <f>'Yield 1Y'!V210*F$3</f>
        <v>0</v>
      </c>
      <c r="G140" s="72">
        <f>'Yield 1Y'!W210*G$3</f>
        <v>0.81157240447096601</v>
      </c>
      <c r="H140" s="72">
        <f>'Yield 1Y'!X210*H$3</f>
        <v>-6.624768011106025</v>
      </c>
      <c r="I140" s="72">
        <f>'Yield 1Y'!Y210*I$3</f>
        <v>-1.6817886074542407</v>
      </c>
      <c r="J140" s="72">
        <f>'Yield 1Y'!Z210*J$3</f>
        <v>0</v>
      </c>
      <c r="K140" s="72">
        <f>'Yield 1Y'!AA210*K$3</f>
        <v>0</v>
      </c>
      <c r="L140" s="177">
        <f t="shared" si="16"/>
        <v>7.646073563230094</v>
      </c>
      <c r="M140" s="124">
        <f>VLOOKUP(A140,'Yield 1Y'!$F:$G,2,0)</f>
        <v>45947</v>
      </c>
      <c r="N140" s="318">
        <f t="shared" si="17"/>
        <v>43</v>
      </c>
      <c r="P140" s="37">
        <v>137</v>
      </c>
      <c r="Q140" s="72">
        <f>Q$3*'Yield 1Y'!R139</f>
        <v>0</v>
      </c>
      <c r="R140" s="72">
        <f>R$3*'Yield 1Y'!S139</f>
        <v>0</v>
      </c>
      <c r="S140" s="72">
        <f>S$3*'Yield 1Y'!T139</f>
        <v>0</v>
      </c>
      <c r="T140" s="72">
        <f>T$3*'Yield 1Y'!U139</f>
        <v>0</v>
      </c>
      <c r="U140" s="72">
        <f>U$3*'Yield 1Y'!V139</f>
        <v>0</v>
      </c>
      <c r="V140" s="72">
        <f>V$3*'Yield 1Y'!W139</f>
        <v>0</v>
      </c>
      <c r="W140" s="72">
        <f>W$3*'Yield 1Y'!X139</f>
        <v>0.34149382443301302</v>
      </c>
      <c r="X140" s="72">
        <f>X$3*'Yield 1Y'!Y139</f>
        <v>0</v>
      </c>
      <c r="Y140" s="72">
        <f>Y$3*'Yield 1Y'!Z139</f>
        <v>0</v>
      </c>
      <c r="Z140" s="72">
        <f>Z$3*'Yield 1Y'!AA139</f>
        <v>0</v>
      </c>
      <c r="AA140" s="177">
        <f t="shared" si="18"/>
        <v>-0.34149382443301302</v>
      </c>
      <c r="AB140" s="124">
        <f>VLOOKUP(P140,'Yield 1Y'!$F:$G,2,0)</f>
        <v>46050</v>
      </c>
      <c r="AC140" s="318">
        <f t="shared" si="22"/>
        <v>216</v>
      </c>
      <c r="AE140" s="37">
        <v>206</v>
      </c>
      <c r="AF140" s="72">
        <f>AF$3*'Yield 1Y'!AB208</f>
        <v>0</v>
      </c>
      <c r="AG140" s="72">
        <f>AG$3*'Yield 1Y'!AC208</f>
        <v>0</v>
      </c>
      <c r="AH140" s="72">
        <f>AH$3*'Yield 1Y'!AD208</f>
        <v>-0.49791927254619889</v>
      </c>
      <c r="AI140" s="72">
        <f>AI$3*'Yield 1Y'!AE208</f>
        <v>-2.5097834893999713</v>
      </c>
      <c r="AJ140" s="72">
        <f>AJ$3*'Yield 1Y'!AF208</f>
        <v>-0.17770345534829132</v>
      </c>
      <c r="AK140" s="72">
        <f>AK$3*'Yield 1Y'!AG208</f>
        <v>-21.912454920715241</v>
      </c>
      <c r="AL140" s="72">
        <f>AL$3*'Yield 1Y'!AH208</f>
        <v>-25.670976043035754</v>
      </c>
      <c r="AM140" s="72">
        <f>AM$3*'Yield 1Y'!AI208</f>
        <v>-20.854178732432974</v>
      </c>
      <c r="AN140" s="72">
        <f>AN$3*'Yield 1Y'!AJ208</f>
        <v>0</v>
      </c>
      <c r="AO140" s="72">
        <f>AO$3*'Yield 1Y'!AK208</f>
        <v>0</v>
      </c>
      <c r="AP140" s="177">
        <f t="shared" si="19"/>
        <v>71.623015913478426</v>
      </c>
      <c r="AQ140" s="124">
        <f>VLOOKUP(AE140,'Yield 1Y'!$F:$G,2,0)</f>
        <v>45951</v>
      </c>
      <c r="AR140" s="318">
        <f t="shared" si="20"/>
        <v>51</v>
      </c>
      <c r="AT140" s="37">
        <v>134</v>
      </c>
      <c r="AU140" s="72">
        <f>AU$3*'Yield 1Y'!AB245</f>
        <v>0</v>
      </c>
      <c r="AV140" s="72">
        <f>AV$3*'Yield 1Y'!AC245</f>
        <v>0</v>
      </c>
      <c r="AW140" s="72">
        <f>AW$3*'Yield 1Y'!AD245</f>
        <v>0</v>
      </c>
      <c r="AX140" s="72">
        <f>AX$3*'Yield 1Y'!AE245</f>
        <v>0</v>
      </c>
      <c r="AY140" s="72">
        <f>AY$3*'Yield 1Y'!AF245</f>
        <v>0</v>
      </c>
      <c r="AZ140" s="72">
        <f>AZ$3*'Yield 1Y'!AG245</f>
        <v>-1.8223800231422473</v>
      </c>
      <c r="BA140" s="72">
        <f>BA$3*'Yield 1Y'!AH245</f>
        <v>-19.465147992681032</v>
      </c>
      <c r="BB140" s="72">
        <f>BB$3*'Yield 1Y'!AI245</f>
        <v>-8.0718286695380161</v>
      </c>
      <c r="BC140" s="72">
        <f>BC$3*'Yield 1Y'!AJ245</f>
        <v>0</v>
      </c>
      <c r="BD140" s="72">
        <f>BD$3*'Yield 1Y'!AK245</f>
        <v>0</v>
      </c>
      <c r="BE140" s="177">
        <f t="shared" si="21"/>
        <v>29.359356685361298</v>
      </c>
      <c r="BF140" s="124">
        <f>VLOOKUP(AT140,'Yield 1Y'!$F:$G,2,0)</f>
        <v>46055</v>
      </c>
      <c r="BG140" s="318">
        <f t="shared" si="23"/>
        <v>1</v>
      </c>
    </row>
    <row r="141" spans="1:59" x14ac:dyDescent="0.3">
      <c r="A141" s="37">
        <v>161</v>
      </c>
      <c r="B141" s="72">
        <f>'Yield 1Y'!R163*B$3</f>
        <v>0</v>
      </c>
      <c r="C141" s="72">
        <f>'Yield 1Y'!S163*C$3</f>
        <v>0</v>
      </c>
      <c r="D141" s="72">
        <f>'Yield 1Y'!T163*D$3</f>
        <v>0</v>
      </c>
      <c r="E141" s="72">
        <f>'Yield 1Y'!U163*E$3</f>
        <v>-0.11539234434022902</v>
      </c>
      <c r="F141" s="72">
        <f>'Yield 1Y'!V163*F$3</f>
        <v>-3.2734847037841387E-2</v>
      </c>
      <c r="G141" s="72">
        <f>'Yield 1Y'!W163*G$3</f>
        <v>0</v>
      </c>
      <c r="H141" s="72">
        <f>'Yield 1Y'!X163*H$3</f>
        <v>-0.41404800069426445</v>
      </c>
      <c r="I141" s="72">
        <f>'Yield 1Y'!Y163*I$3</f>
        <v>0</v>
      </c>
      <c r="J141" s="72">
        <f>'Yield 1Y'!Z163*J$3</f>
        <v>0</v>
      </c>
      <c r="K141" s="72">
        <f>'Yield 1Y'!AA163*K$3</f>
        <v>0</v>
      </c>
      <c r="L141" s="177">
        <f t="shared" si="16"/>
        <v>0.5621751920723348</v>
      </c>
      <c r="M141" s="124">
        <f>VLOOKUP(A141,'Yield 1Y'!$F:$G,2,0)</f>
        <v>46014</v>
      </c>
      <c r="N141" s="318">
        <f t="shared" si="17"/>
        <v>169</v>
      </c>
      <c r="P141" s="37">
        <v>138</v>
      </c>
      <c r="Q141" s="72">
        <f>Q$3*'Yield 1Y'!R140</f>
        <v>0</v>
      </c>
      <c r="R141" s="72">
        <f>R$3*'Yield 1Y'!S140</f>
        <v>0</v>
      </c>
      <c r="S141" s="72">
        <f>S$3*'Yield 1Y'!T140</f>
        <v>0</v>
      </c>
      <c r="T141" s="72">
        <f>T$3*'Yield 1Y'!U140</f>
        <v>0</v>
      </c>
      <c r="U141" s="72">
        <f>U$3*'Yield 1Y'!V140</f>
        <v>0</v>
      </c>
      <c r="V141" s="72">
        <f>V$3*'Yield 1Y'!W140</f>
        <v>0</v>
      </c>
      <c r="W141" s="72">
        <f>W$3*'Yield 1Y'!X140</f>
        <v>0</v>
      </c>
      <c r="X141" s="72">
        <f>X$3*'Yield 1Y'!Y140</f>
        <v>0</v>
      </c>
      <c r="Y141" s="72">
        <f>Y$3*'Yield 1Y'!Z140</f>
        <v>0</v>
      </c>
      <c r="Z141" s="72">
        <f>Z$3*'Yield 1Y'!AA140</f>
        <v>0</v>
      </c>
      <c r="AA141" s="177">
        <f t="shared" si="18"/>
        <v>0</v>
      </c>
      <c r="AB141" s="124">
        <f>VLOOKUP(P141,'Yield 1Y'!$F:$G,2,0)</f>
        <v>46049</v>
      </c>
      <c r="AC141" s="318">
        <f t="shared" si="22"/>
        <v>179</v>
      </c>
      <c r="AE141" s="37">
        <v>205</v>
      </c>
      <c r="AF141" s="72">
        <f>AF$3*'Yield 1Y'!AB207</f>
        <v>0</v>
      </c>
      <c r="AG141" s="72">
        <f>AG$3*'Yield 1Y'!AC207</f>
        <v>0</v>
      </c>
      <c r="AH141" s="72">
        <f>AH$3*'Yield 1Y'!AD207</f>
        <v>-0.64545090885618439</v>
      </c>
      <c r="AI141" s="72">
        <f>AI$3*'Yield 1Y'!AE207</f>
        <v>-2.3943911450597426</v>
      </c>
      <c r="AJ141" s="72">
        <f>AJ$3*'Yield 1Y'!AF207</f>
        <v>-0.30864284349966309</v>
      </c>
      <c r="AK141" s="72">
        <f>AK$3*'Yield 1Y'!AG207</f>
        <v>-21.912454920715241</v>
      </c>
      <c r="AL141" s="72">
        <f>AL$3*'Yield 1Y'!AH207</f>
        <v>-32.709792054835859</v>
      </c>
      <c r="AM141" s="72">
        <f>AM$3*'Yield 1Y'!AI207</f>
        <v>-25.899544554795845</v>
      </c>
      <c r="AN141" s="72">
        <f>AN$3*'Yield 1Y'!AJ207</f>
        <v>0</v>
      </c>
      <c r="AO141" s="72">
        <f>AO$3*'Yield 1Y'!AK207</f>
        <v>0</v>
      </c>
      <c r="AP141" s="177">
        <f t="shared" si="19"/>
        <v>83.870276427762533</v>
      </c>
      <c r="AQ141" s="124">
        <f>VLOOKUP(AE141,'Yield 1Y'!$F:$G,2,0)</f>
        <v>45952</v>
      </c>
      <c r="AR141" s="318">
        <f t="shared" si="20"/>
        <v>45</v>
      </c>
      <c r="AT141" s="37">
        <v>135</v>
      </c>
      <c r="AU141" s="72">
        <f>AU$3*'Yield 1Y'!AB238</f>
        <v>0</v>
      </c>
      <c r="AV141" s="72">
        <f>AV$3*'Yield 1Y'!AC238</f>
        <v>0</v>
      </c>
      <c r="AW141" s="72">
        <f>AW$3*'Yield 1Y'!AD238</f>
        <v>0</v>
      </c>
      <c r="AX141" s="72">
        <f>AX$3*'Yield 1Y'!AE238</f>
        <v>0</v>
      </c>
      <c r="AY141" s="72">
        <f>AY$3*'Yield 1Y'!AF238</f>
        <v>0</v>
      </c>
      <c r="AZ141" s="72">
        <f>AZ$3*'Yield 1Y'!AG238</f>
        <v>-0.68817147727050343</v>
      </c>
      <c r="BA141" s="72">
        <f>BA$3*'Yield 1Y'!AH238</f>
        <v>-13.432090427697988</v>
      </c>
      <c r="BB141" s="72">
        <f>BB$3*'Yield 1Y'!AI238</f>
        <v>-3.9559952390309907</v>
      </c>
      <c r="BC141" s="72">
        <f>BC$3*'Yield 1Y'!AJ238</f>
        <v>0</v>
      </c>
      <c r="BD141" s="72">
        <f>BD$3*'Yield 1Y'!AK238</f>
        <v>0</v>
      </c>
      <c r="BE141" s="177">
        <f t="shared" si="21"/>
        <v>18.076257143999481</v>
      </c>
      <c r="BF141" s="124">
        <f>VLOOKUP(AT141,'Yield 1Y'!$F:$G,2,0)</f>
        <v>46052</v>
      </c>
      <c r="BG141" s="318">
        <f t="shared" si="23"/>
        <v>35</v>
      </c>
    </row>
    <row r="142" spans="1:59" x14ac:dyDescent="0.3">
      <c r="A142" s="37">
        <v>35</v>
      </c>
      <c r="B142" s="72">
        <f>'Yield 1Y'!R37*B$3</f>
        <v>0</v>
      </c>
      <c r="C142" s="72">
        <f>'Yield 1Y'!S37*C$3</f>
        <v>0</v>
      </c>
      <c r="D142" s="72">
        <f>'Yield 1Y'!T37*D$3</f>
        <v>0</v>
      </c>
      <c r="E142" s="72">
        <f>'Yield 1Y'!U37*E$3</f>
        <v>-5.7696172170120914E-2</v>
      </c>
      <c r="F142" s="72">
        <f>'Yield 1Y'!V37*F$3</f>
        <v>-1.4029220159071914E-2</v>
      </c>
      <c r="G142" s="72">
        <f>'Yield 1Y'!W37*G$3</f>
        <v>-1.3526206741181965</v>
      </c>
      <c r="H142" s="72">
        <f>'Yield 1Y'!X37*H$3</f>
        <v>-1.2421440020824257</v>
      </c>
      <c r="I142" s="72">
        <f>'Yield 1Y'!Y37*I$3</f>
        <v>-1.6817886074542407</v>
      </c>
      <c r="J142" s="72">
        <f>'Yield 1Y'!Z37*J$3</f>
        <v>0</v>
      </c>
      <c r="K142" s="72">
        <f>'Yield 1Y'!AA37*K$3</f>
        <v>0</v>
      </c>
      <c r="L142" s="177">
        <f t="shared" si="16"/>
        <v>4.3482786759840559</v>
      </c>
      <c r="M142" s="124">
        <f>VLOOKUP(A142,'Yield 1Y'!$F:$G,2,0)</f>
        <v>46204</v>
      </c>
      <c r="N142" s="318">
        <f t="shared" si="17"/>
        <v>69</v>
      </c>
      <c r="P142" s="37">
        <v>139</v>
      </c>
      <c r="Q142" s="72">
        <f>Q$3*'Yield 1Y'!R141</f>
        <v>0</v>
      </c>
      <c r="R142" s="72">
        <f>R$3*'Yield 1Y'!S141</f>
        <v>0</v>
      </c>
      <c r="S142" s="72">
        <f>S$3*'Yield 1Y'!T141</f>
        <v>0</v>
      </c>
      <c r="T142" s="72">
        <f>T$3*'Yield 1Y'!U141</f>
        <v>0</v>
      </c>
      <c r="U142" s="72">
        <f>U$3*'Yield 1Y'!V141</f>
        <v>0</v>
      </c>
      <c r="V142" s="72">
        <f>V$3*'Yield 1Y'!W141</f>
        <v>6.3719581228754305E-2</v>
      </c>
      <c r="W142" s="72">
        <f>W$3*'Yield 1Y'!X141</f>
        <v>-0.56915637405498798</v>
      </c>
      <c r="X142" s="72">
        <f>X$3*'Yield 1Y'!Y141</f>
        <v>-0.11987864360700456</v>
      </c>
      <c r="Y142" s="72">
        <f>Y$3*'Yield 1Y'!Z141</f>
        <v>0</v>
      </c>
      <c r="Z142" s="72">
        <f>Z$3*'Yield 1Y'!AA141</f>
        <v>0</v>
      </c>
      <c r="AA142" s="177">
        <f t="shared" si="18"/>
        <v>0.62531543643323828</v>
      </c>
      <c r="AB142" s="124">
        <f>VLOOKUP(P142,'Yield 1Y'!$F:$G,2,0)</f>
        <v>46048</v>
      </c>
      <c r="AC142" s="318">
        <f t="shared" si="22"/>
        <v>81</v>
      </c>
      <c r="AE142" s="37">
        <v>224</v>
      </c>
      <c r="AF142" s="72">
        <f>AF$3*'Yield 1Y'!AB226</f>
        <v>0</v>
      </c>
      <c r="AG142" s="72">
        <f>AG$3*'Yield 1Y'!AC226</f>
        <v>0</v>
      </c>
      <c r="AH142" s="72">
        <f>AH$3*'Yield 1Y'!AD226</f>
        <v>-0.29506327261997095</v>
      </c>
      <c r="AI142" s="72">
        <f>AI$3*'Yield 1Y'!AE226</f>
        <v>-1.3847081320827481</v>
      </c>
      <c r="AJ142" s="72">
        <f>AJ$3*'Yield 1Y'!AF226</f>
        <v>-0.16835064190890658</v>
      </c>
      <c r="AK142" s="72">
        <f>AK$3*'Yield 1Y'!AG226</f>
        <v>-10.820965392945812</v>
      </c>
      <c r="AL142" s="72">
        <f>AL$3*'Yield 1Y'!AH226</f>
        <v>-12.007392020129624</v>
      </c>
      <c r="AM142" s="72">
        <f>AM$3*'Yield 1Y'!AI226</f>
        <v>-9.4180162017439564</v>
      </c>
      <c r="AN142" s="72">
        <f>AN$3*'Yield 1Y'!AJ226</f>
        <v>0</v>
      </c>
      <c r="AO142" s="72">
        <f>AO$3*'Yield 1Y'!AK226</f>
        <v>0</v>
      </c>
      <c r="AP142" s="177">
        <f t="shared" si="19"/>
        <v>34.094495661431012</v>
      </c>
      <c r="AQ142" s="124">
        <f>VLOOKUP(AE142,'Yield 1Y'!$F:$G,2,0)</f>
        <v>45925</v>
      </c>
      <c r="AR142" s="318">
        <f t="shared" si="20"/>
        <v>154</v>
      </c>
      <c r="AT142" s="37">
        <v>136</v>
      </c>
      <c r="AU142" s="72">
        <f>AU$3*'Yield 1Y'!AB174</f>
        <v>0</v>
      </c>
      <c r="AV142" s="72">
        <f>AV$3*'Yield 1Y'!AC174</f>
        <v>0</v>
      </c>
      <c r="AW142" s="72">
        <f>AW$3*'Yield 1Y'!AD174</f>
        <v>0</v>
      </c>
      <c r="AX142" s="72">
        <f>AX$3*'Yield 1Y'!AE174</f>
        <v>0</v>
      </c>
      <c r="AY142" s="72">
        <f>AY$3*'Yield 1Y'!AF174</f>
        <v>0</v>
      </c>
      <c r="AZ142" s="72">
        <f>AZ$3*'Yield 1Y'!AG174</f>
        <v>-0.6881714772704921</v>
      </c>
      <c r="BA142" s="72">
        <f>BA$3*'Yield 1Y'!AH174</f>
        <v>-5.9192262901720065</v>
      </c>
      <c r="BB142" s="72">
        <f>BB$3*'Yield 1Y'!AI174</f>
        <v>-1.3985841754150059</v>
      </c>
      <c r="BC142" s="72">
        <f>BC$3*'Yield 1Y'!AJ174</f>
        <v>0</v>
      </c>
      <c r="BD142" s="72">
        <f>BD$3*'Yield 1Y'!AK174</f>
        <v>0</v>
      </c>
      <c r="BE142" s="177">
        <f t="shared" si="21"/>
        <v>8.0059819428575043</v>
      </c>
      <c r="BF142" s="124">
        <f>VLOOKUP(AT142,'Yield 1Y'!$F:$G,2,0)</f>
        <v>46051</v>
      </c>
      <c r="BG142" s="318">
        <f t="shared" si="23"/>
        <v>89</v>
      </c>
    </row>
    <row r="143" spans="1:59" x14ac:dyDescent="0.3">
      <c r="A143" s="37">
        <v>144</v>
      </c>
      <c r="B143" s="72">
        <f>'Yield 1Y'!R146*B$3</f>
        <v>0</v>
      </c>
      <c r="C143" s="72">
        <f>'Yield 1Y'!S146*C$3</f>
        <v>0</v>
      </c>
      <c r="D143" s="72">
        <f>'Yield 1Y'!T146*D$3</f>
        <v>0</v>
      </c>
      <c r="E143" s="72">
        <f>'Yield 1Y'!U146*E$3</f>
        <v>-0.60580980778619908</v>
      </c>
      <c r="F143" s="72">
        <f>'Yield 1Y'!V146*F$3</f>
        <v>-0.20108548894674796</v>
      </c>
      <c r="G143" s="72">
        <f>'Yield 1Y'!W146*G$3</f>
        <v>-20.289310111773428</v>
      </c>
      <c r="H143" s="72">
        <f>'Yield 1Y'!X146*H$3</f>
        <v>0</v>
      </c>
      <c r="I143" s="72">
        <f>'Yield 1Y'!Y146*I$3</f>
        <v>0</v>
      </c>
      <c r="J143" s="72">
        <f>'Yield 1Y'!Z146*J$3</f>
        <v>0</v>
      </c>
      <c r="K143" s="72">
        <f>'Yield 1Y'!AA146*K$3</f>
        <v>0</v>
      </c>
      <c r="L143" s="177">
        <f t="shared" si="16"/>
        <v>21.096205408506375</v>
      </c>
      <c r="M143" s="124">
        <f>VLOOKUP(A143,'Yield 1Y'!$F:$G,2,0)</f>
        <v>46041</v>
      </c>
      <c r="N143" s="318">
        <f t="shared" si="17"/>
        <v>16</v>
      </c>
      <c r="P143" s="37">
        <v>140</v>
      </c>
      <c r="Q143" s="72">
        <f>Q$3*'Yield 1Y'!R142</f>
        <v>0</v>
      </c>
      <c r="R143" s="72">
        <f>R$3*'Yield 1Y'!S142</f>
        <v>0</v>
      </c>
      <c r="S143" s="72">
        <f>S$3*'Yield 1Y'!T142</f>
        <v>0</v>
      </c>
      <c r="T143" s="72">
        <f>T$3*'Yield 1Y'!U142</f>
        <v>0</v>
      </c>
      <c r="U143" s="72">
        <f>U$3*'Yield 1Y'!V142</f>
        <v>0</v>
      </c>
      <c r="V143" s="72">
        <f>V$3*'Yield 1Y'!W142</f>
        <v>-0.14018307870325156</v>
      </c>
      <c r="W143" s="72">
        <f>W$3*'Yield 1Y'!X142</f>
        <v>0.34149382443301302</v>
      </c>
      <c r="X143" s="72">
        <f>X$3*'Yield 1Y'!Y142</f>
        <v>-0.19979773934499578</v>
      </c>
      <c r="Y143" s="72">
        <f>Y$3*'Yield 1Y'!Z142</f>
        <v>0</v>
      </c>
      <c r="Z143" s="72">
        <f>Z$3*'Yield 1Y'!AA142</f>
        <v>0</v>
      </c>
      <c r="AA143" s="177">
        <f t="shared" si="18"/>
        <v>-1.5130063847656749E-3</v>
      </c>
      <c r="AB143" s="124">
        <f>VLOOKUP(P143,'Yield 1Y'!$F:$G,2,0)</f>
        <v>46045</v>
      </c>
      <c r="AC143" s="318">
        <f t="shared" si="22"/>
        <v>195</v>
      </c>
      <c r="AE143" s="37">
        <v>216</v>
      </c>
      <c r="AF143" s="72">
        <f>AF$3*'Yield 1Y'!AB218</f>
        <v>0</v>
      </c>
      <c r="AG143" s="72">
        <f>AG$3*'Yield 1Y'!AC218</f>
        <v>0</v>
      </c>
      <c r="AH143" s="72">
        <f>AH$3*'Yield 1Y'!AD218</f>
        <v>-0.29506327261997095</v>
      </c>
      <c r="AI143" s="72">
        <f>AI$3*'Yield 1Y'!AE218</f>
        <v>-1.8174294233586101</v>
      </c>
      <c r="AJ143" s="72">
        <f>AJ$3*'Yield 1Y'!AF218</f>
        <v>-0.24317314942397616</v>
      </c>
      <c r="AK143" s="72">
        <f>AK$3*'Yield 1Y'!AG218</f>
        <v>-9.4683447188276162</v>
      </c>
      <c r="AL143" s="72">
        <f>AL$3*'Yield 1Y'!AH218</f>
        <v>-14.905728024988557</v>
      </c>
      <c r="AM143" s="72">
        <f>AM$3*'Yield 1Y'!AI218</f>
        <v>-15.80881291007025</v>
      </c>
      <c r="AN143" s="72">
        <f>AN$3*'Yield 1Y'!AJ218</f>
        <v>0</v>
      </c>
      <c r="AO143" s="72">
        <f>AO$3*'Yield 1Y'!AK218</f>
        <v>0</v>
      </c>
      <c r="AP143" s="177">
        <f t="shared" si="19"/>
        <v>42.538551499288978</v>
      </c>
      <c r="AQ143" s="124">
        <f>VLOOKUP(AE143,'Yield 1Y'!$F:$G,2,0)</f>
        <v>45937</v>
      </c>
      <c r="AR143" s="318">
        <f t="shared" si="20"/>
        <v>111</v>
      </c>
      <c r="AT143" s="37">
        <v>137</v>
      </c>
      <c r="AU143" s="72">
        <f>AU$3*'Yield 1Y'!AB140</f>
        <v>0</v>
      </c>
      <c r="AV143" s="72">
        <f>AV$3*'Yield 1Y'!AC140</f>
        <v>0</v>
      </c>
      <c r="AW143" s="72">
        <f>AW$3*'Yield 1Y'!AD140</f>
        <v>0</v>
      </c>
      <c r="AX143" s="72">
        <f>AX$3*'Yield 1Y'!AE140</f>
        <v>0</v>
      </c>
      <c r="AY143" s="72">
        <f>AY$3*'Yield 1Y'!AF140</f>
        <v>0</v>
      </c>
      <c r="AZ143" s="72">
        <f>AZ$3*'Yield 1Y'!AG140</f>
        <v>-6.3719581228748642E-2</v>
      </c>
      <c r="BA143" s="72">
        <f>BA$3*'Yield 1Y'!AH140</f>
        <v>-3.7564320687629911</v>
      </c>
      <c r="BB143" s="72">
        <f>BB$3*'Yield 1Y'!AI140</f>
        <v>-2.0379369413190065</v>
      </c>
      <c r="BC143" s="72">
        <f>BC$3*'Yield 1Y'!AJ140</f>
        <v>0</v>
      </c>
      <c r="BD143" s="72">
        <f>BD$3*'Yield 1Y'!AK140</f>
        <v>0</v>
      </c>
      <c r="BE143" s="177">
        <f t="shared" si="21"/>
        <v>5.8580885913107466</v>
      </c>
      <c r="BF143" s="124">
        <f>VLOOKUP(AT143,'Yield 1Y'!$F:$G,2,0)</f>
        <v>46050</v>
      </c>
      <c r="BG143" s="318">
        <f t="shared" si="23"/>
        <v>135</v>
      </c>
    </row>
    <row r="144" spans="1:59" x14ac:dyDescent="0.3">
      <c r="A144" s="37">
        <v>133</v>
      </c>
      <c r="B144" s="72">
        <f>'Yield 1Y'!R135*B$3</f>
        <v>0</v>
      </c>
      <c r="C144" s="72">
        <f>'Yield 1Y'!S135*C$3</f>
        <v>0</v>
      </c>
      <c r="D144" s="72">
        <f>'Yield 1Y'!T135*D$3</f>
        <v>9.2207272693738865E-2</v>
      </c>
      <c r="E144" s="72">
        <f>'Yield 1Y'!U135*E$3</f>
        <v>0.11539234434022902</v>
      </c>
      <c r="F144" s="72">
        <f>'Yield 1Y'!V135*F$3</f>
        <v>-9.3528134393826602E-3</v>
      </c>
      <c r="G144" s="72">
        <f>'Yield 1Y'!W135*G$3</f>
        <v>-0.81157240447096601</v>
      </c>
      <c r="H144" s="72">
        <f>'Yield 1Y'!X135*H$3</f>
        <v>0</v>
      </c>
      <c r="I144" s="72">
        <f>'Yield 1Y'!Y135*I$3</f>
        <v>1.0090731644726041</v>
      </c>
      <c r="J144" s="72">
        <f>'Yield 1Y'!Z135*J$3</f>
        <v>0</v>
      </c>
      <c r="K144" s="72">
        <f>'Yield 1Y'!AA135*K$3</f>
        <v>0</v>
      </c>
      <c r="L144" s="177">
        <f t="shared" si="16"/>
        <v>-0.39574756359622332</v>
      </c>
      <c r="M144" s="124">
        <f>VLOOKUP(A144,'Yield 1Y'!$F:$G,2,0)</f>
        <v>46056</v>
      </c>
      <c r="N144" s="318">
        <f t="shared" si="17"/>
        <v>208</v>
      </c>
      <c r="P144" s="37">
        <v>141</v>
      </c>
      <c r="Q144" s="72">
        <f>Q$3*'Yield 1Y'!R143</f>
        <v>0</v>
      </c>
      <c r="R144" s="72">
        <f>R$3*'Yield 1Y'!S143</f>
        <v>0</v>
      </c>
      <c r="S144" s="72">
        <f>S$3*'Yield 1Y'!T143</f>
        <v>0</v>
      </c>
      <c r="T144" s="72">
        <f>T$3*'Yield 1Y'!U143</f>
        <v>0</v>
      </c>
      <c r="U144" s="72">
        <f>U$3*'Yield 1Y'!V143</f>
        <v>0</v>
      </c>
      <c r="V144" s="72">
        <f>V$3*'Yield 1Y'!W143</f>
        <v>-6.3719581228748642E-2</v>
      </c>
      <c r="W144" s="72">
        <f>W$3*'Yield 1Y'!X143</f>
        <v>-2.3904567710309896</v>
      </c>
      <c r="X144" s="72">
        <f>X$3*'Yield 1Y'!Y143</f>
        <v>-0.27971683508302247</v>
      </c>
      <c r="Y144" s="72">
        <f>Y$3*'Yield 1Y'!Z143</f>
        <v>0</v>
      </c>
      <c r="Z144" s="72">
        <f>Z$3*'Yield 1Y'!AA143</f>
        <v>0</v>
      </c>
      <c r="AA144" s="177">
        <f t="shared" si="18"/>
        <v>2.7338931873427605</v>
      </c>
      <c r="AB144" s="124">
        <f>VLOOKUP(P144,'Yield 1Y'!$F:$G,2,0)</f>
        <v>46044</v>
      </c>
      <c r="AC144" s="318">
        <f t="shared" si="22"/>
        <v>23</v>
      </c>
      <c r="AE144" s="37">
        <v>225</v>
      </c>
      <c r="AF144" s="72">
        <f>AF$3*'Yield 1Y'!AB227</f>
        <v>0</v>
      </c>
      <c r="AG144" s="72">
        <f>AG$3*'Yield 1Y'!AC227</f>
        <v>0</v>
      </c>
      <c r="AH144" s="72">
        <f>AH$3*'Yield 1Y'!AD227</f>
        <v>-0.23051818173435126</v>
      </c>
      <c r="AI144" s="72">
        <f>AI$3*'Yield 1Y'!AE227</f>
        <v>-0.49041746344597009</v>
      </c>
      <c r="AJ144" s="72">
        <f>AJ$3*'Yield 1Y'!AF227</f>
        <v>-0.11691016799229571</v>
      </c>
      <c r="AK144" s="72">
        <f>AK$3*'Yield 1Y'!AG227</f>
        <v>-5.1399585616491708</v>
      </c>
      <c r="AL144" s="72">
        <f>AL$3*'Yield 1Y'!AH227</f>
        <v>-10.351200017353301</v>
      </c>
      <c r="AM144" s="72">
        <f>AM$3*'Yield 1Y'!AI227</f>
        <v>-7.7362275942897165</v>
      </c>
      <c r="AN144" s="72">
        <f>AN$3*'Yield 1Y'!AJ227</f>
        <v>0</v>
      </c>
      <c r="AO144" s="72">
        <f>AO$3*'Yield 1Y'!AK227</f>
        <v>0</v>
      </c>
      <c r="AP144" s="177">
        <f t="shared" si="19"/>
        <v>24.065231986464806</v>
      </c>
      <c r="AQ144" s="124">
        <f>VLOOKUP(AE144,'Yield 1Y'!$F:$G,2,0)</f>
        <v>45924</v>
      </c>
      <c r="AR144" s="318">
        <f t="shared" si="20"/>
        <v>190</v>
      </c>
      <c r="AT144" s="37">
        <v>138</v>
      </c>
      <c r="AU144" s="72">
        <f>AU$3*'Yield 1Y'!AB187</f>
        <v>0</v>
      </c>
      <c r="AV144" s="72">
        <f>AV$3*'Yield 1Y'!AC187</f>
        <v>0</v>
      </c>
      <c r="AW144" s="72">
        <f>AW$3*'Yield 1Y'!AD187</f>
        <v>0</v>
      </c>
      <c r="AX144" s="72">
        <f>AX$3*'Yield 1Y'!AE187</f>
        <v>0</v>
      </c>
      <c r="AY144" s="72">
        <f>AY$3*'Yield 1Y'!AF187</f>
        <v>0</v>
      </c>
      <c r="AZ144" s="72">
        <f>AZ$3*'Yield 1Y'!AG187</f>
        <v>-0.82835455597374941</v>
      </c>
      <c r="BA144" s="72">
        <f>BA$3*'Yield 1Y'!AH187</f>
        <v>-2.8457818702749904</v>
      </c>
      <c r="BB144" s="72">
        <f>BB$3*'Yield 1Y'!AI187</f>
        <v>-0.87911005311799206</v>
      </c>
      <c r="BC144" s="72">
        <f>BC$3*'Yield 1Y'!AJ187</f>
        <v>0</v>
      </c>
      <c r="BD144" s="72">
        <f>BD$3*'Yield 1Y'!AK187</f>
        <v>0</v>
      </c>
      <c r="BE144" s="177">
        <f t="shared" si="21"/>
        <v>4.5532464793667318</v>
      </c>
      <c r="BF144" s="124">
        <f>VLOOKUP(AT144,'Yield 1Y'!$F:$G,2,0)</f>
        <v>46049</v>
      </c>
      <c r="BG144" s="318">
        <f t="shared" si="23"/>
        <v>170</v>
      </c>
    </row>
    <row r="145" spans="1:59" x14ac:dyDescent="0.3">
      <c r="A145" s="37">
        <v>215</v>
      </c>
      <c r="B145" s="72">
        <f>'Yield 1Y'!R217*B$3</f>
        <v>0</v>
      </c>
      <c r="C145" s="72">
        <f>'Yield 1Y'!S217*C$3</f>
        <v>0</v>
      </c>
      <c r="D145" s="72">
        <f>'Yield 1Y'!T217*D$3</f>
        <v>0</v>
      </c>
      <c r="E145" s="72">
        <f>'Yield 1Y'!U217*E$3</f>
        <v>5.7696172170120914E-2</v>
      </c>
      <c r="F145" s="72">
        <f>'Yield 1Y'!V217*F$3</f>
        <v>1.8705626878767399E-2</v>
      </c>
      <c r="G145" s="72">
        <f>'Yield 1Y'!W217*G$3</f>
        <v>-0.54104826964735075</v>
      </c>
      <c r="H145" s="72">
        <f>'Yield 1Y'!X217*H$3</f>
        <v>3.726432006247093</v>
      </c>
      <c r="I145" s="72">
        <f>'Yield 1Y'!Y217*I$3</f>
        <v>-1.6817886074542407</v>
      </c>
      <c r="J145" s="72">
        <f>'Yield 1Y'!Z217*J$3</f>
        <v>0</v>
      </c>
      <c r="K145" s="72">
        <f>'Yield 1Y'!AA217*K$3</f>
        <v>0</v>
      </c>
      <c r="L145" s="177">
        <f t="shared" si="16"/>
        <v>-1.5799969281943897</v>
      </c>
      <c r="M145" s="124">
        <f>VLOOKUP(A145,'Yield 1Y'!$F:$G,2,0)</f>
        <v>45938</v>
      </c>
      <c r="N145" s="318">
        <f t="shared" si="17"/>
        <v>227</v>
      </c>
      <c r="P145" s="37">
        <v>142</v>
      </c>
      <c r="Q145" s="72">
        <f>Q$3*'Yield 1Y'!R144</f>
        <v>0</v>
      </c>
      <c r="R145" s="72">
        <f>R$3*'Yield 1Y'!S144</f>
        <v>0</v>
      </c>
      <c r="S145" s="72">
        <f>S$3*'Yield 1Y'!T144</f>
        <v>0</v>
      </c>
      <c r="T145" s="72">
        <f>T$3*'Yield 1Y'!U144</f>
        <v>0</v>
      </c>
      <c r="U145" s="72">
        <f>U$3*'Yield 1Y'!V144</f>
        <v>0</v>
      </c>
      <c r="V145" s="72">
        <f>V$3*'Yield 1Y'!W144</f>
        <v>-0.29311007365225167</v>
      </c>
      <c r="W145" s="72">
        <f>W$3*'Yield 1Y'!X144</f>
        <v>1.8213003969760018</v>
      </c>
      <c r="X145" s="72">
        <f>X$3*'Yield 1Y'!Y144</f>
        <v>1.1987864360700102</v>
      </c>
      <c r="Y145" s="72">
        <f>Y$3*'Yield 1Y'!Z144</f>
        <v>0</v>
      </c>
      <c r="Z145" s="72">
        <f>Z$3*'Yield 1Y'!AA144</f>
        <v>0</v>
      </c>
      <c r="AA145" s="177">
        <f t="shared" si="18"/>
        <v>-2.7269767593937604</v>
      </c>
      <c r="AB145" s="124">
        <f>VLOOKUP(P145,'Yield 1Y'!$F:$G,2,0)</f>
        <v>46043</v>
      </c>
      <c r="AC145" s="318">
        <f t="shared" si="22"/>
        <v>251</v>
      </c>
      <c r="AE145" s="37">
        <v>144</v>
      </c>
      <c r="AF145" s="72">
        <f>AF$3*'Yield 1Y'!AB146</f>
        <v>0</v>
      </c>
      <c r="AG145" s="72">
        <f>AG$3*'Yield 1Y'!AC146</f>
        <v>0</v>
      </c>
      <c r="AH145" s="72">
        <f>AH$3*'Yield 1Y'!AD146</f>
        <v>-0.57168509070119167</v>
      </c>
      <c r="AI145" s="72">
        <f>AI$3*'Yield 1Y'!AE146</f>
        <v>-5.5099844422459263</v>
      </c>
      <c r="AJ145" s="72">
        <f>AJ$3*'Yield 1Y'!AF146</f>
        <v>-0.50505192572671975</v>
      </c>
      <c r="AK145" s="72">
        <f>AK$3*'Yield 1Y'!AG146</f>
        <v>-48.423820133432301</v>
      </c>
      <c r="AL145" s="72">
        <f>AL$3*'Yield 1Y'!AH146</f>
        <v>-38.920512065247806</v>
      </c>
      <c r="AM145" s="72">
        <f>AM$3*'Yield 1Y'!AI146</f>
        <v>-81.734926322277801</v>
      </c>
      <c r="AN145" s="72">
        <f>AN$3*'Yield 1Y'!AJ146</f>
        <v>0</v>
      </c>
      <c r="AO145" s="72">
        <f>AO$3*'Yield 1Y'!AK146</f>
        <v>0</v>
      </c>
      <c r="AP145" s="177">
        <f t="shared" si="19"/>
        <v>175.66597997963174</v>
      </c>
      <c r="AQ145" s="124">
        <f>VLOOKUP(AE145,'Yield 1Y'!$F:$G,2,0)</f>
        <v>46041</v>
      </c>
      <c r="AR145" s="318">
        <f t="shared" si="20"/>
        <v>6</v>
      </c>
      <c r="AT145" s="37">
        <v>139</v>
      </c>
      <c r="AU145" s="72">
        <f>AU$3*'Yield 1Y'!AB95</f>
        <v>0</v>
      </c>
      <c r="AV145" s="72">
        <f>AV$3*'Yield 1Y'!AC95</f>
        <v>0</v>
      </c>
      <c r="AW145" s="72">
        <f>AW$3*'Yield 1Y'!AD95</f>
        <v>0</v>
      </c>
      <c r="AX145" s="72">
        <f>AX$3*'Yield 1Y'!AE95</f>
        <v>0</v>
      </c>
      <c r="AY145" s="72">
        <f>AY$3*'Yield 1Y'!AF95</f>
        <v>0</v>
      </c>
      <c r="AZ145" s="72">
        <f>AZ$3*'Yield 1Y'!AG95</f>
        <v>-0.36957357112674893</v>
      </c>
      <c r="BA145" s="72">
        <f>BA$3*'Yield 1Y'!AH95</f>
        <v>-1.2521440229210139</v>
      </c>
      <c r="BB145" s="72">
        <f>BB$3*'Yield 1Y'!AI95</f>
        <v>-0.51947412229701384</v>
      </c>
      <c r="BC145" s="72">
        <f>BC$3*'Yield 1Y'!AJ95</f>
        <v>0</v>
      </c>
      <c r="BD145" s="72">
        <f>BD$3*'Yield 1Y'!AK95</f>
        <v>0</v>
      </c>
      <c r="BE145" s="177">
        <f t="shared" si="21"/>
        <v>2.1411917163447765</v>
      </c>
      <c r="BF145" s="124">
        <f>VLOOKUP(AT145,'Yield 1Y'!$F:$G,2,0)</f>
        <v>46048</v>
      </c>
      <c r="BG145" s="318">
        <f t="shared" si="23"/>
        <v>210</v>
      </c>
    </row>
    <row r="146" spans="1:59" x14ac:dyDescent="0.3">
      <c r="A146" s="37">
        <v>19</v>
      </c>
      <c r="B146" s="72">
        <f>'Yield 1Y'!R21*B$3</f>
        <v>0</v>
      </c>
      <c r="C146" s="72">
        <f>'Yield 1Y'!S21*C$3</f>
        <v>0</v>
      </c>
      <c r="D146" s="72">
        <f>'Yield 1Y'!T21*D$3</f>
        <v>0</v>
      </c>
      <c r="E146" s="72">
        <f>'Yield 1Y'!U21*E$3</f>
        <v>2.8848086085054053E-2</v>
      </c>
      <c r="F146" s="72">
        <f>'Yield 1Y'!V21*F$3</f>
        <v>1.4029220159076067E-2</v>
      </c>
      <c r="G146" s="72">
        <f>'Yield 1Y'!W21*G$3</f>
        <v>0.27052413482349513</v>
      </c>
      <c r="H146" s="72">
        <f>'Yield 1Y'!X21*H$3</f>
        <v>-0.8280960013881612</v>
      </c>
      <c r="I146" s="72">
        <f>'Yield 1Y'!Y21*I$3</f>
        <v>0</v>
      </c>
      <c r="J146" s="72">
        <f>'Yield 1Y'!Z21*J$3</f>
        <v>0</v>
      </c>
      <c r="K146" s="72">
        <f>'Yield 1Y'!AA21*K$3</f>
        <v>0</v>
      </c>
      <c r="L146" s="177">
        <f t="shared" si="16"/>
        <v>0.51469456032053595</v>
      </c>
      <c r="M146" s="124">
        <f>VLOOKUP(A146,'Yield 1Y'!$F:$G,2,0)</f>
        <v>46226</v>
      </c>
      <c r="N146" s="318">
        <f t="shared" si="17"/>
        <v>172</v>
      </c>
      <c r="P146" s="37">
        <v>143</v>
      </c>
      <c r="Q146" s="72">
        <f>Q$3*'Yield 1Y'!R145</f>
        <v>0</v>
      </c>
      <c r="R146" s="72">
        <f>R$3*'Yield 1Y'!S145</f>
        <v>0</v>
      </c>
      <c r="S146" s="72">
        <f>S$3*'Yield 1Y'!T145</f>
        <v>0</v>
      </c>
      <c r="T146" s="72">
        <f>T$3*'Yield 1Y'!U145</f>
        <v>0</v>
      </c>
      <c r="U146" s="72">
        <f>U$3*'Yield 1Y'!V145</f>
        <v>0</v>
      </c>
      <c r="V146" s="72">
        <f>V$3*'Yield 1Y'!W145</f>
        <v>1.0322572159057495</v>
      </c>
      <c r="W146" s="72">
        <f>W$3*'Yield 1Y'!X145</f>
        <v>9.5618270841239585</v>
      </c>
      <c r="X146" s="72">
        <f>X$3*'Yield 1Y'!Y145</f>
        <v>1.7182605583670063</v>
      </c>
      <c r="Y146" s="72">
        <f>Y$3*'Yield 1Y'!Z145</f>
        <v>0</v>
      </c>
      <c r="Z146" s="72">
        <f>Z$3*'Yield 1Y'!AA145</f>
        <v>0</v>
      </c>
      <c r="AA146" s="177">
        <f t="shared" si="18"/>
        <v>-12.312344858396715</v>
      </c>
      <c r="AB146" s="124">
        <f>VLOOKUP(P146,'Yield 1Y'!$F:$G,2,0)</f>
        <v>46042</v>
      </c>
      <c r="AC146" s="318">
        <f t="shared" si="22"/>
        <v>252</v>
      </c>
      <c r="AE146" s="37">
        <v>220</v>
      </c>
      <c r="AF146" s="72">
        <f>AF$3*'Yield 1Y'!AB222</f>
        <v>0</v>
      </c>
      <c r="AG146" s="72">
        <f>AG$3*'Yield 1Y'!AC222</f>
        <v>0</v>
      </c>
      <c r="AH146" s="72">
        <f>AH$3*'Yield 1Y'!AD222</f>
        <v>-0.2674010908118517</v>
      </c>
      <c r="AI146" s="72">
        <f>AI$3*'Yield 1Y'!AE222</f>
        <v>-1.3270119599126273</v>
      </c>
      <c r="AJ146" s="72">
        <f>AJ$3*'Yield 1Y'!AF222</f>
        <v>-0.15899782846952185</v>
      </c>
      <c r="AK146" s="72">
        <f>AK$3*'Yield 1Y'!AG222</f>
        <v>-7.8451999098858041</v>
      </c>
      <c r="AL146" s="72">
        <f>AL$3*'Yield 1Y'!AH222</f>
        <v>-11.179296018741463</v>
      </c>
      <c r="AM146" s="72">
        <f>AM$3*'Yield 1Y'!AI222</f>
        <v>-13.454308859634224</v>
      </c>
      <c r="AN146" s="72">
        <f>AN$3*'Yield 1Y'!AJ222</f>
        <v>0</v>
      </c>
      <c r="AO146" s="72">
        <f>AO$3*'Yield 1Y'!AK222</f>
        <v>0</v>
      </c>
      <c r="AP146" s="177">
        <f t="shared" si="19"/>
        <v>34.232215667455492</v>
      </c>
      <c r="AQ146" s="124">
        <f>VLOOKUP(AE146,'Yield 1Y'!$F:$G,2,0)</f>
        <v>45931</v>
      </c>
      <c r="AR146" s="318">
        <f t="shared" si="20"/>
        <v>152</v>
      </c>
      <c r="AT146" s="37">
        <v>140</v>
      </c>
      <c r="AU146" s="72">
        <f>AU$3*'Yield 1Y'!AB190</f>
        <v>0</v>
      </c>
      <c r="AV146" s="72">
        <f>AV$3*'Yield 1Y'!AC190</f>
        <v>0</v>
      </c>
      <c r="AW146" s="72">
        <f>AW$3*'Yield 1Y'!AD190</f>
        <v>0</v>
      </c>
      <c r="AX146" s="72">
        <f>AX$3*'Yield 1Y'!AE190</f>
        <v>0</v>
      </c>
      <c r="AY146" s="72">
        <f>AY$3*'Yield 1Y'!AF190</f>
        <v>0</v>
      </c>
      <c r="AZ146" s="72">
        <f>AZ$3*'Yield 1Y'!AG190</f>
        <v>-0.90481805344825228</v>
      </c>
      <c r="BA146" s="72">
        <f>BA$3*'Yield 1Y'!AH190</f>
        <v>-2.8457818702749904</v>
      </c>
      <c r="BB146" s="72">
        <f>BB$3*'Yield 1Y'!AI190</f>
        <v>-0.83915050524899648</v>
      </c>
      <c r="BC146" s="72">
        <f>BC$3*'Yield 1Y'!AJ190</f>
        <v>0</v>
      </c>
      <c r="BD146" s="72">
        <f>BD$3*'Yield 1Y'!AK190</f>
        <v>0</v>
      </c>
      <c r="BE146" s="177">
        <f t="shared" si="21"/>
        <v>4.5897504289722395</v>
      </c>
      <c r="BF146" s="124">
        <f>VLOOKUP(AT146,'Yield 1Y'!$F:$G,2,0)</f>
        <v>46045</v>
      </c>
      <c r="BG146" s="318">
        <f t="shared" si="23"/>
        <v>168</v>
      </c>
    </row>
    <row r="147" spans="1:59" x14ac:dyDescent="0.3">
      <c r="A147" s="37">
        <v>158</v>
      </c>
      <c r="B147" s="72">
        <f>'Yield 1Y'!R160*B$3</f>
        <v>0</v>
      </c>
      <c r="C147" s="72">
        <f>'Yield 1Y'!S160*C$3</f>
        <v>0</v>
      </c>
      <c r="D147" s="72">
        <f>'Yield 1Y'!T160*D$3</f>
        <v>3.6882909077496369E-2</v>
      </c>
      <c r="E147" s="72">
        <f>'Yield 1Y'!U160*E$3</f>
        <v>0</v>
      </c>
      <c r="F147" s="72">
        <f>'Yield 1Y'!V160*F$3</f>
        <v>-1.8705626878767399E-2</v>
      </c>
      <c r="G147" s="72">
        <f>'Yield 1Y'!W160*G$3</f>
        <v>0</v>
      </c>
      <c r="H147" s="72">
        <f>'Yield 1Y'!X160*H$3</f>
        <v>0</v>
      </c>
      <c r="I147" s="72">
        <f>'Yield 1Y'!Y160*I$3</f>
        <v>0</v>
      </c>
      <c r="J147" s="72">
        <f>'Yield 1Y'!Z160*J$3</f>
        <v>0</v>
      </c>
      <c r="K147" s="72">
        <f>'Yield 1Y'!AA160*K$3</f>
        <v>0</v>
      </c>
      <c r="L147" s="177">
        <f t="shared" si="16"/>
        <v>-1.817728219872897E-2</v>
      </c>
      <c r="M147" s="124">
        <f>VLOOKUP(A147,'Yield 1Y'!$F:$G,2,0)</f>
        <v>46017</v>
      </c>
      <c r="N147" s="318">
        <f t="shared" si="17"/>
        <v>200</v>
      </c>
      <c r="P147" s="37">
        <v>144</v>
      </c>
      <c r="Q147" s="72">
        <f>Q$3*'Yield 1Y'!R146</f>
        <v>0</v>
      </c>
      <c r="R147" s="72">
        <f>R$3*'Yield 1Y'!S146</f>
        <v>0</v>
      </c>
      <c r="S147" s="72">
        <f>S$3*'Yield 1Y'!T146</f>
        <v>0</v>
      </c>
      <c r="T147" s="72">
        <f>T$3*'Yield 1Y'!U146</f>
        <v>0</v>
      </c>
      <c r="U147" s="72">
        <f>U$3*'Yield 1Y'!V146</f>
        <v>0</v>
      </c>
      <c r="V147" s="72">
        <f>V$3*'Yield 1Y'!W146</f>
        <v>-0.95579371843125227</v>
      </c>
      <c r="W147" s="72">
        <f>W$3*'Yield 1Y'!X146</f>
        <v>0</v>
      </c>
      <c r="X147" s="72">
        <f>X$3*'Yield 1Y'!Y146</f>
        <v>0</v>
      </c>
      <c r="Y147" s="72">
        <f>Y$3*'Yield 1Y'!Z146</f>
        <v>0</v>
      </c>
      <c r="Z147" s="72">
        <f>Z$3*'Yield 1Y'!AA146</f>
        <v>0</v>
      </c>
      <c r="AA147" s="177">
        <f t="shared" si="18"/>
        <v>0.95579371843125227</v>
      </c>
      <c r="AB147" s="124">
        <f>VLOOKUP(P147,'Yield 1Y'!$F:$G,2,0)</f>
        <v>46041</v>
      </c>
      <c r="AC147" s="318">
        <f t="shared" si="22"/>
        <v>56</v>
      </c>
      <c r="AE147" s="37">
        <v>218</v>
      </c>
      <c r="AF147" s="72">
        <f>AF$3*'Yield 1Y'!AB220</f>
        <v>0</v>
      </c>
      <c r="AG147" s="72">
        <f>AG$3*'Yield 1Y'!AC220</f>
        <v>0</v>
      </c>
      <c r="AH147" s="72">
        <f>AH$3*'Yield 1Y'!AD220</f>
        <v>-0.40571199985246004</v>
      </c>
      <c r="AI147" s="72">
        <f>AI$3*'Yield 1Y'!AE220</f>
        <v>-1.8174294233586101</v>
      </c>
      <c r="AJ147" s="72">
        <f>AJ$3*'Yield 1Y'!AF220</f>
        <v>-0.24784955614366749</v>
      </c>
      <c r="AK147" s="72">
        <f>AK$3*'Yield 1Y'!AG220</f>
        <v>-9.4683447188276162</v>
      </c>
      <c r="AL147" s="72">
        <f>AL$3*'Yield 1Y'!AH220</f>
        <v>-19.874304033318076</v>
      </c>
      <c r="AM147" s="72">
        <f>AM$3*'Yield 1Y'!AI220</f>
        <v>-18.163316960506126</v>
      </c>
      <c r="AN147" s="72">
        <f>AN$3*'Yield 1Y'!AJ220</f>
        <v>0</v>
      </c>
      <c r="AO147" s="72">
        <f>AO$3*'Yield 1Y'!AK220</f>
        <v>0</v>
      </c>
      <c r="AP147" s="177">
        <f t="shared" si="19"/>
        <v>49.976956692006553</v>
      </c>
      <c r="AQ147" s="124">
        <f>VLOOKUP(AE147,'Yield 1Y'!$F:$G,2,0)</f>
        <v>45933</v>
      </c>
      <c r="AR147" s="318">
        <f t="shared" si="20"/>
        <v>81</v>
      </c>
      <c r="AT147" s="37">
        <v>141</v>
      </c>
      <c r="AU147" s="72">
        <f>AU$3*'Yield 1Y'!AB98</f>
        <v>0</v>
      </c>
      <c r="AV147" s="72">
        <f>AV$3*'Yield 1Y'!AC98</f>
        <v>0</v>
      </c>
      <c r="AW147" s="72">
        <f>AW$3*'Yield 1Y'!AD98</f>
        <v>0</v>
      </c>
      <c r="AX147" s="72">
        <f>AX$3*'Yield 1Y'!AE98</f>
        <v>0</v>
      </c>
      <c r="AY147" s="72">
        <f>AY$3*'Yield 1Y'!AF98</f>
        <v>0</v>
      </c>
      <c r="AZ147" s="72">
        <f>AZ$3*'Yield 1Y'!AG98</f>
        <v>-0.36957357112674893</v>
      </c>
      <c r="BA147" s="72">
        <f>BA$3*'Yield 1Y'!AH98</f>
        <v>-2.3904567710309896</v>
      </c>
      <c r="BB147" s="72">
        <f>BB$3*'Yield 1Y'!AI98</f>
        <v>-0.75923140951100521</v>
      </c>
      <c r="BC147" s="72">
        <f>BC$3*'Yield 1Y'!AJ98</f>
        <v>0</v>
      </c>
      <c r="BD147" s="72">
        <f>BD$3*'Yield 1Y'!AK98</f>
        <v>0</v>
      </c>
      <c r="BE147" s="177">
        <f t="shared" si="21"/>
        <v>3.5192617516687439</v>
      </c>
      <c r="BF147" s="124">
        <f>VLOOKUP(AT147,'Yield 1Y'!$F:$G,2,0)</f>
        <v>46044</v>
      </c>
      <c r="BG147" s="318">
        <f t="shared" si="23"/>
        <v>186</v>
      </c>
    </row>
    <row r="148" spans="1:59" x14ac:dyDescent="0.3">
      <c r="A148" s="37">
        <v>168</v>
      </c>
      <c r="B148" s="72">
        <f>'Yield 1Y'!R170*B$3</f>
        <v>0</v>
      </c>
      <c r="C148" s="72">
        <f>'Yield 1Y'!S170*C$3</f>
        <v>0</v>
      </c>
      <c r="D148" s="72">
        <f>'Yield 1Y'!T170*D$3</f>
        <v>0</v>
      </c>
      <c r="E148" s="72">
        <f>'Yield 1Y'!U170*E$3</f>
        <v>0</v>
      </c>
      <c r="F148" s="72">
        <f>'Yield 1Y'!V170*F$3</f>
        <v>0</v>
      </c>
      <c r="G148" s="72">
        <f>'Yield 1Y'!W170*G$3</f>
        <v>-0.54104826964735075</v>
      </c>
      <c r="H148" s="72">
        <f>'Yield 1Y'!X170*H$3</f>
        <v>1.2421440020824257</v>
      </c>
      <c r="I148" s="72">
        <f>'Yield 1Y'!Y170*I$3</f>
        <v>-1.6817886074545394</v>
      </c>
      <c r="J148" s="72">
        <f>'Yield 1Y'!Z170*J$3</f>
        <v>0</v>
      </c>
      <c r="K148" s="72">
        <f>'Yield 1Y'!AA170*K$3</f>
        <v>0</v>
      </c>
      <c r="L148" s="177">
        <f t="shared" si="16"/>
        <v>0.98069287501946445</v>
      </c>
      <c r="M148" s="124">
        <f>VLOOKUP(A148,'Yield 1Y'!$F:$G,2,0)</f>
        <v>46003</v>
      </c>
      <c r="N148" s="318">
        <f t="shared" si="17"/>
        <v>154</v>
      </c>
      <c r="P148" s="37">
        <v>145</v>
      </c>
      <c r="Q148" s="72">
        <f>Q$3*'Yield 1Y'!R147</f>
        <v>0</v>
      </c>
      <c r="R148" s="72">
        <f>R$3*'Yield 1Y'!S147</f>
        <v>0</v>
      </c>
      <c r="S148" s="72">
        <f>S$3*'Yield 1Y'!T147</f>
        <v>0</v>
      </c>
      <c r="T148" s="72">
        <f>T$3*'Yield 1Y'!U147</f>
        <v>0</v>
      </c>
      <c r="U148" s="72">
        <f>U$3*'Yield 1Y'!V147</f>
        <v>0</v>
      </c>
      <c r="V148" s="72">
        <f>V$3*'Yield 1Y'!W147</f>
        <v>-0.10195132996600009</v>
      </c>
      <c r="W148" s="72">
        <f>W$3*'Yield 1Y'!X147</f>
        <v>0.11383127481103802</v>
      </c>
      <c r="X148" s="72">
        <f>X$3*'Yield 1Y'!Y147</f>
        <v>0</v>
      </c>
      <c r="Y148" s="72">
        <f>Y$3*'Yield 1Y'!Z147</f>
        <v>0</v>
      </c>
      <c r="Z148" s="72">
        <f>Z$3*'Yield 1Y'!AA147</f>
        <v>0</v>
      </c>
      <c r="AA148" s="177">
        <f t="shared" si="18"/>
        <v>-1.1879944845037932E-2</v>
      </c>
      <c r="AB148" s="124">
        <f>VLOOKUP(P148,'Yield 1Y'!$F:$G,2,0)</f>
        <v>46038</v>
      </c>
      <c r="AC148" s="318">
        <f t="shared" si="22"/>
        <v>197</v>
      </c>
      <c r="AE148" s="37">
        <v>217</v>
      </c>
      <c r="AF148" s="72">
        <f>AF$3*'Yield 1Y'!AB219</f>
        <v>0</v>
      </c>
      <c r="AG148" s="72">
        <f>AG$3*'Yield 1Y'!AC219</f>
        <v>0</v>
      </c>
      <c r="AH148" s="72">
        <f>AH$3*'Yield 1Y'!AD219</f>
        <v>-0.29506327261997095</v>
      </c>
      <c r="AI148" s="72">
        <f>AI$3*'Yield 1Y'!AE219</f>
        <v>-1.8174294233586101</v>
      </c>
      <c r="AJ148" s="72">
        <f>AJ$3*'Yield 1Y'!AF219</f>
        <v>-0.18705626878767398</v>
      </c>
      <c r="AK148" s="72">
        <f>AK$3*'Yield 1Y'!AG219</f>
        <v>-9.4683447188276162</v>
      </c>
      <c r="AL148" s="72">
        <f>AL$3*'Yield 1Y'!AH219</f>
        <v>-14.905728024988557</v>
      </c>
      <c r="AM148" s="72">
        <f>AM$3*'Yield 1Y'!AI219</f>
        <v>-16.145170631561069</v>
      </c>
      <c r="AN148" s="72">
        <f>AN$3*'Yield 1Y'!AJ219</f>
        <v>0</v>
      </c>
      <c r="AO148" s="72">
        <f>AO$3*'Yield 1Y'!AK219</f>
        <v>0</v>
      </c>
      <c r="AP148" s="177">
        <f t="shared" si="19"/>
        <v>42.818792340143503</v>
      </c>
      <c r="AQ148" s="124">
        <f>VLOOKUP(AE148,'Yield 1Y'!$F:$G,2,0)</f>
        <v>45936</v>
      </c>
      <c r="AR148" s="318">
        <f t="shared" si="20"/>
        <v>110</v>
      </c>
      <c r="AT148" s="37">
        <v>142</v>
      </c>
      <c r="AU148" s="72">
        <f>AU$3*'Yield 1Y'!AB99</f>
        <v>0</v>
      </c>
      <c r="AV148" s="72">
        <f>AV$3*'Yield 1Y'!AC99</f>
        <v>0</v>
      </c>
      <c r="AW148" s="72">
        <f>AW$3*'Yield 1Y'!AD99</f>
        <v>0</v>
      </c>
      <c r="AX148" s="72">
        <f>AX$3*'Yield 1Y'!AE99</f>
        <v>0</v>
      </c>
      <c r="AY148" s="72">
        <f>AY$3*'Yield 1Y'!AF99</f>
        <v>0</v>
      </c>
      <c r="AZ148" s="72">
        <f>AZ$3*'Yield 1Y'!AG99</f>
        <v>-0.36957357112674893</v>
      </c>
      <c r="BA148" s="72">
        <f>BA$3*'Yield 1Y'!AH99</f>
        <v>-2.3904567710309896</v>
      </c>
      <c r="BB148" s="72">
        <f>BB$3*'Yield 1Y'!AI99</f>
        <v>-0.4795145744280005</v>
      </c>
      <c r="BC148" s="72">
        <f>BC$3*'Yield 1Y'!AJ99</f>
        <v>0</v>
      </c>
      <c r="BD148" s="72">
        <f>BD$3*'Yield 1Y'!AK99</f>
        <v>0</v>
      </c>
      <c r="BE148" s="177">
        <f t="shared" si="21"/>
        <v>3.2395449165857393</v>
      </c>
      <c r="BF148" s="124">
        <f>VLOOKUP(AT148,'Yield 1Y'!$F:$G,2,0)</f>
        <v>46043</v>
      </c>
      <c r="BG148" s="318">
        <f t="shared" si="23"/>
        <v>195</v>
      </c>
    </row>
    <row r="149" spans="1:59" x14ac:dyDescent="0.3">
      <c r="A149" s="37">
        <v>83</v>
      </c>
      <c r="B149" s="72">
        <f>'Yield 1Y'!R85*B$3</f>
        <v>0</v>
      </c>
      <c r="C149" s="72">
        <f>'Yield 1Y'!S85*C$3</f>
        <v>0</v>
      </c>
      <c r="D149" s="72">
        <f>'Yield 1Y'!T85*D$3</f>
        <v>0.38727054531371391</v>
      </c>
      <c r="E149" s="72">
        <f>'Yield 1Y'!U85*E$3</f>
        <v>0.69235406604137406</v>
      </c>
      <c r="F149" s="72">
        <f>'Yield 1Y'!V85*F$3</f>
        <v>3.2734847037841387E-2</v>
      </c>
      <c r="G149" s="72">
        <f>'Yield 1Y'!W85*G$3</f>
        <v>-0.54104826964723052</v>
      </c>
      <c r="H149" s="72">
        <f>'Yield 1Y'!X85*H$3</f>
        <v>0</v>
      </c>
      <c r="I149" s="72">
        <f>'Yield 1Y'!Y85*I$3</f>
        <v>-1.0090731644726041</v>
      </c>
      <c r="J149" s="72">
        <f>'Yield 1Y'!Z85*J$3</f>
        <v>0</v>
      </c>
      <c r="K149" s="72">
        <f>'Yield 1Y'!AA85*K$3</f>
        <v>0</v>
      </c>
      <c r="L149" s="177">
        <f t="shared" si="16"/>
        <v>0.43776197572690512</v>
      </c>
      <c r="M149" s="124">
        <f>VLOOKUP(A149,'Yield 1Y'!$F:$G,2,0)</f>
        <v>46133</v>
      </c>
      <c r="N149" s="318">
        <f t="shared" si="17"/>
        <v>177</v>
      </c>
      <c r="P149" s="37">
        <v>146</v>
      </c>
      <c r="Q149" s="72">
        <f>Q$3*'Yield 1Y'!R148</f>
        <v>0</v>
      </c>
      <c r="R149" s="72">
        <f>R$3*'Yield 1Y'!S148</f>
        <v>0</v>
      </c>
      <c r="S149" s="72">
        <f>S$3*'Yield 1Y'!T148</f>
        <v>0</v>
      </c>
      <c r="T149" s="72">
        <f>T$3*'Yield 1Y'!U148</f>
        <v>0</v>
      </c>
      <c r="U149" s="72">
        <f>U$3*'Yield 1Y'!V148</f>
        <v>0</v>
      </c>
      <c r="V149" s="72">
        <f>V$3*'Yield 1Y'!W148</f>
        <v>-0.2166465761777488</v>
      </c>
      <c r="W149" s="72">
        <f>W$3*'Yield 1Y'!X148</f>
        <v>-0.11383127481103802</v>
      </c>
      <c r="X149" s="72">
        <f>X$3*'Yield 1Y'!Y148</f>
        <v>0</v>
      </c>
      <c r="Y149" s="72">
        <f>Y$3*'Yield 1Y'!Z148</f>
        <v>0</v>
      </c>
      <c r="Z149" s="72">
        <f>Z$3*'Yield 1Y'!AA148</f>
        <v>0</v>
      </c>
      <c r="AA149" s="177">
        <f t="shared" si="18"/>
        <v>0.33047785098878679</v>
      </c>
      <c r="AB149" s="124">
        <f>VLOOKUP(P149,'Yield 1Y'!$F:$G,2,0)</f>
        <v>46037</v>
      </c>
      <c r="AC149" s="318">
        <f t="shared" si="22"/>
        <v>119</v>
      </c>
      <c r="AE149" s="37">
        <v>219</v>
      </c>
      <c r="AF149" s="72">
        <f>AF$3*'Yield 1Y'!AB221</f>
        <v>0</v>
      </c>
      <c r="AG149" s="72">
        <f>AG$3*'Yield 1Y'!AC221</f>
        <v>0</v>
      </c>
      <c r="AH149" s="72">
        <f>AH$3*'Yield 1Y'!AD221</f>
        <v>-0.40571199985246004</v>
      </c>
      <c r="AI149" s="72">
        <f>AI$3*'Yield 1Y'!AE221</f>
        <v>-1.8174294233586101</v>
      </c>
      <c r="AJ149" s="72">
        <f>AJ$3*'Yield 1Y'!AF221</f>
        <v>-0.24784955614366749</v>
      </c>
      <c r="AK149" s="72">
        <f>AK$3*'Yield 1Y'!AG221</f>
        <v>-9.4683447188276162</v>
      </c>
      <c r="AL149" s="72">
        <f>AL$3*'Yield 1Y'!AH221</f>
        <v>-19.874304033318076</v>
      </c>
      <c r="AM149" s="72">
        <f>AM$3*'Yield 1Y'!AI221</f>
        <v>-19.50874784646955</v>
      </c>
      <c r="AN149" s="72">
        <f>AN$3*'Yield 1Y'!AJ221</f>
        <v>0</v>
      </c>
      <c r="AO149" s="72">
        <f>AO$3*'Yield 1Y'!AK221</f>
        <v>0</v>
      </c>
      <c r="AP149" s="177">
        <f t="shared" si="19"/>
        <v>51.322387577969977</v>
      </c>
      <c r="AQ149" s="124">
        <f>VLOOKUP(AE149,'Yield 1Y'!$F:$G,2,0)</f>
        <v>45932</v>
      </c>
      <c r="AR149" s="318">
        <f t="shared" si="20"/>
        <v>77</v>
      </c>
      <c r="AT149" s="37">
        <v>143</v>
      </c>
      <c r="AU149" s="72">
        <f>AU$3*'Yield 1Y'!AB185</f>
        <v>0</v>
      </c>
      <c r="AV149" s="72">
        <f>AV$3*'Yield 1Y'!AC185</f>
        <v>0</v>
      </c>
      <c r="AW149" s="72">
        <f>AW$3*'Yield 1Y'!AD185</f>
        <v>0</v>
      </c>
      <c r="AX149" s="72">
        <f>AX$3*'Yield 1Y'!AE185</f>
        <v>0</v>
      </c>
      <c r="AY149" s="72">
        <f>AY$3*'Yield 1Y'!AF185</f>
        <v>0</v>
      </c>
      <c r="AZ149" s="72">
        <f>AZ$3*'Yield 1Y'!AG185</f>
        <v>-0.84109847221950362</v>
      </c>
      <c r="BA149" s="72">
        <f>BA$3*'Yield 1Y'!AH185</f>
        <v>-6.9437077634709947</v>
      </c>
      <c r="BB149" s="72">
        <f>BB$3*'Yield 1Y'!AI185</f>
        <v>-1.5584223668909882</v>
      </c>
      <c r="BC149" s="72">
        <f>BC$3*'Yield 1Y'!AJ185</f>
        <v>0</v>
      </c>
      <c r="BD149" s="72">
        <f>BD$3*'Yield 1Y'!AK185</f>
        <v>0</v>
      </c>
      <c r="BE149" s="177">
        <f t="shared" si="21"/>
        <v>9.3432286025814868</v>
      </c>
      <c r="BF149" s="124">
        <f>VLOOKUP(AT149,'Yield 1Y'!$F:$G,2,0)</f>
        <v>46042</v>
      </c>
      <c r="BG149" s="318">
        <f t="shared" si="23"/>
        <v>66</v>
      </c>
    </row>
    <row r="150" spans="1:59" x14ac:dyDescent="0.3">
      <c r="A150" s="37">
        <v>105</v>
      </c>
      <c r="B150" s="72">
        <f>'Yield 1Y'!R107*B$3</f>
        <v>0</v>
      </c>
      <c r="C150" s="72">
        <f>'Yield 1Y'!S107*C$3</f>
        <v>0</v>
      </c>
      <c r="D150" s="72">
        <f>'Yield 1Y'!T107*D$3</f>
        <v>0</v>
      </c>
      <c r="E150" s="72">
        <f>'Yield 1Y'!U107*E$3</f>
        <v>8.6544258255162154E-2</v>
      </c>
      <c r="F150" s="72">
        <f>'Yield 1Y'!V107*F$3</f>
        <v>2.3382033598458727E-2</v>
      </c>
      <c r="G150" s="72">
        <f>'Yield 1Y'!W107*G$3</f>
        <v>-1.3526206741181965</v>
      </c>
      <c r="H150" s="72">
        <f>'Yield 1Y'!X107*H$3</f>
        <v>-3.7264320062469092</v>
      </c>
      <c r="I150" s="72">
        <f>'Yield 1Y'!Y107*I$3</f>
        <v>0</v>
      </c>
      <c r="J150" s="72">
        <f>'Yield 1Y'!Z107*J$3</f>
        <v>0</v>
      </c>
      <c r="K150" s="72">
        <f>'Yield 1Y'!AA107*K$3</f>
        <v>0</v>
      </c>
      <c r="L150" s="177">
        <f t="shared" si="16"/>
        <v>4.9691263885114854</v>
      </c>
      <c r="M150" s="124">
        <f>VLOOKUP(A150,'Yield 1Y'!$F:$G,2,0)</f>
        <v>46101</v>
      </c>
      <c r="N150" s="318">
        <f t="shared" si="17"/>
        <v>64</v>
      </c>
      <c r="P150" s="37">
        <v>147</v>
      </c>
      <c r="Q150" s="72">
        <f>Q$3*'Yield 1Y'!R149</f>
        <v>0</v>
      </c>
      <c r="R150" s="72">
        <f>R$3*'Yield 1Y'!S149</f>
        <v>0</v>
      </c>
      <c r="S150" s="72">
        <f>S$3*'Yield 1Y'!T149</f>
        <v>0</v>
      </c>
      <c r="T150" s="72">
        <f>T$3*'Yield 1Y'!U149</f>
        <v>0</v>
      </c>
      <c r="U150" s="72">
        <f>U$3*'Yield 1Y'!V149</f>
        <v>0</v>
      </c>
      <c r="V150" s="72">
        <f>V$3*'Yield 1Y'!W149</f>
        <v>-0.28036615740649745</v>
      </c>
      <c r="W150" s="72">
        <f>W$3*'Yield 1Y'!X149</f>
        <v>0</v>
      </c>
      <c r="X150" s="72">
        <f>X$3*'Yield 1Y'!Y149</f>
        <v>-0.51947412229699608</v>
      </c>
      <c r="Y150" s="72">
        <f>Y$3*'Yield 1Y'!Z149</f>
        <v>0</v>
      </c>
      <c r="Z150" s="72">
        <f>Z$3*'Yield 1Y'!AA149</f>
        <v>0</v>
      </c>
      <c r="AA150" s="177">
        <f t="shared" si="18"/>
        <v>0.79984027970349358</v>
      </c>
      <c r="AB150" s="124">
        <f>VLOOKUP(P150,'Yield 1Y'!$F:$G,2,0)</f>
        <v>46036</v>
      </c>
      <c r="AC150" s="318">
        <f t="shared" si="22"/>
        <v>64</v>
      </c>
      <c r="AE150" s="37">
        <v>155</v>
      </c>
      <c r="AF150" s="72">
        <f>AF$3*'Yield 1Y'!AB157</f>
        <v>0</v>
      </c>
      <c r="AG150" s="72">
        <f>AG$3*'Yield 1Y'!AC157</f>
        <v>0</v>
      </c>
      <c r="AH150" s="72">
        <f>AH$3*'Yield 1Y'!AD157</f>
        <v>-3.6882909077496369E-2</v>
      </c>
      <c r="AI150" s="72">
        <f>AI$3*'Yield 1Y'!AE157</f>
        <v>-1.038531099062074</v>
      </c>
      <c r="AJ150" s="72">
        <f>AJ$3*'Yield 1Y'!AF157</f>
        <v>-6.0793287355993521E-2</v>
      </c>
      <c r="AK150" s="72">
        <f>AK$3*'Yield 1Y'!AG157</f>
        <v>-10.009392988474847</v>
      </c>
      <c r="AL150" s="72">
        <f>AL$3*'Yield 1Y'!AH157</f>
        <v>-4.968576008329519</v>
      </c>
      <c r="AM150" s="72">
        <f>AM$3*'Yield 1Y'!AI157</f>
        <v>-7.7362275942897165</v>
      </c>
      <c r="AN150" s="72">
        <f>AN$3*'Yield 1Y'!AJ157</f>
        <v>0</v>
      </c>
      <c r="AO150" s="72">
        <f>AO$3*'Yield 1Y'!AK157</f>
        <v>0</v>
      </c>
      <c r="AP150" s="177">
        <f t="shared" si="19"/>
        <v>23.850403886589646</v>
      </c>
      <c r="AQ150" s="124">
        <f>VLOOKUP(AE150,'Yield 1Y'!$F:$G,2,0)</f>
        <v>46022</v>
      </c>
      <c r="AR150" s="318">
        <f t="shared" si="20"/>
        <v>193</v>
      </c>
      <c r="AT150" s="37">
        <v>144</v>
      </c>
      <c r="AU150" s="72">
        <f>AU$3*'Yield 1Y'!AB145</f>
        <v>0</v>
      </c>
      <c r="AV150" s="72">
        <f>AV$3*'Yield 1Y'!AC145</f>
        <v>0</v>
      </c>
      <c r="AW150" s="72">
        <f>AW$3*'Yield 1Y'!AD145</f>
        <v>0</v>
      </c>
      <c r="AX150" s="72">
        <f>AX$3*'Yield 1Y'!AE145</f>
        <v>0</v>
      </c>
      <c r="AY150" s="72">
        <f>AY$3*'Yield 1Y'!AF145</f>
        <v>0</v>
      </c>
      <c r="AZ150" s="72">
        <f>AZ$3*'Yield 1Y'!AG145</f>
        <v>-2.2301853430062479</v>
      </c>
      <c r="BA150" s="72">
        <f>BA$3*'Yield 1Y'!AH145</f>
        <v>-11.383127481100011</v>
      </c>
      <c r="BB150" s="72">
        <f>BB$3*'Yield 1Y'!AI145</f>
        <v>-9.3505342013460009</v>
      </c>
      <c r="BC150" s="72">
        <f>BC$3*'Yield 1Y'!AJ145</f>
        <v>0</v>
      </c>
      <c r="BD150" s="72">
        <f>BD$3*'Yield 1Y'!AK145</f>
        <v>0</v>
      </c>
      <c r="BE150" s="177">
        <f t="shared" si="21"/>
        <v>22.96384702545226</v>
      </c>
      <c r="BF150" s="124">
        <f>VLOOKUP(AT150,'Yield 1Y'!$F:$G,2,0)</f>
        <v>46041</v>
      </c>
      <c r="BG150" s="318">
        <f t="shared" si="23"/>
        <v>16</v>
      </c>
    </row>
    <row r="151" spans="1:59" x14ac:dyDescent="0.3">
      <c r="A151" s="37">
        <v>24</v>
      </c>
      <c r="B151" s="72">
        <f>'Yield 1Y'!R26*B$3</f>
        <v>0</v>
      </c>
      <c r="C151" s="72">
        <f>'Yield 1Y'!S26*C$3</f>
        <v>0</v>
      </c>
      <c r="D151" s="72">
        <f>'Yield 1Y'!T26*D$3</f>
        <v>0</v>
      </c>
      <c r="E151" s="72">
        <f>'Yield 1Y'!U26*E$3</f>
        <v>-8.6544258255162154E-2</v>
      </c>
      <c r="F151" s="72">
        <f>'Yield 1Y'!V26*F$3</f>
        <v>-2.8058440318152134E-2</v>
      </c>
      <c r="G151" s="72">
        <f>'Yield 1Y'!W26*G$3</f>
        <v>-1.082096539294461</v>
      </c>
      <c r="H151" s="72">
        <f>'Yield 1Y'!X26*H$3</f>
        <v>-0.8280960013881612</v>
      </c>
      <c r="I151" s="72">
        <f>'Yield 1Y'!Y26*I$3</f>
        <v>-1.3454308859635717</v>
      </c>
      <c r="J151" s="72">
        <f>'Yield 1Y'!Z26*J$3</f>
        <v>0</v>
      </c>
      <c r="K151" s="72">
        <f>'Yield 1Y'!AA26*K$3</f>
        <v>0</v>
      </c>
      <c r="L151" s="177">
        <f t="shared" si="16"/>
        <v>3.3702261252195083</v>
      </c>
      <c r="M151" s="124">
        <f>VLOOKUP(A151,'Yield 1Y'!$F:$G,2,0)</f>
        <v>46219</v>
      </c>
      <c r="N151" s="318">
        <f t="shared" si="17"/>
        <v>85</v>
      </c>
      <c r="P151" s="37">
        <v>148</v>
      </c>
      <c r="Q151" s="72">
        <f>Q$3*'Yield 1Y'!R150</f>
        <v>0</v>
      </c>
      <c r="R151" s="72">
        <f>R$3*'Yield 1Y'!S150</f>
        <v>0</v>
      </c>
      <c r="S151" s="72">
        <f>S$3*'Yield 1Y'!T150</f>
        <v>0</v>
      </c>
      <c r="T151" s="72">
        <f>T$3*'Yield 1Y'!U150</f>
        <v>0</v>
      </c>
      <c r="U151" s="72">
        <f>U$3*'Yield 1Y'!V150</f>
        <v>0</v>
      </c>
      <c r="V151" s="72">
        <f>V$3*'Yield 1Y'!W150</f>
        <v>0</v>
      </c>
      <c r="W151" s="72">
        <f>W$3*'Yield 1Y'!X150</f>
        <v>1.2521440229210139</v>
      </c>
      <c r="X151" s="72">
        <f>X$3*'Yield 1Y'!Y150</f>
        <v>0.43955502655900491</v>
      </c>
      <c r="Y151" s="72">
        <f>Y$3*'Yield 1Y'!Z150</f>
        <v>0</v>
      </c>
      <c r="Z151" s="72">
        <f>Z$3*'Yield 1Y'!AA150</f>
        <v>0</v>
      </c>
      <c r="AA151" s="177">
        <f t="shared" si="18"/>
        <v>-1.6916990494800188</v>
      </c>
      <c r="AB151" s="124">
        <f>VLOOKUP(P151,'Yield 1Y'!$F:$G,2,0)</f>
        <v>46035</v>
      </c>
      <c r="AC151" s="318">
        <f t="shared" si="22"/>
        <v>249</v>
      </c>
      <c r="AE151" s="37">
        <v>215</v>
      </c>
      <c r="AF151" s="72">
        <f>AF$3*'Yield 1Y'!AB217</f>
        <v>0</v>
      </c>
      <c r="AG151" s="72">
        <f>AG$3*'Yield 1Y'!AC217</f>
        <v>0</v>
      </c>
      <c r="AH151" s="72">
        <f>AH$3*'Yield 1Y'!AD217</f>
        <v>-0.29506327261997095</v>
      </c>
      <c r="AI151" s="72">
        <f>AI$3*'Yield 1Y'!AE217</f>
        <v>-1.9328217676988393</v>
      </c>
      <c r="AJ151" s="72">
        <f>AJ$3*'Yield 1Y'!AF217</f>
        <v>-0.18705626878767398</v>
      </c>
      <c r="AK151" s="72">
        <f>AK$3*'Yield 1Y'!AG217</f>
        <v>-9.4683447188276162</v>
      </c>
      <c r="AL151" s="72">
        <f>AL$3*'Yield 1Y'!AH217</f>
        <v>-14.905728024988557</v>
      </c>
      <c r="AM151" s="72">
        <f>AM$3*'Yield 1Y'!AI217</f>
        <v>-13.790666581125041</v>
      </c>
      <c r="AN151" s="72">
        <f>AN$3*'Yield 1Y'!AJ217</f>
        <v>0</v>
      </c>
      <c r="AO151" s="72">
        <f>AO$3*'Yield 1Y'!AK217</f>
        <v>0</v>
      </c>
      <c r="AP151" s="177">
        <f t="shared" si="19"/>
        <v>40.579680634047705</v>
      </c>
      <c r="AQ151" s="124">
        <f>VLOOKUP(AE151,'Yield 1Y'!$F:$G,2,0)</f>
        <v>45938</v>
      </c>
      <c r="AR151" s="318">
        <f t="shared" si="20"/>
        <v>123</v>
      </c>
      <c r="AT151" s="37">
        <v>145</v>
      </c>
      <c r="AU151" s="72">
        <f>AU$3*'Yield 1Y'!AB96</f>
        <v>0</v>
      </c>
      <c r="AV151" s="72">
        <f>AV$3*'Yield 1Y'!AC96</f>
        <v>0</v>
      </c>
      <c r="AW151" s="72">
        <f>AW$3*'Yield 1Y'!AD96</f>
        <v>0</v>
      </c>
      <c r="AX151" s="72">
        <f>AX$3*'Yield 1Y'!AE96</f>
        <v>0</v>
      </c>
      <c r="AY151" s="72">
        <f>AY$3*'Yield 1Y'!AF96</f>
        <v>0</v>
      </c>
      <c r="AZ151" s="72">
        <f>AZ$3*'Yield 1Y'!AG96</f>
        <v>-0.36957357112674893</v>
      </c>
      <c r="BA151" s="72">
        <f>BA$3*'Yield 1Y'!AH96</f>
        <v>-3.073444419896965</v>
      </c>
      <c r="BB151" s="72">
        <f>BB$3*'Yield 1Y'!AI96</f>
        <v>-0.87911005311799206</v>
      </c>
      <c r="BC151" s="72">
        <f>BC$3*'Yield 1Y'!AJ96</f>
        <v>0</v>
      </c>
      <c r="BD151" s="72">
        <f>BD$3*'Yield 1Y'!AK96</f>
        <v>0</v>
      </c>
      <c r="BE151" s="177">
        <f t="shared" si="21"/>
        <v>4.3221280441417065</v>
      </c>
      <c r="BF151" s="124">
        <f>VLOOKUP(AT151,'Yield 1Y'!$F:$G,2,0)</f>
        <v>46038</v>
      </c>
      <c r="BG151" s="318">
        <f t="shared" si="23"/>
        <v>179</v>
      </c>
    </row>
    <row r="152" spans="1:59" x14ac:dyDescent="0.3">
      <c r="A152" s="37">
        <v>167</v>
      </c>
      <c r="B152" s="72">
        <f>'Yield 1Y'!R169*B$3</f>
        <v>0</v>
      </c>
      <c r="C152" s="72">
        <f>'Yield 1Y'!S169*C$3</f>
        <v>0</v>
      </c>
      <c r="D152" s="72">
        <f>'Yield 1Y'!T169*D$3</f>
        <v>7.3765818154992738E-2</v>
      </c>
      <c r="E152" s="72">
        <f>'Yield 1Y'!U169*E$3</f>
        <v>0.11539234434022902</v>
      </c>
      <c r="F152" s="72">
        <f>'Yield 1Y'!V169*F$3</f>
        <v>0</v>
      </c>
      <c r="G152" s="72">
        <f>'Yield 1Y'!W169*G$3</f>
        <v>-1.3526206741181965</v>
      </c>
      <c r="H152" s="72">
        <f>'Yield 1Y'!X169*H$3</f>
        <v>-1.2421440020824257</v>
      </c>
      <c r="I152" s="72">
        <f>'Yield 1Y'!Y169*I$3</f>
        <v>0</v>
      </c>
      <c r="J152" s="72">
        <f>'Yield 1Y'!Z169*J$3</f>
        <v>0</v>
      </c>
      <c r="K152" s="72">
        <f>'Yield 1Y'!AA169*K$3</f>
        <v>0</v>
      </c>
      <c r="L152" s="177">
        <f t="shared" si="16"/>
        <v>2.4056065137054006</v>
      </c>
      <c r="M152" s="124">
        <f>VLOOKUP(A152,'Yield 1Y'!$F:$G,2,0)</f>
        <v>46006</v>
      </c>
      <c r="N152" s="318">
        <f t="shared" si="17"/>
        <v>110</v>
      </c>
      <c r="P152" s="37">
        <v>149</v>
      </c>
      <c r="Q152" s="72">
        <f>Q$3*'Yield 1Y'!R151</f>
        <v>0</v>
      </c>
      <c r="R152" s="72">
        <f>R$3*'Yield 1Y'!S151</f>
        <v>0</v>
      </c>
      <c r="S152" s="72">
        <f>S$3*'Yield 1Y'!T151</f>
        <v>0</v>
      </c>
      <c r="T152" s="72">
        <f>T$3*'Yield 1Y'!U151</f>
        <v>0</v>
      </c>
      <c r="U152" s="72">
        <f>U$3*'Yield 1Y'!V151</f>
        <v>0</v>
      </c>
      <c r="V152" s="72">
        <f>V$3*'Yield 1Y'!W151</f>
        <v>-7.6463497474502901E-2</v>
      </c>
      <c r="W152" s="72">
        <f>W$3*'Yield 1Y'!X151</f>
        <v>0.11383127481103802</v>
      </c>
      <c r="X152" s="72">
        <f>X$3*'Yield 1Y'!Y151</f>
        <v>-0.31967638295200035</v>
      </c>
      <c r="Y152" s="72">
        <f>Y$3*'Yield 1Y'!Z151</f>
        <v>0</v>
      </c>
      <c r="Z152" s="72">
        <f>Z$3*'Yield 1Y'!AA151</f>
        <v>0</v>
      </c>
      <c r="AA152" s="177">
        <f t="shared" si="18"/>
        <v>0.28230860561546522</v>
      </c>
      <c r="AB152" s="124">
        <f>VLOOKUP(P152,'Yield 1Y'!$F:$G,2,0)</f>
        <v>46034</v>
      </c>
      <c r="AC152" s="318">
        <f t="shared" si="22"/>
        <v>130</v>
      </c>
      <c r="AE152" s="37">
        <v>235</v>
      </c>
      <c r="AF152" s="72">
        <f>AF$3*'Yield 1Y'!AB237</f>
        <v>0</v>
      </c>
      <c r="AG152" s="72">
        <f>AG$3*'Yield 1Y'!AC237</f>
        <v>0</v>
      </c>
      <c r="AH152" s="72">
        <f>AH$3*'Yield 1Y'!AD237</f>
        <v>-0.78376181789679678</v>
      </c>
      <c r="AI152" s="72">
        <f>AI$3*'Yield 1Y'!AE237</f>
        <v>-0.83659449646665718</v>
      </c>
      <c r="AJ152" s="72">
        <f>AJ$3*'Yield 1Y'!AF237</f>
        <v>-0.36008331741627186</v>
      </c>
      <c r="AK152" s="72">
        <f>AK$3*'Yield 1Y'!AG237</f>
        <v>-10.279917123298583</v>
      </c>
      <c r="AL152" s="72">
        <f>AL$3*'Yield 1Y'!AH237</f>
        <v>-31.881696053447698</v>
      </c>
      <c r="AM152" s="72">
        <f>AM$3*'Yield 1Y'!AI237</f>
        <v>-16.481528353051885</v>
      </c>
      <c r="AN152" s="72">
        <f>AN$3*'Yield 1Y'!AJ237</f>
        <v>0</v>
      </c>
      <c r="AO152" s="72">
        <f>AO$3*'Yield 1Y'!AK237</f>
        <v>0</v>
      </c>
      <c r="AP152" s="177">
        <f t="shared" si="19"/>
        <v>60.623581161577889</v>
      </c>
      <c r="AQ152" s="124">
        <f>VLOOKUP(AE152,'Yield 1Y'!$F:$G,2,0)</f>
        <v>45910</v>
      </c>
      <c r="AR152" s="318">
        <f t="shared" si="20"/>
        <v>62</v>
      </c>
      <c r="AT152" s="37">
        <v>146</v>
      </c>
      <c r="AU152" s="72">
        <f>AU$3*'Yield 1Y'!AB177</f>
        <v>0</v>
      </c>
      <c r="AV152" s="72">
        <f>AV$3*'Yield 1Y'!AC177</f>
        <v>0</v>
      </c>
      <c r="AW152" s="72">
        <f>AW$3*'Yield 1Y'!AD177</f>
        <v>0</v>
      </c>
      <c r="AX152" s="72">
        <f>AX$3*'Yield 1Y'!AE177</f>
        <v>0</v>
      </c>
      <c r="AY152" s="72">
        <f>AY$3*'Yield 1Y'!AF177</f>
        <v>0</v>
      </c>
      <c r="AZ152" s="72">
        <f>AZ$3*'Yield 1Y'!AG177</f>
        <v>-0.47152490109274903</v>
      </c>
      <c r="BA152" s="72">
        <f>BA$3*'Yield 1Y'!AH177</f>
        <v>-6.2607201146050189</v>
      </c>
      <c r="BB152" s="72">
        <f>BB$3*'Yield 1Y'!AI177</f>
        <v>-1.2787055318080014</v>
      </c>
      <c r="BC152" s="72">
        <f>BC$3*'Yield 1Y'!AJ177</f>
        <v>0</v>
      </c>
      <c r="BD152" s="72">
        <f>BD$3*'Yield 1Y'!AK177</f>
        <v>0</v>
      </c>
      <c r="BE152" s="177">
        <f t="shared" si="21"/>
        <v>8.0109505475057698</v>
      </c>
      <c r="BF152" s="124">
        <f>VLOOKUP(AT152,'Yield 1Y'!$F:$G,2,0)</f>
        <v>46037</v>
      </c>
      <c r="BG152" s="318">
        <f t="shared" si="23"/>
        <v>88</v>
      </c>
    </row>
    <row r="153" spans="1:59" x14ac:dyDescent="0.3">
      <c r="A153" s="37">
        <v>162</v>
      </c>
      <c r="B153" s="72">
        <f>'Yield 1Y'!R164*B$3</f>
        <v>0</v>
      </c>
      <c r="C153" s="72">
        <f>'Yield 1Y'!S164*C$3</f>
        <v>0</v>
      </c>
      <c r="D153" s="72">
        <f>'Yield 1Y'!T164*D$3</f>
        <v>0</v>
      </c>
      <c r="E153" s="72">
        <f>'Yield 1Y'!U164*E$3</f>
        <v>0</v>
      </c>
      <c r="F153" s="72">
        <f>'Yield 1Y'!V164*F$3</f>
        <v>0</v>
      </c>
      <c r="G153" s="72">
        <f>'Yield 1Y'!W164*G$3</f>
        <v>0</v>
      </c>
      <c r="H153" s="72">
        <f>'Yield 1Y'!X164*H$3</f>
        <v>-1.6561920027763224</v>
      </c>
      <c r="I153" s="72">
        <f>'Yield 1Y'!Y164*I$3</f>
        <v>-1.0090731644723054</v>
      </c>
      <c r="J153" s="72">
        <f>'Yield 1Y'!Z164*J$3</f>
        <v>0</v>
      </c>
      <c r="K153" s="72">
        <f>'Yield 1Y'!AA164*K$3</f>
        <v>0</v>
      </c>
      <c r="L153" s="177">
        <f t="shared" si="16"/>
        <v>2.6652651672486281</v>
      </c>
      <c r="M153" s="124">
        <f>VLOOKUP(A153,'Yield 1Y'!$F:$G,2,0)</f>
        <v>46013</v>
      </c>
      <c r="N153" s="318">
        <f t="shared" si="17"/>
        <v>104</v>
      </c>
      <c r="P153" s="37">
        <v>150</v>
      </c>
      <c r="Q153" s="72">
        <f>Q$3*'Yield 1Y'!R152</f>
        <v>0</v>
      </c>
      <c r="R153" s="72">
        <f>R$3*'Yield 1Y'!S152</f>
        <v>0</v>
      </c>
      <c r="S153" s="72">
        <f>S$3*'Yield 1Y'!T152</f>
        <v>0</v>
      </c>
      <c r="T153" s="72">
        <f>T$3*'Yield 1Y'!U152</f>
        <v>0</v>
      </c>
      <c r="U153" s="72">
        <f>U$3*'Yield 1Y'!V152</f>
        <v>0</v>
      </c>
      <c r="V153" s="72">
        <f>V$3*'Yield 1Y'!W152</f>
        <v>-0.24213440866924599</v>
      </c>
      <c r="W153" s="72">
        <f>W$3*'Yield 1Y'!X152</f>
        <v>1.9351316717869389</v>
      </c>
      <c r="X153" s="72">
        <f>X$3*'Yield 1Y'!Y152</f>
        <v>-0.39959547869002704</v>
      </c>
      <c r="Y153" s="72">
        <f>Y$3*'Yield 1Y'!Z152</f>
        <v>0</v>
      </c>
      <c r="Z153" s="72">
        <f>Z$3*'Yield 1Y'!AA152</f>
        <v>0</v>
      </c>
      <c r="AA153" s="177">
        <f t="shared" si="18"/>
        <v>-1.2934017844276657</v>
      </c>
      <c r="AB153" s="124">
        <f>VLOOKUP(P153,'Yield 1Y'!$F:$G,2,0)</f>
        <v>46031</v>
      </c>
      <c r="AC153" s="318">
        <f t="shared" si="22"/>
        <v>247</v>
      </c>
      <c r="AE153" s="37">
        <v>221</v>
      </c>
      <c r="AF153" s="72">
        <f>AF$3*'Yield 1Y'!AB223</f>
        <v>0</v>
      </c>
      <c r="AG153" s="72">
        <f>AG$3*'Yield 1Y'!AC223</f>
        <v>0</v>
      </c>
      <c r="AH153" s="72">
        <f>AH$3*'Yield 1Y'!AD223</f>
        <v>-0.2674010908118517</v>
      </c>
      <c r="AI153" s="72">
        <f>AI$3*'Yield 1Y'!AE223</f>
        <v>-1.3270119599126273</v>
      </c>
      <c r="AJ153" s="72">
        <f>AJ$3*'Yield 1Y'!AF223</f>
        <v>-0.15899782846952185</v>
      </c>
      <c r="AK153" s="72">
        <f>AK$3*'Yield 1Y'!AG223</f>
        <v>-7.8451999098858041</v>
      </c>
      <c r="AL153" s="72">
        <f>AL$3*'Yield 1Y'!AH223</f>
        <v>-11.179296018741463</v>
      </c>
      <c r="AM153" s="72">
        <f>AM$3*'Yield 1Y'!AI223</f>
        <v>-12.781593416652438</v>
      </c>
      <c r="AN153" s="72">
        <f>AN$3*'Yield 1Y'!AJ223</f>
        <v>0</v>
      </c>
      <c r="AO153" s="72">
        <f>AO$3*'Yield 1Y'!AK223</f>
        <v>0</v>
      </c>
      <c r="AP153" s="177">
        <f t="shared" si="19"/>
        <v>33.559500224473709</v>
      </c>
      <c r="AQ153" s="124">
        <f>VLOOKUP(AE153,'Yield 1Y'!$F:$G,2,0)</f>
        <v>45930</v>
      </c>
      <c r="AR153" s="318">
        <f t="shared" si="20"/>
        <v>156</v>
      </c>
      <c r="AT153" s="37">
        <v>147</v>
      </c>
      <c r="AU153" s="72">
        <f>AU$3*'Yield 1Y'!AB106</f>
        <v>0</v>
      </c>
      <c r="AV153" s="72">
        <f>AV$3*'Yield 1Y'!AC106</f>
        <v>0</v>
      </c>
      <c r="AW153" s="72">
        <f>AW$3*'Yield 1Y'!AD106</f>
        <v>0</v>
      </c>
      <c r="AX153" s="72">
        <f>AX$3*'Yield 1Y'!AE106</f>
        <v>0</v>
      </c>
      <c r="AY153" s="72">
        <f>AY$3*'Yield 1Y'!AF106</f>
        <v>0</v>
      </c>
      <c r="AZ153" s="72">
        <f>AZ$3*'Yield 1Y'!AG106</f>
        <v>-0.48426881733849197</v>
      </c>
      <c r="BA153" s="72">
        <f>BA$3*'Yield 1Y'!AH106</f>
        <v>-14.001246801753027</v>
      </c>
      <c r="BB153" s="72">
        <f>BB$3*'Yield 1Y'!AI106</f>
        <v>-6.7531635898610034</v>
      </c>
      <c r="BC153" s="72">
        <f>BC$3*'Yield 1Y'!AJ106</f>
        <v>0</v>
      </c>
      <c r="BD153" s="72">
        <f>BD$3*'Yield 1Y'!AK106</f>
        <v>0</v>
      </c>
      <c r="BE153" s="177">
        <f t="shared" si="21"/>
        <v>21.238679208952522</v>
      </c>
      <c r="BF153" s="124">
        <f>VLOOKUP(AT153,'Yield 1Y'!$F:$G,2,0)</f>
        <v>46036</v>
      </c>
      <c r="BG153" s="318">
        <f t="shared" si="23"/>
        <v>22</v>
      </c>
    </row>
    <row r="154" spans="1:59" x14ac:dyDescent="0.3">
      <c r="A154" s="37">
        <v>132</v>
      </c>
      <c r="B154" s="72">
        <f>'Yield 1Y'!R134*B$3</f>
        <v>0</v>
      </c>
      <c r="C154" s="72">
        <f>'Yield 1Y'!S134*C$3</f>
        <v>0</v>
      </c>
      <c r="D154" s="72">
        <f>'Yield 1Y'!T134*D$3</f>
        <v>-0.17519381811810877</v>
      </c>
      <c r="E154" s="72">
        <f>'Yield 1Y'!U134*E$3</f>
        <v>-0.63465789387126603</v>
      </c>
      <c r="F154" s="72">
        <f>'Yield 1Y'!V134*F$3</f>
        <v>-0.11691016799229779</v>
      </c>
      <c r="G154" s="72">
        <f>'Yield 1Y'!W134*G$3</f>
        <v>0</v>
      </c>
      <c r="H154" s="72">
        <f>'Yield 1Y'!X134*H$3</f>
        <v>-6.2107200104117606</v>
      </c>
      <c r="I154" s="72">
        <f>'Yield 1Y'!Y134*I$3</f>
        <v>-1.6817886074542407</v>
      </c>
      <c r="J154" s="72">
        <f>'Yield 1Y'!Z134*J$3</f>
        <v>0</v>
      </c>
      <c r="K154" s="72">
        <f>'Yield 1Y'!AA134*K$3</f>
        <v>0</v>
      </c>
      <c r="L154" s="177">
        <f t="shared" si="16"/>
        <v>8.8192704978476737</v>
      </c>
      <c r="M154" s="124">
        <f>VLOOKUP(A154,'Yield 1Y'!$F:$G,2,0)</f>
        <v>46057</v>
      </c>
      <c r="N154" s="318">
        <f t="shared" si="17"/>
        <v>37</v>
      </c>
      <c r="P154" s="37">
        <v>151</v>
      </c>
      <c r="Q154" s="72">
        <f>Q$3*'Yield 1Y'!R153</f>
        <v>0</v>
      </c>
      <c r="R154" s="72">
        <f>R$3*'Yield 1Y'!S153</f>
        <v>0</v>
      </c>
      <c r="S154" s="72">
        <f>S$3*'Yield 1Y'!T153</f>
        <v>0</v>
      </c>
      <c r="T154" s="72">
        <f>T$3*'Yield 1Y'!U153</f>
        <v>0</v>
      </c>
      <c r="U154" s="72">
        <f>U$3*'Yield 1Y'!V153</f>
        <v>0</v>
      </c>
      <c r="V154" s="72">
        <f>V$3*'Yield 1Y'!W153</f>
        <v>-0.91756196969400083</v>
      </c>
      <c r="W154" s="72">
        <f>W$3*'Yield 1Y'!X153</f>
        <v>-8.9926707100689711</v>
      </c>
      <c r="X154" s="72">
        <f>X$3*'Yield 1Y'!Y153</f>
        <v>-2.1178560370569977</v>
      </c>
      <c r="Y154" s="72">
        <f>Y$3*'Yield 1Y'!Z153</f>
        <v>0</v>
      </c>
      <c r="Z154" s="72">
        <f>Z$3*'Yield 1Y'!AA153</f>
        <v>0</v>
      </c>
      <c r="AA154" s="177">
        <f t="shared" si="18"/>
        <v>12.028088716819969</v>
      </c>
      <c r="AB154" s="124">
        <f>VLOOKUP(P154,'Yield 1Y'!$F:$G,2,0)</f>
        <v>46030</v>
      </c>
      <c r="AC154" s="318">
        <f t="shared" si="22"/>
        <v>2</v>
      </c>
      <c r="AE154" s="37">
        <v>121</v>
      </c>
      <c r="AF154" s="72">
        <f>AF$3*'Yield 1Y'!AB123</f>
        <v>0</v>
      </c>
      <c r="AG154" s="72">
        <f>AG$3*'Yield 1Y'!AC123</f>
        <v>0</v>
      </c>
      <c r="AH154" s="72">
        <f>AH$3*'Yield 1Y'!AD123</f>
        <v>-0.35038763623621344</v>
      </c>
      <c r="AI154" s="72">
        <f>AI$3*'Yield 1Y'!AE123</f>
        <v>0</v>
      </c>
      <c r="AJ154" s="72">
        <f>AJ$3*'Yield 1Y'!AF123</f>
        <v>-0.10755735455291306</v>
      </c>
      <c r="AK154" s="72">
        <f>AK$3*'Yield 1Y'!AG123</f>
        <v>0</v>
      </c>
      <c r="AL154" s="72">
        <f>AL$3*'Yield 1Y'!AH123</f>
        <v>-12.835488021517969</v>
      </c>
      <c r="AM154" s="72">
        <f>AM$3*'Yield 1Y'!AI123</f>
        <v>-20.181463289451337</v>
      </c>
      <c r="AN154" s="72">
        <f>AN$3*'Yield 1Y'!AJ123</f>
        <v>0</v>
      </c>
      <c r="AO154" s="72">
        <f>AO$3*'Yield 1Y'!AK123</f>
        <v>0</v>
      </c>
      <c r="AP154" s="177">
        <f t="shared" si="19"/>
        <v>33.474896301758434</v>
      </c>
      <c r="AQ154" s="124">
        <f>VLOOKUP(AE154,'Yield 1Y'!$F:$G,2,0)</f>
        <v>46079</v>
      </c>
      <c r="AR154" s="318">
        <f t="shared" si="20"/>
        <v>157</v>
      </c>
      <c r="AT154" s="37">
        <v>148</v>
      </c>
      <c r="AU154" s="72">
        <f>AU$3*'Yield 1Y'!AB194</f>
        <v>0</v>
      </c>
      <c r="AV154" s="72">
        <f>AV$3*'Yield 1Y'!AC194</f>
        <v>0</v>
      </c>
      <c r="AW154" s="72">
        <f>AW$3*'Yield 1Y'!AD194</f>
        <v>0</v>
      </c>
      <c r="AX154" s="72">
        <f>AX$3*'Yield 1Y'!AE194</f>
        <v>0</v>
      </c>
      <c r="AY154" s="72">
        <f>AY$3*'Yield 1Y'!AF194</f>
        <v>0</v>
      </c>
      <c r="AZ154" s="72">
        <f>AZ$3*'Yield 1Y'!AG194</f>
        <v>-1.2234159595919956</v>
      </c>
      <c r="BA154" s="72">
        <f>BA$3*'Yield 1Y'!AH194</f>
        <v>-2.6181193206530153</v>
      </c>
      <c r="BB154" s="72">
        <f>BB$3*'Yield 1Y'!AI194</f>
        <v>-0.6393527659040007</v>
      </c>
      <c r="BC154" s="72">
        <f>BC$3*'Yield 1Y'!AJ194</f>
        <v>0</v>
      </c>
      <c r="BD154" s="72">
        <f>BD$3*'Yield 1Y'!AK194</f>
        <v>0</v>
      </c>
      <c r="BE154" s="177">
        <f t="shared" si="21"/>
        <v>4.480888046149011</v>
      </c>
      <c r="BF154" s="124">
        <f>VLOOKUP(AT154,'Yield 1Y'!$F:$G,2,0)</f>
        <v>46035</v>
      </c>
      <c r="BG154" s="318">
        <f t="shared" si="23"/>
        <v>175</v>
      </c>
    </row>
    <row r="155" spans="1:59" x14ac:dyDescent="0.3">
      <c r="A155" s="37">
        <v>34</v>
      </c>
      <c r="B155" s="72">
        <f>'Yield 1Y'!R36*B$3</f>
        <v>0</v>
      </c>
      <c r="C155" s="72">
        <f>'Yield 1Y'!S36*C$3</f>
        <v>0</v>
      </c>
      <c r="D155" s="72">
        <f>'Yield 1Y'!T36*D$3</f>
        <v>0</v>
      </c>
      <c r="E155" s="72">
        <f>'Yield 1Y'!U36*E$3</f>
        <v>5.7696172170120914E-2</v>
      </c>
      <c r="F155" s="72">
        <f>'Yield 1Y'!V36*F$3</f>
        <v>1.870562687876532E-2</v>
      </c>
      <c r="G155" s="72">
        <f>'Yield 1Y'!W36*G$3</f>
        <v>0.81157240447096601</v>
      </c>
      <c r="H155" s="72">
        <f>'Yield 1Y'!X36*H$3</f>
        <v>-0.41404800069426445</v>
      </c>
      <c r="I155" s="72">
        <f>'Yield 1Y'!Y36*I$3</f>
        <v>0</v>
      </c>
      <c r="J155" s="72">
        <f>'Yield 1Y'!Z36*J$3</f>
        <v>0</v>
      </c>
      <c r="K155" s="72">
        <f>'Yield 1Y'!AA36*K$3</f>
        <v>0</v>
      </c>
      <c r="L155" s="177">
        <f t="shared" si="16"/>
        <v>-0.47392620282558778</v>
      </c>
      <c r="M155" s="124">
        <f>VLOOKUP(A155,'Yield 1Y'!$F:$G,2,0)</f>
        <v>46205</v>
      </c>
      <c r="N155" s="318">
        <f t="shared" si="17"/>
        <v>210</v>
      </c>
      <c r="P155" s="37">
        <v>152</v>
      </c>
      <c r="Q155" s="72">
        <f>Q$3*'Yield 1Y'!R154</f>
        <v>0</v>
      </c>
      <c r="R155" s="72">
        <f>R$3*'Yield 1Y'!S154</f>
        <v>0</v>
      </c>
      <c r="S155" s="72">
        <f>S$3*'Yield 1Y'!T154</f>
        <v>0</v>
      </c>
      <c r="T155" s="72">
        <f>T$3*'Yield 1Y'!U154</f>
        <v>0</v>
      </c>
      <c r="U155" s="72">
        <f>U$3*'Yield 1Y'!V154</f>
        <v>0</v>
      </c>
      <c r="V155" s="72">
        <f>V$3*'Yield 1Y'!W154</f>
        <v>-0.49701273358425185</v>
      </c>
      <c r="W155" s="72">
        <f>W$3*'Yield 1Y'!X154</f>
        <v>-4.5532509924400051</v>
      </c>
      <c r="X155" s="72">
        <f>X$3*'Yield 1Y'!Y154</f>
        <v>-2.3975728721399849</v>
      </c>
      <c r="Y155" s="72">
        <f>Y$3*'Yield 1Y'!Z154</f>
        <v>0</v>
      </c>
      <c r="Z155" s="72">
        <f>Z$3*'Yield 1Y'!AA154</f>
        <v>0</v>
      </c>
      <c r="AA155" s="177">
        <f t="shared" si="18"/>
        <v>7.4478365981642423</v>
      </c>
      <c r="AB155" s="124">
        <f>VLOOKUP(P155,'Yield 1Y'!$F:$G,2,0)</f>
        <v>46029</v>
      </c>
      <c r="AC155" s="318">
        <f t="shared" si="22"/>
        <v>5</v>
      </c>
      <c r="AE155" s="37">
        <v>222</v>
      </c>
      <c r="AF155" s="72">
        <f>AF$3*'Yield 1Y'!AB224</f>
        <v>0</v>
      </c>
      <c r="AG155" s="72">
        <f>AG$3*'Yield 1Y'!AC224</f>
        <v>0</v>
      </c>
      <c r="AH155" s="72">
        <f>AH$3*'Yield 1Y'!AD224</f>
        <v>-0.25818036354247459</v>
      </c>
      <c r="AI155" s="72">
        <f>AI$3*'Yield 1Y'!AE224</f>
        <v>-1.3558600459976813</v>
      </c>
      <c r="AJ155" s="72">
        <f>AJ$3*'Yield 1Y'!AF224</f>
        <v>-0.13561579487106312</v>
      </c>
      <c r="AK155" s="72">
        <f>AK$3*'Yield 1Y'!AG224</f>
        <v>-8.3862481795330357</v>
      </c>
      <c r="AL155" s="72">
        <f>AL$3*'Yield 1Y'!AH224</f>
        <v>-10.765248018047382</v>
      </c>
      <c r="AM155" s="72">
        <f>AM$3*'Yield 1Y'!AI224</f>
        <v>-11.099804809198197</v>
      </c>
      <c r="AN155" s="72">
        <f>AN$3*'Yield 1Y'!AJ224</f>
        <v>0</v>
      </c>
      <c r="AO155" s="72">
        <f>AO$3*'Yield 1Y'!AK224</f>
        <v>0</v>
      </c>
      <c r="AP155" s="177">
        <f t="shared" si="19"/>
        <v>32.000957211189835</v>
      </c>
      <c r="AQ155" s="124">
        <f>VLOOKUP(AE155,'Yield 1Y'!$F:$G,2,0)</f>
        <v>45929</v>
      </c>
      <c r="AR155" s="318">
        <f t="shared" si="20"/>
        <v>161</v>
      </c>
      <c r="AT155" s="37">
        <v>149</v>
      </c>
      <c r="AU155" s="72">
        <f>AU$3*'Yield 1Y'!AB147</f>
        <v>0</v>
      </c>
      <c r="AV155" s="72">
        <f>AV$3*'Yield 1Y'!AC147</f>
        <v>0</v>
      </c>
      <c r="AW155" s="72">
        <f>AW$3*'Yield 1Y'!AD147</f>
        <v>0</v>
      </c>
      <c r="AX155" s="72">
        <f>AX$3*'Yield 1Y'!AE147</f>
        <v>0</v>
      </c>
      <c r="AY155" s="72">
        <f>AY$3*'Yield 1Y'!AF147</f>
        <v>0</v>
      </c>
      <c r="AZ155" s="72">
        <f>AZ$3*'Yield 1Y'!AG147</f>
        <v>-2.2811610079892422</v>
      </c>
      <c r="BA155" s="72">
        <f>BA$3*'Yield 1Y'!AH147</f>
        <v>-14.001246801752977</v>
      </c>
      <c r="BB155" s="72">
        <f>BB$3*'Yield 1Y'!AI147</f>
        <v>-9.3505342013460009</v>
      </c>
      <c r="BC155" s="72">
        <f>BC$3*'Yield 1Y'!AJ147</f>
        <v>0</v>
      </c>
      <c r="BD155" s="72">
        <f>BD$3*'Yield 1Y'!AK147</f>
        <v>0</v>
      </c>
      <c r="BE155" s="177">
        <f t="shared" si="21"/>
        <v>25.632942011088218</v>
      </c>
      <c r="BF155" s="124">
        <f>VLOOKUP(AT155,'Yield 1Y'!$F:$G,2,0)</f>
        <v>46034</v>
      </c>
      <c r="BG155" s="318">
        <f t="shared" si="23"/>
        <v>6</v>
      </c>
    </row>
    <row r="156" spans="1:59" x14ac:dyDescent="0.3">
      <c r="A156" s="37">
        <v>181</v>
      </c>
      <c r="B156" s="72">
        <f>'Yield 1Y'!R183*B$3</f>
        <v>0</v>
      </c>
      <c r="C156" s="72">
        <f>'Yield 1Y'!S183*C$3</f>
        <v>0</v>
      </c>
      <c r="D156" s="72">
        <f>'Yield 1Y'!T183*D$3</f>
        <v>0</v>
      </c>
      <c r="E156" s="72">
        <f>'Yield 1Y'!U183*E$3</f>
        <v>0</v>
      </c>
      <c r="F156" s="72">
        <f>'Yield 1Y'!V183*F$3</f>
        <v>0</v>
      </c>
      <c r="G156" s="72">
        <f>'Yield 1Y'!W183*G$3</f>
        <v>0</v>
      </c>
      <c r="H156" s="72">
        <f>'Yield 1Y'!X183*H$3</f>
        <v>0.82809600138834505</v>
      </c>
      <c r="I156" s="72">
        <f>'Yield 1Y'!Y183*I$3</f>
        <v>0</v>
      </c>
      <c r="J156" s="72">
        <f>'Yield 1Y'!Z183*J$3</f>
        <v>0</v>
      </c>
      <c r="K156" s="72">
        <f>'Yield 1Y'!AA183*K$3</f>
        <v>0</v>
      </c>
      <c r="L156" s="177">
        <f t="shared" si="16"/>
        <v>-0.82809600138834505</v>
      </c>
      <c r="M156" s="124">
        <f>VLOOKUP(A156,'Yield 1Y'!$F:$G,2,0)</f>
        <v>45986</v>
      </c>
      <c r="N156" s="318">
        <f t="shared" si="17"/>
        <v>212</v>
      </c>
      <c r="P156" s="37">
        <v>153</v>
      </c>
      <c r="Q156" s="72">
        <f>Q$3*'Yield 1Y'!R155</f>
        <v>0</v>
      </c>
      <c r="R156" s="72">
        <f>R$3*'Yield 1Y'!S155</f>
        <v>0</v>
      </c>
      <c r="S156" s="72">
        <f>S$3*'Yield 1Y'!T155</f>
        <v>0</v>
      </c>
      <c r="T156" s="72">
        <f>T$3*'Yield 1Y'!U155</f>
        <v>0</v>
      </c>
      <c r="U156" s="72">
        <f>U$3*'Yield 1Y'!V155</f>
        <v>0</v>
      </c>
      <c r="V156" s="72">
        <f>V$3*'Yield 1Y'!W155</f>
        <v>0</v>
      </c>
      <c r="W156" s="72">
        <f>W$3*'Yield 1Y'!X155</f>
        <v>-0.68298764886602603</v>
      </c>
      <c r="X156" s="72">
        <f>X$3*'Yield 1Y'!Y155</f>
        <v>0</v>
      </c>
      <c r="Y156" s="72">
        <f>Y$3*'Yield 1Y'!Z155</f>
        <v>0</v>
      </c>
      <c r="Z156" s="72">
        <f>Z$3*'Yield 1Y'!AA155</f>
        <v>0</v>
      </c>
      <c r="AA156" s="177">
        <f t="shared" si="18"/>
        <v>0.68298764886602603</v>
      </c>
      <c r="AB156" s="124">
        <f>VLOOKUP(P156,'Yield 1Y'!$F:$G,2,0)</f>
        <v>46028</v>
      </c>
      <c r="AC156" s="318">
        <f t="shared" si="22"/>
        <v>71</v>
      </c>
      <c r="AE156" s="37">
        <v>44</v>
      </c>
      <c r="AF156" s="72">
        <f>AF$3*'Yield 1Y'!AB46</f>
        <v>0</v>
      </c>
      <c r="AG156" s="72">
        <f>AG$3*'Yield 1Y'!AC46</f>
        <v>0</v>
      </c>
      <c r="AH156" s="72">
        <f>AH$3*'Yield 1Y'!AD46</f>
        <v>-0.33194618169746731</v>
      </c>
      <c r="AI156" s="72">
        <f>AI$3*'Yield 1Y'!AE46</f>
        <v>-0.89429066863676532</v>
      </c>
      <c r="AJ156" s="72">
        <f>AJ$3*'Yield 1Y'!AF46</f>
        <v>-0.16835064190890658</v>
      </c>
      <c r="AK156" s="72">
        <f>AK$3*'Yield 1Y'!AG46</f>
        <v>-11.091489527769308</v>
      </c>
      <c r="AL156" s="72">
        <f>AL$3*'Yield 1Y'!AH46</f>
        <v>-14.491680024294292</v>
      </c>
      <c r="AM156" s="72">
        <f>AM$3*'Yield 1Y'!AI46</f>
        <v>-15.136097467088465</v>
      </c>
      <c r="AN156" s="72">
        <f>AN$3*'Yield 1Y'!AJ46</f>
        <v>0</v>
      </c>
      <c r="AO156" s="72">
        <f>AO$3*'Yield 1Y'!AK46</f>
        <v>0</v>
      </c>
      <c r="AP156" s="177">
        <f t="shared" si="19"/>
        <v>42.113854511395203</v>
      </c>
      <c r="AQ156" s="124">
        <f>VLOOKUP(AE156,'Yield 1Y'!$F:$G,2,0)</f>
        <v>46191</v>
      </c>
      <c r="AR156" s="318">
        <f t="shared" si="20"/>
        <v>115</v>
      </c>
      <c r="AT156" s="37">
        <v>150</v>
      </c>
      <c r="AU156" s="72">
        <f>AU$3*'Yield 1Y'!AB155</f>
        <v>0</v>
      </c>
      <c r="AV156" s="72">
        <f>AV$3*'Yield 1Y'!AC155</f>
        <v>0</v>
      </c>
      <c r="AW156" s="72">
        <f>AW$3*'Yield 1Y'!AD155</f>
        <v>0</v>
      </c>
      <c r="AX156" s="72">
        <f>AX$3*'Yield 1Y'!AE155</f>
        <v>0</v>
      </c>
      <c r="AY156" s="72">
        <f>AY$3*'Yield 1Y'!AF155</f>
        <v>0</v>
      </c>
      <c r="AZ156" s="72">
        <f>AZ$3*'Yield 1Y'!AG155</f>
        <v>-0.47152490109274903</v>
      </c>
      <c r="BA156" s="72">
        <f>BA$3*'Yield 1Y'!AH155</f>
        <v>-3.3011069695189907</v>
      </c>
      <c r="BB156" s="72">
        <f>BB$3*'Yield 1Y'!AI155</f>
        <v>-1.0389482445940099</v>
      </c>
      <c r="BC156" s="72">
        <f>BC$3*'Yield 1Y'!AJ155</f>
        <v>0</v>
      </c>
      <c r="BD156" s="72">
        <f>BD$3*'Yield 1Y'!AK155</f>
        <v>0</v>
      </c>
      <c r="BE156" s="177">
        <f t="shared" si="21"/>
        <v>4.81158011520575</v>
      </c>
      <c r="BF156" s="124">
        <f>VLOOKUP(AT156,'Yield 1Y'!$F:$G,2,0)</f>
        <v>46031</v>
      </c>
      <c r="BG156" s="318">
        <f t="shared" si="23"/>
        <v>161</v>
      </c>
    </row>
    <row r="157" spans="1:59" x14ac:dyDescent="0.3">
      <c r="A157" s="114">
        <v>202</v>
      </c>
      <c r="B157" s="72">
        <f>'Yield 1Y'!R204*B$3</f>
        <v>0</v>
      </c>
      <c r="C157" s="72">
        <f>'Yield 1Y'!S204*C$3</f>
        <v>0</v>
      </c>
      <c r="D157" s="72">
        <f>'Yield 1Y'!T204*D$3</f>
        <v>0</v>
      </c>
      <c r="E157" s="72">
        <f>'Yield 1Y'!U204*E$3</f>
        <v>0</v>
      </c>
      <c r="F157" s="72">
        <f>'Yield 1Y'!V204*F$3</f>
        <v>0</v>
      </c>
      <c r="G157" s="72">
        <f>'Yield 1Y'!W204*G$3</f>
        <v>-0.81157240447084589</v>
      </c>
      <c r="H157" s="72">
        <f>'Yield 1Y'!X204*H$3</f>
        <v>2.4842880041648514</v>
      </c>
      <c r="I157" s="72">
        <f>'Yield 1Y'!Y204*I$3</f>
        <v>-1.6817886074542407</v>
      </c>
      <c r="J157" s="72">
        <f>'Yield 1Y'!Z204*J$3</f>
        <v>0</v>
      </c>
      <c r="K157" s="72">
        <f>'Yield 1Y'!AA204*K$3</f>
        <v>0</v>
      </c>
      <c r="L157" s="394">
        <f t="shared" si="16"/>
        <v>9.0730077602352299E-3</v>
      </c>
      <c r="M157" s="124">
        <f>VLOOKUP(A157,'Yield 1Y'!$F:$G,2,0)</f>
        <v>45957</v>
      </c>
      <c r="N157" s="318">
        <f t="shared" si="17"/>
        <v>191</v>
      </c>
      <c r="P157" s="37">
        <v>154</v>
      </c>
      <c r="Q157" s="72">
        <f>Q$3*'Yield 1Y'!R156</f>
        <v>0</v>
      </c>
      <c r="R157" s="72">
        <f>R$3*'Yield 1Y'!S156</f>
        <v>0</v>
      </c>
      <c r="S157" s="72">
        <f>S$3*'Yield 1Y'!T156</f>
        <v>0</v>
      </c>
      <c r="T157" s="72">
        <f>T$3*'Yield 1Y'!U156</f>
        <v>0</v>
      </c>
      <c r="U157" s="72">
        <f>U$3*'Yield 1Y'!V156</f>
        <v>0</v>
      </c>
      <c r="V157" s="72">
        <f>V$3*'Yield 1Y'!W156</f>
        <v>3.823174873725145E-2</v>
      </c>
      <c r="W157" s="72">
        <f>W$3*'Yield 1Y'!X156</f>
        <v>-0.45532509924394993</v>
      </c>
      <c r="X157" s="72">
        <f>X$3*'Yield 1Y'!Y156</f>
        <v>-0.15983819147601791</v>
      </c>
      <c r="Y157" s="72">
        <f>Y$3*'Yield 1Y'!Z156</f>
        <v>0</v>
      </c>
      <c r="Z157" s="72">
        <f>Z$3*'Yield 1Y'!AA156</f>
        <v>0</v>
      </c>
      <c r="AA157" s="177">
        <f t="shared" si="18"/>
        <v>0.57693154198271634</v>
      </c>
      <c r="AB157" s="124">
        <f>VLOOKUP(P157,'Yield 1Y'!$F:$G,2,0)</f>
        <v>46027</v>
      </c>
      <c r="AC157" s="318">
        <f t="shared" si="22"/>
        <v>86</v>
      </c>
      <c r="AE157" s="37">
        <v>184</v>
      </c>
      <c r="AF157" s="72">
        <f>AF$3*'Yield 1Y'!AB186</f>
        <v>0</v>
      </c>
      <c r="AG157" s="72">
        <f>AG$3*'Yield 1Y'!AC186</f>
        <v>0</v>
      </c>
      <c r="AH157" s="72">
        <f>AH$3*'Yield 1Y'!AD186</f>
        <v>-0.5901265452399419</v>
      </c>
      <c r="AI157" s="72">
        <f>AI$3*'Yield 1Y'!AE186</f>
        <v>-2.0770621981241222</v>
      </c>
      <c r="AJ157" s="72">
        <f>AJ$3*'Yield 1Y'!AF186</f>
        <v>-0.26187877630274359</v>
      </c>
      <c r="AK157" s="72">
        <f>AK$3*'Yield 1Y'!AG186</f>
        <v>-16.772496359065951</v>
      </c>
      <c r="AL157" s="72">
        <f>AL$3*'Yield 1Y'!AH186</f>
        <v>-24.428832040953512</v>
      </c>
      <c r="AM157" s="72">
        <f>AM$3*'Yield 1Y'!AI186</f>
        <v>-12.781593416652587</v>
      </c>
      <c r="AN157" s="72">
        <f>AN$3*'Yield 1Y'!AJ186</f>
        <v>0</v>
      </c>
      <c r="AO157" s="72">
        <f>AO$3*'Yield 1Y'!AK186</f>
        <v>0</v>
      </c>
      <c r="AP157" s="177">
        <f t="shared" si="19"/>
        <v>56.911989336338863</v>
      </c>
      <c r="AQ157" s="124">
        <f>VLOOKUP(AE157,'Yield 1Y'!$F:$G,2,0)</f>
        <v>45981</v>
      </c>
      <c r="AR157" s="318">
        <f t="shared" si="20"/>
        <v>66</v>
      </c>
      <c r="AT157" s="37">
        <v>151</v>
      </c>
      <c r="AU157" s="72">
        <f>AU$3*'Yield 1Y'!AB180</f>
        <v>0</v>
      </c>
      <c r="AV157" s="72">
        <f>AV$3*'Yield 1Y'!AC180</f>
        <v>0</v>
      </c>
      <c r="AW157" s="72">
        <f>AW$3*'Yield 1Y'!AD180</f>
        <v>0</v>
      </c>
      <c r="AX157" s="72">
        <f>AX$3*'Yield 1Y'!AE180</f>
        <v>0</v>
      </c>
      <c r="AY157" s="72">
        <f>AY$3*'Yield 1Y'!AF180</f>
        <v>0</v>
      </c>
      <c r="AZ157" s="72">
        <f>AZ$3*'Yield 1Y'!AG180</f>
        <v>-0.10195132996600009</v>
      </c>
      <c r="BA157" s="72">
        <f>BA$3*'Yield 1Y'!AH180</f>
        <v>-4.32558844281803</v>
      </c>
      <c r="BB157" s="72">
        <f>BB$3*'Yield 1Y'!AI180</f>
        <v>-0.83915050524899648</v>
      </c>
      <c r="BC157" s="72">
        <f>BC$3*'Yield 1Y'!AJ180</f>
        <v>0</v>
      </c>
      <c r="BD157" s="72">
        <f>BD$3*'Yield 1Y'!AK180</f>
        <v>0</v>
      </c>
      <c r="BE157" s="177">
        <f t="shared" si="21"/>
        <v>5.2666902780330265</v>
      </c>
      <c r="BF157" s="124">
        <f>VLOOKUP(AT157,'Yield 1Y'!$F:$G,2,0)</f>
        <v>46030</v>
      </c>
      <c r="BG157" s="318">
        <f t="shared" si="23"/>
        <v>151</v>
      </c>
    </row>
    <row r="158" spans="1:59" x14ac:dyDescent="0.3">
      <c r="A158" s="37">
        <v>189</v>
      </c>
      <c r="B158" s="72">
        <f>'Yield 1Y'!R191*B$3</f>
        <v>0</v>
      </c>
      <c r="C158" s="72">
        <f>'Yield 1Y'!S191*C$3</f>
        <v>0</v>
      </c>
      <c r="D158" s="72">
        <f>'Yield 1Y'!T191*D$3</f>
        <v>-1.8441454538746137E-2</v>
      </c>
      <c r="E158" s="72">
        <f>'Yield 1Y'!U191*E$3</f>
        <v>-8.6544258255174963E-2</v>
      </c>
      <c r="F158" s="72">
        <f>'Yield 1Y'!V191*F$3</f>
        <v>-1.8705626878767399E-2</v>
      </c>
      <c r="G158" s="72">
        <f>'Yield 1Y'!W191*G$3</f>
        <v>0</v>
      </c>
      <c r="H158" s="72">
        <f>'Yield 1Y'!X191*H$3</f>
        <v>-2.070240003470587</v>
      </c>
      <c r="I158" s="72">
        <f>'Yield 1Y'!Y191*I$3</f>
        <v>-3.3635772149086307</v>
      </c>
      <c r="J158" s="72">
        <f>'Yield 1Y'!Z191*J$3</f>
        <v>0</v>
      </c>
      <c r="K158" s="72">
        <f>'Yield 1Y'!AA191*K$3</f>
        <v>0</v>
      </c>
      <c r="L158" s="177">
        <f t="shared" si="16"/>
        <v>5.5575085580519064</v>
      </c>
      <c r="M158" s="124">
        <f>VLOOKUP(A158,'Yield 1Y'!$F:$G,2,0)</f>
        <v>45974</v>
      </c>
      <c r="N158" s="318">
        <f t="shared" si="17"/>
        <v>62</v>
      </c>
      <c r="P158" s="37">
        <v>155</v>
      </c>
      <c r="Q158" s="72">
        <f>Q$3*'Yield 1Y'!R157</f>
        <v>0</v>
      </c>
      <c r="R158" s="72">
        <f>R$3*'Yield 1Y'!S157</f>
        <v>0</v>
      </c>
      <c r="S158" s="72">
        <f>S$3*'Yield 1Y'!T157</f>
        <v>0</v>
      </c>
      <c r="T158" s="72">
        <f>T$3*'Yield 1Y'!U157</f>
        <v>0</v>
      </c>
      <c r="U158" s="72">
        <f>U$3*'Yield 1Y'!V157</f>
        <v>0</v>
      </c>
      <c r="V158" s="72">
        <f>V$3*'Yield 1Y'!W157</f>
        <v>0</v>
      </c>
      <c r="W158" s="72">
        <f>W$3*'Yield 1Y'!X157</f>
        <v>-0.45532509924405101</v>
      </c>
      <c r="X158" s="72">
        <f>X$3*'Yield 1Y'!Y157</f>
        <v>-0.19979773934499578</v>
      </c>
      <c r="Y158" s="72">
        <f>Y$3*'Yield 1Y'!Z157</f>
        <v>0</v>
      </c>
      <c r="Z158" s="72">
        <f>Z$3*'Yield 1Y'!AA157</f>
        <v>0</v>
      </c>
      <c r="AA158" s="177">
        <f t="shared" si="18"/>
        <v>0.65512283858904685</v>
      </c>
      <c r="AB158" s="124">
        <f>VLOOKUP(P158,'Yield 1Y'!$F:$G,2,0)</f>
        <v>46022</v>
      </c>
      <c r="AC158" s="318">
        <f t="shared" si="22"/>
        <v>75</v>
      </c>
      <c r="AE158" s="37">
        <v>181</v>
      </c>
      <c r="AF158" s="72">
        <f>AF$3*'Yield 1Y'!AB183</f>
        <v>0</v>
      </c>
      <c r="AG158" s="72">
        <f>AG$3*'Yield 1Y'!AC183</f>
        <v>0</v>
      </c>
      <c r="AH158" s="72">
        <f>AH$3*'Yield 1Y'!AD183</f>
        <v>-0.23051818173435126</v>
      </c>
      <c r="AI158" s="72">
        <f>AI$3*'Yield 1Y'!AE183</f>
        <v>-1.0096830129770071</v>
      </c>
      <c r="AJ158" s="72">
        <f>AJ$3*'Yield 1Y'!AF183</f>
        <v>-0.11691016799229571</v>
      </c>
      <c r="AK158" s="72">
        <f>AK$3*'Yield 1Y'!AG183</f>
        <v>-7.8451999098859249</v>
      </c>
      <c r="AL158" s="72">
        <f>AL$3*'Yield 1Y'!AH183</f>
        <v>-16.561920027765062</v>
      </c>
      <c r="AM158" s="72">
        <f>AM$3*'Yield 1Y'!AI183</f>
        <v>-8.0725853157805343</v>
      </c>
      <c r="AN158" s="72">
        <f>AN$3*'Yield 1Y'!AJ183</f>
        <v>0</v>
      </c>
      <c r="AO158" s="72">
        <f>AO$3*'Yield 1Y'!AK183</f>
        <v>0</v>
      </c>
      <c r="AP158" s="177">
        <f t="shared" si="19"/>
        <v>33.836816616135174</v>
      </c>
      <c r="AQ158" s="124">
        <f>VLOOKUP(AE158,'Yield 1Y'!$F:$G,2,0)</f>
        <v>45986</v>
      </c>
      <c r="AR158" s="318">
        <f t="shared" si="20"/>
        <v>155</v>
      </c>
      <c r="AT158" s="37">
        <v>152</v>
      </c>
      <c r="AU158" s="72">
        <f>AU$3*'Yield 1Y'!AB77</f>
        <v>0</v>
      </c>
      <c r="AV158" s="72">
        <f>AV$3*'Yield 1Y'!AC77</f>
        <v>0</v>
      </c>
      <c r="AW158" s="72">
        <f>AW$3*'Yield 1Y'!AD77</f>
        <v>0</v>
      </c>
      <c r="AX158" s="72">
        <f>AX$3*'Yield 1Y'!AE77</f>
        <v>0</v>
      </c>
      <c r="AY158" s="72">
        <f>AY$3*'Yield 1Y'!AF77</f>
        <v>0</v>
      </c>
      <c r="AZ158" s="72">
        <f>AZ$3*'Yield 1Y'!AG77</f>
        <v>0.10195132996600009</v>
      </c>
      <c r="BA158" s="72">
        <f>BA$3*'Yield 1Y'!AH77</f>
        <v>-6.1468888397940313</v>
      </c>
      <c r="BB158" s="72">
        <f>BB$3*'Yield 1Y'!AI77</f>
        <v>-0.83915050524899648</v>
      </c>
      <c r="BC158" s="72">
        <f>BC$3*'Yield 1Y'!AJ77</f>
        <v>0</v>
      </c>
      <c r="BD158" s="72">
        <f>BD$3*'Yield 1Y'!AK77</f>
        <v>0</v>
      </c>
      <c r="BE158" s="177">
        <f t="shared" si="21"/>
        <v>6.8840880150770278</v>
      </c>
      <c r="BF158" s="124">
        <f>VLOOKUP(AT158,'Yield 1Y'!$F:$G,2,0)</f>
        <v>46029</v>
      </c>
      <c r="BG158" s="318">
        <f t="shared" si="23"/>
        <v>114</v>
      </c>
    </row>
    <row r="159" spans="1:59" x14ac:dyDescent="0.3">
      <c r="A159" s="37">
        <v>124</v>
      </c>
      <c r="B159" s="72">
        <f>'Yield 1Y'!R126*B$3</f>
        <v>0</v>
      </c>
      <c r="C159" s="72">
        <f>'Yield 1Y'!S126*C$3</f>
        <v>0</v>
      </c>
      <c r="D159" s="72">
        <f>'Yield 1Y'!T126*D$3</f>
        <v>0</v>
      </c>
      <c r="E159" s="72">
        <f>'Yield 1Y'!U126*E$3</f>
        <v>0</v>
      </c>
      <c r="F159" s="72">
        <f>'Yield 1Y'!V126*F$3</f>
        <v>0</v>
      </c>
      <c r="G159" s="72">
        <f>'Yield 1Y'!W126*G$3</f>
        <v>0</v>
      </c>
      <c r="H159" s="72">
        <f>'Yield 1Y'!X126*H$3</f>
        <v>-0.41404800069389674</v>
      </c>
      <c r="I159" s="72">
        <f>'Yield 1Y'!Y126*I$3</f>
        <v>0</v>
      </c>
      <c r="J159" s="72">
        <f>'Yield 1Y'!Z126*J$3</f>
        <v>0</v>
      </c>
      <c r="K159" s="72">
        <f>'Yield 1Y'!AA126*K$3</f>
        <v>0</v>
      </c>
      <c r="L159" s="177">
        <f t="shared" si="16"/>
        <v>0.41404800069389674</v>
      </c>
      <c r="M159" s="124">
        <f>VLOOKUP(A159,'Yield 1Y'!$F:$G,2,0)</f>
        <v>46076</v>
      </c>
      <c r="N159" s="318">
        <f t="shared" si="17"/>
        <v>180</v>
      </c>
      <c r="P159" s="37">
        <v>156</v>
      </c>
      <c r="Q159" s="72">
        <f>Q$3*'Yield 1Y'!R158</f>
        <v>0</v>
      </c>
      <c r="R159" s="72">
        <f>R$3*'Yield 1Y'!S158</f>
        <v>0</v>
      </c>
      <c r="S159" s="72">
        <f>S$3*'Yield 1Y'!T158</f>
        <v>0</v>
      </c>
      <c r="T159" s="72">
        <f>T$3*'Yield 1Y'!U158</f>
        <v>0</v>
      </c>
      <c r="U159" s="72">
        <f>U$3*'Yield 1Y'!V158</f>
        <v>0</v>
      </c>
      <c r="V159" s="72">
        <f>V$3*'Yield 1Y'!W158</f>
        <v>0</v>
      </c>
      <c r="W159" s="72">
        <f>W$3*'Yield 1Y'!X158</f>
        <v>0</v>
      </c>
      <c r="X159" s="72">
        <f>X$3*'Yield 1Y'!Y158</f>
        <v>0</v>
      </c>
      <c r="Y159" s="72">
        <f>Y$3*'Yield 1Y'!Z158</f>
        <v>0</v>
      </c>
      <c r="Z159" s="72">
        <f>Z$3*'Yield 1Y'!AA158</f>
        <v>0</v>
      </c>
      <c r="AA159" s="177">
        <f t="shared" si="18"/>
        <v>0</v>
      </c>
      <c r="AB159" s="124">
        <f>VLOOKUP(P159,'Yield 1Y'!$F:$G,2,0)</f>
        <v>46021</v>
      </c>
      <c r="AC159" s="318">
        <f t="shared" si="22"/>
        <v>179</v>
      </c>
      <c r="AE159" s="37">
        <v>53</v>
      </c>
      <c r="AF159" s="72">
        <f>AF$3*'Yield 1Y'!AB55</f>
        <v>0</v>
      </c>
      <c r="AG159" s="72">
        <f>AG$3*'Yield 1Y'!AC55</f>
        <v>0</v>
      </c>
      <c r="AH159" s="72">
        <f>AH$3*'Yield 1Y'!AD55</f>
        <v>-0.61778872704806109</v>
      </c>
      <c r="AI159" s="72">
        <f>AI$3*'Yield 1Y'!AE55</f>
        <v>-4.413757171013744</v>
      </c>
      <c r="AJ159" s="72">
        <f>AJ$3*'Yield 1Y'!AF55</f>
        <v>-0.30864284349966103</v>
      </c>
      <c r="AK159" s="72">
        <f>AK$3*'Yield 1Y'!AG55</f>
        <v>-41.931240897665056</v>
      </c>
      <c r="AL159" s="72">
        <f>AL$3*'Yield 1Y'!AH55</f>
        <v>-28.569312047894687</v>
      </c>
      <c r="AM159" s="72">
        <f>AM$3*'Yield 1Y'!AI55</f>
        <v>-22.535967339887364</v>
      </c>
      <c r="AN159" s="72">
        <f>AN$3*'Yield 1Y'!AJ55</f>
        <v>0</v>
      </c>
      <c r="AO159" s="72">
        <f>AO$3*'Yield 1Y'!AK55</f>
        <v>0</v>
      </c>
      <c r="AP159" s="177">
        <f t="shared" si="19"/>
        <v>98.376709027008573</v>
      </c>
      <c r="AQ159" s="124">
        <f>VLOOKUP(AE159,'Yield 1Y'!$F:$G,2,0)</f>
        <v>46178</v>
      </c>
      <c r="AR159" s="318">
        <f t="shared" si="20"/>
        <v>41</v>
      </c>
      <c r="AT159" s="37">
        <v>153</v>
      </c>
      <c r="AU159" s="72">
        <f>AU$3*'Yield 1Y'!AB210</f>
        <v>0</v>
      </c>
      <c r="AV159" s="72">
        <f>AV$3*'Yield 1Y'!AC210</f>
        <v>0</v>
      </c>
      <c r="AW159" s="72">
        <f>AW$3*'Yield 1Y'!AD210</f>
        <v>0</v>
      </c>
      <c r="AX159" s="72">
        <f>AX$3*'Yield 1Y'!AE210</f>
        <v>0</v>
      </c>
      <c r="AY159" s="72">
        <f>AY$3*'Yield 1Y'!AF210</f>
        <v>0</v>
      </c>
      <c r="AZ159" s="72">
        <f>AZ$3*'Yield 1Y'!AG210</f>
        <v>-0.81561063972800074</v>
      </c>
      <c r="BA159" s="72">
        <f>BA$3*'Yield 1Y'!AH210</f>
        <v>-5.23623864130598</v>
      </c>
      <c r="BB159" s="72">
        <f>BB$3*'Yield 1Y'!AI210</f>
        <v>-2.2377346806640022</v>
      </c>
      <c r="BC159" s="72">
        <f>BC$3*'Yield 1Y'!AJ210</f>
        <v>0</v>
      </c>
      <c r="BD159" s="72">
        <f>BD$3*'Yield 1Y'!AK210</f>
        <v>0</v>
      </c>
      <c r="BE159" s="177">
        <f t="shared" si="21"/>
        <v>8.2895839616979821</v>
      </c>
      <c r="BF159" s="124">
        <f>VLOOKUP(AT159,'Yield 1Y'!$F:$G,2,0)</f>
        <v>46028</v>
      </c>
      <c r="BG159" s="318">
        <f t="shared" si="23"/>
        <v>82</v>
      </c>
    </row>
    <row r="160" spans="1:59" x14ac:dyDescent="0.3">
      <c r="A160" s="37">
        <v>149</v>
      </c>
      <c r="B160" s="72">
        <f>'Yield 1Y'!R151*B$3</f>
        <v>0</v>
      </c>
      <c r="C160" s="72">
        <f>'Yield 1Y'!S151*C$3</f>
        <v>0</v>
      </c>
      <c r="D160" s="72">
        <f>'Yield 1Y'!T151*D$3</f>
        <v>0.23051818173435126</v>
      </c>
      <c r="E160" s="72">
        <f>'Yield 1Y'!U151*E$3</f>
        <v>0.31732894693563302</v>
      </c>
      <c r="F160" s="72">
        <f>'Yield 1Y'!V151*F$3</f>
        <v>-1.4029220159076067E-2</v>
      </c>
      <c r="G160" s="72">
        <f>'Yield 1Y'!W151*G$3</f>
        <v>-1.623144808941932</v>
      </c>
      <c r="H160" s="72">
        <f>'Yield 1Y'!X151*H$3</f>
        <v>0.41404800069426445</v>
      </c>
      <c r="I160" s="72">
        <f>'Yield 1Y'!Y151*I$3</f>
        <v>-2.6908617719268446</v>
      </c>
      <c r="J160" s="72">
        <f>'Yield 1Y'!Z151*J$3</f>
        <v>0</v>
      </c>
      <c r="K160" s="72">
        <f>'Yield 1Y'!AA151*K$3</f>
        <v>0</v>
      </c>
      <c r="L160" s="177">
        <f t="shared" si="16"/>
        <v>3.366140671663604</v>
      </c>
      <c r="M160" s="124">
        <f>VLOOKUP(A160,'Yield 1Y'!$F:$G,2,0)</f>
        <v>46034</v>
      </c>
      <c r="N160" s="318">
        <f t="shared" si="17"/>
        <v>86</v>
      </c>
      <c r="P160" s="37">
        <v>157</v>
      </c>
      <c r="Q160" s="72">
        <f>Q$3*'Yield 1Y'!R159</f>
        <v>0</v>
      </c>
      <c r="R160" s="72">
        <f>R$3*'Yield 1Y'!S159</f>
        <v>0</v>
      </c>
      <c r="S160" s="72">
        <f>S$3*'Yield 1Y'!T159</f>
        <v>0</v>
      </c>
      <c r="T160" s="72">
        <f>T$3*'Yield 1Y'!U159</f>
        <v>0</v>
      </c>
      <c r="U160" s="72">
        <f>U$3*'Yield 1Y'!V159</f>
        <v>0</v>
      </c>
      <c r="V160" s="72">
        <f>V$3*'Yield 1Y'!W159</f>
        <v>0</v>
      </c>
      <c r="W160" s="72">
        <f>W$3*'Yield 1Y'!X159</f>
        <v>-0.45532509924394993</v>
      </c>
      <c r="X160" s="72">
        <f>X$3*'Yield 1Y'!Y159</f>
        <v>-0.19979773934499578</v>
      </c>
      <c r="Y160" s="72">
        <f>Y$3*'Yield 1Y'!Z159</f>
        <v>0</v>
      </c>
      <c r="Z160" s="72">
        <f>Z$3*'Yield 1Y'!AA159</f>
        <v>0</v>
      </c>
      <c r="AA160" s="177">
        <f t="shared" si="18"/>
        <v>0.65512283858894571</v>
      </c>
      <c r="AB160" s="124">
        <f>VLOOKUP(P160,'Yield 1Y'!$F:$G,2,0)</f>
        <v>46020</v>
      </c>
      <c r="AC160" s="318">
        <f t="shared" si="22"/>
        <v>77</v>
      </c>
      <c r="AE160" s="37">
        <v>156</v>
      </c>
      <c r="AF160" s="72">
        <f>AF$3*'Yield 1Y'!AB158</f>
        <v>0</v>
      </c>
      <c r="AG160" s="72">
        <f>AG$3*'Yield 1Y'!AC158</f>
        <v>0</v>
      </c>
      <c r="AH160" s="72">
        <f>AH$3*'Yield 1Y'!AD158</f>
        <v>-3.6882909077496369E-2</v>
      </c>
      <c r="AI160" s="72">
        <f>AI$3*'Yield 1Y'!AE158</f>
        <v>-1.038531099062074</v>
      </c>
      <c r="AJ160" s="72">
        <f>AJ$3*'Yield 1Y'!AF158</f>
        <v>-6.0793287355993521E-2</v>
      </c>
      <c r="AK160" s="72">
        <f>AK$3*'Yield 1Y'!AG158</f>
        <v>-10.009392988474847</v>
      </c>
      <c r="AL160" s="72">
        <f>AL$3*'Yield 1Y'!AH158</f>
        <v>-4.968576008329519</v>
      </c>
      <c r="AM160" s="72">
        <f>AM$3*'Yield 1Y'!AI158</f>
        <v>-5.0453658223628715</v>
      </c>
      <c r="AN160" s="72">
        <f>AN$3*'Yield 1Y'!AJ158</f>
        <v>0</v>
      </c>
      <c r="AO160" s="72">
        <f>AO$3*'Yield 1Y'!AK158</f>
        <v>0</v>
      </c>
      <c r="AP160" s="177">
        <f t="shared" si="19"/>
        <v>21.159542114662802</v>
      </c>
      <c r="AQ160" s="124">
        <f>VLOOKUP(AE160,'Yield 1Y'!$F:$G,2,0)</f>
        <v>46021</v>
      </c>
      <c r="AR160" s="318">
        <f t="shared" si="20"/>
        <v>197</v>
      </c>
      <c r="AT160" s="37">
        <v>154</v>
      </c>
      <c r="AU160" s="72">
        <f>AU$3*'Yield 1Y'!AB56</f>
        <v>0</v>
      </c>
      <c r="AV160" s="72">
        <f>AV$3*'Yield 1Y'!AC56</f>
        <v>0</v>
      </c>
      <c r="AW160" s="72">
        <f>AW$3*'Yield 1Y'!AD56</f>
        <v>0</v>
      </c>
      <c r="AX160" s="72">
        <f>AX$3*'Yield 1Y'!AE56</f>
        <v>0</v>
      </c>
      <c r="AY160" s="72">
        <f>AY$3*'Yield 1Y'!AF56</f>
        <v>0</v>
      </c>
      <c r="AZ160" s="72">
        <f>AZ$3*'Yield 1Y'!AG56</f>
        <v>-1.9753070180912533</v>
      </c>
      <c r="BA160" s="72">
        <f>BA$3*'Yield 1Y'!AH56</f>
        <v>-7.3990328627149946</v>
      </c>
      <c r="BB160" s="72">
        <f>BB$3*'Yield 1Y'!AI56</f>
        <v>-2.5973706114850161</v>
      </c>
      <c r="BC160" s="72">
        <f>BC$3*'Yield 1Y'!AJ56</f>
        <v>0</v>
      </c>
      <c r="BD160" s="72">
        <f>BD$3*'Yield 1Y'!AK56</f>
        <v>0</v>
      </c>
      <c r="BE160" s="177">
        <f t="shared" si="21"/>
        <v>11.971710492291265</v>
      </c>
      <c r="BF160" s="124">
        <f>VLOOKUP(AT160,'Yield 1Y'!$F:$G,2,0)</f>
        <v>46027</v>
      </c>
      <c r="BG160" s="318">
        <f t="shared" si="23"/>
        <v>46</v>
      </c>
    </row>
    <row r="161" spans="1:59" x14ac:dyDescent="0.3">
      <c r="A161" s="37">
        <v>75</v>
      </c>
      <c r="B161" s="72">
        <f>'Yield 1Y'!R77*B$3</f>
        <v>0</v>
      </c>
      <c r="C161" s="72">
        <f>'Yield 1Y'!S77*C$3</f>
        <v>0</v>
      </c>
      <c r="D161" s="72">
        <f>'Yield 1Y'!T77*D$3</f>
        <v>0</v>
      </c>
      <c r="E161" s="72">
        <f>'Yield 1Y'!U77*E$3</f>
        <v>-0.11539234434022902</v>
      </c>
      <c r="F161" s="72">
        <f>'Yield 1Y'!V77*F$3</f>
        <v>-3.2734847037845544E-2</v>
      </c>
      <c r="G161" s="72">
        <f>'Yield 1Y'!W77*G$3</f>
        <v>0</v>
      </c>
      <c r="H161" s="72">
        <f>'Yield 1Y'!X77*H$3</f>
        <v>-1.2421440020824257</v>
      </c>
      <c r="I161" s="72">
        <f>'Yield 1Y'!Y77*I$3</f>
        <v>0</v>
      </c>
      <c r="J161" s="72">
        <f>'Yield 1Y'!Z77*J$3</f>
        <v>0</v>
      </c>
      <c r="K161" s="72">
        <f>'Yield 1Y'!AA77*K$3</f>
        <v>0</v>
      </c>
      <c r="L161" s="177">
        <f t="shared" si="16"/>
        <v>1.3902711934605003</v>
      </c>
      <c r="M161" s="124">
        <f>VLOOKUP(A161,'Yield 1Y'!$F:$G,2,0)</f>
        <v>46148</v>
      </c>
      <c r="N161" s="318">
        <f t="shared" si="17"/>
        <v>136</v>
      </c>
      <c r="P161" s="37">
        <v>158</v>
      </c>
      <c r="Q161" s="72">
        <f>Q$3*'Yield 1Y'!R160</f>
        <v>0</v>
      </c>
      <c r="R161" s="72">
        <f>R$3*'Yield 1Y'!S160</f>
        <v>0</v>
      </c>
      <c r="S161" s="72">
        <f>S$3*'Yield 1Y'!T160</f>
        <v>0</v>
      </c>
      <c r="T161" s="72">
        <f>T$3*'Yield 1Y'!U160</f>
        <v>0</v>
      </c>
      <c r="U161" s="72">
        <f>U$3*'Yield 1Y'!V160</f>
        <v>0</v>
      </c>
      <c r="V161" s="72">
        <f>V$3*'Yield 1Y'!W160</f>
        <v>0</v>
      </c>
      <c r="W161" s="72">
        <f>W$3*'Yield 1Y'!X160</f>
        <v>0</v>
      </c>
      <c r="X161" s="72">
        <f>X$3*'Yield 1Y'!Y160</f>
        <v>0</v>
      </c>
      <c r="Y161" s="72">
        <f>Y$3*'Yield 1Y'!Z160</f>
        <v>0</v>
      </c>
      <c r="Z161" s="72">
        <f>Z$3*'Yield 1Y'!AA160</f>
        <v>0</v>
      </c>
      <c r="AA161" s="177">
        <f t="shared" si="18"/>
        <v>0</v>
      </c>
      <c r="AB161" s="124">
        <f>VLOOKUP(P161,'Yield 1Y'!$F:$G,2,0)</f>
        <v>46017</v>
      </c>
      <c r="AC161" s="318">
        <f t="shared" si="22"/>
        <v>179</v>
      </c>
      <c r="AE161" s="37">
        <v>123</v>
      </c>
      <c r="AF161" s="72">
        <f>AF$3*'Yield 1Y'!AB125</f>
        <v>0</v>
      </c>
      <c r="AG161" s="72">
        <f>AG$3*'Yield 1Y'!AC125</f>
        <v>0</v>
      </c>
      <c r="AH161" s="72">
        <f>AH$3*'Yield 1Y'!AD125</f>
        <v>-9.2207272693738865E-2</v>
      </c>
      <c r="AI161" s="72">
        <f>AI$3*'Yield 1Y'!AE125</f>
        <v>0.11539234434024183</v>
      </c>
      <c r="AJ161" s="72">
        <f>AJ$3*'Yield 1Y'!AF125</f>
        <v>-0.14496860831044578</v>
      </c>
      <c r="AK161" s="72">
        <f>AK$3*'Yield 1Y'!AG125</f>
        <v>0</v>
      </c>
      <c r="AL161" s="72">
        <f>AL$3*'Yield 1Y'!AH125</f>
        <v>-16.147872027070981</v>
      </c>
      <c r="AM161" s="72">
        <f>AM$3*'Yield 1Y'!AI125</f>
        <v>-24.554113668832422</v>
      </c>
      <c r="AN161" s="72">
        <f>AN$3*'Yield 1Y'!AJ125</f>
        <v>0</v>
      </c>
      <c r="AO161" s="72">
        <f>AO$3*'Yield 1Y'!AK125</f>
        <v>0</v>
      </c>
      <c r="AP161" s="177">
        <f t="shared" si="19"/>
        <v>40.823769232567344</v>
      </c>
      <c r="AQ161" s="124">
        <f>VLOOKUP(AE161,'Yield 1Y'!$F:$G,2,0)</f>
        <v>46077</v>
      </c>
      <c r="AR161" s="318">
        <f t="shared" si="20"/>
        <v>122</v>
      </c>
      <c r="AT161" s="37">
        <v>155</v>
      </c>
      <c r="AU161" s="72">
        <f>AU$3*'Yield 1Y'!AB78</f>
        <v>0</v>
      </c>
      <c r="AV161" s="72">
        <f>AV$3*'Yield 1Y'!AC78</f>
        <v>0</v>
      </c>
      <c r="AW161" s="72">
        <f>AW$3*'Yield 1Y'!AD78</f>
        <v>0</v>
      </c>
      <c r="AX161" s="72">
        <f>AX$3*'Yield 1Y'!AE78</f>
        <v>0</v>
      </c>
      <c r="AY161" s="72">
        <f>AY$3*'Yield 1Y'!AF78</f>
        <v>0</v>
      </c>
      <c r="AZ161" s="72">
        <f>AZ$3*'Yield 1Y'!AG78</f>
        <v>8.9207413720245834E-2</v>
      </c>
      <c r="BA161" s="72">
        <f>BA$3*'Yield 1Y'!AH78</f>
        <v>-6.1468888397940313</v>
      </c>
      <c r="BB161" s="72">
        <f>BB$3*'Yield 1Y'!AI78</f>
        <v>-0.95902914885600099</v>
      </c>
      <c r="BC161" s="72">
        <f>BC$3*'Yield 1Y'!AJ78</f>
        <v>0</v>
      </c>
      <c r="BD161" s="72">
        <f>BD$3*'Yield 1Y'!AK78</f>
        <v>0</v>
      </c>
      <c r="BE161" s="177">
        <f t="shared" si="21"/>
        <v>7.0167105749297871</v>
      </c>
      <c r="BF161" s="124">
        <f>VLOOKUP(AT161,'Yield 1Y'!$F:$G,2,0)</f>
        <v>46022</v>
      </c>
      <c r="BG161" s="318">
        <f t="shared" si="23"/>
        <v>111</v>
      </c>
    </row>
    <row r="162" spans="1:59" x14ac:dyDescent="0.3">
      <c r="A162" s="37">
        <v>70</v>
      </c>
      <c r="B162" s="72">
        <f>'Yield 1Y'!R72*B$3</f>
        <v>0</v>
      </c>
      <c r="C162" s="72">
        <f>'Yield 1Y'!S72*C$3</f>
        <v>0</v>
      </c>
      <c r="D162" s="72">
        <f>'Yield 1Y'!T72*D$3</f>
        <v>0</v>
      </c>
      <c r="E162" s="72">
        <f>'Yield 1Y'!U72*E$3</f>
        <v>0.11539234434022902</v>
      </c>
      <c r="F162" s="72">
        <f>'Yield 1Y'!V72*F$3</f>
        <v>3.2734847037841387E-2</v>
      </c>
      <c r="G162" s="72">
        <f>'Yield 1Y'!W72*G$3</f>
        <v>0</v>
      </c>
      <c r="H162" s="72">
        <f>'Yield 1Y'!X72*H$3</f>
        <v>-0.8280960013885289</v>
      </c>
      <c r="I162" s="72">
        <f>'Yield 1Y'!Y72*I$3</f>
        <v>-0.67271544298163655</v>
      </c>
      <c r="J162" s="72">
        <f>'Yield 1Y'!Z72*J$3</f>
        <v>0</v>
      </c>
      <c r="K162" s="72">
        <f>'Yield 1Y'!AA72*K$3</f>
        <v>0</v>
      </c>
      <c r="L162" s="177">
        <f t="shared" si="16"/>
        <v>1.352684252992095</v>
      </c>
      <c r="M162" s="124">
        <f>VLOOKUP(A162,'Yield 1Y'!$F:$G,2,0)</f>
        <v>46155</v>
      </c>
      <c r="N162" s="318">
        <f t="shared" si="17"/>
        <v>138</v>
      </c>
      <c r="P162" s="37">
        <v>159</v>
      </c>
      <c r="Q162" s="72">
        <f>Q$3*'Yield 1Y'!R161</f>
        <v>0</v>
      </c>
      <c r="R162" s="72">
        <f>R$3*'Yield 1Y'!S161</f>
        <v>0</v>
      </c>
      <c r="S162" s="72">
        <f>S$3*'Yield 1Y'!T161</f>
        <v>0</v>
      </c>
      <c r="T162" s="72">
        <f>T$3*'Yield 1Y'!U161</f>
        <v>0</v>
      </c>
      <c r="U162" s="72">
        <f>U$3*'Yield 1Y'!V161</f>
        <v>0</v>
      </c>
      <c r="V162" s="72">
        <f>V$3*'Yield 1Y'!W161</f>
        <v>-3.823174873725145E-2</v>
      </c>
      <c r="W162" s="72">
        <f>W$3*'Yield 1Y'!X161</f>
        <v>-2.162794221409015</v>
      </c>
      <c r="X162" s="72">
        <f>X$3*'Yield 1Y'!Y161</f>
        <v>-0.87911005311800983</v>
      </c>
      <c r="Y162" s="72">
        <f>Y$3*'Yield 1Y'!Z161</f>
        <v>0</v>
      </c>
      <c r="Z162" s="72">
        <f>Z$3*'Yield 1Y'!AA161</f>
        <v>0</v>
      </c>
      <c r="AA162" s="177">
        <f t="shared" si="18"/>
        <v>3.0801360232642763</v>
      </c>
      <c r="AB162" s="124">
        <f>VLOOKUP(P162,'Yield 1Y'!$F:$G,2,0)</f>
        <v>46016</v>
      </c>
      <c r="AC162" s="318">
        <f t="shared" si="22"/>
        <v>18</v>
      </c>
      <c r="AE162" s="37">
        <v>180</v>
      </c>
      <c r="AF162" s="72">
        <f>AF$3*'Yield 1Y'!AB182</f>
        <v>0</v>
      </c>
      <c r="AG162" s="72">
        <f>AG$3*'Yield 1Y'!AC182</f>
        <v>0</v>
      </c>
      <c r="AH162" s="72">
        <f>AH$3*'Yield 1Y'!AD182</f>
        <v>-0.23051818173435126</v>
      </c>
      <c r="AI162" s="72">
        <f>AI$3*'Yield 1Y'!AE182</f>
        <v>-0.77889832429654904</v>
      </c>
      <c r="AJ162" s="72">
        <f>AJ$3*'Yield 1Y'!AF182</f>
        <v>-0.11691016799229571</v>
      </c>
      <c r="AK162" s="72">
        <f>AK$3*'Yield 1Y'!AG182</f>
        <v>-5.6810068312967621</v>
      </c>
      <c r="AL162" s="72">
        <f>AL$3*'Yield 1Y'!AH182</f>
        <v>-16.561920027765062</v>
      </c>
      <c r="AM162" s="72">
        <f>AM$3*'Yield 1Y'!AI182</f>
        <v>-8.0725853157805343</v>
      </c>
      <c r="AN162" s="72">
        <f>AN$3*'Yield 1Y'!AJ182</f>
        <v>0</v>
      </c>
      <c r="AO162" s="72">
        <f>AO$3*'Yield 1Y'!AK182</f>
        <v>0</v>
      </c>
      <c r="AP162" s="177">
        <f t="shared" si="19"/>
        <v>31.441838848865558</v>
      </c>
      <c r="AQ162" s="124">
        <f>VLOOKUP(AE162,'Yield 1Y'!$F:$G,2,0)</f>
        <v>45987</v>
      </c>
      <c r="AR162" s="318">
        <f t="shared" si="20"/>
        <v>162</v>
      </c>
      <c r="AT162" s="37">
        <v>156</v>
      </c>
      <c r="AU162" s="72">
        <f>AU$3*'Yield 1Y'!AB80</f>
        <v>0</v>
      </c>
      <c r="AV162" s="72">
        <f>AV$3*'Yield 1Y'!AC80</f>
        <v>0</v>
      </c>
      <c r="AW162" s="72">
        <f>AW$3*'Yield 1Y'!AD80</f>
        <v>0</v>
      </c>
      <c r="AX162" s="72">
        <f>AX$3*'Yield 1Y'!AE80</f>
        <v>0</v>
      </c>
      <c r="AY162" s="72">
        <f>AY$3*'Yield 1Y'!AF80</f>
        <v>0</v>
      </c>
      <c r="AZ162" s="72">
        <f>AZ$3*'Yield 1Y'!AG80</f>
        <v>-1.2743916245754256E-2</v>
      </c>
      <c r="BA162" s="72">
        <f>BA$3*'Yield 1Y'!AH80</f>
        <v>-8.0820205115810211</v>
      </c>
      <c r="BB162" s="72">
        <f>BB$3*'Yield 1Y'!AI80</f>
        <v>-1.1588268882009967</v>
      </c>
      <c r="BC162" s="72">
        <f>BC$3*'Yield 1Y'!AJ80</f>
        <v>0</v>
      </c>
      <c r="BD162" s="72">
        <f>BD$3*'Yield 1Y'!AK80</f>
        <v>0</v>
      </c>
      <c r="BE162" s="177">
        <f t="shared" si="21"/>
        <v>9.2535913160277712</v>
      </c>
      <c r="BF162" s="124">
        <f>VLOOKUP(AT162,'Yield 1Y'!$F:$G,2,0)</f>
        <v>46021</v>
      </c>
      <c r="BG162" s="318">
        <f t="shared" si="23"/>
        <v>69</v>
      </c>
    </row>
    <row r="163" spans="1:59" x14ac:dyDescent="0.3">
      <c r="A163" s="37">
        <v>146</v>
      </c>
      <c r="B163" s="72">
        <f>'Yield 1Y'!R148*B$3</f>
        <v>0</v>
      </c>
      <c r="C163" s="72">
        <f>'Yield 1Y'!S148*C$3</f>
        <v>0</v>
      </c>
      <c r="D163" s="72">
        <f>'Yield 1Y'!T148*D$3</f>
        <v>-0.26740109081184765</v>
      </c>
      <c r="E163" s="72">
        <f>'Yield 1Y'!U148*E$3</f>
        <v>-0.3750251191057411</v>
      </c>
      <c r="F163" s="72">
        <f>'Yield 1Y'!V148*F$3</f>
        <v>1.4029220159076067E-2</v>
      </c>
      <c r="G163" s="72">
        <f>'Yield 1Y'!W148*G$3</f>
        <v>-4.59891029200194</v>
      </c>
      <c r="H163" s="72">
        <f>'Yield 1Y'!X148*H$3</f>
        <v>-0.41404800069426445</v>
      </c>
      <c r="I163" s="72">
        <f>'Yield 1Y'!Y148*I$3</f>
        <v>0</v>
      </c>
      <c r="J163" s="72">
        <f>'Yield 1Y'!Z148*J$3</f>
        <v>0</v>
      </c>
      <c r="K163" s="72">
        <f>'Yield 1Y'!AA148*K$3</f>
        <v>0</v>
      </c>
      <c r="L163" s="177">
        <f t="shared" si="16"/>
        <v>5.6413552824547173</v>
      </c>
      <c r="M163" s="124">
        <f>VLOOKUP(A163,'Yield 1Y'!$F:$G,2,0)</f>
        <v>46037</v>
      </c>
      <c r="N163" s="318">
        <f t="shared" si="17"/>
        <v>61</v>
      </c>
      <c r="P163" s="37">
        <v>160</v>
      </c>
      <c r="Q163" s="72">
        <f>Q$3*'Yield 1Y'!R162</f>
        <v>0</v>
      </c>
      <c r="R163" s="72">
        <f>R$3*'Yield 1Y'!S162</f>
        <v>0</v>
      </c>
      <c r="S163" s="72">
        <f>S$3*'Yield 1Y'!T162</f>
        <v>0</v>
      </c>
      <c r="T163" s="72">
        <f>T$3*'Yield 1Y'!U162</f>
        <v>0</v>
      </c>
      <c r="U163" s="72">
        <f>U$3*'Yield 1Y'!V162</f>
        <v>0</v>
      </c>
      <c r="V163" s="72">
        <f>V$3*'Yield 1Y'!W162</f>
        <v>0</v>
      </c>
      <c r="W163" s="72">
        <f>W$3*'Yield 1Y'!X162</f>
        <v>0</v>
      </c>
      <c r="X163" s="72">
        <f>X$3*'Yield 1Y'!Y162</f>
        <v>0</v>
      </c>
      <c r="Y163" s="72">
        <f>Y$3*'Yield 1Y'!Z162</f>
        <v>0</v>
      </c>
      <c r="Z163" s="72">
        <f>Z$3*'Yield 1Y'!AA162</f>
        <v>0</v>
      </c>
      <c r="AA163" s="177">
        <f t="shared" si="18"/>
        <v>0</v>
      </c>
      <c r="AB163" s="124">
        <f>VLOOKUP(P163,'Yield 1Y'!$F:$G,2,0)</f>
        <v>46015</v>
      </c>
      <c r="AC163" s="318">
        <f t="shared" si="22"/>
        <v>179</v>
      </c>
      <c r="AE163" s="37">
        <v>122</v>
      </c>
      <c r="AF163" s="72">
        <f>AF$3*'Yield 1Y'!AB124</f>
        <v>0</v>
      </c>
      <c r="AG163" s="72">
        <f>AG$3*'Yield 1Y'!AC124</f>
        <v>0</v>
      </c>
      <c r="AH163" s="72">
        <f>AH$3*'Yield 1Y'!AD124</f>
        <v>7.3765818154992738E-2</v>
      </c>
      <c r="AI163" s="72">
        <f>AI$3*'Yield 1Y'!AE124</f>
        <v>8.6544258255174963E-2</v>
      </c>
      <c r="AJ163" s="72">
        <f>AJ$3*'Yield 1Y'!AF124</f>
        <v>-3.2734847037843469E-2</v>
      </c>
      <c r="AK163" s="72">
        <f>AK$3*'Yield 1Y'!AG124</f>
        <v>-0.27052413482349513</v>
      </c>
      <c r="AL163" s="72">
        <f>AL$3*'Yield 1Y'!AH124</f>
        <v>-8.280960013882531</v>
      </c>
      <c r="AM163" s="72">
        <f>AM$3*'Yield 1Y'!AI124</f>
        <v>-16.481528353051885</v>
      </c>
      <c r="AN163" s="72">
        <f>AN$3*'Yield 1Y'!AJ124</f>
        <v>0</v>
      </c>
      <c r="AO163" s="72">
        <f>AO$3*'Yield 1Y'!AK124</f>
        <v>0</v>
      </c>
      <c r="AP163" s="177">
        <f t="shared" si="19"/>
        <v>24.905437272385587</v>
      </c>
      <c r="AQ163" s="124">
        <f>VLOOKUP(AE163,'Yield 1Y'!$F:$G,2,0)</f>
        <v>46078</v>
      </c>
      <c r="AR163" s="318">
        <f t="shared" si="20"/>
        <v>184</v>
      </c>
      <c r="AT163" s="37">
        <v>157</v>
      </c>
      <c r="AU163" s="72">
        <f>AU$3*'Yield 1Y'!AB82</f>
        <v>0</v>
      </c>
      <c r="AV163" s="72">
        <f>AV$3*'Yield 1Y'!AC82</f>
        <v>0</v>
      </c>
      <c r="AW163" s="72">
        <f>AW$3*'Yield 1Y'!AD82</f>
        <v>0</v>
      </c>
      <c r="AX163" s="72">
        <f>AX$3*'Yield 1Y'!AE82</f>
        <v>0</v>
      </c>
      <c r="AY163" s="72">
        <f>AY$3*'Yield 1Y'!AF82</f>
        <v>0</v>
      </c>
      <c r="AZ163" s="72">
        <f>AZ$3*'Yield 1Y'!AG82</f>
        <v>-1.2743916245754256E-2</v>
      </c>
      <c r="BA163" s="72">
        <f>BA$3*'Yield 1Y'!AH82</f>
        <v>-5.2362386413060307</v>
      </c>
      <c r="BB163" s="72">
        <f>BB$3*'Yield 1Y'!AI82</f>
        <v>-0.55943367016600942</v>
      </c>
      <c r="BC163" s="72">
        <f>BC$3*'Yield 1Y'!AJ82</f>
        <v>0</v>
      </c>
      <c r="BD163" s="72">
        <f>BD$3*'Yield 1Y'!AK82</f>
        <v>0</v>
      </c>
      <c r="BE163" s="177">
        <f t="shared" si="21"/>
        <v>5.8084162277177942</v>
      </c>
      <c r="BF163" s="124">
        <f>VLOOKUP(AT163,'Yield 1Y'!$F:$G,2,0)</f>
        <v>46020</v>
      </c>
      <c r="BG163" s="318">
        <f t="shared" si="23"/>
        <v>138</v>
      </c>
    </row>
    <row r="164" spans="1:59" x14ac:dyDescent="0.3">
      <c r="A164" s="37">
        <v>186</v>
      </c>
      <c r="B164" s="72">
        <f>'Yield 1Y'!R188*B$3</f>
        <v>0</v>
      </c>
      <c r="C164" s="72">
        <f>'Yield 1Y'!S188*C$3</f>
        <v>0</v>
      </c>
      <c r="D164" s="72">
        <f>'Yield 1Y'!T188*D$3</f>
        <v>0</v>
      </c>
      <c r="E164" s="72">
        <f>'Yield 1Y'!U188*E$3</f>
        <v>0</v>
      </c>
      <c r="F164" s="72">
        <f>'Yield 1Y'!V188*F$3</f>
        <v>0</v>
      </c>
      <c r="G164" s="72">
        <f>'Yield 1Y'!W188*G$3</f>
        <v>0</v>
      </c>
      <c r="H164" s="72">
        <f>'Yield 1Y'!X188*H$3</f>
        <v>0</v>
      </c>
      <c r="I164" s="72">
        <f>'Yield 1Y'!Y188*I$3</f>
        <v>-1.6817886074542407</v>
      </c>
      <c r="J164" s="72">
        <f>'Yield 1Y'!Z188*J$3</f>
        <v>0</v>
      </c>
      <c r="K164" s="72">
        <f>'Yield 1Y'!AA188*K$3</f>
        <v>0</v>
      </c>
      <c r="L164" s="177">
        <f t="shared" si="16"/>
        <v>1.6817886074542407</v>
      </c>
      <c r="M164" s="124">
        <f>VLOOKUP(A164,'Yield 1Y'!$F:$G,2,0)</f>
        <v>45979</v>
      </c>
      <c r="N164" s="318">
        <f t="shared" si="17"/>
        <v>127.5</v>
      </c>
      <c r="P164" s="37">
        <v>161</v>
      </c>
      <c r="Q164" s="72">
        <f>Q$3*'Yield 1Y'!R163</f>
        <v>0</v>
      </c>
      <c r="R164" s="72">
        <f>R$3*'Yield 1Y'!S163</f>
        <v>0</v>
      </c>
      <c r="S164" s="72">
        <f>S$3*'Yield 1Y'!T163</f>
        <v>0</v>
      </c>
      <c r="T164" s="72">
        <f>T$3*'Yield 1Y'!U163</f>
        <v>0</v>
      </c>
      <c r="U164" s="72">
        <f>U$3*'Yield 1Y'!V163</f>
        <v>0</v>
      </c>
      <c r="V164" s="72">
        <f>V$3*'Yield 1Y'!W163</f>
        <v>0</v>
      </c>
      <c r="W164" s="72">
        <f>W$3*'Yield 1Y'!X163</f>
        <v>-0.11383127481103802</v>
      </c>
      <c r="X164" s="72">
        <f>X$3*'Yield 1Y'!Y163</f>
        <v>0</v>
      </c>
      <c r="Y164" s="72">
        <f>Y$3*'Yield 1Y'!Z163</f>
        <v>0</v>
      </c>
      <c r="Z164" s="72">
        <f>Z$3*'Yield 1Y'!AA163</f>
        <v>0</v>
      </c>
      <c r="AA164" s="177">
        <f t="shared" si="18"/>
        <v>0.11383127481103802</v>
      </c>
      <c r="AB164" s="124">
        <f>VLOOKUP(P164,'Yield 1Y'!$F:$G,2,0)</f>
        <v>46014</v>
      </c>
      <c r="AC164" s="318">
        <f t="shared" si="22"/>
        <v>159</v>
      </c>
      <c r="AE164" s="37">
        <v>204</v>
      </c>
      <c r="AF164" s="72">
        <f>AF$3*'Yield 1Y'!AB206</f>
        <v>0</v>
      </c>
      <c r="AG164" s="72">
        <f>AG$3*'Yield 1Y'!AC206</f>
        <v>0</v>
      </c>
      <c r="AH164" s="72">
        <f>AH$3*'Yield 1Y'!AD206</f>
        <v>-0.51636072708494918</v>
      </c>
      <c r="AI164" s="72">
        <f>AI$3*'Yield 1Y'!AE206</f>
        <v>-1.9328217676988393</v>
      </c>
      <c r="AJ164" s="72">
        <f>AJ$3*'Yield 1Y'!AF206</f>
        <v>-0.26187877630274359</v>
      </c>
      <c r="AK164" s="72">
        <f>AK$3*'Yield 1Y'!AG206</f>
        <v>-18.125117033184146</v>
      </c>
      <c r="AL164" s="72">
        <f>AL$3*'Yield 1Y'!AH206</f>
        <v>-26.91312004511818</v>
      </c>
      <c r="AM164" s="72">
        <f>AM$3*'Yield 1Y'!AI206</f>
        <v>-16.817886074542706</v>
      </c>
      <c r="AN164" s="72">
        <f>AN$3*'Yield 1Y'!AJ206</f>
        <v>0</v>
      </c>
      <c r="AO164" s="72">
        <f>AO$3*'Yield 1Y'!AK206</f>
        <v>0</v>
      </c>
      <c r="AP164" s="177">
        <f t="shared" si="19"/>
        <v>64.567184423931565</v>
      </c>
      <c r="AQ164" s="124">
        <f>VLOOKUP(AE164,'Yield 1Y'!$F:$G,2,0)</f>
        <v>45953</v>
      </c>
      <c r="AR164" s="318">
        <f t="shared" si="20"/>
        <v>59</v>
      </c>
      <c r="AT164" s="37">
        <v>158</v>
      </c>
      <c r="AU164" s="72">
        <f>AU$3*'Yield 1Y'!AB207</f>
        <v>0</v>
      </c>
      <c r="AV164" s="72">
        <f>AV$3*'Yield 1Y'!AC207</f>
        <v>0</v>
      </c>
      <c r="AW164" s="72">
        <f>AW$3*'Yield 1Y'!AD207</f>
        <v>0</v>
      </c>
      <c r="AX164" s="72">
        <f>AX$3*'Yield 1Y'!AE207</f>
        <v>0</v>
      </c>
      <c r="AY164" s="72">
        <f>AY$3*'Yield 1Y'!AF207</f>
        <v>0</v>
      </c>
      <c r="AZ164" s="72">
        <f>AZ$3*'Yield 1Y'!AG207</f>
        <v>-1.0322572159057495</v>
      </c>
      <c r="BA164" s="72">
        <f>BA$3*'Yield 1Y'!AH207</f>
        <v>-8.9926707100689711</v>
      </c>
      <c r="BB164" s="72">
        <f>BB$3*'Yield 1Y'!AI207</f>
        <v>-3.0768851859129986</v>
      </c>
      <c r="BC164" s="72">
        <f>BC$3*'Yield 1Y'!AJ207</f>
        <v>0</v>
      </c>
      <c r="BD164" s="72">
        <f>BD$3*'Yield 1Y'!AK207</f>
        <v>0</v>
      </c>
      <c r="BE164" s="177">
        <f t="shared" si="21"/>
        <v>13.101813111887719</v>
      </c>
      <c r="BF164" s="124">
        <f>VLOOKUP(AT164,'Yield 1Y'!$F:$G,2,0)</f>
        <v>46017</v>
      </c>
      <c r="BG164" s="318">
        <f t="shared" si="23"/>
        <v>40</v>
      </c>
    </row>
    <row r="165" spans="1:59" x14ac:dyDescent="0.3">
      <c r="A165" s="37">
        <v>221</v>
      </c>
      <c r="B165" s="72">
        <f>'Yield 1Y'!R223*B$3</f>
        <v>0</v>
      </c>
      <c r="C165" s="72">
        <f>'Yield 1Y'!S223*C$3</f>
        <v>0</v>
      </c>
      <c r="D165" s="72">
        <f>'Yield 1Y'!T223*D$3</f>
        <v>0</v>
      </c>
      <c r="E165" s="72">
        <f>'Yield 1Y'!U223*E$3</f>
        <v>5.7696172170120914E-2</v>
      </c>
      <c r="F165" s="72">
        <f>'Yield 1Y'!V223*F$3</f>
        <v>9.3528134393847367E-3</v>
      </c>
      <c r="G165" s="72">
        <f>'Yield 1Y'!W223*G$3</f>
        <v>0</v>
      </c>
      <c r="H165" s="72">
        <f>'Yield 1Y'!X223*H$3</f>
        <v>0</v>
      </c>
      <c r="I165" s="72">
        <f>'Yield 1Y'!Y223*I$3</f>
        <v>-1.68178860745439</v>
      </c>
      <c r="J165" s="72">
        <f>'Yield 1Y'!Z223*J$3</f>
        <v>0</v>
      </c>
      <c r="K165" s="72">
        <f>'Yield 1Y'!AA223*K$3</f>
        <v>0</v>
      </c>
      <c r="L165" s="177">
        <f t="shared" si="16"/>
        <v>1.6147396218448844</v>
      </c>
      <c r="M165" s="124">
        <f>VLOOKUP(A165,'Yield 1Y'!$F:$G,2,0)</f>
        <v>45930</v>
      </c>
      <c r="N165" s="318">
        <f t="shared" si="17"/>
        <v>131</v>
      </c>
      <c r="P165" s="37">
        <v>162</v>
      </c>
      <c r="Q165" s="72">
        <f>Q$3*'Yield 1Y'!R164</f>
        <v>0</v>
      </c>
      <c r="R165" s="72">
        <f>R$3*'Yield 1Y'!S164</f>
        <v>0</v>
      </c>
      <c r="S165" s="72">
        <f>S$3*'Yield 1Y'!T164</f>
        <v>0</v>
      </c>
      <c r="T165" s="72">
        <f>T$3*'Yield 1Y'!U164</f>
        <v>0</v>
      </c>
      <c r="U165" s="72">
        <f>U$3*'Yield 1Y'!V164</f>
        <v>0</v>
      </c>
      <c r="V165" s="72">
        <f>V$3*'Yield 1Y'!W164</f>
        <v>0</v>
      </c>
      <c r="W165" s="72">
        <f>W$3*'Yield 1Y'!X164</f>
        <v>-0.45532509924394993</v>
      </c>
      <c r="X165" s="72">
        <f>X$3*'Yield 1Y'!Y164</f>
        <v>-0.11987864360696907</v>
      </c>
      <c r="Y165" s="72">
        <f>Y$3*'Yield 1Y'!Z164</f>
        <v>0</v>
      </c>
      <c r="Z165" s="72">
        <f>Z$3*'Yield 1Y'!AA164</f>
        <v>0</v>
      </c>
      <c r="AA165" s="177">
        <f t="shared" si="18"/>
        <v>0.57520374285091902</v>
      </c>
      <c r="AB165" s="124">
        <f>VLOOKUP(P165,'Yield 1Y'!$F:$G,2,0)</f>
        <v>46013</v>
      </c>
      <c r="AC165" s="318">
        <f t="shared" si="22"/>
        <v>88</v>
      </c>
      <c r="AE165" s="37">
        <v>185</v>
      </c>
      <c r="AF165" s="72">
        <f>AF$3*'Yield 1Y'!AB187</f>
        <v>0</v>
      </c>
      <c r="AG165" s="72">
        <f>AG$3*'Yield 1Y'!AC187</f>
        <v>0</v>
      </c>
      <c r="AH165" s="72">
        <f>AH$3*'Yield 1Y'!AD187</f>
        <v>-0.4425949089299564</v>
      </c>
      <c r="AI165" s="72">
        <f>AI$3*'Yield 1Y'!AE187</f>
        <v>-2.1636064563792843</v>
      </c>
      <c r="AJ165" s="72">
        <f>AJ$3*'Yield 1Y'!AF187</f>
        <v>-0.18237986206798057</v>
      </c>
      <c r="AK165" s="72">
        <f>AK$3*'Yield 1Y'!AG187</f>
        <v>-17.584068763536916</v>
      </c>
      <c r="AL165" s="72">
        <f>AL$3*'Yield 1Y'!AH187</f>
        <v>-10.351200017353118</v>
      </c>
      <c r="AM165" s="72">
        <f>AM$3*'Yield 1Y'!AI187</f>
        <v>-7.3998698727987486</v>
      </c>
      <c r="AN165" s="72">
        <f>AN$3*'Yield 1Y'!AJ187</f>
        <v>0</v>
      </c>
      <c r="AO165" s="72">
        <f>AO$3*'Yield 1Y'!AK187</f>
        <v>0</v>
      </c>
      <c r="AP165" s="177">
        <f t="shared" si="19"/>
        <v>38.123719881066002</v>
      </c>
      <c r="AQ165" s="124">
        <f>VLOOKUP(AE165,'Yield 1Y'!$F:$G,2,0)</f>
        <v>45980</v>
      </c>
      <c r="AR165" s="318">
        <f t="shared" si="20"/>
        <v>136</v>
      </c>
      <c r="AT165" s="37">
        <v>159</v>
      </c>
      <c r="AU165" s="72">
        <f>AU$3*'Yield 1Y'!AB191</f>
        <v>0</v>
      </c>
      <c r="AV165" s="72">
        <f>AV$3*'Yield 1Y'!AC191</f>
        <v>0</v>
      </c>
      <c r="AW165" s="72">
        <f>AW$3*'Yield 1Y'!AD191</f>
        <v>0</v>
      </c>
      <c r="AX165" s="72">
        <f>AX$3*'Yield 1Y'!AE191</f>
        <v>0</v>
      </c>
      <c r="AY165" s="72">
        <f>AY$3*'Yield 1Y'!AF191</f>
        <v>0</v>
      </c>
      <c r="AZ165" s="72">
        <f>AZ$3*'Yield 1Y'!AG191</f>
        <v>-1.0067693834142466</v>
      </c>
      <c r="BA165" s="72">
        <f>BA$3*'Yield 1Y'!AH191</f>
        <v>-2.8457818702749904</v>
      </c>
      <c r="BB165" s="72">
        <f>BB$3*'Yield 1Y'!AI191</f>
        <v>-0.83915050524899648</v>
      </c>
      <c r="BC165" s="72">
        <f>BC$3*'Yield 1Y'!AJ191</f>
        <v>0</v>
      </c>
      <c r="BD165" s="72">
        <f>BD$3*'Yield 1Y'!AK191</f>
        <v>0</v>
      </c>
      <c r="BE165" s="177">
        <f t="shared" si="21"/>
        <v>4.6917017589382333</v>
      </c>
      <c r="BF165" s="124">
        <f>VLOOKUP(AT165,'Yield 1Y'!$F:$G,2,0)</f>
        <v>46016</v>
      </c>
      <c r="BG165" s="318">
        <f t="shared" si="23"/>
        <v>163</v>
      </c>
    </row>
    <row r="166" spans="1:59" x14ac:dyDescent="0.3">
      <c r="A166" s="37">
        <v>51</v>
      </c>
      <c r="B166" s="72">
        <f>'Yield 1Y'!R53*B$3</f>
        <v>0</v>
      </c>
      <c r="C166" s="72">
        <f>'Yield 1Y'!S53*C$3</f>
        <v>0</v>
      </c>
      <c r="D166" s="72">
        <f>'Yield 1Y'!T53*D$3</f>
        <v>0</v>
      </c>
      <c r="E166" s="72">
        <f>'Yield 1Y'!U53*E$3</f>
        <v>0</v>
      </c>
      <c r="F166" s="72">
        <f>'Yield 1Y'!V53*F$3</f>
        <v>0</v>
      </c>
      <c r="G166" s="72">
        <f>'Yield 1Y'!W53*G$3</f>
        <v>0</v>
      </c>
      <c r="H166" s="72">
        <f>'Yield 1Y'!X53*H$3</f>
        <v>-1.6561920027766901</v>
      </c>
      <c r="I166" s="72">
        <f>'Yield 1Y'!Y53*I$3</f>
        <v>-1.0090731644726041</v>
      </c>
      <c r="J166" s="72">
        <f>'Yield 1Y'!Z53*J$3</f>
        <v>0</v>
      </c>
      <c r="K166" s="72">
        <f>'Yield 1Y'!AA53*K$3</f>
        <v>0</v>
      </c>
      <c r="L166" s="177">
        <f t="shared" si="16"/>
        <v>2.6652651672492942</v>
      </c>
      <c r="M166" s="124">
        <f>VLOOKUP(A166,'Yield 1Y'!$F:$G,2,0)</f>
        <v>46182</v>
      </c>
      <c r="N166" s="318">
        <f t="shared" si="17"/>
        <v>103</v>
      </c>
      <c r="P166" s="37">
        <v>163</v>
      </c>
      <c r="Q166" s="72">
        <f>Q$3*'Yield 1Y'!R165</f>
        <v>0</v>
      </c>
      <c r="R166" s="72">
        <f>R$3*'Yield 1Y'!S165</f>
        <v>0</v>
      </c>
      <c r="S166" s="72">
        <f>S$3*'Yield 1Y'!T165</f>
        <v>0</v>
      </c>
      <c r="T166" s="72">
        <f>T$3*'Yield 1Y'!U165</f>
        <v>0</v>
      </c>
      <c r="U166" s="72">
        <f>U$3*'Yield 1Y'!V165</f>
        <v>0</v>
      </c>
      <c r="V166" s="72">
        <f>V$3*'Yield 1Y'!W165</f>
        <v>-7.6463497474497238E-2</v>
      </c>
      <c r="W166" s="72">
        <f>W$3*'Yield 1Y'!X165</f>
        <v>-0.68298764886602603</v>
      </c>
      <c r="X166" s="72">
        <f>X$3*'Yield 1Y'!Y165</f>
        <v>0.11987864360696907</v>
      </c>
      <c r="Y166" s="72">
        <f>Y$3*'Yield 1Y'!Z165</f>
        <v>0</v>
      </c>
      <c r="Z166" s="72">
        <f>Z$3*'Yield 1Y'!AA165</f>
        <v>0</v>
      </c>
      <c r="AA166" s="177">
        <f t="shared" si="18"/>
        <v>0.63957250273355415</v>
      </c>
      <c r="AB166" s="124">
        <f>VLOOKUP(P166,'Yield 1Y'!$F:$G,2,0)</f>
        <v>46010</v>
      </c>
      <c r="AC166" s="318">
        <f t="shared" si="22"/>
        <v>79</v>
      </c>
      <c r="AE166" s="37">
        <v>202</v>
      </c>
      <c r="AF166" s="72">
        <f>AF$3*'Yield 1Y'!AB204</f>
        <v>0</v>
      </c>
      <c r="AG166" s="72">
        <f>AG$3*'Yield 1Y'!AC204</f>
        <v>0</v>
      </c>
      <c r="AH166" s="72">
        <f>AH$3*'Yield 1Y'!AD204</f>
        <v>-0.59934727250931497</v>
      </c>
      <c r="AI166" s="72">
        <f>AI$3*'Yield 1Y'!AE204</f>
        <v>-1.4424043042528691</v>
      </c>
      <c r="AJ166" s="72">
        <f>AJ$3*'Yield 1Y'!AF204</f>
        <v>-0.30396643677996971</v>
      </c>
      <c r="AK166" s="72">
        <f>AK$3*'Yield 1Y'!AG204</f>
        <v>-14.608303280476788</v>
      </c>
      <c r="AL166" s="72">
        <f>AL$3*'Yield 1Y'!AH204</f>
        <v>-30.225504050671194</v>
      </c>
      <c r="AM166" s="72">
        <f>AM$3*'Yield 1Y'!AI204</f>
        <v>-18.163316960506126</v>
      </c>
      <c r="AN166" s="72">
        <f>AN$3*'Yield 1Y'!AJ204</f>
        <v>0</v>
      </c>
      <c r="AO166" s="72">
        <f>AO$3*'Yield 1Y'!AK204</f>
        <v>0</v>
      </c>
      <c r="AP166" s="177">
        <f t="shared" si="19"/>
        <v>65.342842305196257</v>
      </c>
      <c r="AQ166" s="124">
        <f>VLOOKUP(AE166,'Yield 1Y'!$F:$G,2,0)</f>
        <v>45957</v>
      </c>
      <c r="AR166" s="318">
        <f t="shared" si="20"/>
        <v>58</v>
      </c>
      <c r="AT166" s="37">
        <v>160</v>
      </c>
      <c r="AU166" s="72">
        <f>AU$3*'Yield 1Y'!AB179</f>
        <v>0</v>
      </c>
      <c r="AV166" s="72">
        <f>AV$3*'Yield 1Y'!AC179</f>
        <v>0</v>
      </c>
      <c r="AW166" s="72">
        <f>AW$3*'Yield 1Y'!AD179</f>
        <v>0</v>
      </c>
      <c r="AX166" s="72">
        <f>AX$3*'Yield 1Y'!AE179</f>
        <v>0</v>
      </c>
      <c r="AY166" s="72">
        <f>AY$3*'Yield 1Y'!AF179</f>
        <v>0</v>
      </c>
      <c r="AZ166" s="72">
        <f>AZ$3*'Yield 1Y'!AG179</f>
        <v>-0.22939049242349738</v>
      </c>
      <c r="BA166" s="72">
        <f>BA$3*'Yield 1Y'!AH179</f>
        <v>-4.7809135420620299</v>
      </c>
      <c r="BB166" s="72">
        <f>BB$3*'Yield 1Y'!AI179</f>
        <v>-0.87911005311800983</v>
      </c>
      <c r="BC166" s="72">
        <f>BC$3*'Yield 1Y'!AJ179</f>
        <v>0</v>
      </c>
      <c r="BD166" s="72">
        <f>BD$3*'Yield 1Y'!AK179</f>
        <v>0</v>
      </c>
      <c r="BE166" s="177">
        <f t="shared" si="21"/>
        <v>5.8894140876035372</v>
      </c>
      <c r="BF166" s="124">
        <f>VLOOKUP(AT166,'Yield 1Y'!$F:$G,2,0)</f>
        <v>46015</v>
      </c>
      <c r="BG166" s="318">
        <f t="shared" si="23"/>
        <v>131</v>
      </c>
    </row>
    <row r="167" spans="1:59" x14ac:dyDescent="0.3">
      <c r="A167" s="114">
        <v>25</v>
      </c>
      <c r="B167" s="72">
        <f>'Yield 1Y'!R27*B$3</f>
        <v>0</v>
      </c>
      <c r="C167" s="72">
        <f>'Yield 1Y'!S27*C$3</f>
        <v>0</v>
      </c>
      <c r="D167" s="72">
        <f>'Yield 1Y'!T27*D$3</f>
        <v>0</v>
      </c>
      <c r="E167" s="72">
        <f>'Yield 1Y'!U27*E$3</f>
        <v>-5.7696172170120914E-2</v>
      </c>
      <c r="F167" s="72">
        <f>'Yield 1Y'!V27*F$3</f>
        <v>-1.4029220159071914E-2</v>
      </c>
      <c r="G167" s="72">
        <f>'Yield 1Y'!W27*G$3</f>
        <v>0.54104826964723052</v>
      </c>
      <c r="H167" s="72">
        <f>'Yield 1Y'!X27*H$3</f>
        <v>-0.8280960013885289</v>
      </c>
      <c r="I167" s="72">
        <f>'Yield 1Y'!Y27*I$3</f>
        <v>0</v>
      </c>
      <c r="J167" s="72">
        <f>'Yield 1Y'!Z27*J$3</f>
        <v>0</v>
      </c>
      <c r="K167" s="72">
        <f>'Yield 1Y'!AA27*K$3</f>
        <v>0</v>
      </c>
      <c r="L167" s="394">
        <f t="shared" si="16"/>
        <v>0.35877312407049122</v>
      </c>
      <c r="M167" s="124">
        <f>VLOOKUP(A167,'Yield 1Y'!$F:$G,2,0)</f>
        <v>46218</v>
      </c>
      <c r="N167" s="318">
        <f t="shared" si="17"/>
        <v>181</v>
      </c>
      <c r="P167" s="37">
        <v>164</v>
      </c>
      <c r="Q167" s="72">
        <f>Q$3*'Yield 1Y'!R166</f>
        <v>0</v>
      </c>
      <c r="R167" s="72">
        <f>R$3*'Yield 1Y'!S166</f>
        <v>0</v>
      </c>
      <c r="S167" s="72">
        <f>S$3*'Yield 1Y'!T166</f>
        <v>0</v>
      </c>
      <c r="T167" s="72">
        <f>T$3*'Yield 1Y'!U166</f>
        <v>0</v>
      </c>
      <c r="U167" s="72">
        <f>U$3*'Yield 1Y'!V166</f>
        <v>0</v>
      </c>
      <c r="V167" s="72">
        <f>V$3*'Yield 1Y'!W166</f>
        <v>-6.3719581228754305E-2</v>
      </c>
      <c r="W167" s="72">
        <f>W$3*'Yield 1Y'!X166</f>
        <v>-1.9351316717869893</v>
      </c>
      <c r="X167" s="72">
        <f>X$3*'Yield 1Y'!Y166</f>
        <v>-0.75923140951096979</v>
      </c>
      <c r="Y167" s="72">
        <f>Y$3*'Yield 1Y'!Z166</f>
        <v>0</v>
      </c>
      <c r="Z167" s="72">
        <f>Z$3*'Yield 1Y'!AA166</f>
        <v>0</v>
      </c>
      <c r="AA167" s="177">
        <f t="shared" si="18"/>
        <v>2.7580826625267134</v>
      </c>
      <c r="AB167" s="124">
        <f>VLOOKUP(P167,'Yield 1Y'!$F:$G,2,0)</f>
        <v>46009</v>
      </c>
      <c r="AC167" s="318">
        <f t="shared" si="22"/>
        <v>22</v>
      </c>
      <c r="AE167" s="37">
        <v>182</v>
      </c>
      <c r="AF167" s="72">
        <f>AF$3*'Yield 1Y'!AB184</f>
        <v>0</v>
      </c>
      <c r="AG167" s="72">
        <f>AG$3*'Yield 1Y'!AC184</f>
        <v>0</v>
      </c>
      <c r="AH167" s="72">
        <f>AH$3*'Yield 1Y'!AD184</f>
        <v>-0.23051818173435126</v>
      </c>
      <c r="AI167" s="72">
        <f>AI$3*'Yield 1Y'!AE184</f>
        <v>-1.0096830129770071</v>
      </c>
      <c r="AJ167" s="72">
        <f>AJ$3*'Yield 1Y'!AF184</f>
        <v>-0.11691016799229571</v>
      </c>
      <c r="AK167" s="72">
        <f>AK$3*'Yield 1Y'!AG184</f>
        <v>-7.8451999098859249</v>
      </c>
      <c r="AL167" s="72">
        <f>AL$3*'Yield 1Y'!AH184</f>
        <v>-16.561920027765062</v>
      </c>
      <c r="AM167" s="72">
        <f>AM$3*'Yield 1Y'!AI184</f>
        <v>-8.7453007587621716</v>
      </c>
      <c r="AN167" s="72">
        <f>AN$3*'Yield 1Y'!AJ184</f>
        <v>0</v>
      </c>
      <c r="AO167" s="72">
        <f>AO$3*'Yield 1Y'!AK184</f>
        <v>0</v>
      </c>
      <c r="AP167" s="177">
        <f t="shared" si="19"/>
        <v>34.509532059116815</v>
      </c>
      <c r="AQ167" s="124">
        <f>VLOOKUP(AE167,'Yield 1Y'!$F:$G,2,0)</f>
        <v>45985</v>
      </c>
      <c r="AR167" s="318">
        <f t="shared" si="20"/>
        <v>148</v>
      </c>
      <c r="AT167" s="37">
        <v>161</v>
      </c>
      <c r="AU167" s="72">
        <f>AU$3*'Yield 1Y'!AB94</f>
        <v>0</v>
      </c>
      <c r="AV167" s="72">
        <f>AV$3*'Yield 1Y'!AC94</f>
        <v>0</v>
      </c>
      <c r="AW167" s="72">
        <f>AW$3*'Yield 1Y'!AD94</f>
        <v>0</v>
      </c>
      <c r="AX167" s="72">
        <f>AX$3*'Yield 1Y'!AE94</f>
        <v>0</v>
      </c>
      <c r="AY167" s="72">
        <f>AY$3*'Yield 1Y'!AF94</f>
        <v>0</v>
      </c>
      <c r="AZ167" s="72">
        <f>AZ$3*'Yield 1Y'!AG94</f>
        <v>-0.36957357112674893</v>
      </c>
      <c r="BA167" s="72">
        <f>BA$3*'Yield 1Y'!AH94</f>
        <v>-0.91065019848800088</v>
      </c>
      <c r="BB167" s="72">
        <f>BB$3*'Yield 1Y'!AI94</f>
        <v>-0.23975728721399137</v>
      </c>
      <c r="BC167" s="72">
        <f>BC$3*'Yield 1Y'!AJ94</f>
        <v>0</v>
      </c>
      <c r="BD167" s="72">
        <f>BD$3*'Yield 1Y'!AK94</f>
        <v>0</v>
      </c>
      <c r="BE167" s="177">
        <f t="shared" si="21"/>
        <v>1.5199810568287413</v>
      </c>
      <c r="BF167" s="124">
        <f>VLOOKUP(AT167,'Yield 1Y'!$F:$G,2,0)</f>
        <v>46014</v>
      </c>
      <c r="BG167" s="318">
        <f t="shared" si="23"/>
        <v>218</v>
      </c>
    </row>
    <row r="168" spans="1:59" x14ac:dyDescent="0.3">
      <c r="A168" s="37">
        <v>44</v>
      </c>
      <c r="B168" s="72">
        <f>'Yield 1Y'!R46*B$3</f>
        <v>0</v>
      </c>
      <c r="C168" s="72">
        <f>'Yield 1Y'!S46*C$3</f>
        <v>0</v>
      </c>
      <c r="D168" s="72">
        <f>'Yield 1Y'!T46*D$3</f>
        <v>-7.3765818154992738E-2</v>
      </c>
      <c r="E168" s="72">
        <f>'Yield 1Y'!U46*E$3</f>
        <v>-0.51926554953103699</v>
      </c>
      <c r="F168" s="72">
        <f>'Yield 1Y'!V46*F$3</f>
        <v>-0.13093938815137388</v>
      </c>
      <c r="G168" s="72">
        <f>'Yield 1Y'!W46*G$3</f>
        <v>-9.7388688536513524</v>
      </c>
      <c r="H168" s="72">
        <f>'Yield 1Y'!X46*H$3</f>
        <v>-13.663584022905948</v>
      </c>
      <c r="I168" s="72">
        <f>'Yield 1Y'!Y46*I$3</f>
        <v>-5.7180812653443587</v>
      </c>
      <c r="J168" s="72">
        <f>'Yield 1Y'!Z46*J$3</f>
        <v>0</v>
      </c>
      <c r="K168" s="72">
        <f>'Yield 1Y'!AA46*K$3</f>
        <v>0</v>
      </c>
      <c r="L168" s="177">
        <f t="shared" si="16"/>
        <v>29.844504897739064</v>
      </c>
      <c r="M168" s="124">
        <f>VLOOKUP(A168,'Yield 1Y'!$F:$G,2,0)</f>
        <v>46191</v>
      </c>
      <c r="N168" s="318">
        <f t="shared" si="17"/>
        <v>10</v>
      </c>
      <c r="P168" s="37">
        <v>165</v>
      </c>
      <c r="Q168" s="72">
        <f>Q$3*'Yield 1Y'!R167</f>
        <v>0</v>
      </c>
      <c r="R168" s="72">
        <f>R$3*'Yield 1Y'!S167</f>
        <v>0</v>
      </c>
      <c r="S168" s="72">
        <f>S$3*'Yield 1Y'!T167</f>
        <v>0</v>
      </c>
      <c r="T168" s="72">
        <f>T$3*'Yield 1Y'!U167</f>
        <v>0</v>
      </c>
      <c r="U168" s="72">
        <f>U$3*'Yield 1Y'!V167</f>
        <v>0</v>
      </c>
      <c r="V168" s="72">
        <f>V$3*'Yield 1Y'!W167</f>
        <v>5.0975664983000046E-2</v>
      </c>
      <c r="W168" s="72">
        <f>W$3*'Yield 1Y'!X167</f>
        <v>0.22766254962202551</v>
      </c>
      <c r="X168" s="72">
        <f>X$3*'Yield 1Y'!Y167</f>
        <v>0</v>
      </c>
      <c r="Y168" s="72">
        <f>Y$3*'Yield 1Y'!Z167</f>
        <v>0</v>
      </c>
      <c r="Z168" s="72">
        <f>Z$3*'Yield 1Y'!AA167</f>
        <v>0</v>
      </c>
      <c r="AA168" s="177">
        <f t="shared" si="18"/>
        <v>-0.27863821460502558</v>
      </c>
      <c r="AB168" s="124">
        <f>VLOOKUP(P168,'Yield 1Y'!$F:$G,2,0)</f>
        <v>46008</v>
      </c>
      <c r="AC168" s="318">
        <f t="shared" si="22"/>
        <v>212</v>
      </c>
      <c r="AE168" s="37">
        <v>197</v>
      </c>
      <c r="AF168" s="72">
        <f>AF$3*'Yield 1Y'!AB199</f>
        <v>0</v>
      </c>
      <c r="AG168" s="72">
        <f>AG$3*'Yield 1Y'!AC199</f>
        <v>0</v>
      </c>
      <c r="AH168" s="72">
        <f>AH$3*'Yield 1Y'!AD199</f>
        <v>-0.23051818173435126</v>
      </c>
      <c r="AI168" s="72">
        <f>AI$3*'Yield 1Y'!AE199</f>
        <v>-1.4712523903379231</v>
      </c>
      <c r="AJ168" s="72">
        <f>AJ$3*'Yield 1Y'!AF199</f>
        <v>-0.11691016799229571</v>
      </c>
      <c r="AK168" s="72">
        <f>AK$3*'Yield 1Y'!AG199</f>
        <v>-15.690399819771489</v>
      </c>
      <c r="AL168" s="72">
        <f>AL$3*'Yield 1Y'!AH199</f>
        <v>-10.351200017353118</v>
      </c>
      <c r="AM168" s="72">
        <f>AM$3*'Yield 1Y'!AI199</f>
        <v>-6.3907967083262935</v>
      </c>
      <c r="AN168" s="72">
        <f>AN$3*'Yield 1Y'!AJ199</f>
        <v>0</v>
      </c>
      <c r="AO168" s="72">
        <f>AO$3*'Yield 1Y'!AK199</f>
        <v>0</v>
      </c>
      <c r="AP168" s="177">
        <f t="shared" si="19"/>
        <v>34.251077285515471</v>
      </c>
      <c r="AQ168" s="124">
        <f>VLOOKUP(AE168,'Yield 1Y'!$F:$G,2,0)</f>
        <v>45964</v>
      </c>
      <c r="AR168" s="318">
        <f t="shared" si="20"/>
        <v>151</v>
      </c>
      <c r="AT168" s="37">
        <v>162</v>
      </c>
      <c r="AU168" s="72">
        <f>AU$3*'Yield 1Y'!AB214</f>
        <v>0</v>
      </c>
      <c r="AV168" s="72">
        <f>AV$3*'Yield 1Y'!AC214</f>
        <v>0</v>
      </c>
      <c r="AW168" s="72">
        <f>AW$3*'Yield 1Y'!AD214</f>
        <v>0</v>
      </c>
      <c r="AX168" s="72">
        <f>AX$3*'Yield 1Y'!AE214</f>
        <v>0</v>
      </c>
      <c r="AY168" s="72">
        <f>AY$3*'Yield 1Y'!AF214</f>
        <v>0</v>
      </c>
      <c r="AZ168" s="72">
        <f>AZ$3*'Yield 1Y'!AG214</f>
        <v>-0.57347623105874912</v>
      </c>
      <c r="BA168" s="72">
        <f>BA$3*'Yield 1Y'!AH214</f>
        <v>-4.6670822672509917</v>
      </c>
      <c r="BB168" s="72">
        <f>BB$3*'Yield 1Y'!AI214</f>
        <v>-2.1977751327950066</v>
      </c>
      <c r="BC168" s="72">
        <f>BC$3*'Yield 1Y'!AJ214</f>
        <v>0</v>
      </c>
      <c r="BD168" s="72">
        <f>BD$3*'Yield 1Y'!AK214</f>
        <v>0</v>
      </c>
      <c r="BE168" s="177">
        <f t="shared" si="21"/>
        <v>7.4383336311047472</v>
      </c>
      <c r="BF168" s="124">
        <f>VLOOKUP(AT168,'Yield 1Y'!$F:$G,2,0)</f>
        <v>46013</v>
      </c>
      <c r="BG168" s="318">
        <f t="shared" si="23"/>
        <v>103</v>
      </c>
    </row>
    <row r="169" spans="1:59" x14ac:dyDescent="0.3">
      <c r="A169" s="37">
        <v>159</v>
      </c>
      <c r="B169" s="72">
        <f>'Yield 1Y'!R161*B$3</f>
        <v>0</v>
      </c>
      <c r="C169" s="72">
        <f>'Yield 1Y'!S161*C$3</f>
        <v>0</v>
      </c>
      <c r="D169" s="72">
        <f>'Yield 1Y'!T161*D$3</f>
        <v>0</v>
      </c>
      <c r="E169" s="72">
        <f>'Yield 1Y'!U161*E$3</f>
        <v>0</v>
      </c>
      <c r="F169" s="72">
        <f>'Yield 1Y'!V161*F$3</f>
        <v>0</v>
      </c>
      <c r="G169" s="72">
        <f>'Yield 1Y'!W161*G$3</f>
        <v>-0.81157240447096601</v>
      </c>
      <c r="H169" s="72">
        <f>'Yield 1Y'!X161*H$3</f>
        <v>-7.8669120131884505</v>
      </c>
      <c r="I169" s="72">
        <f>'Yield 1Y'!Y161*I$3</f>
        <v>-7.3998698727988979</v>
      </c>
      <c r="J169" s="72">
        <f>'Yield 1Y'!Z161*J$3</f>
        <v>0</v>
      </c>
      <c r="K169" s="72">
        <f>'Yield 1Y'!AA161*K$3</f>
        <v>0</v>
      </c>
      <c r="L169" s="177">
        <f t="shared" si="16"/>
        <v>16.078354290458314</v>
      </c>
      <c r="M169" s="124">
        <f>VLOOKUP(A169,'Yield 1Y'!$F:$G,2,0)</f>
        <v>46016</v>
      </c>
      <c r="N169" s="318">
        <f t="shared" si="17"/>
        <v>25</v>
      </c>
      <c r="P169" s="37">
        <v>166</v>
      </c>
      <c r="Q169" s="72">
        <f>Q$3*'Yield 1Y'!R168</f>
        <v>0</v>
      </c>
      <c r="R169" s="72">
        <f>R$3*'Yield 1Y'!S168</f>
        <v>0</v>
      </c>
      <c r="S169" s="72">
        <f>S$3*'Yield 1Y'!T168</f>
        <v>0</v>
      </c>
      <c r="T169" s="72">
        <f>T$3*'Yield 1Y'!U168</f>
        <v>0</v>
      </c>
      <c r="U169" s="72">
        <f>U$3*'Yield 1Y'!V168</f>
        <v>0</v>
      </c>
      <c r="V169" s="72">
        <f>V$3*'Yield 1Y'!W168</f>
        <v>-7.6463497474497238E-2</v>
      </c>
      <c r="W169" s="72">
        <f>W$3*'Yield 1Y'!X168</f>
        <v>-0.45532509924400044</v>
      </c>
      <c r="X169" s="72">
        <f>X$3*'Yield 1Y'!Y168</f>
        <v>0</v>
      </c>
      <c r="Y169" s="72">
        <f>Y$3*'Yield 1Y'!Z168</f>
        <v>0</v>
      </c>
      <c r="Z169" s="72">
        <f>Z$3*'Yield 1Y'!AA168</f>
        <v>0</v>
      </c>
      <c r="AA169" s="177">
        <f t="shared" si="18"/>
        <v>0.53178859671849765</v>
      </c>
      <c r="AB169" s="124">
        <f>VLOOKUP(P169,'Yield 1Y'!$F:$G,2,0)</f>
        <v>46007</v>
      </c>
      <c r="AC169" s="318">
        <f t="shared" si="22"/>
        <v>95</v>
      </c>
      <c r="AE169" s="37">
        <v>203</v>
      </c>
      <c r="AF169" s="72">
        <f>AF$3*'Yield 1Y'!AB205</f>
        <v>0</v>
      </c>
      <c r="AG169" s="72">
        <f>AG$3*'Yield 1Y'!AC205</f>
        <v>0</v>
      </c>
      <c r="AH169" s="72">
        <f>AH$3*'Yield 1Y'!AD205</f>
        <v>-0.59934727250931497</v>
      </c>
      <c r="AI169" s="72">
        <f>AI$3*'Yield 1Y'!AE205</f>
        <v>-1.5866447346781523</v>
      </c>
      <c r="AJ169" s="72">
        <f>AJ$3*'Yield 1Y'!AF205</f>
        <v>-0.30396643677996971</v>
      </c>
      <c r="AK169" s="72">
        <f>AK$3*'Yield 1Y'!AG205</f>
        <v>-15.690399819771368</v>
      </c>
      <c r="AL169" s="72">
        <f>AL$3*'Yield 1Y'!AH205</f>
        <v>-30.225504050671194</v>
      </c>
      <c r="AM169" s="72">
        <f>AM$3*'Yield 1Y'!AI205</f>
        <v>-18.163316960506126</v>
      </c>
      <c r="AN169" s="72">
        <f>AN$3*'Yield 1Y'!AJ205</f>
        <v>0</v>
      </c>
      <c r="AO169" s="72">
        <f>AO$3*'Yield 1Y'!AK205</f>
        <v>0</v>
      </c>
      <c r="AP169" s="177">
        <f t="shared" si="19"/>
        <v>66.569179274916124</v>
      </c>
      <c r="AQ169" s="124">
        <f>VLOOKUP(AE169,'Yield 1Y'!$F:$G,2,0)</f>
        <v>45954</v>
      </c>
      <c r="AR169" s="318">
        <f t="shared" si="20"/>
        <v>57</v>
      </c>
      <c r="AT169" s="37">
        <v>163</v>
      </c>
      <c r="AU169" s="72">
        <f>AU$3*'Yield 1Y'!AB63</f>
        <v>0</v>
      </c>
      <c r="AV169" s="72">
        <f>AV$3*'Yield 1Y'!AC63</f>
        <v>0</v>
      </c>
      <c r="AW169" s="72">
        <f>AW$3*'Yield 1Y'!AD63</f>
        <v>0</v>
      </c>
      <c r="AX169" s="72">
        <f>AX$3*'Yield 1Y'!AE63</f>
        <v>0</v>
      </c>
      <c r="AY169" s="72">
        <f>AY$3*'Yield 1Y'!AF63</f>
        <v>0</v>
      </c>
      <c r="AZ169" s="72">
        <f>AZ$3*'Yield 1Y'!AG63</f>
        <v>-0.3950614036182461</v>
      </c>
      <c r="BA169" s="72">
        <f>BA$3*'Yield 1Y'!AH63</f>
        <v>0</v>
      </c>
      <c r="BB169" s="72">
        <f>BB$3*'Yield 1Y'!AI63</f>
        <v>-0.31967638295200035</v>
      </c>
      <c r="BC169" s="72">
        <f>BC$3*'Yield 1Y'!AJ63</f>
        <v>0</v>
      </c>
      <c r="BD169" s="72">
        <f>BD$3*'Yield 1Y'!AK63</f>
        <v>0</v>
      </c>
      <c r="BE169" s="177">
        <f t="shared" si="21"/>
        <v>0.71473778657024645</v>
      </c>
      <c r="BF169" s="124">
        <f>VLOOKUP(AT169,'Yield 1Y'!$F:$G,2,0)</f>
        <v>46010</v>
      </c>
      <c r="BG169" s="318">
        <f t="shared" si="23"/>
        <v>240</v>
      </c>
    </row>
    <row r="170" spans="1:59" x14ac:dyDescent="0.3">
      <c r="A170" s="37">
        <v>222</v>
      </c>
      <c r="B170" s="72">
        <f>'Yield 1Y'!R224*B$3</f>
        <v>0</v>
      </c>
      <c r="C170" s="72">
        <f>'Yield 1Y'!S224*C$3</f>
        <v>0</v>
      </c>
      <c r="D170" s="72">
        <f>'Yield 1Y'!T224*D$3</f>
        <v>0</v>
      </c>
      <c r="E170" s="72">
        <f>'Yield 1Y'!U224*E$3</f>
        <v>0</v>
      </c>
      <c r="F170" s="72">
        <f>'Yield 1Y'!V224*F$3</f>
        <v>0</v>
      </c>
      <c r="G170" s="72">
        <f>'Yield 1Y'!W224*G$3</f>
        <v>0</v>
      </c>
      <c r="H170" s="72">
        <f>'Yield 1Y'!X224*H$3</f>
        <v>-0.41404800069426445</v>
      </c>
      <c r="I170" s="72">
        <f>'Yield 1Y'!Y224*I$3</f>
        <v>-0.67271544298163655</v>
      </c>
      <c r="J170" s="72">
        <f>'Yield 1Y'!Z224*J$3</f>
        <v>0</v>
      </c>
      <c r="K170" s="72">
        <f>'Yield 1Y'!AA224*K$3</f>
        <v>0</v>
      </c>
      <c r="L170" s="177">
        <f t="shared" si="16"/>
        <v>1.0867634436759011</v>
      </c>
      <c r="M170" s="124">
        <f>VLOOKUP(A170,'Yield 1Y'!$F:$G,2,0)</f>
        <v>45929</v>
      </c>
      <c r="N170" s="318">
        <f t="shared" si="17"/>
        <v>151</v>
      </c>
      <c r="P170" s="37">
        <v>167</v>
      </c>
      <c r="Q170" s="72">
        <f>Q$3*'Yield 1Y'!R169</f>
        <v>0</v>
      </c>
      <c r="R170" s="72">
        <f>R$3*'Yield 1Y'!S169</f>
        <v>0</v>
      </c>
      <c r="S170" s="72">
        <f>S$3*'Yield 1Y'!T169</f>
        <v>0</v>
      </c>
      <c r="T170" s="72">
        <f>T$3*'Yield 1Y'!U169</f>
        <v>0</v>
      </c>
      <c r="U170" s="72">
        <f>U$3*'Yield 1Y'!V169</f>
        <v>0</v>
      </c>
      <c r="V170" s="72">
        <f>V$3*'Yield 1Y'!W169</f>
        <v>-6.3719581228748642E-2</v>
      </c>
      <c r="W170" s="72">
        <f>W$3*'Yield 1Y'!X169</f>
        <v>-0.34149382443301302</v>
      </c>
      <c r="X170" s="72">
        <f>X$3*'Yield 1Y'!Y169</f>
        <v>0</v>
      </c>
      <c r="Y170" s="72">
        <f>Y$3*'Yield 1Y'!Z169</f>
        <v>0</v>
      </c>
      <c r="Z170" s="72">
        <f>Z$3*'Yield 1Y'!AA169</f>
        <v>0</v>
      </c>
      <c r="AA170" s="177">
        <f t="shared" si="18"/>
        <v>0.40521340566176167</v>
      </c>
      <c r="AB170" s="124">
        <f>VLOOKUP(P170,'Yield 1Y'!$F:$G,2,0)</f>
        <v>46006</v>
      </c>
      <c r="AC170" s="318">
        <f t="shared" si="22"/>
        <v>108</v>
      </c>
      <c r="AE170" s="37">
        <v>196</v>
      </c>
      <c r="AF170" s="72">
        <f>AF$3*'Yield 1Y'!AB198</f>
        <v>0</v>
      </c>
      <c r="AG170" s="72">
        <f>AG$3*'Yield 1Y'!AC198</f>
        <v>0</v>
      </c>
      <c r="AH170" s="72">
        <f>AH$3*'Yield 1Y'!AD198</f>
        <v>-0.23051818173435126</v>
      </c>
      <c r="AI170" s="72">
        <f>AI$3*'Yield 1Y'!AE198</f>
        <v>-1.5577966485930981</v>
      </c>
      <c r="AJ170" s="72">
        <f>AJ$3*'Yield 1Y'!AF198</f>
        <v>-0.11691016799229571</v>
      </c>
      <c r="AK170" s="72">
        <f>AK$3*'Yield 1Y'!AG198</f>
        <v>-15.690399819771489</v>
      </c>
      <c r="AL170" s="72">
        <f>AL$3*'Yield 1Y'!AH198</f>
        <v>-10.351200017353118</v>
      </c>
      <c r="AM170" s="72">
        <f>AM$3*'Yield 1Y'!AI198</f>
        <v>-6.3907967083262935</v>
      </c>
      <c r="AN170" s="72">
        <f>AN$3*'Yield 1Y'!AJ198</f>
        <v>0</v>
      </c>
      <c r="AO170" s="72">
        <f>AO$3*'Yield 1Y'!AK198</f>
        <v>0</v>
      </c>
      <c r="AP170" s="177">
        <f t="shared" si="19"/>
        <v>34.337621543770645</v>
      </c>
      <c r="AQ170" s="124">
        <f>VLOOKUP(AE170,'Yield 1Y'!$F:$G,2,0)</f>
        <v>45965</v>
      </c>
      <c r="AR170" s="318">
        <f t="shared" si="20"/>
        <v>150</v>
      </c>
      <c r="AT170" s="37">
        <v>164</v>
      </c>
      <c r="AU170" s="72">
        <f>AU$3*'Yield 1Y'!AB129</f>
        <v>0</v>
      </c>
      <c r="AV170" s="72">
        <f>AV$3*'Yield 1Y'!AC129</f>
        <v>0</v>
      </c>
      <c r="AW170" s="72">
        <f>AW$3*'Yield 1Y'!AD129</f>
        <v>0</v>
      </c>
      <c r="AX170" s="72">
        <f>AX$3*'Yield 1Y'!AE129</f>
        <v>0</v>
      </c>
      <c r="AY170" s="72">
        <f>AY$3*'Yield 1Y'!AF129</f>
        <v>0</v>
      </c>
      <c r="AZ170" s="72">
        <f>AZ$3*'Yield 1Y'!AG129</f>
        <v>-5.0975664982994391E-2</v>
      </c>
      <c r="BA170" s="72">
        <f>BA$3*'Yield 1Y'!AH129</f>
        <v>-4.2117571680069918</v>
      </c>
      <c r="BB170" s="72">
        <f>BB$3*'Yield 1Y'!AI129</f>
        <v>-3.3965615688649993</v>
      </c>
      <c r="BC170" s="72">
        <f>BC$3*'Yield 1Y'!AJ129</f>
        <v>0</v>
      </c>
      <c r="BD170" s="72">
        <f>BD$3*'Yield 1Y'!AK129</f>
        <v>0</v>
      </c>
      <c r="BE170" s="177">
        <f t="shared" si="21"/>
        <v>7.6592944018549858</v>
      </c>
      <c r="BF170" s="124">
        <f>VLOOKUP(AT170,'Yield 1Y'!$F:$G,2,0)</f>
        <v>46009</v>
      </c>
      <c r="BG170" s="318">
        <f t="shared" si="23"/>
        <v>95</v>
      </c>
    </row>
    <row r="171" spans="1:59" x14ac:dyDescent="0.3">
      <c r="A171" s="37">
        <v>153</v>
      </c>
      <c r="B171" s="72">
        <f>'Yield 1Y'!R155*B$3</f>
        <v>0</v>
      </c>
      <c r="C171" s="72">
        <f>'Yield 1Y'!S155*C$3</f>
        <v>0</v>
      </c>
      <c r="D171" s="72">
        <f>'Yield 1Y'!T155*D$3</f>
        <v>0</v>
      </c>
      <c r="E171" s="72">
        <f>'Yield 1Y'!U155*E$3</f>
        <v>0</v>
      </c>
      <c r="F171" s="72">
        <f>'Yield 1Y'!V155*F$3</f>
        <v>0</v>
      </c>
      <c r="G171" s="72">
        <f>'Yield 1Y'!W155*G$3</f>
        <v>0</v>
      </c>
      <c r="H171" s="72">
        <f>'Yield 1Y'!X155*H$3</f>
        <v>-2.4842880041648514</v>
      </c>
      <c r="I171" s="72">
        <f>'Yield 1Y'!Y155*I$3</f>
        <v>0</v>
      </c>
      <c r="J171" s="72">
        <f>'Yield 1Y'!Z155*J$3</f>
        <v>0</v>
      </c>
      <c r="K171" s="72">
        <f>'Yield 1Y'!AA155*K$3</f>
        <v>0</v>
      </c>
      <c r="L171" s="177">
        <f t="shared" si="16"/>
        <v>2.4842880041648514</v>
      </c>
      <c r="M171" s="124">
        <f>VLOOKUP(A171,'Yield 1Y'!$F:$G,2,0)</f>
        <v>46028</v>
      </c>
      <c r="N171" s="318">
        <f t="shared" si="17"/>
        <v>108</v>
      </c>
      <c r="P171" s="37">
        <v>168</v>
      </c>
      <c r="Q171" s="72">
        <f>Q$3*'Yield 1Y'!R170</f>
        <v>0</v>
      </c>
      <c r="R171" s="72">
        <f>R$3*'Yield 1Y'!S170</f>
        <v>0</v>
      </c>
      <c r="S171" s="72">
        <f>S$3*'Yield 1Y'!T170</f>
        <v>0</v>
      </c>
      <c r="T171" s="72">
        <f>T$3*'Yield 1Y'!U170</f>
        <v>0</v>
      </c>
      <c r="U171" s="72">
        <f>U$3*'Yield 1Y'!V170</f>
        <v>0</v>
      </c>
      <c r="V171" s="72">
        <f>V$3*'Yield 1Y'!W170</f>
        <v>-2.5487832491502854E-2</v>
      </c>
      <c r="W171" s="72">
        <f>W$3*'Yield 1Y'!X170</f>
        <v>0.34149382443301302</v>
      </c>
      <c r="X171" s="72">
        <f>X$3*'Yield 1Y'!Y170</f>
        <v>-0.19979773934503126</v>
      </c>
      <c r="Y171" s="72">
        <f>Y$3*'Yield 1Y'!Z170</f>
        <v>0</v>
      </c>
      <c r="Z171" s="72">
        <f>Z$3*'Yield 1Y'!AA170</f>
        <v>0</v>
      </c>
      <c r="AA171" s="177">
        <f t="shared" si="18"/>
        <v>-0.11620825259647888</v>
      </c>
      <c r="AB171" s="124">
        <f>VLOOKUP(P171,'Yield 1Y'!$F:$G,2,0)</f>
        <v>46003</v>
      </c>
      <c r="AC171" s="318">
        <f t="shared" si="22"/>
        <v>201</v>
      </c>
      <c r="AE171" s="37">
        <v>162</v>
      </c>
      <c r="AF171" s="72">
        <f>AF$3*'Yield 1Y'!AB164</f>
        <v>0</v>
      </c>
      <c r="AG171" s="72">
        <f>AG$3*'Yield 1Y'!AC164</f>
        <v>0</v>
      </c>
      <c r="AH171" s="72">
        <f>AH$3*'Yield 1Y'!AD164</f>
        <v>-8.2986545424365801E-2</v>
      </c>
      <c r="AI171" s="72">
        <f>AI$3*'Yield 1Y'!AE164</f>
        <v>-1.2116196155723982</v>
      </c>
      <c r="AJ171" s="72">
        <f>AJ$3*'Yield 1Y'!AF164</f>
        <v>-6.0793287355993521E-2</v>
      </c>
      <c r="AK171" s="72">
        <f>AK$3*'Yield 1Y'!AG164</f>
        <v>-11.632537797416779</v>
      </c>
      <c r="AL171" s="72">
        <f>AL$3*'Yield 1Y'!AH164</f>
        <v>-1.6561920027765062</v>
      </c>
      <c r="AM171" s="72">
        <f>AM$3*'Yield 1Y'!AI164</f>
        <v>-4.7090081008719036</v>
      </c>
      <c r="AN171" s="72">
        <f>AN$3*'Yield 1Y'!AJ164</f>
        <v>0</v>
      </c>
      <c r="AO171" s="72">
        <f>AO$3*'Yield 1Y'!AK164</f>
        <v>0</v>
      </c>
      <c r="AP171" s="177">
        <f t="shared" si="19"/>
        <v>19.353137349417949</v>
      </c>
      <c r="AQ171" s="124">
        <f>VLOOKUP(AE171,'Yield 1Y'!$F:$G,2,0)</f>
        <v>46013</v>
      </c>
      <c r="AR171" s="318">
        <f t="shared" si="20"/>
        <v>205</v>
      </c>
      <c r="AT171" s="37">
        <v>165</v>
      </c>
      <c r="AU171" s="72">
        <f>AU$3*'Yield 1Y'!AB61</f>
        <v>0</v>
      </c>
      <c r="AV171" s="72">
        <f>AV$3*'Yield 1Y'!AC61</f>
        <v>0</v>
      </c>
      <c r="AW171" s="72">
        <f>AW$3*'Yield 1Y'!AD61</f>
        <v>0</v>
      </c>
      <c r="AX171" s="72">
        <f>AX$3*'Yield 1Y'!AE61</f>
        <v>0</v>
      </c>
      <c r="AY171" s="72">
        <f>AY$3*'Yield 1Y'!AF61</f>
        <v>0</v>
      </c>
      <c r="AZ171" s="72">
        <f>AZ$3*'Yield 1Y'!AG61</f>
        <v>-0.49701273358424619</v>
      </c>
      <c r="BA171" s="72">
        <f>BA$3*'Yield 1Y'!AH61</f>
        <v>-0.91065019848800088</v>
      </c>
      <c r="BB171" s="72">
        <f>BB$3*'Yield 1Y'!AI61</f>
        <v>-1.8381392019740108</v>
      </c>
      <c r="BC171" s="72">
        <f>BC$3*'Yield 1Y'!AJ61</f>
        <v>0</v>
      </c>
      <c r="BD171" s="72">
        <f>BD$3*'Yield 1Y'!AK61</f>
        <v>0</v>
      </c>
      <c r="BE171" s="177">
        <f t="shared" si="21"/>
        <v>3.2458021340462579</v>
      </c>
      <c r="BF171" s="124">
        <f>VLOOKUP(AT171,'Yield 1Y'!$F:$G,2,0)</f>
        <v>46008</v>
      </c>
      <c r="BG171" s="318">
        <f t="shared" si="23"/>
        <v>194</v>
      </c>
    </row>
    <row r="172" spans="1:59" x14ac:dyDescent="0.3">
      <c r="A172" s="37">
        <v>244</v>
      </c>
      <c r="B172" s="72">
        <f>'Yield 1Y'!R246*B$3</f>
        <v>0</v>
      </c>
      <c r="C172" s="72">
        <f>'Yield 1Y'!S246*C$3</f>
        <v>0</v>
      </c>
      <c r="D172" s="72">
        <f>'Yield 1Y'!T246*D$3</f>
        <v>-0.23051818173435537</v>
      </c>
      <c r="E172" s="72">
        <f>'Yield 1Y'!U246*E$3</f>
        <v>-0.54811363561609105</v>
      </c>
      <c r="F172" s="72">
        <f>'Yield 1Y'!V246*F$3</f>
        <v>-6.5469694075684856E-2</v>
      </c>
      <c r="G172" s="72">
        <f>'Yield 1Y'!W246*G$3</f>
        <v>-11.362013662593164</v>
      </c>
      <c r="H172" s="72">
        <f>'Yield 1Y'!X246*H$3</f>
        <v>-3.726432006247093</v>
      </c>
      <c r="I172" s="72">
        <f>'Yield 1Y'!Y246*I$3</f>
        <v>-3.3635772149086307</v>
      </c>
      <c r="J172" s="72">
        <f>'Yield 1Y'!Z246*J$3</f>
        <v>0</v>
      </c>
      <c r="K172" s="72">
        <f>'Yield 1Y'!AA246*K$3</f>
        <v>0</v>
      </c>
      <c r="L172" s="177">
        <f t="shared" si="16"/>
        <v>19.296124395175021</v>
      </c>
      <c r="M172" s="124">
        <f>VLOOKUP(A172,'Yield 1Y'!$F:$G,2,0)</f>
        <v>45895</v>
      </c>
      <c r="N172" s="318">
        <f t="shared" si="17"/>
        <v>21</v>
      </c>
      <c r="P172" s="37">
        <v>169</v>
      </c>
      <c r="Q172" s="72">
        <f>Q$3*'Yield 1Y'!R171</f>
        <v>0</v>
      </c>
      <c r="R172" s="72">
        <f>R$3*'Yield 1Y'!S171</f>
        <v>0</v>
      </c>
      <c r="S172" s="72">
        <f>S$3*'Yield 1Y'!T171</f>
        <v>0</v>
      </c>
      <c r="T172" s="72">
        <f>T$3*'Yield 1Y'!U171</f>
        <v>0</v>
      </c>
      <c r="U172" s="72">
        <f>U$3*'Yield 1Y'!V171</f>
        <v>0</v>
      </c>
      <c r="V172" s="72">
        <f>V$3*'Yield 1Y'!W171</f>
        <v>-7.6463497474497238E-2</v>
      </c>
      <c r="W172" s="72">
        <f>W$3*'Yield 1Y'!X171</f>
        <v>-3.0734444198970157</v>
      </c>
      <c r="X172" s="72">
        <f>X$3*'Yield 1Y'!Y171</f>
        <v>-0.8791100531179743</v>
      </c>
      <c r="Y172" s="72">
        <f>Y$3*'Yield 1Y'!Z171</f>
        <v>0</v>
      </c>
      <c r="Z172" s="72">
        <f>Z$3*'Yield 1Y'!AA171</f>
        <v>0</v>
      </c>
      <c r="AA172" s="177">
        <f t="shared" si="18"/>
        <v>4.0290179704894875</v>
      </c>
      <c r="AB172" s="124">
        <f>VLOOKUP(P172,'Yield 1Y'!$F:$G,2,0)</f>
        <v>46002</v>
      </c>
      <c r="AC172" s="318">
        <f t="shared" si="22"/>
        <v>13</v>
      </c>
      <c r="AE172" s="37">
        <v>179</v>
      </c>
      <c r="AF172" s="72">
        <f>AF$3*'Yield 1Y'!AB181</f>
        <v>0</v>
      </c>
      <c r="AG172" s="72">
        <f>AG$3*'Yield 1Y'!AC181</f>
        <v>0</v>
      </c>
      <c r="AH172" s="72">
        <f>AH$3*'Yield 1Y'!AD181</f>
        <v>-0.18441454538748184</v>
      </c>
      <c r="AI172" s="72">
        <f>AI$3*'Yield 1Y'!AE181</f>
        <v>-0.43272129127586201</v>
      </c>
      <c r="AJ172" s="72">
        <f>AJ$3*'Yield 1Y'!AF181</f>
        <v>-9.82045411135304E-2</v>
      </c>
      <c r="AK172" s="72">
        <f>AK$3*'Yield 1Y'!AG181</f>
        <v>-3.2462896178838641</v>
      </c>
      <c r="AL172" s="72">
        <f>AL$3*'Yield 1Y'!AH181</f>
        <v>-15.733824026376901</v>
      </c>
      <c r="AM172" s="72">
        <f>AM$3*'Yield 1Y'!AI181</f>
        <v>-7.06351215130793</v>
      </c>
      <c r="AN172" s="72">
        <f>AN$3*'Yield 1Y'!AJ181</f>
        <v>0</v>
      </c>
      <c r="AO172" s="72">
        <f>AO$3*'Yield 1Y'!AK181</f>
        <v>0</v>
      </c>
      <c r="AP172" s="177">
        <f t="shared" si="19"/>
        <v>26.758966173345566</v>
      </c>
      <c r="AQ172" s="124">
        <f>VLOOKUP(AE172,'Yield 1Y'!$F:$G,2,0)</f>
        <v>45988</v>
      </c>
      <c r="AR172" s="318">
        <f t="shared" si="20"/>
        <v>175</v>
      </c>
      <c r="AT172" s="37">
        <v>166</v>
      </c>
      <c r="AU172" s="72">
        <f>AU$3*'Yield 1Y'!AB38</f>
        <v>0</v>
      </c>
      <c r="AV172" s="72">
        <f>AV$3*'Yield 1Y'!AC38</f>
        <v>0</v>
      </c>
      <c r="AW172" s="72">
        <f>AW$3*'Yield 1Y'!AD38</f>
        <v>0</v>
      </c>
      <c r="AX172" s="72">
        <f>AX$3*'Yield 1Y'!AE38</f>
        <v>0</v>
      </c>
      <c r="AY172" s="72">
        <f>AY$3*'Yield 1Y'!AF38</f>
        <v>0</v>
      </c>
      <c r="AZ172" s="72">
        <f>AZ$3*'Yield 1Y'!AG38</f>
        <v>-0.662683644778995</v>
      </c>
      <c r="BA172" s="72">
        <f>BA$3*'Yield 1Y'!AH38</f>
        <v>-3.3011069695190414</v>
      </c>
      <c r="BB172" s="72">
        <f>BB$3*'Yield 1Y'!AI38</f>
        <v>-1.4385437232840015</v>
      </c>
      <c r="BC172" s="72">
        <f>BC$3*'Yield 1Y'!AJ38</f>
        <v>0</v>
      </c>
      <c r="BD172" s="72">
        <f>BD$3*'Yield 1Y'!AK38</f>
        <v>0</v>
      </c>
      <c r="BE172" s="177">
        <f t="shared" si="21"/>
        <v>5.4023343375820376</v>
      </c>
      <c r="BF172" s="124">
        <f>VLOOKUP(AT172,'Yield 1Y'!$F:$G,2,0)</f>
        <v>46007</v>
      </c>
      <c r="BG172" s="318">
        <f t="shared" si="23"/>
        <v>149</v>
      </c>
    </row>
    <row r="173" spans="1:59" x14ac:dyDescent="0.3">
      <c r="A173" s="37">
        <v>246</v>
      </c>
      <c r="B173" s="72">
        <f>'Yield 1Y'!R248*B$3</f>
        <v>0</v>
      </c>
      <c r="C173" s="72">
        <f>'Yield 1Y'!S248*C$3</f>
        <v>0</v>
      </c>
      <c r="D173" s="72">
        <f>'Yield 1Y'!T248*D$3</f>
        <v>0</v>
      </c>
      <c r="E173" s="72">
        <f>'Yield 1Y'!U248*E$3</f>
        <v>-1.0673791851471153</v>
      </c>
      <c r="F173" s="72">
        <f>'Yield 1Y'!V248*F$3</f>
        <v>-0.34605409725719583</v>
      </c>
      <c r="G173" s="72">
        <f>'Yield 1Y'!W248*G$3</f>
        <v>-28.405034156482728</v>
      </c>
      <c r="H173" s="72">
        <f>'Yield 1Y'!X248*H$3</f>
        <v>-18.632160031235649</v>
      </c>
      <c r="I173" s="72">
        <f>'Yield 1Y'!Y248*I$3</f>
        <v>-10.090731644725594</v>
      </c>
      <c r="J173" s="72">
        <f>'Yield 1Y'!Z248*J$3</f>
        <v>0</v>
      </c>
      <c r="K173" s="72">
        <f>'Yield 1Y'!AA248*K$3</f>
        <v>0</v>
      </c>
      <c r="L173" s="177">
        <f t="shared" si="16"/>
        <v>58.541359114848284</v>
      </c>
      <c r="M173" s="124">
        <f>VLOOKUP(A173,'Yield 1Y'!$F:$G,2,0)</f>
        <v>45891</v>
      </c>
      <c r="N173" s="318">
        <f t="shared" si="17"/>
        <v>3</v>
      </c>
      <c r="P173" s="37">
        <v>170</v>
      </c>
      <c r="Q173" s="72">
        <f>Q$3*'Yield 1Y'!R172</f>
        <v>0</v>
      </c>
      <c r="R173" s="72">
        <f>R$3*'Yield 1Y'!S172</f>
        <v>0</v>
      </c>
      <c r="S173" s="72">
        <f>S$3*'Yield 1Y'!T172</f>
        <v>0</v>
      </c>
      <c r="T173" s="72">
        <f>T$3*'Yield 1Y'!U172</f>
        <v>0</v>
      </c>
      <c r="U173" s="72">
        <f>U$3*'Yield 1Y'!V172</f>
        <v>0</v>
      </c>
      <c r="V173" s="72">
        <f>V$3*'Yield 1Y'!W172</f>
        <v>0</v>
      </c>
      <c r="W173" s="72">
        <f>W$3*'Yield 1Y'!X172</f>
        <v>0</v>
      </c>
      <c r="X173" s="72">
        <f>X$3*'Yield 1Y'!Y172</f>
        <v>0</v>
      </c>
      <c r="Y173" s="72">
        <f>Y$3*'Yield 1Y'!Z172</f>
        <v>0</v>
      </c>
      <c r="Z173" s="72">
        <f>Z$3*'Yield 1Y'!AA172</f>
        <v>0</v>
      </c>
      <c r="AA173" s="177">
        <f t="shared" si="18"/>
        <v>0</v>
      </c>
      <c r="AB173" s="124">
        <f>VLOOKUP(P173,'Yield 1Y'!$F:$G,2,0)</f>
        <v>46001</v>
      </c>
      <c r="AC173" s="318">
        <f t="shared" si="22"/>
        <v>179</v>
      </c>
      <c r="AE173" s="37">
        <v>183</v>
      </c>
      <c r="AF173" s="72">
        <f>AF$3*'Yield 1Y'!AB185</f>
        <v>0</v>
      </c>
      <c r="AG173" s="72">
        <f>AG$3*'Yield 1Y'!AC185</f>
        <v>0</v>
      </c>
      <c r="AH173" s="72">
        <f>AH$3*'Yield 1Y'!AD185</f>
        <v>-0.60856799977868803</v>
      </c>
      <c r="AI173" s="72">
        <f>AI$3*'Yield 1Y'!AE185</f>
        <v>-2.2213026285494055</v>
      </c>
      <c r="AJ173" s="72">
        <f>AJ$3*'Yield 1Y'!AF185</f>
        <v>-0.2712315897421283</v>
      </c>
      <c r="AK173" s="72">
        <f>AK$3*'Yield 1Y'!AG185</f>
        <v>-17.85459289836065</v>
      </c>
      <c r="AL173" s="72">
        <f>AL$3*'Yield 1Y'!AH185</f>
        <v>-25.256928042341674</v>
      </c>
      <c r="AM173" s="72">
        <f>AM$3*'Yield 1Y'!AI185</f>
        <v>-13.117951138143257</v>
      </c>
      <c r="AN173" s="72">
        <f>AN$3*'Yield 1Y'!AJ185</f>
        <v>0</v>
      </c>
      <c r="AO173" s="72">
        <f>AO$3*'Yield 1Y'!AK185</f>
        <v>0</v>
      </c>
      <c r="AP173" s="177">
        <f t="shared" si="19"/>
        <v>59.330574296915799</v>
      </c>
      <c r="AQ173" s="124">
        <f>VLOOKUP(AE173,'Yield 1Y'!$F:$G,2,0)</f>
        <v>45982</v>
      </c>
      <c r="AR173" s="318">
        <f t="shared" si="20"/>
        <v>63</v>
      </c>
      <c r="AT173" s="37">
        <v>167</v>
      </c>
      <c r="AU173" s="72">
        <f>AU$3*'Yield 1Y'!AB250</f>
        <v>0</v>
      </c>
      <c r="AV173" s="72">
        <f>AV$3*'Yield 1Y'!AC250</f>
        <v>0</v>
      </c>
      <c r="AW173" s="72">
        <f>AW$3*'Yield 1Y'!AD250</f>
        <v>0</v>
      </c>
      <c r="AX173" s="72">
        <f>AX$3*'Yield 1Y'!AE250</f>
        <v>0</v>
      </c>
      <c r="AY173" s="72">
        <f>AY$3*'Yield 1Y'!AF250</f>
        <v>0</v>
      </c>
      <c r="AZ173" s="72">
        <f>AZ$3*'Yield 1Y'!AG250</f>
        <v>-1.0959767971344982</v>
      </c>
      <c r="BA173" s="72">
        <f>BA$3*'Yield 1Y'!AH250</f>
        <v>-16.164041023161992</v>
      </c>
      <c r="BB173" s="72">
        <f>BB$3*'Yield 1Y'!AI250</f>
        <v>-4.1957525262450002</v>
      </c>
      <c r="BC173" s="72">
        <f>BC$3*'Yield 1Y'!AJ250</f>
        <v>0</v>
      </c>
      <c r="BD173" s="72">
        <f>BD$3*'Yield 1Y'!AK250</f>
        <v>0</v>
      </c>
      <c r="BE173" s="177">
        <f t="shared" si="21"/>
        <v>21.455770346541492</v>
      </c>
      <c r="BF173" s="124">
        <f>VLOOKUP(AT173,'Yield 1Y'!$F:$G,2,0)</f>
        <v>46006</v>
      </c>
      <c r="BG173" s="318">
        <f t="shared" si="23"/>
        <v>21</v>
      </c>
    </row>
    <row r="174" spans="1:59" x14ac:dyDescent="0.3">
      <c r="A174" s="37">
        <v>184</v>
      </c>
      <c r="B174" s="72">
        <f>'Yield 1Y'!R186*B$3</f>
        <v>0</v>
      </c>
      <c r="C174" s="72">
        <f>'Yield 1Y'!S186*C$3</f>
        <v>0</v>
      </c>
      <c r="D174" s="72">
        <f>'Yield 1Y'!T186*D$3</f>
        <v>-0.31350472715872119</v>
      </c>
      <c r="E174" s="72">
        <f>'Yield 1Y'!U186*E$3</f>
        <v>-0.51926554953103699</v>
      </c>
      <c r="F174" s="72">
        <f>'Yield 1Y'!V186*F$3</f>
        <v>-1.4029220159076067E-2</v>
      </c>
      <c r="G174" s="72">
        <f>'Yield 1Y'!W186*G$3</f>
        <v>0.81157240447096601</v>
      </c>
      <c r="H174" s="72">
        <f>'Yield 1Y'!X186*H$3</f>
        <v>-7.4528640124943699</v>
      </c>
      <c r="I174" s="72">
        <f>'Yield 1Y'!Y186*I$3</f>
        <v>0.33635772149081827</v>
      </c>
      <c r="J174" s="72">
        <f>'Yield 1Y'!Z186*J$3</f>
        <v>0</v>
      </c>
      <c r="K174" s="72">
        <f>'Yield 1Y'!AA186*K$3</f>
        <v>0</v>
      </c>
      <c r="L174" s="177">
        <f t="shared" si="16"/>
        <v>7.1517333833814192</v>
      </c>
      <c r="M174" s="124">
        <f>VLOOKUP(A174,'Yield 1Y'!$F:$G,2,0)</f>
        <v>45981</v>
      </c>
      <c r="N174" s="318">
        <f t="shared" si="17"/>
        <v>48</v>
      </c>
      <c r="P174" s="37">
        <v>171</v>
      </c>
      <c r="Q174" s="72">
        <f>Q$3*'Yield 1Y'!R173</f>
        <v>0</v>
      </c>
      <c r="R174" s="72">
        <f>R$3*'Yield 1Y'!S173</f>
        <v>0</v>
      </c>
      <c r="S174" s="72">
        <f>S$3*'Yield 1Y'!T173</f>
        <v>0</v>
      </c>
      <c r="T174" s="72">
        <f>T$3*'Yield 1Y'!U173</f>
        <v>0</v>
      </c>
      <c r="U174" s="72">
        <f>U$3*'Yield 1Y'!V173</f>
        <v>0</v>
      </c>
      <c r="V174" s="72">
        <f>V$3*'Yield 1Y'!W173</f>
        <v>0</v>
      </c>
      <c r="W174" s="72">
        <f>W$3*'Yield 1Y'!X173</f>
        <v>0</v>
      </c>
      <c r="X174" s="72">
        <f>X$3*'Yield 1Y'!Y173</f>
        <v>-0.19979773934499578</v>
      </c>
      <c r="Y174" s="72">
        <f>Y$3*'Yield 1Y'!Z173</f>
        <v>0</v>
      </c>
      <c r="Z174" s="72">
        <f>Z$3*'Yield 1Y'!AA173</f>
        <v>0</v>
      </c>
      <c r="AA174" s="177">
        <f t="shared" si="18"/>
        <v>0.19979773934499578</v>
      </c>
      <c r="AB174" s="124">
        <f>VLOOKUP(P174,'Yield 1Y'!$F:$G,2,0)</f>
        <v>46000</v>
      </c>
      <c r="AC174" s="318">
        <f t="shared" si="22"/>
        <v>145</v>
      </c>
      <c r="AE174" s="37">
        <v>45</v>
      </c>
      <c r="AF174" s="72">
        <f>AF$3*'Yield 1Y'!AB47</f>
        <v>0</v>
      </c>
      <c r="AG174" s="72">
        <f>AG$3*'Yield 1Y'!AC47</f>
        <v>0</v>
      </c>
      <c r="AH174" s="72">
        <f>AH$3*'Yield 1Y'!AD47</f>
        <v>-0.33194618169746731</v>
      </c>
      <c r="AI174" s="72">
        <f>AI$3*'Yield 1Y'!AE47</f>
        <v>-0.72120215212644101</v>
      </c>
      <c r="AJ174" s="72">
        <f>AJ$3*'Yield 1Y'!AF47</f>
        <v>-0.16367423518921526</v>
      </c>
      <c r="AK174" s="72">
        <f>AK$3*'Yield 1Y'!AG47</f>
        <v>-10.009392988474847</v>
      </c>
      <c r="AL174" s="72">
        <f>AL$3*'Yield 1Y'!AH47</f>
        <v>-14.905728024988557</v>
      </c>
      <c r="AM174" s="72">
        <f>AM$3*'Yield 1Y'!AI47</f>
        <v>-10.763447087707378</v>
      </c>
      <c r="AN174" s="72">
        <f>AN$3*'Yield 1Y'!AJ47</f>
        <v>0</v>
      </c>
      <c r="AO174" s="72">
        <f>AO$3*'Yield 1Y'!AK47</f>
        <v>0</v>
      </c>
      <c r="AP174" s="177">
        <f t="shared" si="19"/>
        <v>36.895390670183907</v>
      </c>
      <c r="AQ174" s="124">
        <f>VLOOKUP(AE174,'Yield 1Y'!$F:$G,2,0)</f>
        <v>46190</v>
      </c>
      <c r="AR174" s="318">
        <f t="shared" si="20"/>
        <v>137</v>
      </c>
      <c r="AT174" s="37">
        <v>168</v>
      </c>
      <c r="AU174" s="72">
        <f>AU$3*'Yield 1Y'!AB215</f>
        <v>0</v>
      </c>
      <c r="AV174" s="72">
        <f>AV$3*'Yield 1Y'!AC215</f>
        <v>0</v>
      </c>
      <c r="AW174" s="72">
        <f>AW$3*'Yield 1Y'!AD215</f>
        <v>0</v>
      </c>
      <c r="AX174" s="72">
        <f>AX$3*'Yield 1Y'!AE215</f>
        <v>0</v>
      </c>
      <c r="AY174" s="72">
        <f>AY$3*'Yield 1Y'!AF215</f>
        <v>0</v>
      </c>
      <c r="AZ174" s="72">
        <f>AZ$3*'Yield 1Y'!AG215</f>
        <v>-0.52250056607574902</v>
      </c>
      <c r="BA174" s="72">
        <f>BA$3*'Yield 1Y'!AH215</f>
        <v>-4.6670822672509917</v>
      </c>
      <c r="BB174" s="72">
        <f>BB$3*'Yield 1Y'!AI215</f>
        <v>-2.1977751327950066</v>
      </c>
      <c r="BC174" s="72">
        <f>BC$3*'Yield 1Y'!AJ215</f>
        <v>0</v>
      </c>
      <c r="BD174" s="72">
        <f>BD$3*'Yield 1Y'!AK215</f>
        <v>0</v>
      </c>
      <c r="BE174" s="177">
        <f t="shared" si="21"/>
        <v>7.3873579661217477</v>
      </c>
      <c r="BF174" s="124">
        <f>VLOOKUP(AT174,'Yield 1Y'!$F:$G,2,0)</f>
        <v>46003</v>
      </c>
      <c r="BG174" s="318">
        <f t="shared" si="23"/>
        <v>105</v>
      </c>
    </row>
    <row r="175" spans="1:59" x14ac:dyDescent="0.3">
      <c r="A175" s="114">
        <v>38</v>
      </c>
      <c r="B175" s="72">
        <f>'Yield 1Y'!R40*B$3</f>
        <v>0</v>
      </c>
      <c r="C175" s="72">
        <f>'Yield 1Y'!S40*C$3</f>
        <v>0</v>
      </c>
      <c r="D175" s="72">
        <f>'Yield 1Y'!T40*D$3</f>
        <v>-0.11986945450186626</v>
      </c>
      <c r="E175" s="72">
        <f>'Yield 1Y'!U40*E$3</f>
        <v>-0.25963277476551211</v>
      </c>
      <c r="F175" s="72">
        <f>'Yield 1Y'!V40*F$3</f>
        <v>-3.2734847037845544E-2</v>
      </c>
      <c r="G175" s="72">
        <f>'Yield 1Y'!W40*G$3</f>
        <v>-0.27052413482349513</v>
      </c>
      <c r="H175" s="72">
        <f>'Yield 1Y'!X40*H$3</f>
        <v>0.41404800069426445</v>
      </c>
      <c r="I175" s="72">
        <f>'Yield 1Y'!Y40*I$3</f>
        <v>0.67271544298193531</v>
      </c>
      <c r="J175" s="72">
        <f>'Yield 1Y'!Z40*J$3</f>
        <v>0</v>
      </c>
      <c r="K175" s="72">
        <f>'Yield 1Y'!AA40*K$3</f>
        <v>0</v>
      </c>
      <c r="L175" s="394">
        <f t="shared" si="16"/>
        <v>-0.40400223254748074</v>
      </c>
      <c r="M175" s="124">
        <f>VLOOKUP(A175,'Yield 1Y'!$F:$G,2,0)</f>
        <v>46199</v>
      </c>
      <c r="N175" s="318">
        <f t="shared" si="17"/>
        <v>209</v>
      </c>
      <c r="P175" s="37">
        <v>172</v>
      </c>
      <c r="Q175" s="72">
        <f>Q$3*'Yield 1Y'!R174</f>
        <v>0</v>
      </c>
      <c r="R175" s="72">
        <f>R$3*'Yield 1Y'!S174</f>
        <v>0</v>
      </c>
      <c r="S175" s="72">
        <f>S$3*'Yield 1Y'!T174</f>
        <v>0</v>
      </c>
      <c r="T175" s="72">
        <f>T$3*'Yield 1Y'!U174</f>
        <v>0</v>
      </c>
      <c r="U175" s="72">
        <f>U$3*'Yield 1Y'!V174</f>
        <v>0</v>
      </c>
      <c r="V175" s="72">
        <f>V$3*'Yield 1Y'!W174</f>
        <v>-2.5487832491502854E-2</v>
      </c>
      <c r="W175" s="72">
        <f>W$3*'Yield 1Y'!X174</f>
        <v>-0.22766254962197496</v>
      </c>
      <c r="X175" s="72">
        <f>X$3*'Yield 1Y'!Y174</f>
        <v>-0.19979773934503126</v>
      </c>
      <c r="Y175" s="72">
        <f>Y$3*'Yield 1Y'!Z174</f>
        <v>0</v>
      </c>
      <c r="Z175" s="72">
        <f>Z$3*'Yield 1Y'!AA174</f>
        <v>0</v>
      </c>
      <c r="AA175" s="177">
        <f t="shared" si="18"/>
        <v>0.4529481214585091</v>
      </c>
      <c r="AB175" s="124">
        <f>VLOOKUP(P175,'Yield 1Y'!$F:$G,2,0)</f>
        <v>45999</v>
      </c>
      <c r="AC175" s="318">
        <f t="shared" si="22"/>
        <v>100</v>
      </c>
      <c r="AE175" s="37">
        <v>159</v>
      </c>
      <c r="AF175" s="72">
        <f>AF$3*'Yield 1Y'!AB161</f>
        <v>0</v>
      </c>
      <c r="AG175" s="72">
        <f>AG$3*'Yield 1Y'!AC161</f>
        <v>0</v>
      </c>
      <c r="AH175" s="72">
        <f>AH$3*'Yield 1Y'!AD161</f>
        <v>-8.2986545424365801E-2</v>
      </c>
      <c r="AI175" s="72">
        <f>AI$3*'Yield 1Y'!AE161</f>
        <v>-0.80774641038159034</v>
      </c>
      <c r="AJ175" s="72">
        <f>AJ$3*'Yield 1Y'!AF161</f>
        <v>-6.0793287355993521E-2</v>
      </c>
      <c r="AK175" s="72">
        <f>AK$3*'Yield 1Y'!AG161</f>
        <v>-8.6567723143566511</v>
      </c>
      <c r="AL175" s="72">
        <f>AL$3*'Yield 1Y'!AH161</f>
        <v>-1.6561920027765062</v>
      </c>
      <c r="AM175" s="72">
        <f>AM$3*'Yield 1Y'!AI161</f>
        <v>-4.3726503793810858</v>
      </c>
      <c r="AN175" s="72">
        <f>AN$3*'Yield 1Y'!AJ161</f>
        <v>0</v>
      </c>
      <c r="AO175" s="72">
        <f>AO$3*'Yield 1Y'!AK161</f>
        <v>0</v>
      </c>
      <c r="AP175" s="177">
        <f t="shared" si="19"/>
        <v>15.637140939676193</v>
      </c>
      <c r="AQ175" s="124">
        <f>VLOOKUP(AE175,'Yield 1Y'!$F:$G,2,0)</f>
        <v>46016</v>
      </c>
      <c r="AR175" s="318">
        <f t="shared" si="20"/>
        <v>215</v>
      </c>
      <c r="AT175" s="37">
        <v>169</v>
      </c>
      <c r="AU175" s="72">
        <f>AU$3*'Yield 1Y'!AB127</f>
        <v>0</v>
      </c>
      <c r="AV175" s="72">
        <f>AV$3*'Yield 1Y'!AC127</f>
        <v>0</v>
      </c>
      <c r="AW175" s="72">
        <f>AW$3*'Yield 1Y'!AD127</f>
        <v>0</v>
      </c>
      <c r="AX175" s="72">
        <f>AX$3*'Yield 1Y'!AE127</f>
        <v>0</v>
      </c>
      <c r="AY175" s="72">
        <f>AY$3*'Yield 1Y'!AF127</f>
        <v>0</v>
      </c>
      <c r="AZ175" s="72">
        <f>AZ$3*'Yield 1Y'!AG127</f>
        <v>0</v>
      </c>
      <c r="BA175" s="72">
        <f>BA$3*'Yield 1Y'!AH127</f>
        <v>-4.2117571680069918</v>
      </c>
      <c r="BB175" s="72">
        <f>BB$3*'Yield 1Y'!AI127</f>
        <v>-3.5963593082100127</v>
      </c>
      <c r="BC175" s="72">
        <f>BC$3*'Yield 1Y'!AJ127</f>
        <v>0</v>
      </c>
      <c r="BD175" s="72">
        <f>BD$3*'Yield 1Y'!AK127</f>
        <v>0</v>
      </c>
      <c r="BE175" s="177">
        <f t="shared" si="21"/>
        <v>7.8081164762170046</v>
      </c>
      <c r="BF175" s="124">
        <f>VLOOKUP(AT175,'Yield 1Y'!$F:$G,2,0)</f>
        <v>46002</v>
      </c>
      <c r="BG175" s="318">
        <f t="shared" si="23"/>
        <v>93</v>
      </c>
    </row>
    <row r="176" spans="1:59" x14ac:dyDescent="0.3">
      <c r="A176" s="37">
        <v>180</v>
      </c>
      <c r="B176" s="72">
        <f>'Yield 1Y'!R182*B$3</f>
        <v>0</v>
      </c>
      <c r="C176" s="72">
        <f>'Yield 1Y'!S182*C$3</f>
        <v>0</v>
      </c>
      <c r="D176" s="72">
        <f>'Yield 1Y'!T182*D$3</f>
        <v>0</v>
      </c>
      <c r="E176" s="72">
        <f>'Yield 1Y'!U182*E$3</f>
        <v>0</v>
      </c>
      <c r="F176" s="72">
        <f>'Yield 1Y'!V182*F$3</f>
        <v>0</v>
      </c>
      <c r="G176" s="72">
        <f>'Yield 1Y'!W182*G$3</f>
        <v>0</v>
      </c>
      <c r="H176" s="72">
        <f>'Yield 1Y'!X182*H$3</f>
        <v>4.5545280076352546</v>
      </c>
      <c r="I176" s="72">
        <f>'Yield 1Y'!Y182*I$3</f>
        <v>0</v>
      </c>
      <c r="J176" s="72">
        <f>'Yield 1Y'!Z182*J$3</f>
        <v>0</v>
      </c>
      <c r="K176" s="72">
        <f>'Yield 1Y'!AA182*K$3</f>
        <v>0</v>
      </c>
      <c r="L176" s="177">
        <f t="shared" si="16"/>
        <v>-4.5545280076352546</v>
      </c>
      <c r="M176" s="124">
        <f>VLOOKUP(A176,'Yield 1Y'!$F:$G,2,0)</f>
        <v>45987</v>
      </c>
      <c r="N176" s="318">
        <f t="shared" si="17"/>
        <v>245</v>
      </c>
      <c r="P176" s="37">
        <v>173</v>
      </c>
      <c r="Q176" s="72">
        <f>Q$3*'Yield 1Y'!R175</f>
        <v>0</v>
      </c>
      <c r="R176" s="72">
        <f>R$3*'Yield 1Y'!S175</f>
        <v>0</v>
      </c>
      <c r="S176" s="72">
        <f>S$3*'Yield 1Y'!T175</f>
        <v>0</v>
      </c>
      <c r="T176" s="72">
        <f>T$3*'Yield 1Y'!U175</f>
        <v>0</v>
      </c>
      <c r="U176" s="72">
        <f>U$3*'Yield 1Y'!V175</f>
        <v>0</v>
      </c>
      <c r="V176" s="72">
        <f>V$3*'Yield 1Y'!W175</f>
        <v>-0.24213440866925165</v>
      </c>
      <c r="W176" s="72">
        <f>W$3*'Yield 1Y'!X175</f>
        <v>-1.9351316717870399</v>
      </c>
      <c r="X176" s="72">
        <f>X$3*'Yield 1Y'!Y175</f>
        <v>-0.67931231377297852</v>
      </c>
      <c r="Y176" s="72">
        <f>Y$3*'Yield 1Y'!Z175</f>
        <v>0</v>
      </c>
      <c r="Z176" s="72">
        <f>Z$3*'Yield 1Y'!AA175</f>
        <v>0</v>
      </c>
      <c r="AA176" s="177">
        <f t="shared" si="18"/>
        <v>2.8565783942292704</v>
      </c>
      <c r="AB176" s="124">
        <f>VLOOKUP(P176,'Yield 1Y'!$F:$G,2,0)</f>
        <v>45996</v>
      </c>
      <c r="AC176" s="318">
        <f t="shared" si="22"/>
        <v>20</v>
      </c>
      <c r="AE176" s="37">
        <v>160</v>
      </c>
      <c r="AF176" s="72">
        <f>AF$3*'Yield 1Y'!AB162</f>
        <v>0</v>
      </c>
      <c r="AG176" s="72">
        <f>AG$3*'Yield 1Y'!AC162</f>
        <v>0</v>
      </c>
      <c r="AH176" s="72">
        <f>AH$3*'Yield 1Y'!AD162</f>
        <v>-8.2986545424365801E-2</v>
      </c>
      <c r="AI176" s="72">
        <f>AI$3*'Yield 1Y'!AE162</f>
        <v>-0.89429066863679085</v>
      </c>
      <c r="AJ176" s="72">
        <f>AJ$3*'Yield 1Y'!AF162</f>
        <v>-6.0793287355993521E-2</v>
      </c>
      <c r="AK176" s="72">
        <f>AK$3*'Yield 1Y'!AG162</f>
        <v>-8.9272964491801456</v>
      </c>
      <c r="AL176" s="72">
        <f>AL$3*'Yield 1Y'!AH162</f>
        <v>-1.6561920027765062</v>
      </c>
      <c r="AM176" s="72">
        <f>AM$3*'Yield 1Y'!AI162</f>
        <v>-6.0544389868353257</v>
      </c>
      <c r="AN176" s="72">
        <f>AN$3*'Yield 1Y'!AJ162</f>
        <v>0</v>
      </c>
      <c r="AO176" s="72">
        <f>AO$3*'Yield 1Y'!AK162</f>
        <v>0</v>
      </c>
      <c r="AP176" s="177">
        <f t="shared" si="19"/>
        <v>17.675997940209129</v>
      </c>
      <c r="AQ176" s="124">
        <f>VLOOKUP(AE176,'Yield 1Y'!$F:$G,2,0)</f>
        <v>46015</v>
      </c>
      <c r="AR176" s="318">
        <f t="shared" si="20"/>
        <v>213</v>
      </c>
      <c r="AT176" s="37">
        <v>170</v>
      </c>
      <c r="AU176" s="72">
        <f>AU$3*'Yield 1Y'!AB192</f>
        <v>0</v>
      </c>
      <c r="AV176" s="72">
        <f>AV$3*'Yield 1Y'!AC192</f>
        <v>0</v>
      </c>
      <c r="AW176" s="72">
        <f>AW$3*'Yield 1Y'!AD192</f>
        <v>0</v>
      </c>
      <c r="AX176" s="72">
        <f>AX$3*'Yield 1Y'!AE192</f>
        <v>0</v>
      </c>
      <c r="AY176" s="72">
        <f>AY$3*'Yield 1Y'!AF192</f>
        <v>0</v>
      </c>
      <c r="AZ176" s="72">
        <f>AZ$3*'Yield 1Y'!AG192</f>
        <v>-1.1596963783632468</v>
      </c>
      <c r="BA176" s="72">
        <f>BA$3*'Yield 1Y'!AH192</f>
        <v>-2.6181193206530153</v>
      </c>
      <c r="BB176" s="72">
        <f>BB$3*'Yield 1Y'!AI192</f>
        <v>-0.71927186164199186</v>
      </c>
      <c r="BC176" s="72">
        <f>BC$3*'Yield 1Y'!AJ192</f>
        <v>0</v>
      </c>
      <c r="BD176" s="72">
        <f>BD$3*'Yield 1Y'!AK192</f>
        <v>0</v>
      </c>
      <c r="BE176" s="177">
        <f t="shared" si="21"/>
        <v>4.4970875606582537</v>
      </c>
      <c r="BF176" s="124">
        <f>VLOOKUP(AT176,'Yield 1Y'!$F:$G,2,0)</f>
        <v>46001</v>
      </c>
      <c r="BG176" s="318">
        <f t="shared" si="23"/>
        <v>173</v>
      </c>
    </row>
    <row r="177" spans="1:59" x14ac:dyDescent="0.3">
      <c r="A177" s="37">
        <v>179</v>
      </c>
      <c r="B177" s="72">
        <f>'Yield 1Y'!R181*B$3</f>
        <v>0</v>
      </c>
      <c r="C177" s="72">
        <f>'Yield 1Y'!S181*C$3</f>
        <v>0</v>
      </c>
      <c r="D177" s="72">
        <f>'Yield 1Y'!T181*D$3</f>
        <v>0</v>
      </c>
      <c r="E177" s="72">
        <f>'Yield 1Y'!U181*E$3</f>
        <v>0</v>
      </c>
      <c r="F177" s="72">
        <f>'Yield 1Y'!V181*F$3</f>
        <v>0</v>
      </c>
      <c r="G177" s="72">
        <f>'Yield 1Y'!W181*G$3</f>
        <v>0</v>
      </c>
      <c r="H177" s="72">
        <f>'Yield 1Y'!X181*H$3</f>
        <v>-12.835488021517785</v>
      </c>
      <c r="I177" s="72">
        <f>'Yield 1Y'!Y181*I$3</f>
        <v>-1.68178860745439</v>
      </c>
      <c r="J177" s="72">
        <f>'Yield 1Y'!Z181*J$3</f>
        <v>0</v>
      </c>
      <c r="K177" s="72">
        <f>'Yield 1Y'!AA181*K$3</f>
        <v>0</v>
      </c>
      <c r="L177" s="177">
        <f t="shared" si="16"/>
        <v>14.517276628972175</v>
      </c>
      <c r="M177" s="124">
        <f>VLOOKUP(A177,'Yield 1Y'!$F:$G,2,0)</f>
        <v>45988</v>
      </c>
      <c r="N177" s="318">
        <f t="shared" si="17"/>
        <v>28</v>
      </c>
      <c r="P177" s="37">
        <v>174</v>
      </c>
      <c r="Q177" s="72">
        <f>Q$3*'Yield 1Y'!R176</f>
        <v>0</v>
      </c>
      <c r="R177" s="72">
        <f>R$3*'Yield 1Y'!S176</f>
        <v>0</v>
      </c>
      <c r="S177" s="72">
        <f>S$3*'Yield 1Y'!T176</f>
        <v>0</v>
      </c>
      <c r="T177" s="72">
        <f>T$3*'Yield 1Y'!U176</f>
        <v>0</v>
      </c>
      <c r="U177" s="72">
        <f>U$3*'Yield 1Y'!V176</f>
        <v>0</v>
      </c>
      <c r="V177" s="72">
        <f>V$3*'Yield 1Y'!W176</f>
        <v>0</v>
      </c>
      <c r="W177" s="72">
        <f>W$3*'Yield 1Y'!X176</f>
        <v>0.91065019848800088</v>
      </c>
      <c r="X177" s="72">
        <f>X$3*'Yield 1Y'!Y176</f>
        <v>-0.19979773934499578</v>
      </c>
      <c r="Y177" s="72">
        <f>Y$3*'Yield 1Y'!Z176</f>
        <v>0</v>
      </c>
      <c r="Z177" s="72">
        <f>Z$3*'Yield 1Y'!AA176</f>
        <v>0</v>
      </c>
      <c r="AA177" s="177">
        <f t="shared" si="18"/>
        <v>-0.7108524591430051</v>
      </c>
      <c r="AB177" s="124">
        <f>VLOOKUP(P177,'Yield 1Y'!$F:$G,2,0)</f>
        <v>45995</v>
      </c>
      <c r="AC177" s="318">
        <f t="shared" si="22"/>
        <v>241</v>
      </c>
      <c r="AE177" s="37">
        <v>132</v>
      </c>
      <c r="AF177" s="72">
        <f>AF$3*'Yield 1Y'!AB134</f>
        <v>0</v>
      </c>
      <c r="AG177" s="72">
        <f>AG$3*'Yield 1Y'!AC134</f>
        <v>0</v>
      </c>
      <c r="AH177" s="72">
        <f>AH$3*'Yield 1Y'!AD134</f>
        <v>-0.28584254535059378</v>
      </c>
      <c r="AI177" s="72">
        <f>AI$3*'Yield 1Y'!AE134</f>
        <v>-8.6544258255174963E-2</v>
      </c>
      <c r="AJ177" s="72">
        <f>AJ$3*'Yield 1Y'!AF134</f>
        <v>-0.15432142174983052</v>
      </c>
      <c r="AK177" s="72">
        <f>AK$3*'Yield 1Y'!AG134</f>
        <v>-0.81157240447096601</v>
      </c>
      <c r="AL177" s="72">
        <f>AL$3*'Yield 1Y'!AH134</f>
        <v>-11.593344019435543</v>
      </c>
      <c r="AM177" s="72">
        <f>AM$3*'Yield 1Y'!AI134</f>
        <v>-15.136097467088614</v>
      </c>
      <c r="AN177" s="72">
        <f>AN$3*'Yield 1Y'!AJ134</f>
        <v>0</v>
      </c>
      <c r="AO177" s="72">
        <f>AO$3*'Yield 1Y'!AK134</f>
        <v>0</v>
      </c>
      <c r="AP177" s="177">
        <f t="shared" si="19"/>
        <v>28.067722116350723</v>
      </c>
      <c r="AQ177" s="124">
        <f>VLOOKUP(AE177,'Yield 1Y'!$F:$G,2,0)</f>
        <v>46057</v>
      </c>
      <c r="AR177" s="318">
        <f t="shared" si="20"/>
        <v>171</v>
      </c>
      <c r="AT177" s="37">
        <v>171</v>
      </c>
      <c r="AU177" s="72">
        <f>AU$3*'Yield 1Y'!AB176</f>
        <v>0</v>
      </c>
      <c r="AV177" s="72">
        <f>AV$3*'Yield 1Y'!AC176</f>
        <v>0</v>
      </c>
      <c r="AW177" s="72">
        <f>AW$3*'Yield 1Y'!AD176</f>
        <v>0</v>
      </c>
      <c r="AX177" s="72">
        <f>AX$3*'Yield 1Y'!AE176</f>
        <v>0</v>
      </c>
      <c r="AY177" s="72">
        <f>AY$3*'Yield 1Y'!AF176</f>
        <v>0</v>
      </c>
      <c r="AZ177" s="72">
        <f>AZ$3*'Yield 1Y'!AG176</f>
        <v>-0.62445189604175477</v>
      </c>
      <c r="BA177" s="72">
        <f>BA$3*'Yield 1Y'!AH176</f>
        <v>-3.3011069695189907</v>
      </c>
      <c r="BB177" s="72">
        <f>BB$3*'Yield 1Y'!AI176</f>
        <v>-0.87911005311799206</v>
      </c>
      <c r="BC177" s="72">
        <f>BC$3*'Yield 1Y'!AJ176</f>
        <v>0</v>
      </c>
      <c r="BD177" s="72">
        <f>BD$3*'Yield 1Y'!AK176</f>
        <v>0</v>
      </c>
      <c r="BE177" s="177">
        <f t="shared" si="21"/>
        <v>4.8046689186787379</v>
      </c>
      <c r="BF177" s="124">
        <f>VLOOKUP(AT177,'Yield 1Y'!$F:$G,2,0)</f>
        <v>46000</v>
      </c>
      <c r="BG177" s="318">
        <f t="shared" si="23"/>
        <v>162</v>
      </c>
    </row>
    <row r="178" spans="1:59" x14ac:dyDescent="0.3">
      <c r="A178" s="37">
        <v>197</v>
      </c>
      <c r="B178" s="72">
        <f>'Yield 1Y'!R199*B$3</f>
        <v>0</v>
      </c>
      <c r="C178" s="72">
        <f>'Yield 1Y'!S199*C$3</f>
        <v>0</v>
      </c>
      <c r="D178" s="72">
        <f>'Yield 1Y'!T199*D$3</f>
        <v>0</v>
      </c>
      <c r="E178" s="72">
        <f>'Yield 1Y'!U199*E$3</f>
        <v>0</v>
      </c>
      <c r="F178" s="72">
        <f>'Yield 1Y'!V199*F$3</f>
        <v>0</v>
      </c>
      <c r="G178" s="72">
        <f>'Yield 1Y'!W199*G$3</f>
        <v>0</v>
      </c>
      <c r="H178" s="72">
        <f>'Yield 1Y'!X199*H$3</f>
        <v>-0.82809600138834505</v>
      </c>
      <c r="I178" s="72">
        <f>'Yield 1Y'!Y199*I$3</f>
        <v>0</v>
      </c>
      <c r="J178" s="72">
        <f>'Yield 1Y'!Z199*J$3</f>
        <v>0</v>
      </c>
      <c r="K178" s="72">
        <f>'Yield 1Y'!AA199*K$3</f>
        <v>0</v>
      </c>
      <c r="L178" s="177">
        <f t="shared" si="16"/>
        <v>0.82809600138834505</v>
      </c>
      <c r="M178" s="124">
        <f>VLOOKUP(A178,'Yield 1Y'!$F:$G,2,0)</f>
        <v>45964</v>
      </c>
      <c r="N178" s="318">
        <f t="shared" si="17"/>
        <v>158</v>
      </c>
      <c r="P178" s="37">
        <v>175</v>
      </c>
      <c r="Q178" s="72">
        <f>Q$3*'Yield 1Y'!R177</f>
        <v>0</v>
      </c>
      <c r="R178" s="72">
        <f>R$3*'Yield 1Y'!S177</f>
        <v>0</v>
      </c>
      <c r="S178" s="72">
        <f>S$3*'Yield 1Y'!T177</f>
        <v>0</v>
      </c>
      <c r="T178" s="72">
        <f>T$3*'Yield 1Y'!U177</f>
        <v>0</v>
      </c>
      <c r="U178" s="72">
        <f>U$3*'Yield 1Y'!V177</f>
        <v>0</v>
      </c>
      <c r="V178" s="72">
        <f>V$3*'Yield 1Y'!W177</f>
        <v>-3.8231748737245788E-2</v>
      </c>
      <c r="W178" s="72">
        <f>W$3*'Yield 1Y'!X177</f>
        <v>-2.1627942214089644</v>
      </c>
      <c r="X178" s="72">
        <f>X$3*'Yield 1Y'!Y177</f>
        <v>-0.59939321803500512</v>
      </c>
      <c r="Y178" s="72">
        <f>Y$3*'Yield 1Y'!Z177</f>
        <v>0</v>
      </c>
      <c r="Z178" s="72">
        <f>Z$3*'Yield 1Y'!AA177</f>
        <v>0</v>
      </c>
      <c r="AA178" s="177">
        <f t="shared" si="18"/>
        <v>2.8004191881812153</v>
      </c>
      <c r="AB178" s="124">
        <f>VLOOKUP(P178,'Yield 1Y'!$F:$G,2,0)</f>
        <v>45994</v>
      </c>
      <c r="AC178" s="318">
        <f t="shared" si="22"/>
        <v>21</v>
      </c>
      <c r="AE178" s="37">
        <v>201</v>
      </c>
      <c r="AF178" s="72">
        <f>AF$3*'Yield 1Y'!AB203</f>
        <v>0</v>
      </c>
      <c r="AG178" s="72">
        <f>AG$3*'Yield 1Y'!AC203</f>
        <v>0</v>
      </c>
      <c r="AH178" s="72">
        <f>AH$3*'Yield 1Y'!AD203</f>
        <v>-0.59934727250931497</v>
      </c>
      <c r="AI178" s="72">
        <f>AI$3*'Yield 1Y'!AE203</f>
        <v>-1.5577966485930981</v>
      </c>
      <c r="AJ178" s="72">
        <f>AJ$3*'Yield 1Y'!AF203</f>
        <v>-0.30396643677996971</v>
      </c>
      <c r="AK178" s="72">
        <f>AK$3*'Yield 1Y'!AG203</f>
        <v>-15.960923954594984</v>
      </c>
      <c r="AL178" s="72">
        <f>AL$3*'Yield 1Y'!AH203</f>
        <v>-30.225504050671194</v>
      </c>
      <c r="AM178" s="72">
        <f>AM$3*'Yield 1Y'!AI203</f>
        <v>-18.163316960506126</v>
      </c>
      <c r="AN178" s="72">
        <f>AN$3*'Yield 1Y'!AJ203</f>
        <v>0</v>
      </c>
      <c r="AO178" s="72">
        <f>AO$3*'Yield 1Y'!AK203</f>
        <v>0</v>
      </c>
      <c r="AP178" s="177">
        <f t="shared" si="19"/>
        <v>66.810855323654678</v>
      </c>
      <c r="AQ178" s="124">
        <f>VLOOKUP(AE178,'Yield 1Y'!$F:$G,2,0)</f>
        <v>45958</v>
      </c>
      <c r="AR178" s="318">
        <f t="shared" si="20"/>
        <v>55</v>
      </c>
      <c r="AT178" s="37">
        <v>172</v>
      </c>
      <c r="AU178" s="72">
        <f>AU$3*'Yield 1Y'!AB244</f>
        <v>0</v>
      </c>
      <c r="AV178" s="72">
        <f>AV$3*'Yield 1Y'!AC244</f>
        <v>0</v>
      </c>
      <c r="AW178" s="72">
        <f>AW$3*'Yield 1Y'!AD244</f>
        <v>0</v>
      </c>
      <c r="AX178" s="72">
        <f>AX$3*'Yield 1Y'!AE244</f>
        <v>0</v>
      </c>
      <c r="AY178" s="72">
        <f>AY$3*'Yield 1Y'!AF244</f>
        <v>0</v>
      </c>
      <c r="AZ178" s="72">
        <f>AZ$3*'Yield 1Y'!AG244</f>
        <v>-1.4273186195239957</v>
      </c>
      <c r="BA178" s="72">
        <f>BA$3*'Yield 1Y'!AH244</f>
        <v>-17.530016320893992</v>
      </c>
      <c r="BB178" s="72">
        <f>BB$3*'Yield 1Y'!AI244</f>
        <v>-6.8330826855989928</v>
      </c>
      <c r="BC178" s="72">
        <f>BC$3*'Yield 1Y'!AJ244</f>
        <v>0</v>
      </c>
      <c r="BD178" s="72">
        <f>BD$3*'Yield 1Y'!AK244</f>
        <v>0</v>
      </c>
      <c r="BE178" s="177">
        <f t="shared" si="21"/>
        <v>25.790417626016978</v>
      </c>
      <c r="BF178" s="124">
        <f>VLOOKUP(AT178,'Yield 1Y'!$F:$G,2,0)</f>
        <v>45999</v>
      </c>
      <c r="BG178" s="318">
        <f t="shared" si="23"/>
        <v>5</v>
      </c>
    </row>
    <row r="179" spans="1:59" x14ac:dyDescent="0.3">
      <c r="A179" s="37">
        <v>207</v>
      </c>
      <c r="B179" s="72">
        <f>'Yield 1Y'!R209*B$3</f>
        <v>0</v>
      </c>
      <c r="C179" s="72">
        <f>'Yield 1Y'!S209*C$3</f>
        <v>0</v>
      </c>
      <c r="D179" s="72">
        <f>'Yield 1Y'!T209*D$3</f>
        <v>-0.14753163630998548</v>
      </c>
      <c r="E179" s="72">
        <f>'Yield 1Y'!U209*E$3</f>
        <v>-0.23078468868045804</v>
      </c>
      <c r="F179" s="72">
        <f>'Yield 1Y'!V209*F$3</f>
        <v>0</v>
      </c>
      <c r="G179" s="72">
        <f>'Yield 1Y'!W209*G$3</f>
        <v>-0.81157240447096601</v>
      </c>
      <c r="H179" s="72">
        <f>'Yield 1Y'!X209*H$3</f>
        <v>1.6561920027765062</v>
      </c>
      <c r="I179" s="72">
        <f>'Yield 1Y'!Y209*I$3</f>
        <v>-1.68178860745439</v>
      </c>
      <c r="J179" s="72">
        <f>'Yield 1Y'!Z209*J$3</f>
        <v>0</v>
      </c>
      <c r="K179" s="72">
        <f>'Yield 1Y'!AA209*K$3</f>
        <v>0</v>
      </c>
      <c r="L179" s="177">
        <f t="shared" si="16"/>
        <v>1.2154853341392933</v>
      </c>
      <c r="M179" s="124">
        <f>VLOOKUP(A179,'Yield 1Y'!$F:$G,2,0)</f>
        <v>45950</v>
      </c>
      <c r="N179" s="318">
        <f t="shared" si="17"/>
        <v>143</v>
      </c>
      <c r="P179" s="37">
        <v>176</v>
      </c>
      <c r="Q179" s="72">
        <f>Q$3*'Yield 1Y'!R178</f>
        <v>0</v>
      </c>
      <c r="R179" s="72">
        <f>R$3*'Yield 1Y'!S178</f>
        <v>0</v>
      </c>
      <c r="S179" s="72">
        <f>S$3*'Yield 1Y'!T178</f>
        <v>0</v>
      </c>
      <c r="T179" s="72">
        <f>T$3*'Yield 1Y'!U178</f>
        <v>0</v>
      </c>
      <c r="U179" s="72">
        <f>U$3*'Yield 1Y'!V178</f>
        <v>0</v>
      </c>
      <c r="V179" s="72">
        <f>V$3*'Yield 1Y'!W178</f>
        <v>0</v>
      </c>
      <c r="W179" s="72">
        <f>W$3*'Yield 1Y'!X178</f>
        <v>-1.7074691221650145</v>
      </c>
      <c r="X179" s="72">
        <f>X$3*'Yield 1Y'!Y178</f>
        <v>-0.19979773934499578</v>
      </c>
      <c r="Y179" s="72">
        <f>Y$3*'Yield 1Y'!Z178</f>
        <v>0</v>
      </c>
      <c r="Z179" s="72">
        <f>Z$3*'Yield 1Y'!AA178</f>
        <v>0</v>
      </c>
      <c r="AA179" s="177">
        <f t="shared" si="18"/>
        <v>1.9072668615100103</v>
      </c>
      <c r="AB179" s="124">
        <f>VLOOKUP(P179,'Yield 1Y'!$F:$G,2,0)</f>
        <v>45993</v>
      </c>
      <c r="AC179" s="318">
        <f t="shared" si="22"/>
        <v>36</v>
      </c>
      <c r="AE179" s="37">
        <v>158</v>
      </c>
      <c r="AF179" s="72">
        <f>AF$3*'Yield 1Y'!AB160</f>
        <v>0</v>
      </c>
      <c r="AG179" s="72">
        <f>AG$3*'Yield 1Y'!AC160</f>
        <v>0</v>
      </c>
      <c r="AH179" s="72">
        <f>AH$3*'Yield 1Y'!AD160</f>
        <v>-4.6103636346869432E-2</v>
      </c>
      <c r="AI179" s="72">
        <f>AI$3*'Yield 1Y'!AE160</f>
        <v>-0.66350597995630722</v>
      </c>
      <c r="AJ179" s="72">
        <f>AJ$3*'Yield 1Y'!AF160</f>
        <v>-4.2087660477226126E-2</v>
      </c>
      <c r="AK179" s="72">
        <f>AK$3*'Yield 1Y'!AG160</f>
        <v>-6.4925792357674874</v>
      </c>
      <c r="AL179" s="72">
        <f>AL$3*'Yield 1Y'!AH160</f>
        <v>0</v>
      </c>
      <c r="AM179" s="72">
        <f>AM$3*'Yield 1Y'!AI160</f>
        <v>-4.3726503793810858</v>
      </c>
      <c r="AN179" s="72">
        <f>AN$3*'Yield 1Y'!AJ160</f>
        <v>0</v>
      </c>
      <c r="AO179" s="72">
        <f>AO$3*'Yield 1Y'!AK160</f>
        <v>0</v>
      </c>
      <c r="AP179" s="177">
        <f t="shared" si="19"/>
        <v>11.616926891928976</v>
      </c>
      <c r="AQ179" s="124">
        <f>VLOOKUP(AE179,'Yield 1Y'!$F:$G,2,0)</f>
        <v>46017</v>
      </c>
      <c r="AR179" s="318">
        <f t="shared" si="20"/>
        <v>223</v>
      </c>
      <c r="AT179" s="37">
        <v>173</v>
      </c>
      <c r="AU179" s="72">
        <f>AU$3*'Yield 1Y'!AB182</f>
        <v>0</v>
      </c>
      <c r="AV179" s="72">
        <f>AV$3*'Yield 1Y'!AC182</f>
        <v>0</v>
      </c>
      <c r="AW179" s="72">
        <f>AW$3*'Yield 1Y'!AD182</f>
        <v>0</v>
      </c>
      <c r="AX179" s="72">
        <f>AX$3*'Yield 1Y'!AE182</f>
        <v>0</v>
      </c>
      <c r="AY179" s="72">
        <f>AY$3*'Yield 1Y'!AF182</f>
        <v>0</v>
      </c>
      <c r="AZ179" s="72">
        <f>AZ$3*'Yield 1Y'!AG182</f>
        <v>-0.26762224116076017</v>
      </c>
      <c r="BA179" s="72">
        <f>BA$3*'Yield 1Y'!AH182</f>
        <v>-4.5532509924400051</v>
      </c>
      <c r="BB179" s="72">
        <f>BB$3*'Yield 1Y'!AI182</f>
        <v>-0.95902914885600099</v>
      </c>
      <c r="BC179" s="72">
        <f>BC$3*'Yield 1Y'!AJ182</f>
        <v>0</v>
      </c>
      <c r="BD179" s="72">
        <f>BD$3*'Yield 1Y'!AK182</f>
        <v>0</v>
      </c>
      <c r="BE179" s="177">
        <f t="shared" si="21"/>
        <v>5.7799023824567666</v>
      </c>
      <c r="BF179" s="124">
        <f>VLOOKUP(AT179,'Yield 1Y'!$F:$G,2,0)</f>
        <v>45996</v>
      </c>
      <c r="BG179" s="318">
        <f t="shared" si="23"/>
        <v>139</v>
      </c>
    </row>
    <row r="180" spans="1:59" x14ac:dyDescent="0.3">
      <c r="A180" s="37">
        <v>173</v>
      </c>
      <c r="B180" s="72">
        <f>'Yield 1Y'!R175*B$3</f>
        <v>0</v>
      </c>
      <c r="C180" s="72">
        <f>'Yield 1Y'!S175*C$3</f>
        <v>0</v>
      </c>
      <c r="D180" s="72">
        <f>'Yield 1Y'!T175*D$3</f>
        <v>-0.15675236357935854</v>
      </c>
      <c r="E180" s="72">
        <f>'Yield 1Y'!U175*E$3</f>
        <v>-0.23078468868045804</v>
      </c>
      <c r="F180" s="72">
        <f>'Yield 1Y'!V175*F$3</f>
        <v>0</v>
      </c>
      <c r="G180" s="72">
        <f>'Yield 1Y'!W175*G$3</f>
        <v>-5.1399585616492915</v>
      </c>
      <c r="H180" s="72">
        <f>'Yield 1Y'!X175*H$3</f>
        <v>-7.0388160118002894</v>
      </c>
      <c r="I180" s="72">
        <f>'Yield 1Y'!Y175*I$3</f>
        <v>-5.7180812653443587</v>
      </c>
      <c r="J180" s="72">
        <f>'Yield 1Y'!Z175*J$3</f>
        <v>0</v>
      </c>
      <c r="K180" s="72">
        <f>'Yield 1Y'!AA175*K$3</f>
        <v>0</v>
      </c>
      <c r="L180" s="177">
        <f t="shared" si="16"/>
        <v>18.284392891053756</v>
      </c>
      <c r="M180" s="124">
        <f>VLOOKUP(A180,'Yield 1Y'!$F:$G,2,0)</f>
        <v>45996</v>
      </c>
      <c r="N180" s="318">
        <f t="shared" si="17"/>
        <v>23</v>
      </c>
      <c r="P180" s="37">
        <v>177</v>
      </c>
      <c r="Q180" s="72">
        <f>Q$3*'Yield 1Y'!R179</f>
        <v>0</v>
      </c>
      <c r="R180" s="72">
        <f>R$3*'Yield 1Y'!S179</f>
        <v>0</v>
      </c>
      <c r="S180" s="72">
        <f>S$3*'Yield 1Y'!T179</f>
        <v>0</v>
      </c>
      <c r="T180" s="72">
        <f>T$3*'Yield 1Y'!U179</f>
        <v>0</v>
      </c>
      <c r="U180" s="72">
        <f>U$3*'Yield 1Y'!V179</f>
        <v>0</v>
      </c>
      <c r="V180" s="72">
        <f>V$3*'Yield 1Y'!W179</f>
        <v>-7.6463497474502901E-2</v>
      </c>
      <c r="W180" s="72">
        <f>W$3*'Yield 1Y'!X179</f>
        <v>-2.162794221409015</v>
      </c>
      <c r="X180" s="72">
        <f>X$3*'Yield 1Y'!Y179</f>
        <v>-0.43955502655900491</v>
      </c>
      <c r="Y180" s="72">
        <f>Y$3*'Yield 1Y'!Z179</f>
        <v>0</v>
      </c>
      <c r="Z180" s="72">
        <f>Z$3*'Yield 1Y'!AA179</f>
        <v>0</v>
      </c>
      <c r="AA180" s="177">
        <f t="shared" si="18"/>
        <v>2.6788127454425226</v>
      </c>
      <c r="AB180" s="124">
        <f>VLOOKUP(P180,'Yield 1Y'!$F:$G,2,0)</f>
        <v>45992</v>
      </c>
      <c r="AC180" s="318">
        <f t="shared" si="22"/>
        <v>25</v>
      </c>
      <c r="AE180" s="37">
        <v>67</v>
      </c>
      <c r="AF180" s="72">
        <f>AF$3*'Yield 1Y'!AB69</f>
        <v>0</v>
      </c>
      <c r="AG180" s="72">
        <f>AG$3*'Yield 1Y'!AC69</f>
        <v>0</v>
      </c>
      <c r="AH180" s="72">
        <f>AH$3*'Yield 1Y'!AD69</f>
        <v>-9.2207272693742959E-2</v>
      </c>
      <c r="AI180" s="72">
        <f>AI$3*'Yield 1Y'!AE69</f>
        <v>-0.28848086085056612</v>
      </c>
      <c r="AJ180" s="72">
        <f>AJ$3*'Yield 1Y'!AF69</f>
        <v>-5.1440473916610864E-2</v>
      </c>
      <c r="AK180" s="72">
        <f>AK$3*'Yield 1Y'!AG69</f>
        <v>0.54104826964723052</v>
      </c>
      <c r="AL180" s="72">
        <f>AL$3*'Yield 1Y'!AH69</f>
        <v>7.0388160118001055</v>
      </c>
      <c r="AM180" s="72">
        <f>AM$3*'Yield 1Y'!AI69</f>
        <v>4.0362926578901179</v>
      </c>
      <c r="AN180" s="72">
        <f>AN$3*'Yield 1Y'!AJ69</f>
        <v>0</v>
      </c>
      <c r="AO180" s="72">
        <f>AO$3*'Yield 1Y'!AK69</f>
        <v>0</v>
      </c>
      <c r="AP180" s="177">
        <f t="shared" si="19"/>
        <v>-11.184028331876533</v>
      </c>
      <c r="AQ180" s="124">
        <f>VLOOKUP(AE180,'Yield 1Y'!$F:$G,2,0)</f>
        <v>46160</v>
      </c>
      <c r="AR180" s="318">
        <f t="shared" si="20"/>
        <v>251</v>
      </c>
      <c r="AT180" s="37">
        <v>174</v>
      </c>
      <c r="AU180" s="72">
        <f>AU$3*'Yield 1Y'!AB43</f>
        <v>0</v>
      </c>
      <c r="AV180" s="72">
        <f>AV$3*'Yield 1Y'!AC43</f>
        <v>0</v>
      </c>
      <c r="AW180" s="72">
        <f>AW$3*'Yield 1Y'!AD43</f>
        <v>0</v>
      </c>
      <c r="AX180" s="72">
        <f>AX$3*'Yield 1Y'!AE43</f>
        <v>0</v>
      </c>
      <c r="AY180" s="72">
        <f>AY$3*'Yield 1Y'!AF43</f>
        <v>0</v>
      </c>
      <c r="AZ180" s="72">
        <f>AZ$3*'Yield 1Y'!AG43</f>
        <v>-0.57347623105874912</v>
      </c>
      <c r="BA180" s="72">
        <f>BA$3*'Yield 1Y'!AH43</f>
        <v>-3.5287695191409658</v>
      </c>
      <c r="BB180" s="72">
        <f>BB$3*'Yield 1Y'!AI43</f>
        <v>-1.7582201062360019</v>
      </c>
      <c r="BC180" s="72">
        <f>BC$3*'Yield 1Y'!AJ43</f>
        <v>0</v>
      </c>
      <c r="BD180" s="72">
        <f>BD$3*'Yield 1Y'!AK43</f>
        <v>0</v>
      </c>
      <c r="BE180" s="177">
        <f t="shared" si="21"/>
        <v>5.8604658564357166</v>
      </c>
      <c r="BF180" s="124">
        <f>VLOOKUP(AT180,'Yield 1Y'!$F:$G,2,0)</f>
        <v>45995</v>
      </c>
      <c r="BG180" s="318">
        <f t="shared" si="23"/>
        <v>134</v>
      </c>
    </row>
    <row r="181" spans="1:59" x14ac:dyDescent="0.3">
      <c r="A181" s="37">
        <v>170</v>
      </c>
      <c r="B181" s="72">
        <f>'Yield 1Y'!R172*B$3</f>
        <v>0</v>
      </c>
      <c r="C181" s="72">
        <f>'Yield 1Y'!S172*C$3</f>
        <v>0</v>
      </c>
      <c r="D181" s="72">
        <f>'Yield 1Y'!T172*D$3</f>
        <v>0</v>
      </c>
      <c r="E181" s="72">
        <f>'Yield 1Y'!U172*E$3</f>
        <v>0</v>
      </c>
      <c r="F181" s="72">
        <f>'Yield 1Y'!V172*F$3</f>
        <v>0</v>
      </c>
      <c r="G181" s="72">
        <f>'Yield 1Y'!W172*G$3</f>
        <v>0</v>
      </c>
      <c r="H181" s="72">
        <f>'Yield 1Y'!X172*H$3</f>
        <v>0</v>
      </c>
      <c r="I181" s="72">
        <f>'Yield 1Y'!Y172*I$3</f>
        <v>0</v>
      </c>
      <c r="J181" s="72">
        <f>'Yield 1Y'!Z172*J$3</f>
        <v>0</v>
      </c>
      <c r="K181" s="72">
        <f>'Yield 1Y'!AA172*K$3</f>
        <v>0</v>
      </c>
      <c r="L181" s="177">
        <f t="shared" si="16"/>
        <v>0</v>
      </c>
      <c r="M181" s="124">
        <f>VLOOKUP(A181,'Yield 1Y'!$F:$G,2,0)</f>
        <v>46001</v>
      </c>
      <c r="N181" s="318">
        <f t="shared" si="17"/>
        <v>195.5</v>
      </c>
      <c r="P181" s="37">
        <v>178</v>
      </c>
      <c r="Q181" s="72">
        <f>Q$3*'Yield 1Y'!R180</f>
        <v>0</v>
      </c>
      <c r="R181" s="72">
        <f>R$3*'Yield 1Y'!S180</f>
        <v>0</v>
      </c>
      <c r="S181" s="72">
        <f>S$3*'Yield 1Y'!T180</f>
        <v>0</v>
      </c>
      <c r="T181" s="72">
        <f>T$3*'Yield 1Y'!U180</f>
        <v>0</v>
      </c>
      <c r="U181" s="72">
        <f>U$3*'Yield 1Y'!V180</f>
        <v>0</v>
      </c>
      <c r="V181" s="72">
        <f>V$3*'Yield 1Y'!W180</f>
        <v>0</v>
      </c>
      <c r="W181" s="72">
        <f>W$3*'Yield 1Y'!X180</f>
        <v>0.45532509924400044</v>
      </c>
      <c r="X181" s="72">
        <f>X$3*'Yield 1Y'!Y180</f>
        <v>-0.51947412229699608</v>
      </c>
      <c r="Y181" s="72">
        <f>Y$3*'Yield 1Y'!Z180</f>
        <v>0</v>
      </c>
      <c r="Z181" s="72">
        <f>Z$3*'Yield 1Y'!AA180</f>
        <v>0</v>
      </c>
      <c r="AA181" s="177">
        <f t="shared" si="18"/>
        <v>6.4149023052995635E-2</v>
      </c>
      <c r="AB181" s="124">
        <f>VLOOKUP(P181,'Yield 1Y'!$F:$G,2,0)</f>
        <v>45989</v>
      </c>
      <c r="AC181" s="318">
        <f t="shared" si="22"/>
        <v>170</v>
      </c>
      <c r="AE181" s="37">
        <v>200</v>
      </c>
      <c r="AF181" s="72">
        <f>AF$3*'Yield 1Y'!AB202</f>
        <v>0</v>
      </c>
      <c r="AG181" s="72">
        <f>AG$3*'Yield 1Y'!AC202</f>
        <v>0</v>
      </c>
      <c r="AH181" s="72">
        <f>AH$3*'Yield 1Y'!AD202</f>
        <v>-0.59934727250931497</v>
      </c>
      <c r="AI181" s="72">
        <f>AI$3*'Yield 1Y'!AE202</f>
        <v>-1.5577966485930981</v>
      </c>
      <c r="AJ181" s="72">
        <f>AJ$3*'Yield 1Y'!AF202</f>
        <v>-0.30396643677996971</v>
      </c>
      <c r="AK181" s="72">
        <f>AK$3*'Yield 1Y'!AG202</f>
        <v>-15.960923954594984</v>
      </c>
      <c r="AL181" s="72">
        <f>AL$3*'Yield 1Y'!AH202</f>
        <v>-30.225504050671194</v>
      </c>
      <c r="AM181" s="72">
        <f>AM$3*'Yield 1Y'!AI202</f>
        <v>-18.163316960506126</v>
      </c>
      <c r="AN181" s="72">
        <f>AN$3*'Yield 1Y'!AJ202</f>
        <v>0</v>
      </c>
      <c r="AO181" s="72">
        <f>AO$3*'Yield 1Y'!AK202</f>
        <v>0</v>
      </c>
      <c r="AP181" s="177">
        <f t="shared" si="19"/>
        <v>66.810855323654678</v>
      </c>
      <c r="AQ181" s="124">
        <f>VLOOKUP(AE181,'Yield 1Y'!$F:$G,2,0)</f>
        <v>45959</v>
      </c>
      <c r="AR181" s="318">
        <f t="shared" si="20"/>
        <v>55</v>
      </c>
      <c r="AT181" s="37">
        <v>175</v>
      </c>
      <c r="AU181" s="72">
        <f>AU$3*'Yield 1Y'!AB167</f>
        <v>0</v>
      </c>
      <c r="AV181" s="72">
        <f>AV$3*'Yield 1Y'!AC167</f>
        <v>0</v>
      </c>
      <c r="AW181" s="72">
        <f>AW$3*'Yield 1Y'!AD167</f>
        <v>0</v>
      </c>
      <c r="AX181" s="72">
        <f>AX$3*'Yield 1Y'!AE167</f>
        <v>0</v>
      </c>
      <c r="AY181" s="72">
        <f>AY$3*'Yield 1Y'!AF167</f>
        <v>0</v>
      </c>
      <c r="AZ181" s="72">
        <f>AZ$3*'Yield 1Y'!AG167</f>
        <v>-0.79012280723650352</v>
      </c>
      <c r="BA181" s="72">
        <f>BA$3*'Yield 1Y'!AH167</f>
        <v>-3.0734444198970157</v>
      </c>
      <c r="BB181" s="72">
        <f>BB$3*'Yield 1Y'!AI167</f>
        <v>-1.1188673403320011</v>
      </c>
      <c r="BC181" s="72">
        <f>BC$3*'Yield 1Y'!AJ167</f>
        <v>0</v>
      </c>
      <c r="BD181" s="72">
        <f>BD$3*'Yield 1Y'!AK167</f>
        <v>0</v>
      </c>
      <c r="BE181" s="177">
        <f t="shared" si="21"/>
        <v>4.9824345674655204</v>
      </c>
      <c r="BF181" s="124">
        <f>VLOOKUP(AT181,'Yield 1Y'!$F:$G,2,0)</f>
        <v>45994</v>
      </c>
      <c r="BG181" s="318">
        <f t="shared" si="23"/>
        <v>158</v>
      </c>
    </row>
    <row r="182" spans="1:59" x14ac:dyDescent="0.3">
      <c r="A182" s="37">
        <v>188</v>
      </c>
      <c r="B182" s="72">
        <f>'Yield 1Y'!R190*B$3</f>
        <v>0</v>
      </c>
      <c r="C182" s="72">
        <f>'Yield 1Y'!S190*C$3</f>
        <v>0</v>
      </c>
      <c r="D182" s="72">
        <f>'Yield 1Y'!T190*D$3</f>
        <v>0</v>
      </c>
      <c r="E182" s="72">
        <f>'Yield 1Y'!U190*E$3</f>
        <v>0</v>
      </c>
      <c r="F182" s="72">
        <f>'Yield 1Y'!V190*F$3</f>
        <v>0</v>
      </c>
      <c r="G182" s="72">
        <f>'Yield 1Y'!W190*G$3</f>
        <v>0</v>
      </c>
      <c r="H182" s="72">
        <f>'Yield 1Y'!X190*H$3</f>
        <v>0</v>
      </c>
      <c r="I182" s="72">
        <f>'Yield 1Y'!Y190*I$3</f>
        <v>0</v>
      </c>
      <c r="J182" s="72">
        <f>'Yield 1Y'!Z190*J$3</f>
        <v>0</v>
      </c>
      <c r="K182" s="72">
        <f>'Yield 1Y'!AA190*K$3</f>
        <v>0</v>
      </c>
      <c r="L182" s="177">
        <f t="shared" si="16"/>
        <v>0</v>
      </c>
      <c r="M182" s="124">
        <f>VLOOKUP(A182,'Yield 1Y'!$F:$G,2,0)</f>
        <v>45975</v>
      </c>
      <c r="N182" s="318">
        <f t="shared" si="17"/>
        <v>195.5</v>
      </c>
      <c r="P182" s="37">
        <v>179</v>
      </c>
      <c r="Q182" s="72">
        <f>Q$3*'Yield 1Y'!R181</f>
        <v>0</v>
      </c>
      <c r="R182" s="72">
        <f>R$3*'Yield 1Y'!S181</f>
        <v>0</v>
      </c>
      <c r="S182" s="72">
        <f>S$3*'Yield 1Y'!T181</f>
        <v>0</v>
      </c>
      <c r="T182" s="72">
        <f>T$3*'Yield 1Y'!U181</f>
        <v>0</v>
      </c>
      <c r="U182" s="72">
        <f>U$3*'Yield 1Y'!V181</f>
        <v>0</v>
      </c>
      <c r="V182" s="72">
        <f>V$3*'Yield 1Y'!W181</f>
        <v>0</v>
      </c>
      <c r="W182" s="72">
        <f>W$3*'Yield 1Y'!X181</f>
        <v>-3.5287695191409658</v>
      </c>
      <c r="X182" s="72">
        <f>X$3*'Yield 1Y'!Y181</f>
        <v>-0.19979773934501352</v>
      </c>
      <c r="Y182" s="72">
        <f>Y$3*'Yield 1Y'!Z181</f>
        <v>0</v>
      </c>
      <c r="Z182" s="72">
        <f>Z$3*'Yield 1Y'!AA181</f>
        <v>0</v>
      </c>
      <c r="AA182" s="177">
        <f t="shared" si="18"/>
        <v>3.7285672584859793</v>
      </c>
      <c r="AB182" s="124">
        <f>VLOOKUP(P182,'Yield 1Y'!$F:$G,2,0)</f>
        <v>45988</v>
      </c>
      <c r="AC182" s="318">
        <f t="shared" si="22"/>
        <v>14</v>
      </c>
      <c r="AE182" s="37">
        <v>161</v>
      </c>
      <c r="AF182" s="72">
        <f>AF$3*'Yield 1Y'!AB163</f>
        <v>0</v>
      </c>
      <c r="AG182" s="72">
        <f>AG$3*'Yield 1Y'!AC163</f>
        <v>0</v>
      </c>
      <c r="AH182" s="72">
        <f>AH$3*'Yield 1Y'!AD163</f>
        <v>-8.2986545424365801E-2</v>
      </c>
      <c r="AI182" s="72">
        <f>AI$3*'Yield 1Y'!AE163</f>
        <v>-1.0096830129770071</v>
      </c>
      <c r="AJ182" s="72">
        <f>AJ$3*'Yield 1Y'!AF163</f>
        <v>-6.0793287355993521E-2</v>
      </c>
      <c r="AK182" s="72">
        <f>AK$3*'Yield 1Y'!AG163</f>
        <v>-10.009392988474847</v>
      </c>
      <c r="AL182" s="72">
        <f>AL$3*'Yield 1Y'!AH163</f>
        <v>-1.6561920027765062</v>
      </c>
      <c r="AM182" s="72">
        <f>AM$3*'Yield 1Y'!AI163</f>
        <v>-6.0544389868353257</v>
      </c>
      <c r="AN182" s="72">
        <f>AN$3*'Yield 1Y'!AJ163</f>
        <v>0</v>
      </c>
      <c r="AO182" s="72">
        <f>AO$3*'Yield 1Y'!AK163</f>
        <v>0</v>
      </c>
      <c r="AP182" s="177">
        <f t="shared" si="19"/>
        <v>18.873486823844047</v>
      </c>
      <c r="AQ182" s="124">
        <f>VLOOKUP(AE182,'Yield 1Y'!$F:$G,2,0)</f>
        <v>46014</v>
      </c>
      <c r="AR182" s="318">
        <f t="shared" si="20"/>
        <v>206</v>
      </c>
      <c r="AT182" s="37">
        <v>176</v>
      </c>
      <c r="AU182" s="72">
        <f>AU$3*'Yield 1Y'!AB209</f>
        <v>0</v>
      </c>
      <c r="AV182" s="72">
        <f>AV$3*'Yield 1Y'!AC209</f>
        <v>0</v>
      </c>
      <c r="AW182" s="72">
        <f>AW$3*'Yield 1Y'!AD209</f>
        <v>0</v>
      </c>
      <c r="AX182" s="72">
        <f>AX$3*'Yield 1Y'!AE209</f>
        <v>0</v>
      </c>
      <c r="AY182" s="72">
        <f>AY$3*'Yield 1Y'!AF209</f>
        <v>0</v>
      </c>
      <c r="AZ182" s="72">
        <f>AZ$3*'Yield 1Y'!AG209</f>
        <v>-0.98128155092274949</v>
      </c>
      <c r="BA182" s="72">
        <f>BA$3*'Yield 1Y'!AH209</f>
        <v>-7.0575390382819823</v>
      </c>
      <c r="BB182" s="72">
        <f>BB$3*'Yield 1Y'!AI209</f>
        <v>-2.5574110636160028</v>
      </c>
      <c r="BC182" s="72">
        <f>BC$3*'Yield 1Y'!AJ209</f>
        <v>0</v>
      </c>
      <c r="BD182" s="72">
        <f>BD$3*'Yield 1Y'!AK209</f>
        <v>0</v>
      </c>
      <c r="BE182" s="177">
        <f t="shared" si="21"/>
        <v>10.596231652820736</v>
      </c>
      <c r="BF182" s="124">
        <f>VLOOKUP(AT182,'Yield 1Y'!$F:$G,2,0)</f>
        <v>45993</v>
      </c>
      <c r="BG182" s="318">
        <f t="shared" si="23"/>
        <v>57</v>
      </c>
    </row>
    <row r="183" spans="1:59" x14ac:dyDescent="0.3">
      <c r="A183" s="37">
        <v>69</v>
      </c>
      <c r="B183" s="72">
        <f>'Yield 1Y'!R71*B$3</f>
        <v>0</v>
      </c>
      <c r="C183" s="72">
        <f>'Yield 1Y'!S71*C$3</f>
        <v>0</v>
      </c>
      <c r="D183" s="72">
        <f>'Yield 1Y'!T71*D$3</f>
        <v>0</v>
      </c>
      <c r="E183" s="72">
        <f>'Yield 1Y'!U71*E$3</f>
        <v>-2.8848086085054053E-2</v>
      </c>
      <c r="F183" s="72">
        <f>'Yield 1Y'!V71*F$3</f>
        <v>-4.6764067196892536E-3</v>
      </c>
      <c r="G183" s="72">
        <f>'Yield 1Y'!W71*G$3</f>
        <v>-0.81157240447096601</v>
      </c>
      <c r="H183" s="72">
        <f>'Yield 1Y'!X71*H$3</f>
        <v>-2.070240003470587</v>
      </c>
      <c r="I183" s="72">
        <f>'Yield 1Y'!Y71*I$3</f>
        <v>-0.67271544298163655</v>
      </c>
      <c r="J183" s="72">
        <f>'Yield 1Y'!Z71*J$3</f>
        <v>0</v>
      </c>
      <c r="K183" s="72">
        <f>'Yield 1Y'!AA71*K$3</f>
        <v>0</v>
      </c>
      <c r="L183" s="177">
        <f t="shared" si="16"/>
        <v>3.5880523437279326</v>
      </c>
      <c r="M183" s="124">
        <f>VLOOKUP(A183,'Yield 1Y'!$F:$G,2,0)</f>
        <v>46156</v>
      </c>
      <c r="N183" s="318">
        <f t="shared" si="17"/>
        <v>79</v>
      </c>
      <c r="P183" s="37">
        <v>180</v>
      </c>
      <c r="Q183" s="72">
        <f>Q$3*'Yield 1Y'!R182</f>
        <v>0</v>
      </c>
      <c r="R183" s="72">
        <f>R$3*'Yield 1Y'!S182</f>
        <v>0</v>
      </c>
      <c r="S183" s="72">
        <f>S$3*'Yield 1Y'!T182</f>
        <v>0</v>
      </c>
      <c r="T183" s="72">
        <f>T$3*'Yield 1Y'!U182</f>
        <v>0</v>
      </c>
      <c r="U183" s="72">
        <f>U$3*'Yield 1Y'!V182</f>
        <v>0</v>
      </c>
      <c r="V183" s="72">
        <f>V$3*'Yield 1Y'!W182</f>
        <v>0</v>
      </c>
      <c r="W183" s="72">
        <f>W$3*'Yield 1Y'!X182</f>
        <v>1.2521440229209633</v>
      </c>
      <c r="X183" s="72">
        <f>X$3*'Yield 1Y'!Y182</f>
        <v>0</v>
      </c>
      <c r="Y183" s="72">
        <f>Y$3*'Yield 1Y'!Z182</f>
        <v>0</v>
      </c>
      <c r="Z183" s="72">
        <f>Z$3*'Yield 1Y'!AA182</f>
        <v>0</v>
      </c>
      <c r="AA183" s="177">
        <f t="shared" si="18"/>
        <v>-1.2521440229209633</v>
      </c>
      <c r="AB183" s="124">
        <f>VLOOKUP(P183,'Yield 1Y'!$F:$G,2,0)</f>
        <v>45987</v>
      </c>
      <c r="AC183" s="318">
        <f t="shared" si="22"/>
        <v>246</v>
      </c>
      <c r="AE183" s="37">
        <v>250</v>
      </c>
      <c r="AF183" s="72">
        <f>AF$3*'Yield 1Y'!AB252</f>
        <v>0</v>
      </c>
      <c r="AG183" s="72">
        <f>AG$3*'Yield 1Y'!AC252</f>
        <v>0</v>
      </c>
      <c r="AH183" s="72">
        <f>AH$3*'Yield 1Y'!AD252</f>
        <v>-1.3277847267898693</v>
      </c>
      <c r="AI183" s="72">
        <f>AI$3*'Yield 1Y'!AE252</f>
        <v>-2.4809354033149305</v>
      </c>
      <c r="AJ183" s="72">
        <f>AJ$3*'Yield 1Y'!AF252</f>
        <v>-0.69210819451439165</v>
      </c>
      <c r="AK183" s="72">
        <f>AK$3*'Yield 1Y'!AG252</f>
        <v>-24.347172134128019</v>
      </c>
      <c r="AL183" s="72">
        <f>AL$3*'Yield 1Y'!AH252</f>
        <v>-56.724576095095294</v>
      </c>
      <c r="AM183" s="72">
        <f>AM$3*'Yield 1Y'!AI252</f>
        <v>-34.981203035048836</v>
      </c>
      <c r="AN183" s="72">
        <f>AN$3*'Yield 1Y'!AJ252</f>
        <v>0</v>
      </c>
      <c r="AO183" s="72">
        <f>AO$3*'Yield 1Y'!AK252</f>
        <v>0</v>
      </c>
      <c r="AP183" s="177">
        <f t="shared" si="19"/>
        <v>120.55377958889135</v>
      </c>
      <c r="AQ183" s="124">
        <f>VLOOKUP(AE183,'Yield 1Y'!$F:$G,2,0)</f>
        <v>45887</v>
      </c>
      <c r="AR183" s="318">
        <f t="shared" si="20"/>
        <v>29</v>
      </c>
      <c r="AT183" s="37">
        <v>177</v>
      </c>
      <c r="AU183" s="72">
        <f>AU$3*'Yield 1Y'!AB81</f>
        <v>0</v>
      </c>
      <c r="AV183" s="72">
        <f>AV$3*'Yield 1Y'!AC81</f>
        <v>0</v>
      </c>
      <c r="AW183" s="72">
        <f>AW$3*'Yield 1Y'!AD81</f>
        <v>0</v>
      </c>
      <c r="AX183" s="72">
        <f>AX$3*'Yield 1Y'!AE81</f>
        <v>0</v>
      </c>
      <c r="AY183" s="72">
        <f>AY$3*'Yield 1Y'!AF81</f>
        <v>0</v>
      </c>
      <c r="AZ183" s="72">
        <f>AZ$3*'Yield 1Y'!AG81</f>
        <v>-1.2743916245754256E-2</v>
      </c>
      <c r="BA183" s="72">
        <f>BA$3*'Yield 1Y'!AH81</f>
        <v>-5.2362386413060307</v>
      </c>
      <c r="BB183" s="72">
        <f>BB$3*'Yield 1Y'!AI81</f>
        <v>-0.71927186164200962</v>
      </c>
      <c r="BC183" s="72">
        <f>BC$3*'Yield 1Y'!AJ81</f>
        <v>0</v>
      </c>
      <c r="BD183" s="72">
        <f>BD$3*'Yield 1Y'!AK81</f>
        <v>0</v>
      </c>
      <c r="BE183" s="177">
        <f t="shared" si="21"/>
        <v>5.9682544191937943</v>
      </c>
      <c r="BF183" s="124">
        <f>VLOOKUP(AT183,'Yield 1Y'!$F:$G,2,0)</f>
        <v>45992</v>
      </c>
      <c r="BG183" s="318">
        <f t="shared" si="23"/>
        <v>126</v>
      </c>
    </row>
    <row r="184" spans="1:59" x14ac:dyDescent="0.3">
      <c r="A184" s="37">
        <v>217</v>
      </c>
      <c r="B184" s="72">
        <f>'Yield 1Y'!R219*B$3</f>
        <v>0</v>
      </c>
      <c r="C184" s="72">
        <f>'Yield 1Y'!S219*C$3</f>
        <v>0</v>
      </c>
      <c r="D184" s="72">
        <f>'Yield 1Y'!T219*D$3</f>
        <v>0</v>
      </c>
      <c r="E184" s="72">
        <f>'Yield 1Y'!U219*E$3</f>
        <v>0</v>
      </c>
      <c r="F184" s="72">
        <f>'Yield 1Y'!V219*F$3</f>
        <v>0</v>
      </c>
      <c r="G184" s="72">
        <f>'Yield 1Y'!W219*G$3</f>
        <v>1.8936689437655472</v>
      </c>
      <c r="H184" s="72">
        <f>'Yield 1Y'!X219*H$3</f>
        <v>-7.8669120131882666</v>
      </c>
      <c r="I184" s="72">
        <f>'Yield 1Y'!Y219*I$3</f>
        <v>0</v>
      </c>
      <c r="J184" s="72">
        <f>'Yield 1Y'!Z219*J$3</f>
        <v>0</v>
      </c>
      <c r="K184" s="72">
        <f>'Yield 1Y'!AA219*K$3</f>
        <v>0</v>
      </c>
      <c r="L184" s="177">
        <f t="shared" si="16"/>
        <v>5.9732430694227192</v>
      </c>
      <c r="M184" s="124">
        <f>VLOOKUP(A184,'Yield 1Y'!$F:$G,2,0)</f>
        <v>45936</v>
      </c>
      <c r="N184" s="318">
        <f t="shared" si="17"/>
        <v>58</v>
      </c>
      <c r="P184" s="37">
        <v>181</v>
      </c>
      <c r="Q184" s="72">
        <f>Q$3*'Yield 1Y'!R183</f>
        <v>0</v>
      </c>
      <c r="R184" s="72">
        <f>R$3*'Yield 1Y'!S183</f>
        <v>0</v>
      </c>
      <c r="S184" s="72">
        <f>S$3*'Yield 1Y'!T183</f>
        <v>0</v>
      </c>
      <c r="T184" s="72">
        <f>T$3*'Yield 1Y'!U183</f>
        <v>0</v>
      </c>
      <c r="U184" s="72">
        <f>U$3*'Yield 1Y'!V183</f>
        <v>0</v>
      </c>
      <c r="V184" s="72">
        <f>V$3*'Yield 1Y'!W183</f>
        <v>0</v>
      </c>
      <c r="W184" s="72">
        <f>W$3*'Yield 1Y'!X183</f>
        <v>0.22766254962202551</v>
      </c>
      <c r="X184" s="72">
        <f>X$3*'Yield 1Y'!Y183</f>
        <v>0</v>
      </c>
      <c r="Y184" s="72">
        <f>Y$3*'Yield 1Y'!Z183</f>
        <v>0</v>
      </c>
      <c r="Z184" s="72">
        <f>Z$3*'Yield 1Y'!AA183</f>
        <v>0</v>
      </c>
      <c r="AA184" s="177">
        <f t="shared" si="18"/>
        <v>-0.22766254962202551</v>
      </c>
      <c r="AB184" s="124">
        <f>VLOOKUP(P184,'Yield 1Y'!$F:$G,2,0)</f>
        <v>45986</v>
      </c>
      <c r="AC184" s="318">
        <f t="shared" si="22"/>
        <v>206</v>
      </c>
      <c r="AE184" s="37">
        <v>49</v>
      </c>
      <c r="AF184" s="72">
        <f>AF$3*'Yield 1Y'!AB51</f>
        <v>0</v>
      </c>
      <c r="AG184" s="72">
        <f>AG$3*'Yield 1Y'!AC51</f>
        <v>0</v>
      </c>
      <c r="AH184" s="72">
        <f>AH$3*'Yield 1Y'!AD51</f>
        <v>-0.70999599974180405</v>
      </c>
      <c r="AI184" s="72">
        <f>AI$3*'Yield 1Y'!AE51</f>
        <v>-4.3849090849287027</v>
      </c>
      <c r="AJ184" s="72">
        <f>AJ$3*'Yield 1Y'!AF51</f>
        <v>-0.32267206365873918</v>
      </c>
      <c r="AK184" s="72">
        <f>AK$3*'Yield 1Y'!AG51</f>
        <v>-40.308096088723126</v>
      </c>
      <c r="AL184" s="72">
        <f>AL$3*'Yield 1Y'!AH51</f>
        <v>-33.123840055529939</v>
      </c>
      <c r="AM184" s="72">
        <f>AM$3*'Yield 1Y'!AI51</f>
        <v>-16.481528353051885</v>
      </c>
      <c r="AN184" s="72">
        <f>AN$3*'Yield 1Y'!AJ51</f>
        <v>0</v>
      </c>
      <c r="AO184" s="72">
        <f>AO$3*'Yield 1Y'!AK51</f>
        <v>0</v>
      </c>
      <c r="AP184" s="177">
        <f t="shared" si="19"/>
        <v>95.331041645634201</v>
      </c>
      <c r="AQ184" s="124">
        <f>VLOOKUP(AE184,'Yield 1Y'!$F:$G,2,0)</f>
        <v>46184</v>
      </c>
      <c r="AR184" s="318">
        <f t="shared" si="20"/>
        <v>43</v>
      </c>
      <c r="AT184" s="37">
        <v>178</v>
      </c>
      <c r="AU184" s="72">
        <f>AU$3*'Yield 1Y'!AB117</f>
        <v>0</v>
      </c>
      <c r="AV184" s="72">
        <f>AV$3*'Yield 1Y'!AC117</f>
        <v>0</v>
      </c>
      <c r="AW184" s="72">
        <f>AW$3*'Yield 1Y'!AD117</f>
        <v>0</v>
      </c>
      <c r="AX184" s="72">
        <f>AX$3*'Yield 1Y'!AE117</f>
        <v>0</v>
      </c>
      <c r="AY184" s="72">
        <f>AY$3*'Yield 1Y'!AF117</f>
        <v>0</v>
      </c>
      <c r="AZ184" s="72">
        <f>AZ$3*'Yield 1Y'!AG117</f>
        <v>-0.73914714225350919</v>
      </c>
      <c r="BA184" s="72">
        <f>BA$3*'Yield 1Y'!AH117</f>
        <v>-3.0734444198970157</v>
      </c>
      <c r="BB184" s="72">
        <f>BB$3*'Yield 1Y'!AI117</f>
        <v>-1.9180582977119842</v>
      </c>
      <c r="BC184" s="72">
        <f>BC$3*'Yield 1Y'!AJ117</f>
        <v>0</v>
      </c>
      <c r="BD184" s="72">
        <f>BD$3*'Yield 1Y'!AK117</f>
        <v>0</v>
      </c>
      <c r="BE184" s="177">
        <f t="shared" si="21"/>
        <v>5.7306498598625089</v>
      </c>
      <c r="BF184" s="124">
        <f>VLOOKUP(AT184,'Yield 1Y'!$F:$G,2,0)</f>
        <v>45989</v>
      </c>
      <c r="BG184" s="318">
        <f t="shared" si="23"/>
        <v>141</v>
      </c>
    </row>
    <row r="185" spans="1:59" x14ac:dyDescent="0.3">
      <c r="A185" s="37">
        <v>15</v>
      </c>
      <c r="B185" s="72">
        <f>'Yield 1Y'!R17*B$3</f>
        <v>0</v>
      </c>
      <c r="C185" s="72">
        <f>'Yield 1Y'!S17*C$3</f>
        <v>0</v>
      </c>
      <c r="D185" s="72">
        <f>'Yield 1Y'!T17*D$3</f>
        <v>0</v>
      </c>
      <c r="E185" s="72">
        <f>'Yield 1Y'!U17*E$3</f>
        <v>-5.7696172170108105E-2</v>
      </c>
      <c r="F185" s="72">
        <f>'Yield 1Y'!V17*F$3</f>
        <v>-1.4029220159076067E-2</v>
      </c>
      <c r="G185" s="72">
        <f>'Yield 1Y'!W17*G$3</f>
        <v>-0.81157240447096601</v>
      </c>
      <c r="H185" s="72">
        <f>'Yield 1Y'!X17*H$3</f>
        <v>-0.41404800069389674</v>
      </c>
      <c r="I185" s="72">
        <f>'Yield 1Y'!Y17*I$3</f>
        <v>0</v>
      </c>
      <c r="J185" s="72">
        <f>'Yield 1Y'!Z17*J$3</f>
        <v>0</v>
      </c>
      <c r="K185" s="72">
        <f>'Yield 1Y'!AA17*K$3</f>
        <v>0</v>
      </c>
      <c r="L185" s="177">
        <f t="shared" si="16"/>
        <v>1.297345797494047</v>
      </c>
      <c r="M185" s="124">
        <f>VLOOKUP(A185,'Yield 1Y'!$F:$G,2,0)</f>
        <v>46232</v>
      </c>
      <c r="N185" s="318">
        <f t="shared" si="17"/>
        <v>142</v>
      </c>
      <c r="P185" s="37">
        <v>182</v>
      </c>
      <c r="Q185" s="72">
        <f>Q$3*'Yield 1Y'!R184</f>
        <v>0</v>
      </c>
      <c r="R185" s="72">
        <f>R$3*'Yield 1Y'!S184</f>
        <v>0</v>
      </c>
      <c r="S185" s="72">
        <f>S$3*'Yield 1Y'!T184</f>
        <v>0</v>
      </c>
      <c r="T185" s="72">
        <f>T$3*'Yield 1Y'!U184</f>
        <v>0</v>
      </c>
      <c r="U185" s="72">
        <f>U$3*'Yield 1Y'!V184</f>
        <v>0</v>
      </c>
      <c r="V185" s="72">
        <f>V$3*'Yield 1Y'!W184</f>
        <v>0</v>
      </c>
      <c r="W185" s="72">
        <f>W$3*'Yield 1Y'!X184</f>
        <v>-2.0489629465980275</v>
      </c>
      <c r="X185" s="72">
        <f>X$3*'Yield 1Y'!Y184</f>
        <v>0</v>
      </c>
      <c r="Y185" s="72">
        <f>Y$3*'Yield 1Y'!Z184</f>
        <v>0</v>
      </c>
      <c r="Z185" s="72">
        <f>Z$3*'Yield 1Y'!AA184</f>
        <v>0</v>
      </c>
      <c r="AA185" s="177">
        <f t="shared" si="18"/>
        <v>2.0489629465980275</v>
      </c>
      <c r="AB185" s="124">
        <f>VLOOKUP(P185,'Yield 1Y'!$F:$G,2,0)</f>
        <v>45985</v>
      </c>
      <c r="AC185" s="318">
        <f t="shared" si="22"/>
        <v>32</v>
      </c>
      <c r="AE185" s="37">
        <v>131</v>
      </c>
      <c r="AF185" s="72">
        <f>AF$3*'Yield 1Y'!AB133</f>
        <v>0</v>
      </c>
      <c r="AG185" s="72">
        <f>AG$3*'Yield 1Y'!AC133</f>
        <v>0</v>
      </c>
      <c r="AH185" s="72">
        <f>AH$3*'Yield 1Y'!AD133</f>
        <v>-0.1936352726568549</v>
      </c>
      <c r="AI185" s="72">
        <f>AI$3*'Yield 1Y'!AE133</f>
        <v>0</v>
      </c>
      <c r="AJ185" s="72">
        <f>AJ$3*'Yield 1Y'!AF133</f>
        <v>-7.9498914234760923E-2</v>
      </c>
      <c r="AK185" s="72">
        <f>AK$3*'Yield 1Y'!AG133</f>
        <v>1.0820965392947015</v>
      </c>
      <c r="AL185" s="72">
        <f>AL$3*'Yield 1Y'!AH133</f>
        <v>-7.0388160118001055</v>
      </c>
      <c r="AM185" s="72">
        <f>AM$3*'Yield 1Y'!AI133</f>
        <v>-12.108877973670802</v>
      </c>
      <c r="AN185" s="72">
        <f>AN$3*'Yield 1Y'!AJ133</f>
        <v>0</v>
      </c>
      <c r="AO185" s="72">
        <f>AO$3*'Yield 1Y'!AK133</f>
        <v>0</v>
      </c>
      <c r="AP185" s="177">
        <f t="shared" si="19"/>
        <v>18.338731633067823</v>
      </c>
      <c r="AQ185" s="124">
        <f>VLOOKUP(AE185,'Yield 1Y'!$F:$G,2,0)</f>
        <v>46058</v>
      </c>
      <c r="AR185" s="318">
        <f t="shared" si="20"/>
        <v>210</v>
      </c>
      <c r="AT185" s="37">
        <v>179</v>
      </c>
      <c r="AU185" s="72">
        <f>AU$3*'Yield 1Y'!AB225</f>
        <v>0</v>
      </c>
      <c r="AV185" s="72">
        <f>AV$3*'Yield 1Y'!AC225</f>
        <v>0</v>
      </c>
      <c r="AW185" s="72">
        <f>AW$3*'Yield 1Y'!AD225</f>
        <v>0</v>
      </c>
      <c r="AX185" s="72">
        <f>AX$3*'Yield 1Y'!AE225</f>
        <v>0</v>
      </c>
      <c r="AY185" s="72">
        <f>AY$3*'Yield 1Y'!AF225</f>
        <v>0</v>
      </c>
      <c r="AZ185" s="72">
        <f>AZ$3*'Yield 1Y'!AG225</f>
        <v>-0.45878098484700042</v>
      </c>
      <c r="BA185" s="72">
        <f>BA$3*'Yield 1Y'!AH225</f>
        <v>-3.3011069695189907</v>
      </c>
      <c r="BB185" s="72">
        <f>BB$3*'Yield 1Y'!AI225</f>
        <v>-1.4385437232840015</v>
      </c>
      <c r="BC185" s="72">
        <f>BC$3*'Yield 1Y'!AJ225</f>
        <v>0</v>
      </c>
      <c r="BD185" s="72">
        <f>BD$3*'Yield 1Y'!AK225</f>
        <v>0</v>
      </c>
      <c r="BE185" s="177">
        <f t="shared" si="21"/>
        <v>5.1984316776499924</v>
      </c>
      <c r="BF185" s="124">
        <f>VLOOKUP(AT185,'Yield 1Y'!$F:$G,2,0)</f>
        <v>45988</v>
      </c>
      <c r="BG185" s="318">
        <f t="shared" si="23"/>
        <v>153</v>
      </c>
    </row>
    <row r="186" spans="1:59" x14ac:dyDescent="0.3">
      <c r="A186" s="37">
        <v>199</v>
      </c>
      <c r="B186" s="72">
        <f>'Yield 1Y'!R201*B$3</f>
        <v>0</v>
      </c>
      <c r="C186" s="72">
        <f>'Yield 1Y'!S201*C$3</f>
        <v>0</v>
      </c>
      <c r="D186" s="72">
        <f>'Yield 1Y'!T201*D$3</f>
        <v>0</v>
      </c>
      <c r="E186" s="72">
        <f>'Yield 1Y'!U201*E$3</f>
        <v>0</v>
      </c>
      <c r="F186" s="72">
        <f>'Yield 1Y'!V201*F$3</f>
        <v>0</v>
      </c>
      <c r="G186" s="72">
        <f>'Yield 1Y'!W201*G$3</f>
        <v>0</v>
      </c>
      <c r="H186" s="72">
        <f>'Yield 1Y'!X201*H$3</f>
        <v>-9.1090560152708768</v>
      </c>
      <c r="I186" s="72">
        <f>'Yield 1Y'!Y201*I$3</f>
        <v>-3.3635772149084815</v>
      </c>
      <c r="J186" s="72">
        <f>'Yield 1Y'!Z201*J$3</f>
        <v>0</v>
      </c>
      <c r="K186" s="72">
        <f>'Yield 1Y'!AA201*K$3</f>
        <v>0</v>
      </c>
      <c r="L186" s="177">
        <f t="shared" si="16"/>
        <v>12.472633230179358</v>
      </c>
      <c r="M186" s="124">
        <f>VLOOKUP(A186,'Yield 1Y'!$F:$G,2,0)</f>
        <v>45960</v>
      </c>
      <c r="N186" s="318">
        <f t="shared" si="17"/>
        <v>33</v>
      </c>
      <c r="P186" s="37">
        <v>183</v>
      </c>
      <c r="Q186" s="72">
        <f>Q$3*'Yield 1Y'!R185</f>
        <v>0</v>
      </c>
      <c r="R186" s="72">
        <f>R$3*'Yield 1Y'!S185</f>
        <v>0</v>
      </c>
      <c r="S186" s="72">
        <f>S$3*'Yield 1Y'!T185</f>
        <v>0</v>
      </c>
      <c r="T186" s="72">
        <f>T$3*'Yield 1Y'!U185</f>
        <v>0</v>
      </c>
      <c r="U186" s="72">
        <f>U$3*'Yield 1Y'!V185</f>
        <v>0</v>
      </c>
      <c r="V186" s="72">
        <f>V$3*'Yield 1Y'!W185</f>
        <v>0</v>
      </c>
      <c r="W186" s="72">
        <f>W$3*'Yield 1Y'!X185</f>
        <v>2.0489629465980275</v>
      </c>
      <c r="X186" s="72">
        <f>X$3*'Yield 1Y'!Y185</f>
        <v>-7.9919095737991205E-2</v>
      </c>
      <c r="Y186" s="72">
        <f>Y$3*'Yield 1Y'!Z185</f>
        <v>0</v>
      </c>
      <c r="Z186" s="72">
        <f>Z$3*'Yield 1Y'!AA185</f>
        <v>0</v>
      </c>
      <c r="AA186" s="177">
        <f t="shared" si="18"/>
        <v>-1.9690438508600363</v>
      </c>
      <c r="AB186" s="124">
        <f>VLOOKUP(P186,'Yield 1Y'!$F:$G,2,0)</f>
        <v>45982</v>
      </c>
      <c r="AC186" s="318">
        <f t="shared" si="22"/>
        <v>250</v>
      </c>
      <c r="AE186" s="37">
        <v>163</v>
      </c>
      <c r="AF186" s="72">
        <f>AF$3*'Yield 1Y'!AB165</f>
        <v>0</v>
      </c>
      <c r="AG186" s="72">
        <f>AG$3*'Yield 1Y'!AC165</f>
        <v>0</v>
      </c>
      <c r="AH186" s="72">
        <f>AH$3*'Yield 1Y'!AD165</f>
        <v>-0.17519381811810467</v>
      </c>
      <c r="AI186" s="72">
        <f>AI$3*'Yield 1Y'!AE165</f>
        <v>-1.4424043042528563</v>
      </c>
      <c r="AJ186" s="72">
        <f>AJ$3*'Yield 1Y'!AF165</f>
        <v>-0.10755735455291306</v>
      </c>
      <c r="AK186" s="72">
        <f>AK$3*'Yield 1Y'!AG165</f>
        <v>-12.985158471534975</v>
      </c>
      <c r="AL186" s="72">
        <f>AL$3*'Yield 1Y'!AH165</f>
        <v>-5.7966720097178639</v>
      </c>
      <c r="AM186" s="72">
        <f>AM$3*'Yield 1Y'!AI165</f>
        <v>-7.06351215130793</v>
      </c>
      <c r="AN186" s="72">
        <f>AN$3*'Yield 1Y'!AJ165</f>
        <v>0</v>
      </c>
      <c r="AO186" s="72">
        <f>AO$3*'Yield 1Y'!AK165</f>
        <v>0</v>
      </c>
      <c r="AP186" s="177">
        <f t="shared" si="19"/>
        <v>27.570498109484642</v>
      </c>
      <c r="AQ186" s="124">
        <f>VLOOKUP(AE186,'Yield 1Y'!$F:$G,2,0)</f>
        <v>46010</v>
      </c>
      <c r="AR186" s="318">
        <f t="shared" si="20"/>
        <v>172</v>
      </c>
      <c r="AT186" s="37">
        <v>180</v>
      </c>
      <c r="AU186" s="72">
        <f>AU$3*'Yield 1Y'!AB240</f>
        <v>0</v>
      </c>
      <c r="AV186" s="72">
        <f>AV$3*'Yield 1Y'!AC240</f>
        <v>0</v>
      </c>
      <c r="AW186" s="72">
        <f>AW$3*'Yield 1Y'!AD240</f>
        <v>0</v>
      </c>
      <c r="AX186" s="72">
        <f>AX$3*'Yield 1Y'!AE240</f>
        <v>0</v>
      </c>
      <c r="AY186" s="72">
        <f>AY$3*'Yield 1Y'!AF240</f>
        <v>0</v>
      </c>
      <c r="AZ186" s="72">
        <f>AZ$3*'Yield 1Y'!AG240</f>
        <v>-1.350855122049504</v>
      </c>
      <c r="BA186" s="72">
        <f>BA$3*'Yield 1Y'!AH240</f>
        <v>-15.822547198728978</v>
      </c>
      <c r="BB186" s="72">
        <f>BB$3*'Yield 1Y'!AI240</f>
        <v>-6.3136085633019974</v>
      </c>
      <c r="BC186" s="72">
        <f>BC$3*'Yield 1Y'!AJ240</f>
        <v>0</v>
      </c>
      <c r="BD186" s="72">
        <f>BD$3*'Yield 1Y'!AK240</f>
        <v>0</v>
      </c>
      <c r="BE186" s="177">
        <f t="shared" si="21"/>
        <v>23.48701088408048</v>
      </c>
      <c r="BF186" s="124">
        <f>VLOOKUP(AT186,'Yield 1Y'!$F:$G,2,0)</f>
        <v>45987</v>
      </c>
      <c r="BG186" s="318">
        <f t="shared" si="23"/>
        <v>13</v>
      </c>
    </row>
    <row r="187" spans="1:59" x14ac:dyDescent="0.3">
      <c r="A187" s="37">
        <v>11</v>
      </c>
      <c r="B187" s="72">
        <f>'Yield 1Y'!R13*B$3</f>
        <v>0</v>
      </c>
      <c r="C187" s="72">
        <f>'Yield 1Y'!S13*C$3</f>
        <v>0</v>
      </c>
      <c r="D187" s="72">
        <f>'Yield 1Y'!T13*D$3</f>
        <v>0</v>
      </c>
      <c r="E187" s="72">
        <f>'Yield 1Y'!U13*E$3</f>
        <v>-8.6544258255162154E-2</v>
      </c>
      <c r="F187" s="72">
        <f>'Yield 1Y'!V13*F$3</f>
        <v>-2.3382033598462883E-2</v>
      </c>
      <c r="G187" s="72">
        <f>'Yield 1Y'!W13*G$3</f>
        <v>-2.1641930785891628</v>
      </c>
      <c r="H187" s="72">
        <f>'Yield 1Y'!X13*H$3</f>
        <v>-0.8280960013881612</v>
      </c>
      <c r="I187" s="72">
        <f>'Yield 1Y'!Y13*I$3</f>
        <v>0</v>
      </c>
      <c r="J187" s="72">
        <f>'Yield 1Y'!Z13*J$3</f>
        <v>0</v>
      </c>
      <c r="K187" s="72">
        <f>'Yield 1Y'!AA13*K$3</f>
        <v>0</v>
      </c>
      <c r="L187" s="177">
        <f t="shared" si="16"/>
        <v>3.1022153718309489</v>
      </c>
      <c r="M187" s="124">
        <f>VLOOKUP(A187,'Yield 1Y'!$F:$G,2,0)</f>
        <v>46238</v>
      </c>
      <c r="N187" s="318">
        <f t="shared" si="17"/>
        <v>93</v>
      </c>
      <c r="P187" s="37">
        <v>184</v>
      </c>
      <c r="Q187" s="72">
        <f>Q$3*'Yield 1Y'!R186</f>
        <v>0</v>
      </c>
      <c r="R187" s="72">
        <f>R$3*'Yield 1Y'!S186</f>
        <v>0</v>
      </c>
      <c r="S187" s="72">
        <f>S$3*'Yield 1Y'!T186</f>
        <v>0</v>
      </c>
      <c r="T187" s="72">
        <f>T$3*'Yield 1Y'!U186</f>
        <v>0</v>
      </c>
      <c r="U187" s="72">
        <f>U$3*'Yield 1Y'!V186</f>
        <v>0</v>
      </c>
      <c r="V187" s="72">
        <f>V$3*'Yield 1Y'!W186</f>
        <v>3.823174873725145E-2</v>
      </c>
      <c r="W187" s="72">
        <f>W$3*'Yield 1Y'!X186</f>
        <v>-2.0489629465980275</v>
      </c>
      <c r="X187" s="72">
        <f>X$3*'Yield 1Y'!Y186</f>
        <v>3.9959547868995603E-2</v>
      </c>
      <c r="Y187" s="72">
        <f>Y$3*'Yield 1Y'!Z186</f>
        <v>0</v>
      </c>
      <c r="Z187" s="72">
        <f>Z$3*'Yield 1Y'!AA186</f>
        <v>0</v>
      </c>
      <c r="AA187" s="177">
        <f t="shared" si="18"/>
        <v>1.9707716499917804</v>
      </c>
      <c r="AB187" s="124">
        <f>VLOOKUP(P187,'Yield 1Y'!$F:$G,2,0)</f>
        <v>45981</v>
      </c>
      <c r="AC187" s="318">
        <f t="shared" si="22"/>
        <v>34</v>
      </c>
      <c r="AE187" s="37">
        <v>199</v>
      </c>
      <c r="AF187" s="72">
        <f>AF$3*'Yield 1Y'!AB201</f>
        <v>0</v>
      </c>
      <c r="AG187" s="72">
        <f>AG$3*'Yield 1Y'!AC201</f>
        <v>0</v>
      </c>
      <c r="AH187" s="72">
        <f>AH$3*'Yield 1Y'!AD201</f>
        <v>-0.44259490892995229</v>
      </c>
      <c r="AI187" s="72">
        <f>AI$3*'Yield 1Y'!AE201</f>
        <v>-1.6443409068482602</v>
      </c>
      <c r="AJ187" s="72">
        <f>AJ$3*'Yield 1Y'!AF201</f>
        <v>-0.22446752254520877</v>
      </c>
      <c r="AK187" s="72">
        <f>AK$3*'Yield 1Y'!AG201</f>
        <v>-15.960923954595104</v>
      </c>
      <c r="AL187" s="72">
        <f>AL$3*'Yield 1Y'!AH201</f>
        <v>-19.874304033318076</v>
      </c>
      <c r="AM187" s="72">
        <f>AM$3*'Yield 1Y'!AI201</f>
        <v>-10.090731644725743</v>
      </c>
      <c r="AN187" s="72">
        <f>AN$3*'Yield 1Y'!AJ201</f>
        <v>0</v>
      </c>
      <c r="AO187" s="72">
        <f>AO$3*'Yield 1Y'!AK201</f>
        <v>0</v>
      </c>
      <c r="AP187" s="177">
        <f t="shared" si="19"/>
        <v>48.237362970962344</v>
      </c>
      <c r="AQ187" s="124">
        <f>VLOOKUP(AE187,'Yield 1Y'!$F:$G,2,0)</f>
        <v>45960</v>
      </c>
      <c r="AR187" s="318">
        <f t="shared" si="20"/>
        <v>88</v>
      </c>
      <c r="AT187" s="37">
        <v>181</v>
      </c>
      <c r="AU187" s="72">
        <f>AU$3*'Yield 1Y'!AB203</f>
        <v>0</v>
      </c>
      <c r="AV187" s="72">
        <f>AV$3*'Yield 1Y'!AC203</f>
        <v>0</v>
      </c>
      <c r="AW187" s="72">
        <f>AW$3*'Yield 1Y'!AD203</f>
        <v>0</v>
      </c>
      <c r="AX187" s="72">
        <f>AX$3*'Yield 1Y'!AE203</f>
        <v>0</v>
      </c>
      <c r="AY187" s="72">
        <f>AY$3*'Yield 1Y'!AF203</f>
        <v>0</v>
      </c>
      <c r="AZ187" s="72">
        <f>AZ$3*'Yield 1Y'!AG203</f>
        <v>-0.75189105849924642</v>
      </c>
      <c r="BA187" s="72">
        <f>BA$3*'Yield 1Y'!AH203</f>
        <v>-8.3096830612029962</v>
      </c>
      <c r="BB187" s="72">
        <f>BB$3*'Yield 1Y'!AI203</f>
        <v>-2.1578155849259932</v>
      </c>
      <c r="BC187" s="72">
        <f>BC$3*'Yield 1Y'!AJ203</f>
        <v>0</v>
      </c>
      <c r="BD187" s="72">
        <f>BD$3*'Yield 1Y'!AK203</f>
        <v>0</v>
      </c>
      <c r="BE187" s="177">
        <f t="shared" si="21"/>
        <v>11.219389704628236</v>
      </c>
      <c r="BF187" s="124">
        <f>VLOOKUP(AT187,'Yield 1Y'!$F:$G,2,0)</f>
        <v>45986</v>
      </c>
      <c r="BG187" s="318">
        <f t="shared" si="23"/>
        <v>50</v>
      </c>
    </row>
    <row r="188" spans="1:59" x14ac:dyDescent="0.3">
      <c r="A188" s="37">
        <v>21</v>
      </c>
      <c r="B188" s="72">
        <f>'Yield 1Y'!R23*B$3</f>
        <v>0</v>
      </c>
      <c r="C188" s="72">
        <f>'Yield 1Y'!S23*C$3</f>
        <v>0</v>
      </c>
      <c r="D188" s="72">
        <f>'Yield 1Y'!T23*D$3</f>
        <v>-0.11986945450186216</v>
      </c>
      <c r="E188" s="72">
        <f>'Yield 1Y'!U23*E$3</f>
        <v>-0.20193660259539117</v>
      </c>
      <c r="F188" s="72">
        <f>'Yield 1Y'!V23*F$3</f>
        <v>-9.3528134393868149E-3</v>
      </c>
      <c r="G188" s="72">
        <f>'Yield 1Y'!W23*G$3</f>
        <v>-0.81157240447096601</v>
      </c>
      <c r="H188" s="72">
        <f>'Yield 1Y'!X23*H$3</f>
        <v>-2.4842880041648514</v>
      </c>
      <c r="I188" s="72">
        <f>'Yield 1Y'!Y23*I$3</f>
        <v>0</v>
      </c>
      <c r="J188" s="72">
        <f>'Yield 1Y'!Z23*J$3</f>
        <v>0</v>
      </c>
      <c r="K188" s="72">
        <f>'Yield 1Y'!AA23*K$3</f>
        <v>0</v>
      </c>
      <c r="L188" s="177">
        <f t="shared" si="16"/>
        <v>3.6270192791724574</v>
      </c>
      <c r="M188" s="124">
        <f>VLOOKUP(A188,'Yield 1Y'!$F:$G,2,0)</f>
        <v>46224</v>
      </c>
      <c r="N188" s="318">
        <f t="shared" si="17"/>
        <v>77</v>
      </c>
      <c r="P188" s="37">
        <v>185</v>
      </c>
      <c r="Q188" s="72">
        <f>Q$3*'Yield 1Y'!R187</f>
        <v>0</v>
      </c>
      <c r="R188" s="72">
        <f>R$3*'Yield 1Y'!S187</f>
        <v>0</v>
      </c>
      <c r="S188" s="72">
        <f>S$3*'Yield 1Y'!T187</f>
        <v>0</v>
      </c>
      <c r="T188" s="72">
        <f>T$3*'Yield 1Y'!U187</f>
        <v>0</v>
      </c>
      <c r="U188" s="72">
        <f>U$3*'Yield 1Y'!V187</f>
        <v>0</v>
      </c>
      <c r="V188" s="72">
        <f>V$3*'Yield 1Y'!W187</f>
        <v>0</v>
      </c>
      <c r="W188" s="72">
        <f>W$3*'Yield 1Y'!X187</f>
        <v>0</v>
      </c>
      <c r="X188" s="72">
        <f>X$3*'Yield 1Y'!Y187</f>
        <v>0</v>
      </c>
      <c r="Y188" s="72">
        <f>Y$3*'Yield 1Y'!Z187</f>
        <v>0</v>
      </c>
      <c r="Z188" s="72">
        <f>Z$3*'Yield 1Y'!AA187</f>
        <v>0</v>
      </c>
      <c r="AA188" s="177">
        <f t="shared" si="18"/>
        <v>0</v>
      </c>
      <c r="AB188" s="124">
        <f>VLOOKUP(P188,'Yield 1Y'!$F:$G,2,0)</f>
        <v>45980</v>
      </c>
      <c r="AC188" s="318">
        <f t="shared" si="22"/>
        <v>179</v>
      </c>
      <c r="AE188" s="37">
        <v>198</v>
      </c>
      <c r="AF188" s="72">
        <f>AF$3*'Yield 1Y'!AB200</f>
        <v>0</v>
      </c>
      <c r="AG188" s="72">
        <f>AG$3*'Yield 1Y'!AC200</f>
        <v>0</v>
      </c>
      <c r="AH188" s="72">
        <f>AH$3*'Yield 1Y'!AD200</f>
        <v>-0.3872705453137098</v>
      </c>
      <c r="AI188" s="72">
        <f>AI$3*'Yield 1Y'!AE200</f>
        <v>-1.9328217676988393</v>
      </c>
      <c r="AJ188" s="72">
        <f>AJ$3*'Yield 1Y'!AF200</f>
        <v>-0.19640908222705872</v>
      </c>
      <c r="AK188" s="72">
        <f>AK$3*'Yield 1Y'!AG200</f>
        <v>-19.207213572478846</v>
      </c>
      <c r="AL188" s="72">
        <f>AL$3*'Yield 1Y'!AH200</f>
        <v>-16.975968028459143</v>
      </c>
      <c r="AM188" s="72">
        <f>AM$3*'Yield 1Y'!AI200</f>
        <v>-9.0816584802531377</v>
      </c>
      <c r="AN188" s="72">
        <f>AN$3*'Yield 1Y'!AJ200</f>
        <v>0</v>
      </c>
      <c r="AO188" s="72">
        <f>AO$3*'Yield 1Y'!AK200</f>
        <v>0</v>
      </c>
      <c r="AP188" s="177">
        <f t="shared" si="19"/>
        <v>47.78134147643074</v>
      </c>
      <c r="AQ188" s="124">
        <f>VLOOKUP(AE188,'Yield 1Y'!$F:$G,2,0)</f>
        <v>45961</v>
      </c>
      <c r="AR188" s="318">
        <f t="shared" si="20"/>
        <v>89</v>
      </c>
      <c r="AT188" s="37">
        <v>182</v>
      </c>
      <c r="AU188" s="72">
        <f>AU$3*'Yield 1Y'!AB100</f>
        <v>0</v>
      </c>
      <c r="AV188" s="72">
        <f>AV$3*'Yield 1Y'!AC100</f>
        <v>0</v>
      </c>
      <c r="AW188" s="72">
        <f>AW$3*'Yield 1Y'!AD100</f>
        <v>0</v>
      </c>
      <c r="AX188" s="72">
        <f>AX$3*'Yield 1Y'!AE100</f>
        <v>0</v>
      </c>
      <c r="AY188" s="72">
        <f>AY$3*'Yield 1Y'!AF100</f>
        <v>0</v>
      </c>
      <c r="AZ188" s="72">
        <f>AZ$3*'Yield 1Y'!AG100</f>
        <v>-0.36957357112674893</v>
      </c>
      <c r="BA188" s="72">
        <f>BA$3*'Yield 1Y'!AH100</f>
        <v>-2.3904567710309896</v>
      </c>
      <c r="BB188" s="72">
        <f>BB$3*'Yield 1Y'!AI100</f>
        <v>-0.6393527659040007</v>
      </c>
      <c r="BC188" s="72">
        <f>BC$3*'Yield 1Y'!AJ100</f>
        <v>0</v>
      </c>
      <c r="BD188" s="72">
        <f>BD$3*'Yield 1Y'!AK100</f>
        <v>0</v>
      </c>
      <c r="BE188" s="177">
        <f t="shared" si="21"/>
        <v>3.3993831080617394</v>
      </c>
      <c r="BF188" s="124">
        <f>VLOOKUP(AT188,'Yield 1Y'!$F:$G,2,0)</f>
        <v>45985</v>
      </c>
      <c r="BG188" s="318">
        <f t="shared" si="23"/>
        <v>190</v>
      </c>
    </row>
    <row r="189" spans="1:59" x14ac:dyDescent="0.3">
      <c r="A189" s="37">
        <v>241</v>
      </c>
      <c r="B189" s="72">
        <f>'Yield 1Y'!R243*B$3</f>
        <v>0</v>
      </c>
      <c r="C189" s="72">
        <f>'Yield 1Y'!S243*C$3</f>
        <v>0</v>
      </c>
      <c r="D189" s="72">
        <f>'Yield 1Y'!T243*D$3</f>
        <v>-9.2207272693738865E-2</v>
      </c>
      <c r="E189" s="72">
        <f>'Yield 1Y'!U243*E$3</f>
        <v>-0.14424043042529588</v>
      </c>
      <c r="F189" s="72">
        <f>'Yield 1Y'!V243*F$3</f>
        <v>0</v>
      </c>
      <c r="G189" s="72">
        <f>'Yield 1Y'!W243*G$3</f>
        <v>-2.4347172134127777</v>
      </c>
      <c r="H189" s="72">
        <f>'Yield 1Y'!X243*H$3</f>
        <v>-1.6561920027765062</v>
      </c>
      <c r="I189" s="72">
        <f>'Yield 1Y'!Y243*I$3</f>
        <v>2.018146328945059</v>
      </c>
      <c r="J189" s="72">
        <f>'Yield 1Y'!Z243*J$3</f>
        <v>0</v>
      </c>
      <c r="K189" s="72">
        <f>'Yield 1Y'!AA243*K$3</f>
        <v>0</v>
      </c>
      <c r="L189" s="177">
        <f t="shared" si="16"/>
        <v>2.3092105903632594</v>
      </c>
      <c r="M189" s="124">
        <f>VLOOKUP(A189,'Yield 1Y'!$F:$G,2,0)</f>
        <v>45898</v>
      </c>
      <c r="N189" s="318">
        <f t="shared" si="17"/>
        <v>113</v>
      </c>
      <c r="P189" s="37">
        <v>186</v>
      </c>
      <c r="Q189" s="72">
        <f>Q$3*'Yield 1Y'!R188</f>
        <v>0</v>
      </c>
      <c r="R189" s="72">
        <f>R$3*'Yield 1Y'!S188</f>
        <v>0</v>
      </c>
      <c r="S189" s="72">
        <f>S$3*'Yield 1Y'!T188</f>
        <v>0</v>
      </c>
      <c r="T189" s="72">
        <f>T$3*'Yield 1Y'!U188</f>
        <v>0</v>
      </c>
      <c r="U189" s="72">
        <f>U$3*'Yield 1Y'!V188</f>
        <v>0</v>
      </c>
      <c r="V189" s="72">
        <f>V$3*'Yield 1Y'!W188</f>
        <v>0</v>
      </c>
      <c r="W189" s="72">
        <f>W$3*'Yield 1Y'!X188</f>
        <v>0</v>
      </c>
      <c r="X189" s="72">
        <f>X$3*'Yield 1Y'!Y188</f>
        <v>-0.19979773934499578</v>
      </c>
      <c r="Y189" s="72">
        <f>Y$3*'Yield 1Y'!Z188</f>
        <v>0</v>
      </c>
      <c r="Z189" s="72">
        <f>Z$3*'Yield 1Y'!AA188</f>
        <v>0</v>
      </c>
      <c r="AA189" s="177">
        <f t="shared" si="18"/>
        <v>0.19979773934499578</v>
      </c>
      <c r="AB189" s="124">
        <f>VLOOKUP(P189,'Yield 1Y'!$F:$G,2,0)</f>
        <v>45979</v>
      </c>
      <c r="AC189" s="318">
        <f t="shared" si="22"/>
        <v>145</v>
      </c>
      <c r="AE189" s="37">
        <v>50</v>
      </c>
      <c r="AF189" s="72">
        <f>AF$3*'Yield 1Y'!AB52</f>
        <v>0</v>
      </c>
      <c r="AG189" s="72">
        <f>AG$3*'Yield 1Y'!AC52</f>
        <v>0</v>
      </c>
      <c r="AH189" s="72">
        <f>AH$3*'Yield 1Y'!AD52</f>
        <v>-0.67311309066430769</v>
      </c>
      <c r="AI189" s="72">
        <f>AI$3*'Yield 1Y'!AE52</f>
        <v>-4.5003014292689185</v>
      </c>
      <c r="AJ189" s="72">
        <f>AJ$3*'Yield 1Y'!AF52</f>
        <v>-0.3413776905375045</v>
      </c>
      <c r="AK189" s="72">
        <f>AK$3*'Yield 1Y'!AG52</f>
        <v>-41.660716762841318</v>
      </c>
      <c r="AL189" s="72">
        <f>AL$3*'Yield 1Y'!AH52</f>
        <v>-31.053600052059355</v>
      </c>
      <c r="AM189" s="72">
        <f>AM$3*'Yield 1Y'!AI52</f>
        <v>-22.535967339887364</v>
      </c>
      <c r="AN189" s="72">
        <f>AN$3*'Yield 1Y'!AJ52</f>
        <v>0</v>
      </c>
      <c r="AO189" s="72">
        <f>AO$3*'Yield 1Y'!AK52</f>
        <v>0</v>
      </c>
      <c r="AP189" s="177">
        <f t="shared" si="19"/>
        <v>100.76507636525876</v>
      </c>
      <c r="AQ189" s="124">
        <f>VLOOKUP(AE189,'Yield 1Y'!$F:$G,2,0)</f>
        <v>46183</v>
      </c>
      <c r="AR189" s="318">
        <f t="shared" si="20"/>
        <v>37</v>
      </c>
      <c r="AT189" s="37">
        <v>183</v>
      </c>
      <c r="AU189" s="72">
        <f>AU$3*'Yield 1Y'!AB233</f>
        <v>0</v>
      </c>
      <c r="AV189" s="72">
        <f>AV$3*'Yield 1Y'!AC233</f>
        <v>0</v>
      </c>
      <c r="AW189" s="72">
        <f>AW$3*'Yield 1Y'!AD233</f>
        <v>0</v>
      </c>
      <c r="AX189" s="72">
        <f>AX$3*'Yield 1Y'!AE233</f>
        <v>0</v>
      </c>
      <c r="AY189" s="72">
        <f>AY$3*'Yield 1Y'!AF233</f>
        <v>0</v>
      </c>
      <c r="AZ189" s="72">
        <f>AZ$3*'Yield 1Y'!AG233</f>
        <v>-0.29311007365224601</v>
      </c>
      <c r="BA189" s="72">
        <f>BA$3*'Yield 1Y'!AH233</f>
        <v>-3.6426007939520035</v>
      </c>
      <c r="BB189" s="72">
        <f>BB$3*'Yield 1Y'!AI233</f>
        <v>-0.55943367016599166</v>
      </c>
      <c r="BC189" s="72">
        <f>BC$3*'Yield 1Y'!AJ233</f>
        <v>0</v>
      </c>
      <c r="BD189" s="72">
        <f>BD$3*'Yield 1Y'!AK233</f>
        <v>0</v>
      </c>
      <c r="BE189" s="177">
        <f t="shared" si="21"/>
        <v>4.4951445377702415</v>
      </c>
      <c r="BF189" s="124">
        <f>VLOOKUP(AT189,'Yield 1Y'!$F:$G,2,0)</f>
        <v>45982</v>
      </c>
      <c r="BG189" s="318">
        <f t="shared" si="23"/>
        <v>174</v>
      </c>
    </row>
    <row r="190" spans="1:59" x14ac:dyDescent="0.3">
      <c r="A190" s="37">
        <v>156</v>
      </c>
      <c r="B190" s="72">
        <f>'Yield 1Y'!R158*B$3</f>
        <v>0</v>
      </c>
      <c r="C190" s="72">
        <f>'Yield 1Y'!S158*C$3</f>
        <v>0</v>
      </c>
      <c r="D190" s="72">
        <f>'Yield 1Y'!T158*D$3</f>
        <v>0</v>
      </c>
      <c r="E190" s="72">
        <f>'Yield 1Y'!U158*E$3</f>
        <v>0</v>
      </c>
      <c r="F190" s="72">
        <f>'Yield 1Y'!V158*F$3</f>
        <v>0</v>
      </c>
      <c r="G190" s="72">
        <f>'Yield 1Y'!W158*G$3</f>
        <v>0</v>
      </c>
      <c r="H190" s="72">
        <f>'Yield 1Y'!X158*H$3</f>
        <v>0</v>
      </c>
      <c r="I190" s="72">
        <f>'Yield 1Y'!Y158*I$3</f>
        <v>0</v>
      </c>
      <c r="J190" s="72">
        <f>'Yield 1Y'!Z158*J$3</f>
        <v>0</v>
      </c>
      <c r="K190" s="72">
        <f>'Yield 1Y'!AA158*K$3</f>
        <v>0</v>
      </c>
      <c r="L190" s="177">
        <f t="shared" si="16"/>
        <v>0</v>
      </c>
      <c r="M190" s="124">
        <f>VLOOKUP(A190,'Yield 1Y'!$F:$G,2,0)</f>
        <v>46021</v>
      </c>
      <c r="N190" s="318">
        <f t="shared" si="17"/>
        <v>195.5</v>
      </c>
      <c r="P190" s="37">
        <v>187</v>
      </c>
      <c r="Q190" s="72">
        <f>Q$3*'Yield 1Y'!R189</f>
        <v>0</v>
      </c>
      <c r="R190" s="72">
        <f>R$3*'Yield 1Y'!S189</f>
        <v>0</v>
      </c>
      <c r="S190" s="72">
        <f>S$3*'Yield 1Y'!T189</f>
        <v>0</v>
      </c>
      <c r="T190" s="72">
        <f>T$3*'Yield 1Y'!U189</f>
        <v>0</v>
      </c>
      <c r="U190" s="72">
        <f>U$3*'Yield 1Y'!V189</f>
        <v>0</v>
      </c>
      <c r="V190" s="72">
        <f>V$3*'Yield 1Y'!W189</f>
        <v>0</v>
      </c>
      <c r="W190" s="72">
        <f>W$3*'Yield 1Y'!X189</f>
        <v>-0.22766254962197496</v>
      </c>
      <c r="X190" s="72">
        <f>X$3*'Yield 1Y'!Y189</f>
        <v>-0.19979773934499578</v>
      </c>
      <c r="Y190" s="72">
        <f>Y$3*'Yield 1Y'!Z189</f>
        <v>0</v>
      </c>
      <c r="Z190" s="72">
        <f>Z$3*'Yield 1Y'!AA189</f>
        <v>0</v>
      </c>
      <c r="AA190" s="177">
        <f t="shared" si="18"/>
        <v>0.42746028896697075</v>
      </c>
      <c r="AB190" s="124">
        <f>VLOOKUP(P190,'Yield 1Y'!$F:$G,2,0)</f>
        <v>45978</v>
      </c>
      <c r="AC190" s="318">
        <f t="shared" si="22"/>
        <v>106</v>
      </c>
      <c r="AE190" s="37">
        <v>31</v>
      </c>
      <c r="AF190" s="72">
        <f>AF$3*'Yield 1Y'!AB33</f>
        <v>0</v>
      </c>
      <c r="AG190" s="72">
        <f>AG$3*'Yield 1Y'!AC33</f>
        <v>0</v>
      </c>
      <c r="AH190" s="72">
        <f>AH$3*'Yield 1Y'!AD33</f>
        <v>-0.1936352726568549</v>
      </c>
      <c r="AI190" s="72">
        <f>AI$3*'Yield 1Y'!AE33</f>
        <v>-0.60580980778619908</v>
      </c>
      <c r="AJ190" s="72">
        <f>AJ$3*'Yield 1Y'!AF33</f>
        <v>-0.13561579487106312</v>
      </c>
      <c r="AK190" s="72">
        <f>AK$3*'Yield 1Y'!AG33</f>
        <v>-5.6810068312965214</v>
      </c>
      <c r="AL190" s="72">
        <f>AL$3*'Yield 1Y'!AH33</f>
        <v>-7.0388160118002894</v>
      </c>
      <c r="AM190" s="72">
        <f>AM$3*'Yield 1Y'!AI33</f>
        <v>-4.7090081008719036</v>
      </c>
      <c r="AN190" s="72">
        <f>AN$3*'Yield 1Y'!AJ33</f>
        <v>0</v>
      </c>
      <c r="AO190" s="72">
        <f>AO$3*'Yield 1Y'!AK33</f>
        <v>0</v>
      </c>
      <c r="AP190" s="177">
        <f t="shared" si="19"/>
        <v>18.363891819282834</v>
      </c>
      <c r="AQ190" s="124">
        <f>VLOOKUP(AE190,'Yield 1Y'!$F:$G,2,0)</f>
        <v>46210</v>
      </c>
      <c r="AR190" s="318">
        <f t="shared" si="20"/>
        <v>209</v>
      </c>
      <c r="AT190" s="37">
        <v>184</v>
      </c>
      <c r="AU190" s="72">
        <f>AU$3*'Yield 1Y'!AB246</f>
        <v>0</v>
      </c>
      <c r="AV190" s="72">
        <f>AV$3*'Yield 1Y'!AC246</f>
        <v>0</v>
      </c>
      <c r="AW190" s="72">
        <f>AW$3*'Yield 1Y'!AD246</f>
        <v>0</v>
      </c>
      <c r="AX190" s="72">
        <f>AX$3*'Yield 1Y'!AE246</f>
        <v>0</v>
      </c>
      <c r="AY190" s="72">
        <f>AY$3*'Yield 1Y'!AF246</f>
        <v>0</v>
      </c>
      <c r="AZ190" s="72">
        <f>AZ$3*'Yield 1Y'!AG246</f>
        <v>-1.7204286931762474</v>
      </c>
      <c r="BA190" s="72">
        <f>BA$3*'Yield 1Y'!AH246</f>
        <v>-18.895991618626045</v>
      </c>
      <c r="BB190" s="72">
        <f>BB$3*'Yield 1Y'!AI246</f>
        <v>-7.9919095738000081</v>
      </c>
      <c r="BC190" s="72">
        <f>BC$3*'Yield 1Y'!AJ246</f>
        <v>0</v>
      </c>
      <c r="BD190" s="72">
        <f>BD$3*'Yield 1Y'!AK246</f>
        <v>0</v>
      </c>
      <c r="BE190" s="177">
        <f t="shared" si="21"/>
        <v>28.608329885602302</v>
      </c>
      <c r="BF190" s="124">
        <f>VLOOKUP(AT190,'Yield 1Y'!$F:$G,2,0)</f>
        <v>45981</v>
      </c>
      <c r="BG190" s="318">
        <f t="shared" si="23"/>
        <v>3</v>
      </c>
    </row>
    <row r="191" spans="1:59" x14ac:dyDescent="0.3">
      <c r="A191" s="37">
        <v>214</v>
      </c>
      <c r="B191" s="72">
        <f>'Yield 1Y'!R216*B$3</f>
        <v>0</v>
      </c>
      <c r="C191" s="72">
        <f>'Yield 1Y'!S216*C$3</f>
        <v>0</v>
      </c>
      <c r="D191" s="72">
        <f>'Yield 1Y'!T216*D$3</f>
        <v>-0.12909018177123524</v>
      </c>
      <c r="E191" s="72">
        <f>'Yield 1Y'!U216*E$3</f>
        <v>-0.77889832429654904</v>
      </c>
      <c r="F191" s="72">
        <f>'Yield 1Y'!V216*F$3</f>
        <v>-0.17770345534829132</v>
      </c>
      <c r="G191" s="72">
        <f>'Yield 1Y'!W216*G$3</f>
        <v>-3.7873378875309744</v>
      </c>
      <c r="H191" s="72">
        <f>'Yield 1Y'!X216*H$3</f>
        <v>-16.561920027765062</v>
      </c>
      <c r="I191" s="72">
        <f>'Yield 1Y'!Y216*I$3</f>
        <v>-7.06351215130793</v>
      </c>
      <c r="J191" s="72">
        <f>'Yield 1Y'!Z216*J$3</f>
        <v>0</v>
      </c>
      <c r="K191" s="72">
        <f>'Yield 1Y'!AA216*K$3</f>
        <v>0</v>
      </c>
      <c r="L191" s="177">
        <f t="shared" si="16"/>
        <v>28.49846202802004</v>
      </c>
      <c r="M191" s="124">
        <f>VLOOKUP(A191,'Yield 1Y'!$F:$G,2,0)</f>
        <v>45939</v>
      </c>
      <c r="N191" s="318">
        <f t="shared" si="17"/>
        <v>12</v>
      </c>
      <c r="P191" s="37">
        <v>188</v>
      </c>
      <c r="Q191" s="72">
        <f>Q$3*'Yield 1Y'!R190</f>
        <v>0</v>
      </c>
      <c r="R191" s="72">
        <f>R$3*'Yield 1Y'!S190</f>
        <v>0</v>
      </c>
      <c r="S191" s="72">
        <f>S$3*'Yield 1Y'!T190</f>
        <v>0</v>
      </c>
      <c r="T191" s="72">
        <f>T$3*'Yield 1Y'!U190</f>
        <v>0</v>
      </c>
      <c r="U191" s="72">
        <f>U$3*'Yield 1Y'!V190</f>
        <v>0</v>
      </c>
      <c r="V191" s="72">
        <f>V$3*'Yield 1Y'!W190</f>
        <v>0</v>
      </c>
      <c r="W191" s="72">
        <f>W$3*'Yield 1Y'!X190</f>
        <v>0</v>
      </c>
      <c r="X191" s="72">
        <f>X$3*'Yield 1Y'!Y190</f>
        <v>0</v>
      </c>
      <c r="Y191" s="72">
        <f>Y$3*'Yield 1Y'!Z190</f>
        <v>0</v>
      </c>
      <c r="Z191" s="72">
        <f>Z$3*'Yield 1Y'!AA190</f>
        <v>0</v>
      </c>
      <c r="AA191" s="177">
        <f t="shared" si="18"/>
        <v>0</v>
      </c>
      <c r="AB191" s="124">
        <f>VLOOKUP(P191,'Yield 1Y'!$F:$G,2,0)</f>
        <v>45975</v>
      </c>
      <c r="AC191" s="318">
        <f t="shared" si="22"/>
        <v>179</v>
      </c>
      <c r="AE191" s="37">
        <v>178</v>
      </c>
      <c r="AF191" s="72">
        <f>AF$3*'Yield 1Y'!AB180</f>
        <v>0</v>
      </c>
      <c r="AG191" s="72">
        <f>AG$3*'Yield 1Y'!AC180</f>
        <v>0</v>
      </c>
      <c r="AH191" s="72">
        <f>AH$3*'Yield 1Y'!AD180</f>
        <v>-0.18441454538748184</v>
      </c>
      <c r="AI191" s="72">
        <f>AI$3*'Yield 1Y'!AE180</f>
        <v>-0.28848086085057895</v>
      </c>
      <c r="AJ191" s="72">
        <f>AJ$3*'Yield 1Y'!AF180</f>
        <v>-9.82045411135304E-2</v>
      </c>
      <c r="AK191" s="72">
        <f>AK$3*'Yield 1Y'!AG180</f>
        <v>-2.1641930785891628</v>
      </c>
      <c r="AL191" s="72">
        <f>AL$3*'Yield 1Y'!AH180</f>
        <v>-15.733824026376901</v>
      </c>
      <c r="AM191" s="72">
        <f>AM$3*'Yield 1Y'!AI180</f>
        <v>-7.06351215130793</v>
      </c>
      <c r="AN191" s="72">
        <f>AN$3*'Yield 1Y'!AJ180</f>
        <v>0</v>
      </c>
      <c r="AO191" s="72">
        <f>AO$3*'Yield 1Y'!AK180</f>
        <v>0</v>
      </c>
      <c r="AP191" s="177">
        <f t="shared" si="19"/>
        <v>25.532629203625586</v>
      </c>
      <c r="AQ191" s="124">
        <f>VLOOKUP(AE191,'Yield 1Y'!$F:$G,2,0)</f>
        <v>45989</v>
      </c>
      <c r="AR191" s="318">
        <f t="shared" si="20"/>
        <v>181</v>
      </c>
      <c r="AT191" s="37">
        <v>185</v>
      </c>
      <c r="AU191" s="72">
        <f>AU$3*'Yield 1Y'!AB243</f>
        <v>0</v>
      </c>
      <c r="AV191" s="72">
        <f>AV$3*'Yield 1Y'!AC243</f>
        <v>0</v>
      </c>
      <c r="AW191" s="72">
        <f>AW$3*'Yield 1Y'!AD243</f>
        <v>0</v>
      </c>
      <c r="AX191" s="72">
        <f>AX$3*'Yield 1Y'!AE243</f>
        <v>0</v>
      </c>
      <c r="AY191" s="72">
        <f>AY$3*'Yield 1Y'!AF243</f>
        <v>0</v>
      </c>
      <c r="AZ191" s="72">
        <f>AZ$3*'Yield 1Y'!AG243</f>
        <v>-1.3890868707867499</v>
      </c>
      <c r="BA191" s="72">
        <f>BA$3*'Yield 1Y'!AH243</f>
        <v>-16.27787229797298</v>
      </c>
      <c r="BB191" s="72">
        <f>BB$3*'Yield 1Y'!AI243</f>
        <v>-6.3535681111710112</v>
      </c>
      <c r="BC191" s="72">
        <f>BC$3*'Yield 1Y'!AJ243</f>
        <v>0</v>
      </c>
      <c r="BD191" s="72">
        <f>BD$3*'Yield 1Y'!AK243</f>
        <v>0</v>
      </c>
      <c r="BE191" s="177">
        <f t="shared" si="21"/>
        <v>24.020527279930739</v>
      </c>
      <c r="BF191" s="124">
        <f>VLOOKUP(AT191,'Yield 1Y'!$F:$G,2,0)</f>
        <v>45980</v>
      </c>
      <c r="BG191" s="318">
        <f t="shared" si="23"/>
        <v>10</v>
      </c>
    </row>
    <row r="192" spans="1:59" x14ac:dyDescent="0.3">
      <c r="A192" s="37">
        <v>209</v>
      </c>
      <c r="B192" s="72">
        <f>'Yield 1Y'!R211*B$3</f>
        <v>0</v>
      </c>
      <c r="C192" s="72">
        <f>'Yield 1Y'!S211*C$3</f>
        <v>0</v>
      </c>
      <c r="D192" s="72">
        <f>'Yield 1Y'!T211*D$3</f>
        <v>-0.23051818173435126</v>
      </c>
      <c r="E192" s="72">
        <f>'Yield 1Y'!U211*E$3</f>
        <v>-0.69235406604136129</v>
      </c>
      <c r="F192" s="72">
        <f>'Yield 1Y'!V211*F$3</f>
        <v>-0.10288094783321965</v>
      </c>
      <c r="G192" s="72">
        <f>'Yield 1Y'!W211*G$3</f>
        <v>-6.7631033705911028</v>
      </c>
      <c r="H192" s="72">
        <f>'Yield 1Y'!X211*H$3</f>
        <v>-7.8669120131884505</v>
      </c>
      <c r="I192" s="72">
        <f>'Yield 1Y'!Y211*I$3</f>
        <v>-5.7180812653445079</v>
      </c>
      <c r="J192" s="72">
        <f>'Yield 1Y'!Z211*J$3</f>
        <v>0</v>
      </c>
      <c r="K192" s="72">
        <f>'Yield 1Y'!AA211*K$3</f>
        <v>0</v>
      </c>
      <c r="L192" s="177">
        <f t="shared" si="16"/>
        <v>21.373849844732995</v>
      </c>
      <c r="M192" s="124">
        <f>VLOOKUP(A192,'Yield 1Y'!$F:$G,2,0)</f>
        <v>45946</v>
      </c>
      <c r="N192" s="318">
        <f t="shared" si="17"/>
        <v>15</v>
      </c>
      <c r="P192" s="37">
        <v>189</v>
      </c>
      <c r="Q192" s="72">
        <f>Q$3*'Yield 1Y'!R191</f>
        <v>0</v>
      </c>
      <c r="R192" s="72">
        <f>R$3*'Yield 1Y'!S191</f>
        <v>0</v>
      </c>
      <c r="S192" s="72">
        <f>S$3*'Yield 1Y'!T191</f>
        <v>0</v>
      </c>
      <c r="T192" s="72">
        <f>T$3*'Yield 1Y'!U191</f>
        <v>0</v>
      </c>
      <c r="U192" s="72">
        <f>U$3*'Yield 1Y'!V191</f>
        <v>0</v>
      </c>
      <c r="V192" s="72">
        <f>V$3*'Yield 1Y'!W191</f>
        <v>0</v>
      </c>
      <c r="W192" s="72">
        <f>W$3*'Yield 1Y'!X191</f>
        <v>-0.56915637405498798</v>
      </c>
      <c r="X192" s="72">
        <f>X$3*'Yield 1Y'!Y191</f>
        <v>-0.39959547869000928</v>
      </c>
      <c r="Y192" s="72">
        <f>Y$3*'Yield 1Y'!Z191</f>
        <v>0</v>
      </c>
      <c r="Z192" s="72">
        <f>Z$3*'Yield 1Y'!AA191</f>
        <v>0</v>
      </c>
      <c r="AA192" s="177">
        <f t="shared" si="18"/>
        <v>0.9687518527449972</v>
      </c>
      <c r="AB192" s="124">
        <f>VLOOKUP(P192,'Yield 1Y'!$F:$G,2,0)</f>
        <v>45974</v>
      </c>
      <c r="AC192" s="318">
        <f t="shared" si="22"/>
        <v>55</v>
      </c>
      <c r="AE192" s="37">
        <v>51</v>
      </c>
      <c r="AF192" s="72">
        <f>AF$3*'Yield 1Y'!AB53</f>
        <v>0</v>
      </c>
      <c r="AG192" s="72">
        <f>AG$3*'Yield 1Y'!AC53</f>
        <v>0</v>
      </c>
      <c r="AH192" s="72">
        <f>AH$3*'Yield 1Y'!AD53</f>
        <v>-0.65467163612555745</v>
      </c>
      <c r="AI192" s="72">
        <f>AI$3*'Yield 1Y'!AE53</f>
        <v>-4.5291495153539856</v>
      </c>
      <c r="AJ192" s="72">
        <f>AJ$3*'Yield 1Y'!AF53</f>
        <v>-0.33202487709811973</v>
      </c>
      <c r="AK192" s="72">
        <f>AK$3*'Yield 1Y'!AG53</f>
        <v>-41.931240897665056</v>
      </c>
      <c r="AL192" s="72">
        <f>AL$3*'Yield 1Y'!AH53</f>
        <v>-30.225504050671194</v>
      </c>
      <c r="AM192" s="72">
        <f>AM$3*'Yield 1Y'!AI53</f>
        <v>-22.872325061378181</v>
      </c>
      <c r="AN192" s="72">
        <f>AN$3*'Yield 1Y'!AJ53</f>
        <v>0</v>
      </c>
      <c r="AO192" s="72">
        <f>AO$3*'Yield 1Y'!AK53</f>
        <v>0</v>
      </c>
      <c r="AP192" s="177">
        <f t="shared" si="19"/>
        <v>100.54491603829209</v>
      </c>
      <c r="AQ192" s="124">
        <f>VLOOKUP(AE192,'Yield 1Y'!$F:$G,2,0)</f>
        <v>46182</v>
      </c>
      <c r="AR192" s="318">
        <f t="shared" si="20"/>
        <v>38</v>
      </c>
      <c r="AT192" s="37">
        <v>186</v>
      </c>
      <c r="AU192" s="72">
        <f>AU$3*'Yield 1Y'!AB108</f>
        <v>0</v>
      </c>
      <c r="AV192" s="72">
        <f>AV$3*'Yield 1Y'!AC108</f>
        <v>0</v>
      </c>
      <c r="AW192" s="72">
        <f>AW$3*'Yield 1Y'!AD108</f>
        <v>0</v>
      </c>
      <c r="AX192" s="72">
        <f>AX$3*'Yield 1Y'!AE108</f>
        <v>0</v>
      </c>
      <c r="AY192" s="72">
        <f>AY$3*'Yield 1Y'!AF108</f>
        <v>0</v>
      </c>
      <c r="AZ192" s="72">
        <f>AZ$3*'Yield 1Y'!AG108</f>
        <v>-0.48426881733849197</v>
      </c>
      <c r="BA192" s="72">
        <f>BA$3*'Yield 1Y'!AH108</f>
        <v>-15.708715923917991</v>
      </c>
      <c r="BB192" s="72">
        <f>BB$3*'Yield 1Y'!AI108</f>
        <v>-7.2326781642890028</v>
      </c>
      <c r="BC192" s="72">
        <f>BC$3*'Yield 1Y'!AJ108</f>
        <v>0</v>
      </c>
      <c r="BD192" s="72">
        <f>BD$3*'Yield 1Y'!AK108</f>
        <v>0</v>
      </c>
      <c r="BE192" s="177">
        <f t="shared" si="21"/>
        <v>23.425662905545483</v>
      </c>
      <c r="BF192" s="124">
        <f>VLOOKUP(AT192,'Yield 1Y'!$F:$G,2,0)</f>
        <v>45979</v>
      </c>
      <c r="BG192" s="318">
        <f t="shared" si="23"/>
        <v>14</v>
      </c>
    </row>
    <row r="193" spans="1:59" x14ac:dyDescent="0.3">
      <c r="A193" s="37">
        <v>16</v>
      </c>
      <c r="B193" s="72">
        <f>'Yield 1Y'!R18*B$3</f>
        <v>0</v>
      </c>
      <c r="C193" s="72">
        <f>'Yield 1Y'!S18*C$3</f>
        <v>0</v>
      </c>
      <c r="D193" s="72">
        <f>'Yield 1Y'!T18*D$3</f>
        <v>0</v>
      </c>
      <c r="E193" s="72">
        <f>'Yield 1Y'!U18*E$3</f>
        <v>2.8848086085054053E-2</v>
      </c>
      <c r="F193" s="72">
        <f>'Yield 1Y'!V18*F$3</f>
        <v>9.3528134393826602E-3</v>
      </c>
      <c r="G193" s="72">
        <f>'Yield 1Y'!W18*G$3</f>
        <v>0</v>
      </c>
      <c r="H193" s="72">
        <f>'Yield 1Y'!X18*H$3</f>
        <v>0</v>
      </c>
      <c r="I193" s="72">
        <f>'Yield 1Y'!Y18*I$3</f>
        <v>0</v>
      </c>
      <c r="J193" s="72">
        <f>'Yield 1Y'!Z18*J$3</f>
        <v>0</v>
      </c>
      <c r="K193" s="72">
        <f>'Yield 1Y'!AA18*K$3</f>
        <v>0</v>
      </c>
      <c r="L193" s="177">
        <f t="shared" si="16"/>
        <v>-3.8200899524436713E-2</v>
      </c>
      <c r="M193" s="124">
        <f>VLOOKUP(A193,'Yield 1Y'!$F:$G,2,0)</f>
        <v>46231</v>
      </c>
      <c r="N193" s="318">
        <f t="shared" si="17"/>
        <v>201</v>
      </c>
      <c r="P193" s="37">
        <v>190</v>
      </c>
      <c r="Q193" s="72">
        <f>Q$3*'Yield 1Y'!R192</f>
        <v>0</v>
      </c>
      <c r="R193" s="72">
        <f>R$3*'Yield 1Y'!S192</f>
        <v>0</v>
      </c>
      <c r="S193" s="72">
        <f>S$3*'Yield 1Y'!T192</f>
        <v>0</v>
      </c>
      <c r="T193" s="72">
        <f>T$3*'Yield 1Y'!U192</f>
        <v>0</v>
      </c>
      <c r="U193" s="72">
        <f>U$3*'Yield 1Y'!V192</f>
        <v>0</v>
      </c>
      <c r="V193" s="72">
        <f>V$3*'Yield 1Y'!W192</f>
        <v>0</v>
      </c>
      <c r="W193" s="72">
        <f>W$3*'Yield 1Y'!X192</f>
        <v>-1.2521440229210139</v>
      </c>
      <c r="X193" s="72">
        <f>X$3*'Yield 1Y'!Y192</f>
        <v>-0.19979773934499578</v>
      </c>
      <c r="Y193" s="72">
        <f>Y$3*'Yield 1Y'!Z192</f>
        <v>0</v>
      </c>
      <c r="Z193" s="72">
        <f>Z$3*'Yield 1Y'!AA192</f>
        <v>0</v>
      </c>
      <c r="AA193" s="177">
        <f t="shared" si="18"/>
        <v>1.4519417622660096</v>
      </c>
      <c r="AB193" s="124">
        <f>VLOOKUP(P193,'Yield 1Y'!$F:$G,2,0)</f>
        <v>45973</v>
      </c>
      <c r="AC193" s="318">
        <f t="shared" si="22"/>
        <v>41</v>
      </c>
      <c r="AE193" s="37">
        <v>157</v>
      </c>
      <c r="AF193" s="72">
        <f>AF$3*'Yield 1Y'!AB159</f>
        <v>0</v>
      </c>
      <c r="AG193" s="72">
        <f>AG$3*'Yield 1Y'!AC159</f>
        <v>0</v>
      </c>
      <c r="AH193" s="72">
        <f>AH$3*'Yield 1Y'!AD159</f>
        <v>-0.11986945450186216</v>
      </c>
      <c r="AI193" s="72">
        <f>AI$3*'Yield 1Y'!AE159</f>
        <v>-0.89429066863676532</v>
      </c>
      <c r="AJ193" s="72">
        <f>AJ$3*'Yield 1Y'!AF159</f>
        <v>-9.8204541113528318E-2</v>
      </c>
      <c r="AK193" s="72">
        <f>AK$3*'Yield 1Y'!AG159</f>
        <v>-7.8451999098856842</v>
      </c>
      <c r="AL193" s="72">
        <f>AL$3*'Yield 1Y'!AH159</f>
        <v>-4.968576008329519</v>
      </c>
      <c r="AM193" s="72">
        <f>AM$3*'Yield 1Y'!AI159</f>
        <v>-7.3998698727988979</v>
      </c>
      <c r="AN193" s="72">
        <f>AN$3*'Yield 1Y'!AJ159</f>
        <v>0</v>
      </c>
      <c r="AO193" s="72">
        <f>AO$3*'Yield 1Y'!AK159</f>
        <v>0</v>
      </c>
      <c r="AP193" s="177">
        <f t="shared" si="19"/>
        <v>21.326010455266257</v>
      </c>
      <c r="AQ193" s="124">
        <f>VLOOKUP(AE193,'Yield 1Y'!$F:$G,2,0)</f>
        <v>46020</v>
      </c>
      <c r="AR193" s="318">
        <f t="shared" si="20"/>
        <v>196</v>
      </c>
      <c r="AT193" s="37">
        <v>187</v>
      </c>
      <c r="AU193" s="72">
        <f>AU$3*'Yield 1Y'!AB8</f>
        <v>0</v>
      </c>
      <c r="AV193" s="72">
        <f>AV$3*'Yield 1Y'!AC8</f>
        <v>0</v>
      </c>
      <c r="AW193" s="72">
        <f>AW$3*'Yield 1Y'!AD8</f>
        <v>0</v>
      </c>
      <c r="AX193" s="72">
        <f>AX$3*'Yield 1Y'!AE8</f>
        <v>0</v>
      </c>
      <c r="AY193" s="72">
        <f>AY$3*'Yield 1Y'!AF8</f>
        <v>0</v>
      </c>
      <c r="AZ193" s="72">
        <f>AZ$3*'Yield 1Y'!AG8</f>
        <v>-0.11469524621174303</v>
      </c>
      <c r="BA193" s="72">
        <f>BA$3*'Yield 1Y'!AH8</f>
        <v>-5.6915637405500314</v>
      </c>
      <c r="BB193" s="72">
        <f>BB$3*'Yield 1Y'!AI8</f>
        <v>-1.4385437232840015</v>
      </c>
      <c r="BC193" s="72">
        <f>BC$3*'Yield 1Y'!AJ8</f>
        <v>0</v>
      </c>
      <c r="BD193" s="72">
        <f>BD$3*'Yield 1Y'!AK8</f>
        <v>0</v>
      </c>
      <c r="BE193" s="177">
        <f t="shared" si="21"/>
        <v>7.2448027100457759</v>
      </c>
      <c r="BF193" s="124">
        <f>VLOOKUP(AT193,'Yield 1Y'!$F:$G,2,0)</f>
        <v>45978</v>
      </c>
      <c r="BG193" s="318">
        <f t="shared" si="23"/>
        <v>108</v>
      </c>
    </row>
    <row r="194" spans="1:59" x14ac:dyDescent="0.3">
      <c r="A194" s="37">
        <v>53</v>
      </c>
      <c r="B194" s="72">
        <f>'Yield 1Y'!R55*B$3</f>
        <v>0</v>
      </c>
      <c r="C194" s="72">
        <f>'Yield 1Y'!S55*C$3</f>
        <v>0</v>
      </c>
      <c r="D194" s="72">
        <f>'Yield 1Y'!T55*D$3</f>
        <v>-3.6882909077496369E-2</v>
      </c>
      <c r="E194" s="72">
        <f>'Yield 1Y'!U55*E$3</f>
        <v>-5.7696172170108105E-2</v>
      </c>
      <c r="F194" s="72">
        <f>'Yield 1Y'!V55*F$3</f>
        <v>0</v>
      </c>
      <c r="G194" s="72">
        <f>'Yield 1Y'!W55*G$3</f>
        <v>0</v>
      </c>
      <c r="H194" s="72">
        <f>'Yield 1Y'!X55*H$3</f>
        <v>0</v>
      </c>
      <c r="I194" s="72">
        <f>'Yield 1Y'!Y55*I$3</f>
        <v>0</v>
      </c>
      <c r="J194" s="72">
        <f>'Yield 1Y'!Z55*J$3</f>
        <v>0</v>
      </c>
      <c r="K194" s="72">
        <f>'Yield 1Y'!AA55*K$3</f>
        <v>0</v>
      </c>
      <c r="L194" s="177">
        <f t="shared" si="16"/>
        <v>9.4579081247604474E-2</v>
      </c>
      <c r="M194" s="124">
        <f>VLOOKUP(A194,'Yield 1Y'!$F:$G,2,0)</f>
        <v>46178</v>
      </c>
      <c r="N194" s="318">
        <f t="shared" si="17"/>
        <v>188</v>
      </c>
      <c r="P194" s="37">
        <v>191</v>
      </c>
      <c r="Q194" s="72">
        <f>Q$3*'Yield 1Y'!R193</f>
        <v>0</v>
      </c>
      <c r="R194" s="72">
        <f>R$3*'Yield 1Y'!S193</f>
        <v>0</v>
      </c>
      <c r="S194" s="72">
        <f>S$3*'Yield 1Y'!T193</f>
        <v>0</v>
      </c>
      <c r="T194" s="72">
        <f>T$3*'Yield 1Y'!U193</f>
        <v>0</v>
      </c>
      <c r="U194" s="72">
        <f>U$3*'Yield 1Y'!V193</f>
        <v>0</v>
      </c>
      <c r="V194" s="72">
        <f>V$3*'Yield 1Y'!W193</f>
        <v>0</v>
      </c>
      <c r="W194" s="72">
        <f>W$3*'Yield 1Y'!X193</f>
        <v>0.68298764886597541</v>
      </c>
      <c r="X194" s="72">
        <f>X$3*'Yield 1Y'!Y193</f>
        <v>0</v>
      </c>
      <c r="Y194" s="72">
        <f>Y$3*'Yield 1Y'!Z193</f>
        <v>0</v>
      </c>
      <c r="Z194" s="72">
        <f>Z$3*'Yield 1Y'!AA193</f>
        <v>0</v>
      </c>
      <c r="AA194" s="177">
        <f t="shared" si="18"/>
        <v>-0.68298764886597541</v>
      </c>
      <c r="AB194" s="124">
        <f>VLOOKUP(P194,'Yield 1Y'!$F:$G,2,0)</f>
        <v>45972</v>
      </c>
      <c r="AC194" s="318">
        <f t="shared" si="22"/>
        <v>239</v>
      </c>
      <c r="AE194" s="37">
        <v>47</v>
      </c>
      <c r="AF194" s="72">
        <f>AF$3*'Yield 1Y'!AB49</f>
        <v>0</v>
      </c>
      <c r="AG194" s="72">
        <f>AG$3*'Yield 1Y'!AC49</f>
        <v>0</v>
      </c>
      <c r="AH194" s="72">
        <f>AH$3*'Yield 1Y'!AD49</f>
        <v>-0.63623018158681133</v>
      </c>
      <c r="AI194" s="72">
        <f>AI$3*'Yield 1Y'!AE49</f>
        <v>-2.7117200919953883</v>
      </c>
      <c r="AJ194" s="72">
        <f>AJ$3*'Yield 1Y'!AF49</f>
        <v>-0.28058440318151096</v>
      </c>
      <c r="AK194" s="72">
        <f>AK$3*'Yield 1Y'!AG49</f>
        <v>-27.052413482364653</v>
      </c>
      <c r="AL194" s="72">
        <f>AL$3*'Yield 1Y'!AH49</f>
        <v>-30.225504050671194</v>
      </c>
      <c r="AM194" s="72">
        <f>AM$3*'Yield 1Y'!AI49</f>
        <v>-16.145170631561069</v>
      </c>
      <c r="AN194" s="72">
        <f>AN$3*'Yield 1Y'!AJ49</f>
        <v>0</v>
      </c>
      <c r="AO194" s="72">
        <f>AO$3*'Yield 1Y'!AK49</f>
        <v>0</v>
      </c>
      <c r="AP194" s="177">
        <f t="shared" si="19"/>
        <v>77.051622841360626</v>
      </c>
      <c r="AQ194" s="124">
        <f>VLOOKUP(AE194,'Yield 1Y'!$F:$G,2,0)</f>
        <v>46188</v>
      </c>
      <c r="AR194" s="318">
        <f t="shared" si="20"/>
        <v>47</v>
      </c>
      <c r="AT194" s="37">
        <v>189</v>
      </c>
      <c r="AU194" s="72">
        <f>AU$3*'Yield 1Y'!AB198</f>
        <v>0</v>
      </c>
      <c r="AV194" s="72">
        <f>AV$3*'Yield 1Y'!AC198</f>
        <v>0</v>
      </c>
      <c r="AW194" s="72">
        <f>AW$3*'Yield 1Y'!AD198</f>
        <v>0</v>
      </c>
      <c r="AX194" s="72">
        <f>AX$3*'Yield 1Y'!AE198</f>
        <v>0</v>
      </c>
      <c r="AY194" s="72">
        <f>AY$3*'Yield 1Y'!AF198</f>
        <v>0</v>
      </c>
      <c r="AZ194" s="72">
        <f>AZ$3*'Yield 1Y'!AG198</f>
        <v>-0.73914714225350353</v>
      </c>
      <c r="BA194" s="72">
        <f>BA$3*'Yield 1Y'!AH198</f>
        <v>-2.8457818702749904</v>
      </c>
      <c r="BB194" s="72">
        <f>BB$3*'Yield 1Y'!AI198</f>
        <v>-0.75923140951100521</v>
      </c>
      <c r="BC194" s="72">
        <f>BC$3*'Yield 1Y'!AJ198</f>
        <v>0</v>
      </c>
      <c r="BD194" s="72">
        <f>BD$3*'Yield 1Y'!AK198</f>
        <v>0</v>
      </c>
      <c r="BE194" s="177">
        <f t="shared" si="21"/>
        <v>4.3441604220394989</v>
      </c>
      <c r="BF194" s="124">
        <f>VLOOKUP(AT194,'Yield 1Y'!$F:$G,2,0)</f>
        <v>45974</v>
      </c>
      <c r="BG194" s="318">
        <f t="shared" si="23"/>
        <v>177</v>
      </c>
    </row>
    <row r="195" spans="1:59" x14ac:dyDescent="0.3">
      <c r="A195" s="37">
        <v>242</v>
      </c>
      <c r="B195" s="72">
        <f>'Yield 1Y'!R244*B$3</f>
        <v>0</v>
      </c>
      <c r="C195" s="72">
        <f>'Yield 1Y'!S244*C$3</f>
        <v>0</v>
      </c>
      <c r="D195" s="72">
        <f>'Yield 1Y'!T244*D$3</f>
        <v>-7.3765818154992738E-2</v>
      </c>
      <c r="E195" s="72">
        <f>'Yield 1Y'!U244*E$3</f>
        <v>-8.6544258255162154E-2</v>
      </c>
      <c r="F195" s="72">
        <f>'Yield 1Y'!V244*F$3</f>
        <v>1.8705626878767399E-2</v>
      </c>
      <c r="G195" s="72">
        <f>'Yield 1Y'!W244*G$3</f>
        <v>0</v>
      </c>
      <c r="H195" s="72">
        <f>'Yield 1Y'!X244*H$3</f>
        <v>-0.8280960013881612</v>
      </c>
      <c r="I195" s="72">
        <f>'Yield 1Y'!Y244*I$3</f>
        <v>0</v>
      </c>
      <c r="J195" s="72">
        <f>'Yield 1Y'!Z244*J$3</f>
        <v>0</v>
      </c>
      <c r="K195" s="72">
        <f>'Yield 1Y'!AA244*K$3</f>
        <v>0</v>
      </c>
      <c r="L195" s="177">
        <f t="shared" si="16"/>
        <v>0.96970045091954871</v>
      </c>
      <c r="M195" s="124">
        <f>VLOOKUP(A195,'Yield 1Y'!$F:$G,2,0)</f>
        <v>45897</v>
      </c>
      <c r="N195" s="318">
        <f t="shared" si="17"/>
        <v>155</v>
      </c>
      <c r="P195" s="37">
        <v>192</v>
      </c>
      <c r="Q195" s="72">
        <f>Q$3*'Yield 1Y'!R194</f>
        <v>0</v>
      </c>
      <c r="R195" s="72">
        <f>R$3*'Yield 1Y'!S194</f>
        <v>0</v>
      </c>
      <c r="S195" s="72">
        <f>S$3*'Yield 1Y'!T194</f>
        <v>0</v>
      </c>
      <c r="T195" s="72">
        <f>T$3*'Yield 1Y'!U194</f>
        <v>0</v>
      </c>
      <c r="U195" s="72">
        <f>U$3*'Yield 1Y'!V194</f>
        <v>0</v>
      </c>
      <c r="V195" s="72">
        <f>V$3*'Yield 1Y'!W194</f>
        <v>-6.3719581228748642E-2</v>
      </c>
      <c r="W195" s="72">
        <f>W$3*'Yield 1Y'!X194</f>
        <v>-1.0244814732989884</v>
      </c>
      <c r="X195" s="72">
        <f>X$3*'Yield 1Y'!Y194</f>
        <v>-0.51947412229699608</v>
      </c>
      <c r="Y195" s="72">
        <f>Y$3*'Yield 1Y'!Z194</f>
        <v>0</v>
      </c>
      <c r="Z195" s="72">
        <f>Z$3*'Yield 1Y'!AA194</f>
        <v>0</v>
      </c>
      <c r="AA195" s="177">
        <f t="shared" si="18"/>
        <v>1.607675176824733</v>
      </c>
      <c r="AB195" s="124">
        <f>VLOOKUP(P195,'Yield 1Y'!$F:$G,2,0)</f>
        <v>45971</v>
      </c>
      <c r="AC195" s="318">
        <f t="shared" si="22"/>
        <v>40</v>
      </c>
      <c r="AE195" s="37">
        <v>187</v>
      </c>
      <c r="AF195" s="72">
        <f>AF$3*'Yield 1Y'!AB189</f>
        <v>0</v>
      </c>
      <c r="AG195" s="72">
        <f>AG$3*'Yield 1Y'!AC189</f>
        <v>0</v>
      </c>
      <c r="AH195" s="72">
        <f>AH$3*'Yield 1Y'!AD189</f>
        <v>-0.4425949089299564</v>
      </c>
      <c r="AI195" s="72">
        <f>AI$3*'Yield 1Y'!AE189</f>
        <v>-2.2501507146344593</v>
      </c>
      <c r="AJ195" s="72">
        <f>AJ$3*'Yield 1Y'!AF189</f>
        <v>-0.18237986206798057</v>
      </c>
      <c r="AK195" s="72">
        <f>AK$3*'Yield 1Y'!AG189</f>
        <v>-19.207213572478846</v>
      </c>
      <c r="AL195" s="72">
        <f>AL$3*'Yield 1Y'!AH189</f>
        <v>-10.351200017353118</v>
      </c>
      <c r="AM195" s="72">
        <f>AM$3*'Yield 1Y'!AI189</f>
        <v>-7.3998698727987486</v>
      </c>
      <c r="AN195" s="72">
        <f>AN$3*'Yield 1Y'!AJ189</f>
        <v>0</v>
      </c>
      <c r="AO195" s="72">
        <f>AO$3*'Yield 1Y'!AK189</f>
        <v>0</v>
      </c>
      <c r="AP195" s="177">
        <f t="shared" si="19"/>
        <v>39.833408948263106</v>
      </c>
      <c r="AQ195" s="124">
        <f>VLOOKUP(AE195,'Yield 1Y'!$F:$G,2,0)</f>
        <v>45978</v>
      </c>
      <c r="AR195" s="318">
        <f t="shared" si="20"/>
        <v>130</v>
      </c>
      <c r="AT195" s="37">
        <v>190</v>
      </c>
      <c r="AU195" s="72">
        <f>AU$3*'Yield 1Y'!AB50</f>
        <v>0</v>
      </c>
      <c r="AV195" s="72">
        <f>AV$3*'Yield 1Y'!AC50</f>
        <v>0</v>
      </c>
      <c r="AW195" s="72">
        <f>AW$3*'Yield 1Y'!AD50</f>
        <v>0</v>
      </c>
      <c r="AX195" s="72">
        <f>AX$3*'Yield 1Y'!AE50</f>
        <v>0</v>
      </c>
      <c r="AY195" s="72">
        <f>AY$3*'Yield 1Y'!AF50</f>
        <v>0</v>
      </c>
      <c r="AZ195" s="72">
        <f>AZ$3*'Yield 1Y'!AG50</f>
        <v>-1.5420138657357556</v>
      </c>
      <c r="BA195" s="72">
        <f>BA$3*'Yield 1Y'!AH50</f>
        <v>-8.3096830612029962</v>
      </c>
      <c r="BB195" s="72">
        <f>BB$3*'Yield 1Y'!AI50</f>
        <v>-1.9580178455809976</v>
      </c>
      <c r="BC195" s="72">
        <f>BC$3*'Yield 1Y'!AJ50</f>
        <v>0</v>
      </c>
      <c r="BD195" s="72">
        <f>BD$3*'Yield 1Y'!AK50</f>
        <v>0</v>
      </c>
      <c r="BE195" s="177">
        <f t="shared" si="21"/>
        <v>11.809714772519749</v>
      </c>
      <c r="BF195" s="124">
        <f>VLOOKUP(AT195,'Yield 1Y'!$F:$G,2,0)</f>
        <v>45973</v>
      </c>
      <c r="BG195" s="318">
        <f t="shared" si="23"/>
        <v>47</v>
      </c>
    </row>
    <row r="196" spans="1:59" x14ac:dyDescent="0.3">
      <c r="A196" s="37">
        <v>45</v>
      </c>
      <c r="B196" s="72">
        <f>'Yield 1Y'!R47*B$3</f>
        <v>0</v>
      </c>
      <c r="C196" s="72">
        <f>'Yield 1Y'!S47*C$3</f>
        <v>0</v>
      </c>
      <c r="D196" s="72">
        <f>'Yield 1Y'!T47*D$3</f>
        <v>0</v>
      </c>
      <c r="E196" s="72">
        <f>'Yield 1Y'!U47*E$3</f>
        <v>0</v>
      </c>
      <c r="F196" s="72">
        <f>'Yield 1Y'!V47*F$3</f>
        <v>0</v>
      </c>
      <c r="G196" s="72">
        <f>'Yield 1Y'!W47*G$3</f>
        <v>0</v>
      </c>
      <c r="H196" s="72">
        <f>'Yield 1Y'!X47*H$3</f>
        <v>-0.8280960013885289</v>
      </c>
      <c r="I196" s="72">
        <f>'Yield 1Y'!Y47*I$3</f>
        <v>0</v>
      </c>
      <c r="J196" s="72">
        <f>'Yield 1Y'!Z47*J$3</f>
        <v>0</v>
      </c>
      <c r="K196" s="72">
        <f>'Yield 1Y'!AA47*K$3</f>
        <v>0</v>
      </c>
      <c r="L196" s="177">
        <f t="shared" ref="L196:L255" si="24">-SUM(B196:K196)</f>
        <v>0.8280960013885289</v>
      </c>
      <c r="M196" s="124">
        <f>VLOOKUP(A196,'Yield 1Y'!$F:$G,2,0)</f>
        <v>46190</v>
      </c>
      <c r="N196" s="318">
        <f t="shared" ref="N196:N255" si="25">_xlfn.RANK.AVG(L196,$L$4:$L$255)</f>
        <v>157</v>
      </c>
      <c r="P196" s="37">
        <v>193</v>
      </c>
      <c r="Q196" s="72">
        <f>Q$3*'Yield 1Y'!R195</f>
        <v>0</v>
      </c>
      <c r="R196" s="72">
        <f>R$3*'Yield 1Y'!S195</f>
        <v>0</v>
      </c>
      <c r="S196" s="72">
        <f>S$3*'Yield 1Y'!T195</f>
        <v>0</v>
      </c>
      <c r="T196" s="72">
        <f>T$3*'Yield 1Y'!U195</f>
        <v>0</v>
      </c>
      <c r="U196" s="72">
        <f>U$3*'Yield 1Y'!V195</f>
        <v>0</v>
      </c>
      <c r="V196" s="72">
        <f>V$3*'Yield 1Y'!W195</f>
        <v>-7.6463497474502901E-2</v>
      </c>
      <c r="W196" s="72">
        <f>W$3*'Yield 1Y'!X195</f>
        <v>-0.11383127481098748</v>
      </c>
      <c r="X196" s="72">
        <f>X$3*'Yield 1Y'!Y195</f>
        <v>-7.9919095738008955E-2</v>
      </c>
      <c r="Y196" s="72">
        <f>Y$3*'Yield 1Y'!Z195</f>
        <v>0</v>
      </c>
      <c r="Z196" s="72">
        <f>Z$3*'Yield 1Y'!AA195</f>
        <v>0</v>
      </c>
      <c r="AA196" s="177">
        <f t="shared" ref="AA196:AA255" si="26">-SUM(Q196:Z196)</f>
        <v>0.27021386802349934</v>
      </c>
      <c r="AB196" s="124">
        <f>VLOOKUP(P196,'Yield 1Y'!$F:$G,2,0)</f>
        <v>45968</v>
      </c>
      <c r="AC196" s="318">
        <f t="shared" si="22"/>
        <v>131</v>
      </c>
      <c r="AE196" s="37">
        <v>52</v>
      </c>
      <c r="AF196" s="72">
        <f>AF$3*'Yield 1Y'!AB54</f>
        <v>0</v>
      </c>
      <c r="AG196" s="72">
        <f>AG$3*'Yield 1Y'!AC54</f>
        <v>0</v>
      </c>
      <c r="AH196" s="72">
        <f>AH$3*'Yield 1Y'!AD54</f>
        <v>-0.65467163612555745</v>
      </c>
      <c r="AI196" s="72">
        <f>AI$3*'Yield 1Y'!AE54</f>
        <v>-4.4137571710137697</v>
      </c>
      <c r="AJ196" s="72">
        <f>AJ$3*'Yield 1Y'!AF54</f>
        <v>-0.33202487709811973</v>
      </c>
      <c r="AK196" s="72">
        <f>AK$3*'Yield 1Y'!AG54</f>
        <v>-41.931240897665056</v>
      </c>
      <c r="AL196" s="72">
        <f>AL$3*'Yield 1Y'!AH54</f>
        <v>-30.225504050671194</v>
      </c>
      <c r="AM196" s="72">
        <f>AM$3*'Yield 1Y'!AI54</f>
        <v>-22.872325061378181</v>
      </c>
      <c r="AN196" s="72">
        <f>AN$3*'Yield 1Y'!AJ54</f>
        <v>0</v>
      </c>
      <c r="AO196" s="72">
        <f>AO$3*'Yield 1Y'!AK54</f>
        <v>0</v>
      </c>
      <c r="AP196" s="177">
        <f t="shared" ref="AP196:AP255" si="27">-SUM(AF196:AO196)</f>
        <v>100.42952369395188</v>
      </c>
      <c r="AQ196" s="124">
        <f>VLOOKUP(AE196,'Yield 1Y'!$F:$G,2,0)</f>
        <v>46181</v>
      </c>
      <c r="AR196" s="318">
        <f t="shared" ref="AR196:AR255" si="28">_xlfn.RANK.EQ(AP196,$AP$4:$AP$255)</f>
        <v>39</v>
      </c>
      <c r="AT196" s="37">
        <v>191</v>
      </c>
      <c r="AU196" s="72">
        <f>AU$3*'Yield 1Y'!AB175</f>
        <v>0</v>
      </c>
      <c r="AV196" s="72">
        <f>AV$3*'Yield 1Y'!AC175</f>
        <v>0</v>
      </c>
      <c r="AW196" s="72">
        <f>AW$3*'Yield 1Y'!AD175</f>
        <v>0</v>
      </c>
      <c r="AX196" s="72">
        <f>AX$3*'Yield 1Y'!AE175</f>
        <v>0</v>
      </c>
      <c r="AY196" s="72">
        <f>AY$3*'Yield 1Y'!AF175</f>
        <v>0</v>
      </c>
      <c r="AZ196" s="72">
        <f>AZ$3*'Yield 1Y'!AG175</f>
        <v>-0.62445189604174356</v>
      </c>
      <c r="BA196" s="72">
        <f>BA$3*'Yield 1Y'!AH175</f>
        <v>-4.7809135420619793</v>
      </c>
      <c r="BB196" s="72">
        <f>BB$3*'Yield 1Y'!AI175</f>
        <v>-1.1188673403320011</v>
      </c>
      <c r="BC196" s="72">
        <f>BC$3*'Yield 1Y'!AJ175</f>
        <v>0</v>
      </c>
      <c r="BD196" s="72">
        <f>BD$3*'Yield 1Y'!AK175</f>
        <v>0</v>
      </c>
      <c r="BE196" s="177">
        <f t="shared" ref="BE196:BE255" si="29">-SUM(AU196:BD196)</f>
        <v>6.5242327784357244</v>
      </c>
      <c r="BF196" s="124">
        <f>VLOOKUP(AT196,'Yield 1Y'!$F:$G,2,0)</f>
        <v>45972</v>
      </c>
      <c r="BG196" s="318">
        <f t="shared" si="23"/>
        <v>118</v>
      </c>
    </row>
    <row r="197" spans="1:59" x14ac:dyDescent="0.3">
      <c r="A197" s="37">
        <v>42</v>
      </c>
      <c r="B197" s="72">
        <f>'Yield 1Y'!R44*B$3</f>
        <v>0</v>
      </c>
      <c r="C197" s="72">
        <f>'Yield 1Y'!S44*C$3</f>
        <v>0</v>
      </c>
      <c r="D197" s="72">
        <f>'Yield 1Y'!T44*D$3</f>
        <v>0</v>
      </c>
      <c r="E197" s="72">
        <f>'Yield 1Y'!U44*E$3</f>
        <v>0.14424043042528306</v>
      </c>
      <c r="F197" s="72">
        <f>'Yield 1Y'!V44*F$3</f>
        <v>5.1440473916610864E-2</v>
      </c>
      <c r="G197" s="72">
        <f>'Yield 1Y'!W44*G$3</f>
        <v>0</v>
      </c>
      <c r="H197" s="72">
        <f>'Yield 1Y'!X44*H$3</f>
        <v>-2.8983360048591158</v>
      </c>
      <c r="I197" s="72">
        <f>'Yield 1Y'!Y44*I$3</f>
        <v>-1.0090731644726041</v>
      </c>
      <c r="J197" s="72">
        <f>'Yield 1Y'!Z44*J$3</f>
        <v>0</v>
      </c>
      <c r="K197" s="72">
        <f>'Yield 1Y'!AA44*K$3</f>
        <v>0</v>
      </c>
      <c r="L197" s="177">
        <f t="shared" si="24"/>
        <v>3.7117282649898256</v>
      </c>
      <c r="M197" s="124">
        <f>VLOOKUP(A197,'Yield 1Y'!$F:$G,2,0)</f>
        <v>46195</v>
      </c>
      <c r="N197" s="318">
        <f t="shared" si="25"/>
        <v>76</v>
      </c>
      <c r="P197" s="37">
        <v>194</v>
      </c>
      <c r="Q197" s="72">
        <f>Q$3*'Yield 1Y'!R196</f>
        <v>0</v>
      </c>
      <c r="R197" s="72">
        <f>R$3*'Yield 1Y'!S196</f>
        <v>0</v>
      </c>
      <c r="S197" s="72">
        <f>S$3*'Yield 1Y'!T196</f>
        <v>0</v>
      </c>
      <c r="T197" s="72">
        <f>T$3*'Yield 1Y'!U196</f>
        <v>0</v>
      </c>
      <c r="U197" s="72">
        <f>U$3*'Yield 1Y'!V196</f>
        <v>0</v>
      </c>
      <c r="V197" s="72">
        <f>V$3*'Yield 1Y'!W196</f>
        <v>-6.3719581228748642E-2</v>
      </c>
      <c r="W197" s="72">
        <f>W$3*'Yield 1Y'!X196</f>
        <v>-0.79681892367701346</v>
      </c>
      <c r="X197" s="72">
        <f>X$3*'Yield 1Y'!Y196</f>
        <v>-0.31967638295200035</v>
      </c>
      <c r="Y197" s="72">
        <f>Y$3*'Yield 1Y'!Z196</f>
        <v>0</v>
      </c>
      <c r="Z197" s="72">
        <f>Z$3*'Yield 1Y'!AA196</f>
        <v>0</v>
      </c>
      <c r="AA197" s="177">
        <f t="shared" si="26"/>
        <v>1.1802148878577625</v>
      </c>
      <c r="AB197" s="124">
        <f>VLOOKUP(P197,'Yield 1Y'!$F:$G,2,0)</f>
        <v>45967</v>
      </c>
      <c r="AC197" s="318">
        <f t="shared" ref="AC197:AC255" si="30">_xlfn.RANK.EQ(AA197,$AA$4:$AA$255)</f>
        <v>48</v>
      </c>
      <c r="AE197" s="37">
        <v>164</v>
      </c>
      <c r="AF197" s="72">
        <f>AF$3*'Yield 1Y'!AB166</f>
        <v>0</v>
      </c>
      <c r="AG197" s="72">
        <f>AG$3*'Yield 1Y'!AC166</f>
        <v>0</v>
      </c>
      <c r="AH197" s="72">
        <f>AH$3*'Yield 1Y'!AD166</f>
        <v>-0.29506327261997095</v>
      </c>
      <c r="AI197" s="72">
        <f>AI$3*'Yield 1Y'!AE166</f>
        <v>-1.3847081320827481</v>
      </c>
      <c r="AJ197" s="72">
        <f>AJ$3*'Yield 1Y'!AF166</f>
        <v>-0.20576189566644137</v>
      </c>
      <c r="AK197" s="72">
        <f>AK$3*'Yield 1Y'!AG166</f>
        <v>-12.985158471534975</v>
      </c>
      <c r="AL197" s="72">
        <f>AL$3*'Yield 1Y'!AH166</f>
        <v>-11.179296018741463</v>
      </c>
      <c r="AM197" s="72">
        <f>AM$3*'Yield 1Y'!AI166</f>
        <v>-8.0725853157805343</v>
      </c>
      <c r="AN197" s="72">
        <f>AN$3*'Yield 1Y'!AJ166</f>
        <v>0</v>
      </c>
      <c r="AO197" s="72">
        <f>AO$3*'Yield 1Y'!AK166</f>
        <v>0</v>
      </c>
      <c r="AP197" s="177">
        <f t="shared" si="27"/>
        <v>34.122573106426131</v>
      </c>
      <c r="AQ197" s="124">
        <f>VLOOKUP(AE197,'Yield 1Y'!$F:$G,2,0)</f>
        <v>46009</v>
      </c>
      <c r="AR197" s="318">
        <f t="shared" si="28"/>
        <v>153</v>
      </c>
      <c r="AT197" s="37">
        <v>192</v>
      </c>
      <c r="AU197" s="72">
        <f>AU$3*'Yield 1Y'!AB230</f>
        <v>0</v>
      </c>
      <c r="AV197" s="72">
        <f>AV$3*'Yield 1Y'!AC230</f>
        <v>0</v>
      </c>
      <c r="AW197" s="72">
        <f>AW$3*'Yield 1Y'!AD230</f>
        <v>0</v>
      </c>
      <c r="AX197" s="72">
        <f>AX$3*'Yield 1Y'!AE230</f>
        <v>0</v>
      </c>
      <c r="AY197" s="72">
        <f>AY$3*'Yield 1Y'!AF230</f>
        <v>0</v>
      </c>
      <c r="AZ197" s="72">
        <f>AZ$3*'Yield 1Y'!AG230</f>
        <v>-0.24213440866924599</v>
      </c>
      <c r="BA197" s="72">
        <f>BA$3*'Yield 1Y'!AH230</f>
        <v>-2.3904567710310403</v>
      </c>
      <c r="BB197" s="72">
        <f>BB$3*'Yield 1Y'!AI230</f>
        <v>-0.75923140951100521</v>
      </c>
      <c r="BC197" s="72">
        <f>BC$3*'Yield 1Y'!AJ230</f>
        <v>0</v>
      </c>
      <c r="BD197" s="72">
        <f>BD$3*'Yield 1Y'!AK230</f>
        <v>0</v>
      </c>
      <c r="BE197" s="177">
        <f t="shared" si="29"/>
        <v>3.3918225892112916</v>
      </c>
      <c r="BF197" s="124">
        <f>VLOOKUP(AT197,'Yield 1Y'!$F:$G,2,0)</f>
        <v>45971</v>
      </c>
      <c r="BG197" s="318">
        <f t="shared" ref="BG197:BG255" si="31">_xlfn.RANK.EQ(BE197,$BE$4:$BE$255)</f>
        <v>191</v>
      </c>
    </row>
    <row r="198" spans="1:59" x14ac:dyDescent="0.3">
      <c r="A198" s="37">
        <v>18</v>
      </c>
      <c r="B198" s="72">
        <f>'Yield 1Y'!R20*B$3</f>
        <v>0</v>
      </c>
      <c r="C198" s="72">
        <f>'Yield 1Y'!S20*C$3</f>
        <v>0</v>
      </c>
      <c r="D198" s="72">
        <f>'Yield 1Y'!T20*D$3</f>
        <v>0</v>
      </c>
      <c r="E198" s="72">
        <f>'Yield 1Y'!U20*E$3</f>
        <v>2.8848086085066862E-2</v>
      </c>
      <c r="F198" s="72">
        <f>'Yield 1Y'!V20*F$3</f>
        <v>9.3528134393868149E-3</v>
      </c>
      <c r="G198" s="72">
        <f>'Yield 1Y'!W20*G$3</f>
        <v>-0.27052413482349513</v>
      </c>
      <c r="H198" s="72">
        <f>'Yield 1Y'!X20*H$3</f>
        <v>1.6561920027763224</v>
      </c>
      <c r="I198" s="72">
        <f>'Yield 1Y'!Y20*I$3</f>
        <v>0</v>
      </c>
      <c r="J198" s="72">
        <f>'Yield 1Y'!Z20*J$3</f>
        <v>0</v>
      </c>
      <c r="K198" s="72">
        <f>'Yield 1Y'!AA20*K$3</f>
        <v>0</v>
      </c>
      <c r="L198" s="177">
        <f t="shared" si="24"/>
        <v>-1.423868767477281</v>
      </c>
      <c r="M198" s="124">
        <f>VLOOKUP(A198,'Yield 1Y'!$F:$G,2,0)</f>
        <v>46227</v>
      </c>
      <c r="N198" s="318">
        <f t="shared" si="25"/>
        <v>224</v>
      </c>
      <c r="P198" s="37">
        <v>195</v>
      </c>
      <c r="Q198" s="72">
        <f>Q$3*'Yield 1Y'!R197</f>
        <v>0</v>
      </c>
      <c r="R198" s="72">
        <f>R$3*'Yield 1Y'!S197</f>
        <v>0</v>
      </c>
      <c r="S198" s="72">
        <f>S$3*'Yield 1Y'!T197</f>
        <v>0</v>
      </c>
      <c r="T198" s="72">
        <f>T$3*'Yield 1Y'!U197</f>
        <v>0</v>
      </c>
      <c r="U198" s="72">
        <f>U$3*'Yield 1Y'!V197</f>
        <v>0</v>
      </c>
      <c r="V198" s="72">
        <f>V$3*'Yield 1Y'!W197</f>
        <v>0</v>
      </c>
      <c r="W198" s="72">
        <f>W$3*'Yield 1Y'!X197</f>
        <v>-0.45532509924400044</v>
      </c>
      <c r="X198" s="72">
        <f>X$3*'Yield 1Y'!Y197</f>
        <v>-0.19979773934499578</v>
      </c>
      <c r="Y198" s="72">
        <f>Y$3*'Yield 1Y'!Z197</f>
        <v>0</v>
      </c>
      <c r="Z198" s="72">
        <f>Z$3*'Yield 1Y'!AA197</f>
        <v>0</v>
      </c>
      <c r="AA198" s="177">
        <f t="shared" si="26"/>
        <v>0.65512283858899623</v>
      </c>
      <c r="AB198" s="124">
        <f>VLOOKUP(P198,'Yield 1Y'!$F:$G,2,0)</f>
        <v>45966</v>
      </c>
      <c r="AC198" s="318">
        <f t="shared" si="30"/>
        <v>76</v>
      </c>
      <c r="AE198" s="37">
        <v>236</v>
      </c>
      <c r="AF198" s="72">
        <f>AF$3*'Yield 1Y'!AB238</f>
        <v>0</v>
      </c>
      <c r="AG198" s="72">
        <f>AG$3*'Yield 1Y'!AC238</f>
        <v>0</v>
      </c>
      <c r="AH198" s="72">
        <f>AH$3*'Yield 1Y'!AD238</f>
        <v>-1.088045817786145</v>
      </c>
      <c r="AI198" s="72">
        <f>AI$3*'Yield 1Y'!AE238</f>
        <v>-1.1250753573172361</v>
      </c>
      <c r="AJ198" s="72">
        <f>AJ$3*'Yield 1Y'!AF238</f>
        <v>-0.53778677276456111</v>
      </c>
      <c r="AK198" s="72">
        <f>AK$3*'Yield 1Y'!AG238</f>
        <v>-14.608303280476907</v>
      </c>
      <c r="AL198" s="72">
        <f>AL$3*'Yield 1Y'!AH238</f>
        <v>-48.85766408190684</v>
      </c>
      <c r="AM198" s="72">
        <f>AM$3*'Yield 1Y'!AI238</f>
        <v>-33.299414427594591</v>
      </c>
      <c r="AN198" s="72">
        <f>AN$3*'Yield 1Y'!AJ238</f>
        <v>0</v>
      </c>
      <c r="AO198" s="72">
        <f>AO$3*'Yield 1Y'!AK238</f>
        <v>0</v>
      </c>
      <c r="AP198" s="177">
        <f t="shared" si="27"/>
        <v>99.516289737846279</v>
      </c>
      <c r="AQ198" s="124">
        <f>VLOOKUP(AE198,'Yield 1Y'!$F:$G,2,0)</f>
        <v>45909</v>
      </c>
      <c r="AR198" s="318">
        <f t="shared" si="28"/>
        <v>40</v>
      </c>
      <c r="AT198" s="37">
        <v>193</v>
      </c>
      <c r="AU198" s="72">
        <f>AU$3*'Yield 1Y'!AB135</f>
        <v>0</v>
      </c>
      <c r="AV198" s="72">
        <f>AV$3*'Yield 1Y'!AC135</f>
        <v>0</v>
      </c>
      <c r="AW198" s="72">
        <f>AW$3*'Yield 1Y'!AD135</f>
        <v>0</v>
      </c>
      <c r="AX198" s="72">
        <f>AX$3*'Yield 1Y'!AE135</f>
        <v>0</v>
      </c>
      <c r="AY198" s="72">
        <f>AY$3*'Yield 1Y'!AF135</f>
        <v>0</v>
      </c>
      <c r="AZ198" s="72">
        <f>AZ$3*'Yield 1Y'!AG135</f>
        <v>0.10195132996600009</v>
      </c>
      <c r="BA198" s="72">
        <f>BA$3*'Yield 1Y'!AH135</f>
        <v>-1.0244814732989884</v>
      </c>
      <c r="BB198" s="72">
        <f>BB$3*'Yield 1Y'!AI135</f>
        <v>-0.67931231377299628</v>
      </c>
      <c r="BC198" s="72">
        <f>BC$3*'Yield 1Y'!AJ135</f>
        <v>0</v>
      </c>
      <c r="BD198" s="72">
        <f>BD$3*'Yield 1Y'!AK135</f>
        <v>0</v>
      </c>
      <c r="BE198" s="177">
        <f t="shared" si="29"/>
        <v>1.6018424571059846</v>
      </c>
      <c r="BF198" s="124">
        <f>VLOOKUP(AT198,'Yield 1Y'!$F:$G,2,0)</f>
        <v>45968</v>
      </c>
      <c r="BG198" s="318">
        <f t="shared" si="31"/>
        <v>215</v>
      </c>
    </row>
    <row r="199" spans="1:59" x14ac:dyDescent="0.3">
      <c r="A199" s="37">
        <v>230</v>
      </c>
      <c r="B199" s="72">
        <f>'Yield 1Y'!R232*B$3</f>
        <v>0</v>
      </c>
      <c r="C199" s="72">
        <f>'Yield 1Y'!S232*C$3</f>
        <v>0</v>
      </c>
      <c r="D199" s="72">
        <f>'Yield 1Y'!T232*D$3</f>
        <v>0</v>
      </c>
      <c r="E199" s="72">
        <f>'Yield 1Y'!U232*E$3</f>
        <v>0</v>
      </c>
      <c r="F199" s="72">
        <f>'Yield 1Y'!V232*F$3</f>
        <v>0</v>
      </c>
      <c r="G199" s="72">
        <f>'Yield 1Y'!W232*G$3</f>
        <v>0</v>
      </c>
      <c r="H199" s="72">
        <f>'Yield 1Y'!X232*H$3</f>
        <v>-0.4140480006940806</v>
      </c>
      <c r="I199" s="72">
        <f>'Yield 1Y'!Y232*I$3</f>
        <v>0</v>
      </c>
      <c r="J199" s="72">
        <f>'Yield 1Y'!Z232*J$3</f>
        <v>0</v>
      </c>
      <c r="K199" s="72">
        <f>'Yield 1Y'!AA232*K$3</f>
        <v>0</v>
      </c>
      <c r="L199" s="177">
        <f t="shared" si="24"/>
        <v>0.4140480006940806</v>
      </c>
      <c r="M199" s="124">
        <f>VLOOKUP(A199,'Yield 1Y'!$F:$G,2,0)</f>
        <v>45917</v>
      </c>
      <c r="N199" s="318">
        <f t="shared" si="25"/>
        <v>179</v>
      </c>
      <c r="P199" s="37">
        <v>196</v>
      </c>
      <c r="Q199" s="72">
        <f>Q$3*'Yield 1Y'!R198</f>
        <v>0</v>
      </c>
      <c r="R199" s="72">
        <f>R$3*'Yield 1Y'!S198</f>
        <v>0</v>
      </c>
      <c r="S199" s="72">
        <f>S$3*'Yield 1Y'!T198</f>
        <v>0</v>
      </c>
      <c r="T199" s="72">
        <f>T$3*'Yield 1Y'!U198</f>
        <v>0</v>
      </c>
      <c r="U199" s="72">
        <f>U$3*'Yield 1Y'!V198</f>
        <v>0</v>
      </c>
      <c r="V199" s="72">
        <f>V$3*'Yield 1Y'!W198</f>
        <v>0</v>
      </c>
      <c r="W199" s="72">
        <f>W$3*'Yield 1Y'!X198</f>
        <v>-0.56915637405498798</v>
      </c>
      <c r="X199" s="72">
        <f>X$3*'Yield 1Y'!Y198</f>
        <v>-7.9919095738008955E-2</v>
      </c>
      <c r="Y199" s="72">
        <f>Y$3*'Yield 1Y'!Z198</f>
        <v>0</v>
      </c>
      <c r="Z199" s="72">
        <f>Z$3*'Yield 1Y'!AA198</f>
        <v>0</v>
      </c>
      <c r="AA199" s="177">
        <f t="shared" si="26"/>
        <v>0.64907546979299691</v>
      </c>
      <c r="AB199" s="124">
        <f>VLOOKUP(P199,'Yield 1Y'!$F:$G,2,0)</f>
        <v>45965</v>
      </c>
      <c r="AC199" s="318">
        <f t="shared" si="30"/>
        <v>78</v>
      </c>
      <c r="AE199" s="37">
        <v>48</v>
      </c>
      <c r="AF199" s="72">
        <f>AF$3*'Yield 1Y'!AB50</f>
        <v>0</v>
      </c>
      <c r="AG199" s="72">
        <f>AG$3*'Yield 1Y'!AC50</f>
        <v>0</v>
      </c>
      <c r="AH199" s="72">
        <f>AH$3*'Yield 1Y'!AD50</f>
        <v>-0.63623018158681133</v>
      </c>
      <c r="AI199" s="72">
        <f>AI$3*'Yield 1Y'!AE50</f>
        <v>-3.2309856415264124</v>
      </c>
      <c r="AJ199" s="72">
        <f>AJ$3*'Yield 1Y'!AF50</f>
        <v>-0.28058440318151096</v>
      </c>
      <c r="AK199" s="72">
        <f>AK$3*'Yield 1Y'!AG50</f>
        <v>-32.733420313661171</v>
      </c>
      <c r="AL199" s="72">
        <f>AL$3*'Yield 1Y'!AH50</f>
        <v>-30.225504050671194</v>
      </c>
      <c r="AM199" s="72">
        <f>AM$3*'Yield 1Y'!AI50</f>
        <v>-16.481528353051885</v>
      </c>
      <c r="AN199" s="72">
        <f>AN$3*'Yield 1Y'!AJ50</f>
        <v>0</v>
      </c>
      <c r="AO199" s="72">
        <f>AO$3*'Yield 1Y'!AK50</f>
        <v>0</v>
      </c>
      <c r="AP199" s="177">
        <f t="shared" si="27"/>
        <v>83.588252943678981</v>
      </c>
      <c r="AQ199" s="124">
        <f>VLOOKUP(AE199,'Yield 1Y'!$F:$G,2,0)</f>
        <v>46185</v>
      </c>
      <c r="AR199" s="318">
        <f t="shared" si="28"/>
        <v>46</v>
      </c>
      <c r="AT199" s="37">
        <v>194</v>
      </c>
      <c r="AU199" s="72">
        <f>AU$3*'Yield 1Y'!AB79</f>
        <v>0</v>
      </c>
      <c r="AV199" s="72">
        <f>AV$3*'Yield 1Y'!AC79</f>
        <v>0</v>
      </c>
      <c r="AW199" s="72">
        <f>AW$3*'Yield 1Y'!AD79</f>
        <v>0</v>
      </c>
      <c r="AX199" s="72">
        <f>AX$3*'Yield 1Y'!AE79</f>
        <v>0</v>
      </c>
      <c r="AY199" s="72">
        <f>AY$3*'Yield 1Y'!AF79</f>
        <v>0</v>
      </c>
      <c r="AZ199" s="72">
        <f>AZ$3*'Yield 1Y'!AG79</f>
        <v>-6.3719581228748642E-2</v>
      </c>
      <c r="BA199" s="72">
        <f>BA$3*'Yield 1Y'!AH79</f>
        <v>-8.0820205115810211</v>
      </c>
      <c r="BB199" s="72">
        <f>BB$3*'Yield 1Y'!AI79</f>
        <v>-1.1588268882009967</v>
      </c>
      <c r="BC199" s="72">
        <f>BC$3*'Yield 1Y'!AJ79</f>
        <v>0</v>
      </c>
      <c r="BD199" s="72">
        <f>BD$3*'Yield 1Y'!AK79</f>
        <v>0</v>
      </c>
      <c r="BE199" s="177">
        <f t="shared" si="29"/>
        <v>9.3045669810107672</v>
      </c>
      <c r="BF199" s="124">
        <f>VLOOKUP(AT199,'Yield 1Y'!$F:$G,2,0)</f>
        <v>45967</v>
      </c>
      <c r="BG199" s="318">
        <f t="shared" si="31"/>
        <v>68</v>
      </c>
    </row>
    <row r="200" spans="1:59" x14ac:dyDescent="0.3">
      <c r="A200" s="37">
        <v>201</v>
      </c>
      <c r="B200" s="72">
        <f>'Yield 1Y'!R203*B$3</f>
        <v>0</v>
      </c>
      <c r="C200" s="72">
        <f>'Yield 1Y'!S203*C$3</f>
        <v>0</v>
      </c>
      <c r="D200" s="72">
        <f>'Yield 1Y'!T203*D$3</f>
        <v>0</v>
      </c>
      <c r="E200" s="72">
        <f>'Yield 1Y'!U203*E$3</f>
        <v>0</v>
      </c>
      <c r="F200" s="72">
        <f>'Yield 1Y'!V203*F$3</f>
        <v>0</v>
      </c>
      <c r="G200" s="72">
        <f>'Yield 1Y'!W203*G$3</f>
        <v>0.54104826964723052</v>
      </c>
      <c r="H200" s="72">
        <f>'Yield 1Y'!X203*H$3</f>
        <v>0.8280960013881612</v>
      </c>
      <c r="I200" s="72">
        <f>'Yield 1Y'!Y203*I$3</f>
        <v>0</v>
      </c>
      <c r="J200" s="72">
        <f>'Yield 1Y'!Z203*J$3</f>
        <v>0</v>
      </c>
      <c r="K200" s="72">
        <f>'Yield 1Y'!AA203*K$3</f>
        <v>0</v>
      </c>
      <c r="L200" s="177">
        <f t="shared" si="24"/>
        <v>-1.3691442710353918</v>
      </c>
      <c r="M200" s="124">
        <f>VLOOKUP(A200,'Yield 1Y'!$F:$G,2,0)</f>
        <v>45958</v>
      </c>
      <c r="N200" s="318">
        <f t="shared" si="25"/>
        <v>221</v>
      </c>
      <c r="P200" s="37">
        <v>197</v>
      </c>
      <c r="Q200" s="72">
        <f>Q$3*'Yield 1Y'!R199</f>
        <v>0</v>
      </c>
      <c r="R200" s="72">
        <f>R$3*'Yield 1Y'!S199</f>
        <v>0</v>
      </c>
      <c r="S200" s="72">
        <f>S$3*'Yield 1Y'!T199</f>
        <v>0</v>
      </c>
      <c r="T200" s="72">
        <f>T$3*'Yield 1Y'!U199</f>
        <v>0</v>
      </c>
      <c r="U200" s="72">
        <f>U$3*'Yield 1Y'!V199</f>
        <v>0</v>
      </c>
      <c r="V200" s="72">
        <f>V$3*'Yield 1Y'!W199</f>
        <v>0</v>
      </c>
      <c r="W200" s="72">
        <f>W$3*'Yield 1Y'!X199</f>
        <v>-0.22766254962202551</v>
      </c>
      <c r="X200" s="72">
        <f>X$3*'Yield 1Y'!Y199</f>
        <v>0</v>
      </c>
      <c r="Y200" s="72">
        <f>Y$3*'Yield 1Y'!Z199</f>
        <v>0</v>
      </c>
      <c r="Z200" s="72">
        <f>Z$3*'Yield 1Y'!AA199</f>
        <v>0</v>
      </c>
      <c r="AA200" s="177">
        <f t="shared" si="26"/>
        <v>0.22766254962202551</v>
      </c>
      <c r="AB200" s="124">
        <f>VLOOKUP(P200,'Yield 1Y'!$F:$G,2,0)</f>
        <v>45964</v>
      </c>
      <c r="AC200" s="318">
        <f t="shared" si="30"/>
        <v>138</v>
      </c>
      <c r="AE200" s="37">
        <v>188</v>
      </c>
      <c r="AF200" s="72">
        <f>AF$3*'Yield 1Y'!AB190</f>
        <v>0</v>
      </c>
      <c r="AG200" s="72">
        <f>AG$3*'Yield 1Y'!AC190</f>
        <v>0</v>
      </c>
      <c r="AH200" s="72">
        <f>AH$3*'Yield 1Y'!AD190</f>
        <v>-0.4425949089299564</v>
      </c>
      <c r="AI200" s="72">
        <f>AI$3*'Yield 1Y'!AE190</f>
        <v>-2.2501507146344593</v>
      </c>
      <c r="AJ200" s="72">
        <f>AJ$3*'Yield 1Y'!AF190</f>
        <v>-0.18237986206798057</v>
      </c>
      <c r="AK200" s="72">
        <f>AK$3*'Yield 1Y'!AG190</f>
        <v>-19.207213572478846</v>
      </c>
      <c r="AL200" s="72">
        <f>AL$3*'Yield 1Y'!AH190</f>
        <v>-10.351200017353118</v>
      </c>
      <c r="AM200" s="72">
        <f>AM$3*'Yield 1Y'!AI190</f>
        <v>-7.06351215130793</v>
      </c>
      <c r="AN200" s="72">
        <f>AN$3*'Yield 1Y'!AJ190</f>
        <v>0</v>
      </c>
      <c r="AO200" s="72">
        <f>AO$3*'Yield 1Y'!AK190</f>
        <v>0</v>
      </c>
      <c r="AP200" s="177">
        <f t="shared" si="27"/>
        <v>39.497051226772292</v>
      </c>
      <c r="AQ200" s="124">
        <f>VLOOKUP(AE200,'Yield 1Y'!$F:$G,2,0)</f>
        <v>45975</v>
      </c>
      <c r="AR200" s="318">
        <f t="shared" si="28"/>
        <v>131</v>
      </c>
      <c r="AT200" s="37">
        <v>195</v>
      </c>
      <c r="AU200" s="72">
        <f>AU$3*'Yield 1Y'!AB91</f>
        <v>0</v>
      </c>
      <c r="AV200" s="72">
        <f>AV$3*'Yield 1Y'!AC91</f>
        <v>0</v>
      </c>
      <c r="AW200" s="72">
        <f>AW$3*'Yield 1Y'!AD91</f>
        <v>0</v>
      </c>
      <c r="AX200" s="72">
        <f>AX$3*'Yield 1Y'!AE91</f>
        <v>0</v>
      </c>
      <c r="AY200" s="72">
        <f>AY$3*'Yield 1Y'!AF91</f>
        <v>0</v>
      </c>
      <c r="AZ200" s="72">
        <f>AZ$3*'Yield 1Y'!AG91</f>
        <v>0</v>
      </c>
      <c r="BA200" s="72">
        <f>BA$3*'Yield 1Y'!AH91</f>
        <v>-0.91065019848800088</v>
      </c>
      <c r="BB200" s="72">
        <f>BB$3*'Yield 1Y'!AI91</f>
        <v>-0.19979773934499578</v>
      </c>
      <c r="BC200" s="72">
        <f>BC$3*'Yield 1Y'!AJ91</f>
        <v>0</v>
      </c>
      <c r="BD200" s="72">
        <f>BD$3*'Yield 1Y'!AK91</f>
        <v>0</v>
      </c>
      <c r="BE200" s="177">
        <f t="shared" si="29"/>
        <v>1.1104479378329968</v>
      </c>
      <c r="BF200" s="124">
        <f>VLOOKUP(AT200,'Yield 1Y'!$F:$G,2,0)</f>
        <v>45966</v>
      </c>
      <c r="BG200" s="318">
        <f t="shared" si="31"/>
        <v>228</v>
      </c>
    </row>
    <row r="201" spans="1:59" x14ac:dyDescent="0.3">
      <c r="A201" s="37">
        <v>231</v>
      </c>
      <c r="B201" s="72">
        <f>'Yield 1Y'!R233*B$3</f>
        <v>0</v>
      </c>
      <c r="C201" s="72">
        <f>'Yield 1Y'!S233*C$3</f>
        <v>0</v>
      </c>
      <c r="D201" s="72">
        <f>'Yield 1Y'!T233*D$3</f>
        <v>9.2207272693730687E-3</v>
      </c>
      <c r="E201" s="72">
        <f>'Yield 1Y'!U233*E$3</f>
        <v>0.20193660259540397</v>
      </c>
      <c r="F201" s="72">
        <f>'Yield 1Y'!V233*F$3</f>
        <v>7.0146100795378266E-2</v>
      </c>
      <c r="G201" s="72">
        <f>'Yield 1Y'!W233*G$3</f>
        <v>0.81157240447096601</v>
      </c>
      <c r="H201" s="72">
        <f>'Yield 1Y'!X233*H$3</f>
        <v>0.82809600138834505</v>
      </c>
      <c r="I201" s="72">
        <f>'Yield 1Y'!Y233*I$3</f>
        <v>0</v>
      </c>
      <c r="J201" s="72">
        <f>'Yield 1Y'!Z233*J$3</f>
        <v>0</v>
      </c>
      <c r="K201" s="72">
        <f>'Yield 1Y'!AA233*K$3</f>
        <v>0</v>
      </c>
      <c r="L201" s="177">
        <f t="shared" si="24"/>
        <v>-1.9209718365194663</v>
      </c>
      <c r="M201" s="124">
        <f>VLOOKUP(A201,'Yield 1Y'!$F:$G,2,0)</f>
        <v>45916</v>
      </c>
      <c r="N201" s="318">
        <f t="shared" si="25"/>
        <v>231</v>
      </c>
      <c r="P201" s="37">
        <v>198</v>
      </c>
      <c r="Q201" s="72">
        <f>Q$3*'Yield 1Y'!R200</f>
        <v>0</v>
      </c>
      <c r="R201" s="72">
        <f>R$3*'Yield 1Y'!S200</f>
        <v>0</v>
      </c>
      <c r="S201" s="72">
        <f>S$3*'Yield 1Y'!T200</f>
        <v>0</v>
      </c>
      <c r="T201" s="72">
        <f>T$3*'Yield 1Y'!U200</f>
        <v>0</v>
      </c>
      <c r="U201" s="72">
        <f>U$3*'Yield 1Y'!V200</f>
        <v>0</v>
      </c>
      <c r="V201" s="72">
        <f>V$3*'Yield 1Y'!W200</f>
        <v>0</v>
      </c>
      <c r="W201" s="72">
        <f>W$3*'Yield 1Y'!X200</f>
        <v>-1.138312748109976</v>
      </c>
      <c r="X201" s="72">
        <f>X$3*'Yield 1Y'!Y200</f>
        <v>-0.4795145744280005</v>
      </c>
      <c r="Y201" s="72">
        <f>Y$3*'Yield 1Y'!Z200</f>
        <v>0</v>
      </c>
      <c r="Z201" s="72">
        <f>Z$3*'Yield 1Y'!AA200</f>
        <v>0</v>
      </c>
      <c r="AA201" s="177">
        <f t="shared" si="26"/>
        <v>1.6178273225379765</v>
      </c>
      <c r="AB201" s="124">
        <f>VLOOKUP(P201,'Yield 1Y'!$F:$G,2,0)</f>
        <v>45961</v>
      </c>
      <c r="AC201" s="318">
        <f t="shared" si="30"/>
        <v>39</v>
      </c>
      <c r="AE201" s="37">
        <v>246</v>
      </c>
      <c r="AF201" s="72">
        <f>AF$3*'Yield 1Y'!AB248</f>
        <v>0</v>
      </c>
      <c r="AG201" s="72">
        <f>AG$3*'Yield 1Y'!AC248</f>
        <v>0</v>
      </c>
      <c r="AH201" s="72">
        <f>AH$3*'Yield 1Y'!AD248</f>
        <v>-1.2171359995573761</v>
      </c>
      <c r="AI201" s="72">
        <f>AI$3*'Yield 1Y'!AE248</f>
        <v>-3.0290490389310083</v>
      </c>
      <c r="AJ201" s="72">
        <f>AJ$3*'Yield 1Y'!AF248</f>
        <v>-0.63131490715840022</v>
      </c>
      <c r="AK201" s="72">
        <f>AK$3*'Yield 1Y'!AG248</f>
        <v>-28.675558291306345</v>
      </c>
      <c r="AL201" s="72">
        <f>AL$3*'Yield 1Y'!AH248</f>
        <v>-45.131232075659746</v>
      </c>
      <c r="AM201" s="72">
        <f>AM$3*'Yield 1Y'!AI248</f>
        <v>-44.399219236792938</v>
      </c>
      <c r="AN201" s="72">
        <f>AN$3*'Yield 1Y'!AJ248</f>
        <v>0</v>
      </c>
      <c r="AO201" s="72">
        <f>AO$3*'Yield 1Y'!AK248</f>
        <v>0</v>
      </c>
      <c r="AP201" s="177">
        <f t="shared" si="27"/>
        <v>123.08350954940582</v>
      </c>
      <c r="AQ201" s="124">
        <f>VLOOKUP(AE201,'Yield 1Y'!$F:$G,2,0)</f>
        <v>45891</v>
      </c>
      <c r="AR201" s="318">
        <f t="shared" si="28"/>
        <v>26</v>
      </c>
      <c r="AT201" s="37">
        <v>196</v>
      </c>
      <c r="AU201" s="72">
        <f>AU$3*'Yield 1Y'!AB193</f>
        <v>0</v>
      </c>
      <c r="AV201" s="72">
        <f>AV$3*'Yield 1Y'!AC193</f>
        <v>0</v>
      </c>
      <c r="AW201" s="72">
        <f>AW$3*'Yield 1Y'!AD193</f>
        <v>0</v>
      </c>
      <c r="AX201" s="72">
        <f>AX$3*'Yield 1Y'!AE193</f>
        <v>0</v>
      </c>
      <c r="AY201" s="72">
        <f>AY$3*'Yield 1Y'!AF193</f>
        <v>0</v>
      </c>
      <c r="AZ201" s="72">
        <f>AZ$3*'Yield 1Y'!AG193</f>
        <v>-1.0577450483972468</v>
      </c>
      <c r="BA201" s="72">
        <f>BA$3*'Yield 1Y'!AH193</f>
        <v>-2.6181193206530153</v>
      </c>
      <c r="BB201" s="72">
        <f>BB$3*'Yield 1Y'!AI193</f>
        <v>-0.71927186164199186</v>
      </c>
      <c r="BC201" s="72">
        <f>BC$3*'Yield 1Y'!AJ193</f>
        <v>0</v>
      </c>
      <c r="BD201" s="72">
        <f>BD$3*'Yield 1Y'!AK193</f>
        <v>0</v>
      </c>
      <c r="BE201" s="177">
        <f t="shared" si="29"/>
        <v>4.3951362306922537</v>
      </c>
      <c r="BF201" s="124">
        <f>VLOOKUP(AT201,'Yield 1Y'!$F:$G,2,0)</f>
        <v>45965</v>
      </c>
      <c r="BG201" s="318">
        <f t="shared" si="31"/>
        <v>176</v>
      </c>
    </row>
    <row r="202" spans="1:59" x14ac:dyDescent="0.3">
      <c r="A202" s="37">
        <v>211</v>
      </c>
      <c r="B202" s="72">
        <f>'Yield 1Y'!R213*B$3</f>
        <v>0</v>
      </c>
      <c r="C202" s="72">
        <f>'Yield 1Y'!S213*C$3</f>
        <v>0</v>
      </c>
      <c r="D202" s="72">
        <f>'Yield 1Y'!T213*D$3</f>
        <v>0</v>
      </c>
      <c r="E202" s="72">
        <f>'Yield 1Y'!U213*E$3</f>
        <v>0</v>
      </c>
      <c r="F202" s="72">
        <f>'Yield 1Y'!V213*F$3</f>
        <v>0</v>
      </c>
      <c r="G202" s="72">
        <f>'Yield 1Y'!W213*G$3</f>
        <v>1.0820965392945814</v>
      </c>
      <c r="H202" s="72">
        <f>'Yield 1Y'!X213*H$3</f>
        <v>0.4140480006940806</v>
      </c>
      <c r="I202" s="72">
        <f>'Yield 1Y'!Y213*I$3</f>
        <v>-1.68178860745439</v>
      </c>
      <c r="J202" s="72">
        <f>'Yield 1Y'!Z213*J$3</f>
        <v>0</v>
      </c>
      <c r="K202" s="72">
        <f>'Yield 1Y'!AA213*K$3</f>
        <v>0</v>
      </c>
      <c r="L202" s="177">
        <f t="shared" si="24"/>
        <v>0.18564406746572804</v>
      </c>
      <c r="M202" s="124">
        <f>VLOOKUP(A202,'Yield 1Y'!$F:$G,2,0)</f>
        <v>45944</v>
      </c>
      <c r="N202" s="318">
        <f t="shared" si="25"/>
        <v>185</v>
      </c>
      <c r="P202" s="37">
        <v>199</v>
      </c>
      <c r="Q202" s="72">
        <f>Q$3*'Yield 1Y'!R201</f>
        <v>0</v>
      </c>
      <c r="R202" s="72">
        <f>R$3*'Yield 1Y'!S201</f>
        <v>0</v>
      </c>
      <c r="S202" s="72">
        <f>S$3*'Yield 1Y'!T201</f>
        <v>0</v>
      </c>
      <c r="T202" s="72">
        <f>T$3*'Yield 1Y'!U201</f>
        <v>0</v>
      </c>
      <c r="U202" s="72">
        <f>U$3*'Yield 1Y'!V201</f>
        <v>0</v>
      </c>
      <c r="V202" s="72">
        <f>V$3*'Yield 1Y'!W201</f>
        <v>0</v>
      </c>
      <c r="W202" s="72">
        <f>W$3*'Yield 1Y'!X201</f>
        <v>-2.5042880458420278</v>
      </c>
      <c r="X202" s="72">
        <f>X$3*'Yield 1Y'!Y201</f>
        <v>-0.39959547868999157</v>
      </c>
      <c r="Y202" s="72">
        <f>Y$3*'Yield 1Y'!Z201</f>
        <v>0</v>
      </c>
      <c r="Z202" s="72">
        <f>Z$3*'Yield 1Y'!AA201</f>
        <v>0</v>
      </c>
      <c r="AA202" s="177">
        <f t="shared" si="26"/>
        <v>2.9038835245320191</v>
      </c>
      <c r="AB202" s="124">
        <f>VLOOKUP(P202,'Yield 1Y'!$F:$G,2,0)</f>
        <v>45960</v>
      </c>
      <c r="AC202" s="318">
        <f t="shared" si="30"/>
        <v>19</v>
      </c>
      <c r="AE202" s="37">
        <v>186</v>
      </c>
      <c r="AF202" s="72">
        <f>AF$3*'Yield 1Y'!AB188</f>
        <v>0</v>
      </c>
      <c r="AG202" s="72">
        <f>AG$3*'Yield 1Y'!AC188</f>
        <v>0</v>
      </c>
      <c r="AH202" s="72">
        <f>AH$3*'Yield 1Y'!AD188</f>
        <v>-0.4425949089299564</v>
      </c>
      <c r="AI202" s="72">
        <f>AI$3*'Yield 1Y'!AE188</f>
        <v>-2.2789988007195134</v>
      </c>
      <c r="AJ202" s="72">
        <f>AJ$3*'Yield 1Y'!AF188</f>
        <v>-0.18237986206798057</v>
      </c>
      <c r="AK202" s="72">
        <f>AK$3*'Yield 1Y'!AG188</f>
        <v>-18.666165302831498</v>
      </c>
      <c r="AL202" s="72">
        <f>AL$3*'Yield 1Y'!AH188</f>
        <v>-10.351200017353118</v>
      </c>
      <c r="AM202" s="72">
        <f>AM$3*'Yield 1Y'!AI188</f>
        <v>-7.3998698727987486</v>
      </c>
      <c r="AN202" s="72">
        <f>AN$3*'Yield 1Y'!AJ188</f>
        <v>0</v>
      </c>
      <c r="AO202" s="72">
        <f>AO$3*'Yield 1Y'!AK188</f>
        <v>0</v>
      </c>
      <c r="AP202" s="177">
        <f t="shared" si="27"/>
        <v>39.321208764700813</v>
      </c>
      <c r="AQ202" s="124">
        <f>VLOOKUP(AE202,'Yield 1Y'!$F:$G,2,0)</f>
        <v>45979</v>
      </c>
      <c r="AR202" s="318">
        <f t="shared" si="28"/>
        <v>132</v>
      </c>
      <c r="AT202" s="37">
        <v>197</v>
      </c>
      <c r="AU202" s="72">
        <f>AU$3*'Yield 1Y'!AB59</f>
        <v>0</v>
      </c>
      <c r="AV202" s="72">
        <f>AV$3*'Yield 1Y'!AC59</f>
        <v>0</v>
      </c>
      <c r="AW202" s="72">
        <f>AW$3*'Yield 1Y'!AD59</f>
        <v>0</v>
      </c>
      <c r="AX202" s="72">
        <f>AX$3*'Yield 1Y'!AE59</f>
        <v>0</v>
      </c>
      <c r="AY202" s="72">
        <f>AY$3*'Yield 1Y'!AF59</f>
        <v>0</v>
      </c>
      <c r="AZ202" s="72">
        <f>AZ$3*'Yield 1Y'!AG59</f>
        <v>-1.3381112058037441</v>
      </c>
      <c r="BA202" s="72">
        <f>BA$3*'Yield 1Y'!AH59</f>
        <v>-2.1627942214089644</v>
      </c>
      <c r="BB202" s="72">
        <f>BB$3*'Yield 1Y'!AI59</f>
        <v>-1.9180582977119842</v>
      </c>
      <c r="BC202" s="72">
        <f>BC$3*'Yield 1Y'!AJ59</f>
        <v>0</v>
      </c>
      <c r="BD202" s="72">
        <f>BD$3*'Yield 1Y'!AK59</f>
        <v>0</v>
      </c>
      <c r="BE202" s="177">
        <f t="shared" si="29"/>
        <v>5.4189637249246925</v>
      </c>
      <c r="BF202" s="124">
        <f>VLOOKUP(AT202,'Yield 1Y'!$F:$G,2,0)</f>
        <v>45964</v>
      </c>
      <c r="BG202" s="318">
        <f t="shared" si="31"/>
        <v>148</v>
      </c>
    </row>
    <row r="203" spans="1:59" x14ac:dyDescent="0.3">
      <c r="A203" s="37">
        <v>191</v>
      </c>
      <c r="B203" s="72">
        <f>'Yield 1Y'!R193*B$3</f>
        <v>0</v>
      </c>
      <c r="C203" s="72">
        <f>'Yield 1Y'!S193*C$3</f>
        <v>0</v>
      </c>
      <c r="D203" s="72">
        <f>'Yield 1Y'!T193*D$3</f>
        <v>0</v>
      </c>
      <c r="E203" s="72">
        <f>'Yield 1Y'!U193*E$3</f>
        <v>-5.7696172170108105E-2</v>
      </c>
      <c r="F203" s="72">
        <f>'Yield 1Y'!V193*F$3</f>
        <v>-1.8705626878767399E-2</v>
      </c>
      <c r="G203" s="72">
        <f>'Yield 1Y'!W193*G$3</f>
        <v>0</v>
      </c>
      <c r="H203" s="72">
        <f>'Yield 1Y'!X193*H$3</f>
        <v>2.4842880041646676</v>
      </c>
      <c r="I203" s="72">
        <f>'Yield 1Y'!Y193*I$3</f>
        <v>0</v>
      </c>
      <c r="J203" s="72">
        <f>'Yield 1Y'!Z193*J$3</f>
        <v>0</v>
      </c>
      <c r="K203" s="72">
        <f>'Yield 1Y'!AA193*K$3</f>
        <v>0</v>
      </c>
      <c r="L203" s="177">
        <f t="shared" si="24"/>
        <v>-2.4078862051157919</v>
      </c>
      <c r="M203" s="124">
        <f>VLOOKUP(A203,'Yield 1Y'!$F:$G,2,0)</f>
        <v>45972</v>
      </c>
      <c r="N203" s="318">
        <f t="shared" si="25"/>
        <v>237</v>
      </c>
      <c r="P203" s="37">
        <v>200</v>
      </c>
      <c r="Q203" s="72">
        <f>Q$3*'Yield 1Y'!R202</f>
        <v>0</v>
      </c>
      <c r="R203" s="72">
        <f>R$3*'Yield 1Y'!S202</f>
        <v>0</v>
      </c>
      <c r="S203" s="72">
        <f>S$3*'Yield 1Y'!T202</f>
        <v>0</v>
      </c>
      <c r="T203" s="72">
        <f>T$3*'Yield 1Y'!U202</f>
        <v>0</v>
      </c>
      <c r="U203" s="72">
        <f>U$3*'Yield 1Y'!V202</f>
        <v>0</v>
      </c>
      <c r="V203" s="72">
        <f>V$3*'Yield 1Y'!W202</f>
        <v>0</v>
      </c>
      <c r="W203" s="72">
        <f>W$3*'Yield 1Y'!X202</f>
        <v>-0.34149382443296245</v>
      </c>
      <c r="X203" s="72">
        <f>X$3*'Yield 1Y'!Y202</f>
        <v>-3.9959547868995603E-2</v>
      </c>
      <c r="Y203" s="72">
        <f>Y$3*'Yield 1Y'!Z202</f>
        <v>0</v>
      </c>
      <c r="Z203" s="72">
        <f>Z$3*'Yield 1Y'!AA202</f>
        <v>0</v>
      </c>
      <c r="AA203" s="177">
        <f t="shared" si="26"/>
        <v>0.38145337230195803</v>
      </c>
      <c r="AB203" s="124">
        <f>VLOOKUP(P203,'Yield 1Y'!$F:$G,2,0)</f>
        <v>45959</v>
      </c>
      <c r="AC203" s="318">
        <f t="shared" si="30"/>
        <v>111</v>
      </c>
      <c r="AE203" s="37">
        <v>46</v>
      </c>
      <c r="AF203" s="72">
        <f>AF$3*'Yield 1Y'!AB48</f>
        <v>0</v>
      </c>
      <c r="AG203" s="72">
        <f>AG$3*'Yield 1Y'!AC48</f>
        <v>0</v>
      </c>
      <c r="AH203" s="72">
        <f>AH$3*'Yield 1Y'!AD48</f>
        <v>-0.48869854527682582</v>
      </c>
      <c r="AI203" s="72">
        <f>AI$3*'Yield 1Y'!AE48</f>
        <v>-1.6731889929333399</v>
      </c>
      <c r="AJ203" s="72">
        <f>AJ$3*'Yield 1Y'!AF48</f>
        <v>-0.20576189566644137</v>
      </c>
      <c r="AK203" s="72">
        <f>AK$3*'Yield 1Y'!AG48</f>
        <v>-18.936689437655232</v>
      </c>
      <c r="AL203" s="72">
        <f>AL$3*'Yield 1Y'!AH48</f>
        <v>-21.530496036094398</v>
      </c>
      <c r="AM203" s="72">
        <f>AM$3*'Yield 1Y'!AI48</f>
        <v>-13.790666581125041</v>
      </c>
      <c r="AN203" s="72">
        <f>AN$3*'Yield 1Y'!AJ48</f>
        <v>0</v>
      </c>
      <c r="AO203" s="72">
        <f>AO$3*'Yield 1Y'!AK48</f>
        <v>0</v>
      </c>
      <c r="AP203" s="177">
        <f t="shared" si="27"/>
        <v>56.625501488751283</v>
      </c>
      <c r="AQ203" s="124">
        <f>VLOOKUP(AE203,'Yield 1Y'!$F:$G,2,0)</f>
        <v>46189</v>
      </c>
      <c r="AR203" s="318">
        <f t="shared" si="28"/>
        <v>68</v>
      </c>
      <c r="AT203" s="37">
        <v>198</v>
      </c>
      <c r="AU203" s="72">
        <f>AU$3*'Yield 1Y'!AB151</f>
        <v>0</v>
      </c>
      <c r="AV203" s="72">
        <f>AV$3*'Yield 1Y'!AC151</f>
        <v>0</v>
      </c>
      <c r="AW203" s="72">
        <f>AW$3*'Yield 1Y'!AD151</f>
        <v>0</v>
      </c>
      <c r="AX203" s="72">
        <f>AX$3*'Yield 1Y'!AE151</f>
        <v>0</v>
      </c>
      <c r="AY203" s="72">
        <f>AY$3*'Yield 1Y'!AF151</f>
        <v>0</v>
      </c>
      <c r="AZ203" s="72">
        <f>AZ$3*'Yield 1Y'!AG151</f>
        <v>-2.0772583480572422</v>
      </c>
      <c r="BA203" s="72">
        <f>BA$3*'Yield 1Y'!AH151</f>
        <v>-10.927802381856011</v>
      </c>
      <c r="BB203" s="72">
        <f>BB$3*'Yield 1Y'!AI151</f>
        <v>-7.9919095738000081</v>
      </c>
      <c r="BC203" s="72">
        <f>BC$3*'Yield 1Y'!AJ151</f>
        <v>0</v>
      </c>
      <c r="BD203" s="72">
        <f>BD$3*'Yield 1Y'!AK151</f>
        <v>0</v>
      </c>
      <c r="BE203" s="177">
        <f t="shared" si="29"/>
        <v>20.996970303713262</v>
      </c>
      <c r="BF203" s="124">
        <f>VLOOKUP(AT203,'Yield 1Y'!$F:$G,2,0)</f>
        <v>45961</v>
      </c>
      <c r="BG203" s="318">
        <f t="shared" si="31"/>
        <v>23</v>
      </c>
    </row>
    <row r="204" spans="1:59" x14ac:dyDescent="0.3">
      <c r="A204" s="37">
        <v>219</v>
      </c>
      <c r="B204" s="72">
        <f>'Yield 1Y'!R221*B$3</f>
        <v>0</v>
      </c>
      <c r="C204" s="72">
        <f>'Yield 1Y'!S221*C$3</f>
        <v>0</v>
      </c>
      <c r="D204" s="72">
        <f>'Yield 1Y'!T221*D$3</f>
        <v>-0.2489596362731015</v>
      </c>
      <c r="E204" s="72">
        <f>'Yield 1Y'!U221*E$3</f>
        <v>-0.7500502382114822</v>
      </c>
      <c r="F204" s="72">
        <f>'Yield 1Y'!V221*F$3</f>
        <v>-0.11691016799229571</v>
      </c>
      <c r="G204" s="72">
        <f>'Yield 1Y'!W221*G$3</f>
        <v>-5.6810068312965214</v>
      </c>
      <c r="H204" s="72">
        <f>'Yield 1Y'!X221*H$3</f>
        <v>-19.046208031929915</v>
      </c>
      <c r="I204" s="72">
        <f>'Yield 1Y'!Y221*I$3</f>
        <v>-10.763447087707378</v>
      </c>
      <c r="J204" s="72">
        <f>'Yield 1Y'!Z221*J$3</f>
        <v>0</v>
      </c>
      <c r="K204" s="72">
        <f>'Yield 1Y'!AA221*K$3</f>
        <v>0</v>
      </c>
      <c r="L204" s="177">
        <f t="shared" si="24"/>
        <v>36.606581993410693</v>
      </c>
      <c r="M204" s="124">
        <f>VLOOKUP(A204,'Yield 1Y'!$F:$G,2,0)</f>
        <v>45932</v>
      </c>
      <c r="N204" s="318">
        <f t="shared" si="25"/>
        <v>8</v>
      </c>
      <c r="P204" s="37">
        <v>201</v>
      </c>
      <c r="Q204" s="72">
        <f>Q$3*'Yield 1Y'!R203</f>
        <v>0</v>
      </c>
      <c r="R204" s="72">
        <f>R$3*'Yield 1Y'!S203</f>
        <v>0</v>
      </c>
      <c r="S204" s="72">
        <f>S$3*'Yield 1Y'!T203</f>
        <v>0</v>
      </c>
      <c r="T204" s="72">
        <f>T$3*'Yield 1Y'!U203</f>
        <v>0</v>
      </c>
      <c r="U204" s="72">
        <f>U$3*'Yield 1Y'!V203</f>
        <v>0</v>
      </c>
      <c r="V204" s="72">
        <f>V$3*'Yield 1Y'!W203</f>
        <v>2.5487832491497196E-2</v>
      </c>
      <c r="W204" s="72">
        <f>W$3*'Yield 1Y'!X203</f>
        <v>0.22766254962197496</v>
      </c>
      <c r="X204" s="72">
        <f>X$3*'Yield 1Y'!Y203</f>
        <v>0</v>
      </c>
      <c r="Y204" s="72">
        <f>Y$3*'Yield 1Y'!Z203</f>
        <v>0</v>
      </c>
      <c r="Z204" s="72">
        <f>Z$3*'Yield 1Y'!AA203</f>
        <v>0</v>
      </c>
      <c r="AA204" s="177">
        <f t="shared" si="26"/>
        <v>-0.25315038211347218</v>
      </c>
      <c r="AB204" s="124">
        <f>VLOOKUP(P204,'Yield 1Y'!$F:$G,2,0)</f>
        <v>45958</v>
      </c>
      <c r="AC204" s="318">
        <f t="shared" si="30"/>
        <v>207</v>
      </c>
      <c r="AE204" s="37">
        <v>193</v>
      </c>
      <c r="AF204" s="72">
        <f>AF$3*'Yield 1Y'!AB195</f>
        <v>0</v>
      </c>
      <c r="AG204" s="72">
        <f>AG$3*'Yield 1Y'!AC195</f>
        <v>0</v>
      </c>
      <c r="AH204" s="72">
        <f>AH$3*'Yield 1Y'!AD195</f>
        <v>-1.8441454538750231E-2</v>
      </c>
      <c r="AI204" s="72">
        <f>AI$3*'Yield 1Y'!AE195</f>
        <v>-1.5289485625080312</v>
      </c>
      <c r="AJ204" s="72">
        <f>AJ$3*'Yield 1Y'!AF195</f>
        <v>-9.3528134393826602E-3</v>
      </c>
      <c r="AK204" s="72">
        <f>AK$3*'Yield 1Y'!AG195</f>
        <v>-15.960923954595104</v>
      </c>
      <c r="AL204" s="72">
        <f>AL$3*'Yield 1Y'!AH195</f>
        <v>-0.82809600138834505</v>
      </c>
      <c r="AM204" s="72">
        <f>AM$3*'Yield 1Y'!AI195</f>
        <v>-1.0090731644726041</v>
      </c>
      <c r="AN204" s="72">
        <f>AN$3*'Yield 1Y'!AJ195</f>
        <v>0</v>
      </c>
      <c r="AO204" s="72">
        <f>AO$3*'Yield 1Y'!AK195</f>
        <v>0</v>
      </c>
      <c r="AP204" s="177">
        <f t="shared" si="27"/>
        <v>19.354835950942217</v>
      </c>
      <c r="AQ204" s="124">
        <f>VLOOKUP(AE204,'Yield 1Y'!$F:$G,2,0)</f>
        <v>45968</v>
      </c>
      <c r="AR204" s="318">
        <f t="shared" si="28"/>
        <v>204</v>
      </c>
      <c r="AT204" s="37">
        <v>199</v>
      </c>
      <c r="AU204" s="72">
        <f>AU$3*'Yield 1Y'!AB195</f>
        <v>0</v>
      </c>
      <c r="AV204" s="72">
        <f>AV$3*'Yield 1Y'!AC195</f>
        <v>0</v>
      </c>
      <c r="AW204" s="72">
        <f>AW$3*'Yield 1Y'!AD195</f>
        <v>0</v>
      </c>
      <c r="AX204" s="72">
        <f>AX$3*'Yield 1Y'!AE195</f>
        <v>0</v>
      </c>
      <c r="AY204" s="72">
        <f>AY$3*'Yield 1Y'!AF195</f>
        <v>0</v>
      </c>
      <c r="AZ204" s="72">
        <f>AZ$3*'Yield 1Y'!AG195</f>
        <v>-0.75189105849925209</v>
      </c>
      <c r="BA204" s="72">
        <f>BA$3*'Yield 1Y'!AH195</f>
        <v>-0.22766254962202551</v>
      </c>
      <c r="BB204" s="72">
        <f>BB$3*'Yield 1Y'!AI195</f>
        <v>-0.11987864360700456</v>
      </c>
      <c r="BC204" s="72">
        <f>BC$3*'Yield 1Y'!AJ195</f>
        <v>0</v>
      </c>
      <c r="BD204" s="72">
        <f>BD$3*'Yield 1Y'!AK195</f>
        <v>0</v>
      </c>
      <c r="BE204" s="177">
        <f t="shared" si="29"/>
        <v>1.0994322517282822</v>
      </c>
      <c r="BF204" s="124">
        <f>VLOOKUP(AT204,'Yield 1Y'!$F:$G,2,0)</f>
        <v>45960</v>
      </c>
      <c r="BG204" s="318">
        <f t="shared" si="31"/>
        <v>229</v>
      </c>
    </row>
    <row r="205" spans="1:59" x14ac:dyDescent="0.3">
      <c r="A205" s="37">
        <v>46</v>
      </c>
      <c r="B205" s="72">
        <f>'Yield 1Y'!R48*B$3</f>
        <v>0</v>
      </c>
      <c r="C205" s="72">
        <f>'Yield 1Y'!S48*C$3</f>
        <v>0</v>
      </c>
      <c r="D205" s="72">
        <f>'Yield 1Y'!T48*D$3</f>
        <v>0</v>
      </c>
      <c r="E205" s="72">
        <f>'Yield 1Y'!U48*E$3</f>
        <v>-0.11539234434022902</v>
      </c>
      <c r="F205" s="72">
        <f>'Yield 1Y'!V48*F$3</f>
        <v>-3.7411253757534797E-2</v>
      </c>
      <c r="G205" s="72">
        <f>'Yield 1Y'!W48*G$3</f>
        <v>-1.623144808941932</v>
      </c>
      <c r="H205" s="72">
        <f>'Yield 1Y'!X48*H$3</f>
        <v>0</v>
      </c>
      <c r="I205" s="72">
        <f>'Yield 1Y'!Y48*I$3</f>
        <v>0</v>
      </c>
      <c r="J205" s="72">
        <f>'Yield 1Y'!Z48*J$3</f>
        <v>0</v>
      </c>
      <c r="K205" s="72">
        <f>'Yield 1Y'!AA48*K$3</f>
        <v>0</v>
      </c>
      <c r="L205" s="177">
        <f t="shared" si="24"/>
        <v>1.7759484070396958</v>
      </c>
      <c r="M205" s="124">
        <f>VLOOKUP(A205,'Yield 1Y'!$F:$G,2,0)</f>
        <v>46189</v>
      </c>
      <c r="N205" s="318">
        <f t="shared" si="25"/>
        <v>124</v>
      </c>
      <c r="P205" s="37">
        <v>202</v>
      </c>
      <c r="Q205" s="72">
        <f>Q$3*'Yield 1Y'!R204</f>
        <v>0</v>
      </c>
      <c r="R205" s="72">
        <f>R$3*'Yield 1Y'!S204</f>
        <v>0</v>
      </c>
      <c r="S205" s="72">
        <f>S$3*'Yield 1Y'!T204</f>
        <v>0</v>
      </c>
      <c r="T205" s="72">
        <f>T$3*'Yield 1Y'!U204</f>
        <v>0</v>
      </c>
      <c r="U205" s="72">
        <f>U$3*'Yield 1Y'!V204</f>
        <v>0</v>
      </c>
      <c r="V205" s="72">
        <f>V$3*'Yield 1Y'!W204</f>
        <v>-3.8231748737245788E-2</v>
      </c>
      <c r="W205" s="72">
        <f>W$3*'Yield 1Y'!X204</f>
        <v>0.68298764886602603</v>
      </c>
      <c r="X205" s="72">
        <f>X$3*'Yield 1Y'!Y204</f>
        <v>-0.19979773934499578</v>
      </c>
      <c r="Y205" s="72">
        <f>Y$3*'Yield 1Y'!Z204</f>
        <v>0</v>
      </c>
      <c r="Z205" s="72">
        <f>Z$3*'Yield 1Y'!AA204</f>
        <v>0</v>
      </c>
      <c r="AA205" s="177">
        <f t="shared" si="26"/>
        <v>-0.44495816078378447</v>
      </c>
      <c r="AB205" s="124">
        <f>VLOOKUP(P205,'Yield 1Y'!$F:$G,2,0)</f>
        <v>45957</v>
      </c>
      <c r="AC205" s="318">
        <f t="shared" si="30"/>
        <v>225</v>
      </c>
      <c r="AE205" s="37">
        <v>190</v>
      </c>
      <c r="AF205" s="72">
        <f>AF$3*'Yield 1Y'!AB192</f>
        <v>0</v>
      </c>
      <c r="AG205" s="72">
        <f>AG$3*'Yield 1Y'!AC192</f>
        <v>0</v>
      </c>
      <c r="AH205" s="72">
        <f>AH$3*'Yield 1Y'!AD192</f>
        <v>-0.39649127258308697</v>
      </c>
      <c r="AI205" s="72">
        <f>AI$3*'Yield 1Y'!AE192</f>
        <v>-2.6251758337402005</v>
      </c>
      <c r="AJ205" s="72">
        <f>AJ$3*'Yield 1Y'!AF192</f>
        <v>-0.16367423518921526</v>
      </c>
      <c r="AK205" s="72">
        <f>AK$3*'Yield 1Y'!AG192</f>
        <v>-24.617696268951633</v>
      </c>
      <c r="AL205" s="72">
        <f>AL$3*'Yield 1Y'!AH192</f>
        <v>-9.5231040159649574</v>
      </c>
      <c r="AM205" s="72">
        <f>AM$3*'Yield 1Y'!AI192</f>
        <v>-6.0544389868353257</v>
      </c>
      <c r="AN205" s="72">
        <f>AN$3*'Yield 1Y'!AJ192</f>
        <v>0</v>
      </c>
      <c r="AO205" s="72">
        <f>AO$3*'Yield 1Y'!AK192</f>
        <v>0</v>
      </c>
      <c r="AP205" s="177">
        <f t="shared" si="27"/>
        <v>43.380580613264414</v>
      </c>
      <c r="AQ205" s="124">
        <f>VLOOKUP(AE205,'Yield 1Y'!$F:$G,2,0)</f>
        <v>45973</v>
      </c>
      <c r="AR205" s="318">
        <f t="shared" si="28"/>
        <v>108</v>
      </c>
      <c r="AT205" s="37">
        <v>200</v>
      </c>
      <c r="AU205" s="72">
        <f>AU$3*'Yield 1Y'!AB248</f>
        <v>0</v>
      </c>
      <c r="AV205" s="72">
        <f>AV$3*'Yield 1Y'!AC248</f>
        <v>0</v>
      </c>
      <c r="AW205" s="72">
        <f>AW$3*'Yield 1Y'!AD248</f>
        <v>0</v>
      </c>
      <c r="AX205" s="72">
        <f>AX$3*'Yield 1Y'!AE248</f>
        <v>0</v>
      </c>
      <c r="AY205" s="72">
        <f>AY$3*'Yield 1Y'!AF248</f>
        <v>0</v>
      </c>
      <c r="AZ205" s="72">
        <f>AZ$3*'Yield 1Y'!AG248</f>
        <v>-1.3508551220494984</v>
      </c>
      <c r="BA205" s="72">
        <f>BA$3*'Yield 1Y'!AH248</f>
        <v>-12.407608954399</v>
      </c>
      <c r="BB205" s="72">
        <f>BB$3*'Yield 1Y'!AI248</f>
        <v>-5.2746603187080057</v>
      </c>
      <c r="BC205" s="72">
        <f>BC$3*'Yield 1Y'!AJ248</f>
        <v>0</v>
      </c>
      <c r="BD205" s="72">
        <f>BD$3*'Yield 1Y'!AK248</f>
        <v>0</v>
      </c>
      <c r="BE205" s="177">
        <f t="shared" si="29"/>
        <v>19.033124395156506</v>
      </c>
      <c r="BF205" s="124">
        <f>VLOOKUP(AT205,'Yield 1Y'!$F:$G,2,0)</f>
        <v>45959</v>
      </c>
      <c r="BG205" s="318">
        <f t="shared" si="31"/>
        <v>32</v>
      </c>
    </row>
    <row r="206" spans="1:59" x14ac:dyDescent="0.3">
      <c r="A206" s="37">
        <v>74</v>
      </c>
      <c r="B206" s="72">
        <f>'Yield 1Y'!R76*B$3</f>
        <v>0</v>
      </c>
      <c r="C206" s="72">
        <f>'Yield 1Y'!S76*C$3</f>
        <v>0</v>
      </c>
      <c r="D206" s="72">
        <f>'Yield 1Y'!T76*D$3</f>
        <v>0</v>
      </c>
      <c r="E206" s="72">
        <f>'Yield 1Y'!U76*E$3</f>
        <v>0.11539234434022902</v>
      </c>
      <c r="F206" s="72">
        <f>'Yield 1Y'!V76*F$3</f>
        <v>3.2734847037845544E-2</v>
      </c>
      <c r="G206" s="72">
        <f>'Yield 1Y'!W76*G$3</f>
        <v>0</v>
      </c>
      <c r="H206" s="72">
        <f>'Yield 1Y'!X76*H$3</f>
        <v>0</v>
      </c>
      <c r="I206" s="72">
        <f>'Yield 1Y'!Y76*I$3</f>
        <v>-0.67271544298163655</v>
      </c>
      <c r="J206" s="72">
        <f>'Yield 1Y'!Z76*J$3</f>
        <v>0</v>
      </c>
      <c r="K206" s="72">
        <f>'Yield 1Y'!AA76*K$3</f>
        <v>0</v>
      </c>
      <c r="L206" s="177">
        <f t="shared" si="24"/>
        <v>0.52458825160356204</v>
      </c>
      <c r="M206" s="124">
        <f>VLOOKUP(A206,'Yield 1Y'!$F:$G,2,0)</f>
        <v>46149</v>
      </c>
      <c r="N206" s="318">
        <f t="shared" si="25"/>
        <v>171</v>
      </c>
      <c r="P206" s="37">
        <v>203</v>
      </c>
      <c r="Q206" s="72">
        <f>Q$3*'Yield 1Y'!R205</f>
        <v>0</v>
      </c>
      <c r="R206" s="72">
        <f>R$3*'Yield 1Y'!S205</f>
        <v>0</v>
      </c>
      <c r="S206" s="72">
        <f>S$3*'Yield 1Y'!T205</f>
        <v>0</v>
      </c>
      <c r="T206" s="72">
        <f>T$3*'Yield 1Y'!U205</f>
        <v>0</v>
      </c>
      <c r="U206" s="72">
        <f>U$3*'Yield 1Y'!V205</f>
        <v>0</v>
      </c>
      <c r="V206" s="72">
        <f>V$3*'Yield 1Y'!W205</f>
        <v>2.5487832491497196E-2</v>
      </c>
      <c r="W206" s="72">
        <f>W$3*'Yield 1Y'!X205</f>
        <v>0.45532509924400044</v>
      </c>
      <c r="X206" s="72">
        <f>X$3*'Yield 1Y'!Y205</f>
        <v>0</v>
      </c>
      <c r="Y206" s="72">
        <f>Y$3*'Yield 1Y'!Z205</f>
        <v>0</v>
      </c>
      <c r="Z206" s="72">
        <f>Z$3*'Yield 1Y'!AA205</f>
        <v>0</v>
      </c>
      <c r="AA206" s="177">
        <f t="shared" si="26"/>
        <v>-0.48081293173549766</v>
      </c>
      <c r="AB206" s="124">
        <f>VLOOKUP(P206,'Yield 1Y'!$F:$G,2,0)</f>
        <v>45954</v>
      </c>
      <c r="AC206" s="318">
        <f t="shared" si="30"/>
        <v>229</v>
      </c>
      <c r="AE206" s="37">
        <v>189</v>
      </c>
      <c r="AF206" s="72">
        <f>AF$3*'Yield 1Y'!AB191</f>
        <v>0</v>
      </c>
      <c r="AG206" s="72">
        <f>AG$3*'Yield 1Y'!AC191</f>
        <v>0</v>
      </c>
      <c r="AH206" s="72">
        <f>AH$3*'Yield 1Y'!AD191</f>
        <v>-0.4425949089299564</v>
      </c>
      <c r="AI206" s="72">
        <f>AI$3*'Yield 1Y'!AE191</f>
        <v>-2.3943911450597555</v>
      </c>
      <c r="AJ206" s="72">
        <f>AJ$3*'Yield 1Y'!AF191</f>
        <v>-0.18237986206798057</v>
      </c>
      <c r="AK206" s="72">
        <f>AK$3*'Yield 1Y'!AG191</f>
        <v>-21.37140665106789</v>
      </c>
      <c r="AL206" s="72">
        <f>AL$3*'Yield 1Y'!AH191</f>
        <v>-10.351200017353118</v>
      </c>
      <c r="AM206" s="72">
        <f>AM$3*'Yield 1Y'!AI191</f>
        <v>-7.06351215130793</v>
      </c>
      <c r="AN206" s="72">
        <f>AN$3*'Yield 1Y'!AJ191</f>
        <v>0</v>
      </c>
      <c r="AO206" s="72">
        <f>AO$3*'Yield 1Y'!AK191</f>
        <v>0</v>
      </c>
      <c r="AP206" s="177">
        <f t="shared" si="27"/>
        <v>41.805484735786635</v>
      </c>
      <c r="AQ206" s="124">
        <f>VLOOKUP(AE206,'Yield 1Y'!$F:$G,2,0)</f>
        <v>45974</v>
      </c>
      <c r="AR206" s="318">
        <f t="shared" si="28"/>
        <v>117</v>
      </c>
      <c r="AT206" s="37">
        <v>201</v>
      </c>
      <c r="AU206" s="72">
        <f>AU$3*'Yield 1Y'!AB160</f>
        <v>0</v>
      </c>
      <c r="AV206" s="72">
        <f>AV$3*'Yield 1Y'!AC160</f>
        <v>0</v>
      </c>
      <c r="AW206" s="72">
        <f>AW$3*'Yield 1Y'!AD160</f>
        <v>0</v>
      </c>
      <c r="AX206" s="72">
        <f>AX$3*'Yield 1Y'!AE160</f>
        <v>0</v>
      </c>
      <c r="AY206" s="72">
        <f>AY$3*'Yield 1Y'!AF160</f>
        <v>0</v>
      </c>
      <c r="AZ206" s="72">
        <f>AZ$3*'Yield 1Y'!AG160</f>
        <v>-0.30585398989800028</v>
      </c>
      <c r="BA206" s="72">
        <f>BA$3*'Yield 1Y'!AH160</f>
        <v>0</v>
      </c>
      <c r="BB206" s="72">
        <f>BB$3*'Yield 1Y'!AI160</f>
        <v>-0.51947412229699608</v>
      </c>
      <c r="BC206" s="72">
        <f>BC$3*'Yield 1Y'!AJ160</f>
        <v>0</v>
      </c>
      <c r="BD206" s="72">
        <f>BD$3*'Yield 1Y'!AK160</f>
        <v>0</v>
      </c>
      <c r="BE206" s="177">
        <f t="shared" si="29"/>
        <v>0.82532811219499636</v>
      </c>
      <c r="BF206" s="124">
        <f>VLOOKUP(AT206,'Yield 1Y'!$F:$G,2,0)</f>
        <v>45958</v>
      </c>
      <c r="BG206" s="318">
        <f t="shared" si="31"/>
        <v>236</v>
      </c>
    </row>
    <row r="207" spans="1:59" x14ac:dyDescent="0.3">
      <c r="A207" s="37">
        <v>67</v>
      </c>
      <c r="B207" s="72">
        <f>'Yield 1Y'!R69*B$3</f>
        <v>0</v>
      </c>
      <c r="C207" s="72">
        <f>'Yield 1Y'!S69*C$3</f>
        <v>0</v>
      </c>
      <c r="D207" s="72">
        <f>'Yield 1Y'!T69*D$3</f>
        <v>0</v>
      </c>
      <c r="E207" s="72">
        <f>'Yield 1Y'!U69*E$3</f>
        <v>5.7696172170108105E-2</v>
      </c>
      <c r="F207" s="72">
        <f>'Yield 1Y'!V69*F$3</f>
        <v>1.870562687876532E-2</v>
      </c>
      <c r="G207" s="72">
        <f>'Yield 1Y'!W69*G$3</f>
        <v>0</v>
      </c>
      <c r="H207" s="72">
        <f>'Yield 1Y'!X69*H$3</f>
        <v>-1.6561920027763224</v>
      </c>
      <c r="I207" s="72">
        <f>'Yield 1Y'!Y69*I$3</f>
        <v>-0.33635772149096765</v>
      </c>
      <c r="J207" s="72">
        <f>'Yield 1Y'!Z69*J$3</f>
        <v>0</v>
      </c>
      <c r="K207" s="72">
        <f>'Yield 1Y'!AA69*K$3</f>
        <v>0</v>
      </c>
      <c r="L207" s="177">
        <f t="shared" si="24"/>
        <v>1.9161479252184166</v>
      </c>
      <c r="M207" s="124">
        <f>VLOOKUP(A207,'Yield 1Y'!$F:$G,2,0)</f>
        <v>46160</v>
      </c>
      <c r="N207" s="318">
        <f t="shared" si="25"/>
        <v>119</v>
      </c>
      <c r="P207" s="37">
        <v>204</v>
      </c>
      <c r="Q207" s="72">
        <f>Q$3*'Yield 1Y'!R206</f>
        <v>0</v>
      </c>
      <c r="R207" s="72">
        <f>R$3*'Yield 1Y'!S206</f>
        <v>0</v>
      </c>
      <c r="S207" s="72">
        <f>S$3*'Yield 1Y'!T206</f>
        <v>0</v>
      </c>
      <c r="T207" s="72">
        <f>T$3*'Yield 1Y'!U206</f>
        <v>0</v>
      </c>
      <c r="U207" s="72">
        <f>U$3*'Yield 1Y'!V206</f>
        <v>0</v>
      </c>
      <c r="V207" s="72">
        <f>V$3*'Yield 1Y'!W206</f>
        <v>2.5487832491502854E-2</v>
      </c>
      <c r="W207" s="72">
        <f>W$3*'Yield 1Y'!X206</f>
        <v>-3.0734444198970157</v>
      </c>
      <c r="X207" s="72">
        <f>X$3*'Yield 1Y'!Y206</f>
        <v>-1.1987864360700102</v>
      </c>
      <c r="Y207" s="72">
        <f>Y$3*'Yield 1Y'!Z206</f>
        <v>0</v>
      </c>
      <c r="Z207" s="72">
        <f>Z$3*'Yield 1Y'!AA206</f>
        <v>0</v>
      </c>
      <c r="AA207" s="177">
        <f t="shared" si="26"/>
        <v>4.2467430234755232</v>
      </c>
      <c r="AB207" s="124">
        <f>VLOOKUP(P207,'Yield 1Y'!$F:$G,2,0)</f>
        <v>45953</v>
      </c>
      <c r="AC207" s="318">
        <f t="shared" si="30"/>
        <v>12</v>
      </c>
      <c r="AE207" s="37">
        <v>191</v>
      </c>
      <c r="AF207" s="72">
        <f>AF$3*'Yield 1Y'!AB193</f>
        <v>0</v>
      </c>
      <c r="AG207" s="72">
        <f>AG$3*'Yield 1Y'!AC193</f>
        <v>0</v>
      </c>
      <c r="AH207" s="72">
        <f>AH$3*'Yield 1Y'!AD193</f>
        <v>-0.39649127258308697</v>
      </c>
      <c r="AI207" s="72">
        <f>AI$3*'Yield 1Y'!AE193</f>
        <v>-2.3943911450597426</v>
      </c>
      <c r="AJ207" s="72">
        <f>AJ$3*'Yield 1Y'!AF193</f>
        <v>-0.16367423518921526</v>
      </c>
      <c r="AK207" s="72">
        <f>AK$3*'Yield 1Y'!AG193</f>
        <v>-22.453503190362472</v>
      </c>
      <c r="AL207" s="72">
        <f>AL$3*'Yield 1Y'!AH193</f>
        <v>-9.5231040159649574</v>
      </c>
      <c r="AM207" s="72">
        <f>AM$3*'Yield 1Y'!AI193</f>
        <v>-6.0544389868353257</v>
      </c>
      <c r="AN207" s="72">
        <f>AN$3*'Yield 1Y'!AJ193</f>
        <v>0</v>
      </c>
      <c r="AO207" s="72">
        <f>AO$3*'Yield 1Y'!AK193</f>
        <v>0</v>
      </c>
      <c r="AP207" s="177">
        <f t="shared" si="27"/>
        <v>40.985602845994791</v>
      </c>
      <c r="AQ207" s="124">
        <f>VLOOKUP(AE207,'Yield 1Y'!$F:$G,2,0)</f>
        <v>45972</v>
      </c>
      <c r="AR207" s="318">
        <f t="shared" si="28"/>
        <v>120</v>
      </c>
      <c r="AT207" s="37">
        <v>202</v>
      </c>
      <c r="AU207" s="72">
        <f>AU$3*'Yield 1Y'!AB163</f>
        <v>0</v>
      </c>
      <c r="AV207" s="72">
        <f>AV$3*'Yield 1Y'!AC163</f>
        <v>0</v>
      </c>
      <c r="AW207" s="72">
        <f>AW$3*'Yield 1Y'!AD163</f>
        <v>0</v>
      </c>
      <c r="AX207" s="72">
        <f>AX$3*'Yield 1Y'!AE163</f>
        <v>0</v>
      </c>
      <c r="AY207" s="72">
        <f>AY$3*'Yield 1Y'!AF163</f>
        <v>0</v>
      </c>
      <c r="AZ207" s="72">
        <f>AZ$3*'Yield 1Y'!AG163</f>
        <v>-0.47152490109274903</v>
      </c>
      <c r="BA207" s="72">
        <f>BA$3*'Yield 1Y'!AH163</f>
        <v>-0.45532509924400044</v>
      </c>
      <c r="BB207" s="72">
        <f>BB$3*'Yield 1Y'!AI163</f>
        <v>-0.71927186164199186</v>
      </c>
      <c r="BC207" s="72">
        <f>BC$3*'Yield 1Y'!AJ163</f>
        <v>0</v>
      </c>
      <c r="BD207" s="72">
        <f>BD$3*'Yield 1Y'!AK163</f>
        <v>0</v>
      </c>
      <c r="BE207" s="177">
        <f t="shared" si="29"/>
        <v>1.6461218619787412</v>
      </c>
      <c r="BF207" s="124">
        <f>VLOOKUP(AT207,'Yield 1Y'!$F:$G,2,0)</f>
        <v>45957</v>
      </c>
      <c r="BG207" s="318">
        <f t="shared" si="31"/>
        <v>214</v>
      </c>
    </row>
    <row r="208" spans="1:59" x14ac:dyDescent="0.3">
      <c r="A208" s="37">
        <v>71</v>
      </c>
      <c r="B208" s="72">
        <f>'Yield 1Y'!R73*B$3</f>
        <v>0</v>
      </c>
      <c r="C208" s="72">
        <f>'Yield 1Y'!S73*C$3</f>
        <v>0</v>
      </c>
      <c r="D208" s="72">
        <f>'Yield 1Y'!T73*D$3</f>
        <v>0</v>
      </c>
      <c r="E208" s="72">
        <f>'Yield 1Y'!U73*E$3</f>
        <v>-5.7696172170108105E-2</v>
      </c>
      <c r="F208" s="72">
        <f>'Yield 1Y'!V73*F$3</f>
        <v>-1.870562687876532E-2</v>
      </c>
      <c r="G208" s="72">
        <f>'Yield 1Y'!W73*G$3</f>
        <v>0</v>
      </c>
      <c r="H208" s="72">
        <f>'Yield 1Y'!X73*H$3</f>
        <v>-0.41404800069389674</v>
      </c>
      <c r="I208" s="72">
        <f>'Yield 1Y'!Y73*I$3</f>
        <v>0</v>
      </c>
      <c r="J208" s="72">
        <f>'Yield 1Y'!Z73*J$3</f>
        <v>0</v>
      </c>
      <c r="K208" s="72">
        <f>'Yield 1Y'!AA73*K$3</f>
        <v>0</v>
      </c>
      <c r="L208" s="177">
        <f t="shared" si="24"/>
        <v>0.49044979974277014</v>
      </c>
      <c r="M208" s="124">
        <f>VLOOKUP(A208,'Yield 1Y'!$F:$G,2,0)</f>
        <v>46154</v>
      </c>
      <c r="N208" s="318">
        <f t="shared" si="25"/>
        <v>175</v>
      </c>
      <c r="P208" s="37">
        <v>205</v>
      </c>
      <c r="Q208" s="72">
        <f>Q$3*'Yield 1Y'!R207</f>
        <v>0</v>
      </c>
      <c r="R208" s="72">
        <f>R$3*'Yield 1Y'!S207</f>
        <v>0</v>
      </c>
      <c r="S208" s="72">
        <f>S$3*'Yield 1Y'!T207</f>
        <v>0</v>
      </c>
      <c r="T208" s="72">
        <f>T$3*'Yield 1Y'!U207</f>
        <v>0</v>
      </c>
      <c r="U208" s="72">
        <f>U$3*'Yield 1Y'!V207</f>
        <v>0</v>
      </c>
      <c r="V208" s="72">
        <f>V$3*'Yield 1Y'!W207</f>
        <v>-1.2743916245754256E-2</v>
      </c>
      <c r="W208" s="72">
        <f>W$3*'Yield 1Y'!X207</f>
        <v>-0.91065019848800088</v>
      </c>
      <c r="X208" s="72">
        <f>X$3*'Yield 1Y'!Y207</f>
        <v>-0.39959547868999157</v>
      </c>
      <c r="Y208" s="72">
        <f>Y$3*'Yield 1Y'!Z207</f>
        <v>0</v>
      </c>
      <c r="Z208" s="72">
        <f>Z$3*'Yield 1Y'!AA207</f>
        <v>0</v>
      </c>
      <c r="AA208" s="177">
        <f t="shared" si="26"/>
        <v>1.3229895934237468</v>
      </c>
      <c r="AB208" s="124">
        <f>VLOOKUP(P208,'Yield 1Y'!$F:$G,2,0)</f>
        <v>45952</v>
      </c>
      <c r="AC208" s="318">
        <f t="shared" si="30"/>
        <v>45</v>
      </c>
      <c r="AE208" s="37">
        <v>247</v>
      </c>
      <c r="AF208" s="72">
        <f>AF$3*'Yield 1Y'!AB249</f>
        <v>0</v>
      </c>
      <c r="AG208" s="72">
        <f>AG$3*'Yield 1Y'!AC249</f>
        <v>0</v>
      </c>
      <c r="AH208" s="72">
        <f>AH$3*'Yield 1Y'!AD249</f>
        <v>-1.2540189086348723</v>
      </c>
      <c r="AI208" s="72">
        <f>AI$3*'Yield 1Y'!AE249</f>
        <v>-2.7694162641654962</v>
      </c>
      <c r="AJ208" s="72">
        <f>AJ$3*'Yield 1Y'!AF249</f>
        <v>-0.63131490715840022</v>
      </c>
      <c r="AK208" s="72">
        <f>AK$3*'Yield 1Y'!AG249</f>
        <v>-29.48713069577731</v>
      </c>
      <c r="AL208" s="72">
        <f>AL$3*'Yield 1Y'!AH249</f>
        <v>-48.44361608121276</v>
      </c>
      <c r="AM208" s="72">
        <f>AM$3*'Yield 1Y'!AI249</f>
        <v>-33.972129870576531</v>
      </c>
      <c r="AN208" s="72">
        <f>AN$3*'Yield 1Y'!AJ249</f>
        <v>0</v>
      </c>
      <c r="AO208" s="72">
        <f>AO$3*'Yield 1Y'!AK249</f>
        <v>0</v>
      </c>
      <c r="AP208" s="177">
        <f t="shared" si="27"/>
        <v>116.55762672752536</v>
      </c>
      <c r="AQ208" s="124">
        <f>VLOOKUP(AE208,'Yield 1Y'!$F:$G,2,0)</f>
        <v>45890</v>
      </c>
      <c r="AR208" s="318">
        <f t="shared" si="28"/>
        <v>31</v>
      </c>
      <c r="AT208" s="37">
        <v>203</v>
      </c>
      <c r="AU208" s="72">
        <f>AU$3*'Yield 1Y'!AB196</f>
        <v>0</v>
      </c>
      <c r="AV208" s="72">
        <f>AV$3*'Yield 1Y'!AC196</f>
        <v>0</v>
      </c>
      <c r="AW208" s="72">
        <f>AW$3*'Yield 1Y'!AD196</f>
        <v>0</v>
      </c>
      <c r="AX208" s="72">
        <f>AX$3*'Yield 1Y'!AE196</f>
        <v>0</v>
      </c>
      <c r="AY208" s="72">
        <f>AY$3*'Yield 1Y'!AF196</f>
        <v>0</v>
      </c>
      <c r="AZ208" s="72">
        <f>AZ$3*'Yield 1Y'!AG196</f>
        <v>-0.80286672348225219</v>
      </c>
      <c r="BA208" s="72">
        <f>BA$3*'Yield 1Y'!AH196</f>
        <v>-0.91065019848800088</v>
      </c>
      <c r="BB208" s="72">
        <f>BB$3*'Yield 1Y'!AI196</f>
        <v>-0.31967638295200035</v>
      </c>
      <c r="BC208" s="72">
        <f>BC$3*'Yield 1Y'!AJ196</f>
        <v>0</v>
      </c>
      <c r="BD208" s="72">
        <f>BD$3*'Yield 1Y'!AK196</f>
        <v>0</v>
      </c>
      <c r="BE208" s="177">
        <f t="shared" si="29"/>
        <v>2.0331933049222535</v>
      </c>
      <c r="BF208" s="124">
        <f>VLOOKUP(AT208,'Yield 1Y'!$F:$G,2,0)</f>
        <v>45954</v>
      </c>
      <c r="BG208" s="318">
        <f t="shared" si="31"/>
        <v>212</v>
      </c>
    </row>
    <row r="209" spans="1:59" x14ac:dyDescent="0.3">
      <c r="A209" s="37">
        <v>193</v>
      </c>
      <c r="B209" s="72">
        <f>'Yield 1Y'!R195*B$3</f>
        <v>0</v>
      </c>
      <c r="C209" s="72">
        <f>'Yield 1Y'!S195*C$3</f>
        <v>0</v>
      </c>
      <c r="D209" s="72">
        <f>'Yield 1Y'!T195*D$3</f>
        <v>-1.8441454538750231E-2</v>
      </c>
      <c r="E209" s="72">
        <f>'Yield 1Y'!U195*E$3</f>
        <v>-2.8848086085066862E-2</v>
      </c>
      <c r="F209" s="72">
        <f>'Yield 1Y'!V195*F$3</f>
        <v>0</v>
      </c>
      <c r="G209" s="72">
        <f>'Yield 1Y'!W195*G$3</f>
        <v>-1.623144808941932</v>
      </c>
      <c r="H209" s="72">
        <f>'Yield 1Y'!X195*H$3</f>
        <v>-0.4140480006940806</v>
      </c>
      <c r="I209" s="72">
        <f>'Yield 1Y'!Y195*I$3</f>
        <v>-0.67271544298178587</v>
      </c>
      <c r="J209" s="72">
        <f>'Yield 1Y'!Z195*J$3</f>
        <v>0</v>
      </c>
      <c r="K209" s="72">
        <f>'Yield 1Y'!AA195*K$3</f>
        <v>0</v>
      </c>
      <c r="L209" s="177">
        <f t="shared" si="24"/>
        <v>2.7571977932416161</v>
      </c>
      <c r="M209" s="124">
        <f>VLOOKUP(A209,'Yield 1Y'!$F:$G,2,0)</f>
        <v>45968</v>
      </c>
      <c r="N209" s="318">
        <f t="shared" si="25"/>
        <v>99</v>
      </c>
      <c r="P209" s="37">
        <v>206</v>
      </c>
      <c r="Q209" s="72">
        <f>Q$3*'Yield 1Y'!R208</f>
        <v>0</v>
      </c>
      <c r="R209" s="72">
        <f>R$3*'Yield 1Y'!S208</f>
        <v>0</v>
      </c>
      <c r="S209" s="72">
        <f>S$3*'Yield 1Y'!T208</f>
        <v>0</v>
      </c>
      <c r="T209" s="72">
        <f>T$3*'Yield 1Y'!U208</f>
        <v>0</v>
      </c>
      <c r="U209" s="72">
        <f>U$3*'Yield 1Y'!V208</f>
        <v>0</v>
      </c>
      <c r="V209" s="72">
        <f>V$3*'Yield 1Y'!W208</f>
        <v>3.823174873725145E-2</v>
      </c>
      <c r="W209" s="72">
        <f>W$3*'Yield 1Y'!X208</f>
        <v>-0.45532509924400044</v>
      </c>
      <c r="X209" s="72">
        <f>X$3*'Yield 1Y'!Y208</f>
        <v>0</v>
      </c>
      <c r="Y209" s="72">
        <f>Y$3*'Yield 1Y'!Z208</f>
        <v>0</v>
      </c>
      <c r="Z209" s="72">
        <f>Z$3*'Yield 1Y'!AA208</f>
        <v>0</v>
      </c>
      <c r="AA209" s="177">
        <f t="shared" si="26"/>
        <v>0.41709335050674901</v>
      </c>
      <c r="AB209" s="124">
        <f>VLOOKUP(P209,'Yield 1Y'!$F:$G,2,0)</f>
        <v>45951</v>
      </c>
      <c r="AC209" s="318">
        <f t="shared" si="30"/>
        <v>107</v>
      </c>
      <c r="AE209" s="37">
        <v>192</v>
      </c>
      <c r="AF209" s="72">
        <f>AF$3*'Yield 1Y'!AB194</f>
        <v>0</v>
      </c>
      <c r="AG209" s="72">
        <f>AG$3*'Yield 1Y'!AC194</f>
        <v>0</v>
      </c>
      <c r="AH209" s="72">
        <f>AH$3*'Yield 1Y'!AD194</f>
        <v>-0.39649127258308697</v>
      </c>
      <c r="AI209" s="72">
        <f>AI$3*'Yield 1Y'!AE194</f>
        <v>-2.7405681780804296</v>
      </c>
      <c r="AJ209" s="72">
        <f>AJ$3*'Yield 1Y'!AF194</f>
        <v>-0.16367423518921526</v>
      </c>
      <c r="AK209" s="72">
        <f>AK$3*'Yield 1Y'!AG194</f>
        <v>-25.970316943069829</v>
      </c>
      <c r="AL209" s="72">
        <f>AL$3*'Yield 1Y'!AH194</f>
        <v>-9.5231040159649574</v>
      </c>
      <c r="AM209" s="72">
        <f>AM$3*'Yield 1Y'!AI194</f>
        <v>-5.3817235438536892</v>
      </c>
      <c r="AN209" s="72">
        <f>AN$3*'Yield 1Y'!AJ194</f>
        <v>0</v>
      </c>
      <c r="AO209" s="72">
        <f>AO$3*'Yield 1Y'!AK194</f>
        <v>0</v>
      </c>
      <c r="AP209" s="177">
        <f t="shared" si="27"/>
        <v>44.175878188741201</v>
      </c>
      <c r="AQ209" s="124">
        <f>VLOOKUP(AE209,'Yield 1Y'!$F:$G,2,0)</f>
        <v>45971</v>
      </c>
      <c r="AR209" s="318">
        <f t="shared" si="28"/>
        <v>105</v>
      </c>
      <c r="AT209" s="37">
        <v>204</v>
      </c>
      <c r="AU209" s="72">
        <f>AU$3*'Yield 1Y'!AB241</f>
        <v>0</v>
      </c>
      <c r="AV209" s="72">
        <f>AV$3*'Yield 1Y'!AC241</f>
        <v>0</v>
      </c>
      <c r="AW209" s="72">
        <f>AW$3*'Yield 1Y'!AD241</f>
        <v>0</v>
      </c>
      <c r="AX209" s="72">
        <f>AX$3*'Yield 1Y'!AE241</f>
        <v>0</v>
      </c>
      <c r="AY209" s="72">
        <f>AY$3*'Yield 1Y'!AF241</f>
        <v>0</v>
      </c>
      <c r="AZ209" s="72">
        <f>AZ$3*'Yield 1Y'!AG241</f>
        <v>-1.350855122049504</v>
      </c>
      <c r="BA209" s="72">
        <f>BA$3*'Yield 1Y'!AH241</f>
        <v>-16.391703572783968</v>
      </c>
      <c r="BB209" s="72">
        <f>BB$3*'Yield 1Y'!AI241</f>
        <v>-6.5533658505159886</v>
      </c>
      <c r="BC209" s="72">
        <f>BC$3*'Yield 1Y'!AJ241</f>
        <v>0</v>
      </c>
      <c r="BD209" s="72">
        <f>BD$3*'Yield 1Y'!AK241</f>
        <v>0</v>
      </c>
      <c r="BE209" s="177">
        <f t="shared" si="29"/>
        <v>24.295924545349457</v>
      </c>
      <c r="BF209" s="124">
        <f>VLOOKUP(AT209,'Yield 1Y'!$F:$G,2,0)</f>
        <v>45953</v>
      </c>
      <c r="BG209" s="318">
        <f t="shared" si="31"/>
        <v>9</v>
      </c>
    </row>
    <row r="210" spans="1:59" x14ac:dyDescent="0.3">
      <c r="A210" s="37">
        <v>134</v>
      </c>
      <c r="B210" s="72">
        <f>'Yield 1Y'!R136*B$3</f>
        <v>0</v>
      </c>
      <c r="C210" s="72">
        <f>'Yield 1Y'!S136*C$3</f>
        <v>0</v>
      </c>
      <c r="D210" s="72">
        <f>'Yield 1Y'!T136*D$3</f>
        <v>-9.2207272693738865E-2</v>
      </c>
      <c r="E210" s="72">
        <f>'Yield 1Y'!U136*E$3</f>
        <v>-0.57696172170114512</v>
      </c>
      <c r="F210" s="72">
        <f>'Yield 1Y'!V136*F$3</f>
        <v>-0.14029220159075445</v>
      </c>
      <c r="G210" s="72">
        <f>'Yield 1Y'!W136*G$3</f>
        <v>-11.903061932240394</v>
      </c>
      <c r="H210" s="72">
        <f>'Yield 1Y'!X136*H$3</f>
        <v>-4.9685760083297028</v>
      </c>
      <c r="I210" s="72">
        <f>'Yield 1Y'!Y136*I$3</f>
        <v>-1.6817886074542407</v>
      </c>
      <c r="J210" s="72">
        <f>'Yield 1Y'!Z136*J$3</f>
        <v>0</v>
      </c>
      <c r="K210" s="72">
        <f>'Yield 1Y'!AA136*K$3</f>
        <v>0</v>
      </c>
      <c r="L210" s="177">
        <f t="shared" si="24"/>
        <v>19.362887744009978</v>
      </c>
      <c r="M210" s="124">
        <f>VLOOKUP(A210,'Yield 1Y'!$F:$G,2,0)</f>
        <v>46055</v>
      </c>
      <c r="N210" s="318">
        <f t="shared" si="25"/>
        <v>20</v>
      </c>
      <c r="P210" s="37">
        <v>207</v>
      </c>
      <c r="Q210" s="72">
        <f>Q$3*'Yield 1Y'!R209</f>
        <v>0</v>
      </c>
      <c r="R210" s="72">
        <f>R$3*'Yield 1Y'!S209</f>
        <v>0</v>
      </c>
      <c r="S210" s="72">
        <f>S$3*'Yield 1Y'!T209</f>
        <v>0</v>
      </c>
      <c r="T210" s="72">
        <f>T$3*'Yield 1Y'!U209</f>
        <v>0</v>
      </c>
      <c r="U210" s="72">
        <f>U$3*'Yield 1Y'!V209</f>
        <v>0</v>
      </c>
      <c r="V210" s="72">
        <f>V$3*'Yield 1Y'!W209</f>
        <v>-3.823174873725145E-2</v>
      </c>
      <c r="W210" s="72">
        <f>W$3*'Yield 1Y'!X209</f>
        <v>0.45532509924400044</v>
      </c>
      <c r="X210" s="72">
        <f>X$3*'Yield 1Y'!Y209</f>
        <v>-0.19979773934501352</v>
      </c>
      <c r="Y210" s="72">
        <f>Y$3*'Yield 1Y'!Z209</f>
        <v>0</v>
      </c>
      <c r="Z210" s="72">
        <f>Z$3*'Yield 1Y'!AA209</f>
        <v>0</v>
      </c>
      <c r="AA210" s="177">
        <f t="shared" si="26"/>
        <v>-0.21729561116173549</v>
      </c>
      <c r="AB210" s="124">
        <f>VLOOKUP(P210,'Yield 1Y'!$F:$G,2,0)</f>
        <v>45950</v>
      </c>
      <c r="AC210" s="318">
        <f t="shared" si="30"/>
        <v>204</v>
      </c>
      <c r="AE210" s="37">
        <v>66</v>
      </c>
      <c r="AF210" s="72">
        <f>AF$3*'Yield 1Y'!AB68</f>
        <v>0</v>
      </c>
      <c r="AG210" s="72">
        <f>AG$3*'Yield 1Y'!AC68</f>
        <v>0</v>
      </c>
      <c r="AH210" s="72">
        <f>AH$3*'Yield 1Y'!AD68</f>
        <v>-1.8441454538750231E-2</v>
      </c>
      <c r="AI210" s="72">
        <f>AI$3*'Yield 1Y'!AE68</f>
        <v>-0.28848086085056612</v>
      </c>
      <c r="AJ210" s="72">
        <f>AJ$3*'Yield 1Y'!AF68</f>
        <v>-9.3528134393847367E-3</v>
      </c>
      <c r="AK210" s="72">
        <f>AK$3*'Yield 1Y'!AG68</f>
        <v>-2.7052413482363931</v>
      </c>
      <c r="AL210" s="72">
        <f>AL$3*'Yield 1Y'!AH68</f>
        <v>0</v>
      </c>
      <c r="AM210" s="72">
        <f>AM$3*'Yield 1Y'!AI68</f>
        <v>0</v>
      </c>
      <c r="AN210" s="72">
        <f>AN$3*'Yield 1Y'!AJ68</f>
        <v>0</v>
      </c>
      <c r="AO210" s="72">
        <f>AO$3*'Yield 1Y'!AK68</f>
        <v>0</v>
      </c>
      <c r="AP210" s="177">
        <f t="shared" si="27"/>
        <v>3.0215164770650942</v>
      </c>
      <c r="AQ210" s="124">
        <f>VLOOKUP(AE210,'Yield 1Y'!$F:$G,2,0)</f>
        <v>46161</v>
      </c>
      <c r="AR210" s="318">
        <f t="shared" si="28"/>
        <v>241</v>
      </c>
      <c r="AT210" s="37">
        <v>205</v>
      </c>
      <c r="AU210" s="72">
        <f>AU$3*'Yield 1Y'!AB65</f>
        <v>0</v>
      </c>
      <c r="AV210" s="72">
        <f>AV$3*'Yield 1Y'!AC65</f>
        <v>0</v>
      </c>
      <c r="AW210" s="72">
        <f>AW$3*'Yield 1Y'!AD65</f>
        <v>0</v>
      </c>
      <c r="AX210" s="72">
        <f>AX$3*'Yield 1Y'!AE65</f>
        <v>0</v>
      </c>
      <c r="AY210" s="72">
        <f>AY$3*'Yield 1Y'!AF65</f>
        <v>0</v>
      </c>
      <c r="AZ210" s="72">
        <f>AZ$3*'Yield 1Y'!AG65</f>
        <v>-0.34408573863525171</v>
      </c>
      <c r="BA210" s="72">
        <f>BA$3*'Yield 1Y'!AH65</f>
        <v>0</v>
      </c>
      <c r="BB210" s="72">
        <f>BB$3*'Yield 1Y'!AI65</f>
        <v>-0.23975728721399137</v>
      </c>
      <c r="BC210" s="72">
        <f>BC$3*'Yield 1Y'!AJ65</f>
        <v>0</v>
      </c>
      <c r="BD210" s="72">
        <f>BD$3*'Yield 1Y'!AK65</f>
        <v>0</v>
      </c>
      <c r="BE210" s="177">
        <f t="shared" si="29"/>
        <v>0.58384302584924308</v>
      </c>
      <c r="BF210" s="124">
        <f>VLOOKUP(AT210,'Yield 1Y'!$F:$G,2,0)</f>
        <v>45952</v>
      </c>
      <c r="BG210" s="318">
        <f t="shared" si="31"/>
        <v>243</v>
      </c>
    </row>
    <row r="211" spans="1:59" x14ac:dyDescent="0.3">
      <c r="A211" s="37">
        <v>163</v>
      </c>
      <c r="B211" s="72">
        <f>'Yield 1Y'!R165*B$3</f>
        <v>0</v>
      </c>
      <c r="C211" s="72">
        <f>'Yield 1Y'!S165*C$3</f>
        <v>0</v>
      </c>
      <c r="D211" s="72">
        <f>'Yield 1Y'!T165*D$3</f>
        <v>-3.6882909077496369E-2</v>
      </c>
      <c r="E211" s="72">
        <f>'Yield 1Y'!U165*E$3</f>
        <v>-0.14424043042528306</v>
      </c>
      <c r="F211" s="72">
        <f>'Yield 1Y'!V165*F$3</f>
        <v>-3.2734847037843469E-2</v>
      </c>
      <c r="G211" s="72">
        <f>'Yield 1Y'!W165*G$3</f>
        <v>-1.6231448089418119</v>
      </c>
      <c r="H211" s="72">
        <f>'Yield 1Y'!X165*H$3</f>
        <v>-2.4842880041648514</v>
      </c>
      <c r="I211" s="72">
        <f>'Yield 1Y'!Y165*I$3</f>
        <v>1.0090731644723054</v>
      </c>
      <c r="J211" s="72">
        <f>'Yield 1Y'!Z165*J$3</f>
        <v>0</v>
      </c>
      <c r="K211" s="72">
        <f>'Yield 1Y'!AA165*K$3</f>
        <v>0</v>
      </c>
      <c r="L211" s="177">
        <f t="shared" si="24"/>
        <v>3.3122178351749807</v>
      </c>
      <c r="M211" s="124">
        <f>VLOOKUP(A211,'Yield 1Y'!$F:$G,2,0)</f>
        <v>46010</v>
      </c>
      <c r="N211" s="318">
        <f t="shared" si="25"/>
        <v>89</v>
      </c>
      <c r="P211" s="37">
        <v>208</v>
      </c>
      <c r="Q211" s="72">
        <f>Q$3*'Yield 1Y'!R210</f>
        <v>0</v>
      </c>
      <c r="R211" s="72">
        <f>R$3*'Yield 1Y'!S210</f>
        <v>0</v>
      </c>
      <c r="S211" s="72">
        <f>S$3*'Yield 1Y'!T210</f>
        <v>0</v>
      </c>
      <c r="T211" s="72">
        <f>T$3*'Yield 1Y'!U210</f>
        <v>0</v>
      </c>
      <c r="U211" s="72">
        <f>U$3*'Yield 1Y'!V210</f>
        <v>0</v>
      </c>
      <c r="V211" s="72">
        <f>V$3*'Yield 1Y'!W210</f>
        <v>3.823174873725145E-2</v>
      </c>
      <c r="W211" s="72">
        <f>W$3*'Yield 1Y'!X210</f>
        <v>-1.8213003969760018</v>
      </c>
      <c r="X211" s="72">
        <f>X$3*'Yield 1Y'!Y210</f>
        <v>-0.19979773934499578</v>
      </c>
      <c r="Y211" s="72">
        <f>Y$3*'Yield 1Y'!Z210</f>
        <v>0</v>
      </c>
      <c r="Z211" s="72">
        <f>Z$3*'Yield 1Y'!AA210</f>
        <v>0</v>
      </c>
      <c r="AA211" s="177">
        <f t="shared" si="26"/>
        <v>1.982866387583746</v>
      </c>
      <c r="AB211" s="124">
        <f>VLOOKUP(P211,'Yield 1Y'!$F:$G,2,0)</f>
        <v>45947</v>
      </c>
      <c r="AC211" s="318">
        <f t="shared" si="30"/>
        <v>33</v>
      </c>
      <c r="AE211" s="37">
        <v>223</v>
      </c>
      <c r="AF211" s="72">
        <f>AF$3*'Yield 1Y'!AB225</f>
        <v>0</v>
      </c>
      <c r="AG211" s="72">
        <f>AG$3*'Yield 1Y'!AC225</f>
        <v>0</v>
      </c>
      <c r="AH211" s="72">
        <f>AH$3*'Yield 1Y'!AD225</f>
        <v>-0.29506327261997095</v>
      </c>
      <c r="AI211" s="72">
        <f>AI$3*'Yield 1Y'!AE225</f>
        <v>-1.4424043042528563</v>
      </c>
      <c r="AJ211" s="72">
        <f>AJ$3*'Yield 1Y'!AF225</f>
        <v>-0.16835064190890658</v>
      </c>
      <c r="AK211" s="72">
        <f>AK$3*'Yield 1Y'!AG225</f>
        <v>-9.7388688536512316</v>
      </c>
      <c r="AL211" s="72">
        <f>AL$3*'Yield 1Y'!AH225</f>
        <v>-12.007392020129624</v>
      </c>
      <c r="AM211" s="72">
        <f>AM$3*'Yield 1Y'!AI225</f>
        <v>-12.108877973670802</v>
      </c>
      <c r="AN211" s="72">
        <f>AN$3*'Yield 1Y'!AJ225</f>
        <v>0</v>
      </c>
      <c r="AO211" s="72">
        <f>AO$3*'Yield 1Y'!AK225</f>
        <v>0</v>
      </c>
      <c r="AP211" s="177">
        <f t="shared" si="27"/>
        <v>35.760957066233388</v>
      </c>
      <c r="AQ211" s="124">
        <f>VLOOKUP(AE211,'Yield 1Y'!$F:$G,2,0)</f>
        <v>45926</v>
      </c>
      <c r="AR211" s="318">
        <f t="shared" si="28"/>
        <v>141</v>
      </c>
      <c r="AT211" s="37">
        <v>206</v>
      </c>
      <c r="AU211" s="72">
        <f>AU$3*'Yield 1Y'!AB220</f>
        <v>0</v>
      </c>
      <c r="AV211" s="72">
        <f>AV$3*'Yield 1Y'!AC220</f>
        <v>0</v>
      </c>
      <c r="AW211" s="72">
        <f>AW$3*'Yield 1Y'!AD220</f>
        <v>0</v>
      </c>
      <c r="AX211" s="72">
        <f>AX$3*'Yield 1Y'!AE220</f>
        <v>0</v>
      </c>
      <c r="AY211" s="72">
        <f>AY$3*'Yield 1Y'!AF220</f>
        <v>0</v>
      </c>
      <c r="AZ211" s="72">
        <f>AZ$3*'Yield 1Y'!AG220</f>
        <v>-0.44603706860125181</v>
      </c>
      <c r="BA211" s="72">
        <f>BA$3*'Yield 1Y'!AH220</f>
        <v>-5.4639011909280057</v>
      </c>
      <c r="BB211" s="72">
        <f>BB$3*'Yield 1Y'!AI220</f>
        <v>-2.1578155849259932</v>
      </c>
      <c r="BC211" s="72">
        <f>BC$3*'Yield 1Y'!AJ220</f>
        <v>0</v>
      </c>
      <c r="BD211" s="72">
        <f>BD$3*'Yield 1Y'!AK220</f>
        <v>0</v>
      </c>
      <c r="BE211" s="177">
        <f t="shared" si="29"/>
        <v>8.0677538444552503</v>
      </c>
      <c r="BF211" s="124">
        <f>VLOOKUP(AT211,'Yield 1Y'!$F:$G,2,0)</f>
        <v>45951</v>
      </c>
      <c r="BG211" s="318">
        <f t="shared" si="31"/>
        <v>87</v>
      </c>
    </row>
    <row r="212" spans="1:59" x14ac:dyDescent="0.3">
      <c r="A212" s="37">
        <v>65</v>
      </c>
      <c r="B212" s="72">
        <f>'Yield 1Y'!R67*B$3</f>
        <v>0</v>
      </c>
      <c r="C212" s="72">
        <f>'Yield 1Y'!S67*C$3</f>
        <v>0</v>
      </c>
      <c r="D212" s="72">
        <f>'Yield 1Y'!T67*D$3</f>
        <v>0</v>
      </c>
      <c r="E212" s="72">
        <f>'Yield 1Y'!U67*E$3</f>
        <v>-0.14424043042528306</v>
      </c>
      <c r="F212" s="72">
        <f>'Yield 1Y'!V67*F$3</f>
        <v>-4.20876604772282E-2</v>
      </c>
      <c r="G212" s="72">
        <f>'Yield 1Y'!W67*G$3</f>
        <v>-0.27052413482373544</v>
      </c>
      <c r="H212" s="72">
        <f>'Yield 1Y'!X67*H$3</f>
        <v>-1.6561920027763224</v>
      </c>
      <c r="I212" s="72">
        <f>'Yield 1Y'!Y67*I$3</f>
        <v>-3.6999349363994489</v>
      </c>
      <c r="J212" s="72">
        <f>'Yield 1Y'!Z67*J$3</f>
        <v>0</v>
      </c>
      <c r="K212" s="72">
        <f>'Yield 1Y'!AA67*K$3</f>
        <v>0</v>
      </c>
      <c r="L212" s="177">
        <f t="shared" si="24"/>
        <v>5.8129791649020177</v>
      </c>
      <c r="M212" s="124">
        <f>VLOOKUP(A212,'Yield 1Y'!$F:$G,2,0)</f>
        <v>46162</v>
      </c>
      <c r="N212" s="318">
        <f t="shared" si="25"/>
        <v>59</v>
      </c>
      <c r="P212" s="37">
        <v>209</v>
      </c>
      <c r="Q212" s="72">
        <f>Q$3*'Yield 1Y'!R211</f>
        <v>0</v>
      </c>
      <c r="R212" s="72">
        <f>R$3*'Yield 1Y'!S211</f>
        <v>0</v>
      </c>
      <c r="S212" s="72">
        <f>S$3*'Yield 1Y'!T211</f>
        <v>0</v>
      </c>
      <c r="T212" s="72">
        <f>T$3*'Yield 1Y'!U211</f>
        <v>0</v>
      </c>
      <c r="U212" s="72">
        <f>U$3*'Yield 1Y'!V211</f>
        <v>0</v>
      </c>
      <c r="V212" s="72">
        <f>V$3*'Yield 1Y'!W211</f>
        <v>-0.31859790614374889</v>
      </c>
      <c r="W212" s="72">
        <f>W$3*'Yield 1Y'!X211</f>
        <v>-2.162794221409015</v>
      </c>
      <c r="X212" s="72">
        <f>X$3*'Yield 1Y'!Y211</f>
        <v>-0.67931231377299628</v>
      </c>
      <c r="Y212" s="72">
        <f>Y$3*'Yield 1Y'!Z211</f>
        <v>0</v>
      </c>
      <c r="Z212" s="72">
        <f>Z$3*'Yield 1Y'!AA211</f>
        <v>0</v>
      </c>
      <c r="AA212" s="177">
        <f t="shared" si="26"/>
        <v>3.1607044413257603</v>
      </c>
      <c r="AB212" s="124">
        <f>VLOOKUP(P212,'Yield 1Y'!$F:$G,2,0)</f>
        <v>45946</v>
      </c>
      <c r="AC212" s="318">
        <f t="shared" si="30"/>
        <v>17</v>
      </c>
      <c r="AE212" s="37">
        <v>195</v>
      </c>
      <c r="AF212" s="72">
        <f>AF$3*'Yield 1Y'!AB197</f>
        <v>0</v>
      </c>
      <c r="AG212" s="72">
        <f>AG$3*'Yield 1Y'!AC197</f>
        <v>0</v>
      </c>
      <c r="AH212" s="72">
        <f>AH$3*'Yield 1Y'!AD197</f>
        <v>-8.2986545424365801E-2</v>
      </c>
      <c r="AI212" s="72">
        <f>AI$3*'Yield 1Y'!AE197</f>
        <v>-1.6731889929333272</v>
      </c>
      <c r="AJ212" s="72">
        <f>AJ$3*'Yield 1Y'!AF197</f>
        <v>-4.2087660477226126E-2</v>
      </c>
      <c r="AK212" s="72">
        <f>AK$3*'Yield 1Y'!AG197</f>
        <v>-16.772496359066071</v>
      </c>
      <c r="AL212" s="72">
        <f>AL$3*'Yield 1Y'!AH197</f>
        <v>-3.3123840055530125</v>
      </c>
      <c r="AM212" s="72">
        <f>AM$3*'Yield 1Y'!AI197</f>
        <v>-2.0181463289452082</v>
      </c>
      <c r="AN212" s="72">
        <f>AN$3*'Yield 1Y'!AJ197</f>
        <v>0</v>
      </c>
      <c r="AO212" s="72">
        <f>AO$3*'Yield 1Y'!AK197</f>
        <v>0</v>
      </c>
      <c r="AP212" s="177">
        <f t="shared" si="27"/>
        <v>23.901289892399213</v>
      </c>
      <c r="AQ212" s="124">
        <f>VLOOKUP(AE212,'Yield 1Y'!$F:$G,2,0)</f>
        <v>45966</v>
      </c>
      <c r="AR212" s="318">
        <f t="shared" si="28"/>
        <v>192</v>
      </c>
      <c r="AT212" s="37">
        <v>207</v>
      </c>
      <c r="AU212" s="72">
        <f>AU$3*'Yield 1Y'!AB85</f>
        <v>0</v>
      </c>
      <c r="AV212" s="72">
        <f>AV$3*'Yield 1Y'!AC85</f>
        <v>0</v>
      </c>
      <c r="AW212" s="72">
        <f>AW$3*'Yield 1Y'!AD85</f>
        <v>0</v>
      </c>
      <c r="AX212" s="72">
        <f>AX$3*'Yield 1Y'!AE85</f>
        <v>0</v>
      </c>
      <c r="AY212" s="72">
        <f>AY$3*'Yield 1Y'!AF85</f>
        <v>0</v>
      </c>
      <c r="AZ212" s="72">
        <f>AZ$3*'Yield 1Y'!AG85</f>
        <v>0.14018307870324023</v>
      </c>
      <c r="BA212" s="72">
        <f>BA$3*'Yield 1Y'!AH85</f>
        <v>0</v>
      </c>
      <c r="BB212" s="72">
        <f>BB$3*'Yield 1Y'!AI85</f>
        <v>7.9919095738008955E-2</v>
      </c>
      <c r="BC212" s="72">
        <f>BC$3*'Yield 1Y'!AJ85</f>
        <v>0</v>
      </c>
      <c r="BD212" s="72">
        <f>BD$3*'Yield 1Y'!AK85</f>
        <v>0</v>
      </c>
      <c r="BE212" s="177">
        <f t="shared" si="29"/>
        <v>-0.22010217444124919</v>
      </c>
      <c r="BF212" s="124">
        <f>VLOOKUP(AT212,'Yield 1Y'!$F:$G,2,0)</f>
        <v>45950</v>
      </c>
      <c r="BG212" s="318">
        <f t="shared" si="31"/>
        <v>249</v>
      </c>
    </row>
    <row r="213" spans="1:59" x14ac:dyDescent="0.3">
      <c r="A213" s="37">
        <v>57</v>
      </c>
      <c r="B213" s="72">
        <f>'Yield 1Y'!R59*B$3</f>
        <v>0</v>
      </c>
      <c r="C213" s="72">
        <f>'Yield 1Y'!S59*C$3</f>
        <v>0</v>
      </c>
      <c r="D213" s="72">
        <f>'Yield 1Y'!T59*D$3</f>
        <v>0</v>
      </c>
      <c r="E213" s="72">
        <f>'Yield 1Y'!U59*E$3</f>
        <v>-2.8848086085054053E-2</v>
      </c>
      <c r="F213" s="72">
        <f>'Yield 1Y'!V59*F$3</f>
        <v>-9.3528134393826602E-3</v>
      </c>
      <c r="G213" s="72">
        <f>'Yield 1Y'!W59*G$3</f>
        <v>0</v>
      </c>
      <c r="H213" s="72">
        <f>'Yield 1Y'!X59*H$3</f>
        <v>-3.7264320062472769</v>
      </c>
      <c r="I213" s="72">
        <f>'Yield 1Y'!Y59*I$3</f>
        <v>-2.3545040504358772</v>
      </c>
      <c r="J213" s="72">
        <f>'Yield 1Y'!Z59*J$3</f>
        <v>0</v>
      </c>
      <c r="K213" s="72">
        <f>'Yield 1Y'!AA59*K$3</f>
        <v>0</v>
      </c>
      <c r="L213" s="177">
        <f t="shared" si="24"/>
        <v>6.1191369562075906</v>
      </c>
      <c r="M213" s="124">
        <f>VLOOKUP(A213,'Yield 1Y'!$F:$G,2,0)</f>
        <v>46174</v>
      </c>
      <c r="N213" s="318">
        <f t="shared" si="25"/>
        <v>54</v>
      </c>
      <c r="P213" s="37">
        <v>210</v>
      </c>
      <c r="Q213" s="72">
        <f>Q$3*'Yield 1Y'!R212</f>
        <v>0</v>
      </c>
      <c r="R213" s="72">
        <f>R$3*'Yield 1Y'!S212</f>
        <v>0</v>
      </c>
      <c r="S213" s="72">
        <f>S$3*'Yield 1Y'!T212</f>
        <v>0</v>
      </c>
      <c r="T213" s="72">
        <f>T$3*'Yield 1Y'!U212</f>
        <v>0</v>
      </c>
      <c r="U213" s="72">
        <f>U$3*'Yield 1Y'!V212</f>
        <v>0</v>
      </c>
      <c r="V213" s="72">
        <f>V$3*'Yield 1Y'!W212</f>
        <v>-1.2743916245748598E-2</v>
      </c>
      <c r="W213" s="72">
        <f>W$3*'Yield 1Y'!X212</f>
        <v>-0.11383127481098748</v>
      </c>
      <c r="X213" s="72">
        <f>X$3*'Yield 1Y'!Y212</f>
        <v>-0.19979773934499578</v>
      </c>
      <c r="Y213" s="72">
        <f>Y$3*'Yield 1Y'!Z212</f>
        <v>0</v>
      </c>
      <c r="Z213" s="72">
        <f>Z$3*'Yield 1Y'!AA212</f>
        <v>0</v>
      </c>
      <c r="AA213" s="177">
        <f t="shared" si="26"/>
        <v>0.32637293040173188</v>
      </c>
      <c r="AB213" s="124">
        <f>VLOOKUP(P213,'Yield 1Y'!$F:$G,2,0)</f>
        <v>45945</v>
      </c>
      <c r="AC213" s="318">
        <f t="shared" si="30"/>
        <v>122</v>
      </c>
      <c r="AE213" s="37">
        <v>239</v>
      </c>
      <c r="AF213" s="72">
        <f>AF$3*'Yield 1Y'!AB241</f>
        <v>0</v>
      </c>
      <c r="AG213" s="72">
        <f>AG$3*'Yield 1Y'!AC241</f>
        <v>0</v>
      </c>
      <c r="AH213" s="72">
        <f>AH$3*'Yield 1Y'!AD241</f>
        <v>-1.401550544944862</v>
      </c>
      <c r="AI213" s="72">
        <f>AI$3*'Yield 1Y'!AE241</f>
        <v>-2.5674796615700926</v>
      </c>
      <c r="AJ213" s="72">
        <f>AJ$3*'Yield 1Y'!AF241</f>
        <v>-0.69210819451439376</v>
      </c>
      <c r="AK213" s="72">
        <f>AK$3*'Yield 1Y'!AG241</f>
        <v>-28.675558291306466</v>
      </c>
      <c r="AL213" s="72">
        <f>AL$3*'Yield 1Y'!AH241</f>
        <v>-59.622912099954043</v>
      </c>
      <c r="AM213" s="72">
        <f>AM$3*'Yield 1Y'!AI241</f>
        <v>-55.162666324500165</v>
      </c>
      <c r="AN213" s="72">
        <f>AN$3*'Yield 1Y'!AJ241</f>
        <v>0</v>
      </c>
      <c r="AO213" s="72">
        <f>AO$3*'Yield 1Y'!AK241</f>
        <v>0</v>
      </c>
      <c r="AP213" s="177">
        <f t="shared" si="27"/>
        <v>148.12227511679004</v>
      </c>
      <c r="AQ213" s="124">
        <f>VLOOKUP(AE213,'Yield 1Y'!$F:$G,2,0)</f>
        <v>45904</v>
      </c>
      <c r="AR213" s="318">
        <f t="shared" si="28"/>
        <v>14</v>
      </c>
      <c r="AT213" s="37">
        <v>208</v>
      </c>
      <c r="AU213" s="72">
        <f>AU$3*'Yield 1Y'!AB110</f>
        <v>0</v>
      </c>
      <c r="AV213" s="72">
        <f>AV$3*'Yield 1Y'!AC110</f>
        <v>0</v>
      </c>
      <c r="AW213" s="72">
        <f>AW$3*'Yield 1Y'!AD110</f>
        <v>0</v>
      </c>
      <c r="AX213" s="72">
        <f>AX$3*'Yield 1Y'!AE110</f>
        <v>0</v>
      </c>
      <c r="AY213" s="72">
        <f>AY$3*'Yield 1Y'!AF110</f>
        <v>0</v>
      </c>
      <c r="AZ213" s="72">
        <f>AZ$3*'Yield 1Y'!AG110</f>
        <v>-0.48426881733849197</v>
      </c>
      <c r="BA213" s="72">
        <f>BA$3*'Yield 1Y'!AH110</f>
        <v>-15.708715923917991</v>
      </c>
      <c r="BB213" s="72">
        <f>BB$3*'Yield 1Y'!AI110</f>
        <v>-7.5123949993720087</v>
      </c>
      <c r="BC213" s="72">
        <f>BC$3*'Yield 1Y'!AJ110</f>
        <v>0</v>
      </c>
      <c r="BD213" s="72">
        <f>BD$3*'Yield 1Y'!AK110</f>
        <v>0</v>
      </c>
      <c r="BE213" s="177">
        <f t="shared" si="29"/>
        <v>23.705379740628491</v>
      </c>
      <c r="BF213" s="124">
        <f>VLOOKUP(AT213,'Yield 1Y'!$F:$G,2,0)</f>
        <v>45947</v>
      </c>
      <c r="BG213" s="318">
        <f t="shared" si="31"/>
        <v>12</v>
      </c>
    </row>
    <row r="214" spans="1:59" x14ac:dyDescent="0.3">
      <c r="A214" s="37">
        <v>33</v>
      </c>
      <c r="B214" s="72">
        <f>'Yield 1Y'!R35*B$3</f>
        <v>0</v>
      </c>
      <c r="C214" s="72">
        <f>'Yield 1Y'!S35*C$3</f>
        <v>0</v>
      </c>
      <c r="D214" s="72">
        <f>'Yield 1Y'!T35*D$3</f>
        <v>0</v>
      </c>
      <c r="E214" s="72">
        <f>'Yield 1Y'!U35*E$3</f>
        <v>0</v>
      </c>
      <c r="F214" s="72">
        <f>'Yield 1Y'!V35*F$3</f>
        <v>0</v>
      </c>
      <c r="G214" s="72">
        <f>'Yield 1Y'!W35*G$3</f>
        <v>0</v>
      </c>
      <c r="H214" s="72">
        <f>'Yield 1Y'!X35*H$3</f>
        <v>1.2421440020824257</v>
      </c>
      <c r="I214" s="72">
        <f>'Yield 1Y'!Y35*I$3</f>
        <v>0.67271544298163655</v>
      </c>
      <c r="J214" s="72">
        <f>'Yield 1Y'!Z35*J$3</f>
        <v>0</v>
      </c>
      <c r="K214" s="72">
        <f>'Yield 1Y'!AA35*K$3</f>
        <v>0</v>
      </c>
      <c r="L214" s="177">
        <f t="shared" si="24"/>
        <v>-1.9148594450640624</v>
      </c>
      <c r="M214" s="124">
        <f>VLOOKUP(A214,'Yield 1Y'!$F:$G,2,0)</f>
        <v>46206</v>
      </c>
      <c r="N214" s="318">
        <f t="shared" si="25"/>
        <v>230</v>
      </c>
      <c r="P214" s="37">
        <v>211</v>
      </c>
      <c r="Q214" s="72">
        <f>Q$3*'Yield 1Y'!R213</f>
        <v>0</v>
      </c>
      <c r="R214" s="72">
        <f>R$3*'Yield 1Y'!S213</f>
        <v>0</v>
      </c>
      <c r="S214" s="72">
        <f>S$3*'Yield 1Y'!T213</f>
        <v>0</v>
      </c>
      <c r="T214" s="72">
        <f>T$3*'Yield 1Y'!U213</f>
        <v>0</v>
      </c>
      <c r="U214" s="72">
        <f>U$3*'Yield 1Y'!V213</f>
        <v>0</v>
      </c>
      <c r="V214" s="72">
        <f>V$3*'Yield 1Y'!W213</f>
        <v>5.0975664983000046E-2</v>
      </c>
      <c r="W214" s="72">
        <f>W$3*'Yield 1Y'!X213</f>
        <v>0.11383127481098748</v>
      </c>
      <c r="X214" s="72">
        <f>X$3*'Yield 1Y'!Y213</f>
        <v>-0.19979773934501352</v>
      </c>
      <c r="Y214" s="72">
        <f>Y$3*'Yield 1Y'!Z213</f>
        <v>0</v>
      </c>
      <c r="Z214" s="72">
        <f>Z$3*'Yield 1Y'!AA213</f>
        <v>0</v>
      </c>
      <c r="AA214" s="177">
        <f t="shared" si="26"/>
        <v>3.4990799551025992E-2</v>
      </c>
      <c r="AB214" s="124">
        <f>VLOOKUP(P214,'Yield 1Y'!$F:$G,2,0)</f>
        <v>45944</v>
      </c>
      <c r="AC214" s="318">
        <f t="shared" si="30"/>
        <v>174</v>
      </c>
      <c r="AE214" s="37">
        <v>81</v>
      </c>
      <c r="AF214" s="72">
        <f>AF$3*'Yield 1Y'!AB83</f>
        <v>0</v>
      </c>
      <c r="AG214" s="72">
        <f>AG$3*'Yield 1Y'!AC83</f>
        <v>0</v>
      </c>
      <c r="AH214" s="72">
        <f>AH$3*'Yield 1Y'!AD83</f>
        <v>-0.46103636346870253</v>
      </c>
      <c r="AI214" s="72">
        <f>AI$3*'Yield 1Y'!AE83</f>
        <v>-0.28848086085056612</v>
      </c>
      <c r="AJ214" s="72">
        <f>AJ$3*'Yield 1Y'!AF83</f>
        <v>-0.23382033598459351</v>
      </c>
      <c r="AK214" s="72">
        <f>AK$3*'Yield 1Y'!AG83</f>
        <v>-0.27052413482373544</v>
      </c>
      <c r="AL214" s="72">
        <f>AL$3*'Yield 1Y'!AH83</f>
        <v>-19.046208031929915</v>
      </c>
      <c r="AM214" s="72">
        <f>AM$3*'Yield 1Y'!AI83</f>
        <v>-5.7180812653445079</v>
      </c>
      <c r="AN214" s="72">
        <f>AN$3*'Yield 1Y'!AJ83</f>
        <v>0</v>
      </c>
      <c r="AO214" s="72">
        <f>AO$3*'Yield 1Y'!AK83</f>
        <v>0</v>
      </c>
      <c r="AP214" s="177">
        <f t="shared" si="27"/>
        <v>26.01815099240202</v>
      </c>
      <c r="AQ214" s="124">
        <f>VLOOKUP(AE214,'Yield 1Y'!$F:$G,2,0)</f>
        <v>46135</v>
      </c>
      <c r="AR214" s="318">
        <f t="shared" si="28"/>
        <v>180</v>
      </c>
      <c r="AT214" s="37">
        <v>209</v>
      </c>
      <c r="AU214" s="72">
        <f>AU$3*'Yield 1Y'!AB242</f>
        <v>0</v>
      </c>
      <c r="AV214" s="72">
        <f>AV$3*'Yield 1Y'!AC242</f>
        <v>0</v>
      </c>
      <c r="AW214" s="72">
        <f>AW$3*'Yield 1Y'!AD242</f>
        <v>0</v>
      </c>
      <c r="AX214" s="72">
        <f>AX$3*'Yield 1Y'!AE242</f>
        <v>0</v>
      </c>
      <c r="AY214" s="72">
        <f>AY$3*'Yield 1Y'!AF242</f>
        <v>0</v>
      </c>
      <c r="AZ214" s="72">
        <f>AZ$3*'Yield 1Y'!AG242</f>
        <v>-1.2743916245750011</v>
      </c>
      <c r="BA214" s="72">
        <f>BA$3*'Yield 1Y'!AH242</f>
        <v>-15.367222099484978</v>
      </c>
      <c r="BB214" s="72">
        <f>BB$3*'Yield 1Y'!AI242</f>
        <v>-6.2336894675640062</v>
      </c>
      <c r="BC214" s="72">
        <f>BC$3*'Yield 1Y'!AJ242</f>
        <v>0</v>
      </c>
      <c r="BD214" s="72">
        <f>BD$3*'Yield 1Y'!AK242</f>
        <v>0</v>
      </c>
      <c r="BE214" s="177">
        <f t="shared" si="29"/>
        <v>22.875303191623985</v>
      </c>
      <c r="BF214" s="124">
        <f>VLOOKUP(AT214,'Yield 1Y'!$F:$G,2,0)</f>
        <v>45946</v>
      </c>
      <c r="BG214" s="318">
        <f t="shared" si="31"/>
        <v>18</v>
      </c>
    </row>
    <row r="215" spans="1:59" x14ac:dyDescent="0.3">
      <c r="A215" s="37">
        <v>147</v>
      </c>
      <c r="B215" s="72">
        <f>'Yield 1Y'!R149*B$3</f>
        <v>0</v>
      </c>
      <c r="C215" s="72">
        <f>'Yield 1Y'!S149*C$3</f>
        <v>0</v>
      </c>
      <c r="D215" s="72">
        <f>'Yield 1Y'!T149*D$3</f>
        <v>-0.17519381811810467</v>
      </c>
      <c r="E215" s="72">
        <f>'Yield 1Y'!U149*E$3</f>
        <v>-1.1250753573172361</v>
      </c>
      <c r="F215" s="72">
        <f>'Yield 1Y'!V149*F$3</f>
        <v>-0.28058440318151096</v>
      </c>
      <c r="G215" s="72">
        <f>'Yield 1Y'!W149*G$3</f>
        <v>-5.9515309661201368</v>
      </c>
      <c r="H215" s="72">
        <f>'Yield 1Y'!X149*H$3</f>
        <v>0</v>
      </c>
      <c r="I215" s="72">
        <f>'Yield 1Y'!Y149*I$3</f>
        <v>-4.3726503793810858</v>
      </c>
      <c r="J215" s="72">
        <f>'Yield 1Y'!Z149*J$3</f>
        <v>0</v>
      </c>
      <c r="K215" s="72">
        <f>'Yield 1Y'!AA149*K$3</f>
        <v>0</v>
      </c>
      <c r="L215" s="177">
        <f t="shared" si="24"/>
        <v>11.905034924118073</v>
      </c>
      <c r="M215" s="124">
        <f>VLOOKUP(A215,'Yield 1Y'!$F:$G,2,0)</f>
        <v>46036</v>
      </c>
      <c r="N215" s="318">
        <f t="shared" si="25"/>
        <v>34</v>
      </c>
      <c r="P215" s="37">
        <v>212</v>
      </c>
      <c r="Q215" s="72">
        <f>Q$3*'Yield 1Y'!R214</f>
        <v>0</v>
      </c>
      <c r="R215" s="72">
        <f>R$3*'Yield 1Y'!S214</f>
        <v>0</v>
      </c>
      <c r="S215" s="72">
        <f>S$3*'Yield 1Y'!T214</f>
        <v>0</v>
      </c>
      <c r="T215" s="72">
        <f>T$3*'Yield 1Y'!U214</f>
        <v>0</v>
      </c>
      <c r="U215" s="72">
        <f>U$3*'Yield 1Y'!V214</f>
        <v>0</v>
      </c>
      <c r="V215" s="72">
        <f>V$3*'Yield 1Y'!W214</f>
        <v>0.3950614036182461</v>
      </c>
      <c r="W215" s="72">
        <f>W$3*'Yield 1Y'!X214</f>
        <v>-0.91065019848800088</v>
      </c>
      <c r="X215" s="72">
        <f>X$3*'Yield 1Y'!Y214</f>
        <v>0</v>
      </c>
      <c r="Y215" s="72">
        <f>Y$3*'Yield 1Y'!Z214</f>
        <v>0</v>
      </c>
      <c r="Z215" s="72">
        <f>Z$3*'Yield 1Y'!AA214</f>
        <v>0</v>
      </c>
      <c r="AA215" s="177">
        <f t="shared" si="26"/>
        <v>0.51558879486975484</v>
      </c>
      <c r="AB215" s="124">
        <f>VLOOKUP(P215,'Yield 1Y'!$F:$G,2,0)</f>
        <v>45943</v>
      </c>
      <c r="AC215" s="318">
        <f t="shared" si="30"/>
        <v>96</v>
      </c>
      <c r="AE215" s="37">
        <v>238</v>
      </c>
      <c r="AF215" s="72">
        <f>AF$3*'Yield 1Y'!AB240</f>
        <v>0</v>
      </c>
      <c r="AG215" s="72">
        <f>AG$3*'Yield 1Y'!AC240</f>
        <v>0</v>
      </c>
      <c r="AH215" s="72">
        <f>AH$3*'Yield 1Y'!AD240</f>
        <v>-1.3277847267898693</v>
      </c>
      <c r="AI215" s="72">
        <f>AI$3*'Yield 1Y'!AE240</f>
        <v>-2.5674796615700926</v>
      </c>
      <c r="AJ215" s="72">
        <f>AJ$3*'Yield 1Y'!AF240</f>
        <v>-0.65469694075685891</v>
      </c>
      <c r="AK215" s="72">
        <f>AK$3*'Yield 1Y'!AG240</f>
        <v>-28.675558291306466</v>
      </c>
      <c r="AL215" s="72">
        <f>AL$3*'Yield 1Y'!AH240</f>
        <v>-57.552672096483455</v>
      </c>
      <c r="AM215" s="72">
        <f>AM$3*'Yield 1Y'!AI240</f>
        <v>-53.144519995555108</v>
      </c>
      <c r="AN215" s="72">
        <f>AN$3*'Yield 1Y'!AJ240</f>
        <v>0</v>
      </c>
      <c r="AO215" s="72">
        <f>AO$3*'Yield 1Y'!AK240</f>
        <v>0</v>
      </c>
      <c r="AP215" s="177">
        <f t="shared" si="27"/>
        <v>143.92271171246185</v>
      </c>
      <c r="AQ215" s="124">
        <f>VLOOKUP(AE215,'Yield 1Y'!$F:$G,2,0)</f>
        <v>45905</v>
      </c>
      <c r="AR215" s="318">
        <f t="shared" si="28"/>
        <v>17</v>
      </c>
      <c r="AT215" s="37">
        <v>210</v>
      </c>
      <c r="AU215" s="72">
        <f>AU$3*'Yield 1Y'!AB11</f>
        <v>0</v>
      </c>
      <c r="AV215" s="72">
        <f>AV$3*'Yield 1Y'!AC11</f>
        <v>0</v>
      </c>
      <c r="AW215" s="72">
        <f>AW$3*'Yield 1Y'!AD11</f>
        <v>0</v>
      </c>
      <c r="AX215" s="72">
        <f>AX$3*'Yield 1Y'!AE11</f>
        <v>0</v>
      </c>
      <c r="AY215" s="72">
        <f>AY$3*'Yield 1Y'!AF11</f>
        <v>0</v>
      </c>
      <c r="AZ215" s="72">
        <f>AZ$3*'Yield 1Y'!AG11</f>
        <v>-5.0975664982994391E-2</v>
      </c>
      <c r="BA215" s="72">
        <f>BA$3*'Yield 1Y'!AH11</f>
        <v>-7.6266954123370203</v>
      </c>
      <c r="BB215" s="72">
        <f>BB$3*'Yield 1Y'!AI11</f>
        <v>-1.5184628190219926</v>
      </c>
      <c r="BC215" s="72">
        <f>BC$3*'Yield 1Y'!AJ11</f>
        <v>0</v>
      </c>
      <c r="BD215" s="72">
        <f>BD$3*'Yield 1Y'!AK11</f>
        <v>0</v>
      </c>
      <c r="BE215" s="177">
        <f t="shared" si="29"/>
        <v>9.1961338963420065</v>
      </c>
      <c r="BF215" s="124">
        <f>VLOOKUP(AT215,'Yield 1Y'!$F:$G,2,0)</f>
        <v>45945</v>
      </c>
      <c r="BG215" s="318">
        <f t="shared" si="31"/>
        <v>71</v>
      </c>
    </row>
    <row r="216" spans="1:59" x14ac:dyDescent="0.3">
      <c r="A216" s="37">
        <v>229</v>
      </c>
      <c r="B216" s="72">
        <f>'Yield 1Y'!R231*B$3</f>
        <v>0</v>
      </c>
      <c r="C216" s="72">
        <f>'Yield 1Y'!S231*C$3</f>
        <v>0</v>
      </c>
      <c r="D216" s="72">
        <f>'Yield 1Y'!T231*D$3</f>
        <v>-5.5324363616246597E-2</v>
      </c>
      <c r="E216" s="72">
        <f>'Yield 1Y'!U231*E$3</f>
        <v>-0.23078468868045804</v>
      </c>
      <c r="F216" s="72">
        <f>'Yield 1Y'!V231*F$3</f>
        <v>-5.1440473916610864E-2</v>
      </c>
      <c r="G216" s="72">
        <f>'Yield 1Y'!W231*G$3</f>
        <v>-2.4347172134127777</v>
      </c>
      <c r="H216" s="72">
        <f>'Yield 1Y'!X231*H$3</f>
        <v>-4.5545280076354384</v>
      </c>
      <c r="I216" s="72">
        <f>'Yield 1Y'!Y231*I$3</f>
        <v>-2.6908617719268446</v>
      </c>
      <c r="J216" s="72">
        <f>'Yield 1Y'!Z231*J$3</f>
        <v>0</v>
      </c>
      <c r="K216" s="72">
        <f>'Yield 1Y'!AA231*K$3</f>
        <v>0</v>
      </c>
      <c r="L216" s="177">
        <f t="shared" si="24"/>
        <v>10.017656519188376</v>
      </c>
      <c r="M216" s="124">
        <f>VLOOKUP(A216,'Yield 1Y'!$F:$G,2,0)</f>
        <v>45918</v>
      </c>
      <c r="N216" s="318">
        <f t="shared" si="25"/>
        <v>36</v>
      </c>
      <c r="P216" s="37">
        <v>213</v>
      </c>
      <c r="Q216" s="72">
        <f>Q$3*'Yield 1Y'!R215</f>
        <v>0</v>
      </c>
      <c r="R216" s="72">
        <f>R$3*'Yield 1Y'!S215</f>
        <v>0</v>
      </c>
      <c r="S216" s="72">
        <f>S$3*'Yield 1Y'!T215</f>
        <v>0</v>
      </c>
      <c r="T216" s="72">
        <f>T$3*'Yield 1Y'!U215</f>
        <v>0</v>
      </c>
      <c r="U216" s="72">
        <f>U$3*'Yield 1Y'!V215</f>
        <v>0</v>
      </c>
      <c r="V216" s="72">
        <f>V$3*'Yield 1Y'!W215</f>
        <v>-0.35682965488100032</v>
      </c>
      <c r="W216" s="72">
        <f>W$3*'Yield 1Y'!X215</f>
        <v>-1.5936378473539763</v>
      </c>
      <c r="X216" s="72">
        <f>X$3*'Yield 1Y'!Y215</f>
        <v>-0.4795145744280005</v>
      </c>
      <c r="Y216" s="72">
        <f>Y$3*'Yield 1Y'!Z215</f>
        <v>0</v>
      </c>
      <c r="Z216" s="72">
        <f>Z$3*'Yield 1Y'!AA215</f>
        <v>0</v>
      </c>
      <c r="AA216" s="177">
        <f t="shared" si="26"/>
        <v>2.4299820766629772</v>
      </c>
      <c r="AB216" s="124">
        <f>VLOOKUP(P216,'Yield 1Y'!$F:$G,2,0)</f>
        <v>45940</v>
      </c>
      <c r="AC216" s="318">
        <f t="shared" si="30"/>
        <v>27</v>
      </c>
      <c r="AE216" s="37">
        <v>245</v>
      </c>
      <c r="AF216" s="72">
        <f>AF$3*'Yield 1Y'!AB247</f>
        <v>0</v>
      </c>
      <c r="AG216" s="72">
        <f>AG$3*'Yield 1Y'!AC247</f>
        <v>0</v>
      </c>
      <c r="AH216" s="72">
        <f>AH$3*'Yield 1Y'!AD247</f>
        <v>-1.5951858176017168</v>
      </c>
      <c r="AI216" s="72">
        <f>AI$3*'Yield 1Y'!AE247</f>
        <v>-3.3175298997815874</v>
      </c>
      <c r="AJ216" s="72">
        <f>AJ$3*'Yield 1Y'!AF247</f>
        <v>-0.84642961626422419</v>
      </c>
      <c r="AK216" s="72">
        <f>AK$3*'Yield 1Y'!AG247</f>
        <v>-33.003944448484667</v>
      </c>
      <c r="AL216" s="72">
        <f>AL$3*'Yield 1Y'!AH247</f>
        <v>-65.419584109671902</v>
      </c>
      <c r="AM216" s="72">
        <f>AM$3*'Yield 1Y'!AI247</f>
        <v>-64.244324804753305</v>
      </c>
      <c r="AN216" s="72">
        <f>AN$3*'Yield 1Y'!AJ247</f>
        <v>0</v>
      </c>
      <c r="AO216" s="72">
        <f>AO$3*'Yield 1Y'!AK247</f>
        <v>0</v>
      </c>
      <c r="AP216" s="177">
        <f t="shared" si="27"/>
        <v>168.4269986965574</v>
      </c>
      <c r="AQ216" s="124">
        <f>VLOOKUP(AE216,'Yield 1Y'!$F:$G,2,0)</f>
        <v>45894</v>
      </c>
      <c r="AR216" s="318">
        <f t="shared" si="28"/>
        <v>9</v>
      </c>
      <c r="AT216" s="37">
        <v>211</v>
      </c>
      <c r="AU216" s="72">
        <f>AU$3*'Yield 1Y'!AB18</f>
        <v>0</v>
      </c>
      <c r="AV216" s="72">
        <f>AV$3*'Yield 1Y'!AC18</f>
        <v>0</v>
      </c>
      <c r="AW216" s="72">
        <f>AW$3*'Yield 1Y'!AD18</f>
        <v>0</v>
      </c>
      <c r="AX216" s="72">
        <f>AX$3*'Yield 1Y'!AE18</f>
        <v>0</v>
      </c>
      <c r="AY216" s="72">
        <f>AY$3*'Yield 1Y'!AF18</f>
        <v>0</v>
      </c>
      <c r="AZ216" s="72">
        <f>AZ$3*'Yield 1Y'!AG18</f>
        <v>-0.1529269949490058</v>
      </c>
      <c r="BA216" s="72">
        <f>BA$3*'Yield 1Y'!AH18</f>
        <v>-8.0820205115809696</v>
      </c>
      <c r="BB216" s="72">
        <f>BB$3*'Yield 1Y'!AI18</f>
        <v>-1.5184628190220104</v>
      </c>
      <c r="BC216" s="72">
        <f>BC$3*'Yield 1Y'!AJ18</f>
        <v>0</v>
      </c>
      <c r="BD216" s="72">
        <f>BD$3*'Yield 1Y'!AK18</f>
        <v>0</v>
      </c>
      <c r="BE216" s="177">
        <f t="shared" si="29"/>
        <v>9.7534103255519859</v>
      </c>
      <c r="BF216" s="124">
        <f>VLOOKUP(AT216,'Yield 1Y'!$F:$G,2,0)</f>
        <v>45944</v>
      </c>
      <c r="BG216" s="318">
        <f t="shared" si="31"/>
        <v>61</v>
      </c>
    </row>
    <row r="217" spans="1:59" x14ac:dyDescent="0.3">
      <c r="A217" s="37">
        <v>195</v>
      </c>
      <c r="B217" s="72">
        <f>'Yield 1Y'!R197*B$3</f>
        <v>0</v>
      </c>
      <c r="C217" s="72">
        <f>'Yield 1Y'!S197*C$3</f>
        <v>0</v>
      </c>
      <c r="D217" s="72">
        <f>'Yield 1Y'!T197*D$3</f>
        <v>0</v>
      </c>
      <c r="E217" s="72">
        <f>'Yield 1Y'!U197*E$3</f>
        <v>0</v>
      </c>
      <c r="F217" s="72">
        <f>'Yield 1Y'!V197*F$3</f>
        <v>0</v>
      </c>
      <c r="G217" s="72">
        <f>'Yield 1Y'!W197*G$3</f>
        <v>0</v>
      </c>
      <c r="H217" s="72">
        <f>'Yield 1Y'!X197*H$3</f>
        <v>-1.6561920027765062</v>
      </c>
      <c r="I217" s="72">
        <f>'Yield 1Y'!Y197*I$3</f>
        <v>-1.6817886074542407</v>
      </c>
      <c r="J217" s="72">
        <f>'Yield 1Y'!Z197*J$3</f>
        <v>0</v>
      </c>
      <c r="K217" s="72">
        <f>'Yield 1Y'!AA197*K$3</f>
        <v>0</v>
      </c>
      <c r="L217" s="177">
        <f t="shared" si="24"/>
        <v>3.3379806102307468</v>
      </c>
      <c r="M217" s="124">
        <f>VLOOKUP(A217,'Yield 1Y'!$F:$G,2,0)</f>
        <v>45966</v>
      </c>
      <c r="N217" s="318">
        <f t="shared" si="25"/>
        <v>88</v>
      </c>
      <c r="P217" s="37">
        <v>214</v>
      </c>
      <c r="Q217" s="72">
        <f>Q$3*'Yield 1Y'!R216</f>
        <v>0</v>
      </c>
      <c r="R217" s="72">
        <f>R$3*'Yield 1Y'!S216</f>
        <v>0</v>
      </c>
      <c r="S217" s="72">
        <f>S$3*'Yield 1Y'!T216</f>
        <v>0</v>
      </c>
      <c r="T217" s="72">
        <f>T$3*'Yield 1Y'!U216</f>
        <v>0</v>
      </c>
      <c r="U217" s="72">
        <f>U$3*'Yield 1Y'!V216</f>
        <v>0</v>
      </c>
      <c r="V217" s="72">
        <f>V$3*'Yield 1Y'!W216</f>
        <v>-0.17841482744049733</v>
      </c>
      <c r="W217" s="72">
        <f>W$3*'Yield 1Y'!X216</f>
        <v>-4.5532509924400051</v>
      </c>
      <c r="X217" s="72">
        <f>X$3*'Yield 1Y'!Y216</f>
        <v>-0.83915050524899648</v>
      </c>
      <c r="Y217" s="72">
        <f>Y$3*'Yield 1Y'!Z216</f>
        <v>0</v>
      </c>
      <c r="Z217" s="72">
        <f>Z$3*'Yield 1Y'!AA216</f>
        <v>0</v>
      </c>
      <c r="AA217" s="177">
        <f t="shared" si="26"/>
        <v>5.5708163251294991</v>
      </c>
      <c r="AB217" s="124">
        <f>VLOOKUP(P217,'Yield 1Y'!$F:$G,2,0)</f>
        <v>45939</v>
      </c>
      <c r="AC217" s="318">
        <f t="shared" si="30"/>
        <v>8</v>
      </c>
      <c r="AE217" s="37">
        <v>194</v>
      </c>
      <c r="AF217" s="72">
        <f>AF$3*'Yield 1Y'!AB196</f>
        <v>0</v>
      </c>
      <c r="AG217" s="72">
        <f>AG$3*'Yield 1Y'!AC196</f>
        <v>0</v>
      </c>
      <c r="AH217" s="72">
        <f>AH$3*'Yield 1Y'!AD196</f>
        <v>-8.2986545424365801E-2</v>
      </c>
      <c r="AI217" s="72">
        <f>AI$3*'Yield 1Y'!AE196</f>
        <v>-1.5289485625080312</v>
      </c>
      <c r="AJ217" s="72">
        <f>AJ$3*'Yield 1Y'!AF196</f>
        <v>-4.2087660477226126E-2</v>
      </c>
      <c r="AK217" s="72">
        <f>AK$3*'Yield 1Y'!AG196</f>
        <v>-17.043020493889685</v>
      </c>
      <c r="AL217" s="72">
        <f>AL$3*'Yield 1Y'!AH196</f>
        <v>-3.3123840055530125</v>
      </c>
      <c r="AM217" s="72">
        <f>AM$3*'Yield 1Y'!AI196</f>
        <v>-2.6908617719268446</v>
      </c>
      <c r="AN217" s="72">
        <f>AN$3*'Yield 1Y'!AJ196</f>
        <v>0</v>
      </c>
      <c r="AO217" s="72">
        <f>AO$3*'Yield 1Y'!AK196</f>
        <v>0</v>
      </c>
      <c r="AP217" s="177">
        <f t="shared" si="27"/>
        <v>24.700289039779168</v>
      </c>
      <c r="AQ217" s="124">
        <f>VLOOKUP(AE217,'Yield 1Y'!$F:$G,2,0)</f>
        <v>45967</v>
      </c>
      <c r="AR217" s="318">
        <f t="shared" si="28"/>
        <v>186</v>
      </c>
      <c r="AT217" s="37">
        <v>212</v>
      </c>
      <c r="AU217" s="72">
        <f>AU$3*'Yield 1Y'!AB16</f>
        <v>0</v>
      </c>
      <c r="AV217" s="72">
        <f>AV$3*'Yield 1Y'!AC16</f>
        <v>0</v>
      </c>
      <c r="AW217" s="72">
        <f>AW$3*'Yield 1Y'!AD16</f>
        <v>0</v>
      </c>
      <c r="AX217" s="72">
        <f>AX$3*'Yield 1Y'!AE16</f>
        <v>0</v>
      </c>
      <c r="AY217" s="72">
        <f>AY$3*'Yield 1Y'!AF16</f>
        <v>0</v>
      </c>
      <c r="AZ217" s="72">
        <f>AZ$3*'Yield 1Y'!AG16</f>
        <v>-0.1529269949490058</v>
      </c>
      <c r="BA217" s="72">
        <f>BA$3*'Yield 1Y'!AH16</f>
        <v>-8.0820205115809696</v>
      </c>
      <c r="BB217" s="72">
        <f>BB$3*'Yield 1Y'!AI16</f>
        <v>-1.4785032711530148</v>
      </c>
      <c r="BC217" s="72">
        <f>BC$3*'Yield 1Y'!AJ16</f>
        <v>0</v>
      </c>
      <c r="BD217" s="72">
        <f>BD$3*'Yield 1Y'!AK16</f>
        <v>0</v>
      </c>
      <c r="BE217" s="177">
        <f t="shared" si="29"/>
        <v>9.7134507776829899</v>
      </c>
      <c r="BF217" s="124">
        <f>VLOOKUP(AT217,'Yield 1Y'!$F:$G,2,0)</f>
        <v>45943</v>
      </c>
      <c r="BG217" s="318">
        <f t="shared" si="31"/>
        <v>63</v>
      </c>
    </row>
    <row r="218" spans="1:59" x14ac:dyDescent="0.3">
      <c r="A218" s="37">
        <v>177</v>
      </c>
      <c r="B218" s="72">
        <f>'Yield 1Y'!R179*B$3</f>
        <v>0</v>
      </c>
      <c r="C218" s="72">
        <f>'Yield 1Y'!S179*C$3</f>
        <v>0</v>
      </c>
      <c r="D218" s="72">
        <f>'Yield 1Y'!T179*D$3</f>
        <v>-3.6882909077496369E-2</v>
      </c>
      <c r="E218" s="72">
        <f>'Yield 1Y'!U179*E$3</f>
        <v>-5.7696172170120914E-2</v>
      </c>
      <c r="F218" s="72">
        <f>'Yield 1Y'!V179*F$3</f>
        <v>0</v>
      </c>
      <c r="G218" s="72">
        <f>'Yield 1Y'!W179*G$3</f>
        <v>-1.623144808941932</v>
      </c>
      <c r="H218" s="72">
        <f>'Yield 1Y'!X179*H$3</f>
        <v>-7.8669120131884505</v>
      </c>
      <c r="I218" s="72">
        <f>'Yield 1Y'!Y179*I$3</f>
        <v>-3.6999349363994489</v>
      </c>
      <c r="J218" s="72">
        <f>'Yield 1Y'!Z179*J$3</f>
        <v>0</v>
      </c>
      <c r="K218" s="72">
        <f>'Yield 1Y'!AA179*K$3</f>
        <v>0</v>
      </c>
      <c r="L218" s="177">
        <f t="shared" si="24"/>
        <v>13.28457083977745</v>
      </c>
      <c r="M218" s="124">
        <f>VLOOKUP(A218,'Yield 1Y'!$F:$G,2,0)</f>
        <v>45992</v>
      </c>
      <c r="N218" s="318">
        <f t="shared" si="25"/>
        <v>30</v>
      </c>
      <c r="P218" s="37">
        <v>215</v>
      </c>
      <c r="Q218" s="72">
        <f>Q$3*'Yield 1Y'!R217</f>
        <v>0</v>
      </c>
      <c r="R218" s="72">
        <f>R$3*'Yield 1Y'!S217</f>
        <v>0</v>
      </c>
      <c r="S218" s="72">
        <f>S$3*'Yield 1Y'!T217</f>
        <v>0</v>
      </c>
      <c r="T218" s="72">
        <f>T$3*'Yield 1Y'!U217</f>
        <v>0</v>
      </c>
      <c r="U218" s="72">
        <f>U$3*'Yield 1Y'!V217</f>
        <v>0</v>
      </c>
      <c r="V218" s="72">
        <f>V$3*'Yield 1Y'!W217</f>
        <v>-2.5487832491502854E-2</v>
      </c>
      <c r="W218" s="72">
        <f>W$3*'Yield 1Y'!X217</f>
        <v>1.0244814732989884</v>
      </c>
      <c r="X218" s="72">
        <f>X$3*'Yield 1Y'!Y217</f>
        <v>-0.19979773934499578</v>
      </c>
      <c r="Y218" s="72">
        <f>Y$3*'Yield 1Y'!Z217</f>
        <v>0</v>
      </c>
      <c r="Z218" s="72">
        <f>Z$3*'Yield 1Y'!AA217</f>
        <v>0</v>
      </c>
      <c r="AA218" s="177">
        <f t="shared" si="26"/>
        <v>-0.79919590146248976</v>
      </c>
      <c r="AB218" s="124">
        <f>VLOOKUP(P218,'Yield 1Y'!$F:$G,2,0)</f>
        <v>45938</v>
      </c>
      <c r="AC218" s="318">
        <f t="shared" si="30"/>
        <v>242</v>
      </c>
      <c r="AE218" s="37">
        <v>86</v>
      </c>
      <c r="AF218" s="72">
        <f>AF$3*'Yield 1Y'!AB88</f>
        <v>0</v>
      </c>
      <c r="AG218" s="72">
        <f>AG$3*'Yield 1Y'!AC88</f>
        <v>0</v>
      </c>
      <c r="AH218" s="72">
        <f>AH$3*'Yield 1Y'!AD88</f>
        <v>-0.11986945450186216</v>
      </c>
      <c r="AI218" s="72">
        <f>AI$3*'Yield 1Y'!AE88</f>
        <v>-0.14424043042528306</v>
      </c>
      <c r="AJ218" s="72">
        <f>AJ$3*'Yield 1Y'!AF88</f>
        <v>-6.0793287355995602E-2</v>
      </c>
      <c r="AK218" s="72">
        <f>AK$3*'Yield 1Y'!AG88</f>
        <v>1.082096539294461</v>
      </c>
      <c r="AL218" s="72">
        <f>AL$3*'Yield 1Y'!AH88</f>
        <v>-3.3123840055530125</v>
      </c>
      <c r="AM218" s="72">
        <f>AM$3*'Yield 1Y'!AI88</f>
        <v>0</v>
      </c>
      <c r="AN218" s="72">
        <f>AN$3*'Yield 1Y'!AJ88</f>
        <v>0</v>
      </c>
      <c r="AO218" s="72">
        <f>AO$3*'Yield 1Y'!AK88</f>
        <v>0</v>
      </c>
      <c r="AP218" s="177">
        <f t="shared" si="27"/>
        <v>2.555190638541692</v>
      </c>
      <c r="AQ218" s="124">
        <f>VLOOKUP(AE218,'Yield 1Y'!$F:$G,2,0)</f>
        <v>46128</v>
      </c>
      <c r="AR218" s="318">
        <f t="shared" si="28"/>
        <v>242</v>
      </c>
      <c r="AT218" s="37">
        <v>213</v>
      </c>
      <c r="AU218" s="72">
        <f>AU$3*'Yield 1Y'!AB32</f>
        <v>0</v>
      </c>
      <c r="AV218" s="72">
        <f>AV$3*'Yield 1Y'!AC32</f>
        <v>0</v>
      </c>
      <c r="AW218" s="72">
        <f>AW$3*'Yield 1Y'!AD32</f>
        <v>0</v>
      </c>
      <c r="AX218" s="72">
        <f>AX$3*'Yield 1Y'!AE32</f>
        <v>0</v>
      </c>
      <c r="AY218" s="72">
        <f>AY$3*'Yield 1Y'!AF32</f>
        <v>0</v>
      </c>
      <c r="AZ218" s="72">
        <f>AZ$3*'Yield 1Y'!AG32</f>
        <v>-0.26762224116074884</v>
      </c>
      <c r="BA218" s="72">
        <f>BA$3*'Yield 1Y'!AH32</f>
        <v>-1.9351316717870399</v>
      </c>
      <c r="BB218" s="72">
        <f>BB$3*'Yield 1Y'!AI32</f>
        <v>-0.59939321803498735</v>
      </c>
      <c r="BC218" s="72">
        <f>BC$3*'Yield 1Y'!AJ32</f>
        <v>0</v>
      </c>
      <c r="BD218" s="72">
        <f>BD$3*'Yield 1Y'!AK32</f>
        <v>0</v>
      </c>
      <c r="BE218" s="177">
        <f t="shared" si="29"/>
        <v>2.8021471309827763</v>
      </c>
      <c r="BF218" s="124">
        <f>VLOOKUP(AT218,'Yield 1Y'!$F:$G,2,0)</f>
        <v>45940</v>
      </c>
      <c r="BG218" s="318">
        <f t="shared" si="31"/>
        <v>203</v>
      </c>
    </row>
    <row r="219" spans="1:59" x14ac:dyDescent="0.3">
      <c r="A219" s="37">
        <v>123</v>
      </c>
      <c r="B219" s="72">
        <f>'Yield 1Y'!R125*B$3</f>
        <v>0</v>
      </c>
      <c r="C219" s="72">
        <f>'Yield 1Y'!S125*C$3</f>
        <v>0</v>
      </c>
      <c r="D219" s="72">
        <f>'Yield 1Y'!T125*D$3</f>
        <v>-1.8441454538750231E-2</v>
      </c>
      <c r="E219" s="72">
        <f>'Yield 1Y'!U125*E$3</f>
        <v>2.8848086085066862E-2</v>
      </c>
      <c r="F219" s="72">
        <f>'Yield 1Y'!V125*F$3</f>
        <v>1.8705626878767399E-2</v>
      </c>
      <c r="G219" s="72">
        <f>'Yield 1Y'!W125*G$3</f>
        <v>0</v>
      </c>
      <c r="H219" s="72">
        <f>'Yield 1Y'!X125*H$3</f>
        <v>-0.8280960013881612</v>
      </c>
      <c r="I219" s="72">
        <f>'Yield 1Y'!Y125*I$3</f>
        <v>0</v>
      </c>
      <c r="J219" s="72">
        <f>'Yield 1Y'!Z125*J$3</f>
        <v>0</v>
      </c>
      <c r="K219" s="72">
        <f>'Yield 1Y'!AA125*K$3</f>
        <v>0</v>
      </c>
      <c r="L219" s="177">
        <f t="shared" si="24"/>
        <v>0.79898374296307717</v>
      </c>
      <c r="M219" s="124">
        <f>VLOOKUP(A219,'Yield 1Y'!$F:$G,2,0)</f>
        <v>46077</v>
      </c>
      <c r="N219" s="318">
        <f t="shared" si="25"/>
        <v>162</v>
      </c>
      <c r="P219" s="37">
        <v>216</v>
      </c>
      <c r="Q219" s="72">
        <f>Q$3*'Yield 1Y'!R218</f>
        <v>0</v>
      </c>
      <c r="R219" s="72">
        <f>R$3*'Yield 1Y'!S218</f>
        <v>0</v>
      </c>
      <c r="S219" s="72">
        <f>S$3*'Yield 1Y'!T218</f>
        <v>0</v>
      </c>
      <c r="T219" s="72">
        <f>T$3*'Yield 1Y'!U218</f>
        <v>0</v>
      </c>
      <c r="U219" s="72">
        <f>U$3*'Yield 1Y'!V218</f>
        <v>0</v>
      </c>
      <c r="V219" s="72">
        <f>V$3*'Yield 1Y'!W218</f>
        <v>2.5487832491502854E-2</v>
      </c>
      <c r="W219" s="72">
        <f>W$3*'Yield 1Y'!X218</f>
        <v>0.56915637405498798</v>
      </c>
      <c r="X219" s="72">
        <f>X$3*'Yield 1Y'!Y218</f>
        <v>0</v>
      </c>
      <c r="Y219" s="72">
        <f>Y$3*'Yield 1Y'!Z218</f>
        <v>0</v>
      </c>
      <c r="Z219" s="72">
        <f>Z$3*'Yield 1Y'!AA218</f>
        <v>0</v>
      </c>
      <c r="AA219" s="177">
        <f t="shared" si="26"/>
        <v>-0.59464420654649086</v>
      </c>
      <c r="AB219" s="124">
        <f>VLOOKUP(P219,'Yield 1Y'!$F:$G,2,0)</f>
        <v>45937</v>
      </c>
      <c r="AC219" s="318">
        <f t="shared" si="30"/>
        <v>237</v>
      </c>
      <c r="AE219" s="37">
        <v>177</v>
      </c>
      <c r="AF219" s="72">
        <f>AF$3*'Yield 1Y'!AB179</f>
        <v>0</v>
      </c>
      <c r="AG219" s="72">
        <f>AG$3*'Yield 1Y'!AC179</f>
        <v>0</v>
      </c>
      <c r="AH219" s="72">
        <f>AH$3*'Yield 1Y'!AD179</f>
        <v>-0.23051818173435537</v>
      </c>
      <c r="AI219" s="72">
        <f>AI$3*'Yield 1Y'!AE179</f>
        <v>-0.57696172170114512</v>
      </c>
      <c r="AJ219" s="72">
        <f>AJ$3*'Yield 1Y'!AF179</f>
        <v>-0.11691016799229779</v>
      </c>
      <c r="AK219" s="72">
        <f>AK$3*'Yield 1Y'!AG179</f>
        <v>-4.8694344268255554</v>
      </c>
      <c r="AL219" s="72">
        <f>AL$3*'Yield 1Y'!AH179</f>
        <v>-17.390016029153408</v>
      </c>
      <c r="AM219" s="72">
        <f>AM$3*'Yield 1Y'!AI179</f>
        <v>-7.3998698727988979</v>
      </c>
      <c r="AN219" s="72">
        <f>AN$3*'Yield 1Y'!AJ179</f>
        <v>0</v>
      </c>
      <c r="AO219" s="72">
        <f>AO$3*'Yield 1Y'!AK179</f>
        <v>0</v>
      </c>
      <c r="AP219" s="177">
        <f t="shared" si="27"/>
        <v>30.583710400205661</v>
      </c>
      <c r="AQ219" s="124">
        <f>VLOOKUP(AE219,'Yield 1Y'!$F:$G,2,0)</f>
        <v>45992</v>
      </c>
      <c r="AR219" s="318">
        <f t="shared" si="28"/>
        <v>164</v>
      </c>
      <c r="AT219" s="37">
        <v>214</v>
      </c>
      <c r="AU219" s="72">
        <f>AU$3*'Yield 1Y'!AB224</f>
        <v>0</v>
      </c>
      <c r="AV219" s="72">
        <f>AV$3*'Yield 1Y'!AC224</f>
        <v>0</v>
      </c>
      <c r="AW219" s="72">
        <f>AW$3*'Yield 1Y'!AD224</f>
        <v>0</v>
      </c>
      <c r="AX219" s="72">
        <f>AX$3*'Yield 1Y'!AE224</f>
        <v>0</v>
      </c>
      <c r="AY219" s="72">
        <f>AY$3*'Yield 1Y'!AF224</f>
        <v>0</v>
      </c>
      <c r="AZ219" s="72">
        <f>AZ$3*'Yield 1Y'!AG224</f>
        <v>-0.39506140361825176</v>
      </c>
      <c r="BA219" s="72">
        <f>BA$3*'Yield 1Y'!AH224</f>
        <v>-2.9596131450860281</v>
      </c>
      <c r="BB219" s="72">
        <f>BB$3*'Yield 1Y'!AI224</f>
        <v>-1.318665079676997</v>
      </c>
      <c r="BC219" s="72">
        <f>BC$3*'Yield 1Y'!AJ224</f>
        <v>0</v>
      </c>
      <c r="BD219" s="72">
        <f>BD$3*'Yield 1Y'!AK224</f>
        <v>0</v>
      </c>
      <c r="BE219" s="177">
        <f t="shared" si="29"/>
        <v>4.6733396283812771</v>
      </c>
      <c r="BF219" s="124">
        <f>VLOOKUP(AT219,'Yield 1Y'!$F:$G,2,0)</f>
        <v>45939</v>
      </c>
      <c r="BG219" s="318">
        <f t="shared" si="31"/>
        <v>164</v>
      </c>
    </row>
    <row r="220" spans="1:59" x14ac:dyDescent="0.3">
      <c r="A220" s="114">
        <v>54</v>
      </c>
      <c r="B220" s="72">
        <f>'Yield 1Y'!R56*B$3</f>
        <v>0</v>
      </c>
      <c r="C220" s="72">
        <f>'Yield 1Y'!S56*C$3</f>
        <v>0</v>
      </c>
      <c r="D220" s="72">
        <f>'Yield 1Y'!T56*D$3</f>
        <v>-8.2986545424369895E-2</v>
      </c>
      <c r="E220" s="72">
        <f>'Yield 1Y'!U56*E$3</f>
        <v>-0.14424043042529588</v>
      </c>
      <c r="F220" s="72">
        <f>'Yield 1Y'!V56*F$3</f>
        <v>-1.4029220159076067E-2</v>
      </c>
      <c r="G220" s="72">
        <f>'Yield 1Y'!W56*G$3</f>
        <v>-0.54104826964747088</v>
      </c>
      <c r="H220" s="72">
        <f>'Yield 1Y'!X56*H$3</f>
        <v>-2.070240003470587</v>
      </c>
      <c r="I220" s="72">
        <f>'Yield 1Y'!Y56*I$3</f>
        <v>-4.0362926578904164</v>
      </c>
      <c r="J220" s="72">
        <f>'Yield 1Y'!Z56*J$3</f>
        <v>0</v>
      </c>
      <c r="K220" s="72">
        <f>'Yield 1Y'!AA56*K$3</f>
        <v>0</v>
      </c>
      <c r="L220" s="394">
        <f t="shared" si="24"/>
        <v>6.888837127017216</v>
      </c>
      <c r="M220" s="124">
        <f>VLOOKUP(A220,'Yield 1Y'!$F:$G,2,0)</f>
        <v>46177</v>
      </c>
      <c r="N220" s="318">
        <f t="shared" si="25"/>
        <v>50</v>
      </c>
      <c r="P220" s="37">
        <v>217</v>
      </c>
      <c r="Q220" s="72">
        <f>Q$3*'Yield 1Y'!R219</f>
        <v>0</v>
      </c>
      <c r="R220" s="72">
        <f>R$3*'Yield 1Y'!S219</f>
        <v>0</v>
      </c>
      <c r="S220" s="72">
        <f>S$3*'Yield 1Y'!T219</f>
        <v>0</v>
      </c>
      <c r="T220" s="72">
        <f>T$3*'Yield 1Y'!U219</f>
        <v>0</v>
      </c>
      <c r="U220" s="72">
        <f>U$3*'Yield 1Y'!V219</f>
        <v>0</v>
      </c>
      <c r="V220" s="72">
        <f>V$3*'Yield 1Y'!W219</f>
        <v>8.9207413720251497E-2</v>
      </c>
      <c r="W220" s="72">
        <f>W$3*'Yield 1Y'!X219</f>
        <v>-2.1627942214089644</v>
      </c>
      <c r="X220" s="72">
        <f>X$3*'Yield 1Y'!Y219</f>
        <v>0</v>
      </c>
      <c r="Y220" s="72">
        <f>Y$3*'Yield 1Y'!Z219</f>
        <v>0</v>
      </c>
      <c r="Z220" s="72">
        <f>Z$3*'Yield 1Y'!AA219</f>
        <v>0</v>
      </c>
      <c r="AA220" s="177">
        <f t="shared" si="26"/>
        <v>2.073586807688713</v>
      </c>
      <c r="AB220" s="124">
        <f>VLOOKUP(P220,'Yield 1Y'!$F:$G,2,0)</f>
        <v>45936</v>
      </c>
      <c r="AC220" s="318">
        <f t="shared" si="30"/>
        <v>31</v>
      </c>
      <c r="AE220" s="37">
        <v>240</v>
      </c>
      <c r="AF220" s="72">
        <f>AF$3*'Yield 1Y'!AB242</f>
        <v>0</v>
      </c>
      <c r="AG220" s="72">
        <f>AG$3*'Yield 1Y'!AC242</f>
        <v>0</v>
      </c>
      <c r="AH220" s="72">
        <f>AH$3*'Yield 1Y'!AD242</f>
        <v>-1.2816810904429956</v>
      </c>
      <c r="AI220" s="72">
        <f>AI$3*'Yield 1Y'!AE242</f>
        <v>-2.5674796615700926</v>
      </c>
      <c r="AJ220" s="72">
        <f>AJ$3*'Yield 1Y'!AF242</f>
        <v>-0.63131490715840022</v>
      </c>
      <c r="AK220" s="72">
        <f>AK$3*'Yield 1Y'!AG242</f>
        <v>-27.052413482364532</v>
      </c>
      <c r="AL220" s="72">
        <f>AL$3*'Yield 1Y'!AH242</f>
        <v>-55.896480093706948</v>
      </c>
      <c r="AM220" s="72">
        <f>AM$3*'Yield 1Y'!AI242</f>
        <v>-52.471804552573474</v>
      </c>
      <c r="AN220" s="72">
        <f>AN$3*'Yield 1Y'!AJ242</f>
        <v>0</v>
      </c>
      <c r="AO220" s="72">
        <f>AO$3*'Yield 1Y'!AK242</f>
        <v>0</v>
      </c>
      <c r="AP220" s="177">
        <f t="shared" si="27"/>
        <v>139.90117378781645</v>
      </c>
      <c r="AQ220" s="124">
        <f>VLOOKUP(AE220,'Yield 1Y'!$F:$G,2,0)</f>
        <v>45903</v>
      </c>
      <c r="AR220" s="318">
        <f t="shared" si="28"/>
        <v>18</v>
      </c>
      <c r="AT220" s="37">
        <v>215</v>
      </c>
      <c r="AU220" s="72">
        <f>AU$3*'Yield 1Y'!AB247</f>
        <v>0</v>
      </c>
      <c r="AV220" s="72">
        <f>AV$3*'Yield 1Y'!AC247</f>
        <v>0</v>
      </c>
      <c r="AW220" s="72">
        <f>AW$3*'Yield 1Y'!AD247</f>
        <v>0</v>
      </c>
      <c r="AX220" s="72">
        <f>AX$3*'Yield 1Y'!AE247</f>
        <v>0</v>
      </c>
      <c r="AY220" s="72">
        <f>AY$3*'Yield 1Y'!AF247</f>
        <v>0</v>
      </c>
      <c r="AZ220" s="72">
        <f>AZ$3*'Yield 1Y'!AG247</f>
        <v>-1.5547577819814986</v>
      </c>
      <c r="BA220" s="72">
        <f>BA$3*'Yield 1Y'!AH247</f>
        <v>-17.985341420137992</v>
      </c>
      <c r="BB220" s="72">
        <f>BB$3*'Yield 1Y'!AI247</f>
        <v>-7.632273642978995</v>
      </c>
      <c r="BC220" s="72">
        <f>BC$3*'Yield 1Y'!AJ247</f>
        <v>0</v>
      </c>
      <c r="BD220" s="72">
        <f>BD$3*'Yield 1Y'!AK247</f>
        <v>0</v>
      </c>
      <c r="BE220" s="177">
        <f t="shared" si="29"/>
        <v>27.172372845098486</v>
      </c>
      <c r="BF220" s="124">
        <f>VLOOKUP(AT220,'Yield 1Y'!$F:$G,2,0)</f>
        <v>45938</v>
      </c>
      <c r="BG220" s="318">
        <f t="shared" si="31"/>
        <v>4</v>
      </c>
    </row>
    <row r="221" spans="1:59" x14ac:dyDescent="0.3">
      <c r="A221" s="37">
        <v>247</v>
      </c>
      <c r="B221" s="72">
        <f>'Yield 1Y'!R249*B$3</f>
        <v>0</v>
      </c>
      <c r="C221" s="72">
        <f>'Yield 1Y'!S249*C$3</f>
        <v>0</v>
      </c>
      <c r="D221" s="72">
        <f>'Yield 1Y'!T249*D$3</f>
        <v>-0.26740109081184765</v>
      </c>
      <c r="E221" s="72">
        <f>'Yield 1Y'!U249*E$3</f>
        <v>-0.75005023821149497</v>
      </c>
      <c r="F221" s="72">
        <f>'Yield 1Y'!V249*F$3</f>
        <v>-0.11223376127260438</v>
      </c>
      <c r="G221" s="72">
        <f>'Yield 1Y'!W249*G$3</f>
        <v>-9.4683447188276162</v>
      </c>
      <c r="H221" s="72">
        <f>'Yield 1Y'!X249*H$3</f>
        <v>-24.014784040259432</v>
      </c>
      <c r="I221" s="72">
        <f>'Yield 1Y'!Y249*I$3</f>
        <v>-15.136097467088465</v>
      </c>
      <c r="J221" s="72">
        <f>'Yield 1Y'!Z249*J$3</f>
        <v>0</v>
      </c>
      <c r="K221" s="72">
        <f>'Yield 1Y'!AA249*K$3</f>
        <v>0</v>
      </c>
      <c r="L221" s="177">
        <f t="shared" si="24"/>
        <v>49.748911316471464</v>
      </c>
      <c r="M221" s="124">
        <f>VLOOKUP(A221,'Yield 1Y'!$F:$G,2,0)</f>
        <v>45890</v>
      </c>
      <c r="N221" s="318">
        <f t="shared" si="25"/>
        <v>4</v>
      </c>
      <c r="P221" s="37">
        <v>218</v>
      </c>
      <c r="Q221" s="72">
        <f>Q$3*'Yield 1Y'!R220</f>
        <v>0</v>
      </c>
      <c r="R221" s="72">
        <f>R$3*'Yield 1Y'!S220</f>
        <v>0</v>
      </c>
      <c r="S221" s="72">
        <f>S$3*'Yield 1Y'!T220</f>
        <v>0</v>
      </c>
      <c r="T221" s="72">
        <f>T$3*'Yield 1Y'!U220</f>
        <v>0</v>
      </c>
      <c r="U221" s="72">
        <f>U$3*'Yield 1Y'!V220</f>
        <v>0</v>
      </c>
      <c r="V221" s="72">
        <f>V$3*'Yield 1Y'!W220</f>
        <v>-2.5487832491502854E-2</v>
      </c>
      <c r="W221" s="72">
        <f>W$3*'Yield 1Y'!X220</f>
        <v>1.3659752977320014</v>
      </c>
      <c r="X221" s="72">
        <f>X$3*'Yield 1Y'!Y220</f>
        <v>-0.19979773934499578</v>
      </c>
      <c r="Y221" s="72">
        <f>Y$3*'Yield 1Y'!Z220</f>
        <v>0</v>
      </c>
      <c r="Z221" s="72">
        <f>Z$3*'Yield 1Y'!AA220</f>
        <v>0</v>
      </c>
      <c r="AA221" s="177">
        <f t="shared" si="26"/>
        <v>-1.1406897258955029</v>
      </c>
      <c r="AB221" s="124">
        <f>VLOOKUP(P221,'Yield 1Y'!$F:$G,2,0)</f>
        <v>45933</v>
      </c>
      <c r="AC221" s="318">
        <f t="shared" si="30"/>
        <v>245</v>
      </c>
      <c r="AE221" s="37">
        <v>248</v>
      </c>
      <c r="AF221" s="72">
        <f>AF$3*'Yield 1Y'!AB250</f>
        <v>0</v>
      </c>
      <c r="AG221" s="72">
        <f>AG$3*'Yield 1Y'!AC250</f>
        <v>0</v>
      </c>
      <c r="AH221" s="72">
        <f>AH$3*'Yield 1Y'!AD250</f>
        <v>-1.4384334540223582</v>
      </c>
      <c r="AI221" s="72">
        <f>AI$3*'Yield 1Y'!AE250</f>
        <v>-2.3078468868045805</v>
      </c>
      <c r="AJ221" s="72">
        <f>AJ$3*'Yield 1Y'!AF250</f>
        <v>-0.74822507515069381</v>
      </c>
      <c r="AK221" s="72">
        <f>AK$3*'Yield 1Y'!AG250</f>
        <v>-23.265075594833437</v>
      </c>
      <c r="AL221" s="72">
        <f>AL$3*'Yield 1Y'!AH250</f>
        <v>-58.794816098565882</v>
      </c>
      <c r="AM221" s="72">
        <f>AM$3*'Yield 1Y'!AI250</f>
        <v>-35.317560756539798</v>
      </c>
      <c r="AN221" s="72">
        <f>AN$3*'Yield 1Y'!AJ250</f>
        <v>0</v>
      </c>
      <c r="AO221" s="72">
        <f>AO$3*'Yield 1Y'!AK250</f>
        <v>0</v>
      </c>
      <c r="AP221" s="177">
        <f t="shared" si="27"/>
        <v>121.87195786591676</v>
      </c>
      <c r="AQ221" s="124">
        <f>VLOOKUP(AE221,'Yield 1Y'!$F:$G,2,0)</f>
        <v>45889</v>
      </c>
      <c r="AR221" s="318">
        <f t="shared" si="28"/>
        <v>27</v>
      </c>
      <c r="AT221" s="37">
        <v>216</v>
      </c>
      <c r="AU221" s="72">
        <f>AU$3*'Yield 1Y'!AB231</f>
        <v>0</v>
      </c>
      <c r="AV221" s="72">
        <f>AV$3*'Yield 1Y'!AC231</f>
        <v>0</v>
      </c>
      <c r="AW221" s="72">
        <f>AW$3*'Yield 1Y'!AD231</f>
        <v>0</v>
      </c>
      <c r="AX221" s="72">
        <f>AX$3*'Yield 1Y'!AE231</f>
        <v>0</v>
      </c>
      <c r="AY221" s="72">
        <f>AY$3*'Yield 1Y'!AF231</f>
        <v>0</v>
      </c>
      <c r="AZ221" s="72">
        <f>AZ$3*'Yield 1Y'!AG231</f>
        <v>-0.24213440866924599</v>
      </c>
      <c r="BA221" s="72">
        <f>BA$3*'Yield 1Y'!AH231</f>
        <v>-2.3904567710310403</v>
      </c>
      <c r="BB221" s="72">
        <f>BB$3*'Yield 1Y'!AI231</f>
        <v>-0.59939321803500512</v>
      </c>
      <c r="BC221" s="72">
        <f>BC$3*'Yield 1Y'!AJ231</f>
        <v>0</v>
      </c>
      <c r="BD221" s="72">
        <f>BD$3*'Yield 1Y'!AK231</f>
        <v>0</v>
      </c>
      <c r="BE221" s="177">
        <f t="shared" si="29"/>
        <v>3.2319843977352916</v>
      </c>
      <c r="BF221" s="124">
        <f>VLOOKUP(AT221,'Yield 1Y'!$F:$G,2,0)</f>
        <v>45937</v>
      </c>
      <c r="BG221" s="318">
        <f t="shared" si="31"/>
        <v>196</v>
      </c>
    </row>
    <row r="222" spans="1:59" x14ac:dyDescent="0.3">
      <c r="A222" s="114">
        <v>252</v>
      </c>
      <c r="B222" s="72">
        <f>'Yield 1Y'!R254*B$3</f>
        <v>0</v>
      </c>
      <c r="C222" s="72">
        <f>'Yield 1Y'!S254*C$3</f>
        <v>0</v>
      </c>
      <c r="D222" s="72">
        <f>'Yield 1Y'!T254*D$3</f>
        <v>-0.23051818173435537</v>
      </c>
      <c r="E222" s="72">
        <f>'Yield 1Y'!U254*E$3</f>
        <v>-0.98083492689195306</v>
      </c>
      <c r="F222" s="72">
        <f>'Yield 1Y'!V254*F$3</f>
        <v>-0.20576189566644137</v>
      </c>
      <c r="G222" s="72">
        <f>'Yield 1Y'!W254*G$3</f>
        <v>-3.7873378875309744</v>
      </c>
      <c r="H222" s="72">
        <f>'Yield 1Y'!X254*H$3</f>
        <v>-16.975968028459327</v>
      </c>
      <c r="I222" s="72">
        <f>'Yield 1Y'!Y254*I$3</f>
        <v>-15.136097467088465</v>
      </c>
      <c r="J222" s="72">
        <f>'Yield 1Y'!Z254*J$3</f>
        <v>0</v>
      </c>
      <c r="K222" s="72">
        <f>'Yield 1Y'!AA254*K$3</f>
        <v>0</v>
      </c>
      <c r="L222" s="394">
        <f t="shared" si="24"/>
        <v>37.316518387371516</v>
      </c>
      <c r="M222" s="124">
        <f>VLOOKUP(A222,'Yield 1Y'!$F:$G,2,0)</f>
        <v>45883</v>
      </c>
      <c r="N222" s="318">
        <f t="shared" si="25"/>
        <v>7</v>
      </c>
      <c r="P222" s="37">
        <v>219</v>
      </c>
      <c r="Q222" s="72">
        <f>Q$3*'Yield 1Y'!R221</f>
        <v>0</v>
      </c>
      <c r="R222" s="72">
        <f>R$3*'Yield 1Y'!S221</f>
        <v>0</v>
      </c>
      <c r="S222" s="72">
        <f>S$3*'Yield 1Y'!T221</f>
        <v>0</v>
      </c>
      <c r="T222" s="72">
        <f>T$3*'Yield 1Y'!U221</f>
        <v>0</v>
      </c>
      <c r="U222" s="72">
        <f>U$3*'Yield 1Y'!V221</f>
        <v>0</v>
      </c>
      <c r="V222" s="72">
        <f>V$3*'Yield 1Y'!W221</f>
        <v>-0.26762224116074884</v>
      </c>
      <c r="W222" s="72">
        <f>W$3*'Yield 1Y'!X221</f>
        <v>-5.2362386413060307</v>
      </c>
      <c r="X222" s="72">
        <f>X$3*'Yield 1Y'!Y221</f>
        <v>-1.2787055318080014</v>
      </c>
      <c r="Y222" s="72">
        <f>Y$3*'Yield 1Y'!Z221</f>
        <v>0</v>
      </c>
      <c r="Z222" s="72">
        <f>Z$3*'Yield 1Y'!AA221</f>
        <v>0</v>
      </c>
      <c r="AA222" s="177">
        <f t="shared" si="26"/>
        <v>6.7825664142747808</v>
      </c>
      <c r="AB222" s="124">
        <f>VLOOKUP(P222,'Yield 1Y'!$F:$G,2,0)</f>
        <v>45932</v>
      </c>
      <c r="AC222" s="318">
        <f t="shared" si="30"/>
        <v>6</v>
      </c>
      <c r="AE222" s="37">
        <v>176</v>
      </c>
      <c r="AF222" s="72">
        <f>AF$3*'Yield 1Y'!AB178</f>
        <v>0</v>
      </c>
      <c r="AG222" s="72">
        <f>AG$3*'Yield 1Y'!AC178</f>
        <v>0</v>
      </c>
      <c r="AH222" s="72">
        <f>AH$3*'Yield 1Y'!AD178</f>
        <v>-0.30428399988934812</v>
      </c>
      <c r="AI222" s="72">
        <f>AI$3*'Yield 1Y'!AE178</f>
        <v>-0.60580980778621196</v>
      </c>
      <c r="AJ222" s="72">
        <f>AJ$3*'Yield 1Y'!AF178</f>
        <v>-0.1543214217498326</v>
      </c>
      <c r="AK222" s="72">
        <f>AK$3*'Yield 1Y'!AG178</f>
        <v>-6.4925792357674874</v>
      </c>
      <c r="AL222" s="72">
        <f>AL$3*'Yield 1Y'!AH178</f>
        <v>-20.702400034706422</v>
      </c>
      <c r="AM222" s="72">
        <f>AM$3*'Yield 1Y'!AI178</f>
        <v>-10.090731644725743</v>
      </c>
      <c r="AN222" s="72">
        <f>AN$3*'Yield 1Y'!AJ178</f>
        <v>0</v>
      </c>
      <c r="AO222" s="72">
        <f>AO$3*'Yield 1Y'!AK178</f>
        <v>0</v>
      </c>
      <c r="AP222" s="177">
        <f t="shared" si="27"/>
        <v>38.350126144625044</v>
      </c>
      <c r="AQ222" s="124">
        <f>VLOOKUP(AE222,'Yield 1Y'!$F:$G,2,0)</f>
        <v>45993</v>
      </c>
      <c r="AR222" s="318">
        <f t="shared" si="28"/>
        <v>135</v>
      </c>
      <c r="AT222" s="37">
        <v>217</v>
      </c>
      <c r="AU222" s="72">
        <f>AU$3*'Yield 1Y'!AB249</f>
        <v>0</v>
      </c>
      <c r="AV222" s="72">
        <f>AV$3*'Yield 1Y'!AC249</f>
        <v>0</v>
      </c>
      <c r="AW222" s="72">
        <f>AW$3*'Yield 1Y'!AD249</f>
        <v>0</v>
      </c>
      <c r="AX222" s="72">
        <f>AX$3*'Yield 1Y'!AE249</f>
        <v>0</v>
      </c>
      <c r="AY222" s="72">
        <f>AY$3*'Yield 1Y'!AF249</f>
        <v>0</v>
      </c>
      <c r="AZ222" s="72">
        <f>AZ$3*'Yield 1Y'!AG249</f>
        <v>-1.3890868707867499</v>
      </c>
      <c r="BA222" s="72">
        <f>BA$3*'Yield 1Y'!AH249</f>
        <v>-13.318259152887</v>
      </c>
      <c r="BB222" s="72">
        <f>BB$3*'Yield 1Y'!AI249</f>
        <v>-4.0359143347690178</v>
      </c>
      <c r="BC222" s="72">
        <f>BC$3*'Yield 1Y'!AJ249</f>
        <v>0</v>
      </c>
      <c r="BD222" s="72">
        <f>BD$3*'Yield 1Y'!AK249</f>
        <v>0</v>
      </c>
      <c r="BE222" s="177">
        <f t="shared" si="29"/>
        <v>18.743260358442768</v>
      </c>
      <c r="BF222" s="124">
        <f>VLOOKUP(AT222,'Yield 1Y'!$F:$G,2,0)</f>
        <v>45936</v>
      </c>
      <c r="BG222" s="318">
        <f t="shared" si="31"/>
        <v>33</v>
      </c>
    </row>
    <row r="223" spans="1:59" x14ac:dyDescent="0.3">
      <c r="A223" s="37">
        <v>224</v>
      </c>
      <c r="B223" s="72">
        <f>'Yield 1Y'!R226*B$3</f>
        <v>0</v>
      </c>
      <c r="C223" s="72">
        <f>'Yield 1Y'!S226*C$3</f>
        <v>0</v>
      </c>
      <c r="D223" s="72">
        <f>'Yield 1Y'!T226*D$3</f>
        <v>-8.2986545424365801E-2</v>
      </c>
      <c r="E223" s="72">
        <f>'Yield 1Y'!U226*E$3</f>
        <v>-8.6544258255174963E-2</v>
      </c>
      <c r="F223" s="72">
        <f>'Yield 1Y'!V226*F$3</f>
        <v>1.4029220159076067E-2</v>
      </c>
      <c r="G223" s="72">
        <f>'Yield 1Y'!W226*G$3</f>
        <v>-1.6231448089418119</v>
      </c>
      <c r="H223" s="72">
        <f>'Yield 1Y'!X226*H$3</f>
        <v>-15.31977602568282</v>
      </c>
      <c r="I223" s="72">
        <f>'Yield 1Y'!Y226*I$3</f>
        <v>-10.427089366216412</v>
      </c>
      <c r="J223" s="72">
        <f>'Yield 1Y'!Z226*J$3</f>
        <v>0</v>
      </c>
      <c r="K223" s="72">
        <f>'Yield 1Y'!AA226*K$3</f>
        <v>0</v>
      </c>
      <c r="L223" s="177">
        <f t="shared" si="24"/>
        <v>27.525511784361512</v>
      </c>
      <c r="M223" s="124">
        <f>VLOOKUP(A223,'Yield 1Y'!$F:$G,2,0)</f>
        <v>45925</v>
      </c>
      <c r="N223" s="318">
        <f t="shared" si="25"/>
        <v>13</v>
      </c>
      <c r="P223" s="37">
        <v>220</v>
      </c>
      <c r="Q223" s="72">
        <f>Q$3*'Yield 1Y'!R222</f>
        <v>0</v>
      </c>
      <c r="R223" s="72">
        <f>R$3*'Yield 1Y'!S222</f>
        <v>0</v>
      </c>
      <c r="S223" s="72">
        <f>S$3*'Yield 1Y'!T222</f>
        <v>0</v>
      </c>
      <c r="T223" s="72">
        <f>T$3*'Yield 1Y'!U222</f>
        <v>0</v>
      </c>
      <c r="U223" s="72">
        <f>U$3*'Yield 1Y'!V222</f>
        <v>0</v>
      </c>
      <c r="V223" s="72">
        <f>V$3*'Yield 1Y'!W222</f>
        <v>-6.3719581228748642E-2</v>
      </c>
      <c r="W223" s="72">
        <f>W$3*'Yield 1Y'!X222</f>
        <v>-0.34149382443296245</v>
      </c>
      <c r="X223" s="72">
        <f>X$3*'Yield 1Y'!Y222</f>
        <v>-0.19979773934499578</v>
      </c>
      <c r="Y223" s="72">
        <f>Y$3*'Yield 1Y'!Z222</f>
        <v>0</v>
      </c>
      <c r="Z223" s="72">
        <f>Z$3*'Yield 1Y'!AA222</f>
        <v>0</v>
      </c>
      <c r="AA223" s="177">
        <f t="shared" si="26"/>
        <v>0.60501114500670683</v>
      </c>
      <c r="AB223" s="124">
        <f>VLOOKUP(P223,'Yield 1Y'!$F:$G,2,0)</f>
        <v>45931</v>
      </c>
      <c r="AC223" s="318">
        <f t="shared" si="30"/>
        <v>84</v>
      </c>
      <c r="AE223" s="37">
        <v>85</v>
      </c>
      <c r="AF223" s="72">
        <f>AF$3*'Yield 1Y'!AB87</f>
        <v>0</v>
      </c>
      <c r="AG223" s="72">
        <f>AG$3*'Yield 1Y'!AC87</f>
        <v>0</v>
      </c>
      <c r="AH223" s="72">
        <f>AH$3*'Yield 1Y'!AD87</f>
        <v>-0.11986945450186216</v>
      </c>
      <c r="AI223" s="72">
        <f>AI$3*'Yield 1Y'!AE87</f>
        <v>-0.17308851651034993</v>
      </c>
      <c r="AJ223" s="72">
        <f>AJ$3*'Yield 1Y'!AF87</f>
        <v>-6.0793287355995602E-2</v>
      </c>
      <c r="AK223" s="72">
        <f>AK$3*'Yield 1Y'!AG87</f>
        <v>0.81157240447072576</v>
      </c>
      <c r="AL223" s="72">
        <f>AL$3*'Yield 1Y'!AH87</f>
        <v>-3.3123840055530125</v>
      </c>
      <c r="AM223" s="72">
        <f>AM$3*'Yield 1Y'!AI87</f>
        <v>-2.3545040504360264</v>
      </c>
      <c r="AN223" s="72">
        <f>AN$3*'Yield 1Y'!AJ87</f>
        <v>0</v>
      </c>
      <c r="AO223" s="72">
        <f>AO$3*'Yield 1Y'!AK87</f>
        <v>0</v>
      </c>
      <c r="AP223" s="177">
        <f t="shared" si="27"/>
        <v>5.2090669098865208</v>
      </c>
      <c r="AQ223" s="124">
        <f>VLOOKUP(AE223,'Yield 1Y'!$F:$G,2,0)</f>
        <v>46129</v>
      </c>
      <c r="AR223" s="318">
        <f t="shared" si="28"/>
        <v>237</v>
      </c>
      <c r="AT223" s="37">
        <v>218</v>
      </c>
      <c r="AU223" s="72">
        <f>AU$3*'Yield 1Y'!AB21</f>
        <v>0</v>
      </c>
      <c r="AV223" s="72">
        <f>AV$3*'Yield 1Y'!AC21</f>
        <v>0</v>
      </c>
      <c r="AW223" s="72">
        <f>AW$3*'Yield 1Y'!AD21</f>
        <v>0</v>
      </c>
      <c r="AX223" s="72">
        <f>AX$3*'Yield 1Y'!AE21</f>
        <v>0</v>
      </c>
      <c r="AY223" s="72">
        <f>AY$3*'Yield 1Y'!AF21</f>
        <v>0</v>
      </c>
      <c r="AZ223" s="72">
        <f>AZ$3*'Yield 1Y'!AG21</f>
        <v>-0.36957357112674893</v>
      </c>
      <c r="BA223" s="72">
        <f>BA$3*'Yield 1Y'!AH21</f>
        <v>-6.1468888397939807</v>
      </c>
      <c r="BB223" s="72">
        <f>BB$3*'Yield 1Y'!AI21</f>
        <v>-1.1987864360700102</v>
      </c>
      <c r="BC223" s="72">
        <f>BC$3*'Yield 1Y'!AJ21</f>
        <v>0</v>
      </c>
      <c r="BD223" s="72">
        <f>BD$3*'Yield 1Y'!AK21</f>
        <v>0</v>
      </c>
      <c r="BE223" s="177">
        <f t="shared" si="29"/>
        <v>7.7152488469907397</v>
      </c>
      <c r="BF223" s="124">
        <f>VLOOKUP(AT223,'Yield 1Y'!$F:$G,2,0)</f>
        <v>45933</v>
      </c>
      <c r="BG223" s="318">
        <f t="shared" si="31"/>
        <v>94</v>
      </c>
    </row>
    <row r="224" spans="1:59" x14ac:dyDescent="0.3">
      <c r="A224" s="37">
        <v>60</v>
      </c>
      <c r="B224" s="72">
        <f>'Yield 1Y'!R62*B$3</f>
        <v>0</v>
      </c>
      <c r="C224" s="72">
        <f>'Yield 1Y'!S62*C$3</f>
        <v>0</v>
      </c>
      <c r="D224" s="72">
        <f>'Yield 1Y'!T62*D$3</f>
        <v>0</v>
      </c>
      <c r="E224" s="72">
        <f>'Yield 1Y'!U62*E$3</f>
        <v>-5.7696172170108105E-2</v>
      </c>
      <c r="F224" s="72">
        <f>'Yield 1Y'!V62*F$3</f>
        <v>-1.8705626878769473E-2</v>
      </c>
      <c r="G224" s="72">
        <f>'Yield 1Y'!W62*G$3</f>
        <v>-0.81157240447096601</v>
      </c>
      <c r="H224" s="72">
        <f>'Yield 1Y'!X62*H$3</f>
        <v>-0.8280960013881612</v>
      </c>
      <c r="I224" s="72">
        <f>'Yield 1Y'!Y62*I$3</f>
        <v>0</v>
      </c>
      <c r="J224" s="72">
        <f>'Yield 1Y'!Z62*J$3</f>
        <v>0</v>
      </c>
      <c r="K224" s="72">
        <f>'Yield 1Y'!AA62*K$3</f>
        <v>0</v>
      </c>
      <c r="L224" s="177">
        <f t="shared" si="24"/>
        <v>1.7160702049080048</v>
      </c>
      <c r="M224" s="124">
        <f>VLOOKUP(A224,'Yield 1Y'!$F:$G,2,0)</f>
        <v>46169</v>
      </c>
      <c r="N224" s="318">
        <f t="shared" si="25"/>
        <v>126</v>
      </c>
      <c r="P224" s="37">
        <v>221</v>
      </c>
      <c r="Q224" s="72">
        <f>Q$3*'Yield 1Y'!R223</f>
        <v>0</v>
      </c>
      <c r="R224" s="72">
        <f>R$3*'Yield 1Y'!S223</f>
        <v>0</v>
      </c>
      <c r="S224" s="72">
        <f>S$3*'Yield 1Y'!T223</f>
        <v>0</v>
      </c>
      <c r="T224" s="72">
        <f>T$3*'Yield 1Y'!U223</f>
        <v>0</v>
      </c>
      <c r="U224" s="72">
        <f>U$3*'Yield 1Y'!V223</f>
        <v>0</v>
      </c>
      <c r="V224" s="72">
        <f>V$3*'Yield 1Y'!W223</f>
        <v>0</v>
      </c>
      <c r="W224" s="72">
        <f>W$3*'Yield 1Y'!X223</f>
        <v>0</v>
      </c>
      <c r="X224" s="72">
        <f>X$3*'Yield 1Y'!Y223</f>
        <v>-0.19979773934501352</v>
      </c>
      <c r="Y224" s="72">
        <f>Y$3*'Yield 1Y'!Z223</f>
        <v>0</v>
      </c>
      <c r="Z224" s="72">
        <f>Z$3*'Yield 1Y'!AA223</f>
        <v>0</v>
      </c>
      <c r="AA224" s="177">
        <f t="shared" si="26"/>
        <v>0.19979773934501352</v>
      </c>
      <c r="AB224" s="124">
        <f>VLOOKUP(P224,'Yield 1Y'!$F:$G,2,0)</f>
        <v>45930</v>
      </c>
      <c r="AC224" s="318">
        <f t="shared" si="30"/>
        <v>144</v>
      </c>
      <c r="AE224" s="37">
        <v>249</v>
      </c>
      <c r="AF224" s="72">
        <f>AF$3*'Yield 1Y'!AB251</f>
        <v>0</v>
      </c>
      <c r="AG224" s="72">
        <f>AG$3*'Yield 1Y'!AC251</f>
        <v>0</v>
      </c>
      <c r="AH224" s="72">
        <f>AH$3*'Yield 1Y'!AD251</f>
        <v>-1.3646676358673655</v>
      </c>
      <c r="AI224" s="72">
        <f>AI$3*'Yield 1Y'!AE251</f>
        <v>-2.4809354033149305</v>
      </c>
      <c r="AJ224" s="72">
        <f>AJ$3*'Yield 1Y'!AF251</f>
        <v>-0.71081382139315907</v>
      </c>
      <c r="AK224" s="72">
        <f>AK$3*'Yield 1Y'!AG251</f>
        <v>-20.830358381420659</v>
      </c>
      <c r="AL224" s="72">
        <f>AL$3*'Yield 1Y'!AH251</f>
        <v>-56.724576095095294</v>
      </c>
      <c r="AM224" s="72">
        <f>AM$3*'Yield 1Y'!AI251</f>
        <v>-33.299414427594741</v>
      </c>
      <c r="AN224" s="72">
        <f>AN$3*'Yield 1Y'!AJ251</f>
        <v>0</v>
      </c>
      <c r="AO224" s="72">
        <f>AO$3*'Yield 1Y'!AK251</f>
        <v>0</v>
      </c>
      <c r="AP224" s="177">
        <f t="shared" si="27"/>
        <v>115.41076576468615</v>
      </c>
      <c r="AQ224" s="124">
        <f>VLOOKUP(AE224,'Yield 1Y'!$F:$G,2,0)</f>
        <v>45888</v>
      </c>
      <c r="AR224" s="318">
        <f t="shared" si="28"/>
        <v>32</v>
      </c>
      <c r="AT224" s="37">
        <v>219</v>
      </c>
      <c r="AU224" s="72">
        <f>AU$3*'Yield 1Y'!AB12</f>
        <v>0</v>
      </c>
      <c r="AV224" s="72">
        <f>AV$3*'Yield 1Y'!AC12</f>
        <v>0</v>
      </c>
      <c r="AW224" s="72">
        <f>AW$3*'Yield 1Y'!AD12</f>
        <v>0</v>
      </c>
      <c r="AX224" s="72">
        <f>AX$3*'Yield 1Y'!AE12</f>
        <v>0</v>
      </c>
      <c r="AY224" s="72">
        <f>AY$3*'Yield 1Y'!AF12</f>
        <v>0</v>
      </c>
      <c r="AZ224" s="72">
        <f>AZ$3*'Yield 1Y'!AG12</f>
        <v>0</v>
      </c>
      <c r="BA224" s="72">
        <f>BA$3*'Yield 1Y'!AH12</f>
        <v>-6.6022139390379815</v>
      </c>
      <c r="BB224" s="72">
        <f>BB$3*'Yield 1Y'!AI12</f>
        <v>-1.2387459839390058</v>
      </c>
      <c r="BC224" s="72">
        <f>BC$3*'Yield 1Y'!AJ12</f>
        <v>0</v>
      </c>
      <c r="BD224" s="72">
        <f>BD$3*'Yield 1Y'!AK12</f>
        <v>0</v>
      </c>
      <c r="BE224" s="177">
        <f t="shared" si="29"/>
        <v>7.8409599229769871</v>
      </c>
      <c r="BF224" s="124">
        <f>VLOOKUP(AT224,'Yield 1Y'!$F:$G,2,0)</f>
        <v>45932</v>
      </c>
      <c r="BG224" s="318">
        <f t="shared" si="31"/>
        <v>92</v>
      </c>
    </row>
    <row r="225" spans="1:59" x14ac:dyDescent="0.3">
      <c r="A225" s="37">
        <v>103</v>
      </c>
      <c r="B225" s="72">
        <f>'Yield 1Y'!R105*B$3</f>
        <v>0</v>
      </c>
      <c r="C225" s="72">
        <f>'Yield 1Y'!S105*C$3</f>
        <v>0</v>
      </c>
      <c r="D225" s="72">
        <f>'Yield 1Y'!T105*D$3</f>
        <v>-0.14753163630998137</v>
      </c>
      <c r="E225" s="72">
        <f>'Yield 1Y'!U105*E$3</f>
        <v>-0.31732894693562019</v>
      </c>
      <c r="F225" s="72">
        <f>'Yield 1Y'!V105*F$3</f>
        <v>-3.7411253757534797E-2</v>
      </c>
      <c r="G225" s="72">
        <f>'Yield 1Y'!W105*G$3</f>
        <v>-0.81157240447072576</v>
      </c>
      <c r="H225" s="72">
        <f>'Yield 1Y'!X105*H$3</f>
        <v>-3.3123840055530125</v>
      </c>
      <c r="I225" s="72">
        <f>'Yield 1Y'!Y105*I$3</f>
        <v>0</v>
      </c>
      <c r="J225" s="72">
        <f>'Yield 1Y'!Z105*J$3</f>
        <v>0</v>
      </c>
      <c r="K225" s="72">
        <f>'Yield 1Y'!AA105*K$3</f>
        <v>0</v>
      </c>
      <c r="L225" s="177">
        <f t="shared" si="24"/>
        <v>4.6262282470268747</v>
      </c>
      <c r="M225" s="124">
        <f>VLOOKUP(A225,'Yield 1Y'!$F:$G,2,0)</f>
        <v>46105</v>
      </c>
      <c r="N225" s="318">
        <f t="shared" si="25"/>
        <v>67</v>
      </c>
      <c r="P225" s="37">
        <v>222</v>
      </c>
      <c r="Q225" s="72">
        <f>Q$3*'Yield 1Y'!R224</f>
        <v>0</v>
      </c>
      <c r="R225" s="72">
        <f>R$3*'Yield 1Y'!S224</f>
        <v>0</v>
      </c>
      <c r="S225" s="72">
        <f>S$3*'Yield 1Y'!T224</f>
        <v>0</v>
      </c>
      <c r="T225" s="72">
        <f>T$3*'Yield 1Y'!U224</f>
        <v>0</v>
      </c>
      <c r="U225" s="72">
        <f>U$3*'Yield 1Y'!V224</f>
        <v>0</v>
      </c>
      <c r="V225" s="72">
        <f>V$3*'Yield 1Y'!W224</f>
        <v>0</v>
      </c>
      <c r="W225" s="72">
        <f>W$3*'Yield 1Y'!X224</f>
        <v>-0.11383127481103802</v>
      </c>
      <c r="X225" s="72">
        <f>X$3*'Yield 1Y'!Y224</f>
        <v>-7.9919095737991205E-2</v>
      </c>
      <c r="Y225" s="72">
        <f>Y$3*'Yield 1Y'!Z224</f>
        <v>0</v>
      </c>
      <c r="Z225" s="72">
        <f>Z$3*'Yield 1Y'!AA224</f>
        <v>0</v>
      </c>
      <c r="AA225" s="177">
        <f t="shared" si="26"/>
        <v>0.19375037054902922</v>
      </c>
      <c r="AB225" s="124">
        <f>VLOOKUP(P225,'Yield 1Y'!$F:$G,2,0)</f>
        <v>45929</v>
      </c>
      <c r="AC225" s="318">
        <f t="shared" si="30"/>
        <v>149</v>
      </c>
      <c r="AE225" s="37">
        <v>175</v>
      </c>
      <c r="AF225" s="72">
        <f>AF$3*'Yield 1Y'!AB177</f>
        <v>0</v>
      </c>
      <c r="AG225" s="72">
        <f>AG$3*'Yield 1Y'!AC177</f>
        <v>0</v>
      </c>
      <c r="AH225" s="72">
        <f>AH$3*'Yield 1Y'!AD177</f>
        <v>-0.34116690896684038</v>
      </c>
      <c r="AI225" s="72">
        <f>AI$3*'Yield 1Y'!AE177</f>
        <v>-0.95198684080688623</v>
      </c>
      <c r="AJ225" s="72">
        <f>AJ$3*'Yield 1Y'!AF177</f>
        <v>-0.17770345534829132</v>
      </c>
      <c r="AK225" s="72">
        <f>AK$3*'Yield 1Y'!AG177</f>
        <v>-10.009392988474847</v>
      </c>
      <c r="AL225" s="72">
        <f>AL$3*'Yield 1Y'!AH177</f>
        <v>-22.772640038177006</v>
      </c>
      <c r="AM225" s="72">
        <f>AM$3*'Yield 1Y'!AI177</f>
        <v>-10.763447087707378</v>
      </c>
      <c r="AN225" s="72">
        <f>AN$3*'Yield 1Y'!AJ177</f>
        <v>0</v>
      </c>
      <c r="AO225" s="72">
        <f>AO$3*'Yield 1Y'!AK177</f>
        <v>0</v>
      </c>
      <c r="AP225" s="177">
        <f t="shared" si="27"/>
        <v>45.016337319481245</v>
      </c>
      <c r="AQ225" s="124">
        <f>VLOOKUP(AE225,'Yield 1Y'!$F:$G,2,0)</f>
        <v>45994</v>
      </c>
      <c r="AR225" s="318">
        <f t="shared" si="28"/>
        <v>101</v>
      </c>
      <c r="AT225" s="37">
        <v>221</v>
      </c>
      <c r="AU225" s="72">
        <f>AU$3*'Yield 1Y'!AB33</f>
        <v>0</v>
      </c>
      <c r="AV225" s="72">
        <f>AV$3*'Yield 1Y'!AC33</f>
        <v>0</v>
      </c>
      <c r="AW225" s="72">
        <f>AW$3*'Yield 1Y'!AD33</f>
        <v>0</v>
      </c>
      <c r="AX225" s="72">
        <f>AX$3*'Yield 1Y'!AE33</f>
        <v>0</v>
      </c>
      <c r="AY225" s="72">
        <f>AY$3*'Yield 1Y'!AF33</f>
        <v>0</v>
      </c>
      <c r="AZ225" s="72">
        <f>AZ$3*'Yield 1Y'!AG33</f>
        <v>-0.26762224116074884</v>
      </c>
      <c r="BA225" s="72">
        <f>BA$3*'Yield 1Y'!AH33</f>
        <v>-1.9351316717870399</v>
      </c>
      <c r="BB225" s="72">
        <f>BB$3*'Yield 1Y'!AI33</f>
        <v>-0.55943367016599166</v>
      </c>
      <c r="BC225" s="72">
        <f>BC$3*'Yield 1Y'!AJ33</f>
        <v>0</v>
      </c>
      <c r="BD225" s="72">
        <f>BD$3*'Yield 1Y'!AK33</f>
        <v>0</v>
      </c>
      <c r="BE225" s="177">
        <f t="shared" si="29"/>
        <v>2.7621875831137803</v>
      </c>
      <c r="BF225" s="124">
        <f>VLOOKUP(AT225,'Yield 1Y'!$F:$G,2,0)</f>
        <v>45930</v>
      </c>
      <c r="BG225" s="318">
        <f t="shared" si="31"/>
        <v>204</v>
      </c>
    </row>
    <row r="226" spans="1:59" x14ac:dyDescent="0.3">
      <c r="A226" s="37">
        <v>239</v>
      </c>
      <c r="B226" s="72">
        <f>'Yield 1Y'!R241*B$3</f>
        <v>0</v>
      </c>
      <c r="C226" s="72">
        <f>'Yield 1Y'!S241*C$3</f>
        <v>0</v>
      </c>
      <c r="D226" s="72">
        <f>'Yield 1Y'!T241*D$3</f>
        <v>-0.15675236357935854</v>
      </c>
      <c r="E226" s="72">
        <f>'Yield 1Y'!U241*E$3</f>
        <v>-0.25963277476551211</v>
      </c>
      <c r="F226" s="72">
        <f>'Yield 1Y'!V241*F$3</f>
        <v>0</v>
      </c>
      <c r="G226" s="72">
        <f>'Yield 1Y'!W241*G$3</f>
        <v>2.1641930785891628</v>
      </c>
      <c r="H226" s="72">
        <f>'Yield 1Y'!X241*H$3</f>
        <v>-0.8280960013881612</v>
      </c>
      <c r="I226" s="72">
        <f>'Yield 1Y'!Y241*I$3</f>
        <v>-1.6817886074542407</v>
      </c>
      <c r="J226" s="72">
        <f>'Yield 1Y'!Z241*J$3</f>
        <v>0</v>
      </c>
      <c r="K226" s="72">
        <f>'Yield 1Y'!AA241*K$3</f>
        <v>0</v>
      </c>
      <c r="L226" s="177">
        <f t="shared" si="24"/>
        <v>0.76207666859810985</v>
      </c>
      <c r="M226" s="124">
        <f>VLOOKUP(A226,'Yield 1Y'!$F:$G,2,0)</f>
        <v>45904</v>
      </c>
      <c r="N226" s="318">
        <f t="shared" si="25"/>
        <v>163</v>
      </c>
      <c r="P226" s="37">
        <v>223</v>
      </c>
      <c r="Q226" s="72">
        <f>Q$3*'Yield 1Y'!R225</f>
        <v>0</v>
      </c>
      <c r="R226" s="72">
        <f>R$3*'Yield 1Y'!S225</f>
        <v>0</v>
      </c>
      <c r="S226" s="72">
        <f>S$3*'Yield 1Y'!T225</f>
        <v>0</v>
      </c>
      <c r="T226" s="72">
        <f>T$3*'Yield 1Y'!U225</f>
        <v>0</v>
      </c>
      <c r="U226" s="72">
        <f>U$3*'Yield 1Y'!V225</f>
        <v>0</v>
      </c>
      <c r="V226" s="72">
        <f>V$3*'Yield 1Y'!W225</f>
        <v>1.2743916245748598E-2</v>
      </c>
      <c r="W226" s="72">
        <f>W$3*'Yield 1Y'!X225</f>
        <v>-0.79681892367696294</v>
      </c>
      <c r="X226" s="72">
        <f>X$3*'Yield 1Y'!Y225</f>
        <v>-0.23975728721400913</v>
      </c>
      <c r="Y226" s="72">
        <f>Y$3*'Yield 1Y'!Z225</f>
        <v>0</v>
      </c>
      <c r="Z226" s="72">
        <f>Z$3*'Yield 1Y'!AA225</f>
        <v>0</v>
      </c>
      <c r="AA226" s="177">
        <f t="shared" si="26"/>
        <v>1.0238322946452234</v>
      </c>
      <c r="AB226" s="124">
        <f>VLOOKUP(P226,'Yield 1Y'!$F:$G,2,0)</f>
        <v>45926</v>
      </c>
      <c r="AC226" s="318">
        <f t="shared" si="30"/>
        <v>53</v>
      </c>
      <c r="AE226" s="37">
        <v>65</v>
      </c>
      <c r="AF226" s="72">
        <f>AF$3*'Yield 1Y'!AB67</f>
        <v>0</v>
      </c>
      <c r="AG226" s="72">
        <f>AG$3*'Yield 1Y'!AC67</f>
        <v>0</v>
      </c>
      <c r="AH226" s="72">
        <f>AH$3*'Yield 1Y'!AD67</f>
        <v>-1.8441454538750231E-2</v>
      </c>
      <c r="AI226" s="72">
        <f>AI$3*'Yield 1Y'!AE67</f>
        <v>-0.77889832429654904</v>
      </c>
      <c r="AJ226" s="72">
        <f>AJ$3*'Yield 1Y'!AF67</f>
        <v>-9.3528134393847367E-3</v>
      </c>
      <c r="AK226" s="72">
        <f>AK$3*'Yield 1Y'!AG67</f>
        <v>-7.3041516402382136</v>
      </c>
      <c r="AL226" s="72">
        <f>AL$3*'Yield 1Y'!AH67</f>
        <v>0</v>
      </c>
      <c r="AM226" s="72">
        <f>AM$3*'Yield 1Y'!AI67</f>
        <v>-0.33635772149081827</v>
      </c>
      <c r="AN226" s="72">
        <f>AN$3*'Yield 1Y'!AJ67</f>
        <v>0</v>
      </c>
      <c r="AO226" s="72">
        <f>AO$3*'Yield 1Y'!AK67</f>
        <v>0</v>
      </c>
      <c r="AP226" s="177">
        <f t="shared" si="27"/>
        <v>8.4472019540037167</v>
      </c>
      <c r="AQ226" s="124">
        <f>VLOOKUP(AE226,'Yield 1Y'!$F:$G,2,0)</f>
        <v>46162</v>
      </c>
      <c r="AR226" s="318">
        <f t="shared" si="28"/>
        <v>230</v>
      </c>
      <c r="AT226" s="37">
        <v>222</v>
      </c>
      <c r="AU226" s="72">
        <f>AU$3*'Yield 1Y'!AB10</f>
        <v>0</v>
      </c>
      <c r="AV226" s="72">
        <f>AV$3*'Yield 1Y'!AC10</f>
        <v>0</v>
      </c>
      <c r="AW226" s="72">
        <f>AW$3*'Yield 1Y'!AD10</f>
        <v>0</v>
      </c>
      <c r="AX226" s="72">
        <f>AX$3*'Yield 1Y'!AE10</f>
        <v>0</v>
      </c>
      <c r="AY226" s="72">
        <f>AY$3*'Yield 1Y'!AF10</f>
        <v>0</v>
      </c>
      <c r="AZ226" s="72">
        <f>AZ$3*'Yield 1Y'!AG10</f>
        <v>-0.11469524621174303</v>
      </c>
      <c r="BA226" s="72">
        <f>BA$3*'Yield 1Y'!AH10</f>
        <v>-7.6266954123370203</v>
      </c>
      <c r="BB226" s="72">
        <f>BB$3*'Yield 1Y'!AI10</f>
        <v>-1.5983819147600016</v>
      </c>
      <c r="BC226" s="72">
        <f>BC$3*'Yield 1Y'!AJ10</f>
        <v>0</v>
      </c>
      <c r="BD226" s="72">
        <f>BD$3*'Yield 1Y'!AK10</f>
        <v>0</v>
      </c>
      <c r="BE226" s="177">
        <f t="shared" si="29"/>
        <v>9.339772573308764</v>
      </c>
      <c r="BF226" s="124">
        <f>VLOOKUP(AT226,'Yield 1Y'!$F:$G,2,0)</f>
        <v>45929</v>
      </c>
      <c r="BG226" s="318">
        <f t="shared" si="31"/>
        <v>67</v>
      </c>
    </row>
    <row r="227" spans="1:59" x14ac:dyDescent="0.3">
      <c r="A227" s="37">
        <v>82</v>
      </c>
      <c r="B227" s="72">
        <f>'Yield 1Y'!R84*B$3</f>
        <v>0</v>
      </c>
      <c r="C227" s="72">
        <f>'Yield 1Y'!S84*C$3</f>
        <v>0</v>
      </c>
      <c r="D227" s="72">
        <f>'Yield 1Y'!T84*D$3</f>
        <v>-0.38727054531371391</v>
      </c>
      <c r="E227" s="72">
        <f>'Yield 1Y'!U84*E$3</f>
        <v>-0.51926554953103699</v>
      </c>
      <c r="F227" s="72">
        <f>'Yield 1Y'!V84*F$3</f>
        <v>2.3382033598458727E-2</v>
      </c>
      <c r="G227" s="72">
        <f>'Yield 1Y'!W84*G$3</f>
        <v>0</v>
      </c>
      <c r="H227" s="72">
        <f>'Yield 1Y'!X84*H$3</f>
        <v>2.070240003470587</v>
      </c>
      <c r="I227" s="72">
        <f>'Yield 1Y'!Y84*I$3</f>
        <v>0</v>
      </c>
      <c r="J227" s="72">
        <f>'Yield 1Y'!Z84*J$3</f>
        <v>0</v>
      </c>
      <c r="K227" s="72">
        <f>'Yield 1Y'!AA84*K$3</f>
        <v>0</v>
      </c>
      <c r="L227" s="177">
        <f t="shared" si="24"/>
        <v>-1.1870859422242948</v>
      </c>
      <c r="M227" s="124">
        <f>VLOOKUP(A227,'Yield 1Y'!$F:$G,2,0)</f>
        <v>46134</v>
      </c>
      <c r="N227" s="318">
        <f t="shared" si="25"/>
        <v>217</v>
      </c>
      <c r="P227" s="37">
        <v>224</v>
      </c>
      <c r="Q227" s="72">
        <f>Q$3*'Yield 1Y'!R226</f>
        <v>0</v>
      </c>
      <c r="R227" s="72">
        <f>R$3*'Yield 1Y'!S226</f>
        <v>0</v>
      </c>
      <c r="S227" s="72">
        <f>S$3*'Yield 1Y'!T226</f>
        <v>0</v>
      </c>
      <c r="T227" s="72">
        <f>T$3*'Yield 1Y'!U226</f>
        <v>0</v>
      </c>
      <c r="U227" s="72">
        <f>U$3*'Yield 1Y'!V226</f>
        <v>0</v>
      </c>
      <c r="V227" s="72">
        <f>V$3*'Yield 1Y'!W226</f>
        <v>-7.6463497474497238E-2</v>
      </c>
      <c r="W227" s="72">
        <f>W$3*'Yield 1Y'!X226</f>
        <v>-4.2117571680070425</v>
      </c>
      <c r="X227" s="72">
        <f>X$3*'Yield 1Y'!Y226</f>
        <v>-1.238745983938988</v>
      </c>
      <c r="Y227" s="72">
        <f>Y$3*'Yield 1Y'!Z226</f>
        <v>0</v>
      </c>
      <c r="Z227" s="72">
        <f>Z$3*'Yield 1Y'!AA226</f>
        <v>0</v>
      </c>
      <c r="AA227" s="177">
        <f t="shared" si="26"/>
        <v>5.5269666494205278</v>
      </c>
      <c r="AB227" s="124">
        <f>VLOOKUP(P227,'Yield 1Y'!$F:$G,2,0)</f>
        <v>45925</v>
      </c>
      <c r="AC227" s="318">
        <f t="shared" si="30"/>
        <v>9</v>
      </c>
      <c r="AE227" s="37">
        <v>237</v>
      </c>
      <c r="AF227" s="72">
        <f>AF$3*'Yield 1Y'!AB239</f>
        <v>0</v>
      </c>
      <c r="AG227" s="72">
        <f>AG$3*'Yield 1Y'!AC239</f>
        <v>0</v>
      </c>
      <c r="AH227" s="72">
        <f>AH$3*'Yield 1Y'!AD239</f>
        <v>-1.0142799996311522</v>
      </c>
      <c r="AI227" s="72">
        <f>AI$3*'Yield 1Y'!AE239</f>
        <v>-1.3847081320827481</v>
      </c>
      <c r="AJ227" s="72">
        <f>AJ$3*'Yield 1Y'!AF239</f>
        <v>-0.50037551900702637</v>
      </c>
      <c r="AK227" s="72">
        <f>AK$3*'Yield 1Y'!AG239</f>
        <v>-16.23144808941872</v>
      </c>
      <c r="AL227" s="72">
        <f>AL$3*'Yield 1Y'!AH239</f>
        <v>-45.545280076353833</v>
      </c>
      <c r="AM227" s="72">
        <f>AM$3*'Yield 1Y'!AI239</f>
        <v>-44.399219236792788</v>
      </c>
      <c r="AN227" s="72">
        <f>AN$3*'Yield 1Y'!AJ239</f>
        <v>0</v>
      </c>
      <c r="AO227" s="72">
        <f>AO$3*'Yield 1Y'!AK239</f>
        <v>0</v>
      </c>
      <c r="AP227" s="177">
        <f t="shared" si="27"/>
        <v>109.07531105328627</v>
      </c>
      <c r="AQ227" s="124">
        <f>VLOOKUP(AE227,'Yield 1Y'!$F:$G,2,0)</f>
        <v>45908</v>
      </c>
      <c r="AR227" s="318">
        <f t="shared" si="28"/>
        <v>35</v>
      </c>
      <c r="AT227" s="37">
        <v>223</v>
      </c>
      <c r="AU227" s="72">
        <f>AU$3*'Yield 1Y'!AB47</f>
        <v>0</v>
      </c>
      <c r="AV227" s="72">
        <f>AV$3*'Yield 1Y'!AC47</f>
        <v>0</v>
      </c>
      <c r="AW227" s="72">
        <f>AW$3*'Yield 1Y'!AD47</f>
        <v>0</v>
      </c>
      <c r="AX227" s="72">
        <f>AX$3*'Yield 1Y'!AE47</f>
        <v>0</v>
      </c>
      <c r="AY227" s="72">
        <f>AY$3*'Yield 1Y'!AF47</f>
        <v>0</v>
      </c>
      <c r="AZ227" s="72">
        <f>AZ$3*'Yield 1Y'!AG47</f>
        <v>-0.47152490109274903</v>
      </c>
      <c r="BA227" s="72">
        <f>BA$3*'Yield 1Y'!AH47</f>
        <v>-4.0979258931960043</v>
      </c>
      <c r="BB227" s="72">
        <f>BB$3*'Yield 1Y'!AI47</f>
        <v>-1.2787055318080014</v>
      </c>
      <c r="BC227" s="72">
        <f>BC$3*'Yield 1Y'!AJ47</f>
        <v>0</v>
      </c>
      <c r="BD227" s="72">
        <f>BD$3*'Yield 1Y'!AK47</f>
        <v>0</v>
      </c>
      <c r="BE227" s="177">
        <f t="shared" si="29"/>
        <v>5.8481563260967553</v>
      </c>
      <c r="BF227" s="124">
        <f>VLOOKUP(AT227,'Yield 1Y'!$F:$G,2,0)</f>
        <v>45926</v>
      </c>
      <c r="BG227" s="318">
        <f t="shared" si="31"/>
        <v>136</v>
      </c>
    </row>
    <row r="228" spans="1:59" x14ac:dyDescent="0.3">
      <c r="A228" s="37">
        <v>80</v>
      </c>
      <c r="B228" s="72">
        <f>'Yield 1Y'!R82*B$3</f>
        <v>0</v>
      </c>
      <c r="C228" s="72">
        <f>'Yield 1Y'!S82*C$3</f>
        <v>0</v>
      </c>
      <c r="D228" s="72">
        <f>'Yield 1Y'!T82*D$3</f>
        <v>0</v>
      </c>
      <c r="E228" s="72">
        <f>'Yield 1Y'!U82*E$3</f>
        <v>5.7696172170108105E-2</v>
      </c>
      <c r="F228" s="72">
        <f>'Yield 1Y'!V82*F$3</f>
        <v>1.870562687876532E-2</v>
      </c>
      <c r="G228" s="72">
        <f>'Yield 1Y'!W82*G$3</f>
        <v>0</v>
      </c>
      <c r="H228" s="72">
        <f>'Yield 1Y'!X82*H$3</f>
        <v>0</v>
      </c>
      <c r="I228" s="72">
        <f>'Yield 1Y'!Y82*I$3</f>
        <v>-0.33635772149066889</v>
      </c>
      <c r="J228" s="72">
        <f>'Yield 1Y'!Z82*J$3</f>
        <v>0</v>
      </c>
      <c r="K228" s="72">
        <f>'Yield 1Y'!AA82*K$3</f>
        <v>0</v>
      </c>
      <c r="L228" s="177">
        <f t="shared" si="24"/>
        <v>0.25995592244179544</v>
      </c>
      <c r="M228" s="124">
        <f>VLOOKUP(A228,'Yield 1Y'!$F:$G,2,0)</f>
        <v>46136</v>
      </c>
      <c r="N228" s="318">
        <f t="shared" si="25"/>
        <v>183</v>
      </c>
      <c r="P228" s="37">
        <v>225</v>
      </c>
      <c r="Q228" s="72">
        <f>Q$3*'Yield 1Y'!R227</f>
        <v>0</v>
      </c>
      <c r="R228" s="72">
        <f>R$3*'Yield 1Y'!S227</f>
        <v>0</v>
      </c>
      <c r="S228" s="72">
        <f>S$3*'Yield 1Y'!T227</f>
        <v>0</v>
      </c>
      <c r="T228" s="72">
        <f>T$3*'Yield 1Y'!U227</f>
        <v>0</v>
      </c>
      <c r="U228" s="72">
        <f>U$3*'Yield 1Y'!V227</f>
        <v>0</v>
      </c>
      <c r="V228" s="72">
        <f>V$3*'Yield 1Y'!W227</f>
        <v>0</v>
      </c>
      <c r="W228" s="72">
        <f>W$3*'Yield 1Y'!X227</f>
        <v>0</v>
      </c>
      <c r="X228" s="72">
        <f>X$3*'Yield 1Y'!Y227</f>
        <v>-0.11987864360700456</v>
      </c>
      <c r="Y228" s="72">
        <f>Y$3*'Yield 1Y'!Z227</f>
        <v>0</v>
      </c>
      <c r="Z228" s="72">
        <f>Z$3*'Yield 1Y'!AA227</f>
        <v>0</v>
      </c>
      <c r="AA228" s="177">
        <f t="shared" si="26"/>
        <v>0.11987864360700456</v>
      </c>
      <c r="AB228" s="124">
        <f>VLOOKUP(P228,'Yield 1Y'!$F:$G,2,0)</f>
        <v>45924</v>
      </c>
      <c r="AC228" s="318">
        <f t="shared" si="30"/>
        <v>157</v>
      </c>
      <c r="AE228" s="37">
        <v>241</v>
      </c>
      <c r="AF228" s="72">
        <f>AF$3*'Yield 1Y'!AB243</f>
        <v>0</v>
      </c>
      <c r="AG228" s="72">
        <f>AG$3*'Yield 1Y'!AC243</f>
        <v>0</v>
      </c>
      <c r="AH228" s="72">
        <f>AH$3*'Yield 1Y'!AD243</f>
        <v>-1.3646676358673615</v>
      </c>
      <c r="AI228" s="72">
        <f>AI$3*'Yield 1Y'!AE243</f>
        <v>-2.8271124363356046</v>
      </c>
      <c r="AJ228" s="72">
        <f>AJ$3*'Yield 1Y'!AF243</f>
        <v>-0.67340256763562634</v>
      </c>
      <c r="AK228" s="72">
        <f>AK$3*'Yield 1Y'!AG243</f>
        <v>-29.48713069577731</v>
      </c>
      <c r="AL228" s="72">
        <f>AL$3*'Yield 1Y'!AH243</f>
        <v>-59.208864099259962</v>
      </c>
      <c r="AM228" s="72">
        <f>AM$3*'Yield 1Y'!AI243</f>
        <v>-53.480877717046077</v>
      </c>
      <c r="AN228" s="72">
        <f>AN$3*'Yield 1Y'!AJ243</f>
        <v>0</v>
      </c>
      <c r="AO228" s="72">
        <f>AO$3*'Yield 1Y'!AK243</f>
        <v>0</v>
      </c>
      <c r="AP228" s="177">
        <f t="shared" si="27"/>
        <v>147.04205515192194</v>
      </c>
      <c r="AQ228" s="124">
        <f>VLOOKUP(AE228,'Yield 1Y'!$F:$G,2,0)</f>
        <v>45898</v>
      </c>
      <c r="AR228" s="318">
        <f t="shared" si="28"/>
        <v>15</v>
      </c>
      <c r="AT228" s="37">
        <v>224</v>
      </c>
      <c r="AU228" s="72">
        <f>AU$3*'Yield 1Y'!AB40</f>
        <v>0</v>
      </c>
      <c r="AV228" s="72">
        <f>AV$3*'Yield 1Y'!AC40</f>
        <v>0</v>
      </c>
      <c r="AW228" s="72">
        <f>AW$3*'Yield 1Y'!AD40</f>
        <v>0</v>
      </c>
      <c r="AX228" s="72">
        <f>AX$3*'Yield 1Y'!AE40</f>
        <v>0</v>
      </c>
      <c r="AY228" s="72">
        <f>AY$3*'Yield 1Y'!AF40</f>
        <v>0</v>
      </c>
      <c r="AZ228" s="72">
        <f>AZ$3*'Yield 1Y'!AG40</f>
        <v>-0.25487832491499457</v>
      </c>
      <c r="BA228" s="72">
        <f>BA$3*'Yield 1Y'!AH40</f>
        <v>-2.845781870275041</v>
      </c>
      <c r="BB228" s="72">
        <f>BB$3*'Yield 1Y'!AI40</f>
        <v>-1.3985841754150059</v>
      </c>
      <c r="BC228" s="72">
        <f>BC$3*'Yield 1Y'!AJ40</f>
        <v>0</v>
      </c>
      <c r="BD228" s="72">
        <f>BD$3*'Yield 1Y'!AK40</f>
        <v>0</v>
      </c>
      <c r="BE228" s="177">
        <f t="shared" si="29"/>
        <v>4.4992443706050418</v>
      </c>
      <c r="BF228" s="124">
        <f>VLOOKUP(AT228,'Yield 1Y'!$F:$G,2,0)</f>
        <v>45925</v>
      </c>
      <c r="BG228" s="318">
        <f t="shared" si="31"/>
        <v>172</v>
      </c>
    </row>
    <row r="229" spans="1:59" x14ac:dyDescent="0.3">
      <c r="A229" s="37">
        <v>233</v>
      </c>
      <c r="B229" s="72">
        <f>'Yield 1Y'!R235*B$3</f>
        <v>0</v>
      </c>
      <c r="C229" s="72">
        <f>'Yield 1Y'!S235*C$3</f>
        <v>0</v>
      </c>
      <c r="D229" s="72">
        <f>'Yield 1Y'!T235*D$3</f>
        <v>0</v>
      </c>
      <c r="E229" s="72">
        <f>'Yield 1Y'!U235*E$3</f>
        <v>-0.11539234434022902</v>
      </c>
      <c r="F229" s="72">
        <f>'Yield 1Y'!V235*F$3</f>
        <v>-3.2734847037843469E-2</v>
      </c>
      <c r="G229" s="72">
        <f>'Yield 1Y'!W235*G$3</f>
        <v>-0.81157240447084589</v>
      </c>
      <c r="H229" s="72">
        <f>'Yield 1Y'!X235*H$3</f>
        <v>-2.070240003470587</v>
      </c>
      <c r="I229" s="72">
        <f>'Yield 1Y'!Y235*I$3</f>
        <v>-1.0090731644726041</v>
      </c>
      <c r="J229" s="72">
        <f>'Yield 1Y'!Z235*J$3</f>
        <v>0</v>
      </c>
      <c r="K229" s="72">
        <f>'Yield 1Y'!AA235*K$3</f>
        <v>0</v>
      </c>
      <c r="L229" s="177">
        <f t="shared" si="24"/>
        <v>4.0390127637921092</v>
      </c>
      <c r="M229" s="124">
        <f>VLOOKUP(A229,'Yield 1Y'!$F:$G,2,0)</f>
        <v>45912</v>
      </c>
      <c r="N229" s="318">
        <f t="shared" si="25"/>
        <v>71</v>
      </c>
      <c r="P229" s="37">
        <v>226</v>
      </c>
      <c r="Q229" s="72">
        <f>Q$3*'Yield 1Y'!R228</f>
        <v>0</v>
      </c>
      <c r="R229" s="72">
        <f>R$3*'Yield 1Y'!S228</f>
        <v>0</v>
      </c>
      <c r="S229" s="72">
        <f>S$3*'Yield 1Y'!T228</f>
        <v>0</v>
      </c>
      <c r="T229" s="72">
        <f>T$3*'Yield 1Y'!U228</f>
        <v>0</v>
      </c>
      <c r="U229" s="72">
        <f>U$3*'Yield 1Y'!V228</f>
        <v>0</v>
      </c>
      <c r="V229" s="72">
        <f>V$3*'Yield 1Y'!W228</f>
        <v>0</v>
      </c>
      <c r="W229" s="72">
        <f>W$3*'Yield 1Y'!X228</f>
        <v>0</v>
      </c>
      <c r="X229" s="72">
        <f>X$3*'Yield 1Y'!Y228</f>
        <v>-0.19979773934499578</v>
      </c>
      <c r="Y229" s="72">
        <f>Y$3*'Yield 1Y'!Z228</f>
        <v>0</v>
      </c>
      <c r="Z229" s="72">
        <f>Z$3*'Yield 1Y'!AA228</f>
        <v>0</v>
      </c>
      <c r="AA229" s="177">
        <f t="shared" si="26"/>
        <v>0.19979773934499578</v>
      </c>
      <c r="AB229" s="124">
        <f>VLOOKUP(P229,'Yield 1Y'!$F:$G,2,0)</f>
        <v>45923</v>
      </c>
      <c r="AC229" s="318">
        <f t="shared" si="30"/>
        <v>145</v>
      </c>
      <c r="AE229" s="37">
        <v>242</v>
      </c>
      <c r="AF229" s="72">
        <f>AF$3*'Yield 1Y'!AB244</f>
        <v>0</v>
      </c>
      <c r="AG229" s="72">
        <f>AG$3*'Yield 1Y'!AC244</f>
        <v>0</v>
      </c>
      <c r="AH229" s="72">
        <f>AH$3*'Yield 1Y'!AD244</f>
        <v>-1.502978544907974</v>
      </c>
      <c r="AI229" s="72">
        <f>AI$3*'Yield 1Y'!AE244</f>
        <v>-2.8848086085057125</v>
      </c>
      <c r="AJ229" s="72">
        <f>AJ$3*'Yield 1Y'!AF244</f>
        <v>-0.74354866843100254</v>
      </c>
      <c r="AK229" s="72">
        <f>AK$3*'Yield 1Y'!AG244</f>
        <v>-30.298703100248154</v>
      </c>
      <c r="AL229" s="72">
        <f>AL$3*'Yield 1Y'!AH244</f>
        <v>-63.763392106895395</v>
      </c>
      <c r="AM229" s="72">
        <f>AM$3*'Yield 1Y'!AI244</f>
        <v>-57.517170374936192</v>
      </c>
      <c r="AN229" s="72">
        <f>AN$3*'Yield 1Y'!AJ244</f>
        <v>0</v>
      </c>
      <c r="AO229" s="72">
        <f>AO$3*'Yield 1Y'!AK244</f>
        <v>0</v>
      </c>
      <c r="AP229" s="177">
        <f t="shared" si="27"/>
        <v>156.71060140392444</v>
      </c>
      <c r="AQ229" s="124">
        <f>VLOOKUP(AE229,'Yield 1Y'!$F:$G,2,0)</f>
        <v>45897</v>
      </c>
      <c r="AR229" s="318">
        <f t="shared" si="28"/>
        <v>12</v>
      </c>
      <c r="AT229" s="37">
        <v>225</v>
      </c>
      <c r="AU229" s="72">
        <f>AU$3*'Yield 1Y'!AB41</f>
        <v>0</v>
      </c>
      <c r="AV229" s="72">
        <f>AV$3*'Yield 1Y'!AC41</f>
        <v>0</v>
      </c>
      <c r="AW229" s="72">
        <f>AW$3*'Yield 1Y'!AD41</f>
        <v>0</v>
      </c>
      <c r="AX229" s="72">
        <f>AX$3*'Yield 1Y'!AE41</f>
        <v>0</v>
      </c>
      <c r="AY229" s="72">
        <f>AY$3*'Yield 1Y'!AF41</f>
        <v>0</v>
      </c>
      <c r="AZ229" s="72">
        <f>AZ$3*'Yield 1Y'!AG41</f>
        <v>-0.47152490109274903</v>
      </c>
      <c r="BA229" s="72">
        <f>BA$3*'Yield 1Y'!AH41</f>
        <v>-1.8213003969760018</v>
      </c>
      <c r="BB229" s="72">
        <f>BB$3*'Yield 1Y'!AI41</f>
        <v>-1.1188673403320011</v>
      </c>
      <c r="BC229" s="72">
        <f>BC$3*'Yield 1Y'!AJ41</f>
        <v>0</v>
      </c>
      <c r="BD229" s="72">
        <f>BD$3*'Yield 1Y'!AK41</f>
        <v>0</v>
      </c>
      <c r="BE229" s="177">
        <f t="shared" si="29"/>
        <v>3.4116926384007518</v>
      </c>
      <c r="BF229" s="124">
        <f>VLOOKUP(AT229,'Yield 1Y'!$F:$G,2,0)</f>
        <v>45924</v>
      </c>
      <c r="BG229" s="318">
        <f t="shared" si="31"/>
        <v>189</v>
      </c>
    </row>
    <row r="230" spans="1:59" x14ac:dyDescent="0.3">
      <c r="A230" s="37">
        <v>90</v>
      </c>
      <c r="B230" s="72">
        <f>'Yield 1Y'!R92*B$3</f>
        <v>0</v>
      </c>
      <c r="C230" s="72">
        <f>'Yield 1Y'!S92*C$3</f>
        <v>0</v>
      </c>
      <c r="D230" s="72">
        <f>'Yield 1Y'!T92*D$3</f>
        <v>0</v>
      </c>
      <c r="E230" s="72">
        <f>'Yield 1Y'!U92*E$3</f>
        <v>-2.8848086085054053E-2</v>
      </c>
      <c r="F230" s="72">
        <f>'Yield 1Y'!V92*F$3</f>
        <v>-1.8705626878769473E-2</v>
      </c>
      <c r="G230" s="72">
        <f>'Yield 1Y'!W92*G$3</f>
        <v>0.27052413482349513</v>
      </c>
      <c r="H230" s="72">
        <f>'Yield 1Y'!X92*H$3</f>
        <v>-2.8983360048587481</v>
      </c>
      <c r="I230" s="72">
        <f>'Yield 1Y'!Y92*I$3</f>
        <v>0</v>
      </c>
      <c r="J230" s="72">
        <f>'Yield 1Y'!Z92*J$3</f>
        <v>0</v>
      </c>
      <c r="K230" s="72">
        <f>'Yield 1Y'!AA92*K$3</f>
        <v>0</v>
      </c>
      <c r="L230" s="177">
        <f t="shared" si="24"/>
        <v>2.6753655829990763</v>
      </c>
      <c r="M230" s="124">
        <f>VLOOKUP(A230,'Yield 1Y'!$F:$G,2,0)</f>
        <v>46122</v>
      </c>
      <c r="N230" s="318">
        <f t="shared" si="25"/>
        <v>102</v>
      </c>
      <c r="P230" s="37">
        <v>227</v>
      </c>
      <c r="Q230" s="72">
        <f>Q$3*'Yield 1Y'!R229</f>
        <v>0</v>
      </c>
      <c r="R230" s="72">
        <f>R$3*'Yield 1Y'!S229</f>
        <v>0</v>
      </c>
      <c r="S230" s="72">
        <f>S$3*'Yield 1Y'!T229</f>
        <v>0</v>
      </c>
      <c r="T230" s="72">
        <f>T$3*'Yield 1Y'!U229</f>
        <v>0</v>
      </c>
      <c r="U230" s="72">
        <f>U$3*'Yield 1Y'!V229</f>
        <v>0</v>
      </c>
      <c r="V230" s="72">
        <f>V$3*'Yield 1Y'!W229</f>
        <v>-6.3719581228754305E-2</v>
      </c>
      <c r="W230" s="72">
        <f>W$3*'Yield 1Y'!X229</f>
        <v>-0.68298764886597541</v>
      </c>
      <c r="X230" s="72">
        <f>X$3*'Yield 1Y'!Y229</f>
        <v>-0.19979773934501352</v>
      </c>
      <c r="Y230" s="72">
        <f>Y$3*'Yield 1Y'!Z229</f>
        <v>0</v>
      </c>
      <c r="Z230" s="72">
        <f>Z$3*'Yield 1Y'!AA229</f>
        <v>0</v>
      </c>
      <c r="AA230" s="177">
        <f t="shared" si="26"/>
        <v>0.94650496943974327</v>
      </c>
      <c r="AB230" s="124">
        <f>VLOOKUP(P230,'Yield 1Y'!$F:$G,2,0)</f>
        <v>45922</v>
      </c>
      <c r="AC230" s="318">
        <f t="shared" si="30"/>
        <v>59</v>
      </c>
      <c r="AE230" s="37">
        <v>243</v>
      </c>
      <c r="AF230" s="72">
        <f>AF$3*'Yield 1Y'!AB245</f>
        <v>0</v>
      </c>
      <c r="AG230" s="72">
        <f>AG$3*'Yield 1Y'!AC245</f>
        <v>0</v>
      </c>
      <c r="AH230" s="72">
        <f>AH$3*'Yield 1Y'!AD245</f>
        <v>-1.8718076356829374</v>
      </c>
      <c r="AI230" s="72">
        <f>AI$3*'Yield 1Y'!AE245</f>
        <v>-4.0387320519080152</v>
      </c>
      <c r="AJ230" s="72">
        <f>AJ$3*'Yield 1Y'!AF245</f>
        <v>-0.90722290362021774</v>
      </c>
      <c r="AK230" s="72">
        <f>AK$3*'Yield 1Y'!AG245</f>
        <v>-38.684951279781188</v>
      </c>
      <c r="AL230" s="72">
        <f>AL$3*'Yield 1Y'!AH245</f>
        <v>-70.802208118695688</v>
      </c>
      <c r="AM230" s="72">
        <f>AM$3*'Yield 1Y'!AI245</f>
        <v>-67.944259741152905</v>
      </c>
      <c r="AN230" s="72">
        <f>AN$3*'Yield 1Y'!AJ245</f>
        <v>0</v>
      </c>
      <c r="AO230" s="72">
        <f>AO$3*'Yield 1Y'!AK245</f>
        <v>0</v>
      </c>
      <c r="AP230" s="177">
        <f t="shared" si="27"/>
        <v>184.24918173084095</v>
      </c>
      <c r="AQ230" s="124">
        <f>VLOOKUP(AE230,'Yield 1Y'!$F:$G,2,0)</f>
        <v>45896</v>
      </c>
      <c r="AR230" s="318">
        <f t="shared" si="28"/>
        <v>3</v>
      </c>
      <c r="AT230" s="37">
        <v>226</v>
      </c>
      <c r="AU230" s="72">
        <f>AU$3*'Yield 1Y'!AB72</f>
        <v>0</v>
      </c>
      <c r="AV230" s="72">
        <f>AV$3*'Yield 1Y'!AC72</f>
        <v>0</v>
      </c>
      <c r="AW230" s="72">
        <f>AW$3*'Yield 1Y'!AD72</f>
        <v>0</v>
      </c>
      <c r="AX230" s="72">
        <f>AX$3*'Yield 1Y'!AE72</f>
        <v>0</v>
      </c>
      <c r="AY230" s="72">
        <f>AY$3*'Yield 1Y'!AF72</f>
        <v>0</v>
      </c>
      <c r="AZ230" s="72">
        <f>AZ$3*'Yield 1Y'!AG72</f>
        <v>0.10195132996600009</v>
      </c>
      <c r="BA230" s="72">
        <f>BA$3*'Yield 1Y'!AH72</f>
        <v>-0.91065019848800088</v>
      </c>
      <c r="BB230" s="72">
        <f>BB$3*'Yield 1Y'!AI72</f>
        <v>0.11987864360700456</v>
      </c>
      <c r="BC230" s="72">
        <f>BC$3*'Yield 1Y'!AJ72</f>
        <v>0</v>
      </c>
      <c r="BD230" s="72">
        <f>BD$3*'Yield 1Y'!AK72</f>
        <v>0</v>
      </c>
      <c r="BE230" s="177">
        <f t="shared" si="29"/>
        <v>0.68882022491499617</v>
      </c>
      <c r="BF230" s="124">
        <f>VLOOKUP(AT230,'Yield 1Y'!$F:$G,2,0)</f>
        <v>45923</v>
      </c>
      <c r="BG230" s="318">
        <f t="shared" si="31"/>
        <v>241</v>
      </c>
    </row>
    <row r="231" spans="1:59" x14ac:dyDescent="0.3">
      <c r="A231" s="37">
        <v>112</v>
      </c>
      <c r="B231" s="72">
        <f>'Yield 1Y'!R114*B$3</f>
        <v>0</v>
      </c>
      <c r="C231" s="72">
        <f>'Yield 1Y'!S114*C$3</f>
        <v>0</v>
      </c>
      <c r="D231" s="72">
        <f>'Yield 1Y'!T114*D$3</f>
        <v>0</v>
      </c>
      <c r="E231" s="72">
        <f>'Yield 1Y'!U114*E$3</f>
        <v>-5.7696172170120914E-2</v>
      </c>
      <c r="F231" s="72">
        <f>'Yield 1Y'!V114*F$3</f>
        <v>-1.8705626878767399E-2</v>
      </c>
      <c r="G231" s="72">
        <f>'Yield 1Y'!W114*G$3</f>
        <v>-18.936689437655112</v>
      </c>
      <c r="H231" s="72">
        <f>'Yield 1Y'!X114*H$3</f>
        <v>-0.8280960013881612</v>
      </c>
      <c r="I231" s="72">
        <f>'Yield 1Y'!Y114*I$3</f>
        <v>-10.090731644725743</v>
      </c>
      <c r="J231" s="72">
        <f>'Yield 1Y'!Z114*J$3</f>
        <v>0</v>
      </c>
      <c r="K231" s="72">
        <f>'Yield 1Y'!AA114*K$3</f>
        <v>0</v>
      </c>
      <c r="L231" s="177">
        <f t="shared" si="24"/>
        <v>29.931918882817904</v>
      </c>
      <c r="M231" s="124">
        <f>VLOOKUP(A231,'Yield 1Y'!$F:$G,2,0)</f>
        <v>46092</v>
      </c>
      <c r="N231" s="318">
        <f t="shared" si="25"/>
        <v>9</v>
      </c>
      <c r="P231" s="37">
        <v>228</v>
      </c>
      <c r="Q231" s="72">
        <f>Q$3*'Yield 1Y'!R230</f>
        <v>0</v>
      </c>
      <c r="R231" s="72">
        <f>R$3*'Yield 1Y'!S230</f>
        <v>0</v>
      </c>
      <c r="S231" s="72">
        <f>S$3*'Yield 1Y'!T230</f>
        <v>0</v>
      </c>
      <c r="T231" s="72">
        <f>T$3*'Yield 1Y'!U230</f>
        <v>0</v>
      </c>
      <c r="U231" s="72">
        <f>U$3*'Yield 1Y'!V230</f>
        <v>0</v>
      </c>
      <c r="V231" s="72">
        <f>V$3*'Yield 1Y'!W230</f>
        <v>3.823174873725145E-2</v>
      </c>
      <c r="W231" s="72">
        <f>W$3*'Yield 1Y'!X230</f>
        <v>-0.34149382443301302</v>
      </c>
      <c r="X231" s="72">
        <f>X$3*'Yield 1Y'!Y230</f>
        <v>0</v>
      </c>
      <c r="Y231" s="72">
        <f>Y$3*'Yield 1Y'!Z230</f>
        <v>0</v>
      </c>
      <c r="Z231" s="72">
        <f>Z$3*'Yield 1Y'!AA230</f>
        <v>0</v>
      </c>
      <c r="AA231" s="177">
        <f t="shared" si="26"/>
        <v>0.30326207569576158</v>
      </c>
      <c r="AB231" s="124">
        <f>VLOOKUP(P231,'Yield 1Y'!$F:$G,2,0)</f>
        <v>45919</v>
      </c>
      <c r="AC231" s="318">
        <f t="shared" si="30"/>
        <v>127</v>
      </c>
      <c r="AE231" s="37">
        <v>167</v>
      </c>
      <c r="AF231" s="72">
        <f>AF$3*'Yield 1Y'!AB169</f>
        <v>0</v>
      </c>
      <c r="AG231" s="72">
        <f>AG$3*'Yield 1Y'!AC169</f>
        <v>0</v>
      </c>
      <c r="AH231" s="72">
        <f>AH$3*'Yield 1Y'!AD169</f>
        <v>-0.3596083635055865</v>
      </c>
      <c r="AI231" s="72">
        <f>AI$3*'Yield 1Y'!AE169</f>
        <v>-2.4232392311448092</v>
      </c>
      <c r="AJ231" s="72">
        <f>AJ$3*'Yield 1Y'!AF169</f>
        <v>-0.22446752254520877</v>
      </c>
      <c r="AK231" s="72">
        <f>AK$3*'Yield 1Y'!AG169</f>
        <v>-22.453503190362593</v>
      </c>
      <c r="AL231" s="72">
        <f>AL$3*'Yield 1Y'!AH169</f>
        <v>-16.561920027765062</v>
      </c>
      <c r="AM231" s="72">
        <f>AM$3*'Yield 1Y'!AI169</f>
        <v>-11.436162530689016</v>
      </c>
      <c r="AN231" s="72">
        <f>AN$3*'Yield 1Y'!AJ169</f>
        <v>0</v>
      </c>
      <c r="AO231" s="72">
        <f>AO$3*'Yield 1Y'!AK169</f>
        <v>0</v>
      </c>
      <c r="AP231" s="177">
        <f t="shared" si="27"/>
        <v>53.458900866012279</v>
      </c>
      <c r="AQ231" s="124">
        <f>VLOOKUP(AE231,'Yield 1Y'!$F:$G,2,0)</f>
        <v>46006</v>
      </c>
      <c r="AR231" s="318">
        <f t="shared" si="28"/>
        <v>72</v>
      </c>
      <c r="AT231" s="37">
        <v>227</v>
      </c>
      <c r="AU231" s="72">
        <f>AU$3*'Yield 1Y'!AB45</f>
        <v>0</v>
      </c>
      <c r="AV231" s="72">
        <f>AV$3*'Yield 1Y'!AC45</f>
        <v>0</v>
      </c>
      <c r="AW231" s="72">
        <f>AW$3*'Yield 1Y'!AD45</f>
        <v>0</v>
      </c>
      <c r="AX231" s="72">
        <f>AX$3*'Yield 1Y'!AE45</f>
        <v>0</v>
      </c>
      <c r="AY231" s="72">
        <f>AY$3*'Yield 1Y'!AF45</f>
        <v>0</v>
      </c>
      <c r="AZ231" s="72">
        <f>AZ$3*'Yield 1Y'!AG45</f>
        <v>-0.62445189604174356</v>
      </c>
      <c r="BA231" s="72">
        <f>BA$3*'Yield 1Y'!AH45</f>
        <v>-3.9840946183849661</v>
      </c>
      <c r="BB231" s="72">
        <f>BB$3*'Yield 1Y'!AI45</f>
        <v>-1.918058297712002</v>
      </c>
      <c r="BC231" s="72">
        <f>BC$3*'Yield 1Y'!AJ45</f>
        <v>0</v>
      </c>
      <c r="BD231" s="72">
        <f>BD$3*'Yield 1Y'!AK45</f>
        <v>0</v>
      </c>
      <c r="BE231" s="177">
        <f t="shared" si="29"/>
        <v>6.5266048121387117</v>
      </c>
      <c r="BF231" s="124">
        <f>VLOOKUP(AT231,'Yield 1Y'!$F:$G,2,0)</f>
        <v>45922</v>
      </c>
      <c r="BG231" s="318">
        <f t="shared" si="31"/>
        <v>117</v>
      </c>
    </row>
    <row r="232" spans="1:59" x14ac:dyDescent="0.3">
      <c r="A232" s="37">
        <v>64</v>
      </c>
      <c r="B232" s="72">
        <f>'Yield 1Y'!R66*B$3</f>
        <v>0</v>
      </c>
      <c r="C232" s="72">
        <f>'Yield 1Y'!S66*C$3</f>
        <v>0</v>
      </c>
      <c r="D232" s="72">
        <f>'Yield 1Y'!T66*D$3</f>
        <v>0</v>
      </c>
      <c r="E232" s="72">
        <f>'Yield 1Y'!U66*E$3</f>
        <v>-2.8848086085054053E-2</v>
      </c>
      <c r="F232" s="72">
        <f>'Yield 1Y'!V66*F$3</f>
        <v>-9.3528134393826602E-3</v>
      </c>
      <c r="G232" s="72">
        <f>'Yield 1Y'!W66*G$3</f>
        <v>0</v>
      </c>
      <c r="H232" s="72">
        <f>'Yield 1Y'!X66*H$3</f>
        <v>-2.8983360048591158</v>
      </c>
      <c r="I232" s="72">
        <f>'Yield 1Y'!Y66*I$3</f>
        <v>-1.0090731644726041</v>
      </c>
      <c r="J232" s="72">
        <f>'Yield 1Y'!Z66*J$3</f>
        <v>0</v>
      </c>
      <c r="K232" s="72">
        <f>'Yield 1Y'!AA66*K$3</f>
        <v>0</v>
      </c>
      <c r="L232" s="177">
        <f t="shared" si="24"/>
        <v>3.9456100688561566</v>
      </c>
      <c r="M232" s="124">
        <f>VLOOKUP(A232,'Yield 1Y'!$F:$G,2,0)</f>
        <v>46163</v>
      </c>
      <c r="N232" s="318">
        <f t="shared" si="25"/>
        <v>72</v>
      </c>
      <c r="P232" s="37">
        <v>229</v>
      </c>
      <c r="Q232" s="72">
        <f>Q$3*'Yield 1Y'!R231</f>
        <v>0</v>
      </c>
      <c r="R232" s="72">
        <f>R$3*'Yield 1Y'!S231</f>
        <v>0</v>
      </c>
      <c r="S232" s="72">
        <f>S$3*'Yield 1Y'!T231</f>
        <v>0</v>
      </c>
      <c r="T232" s="72">
        <f>T$3*'Yield 1Y'!U231</f>
        <v>0</v>
      </c>
      <c r="U232" s="72">
        <f>U$3*'Yield 1Y'!V231</f>
        <v>0</v>
      </c>
      <c r="V232" s="72">
        <f>V$3*'Yield 1Y'!W231</f>
        <v>-0.11469524621174869</v>
      </c>
      <c r="W232" s="72">
        <f>W$3*'Yield 1Y'!X231</f>
        <v>-1.2521440229210139</v>
      </c>
      <c r="X232" s="72">
        <f>X$3*'Yield 1Y'!Y231</f>
        <v>-0.31967638295200035</v>
      </c>
      <c r="Y232" s="72">
        <f>Y$3*'Yield 1Y'!Z231</f>
        <v>0</v>
      </c>
      <c r="Z232" s="72">
        <f>Z$3*'Yield 1Y'!AA231</f>
        <v>0</v>
      </c>
      <c r="AA232" s="177">
        <f t="shared" si="26"/>
        <v>1.6865156520847631</v>
      </c>
      <c r="AB232" s="124">
        <f>VLOOKUP(P232,'Yield 1Y'!$F:$G,2,0)</f>
        <v>45918</v>
      </c>
      <c r="AC232" s="318">
        <f t="shared" si="30"/>
        <v>38</v>
      </c>
      <c r="AE232" s="37">
        <v>82</v>
      </c>
      <c r="AF232" s="72">
        <f>AF$3*'Yield 1Y'!AB84</f>
        <v>0</v>
      </c>
      <c r="AG232" s="72">
        <f>AG$3*'Yield 1Y'!AC84</f>
        <v>0</v>
      </c>
      <c r="AH232" s="72">
        <f>AH$3*'Yield 1Y'!AD84</f>
        <v>-0.4149327271218331</v>
      </c>
      <c r="AI232" s="72">
        <f>AI$3*'Yield 1Y'!AE84</f>
        <v>-0.28848086085056612</v>
      </c>
      <c r="AJ232" s="72">
        <f>AJ$3*'Yield 1Y'!AF84</f>
        <v>-0.21511470910582611</v>
      </c>
      <c r="AK232" s="72">
        <f>AK$3*'Yield 1Y'!AG84</f>
        <v>-0.27052413482373544</v>
      </c>
      <c r="AL232" s="72">
        <f>AL$3*'Yield 1Y'!AH84</f>
        <v>-17.390016029153408</v>
      </c>
      <c r="AM232" s="72">
        <f>AM$3*'Yield 1Y'!AI84</f>
        <v>-6.0544389868354758</v>
      </c>
      <c r="AN232" s="72">
        <f>AN$3*'Yield 1Y'!AJ84</f>
        <v>0</v>
      </c>
      <c r="AO232" s="72">
        <f>AO$3*'Yield 1Y'!AK84</f>
        <v>0</v>
      </c>
      <c r="AP232" s="177">
        <f t="shared" si="27"/>
        <v>24.633507447890842</v>
      </c>
      <c r="AQ232" s="124">
        <f>VLOOKUP(AE232,'Yield 1Y'!$F:$G,2,0)</f>
        <v>46134</v>
      </c>
      <c r="AR232" s="318">
        <f t="shared" si="28"/>
        <v>187</v>
      </c>
      <c r="AT232" s="37">
        <v>228</v>
      </c>
      <c r="AU232" s="72">
        <f>AU$3*'Yield 1Y'!AB206</f>
        <v>0</v>
      </c>
      <c r="AV232" s="72">
        <f>AV$3*'Yield 1Y'!AC206</f>
        <v>0</v>
      </c>
      <c r="AW232" s="72">
        <f>AW$3*'Yield 1Y'!AD206</f>
        <v>0</v>
      </c>
      <c r="AX232" s="72">
        <f>AX$3*'Yield 1Y'!AE206</f>
        <v>0</v>
      </c>
      <c r="AY232" s="72">
        <f>AY$3*'Yield 1Y'!AF206</f>
        <v>0</v>
      </c>
      <c r="AZ232" s="72">
        <f>AZ$3*'Yield 1Y'!AG206</f>
        <v>-0.85384238846524652</v>
      </c>
      <c r="BA232" s="72">
        <f>BA$3*'Yield 1Y'!AH206</f>
        <v>-7.3990328627149946</v>
      </c>
      <c r="BB232" s="72">
        <f>BB$3*'Yield 1Y'!AI206</f>
        <v>-1.9979773934499931</v>
      </c>
      <c r="BC232" s="72">
        <f>BC$3*'Yield 1Y'!AJ206</f>
        <v>0</v>
      </c>
      <c r="BD232" s="72">
        <f>BD$3*'Yield 1Y'!AK206</f>
        <v>0</v>
      </c>
      <c r="BE232" s="177">
        <f t="shared" si="29"/>
        <v>10.250852644630234</v>
      </c>
      <c r="BF232" s="124">
        <f>VLOOKUP(AT232,'Yield 1Y'!$F:$G,2,0)</f>
        <v>45919</v>
      </c>
      <c r="BG232" s="318">
        <f t="shared" si="31"/>
        <v>59</v>
      </c>
    </row>
    <row r="233" spans="1:59" x14ac:dyDescent="0.3">
      <c r="A233" s="37">
        <v>171</v>
      </c>
      <c r="B233" s="72">
        <f>'Yield 1Y'!R173*B$3</f>
        <v>0</v>
      </c>
      <c r="C233" s="72">
        <f>'Yield 1Y'!S173*C$3</f>
        <v>0</v>
      </c>
      <c r="D233" s="72">
        <f>'Yield 1Y'!T173*D$3</f>
        <v>0</v>
      </c>
      <c r="E233" s="72">
        <f>'Yield 1Y'!U173*E$3</f>
        <v>0</v>
      </c>
      <c r="F233" s="72">
        <f>'Yield 1Y'!V173*F$3</f>
        <v>0</v>
      </c>
      <c r="G233" s="72">
        <f>'Yield 1Y'!W173*G$3</f>
        <v>0</v>
      </c>
      <c r="H233" s="72">
        <f>'Yield 1Y'!X173*H$3</f>
        <v>0</v>
      </c>
      <c r="I233" s="72">
        <f>'Yield 1Y'!Y173*I$3</f>
        <v>-1.6817886074542407</v>
      </c>
      <c r="J233" s="72">
        <f>'Yield 1Y'!Z173*J$3</f>
        <v>0</v>
      </c>
      <c r="K233" s="72">
        <f>'Yield 1Y'!AA173*K$3</f>
        <v>0</v>
      </c>
      <c r="L233" s="177">
        <f t="shared" si="24"/>
        <v>1.6817886074542407</v>
      </c>
      <c r="M233" s="124">
        <f>VLOOKUP(A233,'Yield 1Y'!$F:$G,2,0)</f>
        <v>46000</v>
      </c>
      <c r="N233" s="318">
        <f t="shared" si="25"/>
        <v>127.5</v>
      </c>
      <c r="P233" s="37">
        <v>230</v>
      </c>
      <c r="Q233" s="72">
        <f>Q$3*'Yield 1Y'!R232</f>
        <v>0</v>
      </c>
      <c r="R233" s="72">
        <f>R$3*'Yield 1Y'!S232</f>
        <v>0</v>
      </c>
      <c r="S233" s="72">
        <f>S$3*'Yield 1Y'!T232</f>
        <v>0</v>
      </c>
      <c r="T233" s="72">
        <f>T$3*'Yield 1Y'!U232</f>
        <v>0</v>
      </c>
      <c r="U233" s="72">
        <f>U$3*'Yield 1Y'!V232</f>
        <v>0</v>
      </c>
      <c r="V233" s="72">
        <f>V$3*'Yield 1Y'!W232</f>
        <v>0</v>
      </c>
      <c r="W233" s="72">
        <f>W$3*'Yield 1Y'!X232</f>
        <v>-0.11383127481098748</v>
      </c>
      <c r="X233" s="72">
        <f>X$3*'Yield 1Y'!Y232</f>
        <v>0</v>
      </c>
      <c r="Y233" s="72">
        <f>Y$3*'Yield 1Y'!Z232</f>
        <v>0</v>
      </c>
      <c r="Z233" s="72">
        <f>Z$3*'Yield 1Y'!AA232</f>
        <v>0</v>
      </c>
      <c r="AA233" s="177">
        <f t="shared" si="26"/>
        <v>0.11383127481098748</v>
      </c>
      <c r="AB233" s="124">
        <f>VLOOKUP(P233,'Yield 1Y'!$F:$G,2,0)</f>
        <v>45917</v>
      </c>
      <c r="AC233" s="318">
        <f t="shared" si="30"/>
        <v>161</v>
      </c>
      <c r="AE233" s="37">
        <v>84</v>
      </c>
      <c r="AF233" s="72">
        <f>AF$3*'Yield 1Y'!AB86</f>
        <v>0</v>
      </c>
      <c r="AG233" s="72">
        <f>AG$3*'Yield 1Y'!AC86</f>
        <v>0</v>
      </c>
      <c r="AH233" s="72">
        <f>AH$3*'Yield 1Y'!AD86</f>
        <v>-0.4149327271218331</v>
      </c>
      <c r="AI233" s="72">
        <f>AI$3*'Yield 1Y'!AE86</f>
        <v>-0.28848086085056612</v>
      </c>
      <c r="AJ233" s="72">
        <f>AJ$3*'Yield 1Y'!AF86</f>
        <v>-0.21511470910582611</v>
      </c>
      <c r="AK233" s="72">
        <f>AK$3*'Yield 1Y'!AG86</f>
        <v>-0.27052413482373544</v>
      </c>
      <c r="AL233" s="72">
        <f>AL$3*'Yield 1Y'!AH86</f>
        <v>-17.390016029153408</v>
      </c>
      <c r="AM233" s="72">
        <f>AM$3*'Yield 1Y'!AI86</f>
        <v>-8.0725853157805343</v>
      </c>
      <c r="AN233" s="72">
        <f>AN$3*'Yield 1Y'!AJ86</f>
        <v>0</v>
      </c>
      <c r="AO233" s="72">
        <f>AO$3*'Yield 1Y'!AK86</f>
        <v>0</v>
      </c>
      <c r="AP233" s="177">
        <f t="shared" si="27"/>
        <v>26.6516537768359</v>
      </c>
      <c r="AQ233" s="124">
        <f>VLOOKUP(AE233,'Yield 1Y'!$F:$G,2,0)</f>
        <v>46132</v>
      </c>
      <c r="AR233" s="318">
        <f t="shared" si="28"/>
        <v>177</v>
      </c>
      <c r="AT233" s="37">
        <v>229</v>
      </c>
      <c r="AU233" s="72">
        <f>AU$3*'Yield 1Y'!AB53</f>
        <v>0</v>
      </c>
      <c r="AV233" s="72">
        <f>AV$3*'Yield 1Y'!AC53</f>
        <v>0</v>
      </c>
      <c r="AW233" s="72">
        <f>AW$3*'Yield 1Y'!AD53</f>
        <v>0</v>
      </c>
      <c r="AX233" s="72">
        <f>AX$3*'Yield 1Y'!AE53</f>
        <v>0</v>
      </c>
      <c r="AY233" s="72">
        <f>AY$3*'Yield 1Y'!AF53</f>
        <v>0</v>
      </c>
      <c r="AZ233" s="72">
        <f>AZ$3*'Yield 1Y'!AG53</f>
        <v>-1.9753070180912533</v>
      </c>
      <c r="BA233" s="72">
        <f>BA$3*'Yield 1Y'!AH53</f>
        <v>-8.3096830612029962</v>
      </c>
      <c r="BB233" s="72">
        <f>BB$3*'Yield 1Y'!AI53</f>
        <v>-2.7172492550920029</v>
      </c>
      <c r="BC233" s="72">
        <f>BC$3*'Yield 1Y'!AJ53</f>
        <v>0</v>
      </c>
      <c r="BD233" s="72">
        <f>BD$3*'Yield 1Y'!AK53</f>
        <v>0</v>
      </c>
      <c r="BE233" s="177">
        <f t="shared" si="29"/>
        <v>13.002239334386253</v>
      </c>
      <c r="BF233" s="124">
        <f>VLOOKUP(AT233,'Yield 1Y'!$F:$G,2,0)</f>
        <v>45918</v>
      </c>
      <c r="BG233" s="318">
        <f t="shared" si="31"/>
        <v>41</v>
      </c>
    </row>
    <row r="234" spans="1:59" x14ac:dyDescent="0.3">
      <c r="A234" s="37">
        <v>127</v>
      </c>
      <c r="B234" s="72">
        <f>'Yield 1Y'!R129*B$3</f>
        <v>0</v>
      </c>
      <c r="C234" s="72">
        <f>'Yield 1Y'!S129*C$3</f>
        <v>0</v>
      </c>
      <c r="D234" s="72">
        <f>'Yield 1Y'!T129*D$3</f>
        <v>-3.6882909077496369E-2</v>
      </c>
      <c r="E234" s="72">
        <f>'Yield 1Y'!U129*E$3</f>
        <v>-8.6544258255174963E-2</v>
      </c>
      <c r="F234" s="72">
        <f>'Yield 1Y'!V129*F$3</f>
        <v>-1.8705626878767399E-2</v>
      </c>
      <c r="G234" s="72">
        <f>'Yield 1Y'!W129*G$3</f>
        <v>-2.9757654830600084</v>
      </c>
      <c r="H234" s="72">
        <f>'Yield 1Y'!X129*H$3</f>
        <v>-1.2421440020824257</v>
      </c>
      <c r="I234" s="72">
        <f>'Yield 1Y'!Y129*I$3</f>
        <v>-1.6817886074542407</v>
      </c>
      <c r="J234" s="72">
        <f>'Yield 1Y'!Z129*J$3</f>
        <v>0</v>
      </c>
      <c r="K234" s="72">
        <f>'Yield 1Y'!AA129*K$3</f>
        <v>0</v>
      </c>
      <c r="L234" s="177">
        <f t="shared" si="24"/>
        <v>6.0418308868081132</v>
      </c>
      <c r="M234" s="124">
        <f>VLOOKUP(A234,'Yield 1Y'!$F:$G,2,0)</f>
        <v>46064</v>
      </c>
      <c r="N234" s="318">
        <f t="shared" si="25"/>
        <v>56</v>
      </c>
      <c r="P234" s="37">
        <v>231</v>
      </c>
      <c r="Q234" s="72">
        <f>Q$3*'Yield 1Y'!R233</f>
        <v>0</v>
      </c>
      <c r="R234" s="72">
        <f>R$3*'Yield 1Y'!S233</f>
        <v>0</v>
      </c>
      <c r="S234" s="72">
        <f>S$3*'Yield 1Y'!T233</f>
        <v>0</v>
      </c>
      <c r="T234" s="72">
        <f>T$3*'Yield 1Y'!U233</f>
        <v>0</v>
      </c>
      <c r="U234" s="72">
        <f>U$3*'Yield 1Y'!V233</f>
        <v>0</v>
      </c>
      <c r="V234" s="72">
        <f>V$3*'Yield 1Y'!W233</f>
        <v>3.823174873725145E-2</v>
      </c>
      <c r="W234" s="72">
        <f>W$3*'Yield 1Y'!X233</f>
        <v>0.22766254962202551</v>
      </c>
      <c r="X234" s="72">
        <f>X$3*'Yield 1Y'!Y233</f>
        <v>0</v>
      </c>
      <c r="Y234" s="72">
        <f>Y$3*'Yield 1Y'!Z233</f>
        <v>0</v>
      </c>
      <c r="Z234" s="72">
        <f>Z$3*'Yield 1Y'!AA233</f>
        <v>0</v>
      </c>
      <c r="AA234" s="177">
        <f t="shared" si="26"/>
        <v>-0.26589429835927697</v>
      </c>
      <c r="AB234" s="124">
        <f>VLOOKUP(P234,'Yield 1Y'!$F:$G,2,0)</f>
        <v>45916</v>
      </c>
      <c r="AC234" s="318">
        <f t="shared" si="30"/>
        <v>209</v>
      </c>
      <c r="AE234" s="37">
        <v>244</v>
      </c>
      <c r="AF234" s="72">
        <f>AF$3*'Yield 1Y'!AB246</f>
        <v>0</v>
      </c>
      <c r="AG234" s="72">
        <f>AG$3*'Yield 1Y'!AC246</f>
        <v>0</v>
      </c>
      <c r="AH234" s="72">
        <f>AH$3*'Yield 1Y'!AD246</f>
        <v>-2.0101185447235501</v>
      </c>
      <c r="AI234" s="72">
        <f>AI$3*'Yield 1Y'!AE246</f>
        <v>-3.7790992771425036</v>
      </c>
      <c r="AJ234" s="72">
        <f>AJ$3*'Yield 1Y'!AF246</f>
        <v>-0.98204541113528732</v>
      </c>
      <c r="AK234" s="72">
        <f>AK$3*'Yield 1Y'!AG246</f>
        <v>-36.520758201192031</v>
      </c>
      <c r="AL234" s="72">
        <f>AL$3*'Yield 1Y'!AH246</f>
        <v>-68.731968115225101</v>
      </c>
      <c r="AM234" s="72">
        <f>AM$3*'Yield 1Y'!AI246</f>
        <v>-67.271544298171122</v>
      </c>
      <c r="AN234" s="72">
        <f>AN$3*'Yield 1Y'!AJ246</f>
        <v>0</v>
      </c>
      <c r="AO234" s="72">
        <f>AO$3*'Yield 1Y'!AK246</f>
        <v>0</v>
      </c>
      <c r="AP234" s="177">
        <f t="shared" si="27"/>
        <v>179.29553384758958</v>
      </c>
      <c r="AQ234" s="124">
        <f>VLOOKUP(AE234,'Yield 1Y'!$F:$G,2,0)</f>
        <v>45895</v>
      </c>
      <c r="AR234" s="318">
        <f t="shared" si="28"/>
        <v>5</v>
      </c>
      <c r="AT234" s="37">
        <v>230</v>
      </c>
      <c r="AU234" s="72">
        <f>AU$3*'Yield 1Y'!AB162</f>
        <v>0</v>
      </c>
      <c r="AV234" s="72">
        <f>AV$3*'Yield 1Y'!AC162</f>
        <v>0</v>
      </c>
      <c r="AW234" s="72">
        <f>AW$3*'Yield 1Y'!AD162</f>
        <v>0</v>
      </c>
      <c r="AX234" s="72">
        <f>AX$3*'Yield 1Y'!AE162</f>
        <v>0</v>
      </c>
      <c r="AY234" s="72">
        <f>AY$3*'Yield 1Y'!AF162</f>
        <v>0</v>
      </c>
      <c r="AZ234" s="72">
        <f>AZ$3*'Yield 1Y'!AG162</f>
        <v>-0.42054923610974332</v>
      </c>
      <c r="BA234" s="72">
        <f>BA$3*'Yield 1Y'!AH162</f>
        <v>-0.45532509924400044</v>
      </c>
      <c r="BB234" s="72">
        <f>BB$3*'Yield 1Y'!AI162</f>
        <v>-0.71927186164199186</v>
      </c>
      <c r="BC234" s="72">
        <f>BC$3*'Yield 1Y'!AJ162</f>
        <v>0</v>
      </c>
      <c r="BD234" s="72">
        <f>BD$3*'Yield 1Y'!AK162</f>
        <v>0</v>
      </c>
      <c r="BE234" s="177">
        <f t="shared" si="29"/>
        <v>1.5951461969957355</v>
      </c>
      <c r="BF234" s="124">
        <f>VLOOKUP(AT234,'Yield 1Y'!$F:$G,2,0)</f>
        <v>45917</v>
      </c>
      <c r="BG234" s="318">
        <f t="shared" si="31"/>
        <v>216</v>
      </c>
    </row>
    <row r="235" spans="1:59" x14ac:dyDescent="0.3">
      <c r="A235" s="37">
        <v>200</v>
      </c>
      <c r="B235" s="72">
        <f>'Yield 1Y'!R202*B$3</f>
        <v>0</v>
      </c>
      <c r="C235" s="72">
        <f>'Yield 1Y'!S202*C$3</f>
        <v>0</v>
      </c>
      <c r="D235" s="72">
        <f>'Yield 1Y'!T202*D$3</f>
        <v>0</v>
      </c>
      <c r="E235" s="72">
        <f>'Yield 1Y'!U202*E$3</f>
        <v>0</v>
      </c>
      <c r="F235" s="72">
        <f>'Yield 1Y'!V202*F$3</f>
        <v>0</v>
      </c>
      <c r="G235" s="72">
        <f>'Yield 1Y'!W202*G$3</f>
        <v>0</v>
      </c>
      <c r="H235" s="72">
        <f>'Yield 1Y'!X202*H$3</f>
        <v>-1.2421440020822418</v>
      </c>
      <c r="I235" s="72">
        <f>'Yield 1Y'!Y202*I$3</f>
        <v>-0.33635772149081827</v>
      </c>
      <c r="J235" s="72">
        <f>'Yield 1Y'!Z202*J$3</f>
        <v>0</v>
      </c>
      <c r="K235" s="72">
        <f>'Yield 1Y'!AA202*K$3</f>
        <v>0</v>
      </c>
      <c r="L235" s="177">
        <f t="shared" si="24"/>
        <v>1.5785017235730601</v>
      </c>
      <c r="M235" s="124">
        <f>VLOOKUP(A235,'Yield 1Y'!$F:$G,2,0)</f>
        <v>45959</v>
      </c>
      <c r="N235" s="318">
        <f t="shared" si="25"/>
        <v>132</v>
      </c>
      <c r="P235" s="37">
        <v>232</v>
      </c>
      <c r="Q235" s="72">
        <f>Q$3*'Yield 1Y'!R234</f>
        <v>0</v>
      </c>
      <c r="R235" s="72">
        <f>R$3*'Yield 1Y'!S234</f>
        <v>0</v>
      </c>
      <c r="S235" s="72">
        <f>S$3*'Yield 1Y'!T234</f>
        <v>0</v>
      </c>
      <c r="T235" s="72">
        <f>T$3*'Yield 1Y'!U234</f>
        <v>0</v>
      </c>
      <c r="U235" s="72">
        <f>U$3*'Yield 1Y'!V234</f>
        <v>0</v>
      </c>
      <c r="V235" s="72">
        <f>V$3*'Yield 1Y'!W234</f>
        <v>0.14018307870324589</v>
      </c>
      <c r="W235" s="72">
        <f>W$3*'Yield 1Y'!X234</f>
        <v>0.56915637405498798</v>
      </c>
      <c r="X235" s="72">
        <f>X$3*'Yield 1Y'!Y234</f>
        <v>-0.11987864360698681</v>
      </c>
      <c r="Y235" s="72">
        <f>Y$3*'Yield 1Y'!Z234</f>
        <v>0</v>
      </c>
      <c r="Z235" s="72">
        <f>Z$3*'Yield 1Y'!AA234</f>
        <v>0</v>
      </c>
      <c r="AA235" s="177">
        <f t="shared" si="26"/>
        <v>-0.58946080915124699</v>
      </c>
      <c r="AB235" s="124">
        <f>VLOOKUP(P235,'Yield 1Y'!$F:$G,2,0)</f>
        <v>45915</v>
      </c>
      <c r="AC235" s="318">
        <f t="shared" si="30"/>
        <v>235</v>
      </c>
      <c r="AE235" s="37">
        <v>83</v>
      </c>
      <c r="AF235" s="72">
        <f>AF$3*'Yield 1Y'!AB85</f>
        <v>0</v>
      </c>
      <c r="AG235" s="72">
        <f>AG$3*'Yield 1Y'!AC85</f>
        <v>0</v>
      </c>
      <c r="AH235" s="72">
        <f>AH$3*'Yield 1Y'!AD85</f>
        <v>-3.6882909077496369E-2</v>
      </c>
      <c r="AI235" s="72">
        <f>AI$3*'Yield 1Y'!AE85</f>
        <v>-0.17308851651034993</v>
      </c>
      <c r="AJ235" s="72">
        <f>AJ$3*'Yield 1Y'!AF85</f>
        <v>-2.3382033598460805E-2</v>
      </c>
      <c r="AK235" s="72">
        <f>AK$3*'Yield 1Y'!AG85</f>
        <v>2.9757654830598881</v>
      </c>
      <c r="AL235" s="72">
        <f>AL$3*'Yield 1Y'!AH85</f>
        <v>0</v>
      </c>
      <c r="AM235" s="72">
        <f>AM$3*'Yield 1Y'!AI85</f>
        <v>0.67271544298178587</v>
      </c>
      <c r="AN235" s="72">
        <f>AN$3*'Yield 1Y'!AJ85</f>
        <v>0</v>
      </c>
      <c r="AO235" s="72">
        <f>AO$3*'Yield 1Y'!AK85</f>
        <v>0</v>
      </c>
      <c r="AP235" s="177">
        <f t="shared" si="27"/>
        <v>-3.4151274668553668</v>
      </c>
      <c r="AQ235" s="124">
        <f>VLOOKUP(AE235,'Yield 1Y'!$F:$G,2,0)</f>
        <v>46133</v>
      </c>
      <c r="AR235" s="318">
        <f t="shared" si="28"/>
        <v>249</v>
      </c>
      <c r="AT235" s="37">
        <v>231</v>
      </c>
      <c r="AU235" s="72">
        <f>AU$3*'Yield 1Y'!AB83</f>
        <v>0</v>
      </c>
      <c r="AV235" s="72">
        <f>AV$3*'Yield 1Y'!AC83</f>
        <v>0</v>
      </c>
      <c r="AW235" s="72">
        <f>AW$3*'Yield 1Y'!AD83</f>
        <v>0</v>
      </c>
      <c r="AX235" s="72">
        <f>AX$3*'Yield 1Y'!AE83</f>
        <v>0</v>
      </c>
      <c r="AY235" s="72">
        <f>AY$3*'Yield 1Y'!AF83</f>
        <v>0</v>
      </c>
      <c r="AZ235" s="72">
        <f>AZ$3*'Yield 1Y'!AG83</f>
        <v>-1.2743916245754256E-2</v>
      </c>
      <c r="BA235" s="72">
        <f>BA$3*'Yield 1Y'!AH83</f>
        <v>-5.2362386413060307</v>
      </c>
      <c r="BB235" s="72">
        <f>BB$3*'Yield 1Y'!AI83</f>
        <v>-0.67931231377299628</v>
      </c>
      <c r="BC235" s="72">
        <f>BC$3*'Yield 1Y'!AJ83</f>
        <v>0</v>
      </c>
      <c r="BD235" s="72">
        <f>BD$3*'Yield 1Y'!AK83</f>
        <v>0</v>
      </c>
      <c r="BE235" s="177">
        <f t="shared" si="29"/>
        <v>5.9282948713247814</v>
      </c>
      <c r="BF235" s="124">
        <f>VLOOKUP(AT235,'Yield 1Y'!$F:$G,2,0)</f>
        <v>45916</v>
      </c>
      <c r="BG235" s="318">
        <f t="shared" si="31"/>
        <v>128</v>
      </c>
    </row>
    <row r="236" spans="1:59" x14ac:dyDescent="0.3">
      <c r="A236" s="37">
        <v>250</v>
      </c>
      <c r="B236" s="72">
        <f>'Yield 1Y'!R252*B$3</f>
        <v>0</v>
      </c>
      <c r="C236" s="72">
        <f>'Yield 1Y'!S252*C$3</f>
        <v>0</v>
      </c>
      <c r="D236" s="72">
        <f>'Yield 1Y'!T252*D$3</f>
        <v>-7.3765818154992738E-2</v>
      </c>
      <c r="E236" s="72">
        <f>'Yield 1Y'!U252*E$3</f>
        <v>-2.8848086085054053E-2</v>
      </c>
      <c r="F236" s="72">
        <f>'Yield 1Y'!V252*F$3</f>
        <v>3.2734847037843469E-2</v>
      </c>
      <c r="G236" s="72">
        <f>'Yield 1Y'!W252*G$3</f>
        <v>1.0820965392945814</v>
      </c>
      <c r="H236" s="72">
        <f>'Yield 1Y'!X252*H$3</f>
        <v>1.2421440020824257</v>
      </c>
      <c r="I236" s="72">
        <f>'Yield 1Y'!Y252*I$3</f>
        <v>-1.0090731644726041</v>
      </c>
      <c r="J236" s="72">
        <f>'Yield 1Y'!Z252*J$3</f>
        <v>0</v>
      </c>
      <c r="K236" s="72">
        <f>'Yield 1Y'!AA252*K$3</f>
        <v>0</v>
      </c>
      <c r="L236" s="177">
        <f t="shared" si="24"/>
        <v>-1.2452883197021996</v>
      </c>
      <c r="M236" s="124">
        <f>VLOOKUP(A236,'Yield 1Y'!$F:$G,2,0)</f>
        <v>45887</v>
      </c>
      <c r="N236" s="318">
        <f t="shared" si="25"/>
        <v>218</v>
      </c>
      <c r="P236" s="37">
        <v>233</v>
      </c>
      <c r="Q236" s="72">
        <f>Q$3*'Yield 1Y'!R235</f>
        <v>0</v>
      </c>
      <c r="R236" s="72">
        <f>R$3*'Yield 1Y'!S235</f>
        <v>0</v>
      </c>
      <c r="S236" s="72">
        <f>S$3*'Yield 1Y'!T235</f>
        <v>0</v>
      </c>
      <c r="T236" s="72">
        <f>T$3*'Yield 1Y'!U235</f>
        <v>0</v>
      </c>
      <c r="U236" s="72">
        <f>U$3*'Yield 1Y'!V235</f>
        <v>0</v>
      </c>
      <c r="V236" s="72">
        <f>V$3*'Yield 1Y'!W235</f>
        <v>-3.8231748737245788E-2</v>
      </c>
      <c r="W236" s="72">
        <f>W$3*'Yield 1Y'!X235</f>
        <v>-0.56915637405498798</v>
      </c>
      <c r="X236" s="72">
        <f>X$3*'Yield 1Y'!Y235</f>
        <v>-0.11987864360700456</v>
      </c>
      <c r="Y236" s="72">
        <f>Y$3*'Yield 1Y'!Z235</f>
        <v>0</v>
      </c>
      <c r="Z236" s="72">
        <f>Z$3*'Yield 1Y'!AA235</f>
        <v>0</v>
      </c>
      <c r="AA236" s="177">
        <f t="shared" si="26"/>
        <v>0.72726676639923826</v>
      </c>
      <c r="AB236" s="124">
        <f>VLOOKUP(P236,'Yield 1Y'!$F:$G,2,0)</f>
        <v>45912</v>
      </c>
      <c r="AC236" s="318">
        <f t="shared" si="30"/>
        <v>68</v>
      </c>
      <c r="AE236" s="37">
        <v>165</v>
      </c>
      <c r="AF236" s="72">
        <f>AF$3*'Yield 1Y'!AB167</f>
        <v>0</v>
      </c>
      <c r="AG236" s="72">
        <f>AG$3*'Yield 1Y'!AC167</f>
        <v>0</v>
      </c>
      <c r="AH236" s="72">
        <f>AH$3*'Yield 1Y'!AD167</f>
        <v>-0.33194618169746731</v>
      </c>
      <c r="AI236" s="72">
        <f>AI$3*'Yield 1Y'!AE167</f>
        <v>-1.9328217676988393</v>
      </c>
      <c r="AJ236" s="72">
        <f>AJ$3*'Yield 1Y'!AF167</f>
        <v>-0.20108548894675005</v>
      </c>
      <c r="AK236" s="72">
        <f>AK$3*'Yield 1Y'!AG167</f>
        <v>-16.772496359066071</v>
      </c>
      <c r="AL236" s="72">
        <f>AL$3*'Yield 1Y'!AH167</f>
        <v>-11.179296018741463</v>
      </c>
      <c r="AM236" s="72">
        <f>AM$3*'Yield 1Y'!AI167</f>
        <v>-9.4180162017439564</v>
      </c>
      <c r="AN236" s="72">
        <f>AN$3*'Yield 1Y'!AJ167</f>
        <v>0</v>
      </c>
      <c r="AO236" s="72">
        <f>AO$3*'Yield 1Y'!AK167</f>
        <v>0</v>
      </c>
      <c r="AP236" s="177">
        <f t="shared" si="27"/>
        <v>39.835662017894549</v>
      </c>
      <c r="AQ236" s="124">
        <f>VLOOKUP(AE236,'Yield 1Y'!$F:$G,2,0)</f>
        <v>46008</v>
      </c>
      <c r="AR236" s="318">
        <f t="shared" si="28"/>
        <v>129</v>
      </c>
      <c r="AT236" s="37">
        <v>232</v>
      </c>
      <c r="AU236" s="72">
        <f>AU$3*'Yield 1Y'!AB29</f>
        <v>0</v>
      </c>
      <c r="AV236" s="72">
        <f>AV$3*'Yield 1Y'!AC29</f>
        <v>0</v>
      </c>
      <c r="AW236" s="72">
        <f>AW$3*'Yield 1Y'!AD29</f>
        <v>0</v>
      </c>
      <c r="AX236" s="72">
        <f>AX$3*'Yield 1Y'!AE29</f>
        <v>0</v>
      </c>
      <c r="AY236" s="72">
        <f>AY$3*'Yield 1Y'!AF29</f>
        <v>0</v>
      </c>
      <c r="AZ236" s="72">
        <f>AZ$3*'Yield 1Y'!AG29</f>
        <v>-0.26762224116074884</v>
      </c>
      <c r="BA236" s="72">
        <f>BA$3*'Yield 1Y'!AH29</f>
        <v>-0.45532509924400044</v>
      </c>
      <c r="BB236" s="72">
        <f>BB$3*'Yield 1Y'!AI29</f>
        <v>-0.31967638295200035</v>
      </c>
      <c r="BC236" s="72">
        <f>BC$3*'Yield 1Y'!AJ29</f>
        <v>0</v>
      </c>
      <c r="BD236" s="72">
        <f>BD$3*'Yield 1Y'!AK29</f>
        <v>0</v>
      </c>
      <c r="BE236" s="177">
        <f t="shared" si="29"/>
        <v>1.0426237233567497</v>
      </c>
      <c r="BF236" s="124">
        <f>VLOOKUP(AT236,'Yield 1Y'!$F:$G,2,0)</f>
        <v>45915</v>
      </c>
      <c r="BG236" s="318">
        <f t="shared" si="31"/>
        <v>233</v>
      </c>
    </row>
    <row r="237" spans="1:59" x14ac:dyDescent="0.3">
      <c r="A237" s="37">
        <v>109</v>
      </c>
      <c r="B237" s="72">
        <f>'Yield 1Y'!R111*B$3</f>
        <v>0</v>
      </c>
      <c r="C237" s="72">
        <f>'Yield 1Y'!S111*C$3</f>
        <v>0</v>
      </c>
      <c r="D237" s="72">
        <f>'Yield 1Y'!T111*D$3</f>
        <v>0</v>
      </c>
      <c r="E237" s="72">
        <f>'Yield 1Y'!U111*E$3</f>
        <v>-0.20193660259540397</v>
      </c>
      <c r="F237" s="72">
        <f>'Yield 1Y'!V111*F$3</f>
        <v>-6.5469694075686938E-2</v>
      </c>
      <c r="G237" s="72">
        <f>'Yield 1Y'!W111*G$3</f>
        <v>0.54104826964723052</v>
      </c>
      <c r="H237" s="72">
        <f>'Yield 1Y'!X111*H$3</f>
        <v>-2.0702400034709547</v>
      </c>
      <c r="I237" s="72">
        <f>'Yield 1Y'!Y111*I$3</f>
        <v>0</v>
      </c>
      <c r="J237" s="72">
        <f>'Yield 1Y'!Z111*J$3</f>
        <v>0</v>
      </c>
      <c r="K237" s="72">
        <f>'Yield 1Y'!AA111*K$3</f>
        <v>0</v>
      </c>
      <c r="L237" s="177">
        <f t="shared" si="24"/>
        <v>1.796598030494815</v>
      </c>
      <c r="M237" s="124">
        <f>VLOOKUP(A237,'Yield 1Y'!$F:$G,2,0)</f>
        <v>46097</v>
      </c>
      <c r="N237" s="318">
        <f t="shared" si="25"/>
        <v>123</v>
      </c>
      <c r="P237" s="37">
        <v>234</v>
      </c>
      <c r="Q237" s="72">
        <f>Q$3*'Yield 1Y'!R236</f>
        <v>0</v>
      </c>
      <c r="R237" s="72">
        <f>R$3*'Yield 1Y'!S236</f>
        <v>0</v>
      </c>
      <c r="S237" s="72">
        <f>S$3*'Yield 1Y'!T236</f>
        <v>0</v>
      </c>
      <c r="T237" s="72">
        <f>T$3*'Yield 1Y'!U236</f>
        <v>0</v>
      </c>
      <c r="U237" s="72">
        <f>U$3*'Yield 1Y'!V236</f>
        <v>0</v>
      </c>
      <c r="V237" s="72">
        <f>V$3*'Yield 1Y'!W236</f>
        <v>-8.9207413720251497E-2</v>
      </c>
      <c r="W237" s="72">
        <f>W$3*'Yield 1Y'!X236</f>
        <v>-1.7074691221650145</v>
      </c>
      <c r="X237" s="72">
        <f>X$3*'Yield 1Y'!Y236</f>
        <v>-0.55943367016599166</v>
      </c>
      <c r="Y237" s="72">
        <f>Y$3*'Yield 1Y'!Z236</f>
        <v>0</v>
      </c>
      <c r="Z237" s="72">
        <f>Z$3*'Yield 1Y'!AA236</f>
        <v>0</v>
      </c>
      <c r="AA237" s="177">
        <f t="shared" si="26"/>
        <v>2.3561102060512575</v>
      </c>
      <c r="AB237" s="124">
        <f>VLOOKUP(P237,'Yield 1Y'!$F:$G,2,0)</f>
        <v>45911</v>
      </c>
      <c r="AC237" s="318">
        <f t="shared" si="30"/>
        <v>28</v>
      </c>
      <c r="AE237" s="37">
        <v>166</v>
      </c>
      <c r="AF237" s="72">
        <f>AF$3*'Yield 1Y'!AB168</f>
        <v>0</v>
      </c>
      <c r="AG237" s="72">
        <f>AG$3*'Yield 1Y'!AC168</f>
        <v>0</v>
      </c>
      <c r="AH237" s="72">
        <f>AH$3*'Yield 1Y'!AD168</f>
        <v>-0.36882909077495957</v>
      </c>
      <c r="AI237" s="72">
        <f>AI$3*'Yield 1Y'!AE168</f>
        <v>-2.2789988007195134</v>
      </c>
      <c r="AJ237" s="72">
        <f>AJ$3*'Yield 1Y'!AF168</f>
        <v>-0.22446752254520877</v>
      </c>
      <c r="AK237" s="72">
        <f>AK$3*'Yield 1Y'!AG168</f>
        <v>-20.289310111773428</v>
      </c>
      <c r="AL237" s="72">
        <f>AL$3*'Yield 1Y'!AH168</f>
        <v>-13.24953602221205</v>
      </c>
      <c r="AM237" s="72">
        <f>AM$3*'Yield 1Y'!AI168</f>
        <v>-11.099804809198197</v>
      </c>
      <c r="AN237" s="72">
        <f>AN$3*'Yield 1Y'!AJ168</f>
        <v>0</v>
      </c>
      <c r="AO237" s="72">
        <f>AO$3*'Yield 1Y'!AK168</f>
        <v>0</v>
      </c>
      <c r="AP237" s="177">
        <f t="shared" si="27"/>
        <v>47.510946357223354</v>
      </c>
      <c r="AQ237" s="124">
        <f>VLOOKUP(AE237,'Yield 1Y'!$F:$G,2,0)</f>
        <v>46007</v>
      </c>
      <c r="AR237" s="318">
        <f t="shared" si="28"/>
        <v>90</v>
      </c>
      <c r="AT237" s="37">
        <v>233</v>
      </c>
      <c r="AU237" s="72">
        <f>AU$3*'Yield 1Y'!AB222</f>
        <v>0</v>
      </c>
      <c r="AV237" s="72">
        <f>AV$3*'Yield 1Y'!AC222</f>
        <v>0</v>
      </c>
      <c r="AW237" s="72">
        <f>AW$3*'Yield 1Y'!AD222</f>
        <v>0</v>
      </c>
      <c r="AX237" s="72">
        <f>AX$3*'Yield 1Y'!AE222</f>
        <v>0</v>
      </c>
      <c r="AY237" s="72">
        <f>AY$3*'Yield 1Y'!AF222</f>
        <v>0</v>
      </c>
      <c r="AZ237" s="72">
        <f>AZ$3*'Yield 1Y'!AG222</f>
        <v>-0.3695735711267546</v>
      </c>
      <c r="BA237" s="72">
        <f>BA$3*'Yield 1Y'!AH222</f>
        <v>-3.0734444198970157</v>
      </c>
      <c r="BB237" s="72">
        <f>BB$3*'Yield 1Y'!AI222</f>
        <v>-1.5983819147600016</v>
      </c>
      <c r="BC237" s="72">
        <f>BC$3*'Yield 1Y'!AJ222</f>
        <v>0</v>
      </c>
      <c r="BD237" s="72">
        <f>BD$3*'Yield 1Y'!AK222</f>
        <v>0</v>
      </c>
      <c r="BE237" s="177">
        <f t="shared" si="29"/>
        <v>5.0413999057837717</v>
      </c>
      <c r="BF237" s="124">
        <f>VLOOKUP(AT237,'Yield 1Y'!$F:$G,2,0)</f>
        <v>45912</v>
      </c>
      <c r="BG237" s="318">
        <f t="shared" si="31"/>
        <v>154</v>
      </c>
    </row>
    <row r="238" spans="1:59" x14ac:dyDescent="0.3">
      <c r="A238" s="37">
        <v>204</v>
      </c>
      <c r="B238" s="72">
        <f>'Yield 1Y'!R206*B$3</f>
        <v>0</v>
      </c>
      <c r="C238" s="72">
        <f>'Yield 1Y'!S206*C$3</f>
        <v>0</v>
      </c>
      <c r="D238" s="72">
        <f>'Yield 1Y'!T206*D$3</f>
        <v>0</v>
      </c>
      <c r="E238" s="72">
        <f>'Yield 1Y'!U206*E$3</f>
        <v>0</v>
      </c>
      <c r="F238" s="72">
        <f>'Yield 1Y'!V206*F$3</f>
        <v>0</v>
      </c>
      <c r="G238" s="72">
        <f>'Yield 1Y'!W206*G$3</f>
        <v>0.54104826964735075</v>
      </c>
      <c r="H238" s="72">
        <f>'Yield 1Y'!X206*H$3</f>
        <v>-11.179296018741463</v>
      </c>
      <c r="I238" s="72">
        <f>'Yield 1Y'!Y206*I$3</f>
        <v>-10.090731644725743</v>
      </c>
      <c r="J238" s="72">
        <f>'Yield 1Y'!Z206*J$3</f>
        <v>0</v>
      </c>
      <c r="K238" s="72">
        <f>'Yield 1Y'!AA206*K$3</f>
        <v>0</v>
      </c>
      <c r="L238" s="177">
        <f t="shared" si="24"/>
        <v>20.728979393819856</v>
      </c>
      <c r="M238" s="124">
        <f>VLOOKUP(A238,'Yield 1Y'!$F:$G,2,0)</f>
        <v>45953</v>
      </c>
      <c r="N238" s="318">
        <f t="shared" si="25"/>
        <v>17</v>
      </c>
      <c r="P238" s="37">
        <v>235</v>
      </c>
      <c r="Q238" s="72">
        <f>Q$3*'Yield 1Y'!R237</f>
        <v>0</v>
      </c>
      <c r="R238" s="72">
        <f>R$3*'Yield 1Y'!S237</f>
        <v>0</v>
      </c>
      <c r="S238" s="72">
        <f>S$3*'Yield 1Y'!T237</f>
        <v>0</v>
      </c>
      <c r="T238" s="72">
        <f>T$3*'Yield 1Y'!U237</f>
        <v>0</v>
      </c>
      <c r="U238" s="72">
        <f>U$3*'Yield 1Y'!V237</f>
        <v>0</v>
      </c>
      <c r="V238" s="72">
        <f>V$3*'Yield 1Y'!W237</f>
        <v>-1.2743916245748598E-2</v>
      </c>
      <c r="W238" s="72">
        <f>W$3*'Yield 1Y'!X237</f>
        <v>-0.22766254962202551</v>
      </c>
      <c r="X238" s="72">
        <f>X$3*'Yield 1Y'!Y237</f>
        <v>-7.9919095738008955E-2</v>
      </c>
      <c r="Y238" s="72">
        <f>Y$3*'Yield 1Y'!Z237</f>
        <v>0</v>
      </c>
      <c r="Z238" s="72">
        <f>Z$3*'Yield 1Y'!AA237</f>
        <v>0</v>
      </c>
      <c r="AA238" s="177">
        <f t="shared" si="26"/>
        <v>0.32032556160578307</v>
      </c>
      <c r="AB238" s="124">
        <f>VLOOKUP(P238,'Yield 1Y'!$F:$G,2,0)</f>
        <v>45910</v>
      </c>
      <c r="AC238" s="318">
        <f t="shared" si="30"/>
        <v>124</v>
      </c>
      <c r="AE238" s="37">
        <v>64</v>
      </c>
      <c r="AF238" s="72">
        <f>AF$3*'Yield 1Y'!AB66</f>
        <v>0</v>
      </c>
      <c r="AG238" s="72">
        <f>AG$3*'Yield 1Y'!AC66</f>
        <v>0</v>
      </c>
      <c r="AH238" s="72">
        <f>AH$3*'Yield 1Y'!AD66</f>
        <v>-1.8441454538750231E-2</v>
      </c>
      <c r="AI238" s="72">
        <f>AI$3*'Yield 1Y'!AE66</f>
        <v>-0.89429066863679085</v>
      </c>
      <c r="AJ238" s="72">
        <f>AJ$3*'Yield 1Y'!AF66</f>
        <v>-9.3528134393847367E-3</v>
      </c>
      <c r="AK238" s="72">
        <f>AK$3*'Yield 1Y'!AG66</f>
        <v>-8.3862481795329149</v>
      </c>
      <c r="AL238" s="72">
        <f>AL$3*'Yield 1Y'!AH66</f>
        <v>0</v>
      </c>
      <c r="AM238" s="72">
        <f>AM$3*'Yield 1Y'!AI66</f>
        <v>-2.018146328945059</v>
      </c>
      <c r="AN238" s="72">
        <f>AN$3*'Yield 1Y'!AJ66</f>
        <v>0</v>
      </c>
      <c r="AO238" s="72">
        <f>AO$3*'Yield 1Y'!AK66</f>
        <v>0</v>
      </c>
      <c r="AP238" s="177">
        <f t="shared" si="27"/>
        <v>11.3264794450929</v>
      </c>
      <c r="AQ238" s="124">
        <f>VLOOKUP(AE238,'Yield 1Y'!$F:$G,2,0)</f>
        <v>46163</v>
      </c>
      <c r="AR238" s="318">
        <f t="shared" si="28"/>
        <v>224</v>
      </c>
      <c r="AT238" s="37">
        <v>234</v>
      </c>
      <c r="AU238" s="72">
        <f>AU$3*'Yield 1Y'!AB36</f>
        <v>0</v>
      </c>
      <c r="AV238" s="72">
        <f>AV$3*'Yield 1Y'!AC36</f>
        <v>0</v>
      </c>
      <c r="AW238" s="72">
        <f>AW$3*'Yield 1Y'!AD36</f>
        <v>0</v>
      </c>
      <c r="AX238" s="72">
        <f>AX$3*'Yield 1Y'!AE36</f>
        <v>0</v>
      </c>
      <c r="AY238" s="72">
        <f>AY$3*'Yield 1Y'!AF36</f>
        <v>0</v>
      </c>
      <c r="AZ238" s="72">
        <f>AZ$3*'Yield 1Y'!AG36</f>
        <v>-0.36957357112674893</v>
      </c>
      <c r="BA238" s="72">
        <f>BA$3*'Yield 1Y'!AH36</f>
        <v>-2.3904567710310403</v>
      </c>
      <c r="BB238" s="72">
        <f>BB$3*'Yield 1Y'!AI36</f>
        <v>-0.71927186164199186</v>
      </c>
      <c r="BC238" s="72">
        <f>BC$3*'Yield 1Y'!AJ36</f>
        <v>0</v>
      </c>
      <c r="BD238" s="72">
        <f>BD$3*'Yield 1Y'!AK36</f>
        <v>0</v>
      </c>
      <c r="BE238" s="177">
        <f t="shared" si="29"/>
        <v>3.4793022037997812</v>
      </c>
      <c r="BF238" s="124">
        <f>VLOOKUP(AT238,'Yield 1Y'!$F:$G,2,0)</f>
        <v>45911</v>
      </c>
      <c r="BG238" s="318">
        <f t="shared" si="31"/>
        <v>187</v>
      </c>
    </row>
    <row r="239" spans="1:59" x14ac:dyDescent="0.3">
      <c r="A239" s="37">
        <v>139</v>
      </c>
      <c r="B239" s="72">
        <f>'Yield 1Y'!R141*B$3</f>
        <v>0</v>
      </c>
      <c r="C239" s="72">
        <f>'Yield 1Y'!S141*C$3</f>
        <v>0</v>
      </c>
      <c r="D239" s="72">
        <f>'Yield 1Y'!T141*D$3</f>
        <v>0</v>
      </c>
      <c r="E239" s="72">
        <f>'Yield 1Y'!U141*E$3</f>
        <v>-8.6544258255174963E-2</v>
      </c>
      <c r="F239" s="72">
        <f>'Yield 1Y'!V141*F$3</f>
        <v>-2.3382033598460805E-2</v>
      </c>
      <c r="G239" s="72">
        <f>'Yield 1Y'!W141*G$3</f>
        <v>1.3526206741183167</v>
      </c>
      <c r="H239" s="72">
        <f>'Yield 1Y'!X141*H$3</f>
        <v>-2.070240003470587</v>
      </c>
      <c r="I239" s="72">
        <f>'Yield 1Y'!Y141*I$3</f>
        <v>-1.0090731644726041</v>
      </c>
      <c r="J239" s="72">
        <f>'Yield 1Y'!Z141*J$3</f>
        <v>0</v>
      </c>
      <c r="K239" s="72">
        <f>'Yield 1Y'!AA141*K$3</f>
        <v>0</v>
      </c>
      <c r="L239" s="177">
        <f t="shared" si="24"/>
        <v>1.8366187856785101</v>
      </c>
      <c r="M239" s="124">
        <f>VLOOKUP(A239,'Yield 1Y'!$F:$G,2,0)</f>
        <v>46048</v>
      </c>
      <c r="N239" s="318">
        <f t="shared" si="25"/>
        <v>121</v>
      </c>
      <c r="P239" s="37">
        <v>236</v>
      </c>
      <c r="Q239" s="72">
        <f>Q$3*'Yield 1Y'!R238</f>
        <v>0</v>
      </c>
      <c r="R239" s="72">
        <f>R$3*'Yield 1Y'!S238</f>
        <v>0</v>
      </c>
      <c r="S239" s="72">
        <f>S$3*'Yield 1Y'!T238</f>
        <v>0</v>
      </c>
      <c r="T239" s="72">
        <f>T$3*'Yield 1Y'!U238</f>
        <v>0</v>
      </c>
      <c r="U239" s="72">
        <f>U$3*'Yield 1Y'!V238</f>
        <v>0</v>
      </c>
      <c r="V239" s="72">
        <f>V$3*'Yield 1Y'!W238</f>
        <v>1.2743916245748598E-2</v>
      </c>
      <c r="W239" s="72">
        <f>W$3*'Yield 1Y'!X238</f>
        <v>-0.22766254962197496</v>
      </c>
      <c r="X239" s="72">
        <f>X$3*'Yield 1Y'!Y238</f>
        <v>-3.9959547868995603E-2</v>
      </c>
      <c r="Y239" s="72">
        <f>Y$3*'Yield 1Y'!Z238</f>
        <v>0</v>
      </c>
      <c r="Z239" s="72">
        <f>Z$3*'Yield 1Y'!AA238</f>
        <v>0</v>
      </c>
      <c r="AA239" s="177">
        <f t="shared" si="26"/>
        <v>0.25487818124522194</v>
      </c>
      <c r="AB239" s="124">
        <f>VLOOKUP(P239,'Yield 1Y'!$F:$G,2,0)</f>
        <v>45909</v>
      </c>
      <c r="AC239" s="318">
        <f t="shared" si="30"/>
        <v>134</v>
      </c>
      <c r="AE239" s="37">
        <v>54</v>
      </c>
      <c r="AF239" s="72">
        <f>AF$3*'Yield 1Y'!AB56</f>
        <v>0</v>
      </c>
      <c r="AG239" s="72">
        <f>AG$3*'Yield 1Y'!AC56</f>
        <v>0</v>
      </c>
      <c r="AH239" s="72">
        <f>AH$3*'Yield 1Y'!AD56</f>
        <v>-0.57168509070119167</v>
      </c>
      <c r="AI239" s="72">
        <f>AI$3*'Yield 1Y'!AE56</f>
        <v>-4.413757171013744</v>
      </c>
      <c r="AJ239" s="72">
        <f>AJ$3*'Yield 1Y'!AF56</f>
        <v>-0.28993721662089361</v>
      </c>
      <c r="AK239" s="72">
        <f>AK$3*'Yield 1Y'!AG56</f>
        <v>-41.931240897665056</v>
      </c>
      <c r="AL239" s="72">
        <f>AL$3*'Yield 1Y'!AH56</f>
        <v>-26.91312004511818</v>
      </c>
      <c r="AM239" s="72">
        <f>AM$3*'Yield 1Y'!AI56</f>
        <v>-21.863251896905727</v>
      </c>
      <c r="AN239" s="72">
        <f>AN$3*'Yield 1Y'!AJ56</f>
        <v>0</v>
      </c>
      <c r="AO239" s="72">
        <f>AO$3*'Yield 1Y'!AK56</f>
        <v>0</v>
      </c>
      <c r="AP239" s="177">
        <f t="shared" si="27"/>
        <v>95.982992318024785</v>
      </c>
      <c r="AQ239" s="124">
        <f>VLOOKUP(AE239,'Yield 1Y'!$F:$G,2,0)</f>
        <v>46177</v>
      </c>
      <c r="AR239" s="318">
        <f t="shared" si="28"/>
        <v>42</v>
      </c>
      <c r="AT239" s="37">
        <v>235</v>
      </c>
      <c r="AU239" s="72">
        <f>AU$3*'Yield 1Y'!AB28</f>
        <v>0</v>
      </c>
      <c r="AV239" s="72">
        <f>AV$3*'Yield 1Y'!AC28</f>
        <v>0</v>
      </c>
      <c r="AW239" s="72">
        <f>AW$3*'Yield 1Y'!AD28</f>
        <v>0</v>
      </c>
      <c r="AX239" s="72">
        <f>AX$3*'Yield 1Y'!AE28</f>
        <v>0</v>
      </c>
      <c r="AY239" s="72">
        <f>AY$3*'Yield 1Y'!AF28</f>
        <v>0</v>
      </c>
      <c r="AZ239" s="72">
        <f>AZ$3*'Yield 1Y'!AG28</f>
        <v>-2.5487832491497196E-2</v>
      </c>
      <c r="BA239" s="72">
        <f>BA$3*'Yield 1Y'!AH28</f>
        <v>0</v>
      </c>
      <c r="BB239" s="72">
        <f>BB$3*'Yield 1Y'!AI28</f>
        <v>-0.15983819147600017</v>
      </c>
      <c r="BC239" s="72">
        <f>BC$3*'Yield 1Y'!AJ28</f>
        <v>0</v>
      </c>
      <c r="BD239" s="72">
        <f>BD$3*'Yield 1Y'!AK28</f>
        <v>0</v>
      </c>
      <c r="BE239" s="177">
        <f t="shared" si="29"/>
        <v>0.18532602396749737</v>
      </c>
      <c r="BF239" s="124">
        <f>VLOOKUP(AT239,'Yield 1Y'!$F:$G,2,0)</f>
        <v>45910</v>
      </c>
      <c r="BG239" s="318">
        <f t="shared" si="31"/>
        <v>246</v>
      </c>
    </row>
    <row r="240" spans="1:59" x14ac:dyDescent="0.3">
      <c r="A240" s="37">
        <v>183</v>
      </c>
      <c r="B240" s="72">
        <f>'Yield 1Y'!R185*B$3</f>
        <v>0</v>
      </c>
      <c r="C240" s="72">
        <f>'Yield 1Y'!S185*C$3</f>
        <v>0</v>
      </c>
      <c r="D240" s="72">
        <f>'Yield 1Y'!T185*D$3</f>
        <v>-3.6882909077496369E-2</v>
      </c>
      <c r="E240" s="72">
        <f>'Yield 1Y'!U185*E$3</f>
        <v>-5.7696172170108105E-2</v>
      </c>
      <c r="F240" s="72">
        <f>'Yield 1Y'!V185*F$3</f>
        <v>0</v>
      </c>
      <c r="G240" s="72">
        <f>'Yield 1Y'!W185*G$3</f>
        <v>0</v>
      </c>
      <c r="H240" s="72">
        <f>'Yield 1Y'!X185*H$3</f>
        <v>7.4528640124943699</v>
      </c>
      <c r="I240" s="72">
        <f>'Yield 1Y'!Y185*I$3</f>
        <v>-0.67271544298163655</v>
      </c>
      <c r="J240" s="72">
        <f>'Yield 1Y'!Z185*J$3</f>
        <v>0</v>
      </c>
      <c r="K240" s="72">
        <f>'Yield 1Y'!AA185*K$3</f>
        <v>0</v>
      </c>
      <c r="L240" s="177">
        <f t="shared" si="24"/>
        <v>-6.6855694882651289</v>
      </c>
      <c r="M240" s="124">
        <f>VLOOKUP(A240,'Yield 1Y'!$F:$G,2,0)</f>
        <v>45982</v>
      </c>
      <c r="N240" s="318">
        <f t="shared" si="25"/>
        <v>248</v>
      </c>
      <c r="P240" s="37">
        <v>237</v>
      </c>
      <c r="Q240" s="72">
        <f>Q$3*'Yield 1Y'!R239</f>
        <v>0</v>
      </c>
      <c r="R240" s="72">
        <f>R$3*'Yield 1Y'!S239</f>
        <v>0</v>
      </c>
      <c r="S240" s="72">
        <f>S$3*'Yield 1Y'!T239</f>
        <v>0</v>
      </c>
      <c r="T240" s="72">
        <f>T$3*'Yield 1Y'!U239</f>
        <v>0</v>
      </c>
      <c r="U240" s="72">
        <f>U$3*'Yield 1Y'!V239</f>
        <v>0</v>
      </c>
      <c r="V240" s="72">
        <f>V$3*'Yield 1Y'!W239</f>
        <v>-1.2743916245748598E-2</v>
      </c>
      <c r="W240" s="72">
        <f>W$3*'Yield 1Y'!X239</f>
        <v>-0.22766254962202551</v>
      </c>
      <c r="X240" s="72">
        <f>X$3*'Yield 1Y'!Y239</f>
        <v>0</v>
      </c>
      <c r="Y240" s="72">
        <f>Y$3*'Yield 1Y'!Z239</f>
        <v>0</v>
      </c>
      <c r="Z240" s="72">
        <f>Z$3*'Yield 1Y'!AA239</f>
        <v>0</v>
      </c>
      <c r="AA240" s="177">
        <f t="shared" si="26"/>
        <v>0.24040646586777412</v>
      </c>
      <c r="AB240" s="124">
        <f>VLOOKUP(P240,'Yield 1Y'!$F:$G,2,0)</f>
        <v>45908</v>
      </c>
      <c r="AC240" s="318">
        <f t="shared" si="30"/>
        <v>135</v>
      </c>
      <c r="AE240" s="37">
        <v>168</v>
      </c>
      <c r="AF240" s="72">
        <f>AF$3*'Yield 1Y'!AB170</f>
        <v>0</v>
      </c>
      <c r="AG240" s="72">
        <f>AG$3*'Yield 1Y'!AC170</f>
        <v>0</v>
      </c>
      <c r="AH240" s="72">
        <f>AH$3*'Yield 1Y'!AD170</f>
        <v>-0.4425949089299564</v>
      </c>
      <c r="AI240" s="72">
        <f>AI$3*'Yield 1Y'!AE170</f>
        <v>-2.7117200919953754</v>
      </c>
      <c r="AJ240" s="72">
        <f>AJ$3*'Yield 1Y'!AF170</f>
        <v>-0.28058440318151096</v>
      </c>
      <c r="AK240" s="72">
        <f>AK$3*'Yield 1Y'!AG170</f>
        <v>-24.076647999304285</v>
      </c>
      <c r="AL240" s="72">
        <f>AL$3*'Yield 1Y'!AH170</f>
        <v>-21.530496036094583</v>
      </c>
      <c r="AM240" s="72">
        <f>AM$3*'Yield 1Y'!AI170</f>
        <v>-13.454308859634224</v>
      </c>
      <c r="AN240" s="72">
        <f>AN$3*'Yield 1Y'!AJ170</f>
        <v>0</v>
      </c>
      <c r="AO240" s="72">
        <f>AO$3*'Yield 1Y'!AK170</f>
        <v>0</v>
      </c>
      <c r="AP240" s="177">
        <f t="shared" si="27"/>
        <v>62.496352299139936</v>
      </c>
      <c r="AQ240" s="124">
        <f>VLOOKUP(AE240,'Yield 1Y'!$F:$G,2,0)</f>
        <v>46003</v>
      </c>
      <c r="AR240" s="318">
        <f t="shared" si="28"/>
        <v>61</v>
      </c>
      <c r="AT240" s="37">
        <v>236</v>
      </c>
      <c r="AU240" s="72">
        <f>AU$3*'Yield 1Y'!AB251</f>
        <v>0</v>
      </c>
      <c r="AV240" s="72">
        <f>AV$3*'Yield 1Y'!AC251</f>
        <v>0</v>
      </c>
      <c r="AW240" s="72">
        <f>AW$3*'Yield 1Y'!AD251</f>
        <v>0</v>
      </c>
      <c r="AX240" s="72">
        <f>AX$3*'Yield 1Y'!AE251</f>
        <v>0</v>
      </c>
      <c r="AY240" s="72">
        <f>AY$3*'Yield 1Y'!AF251</f>
        <v>0</v>
      </c>
      <c r="AZ240" s="72">
        <f>AZ$3*'Yield 1Y'!AG251</f>
        <v>-0.98128155092274949</v>
      </c>
      <c r="BA240" s="72">
        <f>BA$3*'Yield 1Y'!AH251</f>
        <v>-15.594884649107003</v>
      </c>
      <c r="BB240" s="72">
        <f>BB$3*'Yield 1Y'!AI251</f>
        <v>-3.9559952390310085</v>
      </c>
      <c r="BC240" s="72">
        <f>BC$3*'Yield 1Y'!AJ251</f>
        <v>0</v>
      </c>
      <c r="BD240" s="72">
        <f>BD$3*'Yield 1Y'!AK251</f>
        <v>0</v>
      </c>
      <c r="BE240" s="177">
        <f t="shared" si="29"/>
        <v>20.532161439060761</v>
      </c>
      <c r="BF240" s="124">
        <f>VLOOKUP(AT240,'Yield 1Y'!$F:$G,2,0)</f>
        <v>45909</v>
      </c>
      <c r="BG240" s="318">
        <f t="shared" si="31"/>
        <v>27</v>
      </c>
    </row>
    <row r="241" spans="1:59" x14ac:dyDescent="0.3">
      <c r="A241" s="37">
        <v>87</v>
      </c>
      <c r="B241" s="72">
        <f>'Yield 1Y'!R89*B$3</f>
        <v>0</v>
      </c>
      <c r="C241" s="72">
        <f>'Yield 1Y'!S89*C$3</f>
        <v>0</v>
      </c>
      <c r="D241" s="72">
        <f>'Yield 1Y'!T89*D$3</f>
        <v>0</v>
      </c>
      <c r="E241" s="72">
        <f>'Yield 1Y'!U89*E$3</f>
        <v>5.7696172170120914E-2</v>
      </c>
      <c r="F241" s="72">
        <f>'Yield 1Y'!V89*F$3</f>
        <v>9.3528134393826602E-3</v>
      </c>
      <c r="G241" s="72">
        <f>'Yield 1Y'!W89*G$3</f>
        <v>0.81157240447096601</v>
      </c>
      <c r="H241" s="72">
        <f>'Yield 1Y'!X89*H$3</f>
        <v>2.8983360048587481</v>
      </c>
      <c r="I241" s="72">
        <f>'Yield 1Y'!Y89*I$3</f>
        <v>1.0090731644726041</v>
      </c>
      <c r="J241" s="72">
        <f>'Yield 1Y'!Z89*J$3</f>
        <v>0</v>
      </c>
      <c r="K241" s="72">
        <f>'Yield 1Y'!AA89*K$3</f>
        <v>0</v>
      </c>
      <c r="L241" s="177">
        <f t="shared" si="24"/>
        <v>-4.786030559411822</v>
      </c>
      <c r="M241" s="124">
        <f>VLOOKUP(A241,'Yield 1Y'!$F:$G,2,0)</f>
        <v>46127</v>
      </c>
      <c r="N241" s="318">
        <f t="shared" si="25"/>
        <v>246</v>
      </c>
      <c r="P241" s="37">
        <v>238</v>
      </c>
      <c r="Q241" s="72">
        <f>Q$3*'Yield 1Y'!R240</f>
        <v>0</v>
      </c>
      <c r="R241" s="72">
        <f>R$3*'Yield 1Y'!S240</f>
        <v>0</v>
      </c>
      <c r="S241" s="72">
        <f>S$3*'Yield 1Y'!T240</f>
        <v>0</v>
      </c>
      <c r="T241" s="72">
        <f>T$3*'Yield 1Y'!U240</f>
        <v>0</v>
      </c>
      <c r="U241" s="72">
        <f>U$3*'Yield 1Y'!V240</f>
        <v>0</v>
      </c>
      <c r="V241" s="72">
        <f>V$3*'Yield 1Y'!W240</f>
        <v>0.2166465761777488</v>
      </c>
      <c r="W241" s="72">
        <f>W$3*'Yield 1Y'!X240</f>
        <v>1.3659752977320014</v>
      </c>
      <c r="X241" s="72">
        <f>X$3*'Yield 1Y'!Y240</f>
        <v>0</v>
      </c>
      <c r="Y241" s="72">
        <f>Y$3*'Yield 1Y'!Z240</f>
        <v>0</v>
      </c>
      <c r="Z241" s="72">
        <f>Z$3*'Yield 1Y'!AA240</f>
        <v>0</v>
      </c>
      <c r="AA241" s="177">
        <f t="shared" si="26"/>
        <v>-1.5826218739097502</v>
      </c>
      <c r="AB241" s="124">
        <f>VLOOKUP(P241,'Yield 1Y'!$F:$G,2,0)</f>
        <v>45905</v>
      </c>
      <c r="AC241" s="318">
        <f t="shared" si="30"/>
        <v>248</v>
      </c>
      <c r="AE241" s="37">
        <v>174</v>
      </c>
      <c r="AF241" s="72">
        <f>AF$3*'Yield 1Y'!AB176</f>
        <v>0</v>
      </c>
      <c r="AG241" s="72">
        <f>AG$3*'Yield 1Y'!AC176</f>
        <v>0</v>
      </c>
      <c r="AH241" s="72">
        <f>AH$3*'Yield 1Y'!AD176</f>
        <v>-0.23051818173435126</v>
      </c>
      <c r="AI241" s="72">
        <f>AI$3*'Yield 1Y'!AE176</f>
        <v>-1.4712523903379104</v>
      </c>
      <c r="AJ241" s="72">
        <f>AJ$3*'Yield 1Y'!AF176</f>
        <v>-0.13561579487106312</v>
      </c>
      <c r="AK241" s="72">
        <f>AK$3*'Yield 1Y'!AG176</f>
        <v>-13.255682606358711</v>
      </c>
      <c r="AL241" s="72">
        <f>AL$3*'Yield 1Y'!AH176</f>
        <v>-12.007392020129624</v>
      </c>
      <c r="AM241" s="72">
        <f>AM$3*'Yield 1Y'!AI176</f>
        <v>-7.3998698727987486</v>
      </c>
      <c r="AN241" s="72">
        <f>AN$3*'Yield 1Y'!AJ176</f>
        <v>0</v>
      </c>
      <c r="AO241" s="72">
        <f>AO$3*'Yield 1Y'!AK176</f>
        <v>0</v>
      </c>
      <c r="AP241" s="177">
        <f t="shared" si="27"/>
        <v>34.500330866230406</v>
      </c>
      <c r="AQ241" s="124">
        <f>VLOOKUP(AE241,'Yield 1Y'!$F:$G,2,0)</f>
        <v>45995</v>
      </c>
      <c r="AR241" s="318">
        <f t="shared" si="28"/>
        <v>149</v>
      </c>
      <c r="AT241" s="37">
        <v>238</v>
      </c>
      <c r="AU241" s="72">
        <f>AU$3*'Yield 1Y'!AB7</f>
        <v>0</v>
      </c>
      <c r="AV241" s="72">
        <f>AV$3*'Yield 1Y'!AC7</f>
        <v>0</v>
      </c>
      <c r="AW241" s="72">
        <f>AW$3*'Yield 1Y'!AD7</f>
        <v>0</v>
      </c>
      <c r="AX241" s="72">
        <f>AX$3*'Yield 1Y'!AE7</f>
        <v>0</v>
      </c>
      <c r="AY241" s="72">
        <f>AY$3*'Yield 1Y'!AF7</f>
        <v>0</v>
      </c>
      <c r="AZ241" s="72">
        <f>AZ$3*'Yield 1Y'!AG7</f>
        <v>-0.11469524621174303</v>
      </c>
      <c r="BA241" s="72">
        <f>BA$3*'Yield 1Y'!AH7</f>
        <v>-7.0575390382820329</v>
      </c>
      <c r="BB241" s="72">
        <f>BB$3*'Yield 1Y'!AI7</f>
        <v>-1.6383414626289972</v>
      </c>
      <c r="BC241" s="72">
        <f>BC$3*'Yield 1Y'!AJ7</f>
        <v>0</v>
      </c>
      <c r="BD241" s="72">
        <f>BD$3*'Yield 1Y'!AK7</f>
        <v>0</v>
      </c>
      <c r="BE241" s="177">
        <f t="shared" si="29"/>
        <v>8.8105757471227726</v>
      </c>
      <c r="BF241" s="124">
        <f>VLOOKUP(AT241,'Yield 1Y'!$F:$G,2,0)</f>
        <v>45905</v>
      </c>
      <c r="BG241" s="318">
        <f t="shared" si="31"/>
        <v>75</v>
      </c>
    </row>
    <row r="242" spans="1:59" x14ac:dyDescent="0.3">
      <c r="A242" s="37">
        <v>175</v>
      </c>
      <c r="B242" s="72">
        <f>'Yield 1Y'!R177*B$3</f>
        <v>0</v>
      </c>
      <c r="C242" s="72">
        <f>'Yield 1Y'!S177*C$3</f>
        <v>0</v>
      </c>
      <c r="D242" s="72">
        <f>'Yield 1Y'!T177*D$3</f>
        <v>-4.6103636346869432E-2</v>
      </c>
      <c r="E242" s="72">
        <f>'Yield 1Y'!U177*E$3</f>
        <v>-5.7696172170108105E-2</v>
      </c>
      <c r="F242" s="72">
        <f>'Yield 1Y'!V177*F$3</f>
        <v>0</v>
      </c>
      <c r="G242" s="72">
        <f>'Yield 1Y'!W177*G$3</f>
        <v>-0.81157240447084589</v>
      </c>
      <c r="H242" s="72">
        <f>'Yield 1Y'!X177*H$3</f>
        <v>-7.8669120131882666</v>
      </c>
      <c r="I242" s="72">
        <f>'Yield 1Y'!Y177*I$3</f>
        <v>-5.0453658223628715</v>
      </c>
      <c r="J242" s="72">
        <f>'Yield 1Y'!Z177*J$3</f>
        <v>0</v>
      </c>
      <c r="K242" s="72">
        <f>'Yield 1Y'!AA177*K$3</f>
        <v>0</v>
      </c>
      <c r="L242" s="177">
        <f t="shared" si="24"/>
        <v>13.827650048538962</v>
      </c>
      <c r="M242" s="124">
        <f>VLOOKUP(A242,'Yield 1Y'!$F:$G,2,0)</f>
        <v>45994</v>
      </c>
      <c r="N242" s="318">
        <f t="shared" si="25"/>
        <v>29</v>
      </c>
      <c r="P242" s="37">
        <v>239</v>
      </c>
      <c r="Q242" s="72">
        <f>Q$3*'Yield 1Y'!R241</f>
        <v>0</v>
      </c>
      <c r="R242" s="72">
        <f>R$3*'Yield 1Y'!S241</f>
        <v>0</v>
      </c>
      <c r="S242" s="72">
        <f>S$3*'Yield 1Y'!T241</f>
        <v>0</v>
      </c>
      <c r="T242" s="72">
        <f>T$3*'Yield 1Y'!U241</f>
        <v>0</v>
      </c>
      <c r="U242" s="72">
        <f>U$3*'Yield 1Y'!V241</f>
        <v>0</v>
      </c>
      <c r="V242" s="72">
        <f>V$3*'Yield 1Y'!W241</f>
        <v>0.10195132996600009</v>
      </c>
      <c r="W242" s="72">
        <f>W$3*'Yield 1Y'!X241</f>
        <v>-0.22766254962197496</v>
      </c>
      <c r="X242" s="72">
        <f>X$3*'Yield 1Y'!Y241</f>
        <v>-0.19979773934499578</v>
      </c>
      <c r="Y242" s="72">
        <f>Y$3*'Yield 1Y'!Z241</f>
        <v>0</v>
      </c>
      <c r="Z242" s="72">
        <f>Z$3*'Yield 1Y'!AA241</f>
        <v>0</v>
      </c>
      <c r="AA242" s="177">
        <f t="shared" si="26"/>
        <v>0.32550895900097065</v>
      </c>
      <c r="AB242" s="124">
        <f>VLOOKUP(P242,'Yield 1Y'!$F:$G,2,0)</f>
        <v>45904</v>
      </c>
      <c r="AC242" s="318">
        <f t="shared" si="30"/>
        <v>123</v>
      </c>
      <c r="AE242" s="37">
        <v>55</v>
      </c>
      <c r="AF242" s="72">
        <f>AF$3*'Yield 1Y'!AB57</f>
        <v>0</v>
      </c>
      <c r="AG242" s="72">
        <f>AG$3*'Yield 1Y'!AC57</f>
        <v>0</v>
      </c>
      <c r="AH242" s="72">
        <f>AH$3*'Yield 1Y'!AD57</f>
        <v>-0.49791927254619889</v>
      </c>
      <c r="AI242" s="72">
        <f>AI$3*'Yield 1Y'!AE57</f>
        <v>-4.5291495153539856</v>
      </c>
      <c r="AJ242" s="72">
        <f>AJ$3*'Yield 1Y'!AF57</f>
        <v>-0.25252596286335882</v>
      </c>
      <c r="AK242" s="72">
        <f>AK$3*'Yield 1Y'!AG57</f>
        <v>-43.013337436959759</v>
      </c>
      <c r="AL242" s="72">
        <f>AL$3*'Yield 1Y'!AH57</f>
        <v>-23.186688038870905</v>
      </c>
      <c r="AM242" s="72">
        <f>AM$3*'Yield 1Y'!AI57</f>
        <v>-20.517821010942153</v>
      </c>
      <c r="AN242" s="72">
        <f>AN$3*'Yield 1Y'!AJ57</f>
        <v>0</v>
      </c>
      <c r="AO242" s="72">
        <f>AO$3*'Yield 1Y'!AK57</f>
        <v>0</v>
      </c>
      <c r="AP242" s="177">
        <f t="shared" si="27"/>
        <v>91.997441237536364</v>
      </c>
      <c r="AQ242" s="124">
        <f>VLOOKUP(AE242,'Yield 1Y'!$F:$G,2,0)</f>
        <v>46176</v>
      </c>
      <c r="AR242" s="318">
        <f t="shared" si="28"/>
        <v>44</v>
      </c>
      <c r="AT242" s="37">
        <v>239</v>
      </c>
      <c r="AU242" s="72">
        <f>AU$3*'Yield 1Y'!AB34</f>
        <v>0</v>
      </c>
      <c r="AV242" s="72">
        <f>AV$3*'Yield 1Y'!AC34</f>
        <v>0</v>
      </c>
      <c r="AW242" s="72">
        <f>AW$3*'Yield 1Y'!AD34</f>
        <v>0</v>
      </c>
      <c r="AX242" s="72">
        <f>AX$3*'Yield 1Y'!AE34</f>
        <v>0</v>
      </c>
      <c r="AY242" s="72">
        <f>AY$3*'Yield 1Y'!AF34</f>
        <v>0</v>
      </c>
      <c r="AZ242" s="72">
        <f>AZ$3*'Yield 1Y'!AG34</f>
        <v>-0.26762224116074884</v>
      </c>
      <c r="BA242" s="72">
        <f>BA$3*'Yield 1Y'!AH34</f>
        <v>-1.9351316717870399</v>
      </c>
      <c r="BB242" s="72">
        <f>BB$3*'Yield 1Y'!AI34</f>
        <v>-0.71927186164199186</v>
      </c>
      <c r="BC242" s="72">
        <f>BC$3*'Yield 1Y'!AJ34</f>
        <v>0</v>
      </c>
      <c r="BD242" s="72">
        <f>BD$3*'Yield 1Y'!AK34</f>
        <v>0</v>
      </c>
      <c r="BE242" s="177">
        <f t="shared" si="29"/>
        <v>2.9220257745897809</v>
      </c>
      <c r="BF242" s="124">
        <f>VLOOKUP(AT242,'Yield 1Y'!$F:$G,2,0)</f>
        <v>45904</v>
      </c>
      <c r="BG242" s="318">
        <f t="shared" si="31"/>
        <v>202</v>
      </c>
    </row>
    <row r="243" spans="1:59" x14ac:dyDescent="0.3">
      <c r="A243" s="37">
        <v>63</v>
      </c>
      <c r="B243" s="72">
        <f>'Yield 1Y'!R65*B$3</f>
        <v>0</v>
      </c>
      <c r="C243" s="72">
        <f>'Yield 1Y'!S65*C$3</f>
        <v>0</v>
      </c>
      <c r="D243" s="72">
        <f>'Yield 1Y'!T65*D$3</f>
        <v>0</v>
      </c>
      <c r="E243" s="72">
        <f>'Yield 1Y'!U65*E$3</f>
        <v>0</v>
      </c>
      <c r="F243" s="72">
        <f>'Yield 1Y'!V65*F$3</f>
        <v>0</v>
      </c>
      <c r="G243" s="72">
        <f>'Yield 1Y'!W65*G$3</f>
        <v>0</v>
      </c>
      <c r="H243" s="72">
        <f>'Yield 1Y'!X65*H$3</f>
        <v>-0.8280960013881612</v>
      </c>
      <c r="I243" s="72">
        <f>'Yield 1Y'!Y65*I$3</f>
        <v>-2.3545040504358772</v>
      </c>
      <c r="J243" s="72">
        <f>'Yield 1Y'!Z65*J$3</f>
        <v>0</v>
      </c>
      <c r="K243" s="72">
        <f>'Yield 1Y'!AA65*K$3</f>
        <v>0</v>
      </c>
      <c r="L243" s="177">
        <f t="shared" si="24"/>
        <v>3.1826000518240383</v>
      </c>
      <c r="M243" s="124">
        <f>VLOOKUP(A243,'Yield 1Y'!$F:$G,2,0)</f>
        <v>46164</v>
      </c>
      <c r="N243" s="318">
        <f t="shared" si="25"/>
        <v>90</v>
      </c>
      <c r="P243" s="37">
        <v>240</v>
      </c>
      <c r="Q243" s="72">
        <f>Q$3*'Yield 1Y'!R242</f>
        <v>0</v>
      </c>
      <c r="R243" s="72">
        <f>R$3*'Yield 1Y'!S242</f>
        <v>0</v>
      </c>
      <c r="S243" s="72">
        <f>S$3*'Yield 1Y'!T242</f>
        <v>0</v>
      </c>
      <c r="T243" s="72">
        <f>T$3*'Yield 1Y'!U242</f>
        <v>0</v>
      </c>
      <c r="U243" s="72">
        <f>U$3*'Yield 1Y'!V242</f>
        <v>0</v>
      </c>
      <c r="V243" s="72">
        <f>V$3*'Yield 1Y'!W242</f>
        <v>7.6463497474497238E-2</v>
      </c>
      <c r="W243" s="72">
        <f>W$3*'Yield 1Y'!X242</f>
        <v>0.22766254962197496</v>
      </c>
      <c r="X243" s="72">
        <f>X$3*'Yield 1Y'!Y242</f>
        <v>0</v>
      </c>
      <c r="Y243" s="72">
        <f>Y$3*'Yield 1Y'!Z242</f>
        <v>0</v>
      </c>
      <c r="Z243" s="72">
        <f>Z$3*'Yield 1Y'!AA242</f>
        <v>0</v>
      </c>
      <c r="AA243" s="177">
        <f t="shared" si="26"/>
        <v>-0.30412604709647217</v>
      </c>
      <c r="AB243" s="124">
        <f>VLOOKUP(P243,'Yield 1Y'!$F:$G,2,0)</f>
        <v>45903</v>
      </c>
      <c r="AC243" s="318">
        <f t="shared" si="30"/>
        <v>213</v>
      </c>
      <c r="AE243" s="37">
        <v>56</v>
      </c>
      <c r="AF243" s="72">
        <f>AF$3*'Yield 1Y'!AB58</f>
        <v>0</v>
      </c>
      <c r="AG243" s="72">
        <f>AG$3*'Yield 1Y'!AC58</f>
        <v>0</v>
      </c>
      <c r="AH243" s="72">
        <f>AH$3*'Yield 1Y'!AD58</f>
        <v>-0.34116690896684038</v>
      </c>
      <c r="AI243" s="72">
        <f>AI$3*'Yield 1Y'!AE58</f>
        <v>-3.4617703302068703</v>
      </c>
      <c r="AJ243" s="72">
        <f>AJ$3*'Yield 1Y'!AF58</f>
        <v>-0.17302704862859791</v>
      </c>
      <c r="AK243" s="72">
        <f>AK$3*'Yield 1Y'!AG58</f>
        <v>-33.003944448484667</v>
      </c>
      <c r="AL243" s="72">
        <f>AL$3*'Yield 1Y'!AH58</f>
        <v>-16.561920027765062</v>
      </c>
      <c r="AM243" s="72">
        <f>AM$3*'Yield 1Y'!AI58</f>
        <v>-19.172390124978733</v>
      </c>
      <c r="AN243" s="72">
        <f>AN$3*'Yield 1Y'!AJ58</f>
        <v>0</v>
      </c>
      <c r="AO243" s="72">
        <f>AO$3*'Yield 1Y'!AK58</f>
        <v>0</v>
      </c>
      <c r="AP243" s="177">
        <f t="shared" si="27"/>
        <v>72.714218889030775</v>
      </c>
      <c r="AQ243" s="124">
        <f>VLOOKUP(AE243,'Yield 1Y'!$F:$G,2,0)</f>
        <v>46175</v>
      </c>
      <c r="AR243" s="318">
        <f t="shared" si="28"/>
        <v>50</v>
      </c>
      <c r="AT243" s="37">
        <v>240</v>
      </c>
      <c r="AU243" s="72">
        <f>AU$3*'Yield 1Y'!AB154</f>
        <v>0</v>
      </c>
      <c r="AV243" s="72">
        <f>AV$3*'Yield 1Y'!AC154</f>
        <v>0</v>
      </c>
      <c r="AW243" s="72">
        <f>AW$3*'Yield 1Y'!AD154</f>
        <v>0</v>
      </c>
      <c r="AX243" s="72">
        <f>AX$3*'Yield 1Y'!AE154</f>
        <v>0</v>
      </c>
      <c r="AY243" s="72">
        <f>AY$3*'Yield 1Y'!AF154</f>
        <v>0</v>
      </c>
      <c r="AZ243" s="72">
        <f>AZ$3*'Yield 1Y'!AG154</f>
        <v>-0.47152490109274903</v>
      </c>
      <c r="BA243" s="72">
        <f>BA$3*'Yield 1Y'!AH154</f>
        <v>-4.3255884428179794</v>
      </c>
      <c r="BB243" s="72">
        <f>BB$3*'Yield 1Y'!AI154</f>
        <v>-2.7172492550920029</v>
      </c>
      <c r="BC243" s="72">
        <f>BC$3*'Yield 1Y'!AJ154</f>
        <v>0</v>
      </c>
      <c r="BD243" s="72">
        <f>BD$3*'Yield 1Y'!AK154</f>
        <v>0</v>
      </c>
      <c r="BE243" s="177">
        <f t="shared" si="29"/>
        <v>7.5143625990027321</v>
      </c>
      <c r="BF243" s="124">
        <f>VLOOKUP(AT243,'Yield 1Y'!$F:$G,2,0)</f>
        <v>45903</v>
      </c>
      <c r="BG243" s="318">
        <f t="shared" si="31"/>
        <v>100</v>
      </c>
    </row>
    <row r="244" spans="1:59" x14ac:dyDescent="0.3">
      <c r="A244" s="37">
        <v>88</v>
      </c>
      <c r="B244" s="72">
        <f>'Yield 1Y'!R90*B$3</f>
        <v>0</v>
      </c>
      <c r="C244" s="72">
        <f>'Yield 1Y'!S90*C$3</f>
        <v>0</v>
      </c>
      <c r="D244" s="72">
        <f>'Yield 1Y'!T90*D$3</f>
        <v>0</v>
      </c>
      <c r="E244" s="72">
        <f>'Yield 1Y'!U90*E$3</f>
        <v>-5.7696172170120914E-2</v>
      </c>
      <c r="F244" s="72">
        <f>'Yield 1Y'!V90*F$3</f>
        <v>-9.3528134393826602E-3</v>
      </c>
      <c r="G244" s="72">
        <f>'Yield 1Y'!W90*G$3</f>
        <v>0.81157240447096601</v>
      </c>
      <c r="H244" s="72">
        <f>'Yield 1Y'!X90*H$3</f>
        <v>0.8280960013885289</v>
      </c>
      <c r="I244" s="72">
        <f>'Yield 1Y'!Y90*I$3</f>
        <v>0</v>
      </c>
      <c r="J244" s="72">
        <f>'Yield 1Y'!Z90*J$3</f>
        <v>0</v>
      </c>
      <c r="K244" s="72">
        <f>'Yield 1Y'!AA90*K$3</f>
        <v>0</v>
      </c>
      <c r="L244" s="177">
        <f t="shared" si="24"/>
        <v>-1.5726194202499912</v>
      </c>
      <c r="M244" s="124">
        <f>VLOOKUP(A244,'Yield 1Y'!$F:$G,2,0)</f>
        <v>46126</v>
      </c>
      <c r="N244" s="318">
        <f t="shared" si="25"/>
        <v>225</v>
      </c>
      <c r="P244" s="37">
        <v>241</v>
      </c>
      <c r="Q244" s="72">
        <f>Q$3*'Yield 1Y'!R243</f>
        <v>0</v>
      </c>
      <c r="R244" s="72">
        <f>R$3*'Yield 1Y'!S243</f>
        <v>0</v>
      </c>
      <c r="S244" s="72">
        <f>S$3*'Yield 1Y'!T243</f>
        <v>0</v>
      </c>
      <c r="T244" s="72">
        <f>T$3*'Yield 1Y'!U243</f>
        <v>0</v>
      </c>
      <c r="U244" s="72">
        <f>U$3*'Yield 1Y'!V243</f>
        <v>0</v>
      </c>
      <c r="V244" s="72">
        <f>V$3*'Yield 1Y'!W243</f>
        <v>-0.11469524621174869</v>
      </c>
      <c r="W244" s="72">
        <f>W$3*'Yield 1Y'!X243</f>
        <v>-0.45532509924400044</v>
      </c>
      <c r="X244" s="72">
        <f>X$3*'Yield 1Y'!Y243</f>
        <v>0.23975728721399137</v>
      </c>
      <c r="Y244" s="72">
        <f>Y$3*'Yield 1Y'!Z243</f>
        <v>0</v>
      </c>
      <c r="Z244" s="72">
        <f>Z$3*'Yield 1Y'!AA243</f>
        <v>0</v>
      </c>
      <c r="AA244" s="177">
        <f t="shared" si="26"/>
        <v>0.33026305824175772</v>
      </c>
      <c r="AB244" s="124">
        <f>VLOOKUP(P244,'Yield 1Y'!$F:$G,2,0)</f>
        <v>45898</v>
      </c>
      <c r="AC244" s="318">
        <f t="shared" si="30"/>
        <v>120</v>
      </c>
      <c r="AE244" s="37">
        <v>169</v>
      </c>
      <c r="AF244" s="72">
        <f>AF$3*'Yield 1Y'!AB171</f>
        <v>0</v>
      </c>
      <c r="AG244" s="72">
        <f>AG$3*'Yield 1Y'!AC171</f>
        <v>0</v>
      </c>
      <c r="AH244" s="72">
        <f>AH$3*'Yield 1Y'!AD171</f>
        <v>-0.4425949089299564</v>
      </c>
      <c r="AI244" s="72">
        <f>AI$3*'Yield 1Y'!AE171</f>
        <v>-2.3366949728896342</v>
      </c>
      <c r="AJ244" s="72">
        <f>AJ$3*'Yield 1Y'!AF171</f>
        <v>-0.28058440318151096</v>
      </c>
      <c r="AK244" s="72">
        <f>AK$3*'Yield 1Y'!AG171</f>
        <v>-20.830358381420659</v>
      </c>
      <c r="AL244" s="72">
        <f>AL$3*'Yield 1Y'!AH171</f>
        <v>-21.530496036094583</v>
      </c>
      <c r="AM244" s="72">
        <f>AM$3*'Yield 1Y'!AI171</f>
        <v>-13.454308859634224</v>
      </c>
      <c r="AN244" s="72">
        <f>AN$3*'Yield 1Y'!AJ171</f>
        <v>0</v>
      </c>
      <c r="AO244" s="72">
        <f>AO$3*'Yield 1Y'!AK171</f>
        <v>0</v>
      </c>
      <c r="AP244" s="177">
        <f t="shared" si="27"/>
        <v>58.875037562150567</v>
      </c>
      <c r="AQ244" s="124">
        <f>VLOOKUP(AE244,'Yield 1Y'!$F:$G,2,0)</f>
        <v>46002</v>
      </c>
      <c r="AR244" s="318">
        <f t="shared" si="28"/>
        <v>64</v>
      </c>
      <c r="AT244" s="37">
        <v>241</v>
      </c>
      <c r="AU244" s="72">
        <f>AU$3*'Yield 1Y'!AB181</f>
        <v>0</v>
      </c>
      <c r="AV244" s="72">
        <f>AV$3*'Yield 1Y'!AC181</f>
        <v>0</v>
      </c>
      <c r="AW244" s="72">
        <f>AW$3*'Yield 1Y'!AD181</f>
        <v>0</v>
      </c>
      <c r="AX244" s="72">
        <f>AX$3*'Yield 1Y'!AE181</f>
        <v>0</v>
      </c>
      <c r="AY244" s="72">
        <f>AY$3*'Yield 1Y'!AF181</f>
        <v>0</v>
      </c>
      <c r="AZ244" s="72">
        <f>AZ$3*'Yield 1Y'!AG181</f>
        <v>-0.1529269949490058</v>
      </c>
      <c r="BA244" s="72">
        <f>BA$3*'Yield 1Y'!AH181</f>
        <v>-4.32558844281803</v>
      </c>
      <c r="BB244" s="72">
        <f>BB$3*'Yield 1Y'!AI181</f>
        <v>-0.83915050524899648</v>
      </c>
      <c r="BC244" s="72">
        <f>BC$3*'Yield 1Y'!AJ181</f>
        <v>0</v>
      </c>
      <c r="BD244" s="72">
        <f>BD$3*'Yield 1Y'!AK181</f>
        <v>0</v>
      </c>
      <c r="BE244" s="177">
        <f t="shared" si="29"/>
        <v>5.3176659430160322</v>
      </c>
      <c r="BF244" s="124">
        <f>VLOOKUP(AT244,'Yield 1Y'!$F:$G,2,0)</f>
        <v>45898</v>
      </c>
      <c r="BG244" s="318">
        <f t="shared" si="31"/>
        <v>150</v>
      </c>
    </row>
    <row r="245" spans="1:59" x14ac:dyDescent="0.3">
      <c r="A245" s="37">
        <v>206</v>
      </c>
      <c r="B245" s="72">
        <f>'Yield 1Y'!R208*B$3</f>
        <v>0</v>
      </c>
      <c r="C245" s="72">
        <f>'Yield 1Y'!S208*C$3</f>
        <v>0</v>
      </c>
      <c r="D245" s="72">
        <f>'Yield 1Y'!T208*D$3</f>
        <v>0</v>
      </c>
      <c r="E245" s="72">
        <f>'Yield 1Y'!U208*E$3</f>
        <v>0</v>
      </c>
      <c r="F245" s="72">
        <f>'Yield 1Y'!V208*F$3</f>
        <v>0</v>
      </c>
      <c r="G245" s="72">
        <f>'Yield 1Y'!W208*G$3</f>
        <v>0.81157240447096601</v>
      </c>
      <c r="H245" s="72">
        <f>'Yield 1Y'!X208*H$3</f>
        <v>-1.6561920027765062</v>
      </c>
      <c r="I245" s="72">
        <f>'Yield 1Y'!Y208*I$3</f>
        <v>0</v>
      </c>
      <c r="J245" s="72">
        <f>'Yield 1Y'!Z208*J$3</f>
        <v>0</v>
      </c>
      <c r="K245" s="72">
        <f>'Yield 1Y'!AA208*K$3</f>
        <v>0</v>
      </c>
      <c r="L245" s="177">
        <f t="shared" si="24"/>
        <v>0.84461959830554023</v>
      </c>
      <c r="M245" s="124">
        <f>VLOOKUP(A245,'Yield 1Y'!$F:$G,2,0)</f>
        <v>45951</v>
      </c>
      <c r="N245" s="318">
        <f t="shared" si="25"/>
        <v>156</v>
      </c>
      <c r="P245" s="37">
        <v>242</v>
      </c>
      <c r="Q245" s="72">
        <f>Q$3*'Yield 1Y'!R244</f>
        <v>0</v>
      </c>
      <c r="R245" s="72">
        <f>R$3*'Yield 1Y'!S244</f>
        <v>0</v>
      </c>
      <c r="S245" s="72">
        <f>S$3*'Yield 1Y'!T244</f>
        <v>0</v>
      </c>
      <c r="T245" s="72">
        <f>T$3*'Yield 1Y'!U244</f>
        <v>0</v>
      </c>
      <c r="U245" s="72">
        <f>U$3*'Yield 1Y'!V244</f>
        <v>0</v>
      </c>
      <c r="V245" s="72">
        <f>V$3*'Yield 1Y'!W244</f>
        <v>0</v>
      </c>
      <c r="W245" s="72">
        <f>W$3*'Yield 1Y'!X244</f>
        <v>-0.22766254962197496</v>
      </c>
      <c r="X245" s="72">
        <f>X$3*'Yield 1Y'!Y244</f>
        <v>0</v>
      </c>
      <c r="Y245" s="72">
        <f>Y$3*'Yield 1Y'!Z244</f>
        <v>0</v>
      </c>
      <c r="Z245" s="72">
        <f>Z$3*'Yield 1Y'!AA244</f>
        <v>0</v>
      </c>
      <c r="AA245" s="177">
        <f t="shared" si="26"/>
        <v>0.22766254962197496</v>
      </c>
      <c r="AB245" s="124">
        <f>VLOOKUP(P245,'Yield 1Y'!$F:$G,2,0)</f>
        <v>45897</v>
      </c>
      <c r="AC245" s="318">
        <f t="shared" si="30"/>
        <v>139</v>
      </c>
      <c r="AE245" s="37">
        <v>173</v>
      </c>
      <c r="AF245" s="72">
        <f>AF$3*'Yield 1Y'!AB175</f>
        <v>0</v>
      </c>
      <c r="AG245" s="72">
        <f>AG$3*'Yield 1Y'!AC175</f>
        <v>0</v>
      </c>
      <c r="AH245" s="72">
        <f>AH$3*'Yield 1Y'!AD175</f>
        <v>-0.35038763623621755</v>
      </c>
      <c r="AI245" s="72">
        <f>AI$3*'Yield 1Y'!AE175</f>
        <v>-1.4424043042528691</v>
      </c>
      <c r="AJ245" s="72">
        <f>AJ$3*'Yield 1Y'!AF175</f>
        <v>-0.23382033598459143</v>
      </c>
      <c r="AK245" s="72">
        <f>AK$3*'Yield 1Y'!AG175</f>
        <v>-13.255682606358471</v>
      </c>
      <c r="AL245" s="72">
        <f>AL$3*'Yield 1Y'!AH175</f>
        <v>-17.390016029153223</v>
      </c>
      <c r="AM245" s="72">
        <f>AM$3*'Yield 1Y'!AI175</f>
        <v>-9.4180162017439564</v>
      </c>
      <c r="AN245" s="72">
        <f>AN$3*'Yield 1Y'!AJ175</f>
        <v>0</v>
      </c>
      <c r="AO245" s="72">
        <f>AO$3*'Yield 1Y'!AK175</f>
        <v>0</v>
      </c>
      <c r="AP245" s="177">
        <f t="shared" si="27"/>
        <v>42.09032711372933</v>
      </c>
      <c r="AQ245" s="124">
        <f>VLOOKUP(AE245,'Yield 1Y'!$F:$G,2,0)</f>
        <v>45996</v>
      </c>
      <c r="AR245" s="318">
        <f t="shared" si="28"/>
        <v>116</v>
      </c>
      <c r="AT245" s="37">
        <v>242</v>
      </c>
      <c r="AU245" s="72">
        <f>AU$3*'Yield 1Y'!AB239</f>
        <v>0</v>
      </c>
      <c r="AV245" s="72">
        <f>AV$3*'Yield 1Y'!AC239</f>
        <v>0</v>
      </c>
      <c r="AW245" s="72">
        <f>AW$3*'Yield 1Y'!AD239</f>
        <v>0</v>
      </c>
      <c r="AX245" s="72">
        <f>AX$3*'Yield 1Y'!AE239</f>
        <v>0</v>
      </c>
      <c r="AY245" s="72">
        <f>AY$3*'Yield 1Y'!AF239</f>
        <v>0</v>
      </c>
      <c r="AZ245" s="72">
        <f>AZ$3*'Yield 1Y'!AG239</f>
        <v>-0.76463497474500075</v>
      </c>
      <c r="BA245" s="72">
        <f>BA$3*'Yield 1Y'!AH239</f>
        <v>-12.521440229209988</v>
      </c>
      <c r="BB245" s="72">
        <f>BB$3*'Yield 1Y'!AI239</f>
        <v>-5.2746603187079879</v>
      </c>
      <c r="BC245" s="72">
        <f>BC$3*'Yield 1Y'!AJ239</f>
        <v>0</v>
      </c>
      <c r="BD245" s="72">
        <f>BD$3*'Yield 1Y'!AK239</f>
        <v>0</v>
      </c>
      <c r="BE245" s="177">
        <f t="shared" si="29"/>
        <v>18.560735522662977</v>
      </c>
      <c r="BF245" s="124">
        <f>VLOOKUP(AT245,'Yield 1Y'!$F:$G,2,0)</f>
        <v>45897</v>
      </c>
      <c r="BG245" s="318">
        <f t="shared" si="31"/>
        <v>34</v>
      </c>
    </row>
    <row r="246" spans="1:59" x14ac:dyDescent="0.3">
      <c r="A246" s="37">
        <v>174</v>
      </c>
      <c r="B246" s="72">
        <f>'Yield 1Y'!R176*B$3</f>
        <v>0</v>
      </c>
      <c r="C246" s="72">
        <f>'Yield 1Y'!S176*C$3</f>
        <v>0</v>
      </c>
      <c r="D246" s="72">
        <f>'Yield 1Y'!T176*D$3</f>
        <v>-7.3765818154992738E-2</v>
      </c>
      <c r="E246" s="72">
        <f>'Yield 1Y'!U176*E$3</f>
        <v>-0.23078468868045804</v>
      </c>
      <c r="F246" s="72">
        <f>'Yield 1Y'!V176*F$3</f>
        <v>-3.2734847037843469E-2</v>
      </c>
      <c r="G246" s="72">
        <f>'Yield 1Y'!W176*G$3</f>
        <v>0</v>
      </c>
      <c r="H246" s="72">
        <f>'Yield 1Y'!X176*H$3</f>
        <v>3.3123840055530125</v>
      </c>
      <c r="I246" s="72">
        <f>'Yield 1Y'!Y176*I$3</f>
        <v>-1.6817886074542407</v>
      </c>
      <c r="J246" s="72">
        <f>'Yield 1Y'!Z176*J$3</f>
        <v>0</v>
      </c>
      <c r="K246" s="72">
        <f>'Yield 1Y'!AA176*K$3</f>
        <v>0</v>
      </c>
      <c r="L246" s="177">
        <f t="shared" si="24"/>
        <v>-1.2933100442254775</v>
      </c>
      <c r="M246" s="124">
        <f>VLOOKUP(A246,'Yield 1Y'!$F:$G,2,0)</f>
        <v>45995</v>
      </c>
      <c r="N246" s="318">
        <f t="shared" si="25"/>
        <v>219</v>
      </c>
      <c r="P246" s="37">
        <v>243</v>
      </c>
      <c r="Q246" s="72">
        <f>Q$3*'Yield 1Y'!R245</f>
        <v>0</v>
      </c>
      <c r="R246" s="72">
        <f>R$3*'Yield 1Y'!S245</f>
        <v>0</v>
      </c>
      <c r="S246" s="72">
        <f>S$3*'Yield 1Y'!T245</f>
        <v>0</v>
      </c>
      <c r="T246" s="72">
        <f>T$3*'Yield 1Y'!U245</f>
        <v>0</v>
      </c>
      <c r="U246" s="72">
        <f>U$3*'Yield 1Y'!V245</f>
        <v>0</v>
      </c>
      <c r="V246" s="72">
        <f>V$3*'Yield 1Y'!W245</f>
        <v>-6.3719581228748642E-2</v>
      </c>
      <c r="W246" s="72">
        <f>W$3*'Yield 1Y'!X245</f>
        <v>0</v>
      </c>
      <c r="X246" s="72">
        <f>X$3*'Yield 1Y'!Y245</f>
        <v>-0.51947412229699608</v>
      </c>
      <c r="Y246" s="72">
        <f>Y$3*'Yield 1Y'!Z245</f>
        <v>0</v>
      </c>
      <c r="Z246" s="72">
        <f>Z$3*'Yield 1Y'!AA245</f>
        <v>0</v>
      </c>
      <c r="AA246" s="177">
        <f t="shared" si="26"/>
        <v>0.58319370352574473</v>
      </c>
      <c r="AB246" s="124">
        <f>VLOOKUP(P246,'Yield 1Y'!$F:$G,2,0)</f>
        <v>45896</v>
      </c>
      <c r="AC246" s="318">
        <f t="shared" si="30"/>
        <v>85</v>
      </c>
      <c r="AE246" s="37">
        <v>172</v>
      </c>
      <c r="AF246" s="72">
        <f>AF$3*'Yield 1Y'!AB174</f>
        <v>0</v>
      </c>
      <c r="AG246" s="72">
        <f>AG$3*'Yield 1Y'!AC174</f>
        <v>0</v>
      </c>
      <c r="AH246" s="72">
        <f>AH$3*'Yield 1Y'!AD174</f>
        <v>-0.4425949089299564</v>
      </c>
      <c r="AI246" s="72">
        <f>AI$3*'Yield 1Y'!AE174</f>
        <v>-1.6731889929333272</v>
      </c>
      <c r="AJ246" s="72">
        <f>AJ$3*'Yield 1Y'!AF174</f>
        <v>-0.28058440318151096</v>
      </c>
      <c r="AK246" s="72">
        <f>AK$3*'Yield 1Y'!AG174</f>
        <v>-14.608303280476667</v>
      </c>
      <c r="AL246" s="72">
        <f>AL$3*'Yield 1Y'!AH174</f>
        <v>-21.530496036094583</v>
      </c>
      <c r="AM246" s="72">
        <f>AM$3*'Yield 1Y'!AI174</f>
        <v>-11.772520252179984</v>
      </c>
      <c r="AN246" s="72">
        <f>AN$3*'Yield 1Y'!AJ174</f>
        <v>0</v>
      </c>
      <c r="AO246" s="72">
        <f>AO$3*'Yield 1Y'!AK174</f>
        <v>0</v>
      </c>
      <c r="AP246" s="177">
        <f t="shared" si="27"/>
        <v>50.307687873796027</v>
      </c>
      <c r="AQ246" s="124">
        <f>VLOOKUP(AE246,'Yield 1Y'!$F:$G,2,0)</f>
        <v>45999</v>
      </c>
      <c r="AR246" s="318">
        <f t="shared" si="28"/>
        <v>79</v>
      </c>
      <c r="AT246" s="37">
        <v>243</v>
      </c>
      <c r="AU246" s="72">
        <f>AU$3*'Yield 1Y'!AB25</f>
        <v>0</v>
      </c>
      <c r="AV246" s="72">
        <f>AV$3*'Yield 1Y'!AC25</f>
        <v>0</v>
      </c>
      <c r="AW246" s="72">
        <f>AW$3*'Yield 1Y'!AD25</f>
        <v>0</v>
      </c>
      <c r="AX246" s="72">
        <f>AX$3*'Yield 1Y'!AE25</f>
        <v>0</v>
      </c>
      <c r="AY246" s="72">
        <f>AY$3*'Yield 1Y'!AF25</f>
        <v>0</v>
      </c>
      <c r="AZ246" s="72">
        <f>AZ$3*'Yield 1Y'!AG25</f>
        <v>-0.1529269949490058</v>
      </c>
      <c r="BA246" s="72">
        <f>BA$3*'Yield 1Y'!AH25</f>
        <v>-0.91065019848800088</v>
      </c>
      <c r="BB246" s="72">
        <f>BB$3*'Yield 1Y'!AI25</f>
        <v>-0.35963593082099593</v>
      </c>
      <c r="BC246" s="72">
        <f>BC$3*'Yield 1Y'!AJ25</f>
        <v>0</v>
      </c>
      <c r="BD246" s="72">
        <f>BD$3*'Yield 1Y'!AK25</f>
        <v>0</v>
      </c>
      <c r="BE246" s="177">
        <f t="shared" si="29"/>
        <v>1.4232131242580026</v>
      </c>
      <c r="BF246" s="124">
        <f>VLOOKUP(AT246,'Yield 1Y'!$F:$G,2,0)</f>
        <v>45896</v>
      </c>
      <c r="BG246" s="318">
        <f t="shared" si="31"/>
        <v>220</v>
      </c>
    </row>
    <row r="247" spans="1:59" x14ac:dyDescent="0.3">
      <c r="A247" s="37">
        <v>40</v>
      </c>
      <c r="B247" s="72">
        <f>'Yield 1Y'!R42*B$3</f>
        <v>0</v>
      </c>
      <c r="C247" s="72">
        <f>'Yield 1Y'!S42*C$3</f>
        <v>0</v>
      </c>
      <c r="D247" s="72">
        <f>'Yield 1Y'!T42*D$3</f>
        <v>0</v>
      </c>
      <c r="E247" s="72">
        <f>'Yield 1Y'!U42*E$3</f>
        <v>0</v>
      </c>
      <c r="F247" s="72">
        <f>'Yield 1Y'!V42*F$3</f>
        <v>0</v>
      </c>
      <c r="G247" s="72">
        <f>'Yield 1Y'!W42*G$3</f>
        <v>0</v>
      </c>
      <c r="H247" s="72">
        <f>'Yield 1Y'!X42*H$3</f>
        <v>-0.8280960013881612</v>
      </c>
      <c r="I247" s="72">
        <f>'Yield 1Y'!Y42*I$3</f>
        <v>-1.3454308859632731</v>
      </c>
      <c r="J247" s="72">
        <f>'Yield 1Y'!Z42*J$3</f>
        <v>0</v>
      </c>
      <c r="K247" s="72">
        <f>'Yield 1Y'!AA42*K$3</f>
        <v>0</v>
      </c>
      <c r="L247" s="177">
        <f t="shared" si="24"/>
        <v>2.1735268873514344</v>
      </c>
      <c r="M247" s="124">
        <f>VLOOKUP(A247,'Yield 1Y'!$F:$G,2,0)</f>
        <v>46197</v>
      </c>
      <c r="N247" s="318">
        <f t="shared" si="25"/>
        <v>115</v>
      </c>
      <c r="P247" s="37">
        <v>244</v>
      </c>
      <c r="Q247" s="72">
        <f>Q$3*'Yield 1Y'!R246</f>
        <v>0</v>
      </c>
      <c r="R247" s="72">
        <f>R$3*'Yield 1Y'!S246</f>
        <v>0</v>
      </c>
      <c r="S247" s="72">
        <f>S$3*'Yield 1Y'!T246</f>
        <v>0</v>
      </c>
      <c r="T247" s="72">
        <f>T$3*'Yield 1Y'!U246</f>
        <v>0</v>
      </c>
      <c r="U247" s="72">
        <f>U$3*'Yield 1Y'!V246</f>
        <v>0</v>
      </c>
      <c r="V247" s="72">
        <f>V$3*'Yield 1Y'!W246</f>
        <v>-0.53524448232150335</v>
      </c>
      <c r="W247" s="72">
        <f>W$3*'Yield 1Y'!X246</f>
        <v>-1.0244814732989884</v>
      </c>
      <c r="X247" s="72">
        <f>X$3*'Yield 1Y'!Y246</f>
        <v>-0.39959547869000928</v>
      </c>
      <c r="Y247" s="72">
        <f>Y$3*'Yield 1Y'!Z246</f>
        <v>0</v>
      </c>
      <c r="Z247" s="72">
        <f>Z$3*'Yield 1Y'!AA246</f>
        <v>0</v>
      </c>
      <c r="AA247" s="177">
        <f t="shared" si="26"/>
        <v>1.9593214343105012</v>
      </c>
      <c r="AB247" s="124">
        <f>VLOOKUP(P247,'Yield 1Y'!$F:$G,2,0)</f>
        <v>45895</v>
      </c>
      <c r="AC247" s="318">
        <f t="shared" si="30"/>
        <v>35</v>
      </c>
      <c r="AE247" s="37">
        <v>171</v>
      </c>
      <c r="AF247" s="72">
        <f>AF$3*'Yield 1Y'!AB173</f>
        <v>0</v>
      </c>
      <c r="AG247" s="72">
        <f>AG$3*'Yield 1Y'!AC173</f>
        <v>0</v>
      </c>
      <c r="AH247" s="72">
        <f>AH$3*'Yield 1Y'!AD173</f>
        <v>-0.4425949089299564</v>
      </c>
      <c r="AI247" s="72">
        <f>AI$3*'Yield 1Y'!AE173</f>
        <v>-1.8751255955287183</v>
      </c>
      <c r="AJ247" s="72">
        <f>AJ$3*'Yield 1Y'!AF173</f>
        <v>-0.28058440318151096</v>
      </c>
      <c r="AK247" s="72">
        <f>AK$3*'Yield 1Y'!AG173</f>
        <v>-16.231448089418599</v>
      </c>
      <c r="AL247" s="72">
        <f>AL$3*'Yield 1Y'!AH173</f>
        <v>-21.530496036094583</v>
      </c>
      <c r="AM247" s="72">
        <f>AM$3*'Yield 1Y'!AI173</f>
        <v>-11.772520252179984</v>
      </c>
      <c r="AN247" s="72">
        <f>AN$3*'Yield 1Y'!AJ173</f>
        <v>0</v>
      </c>
      <c r="AO247" s="72">
        <f>AO$3*'Yield 1Y'!AK173</f>
        <v>0</v>
      </c>
      <c r="AP247" s="177">
        <f t="shared" si="27"/>
        <v>52.132769285333353</v>
      </c>
      <c r="AQ247" s="124">
        <f>VLOOKUP(AE247,'Yield 1Y'!$F:$G,2,0)</f>
        <v>46000</v>
      </c>
      <c r="AR247" s="318">
        <f t="shared" si="28"/>
        <v>76</v>
      </c>
      <c r="AT247" s="37">
        <v>244</v>
      </c>
      <c r="AU247" s="72">
        <f>AU$3*'Yield 1Y'!AB235</f>
        <v>0</v>
      </c>
      <c r="AV247" s="72">
        <f>AV$3*'Yield 1Y'!AC235</f>
        <v>0</v>
      </c>
      <c r="AW247" s="72">
        <f>AW$3*'Yield 1Y'!AD235</f>
        <v>0</v>
      </c>
      <c r="AX247" s="72">
        <f>AX$3*'Yield 1Y'!AE235</f>
        <v>0</v>
      </c>
      <c r="AY247" s="72">
        <f>AY$3*'Yield 1Y'!AF235</f>
        <v>0</v>
      </c>
      <c r="AZ247" s="72">
        <f>AZ$3*'Yield 1Y'!AG235</f>
        <v>-0.2676222411607545</v>
      </c>
      <c r="BA247" s="72">
        <f>BA$3*'Yield 1Y'!AH235</f>
        <v>-5.4639011909280057</v>
      </c>
      <c r="BB247" s="72">
        <f>BB$3*'Yield 1Y'!AI235</f>
        <v>-1.0389482445939922</v>
      </c>
      <c r="BC247" s="72">
        <f>BC$3*'Yield 1Y'!AJ235</f>
        <v>0</v>
      </c>
      <c r="BD247" s="72">
        <f>BD$3*'Yield 1Y'!AK235</f>
        <v>0</v>
      </c>
      <c r="BE247" s="177">
        <f t="shared" si="29"/>
        <v>6.7704716766827531</v>
      </c>
      <c r="BF247" s="124">
        <f>VLOOKUP(AT247,'Yield 1Y'!$F:$G,2,0)</f>
        <v>45895</v>
      </c>
      <c r="BG247" s="318">
        <f t="shared" si="31"/>
        <v>115</v>
      </c>
    </row>
    <row r="248" spans="1:59" x14ac:dyDescent="0.3">
      <c r="A248" s="37">
        <v>243</v>
      </c>
      <c r="B248" s="72">
        <f>'Yield 1Y'!R245*B$3</f>
        <v>0</v>
      </c>
      <c r="C248" s="72">
        <f>'Yield 1Y'!S245*C$3</f>
        <v>0</v>
      </c>
      <c r="D248" s="72">
        <f>'Yield 1Y'!T245*D$3</f>
        <v>-8.2986545424365801E-2</v>
      </c>
      <c r="E248" s="72">
        <f>'Yield 1Y'!U245*E$3</f>
        <v>-0.17308851651034993</v>
      </c>
      <c r="F248" s="72">
        <f>'Yield 1Y'!V245*F$3</f>
        <v>-1.8705626878767399E-2</v>
      </c>
      <c r="G248" s="72">
        <f>'Yield 1Y'!W245*G$3</f>
        <v>-1.3526206741181965</v>
      </c>
      <c r="H248" s="72">
        <f>'Yield 1Y'!X245*H$3</f>
        <v>0</v>
      </c>
      <c r="I248" s="72">
        <f>'Yield 1Y'!Y245*I$3</f>
        <v>-4.3726503793810858</v>
      </c>
      <c r="J248" s="72">
        <f>'Yield 1Y'!Z245*J$3</f>
        <v>0</v>
      </c>
      <c r="K248" s="72">
        <f>'Yield 1Y'!AA245*K$3</f>
        <v>0</v>
      </c>
      <c r="L248" s="177">
        <f t="shared" si="24"/>
        <v>6.0000517423127651</v>
      </c>
      <c r="M248" s="124">
        <f>VLOOKUP(A248,'Yield 1Y'!$F:$G,2,0)</f>
        <v>45896</v>
      </c>
      <c r="N248" s="318">
        <f t="shared" si="25"/>
        <v>57</v>
      </c>
      <c r="P248" s="37">
        <v>245</v>
      </c>
      <c r="Q248" s="72">
        <f>Q$3*'Yield 1Y'!R247</f>
        <v>0</v>
      </c>
      <c r="R248" s="72">
        <f>R$3*'Yield 1Y'!S247</f>
        <v>0</v>
      </c>
      <c r="S248" s="72">
        <f>S$3*'Yield 1Y'!T247</f>
        <v>0</v>
      </c>
      <c r="T248" s="72">
        <f>T$3*'Yield 1Y'!U247</f>
        <v>0</v>
      </c>
      <c r="U248" s="72">
        <f>U$3*'Yield 1Y'!V247</f>
        <v>0</v>
      </c>
      <c r="V248" s="72">
        <f>V$3*'Yield 1Y'!W247</f>
        <v>-1.0577450483972468</v>
      </c>
      <c r="W248" s="72">
        <f>W$3*'Yield 1Y'!X247</f>
        <v>0</v>
      </c>
      <c r="X248" s="72">
        <f>X$3*'Yield 1Y'!Y247</f>
        <v>0</v>
      </c>
      <c r="Y248" s="72">
        <f>Y$3*'Yield 1Y'!Z247</f>
        <v>0</v>
      </c>
      <c r="Z248" s="72">
        <f>Z$3*'Yield 1Y'!AA247</f>
        <v>0</v>
      </c>
      <c r="AA248" s="177">
        <f t="shared" si="26"/>
        <v>1.0577450483972468</v>
      </c>
      <c r="AB248" s="124">
        <f>VLOOKUP(P248,'Yield 1Y'!$F:$G,2,0)</f>
        <v>45894</v>
      </c>
      <c r="AC248" s="318">
        <f t="shared" si="30"/>
        <v>52</v>
      </c>
      <c r="AE248" s="37">
        <v>170</v>
      </c>
      <c r="AF248" s="72">
        <f>AF$3*'Yield 1Y'!AB172</f>
        <v>0</v>
      </c>
      <c r="AG248" s="72">
        <f>AG$3*'Yield 1Y'!AC172</f>
        <v>0</v>
      </c>
      <c r="AH248" s="72">
        <f>AH$3*'Yield 1Y'!AD172</f>
        <v>-0.4425949089299564</v>
      </c>
      <c r="AI248" s="72">
        <f>AI$3*'Yield 1Y'!AE172</f>
        <v>-1.9905179398689345</v>
      </c>
      <c r="AJ248" s="72">
        <f>AJ$3*'Yield 1Y'!AF172</f>
        <v>-0.28058440318151096</v>
      </c>
      <c r="AK248" s="72">
        <f>AK$3*'Yield 1Y'!AG172</f>
        <v>-17.313544628713302</v>
      </c>
      <c r="AL248" s="72">
        <f>AL$3*'Yield 1Y'!AH172</f>
        <v>-21.530496036094583</v>
      </c>
      <c r="AM248" s="72">
        <f>AM$3*'Yield 1Y'!AI172</f>
        <v>-11.772520252179984</v>
      </c>
      <c r="AN248" s="72">
        <f>AN$3*'Yield 1Y'!AJ172</f>
        <v>0</v>
      </c>
      <c r="AO248" s="72">
        <f>AO$3*'Yield 1Y'!AK172</f>
        <v>0</v>
      </c>
      <c r="AP248" s="177">
        <f t="shared" si="27"/>
        <v>53.330258168968271</v>
      </c>
      <c r="AQ248" s="124">
        <f>VLOOKUP(AE248,'Yield 1Y'!$F:$G,2,0)</f>
        <v>46001</v>
      </c>
      <c r="AR248" s="318">
        <f t="shared" si="28"/>
        <v>73</v>
      </c>
      <c r="AT248" s="37">
        <v>245</v>
      </c>
      <c r="AU248" s="72">
        <f>AU$3*'Yield 1Y'!AB252</f>
        <v>0</v>
      </c>
      <c r="AV248" s="72">
        <f>AV$3*'Yield 1Y'!AC252</f>
        <v>0</v>
      </c>
      <c r="AW248" s="72">
        <f>AW$3*'Yield 1Y'!AD252</f>
        <v>0</v>
      </c>
      <c r="AX248" s="72">
        <f>AX$3*'Yield 1Y'!AE252</f>
        <v>0</v>
      </c>
      <c r="AY248" s="72">
        <f>AY$3*'Yield 1Y'!AF252</f>
        <v>0</v>
      </c>
      <c r="AZ248" s="72">
        <f>AZ$3*'Yield 1Y'!AG252</f>
        <v>-1.1469524621174982</v>
      </c>
      <c r="BA248" s="72">
        <f>BA$3*'Yield 1Y'!AH252</f>
        <v>-15.594884649107003</v>
      </c>
      <c r="BB248" s="72">
        <f>BB$3*'Yield 1Y'!AI252</f>
        <v>-4.1557929783759864</v>
      </c>
      <c r="BC248" s="72">
        <f>BC$3*'Yield 1Y'!AJ252</f>
        <v>0</v>
      </c>
      <c r="BD248" s="72">
        <f>BD$3*'Yield 1Y'!AK252</f>
        <v>0</v>
      </c>
      <c r="BE248" s="177">
        <f t="shared" si="29"/>
        <v>20.89763008960049</v>
      </c>
      <c r="BF248" s="124">
        <f>VLOOKUP(AT248,'Yield 1Y'!$F:$G,2,0)</f>
        <v>45894</v>
      </c>
      <c r="BG248" s="318">
        <f t="shared" si="31"/>
        <v>24</v>
      </c>
    </row>
    <row r="249" spans="1:59" x14ac:dyDescent="0.3">
      <c r="A249" s="37">
        <v>251</v>
      </c>
      <c r="B249" s="72">
        <f>'Yield 1Y'!R253*B$3</f>
        <v>0</v>
      </c>
      <c r="C249" s="72">
        <f>'Yield 1Y'!S253*C$3</f>
        <v>0</v>
      </c>
      <c r="D249" s="72">
        <f>'Yield 1Y'!T253*D$3</f>
        <v>-0.1936352726568549</v>
      </c>
      <c r="E249" s="72">
        <f>'Yield 1Y'!U253*E$3</f>
        <v>-0.49041746344597009</v>
      </c>
      <c r="F249" s="72">
        <f>'Yield 1Y'!V253*F$3</f>
        <v>-6.5469694075686938E-2</v>
      </c>
      <c r="G249" s="72">
        <f>'Yield 1Y'!W253*G$3</f>
        <v>-2.4347172134127777</v>
      </c>
      <c r="H249" s="72">
        <f>'Yield 1Y'!X253*H$3</f>
        <v>-4.140480006941174</v>
      </c>
      <c r="I249" s="72">
        <f>'Yield 1Y'!Y253*I$3</f>
        <v>-0.67271544298163655</v>
      </c>
      <c r="J249" s="72">
        <f>'Yield 1Y'!Z253*J$3</f>
        <v>0</v>
      </c>
      <c r="K249" s="72">
        <f>'Yield 1Y'!AA253*K$3</f>
        <v>0</v>
      </c>
      <c r="L249" s="177">
        <f t="shared" si="24"/>
        <v>7.9974350935140999</v>
      </c>
      <c r="M249" s="124">
        <f>VLOOKUP(A249,'Yield 1Y'!$F:$G,2,0)</f>
        <v>45884</v>
      </c>
      <c r="N249" s="318">
        <f t="shared" si="25"/>
        <v>40</v>
      </c>
      <c r="P249" s="37">
        <v>246</v>
      </c>
      <c r="Q249" s="72">
        <f>Q$3*'Yield 1Y'!R248</f>
        <v>0</v>
      </c>
      <c r="R249" s="72">
        <f>R$3*'Yield 1Y'!S248</f>
        <v>0</v>
      </c>
      <c r="S249" s="72">
        <f>S$3*'Yield 1Y'!T248</f>
        <v>0</v>
      </c>
      <c r="T249" s="72">
        <f>T$3*'Yield 1Y'!U248</f>
        <v>0</v>
      </c>
      <c r="U249" s="72">
        <f>U$3*'Yield 1Y'!V248</f>
        <v>0</v>
      </c>
      <c r="V249" s="72">
        <f>V$3*'Yield 1Y'!W248</f>
        <v>-1.3381112058037499</v>
      </c>
      <c r="W249" s="72">
        <f>W$3*'Yield 1Y'!X248</f>
        <v>-5.1224073664949925</v>
      </c>
      <c r="X249" s="72">
        <f>X$3*'Yield 1Y'!Y248</f>
        <v>-1.1987864360699925</v>
      </c>
      <c r="Y249" s="72">
        <f>Y$3*'Yield 1Y'!Z248</f>
        <v>0</v>
      </c>
      <c r="Z249" s="72">
        <f>Z$3*'Yield 1Y'!AA248</f>
        <v>0</v>
      </c>
      <c r="AA249" s="177">
        <f t="shared" si="26"/>
        <v>7.6593050083687348</v>
      </c>
      <c r="AB249" s="124">
        <f>VLOOKUP(P249,'Yield 1Y'!$F:$G,2,0)</f>
        <v>45891</v>
      </c>
      <c r="AC249" s="318">
        <f t="shared" si="30"/>
        <v>4</v>
      </c>
      <c r="AE249" s="37">
        <v>57</v>
      </c>
      <c r="AF249" s="72">
        <f>AF$3*'Yield 1Y'!AB59</f>
        <v>0</v>
      </c>
      <c r="AG249" s="72">
        <f>AG$3*'Yield 1Y'!AC59</f>
        <v>0</v>
      </c>
      <c r="AH249" s="72">
        <f>AH$3*'Yield 1Y'!AD59</f>
        <v>-0.1936352726568549</v>
      </c>
      <c r="AI249" s="72">
        <f>AI$3*'Yield 1Y'!AE59</f>
        <v>-2.7982643502505633</v>
      </c>
      <c r="AJ249" s="72">
        <f>AJ$3*'Yield 1Y'!AF59</f>
        <v>-0.13561579487106312</v>
      </c>
      <c r="AK249" s="72">
        <f>AK$3*'Yield 1Y'!AG59</f>
        <v>-28.405034156482607</v>
      </c>
      <c r="AL249" s="72">
        <f>AL$3*'Yield 1Y'!AH59</f>
        <v>-7.8669120131882666</v>
      </c>
      <c r="AM249" s="72">
        <f>AM$3*'Yield 1Y'!AI59</f>
        <v>-16.145170631560919</v>
      </c>
      <c r="AN249" s="72">
        <f>AN$3*'Yield 1Y'!AJ59</f>
        <v>0</v>
      </c>
      <c r="AO249" s="72">
        <f>AO$3*'Yield 1Y'!AK59</f>
        <v>0</v>
      </c>
      <c r="AP249" s="177">
        <f t="shared" si="27"/>
        <v>55.544632219010282</v>
      </c>
      <c r="AQ249" s="124">
        <f>VLOOKUP(AE249,'Yield 1Y'!$F:$G,2,0)</f>
        <v>46174</v>
      </c>
      <c r="AR249" s="318">
        <f t="shared" si="28"/>
        <v>70</v>
      </c>
      <c r="AT249" s="37">
        <v>246</v>
      </c>
      <c r="AU249" s="72">
        <f>AU$3*'Yield 1Y'!AB23</f>
        <v>0</v>
      </c>
      <c r="AV249" s="72">
        <f>AV$3*'Yield 1Y'!AC23</f>
        <v>0</v>
      </c>
      <c r="AW249" s="72">
        <f>AW$3*'Yield 1Y'!AD23</f>
        <v>0</v>
      </c>
      <c r="AX249" s="72">
        <f>AX$3*'Yield 1Y'!AE23</f>
        <v>0</v>
      </c>
      <c r="AY249" s="72">
        <f>AY$3*'Yield 1Y'!AF23</f>
        <v>0</v>
      </c>
      <c r="AZ249" s="72">
        <f>AZ$3*'Yield 1Y'!AG23</f>
        <v>-0.1529269949490058</v>
      </c>
      <c r="BA249" s="72">
        <f>BA$3*'Yield 1Y'!AH23</f>
        <v>-2.3904567710309896</v>
      </c>
      <c r="BB249" s="72">
        <f>BB$3*'Yield 1Y'!AI23</f>
        <v>-0.67931231377299628</v>
      </c>
      <c r="BC249" s="72">
        <f>BC$3*'Yield 1Y'!AJ23</f>
        <v>0</v>
      </c>
      <c r="BD249" s="72">
        <f>BD$3*'Yield 1Y'!AK23</f>
        <v>0</v>
      </c>
      <c r="BE249" s="177">
        <f t="shared" si="29"/>
        <v>3.2226960797529918</v>
      </c>
      <c r="BF249" s="124">
        <f>VLOOKUP(AT249,'Yield 1Y'!$F:$G,2,0)</f>
        <v>45891</v>
      </c>
      <c r="BG249" s="318">
        <f t="shared" si="31"/>
        <v>198</v>
      </c>
    </row>
    <row r="250" spans="1:59" x14ac:dyDescent="0.3">
      <c r="A250" s="37">
        <v>205</v>
      </c>
      <c r="B250" s="72">
        <f>'Yield 1Y'!R207*B$3</f>
        <v>0</v>
      </c>
      <c r="C250" s="72">
        <f>'Yield 1Y'!S207*C$3</f>
        <v>0</v>
      </c>
      <c r="D250" s="72">
        <f>'Yield 1Y'!T207*D$3</f>
        <v>-0.15675236357935854</v>
      </c>
      <c r="E250" s="72">
        <f>'Yield 1Y'!U207*E$3</f>
        <v>-0.3750251191057411</v>
      </c>
      <c r="F250" s="72">
        <f>'Yield 1Y'!V207*F$3</f>
        <v>-4.20876604772282E-2</v>
      </c>
      <c r="G250" s="72">
        <f>'Yield 1Y'!W207*G$3</f>
        <v>-0.27052413482373544</v>
      </c>
      <c r="H250" s="72">
        <f>'Yield 1Y'!X207*H$3</f>
        <v>-3.3123840055530125</v>
      </c>
      <c r="I250" s="72">
        <f>'Yield 1Y'!Y207*I$3</f>
        <v>-3.3635772149084815</v>
      </c>
      <c r="J250" s="72">
        <f>'Yield 1Y'!Z207*J$3</f>
        <v>0</v>
      </c>
      <c r="K250" s="72">
        <f>'Yield 1Y'!AA207*K$3</f>
        <v>0</v>
      </c>
      <c r="L250" s="177">
        <f t="shared" si="24"/>
        <v>7.5203504984475575</v>
      </c>
      <c r="M250" s="124">
        <f>VLOOKUP(A250,'Yield 1Y'!$F:$G,2,0)</f>
        <v>45952</v>
      </c>
      <c r="N250" s="318">
        <f t="shared" si="25"/>
        <v>44</v>
      </c>
      <c r="P250" s="37">
        <v>247</v>
      </c>
      <c r="Q250" s="72">
        <f>Q$3*'Yield 1Y'!R249</f>
        <v>0</v>
      </c>
      <c r="R250" s="72">
        <f>R$3*'Yield 1Y'!S249</f>
        <v>0</v>
      </c>
      <c r="S250" s="72">
        <f>S$3*'Yield 1Y'!T249</f>
        <v>0</v>
      </c>
      <c r="T250" s="72">
        <f>T$3*'Yield 1Y'!U249</f>
        <v>0</v>
      </c>
      <c r="U250" s="72">
        <f>U$3*'Yield 1Y'!V249</f>
        <v>0</v>
      </c>
      <c r="V250" s="72">
        <f>V$3*'Yield 1Y'!W249</f>
        <v>-0.44603706860125181</v>
      </c>
      <c r="W250" s="72">
        <f>W$3*'Yield 1Y'!X249</f>
        <v>-6.6022139390380321</v>
      </c>
      <c r="X250" s="72">
        <f>X$3*'Yield 1Y'!Y249</f>
        <v>-1.7981796541049975</v>
      </c>
      <c r="Y250" s="72">
        <f>Y$3*'Yield 1Y'!Z249</f>
        <v>0</v>
      </c>
      <c r="Z250" s="72">
        <f>Z$3*'Yield 1Y'!AA249</f>
        <v>0</v>
      </c>
      <c r="AA250" s="177">
        <f t="shared" si="26"/>
        <v>8.8464306617442805</v>
      </c>
      <c r="AB250" s="124">
        <f>VLOOKUP(P250,'Yield 1Y'!$F:$G,2,0)</f>
        <v>45890</v>
      </c>
      <c r="AC250" s="318">
        <f t="shared" si="30"/>
        <v>3</v>
      </c>
      <c r="AE250" s="37">
        <v>58</v>
      </c>
      <c r="AF250" s="72">
        <f>AF$3*'Yield 1Y'!AB60</f>
        <v>0</v>
      </c>
      <c r="AG250" s="72">
        <f>AG$3*'Yield 1Y'!AC60</f>
        <v>0</v>
      </c>
      <c r="AH250" s="72">
        <f>AH$3*'Yield 1Y'!AD60</f>
        <v>-0.1936352726568549</v>
      </c>
      <c r="AI250" s="72">
        <f>AI$3*'Yield 1Y'!AE60</f>
        <v>-2.2789988007195392</v>
      </c>
      <c r="AJ250" s="72">
        <f>AJ$3*'Yield 1Y'!AF60</f>
        <v>-0.13561579487106312</v>
      </c>
      <c r="AK250" s="72">
        <f>AK$3*'Yield 1Y'!AG60</f>
        <v>-22.724027325186086</v>
      </c>
      <c r="AL250" s="72">
        <f>AL$3*'Yield 1Y'!AH60</f>
        <v>-7.8669120131882666</v>
      </c>
      <c r="AM250" s="72">
        <f>AM$3*'Yield 1Y'!AI60</f>
        <v>-15.136097467088465</v>
      </c>
      <c r="AN250" s="72">
        <f>AN$3*'Yield 1Y'!AJ60</f>
        <v>0</v>
      </c>
      <c r="AO250" s="72">
        <f>AO$3*'Yield 1Y'!AK60</f>
        <v>0</v>
      </c>
      <c r="AP250" s="177">
        <f t="shared" si="27"/>
        <v>48.335286673710272</v>
      </c>
      <c r="AQ250" s="124">
        <f>VLOOKUP(AE250,'Yield 1Y'!$F:$G,2,0)</f>
        <v>46171</v>
      </c>
      <c r="AR250" s="318">
        <f t="shared" si="28"/>
        <v>87</v>
      </c>
      <c r="AT250" s="37">
        <v>247</v>
      </c>
      <c r="AU250" s="72">
        <f>AU$3*'Yield 1Y'!AB20</f>
        <v>0</v>
      </c>
      <c r="AV250" s="72">
        <f>AV$3*'Yield 1Y'!AC20</f>
        <v>0</v>
      </c>
      <c r="AW250" s="72">
        <f>AW$3*'Yield 1Y'!AD20</f>
        <v>0</v>
      </c>
      <c r="AX250" s="72">
        <f>AX$3*'Yield 1Y'!AE20</f>
        <v>0</v>
      </c>
      <c r="AY250" s="72">
        <f>AY$3*'Yield 1Y'!AF20</f>
        <v>0</v>
      </c>
      <c r="AZ250" s="72">
        <f>AZ$3*'Yield 1Y'!AG20</f>
        <v>-0.1529269949490058</v>
      </c>
      <c r="BA250" s="72">
        <f>BA$3*'Yield 1Y'!AH20</f>
        <v>-6.1468888397939807</v>
      </c>
      <c r="BB250" s="72">
        <f>BB$3*'Yield 1Y'!AI20</f>
        <v>-1.1588268882009967</v>
      </c>
      <c r="BC250" s="72">
        <f>BC$3*'Yield 1Y'!AJ20</f>
        <v>0</v>
      </c>
      <c r="BD250" s="72">
        <f>BD$3*'Yield 1Y'!AK20</f>
        <v>0</v>
      </c>
      <c r="BE250" s="177">
        <f t="shared" si="29"/>
        <v>7.4586427229439831</v>
      </c>
      <c r="BF250" s="124">
        <f>VLOOKUP(AT250,'Yield 1Y'!$F:$G,2,0)</f>
        <v>45890</v>
      </c>
      <c r="BG250" s="318">
        <f t="shared" si="31"/>
        <v>102</v>
      </c>
    </row>
    <row r="251" spans="1:59" x14ac:dyDescent="0.3">
      <c r="A251" s="37">
        <v>66</v>
      </c>
      <c r="B251" s="72">
        <f>'Yield 1Y'!R68*B$3</f>
        <v>0</v>
      </c>
      <c r="C251" s="72">
        <f>'Yield 1Y'!S68*C$3</f>
        <v>0</v>
      </c>
      <c r="D251" s="72">
        <f>'Yield 1Y'!T68*D$3</f>
        <v>0</v>
      </c>
      <c r="E251" s="72">
        <f>'Yield 1Y'!U68*E$3</f>
        <v>-5.7696172170108105E-2</v>
      </c>
      <c r="F251" s="72">
        <f>'Yield 1Y'!V68*F$3</f>
        <v>-1.870562687876532E-2</v>
      </c>
      <c r="G251" s="72">
        <f>'Yield 1Y'!W68*G$3</f>
        <v>0</v>
      </c>
      <c r="H251" s="72">
        <f>'Yield 1Y'!X68*H$3</f>
        <v>1.6561920027763224</v>
      </c>
      <c r="I251" s="72">
        <f>'Yield 1Y'!Y68*I$3</f>
        <v>-1.6817886074542407</v>
      </c>
      <c r="J251" s="72">
        <f>'Yield 1Y'!Z68*J$3</f>
        <v>0</v>
      </c>
      <c r="K251" s="72">
        <f>'Yield 1Y'!AA68*K$3</f>
        <v>0</v>
      </c>
      <c r="L251" s="177">
        <f t="shared" si="24"/>
        <v>0.10199840372679181</v>
      </c>
      <c r="M251" s="124">
        <f>VLOOKUP(A251,'Yield 1Y'!$F:$G,2,0)</f>
        <v>46161</v>
      </c>
      <c r="N251" s="318">
        <f t="shared" si="25"/>
        <v>187</v>
      </c>
      <c r="P251" s="37">
        <v>248</v>
      </c>
      <c r="Q251" s="72">
        <f>Q$3*'Yield 1Y'!R250</f>
        <v>0</v>
      </c>
      <c r="R251" s="72">
        <f>R$3*'Yield 1Y'!S250</f>
        <v>0</v>
      </c>
      <c r="S251" s="72">
        <f>S$3*'Yield 1Y'!T250</f>
        <v>0</v>
      </c>
      <c r="T251" s="72">
        <f>T$3*'Yield 1Y'!U250</f>
        <v>0</v>
      </c>
      <c r="U251" s="72">
        <f>U$3*'Yield 1Y'!V250</f>
        <v>0</v>
      </c>
      <c r="V251" s="72">
        <f>V$3*'Yield 1Y'!W250</f>
        <v>-0.12743916245749728</v>
      </c>
      <c r="W251" s="72">
        <f>W$3*'Yield 1Y'!X250</f>
        <v>0.11383127481098748</v>
      </c>
      <c r="X251" s="72">
        <f>X$3*'Yield 1Y'!Y250</f>
        <v>0</v>
      </c>
      <c r="Y251" s="72">
        <f>Y$3*'Yield 1Y'!Z250</f>
        <v>0</v>
      </c>
      <c r="Z251" s="72">
        <f>Z$3*'Yield 1Y'!AA250</f>
        <v>0</v>
      </c>
      <c r="AA251" s="177">
        <f t="shared" si="26"/>
        <v>1.3607887646509803E-2</v>
      </c>
      <c r="AB251" s="124">
        <f>VLOOKUP(P251,'Yield 1Y'!$F:$G,2,0)</f>
        <v>45889</v>
      </c>
      <c r="AC251" s="318">
        <f t="shared" si="30"/>
        <v>176</v>
      </c>
      <c r="AE251" s="37">
        <v>61</v>
      </c>
      <c r="AF251" s="72">
        <f>AF$3*'Yield 1Y'!AB63</f>
        <v>0</v>
      </c>
      <c r="AG251" s="72">
        <f>AG$3*'Yield 1Y'!AC63</f>
        <v>0</v>
      </c>
      <c r="AH251" s="72">
        <f>AH$3*'Yield 1Y'!AD63</f>
        <v>0</v>
      </c>
      <c r="AI251" s="72">
        <f>AI$3*'Yield 1Y'!AE63</f>
        <v>-0.86544258255172402</v>
      </c>
      <c r="AJ251" s="72">
        <f>AJ$3*'Yield 1Y'!AF63</f>
        <v>0</v>
      </c>
      <c r="AK251" s="72">
        <f>AK$3*'Yield 1Y'!AG63</f>
        <v>-8.3862481795329149</v>
      </c>
      <c r="AL251" s="72">
        <f>AL$3*'Yield 1Y'!AH63</f>
        <v>0</v>
      </c>
      <c r="AM251" s="72">
        <f>AM$3*'Yield 1Y'!AI63</f>
        <v>-2.6908617719268446</v>
      </c>
      <c r="AN251" s="72">
        <f>AN$3*'Yield 1Y'!AJ63</f>
        <v>0</v>
      </c>
      <c r="AO251" s="72">
        <f>AO$3*'Yield 1Y'!AK63</f>
        <v>0</v>
      </c>
      <c r="AP251" s="177">
        <f t="shared" si="27"/>
        <v>11.942552534011483</v>
      </c>
      <c r="AQ251" s="124">
        <f>VLOOKUP(AE251,'Yield 1Y'!$F:$G,2,0)</f>
        <v>46168</v>
      </c>
      <c r="AR251" s="318">
        <f t="shared" si="28"/>
        <v>221</v>
      </c>
      <c r="AT251" s="37">
        <v>248</v>
      </c>
      <c r="AU251" s="72">
        <f>AU$3*'Yield 1Y'!AB35</f>
        <v>0</v>
      </c>
      <c r="AV251" s="72">
        <f>AV$3*'Yield 1Y'!AC35</f>
        <v>0</v>
      </c>
      <c r="AW251" s="72">
        <f>AW$3*'Yield 1Y'!AD35</f>
        <v>0</v>
      </c>
      <c r="AX251" s="72">
        <f>AX$3*'Yield 1Y'!AE35</f>
        <v>0</v>
      </c>
      <c r="AY251" s="72">
        <f>AY$3*'Yield 1Y'!AF35</f>
        <v>0</v>
      </c>
      <c r="AZ251" s="72">
        <f>AZ$3*'Yield 1Y'!AG35</f>
        <v>-0.26762224116074884</v>
      </c>
      <c r="BA251" s="72">
        <f>BA$3*'Yield 1Y'!AH35</f>
        <v>-1.9351316717870399</v>
      </c>
      <c r="BB251" s="72">
        <f>BB$3*'Yield 1Y'!AI35</f>
        <v>-0.51947412229699608</v>
      </c>
      <c r="BC251" s="72">
        <f>BC$3*'Yield 1Y'!AJ35</f>
        <v>0</v>
      </c>
      <c r="BD251" s="72">
        <f>BD$3*'Yield 1Y'!AK35</f>
        <v>0</v>
      </c>
      <c r="BE251" s="177">
        <f t="shared" si="29"/>
        <v>2.7222280352447852</v>
      </c>
      <c r="BF251" s="124">
        <f>VLOOKUP(AT251,'Yield 1Y'!$F:$G,2,0)</f>
        <v>45889</v>
      </c>
      <c r="BG251" s="318">
        <f t="shared" si="31"/>
        <v>206</v>
      </c>
    </row>
    <row r="252" spans="1:59" x14ac:dyDescent="0.3">
      <c r="A252" s="37">
        <v>238</v>
      </c>
      <c r="B252" s="72">
        <f>'Yield 1Y'!R240*B$3</f>
        <v>0</v>
      </c>
      <c r="C252" s="72">
        <f>'Yield 1Y'!S240*C$3</f>
        <v>0</v>
      </c>
      <c r="D252" s="72">
        <f>'Yield 1Y'!T240*D$3</f>
        <v>0</v>
      </c>
      <c r="E252" s="72">
        <f>'Yield 1Y'!U240*E$3</f>
        <v>0</v>
      </c>
      <c r="F252" s="72">
        <f>'Yield 1Y'!V240*F$3</f>
        <v>0</v>
      </c>
      <c r="G252" s="72">
        <f>'Yield 1Y'!W240*G$3</f>
        <v>4.59891029200194</v>
      </c>
      <c r="H252" s="72">
        <f>'Yield 1Y'!X240*H$3</f>
        <v>4.968576008329519</v>
      </c>
      <c r="I252" s="72">
        <f>'Yield 1Y'!Y240*I$3</f>
        <v>0</v>
      </c>
      <c r="J252" s="72">
        <f>'Yield 1Y'!Z240*J$3</f>
        <v>0</v>
      </c>
      <c r="K252" s="72">
        <f>'Yield 1Y'!AA240*K$3</f>
        <v>0</v>
      </c>
      <c r="L252" s="177">
        <f t="shared" si="24"/>
        <v>-9.5674863003314599</v>
      </c>
      <c r="M252" s="124">
        <f>VLOOKUP(A252,'Yield 1Y'!$F:$G,2,0)</f>
        <v>45905</v>
      </c>
      <c r="N252" s="318">
        <f t="shared" si="25"/>
        <v>250</v>
      </c>
      <c r="P252" s="37">
        <v>249</v>
      </c>
      <c r="Q252" s="72">
        <f>Q$3*'Yield 1Y'!R251</f>
        <v>0</v>
      </c>
      <c r="R252" s="72">
        <f>R$3*'Yield 1Y'!S251</f>
        <v>0</v>
      </c>
      <c r="S252" s="72">
        <f>S$3*'Yield 1Y'!T251</f>
        <v>0</v>
      </c>
      <c r="T252" s="72">
        <f>T$3*'Yield 1Y'!U251</f>
        <v>0</v>
      </c>
      <c r="U252" s="72">
        <f>U$3*'Yield 1Y'!V251</f>
        <v>0</v>
      </c>
      <c r="V252" s="72">
        <f>V$3*'Yield 1Y'!W251</f>
        <v>8.9207413720245834E-2</v>
      </c>
      <c r="W252" s="72">
        <f>W$3*'Yield 1Y'!X251</f>
        <v>-0.91065019848800088</v>
      </c>
      <c r="X252" s="72">
        <f>X$3*'Yield 1Y'!Y251</f>
        <v>-0.11987864360700456</v>
      </c>
      <c r="Y252" s="72">
        <f>Y$3*'Yield 1Y'!Z251</f>
        <v>0</v>
      </c>
      <c r="Z252" s="72">
        <f>Z$3*'Yield 1Y'!AA251</f>
        <v>0</v>
      </c>
      <c r="AA252" s="177">
        <f t="shared" si="26"/>
        <v>0.94132142837475952</v>
      </c>
      <c r="AB252" s="124">
        <f>VLOOKUP(P252,'Yield 1Y'!$F:$G,2,0)</f>
        <v>45888</v>
      </c>
      <c r="AC252" s="318">
        <f t="shared" si="30"/>
        <v>60</v>
      </c>
      <c r="AE252" s="37">
        <v>60</v>
      </c>
      <c r="AF252" s="72">
        <f>AF$3*'Yield 1Y'!AB62</f>
        <v>0</v>
      </c>
      <c r="AG252" s="72">
        <f>AG$3*'Yield 1Y'!AC62</f>
        <v>0</v>
      </c>
      <c r="AH252" s="72">
        <f>AH$3*'Yield 1Y'!AD62</f>
        <v>0</v>
      </c>
      <c r="AI252" s="72">
        <f>AI$3*'Yield 1Y'!AE62</f>
        <v>-0.86544258255172402</v>
      </c>
      <c r="AJ252" s="72">
        <f>AJ$3*'Yield 1Y'!AF62</f>
        <v>0</v>
      </c>
      <c r="AK252" s="72">
        <f>AK$3*'Yield 1Y'!AG62</f>
        <v>-8.3862481795329149</v>
      </c>
      <c r="AL252" s="72">
        <f>AL$3*'Yield 1Y'!AH62</f>
        <v>0</v>
      </c>
      <c r="AM252" s="72">
        <f>AM$3*'Yield 1Y'!AI62</f>
        <v>-4.7090081008719036</v>
      </c>
      <c r="AN252" s="72">
        <f>AN$3*'Yield 1Y'!AJ62</f>
        <v>0</v>
      </c>
      <c r="AO252" s="72">
        <f>AO$3*'Yield 1Y'!AK62</f>
        <v>0</v>
      </c>
      <c r="AP252" s="177">
        <f t="shared" si="27"/>
        <v>13.960698862956542</v>
      </c>
      <c r="AQ252" s="124">
        <f>VLOOKUP(AE252,'Yield 1Y'!$F:$G,2,0)</f>
        <v>46169</v>
      </c>
      <c r="AR252" s="318">
        <f t="shared" si="28"/>
        <v>218</v>
      </c>
      <c r="AT252" s="37">
        <v>249</v>
      </c>
      <c r="AU252" s="72">
        <f>AU$3*'Yield 1Y'!AB58</f>
        <v>0</v>
      </c>
      <c r="AV252" s="72">
        <f>AV$3*'Yield 1Y'!AC58</f>
        <v>0</v>
      </c>
      <c r="AW252" s="72">
        <f>AW$3*'Yield 1Y'!AD58</f>
        <v>0</v>
      </c>
      <c r="AX252" s="72">
        <f>AX$3*'Yield 1Y'!AE58</f>
        <v>0</v>
      </c>
      <c r="AY252" s="72">
        <f>AY$3*'Yield 1Y'!AF58</f>
        <v>0</v>
      </c>
      <c r="AZ252" s="72">
        <f>AZ$3*'Yield 1Y'!AG58</f>
        <v>-1.5547577819814986</v>
      </c>
      <c r="BA252" s="72">
        <f>BA$3*'Yield 1Y'!AH58</f>
        <v>-4.5532509924400051</v>
      </c>
      <c r="BB252" s="72">
        <f>BB$3*'Yield 1Y'!AI58</f>
        <v>-2.2776942285329977</v>
      </c>
      <c r="BC252" s="72">
        <f>BC$3*'Yield 1Y'!AJ58</f>
        <v>0</v>
      </c>
      <c r="BD252" s="72">
        <f>BD$3*'Yield 1Y'!AK58</f>
        <v>0</v>
      </c>
      <c r="BE252" s="177">
        <f t="shared" si="29"/>
        <v>8.3857030029545019</v>
      </c>
      <c r="BF252" s="124">
        <f>VLOOKUP(AT252,'Yield 1Y'!$F:$G,2,0)</f>
        <v>45888</v>
      </c>
      <c r="BG252" s="318">
        <f t="shared" si="31"/>
        <v>80</v>
      </c>
    </row>
    <row r="253" spans="1:59" x14ac:dyDescent="0.3">
      <c r="A253" s="37">
        <v>62</v>
      </c>
      <c r="B253" s="72">
        <f>'Yield 1Y'!R64*B$3</f>
        <v>0</v>
      </c>
      <c r="C253" s="72">
        <f>'Yield 1Y'!S64*C$3</f>
        <v>0</v>
      </c>
      <c r="D253" s="72">
        <f>'Yield 1Y'!T64*D$3</f>
        <v>0</v>
      </c>
      <c r="E253" s="72">
        <f>'Yield 1Y'!U64*E$3</f>
        <v>-5.7696172170120914E-2</v>
      </c>
      <c r="F253" s="72">
        <f>'Yield 1Y'!V64*F$3</f>
        <v>-2.3382033598458727E-2</v>
      </c>
      <c r="G253" s="72">
        <f>'Yield 1Y'!W64*G$3</f>
        <v>0</v>
      </c>
      <c r="H253" s="72">
        <f>'Yield 1Y'!X64*H$3</f>
        <v>1.2421440020824257</v>
      </c>
      <c r="I253" s="72">
        <f>'Yield 1Y'!Y64*I$3</f>
        <v>0</v>
      </c>
      <c r="J253" s="72">
        <f>'Yield 1Y'!Z64*J$3</f>
        <v>0</v>
      </c>
      <c r="K253" s="72">
        <f>'Yield 1Y'!AA64*K$3</f>
        <v>0</v>
      </c>
      <c r="L253" s="177">
        <f t="shared" si="24"/>
        <v>-1.161065796313846</v>
      </c>
      <c r="M253" s="124">
        <f>VLOOKUP(A253,'Yield 1Y'!$F:$G,2,0)</f>
        <v>46167</v>
      </c>
      <c r="N253" s="318">
        <f t="shared" si="25"/>
        <v>216</v>
      </c>
      <c r="P253" s="37">
        <v>250</v>
      </c>
      <c r="Q253" s="72">
        <f>Q$3*'Yield 1Y'!R252</f>
        <v>0</v>
      </c>
      <c r="R253" s="72">
        <f>R$3*'Yield 1Y'!S252</f>
        <v>0</v>
      </c>
      <c r="S253" s="72">
        <f>S$3*'Yield 1Y'!T252</f>
        <v>0</v>
      </c>
      <c r="T253" s="72">
        <f>T$3*'Yield 1Y'!U252</f>
        <v>0</v>
      </c>
      <c r="U253" s="72">
        <f>U$3*'Yield 1Y'!V252</f>
        <v>0</v>
      </c>
      <c r="V253" s="72">
        <f>V$3*'Yield 1Y'!W252</f>
        <v>5.0975664983000046E-2</v>
      </c>
      <c r="W253" s="72">
        <f>W$3*'Yield 1Y'!X252</f>
        <v>0.34149382443301302</v>
      </c>
      <c r="X253" s="72">
        <f>X$3*'Yield 1Y'!Y252</f>
        <v>-0.11987864360700456</v>
      </c>
      <c r="Y253" s="72">
        <f>Y$3*'Yield 1Y'!Z252</f>
        <v>0</v>
      </c>
      <c r="Z253" s="72">
        <f>Z$3*'Yield 1Y'!AA252</f>
        <v>0</v>
      </c>
      <c r="AA253" s="177">
        <f t="shared" si="26"/>
        <v>-0.2725908458090085</v>
      </c>
      <c r="AB253" s="124">
        <f>VLOOKUP(P253,'Yield 1Y'!$F:$G,2,0)</f>
        <v>45887</v>
      </c>
      <c r="AC253" s="318">
        <f t="shared" si="30"/>
        <v>211</v>
      </c>
      <c r="AE253" s="37">
        <v>59</v>
      </c>
      <c r="AF253" s="72">
        <f>AF$3*'Yield 1Y'!AB61</f>
        <v>0</v>
      </c>
      <c r="AG253" s="72">
        <f>AG$3*'Yield 1Y'!AC61</f>
        <v>0</v>
      </c>
      <c r="AH253" s="72">
        <f>AH$3*'Yield 1Y'!AD61</f>
        <v>-7.3765818154992738E-2</v>
      </c>
      <c r="AI253" s="72">
        <f>AI$3*'Yield 1Y'!AE61</f>
        <v>-1.0096830129770071</v>
      </c>
      <c r="AJ253" s="72">
        <f>AJ$3*'Yield 1Y'!AF61</f>
        <v>-7.4822507515067513E-2</v>
      </c>
      <c r="AK253" s="72">
        <f>AK$3*'Yield 1Y'!AG61</f>
        <v>-10.550441258122078</v>
      </c>
      <c r="AL253" s="72">
        <f>AL$3*'Yield 1Y'!AH61</f>
        <v>-3.3123840055530125</v>
      </c>
      <c r="AM253" s="72">
        <f>AM$3*'Yield 1Y'!AI61</f>
        <v>-15.472455188579433</v>
      </c>
      <c r="AN253" s="72">
        <f>AN$3*'Yield 1Y'!AJ61</f>
        <v>0</v>
      </c>
      <c r="AO253" s="72">
        <f>AO$3*'Yield 1Y'!AK61</f>
        <v>0</v>
      </c>
      <c r="AP253" s="177">
        <f t="shared" si="27"/>
        <v>30.493551790901591</v>
      </c>
      <c r="AQ253" s="124">
        <f>VLOOKUP(AE253,'Yield 1Y'!$F:$G,2,0)</f>
        <v>46170</v>
      </c>
      <c r="AR253" s="318">
        <f t="shared" si="28"/>
        <v>165</v>
      </c>
      <c r="AT253" s="37">
        <v>250</v>
      </c>
      <c r="AU253" s="72">
        <f>AU$3*'Yield 1Y'!AB199</f>
        <v>0</v>
      </c>
      <c r="AV253" s="72">
        <f>AV$3*'Yield 1Y'!AC199</f>
        <v>0</v>
      </c>
      <c r="AW253" s="72">
        <f>AW$3*'Yield 1Y'!AD199</f>
        <v>0</v>
      </c>
      <c r="AX253" s="72">
        <f>AX$3*'Yield 1Y'!AE199</f>
        <v>0</v>
      </c>
      <c r="AY253" s="72">
        <f>AY$3*'Yield 1Y'!AF199</f>
        <v>0</v>
      </c>
      <c r="AZ253" s="72">
        <f>AZ$3*'Yield 1Y'!AG199</f>
        <v>-0.73914714225350353</v>
      </c>
      <c r="BA253" s="72">
        <f>BA$3*'Yield 1Y'!AH199</f>
        <v>-2.8457818702749904</v>
      </c>
      <c r="BB253" s="72">
        <f>BB$3*'Yield 1Y'!AI199</f>
        <v>-0.75923140951100521</v>
      </c>
      <c r="BC253" s="72">
        <f>BC$3*'Yield 1Y'!AJ199</f>
        <v>0</v>
      </c>
      <c r="BD253" s="72">
        <f>BD$3*'Yield 1Y'!AK199</f>
        <v>0</v>
      </c>
      <c r="BE253" s="177">
        <f t="shared" si="29"/>
        <v>4.3441604220394989</v>
      </c>
      <c r="BF253" s="124">
        <f>VLOOKUP(AT253,'Yield 1Y'!$F:$G,2,0)</f>
        <v>45887</v>
      </c>
      <c r="BG253" s="318">
        <f t="shared" si="31"/>
        <v>177</v>
      </c>
    </row>
    <row r="254" spans="1:59" x14ac:dyDescent="0.3">
      <c r="A254" s="37">
        <v>86</v>
      </c>
      <c r="B254" s="72">
        <f>'Yield 1Y'!R88*B$3</f>
        <v>0</v>
      </c>
      <c r="C254" s="72">
        <f>'Yield 1Y'!S88*C$3</f>
        <v>0</v>
      </c>
      <c r="D254" s="72">
        <f>'Yield 1Y'!T88*D$3</f>
        <v>0</v>
      </c>
      <c r="E254" s="72">
        <f>'Yield 1Y'!U88*E$3</f>
        <v>0.14424043042528306</v>
      </c>
      <c r="F254" s="72">
        <f>'Yield 1Y'!V88*F$3</f>
        <v>4.6764067196917454E-2</v>
      </c>
      <c r="G254" s="72">
        <f>'Yield 1Y'!W88*G$3</f>
        <v>-0.81157240447096601</v>
      </c>
      <c r="H254" s="72">
        <f>'Yield 1Y'!X88*H$3</f>
        <v>-1.2421440020824257</v>
      </c>
      <c r="I254" s="72">
        <f>'Yield 1Y'!Y88*I$3</f>
        <v>-2.0181463289452082</v>
      </c>
      <c r="J254" s="72">
        <f>'Yield 1Y'!Z88*J$3</f>
        <v>0</v>
      </c>
      <c r="K254" s="72">
        <f>'Yield 1Y'!AA88*K$3</f>
        <v>0</v>
      </c>
      <c r="L254" s="177">
        <f t="shared" si="24"/>
        <v>3.8808582378763994</v>
      </c>
      <c r="M254" s="124">
        <f>VLOOKUP(A254,'Yield 1Y'!$F:$G,2,0)</f>
        <v>46128</v>
      </c>
      <c r="N254" s="318">
        <f t="shared" si="25"/>
        <v>74</v>
      </c>
      <c r="P254" s="37">
        <v>251</v>
      </c>
      <c r="Q254" s="72">
        <f>Q$3*'Yield 1Y'!R253</f>
        <v>0</v>
      </c>
      <c r="R254" s="72">
        <f>R$3*'Yield 1Y'!S253</f>
        <v>0</v>
      </c>
      <c r="S254" s="72">
        <f>S$3*'Yield 1Y'!T253</f>
        <v>0</v>
      </c>
      <c r="T254" s="72">
        <f>T$3*'Yield 1Y'!U253</f>
        <v>0</v>
      </c>
      <c r="U254" s="72">
        <f>U$3*'Yield 1Y'!V253</f>
        <v>0</v>
      </c>
      <c r="V254" s="72">
        <f>V$3*'Yield 1Y'!W253</f>
        <v>-0.11469524621174869</v>
      </c>
      <c r="W254" s="72">
        <f>W$3*'Yield 1Y'!X253</f>
        <v>-1.138312748109976</v>
      </c>
      <c r="X254" s="72">
        <f>X$3*'Yield 1Y'!Y253</f>
        <v>-7.9919095737991205E-2</v>
      </c>
      <c r="Y254" s="72">
        <f>Y$3*'Yield 1Y'!Z253</f>
        <v>0</v>
      </c>
      <c r="Z254" s="72">
        <f>Z$3*'Yield 1Y'!AA253</f>
        <v>0</v>
      </c>
      <c r="AA254" s="177">
        <f t="shared" si="26"/>
        <v>1.3329270900597159</v>
      </c>
      <c r="AB254" s="124">
        <f>VLOOKUP(P254,'Yield 1Y'!$F:$G,2,0)</f>
        <v>45884</v>
      </c>
      <c r="AC254" s="318">
        <f t="shared" si="30"/>
        <v>44</v>
      </c>
      <c r="AE254" s="37">
        <v>62</v>
      </c>
      <c r="AF254" s="72">
        <f>AF$3*'Yield 1Y'!AB64</f>
        <v>0</v>
      </c>
      <c r="AG254" s="72">
        <f>AG$3*'Yield 1Y'!AC64</f>
        <v>0</v>
      </c>
      <c r="AH254" s="72">
        <f>AH$3*'Yield 1Y'!AD64</f>
        <v>0</v>
      </c>
      <c r="AI254" s="72">
        <f>AI$3*'Yield 1Y'!AE64</f>
        <v>-0.86544258255172402</v>
      </c>
      <c r="AJ254" s="72">
        <f>AJ$3*'Yield 1Y'!AF64</f>
        <v>0</v>
      </c>
      <c r="AK254" s="72">
        <f>AK$3*'Yield 1Y'!AG64</f>
        <v>-8.3862481795329149</v>
      </c>
      <c r="AL254" s="72">
        <f>AL$3*'Yield 1Y'!AH64</f>
        <v>0</v>
      </c>
      <c r="AM254" s="72">
        <f>AM$3*'Yield 1Y'!AI64</f>
        <v>-3.3635772149084815</v>
      </c>
      <c r="AN254" s="72">
        <f>AN$3*'Yield 1Y'!AJ64</f>
        <v>0</v>
      </c>
      <c r="AO254" s="72">
        <f>AO$3*'Yield 1Y'!AK64</f>
        <v>0</v>
      </c>
      <c r="AP254" s="177">
        <f t="shared" si="27"/>
        <v>12.61526797699312</v>
      </c>
      <c r="AQ254" s="124">
        <f>VLOOKUP(AE254,'Yield 1Y'!$F:$G,2,0)</f>
        <v>46167</v>
      </c>
      <c r="AR254" s="318">
        <f t="shared" si="28"/>
        <v>220</v>
      </c>
      <c r="AT254" s="37">
        <v>251</v>
      </c>
      <c r="AU254" s="72">
        <f>AU$3*'Yield 1Y'!AB75</f>
        <v>0</v>
      </c>
      <c r="AV254" s="72">
        <f>AV$3*'Yield 1Y'!AC75</f>
        <v>0</v>
      </c>
      <c r="AW254" s="72">
        <f>AW$3*'Yield 1Y'!AD75</f>
        <v>0</v>
      </c>
      <c r="AX254" s="72">
        <f>AX$3*'Yield 1Y'!AE75</f>
        <v>0</v>
      </c>
      <c r="AY254" s="72">
        <f>AY$3*'Yield 1Y'!AF75</f>
        <v>0</v>
      </c>
      <c r="AZ254" s="72">
        <f>AZ$3*'Yield 1Y'!AG75</f>
        <v>-5.0975664982994391E-2</v>
      </c>
      <c r="BA254" s="72">
        <f>BA$3*'Yield 1Y'!AH75</f>
        <v>-6.1468888397940313</v>
      </c>
      <c r="BB254" s="72">
        <f>BB$3*'Yield 1Y'!AI75</f>
        <v>-0.79919095738000079</v>
      </c>
      <c r="BC254" s="72">
        <f>BC$3*'Yield 1Y'!AJ75</f>
        <v>0</v>
      </c>
      <c r="BD254" s="72">
        <f>BD$3*'Yield 1Y'!AK75</f>
        <v>0</v>
      </c>
      <c r="BE254" s="177">
        <f t="shared" si="29"/>
        <v>6.997055462157026</v>
      </c>
      <c r="BF254" s="124">
        <f>VLOOKUP(AT254,'Yield 1Y'!$F:$G,2,0)</f>
        <v>45884</v>
      </c>
      <c r="BG254" s="318">
        <f t="shared" si="31"/>
        <v>112</v>
      </c>
    </row>
    <row r="255" spans="1:59" x14ac:dyDescent="0.3">
      <c r="A255" s="37">
        <v>61</v>
      </c>
      <c r="B255" s="72">
        <f>'Yield 1Y'!R63*B$3</f>
        <v>0</v>
      </c>
      <c r="C255" s="72">
        <f>'Yield 1Y'!S63*C$3</f>
        <v>0</v>
      </c>
      <c r="D255" s="72">
        <f>'Yield 1Y'!T63*D$3</f>
        <v>0</v>
      </c>
      <c r="E255" s="72">
        <f>'Yield 1Y'!U63*E$3</f>
        <v>0</v>
      </c>
      <c r="F255" s="72">
        <f>'Yield 1Y'!V63*F$3</f>
        <v>0</v>
      </c>
      <c r="G255" s="72">
        <f>'Yield 1Y'!W63*G$3</f>
        <v>0</v>
      </c>
      <c r="H255" s="72">
        <f>'Yield 1Y'!X63*H$3</f>
        <v>0</v>
      </c>
      <c r="I255" s="72">
        <f>'Yield 1Y'!Y63*I$3</f>
        <v>0</v>
      </c>
      <c r="J255" s="72">
        <f>'Yield 1Y'!Z63*J$3</f>
        <v>0</v>
      </c>
      <c r="K255" s="72">
        <f>'Yield 1Y'!AA63*K$3</f>
        <v>0</v>
      </c>
      <c r="L255" s="177">
        <f t="shared" si="24"/>
        <v>0</v>
      </c>
      <c r="M255" s="124">
        <f>VLOOKUP(A255,'Yield 1Y'!$F:$G,2,0)</f>
        <v>46168</v>
      </c>
      <c r="N255" s="318">
        <f t="shared" si="25"/>
        <v>195.5</v>
      </c>
      <c r="P255" s="37">
        <v>252</v>
      </c>
      <c r="Q255" s="72">
        <f>Q$3*'Yield 1Y'!R254</f>
        <v>0</v>
      </c>
      <c r="R255" s="72">
        <f>R$3*'Yield 1Y'!S254</f>
        <v>0</v>
      </c>
      <c r="S255" s="72">
        <f>S$3*'Yield 1Y'!T254</f>
        <v>0</v>
      </c>
      <c r="T255" s="72">
        <f>T$3*'Yield 1Y'!U254</f>
        <v>0</v>
      </c>
      <c r="U255" s="72">
        <f>U$3*'Yield 1Y'!V254</f>
        <v>0</v>
      </c>
      <c r="V255" s="72">
        <f>V$3*'Yield 1Y'!W254</f>
        <v>-0.17841482744049733</v>
      </c>
      <c r="W255" s="72">
        <f>W$3*'Yield 1Y'!X254</f>
        <v>-4.6670822672510424</v>
      </c>
      <c r="X255" s="72">
        <f>X$3*'Yield 1Y'!Y254</f>
        <v>-1.7981796541049975</v>
      </c>
      <c r="Y255" s="72">
        <f>Y$3*'Yield 1Y'!Z254</f>
        <v>0</v>
      </c>
      <c r="Z255" s="72">
        <f>Z$3*'Yield 1Y'!AA254</f>
        <v>0</v>
      </c>
      <c r="AA255" s="177">
        <f t="shared" si="26"/>
        <v>6.6436767487965369</v>
      </c>
      <c r="AB255" s="124">
        <f>VLOOKUP(P255,'Yield 1Y'!$F:$G,2,0)</f>
        <v>45883</v>
      </c>
      <c r="AC255" s="318">
        <f t="shared" si="30"/>
        <v>7</v>
      </c>
      <c r="AE255" s="37">
        <v>63</v>
      </c>
      <c r="AF255" s="72">
        <f>AF$3*'Yield 1Y'!AB65</f>
        <v>0</v>
      </c>
      <c r="AG255" s="72">
        <f>AG$3*'Yield 1Y'!AC65</f>
        <v>0</v>
      </c>
      <c r="AH255" s="72">
        <f>AH$3*'Yield 1Y'!AD65</f>
        <v>0</v>
      </c>
      <c r="AI255" s="72">
        <f>AI$3*'Yield 1Y'!AE65</f>
        <v>-0.75005023821150785</v>
      </c>
      <c r="AJ255" s="72">
        <f>AJ$3*'Yield 1Y'!AF65</f>
        <v>0</v>
      </c>
      <c r="AK255" s="72">
        <f>AK$3*'Yield 1Y'!AG65</f>
        <v>-7.3041516402384534</v>
      </c>
      <c r="AL255" s="72">
        <f>AL$3*'Yield 1Y'!AH65</f>
        <v>0</v>
      </c>
      <c r="AM255" s="72">
        <f>AM$3*'Yield 1Y'!AI65</f>
        <v>-2.018146328945059</v>
      </c>
      <c r="AN255" s="72">
        <f>AN$3*'Yield 1Y'!AJ65</f>
        <v>0</v>
      </c>
      <c r="AO255" s="72">
        <f>AO$3*'Yield 1Y'!AK65</f>
        <v>0</v>
      </c>
      <c r="AP255" s="177">
        <f t="shared" si="27"/>
        <v>10.07234820739502</v>
      </c>
      <c r="AQ255" s="124">
        <f>VLOOKUP(AE255,'Yield 1Y'!$F:$G,2,0)</f>
        <v>46164</v>
      </c>
      <c r="AR255" s="318">
        <f t="shared" si="28"/>
        <v>229</v>
      </c>
      <c r="AT255" s="37">
        <v>252</v>
      </c>
      <c r="AU255" s="72">
        <f>AU$3*'Yield 1Y'!AB76</f>
        <v>0</v>
      </c>
      <c r="AV255" s="72">
        <f>AV$3*'Yield 1Y'!AC76</f>
        <v>0</v>
      </c>
      <c r="AW255" s="72">
        <f>AW$3*'Yield 1Y'!AD76</f>
        <v>0</v>
      </c>
      <c r="AX255" s="72">
        <f>AX$3*'Yield 1Y'!AE76</f>
        <v>0</v>
      </c>
      <c r="AY255" s="72">
        <f>AY$3*'Yield 1Y'!AF76</f>
        <v>0</v>
      </c>
      <c r="AZ255" s="72">
        <f>AZ$3*'Yield 1Y'!AG76</f>
        <v>0.15292699494899448</v>
      </c>
      <c r="BA255" s="72">
        <f>BA$3*'Yield 1Y'!AH76</f>
        <v>-1.3659752977320014</v>
      </c>
      <c r="BB255" s="72">
        <f>BB$3*'Yield 1Y'!AI76</f>
        <v>0.15983819147600017</v>
      </c>
      <c r="BC255" s="72">
        <f>BC$3*'Yield 1Y'!AJ76</f>
        <v>0</v>
      </c>
      <c r="BD255" s="72">
        <f>BD$3*'Yield 1Y'!AK76</f>
        <v>0</v>
      </c>
      <c r="BE255" s="177">
        <f t="shared" si="29"/>
        <v>1.0532101113070069</v>
      </c>
      <c r="BF255" s="124">
        <f>VLOOKUP(AT255,'Yield 1Y'!$F:$G,2,0)</f>
        <v>45883</v>
      </c>
      <c r="BG255" s="318">
        <f t="shared" si="31"/>
        <v>231</v>
      </c>
    </row>
  </sheetData>
  <autoFilter ref="AE3:AR255" xr:uid="{00000000-0001-0000-1C00-000000000000}">
    <sortState xmlns:xlrd2="http://schemas.microsoft.com/office/spreadsheetml/2017/richdata2" ref="AE4:AR255">
      <sortCondition ref="AR3:AR255"/>
    </sortState>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tabColor theme="6" tint="0.39997558519241921"/>
  </sheetPr>
  <dimension ref="A1:AN2751"/>
  <sheetViews>
    <sheetView workbookViewId="0">
      <pane ySplit="1" topLeftCell="A2" activePane="bottomLeft" state="frozen"/>
      <selection activeCell="O1" sqref="O1"/>
      <selection pane="bottomLeft" sqref="A1:A1048576"/>
    </sheetView>
  </sheetViews>
  <sheetFormatPr defaultRowHeight="14.4" x14ac:dyDescent="0.3"/>
  <cols>
    <col min="1" max="1" width="10.5" style="35" bestFit="1" customWidth="1"/>
    <col min="2" max="2" width="8" bestFit="1" customWidth="1"/>
    <col min="3" max="3" width="9.796875" bestFit="1" customWidth="1"/>
    <col min="6" max="6" width="9.09765625" style="11"/>
    <col min="7" max="7" width="14" bestFit="1" customWidth="1"/>
    <col min="8" max="8" width="7.19921875" style="82" bestFit="1" customWidth="1"/>
    <col min="9" max="13" width="5.8984375" style="82" bestFit="1" customWidth="1"/>
    <col min="14" max="15" width="5.8984375" style="197" bestFit="1" customWidth="1"/>
    <col min="16" max="17" width="5.8984375" style="82" bestFit="1" customWidth="1"/>
    <col min="18" max="18" width="12" style="322" customWidth="1"/>
    <col min="19" max="23" width="9.09765625" customWidth="1"/>
    <col min="24" max="25" width="9.09765625" style="194" customWidth="1"/>
    <col min="26" max="27" width="9.09765625" customWidth="1"/>
    <col min="28" max="28" width="12" style="322" customWidth="1"/>
    <col min="29" max="33" width="9.09765625" customWidth="1"/>
    <col min="34" max="35" width="9.09765625" style="194" customWidth="1"/>
    <col min="36" max="38" width="9.09765625" customWidth="1"/>
    <col min="39" max="40" width="10.69921875" bestFit="1" customWidth="1"/>
  </cols>
  <sheetData>
    <row r="1" spans="1:40" x14ac:dyDescent="0.3">
      <c r="A1" s="35" t="s">
        <v>855</v>
      </c>
      <c r="B1" t="s">
        <v>876</v>
      </c>
      <c r="C1" t="s">
        <v>982</v>
      </c>
      <c r="G1" s="178" t="s">
        <v>2858</v>
      </c>
      <c r="H1" s="178" t="s">
        <v>828</v>
      </c>
      <c r="I1"/>
      <c r="J1"/>
      <c r="K1"/>
      <c r="L1"/>
      <c r="M1"/>
      <c r="N1"/>
      <c r="O1"/>
      <c r="P1"/>
      <c r="Q1"/>
      <c r="R1" s="319" t="s">
        <v>2859</v>
      </c>
      <c r="S1" s="315"/>
      <c r="T1" s="315"/>
      <c r="U1" s="315"/>
      <c r="V1" s="315"/>
      <c r="W1" s="315"/>
      <c r="Z1" s="315"/>
      <c r="AA1" s="315"/>
      <c r="AB1" s="323" t="s">
        <v>3027</v>
      </c>
      <c r="AC1" s="313"/>
      <c r="AD1" s="313"/>
      <c r="AE1" s="313"/>
      <c r="AF1" s="313"/>
      <c r="AG1" s="313"/>
      <c r="AJ1" s="313"/>
      <c r="AK1" s="313"/>
    </row>
    <row r="2" spans="1:40" x14ac:dyDescent="0.3">
      <c r="A2" s="35">
        <v>45852</v>
      </c>
      <c r="B2" s="847" t="s">
        <v>883</v>
      </c>
      <c r="C2">
        <v>3.2280000000000002</v>
      </c>
      <c r="F2" s="11" t="s">
        <v>0</v>
      </c>
      <c r="G2" s="178" t="s">
        <v>2857</v>
      </c>
      <c r="H2" t="s">
        <v>883</v>
      </c>
      <c r="I2" t="s">
        <v>884</v>
      </c>
      <c r="J2" t="s">
        <v>877</v>
      </c>
      <c r="K2" t="s">
        <v>885</v>
      </c>
      <c r="L2" t="s">
        <v>878</v>
      </c>
      <c r="M2" t="s">
        <v>886</v>
      </c>
      <c r="N2" t="s">
        <v>879</v>
      </c>
      <c r="O2" t="s">
        <v>880</v>
      </c>
      <c r="P2" t="s">
        <v>881</v>
      </c>
      <c r="Q2" t="s">
        <v>882</v>
      </c>
      <c r="R2" s="320" t="s">
        <v>877</v>
      </c>
      <c r="S2" s="316" t="s">
        <v>878</v>
      </c>
      <c r="T2" s="316" t="s">
        <v>879</v>
      </c>
      <c r="U2" s="316" t="s">
        <v>880</v>
      </c>
      <c r="V2" s="316" t="s">
        <v>881</v>
      </c>
      <c r="W2" s="316" t="s">
        <v>882</v>
      </c>
      <c r="X2" s="195" t="s">
        <v>883</v>
      </c>
      <c r="Y2" s="195" t="s">
        <v>884</v>
      </c>
      <c r="Z2" s="316" t="s">
        <v>885</v>
      </c>
      <c r="AA2" s="316" t="s">
        <v>886</v>
      </c>
      <c r="AB2" s="324" t="s">
        <v>877</v>
      </c>
      <c r="AC2" s="314" t="s">
        <v>878</v>
      </c>
      <c r="AD2" s="314" t="s">
        <v>879</v>
      </c>
      <c r="AE2" s="314" t="s">
        <v>880</v>
      </c>
      <c r="AF2" s="314" t="s">
        <v>881</v>
      </c>
      <c r="AG2" s="314" t="s">
        <v>882</v>
      </c>
      <c r="AH2" s="195" t="s">
        <v>883</v>
      </c>
      <c r="AI2" s="195" t="s">
        <v>884</v>
      </c>
      <c r="AJ2" s="314" t="s">
        <v>885</v>
      </c>
      <c r="AK2" s="314" t="s">
        <v>886</v>
      </c>
    </row>
    <row r="3" spans="1:40" x14ac:dyDescent="0.3">
      <c r="A3" s="35">
        <v>45853</v>
      </c>
      <c r="B3" s="847" t="s">
        <v>883</v>
      </c>
      <c r="C3">
        <v>3.234</v>
      </c>
      <c r="E3">
        <f>G3-G4</f>
        <v>1</v>
      </c>
      <c r="F3" s="11">
        <v>1</v>
      </c>
      <c r="G3" s="179">
        <v>46252</v>
      </c>
      <c r="H3" s="847">
        <v>4.4480000000000004</v>
      </c>
      <c r="I3" s="847">
        <v>4.5780000000000003</v>
      </c>
      <c r="J3" s="847">
        <v>3.5289999999999999</v>
      </c>
      <c r="K3" s="847">
        <v>4.6660000000000004</v>
      </c>
      <c r="L3" s="847">
        <v>3.633</v>
      </c>
      <c r="M3" s="847">
        <v>4.7329999999999997</v>
      </c>
      <c r="N3" s="847">
        <v>3.7040000000000002</v>
      </c>
      <c r="O3" s="847">
        <v>3.9710000000000001</v>
      </c>
      <c r="P3" s="847">
        <v>4.2380000000000004</v>
      </c>
      <c r="Q3" s="847">
        <v>4.3090000000000002</v>
      </c>
      <c r="R3" s="321">
        <f>(J3-J4)*100</f>
        <v>0</v>
      </c>
      <c r="S3" s="72">
        <f>(L3-L4)*100</f>
        <v>0</v>
      </c>
      <c r="T3" s="72">
        <f>(N3-N4)*100</f>
        <v>0</v>
      </c>
      <c r="U3" s="72">
        <f>(O3-O4)*100</f>
        <v>-0.49999999999998934</v>
      </c>
      <c r="V3" s="72">
        <f>(P3-P4)*100</f>
        <v>-0.99999999999997868</v>
      </c>
      <c r="W3" s="72">
        <f>(Q3-Q4)*100</f>
        <v>-0.19999999999997797</v>
      </c>
      <c r="X3" s="196">
        <f>(H3-H4)*100</f>
        <v>-0.49999999999998934</v>
      </c>
      <c r="Y3" s="196">
        <f>(I3-I4)*100</f>
        <v>0</v>
      </c>
      <c r="Z3" s="72">
        <f>(K3-K4)*100</f>
        <v>0</v>
      </c>
      <c r="AA3" s="72">
        <f>(M3-M4)*100</f>
        <v>0</v>
      </c>
      <c r="AB3" s="321">
        <f>(H3-H13)*100</f>
        <v>3.6000000000000476</v>
      </c>
      <c r="AC3" s="72">
        <f t="shared" ref="AC3:AK3" si="0">(I3-I13)*100</f>
        <v>0.40000000000004476</v>
      </c>
      <c r="AD3" s="72">
        <f t="shared" si="0"/>
        <v>2.0999999999999908</v>
      </c>
      <c r="AE3" s="72">
        <f t="shared" si="0"/>
        <v>0.80000000000000071</v>
      </c>
      <c r="AF3" s="72">
        <f t="shared" si="0"/>
        <v>2.0000000000000018</v>
      </c>
      <c r="AG3" s="72">
        <f t="shared" si="0"/>
        <v>0.89999999999994529</v>
      </c>
      <c r="AH3" s="196">
        <f t="shared" si="0"/>
        <v>2.1000000000000352</v>
      </c>
      <c r="AI3" s="196">
        <f t="shared" si="0"/>
        <v>1.8000000000000238</v>
      </c>
      <c r="AJ3" s="72">
        <f t="shared" si="0"/>
        <v>1.6000000000000014</v>
      </c>
      <c r="AK3" s="72">
        <f t="shared" si="0"/>
        <v>3.0000000000000249</v>
      </c>
    </row>
    <row r="4" spans="1:40" x14ac:dyDescent="0.3">
      <c r="A4" s="35">
        <v>45854</v>
      </c>
      <c r="B4" s="847" t="s">
        <v>883</v>
      </c>
      <c r="C4">
        <v>3.24</v>
      </c>
      <c r="E4">
        <f t="shared" ref="E4:E67" si="1">G4-G5</f>
        <v>3</v>
      </c>
      <c r="F4" s="11">
        <v>2</v>
      </c>
      <c r="G4" s="179">
        <v>46251</v>
      </c>
      <c r="H4" s="847">
        <v>4.4530000000000003</v>
      </c>
      <c r="I4" s="847">
        <v>4.5780000000000003</v>
      </c>
      <c r="J4" s="847">
        <v>3.5289999999999999</v>
      </c>
      <c r="K4" s="847">
        <v>4.6660000000000004</v>
      </c>
      <c r="L4" s="847">
        <v>3.633</v>
      </c>
      <c r="M4" s="847">
        <v>4.7329999999999997</v>
      </c>
      <c r="N4" s="847">
        <v>3.7040000000000002</v>
      </c>
      <c r="O4" s="847">
        <v>3.976</v>
      </c>
      <c r="P4" s="847">
        <v>4.2480000000000002</v>
      </c>
      <c r="Q4" s="847">
        <v>4.3109999999999999</v>
      </c>
      <c r="R4" s="321">
        <f t="shared" ref="R4:R67" si="2">(J4-J5)*100</f>
        <v>0</v>
      </c>
      <c r="S4" s="72">
        <f t="shared" ref="S4:S67" si="3">(L4-L5)*100</f>
        <v>0</v>
      </c>
      <c r="T4" s="72">
        <f t="shared" ref="T4:T67" si="4">(N4-N5)*100</f>
        <v>0</v>
      </c>
      <c r="U4" s="72">
        <f t="shared" ref="U4:U67" si="5">(O4-O5)*100</f>
        <v>0.49999999999998934</v>
      </c>
      <c r="V4" s="72">
        <f t="shared" ref="V4:V67" si="6">(P4-P5)*100</f>
        <v>1.1000000000000121</v>
      </c>
      <c r="W4" s="72">
        <f t="shared" ref="W4:W67" si="7">(Q4-Q5)*100</f>
        <v>0.80000000000000071</v>
      </c>
      <c r="X4" s="196">
        <f t="shared" ref="X4:X67" si="8">(H4-H5)*100</f>
        <v>2.8999999999999915</v>
      </c>
      <c r="Y4" s="196">
        <f t="shared" ref="Y4:Y67" si="9">(I4-I5)*100</f>
        <v>0.40000000000004476</v>
      </c>
      <c r="Z4" s="72">
        <f t="shared" ref="Z4:Z67" si="10">(K4-K5)*100</f>
        <v>0</v>
      </c>
      <c r="AA4" s="72">
        <f t="shared" ref="AA4:AA67" si="11">(M4-M5)*100</f>
        <v>0</v>
      </c>
      <c r="AB4" s="321">
        <f>(H4-H14)*100</f>
        <v>4.3000000000000149</v>
      </c>
      <c r="AC4" s="72">
        <f t="shared" ref="AC4:AC67" si="12">(I4-I14)*100</f>
        <v>0.40000000000004476</v>
      </c>
      <c r="AD4" s="72">
        <f t="shared" ref="AD4:AD67" si="13">(J4-J14)*100</f>
        <v>2.0999999999999908</v>
      </c>
      <c r="AE4" s="72">
        <f t="shared" ref="AE4:AE67" si="14">(K4-K14)*100</f>
        <v>0.80000000000000071</v>
      </c>
      <c r="AF4" s="72">
        <f t="shared" ref="AF4:AF67" si="15">(L4-L14)*100</f>
        <v>2.0000000000000018</v>
      </c>
      <c r="AG4" s="72">
        <f t="shared" ref="AG4:AG67" si="16">(M4-M14)*100</f>
        <v>0.89999999999994529</v>
      </c>
      <c r="AH4" s="196">
        <f t="shared" ref="AH4:AH67" si="17">(N4-N14)*100</f>
        <v>2.1000000000000352</v>
      </c>
      <c r="AI4" s="196">
        <f t="shared" ref="AI4:AI67" si="18">(O4-O14)*100</f>
        <v>2.5999999999999801</v>
      </c>
      <c r="AJ4" s="72">
        <f t="shared" ref="AJ4:AJ67" si="19">(P4-P14)*100</f>
        <v>3.1000000000000583</v>
      </c>
      <c r="AK4" s="72">
        <f t="shared" ref="AK4:AK67" si="20">(Q4-Q14)*100</f>
        <v>4.0000000000000036</v>
      </c>
    </row>
    <row r="5" spans="1:40" x14ac:dyDescent="0.3">
      <c r="A5" s="35">
        <v>45855</v>
      </c>
      <c r="B5" s="847" t="s">
        <v>883</v>
      </c>
      <c r="C5">
        <v>3.28</v>
      </c>
      <c r="E5">
        <f t="shared" si="1"/>
        <v>1</v>
      </c>
      <c r="F5" s="11">
        <v>3</v>
      </c>
      <c r="G5" s="179">
        <v>46248</v>
      </c>
      <c r="H5" s="847">
        <v>4.4240000000000004</v>
      </c>
      <c r="I5" s="847">
        <v>4.5739999999999998</v>
      </c>
      <c r="J5" s="847">
        <v>3.5289999999999999</v>
      </c>
      <c r="K5" s="847">
        <v>4.6660000000000004</v>
      </c>
      <c r="L5" s="847">
        <v>3.633</v>
      </c>
      <c r="M5" s="847">
        <v>4.7329999999999997</v>
      </c>
      <c r="N5" s="847">
        <v>3.7040000000000002</v>
      </c>
      <c r="O5" s="847">
        <v>3.9710000000000001</v>
      </c>
      <c r="P5" s="847">
        <v>4.2370000000000001</v>
      </c>
      <c r="Q5" s="847">
        <v>4.3029999999999999</v>
      </c>
      <c r="R5" s="321">
        <f t="shared" si="2"/>
        <v>0</v>
      </c>
      <c r="S5" s="72">
        <f t="shared" si="3"/>
        <v>0</v>
      </c>
      <c r="T5" s="72">
        <f t="shared" si="4"/>
        <v>0</v>
      </c>
      <c r="U5" s="72">
        <f t="shared" si="5"/>
        <v>-0.49999999999998934</v>
      </c>
      <c r="V5" s="72">
        <f t="shared" si="6"/>
        <v>-1.1000000000000121</v>
      </c>
      <c r="W5" s="72">
        <f t="shared" si="7"/>
        <v>-0.30000000000001137</v>
      </c>
      <c r="X5" s="196">
        <f t="shared" si="8"/>
        <v>0.1000000000000334</v>
      </c>
      <c r="Y5" s="196">
        <f t="shared" si="9"/>
        <v>0</v>
      </c>
      <c r="Z5" s="72">
        <f t="shared" si="10"/>
        <v>0</v>
      </c>
      <c r="AA5" s="72">
        <f t="shared" si="11"/>
        <v>0</v>
      </c>
      <c r="AB5" s="321">
        <f t="shared" ref="AB5:AB67" si="21">(H5-H15)*100</f>
        <v>1.4000000000000234</v>
      </c>
      <c r="AC5" s="72">
        <f t="shared" si="12"/>
        <v>-0.40000000000004476</v>
      </c>
      <c r="AD5" s="72">
        <f t="shared" si="13"/>
        <v>6.1999999999999833</v>
      </c>
      <c r="AE5" s="72">
        <f t="shared" si="14"/>
        <v>0.80000000000000071</v>
      </c>
      <c r="AF5" s="72">
        <f t="shared" si="15"/>
        <v>6.1999999999999833</v>
      </c>
      <c r="AG5" s="72">
        <f t="shared" si="16"/>
        <v>0.89999999999994529</v>
      </c>
      <c r="AH5" s="196">
        <f t="shared" si="17"/>
        <v>6.2000000000000277</v>
      </c>
      <c r="AI5" s="196">
        <f t="shared" si="18"/>
        <v>4.3000000000000149</v>
      </c>
      <c r="AJ5" s="72">
        <f t="shared" si="19"/>
        <v>2.2999999999999687</v>
      </c>
      <c r="AK5" s="72">
        <f t="shared" si="20"/>
        <v>3.3999999999999808</v>
      </c>
      <c r="AM5" s="35"/>
      <c r="AN5" s="35"/>
    </row>
    <row r="6" spans="1:40" x14ac:dyDescent="0.3">
      <c r="A6" s="35">
        <v>45856</v>
      </c>
      <c r="B6" s="847" t="s">
        <v>883</v>
      </c>
      <c r="C6">
        <v>3.2810000000000001</v>
      </c>
      <c r="E6">
        <f t="shared" si="1"/>
        <v>1</v>
      </c>
      <c r="F6" s="11">
        <v>4</v>
      </c>
      <c r="G6" s="179">
        <v>46247</v>
      </c>
      <c r="H6" s="847">
        <v>4.423</v>
      </c>
      <c r="I6" s="847">
        <v>4.5739999999999998</v>
      </c>
      <c r="J6" s="847">
        <v>3.5289999999999999</v>
      </c>
      <c r="K6" s="847">
        <v>4.6660000000000004</v>
      </c>
      <c r="L6" s="847">
        <v>3.633</v>
      </c>
      <c r="M6" s="847">
        <v>4.7329999999999997</v>
      </c>
      <c r="N6" s="847">
        <v>3.7040000000000002</v>
      </c>
      <c r="O6" s="847">
        <v>3.976</v>
      </c>
      <c r="P6" s="847">
        <v>4.2480000000000002</v>
      </c>
      <c r="Q6" s="847">
        <v>4.306</v>
      </c>
      <c r="R6" s="321">
        <f t="shared" si="2"/>
        <v>0</v>
      </c>
      <c r="S6" s="72">
        <f t="shared" si="3"/>
        <v>0</v>
      </c>
      <c r="T6" s="72">
        <f t="shared" si="4"/>
        <v>0</v>
      </c>
      <c r="U6" s="72">
        <f t="shared" si="5"/>
        <v>0.70000000000001172</v>
      </c>
      <c r="V6" s="72">
        <f t="shared" si="6"/>
        <v>1.4000000000000234</v>
      </c>
      <c r="W6" s="72">
        <f t="shared" si="7"/>
        <v>0.80000000000000071</v>
      </c>
      <c r="X6" s="196">
        <f t="shared" si="8"/>
        <v>0</v>
      </c>
      <c r="Y6" s="196">
        <f t="shared" si="9"/>
        <v>0</v>
      </c>
      <c r="Z6" s="72">
        <f t="shared" si="10"/>
        <v>0</v>
      </c>
      <c r="AA6" s="72">
        <f t="shared" si="11"/>
        <v>0</v>
      </c>
      <c r="AB6" s="321">
        <f t="shared" si="21"/>
        <v>1.1000000000000121</v>
      </c>
      <c r="AC6" s="72">
        <f t="shared" si="12"/>
        <v>0</v>
      </c>
      <c r="AD6" s="72">
        <f t="shared" si="13"/>
        <v>6.1999999999999833</v>
      </c>
      <c r="AE6" s="72">
        <f t="shared" si="14"/>
        <v>0.80000000000000071</v>
      </c>
      <c r="AF6" s="72">
        <f t="shared" si="15"/>
        <v>6.1999999999999833</v>
      </c>
      <c r="AG6" s="72">
        <f t="shared" si="16"/>
        <v>0.89999999999994529</v>
      </c>
      <c r="AH6" s="196">
        <f t="shared" si="17"/>
        <v>6.2000000000000277</v>
      </c>
      <c r="AI6" s="196">
        <f t="shared" si="18"/>
        <v>4.5999999999999819</v>
      </c>
      <c r="AJ6" s="72">
        <f t="shared" si="19"/>
        <v>3.0000000000000249</v>
      </c>
      <c r="AK6" s="72">
        <f t="shared" si="20"/>
        <v>3.6999999999999922</v>
      </c>
      <c r="AM6" s="35"/>
      <c r="AN6" s="35"/>
    </row>
    <row r="7" spans="1:40" x14ac:dyDescent="0.3">
      <c r="A7" s="35">
        <v>45859</v>
      </c>
      <c r="B7" s="847" t="s">
        <v>883</v>
      </c>
      <c r="C7">
        <v>3.2839999999999998</v>
      </c>
      <c r="E7">
        <f t="shared" si="1"/>
        <v>1</v>
      </c>
      <c r="F7" s="11">
        <v>5</v>
      </c>
      <c r="G7" s="179">
        <v>46246</v>
      </c>
      <c r="H7" s="847">
        <v>4.423</v>
      </c>
      <c r="I7" s="847">
        <v>4.5739999999999998</v>
      </c>
      <c r="J7" s="847">
        <v>3.5289999999999999</v>
      </c>
      <c r="K7" s="847">
        <v>4.6660000000000004</v>
      </c>
      <c r="L7" s="847">
        <v>3.633</v>
      </c>
      <c r="M7" s="847">
        <v>4.7329999999999997</v>
      </c>
      <c r="N7" s="847">
        <v>3.7040000000000002</v>
      </c>
      <c r="O7" s="847">
        <v>3.9689999999999999</v>
      </c>
      <c r="P7" s="847">
        <v>4.234</v>
      </c>
      <c r="Q7" s="847">
        <v>4.298</v>
      </c>
      <c r="R7" s="321">
        <f t="shared" si="2"/>
        <v>1.2000000000000011</v>
      </c>
      <c r="S7" s="72">
        <f t="shared" si="3"/>
        <v>1.2000000000000011</v>
      </c>
      <c r="T7" s="72">
        <f t="shared" si="4"/>
        <v>1.2000000000000011</v>
      </c>
      <c r="U7" s="72">
        <f t="shared" si="5"/>
        <v>0.69999999999996732</v>
      </c>
      <c r="V7" s="72">
        <f t="shared" si="6"/>
        <v>0.1000000000000334</v>
      </c>
      <c r="W7" s="72">
        <f t="shared" si="7"/>
        <v>0</v>
      </c>
      <c r="X7" s="196">
        <f t="shared" si="8"/>
        <v>0.49999999999998934</v>
      </c>
      <c r="Y7" s="196">
        <f t="shared" si="9"/>
        <v>0</v>
      </c>
      <c r="Z7" s="72">
        <f t="shared" si="10"/>
        <v>0</v>
      </c>
      <c r="AA7" s="72">
        <f t="shared" si="11"/>
        <v>0</v>
      </c>
      <c r="AB7" s="321">
        <f t="shared" si="21"/>
        <v>1.4000000000000234</v>
      </c>
      <c r="AC7" s="72">
        <f t="shared" si="12"/>
        <v>0</v>
      </c>
      <c r="AD7" s="72">
        <f t="shared" si="13"/>
        <v>6.1999999999999833</v>
      </c>
      <c r="AE7" s="72">
        <f t="shared" si="14"/>
        <v>0.80000000000000071</v>
      </c>
      <c r="AF7" s="72">
        <f t="shared" si="15"/>
        <v>6.1999999999999833</v>
      </c>
      <c r="AG7" s="72">
        <f t="shared" si="16"/>
        <v>0.89999999999994529</v>
      </c>
      <c r="AH7" s="196">
        <f t="shared" si="17"/>
        <v>6.2000000000000277</v>
      </c>
      <c r="AI7" s="196">
        <f t="shared" si="18"/>
        <v>4.0999999999999925</v>
      </c>
      <c r="AJ7" s="72">
        <f t="shared" si="19"/>
        <v>1.9999999999999574</v>
      </c>
      <c r="AK7" s="72">
        <f t="shared" si="20"/>
        <v>2.5999999999999801</v>
      </c>
      <c r="AM7" s="35"/>
      <c r="AN7" s="35"/>
    </row>
    <row r="8" spans="1:40" x14ac:dyDescent="0.3">
      <c r="A8" s="35">
        <v>45860</v>
      </c>
      <c r="B8" s="847" t="s">
        <v>883</v>
      </c>
      <c r="C8">
        <v>3.2850000000000001</v>
      </c>
      <c r="E8">
        <f t="shared" si="1"/>
        <v>1</v>
      </c>
      <c r="F8" s="11">
        <v>6</v>
      </c>
      <c r="G8" s="179">
        <v>46245</v>
      </c>
      <c r="H8" s="847">
        <v>4.4180000000000001</v>
      </c>
      <c r="I8" s="847">
        <v>4.5739999999999998</v>
      </c>
      <c r="J8" s="847">
        <v>3.5169999999999999</v>
      </c>
      <c r="K8" s="847">
        <v>4.6660000000000004</v>
      </c>
      <c r="L8" s="847">
        <v>3.621</v>
      </c>
      <c r="M8" s="847">
        <v>4.7329999999999997</v>
      </c>
      <c r="N8" s="847">
        <v>3.6920000000000002</v>
      </c>
      <c r="O8" s="847">
        <v>3.9620000000000002</v>
      </c>
      <c r="P8" s="847">
        <v>4.2329999999999997</v>
      </c>
      <c r="Q8" s="847">
        <v>4.298</v>
      </c>
      <c r="R8" s="321">
        <f t="shared" si="2"/>
        <v>0</v>
      </c>
      <c r="S8" s="72">
        <f t="shared" si="3"/>
        <v>0</v>
      </c>
      <c r="T8" s="72">
        <f t="shared" si="4"/>
        <v>0</v>
      </c>
      <c r="U8" s="72">
        <f t="shared" si="5"/>
        <v>0</v>
      </c>
      <c r="V8" s="72">
        <f t="shared" si="6"/>
        <v>0</v>
      </c>
      <c r="W8" s="72">
        <f t="shared" si="7"/>
        <v>0.30000000000001137</v>
      </c>
      <c r="X8" s="196">
        <f t="shared" si="8"/>
        <v>0.19999999999997797</v>
      </c>
      <c r="Y8" s="196">
        <f t="shared" si="9"/>
        <v>0</v>
      </c>
      <c r="Z8" s="72">
        <f t="shared" si="10"/>
        <v>0</v>
      </c>
      <c r="AA8" s="72">
        <f t="shared" si="11"/>
        <v>0</v>
      </c>
      <c r="AB8" s="321">
        <f t="shared" si="21"/>
        <v>0.99999999999997868</v>
      </c>
      <c r="AC8" s="72">
        <f t="shared" si="12"/>
        <v>0</v>
      </c>
      <c r="AD8" s="72">
        <f t="shared" si="13"/>
        <v>4.9999999999999822</v>
      </c>
      <c r="AE8" s="72">
        <f t="shared" si="14"/>
        <v>0.80000000000000071</v>
      </c>
      <c r="AF8" s="72">
        <f t="shared" si="15"/>
        <v>4.9999999999999822</v>
      </c>
      <c r="AG8" s="72">
        <f t="shared" si="16"/>
        <v>0.89999999999994529</v>
      </c>
      <c r="AH8" s="196">
        <f t="shared" si="17"/>
        <v>5.0000000000000266</v>
      </c>
      <c r="AI8" s="196">
        <f t="shared" si="18"/>
        <v>3.6000000000000032</v>
      </c>
      <c r="AJ8" s="72">
        <f t="shared" si="19"/>
        <v>2.1999999999999353</v>
      </c>
      <c r="AK8" s="72">
        <f t="shared" si="20"/>
        <v>2.8999999999999915</v>
      </c>
      <c r="AM8" s="35"/>
      <c r="AN8" s="35"/>
    </row>
    <row r="9" spans="1:40" x14ac:dyDescent="0.3">
      <c r="A9" s="35">
        <v>45861</v>
      </c>
      <c r="B9" s="847" t="s">
        <v>883</v>
      </c>
      <c r="C9">
        <v>3.3050000000000002</v>
      </c>
      <c r="E9">
        <f t="shared" si="1"/>
        <v>3</v>
      </c>
      <c r="F9" s="11">
        <v>7</v>
      </c>
      <c r="G9" s="179">
        <v>46244</v>
      </c>
      <c r="H9" s="847">
        <v>4.4160000000000004</v>
      </c>
      <c r="I9" s="847">
        <v>4.5739999999999998</v>
      </c>
      <c r="J9" s="847">
        <v>3.5169999999999999</v>
      </c>
      <c r="K9" s="847">
        <v>4.6660000000000004</v>
      </c>
      <c r="L9" s="847">
        <v>3.621</v>
      </c>
      <c r="M9" s="847">
        <v>4.7329999999999997</v>
      </c>
      <c r="N9" s="847">
        <v>3.6920000000000002</v>
      </c>
      <c r="O9" s="847">
        <v>3.9620000000000002</v>
      </c>
      <c r="P9" s="847">
        <v>4.2329999999999997</v>
      </c>
      <c r="Q9" s="847">
        <v>4.2949999999999999</v>
      </c>
      <c r="R9" s="321">
        <f t="shared" si="2"/>
        <v>0</v>
      </c>
      <c r="S9" s="72">
        <f t="shared" si="3"/>
        <v>0</v>
      </c>
      <c r="T9" s="72">
        <f t="shared" si="4"/>
        <v>0</v>
      </c>
      <c r="U9" s="72">
        <f t="shared" si="5"/>
        <v>0.50000000000003375</v>
      </c>
      <c r="V9" s="72">
        <f t="shared" si="6"/>
        <v>0.99999999999997868</v>
      </c>
      <c r="W9" s="72">
        <f t="shared" si="7"/>
        <v>0.19999999999997797</v>
      </c>
      <c r="X9" s="196">
        <f t="shared" si="8"/>
        <v>0.1000000000000334</v>
      </c>
      <c r="Y9" s="196">
        <f t="shared" si="9"/>
        <v>0</v>
      </c>
      <c r="Z9" s="72">
        <f t="shared" si="10"/>
        <v>0</v>
      </c>
      <c r="AA9" s="72">
        <f t="shared" si="11"/>
        <v>0</v>
      </c>
      <c r="AB9" s="321">
        <f t="shared" si="21"/>
        <v>0.80000000000000071</v>
      </c>
      <c r="AC9" s="72">
        <f t="shared" si="12"/>
        <v>0</v>
      </c>
      <c r="AD9" s="72">
        <f t="shared" si="13"/>
        <v>4.9999999999999822</v>
      </c>
      <c r="AE9" s="72">
        <f t="shared" si="14"/>
        <v>0.80000000000000071</v>
      </c>
      <c r="AF9" s="72">
        <f t="shared" si="15"/>
        <v>4.9999999999999822</v>
      </c>
      <c r="AG9" s="72">
        <f t="shared" si="16"/>
        <v>0.89999999999994529</v>
      </c>
      <c r="AH9" s="196">
        <f t="shared" si="17"/>
        <v>5.0000000000000266</v>
      </c>
      <c r="AI9" s="196">
        <f t="shared" si="18"/>
        <v>3.5000000000000142</v>
      </c>
      <c r="AJ9" s="72">
        <f t="shared" si="19"/>
        <v>1.9999999999999574</v>
      </c>
      <c r="AK9" s="72">
        <f t="shared" si="20"/>
        <v>2.5999999999999801</v>
      </c>
      <c r="AM9" s="35"/>
      <c r="AN9" s="35"/>
    </row>
    <row r="10" spans="1:40" x14ac:dyDescent="0.3">
      <c r="A10" s="35">
        <v>45862</v>
      </c>
      <c r="B10" s="847" t="s">
        <v>883</v>
      </c>
      <c r="C10">
        <v>3.3239999999999998</v>
      </c>
      <c r="E10">
        <f t="shared" si="1"/>
        <v>1</v>
      </c>
      <c r="F10" s="11">
        <v>8</v>
      </c>
      <c r="G10" s="179">
        <v>46241</v>
      </c>
      <c r="H10" s="847">
        <v>4.415</v>
      </c>
      <c r="I10" s="847">
        <v>4.5739999999999998</v>
      </c>
      <c r="J10" s="847">
        <v>3.5169999999999999</v>
      </c>
      <c r="K10" s="847">
        <v>4.6660000000000004</v>
      </c>
      <c r="L10" s="847">
        <v>3.621</v>
      </c>
      <c r="M10" s="847">
        <v>4.7329999999999997</v>
      </c>
      <c r="N10" s="847">
        <v>3.6920000000000002</v>
      </c>
      <c r="O10" s="847">
        <v>3.9569999999999999</v>
      </c>
      <c r="P10" s="847">
        <v>4.2229999999999999</v>
      </c>
      <c r="Q10" s="847">
        <v>4.2930000000000001</v>
      </c>
      <c r="R10" s="321">
        <f t="shared" si="2"/>
        <v>0</v>
      </c>
      <c r="S10" s="72">
        <f t="shared" si="3"/>
        <v>0</v>
      </c>
      <c r="T10" s="72">
        <f t="shared" si="4"/>
        <v>0</v>
      </c>
      <c r="U10" s="72">
        <f t="shared" si="5"/>
        <v>9.9999999999988987E-2</v>
      </c>
      <c r="V10" s="72">
        <f t="shared" si="6"/>
        <v>0.30000000000001137</v>
      </c>
      <c r="W10" s="72">
        <f t="shared" si="7"/>
        <v>0.70000000000005613</v>
      </c>
      <c r="X10" s="196">
        <f t="shared" si="8"/>
        <v>0.30000000000001137</v>
      </c>
      <c r="Y10" s="196">
        <f t="shared" si="9"/>
        <v>0</v>
      </c>
      <c r="Z10" s="72">
        <f t="shared" si="10"/>
        <v>0.40000000000004476</v>
      </c>
      <c r="AA10" s="72">
        <f t="shared" si="11"/>
        <v>0.49999999999998934</v>
      </c>
      <c r="AB10" s="321">
        <f t="shared" si="21"/>
        <v>0.99999999999997868</v>
      </c>
      <c r="AC10" s="72">
        <f t="shared" si="12"/>
        <v>-0.40000000000004476</v>
      </c>
      <c r="AD10" s="72">
        <f t="shared" si="13"/>
        <v>4.9999999999999822</v>
      </c>
      <c r="AE10" s="72">
        <f t="shared" si="14"/>
        <v>0.80000000000000071</v>
      </c>
      <c r="AF10" s="72">
        <f t="shared" si="15"/>
        <v>4.9999999999999822</v>
      </c>
      <c r="AG10" s="72">
        <f t="shared" si="16"/>
        <v>0.89999999999994529</v>
      </c>
      <c r="AH10" s="196">
        <f t="shared" si="17"/>
        <v>6.7000000000000171</v>
      </c>
      <c r="AI10" s="196">
        <f t="shared" si="18"/>
        <v>4.0000000000000036</v>
      </c>
      <c r="AJ10" s="72">
        <f t="shared" si="19"/>
        <v>1.4000000000000234</v>
      </c>
      <c r="AK10" s="72">
        <f t="shared" si="20"/>
        <v>2.3000000000000576</v>
      </c>
      <c r="AM10" s="35"/>
      <c r="AN10" s="35"/>
    </row>
    <row r="11" spans="1:40" x14ac:dyDescent="0.3">
      <c r="A11" s="35">
        <v>45863</v>
      </c>
      <c r="B11" s="847" t="s">
        <v>883</v>
      </c>
      <c r="C11">
        <v>3.3149999999999999</v>
      </c>
      <c r="E11">
        <f t="shared" si="1"/>
        <v>1</v>
      </c>
      <c r="F11" s="11">
        <v>9</v>
      </c>
      <c r="G11" s="179">
        <v>46240</v>
      </c>
      <c r="H11" s="847">
        <v>4.4119999999999999</v>
      </c>
      <c r="I11" s="847">
        <v>4.5739999999999998</v>
      </c>
      <c r="J11" s="847">
        <v>3.5169999999999999</v>
      </c>
      <c r="K11" s="847">
        <v>4.6619999999999999</v>
      </c>
      <c r="L11" s="847">
        <v>3.621</v>
      </c>
      <c r="M11" s="847">
        <v>4.7279999999999998</v>
      </c>
      <c r="N11" s="847">
        <v>3.6920000000000002</v>
      </c>
      <c r="O11" s="847">
        <v>3.956</v>
      </c>
      <c r="P11" s="847">
        <v>4.22</v>
      </c>
      <c r="Q11" s="847">
        <v>4.2859999999999996</v>
      </c>
      <c r="R11" s="321">
        <f t="shared" si="2"/>
        <v>0.8999999999999897</v>
      </c>
      <c r="S11" s="72">
        <f t="shared" si="3"/>
        <v>0.80000000000000071</v>
      </c>
      <c r="T11" s="72">
        <f t="shared" si="4"/>
        <v>0.90000000000003411</v>
      </c>
      <c r="U11" s="72">
        <f t="shared" si="5"/>
        <v>0.59999999999997833</v>
      </c>
      <c r="V11" s="72">
        <f t="shared" si="6"/>
        <v>0.19999999999997797</v>
      </c>
      <c r="W11" s="72">
        <f t="shared" si="7"/>
        <v>0.69999999999996732</v>
      </c>
      <c r="X11" s="196">
        <f t="shared" si="8"/>
        <v>0.39999999999995595</v>
      </c>
      <c r="Y11" s="196">
        <f t="shared" si="9"/>
        <v>0</v>
      </c>
      <c r="Z11" s="72">
        <f t="shared" si="10"/>
        <v>0.39999999999995595</v>
      </c>
      <c r="AA11" s="72">
        <f t="shared" si="11"/>
        <v>0.39999999999995595</v>
      </c>
      <c r="AB11" s="321">
        <f t="shared" si="21"/>
        <v>0.30000000000001137</v>
      </c>
      <c r="AC11" s="72">
        <f t="shared" si="12"/>
        <v>-0.40000000000004476</v>
      </c>
      <c r="AD11" s="72">
        <f t="shared" si="13"/>
        <v>4.9999999999999822</v>
      </c>
      <c r="AE11" s="72">
        <f t="shared" si="14"/>
        <v>0.39999999999995595</v>
      </c>
      <c r="AF11" s="72">
        <f t="shared" si="15"/>
        <v>4.9999999999999822</v>
      </c>
      <c r="AG11" s="72">
        <f t="shared" si="16"/>
        <v>0.39999999999995595</v>
      </c>
      <c r="AH11" s="196">
        <f t="shared" si="17"/>
        <v>6.7000000000000171</v>
      </c>
      <c r="AI11" s="196">
        <f t="shared" si="18"/>
        <v>3.7999999999999812</v>
      </c>
      <c r="AJ11" s="72">
        <f t="shared" si="19"/>
        <v>0.89999999999994529</v>
      </c>
      <c r="AK11" s="72">
        <f t="shared" si="20"/>
        <v>1.699999999999946</v>
      </c>
      <c r="AM11" s="35"/>
      <c r="AN11" s="35"/>
    </row>
    <row r="12" spans="1:40" x14ac:dyDescent="0.3">
      <c r="A12" s="35">
        <v>45866</v>
      </c>
      <c r="B12" s="847" t="s">
        <v>883</v>
      </c>
      <c r="C12">
        <v>3.31</v>
      </c>
      <c r="E12">
        <f t="shared" si="1"/>
        <v>1</v>
      </c>
      <c r="F12" s="11">
        <v>10</v>
      </c>
      <c r="G12" s="179">
        <v>46239</v>
      </c>
      <c r="H12" s="847">
        <v>4.4080000000000004</v>
      </c>
      <c r="I12" s="847">
        <v>4.5739999999999998</v>
      </c>
      <c r="J12" s="847">
        <v>3.508</v>
      </c>
      <c r="K12" s="847">
        <v>4.6580000000000004</v>
      </c>
      <c r="L12" s="847">
        <v>3.613</v>
      </c>
      <c r="M12" s="847">
        <v>4.7240000000000002</v>
      </c>
      <c r="N12" s="847">
        <v>3.6829999999999998</v>
      </c>
      <c r="O12" s="847">
        <v>3.95</v>
      </c>
      <c r="P12" s="847">
        <v>4.218</v>
      </c>
      <c r="Q12" s="847">
        <v>4.2789999999999999</v>
      </c>
      <c r="R12" s="321">
        <f t="shared" si="2"/>
        <v>0</v>
      </c>
      <c r="S12" s="72">
        <f t="shared" si="3"/>
        <v>0</v>
      </c>
      <c r="T12" s="72">
        <f t="shared" si="4"/>
        <v>0</v>
      </c>
      <c r="U12" s="72">
        <f t="shared" si="5"/>
        <v>-0.29999999999996696</v>
      </c>
      <c r="V12" s="72">
        <f t="shared" si="6"/>
        <v>-0.40000000000004476</v>
      </c>
      <c r="W12" s="72">
        <f t="shared" si="7"/>
        <v>0</v>
      </c>
      <c r="X12" s="196">
        <f t="shared" si="8"/>
        <v>-0.39999999999995595</v>
      </c>
      <c r="Y12" s="196">
        <f t="shared" si="9"/>
        <v>0</v>
      </c>
      <c r="Z12" s="72">
        <f t="shared" si="10"/>
        <v>0</v>
      </c>
      <c r="AA12" s="72">
        <f t="shared" si="11"/>
        <v>0</v>
      </c>
      <c r="AB12" s="321">
        <f t="shared" si="21"/>
        <v>0.1000000000000334</v>
      </c>
      <c r="AC12" s="72">
        <f t="shared" si="12"/>
        <v>-0.40000000000004476</v>
      </c>
      <c r="AD12" s="72">
        <f t="shared" si="13"/>
        <v>4.0999999999999925</v>
      </c>
      <c r="AE12" s="72">
        <f t="shared" si="14"/>
        <v>0</v>
      </c>
      <c r="AF12" s="72">
        <f t="shared" si="15"/>
        <v>4.1999999999999815</v>
      </c>
      <c r="AG12" s="72">
        <f t="shared" si="16"/>
        <v>0</v>
      </c>
      <c r="AH12" s="196">
        <f t="shared" si="17"/>
        <v>5.7999999999999829</v>
      </c>
      <c r="AI12" s="196">
        <f t="shared" si="18"/>
        <v>3.1000000000000139</v>
      </c>
      <c r="AJ12" s="72">
        <f t="shared" si="19"/>
        <v>0.39999999999995595</v>
      </c>
      <c r="AK12" s="72">
        <f t="shared" si="20"/>
        <v>0.90000000000003411</v>
      </c>
      <c r="AM12" s="35"/>
      <c r="AN12" s="35"/>
    </row>
    <row r="13" spans="1:40" x14ac:dyDescent="0.3">
      <c r="A13" s="35">
        <v>45867</v>
      </c>
      <c r="B13" s="847" t="s">
        <v>883</v>
      </c>
      <c r="C13">
        <v>3.31</v>
      </c>
      <c r="E13">
        <f t="shared" si="1"/>
        <v>1</v>
      </c>
      <c r="F13" s="11">
        <v>11</v>
      </c>
      <c r="G13" s="179">
        <v>46238</v>
      </c>
      <c r="H13" s="847">
        <v>4.4119999999999999</v>
      </c>
      <c r="I13" s="847">
        <v>4.5739999999999998</v>
      </c>
      <c r="J13" s="847">
        <v>3.508</v>
      </c>
      <c r="K13" s="847">
        <v>4.6580000000000004</v>
      </c>
      <c r="L13" s="847">
        <v>3.613</v>
      </c>
      <c r="M13" s="847">
        <v>4.7240000000000002</v>
      </c>
      <c r="N13" s="847">
        <v>3.6829999999999998</v>
      </c>
      <c r="O13" s="847">
        <v>3.9529999999999998</v>
      </c>
      <c r="P13" s="847">
        <v>4.2220000000000004</v>
      </c>
      <c r="Q13" s="847">
        <v>4.2789999999999999</v>
      </c>
      <c r="R13" s="321">
        <f t="shared" si="2"/>
        <v>0</v>
      </c>
      <c r="S13" s="72">
        <f t="shared" si="3"/>
        <v>0</v>
      </c>
      <c r="T13" s="72">
        <f t="shared" si="4"/>
        <v>0</v>
      </c>
      <c r="U13" s="72">
        <f t="shared" si="5"/>
        <v>0.29999999999996696</v>
      </c>
      <c r="V13" s="72">
        <f t="shared" si="6"/>
        <v>0.50000000000007816</v>
      </c>
      <c r="W13" s="72">
        <f t="shared" si="7"/>
        <v>0.80000000000000071</v>
      </c>
      <c r="X13" s="196">
        <f t="shared" si="8"/>
        <v>0.19999999999997797</v>
      </c>
      <c r="Y13" s="196">
        <f t="shared" si="9"/>
        <v>0</v>
      </c>
      <c r="Z13" s="72">
        <f t="shared" si="10"/>
        <v>0</v>
      </c>
      <c r="AA13" s="72">
        <f t="shared" si="11"/>
        <v>0</v>
      </c>
      <c r="AB13" s="321">
        <f t="shared" si="21"/>
        <v>0.39999999999995595</v>
      </c>
      <c r="AC13" s="72">
        <f t="shared" si="12"/>
        <v>-0.40000000000004476</v>
      </c>
      <c r="AD13" s="72">
        <f t="shared" si="13"/>
        <v>5.7999999999999829</v>
      </c>
      <c r="AE13" s="72">
        <f t="shared" si="14"/>
        <v>0</v>
      </c>
      <c r="AF13" s="72">
        <f t="shared" si="15"/>
        <v>7.5000000000000178</v>
      </c>
      <c r="AG13" s="72">
        <f t="shared" si="16"/>
        <v>0</v>
      </c>
      <c r="AH13" s="196">
        <f t="shared" si="17"/>
        <v>9.0999999999999748</v>
      </c>
      <c r="AI13" s="196">
        <f t="shared" si="18"/>
        <v>5.2000000000000046</v>
      </c>
      <c r="AJ13" s="72">
        <f t="shared" si="19"/>
        <v>1.1000000000000121</v>
      </c>
      <c r="AK13" s="72">
        <f t="shared" si="20"/>
        <v>0.99999999999997868</v>
      </c>
      <c r="AM13" s="35"/>
      <c r="AN13" s="35"/>
    </row>
    <row r="14" spans="1:40" x14ac:dyDescent="0.3">
      <c r="A14" s="35">
        <v>45868</v>
      </c>
      <c r="B14" s="847" t="s">
        <v>883</v>
      </c>
      <c r="C14">
        <v>3.323</v>
      </c>
      <c r="E14">
        <f t="shared" si="1"/>
        <v>3</v>
      </c>
      <c r="F14" s="11">
        <v>12</v>
      </c>
      <c r="G14" s="179">
        <v>46237</v>
      </c>
      <c r="H14" s="847">
        <v>4.41</v>
      </c>
      <c r="I14" s="847">
        <v>4.5739999999999998</v>
      </c>
      <c r="J14" s="847">
        <v>3.508</v>
      </c>
      <c r="K14" s="847">
        <v>4.6580000000000004</v>
      </c>
      <c r="L14" s="847">
        <v>3.613</v>
      </c>
      <c r="M14" s="847">
        <v>4.7240000000000002</v>
      </c>
      <c r="N14" s="847">
        <v>3.6829999999999998</v>
      </c>
      <c r="O14" s="847">
        <v>3.95</v>
      </c>
      <c r="P14" s="847">
        <v>4.2169999999999996</v>
      </c>
      <c r="Q14" s="847">
        <v>4.2709999999999999</v>
      </c>
      <c r="R14" s="321">
        <f t="shared" si="2"/>
        <v>4.0999999999999925</v>
      </c>
      <c r="S14" s="72">
        <f t="shared" si="3"/>
        <v>4.1999999999999815</v>
      </c>
      <c r="T14" s="72">
        <f t="shared" si="4"/>
        <v>4.0999999999999925</v>
      </c>
      <c r="U14" s="72">
        <f t="shared" si="5"/>
        <v>2.2000000000000242</v>
      </c>
      <c r="V14" s="72">
        <f t="shared" si="6"/>
        <v>0.29999999999992255</v>
      </c>
      <c r="W14" s="72">
        <f t="shared" si="7"/>
        <v>0.19999999999997797</v>
      </c>
      <c r="X14" s="196">
        <f t="shared" si="8"/>
        <v>0</v>
      </c>
      <c r="Y14" s="196">
        <f t="shared" si="9"/>
        <v>-0.40000000000004476</v>
      </c>
      <c r="Z14" s="72">
        <f t="shared" si="10"/>
        <v>0</v>
      </c>
      <c r="AA14" s="72">
        <f t="shared" si="11"/>
        <v>0</v>
      </c>
      <c r="AB14" s="321">
        <f t="shared" si="21"/>
        <v>0.80000000000000071</v>
      </c>
      <c r="AC14" s="72">
        <f t="shared" si="12"/>
        <v>-0.40000000000004476</v>
      </c>
      <c r="AD14" s="72">
        <f t="shared" si="13"/>
        <v>9.5000000000000195</v>
      </c>
      <c r="AE14" s="72">
        <f t="shared" si="14"/>
        <v>0</v>
      </c>
      <c r="AF14" s="72">
        <f t="shared" si="15"/>
        <v>10.499999999999998</v>
      </c>
      <c r="AG14" s="72">
        <f t="shared" si="16"/>
        <v>0</v>
      </c>
      <c r="AH14" s="196">
        <f t="shared" si="17"/>
        <v>10.399999999999965</v>
      </c>
      <c r="AI14" s="196">
        <f t="shared" si="18"/>
        <v>5.600000000000005</v>
      </c>
      <c r="AJ14" s="72">
        <f t="shared" si="19"/>
        <v>0.80000000000000071</v>
      </c>
      <c r="AK14" s="72">
        <f t="shared" si="20"/>
        <v>0.49999999999998934</v>
      </c>
      <c r="AM14" s="35"/>
      <c r="AN14" s="35"/>
    </row>
    <row r="15" spans="1:40" x14ac:dyDescent="0.3">
      <c r="A15" s="35">
        <v>45869</v>
      </c>
      <c r="B15" s="847" t="s">
        <v>883</v>
      </c>
      <c r="C15">
        <v>3.3359999999999999</v>
      </c>
      <c r="E15">
        <f t="shared" si="1"/>
        <v>1</v>
      </c>
      <c r="F15" s="11">
        <v>13</v>
      </c>
      <c r="G15" s="179">
        <v>46234</v>
      </c>
      <c r="H15" s="847">
        <v>4.41</v>
      </c>
      <c r="I15" s="847">
        <v>4.5780000000000003</v>
      </c>
      <c r="J15" s="847">
        <v>3.4670000000000001</v>
      </c>
      <c r="K15" s="847">
        <v>4.6580000000000004</v>
      </c>
      <c r="L15" s="847">
        <v>3.5710000000000002</v>
      </c>
      <c r="M15" s="847">
        <v>4.7240000000000002</v>
      </c>
      <c r="N15" s="847">
        <v>3.6419999999999999</v>
      </c>
      <c r="O15" s="847">
        <v>3.9279999999999999</v>
      </c>
      <c r="P15" s="847">
        <v>4.2140000000000004</v>
      </c>
      <c r="Q15" s="847">
        <v>4.2690000000000001</v>
      </c>
      <c r="R15" s="321">
        <f t="shared" si="2"/>
        <v>0</v>
      </c>
      <c r="S15" s="72">
        <f t="shared" si="3"/>
        <v>0</v>
      </c>
      <c r="T15" s="72">
        <f t="shared" si="4"/>
        <v>0</v>
      </c>
      <c r="U15" s="72">
        <f t="shared" si="5"/>
        <v>-0.20000000000002238</v>
      </c>
      <c r="V15" s="72">
        <f t="shared" si="6"/>
        <v>-0.39999999999995595</v>
      </c>
      <c r="W15" s="72">
        <f t="shared" si="7"/>
        <v>0</v>
      </c>
      <c r="X15" s="196">
        <f t="shared" si="8"/>
        <v>-0.19999999999997797</v>
      </c>
      <c r="Y15" s="196">
        <f t="shared" si="9"/>
        <v>0.40000000000004476</v>
      </c>
      <c r="Z15" s="72">
        <f t="shared" si="10"/>
        <v>0</v>
      </c>
      <c r="AA15" s="72">
        <f t="shared" si="11"/>
        <v>0</v>
      </c>
      <c r="AB15" s="321">
        <f t="shared" si="21"/>
        <v>0.49999999999998934</v>
      </c>
      <c r="AC15" s="72">
        <f t="shared" si="12"/>
        <v>-0.30000000000001137</v>
      </c>
      <c r="AD15" s="72">
        <f t="shared" si="13"/>
        <v>5.400000000000027</v>
      </c>
      <c r="AE15" s="72">
        <f t="shared" si="14"/>
        <v>0</v>
      </c>
      <c r="AF15" s="72">
        <f t="shared" si="15"/>
        <v>6.3000000000000167</v>
      </c>
      <c r="AG15" s="72">
        <f t="shared" si="16"/>
        <v>0</v>
      </c>
      <c r="AH15" s="196">
        <f t="shared" si="17"/>
        <v>6.2999999999999723</v>
      </c>
      <c r="AI15" s="196">
        <f t="shared" si="18"/>
        <v>3.5000000000000142</v>
      </c>
      <c r="AJ15" s="72">
        <f t="shared" si="19"/>
        <v>0.70000000000005613</v>
      </c>
      <c r="AK15" s="72">
        <f t="shared" si="20"/>
        <v>0.19999999999997797</v>
      </c>
      <c r="AM15" s="35"/>
      <c r="AN15" s="35"/>
    </row>
    <row r="16" spans="1:40" x14ac:dyDescent="0.3">
      <c r="A16" s="35">
        <v>45870</v>
      </c>
      <c r="B16" s="847" t="s">
        <v>883</v>
      </c>
      <c r="C16">
        <v>3.335</v>
      </c>
      <c r="E16">
        <f t="shared" si="1"/>
        <v>1</v>
      </c>
      <c r="F16" s="11">
        <v>14</v>
      </c>
      <c r="G16" s="179">
        <v>46233</v>
      </c>
      <c r="H16" s="847">
        <v>4.4119999999999999</v>
      </c>
      <c r="I16" s="847">
        <v>4.5739999999999998</v>
      </c>
      <c r="J16" s="847">
        <v>3.4670000000000001</v>
      </c>
      <c r="K16" s="847">
        <v>4.6580000000000004</v>
      </c>
      <c r="L16" s="847">
        <v>3.5710000000000002</v>
      </c>
      <c r="M16" s="847">
        <v>4.7240000000000002</v>
      </c>
      <c r="N16" s="847">
        <v>3.6419999999999999</v>
      </c>
      <c r="O16" s="847">
        <v>3.93</v>
      </c>
      <c r="P16" s="847">
        <v>4.218</v>
      </c>
      <c r="Q16" s="847">
        <v>4.2690000000000001</v>
      </c>
      <c r="R16" s="321">
        <f t="shared" si="2"/>
        <v>0</v>
      </c>
      <c r="S16" s="72">
        <f t="shared" si="3"/>
        <v>0</v>
      </c>
      <c r="T16" s="72">
        <f t="shared" si="4"/>
        <v>0</v>
      </c>
      <c r="U16" s="72">
        <f t="shared" si="5"/>
        <v>0.20000000000002238</v>
      </c>
      <c r="V16" s="72">
        <f t="shared" si="6"/>
        <v>0.39999999999995595</v>
      </c>
      <c r="W16" s="72">
        <f t="shared" si="7"/>
        <v>-0.30000000000001137</v>
      </c>
      <c r="X16" s="196">
        <f t="shared" si="8"/>
        <v>0.30000000000001137</v>
      </c>
      <c r="Y16" s="196">
        <f t="shared" si="9"/>
        <v>0</v>
      </c>
      <c r="Z16" s="72">
        <f t="shared" si="10"/>
        <v>0</v>
      </c>
      <c r="AA16" s="72">
        <f t="shared" si="11"/>
        <v>0</v>
      </c>
      <c r="AB16" s="321">
        <f t="shared" si="21"/>
        <v>0.99999999999997868</v>
      </c>
      <c r="AC16" s="72">
        <f t="shared" si="12"/>
        <v>-0.40000000000004476</v>
      </c>
      <c r="AD16" s="72">
        <f t="shared" si="13"/>
        <v>7.1000000000000174</v>
      </c>
      <c r="AE16" s="72">
        <f t="shared" si="14"/>
        <v>1.3000000000000789</v>
      </c>
      <c r="AF16" s="72">
        <f t="shared" si="15"/>
        <v>7.1000000000000174</v>
      </c>
      <c r="AG16" s="72">
        <f t="shared" si="16"/>
        <v>1.2000000000000455</v>
      </c>
      <c r="AH16" s="196">
        <f t="shared" si="17"/>
        <v>7.099999999999973</v>
      </c>
      <c r="AI16" s="196">
        <f t="shared" si="18"/>
        <v>3.7000000000000366</v>
      </c>
      <c r="AJ16" s="72">
        <f t="shared" si="19"/>
        <v>0.30000000000001137</v>
      </c>
      <c r="AK16" s="72">
        <f t="shared" si="20"/>
        <v>0.1000000000000334</v>
      </c>
      <c r="AM16" s="35"/>
      <c r="AN16" s="35"/>
    </row>
    <row r="17" spans="1:40" x14ac:dyDescent="0.3">
      <c r="A17" s="35">
        <v>45873</v>
      </c>
      <c r="B17" s="847" t="s">
        <v>883</v>
      </c>
      <c r="C17">
        <v>3.335</v>
      </c>
      <c r="E17">
        <f t="shared" si="1"/>
        <v>1</v>
      </c>
      <c r="F17" s="11">
        <v>15</v>
      </c>
      <c r="G17" s="179">
        <v>46232</v>
      </c>
      <c r="H17" s="847">
        <v>4.4089999999999998</v>
      </c>
      <c r="I17" s="847">
        <v>4.5739999999999998</v>
      </c>
      <c r="J17" s="847">
        <v>3.4670000000000001</v>
      </c>
      <c r="K17" s="847">
        <v>4.6580000000000004</v>
      </c>
      <c r="L17" s="847">
        <v>3.5710000000000002</v>
      </c>
      <c r="M17" s="847">
        <v>4.7240000000000002</v>
      </c>
      <c r="N17" s="847">
        <v>3.6419999999999999</v>
      </c>
      <c r="O17" s="847">
        <v>3.9279999999999999</v>
      </c>
      <c r="P17" s="847">
        <v>4.2140000000000004</v>
      </c>
      <c r="Q17" s="847">
        <v>4.2720000000000002</v>
      </c>
      <c r="R17" s="321">
        <f t="shared" si="2"/>
        <v>0</v>
      </c>
      <c r="S17" s="72">
        <f t="shared" si="3"/>
        <v>0</v>
      </c>
      <c r="T17" s="72">
        <f t="shared" si="4"/>
        <v>0</v>
      </c>
      <c r="U17" s="72">
        <f t="shared" si="5"/>
        <v>0.19999999999997797</v>
      </c>
      <c r="V17" s="72">
        <f t="shared" si="6"/>
        <v>0.30000000000001137</v>
      </c>
      <c r="W17" s="72">
        <f t="shared" si="7"/>
        <v>0.30000000000001137</v>
      </c>
      <c r="X17" s="196">
        <f t="shared" si="8"/>
        <v>9.9999999999944578E-2</v>
      </c>
      <c r="Y17" s="196">
        <f t="shared" si="9"/>
        <v>0</v>
      </c>
      <c r="Z17" s="72">
        <f t="shared" si="10"/>
        <v>0</v>
      </c>
      <c r="AA17" s="72">
        <f t="shared" si="11"/>
        <v>0</v>
      </c>
      <c r="AB17" s="321">
        <f t="shared" si="21"/>
        <v>0.89999999999994529</v>
      </c>
      <c r="AC17" s="72">
        <f t="shared" si="12"/>
        <v>0</v>
      </c>
      <c r="AD17" s="72">
        <f t="shared" si="13"/>
        <v>7.1000000000000174</v>
      </c>
      <c r="AE17" s="72">
        <f t="shared" si="14"/>
        <v>1.3000000000000789</v>
      </c>
      <c r="AF17" s="72">
        <f t="shared" si="15"/>
        <v>7.1000000000000174</v>
      </c>
      <c r="AG17" s="72">
        <f t="shared" si="16"/>
        <v>1.2000000000000455</v>
      </c>
      <c r="AH17" s="196">
        <f t="shared" si="17"/>
        <v>7.099999999999973</v>
      </c>
      <c r="AI17" s="196">
        <f t="shared" si="18"/>
        <v>3.7999999999999812</v>
      </c>
      <c r="AJ17" s="72">
        <f t="shared" si="19"/>
        <v>0.50000000000007816</v>
      </c>
      <c r="AK17" s="72">
        <f t="shared" si="20"/>
        <v>0.80000000000000071</v>
      </c>
      <c r="AM17" s="35"/>
      <c r="AN17" s="35"/>
    </row>
    <row r="18" spans="1:40" x14ac:dyDescent="0.3">
      <c r="A18" s="35">
        <v>45874</v>
      </c>
      <c r="B18" s="847" t="s">
        <v>883</v>
      </c>
      <c r="C18">
        <v>3.3380000000000001</v>
      </c>
      <c r="E18">
        <f t="shared" si="1"/>
        <v>1</v>
      </c>
      <c r="F18" s="11">
        <v>16</v>
      </c>
      <c r="G18" s="179">
        <v>46231</v>
      </c>
      <c r="H18" s="847">
        <v>4.4080000000000004</v>
      </c>
      <c r="I18" s="847">
        <v>4.5739999999999998</v>
      </c>
      <c r="J18" s="847">
        <v>3.4670000000000001</v>
      </c>
      <c r="K18" s="847">
        <v>4.6580000000000004</v>
      </c>
      <c r="L18" s="847">
        <v>3.5710000000000002</v>
      </c>
      <c r="M18" s="847">
        <v>4.7240000000000002</v>
      </c>
      <c r="N18" s="847">
        <v>3.6419999999999999</v>
      </c>
      <c r="O18" s="847">
        <v>3.9260000000000002</v>
      </c>
      <c r="P18" s="847">
        <v>4.2110000000000003</v>
      </c>
      <c r="Q18" s="847">
        <v>4.2690000000000001</v>
      </c>
      <c r="R18" s="321">
        <f t="shared" si="2"/>
        <v>0</v>
      </c>
      <c r="S18" s="72">
        <f t="shared" si="3"/>
        <v>0</v>
      </c>
      <c r="T18" s="72">
        <f t="shared" si="4"/>
        <v>0</v>
      </c>
      <c r="U18" s="72">
        <f t="shared" si="5"/>
        <v>-9.9999999999988987E-2</v>
      </c>
      <c r="V18" s="72">
        <f t="shared" si="6"/>
        <v>-0.19999999999997797</v>
      </c>
      <c r="W18" s="72">
        <f t="shared" si="7"/>
        <v>0</v>
      </c>
      <c r="X18" s="196">
        <f t="shared" si="8"/>
        <v>0</v>
      </c>
      <c r="Y18" s="196">
        <f t="shared" si="9"/>
        <v>0</v>
      </c>
      <c r="Z18" s="72">
        <f t="shared" si="10"/>
        <v>0</v>
      </c>
      <c r="AA18" s="72">
        <f t="shared" si="11"/>
        <v>0</v>
      </c>
      <c r="AB18" s="321">
        <f t="shared" si="21"/>
        <v>1.0000000000000675</v>
      </c>
      <c r="AC18" s="72">
        <f t="shared" si="12"/>
        <v>0</v>
      </c>
      <c r="AD18" s="72">
        <f t="shared" si="13"/>
        <v>7.1000000000000174</v>
      </c>
      <c r="AE18" s="72">
        <f t="shared" si="14"/>
        <v>1.7000000000000348</v>
      </c>
      <c r="AF18" s="72">
        <f t="shared" si="15"/>
        <v>7.1000000000000174</v>
      </c>
      <c r="AG18" s="72">
        <f t="shared" si="16"/>
        <v>1.2000000000000455</v>
      </c>
      <c r="AH18" s="196">
        <f t="shared" si="17"/>
        <v>7.099999999999973</v>
      </c>
      <c r="AI18" s="196">
        <f t="shared" si="18"/>
        <v>3.8000000000000256</v>
      </c>
      <c r="AJ18" s="72">
        <f t="shared" si="19"/>
        <v>0.49999999999998934</v>
      </c>
      <c r="AK18" s="72">
        <f t="shared" si="20"/>
        <v>0.30000000000001137</v>
      </c>
      <c r="AM18" s="35"/>
      <c r="AN18" s="35"/>
    </row>
    <row r="19" spans="1:40" x14ac:dyDescent="0.3">
      <c r="A19" s="35">
        <v>45875</v>
      </c>
      <c r="B19" s="847" t="s">
        <v>883</v>
      </c>
      <c r="C19">
        <v>3.3380000000000001</v>
      </c>
      <c r="E19">
        <f t="shared" si="1"/>
        <v>3</v>
      </c>
      <c r="F19" s="11">
        <v>17</v>
      </c>
      <c r="G19" s="179">
        <v>46230</v>
      </c>
      <c r="H19" s="847">
        <v>4.4080000000000004</v>
      </c>
      <c r="I19" s="847">
        <v>4.5739999999999998</v>
      </c>
      <c r="J19" s="847">
        <v>3.4670000000000001</v>
      </c>
      <c r="K19" s="847">
        <v>4.6580000000000004</v>
      </c>
      <c r="L19" s="847">
        <v>3.5710000000000002</v>
      </c>
      <c r="M19" s="847">
        <v>4.7240000000000002</v>
      </c>
      <c r="N19" s="847">
        <v>3.6419999999999999</v>
      </c>
      <c r="O19" s="847">
        <v>3.927</v>
      </c>
      <c r="P19" s="847">
        <v>4.2130000000000001</v>
      </c>
      <c r="Q19" s="847">
        <v>4.2690000000000001</v>
      </c>
      <c r="R19" s="321">
        <f t="shared" si="2"/>
        <v>0</v>
      </c>
      <c r="S19" s="72">
        <f t="shared" si="3"/>
        <v>0</v>
      </c>
      <c r="T19" s="72">
        <f t="shared" si="4"/>
        <v>1.6999999999999904</v>
      </c>
      <c r="U19" s="72">
        <f t="shared" si="5"/>
        <v>1.0000000000000231</v>
      </c>
      <c r="V19" s="72">
        <f t="shared" si="6"/>
        <v>0.40000000000004476</v>
      </c>
      <c r="W19" s="72">
        <f t="shared" si="7"/>
        <v>-9.9999999999944578E-2</v>
      </c>
      <c r="X19" s="196">
        <f t="shared" si="8"/>
        <v>0.30000000000001137</v>
      </c>
      <c r="Y19" s="196">
        <f t="shared" si="9"/>
        <v>-0.40000000000004476</v>
      </c>
      <c r="Z19" s="72">
        <f t="shared" si="10"/>
        <v>0</v>
      </c>
      <c r="AA19" s="72">
        <f t="shared" si="11"/>
        <v>0</v>
      </c>
      <c r="AB19" s="321">
        <f t="shared" si="21"/>
        <v>1.0000000000000675</v>
      </c>
      <c r="AC19" s="72">
        <f t="shared" si="12"/>
        <v>0</v>
      </c>
      <c r="AD19" s="72">
        <f t="shared" si="13"/>
        <v>7.1000000000000174</v>
      </c>
      <c r="AE19" s="72">
        <f t="shared" si="14"/>
        <v>1.7000000000000348</v>
      </c>
      <c r="AF19" s="72">
        <f t="shared" si="15"/>
        <v>7.1000000000000174</v>
      </c>
      <c r="AG19" s="72">
        <f t="shared" si="16"/>
        <v>1.2000000000000455</v>
      </c>
      <c r="AH19" s="196">
        <f t="shared" si="17"/>
        <v>7.099999999999973</v>
      </c>
      <c r="AI19" s="196">
        <f t="shared" si="18"/>
        <v>3.9000000000000146</v>
      </c>
      <c r="AJ19" s="72">
        <f t="shared" si="19"/>
        <v>0.69999999999996732</v>
      </c>
      <c r="AK19" s="72">
        <f t="shared" si="20"/>
        <v>0.30000000000001137</v>
      </c>
      <c r="AM19" s="35"/>
      <c r="AN19" s="35"/>
    </row>
    <row r="20" spans="1:40" x14ac:dyDescent="0.3">
      <c r="A20" s="35">
        <v>45876</v>
      </c>
      <c r="B20" s="847" t="s">
        <v>883</v>
      </c>
      <c r="C20">
        <v>3.371</v>
      </c>
      <c r="E20">
        <f t="shared" si="1"/>
        <v>1</v>
      </c>
      <c r="F20" s="11">
        <v>18</v>
      </c>
      <c r="G20" s="179">
        <v>46227</v>
      </c>
      <c r="H20" s="847">
        <v>4.4050000000000002</v>
      </c>
      <c r="I20" s="847">
        <v>4.5780000000000003</v>
      </c>
      <c r="J20" s="847">
        <v>3.4670000000000001</v>
      </c>
      <c r="K20" s="847">
        <v>4.6580000000000004</v>
      </c>
      <c r="L20" s="847">
        <v>3.5710000000000002</v>
      </c>
      <c r="M20" s="847">
        <v>4.7240000000000002</v>
      </c>
      <c r="N20" s="847">
        <v>3.625</v>
      </c>
      <c r="O20" s="847">
        <v>3.9169999999999998</v>
      </c>
      <c r="P20" s="847">
        <v>4.2089999999999996</v>
      </c>
      <c r="Q20" s="847">
        <v>4.2699999999999996</v>
      </c>
      <c r="R20" s="321">
        <f t="shared" si="2"/>
        <v>0</v>
      </c>
      <c r="S20" s="72">
        <f t="shared" si="3"/>
        <v>0</v>
      </c>
      <c r="T20" s="72">
        <f t="shared" si="4"/>
        <v>0</v>
      </c>
      <c r="U20" s="72">
        <f t="shared" si="5"/>
        <v>-0.1000000000000334</v>
      </c>
      <c r="V20" s="72">
        <f t="shared" si="6"/>
        <v>-0.20000000000006679</v>
      </c>
      <c r="W20" s="72">
        <f t="shared" si="7"/>
        <v>9.9999999999944578E-2</v>
      </c>
      <c r="X20" s="196">
        <f t="shared" si="8"/>
        <v>-0.39999999999995595</v>
      </c>
      <c r="Y20" s="196">
        <f t="shared" si="9"/>
        <v>0</v>
      </c>
      <c r="Z20" s="72">
        <f t="shared" si="10"/>
        <v>0</v>
      </c>
      <c r="AA20" s="72">
        <f t="shared" si="11"/>
        <v>0</v>
      </c>
      <c r="AB20" s="321">
        <f t="shared" si="21"/>
        <v>0.70000000000005613</v>
      </c>
      <c r="AC20" s="72">
        <f t="shared" si="12"/>
        <v>0.40000000000004476</v>
      </c>
      <c r="AD20" s="72">
        <f t="shared" si="13"/>
        <v>7.1000000000000174</v>
      </c>
      <c r="AE20" s="72">
        <f t="shared" si="14"/>
        <v>1.7000000000000348</v>
      </c>
      <c r="AF20" s="72">
        <f t="shared" si="15"/>
        <v>7.1000000000000174</v>
      </c>
      <c r="AG20" s="72">
        <f t="shared" si="16"/>
        <v>1.2000000000000455</v>
      </c>
      <c r="AH20" s="196">
        <f t="shared" si="17"/>
        <v>5.3999999999999826</v>
      </c>
      <c r="AI20" s="196">
        <f t="shared" si="18"/>
        <v>2.8999999999999915</v>
      </c>
      <c r="AJ20" s="72">
        <f t="shared" si="19"/>
        <v>0.29999999999992255</v>
      </c>
      <c r="AK20" s="72">
        <f t="shared" si="20"/>
        <v>0.59999999999993392</v>
      </c>
      <c r="AM20" s="35"/>
      <c r="AN20" s="35"/>
    </row>
    <row r="21" spans="1:40" x14ac:dyDescent="0.3">
      <c r="A21" s="35">
        <v>45877</v>
      </c>
      <c r="B21" s="847" t="s">
        <v>883</v>
      </c>
      <c r="C21">
        <v>3.3679999999999999</v>
      </c>
      <c r="E21">
        <f t="shared" si="1"/>
        <v>1</v>
      </c>
      <c r="F21" s="11">
        <v>19</v>
      </c>
      <c r="G21" s="179">
        <v>46226</v>
      </c>
      <c r="H21" s="847">
        <v>4.4089999999999998</v>
      </c>
      <c r="I21" s="847">
        <v>4.5780000000000003</v>
      </c>
      <c r="J21" s="847">
        <v>3.4670000000000001</v>
      </c>
      <c r="K21" s="847">
        <v>4.6580000000000004</v>
      </c>
      <c r="L21" s="847">
        <v>3.5710000000000002</v>
      </c>
      <c r="M21" s="847">
        <v>4.7240000000000002</v>
      </c>
      <c r="N21" s="847">
        <v>3.625</v>
      </c>
      <c r="O21" s="847">
        <v>3.9180000000000001</v>
      </c>
      <c r="P21" s="847">
        <v>4.2110000000000003</v>
      </c>
      <c r="Q21" s="847">
        <v>4.2690000000000001</v>
      </c>
      <c r="R21" s="321">
        <f t="shared" si="2"/>
        <v>0</v>
      </c>
      <c r="S21" s="72">
        <f t="shared" si="3"/>
        <v>0</v>
      </c>
      <c r="T21" s="72">
        <f t="shared" si="4"/>
        <v>0</v>
      </c>
      <c r="U21" s="72">
        <f t="shared" si="5"/>
        <v>-9.9999999999988987E-2</v>
      </c>
      <c r="V21" s="72">
        <f t="shared" si="6"/>
        <v>-0.30000000000001137</v>
      </c>
      <c r="W21" s="72">
        <f t="shared" si="7"/>
        <v>-9.9999999999944578E-2</v>
      </c>
      <c r="X21" s="196">
        <f t="shared" si="8"/>
        <v>0.19999999999997797</v>
      </c>
      <c r="Y21" s="196">
        <f t="shared" si="9"/>
        <v>0</v>
      </c>
      <c r="Z21" s="72">
        <f t="shared" si="10"/>
        <v>0</v>
      </c>
      <c r="AA21" s="72">
        <f t="shared" si="11"/>
        <v>0</v>
      </c>
      <c r="AB21" s="321">
        <f t="shared" si="21"/>
        <v>1.1999999999999567</v>
      </c>
      <c r="AC21" s="72">
        <f t="shared" si="12"/>
        <v>1.2000000000000455</v>
      </c>
      <c r="AD21" s="72">
        <f t="shared" si="13"/>
        <v>7.1000000000000174</v>
      </c>
      <c r="AE21" s="72">
        <f t="shared" si="14"/>
        <v>4.2000000000000703</v>
      </c>
      <c r="AF21" s="72">
        <f t="shared" si="15"/>
        <v>7.1000000000000174</v>
      </c>
      <c r="AG21" s="72">
        <f t="shared" si="16"/>
        <v>2.8999999999999915</v>
      </c>
      <c r="AH21" s="196">
        <f t="shared" si="17"/>
        <v>5.3999999999999826</v>
      </c>
      <c r="AI21" s="196">
        <f t="shared" si="18"/>
        <v>3.0000000000000249</v>
      </c>
      <c r="AJ21" s="72">
        <f t="shared" si="19"/>
        <v>0.49999999999998934</v>
      </c>
      <c r="AK21" s="72">
        <f t="shared" si="20"/>
        <v>0.49999999999998934</v>
      </c>
      <c r="AM21" s="35"/>
      <c r="AN21" s="35"/>
    </row>
    <row r="22" spans="1:40" x14ac:dyDescent="0.3">
      <c r="A22" s="35">
        <v>45880</v>
      </c>
      <c r="B22" s="847" t="s">
        <v>883</v>
      </c>
      <c r="C22">
        <v>3.37</v>
      </c>
      <c r="E22">
        <f t="shared" si="1"/>
        <v>1</v>
      </c>
      <c r="F22" s="11">
        <v>20</v>
      </c>
      <c r="G22" s="179">
        <v>46225</v>
      </c>
      <c r="H22" s="847">
        <v>4.407</v>
      </c>
      <c r="I22" s="847">
        <v>4.5780000000000003</v>
      </c>
      <c r="J22" s="847">
        <v>3.4670000000000001</v>
      </c>
      <c r="K22" s="847">
        <v>4.6580000000000004</v>
      </c>
      <c r="L22" s="847">
        <v>3.5710000000000002</v>
      </c>
      <c r="M22" s="847">
        <v>4.7240000000000002</v>
      </c>
      <c r="N22" s="847">
        <v>3.625</v>
      </c>
      <c r="O22" s="847">
        <v>3.919</v>
      </c>
      <c r="P22" s="847">
        <v>4.2140000000000004</v>
      </c>
      <c r="Q22" s="847">
        <v>4.2699999999999996</v>
      </c>
      <c r="R22" s="321">
        <f t="shared" si="2"/>
        <v>1.6999999999999904</v>
      </c>
      <c r="S22" s="72">
        <f t="shared" si="3"/>
        <v>3.3000000000000362</v>
      </c>
      <c r="T22" s="72">
        <f t="shared" si="4"/>
        <v>3.2999999999999918</v>
      </c>
      <c r="U22" s="72">
        <f t="shared" si="5"/>
        <v>1.8000000000000238</v>
      </c>
      <c r="V22" s="72">
        <f t="shared" si="6"/>
        <v>0.30000000000001137</v>
      </c>
      <c r="W22" s="72">
        <f t="shared" si="7"/>
        <v>9.9999999999944578E-2</v>
      </c>
      <c r="X22" s="196">
        <f t="shared" si="8"/>
        <v>-0.1000000000000334</v>
      </c>
      <c r="Y22" s="196">
        <f t="shared" si="9"/>
        <v>0</v>
      </c>
      <c r="Z22" s="72">
        <f t="shared" si="10"/>
        <v>0</v>
      </c>
      <c r="AA22" s="72">
        <f t="shared" si="11"/>
        <v>0</v>
      </c>
      <c r="AB22" s="321">
        <f t="shared" si="21"/>
        <v>0.80000000000000071</v>
      </c>
      <c r="AC22" s="72">
        <f t="shared" si="12"/>
        <v>0.40000000000004476</v>
      </c>
      <c r="AD22" s="72">
        <f t="shared" si="13"/>
        <v>7.1000000000000174</v>
      </c>
      <c r="AE22" s="72">
        <f t="shared" si="14"/>
        <v>1.7000000000000348</v>
      </c>
      <c r="AF22" s="72">
        <f t="shared" si="15"/>
        <v>7.1000000000000174</v>
      </c>
      <c r="AG22" s="72">
        <f t="shared" si="16"/>
        <v>1.2000000000000455</v>
      </c>
      <c r="AH22" s="196">
        <f t="shared" si="17"/>
        <v>5.3999999999999826</v>
      </c>
      <c r="AI22" s="196">
        <f t="shared" si="18"/>
        <v>3.4000000000000252</v>
      </c>
      <c r="AJ22" s="72">
        <f t="shared" si="19"/>
        <v>1.5000000000000568</v>
      </c>
      <c r="AK22" s="72">
        <f t="shared" si="20"/>
        <v>1.0999999999999233</v>
      </c>
      <c r="AM22" s="35"/>
      <c r="AN22" s="35"/>
    </row>
    <row r="23" spans="1:40" x14ac:dyDescent="0.3">
      <c r="A23" s="35">
        <v>45881</v>
      </c>
      <c r="B23" s="847" t="s">
        <v>883</v>
      </c>
      <c r="C23">
        <v>3.371</v>
      </c>
      <c r="E23">
        <f t="shared" si="1"/>
        <v>1</v>
      </c>
      <c r="F23" s="11">
        <v>21</v>
      </c>
      <c r="G23" s="179">
        <v>46224</v>
      </c>
      <c r="H23" s="847">
        <v>4.4080000000000004</v>
      </c>
      <c r="I23" s="847">
        <v>4.5780000000000003</v>
      </c>
      <c r="J23" s="847">
        <v>3.45</v>
      </c>
      <c r="K23" s="847">
        <v>4.6580000000000004</v>
      </c>
      <c r="L23" s="847">
        <v>3.5379999999999998</v>
      </c>
      <c r="M23" s="847">
        <v>4.7240000000000002</v>
      </c>
      <c r="N23" s="847">
        <v>3.5920000000000001</v>
      </c>
      <c r="O23" s="847">
        <v>3.9009999999999998</v>
      </c>
      <c r="P23" s="847">
        <v>4.2110000000000003</v>
      </c>
      <c r="Q23" s="847">
        <v>4.2690000000000001</v>
      </c>
      <c r="R23" s="321">
        <f t="shared" si="2"/>
        <v>3.7000000000000366</v>
      </c>
      <c r="S23" s="72">
        <f t="shared" si="3"/>
        <v>2.9999999999999805</v>
      </c>
      <c r="T23" s="72">
        <f t="shared" si="4"/>
        <v>1.2999999999999901</v>
      </c>
      <c r="U23" s="72">
        <f t="shared" si="5"/>
        <v>0.69999999999996732</v>
      </c>
      <c r="V23" s="72">
        <f t="shared" si="6"/>
        <v>0.20000000000006679</v>
      </c>
      <c r="W23" s="72">
        <f t="shared" si="7"/>
        <v>0.30000000000001137</v>
      </c>
      <c r="X23" s="196">
        <f t="shared" si="8"/>
        <v>0.60000000000002274</v>
      </c>
      <c r="Y23" s="196">
        <f t="shared" si="9"/>
        <v>0</v>
      </c>
      <c r="Z23" s="72">
        <f t="shared" si="10"/>
        <v>0</v>
      </c>
      <c r="AA23" s="72">
        <f t="shared" si="11"/>
        <v>0</v>
      </c>
      <c r="AB23" s="321">
        <f t="shared" si="21"/>
        <v>0.90000000000003411</v>
      </c>
      <c r="AC23" s="72">
        <f t="shared" si="12"/>
        <v>0.40000000000004476</v>
      </c>
      <c r="AD23" s="72">
        <f t="shared" si="13"/>
        <v>5.400000000000027</v>
      </c>
      <c r="AE23" s="72">
        <f t="shared" si="14"/>
        <v>1.7000000000000348</v>
      </c>
      <c r="AF23" s="72">
        <f t="shared" si="15"/>
        <v>3.7999999999999812</v>
      </c>
      <c r="AG23" s="72">
        <f t="shared" si="16"/>
        <v>1.2000000000000455</v>
      </c>
      <c r="AH23" s="196">
        <f t="shared" si="17"/>
        <v>2.0999999999999908</v>
      </c>
      <c r="AI23" s="196">
        <f t="shared" si="18"/>
        <v>1.6999999999999904</v>
      </c>
      <c r="AJ23" s="72">
        <f t="shared" si="19"/>
        <v>1.4000000000000234</v>
      </c>
      <c r="AK23" s="72">
        <f t="shared" si="20"/>
        <v>1.1000000000000121</v>
      </c>
      <c r="AM23" s="35"/>
      <c r="AN23" s="35"/>
    </row>
    <row r="24" spans="1:40" x14ac:dyDescent="0.3">
      <c r="A24" s="35">
        <v>45882</v>
      </c>
      <c r="B24" s="847" t="s">
        <v>883</v>
      </c>
      <c r="C24">
        <v>3.3769999999999998</v>
      </c>
      <c r="E24">
        <f t="shared" si="1"/>
        <v>3</v>
      </c>
      <c r="F24" s="11">
        <v>22</v>
      </c>
      <c r="G24" s="179">
        <v>46223</v>
      </c>
      <c r="H24" s="847">
        <v>4.4020000000000001</v>
      </c>
      <c r="I24" s="847">
        <v>4.5780000000000003</v>
      </c>
      <c r="J24" s="847">
        <v>3.4129999999999998</v>
      </c>
      <c r="K24" s="847">
        <v>4.6580000000000004</v>
      </c>
      <c r="L24" s="847">
        <v>3.508</v>
      </c>
      <c r="M24" s="847">
        <v>4.7240000000000002</v>
      </c>
      <c r="N24" s="847">
        <v>3.5790000000000002</v>
      </c>
      <c r="O24" s="847">
        <v>3.8940000000000001</v>
      </c>
      <c r="P24" s="847">
        <v>4.2089999999999996</v>
      </c>
      <c r="Q24" s="847">
        <v>4.266</v>
      </c>
      <c r="R24" s="321">
        <f t="shared" si="2"/>
        <v>0</v>
      </c>
      <c r="S24" s="72">
        <f t="shared" si="3"/>
        <v>0</v>
      </c>
      <c r="T24" s="72">
        <f t="shared" si="4"/>
        <v>0</v>
      </c>
      <c r="U24" s="72">
        <f t="shared" si="5"/>
        <v>0.1000000000000334</v>
      </c>
      <c r="V24" s="72">
        <f t="shared" si="6"/>
        <v>0.19999999999997797</v>
      </c>
      <c r="W24" s="72">
        <f t="shared" si="7"/>
        <v>-0.1000000000000334</v>
      </c>
      <c r="X24" s="196">
        <f t="shared" si="8"/>
        <v>-0.30000000000001137</v>
      </c>
      <c r="Y24" s="196">
        <f t="shared" si="9"/>
        <v>-0.30000000000001137</v>
      </c>
      <c r="Z24" s="72">
        <f t="shared" si="10"/>
        <v>0</v>
      </c>
      <c r="AA24" s="72">
        <f t="shared" si="11"/>
        <v>0</v>
      </c>
      <c r="AB24" s="321">
        <f t="shared" si="21"/>
        <v>0.49999999999998934</v>
      </c>
      <c r="AC24" s="72">
        <f t="shared" si="12"/>
        <v>0.60000000000002274</v>
      </c>
      <c r="AD24" s="72">
        <f t="shared" si="13"/>
        <v>1.6999999999999904</v>
      </c>
      <c r="AE24" s="72">
        <f t="shared" si="14"/>
        <v>1.7000000000000348</v>
      </c>
      <c r="AF24" s="72">
        <f t="shared" si="15"/>
        <v>0.80000000000000071</v>
      </c>
      <c r="AG24" s="72">
        <f t="shared" si="16"/>
        <v>1.2000000000000455</v>
      </c>
      <c r="AH24" s="196">
        <f t="shared" si="17"/>
        <v>0.80000000000000071</v>
      </c>
      <c r="AI24" s="196">
        <f t="shared" si="18"/>
        <v>1.0000000000000231</v>
      </c>
      <c r="AJ24" s="72">
        <f t="shared" si="19"/>
        <v>1.1999999999999567</v>
      </c>
      <c r="AK24" s="72">
        <f t="shared" si="20"/>
        <v>0.80000000000000071</v>
      </c>
      <c r="AM24" s="35"/>
      <c r="AN24" s="35"/>
    </row>
    <row r="25" spans="1:40" x14ac:dyDescent="0.3">
      <c r="A25" s="35">
        <v>45883</v>
      </c>
      <c r="B25" s="847" t="s">
        <v>883</v>
      </c>
      <c r="C25">
        <v>3.4180000000000001</v>
      </c>
      <c r="E25">
        <f t="shared" si="1"/>
        <v>1</v>
      </c>
      <c r="F25" s="11">
        <v>23</v>
      </c>
      <c r="G25" s="179">
        <v>46220</v>
      </c>
      <c r="H25" s="847">
        <v>4.4050000000000002</v>
      </c>
      <c r="I25" s="847">
        <v>4.5810000000000004</v>
      </c>
      <c r="J25" s="847">
        <v>3.4129999999999998</v>
      </c>
      <c r="K25" s="847">
        <v>4.6580000000000004</v>
      </c>
      <c r="L25" s="847">
        <v>3.508</v>
      </c>
      <c r="M25" s="847">
        <v>4.7240000000000002</v>
      </c>
      <c r="N25" s="847">
        <v>3.5790000000000002</v>
      </c>
      <c r="O25" s="847">
        <v>3.8929999999999998</v>
      </c>
      <c r="P25" s="847">
        <v>4.2069999999999999</v>
      </c>
      <c r="Q25" s="847">
        <v>4.2670000000000003</v>
      </c>
      <c r="R25" s="321">
        <f t="shared" si="2"/>
        <v>1.6999999999999904</v>
      </c>
      <c r="S25" s="72">
        <f t="shared" si="3"/>
        <v>0.80000000000000071</v>
      </c>
      <c r="T25" s="72">
        <f t="shared" si="4"/>
        <v>0.80000000000000071</v>
      </c>
      <c r="U25" s="72">
        <f t="shared" si="5"/>
        <v>0</v>
      </c>
      <c r="V25" s="72">
        <f t="shared" si="6"/>
        <v>-0.80000000000000071</v>
      </c>
      <c r="W25" s="72">
        <f t="shared" si="7"/>
        <v>-9.9999999999944578E-2</v>
      </c>
      <c r="X25" s="196">
        <f t="shared" si="8"/>
        <v>0.30000000000001137</v>
      </c>
      <c r="Y25" s="196">
        <f t="shared" si="9"/>
        <v>0.30000000000001137</v>
      </c>
      <c r="Z25" s="72">
        <f t="shared" si="10"/>
        <v>1.3000000000000789</v>
      </c>
      <c r="AA25" s="72">
        <f t="shared" si="11"/>
        <v>1.2000000000000455</v>
      </c>
      <c r="AB25" s="321">
        <f t="shared" si="21"/>
        <v>0.90000000000003411</v>
      </c>
      <c r="AC25" s="72">
        <f t="shared" si="12"/>
        <v>0.90000000000003411</v>
      </c>
      <c r="AD25" s="72">
        <f t="shared" si="13"/>
        <v>1.6999999999999904</v>
      </c>
      <c r="AE25" s="72">
        <f t="shared" si="14"/>
        <v>1.7000000000000348</v>
      </c>
      <c r="AF25" s="72">
        <f t="shared" si="15"/>
        <v>0.80000000000000071</v>
      </c>
      <c r="AG25" s="72">
        <f t="shared" si="16"/>
        <v>1.2000000000000455</v>
      </c>
      <c r="AH25" s="196">
        <f t="shared" si="17"/>
        <v>0.80000000000000071</v>
      </c>
      <c r="AI25" s="196">
        <f t="shared" si="18"/>
        <v>0.8999999999999897</v>
      </c>
      <c r="AJ25" s="72">
        <f t="shared" si="19"/>
        <v>0.99999999999997868</v>
      </c>
      <c r="AK25" s="72">
        <f t="shared" si="20"/>
        <v>0.90000000000003411</v>
      </c>
      <c r="AM25" s="35"/>
      <c r="AN25" s="35"/>
    </row>
    <row r="26" spans="1:40" x14ac:dyDescent="0.3">
      <c r="A26" s="35">
        <v>45884</v>
      </c>
      <c r="B26" s="847" t="s">
        <v>883</v>
      </c>
      <c r="C26">
        <v>3.4279999999999999</v>
      </c>
      <c r="E26">
        <f t="shared" si="1"/>
        <v>1</v>
      </c>
      <c r="F26" s="11">
        <v>24</v>
      </c>
      <c r="G26" s="179">
        <v>46219</v>
      </c>
      <c r="H26" s="847">
        <v>4.4020000000000001</v>
      </c>
      <c r="I26" s="847">
        <v>4.5780000000000003</v>
      </c>
      <c r="J26" s="847">
        <v>3.3959999999999999</v>
      </c>
      <c r="K26" s="847">
        <v>4.6449999999999996</v>
      </c>
      <c r="L26" s="847">
        <v>3.5</v>
      </c>
      <c r="M26" s="847">
        <v>4.7119999999999997</v>
      </c>
      <c r="N26" s="847">
        <v>3.5710000000000002</v>
      </c>
      <c r="O26" s="847">
        <v>3.8929999999999998</v>
      </c>
      <c r="P26" s="847">
        <v>4.2149999999999999</v>
      </c>
      <c r="Q26" s="847">
        <v>4.2679999999999998</v>
      </c>
      <c r="R26" s="321">
        <f t="shared" si="2"/>
        <v>0</v>
      </c>
      <c r="S26" s="72">
        <f t="shared" si="3"/>
        <v>0</v>
      </c>
      <c r="T26" s="72">
        <f t="shared" si="4"/>
        <v>0</v>
      </c>
      <c r="U26" s="72">
        <f t="shared" si="5"/>
        <v>0.29999999999996696</v>
      </c>
      <c r="V26" s="72">
        <f t="shared" si="6"/>
        <v>0.60000000000002274</v>
      </c>
      <c r="W26" s="72">
        <f t="shared" si="7"/>
        <v>0.39999999999995595</v>
      </c>
      <c r="X26" s="196">
        <f t="shared" si="8"/>
        <v>0.19999999999997797</v>
      </c>
      <c r="Y26" s="196">
        <f t="shared" si="9"/>
        <v>0.40000000000004476</v>
      </c>
      <c r="Z26" s="72">
        <f t="shared" si="10"/>
        <v>0</v>
      </c>
      <c r="AA26" s="72">
        <f t="shared" si="11"/>
        <v>0</v>
      </c>
      <c r="AB26" s="321">
        <f t="shared" si="21"/>
        <v>0.30000000000001137</v>
      </c>
      <c r="AC26" s="72">
        <f t="shared" si="12"/>
        <v>0.40000000000004476</v>
      </c>
      <c r="AD26" s="72">
        <f t="shared" si="13"/>
        <v>0</v>
      </c>
      <c r="AE26" s="72">
        <f t="shared" si="14"/>
        <v>0.39999999999995595</v>
      </c>
      <c r="AF26" s="72">
        <f t="shared" si="15"/>
        <v>0</v>
      </c>
      <c r="AG26" s="72">
        <f t="shared" si="16"/>
        <v>0</v>
      </c>
      <c r="AH26" s="196">
        <f t="shared" si="17"/>
        <v>0</v>
      </c>
      <c r="AI26" s="196">
        <f t="shared" si="18"/>
        <v>0.8999999999999897</v>
      </c>
      <c r="AJ26" s="72">
        <f t="shared" si="19"/>
        <v>1.7999999999999794</v>
      </c>
      <c r="AK26" s="72">
        <f t="shared" si="20"/>
        <v>0.99999999999997868</v>
      </c>
      <c r="AM26" s="35"/>
      <c r="AN26" s="35"/>
    </row>
    <row r="27" spans="1:40" x14ac:dyDescent="0.3">
      <c r="A27" s="35">
        <v>45887</v>
      </c>
      <c r="B27" s="847" t="s">
        <v>883</v>
      </c>
      <c r="C27">
        <v>3.4249999999999998</v>
      </c>
      <c r="E27">
        <f t="shared" si="1"/>
        <v>1</v>
      </c>
      <c r="F27" s="11">
        <v>25</v>
      </c>
      <c r="G27" s="179">
        <v>46218</v>
      </c>
      <c r="H27" s="847">
        <v>4.4000000000000004</v>
      </c>
      <c r="I27" s="847">
        <v>4.5739999999999998</v>
      </c>
      <c r="J27" s="847">
        <v>3.3959999999999999</v>
      </c>
      <c r="K27" s="847">
        <v>4.6449999999999996</v>
      </c>
      <c r="L27" s="847">
        <v>3.5</v>
      </c>
      <c r="M27" s="847">
        <v>4.7119999999999997</v>
      </c>
      <c r="N27" s="847">
        <v>3.5710000000000002</v>
      </c>
      <c r="O27" s="847">
        <v>3.89</v>
      </c>
      <c r="P27" s="847">
        <v>4.2089999999999996</v>
      </c>
      <c r="Q27" s="847">
        <v>4.2640000000000002</v>
      </c>
      <c r="R27" s="321">
        <f t="shared" si="2"/>
        <v>0</v>
      </c>
      <c r="S27" s="72">
        <f t="shared" si="3"/>
        <v>0</v>
      </c>
      <c r="T27" s="72">
        <f t="shared" si="4"/>
        <v>0</v>
      </c>
      <c r="U27" s="72">
        <f t="shared" si="5"/>
        <v>0.20000000000002238</v>
      </c>
      <c r="V27" s="72">
        <f t="shared" si="6"/>
        <v>0.29999999999992255</v>
      </c>
      <c r="W27" s="72">
        <f t="shared" si="7"/>
        <v>-0.19999999999997797</v>
      </c>
      <c r="X27" s="196">
        <f t="shared" si="8"/>
        <v>0.20000000000006679</v>
      </c>
      <c r="Y27" s="196">
        <f t="shared" si="9"/>
        <v>0</v>
      </c>
      <c r="Z27" s="72">
        <f t="shared" si="10"/>
        <v>0.39999999999995595</v>
      </c>
      <c r="AA27" s="72">
        <f t="shared" si="11"/>
        <v>0</v>
      </c>
      <c r="AB27" s="321">
        <f t="shared" si="21"/>
        <v>0.20000000000006679</v>
      </c>
      <c r="AC27" s="72">
        <f t="shared" si="12"/>
        <v>0</v>
      </c>
      <c r="AD27" s="72">
        <f t="shared" si="13"/>
        <v>0</v>
      </c>
      <c r="AE27" s="72">
        <f t="shared" si="14"/>
        <v>0.39999999999995595</v>
      </c>
      <c r="AF27" s="72">
        <f t="shared" si="15"/>
        <v>0</v>
      </c>
      <c r="AG27" s="72">
        <f t="shared" si="16"/>
        <v>0</v>
      </c>
      <c r="AH27" s="196">
        <f t="shared" si="17"/>
        <v>0</v>
      </c>
      <c r="AI27" s="196">
        <f t="shared" si="18"/>
        <v>0.40000000000000036</v>
      </c>
      <c r="AJ27" s="72">
        <f t="shared" si="19"/>
        <v>0.80000000000000071</v>
      </c>
      <c r="AK27" s="72">
        <f t="shared" si="20"/>
        <v>0.30000000000001137</v>
      </c>
      <c r="AM27" s="35"/>
      <c r="AN27" s="35"/>
    </row>
    <row r="28" spans="1:40" x14ac:dyDescent="0.3">
      <c r="A28" s="35">
        <v>45888</v>
      </c>
      <c r="B28" s="847" t="s">
        <v>883</v>
      </c>
      <c r="C28">
        <v>3.4329999999999998</v>
      </c>
      <c r="E28">
        <f t="shared" si="1"/>
        <v>1</v>
      </c>
      <c r="F28" s="11">
        <v>26</v>
      </c>
      <c r="G28" s="179">
        <v>46217</v>
      </c>
      <c r="H28" s="847">
        <v>4.3979999999999997</v>
      </c>
      <c r="I28" s="847">
        <v>4.5739999999999998</v>
      </c>
      <c r="J28" s="847">
        <v>3.3959999999999999</v>
      </c>
      <c r="K28" s="847">
        <v>4.641</v>
      </c>
      <c r="L28" s="847">
        <v>3.5</v>
      </c>
      <c r="M28" s="847">
        <v>4.7119999999999997</v>
      </c>
      <c r="N28" s="847">
        <v>3.5710000000000002</v>
      </c>
      <c r="O28" s="847">
        <v>3.8879999999999999</v>
      </c>
      <c r="P28" s="847">
        <v>4.2060000000000004</v>
      </c>
      <c r="Q28" s="847">
        <v>4.266</v>
      </c>
      <c r="R28" s="321">
        <f t="shared" si="2"/>
        <v>0</v>
      </c>
      <c r="S28" s="72">
        <f t="shared" si="3"/>
        <v>0</v>
      </c>
      <c r="T28" s="72">
        <f t="shared" si="4"/>
        <v>0</v>
      </c>
      <c r="U28" s="72">
        <f t="shared" si="5"/>
        <v>0</v>
      </c>
      <c r="V28" s="72">
        <f t="shared" si="6"/>
        <v>0</v>
      </c>
      <c r="W28" s="72">
        <f t="shared" si="7"/>
        <v>0</v>
      </c>
      <c r="X28" s="196">
        <f t="shared" si="8"/>
        <v>0</v>
      </c>
      <c r="Y28" s="196">
        <f t="shared" si="9"/>
        <v>0</v>
      </c>
      <c r="Z28" s="72">
        <f t="shared" si="10"/>
        <v>0</v>
      </c>
      <c r="AA28" s="72">
        <f t="shared" si="11"/>
        <v>0</v>
      </c>
      <c r="AB28" s="321">
        <f t="shared" si="21"/>
        <v>0.30000000000001137</v>
      </c>
      <c r="AC28" s="72">
        <f t="shared" si="12"/>
        <v>0.49999999999998934</v>
      </c>
      <c r="AD28" s="72">
        <f t="shared" si="13"/>
        <v>0</v>
      </c>
      <c r="AE28" s="72">
        <f t="shared" si="14"/>
        <v>0.40000000000004476</v>
      </c>
      <c r="AF28" s="72">
        <f t="shared" si="15"/>
        <v>0</v>
      </c>
      <c r="AG28" s="72">
        <f t="shared" si="16"/>
        <v>0.19999999999997797</v>
      </c>
      <c r="AH28" s="196">
        <f t="shared" si="17"/>
        <v>0</v>
      </c>
      <c r="AI28" s="196">
        <f t="shared" si="18"/>
        <v>0.40000000000000036</v>
      </c>
      <c r="AJ28" s="72">
        <f t="shared" si="19"/>
        <v>0.80000000000000071</v>
      </c>
      <c r="AK28" s="72">
        <f t="shared" si="20"/>
        <v>0.99999999999997868</v>
      </c>
      <c r="AM28" s="35"/>
      <c r="AN28" s="35"/>
    </row>
    <row r="29" spans="1:40" x14ac:dyDescent="0.3">
      <c r="A29" s="35">
        <v>45889</v>
      </c>
      <c r="B29" s="847" t="s">
        <v>883</v>
      </c>
      <c r="C29">
        <v>3.4319999999999999</v>
      </c>
      <c r="E29">
        <f t="shared" si="1"/>
        <v>3</v>
      </c>
      <c r="F29" s="11">
        <v>27</v>
      </c>
      <c r="G29" s="179">
        <v>46216</v>
      </c>
      <c r="H29" s="847">
        <v>4.3979999999999997</v>
      </c>
      <c r="I29" s="847">
        <v>4.5739999999999998</v>
      </c>
      <c r="J29" s="847">
        <v>3.3959999999999999</v>
      </c>
      <c r="K29" s="847">
        <v>4.641</v>
      </c>
      <c r="L29" s="847">
        <v>3.5</v>
      </c>
      <c r="M29" s="847">
        <v>4.7119999999999997</v>
      </c>
      <c r="N29" s="847">
        <v>3.5710000000000002</v>
      </c>
      <c r="O29" s="847">
        <v>3.8879999999999999</v>
      </c>
      <c r="P29" s="847">
        <v>4.2060000000000004</v>
      </c>
      <c r="Q29" s="847">
        <v>4.266</v>
      </c>
      <c r="R29" s="321">
        <f t="shared" si="2"/>
        <v>0</v>
      </c>
      <c r="S29" s="72">
        <f t="shared" si="3"/>
        <v>0</v>
      </c>
      <c r="T29" s="72">
        <f t="shared" si="4"/>
        <v>0</v>
      </c>
      <c r="U29" s="72">
        <f t="shared" si="5"/>
        <v>0</v>
      </c>
      <c r="V29" s="72">
        <f t="shared" si="6"/>
        <v>0</v>
      </c>
      <c r="W29" s="72">
        <f t="shared" si="7"/>
        <v>0.19999999999997797</v>
      </c>
      <c r="X29" s="196">
        <f t="shared" si="8"/>
        <v>0</v>
      </c>
      <c r="Y29" s="196">
        <f t="shared" si="9"/>
        <v>0</v>
      </c>
      <c r="Z29" s="72">
        <f t="shared" si="10"/>
        <v>0</v>
      </c>
      <c r="AA29" s="72">
        <f t="shared" si="11"/>
        <v>0</v>
      </c>
      <c r="AB29" s="321">
        <f t="shared" si="21"/>
        <v>-0.1000000000000334</v>
      </c>
      <c r="AC29" s="72">
        <f t="shared" si="12"/>
        <v>-0.19999999999997797</v>
      </c>
      <c r="AD29" s="72">
        <f t="shared" si="13"/>
        <v>0.40000000000000036</v>
      </c>
      <c r="AE29" s="72">
        <f t="shared" si="14"/>
        <v>2.0999999999999908</v>
      </c>
      <c r="AF29" s="72">
        <f t="shared" si="15"/>
        <v>0.40000000000000036</v>
      </c>
      <c r="AG29" s="72">
        <f t="shared" si="16"/>
        <v>2.0999999999999908</v>
      </c>
      <c r="AH29" s="196">
        <f t="shared" si="17"/>
        <v>0.40000000000000036</v>
      </c>
      <c r="AI29" s="196">
        <f t="shared" si="18"/>
        <v>0.80000000000000071</v>
      </c>
      <c r="AJ29" s="72">
        <f t="shared" si="19"/>
        <v>1.3000000000000789</v>
      </c>
      <c r="AK29" s="72">
        <f t="shared" si="20"/>
        <v>1.9000000000000128</v>
      </c>
      <c r="AM29" s="35"/>
      <c r="AN29" s="35"/>
    </row>
    <row r="30" spans="1:40" x14ac:dyDescent="0.3">
      <c r="A30" s="35">
        <v>45890</v>
      </c>
      <c r="B30" s="847" t="s">
        <v>883</v>
      </c>
      <c r="C30">
        <v>3.49</v>
      </c>
      <c r="E30">
        <f t="shared" si="1"/>
        <v>1</v>
      </c>
      <c r="F30" s="11">
        <v>28</v>
      </c>
      <c r="G30" s="179">
        <v>46213</v>
      </c>
      <c r="H30" s="847">
        <v>4.3979999999999997</v>
      </c>
      <c r="I30" s="847">
        <v>4.5739999999999998</v>
      </c>
      <c r="J30" s="847">
        <v>3.3959999999999999</v>
      </c>
      <c r="K30" s="847">
        <v>4.641</v>
      </c>
      <c r="L30" s="847">
        <v>3.5</v>
      </c>
      <c r="M30" s="847">
        <v>4.7119999999999997</v>
      </c>
      <c r="N30" s="847">
        <v>3.5710000000000002</v>
      </c>
      <c r="O30" s="847">
        <v>3.8879999999999999</v>
      </c>
      <c r="P30" s="847">
        <v>4.2060000000000004</v>
      </c>
      <c r="Q30" s="847">
        <v>4.2640000000000002</v>
      </c>
      <c r="R30" s="321">
        <f t="shared" si="2"/>
        <v>0</v>
      </c>
      <c r="S30" s="72">
        <f t="shared" si="3"/>
        <v>0</v>
      </c>
      <c r="T30" s="72">
        <f t="shared" si="4"/>
        <v>0</v>
      </c>
      <c r="U30" s="72">
        <f t="shared" si="5"/>
        <v>0</v>
      </c>
      <c r="V30" s="72">
        <f t="shared" si="6"/>
        <v>0</v>
      </c>
      <c r="W30" s="72">
        <f t="shared" si="7"/>
        <v>0</v>
      </c>
      <c r="X30" s="196">
        <f t="shared" si="8"/>
        <v>9.9999999999944578E-2</v>
      </c>
      <c r="Y30" s="196">
        <f t="shared" si="9"/>
        <v>0.80000000000000071</v>
      </c>
      <c r="Z30" s="72">
        <f t="shared" si="10"/>
        <v>2.5000000000000355</v>
      </c>
      <c r="AA30" s="72">
        <f t="shared" si="11"/>
        <v>1.699999999999946</v>
      </c>
      <c r="AB30" s="321">
        <f t="shared" si="21"/>
        <v>0.19999999999997797</v>
      </c>
      <c r="AC30" s="72">
        <f t="shared" si="12"/>
        <v>0.30000000000001137</v>
      </c>
      <c r="AD30" s="72">
        <f t="shared" si="13"/>
        <v>0.40000000000000036</v>
      </c>
      <c r="AE30" s="72">
        <f t="shared" si="14"/>
        <v>2.0999999999999908</v>
      </c>
      <c r="AF30" s="72">
        <f t="shared" si="15"/>
        <v>0.40000000000000036</v>
      </c>
      <c r="AG30" s="72">
        <f t="shared" si="16"/>
        <v>2.0999999999999908</v>
      </c>
      <c r="AH30" s="196">
        <f t="shared" si="17"/>
        <v>0.40000000000000036</v>
      </c>
      <c r="AI30" s="196">
        <f t="shared" si="18"/>
        <v>0.8999999999999897</v>
      </c>
      <c r="AJ30" s="72">
        <f t="shared" si="19"/>
        <v>1.4000000000000234</v>
      </c>
      <c r="AK30" s="72">
        <f t="shared" si="20"/>
        <v>1.7000000000000348</v>
      </c>
      <c r="AM30" s="35"/>
      <c r="AN30" s="35"/>
    </row>
    <row r="31" spans="1:40" x14ac:dyDescent="0.3">
      <c r="A31" s="35">
        <v>45891</v>
      </c>
      <c r="B31" s="847" t="s">
        <v>883</v>
      </c>
      <c r="C31">
        <v>3.5350000000000001</v>
      </c>
      <c r="E31">
        <f t="shared" si="1"/>
        <v>1</v>
      </c>
      <c r="F31" s="11">
        <v>29</v>
      </c>
      <c r="G31" s="179">
        <v>46212</v>
      </c>
      <c r="H31" s="847">
        <v>4.3970000000000002</v>
      </c>
      <c r="I31" s="847">
        <v>4.5659999999999998</v>
      </c>
      <c r="J31" s="847">
        <v>3.3959999999999999</v>
      </c>
      <c r="K31" s="847">
        <v>4.6159999999999997</v>
      </c>
      <c r="L31" s="847">
        <v>3.5</v>
      </c>
      <c r="M31" s="847">
        <v>4.6950000000000003</v>
      </c>
      <c r="N31" s="847">
        <v>3.5710000000000002</v>
      </c>
      <c r="O31" s="847">
        <v>3.8879999999999999</v>
      </c>
      <c r="P31" s="847">
        <v>4.2060000000000004</v>
      </c>
      <c r="Q31" s="847">
        <v>4.2640000000000002</v>
      </c>
      <c r="R31" s="321">
        <f t="shared" si="2"/>
        <v>0</v>
      </c>
      <c r="S31" s="72">
        <f t="shared" si="3"/>
        <v>0</v>
      </c>
      <c r="T31" s="72">
        <f t="shared" si="4"/>
        <v>0</v>
      </c>
      <c r="U31" s="72">
        <f t="shared" si="5"/>
        <v>0.30000000000001137</v>
      </c>
      <c r="V31" s="72">
        <f t="shared" si="6"/>
        <v>0.70000000000005613</v>
      </c>
      <c r="W31" s="72">
        <f t="shared" si="7"/>
        <v>0.49999999999998934</v>
      </c>
      <c r="X31" s="196">
        <f t="shared" si="8"/>
        <v>-0.19999999999997797</v>
      </c>
      <c r="Y31" s="196">
        <f t="shared" si="9"/>
        <v>-0.80000000000000071</v>
      </c>
      <c r="Z31" s="72">
        <f t="shared" si="10"/>
        <v>-2.5000000000000355</v>
      </c>
      <c r="AA31" s="72">
        <f t="shared" si="11"/>
        <v>-1.699999999999946</v>
      </c>
      <c r="AB31" s="321">
        <f t="shared" si="21"/>
        <v>0</v>
      </c>
      <c r="AC31" s="72">
        <f t="shared" si="12"/>
        <v>-0.70000000000005613</v>
      </c>
      <c r="AD31" s="72">
        <f t="shared" si="13"/>
        <v>2.0999999999999908</v>
      </c>
      <c r="AE31" s="72">
        <f t="shared" si="14"/>
        <v>-0.40000000000004476</v>
      </c>
      <c r="AF31" s="72">
        <f t="shared" si="15"/>
        <v>2.8999999999999915</v>
      </c>
      <c r="AG31" s="72">
        <f t="shared" si="16"/>
        <v>0.40000000000004476</v>
      </c>
      <c r="AH31" s="196">
        <f t="shared" si="17"/>
        <v>1.7000000000000348</v>
      </c>
      <c r="AI31" s="196">
        <f t="shared" si="18"/>
        <v>1.7999999999999794</v>
      </c>
      <c r="AJ31" s="72">
        <f t="shared" si="19"/>
        <v>2.1000000000000796</v>
      </c>
      <c r="AK31" s="72">
        <f t="shared" si="20"/>
        <v>1.7999999999999794</v>
      </c>
      <c r="AM31" s="35"/>
      <c r="AN31" s="35"/>
    </row>
    <row r="32" spans="1:40" x14ac:dyDescent="0.3">
      <c r="A32" s="35">
        <v>45894</v>
      </c>
      <c r="B32" s="847" t="s">
        <v>883</v>
      </c>
      <c r="C32">
        <v>3.5350000000000001</v>
      </c>
      <c r="E32">
        <f t="shared" si="1"/>
        <v>1</v>
      </c>
      <c r="F32" s="11">
        <v>30</v>
      </c>
      <c r="G32" s="179">
        <v>46211</v>
      </c>
      <c r="H32" s="847">
        <v>4.399</v>
      </c>
      <c r="I32" s="847">
        <v>4.5739999999999998</v>
      </c>
      <c r="J32" s="847">
        <v>3.3959999999999999</v>
      </c>
      <c r="K32" s="847">
        <v>4.641</v>
      </c>
      <c r="L32" s="847">
        <v>3.5</v>
      </c>
      <c r="M32" s="847">
        <v>4.7119999999999997</v>
      </c>
      <c r="N32" s="847">
        <v>3.5710000000000002</v>
      </c>
      <c r="O32" s="847">
        <v>3.8849999999999998</v>
      </c>
      <c r="P32" s="847">
        <v>4.1989999999999998</v>
      </c>
      <c r="Q32" s="847">
        <v>4.2590000000000003</v>
      </c>
      <c r="R32" s="321">
        <f t="shared" si="2"/>
        <v>0</v>
      </c>
      <c r="S32" s="72">
        <f t="shared" si="3"/>
        <v>0</v>
      </c>
      <c r="T32" s="72">
        <f t="shared" si="4"/>
        <v>0</v>
      </c>
      <c r="U32" s="72">
        <f t="shared" si="5"/>
        <v>9.9999999999988987E-2</v>
      </c>
      <c r="V32" s="72">
        <f t="shared" si="6"/>
        <v>0.19999999999997797</v>
      </c>
      <c r="W32" s="72">
        <f t="shared" si="7"/>
        <v>0.1000000000000334</v>
      </c>
      <c r="X32" s="196">
        <f t="shared" si="8"/>
        <v>0</v>
      </c>
      <c r="Y32" s="196">
        <f t="shared" si="9"/>
        <v>0</v>
      </c>
      <c r="Z32" s="72">
        <f t="shared" si="10"/>
        <v>0</v>
      </c>
      <c r="AA32" s="72">
        <f t="shared" si="11"/>
        <v>0</v>
      </c>
      <c r="AB32" s="321">
        <f t="shared" si="21"/>
        <v>0.30000000000001137</v>
      </c>
      <c r="AC32" s="72">
        <f t="shared" si="12"/>
        <v>0.30000000000001137</v>
      </c>
      <c r="AD32" s="72">
        <f t="shared" si="13"/>
        <v>2.0999999999999908</v>
      </c>
      <c r="AE32" s="72">
        <f t="shared" si="14"/>
        <v>2.0999999999999908</v>
      </c>
      <c r="AF32" s="72">
        <f t="shared" si="15"/>
        <v>2.8999999999999915</v>
      </c>
      <c r="AG32" s="72">
        <f t="shared" si="16"/>
        <v>2.0999999999999908</v>
      </c>
      <c r="AH32" s="196">
        <f t="shared" si="17"/>
        <v>1.7000000000000348</v>
      </c>
      <c r="AI32" s="196">
        <f t="shared" si="18"/>
        <v>1.499999999999968</v>
      </c>
      <c r="AJ32" s="72">
        <f t="shared" si="19"/>
        <v>1.4000000000000234</v>
      </c>
      <c r="AK32" s="72">
        <f t="shared" si="20"/>
        <v>1.2999999999999901</v>
      </c>
      <c r="AM32" s="35"/>
      <c r="AN32" s="35"/>
    </row>
    <row r="33" spans="1:40" x14ac:dyDescent="0.3">
      <c r="A33" s="35">
        <v>45895</v>
      </c>
      <c r="B33" s="847" t="s">
        <v>883</v>
      </c>
      <c r="C33">
        <v>3.544</v>
      </c>
      <c r="E33">
        <f t="shared" si="1"/>
        <v>1</v>
      </c>
      <c r="F33" s="11">
        <v>31</v>
      </c>
      <c r="G33" s="179">
        <v>46210</v>
      </c>
      <c r="H33" s="847">
        <v>4.399</v>
      </c>
      <c r="I33" s="847">
        <v>4.5739999999999998</v>
      </c>
      <c r="J33" s="847">
        <v>3.3959999999999999</v>
      </c>
      <c r="K33" s="847">
        <v>4.641</v>
      </c>
      <c r="L33" s="847">
        <v>3.5</v>
      </c>
      <c r="M33" s="847">
        <v>4.7119999999999997</v>
      </c>
      <c r="N33" s="847">
        <v>3.5710000000000002</v>
      </c>
      <c r="O33" s="847">
        <v>3.8839999999999999</v>
      </c>
      <c r="P33" s="847">
        <v>4.1970000000000001</v>
      </c>
      <c r="Q33" s="847">
        <v>4.258</v>
      </c>
      <c r="R33" s="321">
        <f t="shared" si="2"/>
        <v>0</v>
      </c>
      <c r="S33" s="72">
        <f t="shared" si="3"/>
        <v>0</v>
      </c>
      <c r="T33" s="72">
        <f t="shared" si="4"/>
        <v>0</v>
      </c>
      <c r="U33" s="72">
        <f t="shared" si="5"/>
        <v>0</v>
      </c>
      <c r="V33" s="72">
        <f t="shared" si="6"/>
        <v>0</v>
      </c>
      <c r="W33" s="72">
        <f t="shared" si="7"/>
        <v>0</v>
      </c>
      <c r="X33" s="196">
        <f t="shared" si="8"/>
        <v>0.19999999999997797</v>
      </c>
      <c r="Y33" s="196">
        <f t="shared" si="9"/>
        <v>0.19999999999997797</v>
      </c>
      <c r="Z33" s="72">
        <f t="shared" si="10"/>
        <v>0</v>
      </c>
      <c r="AA33" s="72">
        <f t="shared" si="11"/>
        <v>0</v>
      </c>
      <c r="AB33" s="321">
        <f t="shared" si="21"/>
        <v>0.49999999999998934</v>
      </c>
      <c r="AC33" s="72">
        <f t="shared" si="12"/>
        <v>0.69999999999996732</v>
      </c>
      <c r="AD33" s="72">
        <f t="shared" si="13"/>
        <v>2.0999999999999908</v>
      </c>
      <c r="AE33" s="72">
        <f t="shared" si="14"/>
        <v>2.0999999999999908</v>
      </c>
      <c r="AF33" s="72">
        <f t="shared" si="15"/>
        <v>2.8999999999999915</v>
      </c>
      <c r="AG33" s="72">
        <f t="shared" si="16"/>
        <v>2.0999999999999908</v>
      </c>
      <c r="AH33" s="196">
        <f t="shared" si="17"/>
        <v>1.7000000000000348</v>
      </c>
      <c r="AI33" s="196">
        <f t="shared" si="18"/>
        <v>1.399999999999979</v>
      </c>
      <c r="AJ33" s="72">
        <f t="shared" si="19"/>
        <v>1.2000000000000455</v>
      </c>
      <c r="AK33" s="72">
        <f t="shared" si="20"/>
        <v>1.1999999999999567</v>
      </c>
      <c r="AM33" s="35"/>
      <c r="AN33" s="35"/>
    </row>
    <row r="34" spans="1:40" x14ac:dyDescent="0.3">
      <c r="A34" s="35">
        <v>45896</v>
      </c>
      <c r="B34" s="847" t="s">
        <v>883</v>
      </c>
      <c r="C34">
        <v>3.544</v>
      </c>
      <c r="E34">
        <f t="shared" si="1"/>
        <v>3</v>
      </c>
      <c r="F34" s="11">
        <v>32</v>
      </c>
      <c r="G34" s="179">
        <v>46209</v>
      </c>
      <c r="H34" s="847">
        <v>4.3970000000000002</v>
      </c>
      <c r="I34" s="847">
        <v>4.5720000000000001</v>
      </c>
      <c r="J34" s="847">
        <v>3.3959999999999999</v>
      </c>
      <c r="K34" s="847">
        <v>4.641</v>
      </c>
      <c r="L34" s="847">
        <v>3.5</v>
      </c>
      <c r="M34" s="847">
        <v>4.7119999999999997</v>
      </c>
      <c r="N34" s="847">
        <v>3.5710000000000002</v>
      </c>
      <c r="O34" s="847">
        <v>3.8839999999999999</v>
      </c>
      <c r="P34" s="847">
        <v>4.1970000000000001</v>
      </c>
      <c r="Q34" s="847">
        <v>4.258</v>
      </c>
      <c r="R34" s="321">
        <f t="shared" si="2"/>
        <v>0</v>
      </c>
      <c r="S34" s="72">
        <f t="shared" si="3"/>
        <v>0</v>
      </c>
      <c r="T34" s="72">
        <f t="shared" si="4"/>
        <v>0</v>
      </c>
      <c r="U34" s="72">
        <f t="shared" si="5"/>
        <v>0</v>
      </c>
      <c r="V34" s="72">
        <f t="shared" si="6"/>
        <v>0</v>
      </c>
      <c r="W34" s="72">
        <f t="shared" si="7"/>
        <v>0</v>
      </c>
      <c r="X34" s="196">
        <f t="shared" si="8"/>
        <v>0.1000000000000334</v>
      </c>
      <c r="Y34" s="196">
        <f t="shared" si="9"/>
        <v>0</v>
      </c>
      <c r="Z34" s="72">
        <f t="shared" si="10"/>
        <v>0</v>
      </c>
      <c r="AA34" s="72">
        <f t="shared" si="11"/>
        <v>0</v>
      </c>
      <c r="AB34" s="321">
        <f t="shared" si="21"/>
        <v>0</v>
      </c>
      <c r="AC34" s="72">
        <f t="shared" si="12"/>
        <v>0.30000000000001137</v>
      </c>
      <c r="AD34" s="72">
        <f t="shared" si="13"/>
        <v>2.0999999999999908</v>
      </c>
      <c r="AE34" s="72">
        <f t="shared" si="14"/>
        <v>2.0999999999999908</v>
      </c>
      <c r="AF34" s="72">
        <f t="shared" si="15"/>
        <v>2.8999999999999915</v>
      </c>
      <c r="AG34" s="72">
        <f t="shared" si="16"/>
        <v>2.0999999999999908</v>
      </c>
      <c r="AH34" s="196">
        <f t="shared" si="17"/>
        <v>1.7000000000000348</v>
      </c>
      <c r="AI34" s="196">
        <f t="shared" si="18"/>
        <v>1.7999999999999794</v>
      </c>
      <c r="AJ34" s="72">
        <f t="shared" si="19"/>
        <v>1.9000000000000128</v>
      </c>
      <c r="AK34" s="72">
        <f t="shared" si="20"/>
        <v>1.1999999999999567</v>
      </c>
      <c r="AM34" s="35"/>
      <c r="AN34" s="35"/>
    </row>
    <row r="35" spans="1:40" x14ac:dyDescent="0.3">
      <c r="A35" s="35">
        <v>45897</v>
      </c>
      <c r="B35" s="847" t="s">
        <v>883</v>
      </c>
      <c r="C35">
        <v>3.5459999999999998</v>
      </c>
      <c r="E35">
        <f t="shared" si="1"/>
        <v>1</v>
      </c>
      <c r="F35" s="11">
        <v>33</v>
      </c>
      <c r="G35" s="179">
        <v>46206</v>
      </c>
      <c r="H35" s="847">
        <v>4.3959999999999999</v>
      </c>
      <c r="I35" s="847">
        <v>4.5720000000000001</v>
      </c>
      <c r="J35" s="847">
        <v>3.3959999999999999</v>
      </c>
      <c r="K35" s="847">
        <v>4.641</v>
      </c>
      <c r="L35" s="847">
        <v>3.5</v>
      </c>
      <c r="M35" s="847">
        <v>4.7119999999999997</v>
      </c>
      <c r="N35" s="847">
        <v>3.5710000000000002</v>
      </c>
      <c r="O35" s="847">
        <v>3.8839999999999999</v>
      </c>
      <c r="P35" s="847">
        <v>4.1970000000000001</v>
      </c>
      <c r="Q35" s="847">
        <v>4.258</v>
      </c>
      <c r="R35" s="321">
        <f t="shared" si="2"/>
        <v>0</v>
      </c>
      <c r="S35" s="72">
        <f t="shared" si="3"/>
        <v>0</v>
      </c>
      <c r="T35" s="72">
        <f t="shared" si="4"/>
        <v>0</v>
      </c>
      <c r="U35" s="72">
        <f t="shared" si="5"/>
        <v>0</v>
      </c>
      <c r="V35" s="72">
        <f t="shared" si="6"/>
        <v>0</v>
      </c>
      <c r="W35" s="72">
        <f t="shared" si="7"/>
        <v>0</v>
      </c>
      <c r="X35" s="196">
        <f t="shared" si="8"/>
        <v>-0.30000000000001137</v>
      </c>
      <c r="Y35" s="196">
        <f t="shared" si="9"/>
        <v>-0.19999999999997797</v>
      </c>
      <c r="Z35" s="72">
        <f t="shared" si="10"/>
        <v>0</v>
      </c>
      <c r="AA35" s="72">
        <f t="shared" si="11"/>
        <v>0</v>
      </c>
      <c r="AB35" s="321">
        <f t="shared" si="21"/>
        <v>0.60000000000002274</v>
      </c>
      <c r="AC35" s="72">
        <f t="shared" si="12"/>
        <v>0.60000000000002274</v>
      </c>
      <c r="AD35" s="72">
        <f t="shared" si="13"/>
        <v>2.0999999999999908</v>
      </c>
      <c r="AE35" s="72">
        <f t="shared" si="14"/>
        <v>2.0999999999999908</v>
      </c>
      <c r="AF35" s="72">
        <f t="shared" si="15"/>
        <v>2.8999999999999915</v>
      </c>
      <c r="AG35" s="72">
        <f t="shared" si="16"/>
        <v>2.0999999999999908</v>
      </c>
      <c r="AH35" s="196">
        <f t="shared" si="17"/>
        <v>1.7000000000000348</v>
      </c>
      <c r="AI35" s="196">
        <f t="shared" si="18"/>
        <v>1.2999999999999901</v>
      </c>
      <c r="AJ35" s="72">
        <f t="shared" si="19"/>
        <v>0.80000000000000071</v>
      </c>
      <c r="AK35" s="72">
        <f t="shared" si="20"/>
        <v>1.1999999999999567</v>
      </c>
      <c r="AM35" s="35"/>
      <c r="AN35" s="35"/>
    </row>
    <row r="36" spans="1:40" x14ac:dyDescent="0.3">
      <c r="A36" s="35">
        <v>45898</v>
      </c>
      <c r="B36" s="847" t="s">
        <v>883</v>
      </c>
      <c r="C36">
        <v>3.55</v>
      </c>
      <c r="E36">
        <f t="shared" si="1"/>
        <v>1</v>
      </c>
      <c r="F36" s="11">
        <v>34</v>
      </c>
      <c r="G36" s="179">
        <v>46205</v>
      </c>
      <c r="H36" s="847">
        <v>4.399</v>
      </c>
      <c r="I36" s="847">
        <v>4.5739999999999998</v>
      </c>
      <c r="J36" s="847">
        <v>3.3959999999999999</v>
      </c>
      <c r="K36" s="847">
        <v>4.641</v>
      </c>
      <c r="L36" s="847">
        <v>3.5</v>
      </c>
      <c r="M36" s="847">
        <v>4.7119999999999997</v>
      </c>
      <c r="N36" s="847">
        <v>3.5710000000000002</v>
      </c>
      <c r="O36" s="847">
        <v>3.8839999999999999</v>
      </c>
      <c r="P36" s="847">
        <v>4.1970000000000001</v>
      </c>
      <c r="Q36" s="847">
        <v>4.258</v>
      </c>
      <c r="R36" s="321">
        <f t="shared" si="2"/>
        <v>0</v>
      </c>
      <c r="S36" s="72">
        <f t="shared" si="3"/>
        <v>0</v>
      </c>
      <c r="T36" s="72">
        <f t="shared" si="4"/>
        <v>0</v>
      </c>
      <c r="U36" s="72">
        <f t="shared" si="5"/>
        <v>-0.20000000000002238</v>
      </c>
      <c r="V36" s="72">
        <f t="shared" si="6"/>
        <v>-0.39999999999995595</v>
      </c>
      <c r="W36" s="72">
        <f t="shared" si="7"/>
        <v>-0.30000000000001137</v>
      </c>
      <c r="X36" s="196">
        <f t="shared" si="8"/>
        <v>0.1000000000000334</v>
      </c>
      <c r="Y36" s="196">
        <f t="shared" si="9"/>
        <v>0</v>
      </c>
      <c r="Z36" s="72">
        <f t="shared" si="10"/>
        <v>0</v>
      </c>
      <c r="AA36" s="72">
        <f t="shared" si="11"/>
        <v>0</v>
      </c>
      <c r="AB36" s="321">
        <f t="shared" si="21"/>
        <v>1.4000000000000234</v>
      </c>
      <c r="AC36" s="72">
        <f t="shared" si="12"/>
        <v>1.4000000000000234</v>
      </c>
      <c r="AD36" s="72">
        <f t="shared" si="13"/>
        <v>2.4999999999999911</v>
      </c>
      <c r="AE36" s="72">
        <f t="shared" si="14"/>
        <v>3.3000000000000362</v>
      </c>
      <c r="AF36" s="72">
        <f t="shared" si="15"/>
        <v>3.2999999999999918</v>
      </c>
      <c r="AG36" s="72">
        <f t="shared" si="16"/>
        <v>2.8999999999999915</v>
      </c>
      <c r="AH36" s="196">
        <f t="shared" si="17"/>
        <v>2.1000000000000352</v>
      </c>
      <c r="AI36" s="196">
        <f t="shared" si="18"/>
        <v>1.7999999999999794</v>
      </c>
      <c r="AJ36" s="72">
        <f t="shared" si="19"/>
        <v>1.499999999999968</v>
      </c>
      <c r="AK36" s="72">
        <f t="shared" si="20"/>
        <v>2.2999999999999687</v>
      </c>
      <c r="AM36" s="35"/>
      <c r="AN36" s="35"/>
    </row>
    <row r="37" spans="1:40" x14ac:dyDescent="0.3">
      <c r="A37" s="35">
        <v>45903</v>
      </c>
      <c r="B37" s="847" t="s">
        <v>883</v>
      </c>
      <c r="C37">
        <v>3.548</v>
      </c>
      <c r="E37">
        <f t="shared" si="1"/>
        <v>1</v>
      </c>
      <c r="F37" s="11">
        <v>35</v>
      </c>
      <c r="G37" s="179">
        <v>46204</v>
      </c>
      <c r="H37" s="847">
        <v>4.3979999999999997</v>
      </c>
      <c r="I37" s="847">
        <v>4.5739999999999998</v>
      </c>
      <c r="J37" s="847">
        <v>3.3959999999999999</v>
      </c>
      <c r="K37" s="847">
        <v>4.641</v>
      </c>
      <c r="L37" s="847">
        <v>3.5</v>
      </c>
      <c r="M37" s="847">
        <v>4.7119999999999997</v>
      </c>
      <c r="N37" s="847">
        <v>3.5710000000000002</v>
      </c>
      <c r="O37" s="847">
        <v>3.8860000000000001</v>
      </c>
      <c r="P37" s="847">
        <v>4.2009999999999996</v>
      </c>
      <c r="Q37" s="847">
        <v>4.2610000000000001</v>
      </c>
      <c r="R37" s="321">
        <f t="shared" si="2"/>
        <v>0</v>
      </c>
      <c r="S37" s="72">
        <f t="shared" si="3"/>
        <v>0</v>
      </c>
      <c r="T37" s="72">
        <f t="shared" si="4"/>
        <v>0</v>
      </c>
      <c r="U37" s="72">
        <f t="shared" si="5"/>
        <v>0.20000000000002238</v>
      </c>
      <c r="V37" s="72">
        <f t="shared" si="6"/>
        <v>0.29999999999992255</v>
      </c>
      <c r="W37" s="72">
        <f t="shared" si="7"/>
        <v>0.49999999999998934</v>
      </c>
      <c r="X37" s="196">
        <f t="shared" si="8"/>
        <v>0.30000000000001137</v>
      </c>
      <c r="Y37" s="196">
        <f t="shared" si="9"/>
        <v>0.49999999999998934</v>
      </c>
      <c r="Z37" s="72">
        <f t="shared" si="10"/>
        <v>0.40000000000004476</v>
      </c>
      <c r="AA37" s="72">
        <f t="shared" si="11"/>
        <v>0.19999999999997797</v>
      </c>
      <c r="AB37" s="321">
        <f t="shared" si="21"/>
        <v>4.5999999999999375</v>
      </c>
      <c r="AC37" s="72">
        <f t="shared" si="12"/>
        <v>3.0999999999999694</v>
      </c>
      <c r="AD37" s="72">
        <f t="shared" si="13"/>
        <v>3.2999999999999918</v>
      </c>
      <c r="AE37" s="72">
        <f t="shared" si="14"/>
        <v>3.8999999999999702</v>
      </c>
      <c r="AF37" s="72">
        <f t="shared" si="15"/>
        <v>4.1999999999999815</v>
      </c>
      <c r="AG37" s="72">
        <f t="shared" si="16"/>
        <v>3.2999999999999474</v>
      </c>
      <c r="AH37" s="196">
        <f t="shared" si="17"/>
        <v>2.9000000000000359</v>
      </c>
      <c r="AI37" s="196">
        <f t="shared" si="18"/>
        <v>3.8000000000000256</v>
      </c>
      <c r="AJ37" s="72">
        <f t="shared" si="19"/>
        <v>4.6999999999999709</v>
      </c>
      <c r="AK37" s="72">
        <f t="shared" si="20"/>
        <v>6.2000000000000277</v>
      </c>
      <c r="AM37" s="35"/>
      <c r="AN37" s="35"/>
    </row>
    <row r="38" spans="1:40" x14ac:dyDescent="0.3">
      <c r="A38" s="35">
        <v>45904</v>
      </c>
      <c r="B38" s="847" t="s">
        <v>883</v>
      </c>
      <c r="C38">
        <v>3.55</v>
      </c>
      <c r="E38">
        <f t="shared" si="1"/>
        <v>1</v>
      </c>
      <c r="F38" s="11">
        <v>36</v>
      </c>
      <c r="G38" s="179">
        <v>46203</v>
      </c>
      <c r="H38" s="847">
        <v>4.3949999999999996</v>
      </c>
      <c r="I38" s="847">
        <v>4.569</v>
      </c>
      <c r="J38" s="847">
        <v>3.3959999999999999</v>
      </c>
      <c r="K38" s="847">
        <v>4.6369999999999996</v>
      </c>
      <c r="L38" s="847">
        <v>3.5</v>
      </c>
      <c r="M38" s="847">
        <v>4.71</v>
      </c>
      <c r="N38" s="847">
        <v>3.5710000000000002</v>
      </c>
      <c r="O38" s="847">
        <v>3.8839999999999999</v>
      </c>
      <c r="P38" s="847">
        <v>4.1980000000000004</v>
      </c>
      <c r="Q38" s="847">
        <v>4.2560000000000002</v>
      </c>
      <c r="R38" s="321">
        <f t="shared" si="2"/>
        <v>0.40000000000000036</v>
      </c>
      <c r="S38" s="72">
        <f t="shared" si="3"/>
        <v>0.40000000000000036</v>
      </c>
      <c r="T38" s="72">
        <f t="shared" si="4"/>
        <v>0.40000000000000036</v>
      </c>
      <c r="U38" s="72">
        <f t="shared" si="5"/>
        <v>0.40000000000000036</v>
      </c>
      <c r="V38" s="72">
        <f t="shared" si="6"/>
        <v>0.50000000000007816</v>
      </c>
      <c r="W38" s="72">
        <f t="shared" si="7"/>
        <v>0.90000000000003411</v>
      </c>
      <c r="X38" s="196">
        <f t="shared" si="8"/>
        <v>-0.40000000000004476</v>
      </c>
      <c r="Y38" s="196">
        <f t="shared" si="9"/>
        <v>-0.69999999999996732</v>
      </c>
      <c r="Z38" s="72">
        <f t="shared" si="10"/>
        <v>1.699999999999946</v>
      </c>
      <c r="AA38" s="72">
        <f t="shared" si="11"/>
        <v>1.9000000000000128</v>
      </c>
      <c r="AB38" s="321">
        <f t="shared" si="21"/>
        <v>4.4999999999999929</v>
      </c>
      <c r="AC38" s="72">
        <f t="shared" si="12"/>
        <v>2.5999999999999801</v>
      </c>
      <c r="AD38" s="72">
        <f t="shared" si="13"/>
        <v>3.2999999999999918</v>
      </c>
      <c r="AE38" s="72">
        <f t="shared" si="14"/>
        <v>5.5999999999999162</v>
      </c>
      <c r="AF38" s="72">
        <f t="shared" si="15"/>
        <v>4.9999999999999822</v>
      </c>
      <c r="AG38" s="72">
        <f t="shared" si="16"/>
        <v>5.1999999999999602</v>
      </c>
      <c r="AH38" s="196">
        <f t="shared" si="17"/>
        <v>2.9000000000000359</v>
      </c>
      <c r="AI38" s="196">
        <f t="shared" si="18"/>
        <v>3.6000000000000032</v>
      </c>
      <c r="AJ38" s="72">
        <f t="shared" si="19"/>
        <v>4.4000000000000483</v>
      </c>
      <c r="AK38" s="72">
        <f t="shared" si="20"/>
        <v>5.7000000000000384</v>
      </c>
      <c r="AM38" s="35"/>
      <c r="AN38" s="35"/>
    </row>
    <row r="39" spans="1:40" x14ac:dyDescent="0.3">
      <c r="A39" s="35">
        <v>45905</v>
      </c>
      <c r="B39" s="847" t="s">
        <v>883</v>
      </c>
      <c r="C39">
        <v>3.5379999999999998</v>
      </c>
      <c r="E39">
        <f t="shared" si="1"/>
        <v>3</v>
      </c>
      <c r="F39" s="11">
        <v>37</v>
      </c>
      <c r="G39" s="179">
        <v>46202</v>
      </c>
      <c r="H39" s="847">
        <v>4.399</v>
      </c>
      <c r="I39" s="847">
        <v>4.5759999999999996</v>
      </c>
      <c r="J39" s="847">
        <v>3.3919999999999999</v>
      </c>
      <c r="K39" s="847">
        <v>4.62</v>
      </c>
      <c r="L39" s="847">
        <v>3.496</v>
      </c>
      <c r="M39" s="847">
        <v>4.6909999999999998</v>
      </c>
      <c r="N39" s="847">
        <v>3.5670000000000002</v>
      </c>
      <c r="O39" s="847">
        <v>3.88</v>
      </c>
      <c r="P39" s="847">
        <v>4.1929999999999996</v>
      </c>
      <c r="Q39" s="847">
        <v>4.2469999999999999</v>
      </c>
      <c r="R39" s="321">
        <f t="shared" si="2"/>
        <v>0</v>
      </c>
      <c r="S39" s="72">
        <f t="shared" si="3"/>
        <v>0</v>
      </c>
      <c r="T39" s="72">
        <f t="shared" si="4"/>
        <v>0</v>
      </c>
      <c r="U39" s="72">
        <f t="shared" si="5"/>
        <v>9.9999999999988987E-2</v>
      </c>
      <c r="V39" s="72">
        <f t="shared" si="6"/>
        <v>9.9999999999944578E-2</v>
      </c>
      <c r="W39" s="72">
        <f t="shared" si="7"/>
        <v>0</v>
      </c>
      <c r="X39" s="196">
        <f t="shared" si="8"/>
        <v>0.30000000000001137</v>
      </c>
      <c r="Y39" s="196">
        <f t="shared" si="9"/>
        <v>0.49999999999998934</v>
      </c>
      <c r="Z39" s="72">
        <f t="shared" si="10"/>
        <v>0</v>
      </c>
      <c r="AA39" s="72">
        <f t="shared" si="11"/>
        <v>0</v>
      </c>
      <c r="AB39" s="321">
        <f t="shared" si="21"/>
        <v>4.9000000000000377</v>
      </c>
      <c r="AC39" s="72">
        <f t="shared" si="12"/>
        <v>3.2999999999999474</v>
      </c>
      <c r="AD39" s="72">
        <f t="shared" si="13"/>
        <v>2.8999999999999915</v>
      </c>
      <c r="AE39" s="72">
        <f t="shared" si="14"/>
        <v>2.5999999999999801</v>
      </c>
      <c r="AF39" s="72">
        <f t="shared" si="15"/>
        <v>3.7999999999999812</v>
      </c>
      <c r="AG39" s="72">
        <f t="shared" si="16"/>
        <v>1.9999999999999574</v>
      </c>
      <c r="AH39" s="196">
        <f t="shared" si="17"/>
        <v>2.5000000000000355</v>
      </c>
      <c r="AI39" s="196">
        <f t="shared" si="18"/>
        <v>3.6000000000000032</v>
      </c>
      <c r="AJ39" s="72">
        <f t="shared" si="19"/>
        <v>4.6999999999999709</v>
      </c>
      <c r="AK39" s="72">
        <f t="shared" si="20"/>
        <v>5.400000000000027</v>
      </c>
      <c r="AM39" s="35"/>
      <c r="AN39" s="35"/>
    </row>
    <row r="40" spans="1:40" x14ac:dyDescent="0.3">
      <c r="A40" s="35">
        <v>45908</v>
      </c>
      <c r="B40" s="847" t="s">
        <v>883</v>
      </c>
      <c r="C40">
        <v>3.54</v>
      </c>
      <c r="E40">
        <f t="shared" si="1"/>
        <v>1</v>
      </c>
      <c r="F40" s="11">
        <v>38</v>
      </c>
      <c r="G40" s="179">
        <v>46199</v>
      </c>
      <c r="H40" s="847">
        <v>4.3959999999999999</v>
      </c>
      <c r="I40" s="847">
        <v>4.5709999999999997</v>
      </c>
      <c r="J40" s="847">
        <v>3.3919999999999999</v>
      </c>
      <c r="K40" s="847">
        <v>4.62</v>
      </c>
      <c r="L40" s="847">
        <v>3.496</v>
      </c>
      <c r="M40" s="847">
        <v>4.6909999999999998</v>
      </c>
      <c r="N40" s="847">
        <v>3.5670000000000002</v>
      </c>
      <c r="O40" s="847">
        <v>3.879</v>
      </c>
      <c r="P40" s="847">
        <v>4.1920000000000002</v>
      </c>
      <c r="Q40" s="847">
        <v>4.2469999999999999</v>
      </c>
      <c r="R40" s="321">
        <f t="shared" si="2"/>
        <v>1.6999999999999904</v>
      </c>
      <c r="S40" s="72">
        <f t="shared" si="3"/>
        <v>2.4999999999999911</v>
      </c>
      <c r="T40" s="72">
        <f t="shared" si="4"/>
        <v>1.3000000000000345</v>
      </c>
      <c r="U40" s="72">
        <f t="shared" si="5"/>
        <v>0.8999999999999897</v>
      </c>
      <c r="V40" s="72">
        <f t="shared" si="6"/>
        <v>0.70000000000005613</v>
      </c>
      <c r="W40" s="72">
        <f t="shared" si="7"/>
        <v>9.9999999999944578E-2</v>
      </c>
      <c r="X40" s="196">
        <f t="shared" si="8"/>
        <v>-0.1000000000000334</v>
      </c>
      <c r="Y40" s="196">
        <f t="shared" si="9"/>
        <v>-0.20000000000006679</v>
      </c>
      <c r="Z40" s="72">
        <f t="shared" si="10"/>
        <v>0</v>
      </c>
      <c r="AA40" s="72">
        <f t="shared" si="11"/>
        <v>0</v>
      </c>
      <c r="AB40" s="321">
        <f t="shared" si="21"/>
        <v>4.8999999999999488</v>
      </c>
      <c r="AC40" s="72">
        <f t="shared" si="12"/>
        <v>2.8999999999999915</v>
      </c>
      <c r="AD40" s="72">
        <f t="shared" si="13"/>
        <v>2.8999999999999915</v>
      </c>
      <c r="AE40" s="72">
        <f t="shared" si="14"/>
        <v>2.5999999999999801</v>
      </c>
      <c r="AF40" s="72">
        <f t="shared" si="15"/>
        <v>3.7999999999999812</v>
      </c>
      <c r="AG40" s="72">
        <f t="shared" si="16"/>
        <v>1.9999999999999574</v>
      </c>
      <c r="AH40" s="196">
        <f t="shared" si="17"/>
        <v>2.5000000000000355</v>
      </c>
      <c r="AI40" s="196">
        <f t="shared" si="18"/>
        <v>3.5000000000000142</v>
      </c>
      <c r="AJ40" s="72">
        <f t="shared" si="19"/>
        <v>4.6000000000000263</v>
      </c>
      <c r="AK40" s="72">
        <f t="shared" si="20"/>
        <v>5.400000000000027</v>
      </c>
      <c r="AM40" s="35"/>
      <c r="AN40" s="35"/>
    </row>
    <row r="41" spans="1:40" x14ac:dyDescent="0.3">
      <c r="A41" s="35">
        <v>45909</v>
      </c>
      <c r="B41" s="847" t="s">
        <v>883</v>
      </c>
      <c r="C41">
        <v>3.5419999999999998</v>
      </c>
      <c r="E41">
        <f t="shared" si="1"/>
        <v>1</v>
      </c>
      <c r="F41" s="11">
        <v>39</v>
      </c>
      <c r="G41" s="179">
        <v>46198</v>
      </c>
      <c r="H41" s="847">
        <v>4.3970000000000002</v>
      </c>
      <c r="I41" s="847">
        <v>4.5730000000000004</v>
      </c>
      <c r="J41" s="847">
        <v>3.375</v>
      </c>
      <c r="K41" s="847">
        <v>4.62</v>
      </c>
      <c r="L41" s="847">
        <v>3.4710000000000001</v>
      </c>
      <c r="M41" s="847">
        <v>4.6909999999999998</v>
      </c>
      <c r="N41" s="847">
        <v>3.5539999999999998</v>
      </c>
      <c r="O41" s="847">
        <v>3.87</v>
      </c>
      <c r="P41" s="847">
        <v>4.1849999999999996</v>
      </c>
      <c r="Q41" s="847">
        <v>4.2460000000000004</v>
      </c>
      <c r="R41" s="321">
        <f t="shared" si="2"/>
        <v>0</v>
      </c>
      <c r="S41" s="72">
        <f t="shared" si="3"/>
        <v>0</v>
      </c>
      <c r="T41" s="72">
        <f t="shared" si="4"/>
        <v>0</v>
      </c>
      <c r="U41" s="72">
        <f t="shared" si="5"/>
        <v>0</v>
      </c>
      <c r="V41" s="72">
        <f t="shared" si="6"/>
        <v>0</v>
      </c>
      <c r="W41" s="72">
        <f t="shared" si="7"/>
        <v>0</v>
      </c>
      <c r="X41" s="196">
        <f t="shared" si="8"/>
        <v>0.1000000000000334</v>
      </c>
      <c r="Y41" s="196">
        <f t="shared" si="9"/>
        <v>0.20000000000006679</v>
      </c>
      <c r="Z41" s="72">
        <f t="shared" si="10"/>
        <v>0</v>
      </c>
      <c r="AA41" s="72">
        <f t="shared" si="11"/>
        <v>0</v>
      </c>
      <c r="AB41" s="321">
        <f t="shared" si="21"/>
        <v>4.9999999999999822</v>
      </c>
      <c r="AC41" s="72">
        <f t="shared" si="12"/>
        <v>3.4000000000000696</v>
      </c>
      <c r="AD41" s="72">
        <f t="shared" si="13"/>
        <v>1.6999999999999904</v>
      </c>
      <c r="AE41" s="72">
        <f t="shared" si="14"/>
        <v>3.0000000000000249</v>
      </c>
      <c r="AF41" s="72">
        <f t="shared" si="15"/>
        <v>1.6999999999999904</v>
      </c>
      <c r="AG41" s="72">
        <f t="shared" si="16"/>
        <v>3.6999999999999922</v>
      </c>
      <c r="AH41" s="196">
        <f t="shared" si="17"/>
        <v>1.6000000000000014</v>
      </c>
      <c r="AI41" s="196">
        <f t="shared" si="18"/>
        <v>2.8000000000000025</v>
      </c>
      <c r="AJ41" s="72">
        <f t="shared" si="19"/>
        <v>3.8999999999999702</v>
      </c>
      <c r="AK41" s="72">
        <f t="shared" si="20"/>
        <v>5.3000000000000824</v>
      </c>
      <c r="AM41" s="35"/>
      <c r="AN41" s="35"/>
    </row>
    <row r="42" spans="1:40" x14ac:dyDescent="0.3">
      <c r="A42" s="35">
        <v>45910</v>
      </c>
      <c r="B42" s="847" t="s">
        <v>883</v>
      </c>
      <c r="C42">
        <v>3.544</v>
      </c>
      <c r="E42">
        <f t="shared" si="1"/>
        <v>1</v>
      </c>
      <c r="F42" s="11">
        <v>40</v>
      </c>
      <c r="G42" s="179">
        <v>46197</v>
      </c>
      <c r="H42" s="847">
        <v>4.3959999999999999</v>
      </c>
      <c r="I42" s="847">
        <v>4.5709999999999997</v>
      </c>
      <c r="J42" s="847">
        <v>3.375</v>
      </c>
      <c r="K42" s="847">
        <v>4.62</v>
      </c>
      <c r="L42" s="847">
        <v>3.4710000000000001</v>
      </c>
      <c r="M42" s="847">
        <v>4.6909999999999998</v>
      </c>
      <c r="N42" s="847">
        <v>3.5539999999999998</v>
      </c>
      <c r="O42" s="847">
        <v>3.87</v>
      </c>
      <c r="P42" s="847">
        <v>4.1849999999999996</v>
      </c>
      <c r="Q42" s="847">
        <v>4.2460000000000004</v>
      </c>
      <c r="R42" s="321">
        <f t="shared" si="2"/>
        <v>0</v>
      </c>
      <c r="S42" s="72">
        <f t="shared" si="3"/>
        <v>0</v>
      </c>
      <c r="T42" s="72">
        <f t="shared" si="4"/>
        <v>0</v>
      </c>
      <c r="U42" s="72">
        <f t="shared" si="5"/>
        <v>0</v>
      </c>
      <c r="V42" s="72">
        <f t="shared" si="6"/>
        <v>0</v>
      </c>
      <c r="W42" s="72">
        <f t="shared" si="7"/>
        <v>0</v>
      </c>
      <c r="X42" s="196">
        <f t="shared" si="8"/>
        <v>0.19999999999997797</v>
      </c>
      <c r="Y42" s="196">
        <f t="shared" si="9"/>
        <v>0.39999999999995595</v>
      </c>
      <c r="Z42" s="72">
        <f t="shared" si="10"/>
        <v>0</v>
      </c>
      <c r="AA42" s="72">
        <f t="shared" si="11"/>
        <v>0</v>
      </c>
      <c r="AB42" s="321">
        <f t="shared" si="21"/>
        <v>5.600000000000005</v>
      </c>
      <c r="AC42" s="72">
        <f t="shared" si="12"/>
        <v>3.2999999999999474</v>
      </c>
      <c r="AD42" s="72">
        <f t="shared" si="13"/>
        <v>2.8999999999999915</v>
      </c>
      <c r="AE42" s="72">
        <f t="shared" si="14"/>
        <v>3.6000000000000476</v>
      </c>
      <c r="AF42" s="72">
        <f t="shared" si="15"/>
        <v>2.8999999999999915</v>
      </c>
      <c r="AG42" s="72">
        <f t="shared" si="16"/>
        <v>4.6000000000000263</v>
      </c>
      <c r="AH42" s="196">
        <f t="shared" si="17"/>
        <v>2.8999999999999915</v>
      </c>
      <c r="AI42" s="196">
        <f t="shared" si="18"/>
        <v>4.3000000000000149</v>
      </c>
      <c r="AJ42" s="72">
        <f t="shared" si="19"/>
        <v>5.600000000000005</v>
      </c>
      <c r="AK42" s="72">
        <f t="shared" si="20"/>
        <v>6.7000000000000171</v>
      </c>
      <c r="AM42" s="35"/>
      <c r="AN42" s="35"/>
    </row>
    <row r="43" spans="1:40" x14ac:dyDescent="0.3">
      <c r="A43" s="35">
        <v>45911</v>
      </c>
      <c r="B43" s="847" t="s">
        <v>883</v>
      </c>
      <c r="C43">
        <v>3.5590000000000002</v>
      </c>
      <c r="E43">
        <f t="shared" si="1"/>
        <v>1</v>
      </c>
      <c r="F43" s="11">
        <v>41</v>
      </c>
      <c r="G43" s="179">
        <v>46196</v>
      </c>
      <c r="H43" s="847">
        <v>4.3940000000000001</v>
      </c>
      <c r="I43" s="847">
        <v>4.5670000000000002</v>
      </c>
      <c r="J43" s="847">
        <v>3.375</v>
      </c>
      <c r="K43" s="847">
        <v>4.62</v>
      </c>
      <c r="L43" s="847">
        <v>3.4710000000000001</v>
      </c>
      <c r="M43" s="847">
        <v>4.6909999999999998</v>
      </c>
      <c r="N43" s="847">
        <v>3.5539999999999998</v>
      </c>
      <c r="O43" s="847">
        <v>3.87</v>
      </c>
      <c r="P43" s="847">
        <v>4.1849999999999996</v>
      </c>
      <c r="Q43" s="847">
        <v>4.2460000000000004</v>
      </c>
      <c r="R43" s="321">
        <f t="shared" si="2"/>
        <v>0</v>
      </c>
      <c r="S43" s="72">
        <f t="shared" si="3"/>
        <v>0</v>
      </c>
      <c r="T43" s="72">
        <f t="shared" si="4"/>
        <v>0</v>
      </c>
      <c r="U43" s="72">
        <f t="shared" si="5"/>
        <v>0.40000000000000036</v>
      </c>
      <c r="V43" s="72">
        <f t="shared" si="6"/>
        <v>0.69999999999996732</v>
      </c>
      <c r="W43" s="72">
        <f t="shared" si="7"/>
        <v>0</v>
      </c>
      <c r="X43" s="196">
        <f t="shared" si="8"/>
        <v>-0.30000000000001137</v>
      </c>
      <c r="Y43" s="196">
        <f t="shared" si="9"/>
        <v>-0.19999999999997797</v>
      </c>
      <c r="Z43" s="72">
        <f t="shared" si="10"/>
        <v>0</v>
      </c>
      <c r="AA43" s="72">
        <f t="shared" si="11"/>
        <v>0</v>
      </c>
      <c r="AB43" s="321">
        <f t="shared" si="21"/>
        <v>5.4999999999999716</v>
      </c>
      <c r="AC43" s="72">
        <f t="shared" si="12"/>
        <v>4.4000000000000483</v>
      </c>
      <c r="AD43" s="72">
        <f t="shared" si="13"/>
        <v>3.1000000000000139</v>
      </c>
      <c r="AE43" s="72">
        <f t="shared" si="14"/>
        <v>3.5000000000000142</v>
      </c>
      <c r="AF43" s="72">
        <f t="shared" si="15"/>
        <v>3.1000000000000139</v>
      </c>
      <c r="AG43" s="72">
        <f t="shared" si="16"/>
        <v>4.4999999999999929</v>
      </c>
      <c r="AH43" s="196">
        <f t="shared" si="17"/>
        <v>3.0999999999999694</v>
      </c>
      <c r="AI43" s="196">
        <f t="shared" si="18"/>
        <v>4.4000000000000039</v>
      </c>
      <c r="AJ43" s="72">
        <f t="shared" si="19"/>
        <v>5.600000000000005</v>
      </c>
      <c r="AK43" s="72">
        <f t="shared" si="20"/>
        <v>7.2000000000000064</v>
      </c>
      <c r="AM43" s="35"/>
      <c r="AN43" s="35"/>
    </row>
    <row r="44" spans="1:40" x14ac:dyDescent="0.3">
      <c r="A44" s="35">
        <v>45912</v>
      </c>
      <c r="B44" s="847" t="s">
        <v>883</v>
      </c>
      <c r="C44">
        <v>3.5640000000000001</v>
      </c>
      <c r="E44">
        <f t="shared" si="1"/>
        <v>3</v>
      </c>
      <c r="F44" s="11">
        <v>42</v>
      </c>
      <c r="G44" s="179">
        <v>46195</v>
      </c>
      <c r="H44" s="847">
        <v>4.3970000000000002</v>
      </c>
      <c r="I44" s="847">
        <v>4.569</v>
      </c>
      <c r="J44" s="847">
        <v>3.375</v>
      </c>
      <c r="K44" s="847">
        <v>4.62</v>
      </c>
      <c r="L44" s="847">
        <v>3.4710000000000001</v>
      </c>
      <c r="M44" s="847">
        <v>4.6909999999999998</v>
      </c>
      <c r="N44" s="847">
        <v>3.5539999999999998</v>
      </c>
      <c r="O44" s="847">
        <v>3.8660000000000001</v>
      </c>
      <c r="P44" s="847">
        <v>4.1779999999999999</v>
      </c>
      <c r="Q44" s="847">
        <v>4.2460000000000004</v>
      </c>
      <c r="R44" s="321">
        <f t="shared" si="2"/>
        <v>0</v>
      </c>
      <c r="S44" s="72">
        <f t="shared" si="3"/>
        <v>0</v>
      </c>
      <c r="T44" s="72">
        <f t="shared" si="4"/>
        <v>0</v>
      </c>
      <c r="U44" s="72">
        <f t="shared" si="5"/>
        <v>-0.49999999999998934</v>
      </c>
      <c r="V44" s="72">
        <f t="shared" si="6"/>
        <v>-1.1000000000000121</v>
      </c>
      <c r="W44" s="72">
        <f t="shared" si="7"/>
        <v>0</v>
      </c>
      <c r="X44" s="196">
        <f t="shared" si="8"/>
        <v>0.70000000000005613</v>
      </c>
      <c r="Y44" s="196">
        <f t="shared" si="9"/>
        <v>0.30000000000001137</v>
      </c>
      <c r="Z44" s="72">
        <f t="shared" si="10"/>
        <v>0</v>
      </c>
      <c r="AA44" s="72">
        <f t="shared" si="11"/>
        <v>0</v>
      </c>
      <c r="AB44" s="321">
        <f t="shared" si="21"/>
        <v>6.2000000000000277</v>
      </c>
      <c r="AC44" s="72">
        <f t="shared" si="12"/>
        <v>4.9000000000000377</v>
      </c>
      <c r="AD44" s="72">
        <f t="shared" si="13"/>
        <v>3.1000000000000139</v>
      </c>
      <c r="AE44" s="72">
        <f t="shared" si="14"/>
        <v>3.8999999999999702</v>
      </c>
      <c r="AF44" s="72">
        <f t="shared" si="15"/>
        <v>3.1000000000000139</v>
      </c>
      <c r="AG44" s="72">
        <f t="shared" si="16"/>
        <v>4.4999999999999929</v>
      </c>
      <c r="AH44" s="196">
        <f t="shared" si="17"/>
        <v>3.0999999999999694</v>
      </c>
      <c r="AI44" s="196">
        <f t="shared" si="18"/>
        <v>4.0000000000000036</v>
      </c>
      <c r="AJ44" s="72">
        <f t="shared" si="19"/>
        <v>4.9000000000000377</v>
      </c>
      <c r="AK44" s="72">
        <f t="shared" si="20"/>
        <v>7.2000000000000064</v>
      </c>
      <c r="AM44" s="35"/>
      <c r="AN44" s="35"/>
    </row>
    <row r="45" spans="1:40" x14ac:dyDescent="0.3">
      <c r="A45" s="35">
        <v>45915</v>
      </c>
      <c r="B45" s="847" t="s">
        <v>883</v>
      </c>
      <c r="C45">
        <v>3.5590000000000002</v>
      </c>
      <c r="E45">
        <f t="shared" si="1"/>
        <v>1</v>
      </c>
      <c r="F45" s="11">
        <v>43</v>
      </c>
      <c r="G45" s="179">
        <v>46192</v>
      </c>
      <c r="H45" s="847">
        <v>4.3899999999999997</v>
      </c>
      <c r="I45" s="847">
        <v>4.5659999999999998</v>
      </c>
      <c r="J45" s="847">
        <v>3.375</v>
      </c>
      <c r="K45" s="847">
        <v>4.62</v>
      </c>
      <c r="L45" s="847">
        <v>3.4710000000000001</v>
      </c>
      <c r="M45" s="847">
        <v>4.6909999999999998</v>
      </c>
      <c r="N45" s="847">
        <v>3.5539999999999998</v>
      </c>
      <c r="O45" s="847">
        <v>3.871</v>
      </c>
      <c r="P45" s="847">
        <v>4.1890000000000001</v>
      </c>
      <c r="Q45" s="847">
        <v>4.2460000000000004</v>
      </c>
      <c r="R45" s="321">
        <f t="shared" si="2"/>
        <v>0.40000000000000036</v>
      </c>
      <c r="S45" s="72">
        <f t="shared" si="3"/>
        <v>0.40000000000000036</v>
      </c>
      <c r="T45" s="72">
        <f t="shared" si="4"/>
        <v>0.40000000000000036</v>
      </c>
      <c r="U45" s="72">
        <f t="shared" si="5"/>
        <v>0.49999999999998934</v>
      </c>
      <c r="V45" s="72">
        <f t="shared" si="6"/>
        <v>0.69999999999996732</v>
      </c>
      <c r="W45" s="72">
        <f t="shared" si="7"/>
        <v>1.1000000000000121</v>
      </c>
      <c r="X45" s="196">
        <f t="shared" si="8"/>
        <v>0.49999999999998934</v>
      </c>
      <c r="Y45" s="196">
        <f t="shared" si="9"/>
        <v>0.60000000000002274</v>
      </c>
      <c r="Z45" s="72">
        <f t="shared" si="10"/>
        <v>1.2000000000000455</v>
      </c>
      <c r="AA45" s="72">
        <f t="shared" si="11"/>
        <v>0.80000000000000071</v>
      </c>
      <c r="AB45" s="321">
        <f t="shared" si="21"/>
        <v>5.600000000000005</v>
      </c>
      <c r="AC45" s="72">
        <f t="shared" si="12"/>
        <v>4.8999999999999488</v>
      </c>
      <c r="AD45" s="72">
        <f t="shared" si="13"/>
        <v>3.5000000000000142</v>
      </c>
      <c r="AE45" s="72">
        <f t="shared" si="14"/>
        <v>4.3000000000000149</v>
      </c>
      <c r="AF45" s="72">
        <f t="shared" si="15"/>
        <v>3.6000000000000032</v>
      </c>
      <c r="AG45" s="72">
        <f t="shared" si="16"/>
        <v>4.8999999999999488</v>
      </c>
      <c r="AH45" s="196">
        <f t="shared" si="17"/>
        <v>3.4999999999999698</v>
      </c>
      <c r="AI45" s="196">
        <f t="shared" si="18"/>
        <v>4.8000000000000043</v>
      </c>
      <c r="AJ45" s="72">
        <f t="shared" si="19"/>
        <v>6.0999999999999943</v>
      </c>
      <c r="AK45" s="72">
        <f t="shared" si="20"/>
        <v>7.2000000000000064</v>
      </c>
      <c r="AM45" s="35"/>
      <c r="AN45" s="35"/>
    </row>
    <row r="46" spans="1:40" x14ac:dyDescent="0.3">
      <c r="A46" s="35">
        <v>45916</v>
      </c>
      <c r="B46" s="847" t="s">
        <v>883</v>
      </c>
      <c r="C46">
        <v>3.5569999999999999</v>
      </c>
      <c r="E46">
        <f t="shared" si="1"/>
        <v>1</v>
      </c>
      <c r="F46" s="11">
        <v>44</v>
      </c>
      <c r="G46" s="179">
        <v>46191</v>
      </c>
      <c r="H46" s="847">
        <v>4.3849999999999998</v>
      </c>
      <c r="I46" s="847">
        <v>4.5599999999999996</v>
      </c>
      <c r="J46" s="847">
        <v>3.371</v>
      </c>
      <c r="K46" s="847">
        <v>4.6079999999999997</v>
      </c>
      <c r="L46" s="847">
        <v>3.4670000000000001</v>
      </c>
      <c r="M46" s="847">
        <v>4.6829999999999998</v>
      </c>
      <c r="N46" s="847">
        <v>3.55</v>
      </c>
      <c r="O46" s="847">
        <v>3.8660000000000001</v>
      </c>
      <c r="P46" s="847">
        <v>4.1820000000000004</v>
      </c>
      <c r="Q46" s="847">
        <v>4.2350000000000003</v>
      </c>
      <c r="R46" s="321">
        <f t="shared" si="2"/>
        <v>0.80000000000000071</v>
      </c>
      <c r="S46" s="72">
        <f t="shared" si="3"/>
        <v>0.8999999999999897</v>
      </c>
      <c r="T46" s="72">
        <f t="shared" si="4"/>
        <v>0.80000000000000071</v>
      </c>
      <c r="U46" s="72">
        <f t="shared" si="5"/>
        <v>1.8000000000000238</v>
      </c>
      <c r="V46" s="72">
        <f t="shared" si="6"/>
        <v>2.8000000000000469</v>
      </c>
      <c r="W46" s="72">
        <f t="shared" si="7"/>
        <v>3.6000000000000476</v>
      </c>
      <c r="X46" s="196">
        <f t="shared" si="8"/>
        <v>3.2999999999999474</v>
      </c>
      <c r="Y46" s="196">
        <f t="shared" si="9"/>
        <v>1.699999999999946</v>
      </c>
      <c r="Z46" s="72">
        <f t="shared" si="10"/>
        <v>0.59999999999993392</v>
      </c>
      <c r="AA46" s="72">
        <f t="shared" si="11"/>
        <v>0.39999999999995595</v>
      </c>
      <c r="AB46" s="321">
        <f t="shared" si="21"/>
        <v>5.1000000000000156</v>
      </c>
      <c r="AC46" s="72">
        <f t="shared" si="12"/>
        <v>4.2999999999999261</v>
      </c>
      <c r="AD46" s="72">
        <f t="shared" si="13"/>
        <v>3.6000000000000032</v>
      </c>
      <c r="AE46" s="72">
        <f t="shared" si="14"/>
        <v>3.0999999999999694</v>
      </c>
      <c r="AF46" s="72">
        <f t="shared" si="15"/>
        <v>3.6000000000000032</v>
      </c>
      <c r="AG46" s="72">
        <f t="shared" si="16"/>
        <v>4.0999999999999481</v>
      </c>
      <c r="AH46" s="196">
        <f t="shared" si="17"/>
        <v>3.4999999999999698</v>
      </c>
      <c r="AI46" s="196">
        <f t="shared" si="18"/>
        <v>4.4999999999999929</v>
      </c>
      <c r="AJ46" s="72">
        <f t="shared" si="19"/>
        <v>5.400000000000027</v>
      </c>
      <c r="AK46" s="72">
        <f t="shared" si="20"/>
        <v>6.0999999999999943</v>
      </c>
      <c r="AM46" s="35"/>
      <c r="AN46" s="35"/>
    </row>
    <row r="47" spans="1:40" x14ac:dyDescent="0.3">
      <c r="A47" s="35">
        <v>45917</v>
      </c>
      <c r="B47" s="847" t="s">
        <v>883</v>
      </c>
      <c r="C47">
        <v>3.5579999999999998</v>
      </c>
      <c r="E47">
        <f t="shared" si="1"/>
        <v>1</v>
      </c>
      <c r="F47" s="11">
        <v>45</v>
      </c>
      <c r="G47" s="179">
        <v>46190</v>
      </c>
      <c r="H47" s="847">
        <v>4.3520000000000003</v>
      </c>
      <c r="I47" s="847">
        <v>4.5430000000000001</v>
      </c>
      <c r="J47" s="847">
        <v>3.363</v>
      </c>
      <c r="K47" s="847">
        <v>4.6020000000000003</v>
      </c>
      <c r="L47" s="847">
        <v>3.4580000000000002</v>
      </c>
      <c r="M47" s="847">
        <v>4.6790000000000003</v>
      </c>
      <c r="N47" s="847">
        <v>3.5419999999999998</v>
      </c>
      <c r="O47" s="847">
        <v>3.8479999999999999</v>
      </c>
      <c r="P47" s="847">
        <v>4.1539999999999999</v>
      </c>
      <c r="Q47" s="847">
        <v>4.1989999999999998</v>
      </c>
      <c r="R47" s="321">
        <f t="shared" si="2"/>
        <v>0</v>
      </c>
      <c r="S47" s="72">
        <f t="shared" si="3"/>
        <v>0.80000000000000071</v>
      </c>
      <c r="T47" s="72">
        <f t="shared" si="4"/>
        <v>0</v>
      </c>
      <c r="U47" s="72">
        <f t="shared" si="5"/>
        <v>0</v>
      </c>
      <c r="V47" s="72">
        <f t="shared" si="6"/>
        <v>0</v>
      </c>
      <c r="W47" s="72">
        <f t="shared" si="7"/>
        <v>0</v>
      </c>
      <c r="X47" s="196">
        <f t="shared" si="8"/>
        <v>0.20000000000006679</v>
      </c>
      <c r="Y47" s="196">
        <f t="shared" si="9"/>
        <v>0</v>
      </c>
      <c r="Z47" s="72">
        <f t="shared" si="10"/>
        <v>2.0999999999999908</v>
      </c>
      <c r="AA47" s="72">
        <f t="shared" si="11"/>
        <v>2.0999999999999908</v>
      </c>
      <c r="AB47" s="321">
        <f t="shared" si="21"/>
        <v>2.3000000000000576</v>
      </c>
      <c r="AC47" s="72">
        <f t="shared" si="12"/>
        <v>3.8000000000000256</v>
      </c>
      <c r="AD47" s="72">
        <f t="shared" si="13"/>
        <v>3.6000000000000032</v>
      </c>
      <c r="AE47" s="72">
        <f t="shared" si="14"/>
        <v>2.5000000000000355</v>
      </c>
      <c r="AF47" s="72">
        <f t="shared" si="15"/>
        <v>3.5000000000000142</v>
      </c>
      <c r="AG47" s="72">
        <f t="shared" si="16"/>
        <v>3.6999999999999922</v>
      </c>
      <c r="AH47" s="196">
        <f t="shared" si="17"/>
        <v>3.6000000000000032</v>
      </c>
      <c r="AI47" s="196">
        <f t="shared" si="18"/>
        <v>3.2000000000000028</v>
      </c>
      <c r="AJ47" s="72">
        <f t="shared" si="19"/>
        <v>2.8999999999999915</v>
      </c>
      <c r="AK47" s="72">
        <f t="shared" si="20"/>
        <v>2.7000000000000135</v>
      </c>
      <c r="AM47" s="35"/>
      <c r="AN47" s="35"/>
    </row>
    <row r="48" spans="1:40" x14ac:dyDescent="0.3">
      <c r="A48" s="35">
        <v>45918</v>
      </c>
      <c r="B48" s="847" t="s">
        <v>883</v>
      </c>
      <c r="C48">
        <v>3.569</v>
      </c>
      <c r="E48">
        <f t="shared" si="1"/>
        <v>1</v>
      </c>
      <c r="F48" s="11">
        <v>46</v>
      </c>
      <c r="G48" s="179">
        <v>46189</v>
      </c>
      <c r="H48" s="847">
        <v>4.3499999999999996</v>
      </c>
      <c r="I48" s="847">
        <v>4.5430000000000001</v>
      </c>
      <c r="J48" s="847">
        <v>3.363</v>
      </c>
      <c r="K48" s="847">
        <v>4.5810000000000004</v>
      </c>
      <c r="L48" s="847">
        <v>3.45</v>
      </c>
      <c r="M48" s="847">
        <v>4.6580000000000004</v>
      </c>
      <c r="N48" s="847">
        <v>3.5419999999999998</v>
      </c>
      <c r="O48" s="847">
        <v>3.8479999999999999</v>
      </c>
      <c r="P48" s="847">
        <v>4.1539999999999999</v>
      </c>
      <c r="Q48" s="847">
        <v>4.1989999999999998</v>
      </c>
      <c r="R48" s="321">
        <f t="shared" si="2"/>
        <v>0</v>
      </c>
      <c r="S48" s="72">
        <f t="shared" si="3"/>
        <v>-0.80000000000000071</v>
      </c>
      <c r="T48" s="72">
        <f t="shared" si="4"/>
        <v>0</v>
      </c>
      <c r="U48" s="72">
        <f t="shared" si="5"/>
        <v>0.40000000000000036</v>
      </c>
      <c r="V48" s="72">
        <f t="shared" si="6"/>
        <v>0.80000000000000071</v>
      </c>
      <c r="W48" s="72">
        <f t="shared" si="7"/>
        <v>0.60000000000002274</v>
      </c>
      <c r="X48" s="196">
        <f t="shared" si="8"/>
        <v>0</v>
      </c>
      <c r="Y48" s="196">
        <f t="shared" si="9"/>
        <v>0</v>
      </c>
      <c r="Z48" s="72">
        <f t="shared" si="10"/>
        <v>-1.2999999999999901</v>
      </c>
      <c r="AA48" s="72">
        <f t="shared" si="11"/>
        <v>-1.2999999999999901</v>
      </c>
      <c r="AB48" s="321">
        <f t="shared" si="21"/>
        <v>2.1999999999999353</v>
      </c>
      <c r="AC48" s="72">
        <f t="shared" si="12"/>
        <v>3.8000000000000256</v>
      </c>
      <c r="AD48" s="72">
        <f t="shared" si="13"/>
        <v>5.2999999999999936</v>
      </c>
      <c r="AE48" s="72">
        <f t="shared" si="14"/>
        <v>5.8000000000000718</v>
      </c>
      <c r="AF48" s="72">
        <f t="shared" si="15"/>
        <v>4.4000000000000039</v>
      </c>
      <c r="AG48" s="72">
        <f t="shared" si="16"/>
        <v>7.0000000000000284</v>
      </c>
      <c r="AH48" s="196">
        <f t="shared" si="17"/>
        <v>5.1999999999999602</v>
      </c>
      <c r="AI48" s="196">
        <f t="shared" si="18"/>
        <v>4.0999999999999925</v>
      </c>
      <c r="AJ48" s="72">
        <f t="shared" si="19"/>
        <v>2.8999999999999915</v>
      </c>
      <c r="AK48" s="72">
        <f t="shared" si="20"/>
        <v>2.7000000000000135</v>
      </c>
      <c r="AM48" s="35"/>
      <c r="AN48" s="35"/>
    </row>
    <row r="49" spans="1:40" x14ac:dyDescent="0.3">
      <c r="A49" s="35">
        <v>45919</v>
      </c>
      <c r="B49" s="847" t="s">
        <v>883</v>
      </c>
      <c r="C49">
        <v>3.5720000000000001</v>
      </c>
      <c r="E49">
        <f t="shared" si="1"/>
        <v>3</v>
      </c>
      <c r="F49" s="11">
        <v>47</v>
      </c>
      <c r="G49" s="179">
        <v>46188</v>
      </c>
      <c r="H49" s="847">
        <v>4.3499999999999996</v>
      </c>
      <c r="I49" s="847">
        <v>4.5430000000000001</v>
      </c>
      <c r="J49" s="847">
        <v>3.363</v>
      </c>
      <c r="K49" s="847">
        <v>4.5940000000000003</v>
      </c>
      <c r="L49" s="847">
        <v>3.4580000000000002</v>
      </c>
      <c r="M49" s="847">
        <v>4.6710000000000003</v>
      </c>
      <c r="N49" s="847">
        <v>3.5419999999999998</v>
      </c>
      <c r="O49" s="847">
        <v>3.8439999999999999</v>
      </c>
      <c r="P49" s="847">
        <v>4.1459999999999999</v>
      </c>
      <c r="Q49" s="847">
        <v>4.1929999999999996</v>
      </c>
      <c r="R49" s="321">
        <f t="shared" si="2"/>
        <v>0</v>
      </c>
      <c r="S49" s="72">
        <f t="shared" si="3"/>
        <v>0</v>
      </c>
      <c r="T49" s="72">
        <f t="shared" si="4"/>
        <v>0</v>
      </c>
      <c r="U49" s="72">
        <f t="shared" si="5"/>
        <v>0</v>
      </c>
      <c r="V49" s="72">
        <f t="shared" si="6"/>
        <v>0</v>
      </c>
      <c r="W49" s="72">
        <f t="shared" si="7"/>
        <v>0</v>
      </c>
      <c r="X49" s="196">
        <f t="shared" si="8"/>
        <v>0.29999999999992255</v>
      </c>
      <c r="Y49" s="196">
        <f t="shared" si="9"/>
        <v>0.1000000000000334</v>
      </c>
      <c r="Z49" s="72">
        <f t="shared" si="10"/>
        <v>0</v>
      </c>
      <c r="AA49" s="72">
        <f t="shared" si="11"/>
        <v>0</v>
      </c>
      <c r="AB49" s="321">
        <f t="shared" si="21"/>
        <v>1.9999999999999574</v>
      </c>
      <c r="AC49" s="72">
        <f t="shared" si="12"/>
        <v>3.8000000000000256</v>
      </c>
      <c r="AD49" s="72">
        <f t="shared" si="13"/>
        <v>6.899999999999995</v>
      </c>
      <c r="AE49" s="72">
        <f t="shared" si="14"/>
        <v>9.4000000000000306</v>
      </c>
      <c r="AF49" s="72">
        <f t="shared" si="15"/>
        <v>6.0000000000000053</v>
      </c>
      <c r="AG49" s="72">
        <f t="shared" si="16"/>
        <v>10.000000000000053</v>
      </c>
      <c r="AH49" s="196">
        <f t="shared" si="17"/>
        <v>7.2999999999999954</v>
      </c>
      <c r="AI49" s="196">
        <f t="shared" si="18"/>
        <v>4.8000000000000043</v>
      </c>
      <c r="AJ49" s="72">
        <f t="shared" si="19"/>
        <v>2.2000000000000242</v>
      </c>
      <c r="AK49" s="72">
        <f t="shared" si="20"/>
        <v>2.0999999999999908</v>
      </c>
      <c r="AM49" s="35"/>
      <c r="AN49" s="35"/>
    </row>
    <row r="50" spans="1:40" x14ac:dyDescent="0.3">
      <c r="A50" s="35">
        <v>45922</v>
      </c>
      <c r="B50" s="847" t="s">
        <v>883</v>
      </c>
      <c r="C50">
        <v>3.5779999999999998</v>
      </c>
      <c r="E50">
        <f t="shared" si="1"/>
        <v>1</v>
      </c>
      <c r="F50" s="11">
        <v>48</v>
      </c>
      <c r="G50" s="179">
        <v>46185</v>
      </c>
      <c r="H50" s="847">
        <v>4.3470000000000004</v>
      </c>
      <c r="I50" s="847">
        <v>4.5419999999999998</v>
      </c>
      <c r="J50" s="847">
        <v>3.363</v>
      </c>
      <c r="K50" s="847">
        <v>4.5940000000000003</v>
      </c>
      <c r="L50" s="847">
        <v>3.4580000000000002</v>
      </c>
      <c r="M50" s="847">
        <v>4.6710000000000003</v>
      </c>
      <c r="N50" s="847">
        <v>3.5419999999999998</v>
      </c>
      <c r="O50" s="847">
        <v>3.8439999999999999</v>
      </c>
      <c r="P50" s="847">
        <v>4.1459999999999999</v>
      </c>
      <c r="Q50" s="847">
        <v>4.1929999999999996</v>
      </c>
      <c r="R50" s="321">
        <f t="shared" si="2"/>
        <v>0.49999999999998934</v>
      </c>
      <c r="S50" s="72">
        <f t="shared" si="3"/>
        <v>0.40000000000000036</v>
      </c>
      <c r="T50" s="72">
        <f t="shared" si="4"/>
        <v>0.40000000000000036</v>
      </c>
      <c r="U50" s="72">
        <f t="shared" si="5"/>
        <v>0.19999999999997797</v>
      </c>
      <c r="V50" s="72">
        <f t="shared" si="6"/>
        <v>0</v>
      </c>
      <c r="W50" s="72">
        <f t="shared" si="7"/>
        <v>0</v>
      </c>
      <c r="X50" s="196">
        <f t="shared" si="8"/>
        <v>0</v>
      </c>
      <c r="Y50" s="196">
        <f t="shared" si="9"/>
        <v>0.30000000000001137</v>
      </c>
      <c r="Z50" s="72">
        <f t="shared" si="10"/>
        <v>0.40000000000004476</v>
      </c>
      <c r="AA50" s="72">
        <f t="shared" si="11"/>
        <v>1.7000000000000348</v>
      </c>
      <c r="AB50" s="321">
        <f t="shared" si="21"/>
        <v>2.6000000000000689</v>
      </c>
      <c r="AC50" s="72">
        <f t="shared" si="12"/>
        <v>4.3999999999999595</v>
      </c>
      <c r="AD50" s="72">
        <f t="shared" si="13"/>
        <v>6.899999999999995</v>
      </c>
      <c r="AE50" s="72">
        <f t="shared" si="14"/>
        <v>11.20000000000001</v>
      </c>
      <c r="AF50" s="72">
        <f t="shared" si="15"/>
        <v>6.0000000000000053</v>
      </c>
      <c r="AG50" s="72">
        <f t="shared" si="16"/>
        <v>12.100000000000044</v>
      </c>
      <c r="AH50" s="196">
        <f t="shared" si="17"/>
        <v>7.2999999999999954</v>
      </c>
      <c r="AI50" s="196">
        <f t="shared" si="18"/>
        <v>4.8999999999999932</v>
      </c>
      <c r="AJ50" s="72">
        <f t="shared" si="19"/>
        <v>2.4000000000000021</v>
      </c>
      <c r="AK50" s="72">
        <f t="shared" si="20"/>
        <v>2.0999999999999908</v>
      </c>
      <c r="AM50" s="35"/>
      <c r="AN50" s="35"/>
    </row>
    <row r="51" spans="1:40" x14ac:dyDescent="0.3">
      <c r="A51" s="35">
        <v>45923</v>
      </c>
      <c r="B51" s="847" t="s">
        <v>883</v>
      </c>
      <c r="C51">
        <v>3.5779999999999998</v>
      </c>
      <c r="E51">
        <f t="shared" si="1"/>
        <v>1</v>
      </c>
      <c r="F51" s="11">
        <v>49</v>
      </c>
      <c r="G51" s="179">
        <v>46184</v>
      </c>
      <c r="H51" s="847">
        <v>4.3470000000000004</v>
      </c>
      <c r="I51" s="847">
        <v>4.5389999999999997</v>
      </c>
      <c r="J51" s="847">
        <v>3.3580000000000001</v>
      </c>
      <c r="K51" s="847">
        <v>4.59</v>
      </c>
      <c r="L51" s="847">
        <v>3.4540000000000002</v>
      </c>
      <c r="M51" s="847">
        <v>4.6539999999999999</v>
      </c>
      <c r="N51" s="847">
        <v>3.5379999999999998</v>
      </c>
      <c r="O51" s="847">
        <v>3.8420000000000001</v>
      </c>
      <c r="P51" s="847">
        <v>4.1459999999999999</v>
      </c>
      <c r="Q51" s="847">
        <v>4.1929999999999996</v>
      </c>
      <c r="R51" s="321">
        <f t="shared" si="2"/>
        <v>1.2000000000000011</v>
      </c>
      <c r="S51" s="72">
        <f t="shared" si="3"/>
        <v>1.2000000000000011</v>
      </c>
      <c r="T51" s="72">
        <f t="shared" si="4"/>
        <v>1.2999999999999901</v>
      </c>
      <c r="U51" s="72">
        <f t="shared" si="5"/>
        <v>1.5000000000000124</v>
      </c>
      <c r="V51" s="72">
        <f t="shared" si="6"/>
        <v>1.7000000000000348</v>
      </c>
      <c r="W51" s="72">
        <f t="shared" si="7"/>
        <v>1.3999999999999346</v>
      </c>
      <c r="X51" s="196">
        <f t="shared" si="8"/>
        <v>0.70000000000005613</v>
      </c>
      <c r="Y51" s="196">
        <f t="shared" si="9"/>
        <v>9.9999999999944578E-2</v>
      </c>
      <c r="Z51" s="72">
        <f t="shared" si="10"/>
        <v>0.60000000000002274</v>
      </c>
      <c r="AA51" s="72">
        <f t="shared" si="11"/>
        <v>0.90000000000003411</v>
      </c>
      <c r="AB51" s="321">
        <f t="shared" si="21"/>
        <v>2.1000000000000796</v>
      </c>
      <c r="AC51" s="72">
        <f t="shared" si="12"/>
        <v>3.6999999999999922</v>
      </c>
      <c r="AD51" s="72">
        <f t="shared" si="13"/>
        <v>7.6999999999999957</v>
      </c>
      <c r="AE51" s="72">
        <f t="shared" si="14"/>
        <v>15.200000000000014</v>
      </c>
      <c r="AF51" s="72">
        <f t="shared" si="15"/>
        <v>6.9000000000000394</v>
      </c>
      <c r="AG51" s="72">
        <f t="shared" si="16"/>
        <v>14.900000000000002</v>
      </c>
      <c r="AH51" s="196">
        <f t="shared" si="17"/>
        <v>7.9999999999999627</v>
      </c>
      <c r="AI51" s="196">
        <f t="shared" si="18"/>
        <v>4.8999999999999932</v>
      </c>
      <c r="AJ51" s="72">
        <f t="shared" si="19"/>
        <v>1.7999999999999794</v>
      </c>
      <c r="AK51" s="72">
        <f t="shared" si="20"/>
        <v>3.4999999999999254</v>
      </c>
      <c r="AM51" s="35"/>
      <c r="AN51" s="35"/>
    </row>
    <row r="52" spans="1:40" x14ac:dyDescent="0.3">
      <c r="A52" s="35">
        <v>45924</v>
      </c>
      <c r="B52" s="847" t="s">
        <v>883</v>
      </c>
      <c r="C52">
        <v>3.5779999999999998</v>
      </c>
      <c r="E52">
        <f t="shared" si="1"/>
        <v>1</v>
      </c>
      <c r="F52" s="11">
        <v>50</v>
      </c>
      <c r="G52" s="179">
        <v>46183</v>
      </c>
      <c r="H52" s="847">
        <v>4.34</v>
      </c>
      <c r="I52" s="847">
        <v>4.5380000000000003</v>
      </c>
      <c r="J52" s="847">
        <v>3.3460000000000001</v>
      </c>
      <c r="K52" s="847">
        <v>4.5839999999999996</v>
      </c>
      <c r="L52" s="847">
        <v>3.4420000000000002</v>
      </c>
      <c r="M52" s="847">
        <v>4.6449999999999996</v>
      </c>
      <c r="N52" s="847">
        <v>3.5249999999999999</v>
      </c>
      <c r="O52" s="847">
        <v>3.827</v>
      </c>
      <c r="P52" s="847">
        <v>4.1289999999999996</v>
      </c>
      <c r="Q52" s="847">
        <v>4.1790000000000003</v>
      </c>
      <c r="R52" s="321">
        <f t="shared" si="2"/>
        <v>0.20000000000002238</v>
      </c>
      <c r="S52" s="72">
        <f t="shared" si="3"/>
        <v>0.20000000000002238</v>
      </c>
      <c r="T52" s="72">
        <f t="shared" si="4"/>
        <v>0.19999999999997797</v>
      </c>
      <c r="U52" s="72">
        <f t="shared" si="5"/>
        <v>9.9999999999988987E-2</v>
      </c>
      <c r="V52" s="72">
        <f t="shared" si="6"/>
        <v>0</v>
      </c>
      <c r="W52" s="72">
        <f t="shared" si="7"/>
        <v>0.49999999999998934</v>
      </c>
      <c r="X52" s="196">
        <f t="shared" si="8"/>
        <v>9.9999999999944578E-2</v>
      </c>
      <c r="Y52" s="196">
        <f t="shared" si="9"/>
        <v>1.5000000000000568</v>
      </c>
      <c r="Z52" s="72">
        <f t="shared" si="10"/>
        <v>-0.1000000000000334</v>
      </c>
      <c r="AA52" s="72">
        <f t="shared" si="11"/>
        <v>-0.1000000000000334</v>
      </c>
      <c r="AB52" s="321">
        <f t="shared" si="21"/>
        <v>8.8000000000000078</v>
      </c>
      <c r="AC52" s="72">
        <f t="shared" si="12"/>
        <v>16.100000000000048</v>
      </c>
      <c r="AD52" s="72">
        <f t="shared" si="13"/>
        <v>7.2999999999999954</v>
      </c>
      <c r="AE52" s="72">
        <f t="shared" si="14"/>
        <v>15.599999999999969</v>
      </c>
      <c r="AF52" s="72">
        <f t="shared" si="15"/>
        <v>7.2999999999999954</v>
      </c>
      <c r="AG52" s="72">
        <f t="shared" si="16"/>
        <v>15.399999999999991</v>
      </c>
      <c r="AH52" s="196">
        <f t="shared" si="17"/>
        <v>7.4999999999999734</v>
      </c>
      <c r="AI52" s="196">
        <f t="shared" si="18"/>
        <v>6.7000000000000171</v>
      </c>
      <c r="AJ52" s="72">
        <f t="shared" si="19"/>
        <v>5.8999999999999275</v>
      </c>
      <c r="AK52" s="72">
        <f t="shared" si="20"/>
        <v>4.3000000000000149</v>
      </c>
      <c r="AM52" s="35"/>
      <c r="AN52" s="35"/>
    </row>
    <row r="53" spans="1:40" x14ac:dyDescent="0.3">
      <c r="A53" s="35">
        <v>45925</v>
      </c>
      <c r="B53" s="847" t="s">
        <v>883</v>
      </c>
      <c r="C53">
        <v>3.6150000000000002</v>
      </c>
      <c r="E53">
        <f t="shared" si="1"/>
        <v>1</v>
      </c>
      <c r="F53" s="11">
        <v>51</v>
      </c>
      <c r="G53" s="179">
        <v>46182</v>
      </c>
      <c r="H53" s="847">
        <v>4.3390000000000004</v>
      </c>
      <c r="I53" s="847">
        <v>4.5229999999999997</v>
      </c>
      <c r="J53" s="847">
        <v>3.3439999999999999</v>
      </c>
      <c r="K53" s="847">
        <v>4.585</v>
      </c>
      <c r="L53" s="847">
        <v>3.44</v>
      </c>
      <c r="M53" s="847">
        <v>4.6459999999999999</v>
      </c>
      <c r="N53" s="847">
        <v>3.5230000000000001</v>
      </c>
      <c r="O53" s="847">
        <v>3.8260000000000001</v>
      </c>
      <c r="P53" s="847">
        <v>4.1289999999999996</v>
      </c>
      <c r="Q53" s="847">
        <v>4.1740000000000004</v>
      </c>
      <c r="R53" s="321">
        <f t="shared" si="2"/>
        <v>0</v>
      </c>
      <c r="S53" s="72">
        <f t="shared" si="3"/>
        <v>0</v>
      </c>
      <c r="T53" s="72">
        <f t="shared" si="4"/>
        <v>0</v>
      </c>
      <c r="U53" s="72">
        <f t="shared" si="5"/>
        <v>0</v>
      </c>
      <c r="V53" s="72">
        <f t="shared" si="6"/>
        <v>0</v>
      </c>
      <c r="W53" s="72">
        <f t="shared" si="7"/>
        <v>0</v>
      </c>
      <c r="X53" s="196">
        <f t="shared" si="8"/>
        <v>0.40000000000004476</v>
      </c>
      <c r="Y53" s="196">
        <f t="shared" si="9"/>
        <v>0.30000000000001137</v>
      </c>
      <c r="Z53" s="72">
        <f t="shared" si="10"/>
        <v>0.39999999999995595</v>
      </c>
      <c r="AA53" s="72">
        <f t="shared" si="11"/>
        <v>0</v>
      </c>
      <c r="AB53" s="321">
        <f t="shared" si="21"/>
        <v>8.9000000000000412</v>
      </c>
      <c r="AC53" s="72">
        <f t="shared" si="12"/>
        <v>14.599999999999991</v>
      </c>
      <c r="AD53" s="72">
        <f t="shared" si="13"/>
        <v>7.099999999999973</v>
      </c>
      <c r="AE53" s="72">
        <f t="shared" si="14"/>
        <v>15.700000000000003</v>
      </c>
      <c r="AF53" s="72">
        <f t="shared" si="15"/>
        <v>7.099999999999973</v>
      </c>
      <c r="AG53" s="72">
        <f t="shared" si="16"/>
        <v>15.500000000000025</v>
      </c>
      <c r="AH53" s="196">
        <f t="shared" si="17"/>
        <v>7.2999999999999954</v>
      </c>
      <c r="AI53" s="196">
        <f t="shared" si="18"/>
        <v>6.800000000000006</v>
      </c>
      <c r="AJ53" s="72">
        <f t="shared" si="19"/>
        <v>6.2999999999999723</v>
      </c>
      <c r="AK53" s="72">
        <f t="shared" si="20"/>
        <v>4.1000000000000369</v>
      </c>
      <c r="AM53" s="35"/>
      <c r="AN53" s="35"/>
    </row>
    <row r="54" spans="1:40" x14ac:dyDescent="0.3">
      <c r="A54" s="35">
        <v>45926</v>
      </c>
      <c r="B54" s="847" t="s">
        <v>883</v>
      </c>
      <c r="C54">
        <v>3.6219999999999999</v>
      </c>
      <c r="E54">
        <f t="shared" si="1"/>
        <v>3</v>
      </c>
      <c r="F54" s="11">
        <v>52</v>
      </c>
      <c r="G54" s="179">
        <v>46181</v>
      </c>
      <c r="H54" s="847">
        <v>4.335</v>
      </c>
      <c r="I54" s="847">
        <v>4.5199999999999996</v>
      </c>
      <c r="J54" s="847">
        <v>3.3439999999999999</v>
      </c>
      <c r="K54" s="847">
        <v>4.5810000000000004</v>
      </c>
      <c r="L54" s="847">
        <v>3.44</v>
      </c>
      <c r="M54" s="847">
        <v>4.6459999999999999</v>
      </c>
      <c r="N54" s="847">
        <v>3.5230000000000001</v>
      </c>
      <c r="O54" s="847">
        <v>3.8260000000000001</v>
      </c>
      <c r="P54" s="847">
        <v>4.1289999999999996</v>
      </c>
      <c r="Q54" s="847">
        <v>4.1740000000000004</v>
      </c>
      <c r="R54" s="321">
        <f t="shared" si="2"/>
        <v>0.40000000000000036</v>
      </c>
      <c r="S54" s="72">
        <f t="shared" si="3"/>
        <v>0.49999999999998934</v>
      </c>
      <c r="T54" s="72">
        <f t="shared" si="4"/>
        <v>0.40000000000000036</v>
      </c>
      <c r="U54" s="72">
        <f t="shared" si="5"/>
        <v>0.30000000000001137</v>
      </c>
      <c r="V54" s="72">
        <f t="shared" si="6"/>
        <v>9.9999999999944578E-2</v>
      </c>
      <c r="W54" s="72">
        <f t="shared" si="7"/>
        <v>0</v>
      </c>
      <c r="X54" s="196">
        <f t="shared" si="8"/>
        <v>0.1000000000000334</v>
      </c>
      <c r="Y54" s="196">
        <f t="shared" si="9"/>
        <v>0.29999999999992255</v>
      </c>
      <c r="Z54" s="72">
        <f t="shared" si="10"/>
        <v>0.40000000000004476</v>
      </c>
      <c r="AA54" s="72">
        <f t="shared" si="11"/>
        <v>0.39999999999995595</v>
      </c>
      <c r="AB54" s="321">
        <f t="shared" si="21"/>
        <v>8.4999999999999964</v>
      </c>
      <c r="AC54" s="72">
        <f t="shared" si="12"/>
        <v>14.299999999999979</v>
      </c>
      <c r="AD54" s="72">
        <f t="shared" si="13"/>
        <v>7.099999999999973</v>
      </c>
      <c r="AE54" s="72">
        <f t="shared" si="14"/>
        <v>15.300000000000047</v>
      </c>
      <c r="AF54" s="72">
        <f t="shared" si="15"/>
        <v>7.099999999999973</v>
      </c>
      <c r="AG54" s="72">
        <f t="shared" si="16"/>
        <v>15.500000000000025</v>
      </c>
      <c r="AH54" s="196">
        <f t="shared" si="17"/>
        <v>7.2999999999999954</v>
      </c>
      <c r="AI54" s="196">
        <f t="shared" si="18"/>
        <v>6.800000000000006</v>
      </c>
      <c r="AJ54" s="72">
        <f t="shared" si="19"/>
        <v>6.2999999999999723</v>
      </c>
      <c r="AK54" s="72">
        <f t="shared" si="20"/>
        <v>4.1000000000000369</v>
      </c>
      <c r="AM54" s="35"/>
      <c r="AN54" s="35"/>
    </row>
    <row r="55" spans="1:40" x14ac:dyDescent="0.3">
      <c r="A55" s="35">
        <v>45929</v>
      </c>
      <c r="B55" s="847" t="s">
        <v>883</v>
      </c>
      <c r="C55">
        <v>3.6230000000000002</v>
      </c>
      <c r="E55">
        <f t="shared" si="1"/>
        <v>1</v>
      </c>
      <c r="F55" s="11">
        <v>53</v>
      </c>
      <c r="G55" s="179">
        <v>46178</v>
      </c>
      <c r="H55" s="847">
        <v>4.3339999999999996</v>
      </c>
      <c r="I55" s="847">
        <v>4.5170000000000003</v>
      </c>
      <c r="J55" s="847">
        <v>3.34</v>
      </c>
      <c r="K55" s="847">
        <v>4.577</v>
      </c>
      <c r="L55" s="847">
        <v>3.4350000000000001</v>
      </c>
      <c r="M55" s="847">
        <v>4.6420000000000003</v>
      </c>
      <c r="N55" s="847">
        <v>3.5190000000000001</v>
      </c>
      <c r="O55" s="847">
        <v>3.823</v>
      </c>
      <c r="P55" s="847">
        <v>4.1280000000000001</v>
      </c>
      <c r="Q55" s="847">
        <v>4.1740000000000004</v>
      </c>
      <c r="R55" s="321">
        <f t="shared" si="2"/>
        <v>0.49999999999998934</v>
      </c>
      <c r="S55" s="72">
        <f t="shared" si="3"/>
        <v>0.40000000000000036</v>
      </c>
      <c r="T55" s="72">
        <f t="shared" si="4"/>
        <v>0.40000000000000036</v>
      </c>
      <c r="U55" s="72">
        <f t="shared" si="5"/>
        <v>0.19999999999997797</v>
      </c>
      <c r="V55" s="72">
        <f t="shared" si="6"/>
        <v>0</v>
      </c>
      <c r="W55" s="72">
        <f t="shared" si="7"/>
        <v>0</v>
      </c>
      <c r="X55" s="196">
        <f t="shared" si="8"/>
        <v>0</v>
      </c>
      <c r="Y55" s="196">
        <f t="shared" si="9"/>
        <v>0</v>
      </c>
      <c r="Z55" s="72">
        <f t="shared" si="10"/>
        <v>0</v>
      </c>
      <c r="AA55" s="72">
        <f t="shared" si="11"/>
        <v>0</v>
      </c>
      <c r="AB55" s="321">
        <f t="shared" si="21"/>
        <v>8.0999999999999517</v>
      </c>
      <c r="AC55" s="72">
        <f t="shared" si="12"/>
        <v>14.000000000000057</v>
      </c>
      <c r="AD55" s="72">
        <f t="shared" si="13"/>
        <v>6.6999999999999726</v>
      </c>
      <c r="AE55" s="72">
        <f t="shared" si="14"/>
        <v>15.299999999999958</v>
      </c>
      <c r="AF55" s="72">
        <f t="shared" si="15"/>
        <v>6.5999999999999837</v>
      </c>
      <c r="AG55" s="72">
        <f t="shared" si="16"/>
        <v>15.500000000000025</v>
      </c>
      <c r="AH55" s="196">
        <f t="shared" si="17"/>
        <v>6.899999999999995</v>
      </c>
      <c r="AI55" s="196">
        <f t="shared" si="18"/>
        <v>6.7000000000000171</v>
      </c>
      <c r="AJ55" s="72">
        <f t="shared" si="19"/>
        <v>6.7000000000000171</v>
      </c>
      <c r="AK55" s="72">
        <f t="shared" si="20"/>
        <v>4.1000000000000369</v>
      </c>
      <c r="AM55" s="35"/>
      <c r="AN55" s="35"/>
    </row>
    <row r="56" spans="1:40" x14ac:dyDescent="0.3">
      <c r="A56" s="35">
        <v>45930</v>
      </c>
      <c r="B56" s="847" t="s">
        <v>883</v>
      </c>
      <c r="C56">
        <v>3.6230000000000002</v>
      </c>
      <c r="E56">
        <f t="shared" si="1"/>
        <v>1</v>
      </c>
      <c r="F56" s="11">
        <v>54</v>
      </c>
      <c r="G56" s="179">
        <v>46177</v>
      </c>
      <c r="H56" s="847">
        <v>4.3339999999999996</v>
      </c>
      <c r="I56" s="847">
        <v>4.5170000000000003</v>
      </c>
      <c r="J56" s="847">
        <v>3.335</v>
      </c>
      <c r="K56" s="847">
        <v>4.577</v>
      </c>
      <c r="L56" s="847">
        <v>3.431</v>
      </c>
      <c r="M56" s="847">
        <v>4.6420000000000003</v>
      </c>
      <c r="N56" s="847">
        <v>3.5150000000000001</v>
      </c>
      <c r="O56" s="847">
        <v>3.8210000000000002</v>
      </c>
      <c r="P56" s="847">
        <v>4.1280000000000001</v>
      </c>
      <c r="Q56" s="847">
        <v>4.1740000000000004</v>
      </c>
      <c r="R56" s="321">
        <f t="shared" si="2"/>
        <v>0.80000000000000071</v>
      </c>
      <c r="S56" s="72">
        <f t="shared" si="3"/>
        <v>0.80000000000000071</v>
      </c>
      <c r="T56" s="72">
        <f t="shared" si="4"/>
        <v>0.90000000000003411</v>
      </c>
      <c r="U56" s="72">
        <f t="shared" si="5"/>
        <v>0.50000000000003375</v>
      </c>
      <c r="V56" s="72">
        <f t="shared" si="6"/>
        <v>0.30000000000001137</v>
      </c>
      <c r="W56" s="72">
        <f t="shared" si="7"/>
        <v>0.20000000000006679</v>
      </c>
      <c r="X56" s="196">
        <f t="shared" si="8"/>
        <v>0.49999999999998934</v>
      </c>
      <c r="Y56" s="196">
        <f t="shared" si="9"/>
        <v>1.2000000000000455</v>
      </c>
      <c r="Z56" s="72">
        <f t="shared" si="10"/>
        <v>0</v>
      </c>
      <c r="AA56" s="72">
        <f t="shared" si="11"/>
        <v>0</v>
      </c>
      <c r="AB56" s="321">
        <f t="shared" si="21"/>
        <v>8.2999999999999297</v>
      </c>
      <c r="AC56" s="72">
        <f t="shared" si="12"/>
        <v>14.700000000000024</v>
      </c>
      <c r="AD56" s="72">
        <f t="shared" si="13"/>
        <v>6.1999999999999833</v>
      </c>
      <c r="AE56" s="72">
        <f t="shared" si="14"/>
        <v>15.299999999999958</v>
      </c>
      <c r="AF56" s="72">
        <f t="shared" si="15"/>
        <v>6.1999999999999833</v>
      </c>
      <c r="AG56" s="72">
        <f t="shared" si="16"/>
        <v>15.500000000000025</v>
      </c>
      <c r="AH56" s="196">
        <f t="shared" si="17"/>
        <v>6.4999999999999947</v>
      </c>
      <c r="AI56" s="196">
        <f t="shared" si="18"/>
        <v>6.5000000000000391</v>
      </c>
      <c r="AJ56" s="72">
        <f t="shared" si="19"/>
        <v>6.7000000000000171</v>
      </c>
      <c r="AK56" s="72">
        <f t="shared" si="20"/>
        <v>4.1000000000000369</v>
      </c>
      <c r="AM56" s="35"/>
      <c r="AN56" s="35"/>
    </row>
    <row r="57" spans="1:40" x14ac:dyDescent="0.3">
      <c r="A57" s="35">
        <v>45931</v>
      </c>
      <c r="B57" s="847" t="s">
        <v>883</v>
      </c>
      <c r="C57">
        <v>3.6259999999999999</v>
      </c>
      <c r="E57">
        <f t="shared" si="1"/>
        <v>1</v>
      </c>
      <c r="F57" s="11">
        <v>55</v>
      </c>
      <c r="G57" s="179">
        <v>46176</v>
      </c>
      <c r="H57" s="847">
        <v>4.3289999999999997</v>
      </c>
      <c r="I57" s="847">
        <v>4.5049999999999999</v>
      </c>
      <c r="J57" s="847">
        <v>3.327</v>
      </c>
      <c r="K57" s="847">
        <v>4.577</v>
      </c>
      <c r="L57" s="847">
        <v>3.423</v>
      </c>
      <c r="M57" s="847">
        <v>4.6420000000000003</v>
      </c>
      <c r="N57" s="847">
        <v>3.5059999999999998</v>
      </c>
      <c r="O57" s="847">
        <v>3.8159999999999998</v>
      </c>
      <c r="P57" s="847">
        <v>4.125</v>
      </c>
      <c r="Q57" s="847">
        <v>4.1719999999999997</v>
      </c>
      <c r="R57" s="321">
        <f t="shared" si="2"/>
        <v>1.6999999999999904</v>
      </c>
      <c r="S57" s="72">
        <f t="shared" si="3"/>
        <v>1.6999999999999904</v>
      </c>
      <c r="T57" s="72">
        <f t="shared" si="4"/>
        <v>1.599999999999957</v>
      </c>
      <c r="U57" s="72">
        <f t="shared" si="5"/>
        <v>0.8999999999999897</v>
      </c>
      <c r="V57" s="72">
        <f t="shared" si="6"/>
        <v>0</v>
      </c>
      <c r="W57" s="72">
        <f t="shared" si="7"/>
        <v>0</v>
      </c>
      <c r="X57" s="196">
        <f t="shared" si="8"/>
        <v>9.9999999999944578E-2</v>
      </c>
      <c r="Y57" s="196">
        <f t="shared" si="9"/>
        <v>0</v>
      </c>
      <c r="Z57" s="72">
        <f t="shared" si="10"/>
        <v>5.400000000000027</v>
      </c>
      <c r="AA57" s="72">
        <f t="shared" si="11"/>
        <v>5.400000000000027</v>
      </c>
      <c r="AB57" s="321">
        <f t="shared" si="21"/>
        <v>8.4999999999999964</v>
      </c>
      <c r="AC57" s="72">
        <f t="shared" si="12"/>
        <v>13.79999999999999</v>
      </c>
      <c r="AD57" s="72">
        <f t="shared" si="13"/>
        <v>5.3999999999999826</v>
      </c>
      <c r="AE57" s="72">
        <f t="shared" si="14"/>
        <v>15.700000000000003</v>
      </c>
      <c r="AF57" s="72">
        <f t="shared" si="15"/>
        <v>5.3999999999999826</v>
      </c>
      <c r="AG57" s="72">
        <f t="shared" si="16"/>
        <v>15.90000000000007</v>
      </c>
      <c r="AH57" s="196">
        <f t="shared" si="17"/>
        <v>5.5999999999999606</v>
      </c>
      <c r="AI57" s="196">
        <f t="shared" si="18"/>
        <v>6.0999999999999943</v>
      </c>
      <c r="AJ57" s="72">
        <f t="shared" si="19"/>
        <v>6.5999999999999837</v>
      </c>
      <c r="AK57" s="72">
        <f t="shared" si="20"/>
        <v>3.8999999999999702</v>
      </c>
      <c r="AM57" s="35"/>
      <c r="AN57" s="35"/>
    </row>
    <row r="58" spans="1:40" x14ac:dyDescent="0.3">
      <c r="A58" s="35">
        <v>45932</v>
      </c>
      <c r="B58" s="847" t="s">
        <v>883</v>
      </c>
      <c r="C58">
        <v>3.6720000000000002</v>
      </c>
      <c r="E58">
        <f t="shared" si="1"/>
        <v>1</v>
      </c>
      <c r="F58" s="11">
        <v>56</v>
      </c>
      <c r="G58" s="179">
        <v>46175</v>
      </c>
      <c r="H58" s="847">
        <v>4.3280000000000003</v>
      </c>
      <c r="I58" s="847">
        <v>4.5049999999999999</v>
      </c>
      <c r="J58" s="847">
        <v>3.31</v>
      </c>
      <c r="K58" s="847">
        <v>4.5229999999999997</v>
      </c>
      <c r="L58" s="847">
        <v>3.4060000000000001</v>
      </c>
      <c r="M58" s="847">
        <v>4.5880000000000001</v>
      </c>
      <c r="N58" s="847">
        <v>3.49</v>
      </c>
      <c r="O58" s="847">
        <v>3.8069999999999999</v>
      </c>
      <c r="P58" s="847">
        <v>4.125</v>
      </c>
      <c r="Q58" s="847">
        <v>4.1719999999999997</v>
      </c>
      <c r="R58" s="321">
        <f t="shared" si="2"/>
        <v>1.6000000000000014</v>
      </c>
      <c r="S58" s="72">
        <f t="shared" si="3"/>
        <v>0.80000000000000071</v>
      </c>
      <c r="T58" s="72">
        <f t="shared" si="4"/>
        <v>2.1000000000000352</v>
      </c>
      <c r="U58" s="72">
        <f t="shared" si="5"/>
        <v>1.1000000000000121</v>
      </c>
      <c r="V58" s="72">
        <f t="shared" si="6"/>
        <v>0.1000000000000334</v>
      </c>
      <c r="W58" s="72">
        <f t="shared" si="7"/>
        <v>0</v>
      </c>
      <c r="X58" s="196">
        <f t="shared" si="8"/>
        <v>-0.19999999999997797</v>
      </c>
      <c r="Y58" s="196">
        <f t="shared" si="9"/>
        <v>0</v>
      </c>
      <c r="Z58" s="72">
        <f t="shared" si="10"/>
        <v>2.2999999999999687</v>
      </c>
      <c r="AA58" s="72">
        <f t="shared" si="11"/>
        <v>1.7000000000000348</v>
      </c>
      <c r="AB58" s="321">
        <f t="shared" si="21"/>
        <v>8.8000000000000078</v>
      </c>
      <c r="AC58" s="72">
        <f t="shared" si="12"/>
        <v>14.900000000000002</v>
      </c>
      <c r="AD58" s="72">
        <f t="shared" si="13"/>
        <v>3.6999999999999922</v>
      </c>
      <c r="AE58" s="72">
        <f t="shared" si="14"/>
        <v>12.000000000000011</v>
      </c>
      <c r="AF58" s="72">
        <f t="shared" si="15"/>
        <v>3.6999999999999922</v>
      </c>
      <c r="AG58" s="72">
        <f t="shared" si="16"/>
        <v>12.199999999999989</v>
      </c>
      <c r="AH58" s="196">
        <f t="shared" si="17"/>
        <v>4.0000000000000036</v>
      </c>
      <c r="AI58" s="196">
        <f t="shared" si="18"/>
        <v>5.699999999999994</v>
      </c>
      <c r="AJ58" s="72">
        <f t="shared" si="19"/>
        <v>7.5000000000000178</v>
      </c>
      <c r="AK58" s="72">
        <f t="shared" si="20"/>
        <v>4.0000000000000036</v>
      </c>
      <c r="AM58" s="35"/>
      <c r="AN58" s="35"/>
    </row>
    <row r="59" spans="1:40" x14ac:dyDescent="0.3">
      <c r="A59" s="35">
        <v>45933</v>
      </c>
      <c r="B59" s="847" t="s">
        <v>883</v>
      </c>
      <c r="C59">
        <v>3.66</v>
      </c>
      <c r="E59">
        <f t="shared" si="1"/>
        <v>3</v>
      </c>
      <c r="F59" s="11">
        <v>57</v>
      </c>
      <c r="G59" s="179">
        <v>46174</v>
      </c>
      <c r="H59" s="847">
        <v>4.33</v>
      </c>
      <c r="I59" s="847">
        <v>4.5049999999999999</v>
      </c>
      <c r="J59" s="847">
        <v>3.294</v>
      </c>
      <c r="K59" s="847">
        <v>4.5</v>
      </c>
      <c r="L59" s="847">
        <v>3.3980000000000001</v>
      </c>
      <c r="M59" s="847">
        <v>4.5709999999999997</v>
      </c>
      <c r="N59" s="847">
        <v>3.4689999999999999</v>
      </c>
      <c r="O59" s="847">
        <v>3.7959999999999998</v>
      </c>
      <c r="P59" s="847">
        <v>4.1239999999999997</v>
      </c>
      <c r="Q59" s="847">
        <v>4.1719999999999997</v>
      </c>
      <c r="R59" s="321">
        <f t="shared" si="2"/>
        <v>0</v>
      </c>
      <c r="S59" s="72">
        <f t="shared" si="3"/>
        <v>0</v>
      </c>
      <c r="T59" s="72">
        <f t="shared" si="4"/>
        <v>0</v>
      </c>
      <c r="U59" s="72">
        <f t="shared" si="5"/>
        <v>9.9999999999988987E-2</v>
      </c>
      <c r="V59" s="72">
        <f t="shared" si="6"/>
        <v>0.19999999999997797</v>
      </c>
      <c r="W59" s="72">
        <f t="shared" si="7"/>
        <v>0</v>
      </c>
      <c r="X59" s="196">
        <f t="shared" si="8"/>
        <v>0.90000000000003411</v>
      </c>
      <c r="Y59" s="196">
        <f t="shared" si="9"/>
        <v>0.69999999999996732</v>
      </c>
      <c r="Z59" s="72">
        <f t="shared" si="10"/>
        <v>1.7999999999999794</v>
      </c>
      <c r="AA59" s="72">
        <f t="shared" si="11"/>
        <v>2.0999999999999908</v>
      </c>
      <c r="AB59" s="321">
        <f t="shared" si="21"/>
        <v>8.6000000000000298</v>
      </c>
      <c r="AC59" s="72">
        <f t="shared" si="12"/>
        <v>15.399999999999991</v>
      </c>
      <c r="AD59" s="72">
        <f t="shared" si="13"/>
        <v>2.0999999999999908</v>
      </c>
      <c r="AE59" s="72">
        <f t="shared" si="14"/>
        <v>9.7000000000000419</v>
      </c>
      <c r="AF59" s="72">
        <f t="shared" si="15"/>
        <v>2.8999999999999915</v>
      </c>
      <c r="AG59" s="72">
        <f t="shared" si="16"/>
        <v>10.499999999999954</v>
      </c>
      <c r="AH59" s="196">
        <f t="shared" si="17"/>
        <v>1.8999999999999684</v>
      </c>
      <c r="AI59" s="196">
        <f t="shared" si="18"/>
        <v>4.7999999999999599</v>
      </c>
      <c r="AJ59" s="72">
        <f t="shared" si="19"/>
        <v>7.7999999999999403</v>
      </c>
      <c r="AK59" s="72">
        <f t="shared" si="20"/>
        <v>4.0000000000000036</v>
      </c>
      <c r="AM59" s="35"/>
      <c r="AN59" s="35"/>
    </row>
    <row r="60" spans="1:40" x14ac:dyDescent="0.3">
      <c r="A60" s="35">
        <v>45936</v>
      </c>
      <c r="B60" s="847" t="s">
        <v>883</v>
      </c>
      <c r="C60">
        <v>3.6789999999999998</v>
      </c>
      <c r="E60">
        <f t="shared" si="1"/>
        <v>1</v>
      </c>
      <c r="F60" s="11">
        <v>58</v>
      </c>
      <c r="G60" s="179">
        <v>46171</v>
      </c>
      <c r="H60" s="847">
        <v>4.3209999999999997</v>
      </c>
      <c r="I60" s="847">
        <v>4.4980000000000002</v>
      </c>
      <c r="J60" s="847">
        <v>3.294</v>
      </c>
      <c r="K60" s="847">
        <v>4.4820000000000002</v>
      </c>
      <c r="L60" s="847">
        <v>3.3980000000000001</v>
      </c>
      <c r="M60" s="847">
        <v>4.55</v>
      </c>
      <c r="N60" s="847">
        <v>3.4689999999999999</v>
      </c>
      <c r="O60" s="847">
        <v>3.7949999999999999</v>
      </c>
      <c r="P60" s="847">
        <v>4.1219999999999999</v>
      </c>
      <c r="Q60" s="847">
        <v>4.1719999999999997</v>
      </c>
      <c r="R60" s="321">
        <f t="shared" si="2"/>
        <v>1.2999999999999901</v>
      </c>
      <c r="S60" s="72">
        <f t="shared" si="3"/>
        <v>1.3000000000000345</v>
      </c>
      <c r="T60" s="72">
        <f t="shared" si="4"/>
        <v>1.0999999999999677</v>
      </c>
      <c r="U60" s="72">
        <f t="shared" si="5"/>
        <v>0.19999999999997797</v>
      </c>
      <c r="V60" s="72">
        <f t="shared" si="6"/>
        <v>-0.60000000000002274</v>
      </c>
      <c r="W60" s="72">
        <f t="shared" si="7"/>
        <v>1.3999999999999346</v>
      </c>
      <c r="X60" s="196">
        <f t="shared" si="8"/>
        <v>-0.49999999999998934</v>
      </c>
      <c r="Y60" s="196">
        <f t="shared" si="9"/>
        <v>-0.39999999999995595</v>
      </c>
      <c r="Z60" s="72">
        <f t="shared" si="10"/>
        <v>4.4000000000000483</v>
      </c>
      <c r="AA60" s="72">
        <f t="shared" si="11"/>
        <v>4.4999999999999929</v>
      </c>
      <c r="AB60" s="321">
        <f t="shared" si="21"/>
        <v>8.0999999999999517</v>
      </c>
      <c r="AC60" s="72">
        <f t="shared" si="12"/>
        <v>14.800000000000058</v>
      </c>
      <c r="AD60" s="72">
        <f t="shared" si="13"/>
        <v>2.0999999999999908</v>
      </c>
      <c r="AE60" s="72">
        <f t="shared" si="14"/>
        <v>7.9000000000000625</v>
      </c>
      <c r="AF60" s="72">
        <f t="shared" si="15"/>
        <v>2.8999999999999915</v>
      </c>
      <c r="AG60" s="72">
        <f t="shared" si="16"/>
        <v>8.3999999999999631</v>
      </c>
      <c r="AH60" s="196">
        <f t="shared" si="17"/>
        <v>1.8999999999999684</v>
      </c>
      <c r="AI60" s="196">
        <f t="shared" si="18"/>
        <v>4.4999999999999929</v>
      </c>
      <c r="AJ60" s="72">
        <f t="shared" si="19"/>
        <v>7.2000000000000064</v>
      </c>
      <c r="AK60" s="72">
        <f t="shared" si="20"/>
        <v>4.0000000000000036</v>
      </c>
      <c r="AM60" s="35"/>
      <c r="AN60" s="35"/>
    </row>
    <row r="61" spans="1:40" x14ac:dyDescent="0.3">
      <c r="A61" s="35">
        <v>45937</v>
      </c>
      <c r="B61" s="847" t="s">
        <v>883</v>
      </c>
      <c r="C61">
        <v>3.6739999999999999</v>
      </c>
      <c r="E61">
        <f t="shared" si="1"/>
        <v>1</v>
      </c>
      <c r="F61" s="11">
        <v>59</v>
      </c>
      <c r="G61" s="179">
        <v>46170</v>
      </c>
      <c r="H61" s="847">
        <v>4.3259999999999996</v>
      </c>
      <c r="I61" s="847">
        <v>4.5019999999999998</v>
      </c>
      <c r="J61" s="847">
        <v>3.2810000000000001</v>
      </c>
      <c r="K61" s="847">
        <v>4.4379999999999997</v>
      </c>
      <c r="L61" s="847">
        <v>3.3849999999999998</v>
      </c>
      <c r="M61" s="847">
        <v>4.5049999999999999</v>
      </c>
      <c r="N61" s="847">
        <v>3.4580000000000002</v>
      </c>
      <c r="O61" s="847">
        <v>3.7930000000000001</v>
      </c>
      <c r="P61" s="847">
        <v>4.1280000000000001</v>
      </c>
      <c r="Q61" s="847">
        <v>4.1580000000000004</v>
      </c>
      <c r="R61" s="321">
        <f t="shared" si="2"/>
        <v>0.80000000000000071</v>
      </c>
      <c r="S61" s="72">
        <f t="shared" si="3"/>
        <v>1.599999999999957</v>
      </c>
      <c r="T61" s="72">
        <f t="shared" si="4"/>
        <v>0.80000000000000071</v>
      </c>
      <c r="U61" s="72">
        <f t="shared" si="5"/>
        <v>3.3000000000000362</v>
      </c>
      <c r="V61" s="72">
        <f t="shared" si="6"/>
        <v>5.7999999999999829</v>
      </c>
      <c r="W61" s="72">
        <f t="shared" si="7"/>
        <v>2.2000000000000242</v>
      </c>
      <c r="X61" s="196">
        <f t="shared" si="8"/>
        <v>7.3999999999999844</v>
      </c>
      <c r="Y61" s="196">
        <f t="shared" si="9"/>
        <v>12.5</v>
      </c>
      <c r="Z61" s="72">
        <f t="shared" si="10"/>
        <v>0.99999999999997868</v>
      </c>
      <c r="AA61" s="72">
        <f t="shared" si="11"/>
        <v>1.4000000000000234</v>
      </c>
      <c r="AB61" s="321">
        <f t="shared" si="21"/>
        <v>8.2999999999999297</v>
      </c>
      <c r="AC61" s="72">
        <f t="shared" si="12"/>
        <v>15.200000000000014</v>
      </c>
      <c r="AD61" s="72">
        <f t="shared" si="13"/>
        <v>0.80000000000000071</v>
      </c>
      <c r="AE61" s="72">
        <f t="shared" si="14"/>
        <v>3.5000000000000142</v>
      </c>
      <c r="AF61" s="72">
        <f t="shared" si="15"/>
        <v>1.599999999999957</v>
      </c>
      <c r="AG61" s="72">
        <f t="shared" si="16"/>
        <v>3.8999999999999702</v>
      </c>
      <c r="AH61" s="196">
        <f t="shared" si="17"/>
        <v>0.80000000000000071</v>
      </c>
      <c r="AI61" s="196">
        <f t="shared" si="18"/>
        <v>4.6000000000000263</v>
      </c>
      <c r="AJ61" s="72">
        <f t="shared" si="19"/>
        <v>8.4000000000000519</v>
      </c>
      <c r="AK61" s="72">
        <f t="shared" si="20"/>
        <v>2.6000000000000689</v>
      </c>
      <c r="AM61" s="35"/>
      <c r="AN61" s="35"/>
    </row>
    <row r="62" spans="1:40" x14ac:dyDescent="0.3">
      <c r="A62" s="35">
        <v>45938</v>
      </c>
      <c r="B62" s="847" t="s">
        <v>883</v>
      </c>
      <c r="C62">
        <v>3.665</v>
      </c>
      <c r="E62">
        <f t="shared" si="1"/>
        <v>1</v>
      </c>
      <c r="F62" s="11">
        <v>60</v>
      </c>
      <c r="G62" s="179">
        <v>46169</v>
      </c>
      <c r="H62" s="847">
        <v>4.2519999999999998</v>
      </c>
      <c r="I62" s="847">
        <v>4.3769999999999998</v>
      </c>
      <c r="J62" s="847">
        <v>3.2730000000000001</v>
      </c>
      <c r="K62" s="847">
        <v>4.4279999999999999</v>
      </c>
      <c r="L62" s="847">
        <v>3.3690000000000002</v>
      </c>
      <c r="M62" s="847">
        <v>4.4909999999999997</v>
      </c>
      <c r="N62" s="847">
        <v>3.45</v>
      </c>
      <c r="O62" s="847">
        <v>3.76</v>
      </c>
      <c r="P62" s="847">
        <v>4.07</v>
      </c>
      <c r="Q62" s="847">
        <v>4.1360000000000001</v>
      </c>
      <c r="R62" s="321">
        <f t="shared" si="2"/>
        <v>0</v>
      </c>
      <c r="S62" s="72">
        <f t="shared" si="3"/>
        <v>0</v>
      </c>
      <c r="T62" s="72">
        <f t="shared" si="4"/>
        <v>0</v>
      </c>
      <c r="U62" s="72">
        <f t="shared" si="5"/>
        <v>0.19999999999997797</v>
      </c>
      <c r="V62" s="72">
        <f t="shared" si="6"/>
        <v>0.40000000000004476</v>
      </c>
      <c r="W62" s="72">
        <f t="shared" si="7"/>
        <v>0.30000000000001137</v>
      </c>
      <c r="X62" s="196">
        <f t="shared" si="8"/>
        <v>0.19999999999997797</v>
      </c>
      <c r="Y62" s="196">
        <f t="shared" si="9"/>
        <v>0</v>
      </c>
      <c r="Z62" s="72">
        <f t="shared" si="10"/>
        <v>0</v>
      </c>
      <c r="AA62" s="72">
        <f t="shared" si="11"/>
        <v>0</v>
      </c>
      <c r="AB62" s="321">
        <f t="shared" si="21"/>
        <v>1.3999999999999346</v>
      </c>
      <c r="AC62" s="72">
        <f t="shared" si="12"/>
        <v>2.8999999999999915</v>
      </c>
      <c r="AD62" s="72">
        <f t="shared" si="13"/>
        <v>0</v>
      </c>
      <c r="AE62" s="72">
        <f t="shared" si="14"/>
        <v>3.0000000000000249</v>
      </c>
      <c r="AF62" s="72">
        <f t="shared" si="15"/>
        <v>0</v>
      </c>
      <c r="AG62" s="72">
        <f t="shared" si="16"/>
        <v>3.0999999999999694</v>
      </c>
      <c r="AH62" s="196">
        <f t="shared" si="17"/>
        <v>0</v>
      </c>
      <c r="AI62" s="196">
        <f t="shared" si="18"/>
        <v>1.399999999999979</v>
      </c>
      <c r="AJ62" s="72">
        <f t="shared" si="19"/>
        <v>2.7000000000000135</v>
      </c>
      <c r="AK62" s="72">
        <f t="shared" si="20"/>
        <v>0.70000000000005613</v>
      </c>
      <c r="AM62" s="35"/>
      <c r="AN62" s="35"/>
    </row>
    <row r="63" spans="1:40" x14ac:dyDescent="0.3">
      <c r="A63" s="35">
        <v>45939</v>
      </c>
      <c r="B63" s="847" t="s">
        <v>883</v>
      </c>
      <c r="C63">
        <v>3.7050000000000001</v>
      </c>
      <c r="E63">
        <f t="shared" si="1"/>
        <v>1</v>
      </c>
      <c r="F63" s="11">
        <v>61</v>
      </c>
      <c r="G63" s="179">
        <v>46168</v>
      </c>
      <c r="H63" s="847">
        <v>4.25</v>
      </c>
      <c r="I63" s="847">
        <v>4.3769999999999998</v>
      </c>
      <c r="J63" s="847">
        <v>3.2730000000000001</v>
      </c>
      <c r="K63" s="847">
        <v>4.4279999999999999</v>
      </c>
      <c r="L63" s="847">
        <v>3.3690000000000002</v>
      </c>
      <c r="M63" s="847">
        <v>4.4909999999999997</v>
      </c>
      <c r="N63" s="847">
        <v>3.45</v>
      </c>
      <c r="O63" s="847">
        <v>3.758</v>
      </c>
      <c r="P63" s="847">
        <v>4.0659999999999998</v>
      </c>
      <c r="Q63" s="847">
        <v>4.133</v>
      </c>
      <c r="R63" s="321">
        <f t="shared" si="2"/>
        <v>0</v>
      </c>
      <c r="S63" s="72">
        <f t="shared" si="3"/>
        <v>0</v>
      </c>
      <c r="T63" s="72">
        <f t="shared" si="4"/>
        <v>0</v>
      </c>
      <c r="U63" s="72">
        <f t="shared" si="5"/>
        <v>0</v>
      </c>
      <c r="V63" s="72">
        <f t="shared" si="6"/>
        <v>0</v>
      </c>
      <c r="W63" s="72">
        <f t="shared" si="7"/>
        <v>0</v>
      </c>
      <c r="X63" s="196">
        <f t="shared" si="8"/>
        <v>0</v>
      </c>
      <c r="Y63" s="196">
        <f t="shared" si="9"/>
        <v>0</v>
      </c>
      <c r="Z63" s="72">
        <f t="shared" si="10"/>
        <v>0</v>
      </c>
      <c r="AA63" s="72">
        <f t="shared" si="11"/>
        <v>0</v>
      </c>
      <c r="AB63" s="321">
        <f t="shared" si="21"/>
        <v>1.4000000000000234</v>
      </c>
      <c r="AC63" s="72">
        <f t="shared" si="12"/>
        <v>3.0999999999999694</v>
      </c>
      <c r="AD63" s="72">
        <f t="shared" si="13"/>
        <v>0</v>
      </c>
      <c r="AE63" s="72">
        <f t="shared" si="14"/>
        <v>3.0000000000000249</v>
      </c>
      <c r="AF63" s="72">
        <f t="shared" si="15"/>
        <v>0</v>
      </c>
      <c r="AG63" s="72">
        <f t="shared" si="16"/>
        <v>3.0999999999999694</v>
      </c>
      <c r="AH63" s="196">
        <f t="shared" si="17"/>
        <v>0</v>
      </c>
      <c r="AI63" s="196">
        <f t="shared" si="18"/>
        <v>0.80000000000000071</v>
      </c>
      <c r="AJ63" s="72">
        <f t="shared" si="19"/>
        <v>1.6000000000000014</v>
      </c>
      <c r="AK63" s="72">
        <f t="shared" si="20"/>
        <v>0.40000000000004476</v>
      </c>
      <c r="AM63" s="35"/>
      <c r="AN63" s="35"/>
    </row>
    <row r="64" spans="1:40" x14ac:dyDescent="0.3">
      <c r="A64" s="35">
        <v>45940</v>
      </c>
      <c r="B64" s="847" t="s">
        <v>883</v>
      </c>
      <c r="C64">
        <v>3.7189999999999999</v>
      </c>
      <c r="E64">
        <f t="shared" si="1"/>
        <v>3</v>
      </c>
      <c r="F64" s="11">
        <v>62</v>
      </c>
      <c r="G64" s="179">
        <v>46167</v>
      </c>
      <c r="H64" s="847">
        <v>4.25</v>
      </c>
      <c r="I64" s="847">
        <v>4.3769999999999998</v>
      </c>
      <c r="J64" s="847">
        <v>3.2730000000000001</v>
      </c>
      <c r="K64" s="847">
        <v>4.4279999999999999</v>
      </c>
      <c r="L64" s="847">
        <v>3.3690000000000002</v>
      </c>
      <c r="M64" s="847">
        <v>4.4909999999999997</v>
      </c>
      <c r="N64" s="847">
        <v>3.45</v>
      </c>
      <c r="O64" s="847">
        <v>3.758</v>
      </c>
      <c r="P64" s="847">
        <v>4.0659999999999998</v>
      </c>
      <c r="Q64" s="847">
        <v>4.133</v>
      </c>
      <c r="R64" s="321">
        <f t="shared" si="2"/>
        <v>0</v>
      </c>
      <c r="S64" s="72">
        <f t="shared" si="3"/>
        <v>0</v>
      </c>
      <c r="T64" s="72">
        <f t="shared" si="4"/>
        <v>0</v>
      </c>
      <c r="U64" s="72">
        <f t="shared" si="5"/>
        <v>0.20000000000002238</v>
      </c>
      <c r="V64" s="72">
        <f t="shared" si="6"/>
        <v>0.49999999999998934</v>
      </c>
      <c r="W64" s="72">
        <f t="shared" si="7"/>
        <v>0</v>
      </c>
      <c r="X64" s="196">
        <f t="shared" si="8"/>
        <v>-0.30000000000001137</v>
      </c>
      <c r="Y64" s="196">
        <f t="shared" si="9"/>
        <v>0</v>
      </c>
      <c r="Z64" s="72">
        <f t="shared" si="10"/>
        <v>0.39999999999995595</v>
      </c>
      <c r="AA64" s="72">
        <f t="shared" si="11"/>
        <v>0.39999999999995595</v>
      </c>
      <c r="AB64" s="321">
        <f t="shared" si="21"/>
        <v>1.499999999999968</v>
      </c>
      <c r="AC64" s="72">
        <f t="shared" si="12"/>
        <v>3.0999999999999694</v>
      </c>
      <c r="AD64" s="72">
        <f t="shared" si="13"/>
        <v>0</v>
      </c>
      <c r="AE64" s="72">
        <f t="shared" si="14"/>
        <v>3.0000000000000249</v>
      </c>
      <c r="AF64" s="72">
        <f t="shared" si="15"/>
        <v>0</v>
      </c>
      <c r="AG64" s="72">
        <f t="shared" si="16"/>
        <v>3.0999999999999694</v>
      </c>
      <c r="AH64" s="196">
        <f t="shared" si="17"/>
        <v>0</v>
      </c>
      <c r="AI64" s="196">
        <f t="shared" si="18"/>
        <v>0.99999999999997868</v>
      </c>
      <c r="AJ64" s="72">
        <f t="shared" si="19"/>
        <v>1.9999999999999574</v>
      </c>
      <c r="AK64" s="72">
        <f t="shared" si="20"/>
        <v>0.40000000000004476</v>
      </c>
      <c r="AM64" s="35"/>
      <c r="AN64" s="35"/>
    </row>
    <row r="65" spans="1:40" x14ac:dyDescent="0.3">
      <c r="A65" s="35">
        <v>45943</v>
      </c>
      <c r="B65" s="847" t="s">
        <v>883</v>
      </c>
      <c r="C65">
        <v>3.7269999999999999</v>
      </c>
      <c r="E65">
        <f t="shared" si="1"/>
        <v>1</v>
      </c>
      <c r="F65" s="11">
        <v>63</v>
      </c>
      <c r="G65" s="179">
        <v>46164</v>
      </c>
      <c r="H65" s="847">
        <v>4.2530000000000001</v>
      </c>
      <c r="I65" s="847">
        <v>4.3769999999999998</v>
      </c>
      <c r="J65" s="847">
        <v>3.2730000000000001</v>
      </c>
      <c r="K65" s="847">
        <v>4.4240000000000004</v>
      </c>
      <c r="L65" s="847">
        <v>3.3690000000000002</v>
      </c>
      <c r="M65" s="847">
        <v>4.4870000000000001</v>
      </c>
      <c r="N65" s="847">
        <v>3.45</v>
      </c>
      <c r="O65" s="847">
        <v>3.7559999999999998</v>
      </c>
      <c r="P65" s="847">
        <v>4.0609999999999999</v>
      </c>
      <c r="Q65" s="847">
        <v>4.133</v>
      </c>
      <c r="R65" s="321">
        <f t="shared" si="2"/>
        <v>0</v>
      </c>
      <c r="S65" s="72">
        <f t="shared" si="3"/>
        <v>0</v>
      </c>
      <c r="T65" s="72">
        <f t="shared" si="4"/>
        <v>0</v>
      </c>
      <c r="U65" s="72">
        <f t="shared" si="5"/>
        <v>0</v>
      </c>
      <c r="V65" s="72">
        <f t="shared" si="6"/>
        <v>0</v>
      </c>
      <c r="W65" s="72">
        <f t="shared" si="7"/>
        <v>0</v>
      </c>
      <c r="X65" s="196">
        <f t="shared" si="8"/>
        <v>0.19999999999997797</v>
      </c>
      <c r="Y65" s="196">
        <f t="shared" si="9"/>
        <v>0.69999999999996732</v>
      </c>
      <c r="Z65" s="72">
        <f t="shared" si="10"/>
        <v>0</v>
      </c>
      <c r="AA65" s="72">
        <f t="shared" si="11"/>
        <v>0</v>
      </c>
      <c r="AB65" s="321">
        <f t="shared" si="21"/>
        <v>1.7999999999999794</v>
      </c>
      <c r="AC65" s="72">
        <f t="shared" si="12"/>
        <v>3.0999999999999694</v>
      </c>
      <c r="AD65" s="72">
        <f t="shared" si="13"/>
        <v>0</v>
      </c>
      <c r="AE65" s="72">
        <f t="shared" si="14"/>
        <v>2.6000000000000689</v>
      </c>
      <c r="AF65" s="72">
        <f t="shared" si="15"/>
        <v>0</v>
      </c>
      <c r="AG65" s="72">
        <f t="shared" si="16"/>
        <v>2.7000000000000135</v>
      </c>
      <c r="AH65" s="196">
        <f t="shared" si="17"/>
        <v>0</v>
      </c>
      <c r="AI65" s="196">
        <f t="shared" si="18"/>
        <v>0.59999999999997833</v>
      </c>
      <c r="AJ65" s="72">
        <f t="shared" si="19"/>
        <v>1.1000000000000121</v>
      </c>
      <c r="AK65" s="72">
        <f t="shared" si="20"/>
        <v>0.40000000000004476</v>
      </c>
      <c r="AM65" s="35"/>
      <c r="AN65" s="35"/>
    </row>
    <row r="66" spans="1:40" x14ac:dyDescent="0.3">
      <c r="A66" s="35">
        <v>45944</v>
      </c>
      <c r="B66" s="847" t="s">
        <v>883</v>
      </c>
      <c r="C66">
        <v>3.726</v>
      </c>
      <c r="E66">
        <f t="shared" si="1"/>
        <v>1</v>
      </c>
      <c r="F66" s="11">
        <v>64</v>
      </c>
      <c r="G66" s="179">
        <v>46163</v>
      </c>
      <c r="H66" s="847">
        <v>4.2510000000000003</v>
      </c>
      <c r="I66" s="847">
        <v>4.37</v>
      </c>
      <c r="J66" s="847">
        <v>3.2730000000000001</v>
      </c>
      <c r="K66" s="847">
        <v>4.4240000000000004</v>
      </c>
      <c r="L66" s="847">
        <v>3.3690000000000002</v>
      </c>
      <c r="M66" s="847">
        <v>4.4870000000000001</v>
      </c>
      <c r="N66" s="847">
        <v>3.45</v>
      </c>
      <c r="O66" s="847">
        <v>3.7559999999999998</v>
      </c>
      <c r="P66" s="847">
        <v>4.0609999999999999</v>
      </c>
      <c r="Q66" s="847">
        <v>4.133</v>
      </c>
      <c r="R66" s="321">
        <f t="shared" si="2"/>
        <v>0</v>
      </c>
      <c r="S66" s="72">
        <f t="shared" si="3"/>
        <v>0</v>
      </c>
      <c r="T66" s="72">
        <f t="shared" si="4"/>
        <v>0</v>
      </c>
      <c r="U66" s="72">
        <f t="shared" si="5"/>
        <v>9.9999999999988987E-2</v>
      </c>
      <c r="V66" s="72">
        <f t="shared" si="6"/>
        <v>0.19999999999997797</v>
      </c>
      <c r="W66" s="72">
        <f t="shared" si="7"/>
        <v>0</v>
      </c>
      <c r="X66" s="196">
        <f t="shared" si="8"/>
        <v>0.70000000000005613</v>
      </c>
      <c r="Y66" s="196">
        <f t="shared" si="9"/>
        <v>0.30000000000001137</v>
      </c>
      <c r="Z66" s="72">
        <f t="shared" si="10"/>
        <v>0.40000000000004476</v>
      </c>
      <c r="AA66" s="72">
        <f t="shared" si="11"/>
        <v>0.40000000000004476</v>
      </c>
      <c r="AB66" s="321">
        <f t="shared" si="21"/>
        <v>1.6000000000000014</v>
      </c>
      <c r="AC66" s="72">
        <f t="shared" si="12"/>
        <v>3.3000000000000362</v>
      </c>
      <c r="AD66" s="72">
        <f t="shared" si="13"/>
        <v>0.20000000000002238</v>
      </c>
      <c r="AE66" s="72">
        <f t="shared" si="14"/>
        <v>3.1000000000000583</v>
      </c>
      <c r="AF66" s="72">
        <f t="shared" si="15"/>
        <v>0.20000000000002238</v>
      </c>
      <c r="AG66" s="72">
        <f t="shared" si="16"/>
        <v>3.0999999999999694</v>
      </c>
      <c r="AH66" s="196">
        <f t="shared" si="17"/>
        <v>0</v>
      </c>
      <c r="AI66" s="196">
        <f t="shared" si="18"/>
        <v>0.59999999999997833</v>
      </c>
      <c r="AJ66" s="72">
        <f t="shared" si="19"/>
        <v>1.1000000000000121</v>
      </c>
      <c r="AK66" s="72">
        <f t="shared" si="20"/>
        <v>0.40000000000004476</v>
      </c>
      <c r="AM66" s="35"/>
      <c r="AN66" s="35"/>
    </row>
    <row r="67" spans="1:40" x14ac:dyDescent="0.3">
      <c r="A67" s="35">
        <v>45945</v>
      </c>
      <c r="B67" s="847" t="s">
        <v>883</v>
      </c>
      <c r="C67">
        <v>3.7269999999999999</v>
      </c>
      <c r="E67">
        <f t="shared" si="1"/>
        <v>1</v>
      </c>
      <c r="F67" s="11">
        <v>65</v>
      </c>
      <c r="G67" s="179">
        <v>46162</v>
      </c>
      <c r="H67" s="847">
        <v>4.2439999999999998</v>
      </c>
      <c r="I67" s="847">
        <v>4.367</v>
      </c>
      <c r="J67" s="847">
        <v>3.2730000000000001</v>
      </c>
      <c r="K67" s="847">
        <v>4.42</v>
      </c>
      <c r="L67" s="847">
        <v>3.3690000000000002</v>
      </c>
      <c r="M67" s="847">
        <v>4.4829999999999997</v>
      </c>
      <c r="N67" s="847">
        <v>3.45</v>
      </c>
      <c r="O67" s="847">
        <v>3.7549999999999999</v>
      </c>
      <c r="P67" s="847">
        <v>4.0590000000000002</v>
      </c>
      <c r="Q67" s="847">
        <v>4.133</v>
      </c>
      <c r="R67" s="321">
        <f t="shared" si="2"/>
        <v>0</v>
      </c>
      <c r="S67" s="72">
        <f t="shared" si="3"/>
        <v>0</v>
      </c>
      <c r="T67" s="72">
        <f t="shared" si="4"/>
        <v>0</v>
      </c>
      <c r="U67" s="72">
        <f t="shared" si="5"/>
        <v>0.49999999999998934</v>
      </c>
      <c r="V67" s="72">
        <f t="shared" si="6"/>
        <v>0.90000000000003411</v>
      </c>
      <c r="W67" s="72">
        <f t="shared" si="7"/>
        <v>0.1000000000000334</v>
      </c>
      <c r="X67" s="196">
        <f t="shared" si="8"/>
        <v>0.39999999999995595</v>
      </c>
      <c r="Y67" s="196">
        <f t="shared" si="9"/>
        <v>1.1000000000000121</v>
      </c>
      <c r="Z67" s="72">
        <f t="shared" si="10"/>
        <v>1.7000000000000348</v>
      </c>
      <c r="AA67" s="72">
        <f t="shared" si="11"/>
        <v>1.699999999999946</v>
      </c>
      <c r="AB67" s="321">
        <f t="shared" si="21"/>
        <v>0.89999999999994529</v>
      </c>
      <c r="AC67" s="72">
        <f t="shared" si="12"/>
        <v>3.2000000000000028</v>
      </c>
      <c r="AD67" s="72">
        <f t="shared" si="13"/>
        <v>0.20000000000002238</v>
      </c>
      <c r="AE67" s="72">
        <f t="shared" si="14"/>
        <v>2.7000000000000135</v>
      </c>
      <c r="AF67" s="72">
        <f t="shared" si="15"/>
        <v>0.20000000000002238</v>
      </c>
      <c r="AG67" s="72">
        <f t="shared" si="16"/>
        <v>2.6999999999999247</v>
      </c>
      <c r="AH67" s="196">
        <f t="shared" si="17"/>
        <v>0</v>
      </c>
      <c r="AI67" s="196">
        <f t="shared" si="18"/>
        <v>9.9999999999988987E-2</v>
      </c>
      <c r="AJ67" s="72">
        <f t="shared" si="19"/>
        <v>0.19999999999997797</v>
      </c>
      <c r="AK67" s="72">
        <f t="shared" si="20"/>
        <v>0.40000000000004476</v>
      </c>
      <c r="AM67" s="35"/>
      <c r="AN67" s="35"/>
    </row>
    <row r="68" spans="1:40" x14ac:dyDescent="0.3">
      <c r="A68" s="35">
        <v>45946</v>
      </c>
      <c r="B68" s="847" t="s">
        <v>883</v>
      </c>
      <c r="C68">
        <v>3.746</v>
      </c>
      <c r="E68">
        <f t="shared" ref="E68:E131" si="22">G68-G69</f>
        <v>1</v>
      </c>
      <c r="F68" s="11">
        <v>66</v>
      </c>
      <c r="G68" s="179">
        <v>46161</v>
      </c>
      <c r="H68" s="847">
        <v>4.24</v>
      </c>
      <c r="I68" s="847">
        <v>4.3559999999999999</v>
      </c>
      <c r="J68" s="847">
        <v>3.2730000000000001</v>
      </c>
      <c r="K68" s="847">
        <v>4.4029999999999996</v>
      </c>
      <c r="L68" s="847">
        <v>3.3690000000000002</v>
      </c>
      <c r="M68" s="847">
        <v>4.4660000000000002</v>
      </c>
      <c r="N68" s="847">
        <v>3.45</v>
      </c>
      <c r="O68" s="847">
        <v>3.75</v>
      </c>
      <c r="P68" s="847">
        <v>4.05</v>
      </c>
      <c r="Q68" s="847">
        <v>4.1319999999999997</v>
      </c>
      <c r="R68" s="321">
        <f t="shared" ref="R68:R131" si="23">(J68-J69)*100</f>
        <v>0</v>
      </c>
      <c r="S68" s="72">
        <f t="shared" ref="S68:S131" si="24">(L68-L69)*100</f>
        <v>0</v>
      </c>
      <c r="T68" s="72">
        <f t="shared" ref="T68:T131" si="25">(N68-N69)*100</f>
        <v>0</v>
      </c>
      <c r="U68" s="72">
        <f t="shared" ref="U68:U131" si="26">(O68-O69)*100</f>
        <v>0.19999999999997797</v>
      </c>
      <c r="V68" s="72">
        <f t="shared" ref="V68:V131" si="27">(P68-P69)*100</f>
        <v>0.39999999999995595</v>
      </c>
      <c r="W68" s="72">
        <f t="shared" ref="W68:W131" si="28">(Q68-Q69)*100</f>
        <v>0</v>
      </c>
      <c r="X68" s="196">
        <f t="shared" ref="X68:X131" si="29">(H68-H69)*100</f>
        <v>-0.39999999999995595</v>
      </c>
      <c r="Y68" s="196">
        <f t="shared" ref="Y68:Y131" si="30">(I68-I69)*100</f>
        <v>0.49999999999998934</v>
      </c>
      <c r="Z68" s="72">
        <f t="shared" ref="Z68:Z131" si="31">(K68-K69)*100</f>
        <v>0</v>
      </c>
      <c r="AA68" s="72">
        <f t="shared" ref="AA68:AA131" si="32">(M68-M69)*100</f>
        <v>0</v>
      </c>
      <c r="AB68" s="321">
        <f t="shared" ref="AB68:AB131" si="33">(H68-H78)*100</f>
        <v>0.80000000000000071</v>
      </c>
      <c r="AC68" s="72">
        <f t="shared" ref="AC68:AC131" si="34">(I68-I78)*100</f>
        <v>2.0999999999999908</v>
      </c>
      <c r="AD68" s="72">
        <f t="shared" ref="AD68:AD131" si="35">(J68-J78)*100</f>
        <v>0.20000000000002238</v>
      </c>
      <c r="AE68" s="72">
        <f t="shared" ref="AE68:AE131" si="36">(K68-K78)*100</f>
        <v>0.99999999999997868</v>
      </c>
      <c r="AF68" s="72">
        <f t="shared" ref="AF68:AF131" si="37">(L68-L78)*100</f>
        <v>0.20000000000002238</v>
      </c>
      <c r="AG68" s="72">
        <f t="shared" ref="AG68:AG131" si="38">(M68-M78)*100</f>
        <v>0.99999999999997868</v>
      </c>
      <c r="AH68" s="196">
        <f t="shared" ref="AH68:AH131" si="39">(N68-N78)*100</f>
        <v>0</v>
      </c>
      <c r="AI68" s="196">
        <f t="shared" ref="AI68:AI131" si="40">(O68-O78)*100</f>
        <v>0</v>
      </c>
      <c r="AJ68" s="72">
        <f t="shared" ref="AJ68:AJ131" si="41">(P68-P78)*100</f>
        <v>0</v>
      </c>
      <c r="AK68" s="72">
        <f t="shared" ref="AK68:AK131" si="42">(Q68-Q78)*100</f>
        <v>0.30000000000001137</v>
      </c>
      <c r="AM68" s="35"/>
      <c r="AN68" s="35"/>
    </row>
    <row r="69" spans="1:40" x14ac:dyDescent="0.3">
      <c r="A69" s="35">
        <v>45947</v>
      </c>
      <c r="B69" s="847" t="s">
        <v>883</v>
      </c>
      <c r="C69">
        <v>3.762</v>
      </c>
      <c r="E69">
        <f t="shared" si="22"/>
        <v>3</v>
      </c>
      <c r="F69" s="11">
        <v>67</v>
      </c>
      <c r="G69" s="179">
        <v>46160</v>
      </c>
      <c r="H69" s="847">
        <v>4.2439999999999998</v>
      </c>
      <c r="I69" s="847">
        <v>4.351</v>
      </c>
      <c r="J69" s="847">
        <v>3.2730000000000001</v>
      </c>
      <c r="K69" s="847">
        <v>4.4029999999999996</v>
      </c>
      <c r="L69" s="847">
        <v>3.3690000000000002</v>
      </c>
      <c r="M69" s="847">
        <v>4.4660000000000002</v>
      </c>
      <c r="N69" s="847">
        <v>3.45</v>
      </c>
      <c r="O69" s="847">
        <v>3.7480000000000002</v>
      </c>
      <c r="P69" s="847">
        <v>4.0460000000000003</v>
      </c>
      <c r="Q69" s="847">
        <v>4.1319999999999997</v>
      </c>
      <c r="R69" s="321">
        <f t="shared" si="23"/>
        <v>0</v>
      </c>
      <c r="S69" s="72">
        <f t="shared" si="24"/>
        <v>0</v>
      </c>
      <c r="T69" s="72">
        <f t="shared" si="25"/>
        <v>0</v>
      </c>
      <c r="U69" s="72">
        <f t="shared" si="26"/>
        <v>-0.19999999999997797</v>
      </c>
      <c r="V69" s="72">
        <f t="shared" si="27"/>
        <v>-0.39999999999995595</v>
      </c>
      <c r="W69" s="72">
        <f t="shared" si="28"/>
        <v>0</v>
      </c>
      <c r="X69" s="196">
        <f t="shared" si="29"/>
        <v>0.39999999999995595</v>
      </c>
      <c r="Y69" s="196">
        <f t="shared" si="30"/>
        <v>0.1000000000000334</v>
      </c>
      <c r="Z69" s="72">
        <f t="shared" si="31"/>
        <v>0</v>
      </c>
      <c r="AA69" s="72">
        <f t="shared" si="32"/>
        <v>0</v>
      </c>
      <c r="AB69" s="321">
        <f t="shared" si="33"/>
        <v>1.7999999999999794</v>
      </c>
      <c r="AC69" s="72">
        <f t="shared" si="34"/>
        <v>1.6000000000000014</v>
      </c>
      <c r="AD69" s="72">
        <f t="shared" si="35"/>
        <v>1.0000000000000231</v>
      </c>
      <c r="AE69" s="72">
        <f t="shared" si="36"/>
        <v>0.99999999999997868</v>
      </c>
      <c r="AF69" s="72">
        <f t="shared" si="37"/>
        <v>1.1000000000000121</v>
      </c>
      <c r="AG69" s="72">
        <f t="shared" si="38"/>
        <v>-0.19999999999997797</v>
      </c>
      <c r="AH69" s="196">
        <f t="shared" si="39"/>
        <v>-1.6999999999999904</v>
      </c>
      <c r="AI69" s="196">
        <f t="shared" si="40"/>
        <v>-1.1999999999999567</v>
      </c>
      <c r="AJ69" s="72">
        <f t="shared" si="41"/>
        <v>-0.80000000000000071</v>
      </c>
      <c r="AK69" s="72">
        <f t="shared" si="42"/>
        <v>0.19999999999997797</v>
      </c>
      <c r="AM69" s="35"/>
      <c r="AN69" s="35"/>
    </row>
    <row r="70" spans="1:40" x14ac:dyDescent="0.3">
      <c r="A70" s="35">
        <v>45950</v>
      </c>
      <c r="B70" s="847" t="s">
        <v>883</v>
      </c>
      <c r="C70">
        <v>3.758</v>
      </c>
      <c r="E70">
        <f t="shared" si="22"/>
        <v>1</v>
      </c>
      <c r="F70" s="11">
        <v>68</v>
      </c>
      <c r="G70" s="179">
        <v>46157</v>
      </c>
      <c r="H70" s="847">
        <v>4.24</v>
      </c>
      <c r="I70" s="847">
        <v>4.3499999999999996</v>
      </c>
      <c r="J70" s="847">
        <v>3.2730000000000001</v>
      </c>
      <c r="K70" s="847">
        <v>4.4029999999999996</v>
      </c>
      <c r="L70" s="847">
        <v>3.3690000000000002</v>
      </c>
      <c r="M70" s="847">
        <v>4.4660000000000002</v>
      </c>
      <c r="N70" s="847">
        <v>3.45</v>
      </c>
      <c r="O70" s="847">
        <v>3.75</v>
      </c>
      <c r="P70" s="847">
        <v>4.05</v>
      </c>
      <c r="Q70" s="847">
        <v>4.1319999999999997</v>
      </c>
      <c r="R70" s="321">
        <f t="shared" si="23"/>
        <v>0</v>
      </c>
      <c r="S70" s="72">
        <f t="shared" si="24"/>
        <v>0</v>
      </c>
      <c r="T70" s="72">
        <f t="shared" si="25"/>
        <v>0</v>
      </c>
      <c r="U70" s="72">
        <f t="shared" si="26"/>
        <v>0.30000000000001137</v>
      </c>
      <c r="V70" s="72">
        <f t="shared" si="27"/>
        <v>0.60000000000002274</v>
      </c>
      <c r="W70" s="72">
        <f t="shared" si="28"/>
        <v>0</v>
      </c>
      <c r="X70" s="196">
        <f t="shared" si="29"/>
        <v>-0.30000000000001137</v>
      </c>
      <c r="Y70" s="196">
        <f t="shared" si="30"/>
        <v>0</v>
      </c>
      <c r="Z70" s="72">
        <f t="shared" si="31"/>
        <v>0</v>
      </c>
      <c r="AA70" s="72">
        <f t="shared" si="32"/>
        <v>0</v>
      </c>
      <c r="AB70" s="321">
        <f t="shared" si="33"/>
        <v>0.40000000000004476</v>
      </c>
      <c r="AC70" s="72">
        <f t="shared" si="34"/>
        <v>1.499999999999968</v>
      </c>
      <c r="AD70" s="72">
        <f t="shared" si="35"/>
        <v>1.0000000000000231</v>
      </c>
      <c r="AE70" s="72">
        <f t="shared" si="36"/>
        <v>0.99999999999997868</v>
      </c>
      <c r="AF70" s="72">
        <f t="shared" si="37"/>
        <v>1.1000000000000121</v>
      </c>
      <c r="AG70" s="72">
        <f t="shared" si="38"/>
        <v>-0.19999999999997797</v>
      </c>
      <c r="AH70" s="196">
        <f t="shared" si="39"/>
        <v>-1.6999999999999904</v>
      </c>
      <c r="AI70" s="196">
        <f t="shared" si="40"/>
        <v>-1.2000000000000011</v>
      </c>
      <c r="AJ70" s="72">
        <f t="shared" si="41"/>
        <v>-0.70000000000005613</v>
      </c>
      <c r="AK70" s="72">
        <f t="shared" si="42"/>
        <v>0.19999999999997797</v>
      </c>
      <c r="AM70" s="35"/>
      <c r="AN70" s="35"/>
    </row>
    <row r="71" spans="1:40" x14ac:dyDescent="0.3">
      <c r="A71" s="35">
        <v>45951</v>
      </c>
      <c r="B71" s="847" t="s">
        <v>883</v>
      </c>
      <c r="C71">
        <v>3.762</v>
      </c>
      <c r="E71">
        <f t="shared" si="22"/>
        <v>1</v>
      </c>
      <c r="F71" s="11">
        <v>69</v>
      </c>
      <c r="G71" s="179">
        <v>46156</v>
      </c>
      <c r="H71" s="847">
        <v>4.2430000000000003</v>
      </c>
      <c r="I71" s="847">
        <v>4.3499999999999996</v>
      </c>
      <c r="J71" s="847">
        <v>3.2730000000000001</v>
      </c>
      <c r="K71" s="847">
        <v>4.4029999999999996</v>
      </c>
      <c r="L71" s="847">
        <v>3.3690000000000002</v>
      </c>
      <c r="M71" s="847">
        <v>4.4660000000000002</v>
      </c>
      <c r="N71" s="847">
        <v>3.45</v>
      </c>
      <c r="O71" s="847">
        <v>3.7469999999999999</v>
      </c>
      <c r="P71" s="847">
        <v>4.0439999999999996</v>
      </c>
      <c r="Q71" s="847">
        <v>4.1319999999999997</v>
      </c>
      <c r="R71" s="321">
        <f t="shared" si="23"/>
        <v>0</v>
      </c>
      <c r="S71" s="72">
        <f t="shared" si="24"/>
        <v>0</v>
      </c>
      <c r="T71" s="72">
        <f t="shared" si="25"/>
        <v>0</v>
      </c>
      <c r="U71" s="72">
        <f t="shared" si="26"/>
        <v>9.9999999999988987E-2</v>
      </c>
      <c r="V71" s="72">
        <f t="shared" si="27"/>
        <v>9.9999999999944578E-2</v>
      </c>
      <c r="W71" s="72">
        <f t="shared" si="28"/>
        <v>0.30000000000001137</v>
      </c>
      <c r="X71" s="196">
        <f t="shared" si="29"/>
        <v>0.49999999999998934</v>
      </c>
      <c r="Y71" s="196">
        <f t="shared" si="30"/>
        <v>0.19999999999997797</v>
      </c>
      <c r="Z71" s="72">
        <f t="shared" si="31"/>
        <v>0.49999999999998934</v>
      </c>
      <c r="AA71" s="72">
        <f t="shared" si="32"/>
        <v>0.60000000000002274</v>
      </c>
      <c r="AB71" s="321">
        <f t="shared" si="33"/>
        <v>1.0000000000000675</v>
      </c>
      <c r="AC71" s="72">
        <f t="shared" si="34"/>
        <v>1.6000000000000014</v>
      </c>
      <c r="AD71" s="72">
        <f t="shared" si="35"/>
        <v>1.0000000000000231</v>
      </c>
      <c r="AE71" s="72">
        <f t="shared" si="36"/>
        <v>0.99999999999997868</v>
      </c>
      <c r="AF71" s="72">
        <f t="shared" si="37"/>
        <v>1.1000000000000121</v>
      </c>
      <c r="AG71" s="72">
        <f t="shared" si="38"/>
        <v>-0.19999999999997797</v>
      </c>
      <c r="AH71" s="196">
        <f t="shared" si="39"/>
        <v>0.80000000000000071</v>
      </c>
      <c r="AI71" s="196">
        <f t="shared" si="40"/>
        <v>-0.20000000000002238</v>
      </c>
      <c r="AJ71" s="72">
        <f t="shared" si="41"/>
        <v>-1.3000000000000789</v>
      </c>
      <c r="AK71" s="72">
        <f t="shared" si="42"/>
        <v>0.19999999999997797</v>
      </c>
      <c r="AM71" s="35"/>
      <c r="AN71" s="35"/>
    </row>
    <row r="72" spans="1:40" x14ac:dyDescent="0.3">
      <c r="A72" s="35">
        <v>45952</v>
      </c>
      <c r="B72" s="847" t="s">
        <v>883</v>
      </c>
      <c r="C72">
        <v>3.77</v>
      </c>
      <c r="E72">
        <f t="shared" si="22"/>
        <v>1</v>
      </c>
      <c r="F72" s="11">
        <v>70</v>
      </c>
      <c r="G72" s="179">
        <v>46155</v>
      </c>
      <c r="H72" s="847">
        <v>4.2380000000000004</v>
      </c>
      <c r="I72" s="847">
        <v>4.3479999999999999</v>
      </c>
      <c r="J72" s="847">
        <v>3.2730000000000001</v>
      </c>
      <c r="K72" s="847">
        <v>4.3979999999999997</v>
      </c>
      <c r="L72" s="847">
        <v>3.3690000000000002</v>
      </c>
      <c r="M72" s="847">
        <v>4.46</v>
      </c>
      <c r="N72" s="847">
        <v>3.45</v>
      </c>
      <c r="O72" s="847">
        <v>3.746</v>
      </c>
      <c r="P72" s="847">
        <v>4.0430000000000001</v>
      </c>
      <c r="Q72" s="847">
        <v>4.1289999999999996</v>
      </c>
      <c r="R72" s="321">
        <f t="shared" si="23"/>
        <v>0</v>
      </c>
      <c r="S72" s="72">
        <f t="shared" si="24"/>
        <v>0</v>
      </c>
      <c r="T72" s="72">
        <f t="shared" si="25"/>
        <v>0</v>
      </c>
      <c r="U72" s="72">
        <f t="shared" si="26"/>
        <v>-0.40000000000000036</v>
      </c>
      <c r="V72" s="72">
        <f t="shared" si="27"/>
        <v>-0.69999999999996732</v>
      </c>
      <c r="W72" s="72">
        <f t="shared" si="28"/>
        <v>0</v>
      </c>
      <c r="X72" s="196">
        <f t="shared" si="29"/>
        <v>0.20000000000006679</v>
      </c>
      <c r="Y72" s="196">
        <f t="shared" si="30"/>
        <v>0.19999999999997797</v>
      </c>
      <c r="Z72" s="72">
        <f t="shared" si="31"/>
        <v>0</v>
      </c>
      <c r="AA72" s="72">
        <f t="shared" si="32"/>
        <v>0</v>
      </c>
      <c r="AB72" s="321">
        <f t="shared" si="33"/>
        <v>0.50000000000007816</v>
      </c>
      <c r="AC72" s="72">
        <f t="shared" si="34"/>
        <v>1.4000000000000234</v>
      </c>
      <c r="AD72" s="72">
        <f t="shared" si="35"/>
        <v>1.0000000000000231</v>
      </c>
      <c r="AE72" s="72">
        <f t="shared" si="36"/>
        <v>0.49999999999998934</v>
      </c>
      <c r="AF72" s="72">
        <f t="shared" si="37"/>
        <v>1.1000000000000121</v>
      </c>
      <c r="AG72" s="72">
        <f t="shared" si="38"/>
        <v>-0.80000000000000071</v>
      </c>
      <c r="AH72" s="196">
        <f t="shared" si="39"/>
        <v>0.80000000000000071</v>
      </c>
      <c r="AI72" s="196">
        <f t="shared" si="40"/>
        <v>-0.30000000000001137</v>
      </c>
      <c r="AJ72" s="72">
        <f t="shared" si="41"/>
        <v>-1.4000000000000234</v>
      </c>
      <c r="AK72" s="72">
        <f t="shared" si="42"/>
        <v>-0.1000000000000334</v>
      </c>
      <c r="AM72" s="35"/>
      <c r="AN72" s="35"/>
    </row>
    <row r="73" spans="1:40" x14ac:dyDescent="0.3">
      <c r="A73" s="35">
        <v>45953</v>
      </c>
      <c r="B73" s="847" t="s">
        <v>883</v>
      </c>
      <c r="C73">
        <v>3.7970000000000002</v>
      </c>
      <c r="E73">
        <f t="shared" si="22"/>
        <v>1</v>
      </c>
      <c r="F73" s="11">
        <v>71</v>
      </c>
      <c r="G73" s="179">
        <v>46154</v>
      </c>
      <c r="H73" s="847">
        <v>4.2359999999999998</v>
      </c>
      <c r="I73" s="847">
        <v>4.3460000000000001</v>
      </c>
      <c r="J73" s="847">
        <v>3.2730000000000001</v>
      </c>
      <c r="K73" s="847">
        <v>4.3979999999999997</v>
      </c>
      <c r="L73" s="847">
        <v>3.3690000000000002</v>
      </c>
      <c r="M73" s="847">
        <v>4.46</v>
      </c>
      <c r="N73" s="847">
        <v>3.45</v>
      </c>
      <c r="O73" s="847">
        <v>3.75</v>
      </c>
      <c r="P73" s="847">
        <v>4.05</v>
      </c>
      <c r="Q73" s="847">
        <v>4.1289999999999996</v>
      </c>
      <c r="R73" s="321">
        <f t="shared" si="23"/>
        <v>0</v>
      </c>
      <c r="S73" s="72">
        <f t="shared" si="24"/>
        <v>0</v>
      </c>
      <c r="T73" s="72">
        <f t="shared" si="25"/>
        <v>0</v>
      </c>
      <c r="U73" s="72">
        <f t="shared" si="26"/>
        <v>0.19999999999997797</v>
      </c>
      <c r="V73" s="72">
        <f t="shared" si="27"/>
        <v>0.39999999999995595</v>
      </c>
      <c r="W73" s="72">
        <f t="shared" si="28"/>
        <v>0</v>
      </c>
      <c r="X73" s="196">
        <f t="shared" si="29"/>
        <v>9.9999999999944578E-2</v>
      </c>
      <c r="Y73" s="196">
        <f t="shared" si="30"/>
        <v>0</v>
      </c>
      <c r="Z73" s="72">
        <f t="shared" si="31"/>
        <v>0</v>
      </c>
      <c r="AA73" s="72">
        <f t="shared" si="32"/>
        <v>0</v>
      </c>
      <c r="AB73" s="321">
        <f t="shared" si="33"/>
        <v>0.30000000000001137</v>
      </c>
      <c r="AC73" s="72">
        <f t="shared" si="34"/>
        <v>1.2999999999999901</v>
      </c>
      <c r="AD73" s="72">
        <f t="shared" si="35"/>
        <v>1.0000000000000231</v>
      </c>
      <c r="AE73" s="72">
        <f t="shared" si="36"/>
        <v>0.49999999999998934</v>
      </c>
      <c r="AF73" s="72">
        <f t="shared" si="37"/>
        <v>1.1000000000000121</v>
      </c>
      <c r="AG73" s="72">
        <f t="shared" si="38"/>
        <v>-0.80000000000000071</v>
      </c>
      <c r="AH73" s="196">
        <f t="shared" si="39"/>
        <v>0.80000000000000071</v>
      </c>
      <c r="AI73" s="196">
        <f t="shared" si="40"/>
        <v>-9.9999999999988987E-2</v>
      </c>
      <c r="AJ73" s="72">
        <f t="shared" si="41"/>
        <v>-1.1000000000000121</v>
      </c>
      <c r="AK73" s="72">
        <f t="shared" si="42"/>
        <v>-0.1000000000000334</v>
      </c>
      <c r="AM73" s="35"/>
      <c r="AN73" s="35"/>
    </row>
    <row r="74" spans="1:40" x14ac:dyDescent="0.3">
      <c r="A74" s="35">
        <v>45954</v>
      </c>
      <c r="B74" s="847" t="s">
        <v>883</v>
      </c>
      <c r="C74">
        <v>3.7930000000000001</v>
      </c>
      <c r="E74">
        <f t="shared" si="22"/>
        <v>3</v>
      </c>
      <c r="F74" s="11">
        <v>72</v>
      </c>
      <c r="G74" s="179">
        <v>46153</v>
      </c>
      <c r="H74" s="847">
        <v>4.2350000000000003</v>
      </c>
      <c r="I74" s="847">
        <v>4.3460000000000001</v>
      </c>
      <c r="J74" s="847">
        <v>3.2730000000000001</v>
      </c>
      <c r="K74" s="847">
        <v>4.3979999999999997</v>
      </c>
      <c r="L74" s="847">
        <v>3.3690000000000002</v>
      </c>
      <c r="M74" s="847">
        <v>4.46</v>
      </c>
      <c r="N74" s="847">
        <v>3.45</v>
      </c>
      <c r="O74" s="847">
        <v>3.7480000000000002</v>
      </c>
      <c r="P74" s="847">
        <v>4.0460000000000003</v>
      </c>
      <c r="Q74" s="847">
        <v>4.1289999999999996</v>
      </c>
      <c r="R74" s="321">
        <f t="shared" si="23"/>
        <v>0</v>
      </c>
      <c r="S74" s="72">
        <f t="shared" si="24"/>
        <v>0</v>
      </c>
      <c r="T74" s="72">
        <f t="shared" si="25"/>
        <v>0</v>
      </c>
      <c r="U74" s="72">
        <f t="shared" si="26"/>
        <v>-0.19999999999997797</v>
      </c>
      <c r="V74" s="72">
        <f t="shared" si="27"/>
        <v>-0.39999999999995595</v>
      </c>
      <c r="W74" s="72">
        <f t="shared" si="28"/>
        <v>0</v>
      </c>
      <c r="X74" s="196">
        <f t="shared" si="29"/>
        <v>0</v>
      </c>
      <c r="Y74" s="196">
        <f t="shared" si="30"/>
        <v>0</v>
      </c>
      <c r="Z74" s="72">
        <f t="shared" si="31"/>
        <v>0</v>
      </c>
      <c r="AA74" s="72">
        <f t="shared" si="32"/>
        <v>0</v>
      </c>
      <c r="AB74" s="321">
        <f t="shared" si="33"/>
        <v>0.49999999999998934</v>
      </c>
      <c r="AC74" s="72">
        <f t="shared" si="34"/>
        <v>1.2999999999999901</v>
      </c>
      <c r="AD74" s="72">
        <f t="shared" si="35"/>
        <v>1.5000000000000124</v>
      </c>
      <c r="AE74" s="72">
        <f t="shared" si="36"/>
        <v>0.49999999999998934</v>
      </c>
      <c r="AF74" s="72">
        <f t="shared" si="37"/>
        <v>1.5000000000000124</v>
      </c>
      <c r="AG74" s="72">
        <f t="shared" si="38"/>
        <v>-0.80000000000000071</v>
      </c>
      <c r="AH74" s="196">
        <f t="shared" si="39"/>
        <v>1.2000000000000011</v>
      </c>
      <c r="AI74" s="196">
        <f t="shared" si="40"/>
        <v>0</v>
      </c>
      <c r="AJ74" s="72">
        <f t="shared" si="41"/>
        <v>-1.2999999999999901</v>
      </c>
      <c r="AK74" s="72">
        <f t="shared" si="42"/>
        <v>-0.40000000000004476</v>
      </c>
      <c r="AM74" s="35"/>
      <c r="AN74" s="35"/>
    </row>
    <row r="75" spans="1:40" x14ac:dyDescent="0.3">
      <c r="A75" s="35">
        <v>45957</v>
      </c>
      <c r="B75" s="847" t="s">
        <v>883</v>
      </c>
      <c r="C75">
        <v>3.7869999999999999</v>
      </c>
      <c r="E75">
        <f t="shared" si="22"/>
        <v>1</v>
      </c>
      <c r="F75" s="11">
        <v>73</v>
      </c>
      <c r="G75" s="179">
        <v>46150</v>
      </c>
      <c r="H75" s="847">
        <v>4.2350000000000003</v>
      </c>
      <c r="I75" s="847">
        <v>4.3460000000000001</v>
      </c>
      <c r="J75" s="847">
        <v>3.2730000000000001</v>
      </c>
      <c r="K75" s="847">
        <v>4.3979999999999997</v>
      </c>
      <c r="L75" s="847">
        <v>3.3690000000000002</v>
      </c>
      <c r="M75" s="847">
        <v>4.46</v>
      </c>
      <c r="N75" s="847">
        <v>3.45</v>
      </c>
      <c r="O75" s="847">
        <v>3.75</v>
      </c>
      <c r="P75" s="847">
        <v>4.05</v>
      </c>
      <c r="Q75" s="847">
        <v>4.1289999999999996</v>
      </c>
      <c r="R75" s="321">
        <f t="shared" si="23"/>
        <v>0.20000000000002238</v>
      </c>
      <c r="S75" s="72">
        <f t="shared" si="24"/>
        <v>0.20000000000002238</v>
      </c>
      <c r="T75" s="72">
        <f t="shared" si="25"/>
        <v>0</v>
      </c>
      <c r="U75" s="72">
        <f t="shared" si="26"/>
        <v>0</v>
      </c>
      <c r="V75" s="72">
        <f t="shared" si="27"/>
        <v>0</v>
      </c>
      <c r="W75" s="72">
        <f t="shared" si="28"/>
        <v>0</v>
      </c>
      <c r="X75" s="196">
        <f t="shared" si="29"/>
        <v>0</v>
      </c>
      <c r="Y75" s="196">
        <f t="shared" si="30"/>
        <v>0.90000000000003411</v>
      </c>
      <c r="Z75" s="72">
        <f t="shared" si="31"/>
        <v>0.49999999999998934</v>
      </c>
      <c r="AA75" s="72">
        <f t="shared" si="32"/>
        <v>0.39999999999995595</v>
      </c>
      <c r="AB75" s="321">
        <f t="shared" si="33"/>
        <v>0</v>
      </c>
      <c r="AC75" s="72">
        <f t="shared" si="34"/>
        <v>1.2999999999999901</v>
      </c>
      <c r="AD75" s="72">
        <f t="shared" si="35"/>
        <v>5.600000000000005</v>
      </c>
      <c r="AE75" s="72">
        <f t="shared" si="36"/>
        <v>0.89999999999994529</v>
      </c>
      <c r="AF75" s="72">
        <f t="shared" si="37"/>
        <v>5.600000000000005</v>
      </c>
      <c r="AG75" s="72">
        <f t="shared" si="38"/>
        <v>0.39999999999995595</v>
      </c>
      <c r="AH75" s="196">
        <f t="shared" si="39"/>
        <v>5.400000000000027</v>
      </c>
      <c r="AI75" s="196">
        <f t="shared" si="40"/>
        <v>2.0000000000000018</v>
      </c>
      <c r="AJ75" s="72">
        <f t="shared" si="41"/>
        <v>-1.4000000000000234</v>
      </c>
      <c r="AK75" s="72">
        <f t="shared" si="42"/>
        <v>-0.40000000000004476</v>
      </c>
      <c r="AM75" s="35"/>
      <c r="AN75" s="35"/>
    </row>
    <row r="76" spans="1:40" x14ac:dyDescent="0.3">
      <c r="A76" s="35">
        <v>45958</v>
      </c>
      <c r="B76" s="847" t="s">
        <v>883</v>
      </c>
      <c r="C76">
        <v>3.7850000000000001</v>
      </c>
      <c r="E76">
        <f t="shared" si="22"/>
        <v>1</v>
      </c>
      <c r="F76" s="11">
        <v>74</v>
      </c>
      <c r="G76" s="179">
        <v>46149</v>
      </c>
      <c r="H76" s="847">
        <v>4.2350000000000003</v>
      </c>
      <c r="I76" s="847">
        <v>4.3369999999999997</v>
      </c>
      <c r="J76" s="847">
        <v>3.2709999999999999</v>
      </c>
      <c r="K76" s="847">
        <v>4.3929999999999998</v>
      </c>
      <c r="L76" s="847">
        <v>3.367</v>
      </c>
      <c r="M76" s="847">
        <v>4.4560000000000004</v>
      </c>
      <c r="N76" s="847">
        <v>3.45</v>
      </c>
      <c r="O76" s="847">
        <v>3.75</v>
      </c>
      <c r="P76" s="847">
        <v>4.05</v>
      </c>
      <c r="Q76" s="847">
        <v>4.1289999999999996</v>
      </c>
      <c r="R76" s="321">
        <f t="shared" si="23"/>
        <v>0</v>
      </c>
      <c r="S76" s="72">
        <f t="shared" si="24"/>
        <v>0</v>
      </c>
      <c r="T76" s="72">
        <f t="shared" si="25"/>
        <v>0</v>
      </c>
      <c r="U76" s="72">
        <f t="shared" si="26"/>
        <v>-0.40000000000000036</v>
      </c>
      <c r="V76" s="72">
        <f t="shared" si="27"/>
        <v>-0.70000000000005613</v>
      </c>
      <c r="W76" s="72">
        <f t="shared" si="28"/>
        <v>0</v>
      </c>
      <c r="X76" s="196">
        <f t="shared" si="29"/>
        <v>0</v>
      </c>
      <c r="Y76" s="196">
        <f t="shared" si="30"/>
        <v>0.19999999999997797</v>
      </c>
      <c r="Z76" s="72">
        <f t="shared" si="31"/>
        <v>0</v>
      </c>
      <c r="AA76" s="72">
        <f t="shared" si="32"/>
        <v>0</v>
      </c>
      <c r="AB76" s="321">
        <f t="shared" si="33"/>
        <v>0</v>
      </c>
      <c r="AC76" s="72">
        <f t="shared" si="34"/>
        <v>0.69999999999996732</v>
      </c>
      <c r="AD76" s="72">
        <f t="shared" si="35"/>
        <v>1.2999999999999901</v>
      </c>
      <c r="AE76" s="72">
        <f t="shared" si="36"/>
        <v>0</v>
      </c>
      <c r="AF76" s="72">
        <f t="shared" si="37"/>
        <v>1.2999999999999901</v>
      </c>
      <c r="AG76" s="72">
        <f t="shared" si="38"/>
        <v>-1.1999999999999567</v>
      </c>
      <c r="AH76" s="196">
        <f t="shared" si="39"/>
        <v>1.2000000000000011</v>
      </c>
      <c r="AI76" s="196">
        <f t="shared" si="40"/>
        <v>-0.40000000000000036</v>
      </c>
      <c r="AJ76" s="72">
        <f t="shared" si="41"/>
        <v>-2.0999999999999908</v>
      </c>
      <c r="AK76" s="72">
        <f t="shared" si="42"/>
        <v>-0.20000000000006679</v>
      </c>
      <c r="AM76" s="35"/>
      <c r="AN76" s="35"/>
    </row>
    <row r="77" spans="1:40" x14ac:dyDescent="0.3">
      <c r="A77" s="35">
        <v>45959</v>
      </c>
      <c r="B77" s="847" t="s">
        <v>883</v>
      </c>
      <c r="C77">
        <v>3.7879999999999998</v>
      </c>
      <c r="E77">
        <f t="shared" si="22"/>
        <v>1</v>
      </c>
      <c r="F77" s="11">
        <v>75</v>
      </c>
      <c r="G77" s="179">
        <v>46148</v>
      </c>
      <c r="H77" s="847">
        <v>4.2350000000000003</v>
      </c>
      <c r="I77" s="847">
        <v>4.335</v>
      </c>
      <c r="J77" s="847">
        <v>3.2709999999999999</v>
      </c>
      <c r="K77" s="847">
        <v>4.3929999999999998</v>
      </c>
      <c r="L77" s="847">
        <v>3.367</v>
      </c>
      <c r="M77" s="847">
        <v>4.4560000000000004</v>
      </c>
      <c r="N77" s="847">
        <v>3.45</v>
      </c>
      <c r="O77" s="847">
        <v>3.754</v>
      </c>
      <c r="P77" s="847">
        <v>4.0570000000000004</v>
      </c>
      <c r="Q77" s="847">
        <v>4.1289999999999996</v>
      </c>
      <c r="R77" s="321">
        <f t="shared" si="23"/>
        <v>0</v>
      </c>
      <c r="S77" s="72">
        <f t="shared" si="24"/>
        <v>0</v>
      </c>
      <c r="T77" s="72">
        <f t="shared" si="25"/>
        <v>0</v>
      </c>
      <c r="U77" s="72">
        <f t="shared" si="26"/>
        <v>0.40000000000000036</v>
      </c>
      <c r="V77" s="72">
        <f t="shared" si="27"/>
        <v>0.70000000000005613</v>
      </c>
      <c r="W77" s="72">
        <f t="shared" si="28"/>
        <v>0</v>
      </c>
      <c r="X77" s="196">
        <f t="shared" si="29"/>
        <v>0.30000000000001137</v>
      </c>
      <c r="Y77" s="196">
        <f t="shared" si="30"/>
        <v>0</v>
      </c>
      <c r="Z77" s="72">
        <f t="shared" si="31"/>
        <v>0</v>
      </c>
      <c r="AA77" s="72">
        <f t="shared" si="32"/>
        <v>0</v>
      </c>
      <c r="AB77" s="321">
        <f t="shared" si="33"/>
        <v>1.0000000000000675</v>
      </c>
      <c r="AC77" s="72">
        <f t="shared" si="34"/>
        <v>0.80000000000000071</v>
      </c>
      <c r="AD77" s="72">
        <f t="shared" si="35"/>
        <v>5.3999999999999826</v>
      </c>
      <c r="AE77" s="72">
        <f t="shared" si="36"/>
        <v>0.39999999999995595</v>
      </c>
      <c r="AF77" s="72">
        <f t="shared" si="37"/>
        <v>5.3999999999999826</v>
      </c>
      <c r="AG77" s="72">
        <f t="shared" si="38"/>
        <v>-0.80000000000000071</v>
      </c>
      <c r="AH77" s="196">
        <f t="shared" si="39"/>
        <v>5.400000000000027</v>
      </c>
      <c r="AI77" s="196">
        <f t="shared" si="40"/>
        <v>2.0999999999999908</v>
      </c>
      <c r="AJ77" s="72">
        <f t="shared" si="41"/>
        <v>-1.1999999999999567</v>
      </c>
      <c r="AK77" s="72">
        <f t="shared" si="42"/>
        <v>0.39999999999995595</v>
      </c>
      <c r="AM77" s="35"/>
      <c r="AN77" s="35"/>
    </row>
    <row r="78" spans="1:40" x14ac:dyDescent="0.3">
      <c r="A78" s="35">
        <v>45960</v>
      </c>
      <c r="B78" s="847" t="s">
        <v>883</v>
      </c>
      <c r="C78">
        <v>3.81</v>
      </c>
      <c r="E78">
        <f t="shared" si="22"/>
        <v>1</v>
      </c>
      <c r="F78" s="11">
        <v>76</v>
      </c>
      <c r="G78" s="179">
        <v>46147</v>
      </c>
      <c r="H78" s="847">
        <v>4.2320000000000002</v>
      </c>
      <c r="I78" s="847">
        <v>4.335</v>
      </c>
      <c r="J78" s="847">
        <v>3.2709999999999999</v>
      </c>
      <c r="K78" s="847">
        <v>4.3929999999999998</v>
      </c>
      <c r="L78" s="847">
        <v>3.367</v>
      </c>
      <c r="M78" s="847">
        <v>4.4560000000000004</v>
      </c>
      <c r="N78" s="847">
        <v>3.45</v>
      </c>
      <c r="O78" s="847">
        <v>3.75</v>
      </c>
      <c r="P78" s="847">
        <v>4.05</v>
      </c>
      <c r="Q78" s="847">
        <v>4.1289999999999996</v>
      </c>
      <c r="R78" s="321">
        <f t="shared" si="23"/>
        <v>0.80000000000000071</v>
      </c>
      <c r="S78" s="72">
        <f t="shared" si="24"/>
        <v>0.8999999999999897</v>
      </c>
      <c r="T78" s="72">
        <f t="shared" si="25"/>
        <v>-1.6999999999999904</v>
      </c>
      <c r="U78" s="72">
        <f t="shared" si="26"/>
        <v>-0.99999999999997868</v>
      </c>
      <c r="V78" s="72">
        <f t="shared" si="27"/>
        <v>-0.40000000000004476</v>
      </c>
      <c r="W78" s="72">
        <f t="shared" si="28"/>
        <v>-0.1000000000000334</v>
      </c>
      <c r="X78" s="196">
        <f t="shared" si="29"/>
        <v>0.60000000000002274</v>
      </c>
      <c r="Y78" s="196">
        <f t="shared" si="30"/>
        <v>0</v>
      </c>
      <c r="Z78" s="72">
        <f t="shared" si="31"/>
        <v>0</v>
      </c>
      <c r="AA78" s="72">
        <f t="shared" si="32"/>
        <v>-1.1999999999999567</v>
      </c>
      <c r="AB78" s="321">
        <f t="shared" si="33"/>
        <v>0.80000000000000071</v>
      </c>
      <c r="AC78" s="72">
        <f t="shared" si="34"/>
        <v>0.99999999999997868</v>
      </c>
      <c r="AD78" s="72">
        <f t="shared" si="35"/>
        <v>5.3999999999999826</v>
      </c>
      <c r="AE78" s="72">
        <f t="shared" si="36"/>
        <v>0.49999999999998934</v>
      </c>
      <c r="AF78" s="72">
        <f t="shared" si="37"/>
        <v>5.3999999999999826</v>
      </c>
      <c r="AG78" s="72">
        <f t="shared" si="38"/>
        <v>-0.69999999999996732</v>
      </c>
      <c r="AH78" s="196">
        <f t="shared" si="39"/>
        <v>5.400000000000027</v>
      </c>
      <c r="AI78" s="196">
        <f t="shared" si="40"/>
        <v>2.4000000000000021</v>
      </c>
      <c r="AJ78" s="72">
        <f t="shared" si="41"/>
        <v>-0.70000000000005613</v>
      </c>
      <c r="AK78" s="72">
        <f t="shared" si="42"/>
        <v>0.39999999999995595</v>
      </c>
      <c r="AM78" s="35"/>
      <c r="AN78" s="35"/>
    </row>
    <row r="79" spans="1:40" x14ac:dyDescent="0.3">
      <c r="A79" s="35">
        <v>45961</v>
      </c>
      <c r="B79" s="847" t="s">
        <v>883</v>
      </c>
      <c r="C79">
        <v>3.82</v>
      </c>
      <c r="E79">
        <f t="shared" si="22"/>
        <v>5</v>
      </c>
      <c r="F79" s="11">
        <v>77</v>
      </c>
      <c r="G79" s="179">
        <v>46146</v>
      </c>
      <c r="H79" s="847">
        <v>4.226</v>
      </c>
      <c r="I79" s="847">
        <v>4.335</v>
      </c>
      <c r="J79" s="847">
        <v>3.2629999999999999</v>
      </c>
      <c r="K79" s="847">
        <v>4.3929999999999998</v>
      </c>
      <c r="L79" s="847">
        <v>3.3580000000000001</v>
      </c>
      <c r="M79" s="847">
        <v>4.468</v>
      </c>
      <c r="N79" s="847">
        <v>3.4670000000000001</v>
      </c>
      <c r="O79" s="847">
        <v>3.76</v>
      </c>
      <c r="P79" s="847">
        <v>4.0540000000000003</v>
      </c>
      <c r="Q79" s="847">
        <v>4.13</v>
      </c>
      <c r="R79" s="321">
        <f t="shared" si="23"/>
        <v>0</v>
      </c>
      <c r="S79" s="72">
        <f t="shared" si="24"/>
        <v>0</v>
      </c>
      <c r="T79" s="72">
        <f t="shared" si="25"/>
        <v>0</v>
      </c>
      <c r="U79" s="72">
        <f t="shared" si="26"/>
        <v>-0.20000000000002238</v>
      </c>
      <c r="V79" s="72">
        <f t="shared" si="27"/>
        <v>-0.30000000000001137</v>
      </c>
      <c r="W79" s="72">
        <f t="shared" si="28"/>
        <v>0</v>
      </c>
      <c r="X79" s="196">
        <f t="shared" si="29"/>
        <v>-0.99999999999997868</v>
      </c>
      <c r="Y79" s="196">
        <f t="shared" si="30"/>
        <v>0</v>
      </c>
      <c r="Z79" s="72">
        <f t="shared" si="31"/>
        <v>0</v>
      </c>
      <c r="AA79" s="72">
        <f t="shared" si="32"/>
        <v>0</v>
      </c>
      <c r="AB79" s="321">
        <f t="shared" si="33"/>
        <v>0.49999999999998934</v>
      </c>
      <c r="AC79" s="72">
        <f t="shared" si="34"/>
        <v>1.6000000000000014</v>
      </c>
      <c r="AD79" s="72">
        <f t="shared" si="35"/>
        <v>4.9999999999999822</v>
      </c>
      <c r="AE79" s="72">
        <f t="shared" si="36"/>
        <v>0.49999999999998934</v>
      </c>
      <c r="AF79" s="72">
        <f t="shared" si="37"/>
        <v>5.0000000000000266</v>
      </c>
      <c r="AG79" s="72">
        <f t="shared" si="38"/>
        <v>0.49999999999998934</v>
      </c>
      <c r="AH79" s="196">
        <f t="shared" si="39"/>
        <v>7.1000000000000174</v>
      </c>
      <c r="AI79" s="196">
        <f t="shared" si="40"/>
        <v>2.8999999999999915</v>
      </c>
      <c r="AJ79" s="72">
        <f t="shared" si="41"/>
        <v>-1.2999999999999901</v>
      </c>
      <c r="AK79" s="72">
        <f t="shared" si="42"/>
        <v>0.80000000000000071</v>
      </c>
      <c r="AM79" s="35"/>
      <c r="AN79" s="35"/>
    </row>
    <row r="80" spans="1:40" x14ac:dyDescent="0.3">
      <c r="A80" s="35">
        <v>45964</v>
      </c>
      <c r="B80" s="847" t="s">
        <v>883</v>
      </c>
      <c r="C80">
        <v>3.8220000000000001</v>
      </c>
      <c r="E80">
        <f t="shared" si="22"/>
        <v>1</v>
      </c>
      <c r="F80" s="11">
        <v>78</v>
      </c>
      <c r="G80" s="179">
        <v>46141</v>
      </c>
      <c r="H80" s="847">
        <v>4.2359999999999998</v>
      </c>
      <c r="I80" s="847">
        <v>4.335</v>
      </c>
      <c r="J80" s="847">
        <v>3.2629999999999999</v>
      </c>
      <c r="K80" s="847">
        <v>4.3929999999999998</v>
      </c>
      <c r="L80" s="847">
        <v>3.3580000000000001</v>
      </c>
      <c r="M80" s="847">
        <v>4.468</v>
      </c>
      <c r="N80" s="847">
        <v>3.4670000000000001</v>
      </c>
      <c r="O80" s="847">
        <v>3.762</v>
      </c>
      <c r="P80" s="847">
        <v>4.0570000000000004</v>
      </c>
      <c r="Q80" s="847">
        <v>4.13</v>
      </c>
      <c r="R80" s="321">
        <f t="shared" si="23"/>
        <v>0</v>
      </c>
      <c r="S80" s="72">
        <f t="shared" si="24"/>
        <v>0</v>
      </c>
      <c r="T80" s="72">
        <f t="shared" si="25"/>
        <v>2.4999999999999911</v>
      </c>
      <c r="U80" s="72">
        <f t="shared" si="26"/>
        <v>1.2999999999999901</v>
      </c>
      <c r="V80" s="72">
        <f t="shared" si="27"/>
        <v>0</v>
      </c>
      <c r="W80" s="72">
        <f t="shared" si="28"/>
        <v>0</v>
      </c>
      <c r="X80" s="196">
        <f t="shared" si="29"/>
        <v>0.30000000000001137</v>
      </c>
      <c r="Y80" s="196">
        <f t="shared" si="30"/>
        <v>0.1000000000000334</v>
      </c>
      <c r="Z80" s="72">
        <f t="shared" si="31"/>
        <v>0</v>
      </c>
      <c r="AA80" s="72">
        <f t="shared" si="32"/>
        <v>0</v>
      </c>
      <c r="AB80" s="321">
        <f t="shared" si="33"/>
        <v>0.80000000000000071</v>
      </c>
      <c r="AC80" s="72">
        <f t="shared" si="34"/>
        <v>1.2999999999999901</v>
      </c>
      <c r="AD80" s="72">
        <f t="shared" si="35"/>
        <v>4.9999999999999822</v>
      </c>
      <c r="AE80" s="72">
        <f t="shared" si="36"/>
        <v>0.99999999999997868</v>
      </c>
      <c r="AF80" s="72">
        <f t="shared" si="37"/>
        <v>5.0000000000000266</v>
      </c>
      <c r="AG80" s="72">
        <f t="shared" si="38"/>
        <v>0.1000000000000334</v>
      </c>
      <c r="AH80" s="196">
        <f t="shared" si="39"/>
        <v>7.1000000000000174</v>
      </c>
      <c r="AI80" s="196">
        <f t="shared" si="40"/>
        <v>2.8999999999999915</v>
      </c>
      <c r="AJ80" s="72">
        <f t="shared" si="41"/>
        <v>-1.1999999999999567</v>
      </c>
      <c r="AK80" s="72">
        <f t="shared" si="42"/>
        <v>0.49999999999998934</v>
      </c>
      <c r="AM80" s="35"/>
      <c r="AN80" s="35"/>
    </row>
    <row r="81" spans="1:40" x14ac:dyDescent="0.3">
      <c r="A81" s="35">
        <v>45965</v>
      </c>
      <c r="B81" s="847" t="s">
        <v>883</v>
      </c>
      <c r="C81">
        <v>3.827</v>
      </c>
      <c r="E81">
        <f t="shared" si="22"/>
        <v>4</v>
      </c>
      <c r="F81" s="11">
        <v>79</v>
      </c>
      <c r="G81" s="179">
        <v>46140</v>
      </c>
      <c r="H81" s="847">
        <v>4.2329999999999997</v>
      </c>
      <c r="I81" s="847">
        <v>4.3339999999999996</v>
      </c>
      <c r="J81" s="847">
        <v>3.2629999999999999</v>
      </c>
      <c r="K81" s="847">
        <v>4.3929999999999998</v>
      </c>
      <c r="L81" s="847">
        <v>3.3580000000000001</v>
      </c>
      <c r="M81" s="847">
        <v>4.468</v>
      </c>
      <c r="N81" s="847">
        <v>3.4420000000000002</v>
      </c>
      <c r="O81" s="847">
        <v>3.7490000000000001</v>
      </c>
      <c r="P81" s="847">
        <v>4.0570000000000004</v>
      </c>
      <c r="Q81" s="847">
        <v>4.13</v>
      </c>
      <c r="R81" s="321">
        <f t="shared" si="23"/>
        <v>0</v>
      </c>
      <c r="S81" s="72">
        <f t="shared" si="24"/>
        <v>0</v>
      </c>
      <c r="T81" s="72">
        <f t="shared" si="25"/>
        <v>0</v>
      </c>
      <c r="U81" s="72">
        <f t="shared" si="26"/>
        <v>0</v>
      </c>
      <c r="V81" s="72">
        <f t="shared" si="27"/>
        <v>0</v>
      </c>
      <c r="W81" s="72">
        <f t="shared" si="28"/>
        <v>0</v>
      </c>
      <c r="X81" s="196">
        <f t="shared" si="29"/>
        <v>0</v>
      </c>
      <c r="Y81" s="196">
        <f t="shared" si="30"/>
        <v>0</v>
      </c>
      <c r="Z81" s="72">
        <f t="shared" si="31"/>
        <v>0</v>
      </c>
      <c r="AA81" s="72">
        <f t="shared" si="32"/>
        <v>0</v>
      </c>
      <c r="AB81" s="321">
        <f t="shared" si="33"/>
        <v>0.29999999999992255</v>
      </c>
      <c r="AC81" s="72">
        <f t="shared" si="34"/>
        <v>1.1999999999999567</v>
      </c>
      <c r="AD81" s="72">
        <f t="shared" si="35"/>
        <v>4.9999999999999822</v>
      </c>
      <c r="AE81" s="72">
        <f t="shared" si="36"/>
        <v>0.99999999999997868</v>
      </c>
      <c r="AF81" s="72">
        <f t="shared" si="37"/>
        <v>5.0000000000000266</v>
      </c>
      <c r="AG81" s="72">
        <f t="shared" si="38"/>
        <v>0.1000000000000334</v>
      </c>
      <c r="AH81" s="196">
        <f t="shared" si="39"/>
        <v>4.6000000000000263</v>
      </c>
      <c r="AI81" s="196">
        <f t="shared" si="40"/>
        <v>1.8000000000000238</v>
      </c>
      <c r="AJ81" s="72">
        <f t="shared" si="41"/>
        <v>-0.99999999999997868</v>
      </c>
      <c r="AK81" s="72">
        <f t="shared" si="42"/>
        <v>0.19999999999997797</v>
      </c>
      <c r="AM81" s="35"/>
      <c r="AN81" s="35"/>
    </row>
    <row r="82" spans="1:40" x14ac:dyDescent="0.3">
      <c r="A82" s="35">
        <v>45966</v>
      </c>
      <c r="B82" s="847" t="s">
        <v>883</v>
      </c>
      <c r="C82">
        <v>3.831</v>
      </c>
      <c r="E82">
        <f t="shared" si="22"/>
        <v>1</v>
      </c>
      <c r="F82" s="11">
        <v>80</v>
      </c>
      <c r="G82" s="179">
        <v>46136</v>
      </c>
      <c r="H82" s="847">
        <v>4.2329999999999997</v>
      </c>
      <c r="I82" s="847">
        <v>4.3339999999999996</v>
      </c>
      <c r="J82" s="847">
        <v>3.2629999999999999</v>
      </c>
      <c r="K82" s="847">
        <v>4.3929999999999998</v>
      </c>
      <c r="L82" s="847">
        <v>3.3580000000000001</v>
      </c>
      <c r="M82" s="847">
        <v>4.468</v>
      </c>
      <c r="N82" s="847">
        <v>3.4420000000000002</v>
      </c>
      <c r="O82" s="847">
        <v>3.7490000000000001</v>
      </c>
      <c r="P82" s="847">
        <v>4.0570000000000004</v>
      </c>
      <c r="Q82" s="847">
        <v>4.13</v>
      </c>
      <c r="R82" s="321">
        <f t="shared" si="23"/>
        <v>0</v>
      </c>
      <c r="S82" s="72">
        <f t="shared" si="24"/>
        <v>0</v>
      </c>
      <c r="T82" s="72">
        <f t="shared" si="25"/>
        <v>0</v>
      </c>
      <c r="U82" s="72">
        <f t="shared" si="26"/>
        <v>-0.19999999999997797</v>
      </c>
      <c r="V82" s="72">
        <f t="shared" si="27"/>
        <v>-0.39999999999995595</v>
      </c>
      <c r="W82" s="72">
        <f t="shared" si="28"/>
        <v>0</v>
      </c>
      <c r="X82" s="196">
        <f t="shared" si="29"/>
        <v>0</v>
      </c>
      <c r="Y82" s="196">
        <f t="shared" si="30"/>
        <v>9.9999999999944578E-2</v>
      </c>
      <c r="Z82" s="72">
        <f t="shared" si="31"/>
        <v>0</v>
      </c>
      <c r="AA82" s="72">
        <f t="shared" si="32"/>
        <v>0</v>
      </c>
      <c r="AB82" s="321">
        <f t="shared" si="33"/>
        <v>0</v>
      </c>
      <c r="AC82" s="72">
        <f t="shared" si="34"/>
        <v>1.1999999999999567</v>
      </c>
      <c r="AD82" s="72">
        <f t="shared" si="35"/>
        <v>4.9999999999999822</v>
      </c>
      <c r="AE82" s="72">
        <f t="shared" si="36"/>
        <v>0.99999999999997868</v>
      </c>
      <c r="AF82" s="72">
        <f t="shared" si="37"/>
        <v>5.0000000000000266</v>
      </c>
      <c r="AG82" s="72">
        <f t="shared" si="38"/>
        <v>0.1000000000000334</v>
      </c>
      <c r="AH82" s="196">
        <f t="shared" si="39"/>
        <v>4.6000000000000263</v>
      </c>
      <c r="AI82" s="196">
        <f t="shared" si="40"/>
        <v>1.4000000000000234</v>
      </c>
      <c r="AJ82" s="72">
        <f t="shared" si="41"/>
        <v>-1.7999999999999794</v>
      </c>
      <c r="AK82" s="72">
        <f t="shared" si="42"/>
        <v>0.19999999999997797</v>
      </c>
      <c r="AM82" s="35"/>
      <c r="AN82" s="35"/>
    </row>
    <row r="83" spans="1:40" x14ac:dyDescent="0.3">
      <c r="A83" s="35">
        <v>45967</v>
      </c>
      <c r="B83" s="847" t="s">
        <v>883</v>
      </c>
      <c r="C83">
        <v>3.8380000000000001</v>
      </c>
      <c r="E83">
        <f t="shared" si="22"/>
        <v>1</v>
      </c>
      <c r="F83" s="11">
        <v>81</v>
      </c>
      <c r="G83" s="179">
        <v>46135</v>
      </c>
      <c r="H83" s="847">
        <v>4.2329999999999997</v>
      </c>
      <c r="I83" s="847">
        <v>4.3330000000000002</v>
      </c>
      <c r="J83" s="847">
        <v>3.2629999999999999</v>
      </c>
      <c r="K83" s="847">
        <v>4.3929999999999998</v>
      </c>
      <c r="L83" s="847">
        <v>3.3580000000000001</v>
      </c>
      <c r="M83" s="847">
        <v>4.468</v>
      </c>
      <c r="N83" s="847">
        <v>3.4420000000000002</v>
      </c>
      <c r="O83" s="847">
        <v>3.7509999999999999</v>
      </c>
      <c r="P83" s="847">
        <v>4.0609999999999999</v>
      </c>
      <c r="Q83" s="847">
        <v>4.13</v>
      </c>
      <c r="R83" s="321">
        <f t="shared" si="23"/>
        <v>0.49999999999998934</v>
      </c>
      <c r="S83" s="72">
        <f t="shared" si="24"/>
        <v>0.40000000000000036</v>
      </c>
      <c r="T83" s="72">
        <f t="shared" si="25"/>
        <v>0.40000000000000036</v>
      </c>
      <c r="U83" s="72">
        <f t="shared" si="26"/>
        <v>0.29999999999996696</v>
      </c>
      <c r="V83" s="72">
        <f t="shared" si="27"/>
        <v>0.19999999999997797</v>
      </c>
      <c r="W83" s="72">
        <f t="shared" si="28"/>
        <v>-0.30000000000001137</v>
      </c>
      <c r="X83" s="196">
        <f t="shared" si="29"/>
        <v>0.29999999999992255</v>
      </c>
      <c r="Y83" s="196">
        <f t="shared" si="30"/>
        <v>0</v>
      </c>
      <c r="Z83" s="72">
        <f t="shared" si="31"/>
        <v>0</v>
      </c>
      <c r="AA83" s="72">
        <f t="shared" si="32"/>
        <v>0</v>
      </c>
      <c r="AB83" s="321">
        <f t="shared" si="33"/>
        <v>0.69999999999996732</v>
      </c>
      <c r="AC83" s="72">
        <f t="shared" si="34"/>
        <v>1.1000000000000121</v>
      </c>
      <c r="AD83" s="72">
        <f t="shared" si="35"/>
        <v>4.9999999999999822</v>
      </c>
      <c r="AE83" s="72">
        <f t="shared" si="36"/>
        <v>0.99999999999997868</v>
      </c>
      <c r="AF83" s="72">
        <f t="shared" si="37"/>
        <v>5.0000000000000266</v>
      </c>
      <c r="AG83" s="72">
        <f t="shared" si="38"/>
        <v>0.1000000000000334</v>
      </c>
      <c r="AH83" s="196">
        <f t="shared" si="39"/>
        <v>4.6000000000000263</v>
      </c>
      <c r="AI83" s="196">
        <f t="shared" si="40"/>
        <v>1.6999999999999904</v>
      </c>
      <c r="AJ83" s="72">
        <f t="shared" si="41"/>
        <v>-0.99999999999997868</v>
      </c>
      <c r="AK83" s="72">
        <f t="shared" si="42"/>
        <v>0.1000000000000334</v>
      </c>
      <c r="AM83" s="35"/>
      <c r="AN83" s="35"/>
    </row>
    <row r="84" spans="1:40" x14ac:dyDescent="0.3">
      <c r="A84" s="35">
        <v>45968</v>
      </c>
      <c r="B84" s="847" t="s">
        <v>883</v>
      </c>
      <c r="C84">
        <v>3.839</v>
      </c>
      <c r="E84">
        <f t="shared" si="22"/>
        <v>1</v>
      </c>
      <c r="F84" s="11">
        <v>82</v>
      </c>
      <c r="G84" s="179">
        <v>46134</v>
      </c>
      <c r="H84" s="847">
        <v>4.2300000000000004</v>
      </c>
      <c r="I84" s="847">
        <v>4.3330000000000002</v>
      </c>
      <c r="J84" s="847">
        <v>3.258</v>
      </c>
      <c r="K84" s="847">
        <v>4.3929999999999998</v>
      </c>
      <c r="L84" s="847">
        <v>3.3540000000000001</v>
      </c>
      <c r="M84" s="847">
        <v>4.468</v>
      </c>
      <c r="N84" s="847">
        <v>3.4380000000000002</v>
      </c>
      <c r="O84" s="847">
        <v>3.7480000000000002</v>
      </c>
      <c r="P84" s="847">
        <v>4.0590000000000002</v>
      </c>
      <c r="Q84" s="847">
        <v>4.133</v>
      </c>
      <c r="R84" s="321">
        <f t="shared" si="23"/>
        <v>4.0999999999999925</v>
      </c>
      <c r="S84" s="72">
        <f t="shared" si="24"/>
        <v>4.0999999999999925</v>
      </c>
      <c r="T84" s="72">
        <f t="shared" si="25"/>
        <v>4.2000000000000259</v>
      </c>
      <c r="U84" s="72">
        <f t="shared" si="26"/>
        <v>1.8000000000000238</v>
      </c>
      <c r="V84" s="72">
        <f t="shared" si="27"/>
        <v>-0.49999999999998934</v>
      </c>
      <c r="W84" s="72">
        <f t="shared" si="28"/>
        <v>0</v>
      </c>
      <c r="X84" s="196">
        <f t="shared" si="29"/>
        <v>-0.49999999999998934</v>
      </c>
      <c r="Y84" s="196">
        <f t="shared" si="30"/>
        <v>0</v>
      </c>
      <c r="Z84" s="72">
        <f t="shared" si="31"/>
        <v>0.39999999999995595</v>
      </c>
      <c r="AA84" s="72">
        <f t="shared" si="32"/>
        <v>1.1999999999999567</v>
      </c>
      <c r="AB84" s="321">
        <f t="shared" si="33"/>
        <v>0.50000000000007816</v>
      </c>
      <c r="AC84" s="72">
        <f t="shared" si="34"/>
        <v>1.1000000000000121</v>
      </c>
      <c r="AD84" s="72">
        <f t="shared" si="35"/>
        <v>4.4999999999999929</v>
      </c>
      <c r="AE84" s="72">
        <f t="shared" si="36"/>
        <v>0.99999999999997868</v>
      </c>
      <c r="AF84" s="72">
        <f t="shared" si="37"/>
        <v>4.6000000000000263</v>
      </c>
      <c r="AG84" s="72">
        <f t="shared" si="38"/>
        <v>0.1000000000000334</v>
      </c>
      <c r="AH84" s="196">
        <f t="shared" si="39"/>
        <v>4.2000000000000259</v>
      </c>
      <c r="AI84" s="196">
        <f t="shared" si="40"/>
        <v>1.8000000000000238</v>
      </c>
      <c r="AJ84" s="72">
        <f t="shared" si="41"/>
        <v>-0.49999999999998934</v>
      </c>
      <c r="AK84" s="72">
        <f t="shared" si="42"/>
        <v>0.69999999999996732</v>
      </c>
      <c r="AM84" s="35"/>
      <c r="AN84" s="35"/>
    </row>
    <row r="85" spans="1:40" x14ac:dyDescent="0.3">
      <c r="A85" s="35">
        <v>45971</v>
      </c>
      <c r="B85" s="847" t="s">
        <v>883</v>
      </c>
      <c r="C85">
        <v>3.8479999999999999</v>
      </c>
      <c r="E85">
        <f t="shared" si="22"/>
        <v>1</v>
      </c>
      <c r="F85" s="11">
        <v>83</v>
      </c>
      <c r="G85" s="179">
        <v>46133</v>
      </c>
      <c r="H85" s="847">
        <v>4.2350000000000003</v>
      </c>
      <c r="I85" s="847">
        <v>4.3330000000000002</v>
      </c>
      <c r="J85" s="847">
        <v>3.2170000000000001</v>
      </c>
      <c r="K85" s="847">
        <v>4.3890000000000002</v>
      </c>
      <c r="L85" s="847">
        <v>3.3130000000000002</v>
      </c>
      <c r="M85" s="847">
        <v>4.4560000000000004</v>
      </c>
      <c r="N85" s="847">
        <v>3.3959999999999999</v>
      </c>
      <c r="O85" s="847">
        <v>3.73</v>
      </c>
      <c r="P85" s="847">
        <v>4.0640000000000001</v>
      </c>
      <c r="Q85" s="847">
        <v>4.133</v>
      </c>
      <c r="R85" s="321">
        <f t="shared" si="23"/>
        <v>-4.0999999999999925</v>
      </c>
      <c r="S85" s="72">
        <f t="shared" si="24"/>
        <v>-4.0999999999999925</v>
      </c>
      <c r="T85" s="72">
        <f t="shared" si="25"/>
        <v>-4.2000000000000259</v>
      </c>
      <c r="U85" s="72">
        <f t="shared" si="26"/>
        <v>-2.4000000000000021</v>
      </c>
      <c r="V85" s="72">
        <f t="shared" si="27"/>
        <v>-0.69999999999996732</v>
      </c>
      <c r="W85" s="72">
        <f t="shared" si="28"/>
        <v>0.19999999999997797</v>
      </c>
      <c r="X85" s="196">
        <f t="shared" si="29"/>
        <v>0</v>
      </c>
      <c r="Y85" s="196">
        <f t="shared" si="30"/>
        <v>0.30000000000001137</v>
      </c>
      <c r="Z85" s="72">
        <f t="shared" si="31"/>
        <v>-0.39999999999995595</v>
      </c>
      <c r="AA85" s="72">
        <f t="shared" si="32"/>
        <v>-1.1999999999999567</v>
      </c>
      <c r="AB85" s="321">
        <f t="shared" si="33"/>
        <v>1.1000000000000121</v>
      </c>
      <c r="AC85" s="72">
        <f t="shared" si="34"/>
        <v>1.6000000000000014</v>
      </c>
      <c r="AD85" s="72">
        <f t="shared" si="35"/>
        <v>0.40000000000000036</v>
      </c>
      <c r="AE85" s="72">
        <f t="shared" si="36"/>
        <v>0.60000000000002274</v>
      </c>
      <c r="AF85" s="72">
        <f t="shared" si="37"/>
        <v>0.50000000000003375</v>
      </c>
      <c r="AG85" s="72">
        <f t="shared" si="38"/>
        <v>-1.0999999999999233</v>
      </c>
      <c r="AH85" s="196">
        <f t="shared" si="39"/>
        <v>0</v>
      </c>
      <c r="AI85" s="196">
        <f t="shared" si="40"/>
        <v>-0.20000000000002238</v>
      </c>
      <c r="AJ85" s="72">
        <f t="shared" si="41"/>
        <v>-0.39999999999995595</v>
      </c>
      <c r="AK85" s="72">
        <f t="shared" si="42"/>
        <v>1.1000000000000121</v>
      </c>
      <c r="AM85" s="35"/>
      <c r="AN85" s="35"/>
    </row>
    <row r="86" spans="1:40" x14ac:dyDescent="0.3">
      <c r="A86" s="35">
        <v>45972</v>
      </c>
      <c r="B86" s="847" t="s">
        <v>883</v>
      </c>
      <c r="C86">
        <v>3.8420000000000001</v>
      </c>
      <c r="E86">
        <f t="shared" si="22"/>
        <v>3</v>
      </c>
      <c r="F86" s="11">
        <v>84</v>
      </c>
      <c r="G86" s="179">
        <v>46132</v>
      </c>
      <c r="H86" s="847">
        <v>4.2350000000000003</v>
      </c>
      <c r="I86" s="847">
        <v>4.33</v>
      </c>
      <c r="J86" s="847">
        <v>3.258</v>
      </c>
      <c r="K86" s="847">
        <v>4.3929999999999998</v>
      </c>
      <c r="L86" s="847">
        <v>3.3540000000000001</v>
      </c>
      <c r="M86" s="847">
        <v>4.468</v>
      </c>
      <c r="N86" s="847">
        <v>3.4380000000000002</v>
      </c>
      <c r="O86" s="847">
        <v>3.754</v>
      </c>
      <c r="P86" s="847">
        <v>4.0709999999999997</v>
      </c>
      <c r="Q86" s="847">
        <v>4.1310000000000002</v>
      </c>
      <c r="R86" s="321">
        <f t="shared" si="23"/>
        <v>4.0999999999999925</v>
      </c>
      <c r="S86" s="72">
        <f t="shared" si="24"/>
        <v>4.0999999999999925</v>
      </c>
      <c r="T86" s="72">
        <f t="shared" si="25"/>
        <v>4.2000000000000259</v>
      </c>
      <c r="U86" s="72">
        <f t="shared" si="26"/>
        <v>2.0999999999999908</v>
      </c>
      <c r="V86" s="72">
        <f t="shared" si="27"/>
        <v>0.19999999999997797</v>
      </c>
      <c r="W86" s="72">
        <f t="shared" si="28"/>
        <v>0.60000000000002274</v>
      </c>
      <c r="X86" s="196">
        <f t="shared" si="29"/>
        <v>1.0000000000000675</v>
      </c>
      <c r="Y86" s="196">
        <f t="shared" si="30"/>
        <v>0.30000000000001137</v>
      </c>
      <c r="Z86" s="72">
        <f t="shared" si="31"/>
        <v>0.39999999999995595</v>
      </c>
      <c r="AA86" s="72">
        <f t="shared" si="32"/>
        <v>0.39999999999995595</v>
      </c>
      <c r="AB86" s="321">
        <f t="shared" si="33"/>
        <v>1.0000000000000675</v>
      </c>
      <c r="AC86" s="72">
        <f t="shared" si="34"/>
        <v>1.6000000000000014</v>
      </c>
      <c r="AD86" s="72">
        <f t="shared" si="35"/>
        <v>4.4999999999999929</v>
      </c>
      <c r="AE86" s="72">
        <f t="shared" si="36"/>
        <v>0.99999999999997868</v>
      </c>
      <c r="AF86" s="72">
        <f t="shared" si="37"/>
        <v>4.6000000000000263</v>
      </c>
      <c r="AG86" s="72">
        <f t="shared" si="38"/>
        <v>0.1000000000000334</v>
      </c>
      <c r="AH86" s="196">
        <f t="shared" si="39"/>
        <v>4.2000000000000259</v>
      </c>
      <c r="AI86" s="196">
        <f t="shared" si="40"/>
        <v>2.4000000000000021</v>
      </c>
      <c r="AJ86" s="72">
        <f t="shared" si="41"/>
        <v>0.69999999999996732</v>
      </c>
      <c r="AK86" s="72">
        <f t="shared" si="42"/>
        <v>0.90000000000003411</v>
      </c>
      <c r="AM86" s="35"/>
      <c r="AN86" s="35"/>
    </row>
    <row r="87" spans="1:40" x14ac:dyDescent="0.3">
      <c r="A87" s="35">
        <v>45973</v>
      </c>
      <c r="B87" s="847" t="s">
        <v>883</v>
      </c>
      <c r="C87">
        <v>3.8530000000000002</v>
      </c>
      <c r="E87">
        <f t="shared" si="22"/>
        <v>1</v>
      </c>
      <c r="F87" s="11">
        <v>85</v>
      </c>
      <c r="G87" s="179">
        <v>46129</v>
      </c>
      <c r="H87" s="847">
        <v>4.2249999999999996</v>
      </c>
      <c r="I87" s="847">
        <v>4.327</v>
      </c>
      <c r="J87" s="847">
        <v>3.2170000000000001</v>
      </c>
      <c r="K87" s="847">
        <v>4.3890000000000002</v>
      </c>
      <c r="L87" s="847">
        <v>3.3130000000000002</v>
      </c>
      <c r="M87" s="847">
        <v>4.4640000000000004</v>
      </c>
      <c r="N87" s="847">
        <v>3.3959999999999999</v>
      </c>
      <c r="O87" s="847">
        <v>3.7330000000000001</v>
      </c>
      <c r="P87" s="847">
        <v>4.069</v>
      </c>
      <c r="Q87" s="847">
        <v>4.125</v>
      </c>
      <c r="R87" s="321">
        <f t="shared" si="23"/>
        <v>0</v>
      </c>
      <c r="S87" s="72">
        <f t="shared" si="24"/>
        <v>0</v>
      </c>
      <c r="T87" s="72">
        <f t="shared" si="25"/>
        <v>0</v>
      </c>
      <c r="U87" s="72">
        <f t="shared" si="26"/>
        <v>0.70000000000001172</v>
      </c>
      <c r="V87" s="72">
        <f t="shared" si="27"/>
        <v>1.1999999999999567</v>
      </c>
      <c r="W87" s="72">
        <f t="shared" si="28"/>
        <v>0</v>
      </c>
      <c r="X87" s="196">
        <f t="shared" si="29"/>
        <v>9.9999999999944578E-2</v>
      </c>
      <c r="Y87" s="196">
        <f t="shared" si="30"/>
        <v>0.19999999999997797</v>
      </c>
      <c r="Z87" s="72">
        <f t="shared" si="31"/>
        <v>0.1000000000000334</v>
      </c>
      <c r="AA87" s="72">
        <f t="shared" si="32"/>
        <v>0.1000000000000334</v>
      </c>
      <c r="AB87" s="321">
        <f t="shared" si="33"/>
        <v>0.69999999999996732</v>
      </c>
      <c r="AC87" s="72">
        <f t="shared" si="34"/>
        <v>2.2000000000000242</v>
      </c>
      <c r="AD87" s="72">
        <f t="shared" si="35"/>
        <v>1.2999999999999901</v>
      </c>
      <c r="AE87" s="72">
        <f t="shared" si="36"/>
        <v>0.60000000000002274</v>
      </c>
      <c r="AF87" s="72">
        <f t="shared" si="37"/>
        <v>1.3000000000000345</v>
      </c>
      <c r="AG87" s="72">
        <f t="shared" si="38"/>
        <v>-0.29999999999992255</v>
      </c>
      <c r="AH87" s="196">
        <f t="shared" si="39"/>
        <v>0.80000000000000071</v>
      </c>
      <c r="AI87" s="196">
        <f t="shared" si="40"/>
        <v>0.70000000000001172</v>
      </c>
      <c r="AJ87" s="72">
        <f t="shared" si="41"/>
        <v>0.49999999999998934</v>
      </c>
      <c r="AK87" s="72">
        <f t="shared" si="42"/>
        <v>0.30000000000001137</v>
      </c>
      <c r="AM87" s="35"/>
      <c r="AN87" s="35"/>
    </row>
    <row r="88" spans="1:40" x14ac:dyDescent="0.3">
      <c r="A88" s="35">
        <v>45974</v>
      </c>
      <c r="B88" s="847" t="s">
        <v>883</v>
      </c>
      <c r="C88">
        <v>3.8580000000000001</v>
      </c>
      <c r="E88">
        <f t="shared" si="22"/>
        <v>1</v>
      </c>
      <c r="F88" s="11">
        <v>86</v>
      </c>
      <c r="G88" s="179">
        <v>46128</v>
      </c>
      <c r="H88" s="847">
        <v>4.2240000000000002</v>
      </c>
      <c r="I88" s="847">
        <v>4.3250000000000002</v>
      </c>
      <c r="J88" s="847">
        <v>3.2170000000000001</v>
      </c>
      <c r="K88" s="847">
        <v>4.3879999999999999</v>
      </c>
      <c r="L88" s="847">
        <v>3.3130000000000002</v>
      </c>
      <c r="M88" s="847">
        <v>4.4630000000000001</v>
      </c>
      <c r="N88" s="847">
        <v>3.3959999999999999</v>
      </c>
      <c r="O88" s="847">
        <v>3.726</v>
      </c>
      <c r="P88" s="847">
        <v>4.0570000000000004</v>
      </c>
      <c r="Q88" s="847">
        <v>4.125</v>
      </c>
      <c r="R88" s="321">
        <f t="shared" si="23"/>
        <v>0.40000000000000036</v>
      </c>
      <c r="S88" s="72">
        <f t="shared" si="24"/>
        <v>0.50000000000003375</v>
      </c>
      <c r="T88" s="72">
        <f t="shared" si="25"/>
        <v>0</v>
      </c>
      <c r="U88" s="72">
        <f t="shared" si="26"/>
        <v>-0.49999999999998934</v>
      </c>
      <c r="V88" s="72">
        <f t="shared" si="27"/>
        <v>-0.99999999999997868</v>
      </c>
      <c r="W88" s="72">
        <f t="shared" si="28"/>
        <v>0.30000000000001137</v>
      </c>
      <c r="X88" s="196">
        <f t="shared" si="29"/>
        <v>0.30000000000001137</v>
      </c>
      <c r="Y88" s="196">
        <f t="shared" si="30"/>
        <v>0.60000000000002274</v>
      </c>
      <c r="Z88" s="72">
        <f t="shared" si="31"/>
        <v>0</v>
      </c>
      <c r="AA88" s="72">
        <f t="shared" si="32"/>
        <v>0</v>
      </c>
      <c r="AB88" s="321">
        <f t="shared" si="33"/>
        <v>1.1000000000000121</v>
      </c>
      <c r="AC88" s="72">
        <f t="shared" si="34"/>
        <v>2.0000000000000462</v>
      </c>
      <c r="AD88" s="72">
        <f t="shared" si="35"/>
        <v>1.2999999999999901</v>
      </c>
      <c r="AE88" s="72">
        <f t="shared" si="36"/>
        <v>0.49999999999998934</v>
      </c>
      <c r="AF88" s="72">
        <f t="shared" si="37"/>
        <v>1.3000000000000345</v>
      </c>
      <c r="AG88" s="72">
        <f t="shared" si="38"/>
        <v>-0.39999999999995595</v>
      </c>
      <c r="AH88" s="196">
        <f t="shared" si="39"/>
        <v>0.80000000000000071</v>
      </c>
      <c r="AI88" s="196">
        <f t="shared" si="40"/>
        <v>0</v>
      </c>
      <c r="AJ88" s="72">
        <f t="shared" si="41"/>
        <v>-0.69999999999996732</v>
      </c>
      <c r="AK88" s="72">
        <f t="shared" si="42"/>
        <v>0.80000000000000071</v>
      </c>
      <c r="AM88" s="35"/>
      <c r="AN88" s="35"/>
    </row>
    <row r="89" spans="1:40" x14ac:dyDescent="0.3">
      <c r="A89" s="35">
        <v>45975</v>
      </c>
      <c r="B89" s="847" t="s">
        <v>883</v>
      </c>
      <c r="C89">
        <v>3.8580000000000001</v>
      </c>
      <c r="E89">
        <f t="shared" si="22"/>
        <v>1</v>
      </c>
      <c r="F89" s="11">
        <v>87</v>
      </c>
      <c r="G89" s="179">
        <v>46127</v>
      </c>
      <c r="H89" s="847">
        <v>4.2210000000000001</v>
      </c>
      <c r="I89" s="847">
        <v>4.319</v>
      </c>
      <c r="J89" s="847">
        <v>3.2130000000000001</v>
      </c>
      <c r="K89" s="847">
        <v>4.3879999999999999</v>
      </c>
      <c r="L89" s="847">
        <v>3.3079999999999998</v>
      </c>
      <c r="M89" s="847">
        <v>4.4630000000000001</v>
      </c>
      <c r="N89" s="847">
        <v>3.3959999999999999</v>
      </c>
      <c r="O89" s="847">
        <v>3.7309999999999999</v>
      </c>
      <c r="P89" s="847">
        <v>4.0670000000000002</v>
      </c>
      <c r="Q89" s="847">
        <v>4.1219999999999999</v>
      </c>
      <c r="R89" s="321">
        <f t="shared" si="23"/>
        <v>0</v>
      </c>
      <c r="S89" s="72">
        <f t="shared" si="24"/>
        <v>0</v>
      </c>
      <c r="T89" s="72">
        <f t="shared" si="25"/>
        <v>0</v>
      </c>
      <c r="U89" s="72">
        <f t="shared" si="26"/>
        <v>-0.20000000000002238</v>
      </c>
      <c r="V89" s="72">
        <f t="shared" si="27"/>
        <v>-0.19999999999997797</v>
      </c>
      <c r="W89" s="72">
        <f t="shared" si="28"/>
        <v>-0.30000000000001137</v>
      </c>
      <c r="X89" s="196">
        <f t="shared" si="29"/>
        <v>-0.69999999999996732</v>
      </c>
      <c r="Y89" s="196">
        <f t="shared" si="30"/>
        <v>-0.30000000000001137</v>
      </c>
      <c r="Z89" s="72">
        <f t="shared" si="31"/>
        <v>0.49999999999998934</v>
      </c>
      <c r="AA89" s="72">
        <f t="shared" si="32"/>
        <v>-0.39999999999995595</v>
      </c>
      <c r="AB89" s="321">
        <f t="shared" si="33"/>
        <v>0.49999999999998934</v>
      </c>
      <c r="AC89" s="72">
        <f t="shared" si="34"/>
        <v>1.4000000000000234</v>
      </c>
      <c r="AD89" s="72">
        <f t="shared" si="35"/>
        <v>0.8999999999999897</v>
      </c>
      <c r="AE89" s="72">
        <f t="shared" si="36"/>
        <v>0.49999999999998934</v>
      </c>
      <c r="AF89" s="72">
        <f t="shared" si="37"/>
        <v>0.80000000000000071</v>
      </c>
      <c r="AG89" s="72">
        <f t="shared" si="38"/>
        <v>-0.39999999999995595</v>
      </c>
      <c r="AH89" s="196">
        <f t="shared" si="39"/>
        <v>0.80000000000000071</v>
      </c>
      <c r="AI89" s="196">
        <f t="shared" si="40"/>
        <v>0.8999999999999897</v>
      </c>
      <c r="AJ89" s="72">
        <f t="shared" si="41"/>
        <v>0.99999999999997868</v>
      </c>
      <c r="AK89" s="72">
        <f t="shared" si="42"/>
        <v>0.49999999999998934</v>
      </c>
      <c r="AM89" s="35"/>
      <c r="AN89" s="35"/>
    </row>
    <row r="90" spans="1:40" x14ac:dyDescent="0.3">
      <c r="A90" s="35">
        <v>45978</v>
      </c>
      <c r="B90" s="847" t="s">
        <v>883</v>
      </c>
      <c r="C90">
        <v>3.86</v>
      </c>
      <c r="E90">
        <f t="shared" si="22"/>
        <v>1</v>
      </c>
      <c r="F90" s="11">
        <v>88</v>
      </c>
      <c r="G90" s="179">
        <v>46126</v>
      </c>
      <c r="H90" s="847">
        <v>4.2279999999999998</v>
      </c>
      <c r="I90" s="847">
        <v>4.3220000000000001</v>
      </c>
      <c r="J90" s="847">
        <v>3.2130000000000001</v>
      </c>
      <c r="K90" s="847">
        <v>4.383</v>
      </c>
      <c r="L90" s="847">
        <v>3.3079999999999998</v>
      </c>
      <c r="M90" s="847">
        <v>4.4669999999999996</v>
      </c>
      <c r="N90" s="847">
        <v>3.3959999999999999</v>
      </c>
      <c r="O90" s="847">
        <v>3.7330000000000001</v>
      </c>
      <c r="P90" s="847">
        <v>4.069</v>
      </c>
      <c r="Q90" s="847">
        <v>4.125</v>
      </c>
      <c r="R90" s="321">
        <f t="shared" si="23"/>
        <v>0</v>
      </c>
      <c r="S90" s="72">
        <f t="shared" si="24"/>
        <v>0</v>
      </c>
      <c r="T90" s="72">
        <f t="shared" si="25"/>
        <v>0</v>
      </c>
      <c r="U90" s="72">
        <f t="shared" si="26"/>
        <v>0.20000000000002238</v>
      </c>
      <c r="V90" s="72">
        <f t="shared" si="27"/>
        <v>0.19999999999997797</v>
      </c>
      <c r="W90" s="72">
        <f t="shared" si="28"/>
        <v>-0.30000000000001137</v>
      </c>
      <c r="X90" s="196">
        <f t="shared" si="29"/>
        <v>-0.20000000000006679</v>
      </c>
      <c r="Y90" s="196">
        <f t="shared" si="30"/>
        <v>0</v>
      </c>
      <c r="Z90" s="72">
        <f t="shared" si="31"/>
        <v>0</v>
      </c>
      <c r="AA90" s="72">
        <f t="shared" si="32"/>
        <v>0</v>
      </c>
      <c r="AB90" s="321">
        <f t="shared" si="33"/>
        <v>1.499999999999968</v>
      </c>
      <c r="AC90" s="72">
        <f t="shared" si="34"/>
        <v>1.7000000000000348</v>
      </c>
      <c r="AD90" s="72">
        <f t="shared" si="35"/>
        <v>0.8999999999999897</v>
      </c>
      <c r="AE90" s="72">
        <f t="shared" si="36"/>
        <v>0</v>
      </c>
      <c r="AF90" s="72">
        <f t="shared" si="37"/>
        <v>0.80000000000000071</v>
      </c>
      <c r="AG90" s="72">
        <f t="shared" si="38"/>
        <v>0</v>
      </c>
      <c r="AH90" s="196">
        <f t="shared" si="39"/>
        <v>0.80000000000000071</v>
      </c>
      <c r="AI90" s="196">
        <f t="shared" si="40"/>
        <v>0.8999999999999897</v>
      </c>
      <c r="AJ90" s="72">
        <f t="shared" si="41"/>
        <v>0.80000000000000071</v>
      </c>
      <c r="AK90" s="72">
        <f t="shared" si="42"/>
        <v>0.80000000000000071</v>
      </c>
      <c r="AM90" s="35"/>
      <c r="AN90" s="35"/>
    </row>
    <row r="91" spans="1:40" x14ac:dyDescent="0.3">
      <c r="A91" s="35">
        <v>45979</v>
      </c>
      <c r="B91" s="847" t="s">
        <v>883</v>
      </c>
      <c r="C91">
        <v>3.86</v>
      </c>
      <c r="E91">
        <f t="shared" si="22"/>
        <v>3</v>
      </c>
      <c r="F91" s="11">
        <v>89</v>
      </c>
      <c r="G91" s="179">
        <v>46125</v>
      </c>
      <c r="H91" s="847">
        <v>4.2300000000000004</v>
      </c>
      <c r="I91" s="847">
        <v>4.3220000000000001</v>
      </c>
      <c r="J91" s="847">
        <v>3.2130000000000001</v>
      </c>
      <c r="K91" s="847">
        <v>4.383</v>
      </c>
      <c r="L91" s="847">
        <v>3.3079999999999998</v>
      </c>
      <c r="M91" s="847">
        <v>4.4669999999999996</v>
      </c>
      <c r="N91" s="847">
        <v>3.3959999999999999</v>
      </c>
      <c r="O91" s="847">
        <v>3.7309999999999999</v>
      </c>
      <c r="P91" s="847">
        <v>4.0670000000000002</v>
      </c>
      <c r="Q91" s="847">
        <v>4.1280000000000001</v>
      </c>
      <c r="R91" s="321">
        <f t="shared" si="23"/>
        <v>0</v>
      </c>
      <c r="S91" s="72">
        <f t="shared" si="24"/>
        <v>0</v>
      </c>
      <c r="T91" s="72">
        <f t="shared" si="25"/>
        <v>0</v>
      </c>
      <c r="U91" s="72">
        <f t="shared" si="26"/>
        <v>-0.40000000000000036</v>
      </c>
      <c r="V91" s="72">
        <f t="shared" si="27"/>
        <v>-0.80000000000000071</v>
      </c>
      <c r="W91" s="72">
        <f t="shared" si="28"/>
        <v>0</v>
      </c>
      <c r="X91" s="196">
        <f t="shared" si="29"/>
        <v>-0.29999999999992255</v>
      </c>
      <c r="Y91" s="196">
        <f t="shared" si="30"/>
        <v>0</v>
      </c>
      <c r="Z91" s="72">
        <f t="shared" si="31"/>
        <v>0</v>
      </c>
      <c r="AA91" s="72">
        <f t="shared" si="32"/>
        <v>0</v>
      </c>
      <c r="AB91" s="321">
        <f t="shared" si="33"/>
        <v>2.2000000000000242</v>
      </c>
      <c r="AC91" s="72">
        <f t="shared" si="34"/>
        <v>1.7000000000000348</v>
      </c>
      <c r="AD91" s="72">
        <f t="shared" si="35"/>
        <v>0.8999999999999897</v>
      </c>
      <c r="AE91" s="72">
        <f t="shared" si="36"/>
        <v>0</v>
      </c>
      <c r="AF91" s="72">
        <f t="shared" si="37"/>
        <v>0.80000000000000071</v>
      </c>
      <c r="AG91" s="72">
        <f t="shared" si="38"/>
        <v>0</v>
      </c>
      <c r="AH91" s="196">
        <f t="shared" si="39"/>
        <v>0.80000000000000071</v>
      </c>
      <c r="AI91" s="196">
        <f t="shared" si="40"/>
        <v>0.49999999999998934</v>
      </c>
      <c r="AJ91" s="72">
        <f t="shared" si="41"/>
        <v>0.30000000000001137</v>
      </c>
      <c r="AK91" s="72">
        <f t="shared" si="42"/>
        <v>1.1000000000000121</v>
      </c>
      <c r="AM91" s="35"/>
      <c r="AN91" s="35"/>
    </row>
    <row r="92" spans="1:40" x14ac:dyDescent="0.3">
      <c r="A92" s="35">
        <v>45980</v>
      </c>
      <c r="B92" s="847" t="s">
        <v>883</v>
      </c>
      <c r="C92">
        <v>3.86</v>
      </c>
      <c r="E92">
        <f t="shared" si="22"/>
        <v>1</v>
      </c>
      <c r="F92" s="11">
        <v>90</v>
      </c>
      <c r="G92" s="179">
        <v>46122</v>
      </c>
      <c r="H92" s="847">
        <v>4.2329999999999997</v>
      </c>
      <c r="I92" s="847">
        <v>4.3220000000000001</v>
      </c>
      <c r="J92" s="847">
        <v>3.2130000000000001</v>
      </c>
      <c r="K92" s="847">
        <v>4.383</v>
      </c>
      <c r="L92" s="847">
        <v>3.3079999999999998</v>
      </c>
      <c r="M92" s="847">
        <v>4.4669999999999996</v>
      </c>
      <c r="N92" s="847">
        <v>3.3959999999999999</v>
      </c>
      <c r="O92" s="847">
        <v>3.7349999999999999</v>
      </c>
      <c r="P92" s="847">
        <v>4.0750000000000002</v>
      </c>
      <c r="Q92" s="847">
        <v>4.1280000000000001</v>
      </c>
      <c r="R92" s="321">
        <f t="shared" si="23"/>
        <v>0</v>
      </c>
      <c r="S92" s="72">
        <f t="shared" si="24"/>
        <v>0</v>
      </c>
      <c r="T92" s="72">
        <f t="shared" si="25"/>
        <v>0</v>
      </c>
      <c r="U92" s="72">
        <f t="shared" si="26"/>
        <v>9.9999999999988987E-2</v>
      </c>
      <c r="V92" s="72">
        <f t="shared" si="27"/>
        <v>0.40000000000004476</v>
      </c>
      <c r="W92" s="72">
        <f t="shared" si="28"/>
        <v>-9.9999999999944578E-2</v>
      </c>
      <c r="X92" s="196">
        <f t="shared" si="29"/>
        <v>0.69999999999996732</v>
      </c>
      <c r="Y92" s="196">
        <f t="shared" si="30"/>
        <v>0</v>
      </c>
      <c r="Z92" s="72">
        <f t="shared" si="31"/>
        <v>0</v>
      </c>
      <c r="AA92" s="72">
        <f t="shared" si="32"/>
        <v>0</v>
      </c>
      <c r="AB92" s="321">
        <f t="shared" si="33"/>
        <v>1.9999999999999574</v>
      </c>
      <c r="AC92" s="72">
        <f t="shared" si="34"/>
        <v>1.7000000000000348</v>
      </c>
      <c r="AD92" s="72">
        <f t="shared" si="35"/>
        <v>0.8999999999999897</v>
      </c>
      <c r="AE92" s="72">
        <f t="shared" si="36"/>
        <v>0</v>
      </c>
      <c r="AF92" s="72">
        <f t="shared" si="37"/>
        <v>0.80000000000000071</v>
      </c>
      <c r="AG92" s="72">
        <f t="shared" si="38"/>
        <v>0</v>
      </c>
      <c r="AH92" s="196">
        <f t="shared" si="39"/>
        <v>0.80000000000000071</v>
      </c>
      <c r="AI92" s="196">
        <f t="shared" si="40"/>
        <v>0.8999999999999897</v>
      </c>
      <c r="AJ92" s="72">
        <f t="shared" si="41"/>
        <v>1.1000000000000121</v>
      </c>
      <c r="AK92" s="72">
        <f t="shared" si="42"/>
        <v>1.1000000000000121</v>
      </c>
      <c r="AM92" s="35"/>
      <c r="AN92" s="35"/>
    </row>
    <row r="93" spans="1:40" x14ac:dyDescent="0.3">
      <c r="A93" s="35">
        <v>45981</v>
      </c>
      <c r="B93" s="847" t="s">
        <v>883</v>
      </c>
      <c r="C93">
        <v>3.8780000000000001</v>
      </c>
      <c r="E93">
        <f t="shared" si="22"/>
        <v>1</v>
      </c>
      <c r="F93" s="11">
        <v>91</v>
      </c>
      <c r="G93" s="179">
        <v>46121</v>
      </c>
      <c r="H93" s="847">
        <v>4.226</v>
      </c>
      <c r="I93" s="847">
        <v>4.3220000000000001</v>
      </c>
      <c r="J93" s="847">
        <v>3.2130000000000001</v>
      </c>
      <c r="K93" s="847">
        <v>4.383</v>
      </c>
      <c r="L93" s="847">
        <v>3.3079999999999998</v>
      </c>
      <c r="M93" s="847">
        <v>4.4669999999999996</v>
      </c>
      <c r="N93" s="847">
        <v>3.3959999999999999</v>
      </c>
      <c r="O93" s="847">
        <v>3.734</v>
      </c>
      <c r="P93" s="847">
        <v>4.0709999999999997</v>
      </c>
      <c r="Q93" s="847">
        <v>4.1289999999999996</v>
      </c>
      <c r="R93" s="321">
        <f t="shared" si="23"/>
        <v>0</v>
      </c>
      <c r="S93" s="72">
        <f t="shared" si="24"/>
        <v>0</v>
      </c>
      <c r="T93" s="72">
        <f t="shared" si="25"/>
        <v>0</v>
      </c>
      <c r="U93" s="72">
        <f t="shared" si="26"/>
        <v>0.40000000000000036</v>
      </c>
      <c r="V93" s="72">
        <f t="shared" si="27"/>
        <v>0.69999999999996732</v>
      </c>
      <c r="W93" s="72">
        <f t="shared" si="28"/>
        <v>0.29999999999992255</v>
      </c>
      <c r="X93" s="196">
        <f t="shared" si="29"/>
        <v>0.1000000000000334</v>
      </c>
      <c r="Y93" s="196">
        <f t="shared" si="30"/>
        <v>0</v>
      </c>
      <c r="Z93" s="72">
        <f t="shared" si="31"/>
        <v>0</v>
      </c>
      <c r="AA93" s="72">
        <f t="shared" si="32"/>
        <v>0</v>
      </c>
      <c r="AB93" s="321">
        <f t="shared" si="33"/>
        <v>2.5000000000000355</v>
      </c>
      <c r="AC93" s="72">
        <f t="shared" si="34"/>
        <v>1.7000000000000348</v>
      </c>
      <c r="AD93" s="72">
        <f t="shared" si="35"/>
        <v>0.8999999999999897</v>
      </c>
      <c r="AE93" s="72">
        <f t="shared" si="36"/>
        <v>0</v>
      </c>
      <c r="AF93" s="72">
        <f t="shared" si="37"/>
        <v>0.80000000000000071</v>
      </c>
      <c r="AG93" s="72">
        <f t="shared" si="38"/>
        <v>0.39999999999995595</v>
      </c>
      <c r="AH93" s="196">
        <f t="shared" si="39"/>
        <v>0.80000000000000071</v>
      </c>
      <c r="AI93" s="196">
        <f t="shared" si="40"/>
        <v>0.49999999999998934</v>
      </c>
      <c r="AJ93" s="72">
        <f t="shared" si="41"/>
        <v>0</v>
      </c>
      <c r="AK93" s="72">
        <f t="shared" si="42"/>
        <v>1.1999999999999567</v>
      </c>
      <c r="AM93" s="35"/>
      <c r="AN93" s="35"/>
    </row>
    <row r="94" spans="1:40" x14ac:dyDescent="0.3">
      <c r="A94" s="35">
        <v>45982</v>
      </c>
      <c r="B94" s="847" t="s">
        <v>883</v>
      </c>
      <c r="C94">
        <v>3.86</v>
      </c>
      <c r="E94">
        <f t="shared" si="22"/>
        <v>1</v>
      </c>
      <c r="F94" s="11">
        <v>92</v>
      </c>
      <c r="G94" s="179">
        <v>46120</v>
      </c>
      <c r="H94" s="847">
        <v>4.2249999999999996</v>
      </c>
      <c r="I94" s="847">
        <v>4.3220000000000001</v>
      </c>
      <c r="J94" s="847">
        <v>3.2130000000000001</v>
      </c>
      <c r="K94" s="847">
        <v>4.383</v>
      </c>
      <c r="L94" s="847">
        <v>3.3079999999999998</v>
      </c>
      <c r="M94" s="847">
        <v>4.4669999999999996</v>
      </c>
      <c r="N94" s="847">
        <v>3.3959999999999999</v>
      </c>
      <c r="O94" s="847">
        <v>3.73</v>
      </c>
      <c r="P94" s="847">
        <v>4.0640000000000001</v>
      </c>
      <c r="Q94" s="847">
        <v>4.1260000000000003</v>
      </c>
      <c r="R94" s="321">
        <f t="shared" si="23"/>
        <v>0</v>
      </c>
      <c r="S94" s="72">
        <f t="shared" si="24"/>
        <v>0</v>
      </c>
      <c r="T94" s="72">
        <f t="shared" si="25"/>
        <v>0</v>
      </c>
      <c r="U94" s="72">
        <f t="shared" si="26"/>
        <v>-0.20000000000002238</v>
      </c>
      <c r="V94" s="72">
        <f t="shared" si="27"/>
        <v>-0.39999999999995595</v>
      </c>
      <c r="W94" s="72">
        <f t="shared" si="28"/>
        <v>0.40000000000004476</v>
      </c>
      <c r="X94" s="196">
        <f t="shared" si="29"/>
        <v>9.9999999999944578E-2</v>
      </c>
      <c r="Y94" s="196">
        <f t="shared" si="30"/>
        <v>0.49999999999998934</v>
      </c>
      <c r="Z94" s="72">
        <f t="shared" si="31"/>
        <v>0</v>
      </c>
      <c r="AA94" s="72">
        <f t="shared" si="32"/>
        <v>0</v>
      </c>
      <c r="AB94" s="321">
        <f t="shared" si="33"/>
        <v>2.4999999999999467</v>
      </c>
      <c r="AC94" s="72">
        <f t="shared" si="34"/>
        <v>1.7000000000000348</v>
      </c>
      <c r="AD94" s="72">
        <f t="shared" si="35"/>
        <v>0.8999999999999897</v>
      </c>
      <c r="AE94" s="72">
        <f t="shared" si="36"/>
        <v>0</v>
      </c>
      <c r="AF94" s="72">
        <f t="shared" si="37"/>
        <v>0.80000000000000071</v>
      </c>
      <c r="AG94" s="72">
        <f t="shared" si="38"/>
        <v>2.8999999999999915</v>
      </c>
      <c r="AH94" s="196">
        <f t="shared" si="39"/>
        <v>0.80000000000000071</v>
      </c>
      <c r="AI94" s="196">
        <f t="shared" si="40"/>
        <v>0.59999999999997833</v>
      </c>
      <c r="AJ94" s="72">
        <f t="shared" si="41"/>
        <v>0.30000000000001137</v>
      </c>
      <c r="AK94" s="72">
        <f t="shared" si="42"/>
        <v>3.4000000000000696</v>
      </c>
      <c r="AM94" s="35"/>
      <c r="AN94" s="35"/>
    </row>
    <row r="95" spans="1:40" x14ac:dyDescent="0.3">
      <c r="A95" s="35">
        <v>45985</v>
      </c>
      <c r="B95" s="847" t="s">
        <v>883</v>
      </c>
      <c r="C95">
        <v>3.8780000000000001</v>
      </c>
      <c r="E95">
        <f t="shared" si="22"/>
        <v>1</v>
      </c>
      <c r="F95" s="11">
        <v>93</v>
      </c>
      <c r="G95" s="179">
        <v>46119</v>
      </c>
      <c r="H95" s="847">
        <v>4.2240000000000002</v>
      </c>
      <c r="I95" s="847">
        <v>4.3170000000000002</v>
      </c>
      <c r="J95" s="847">
        <v>3.2130000000000001</v>
      </c>
      <c r="K95" s="847">
        <v>4.383</v>
      </c>
      <c r="L95" s="847">
        <v>3.3079999999999998</v>
      </c>
      <c r="M95" s="847">
        <v>4.4669999999999996</v>
      </c>
      <c r="N95" s="847">
        <v>3.3959999999999999</v>
      </c>
      <c r="O95" s="847">
        <v>3.7320000000000002</v>
      </c>
      <c r="P95" s="847">
        <v>4.0679999999999996</v>
      </c>
      <c r="Q95" s="847">
        <v>4.1219999999999999</v>
      </c>
      <c r="R95" s="321">
        <f t="shared" si="23"/>
        <v>0</v>
      </c>
      <c r="S95" s="72">
        <f t="shared" si="24"/>
        <v>0</v>
      </c>
      <c r="T95" s="72">
        <f t="shared" si="25"/>
        <v>0</v>
      </c>
      <c r="U95" s="72">
        <f t="shared" si="26"/>
        <v>0.20000000000002238</v>
      </c>
      <c r="V95" s="72">
        <f t="shared" si="27"/>
        <v>0.39999999999995595</v>
      </c>
      <c r="W95" s="72">
        <f t="shared" si="28"/>
        <v>0</v>
      </c>
      <c r="X95" s="196">
        <f t="shared" si="29"/>
        <v>-9.9999999999944578E-2</v>
      </c>
      <c r="Y95" s="196">
        <f t="shared" si="30"/>
        <v>0.30000000000001137</v>
      </c>
      <c r="Z95" s="72">
        <f t="shared" si="31"/>
        <v>0</v>
      </c>
      <c r="AA95" s="72">
        <f t="shared" si="32"/>
        <v>0</v>
      </c>
      <c r="AB95" s="321">
        <f t="shared" si="33"/>
        <v>1.7999999999999794</v>
      </c>
      <c r="AC95" s="72">
        <f t="shared" si="34"/>
        <v>1.2000000000000455</v>
      </c>
      <c r="AD95" s="72">
        <f t="shared" si="35"/>
        <v>0.8999999999999897</v>
      </c>
      <c r="AE95" s="72">
        <f t="shared" si="36"/>
        <v>0</v>
      </c>
      <c r="AF95" s="72">
        <f t="shared" si="37"/>
        <v>0.80000000000000071</v>
      </c>
      <c r="AG95" s="72">
        <f t="shared" si="38"/>
        <v>2.8999999999999915</v>
      </c>
      <c r="AH95" s="196">
        <f t="shared" si="39"/>
        <v>1.1000000000000121</v>
      </c>
      <c r="AI95" s="196">
        <f t="shared" si="40"/>
        <v>1.3000000000000345</v>
      </c>
      <c r="AJ95" s="72">
        <f t="shared" si="41"/>
        <v>1.3999999999999346</v>
      </c>
      <c r="AK95" s="72">
        <f t="shared" si="42"/>
        <v>3.0000000000000249</v>
      </c>
      <c r="AM95" s="35"/>
      <c r="AN95" s="35"/>
    </row>
    <row r="96" spans="1:40" x14ac:dyDescent="0.3">
      <c r="A96" s="35">
        <v>45986</v>
      </c>
      <c r="B96" s="847" t="s">
        <v>883</v>
      </c>
      <c r="C96">
        <v>3.8759999999999999</v>
      </c>
      <c r="E96">
        <f t="shared" si="22"/>
        <v>3</v>
      </c>
      <c r="F96" s="11">
        <v>94</v>
      </c>
      <c r="G96" s="179">
        <v>46118</v>
      </c>
      <c r="H96" s="847">
        <v>4.2249999999999996</v>
      </c>
      <c r="I96" s="847">
        <v>4.3140000000000001</v>
      </c>
      <c r="J96" s="847">
        <v>3.2130000000000001</v>
      </c>
      <c r="K96" s="847">
        <v>4.383</v>
      </c>
      <c r="L96" s="847">
        <v>3.3079999999999998</v>
      </c>
      <c r="M96" s="847">
        <v>4.4669999999999996</v>
      </c>
      <c r="N96" s="847">
        <v>3.3959999999999999</v>
      </c>
      <c r="O96" s="847">
        <v>3.73</v>
      </c>
      <c r="P96" s="847">
        <v>4.0640000000000001</v>
      </c>
      <c r="Q96" s="847">
        <v>4.1219999999999999</v>
      </c>
      <c r="R96" s="321">
        <f t="shared" si="23"/>
        <v>0.8999999999999897</v>
      </c>
      <c r="S96" s="72">
        <f t="shared" si="24"/>
        <v>0.80000000000000071</v>
      </c>
      <c r="T96" s="72">
        <f t="shared" si="25"/>
        <v>0.80000000000000071</v>
      </c>
      <c r="U96" s="72">
        <f t="shared" si="26"/>
        <v>0.40000000000000036</v>
      </c>
      <c r="V96" s="72">
        <f t="shared" si="27"/>
        <v>0</v>
      </c>
      <c r="W96" s="72">
        <f t="shared" si="28"/>
        <v>0</v>
      </c>
      <c r="X96" s="196">
        <f t="shared" si="29"/>
        <v>0.69999999999996732</v>
      </c>
      <c r="Y96" s="196">
        <f t="shared" si="30"/>
        <v>0.90000000000003411</v>
      </c>
      <c r="Z96" s="72">
        <f t="shared" si="31"/>
        <v>0</v>
      </c>
      <c r="AA96" s="72">
        <f t="shared" si="32"/>
        <v>0</v>
      </c>
      <c r="AB96" s="321">
        <f t="shared" si="33"/>
        <v>2.6999999999999247</v>
      </c>
      <c r="AC96" s="72">
        <f t="shared" si="34"/>
        <v>0.90000000000003411</v>
      </c>
      <c r="AD96" s="72">
        <f t="shared" si="35"/>
        <v>2.0999999999999908</v>
      </c>
      <c r="AE96" s="72">
        <f t="shared" si="36"/>
        <v>0</v>
      </c>
      <c r="AF96" s="72">
        <f t="shared" si="37"/>
        <v>2.0000000000000018</v>
      </c>
      <c r="AG96" s="72">
        <f t="shared" si="38"/>
        <v>2.8999999999999915</v>
      </c>
      <c r="AH96" s="196">
        <f t="shared" si="39"/>
        <v>2.6999999999999691</v>
      </c>
      <c r="AI96" s="196">
        <f t="shared" si="40"/>
        <v>2.1999999999999797</v>
      </c>
      <c r="AJ96" s="72">
        <f t="shared" si="41"/>
        <v>1.7999999999999794</v>
      </c>
      <c r="AK96" s="72">
        <f t="shared" si="42"/>
        <v>3.2999999999999474</v>
      </c>
      <c r="AM96" s="35"/>
      <c r="AN96" s="35"/>
    </row>
    <row r="97" spans="1:40" x14ac:dyDescent="0.3">
      <c r="A97" s="35">
        <v>45987</v>
      </c>
      <c r="B97" s="847" t="s">
        <v>883</v>
      </c>
      <c r="C97">
        <v>3.8650000000000002</v>
      </c>
      <c r="E97">
        <f t="shared" si="22"/>
        <v>1</v>
      </c>
      <c r="F97" s="11">
        <v>95</v>
      </c>
      <c r="G97" s="179">
        <v>46115</v>
      </c>
      <c r="H97" s="847">
        <v>4.218</v>
      </c>
      <c r="I97" s="847">
        <v>4.3049999999999997</v>
      </c>
      <c r="J97" s="847">
        <v>3.2040000000000002</v>
      </c>
      <c r="K97" s="847">
        <v>4.383</v>
      </c>
      <c r="L97" s="847">
        <v>3.3</v>
      </c>
      <c r="M97" s="847">
        <v>4.4669999999999996</v>
      </c>
      <c r="N97" s="847">
        <v>3.3879999999999999</v>
      </c>
      <c r="O97" s="847">
        <v>3.726</v>
      </c>
      <c r="P97" s="847">
        <v>4.0640000000000001</v>
      </c>
      <c r="Q97" s="847">
        <v>4.1219999999999999</v>
      </c>
      <c r="R97" s="321">
        <f t="shared" si="23"/>
        <v>0</v>
      </c>
      <c r="S97" s="72">
        <f t="shared" si="24"/>
        <v>0</v>
      </c>
      <c r="T97" s="72">
        <f t="shared" si="25"/>
        <v>0</v>
      </c>
      <c r="U97" s="72">
        <f t="shared" si="26"/>
        <v>0</v>
      </c>
      <c r="V97" s="72">
        <f t="shared" si="27"/>
        <v>0</v>
      </c>
      <c r="W97" s="72">
        <f t="shared" si="28"/>
        <v>0.49999999999998934</v>
      </c>
      <c r="X97" s="196">
        <f t="shared" si="29"/>
        <v>0.49999999999998934</v>
      </c>
      <c r="Y97" s="196">
        <f t="shared" si="30"/>
        <v>0</v>
      </c>
      <c r="Z97" s="72">
        <f t="shared" si="31"/>
        <v>0</v>
      </c>
      <c r="AA97" s="72">
        <f t="shared" si="32"/>
        <v>0</v>
      </c>
      <c r="AB97" s="321">
        <f t="shared" si="33"/>
        <v>1.4000000000000234</v>
      </c>
      <c r="AC97" s="72">
        <f t="shared" si="34"/>
        <v>0</v>
      </c>
      <c r="AD97" s="72">
        <f t="shared" si="35"/>
        <v>1.6000000000000014</v>
      </c>
      <c r="AE97" s="72">
        <f t="shared" si="36"/>
        <v>0</v>
      </c>
      <c r="AF97" s="72">
        <f t="shared" si="37"/>
        <v>1.6999999999999904</v>
      </c>
      <c r="AG97" s="72">
        <f t="shared" si="38"/>
        <v>2.8999999999999915</v>
      </c>
      <c r="AH97" s="196">
        <f t="shared" si="39"/>
        <v>2.0999999999999908</v>
      </c>
      <c r="AI97" s="196">
        <f t="shared" si="40"/>
        <v>2.1999999999999797</v>
      </c>
      <c r="AJ97" s="72">
        <f t="shared" si="41"/>
        <v>2.2999999999999687</v>
      </c>
      <c r="AK97" s="72">
        <f t="shared" si="42"/>
        <v>4.3999999999999595</v>
      </c>
      <c r="AM97" s="35"/>
      <c r="AN97" s="35"/>
    </row>
    <row r="98" spans="1:40" x14ac:dyDescent="0.3">
      <c r="A98" s="35">
        <v>45988</v>
      </c>
      <c r="B98" s="847" t="s">
        <v>883</v>
      </c>
      <c r="C98">
        <v>3.8959999999999999</v>
      </c>
      <c r="E98">
        <f t="shared" si="22"/>
        <v>1</v>
      </c>
      <c r="F98" s="11">
        <v>96</v>
      </c>
      <c r="G98" s="179">
        <v>46114</v>
      </c>
      <c r="H98" s="847">
        <v>4.2130000000000001</v>
      </c>
      <c r="I98" s="847">
        <v>4.3049999999999997</v>
      </c>
      <c r="J98" s="847">
        <v>3.2040000000000002</v>
      </c>
      <c r="K98" s="847">
        <v>4.383</v>
      </c>
      <c r="L98" s="847">
        <v>3.3</v>
      </c>
      <c r="M98" s="847">
        <v>4.4669999999999996</v>
      </c>
      <c r="N98" s="847">
        <v>3.3879999999999999</v>
      </c>
      <c r="O98" s="847">
        <v>3.726</v>
      </c>
      <c r="P98" s="847">
        <v>4.0640000000000001</v>
      </c>
      <c r="Q98" s="847">
        <v>4.117</v>
      </c>
      <c r="R98" s="321">
        <f t="shared" si="23"/>
        <v>0</v>
      </c>
      <c r="S98" s="72">
        <f t="shared" si="24"/>
        <v>0</v>
      </c>
      <c r="T98" s="72">
        <f t="shared" si="25"/>
        <v>0</v>
      </c>
      <c r="U98" s="72">
        <f t="shared" si="26"/>
        <v>0.40000000000000036</v>
      </c>
      <c r="V98" s="72">
        <f t="shared" si="27"/>
        <v>0.69999999999996732</v>
      </c>
      <c r="W98" s="72">
        <f t="shared" si="28"/>
        <v>0</v>
      </c>
      <c r="X98" s="196">
        <f t="shared" si="29"/>
        <v>-0.30000000000001137</v>
      </c>
      <c r="Y98" s="196">
        <f t="shared" si="30"/>
        <v>0</v>
      </c>
      <c r="Z98" s="72">
        <f t="shared" si="31"/>
        <v>0</v>
      </c>
      <c r="AA98" s="72">
        <f t="shared" si="32"/>
        <v>0</v>
      </c>
      <c r="AB98" s="321">
        <f t="shared" si="33"/>
        <v>1.7999999999999794</v>
      </c>
      <c r="AC98" s="72">
        <f t="shared" si="34"/>
        <v>0</v>
      </c>
      <c r="AD98" s="72">
        <f t="shared" si="35"/>
        <v>1.6000000000000014</v>
      </c>
      <c r="AE98" s="72">
        <f t="shared" si="36"/>
        <v>0</v>
      </c>
      <c r="AF98" s="72">
        <f t="shared" si="37"/>
        <v>1.6999999999999904</v>
      </c>
      <c r="AG98" s="72">
        <f t="shared" si="38"/>
        <v>2.8999999999999915</v>
      </c>
      <c r="AH98" s="196">
        <f t="shared" si="39"/>
        <v>2.0999999999999908</v>
      </c>
      <c r="AI98" s="196">
        <f t="shared" si="40"/>
        <v>1.9000000000000128</v>
      </c>
      <c r="AJ98" s="72">
        <f t="shared" si="41"/>
        <v>1.7999999999999794</v>
      </c>
      <c r="AK98" s="72">
        <f t="shared" si="42"/>
        <v>4.3999999999999595</v>
      </c>
      <c r="AM98" s="35"/>
      <c r="AN98" s="35"/>
    </row>
    <row r="99" spans="1:40" x14ac:dyDescent="0.3">
      <c r="A99" s="35">
        <v>45989</v>
      </c>
      <c r="B99" s="847" t="s">
        <v>883</v>
      </c>
      <c r="C99">
        <v>3.8919999999999999</v>
      </c>
      <c r="E99">
        <f t="shared" si="22"/>
        <v>1</v>
      </c>
      <c r="F99" s="11">
        <v>97</v>
      </c>
      <c r="G99" s="179">
        <v>46113</v>
      </c>
      <c r="H99" s="847">
        <v>4.2160000000000002</v>
      </c>
      <c r="I99" s="847">
        <v>4.3049999999999997</v>
      </c>
      <c r="J99" s="847">
        <v>3.2040000000000002</v>
      </c>
      <c r="K99" s="847">
        <v>4.383</v>
      </c>
      <c r="L99" s="847">
        <v>3.3</v>
      </c>
      <c r="M99" s="847">
        <v>4.4669999999999996</v>
      </c>
      <c r="N99" s="847">
        <v>3.3879999999999999</v>
      </c>
      <c r="O99" s="847">
        <v>3.722</v>
      </c>
      <c r="P99" s="847">
        <v>4.0570000000000004</v>
      </c>
      <c r="Q99" s="847">
        <v>4.117</v>
      </c>
      <c r="R99" s="321">
        <f t="shared" si="23"/>
        <v>0</v>
      </c>
      <c r="S99" s="72">
        <f t="shared" si="24"/>
        <v>0</v>
      </c>
      <c r="T99" s="72">
        <f t="shared" si="25"/>
        <v>0</v>
      </c>
      <c r="U99" s="72">
        <f t="shared" si="26"/>
        <v>-0.20000000000002238</v>
      </c>
      <c r="V99" s="72">
        <f t="shared" si="27"/>
        <v>-0.39999999999995595</v>
      </c>
      <c r="W99" s="72">
        <f t="shared" si="28"/>
        <v>0</v>
      </c>
      <c r="X99" s="196">
        <f t="shared" si="29"/>
        <v>0.30000000000001137</v>
      </c>
      <c r="Y99" s="196">
        <f t="shared" si="30"/>
        <v>0</v>
      </c>
      <c r="Z99" s="72">
        <f t="shared" si="31"/>
        <v>0</v>
      </c>
      <c r="AA99" s="72">
        <f t="shared" si="32"/>
        <v>0</v>
      </c>
      <c r="AB99" s="321">
        <f t="shared" si="33"/>
        <v>1.7999999999999794</v>
      </c>
      <c r="AC99" s="72">
        <f t="shared" si="34"/>
        <v>0</v>
      </c>
      <c r="AD99" s="72">
        <f t="shared" si="35"/>
        <v>1.6000000000000014</v>
      </c>
      <c r="AE99" s="72">
        <f t="shared" si="36"/>
        <v>0</v>
      </c>
      <c r="AF99" s="72">
        <f t="shared" si="37"/>
        <v>1.6999999999999904</v>
      </c>
      <c r="AG99" s="72">
        <f t="shared" si="38"/>
        <v>2.8999999999999915</v>
      </c>
      <c r="AH99" s="196">
        <f t="shared" si="39"/>
        <v>2.0999999999999908</v>
      </c>
      <c r="AI99" s="196">
        <f t="shared" si="40"/>
        <v>1.2000000000000011</v>
      </c>
      <c r="AJ99" s="72">
        <f t="shared" si="41"/>
        <v>0.30000000000001137</v>
      </c>
      <c r="AK99" s="72">
        <f t="shared" si="42"/>
        <v>4.3999999999999595</v>
      </c>
      <c r="AM99" s="35"/>
      <c r="AN99" s="35"/>
    </row>
    <row r="100" spans="1:40" x14ac:dyDescent="0.3">
      <c r="A100" s="35">
        <v>45992</v>
      </c>
      <c r="B100" s="847" t="s">
        <v>883</v>
      </c>
      <c r="C100">
        <v>3.911</v>
      </c>
      <c r="E100">
        <f t="shared" si="22"/>
        <v>1</v>
      </c>
      <c r="F100" s="11">
        <v>98</v>
      </c>
      <c r="G100" s="179">
        <v>46112</v>
      </c>
      <c r="H100" s="847">
        <v>4.2130000000000001</v>
      </c>
      <c r="I100" s="847">
        <v>4.3049999999999997</v>
      </c>
      <c r="J100" s="847">
        <v>3.2040000000000002</v>
      </c>
      <c r="K100" s="847">
        <v>4.383</v>
      </c>
      <c r="L100" s="847">
        <v>3.3</v>
      </c>
      <c r="M100" s="847">
        <v>4.4669999999999996</v>
      </c>
      <c r="N100" s="847">
        <v>3.3879999999999999</v>
      </c>
      <c r="O100" s="847">
        <v>3.7240000000000002</v>
      </c>
      <c r="P100" s="847">
        <v>4.0609999999999999</v>
      </c>
      <c r="Q100" s="847">
        <v>4.117</v>
      </c>
      <c r="R100" s="321">
        <f t="shared" si="23"/>
        <v>0</v>
      </c>
      <c r="S100" s="72">
        <f t="shared" si="24"/>
        <v>0</v>
      </c>
      <c r="T100" s="72">
        <f t="shared" si="25"/>
        <v>0</v>
      </c>
      <c r="U100" s="72">
        <f t="shared" si="26"/>
        <v>-0.19999999999997797</v>
      </c>
      <c r="V100" s="72">
        <f t="shared" si="27"/>
        <v>-0.30000000000001137</v>
      </c>
      <c r="W100" s="72">
        <f t="shared" si="28"/>
        <v>0</v>
      </c>
      <c r="X100" s="196">
        <f t="shared" si="29"/>
        <v>0.49999999999998934</v>
      </c>
      <c r="Y100" s="196">
        <f t="shared" si="30"/>
        <v>0</v>
      </c>
      <c r="Z100" s="72">
        <f t="shared" si="31"/>
        <v>0</v>
      </c>
      <c r="AA100" s="72">
        <f t="shared" si="32"/>
        <v>0</v>
      </c>
      <c r="AB100" s="321">
        <f t="shared" si="33"/>
        <v>1.7999999999999794</v>
      </c>
      <c r="AC100" s="72">
        <f t="shared" si="34"/>
        <v>0</v>
      </c>
      <c r="AD100" s="72">
        <f t="shared" si="35"/>
        <v>1.6000000000000014</v>
      </c>
      <c r="AE100" s="72">
        <f t="shared" si="36"/>
        <v>0</v>
      </c>
      <c r="AF100" s="72">
        <f t="shared" si="37"/>
        <v>1.6999999999999904</v>
      </c>
      <c r="AG100" s="72">
        <f t="shared" si="38"/>
        <v>2.8999999999999915</v>
      </c>
      <c r="AH100" s="196">
        <f t="shared" si="39"/>
        <v>2.0999999999999908</v>
      </c>
      <c r="AI100" s="196">
        <f t="shared" si="40"/>
        <v>1.6000000000000014</v>
      </c>
      <c r="AJ100" s="72">
        <f t="shared" si="41"/>
        <v>1.1000000000000121</v>
      </c>
      <c r="AK100" s="72">
        <f t="shared" si="42"/>
        <v>4.3999999999999595</v>
      </c>
      <c r="AM100" s="35"/>
      <c r="AN100" s="35"/>
    </row>
    <row r="101" spans="1:40" x14ac:dyDescent="0.3">
      <c r="A101" s="35">
        <v>45993</v>
      </c>
      <c r="B101" s="847" t="s">
        <v>883</v>
      </c>
      <c r="C101">
        <v>3.9260000000000002</v>
      </c>
      <c r="E101">
        <f t="shared" si="22"/>
        <v>3</v>
      </c>
      <c r="F101" s="11">
        <v>99</v>
      </c>
      <c r="G101" s="179">
        <v>46111</v>
      </c>
      <c r="H101" s="847">
        <v>4.2080000000000002</v>
      </c>
      <c r="I101" s="847">
        <v>4.3049999999999997</v>
      </c>
      <c r="J101" s="847">
        <v>3.2040000000000002</v>
      </c>
      <c r="K101" s="847">
        <v>4.383</v>
      </c>
      <c r="L101" s="847">
        <v>3.3</v>
      </c>
      <c r="M101" s="847">
        <v>4.4669999999999996</v>
      </c>
      <c r="N101" s="847">
        <v>3.3879999999999999</v>
      </c>
      <c r="O101" s="847">
        <v>3.726</v>
      </c>
      <c r="P101" s="847">
        <v>4.0640000000000001</v>
      </c>
      <c r="Q101" s="847">
        <v>4.117</v>
      </c>
      <c r="R101" s="321">
        <f t="shared" si="23"/>
        <v>0</v>
      </c>
      <c r="S101" s="72">
        <f t="shared" si="24"/>
        <v>0</v>
      </c>
      <c r="T101" s="72">
        <f t="shared" si="25"/>
        <v>0</v>
      </c>
      <c r="U101" s="72">
        <f t="shared" si="26"/>
        <v>0</v>
      </c>
      <c r="V101" s="72">
        <f t="shared" si="27"/>
        <v>0</v>
      </c>
      <c r="W101" s="72">
        <f t="shared" si="28"/>
        <v>0</v>
      </c>
      <c r="X101" s="196">
        <f t="shared" si="29"/>
        <v>-0.49999999999998934</v>
      </c>
      <c r="Y101" s="196">
        <f t="shared" si="30"/>
        <v>0</v>
      </c>
      <c r="Z101" s="72">
        <f t="shared" si="31"/>
        <v>0</v>
      </c>
      <c r="AA101" s="72">
        <f t="shared" si="32"/>
        <v>0</v>
      </c>
      <c r="AB101" s="321">
        <f t="shared" si="33"/>
        <v>0.99999999999997868</v>
      </c>
      <c r="AC101" s="72">
        <f t="shared" si="34"/>
        <v>0</v>
      </c>
      <c r="AD101" s="72">
        <f t="shared" si="35"/>
        <v>6.6000000000000281</v>
      </c>
      <c r="AE101" s="72">
        <f t="shared" si="36"/>
        <v>0</v>
      </c>
      <c r="AF101" s="72">
        <f t="shared" si="37"/>
        <v>5.7999999999999829</v>
      </c>
      <c r="AG101" s="72">
        <f t="shared" si="38"/>
        <v>2.8999999999999915</v>
      </c>
      <c r="AH101" s="196">
        <f t="shared" si="39"/>
        <v>6.2999999999999723</v>
      </c>
      <c r="AI101" s="196">
        <f t="shared" si="40"/>
        <v>4.1999999999999815</v>
      </c>
      <c r="AJ101" s="72">
        <f t="shared" si="41"/>
        <v>2.0999999999999908</v>
      </c>
      <c r="AK101" s="72">
        <f t="shared" si="42"/>
        <v>4.3999999999999595</v>
      </c>
      <c r="AM101" s="35"/>
      <c r="AN101" s="35"/>
    </row>
    <row r="102" spans="1:40" x14ac:dyDescent="0.3">
      <c r="A102" s="35">
        <v>45994</v>
      </c>
      <c r="B102" s="847" t="s">
        <v>883</v>
      </c>
      <c r="C102">
        <v>3.9449999999999998</v>
      </c>
      <c r="E102">
        <f t="shared" si="22"/>
        <v>1</v>
      </c>
      <c r="F102" s="11">
        <v>100</v>
      </c>
      <c r="G102" s="179">
        <v>46108</v>
      </c>
      <c r="H102" s="847">
        <v>4.2130000000000001</v>
      </c>
      <c r="I102" s="847">
        <v>4.3049999999999997</v>
      </c>
      <c r="J102" s="847">
        <v>3.2040000000000002</v>
      </c>
      <c r="K102" s="847">
        <v>4.383</v>
      </c>
      <c r="L102" s="847">
        <v>3.3</v>
      </c>
      <c r="M102" s="847">
        <v>4.4669999999999996</v>
      </c>
      <c r="N102" s="847">
        <v>3.3879999999999999</v>
      </c>
      <c r="O102" s="847">
        <v>3.726</v>
      </c>
      <c r="P102" s="847">
        <v>4.0640000000000001</v>
      </c>
      <c r="Q102" s="847">
        <v>4.117</v>
      </c>
      <c r="R102" s="321">
        <f t="shared" si="23"/>
        <v>0</v>
      </c>
      <c r="S102" s="72">
        <f t="shared" si="24"/>
        <v>0</v>
      </c>
      <c r="T102" s="72">
        <f t="shared" si="25"/>
        <v>0</v>
      </c>
      <c r="U102" s="72">
        <f t="shared" si="26"/>
        <v>-0.30000000000001137</v>
      </c>
      <c r="V102" s="72">
        <f t="shared" si="27"/>
        <v>-0.69999999999996732</v>
      </c>
      <c r="W102" s="72">
        <f t="shared" si="28"/>
        <v>0</v>
      </c>
      <c r="X102" s="196">
        <f t="shared" si="29"/>
        <v>1.2000000000000455</v>
      </c>
      <c r="Y102" s="196">
        <f t="shared" si="30"/>
        <v>0</v>
      </c>
      <c r="Z102" s="72">
        <f t="shared" si="31"/>
        <v>0</v>
      </c>
      <c r="AA102" s="72">
        <f t="shared" si="32"/>
        <v>0.39999999999995595</v>
      </c>
      <c r="AB102" s="321">
        <f t="shared" si="33"/>
        <v>2.0000000000000462</v>
      </c>
      <c r="AC102" s="72">
        <f t="shared" si="34"/>
        <v>0</v>
      </c>
      <c r="AD102" s="72">
        <f t="shared" si="35"/>
        <v>6.6000000000000281</v>
      </c>
      <c r="AE102" s="72">
        <f t="shared" si="36"/>
        <v>0</v>
      </c>
      <c r="AF102" s="72">
        <f t="shared" si="37"/>
        <v>5.7999999999999829</v>
      </c>
      <c r="AG102" s="72">
        <f t="shared" si="38"/>
        <v>2.8999999999999915</v>
      </c>
      <c r="AH102" s="196">
        <f t="shared" si="39"/>
        <v>6.2999999999999723</v>
      </c>
      <c r="AI102" s="196">
        <f t="shared" si="40"/>
        <v>4.8999999999999932</v>
      </c>
      <c r="AJ102" s="72">
        <f t="shared" si="41"/>
        <v>3.5000000000000142</v>
      </c>
      <c r="AK102" s="72">
        <f t="shared" si="42"/>
        <v>4.1999999999999815</v>
      </c>
      <c r="AM102" s="35"/>
      <c r="AN102" s="35"/>
    </row>
    <row r="103" spans="1:40" x14ac:dyDescent="0.3">
      <c r="A103" s="35">
        <v>45995</v>
      </c>
      <c r="B103" s="847" t="s">
        <v>883</v>
      </c>
      <c r="C103">
        <v>3.9369999999999998</v>
      </c>
      <c r="E103">
        <f t="shared" si="22"/>
        <v>1</v>
      </c>
      <c r="F103" s="11">
        <v>101</v>
      </c>
      <c r="G103" s="179">
        <v>46107</v>
      </c>
      <c r="H103" s="847">
        <v>4.2009999999999996</v>
      </c>
      <c r="I103" s="847">
        <v>4.3049999999999997</v>
      </c>
      <c r="J103" s="847">
        <v>3.2040000000000002</v>
      </c>
      <c r="K103" s="847">
        <v>4.383</v>
      </c>
      <c r="L103" s="847">
        <v>3.3</v>
      </c>
      <c r="M103" s="847">
        <v>4.4630000000000001</v>
      </c>
      <c r="N103" s="847">
        <v>3.3879999999999999</v>
      </c>
      <c r="O103" s="847">
        <v>3.7290000000000001</v>
      </c>
      <c r="P103" s="847">
        <v>4.0709999999999997</v>
      </c>
      <c r="Q103" s="847">
        <v>4.117</v>
      </c>
      <c r="R103" s="321">
        <f t="shared" si="23"/>
        <v>0</v>
      </c>
      <c r="S103" s="72">
        <f t="shared" si="24"/>
        <v>0</v>
      </c>
      <c r="T103" s="72">
        <f t="shared" si="25"/>
        <v>0</v>
      </c>
      <c r="U103" s="72">
        <f t="shared" si="26"/>
        <v>0.49999999999998934</v>
      </c>
      <c r="V103" s="72">
        <f t="shared" si="27"/>
        <v>0.99999999999997868</v>
      </c>
      <c r="W103" s="72">
        <f t="shared" si="28"/>
        <v>2.5000000000000355</v>
      </c>
      <c r="X103" s="196">
        <f t="shared" si="29"/>
        <v>9.9999999999944578E-2</v>
      </c>
      <c r="Y103" s="196">
        <f t="shared" si="30"/>
        <v>0</v>
      </c>
      <c r="Z103" s="72">
        <f t="shared" si="31"/>
        <v>0</v>
      </c>
      <c r="AA103" s="72">
        <f t="shared" si="32"/>
        <v>2.5000000000000355</v>
      </c>
      <c r="AB103" s="321">
        <f>(H103-H113)*100</f>
        <v>9.9999999999944578E-2</v>
      </c>
      <c r="AC103" s="72">
        <f t="shared" si="34"/>
        <v>0.69999999999996732</v>
      </c>
      <c r="AD103" s="72">
        <f t="shared" si="35"/>
        <v>8.7000000000000188</v>
      </c>
      <c r="AE103" s="72">
        <f t="shared" si="36"/>
        <v>0.40000000000004476</v>
      </c>
      <c r="AF103" s="72">
        <f t="shared" si="37"/>
        <v>7.8999999999999737</v>
      </c>
      <c r="AG103" s="72">
        <f t="shared" si="38"/>
        <v>2.5000000000000355</v>
      </c>
      <c r="AH103" s="196">
        <f t="shared" si="39"/>
        <v>8.8000000000000078</v>
      </c>
      <c r="AI103" s="196">
        <f t="shared" si="40"/>
        <v>7.6999999999999957</v>
      </c>
      <c r="AJ103" s="72">
        <f t="shared" si="41"/>
        <v>6.7000000000000171</v>
      </c>
      <c r="AK103" s="72">
        <f t="shared" si="42"/>
        <v>5.600000000000005</v>
      </c>
      <c r="AM103" s="35"/>
      <c r="AN103" s="35"/>
    </row>
    <row r="104" spans="1:40" x14ac:dyDescent="0.3">
      <c r="A104" s="35">
        <v>45996</v>
      </c>
      <c r="B104" s="847" t="s">
        <v>883</v>
      </c>
      <c r="C104">
        <v>3.9540000000000002</v>
      </c>
      <c r="E104">
        <f t="shared" si="22"/>
        <v>1</v>
      </c>
      <c r="F104" s="11">
        <v>102</v>
      </c>
      <c r="G104" s="179">
        <v>46106</v>
      </c>
      <c r="H104" s="847">
        <v>4.2</v>
      </c>
      <c r="I104" s="847">
        <v>4.3049999999999997</v>
      </c>
      <c r="J104" s="847">
        <v>3.2040000000000002</v>
      </c>
      <c r="K104" s="847">
        <v>4.383</v>
      </c>
      <c r="L104" s="847">
        <v>3.3</v>
      </c>
      <c r="M104" s="847">
        <v>4.4379999999999997</v>
      </c>
      <c r="N104" s="847">
        <v>3.3879999999999999</v>
      </c>
      <c r="O104" s="847">
        <v>3.7240000000000002</v>
      </c>
      <c r="P104" s="847">
        <v>4.0609999999999999</v>
      </c>
      <c r="Q104" s="847">
        <v>4.0919999999999996</v>
      </c>
      <c r="R104" s="321">
        <f t="shared" si="23"/>
        <v>0</v>
      </c>
      <c r="S104" s="72">
        <f t="shared" si="24"/>
        <v>0</v>
      </c>
      <c r="T104" s="72">
        <f t="shared" si="25"/>
        <v>0.30000000000001137</v>
      </c>
      <c r="U104" s="72">
        <f t="shared" si="26"/>
        <v>0.50000000000003375</v>
      </c>
      <c r="V104" s="72">
        <f t="shared" si="27"/>
        <v>0.69999999999996732</v>
      </c>
      <c r="W104" s="72">
        <f t="shared" si="28"/>
        <v>0</v>
      </c>
      <c r="X104" s="196">
        <f t="shared" si="29"/>
        <v>-0.60000000000002274</v>
      </c>
      <c r="Y104" s="196">
        <f t="shared" si="30"/>
        <v>0</v>
      </c>
      <c r="Z104" s="72">
        <f t="shared" si="31"/>
        <v>0</v>
      </c>
      <c r="AA104" s="72">
        <f t="shared" si="32"/>
        <v>0</v>
      </c>
      <c r="AB104" s="321">
        <f>(H104-H114)*100</f>
        <v>1.1000000000000121</v>
      </c>
      <c r="AC104" s="72">
        <f t="shared" si="34"/>
        <v>1.699999999999946</v>
      </c>
      <c r="AD104" s="72">
        <f t="shared" si="35"/>
        <v>10.80000000000001</v>
      </c>
      <c r="AE104" s="72">
        <f t="shared" si="36"/>
        <v>3.6999999999999922</v>
      </c>
      <c r="AF104" s="72">
        <f t="shared" si="37"/>
        <v>9.9999999999999645</v>
      </c>
      <c r="AG104" s="72">
        <f t="shared" si="38"/>
        <v>3.3999999999999808</v>
      </c>
      <c r="AH104" s="196">
        <f t="shared" si="39"/>
        <v>12.1</v>
      </c>
      <c r="AI104" s="196">
        <f t="shared" si="40"/>
        <v>16.400000000000013</v>
      </c>
      <c r="AJ104" s="72">
        <f t="shared" si="41"/>
        <v>20.699999999999985</v>
      </c>
      <c r="AK104" s="72">
        <f t="shared" si="42"/>
        <v>15.299999999999958</v>
      </c>
      <c r="AM104" s="35"/>
      <c r="AN104" s="35"/>
    </row>
    <row r="105" spans="1:40" x14ac:dyDescent="0.3">
      <c r="A105" s="35">
        <v>45999</v>
      </c>
      <c r="B105" s="847" t="s">
        <v>883</v>
      </c>
      <c r="C105">
        <v>3.956</v>
      </c>
      <c r="E105">
        <f t="shared" si="22"/>
        <v>1</v>
      </c>
      <c r="F105" s="11">
        <v>103</v>
      </c>
      <c r="G105" s="179">
        <v>46105</v>
      </c>
      <c r="H105" s="847">
        <v>4.2060000000000004</v>
      </c>
      <c r="I105" s="847">
        <v>4.3049999999999997</v>
      </c>
      <c r="J105" s="847">
        <v>3.2040000000000002</v>
      </c>
      <c r="K105" s="847">
        <v>4.383</v>
      </c>
      <c r="L105" s="847">
        <v>3.3</v>
      </c>
      <c r="M105" s="847">
        <v>4.4379999999999997</v>
      </c>
      <c r="N105" s="847">
        <v>3.3849999999999998</v>
      </c>
      <c r="O105" s="847">
        <v>3.7189999999999999</v>
      </c>
      <c r="P105" s="847">
        <v>4.0540000000000003</v>
      </c>
      <c r="Q105" s="847">
        <v>4.0919999999999996</v>
      </c>
      <c r="R105" s="321">
        <f t="shared" si="23"/>
        <v>1.2000000000000011</v>
      </c>
      <c r="S105" s="72">
        <f t="shared" si="24"/>
        <v>1.2000000000000011</v>
      </c>
      <c r="T105" s="72">
        <f t="shared" si="25"/>
        <v>1.599999999999957</v>
      </c>
      <c r="U105" s="72">
        <f t="shared" si="26"/>
        <v>1.0999999999999677</v>
      </c>
      <c r="V105" s="72">
        <f t="shared" si="27"/>
        <v>0.80000000000000071</v>
      </c>
      <c r="W105" s="72">
        <f t="shared" si="28"/>
        <v>0.29999999999992255</v>
      </c>
      <c r="X105" s="196">
        <f t="shared" si="29"/>
        <v>0.80000000000000071</v>
      </c>
      <c r="Y105" s="196">
        <f t="shared" si="30"/>
        <v>0</v>
      </c>
      <c r="Z105" s="72">
        <f t="shared" si="31"/>
        <v>0</v>
      </c>
      <c r="AA105" s="72">
        <f t="shared" si="32"/>
        <v>0</v>
      </c>
      <c r="AB105" s="321">
        <f t="shared" si="33"/>
        <v>1.9000000000000128</v>
      </c>
      <c r="AC105" s="72">
        <f t="shared" si="34"/>
        <v>4.6999999999999709</v>
      </c>
      <c r="AD105" s="72">
        <f t="shared" si="35"/>
        <v>10.80000000000001</v>
      </c>
      <c r="AE105" s="72">
        <f t="shared" si="36"/>
        <v>3.6999999999999922</v>
      </c>
      <c r="AF105" s="72">
        <f t="shared" si="37"/>
        <v>9.9999999999999645</v>
      </c>
      <c r="AG105" s="72">
        <f t="shared" si="38"/>
        <v>3.3999999999999808</v>
      </c>
      <c r="AH105" s="196">
        <f t="shared" si="39"/>
        <v>11.799999999999988</v>
      </c>
      <c r="AI105" s="196">
        <f t="shared" si="40"/>
        <v>16.100000000000001</v>
      </c>
      <c r="AJ105" s="72">
        <f t="shared" si="41"/>
        <v>20.40000000000002</v>
      </c>
      <c r="AK105" s="72">
        <f t="shared" si="42"/>
        <v>22.29999999999994</v>
      </c>
      <c r="AM105" s="35"/>
      <c r="AN105" s="35"/>
    </row>
    <row r="106" spans="1:40" x14ac:dyDescent="0.3">
      <c r="A106" s="35">
        <v>46000</v>
      </c>
      <c r="B106" s="847" t="s">
        <v>883</v>
      </c>
      <c r="C106">
        <v>3.956</v>
      </c>
      <c r="E106">
        <f t="shared" si="22"/>
        <v>3</v>
      </c>
      <c r="F106" s="11">
        <v>104</v>
      </c>
      <c r="G106" s="179">
        <v>46104</v>
      </c>
      <c r="H106" s="847">
        <v>4.1980000000000004</v>
      </c>
      <c r="I106" s="847">
        <v>4.3049999999999997</v>
      </c>
      <c r="J106" s="847">
        <v>3.1920000000000002</v>
      </c>
      <c r="K106" s="847">
        <v>4.383</v>
      </c>
      <c r="L106" s="847">
        <v>3.2879999999999998</v>
      </c>
      <c r="M106" s="847">
        <v>4.4379999999999997</v>
      </c>
      <c r="N106" s="847">
        <v>3.3690000000000002</v>
      </c>
      <c r="O106" s="847">
        <v>3.7080000000000002</v>
      </c>
      <c r="P106" s="847">
        <v>4.0460000000000003</v>
      </c>
      <c r="Q106" s="847">
        <v>4.0890000000000004</v>
      </c>
      <c r="R106" s="321">
        <f t="shared" si="23"/>
        <v>0.40000000000000036</v>
      </c>
      <c r="S106" s="72">
        <f t="shared" si="24"/>
        <v>0.49999999999998934</v>
      </c>
      <c r="T106" s="72">
        <f t="shared" si="25"/>
        <v>0.20000000000002238</v>
      </c>
      <c r="U106" s="72">
        <f t="shared" si="26"/>
        <v>0.40000000000000036</v>
      </c>
      <c r="V106" s="72">
        <f t="shared" si="27"/>
        <v>0.49999999999998934</v>
      </c>
      <c r="W106" s="72">
        <f t="shared" si="28"/>
        <v>1.1000000000000121</v>
      </c>
      <c r="X106" s="196">
        <f t="shared" si="29"/>
        <v>-0.59999999999993392</v>
      </c>
      <c r="Y106" s="196">
        <f t="shared" si="30"/>
        <v>0</v>
      </c>
      <c r="Z106" s="72">
        <f t="shared" si="31"/>
        <v>0</v>
      </c>
      <c r="AA106" s="72">
        <f t="shared" si="32"/>
        <v>0</v>
      </c>
      <c r="AB106" s="321">
        <f t="shared" si="33"/>
        <v>2.0000000000000462</v>
      </c>
      <c r="AC106" s="72">
        <f t="shared" si="34"/>
        <v>5.1999999999999602</v>
      </c>
      <c r="AD106" s="72">
        <f t="shared" si="35"/>
        <v>11.7</v>
      </c>
      <c r="AE106" s="72">
        <f t="shared" si="36"/>
        <v>4.1000000000000369</v>
      </c>
      <c r="AF106" s="72">
        <f t="shared" si="37"/>
        <v>9.9999999999999645</v>
      </c>
      <c r="AG106" s="72">
        <f t="shared" si="38"/>
        <v>3.7999999999999368</v>
      </c>
      <c r="AH106" s="196">
        <f t="shared" si="39"/>
        <v>12.300000000000022</v>
      </c>
      <c r="AI106" s="196">
        <f t="shared" si="40"/>
        <v>16.900000000000006</v>
      </c>
      <c r="AJ106" s="72">
        <f t="shared" si="41"/>
        <v>21.400000000000041</v>
      </c>
      <c r="AK106" s="72">
        <f t="shared" si="42"/>
        <v>22.000000000000021</v>
      </c>
      <c r="AM106" s="35"/>
      <c r="AN106" s="35"/>
    </row>
    <row r="107" spans="1:40" x14ac:dyDescent="0.3">
      <c r="A107" s="35">
        <v>46001</v>
      </c>
      <c r="B107" s="847" t="s">
        <v>883</v>
      </c>
      <c r="C107">
        <v>3.956</v>
      </c>
      <c r="E107">
        <f t="shared" si="22"/>
        <v>1</v>
      </c>
      <c r="F107" s="11">
        <v>105</v>
      </c>
      <c r="G107" s="179">
        <v>46101</v>
      </c>
      <c r="H107" s="847">
        <v>4.2039999999999997</v>
      </c>
      <c r="I107" s="847">
        <v>4.3049999999999997</v>
      </c>
      <c r="J107" s="847">
        <v>3.1880000000000002</v>
      </c>
      <c r="K107" s="847">
        <v>4.383</v>
      </c>
      <c r="L107" s="847">
        <v>3.2829999999999999</v>
      </c>
      <c r="M107" s="847">
        <v>4.4379999999999997</v>
      </c>
      <c r="N107" s="847">
        <v>3.367</v>
      </c>
      <c r="O107" s="847">
        <v>3.7040000000000002</v>
      </c>
      <c r="P107" s="847">
        <v>4.0410000000000004</v>
      </c>
      <c r="Q107" s="847">
        <v>4.0780000000000003</v>
      </c>
      <c r="R107" s="321">
        <f>(J107-J108)*100</f>
        <v>0</v>
      </c>
      <c r="S107" s="72">
        <f t="shared" si="24"/>
        <v>0</v>
      </c>
      <c r="T107" s="72">
        <f t="shared" si="25"/>
        <v>0</v>
      </c>
      <c r="U107" s="72">
        <f t="shared" si="26"/>
        <v>-0.29999999999996696</v>
      </c>
      <c r="V107" s="72">
        <f t="shared" si="27"/>
        <v>-0.49999999999998934</v>
      </c>
      <c r="W107" s="72">
        <f t="shared" si="28"/>
        <v>0.49999999999998934</v>
      </c>
      <c r="X107" s="196">
        <f t="shared" si="29"/>
        <v>0.89999999999994529</v>
      </c>
      <c r="Y107" s="196">
        <f t="shared" si="30"/>
        <v>0</v>
      </c>
      <c r="Z107" s="72">
        <f t="shared" si="31"/>
        <v>0</v>
      </c>
      <c r="AA107" s="72">
        <f t="shared" si="32"/>
        <v>0</v>
      </c>
      <c r="AB107" s="321">
        <f t="shared" si="33"/>
        <v>3.6999999999999922</v>
      </c>
      <c r="AC107" s="72">
        <f t="shared" si="34"/>
        <v>7.4999999999999289</v>
      </c>
      <c r="AD107" s="72">
        <f t="shared" si="35"/>
        <v>13.000000000000034</v>
      </c>
      <c r="AE107" s="72">
        <f t="shared" si="36"/>
        <v>3.3000000000000362</v>
      </c>
      <c r="AF107" s="72">
        <f t="shared" si="37"/>
        <v>11.20000000000001</v>
      </c>
      <c r="AG107" s="72">
        <f t="shared" si="38"/>
        <v>3.7999999999999368</v>
      </c>
      <c r="AH107" s="196">
        <f t="shared" si="39"/>
        <v>13.79999999999999</v>
      </c>
      <c r="AI107" s="196">
        <f t="shared" si="40"/>
        <v>17.80000000000004</v>
      </c>
      <c r="AJ107" s="72">
        <f t="shared" si="41"/>
        <v>21.900000000000031</v>
      </c>
      <c r="AK107" s="72">
        <f t="shared" si="42"/>
        <v>23.10000000000003</v>
      </c>
      <c r="AM107" s="35"/>
      <c r="AN107" s="35"/>
    </row>
    <row r="108" spans="1:40" x14ac:dyDescent="0.3">
      <c r="A108" s="35">
        <v>46002</v>
      </c>
      <c r="B108" s="847" t="s">
        <v>883</v>
      </c>
      <c r="C108">
        <v>3.9830000000000001</v>
      </c>
      <c r="E108">
        <f t="shared" si="22"/>
        <v>1</v>
      </c>
      <c r="F108" s="11">
        <v>106</v>
      </c>
      <c r="G108" s="179">
        <v>46100</v>
      </c>
      <c r="H108" s="847">
        <v>4.1950000000000003</v>
      </c>
      <c r="I108" s="847">
        <v>4.3049999999999997</v>
      </c>
      <c r="J108" s="847">
        <v>3.1880000000000002</v>
      </c>
      <c r="K108" s="847">
        <v>4.383</v>
      </c>
      <c r="L108" s="847">
        <v>3.2829999999999999</v>
      </c>
      <c r="M108" s="847">
        <v>4.4379999999999997</v>
      </c>
      <c r="N108" s="847">
        <v>3.367</v>
      </c>
      <c r="O108" s="847">
        <v>3.7069999999999999</v>
      </c>
      <c r="P108" s="847">
        <v>4.0460000000000003</v>
      </c>
      <c r="Q108" s="847">
        <v>4.0730000000000004</v>
      </c>
      <c r="R108" s="321">
        <f t="shared" si="23"/>
        <v>0</v>
      </c>
      <c r="S108" s="72">
        <f t="shared" si="24"/>
        <v>0</v>
      </c>
      <c r="T108" s="72">
        <f t="shared" si="25"/>
        <v>0</v>
      </c>
      <c r="U108" s="72">
        <f t="shared" si="26"/>
        <v>-0.30000000000001137</v>
      </c>
      <c r="V108" s="72">
        <f t="shared" si="27"/>
        <v>-0.80000000000000071</v>
      </c>
      <c r="W108" s="72">
        <f t="shared" si="28"/>
        <v>0</v>
      </c>
      <c r="X108" s="196">
        <f t="shared" si="29"/>
        <v>-0.30000000000001137</v>
      </c>
      <c r="Y108" s="196">
        <f t="shared" si="30"/>
        <v>0</v>
      </c>
      <c r="Z108" s="72">
        <f t="shared" si="31"/>
        <v>0</v>
      </c>
      <c r="AA108" s="72">
        <f t="shared" si="32"/>
        <v>0</v>
      </c>
      <c r="AB108" s="321">
        <f t="shared" si="33"/>
        <v>3.0000000000000249</v>
      </c>
      <c r="AC108" s="72">
        <f t="shared" si="34"/>
        <v>7.4999999999999289</v>
      </c>
      <c r="AD108" s="72">
        <f t="shared" si="35"/>
        <v>13.000000000000034</v>
      </c>
      <c r="AE108" s="72">
        <f t="shared" si="36"/>
        <v>3.3000000000000362</v>
      </c>
      <c r="AF108" s="72">
        <f t="shared" si="37"/>
        <v>11.20000000000001</v>
      </c>
      <c r="AG108" s="72">
        <f t="shared" si="38"/>
        <v>3.7999999999999368</v>
      </c>
      <c r="AH108" s="196">
        <f t="shared" si="39"/>
        <v>13.79999999999999</v>
      </c>
      <c r="AI108" s="196">
        <f t="shared" si="40"/>
        <v>18.100000000000005</v>
      </c>
      <c r="AJ108" s="72">
        <f t="shared" si="41"/>
        <v>22.40000000000002</v>
      </c>
      <c r="AK108" s="72">
        <f t="shared" si="42"/>
        <v>22.600000000000044</v>
      </c>
      <c r="AM108" s="35"/>
      <c r="AN108" s="35"/>
    </row>
    <row r="109" spans="1:40" x14ac:dyDescent="0.3">
      <c r="A109" s="35">
        <v>46003</v>
      </c>
      <c r="B109" s="847" t="s">
        <v>883</v>
      </c>
      <c r="C109">
        <v>3.98</v>
      </c>
      <c r="E109">
        <f t="shared" si="22"/>
        <v>1</v>
      </c>
      <c r="F109" s="11">
        <v>107</v>
      </c>
      <c r="G109" s="179">
        <v>46099</v>
      </c>
      <c r="H109" s="847">
        <v>4.1980000000000004</v>
      </c>
      <c r="I109" s="847">
        <v>4.3049999999999997</v>
      </c>
      <c r="J109" s="847">
        <v>3.1880000000000002</v>
      </c>
      <c r="K109" s="847">
        <v>4.383</v>
      </c>
      <c r="L109" s="847">
        <v>3.2829999999999999</v>
      </c>
      <c r="M109" s="847">
        <v>4.4379999999999997</v>
      </c>
      <c r="N109" s="847">
        <v>3.367</v>
      </c>
      <c r="O109" s="847">
        <v>3.71</v>
      </c>
      <c r="P109" s="847">
        <v>4.0540000000000003</v>
      </c>
      <c r="Q109" s="847">
        <v>4.0730000000000004</v>
      </c>
      <c r="R109" s="321">
        <f t="shared" si="23"/>
        <v>0</v>
      </c>
      <c r="S109" s="72">
        <f t="shared" si="24"/>
        <v>0</v>
      </c>
      <c r="T109" s="72">
        <f t="shared" si="25"/>
        <v>0</v>
      </c>
      <c r="U109" s="72">
        <f t="shared" si="26"/>
        <v>0.19999999999997797</v>
      </c>
      <c r="V109" s="72">
        <f t="shared" si="27"/>
        <v>0.40000000000004476</v>
      </c>
      <c r="W109" s="72">
        <f t="shared" si="28"/>
        <v>0</v>
      </c>
      <c r="X109" s="196">
        <f t="shared" si="29"/>
        <v>0.30000000000001137</v>
      </c>
      <c r="Y109" s="196">
        <f t="shared" si="30"/>
        <v>0</v>
      </c>
      <c r="Z109" s="72">
        <f t="shared" si="31"/>
        <v>0</v>
      </c>
      <c r="AA109" s="72">
        <f t="shared" si="32"/>
        <v>0</v>
      </c>
      <c r="AB109" s="321">
        <f t="shared" si="33"/>
        <v>3.2000000000000028</v>
      </c>
      <c r="AC109" s="72">
        <f t="shared" si="34"/>
        <v>7.6999999999999957</v>
      </c>
      <c r="AD109" s="72">
        <f t="shared" si="35"/>
        <v>13.000000000000034</v>
      </c>
      <c r="AE109" s="72">
        <f t="shared" si="36"/>
        <v>3.3000000000000362</v>
      </c>
      <c r="AF109" s="72">
        <f t="shared" si="37"/>
        <v>11.20000000000001</v>
      </c>
      <c r="AG109" s="72">
        <f t="shared" si="38"/>
        <v>3.7999999999999368</v>
      </c>
      <c r="AH109" s="196">
        <f t="shared" si="39"/>
        <v>13.79999999999999</v>
      </c>
      <c r="AI109" s="196">
        <f t="shared" si="40"/>
        <v>18.999999999999993</v>
      </c>
      <c r="AJ109" s="72">
        <f t="shared" si="41"/>
        <v>24.300000000000033</v>
      </c>
      <c r="AK109" s="72">
        <f t="shared" si="42"/>
        <v>22.800000000000018</v>
      </c>
      <c r="AM109" s="35"/>
      <c r="AN109" s="35"/>
    </row>
    <row r="110" spans="1:40" x14ac:dyDescent="0.3">
      <c r="A110" s="35">
        <v>46006</v>
      </c>
      <c r="B110" s="847" t="s">
        <v>883</v>
      </c>
      <c r="C110">
        <v>3.9830000000000001</v>
      </c>
      <c r="E110">
        <f t="shared" si="22"/>
        <v>1</v>
      </c>
      <c r="F110" s="11">
        <v>108</v>
      </c>
      <c r="G110" s="179">
        <v>46098</v>
      </c>
      <c r="H110" s="847">
        <v>4.1950000000000003</v>
      </c>
      <c r="I110" s="847">
        <v>4.3049999999999997</v>
      </c>
      <c r="J110" s="847">
        <v>3.1880000000000002</v>
      </c>
      <c r="K110" s="847">
        <v>4.383</v>
      </c>
      <c r="L110" s="847">
        <v>3.2829999999999999</v>
      </c>
      <c r="M110" s="847">
        <v>4.4379999999999997</v>
      </c>
      <c r="N110" s="847">
        <v>3.367</v>
      </c>
      <c r="O110" s="847">
        <v>3.7080000000000002</v>
      </c>
      <c r="P110" s="847">
        <v>4.05</v>
      </c>
      <c r="Q110" s="847">
        <v>4.0730000000000004</v>
      </c>
      <c r="R110" s="321">
        <f t="shared" si="23"/>
        <v>5.0000000000000266</v>
      </c>
      <c r="S110" s="72">
        <f t="shared" si="24"/>
        <v>4.0999999999999925</v>
      </c>
      <c r="T110" s="72">
        <f t="shared" si="25"/>
        <v>4.1999999999999815</v>
      </c>
      <c r="U110" s="72">
        <f t="shared" si="26"/>
        <v>2.4000000000000021</v>
      </c>
      <c r="V110" s="72">
        <f t="shared" si="27"/>
        <v>0.69999999999996732</v>
      </c>
      <c r="W110" s="72">
        <f t="shared" si="28"/>
        <v>0</v>
      </c>
      <c r="X110" s="196">
        <f t="shared" si="29"/>
        <v>-0.30000000000001137</v>
      </c>
      <c r="Y110" s="196">
        <f t="shared" si="30"/>
        <v>0</v>
      </c>
      <c r="Z110" s="72">
        <f t="shared" si="31"/>
        <v>0</v>
      </c>
      <c r="AA110" s="72">
        <f t="shared" si="32"/>
        <v>0</v>
      </c>
      <c r="AB110" s="321">
        <f t="shared" si="33"/>
        <v>3.3000000000000362</v>
      </c>
      <c r="AC110" s="72">
        <f t="shared" si="34"/>
        <v>7.6999999999999957</v>
      </c>
      <c r="AD110" s="72">
        <f t="shared" si="35"/>
        <v>13.000000000000034</v>
      </c>
      <c r="AE110" s="72">
        <f t="shared" si="36"/>
        <v>3.3000000000000362</v>
      </c>
      <c r="AF110" s="72">
        <f t="shared" si="37"/>
        <v>11.20000000000001</v>
      </c>
      <c r="AG110" s="72">
        <f t="shared" si="38"/>
        <v>3.7999999999999368</v>
      </c>
      <c r="AH110" s="196">
        <f t="shared" si="39"/>
        <v>13.79999999999999</v>
      </c>
      <c r="AI110" s="196">
        <f t="shared" si="40"/>
        <v>18.800000000000018</v>
      </c>
      <c r="AJ110" s="72">
        <f t="shared" si="41"/>
        <v>23.899999999999988</v>
      </c>
      <c r="AK110" s="72">
        <f t="shared" si="42"/>
        <v>22.800000000000018</v>
      </c>
      <c r="AM110" s="35"/>
      <c r="AN110" s="35"/>
    </row>
    <row r="111" spans="1:40" x14ac:dyDescent="0.3">
      <c r="A111" s="35">
        <v>46007</v>
      </c>
      <c r="B111" s="847" t="s">
        <v>883</v>
      </c>
      <c r="C111">
        <v>3.9870000000000001</v>
      </c>
      <c r="E111">
        <f t="shared" si="22"/>
        <v>3</v>
      </c>
      <c r="F111" s="11">
        <v>109</v>
      </c>
      <c r="G111" s="179">
        <v>46097</v>
      </c>
      <c r="H111" s="847">
        <v>4.1980000000000004</v>
      </c>
      <c r="I111" s="847">
        <v>4.3049999999999997</v>
      </c>
      <c r="J111" s="847">
        <v>3.1379999999999999</v>
      </c>
      <c r="K111" s="847">
        <v>4.383</v>
      </c>
      <c r="L111" s="847">
        <v>3.242</v>
      </c>
      <c r="M111" s="847">
        <v>4.4379999999999997</v>
      </c>
      <c r="N111" s="847">
        <v>3.3250000000000002</v>
      </c>
      <c r="O111" s="847">
        <v>3.6840000000000002</v>
      </c>
      <c r="P111" s="847">
        <v>4.0430000000000001</v>
      </c>
      <c r="Q111" s="847">
        <v>4.0730000000000004</v>
      </c>
      <c r="R111" s="321">
        <f t="shared" si="23"/>
        <v>0</v>
      </c>
      <c r="S111" s="72">
        <f t="shared" si="24"/>
        <v>0</v>
      </c>
      <c r="T111" s="72">
        <f t="shared" si="25"/>
        <v>0</v>
      </c>
      <c r="U111" s="72">
        <f t="shared" si="26"/>
        <v>0.70000000000001172</v>
      </c>
      <c r="V111" s="72">
        <f t="shared" si="27"/>
        <v>1.4000000000000234</v>
      </c>
      <c r="W111" s="72">
        <f t="shared" si="28"/>
        <v>-0.19999999999997797</v>
      </c>
      <c r="X111" s="196">
        <f t="shared" si="29"/>
        <v>0.50000000000007816</v>
      </c>
      <c r="Y111" s="196">
        <f t="shared" si="30"/>
        <v>0</v>
      </c>
      <c r="Z111" s="72">
        <f t="shared" si="31"/>
        <v>0</v>
      </c>
      <c r="AA111" s="72">
        <f t="shared" si="32"/>
        <v>0</v>
      </c>
      <c r="AB111" s="321">
        <f t="shared" si="33"/>
        <v>4.1000000000000369</v>
      </c>
      <c r="AC111" s="72">
        <f t="shared" si="34"/>
        <v>8.1999999999999851</v>
      </c>
      <c r="AD111" s="72">
        <f t="shared" si="35"/>
        <v>9.2000000000000082</v>
      </c>
      <c r="AE111" s="72">
        <f t="shared" si="36"/>
        <v>8.6999999999999744</v>
      </c>
      <c r="AF111" s="72">
        <f t="shared" si="37"/>
        <v>8.4000000000000075</v>
      </c>
      <c r="AG111" s="72">
        <f t="shared" si="38"/>
        <v>9.1999999999999638</v>
      </c>
      <c r="AH111" s="196">
        <f t="shared" si="39"/>
        <v>11.20000000000001</v>
      </c>
      <c r="AI111" s="196">
        <f t="shared" si="40"/>
        <v>16.700000000000024</v>
      </c>
      <c r="AJ111" s="72">
        <f t="shared" si="41"/>
        <v>22.199999999999996</v>
      </c>
      <c r="AK111" s="72">
        <f t="shared" si="42"/>
        <v>22.800000000000018</v>
      </c>
      <c r="AM111" s="35"/>
      <c r="AN111" s="35"/>
    </row>
    <row r="112" spans="1:40" x14ac:dyDescent="0.3">
      <c r="A112" s="35">
        <v>46008</v>
      </c>
      <c r="B112" s="847" t="s">
        <v>883</v>
      </c>
      <c r="C112">
        <v>3.9849999999999999</v>
      </c>
      <c r="E112">
        <f t="shared" si="22"/>
        <v>1</v>
      </c>
      <c r="F112" s="11">
        <v>110</v>
      </c>
      <c r="G112" s="179">
        <v>46094</v>
      </c>
      <c r="H112" s="847">
        <v>4.1929999999999996</v>
      </c>
      <c r="I112" s="847">
        <v>4.3049999999999997</v>
      </c>
      <c r="J112" s="847">
        <v>3.1379999999999999</v>
      </c>
      <c r="K112" s="847">
        <v>4.383</v>
      </c>
      <c r="L112" s="847">
        <v>3.242</v>
      </c>
      <c r="M112" s="847">
        <v>4.4379999999999997</v>
      </c>
      <c r="N112" s="847">
        <v>3.3250000000000002</v>
      </c>
      <c r="O112" s="847">
        <v>3.677</v>
      </c>
      <c r="P112" s="847">
        <v>4.0289999999999999</v>
      </c>
      <c r="Q112" s="847">
        <v>4.0750000000000002</v>
      </c>
      <c r="R112" s="321">
        <f t="shared" si="23"/>
        <v>2.0999999999999908</v>
      </c>
      <c r="S112" s="72">
        <f t="shared" si="24"/>
        <v>2.0999999999999908</v>
      </c>
      <c r="T112" s="72">
        <f t="shared" si="25"/>
        <v>2.5000000000000355</v>
      </c>
      <c r="U112" s="72">
        <f t="shared" si="26"/>
        <v>2.4999999999999911</v>
      </c>
      <c r="V112" s="72">
        <f t="shared" si="27"/>
        <v>2.5000000000000355</v>
      </c>
      <c r="W112" s="72">
        <f t="shared" si="28"/>
        <v>1.4000000000000234</v>
      </c>
      <c r="X112" s="196">
        <f t="shared" si="29"/>
        <v>-0.70000000000005613</v>
      </c>
      <c r="Y112" s="196">
        <f t="shared" si="30"/>
        <v>0.69999999999996732</v>
      </c>
      <c r="Z112" s="72">
        <f t="shared" si="31"/>
        <v>0.40000000000004476</v>
      </c>
      <c r="AA112" s="72">
        <f t="shared" si="32"/>
        <v>0</v>
      </c>
      <c r="AB112" s="321">
        <f t="shared" si="33"/>
        <v>7.3999999999999844</v>
      </c>
      <c r="AC112" s="72">
        <f t="shared" si="34"/>
        <v>9.4999999999999751</v>
      </c>
      <c r="AD112" s="72">
        <f t="shared" si="35"/>
        <v>9.6000000000000085</v>
      </c>
      <c r="AE112" s="72">
        <f t="shared" si="36"/>
        <v>9.1000000000000192</v>
      </c>
      <c r="AF112" s="72">
        <f t="shared" si="37"/>
        <v>9.2000000000000082</v>
      </c>
      <c r="AG112" s="72">
        <f t="shared" si="38"/>
        <v>9.6000000000000085</v>
      </c>
      <c r="AH112" s="196">
        <f t="shared" si="39"/>
        <v>12.1</v>
      </c>
      <c r="AI112" s="196">
        <f t="shared" si="40"/>
        <v>19.799999999999997</v>
      </c>
      <c r="AJ112" s="72">
        <f t="shared" si="41"/>
        <v>27.499999999999993</v>
      </c>
      <c r="AK112" s="72">
        <f t="shared" si="42"/>
        <v>26.000000000000021</v>
      </c>
      <c r="AM112" s="35"/>
      <c r="AN112" s="35"/>
    </row>
    <row r="113" spans="1:40" x14ac:dyDescent="0.3">
      <c r="A113" s="35">
        <v>46009</v>
      </c>
      <c r="B113" s="847" t="s">
        <v>883</v>
      </c>
      <c r="C113">
        <v>4.0019999999999998</v>
      </c>
      <c r="E113">
        <f t="shared" si="22"/>
        <v>1</v>
      </c>
      <c r="F113" s="11">
        <v>111</v>
      </c>
      <c r="G113" s="179">
        <v>46093</v>
      </c>
      <c r="H113" s="847">
        <v>4.2</v>
      </c>
      <c r="I113" s="847">
        <v>4.298</v>
      </c>
      <c r="J113" s="847">
        <v>3.117</v>
      </c>
      <c r="K113" s="847">
        <v>4.3789999999999996</v>
      </c>
      <c r="L113" s="847">
        <v>3.2210000000000001</v>
      </c>
      <c r="M113" s="847">
        <v>4.4379999999999997</v>
      </c>
      <c r="N113" s="847">
        <v>3.3</v>
      </c>
      <c r="O113" s="847">
        <v>3.6520000000000001</v>
      </c>
      <c r="P113" s="847">
        <v>4.0039999999999996</v>
      </c>
      <c r="Q113" s="847">
        <v>4.0609999999999999</v>
      </c>
      <c r="R113" s="321">
        <f t="shared" si="23"/>
        <v>2.0999999999999908</v>
      </c>
      <c r="S113" s="72">
        <f t="shared" si="24"/>
        <v>2.0999999999999908</v>
      </c>
      <c r="T113" s="72">
        <f t="shared" si="25"/>
        <v>3.2999999999999918</v>
      </c>
      <c r="U113" s="72">
        <f t="shared" si="26"/>
        <v>9.2000000000000082</v>
      </c>
      <c r="V113" s="72">
        <f t="shared" si="27"/>
        <v>14.999999999999947</v>
      </c>
      <c r="W113" s="72">
        <f t="shared" si="28"/>
        <v>12.199999999999989</v>
      </c>
      <c r="X113" s="196">
        <f t="shared" si="29"/>
        <v>1.1000000000000121</v>
      </c>
      <c r="Y113" s="196">
        <f t="shared" si="30"/>
        <v>0.99999999999997868</v>
      </c>
      <c r="Z113" s="72">
        <f t="shared" si="31"/>
        <v>3.2999999999999474</v>
      </c>
      <c r="AA113" s="72">
        <f t="shared" si="32"/>
        <v>3.3999999999999808</v>
      </c>
      <c r="AB113" s="321">
        <f t="shared" si="33"/>
        <v>8.1000000000000405</v>
      </c>
      <c r="AC113" s="72">
        <f t="shared" si="34"/>
        <v>8.8000000000000078</v>
      </c>
      <c r="AD113" s="72">
        <f t="shared" si="35"/>
        <v>7.5000000000000178</v>
      </c>
      <c r="AE113" s="72">
        <f t="shared" si="36"/>
        <v>8.6999999999999744</v>
      </c>
      <c r="AF113" s="72">
        <f t="shared" si="37"/>
        <v>7.1000000000000174</v>
      </c>
      <c r="AG113" s="72">
        <f t="shared" si="38"/>
        <v>9.6000000000000085</v>
      </c>
      <c r="AH113" s="196">
        <f t="shared" si="39"/>
        <v>9.5999999999999641</v>
      </c>
      <c r="AI113" s="196">
        <f t="shared" si="40"/>
        <v>17.300000000000004</v>
      </c>
      <c r="AJ113" s="72">
        <f t="shared" si="41"/>
        <v>24.999999999999957</v>
      </c>
      <c r="AK113" s="72">
        <f t="shared" si="42"/>
        <v>24.900000000000013</v>
      </c>
      <c r="AM113" s="35"/>
      <c r="AN113" s="35"/>
    </row>
    <row r="114" spans="1:40" x14ac:dyDescent="0.3">
      <c r="A114" s="35">
        <v>46010</v>
      </c>
      <c r="B114" s="847" t="s">
        <v>883</v>
      </c>
      <c r="C114">
        <v>4.008</v>
      </c>
      <c r="E114">
        <f t="shared" si="22"/>
        <v>1</v>
      </c>
      <c r="F114" s="11">
        <v>112</v>
      </c>
      <c r="G114" s="179">
        <v>46092</v>
      </c>
      <c r="H114" s="847">
        <v>4.1890000000000001</v>
      </c>
      <c r="I114" s="847">
        <v>4.2880000000000003</v>
      </c>
      <c r="J114" s="847">
        <v>3.0960000000000001</v>
      </c>
      <c r="K114" s="847">
        <v>4.3460000000000001</v>
      </c>
      <c r="L114" s="847">
        <v>3.2</v>
      </c>
      <c r="M114" s="847">
        <v>4.4039999999999999</v>
      </c>
      <c r="N114" s="847">
        <v>3.2669999999999999</v>
      </c>
      <c r="O114" s="847">
        <v>3.56</v>
      </c>
      <c r="P114" s="847">
        <v>3.8540000000000001</v>
      </c>
      <c r="Q114" s="847">
        <v>3.9390000000000001</v>
      </c>
      <c r="R114" s="321">
        <f t="shared" si="23"/>
        <v>0</v>
      </c>
      <c r="S114" s="72">
        <f t="shared" si="24"/>
        <v>0</v>
      </c>
      <c r="T114" s="72">
        <f t="shared" si="25"/>
        <v>0</v>
      </c>
      <c r="U114" s="72">
        <f t="shared" si="26"/>
        <v>0.20000000000002238</v>
      </c>
      <c r="V114" s="72">
        <f t="shared" si="27"/>
        <v>0.40000000000000036</v>
      </c>
      <c r="W114" s="72">
        <f t="shared" si="28"/>
        <v>6.999999999999984</v>
      </c>
      <c r="X114" s="196">
        <f t="shared" si="29"/>
        <v>0.19999999999997797</v>
      </c>
      <c r="Y114" s="196">
        <f t="shared" si="30"/>
        <v>3.0000000000000249</v>
      </c>
      <c r="Z114" s="72">
        <f t="shared" si="31"/>
        <v>0</v>
      </c>
      <c r="AA114" s="72">
        <f t="shared" si="32"/>
        <v>0</v>
      </c>
      <c r="AB114" s="321">
        <f t="shared" si="33"/>
        <v>7.3000000000000398</v>
      </c>
      <c r="AC114" s="72">
        <f t="shared" si="34"/>
        <v>8.4999999999999964</v>
      </c>
      <c r="AD114" s="72">
        <f t="shared" si="35"/>
        <v>9.0000000000000302</v>
      </c>
      <c r="AE114" s="72">
        <f t="shared" si="36"/>
        <v>5.400000000000027</v>
      </c>
      <c r="AF114" s="72">
        <f t="shared" si="37"/>
        <v>5.0000000000000266</v>
      </c>
      <c r="AG114" s="72">
        <f t="shared" si="38"/>
        <v>6.2000000000000277</v>
      </c>
      <c r="AH114" s="196">
        <f t="shared" si="39"/>
        <v>6.2999999999999723</v>
      </c>
      <c r="AI114" s="196">
        <f t="shared" si="40"/>
        <v>8.4999999999999964</v>
      </c>
      <c r="AJ114" s="72">
        <f t="shared" si="41"/>
        <v>10.80000000000001</v>
      </c>
      <c r="AK114" s="72">
        <f t="shared" si="42"/>
        <v>13.100000000000023</v>
      </c>
      <c r="AM114" s="35"/>
      <c r="AN114" s="35"/>
    </row>
    <row r="115" spans="1:40" x14ac:dyDescent="0.3">
      <c r="A115" s="35">
        <v>46013</v>
      </c>
      <c r="B115" s="847" t="s">
        <v>883</v>
      </c>
      <c r="C115">
        <v>4.0119999999999996</v>
      </c>
      <c r="E115">
        <f t="shared" si="22"/>
        <v>1</v>
      </c>
      <c r="F115" s="11">
        <v>113</v>
      </c>
      <c r="G115" s="179">
        <v>46091</v>
      </c>
      <c r="H115" s="847">
        <v>4.1870000000000003</v>
      </c>
      <c r="I115" s="847">
        <v>4.258</v>
      </c>
      <c r="J115" s="847">
        <v>3.0960000000000001</v>
      </c>
      <c r="K115" s="847">
        <v>4.3460000000000001</v>
      </c>
      <c r="L115" s="847">
        <v>3.2</v>
      </c>
      <c r="M115" s="847">
        <v>4.4039999999999999</v>
      </c>
      <c r="N115" s="847">
        <v>3.2669999999999999</v>
      </c>
      <c r="O115" s="847">
        <v>3.5579999999999998</v>
      </c>
      <c r="P115" s="847">
        <v>3.85</v>
      </c>
      <c r="Q115" s="847">
        <v>3.8690000000000002</v>
      </c>
      <c r="R115" s="321">
        <f t="shared" si="23"/>
        <v>2.0999999999999908</v>
      </c>
      <c r="S115" s="72">
        <f t="shared" si="24"/>
        <v>1.2000000000000011</v>
      </c>
      <c r="T115" s="72">
        <f t="shared" si="25"/>
        <v>2.0999999999999908</v>
      </c>
      <c r="U115" s="72">
        <f t="shared" si="26"/>
        <v>1.8999999999999684</v>
      </c>
      <c r="V115" s="72">
        <f t="shared" si="27"/>
        <v>1.8000000000000238</v>
      </c>
      <c r="W115" s="72">
        <f t="shared" si="28"/>
        <v>0</v>
      </c>
      <c r="X115" s="196">
        <f t="shared" si="29"/>
        <v>0.90000000000003411</v>
      </c>
      <c r="Y115" s="196">
        <f t="shared" si="30"/>
        <v>0.49999999999998934</v>
      </c>
      <c r="Z115" s="72">
        <f t="shared" si="31"/>
        <v>0.40000000000004476</v>
      </c>
      <c r="AA115" s="72">
        <f t="shared" si="32"/>
        <v>0.39999999999995595</v>
      </c>
      <c r="AB115" s="321">
        <f t="shared" si="33"/>
        <v>7.1000000000000618</v>
      </c>
      <c r="AC115" s="72">
        <f t="shared" si="34"/>
        <v>5.4999999999999716</v>
      </c>
      <c r="AD115" s="72">
        <f t="shared" si="35"/>
        <v>9.0000000000000302</v>
      </c>
      <c r="AE115" s="72">
        <f t="shared" si="36"/>
        <v>5.400000000000027</v>
      </c>
      <c r="AF115" s="72">
        <f t="shared" si="37"/>
        <v>5.0000000000000266</v>
      </c>
      <c r="AG115" s="72">
        <f t="shared" si="38"/>
        <v>6.2000000000000277</v>
      </c>
      <c r="AH115" s="196">
        <f t="shared" si="39"/>
        <v>6.2999999999999723</v>
      </c>
      <c r="AI115" s="196">
        <f t="shared" si="40"/>
        <v>8.0999999999999961</v>
      </c>
      <c r="AJ115" s="72">
        <f t="shared" si="41"/>
        <v>10.000000000000009</v>
      </c>
      <c r="AK115" s="72">
        <f t="shared" si="42"/>
        <v>6.1000000000000387</v>
      </c>
      <c r="AM115" s="35"/>
      <c r="AN115" s="35"/>
    </row>
    <row r="116" spans="1:40" x14ac:dyDescent="0.3">
      <c r="A116" s="35">
        <v>46014</v>
      </c>
      <c r="B116" s="847" t="s">
        <v>883</v>
      </c>
      <c r="C116">
        <v>4.0129999999999999</v>
      </c>
      <c r="E116">
        <f t="shared" si="22"/>
        <v>3</v>
      </c>
      <c r="F116" s="11">
        <v>114</v>
      </c>
      <c r="G116" s="179">
        <v>46090</v>
      </c>
      <c r="H116" s="847">
        <v>4.1779999999999999</v>
      </c>
      <c r="I116" s="847">
        <v>4.2530000000000001</v>
      </c>
      <c r="J116" s="847">
        <v>3.0750000000000002</v>
      </c>
      <c r="K116" s="847">
        <v>4.3419999999999996</v>
      </c>
      <c r="L116" s="847">
        <v>3.1880000000000002</v>
      </c>
      <c r="M116" s="847">
        <v>4.4000000000000004</v>
      </c>
      <c r="N116" s="847">
        <v>3.246</v>
      </c>
      <c r="O116" s="847">
        <v>3.5390000000000001</v>
      </c>
      <c r="P116" s="847">
        <v>3.8319999999999999</v>
      </c>
      <c r="Q116" s="847">
        <v>3.8690000000000002</v>
      </c>
      <c r="R116" s="321">
        <f t="shared" si="23"/>
        <v>1.7000000000000348</v>
      </c>
      <c r="S116" s="72">
        <f t="shared" si="24"/>
        <v>1.7000000000000348</v>
      </c>
      <c r="T116" s="72">
        <f t="shared" si="25"/>
        <v>1.6999999999999904</v>
      </c>
      <c r="U116" s="72">
        <f t="shared" si="26"/>
        <v>1.3000000000000345</v>
      </c>
      <c r="V116" s="72">
        <f t="shared" si="27"/>
        <v>0.99999999999997868</v>
      </c>
      <c r="W116" s="72">
        <f t="shared" si="28"/>
        <v>2.2000000000000242</v>
      </c>
      <c r="X116" s="196">
        <f t="shared" si="29"/>
        <v>1.1000000000000121</v>
      </c>
      <c r="Y116" s="196">
        <f t="shared" si="30"/>
        <v>2.2999999999999687</v>
      </c>
      <c r="Z116" s="72">
        <f t="shared" si="31"/>
        <v>-0.80000000000000071</v>
      </c>
      <c r="AA116" s="72">
        <f t="shared" si="32"/>
        <v>0</v>
      </c>
      <c r="AB116" s="321">
        <f t="shared" si="33"/>
        <v>6.4000000000000057</v>
      </c>
      <c r="AC116" s="72">
        <f t="shared" si="34"/>
        <v>4.9999999999999822</v>
      </c>
      <c r="AD116" s="72">
        <f t="shared" si="35"/>
        <v>7.1000000000000174</v>
      </c>
      <c r="AE116" s="72">
        <f t="shared" si="36"/>
        <v>4.9999999999999822</v>
      </c>
      <c r="AF116" s="72">
        <f t="shared" si="37"/>
        <v>4.0000000000000036</v>
      </c>
      <c r="AG116" s="72">
        <f t="shared" si="38"/>
        <v>5.8000000000000718</v>
      </c>
      <c r="AH116" s="196">
        <f t="shared" si="39"/>
        <v>4.4000000000000039</v>
      </c>
      <c r="AI116" s="196">
        <f t="shared" si="40"/>
        <v>6.0999999999999943</v>
      </c>
      <c r="AJ116" s="72">
        <f t="shared" si="41"/>
        <v>7.7999999999999847</v>
      </c>
      <c r="AK116" s="72">
        <f t="shared" si="42"/>
        <v>6.1000000000000387</v>
      </c>
      <c r="AM116" s="35"/>
      <c r="AN116" s="35"/>
    </row>
    <row r="117" spans="1:40" x14ac:dyDescent="0.3">
      <c r="A117" s="35">
        <v>46015</v>
      </c>
      <c r="B117" s="847" t="s">
        <v>883</v>
      </c>
      <c r="C117">
        <v>4.0129999999999999</v>
      </c>
      <c r="E117">
        <f t="shared" si="22"/>
        <v>1</v>
      </c>
      <c r="F117" s="11">
        <v>115</v>
      </c>
      <c r="G117" s="179">
        <v>46087</v>
      </c>
      <c r="H117" s="847">
        <v>4.1669999999999998</v>
      </c>
      <c r="I117" s="847">
        <v>4.2300000000000004</v>
      </c>
      <c r="J117" s="847">
        <v>3.0579999999999998</v>
      </c>
      <c r="K117" s="847">
        <v>4.3499999999999996</v>
      </c>
      <c r="L117" s="847">
        <v>3.1709999999999998</v>
      </c>
      <c r="M117" s="847">
        <v>4.4000000000000004</v>
      </c>
      <c r="N117" s="847">
        <v>3.2290000000000001</v>
      </c>
      <c r="O117" s="847">
        <v>3.5259999999999998</v>
      </c>
      <c r="P117" s="847">
        <v>3.8220000000000001</v>
      </c>
      <c r="Q117" s="847">
        <v>3.847</v>
      </c>
      <c r="R117" s="321">
        <f t="shared" si="23"/>
        <v>0</v>
      </c>
      <c r="S117" s="72">
        <f t="shared" si="24"/>
        <v>0</v>
      </c>
      <c r="T117" s="72">
        <f t="shared" si="25"/>
        <v>0</v>
      </c>
      <c r="U117" s="72">
        <f t="shared" si="26"/>
        <v>0</v>
      </c>
      <c r="V117" s="72">
        <f t="shared" si="27"/>
        <v>0</v>
      </c>
      <c r="W117" s="72">
        <f t="shared" si="28"/>
        <v>0</v>
      </c>
      <c r="X117" s="196">
        <f t="shared" si="29"/>
        <v>0.19999999999997797</v>
      </c>
      <c r="Y117" s="196">
        <f t="shared" si="30"/>
        <v>0</v>
      </c>
      <c r="Z117" s="72">
        <f t="shared" si="31"/>
        <v>0</v>
      </c>
      <c r="AA117" s="72">
        <f t="shared" si="32"/>
        <v>0</v>
      </c>
      <c r="AB117" s="321">
        <f t="shared" si="33"/>
        <v>5.3999999999999382</v>
      </c>
      <c r="AC117" s="72">
        <f t="shared" si="34"/>
        <v>2.7000000000000135</v>
      </c>
      <c r="AD117" s="72">
        <f t="shared" si="35"/>
        <v>5.3999999999999826</v>
      </c>
      <c r="AE117" s="72">
        <f t="shared" si="36"/>
        <v>5.7999999999999829</v>
      </c>
      <c r="AF117" s="72">
        <f t="shared" si="37"/>
        <v>2.2999999999999687</v>
      </c>
      <c r="AG117" s="72">
        <f t="shared" si="38"/>
        <v>5.8000000000000718</v>
      </c>
      <c r="AH117" s="196">
        <f t="shared" si="39"/>
        <v>2.7000000000000135</v>
      </c>
      <c r="AI117" s="196">
        <f t="shared" si="40"/>
        <v>4.7999999999999599</v>
      </c>
      <c r="AJ117" s="72">
        <f t="shared" si="41"/>
        <v>6.800000000000006</v>
      </c>
      <c r="AK117" s="72">
        <f t="shared" si="42"/>
        <v>3.9000000000000146</v>
      </c>
      <c r="AM117" s="35"/>
      <c r="AN117" s="35"/>
    </row>
    <row r="118" spans="1:40" x14ac:dyDescent="0.3">
      <c r="A118" s="35">
        <v>46016</v>
      </c>
      <c r="B118" s="847" t="s">
        <v>883</v>
      </c>
      <c r="C118">
        <v>4.032</v>
      </c>
      <c r="E118">
        <f t="shared" si="22"/>
        <v>1</v>
      </c>
      <c r="F118" s="11">
        <v>116</v>
      </c>
      <c r="G118" s="179">
        <v>46086</v>
      </c>
      <c r="H118" s="847">
        <v>4.165</v>
      </c>
      <c r="I118" s="847">
        <v>4.2300000000000004</v>
      </c>
      <c r="J118" s="847">
        <v>3.0579999999999998</v>
      </c>
      <c r="K118" s="847">
        <v>4.3499999999999996</v>
      </c>
      <c r="L118" s="847">
        <v>3.1709999999999998</v>
      </c>
      <c r="M118" s="847">
        <v>4.4000000000000004</v>
      </c>
      <c r="N118" s="847">
        <v>3.2290000000000001</v>
      </c>
      <c r="O118" s="847">
        <v>3.5259999999999998</v>
      </c>
      <c r="P118" s="847">
        <v>3.8220000000000001</v>
      </c>
      <c r="Q118" s="847">
        <v>3.847</v>
      </c>
      <c r="R118" s="321">
        <f t="shared" si="23"/>
        <v>0</v>
      </c>
      <c r="S118" s="72">
        <f t="shared" si="24"/>
        <v>0</v>
      </c>
      <c r="T118" s="72">
        <f t="shared" si="25"/>
        <v>0</v>
      </c>
      <c r="U118" s="72">
        <f t="shared" si="26"/>
        <v>0.59999999999997833</v>
      </c>
      <c r="V118" s="72">
        <f t="shared" si="27"/>
        <v>1.1000000000000121</v>
      </c>
      <c r="W118" s="72">
        <f t="shared" si="28"/>
        <v>0.19999999999997797</v>
      </c>
      <c r="X118" s="196">
        <f t="shared" si="29"/>
        <v>-0.1000000000000334</v>
      </c>
      <c r="Y118" s="196">
        <f t="shared" si="30"/>
        <v>0.20000000000006679</v>
      </c>
      <c r="Z118" s="72">
        <f t="shared" si="31"/>
        <v>0</v>
      </c>
      <c r="AA118" s="72">
        <f t="shared" si="32"/>
        <v>0</v>
      </c>
      <c r="AB118" s="321">
        <f t="shared" si="33"/>
        <v>5.1999999999999602</v>
      </c>
      <c r="AC118" s="72">
        <f t="shared" si="34"/>
        <v>2.7000000000000135</v>
      </c>
      <c r="AD118" s="72">
        <f t="shared" si="35"/>
        <v>5.3999999999999826</v>
      </c>
      <c r="AE118" s="72">
        <f t="shared" si="36"/>
        <v>5.7999999999999829</v>
      </c>
      <c r="AF118" s="72">
        <f t="shared" si="37"/>
        <v>2.2999999999999687</v>
      </c>
      <c r="AG118" s="72">
        <f t="shared" si="38"/>
        <v>5.8000000000000718</v>
      </c>
      <c r="AH118" s="196">
        <f t="shared" si="39"/>
        <v>2.7000000000000135</v>
      </c>
      <c r="AI118" s="196">
        <f t="shared" si="40"/>
        <v>4.5999999999999819</v>
      </c>
      <c r="AJ118" s="72">
        <f t="shared" si="41"/>
        <v>6.4000000000000057</v>
      </c>
      <c r="AK118" s="72">
        <f t="shared" si="42"/>
        <v>3.9000000000000146</v>
      </c>
      <c r="AM118" s="35"/>
      <c r="AN118" s="35"/>
    </row>
    <row r="119" spans="1:40" x14ac:dyDescent="0.3">
      <c r="A119" s="35">
        <v>46017</v>
      </c>
      <c r="B119" s="847" t="s">
        <v>883</v>
      </c>
      <c r="C119">
        <v>4.032</v>
      </c>
      <c r="E119">
        <f t="shared" si="22"/>
        <v>1</v>
      </c>
      <c r="F119" s="11">
        <v>117</v>
      </c>
      <c r="G119" s="179">
        <v>46085</v>
      </c>
      <c r="H119" s="847">
        <v>4.1660000000000004</v>
      </c>
      <c r="I119" s="847">
        <v>4.2279999999999998</v>
      </c>
      <c r="J119" s="847">
        <v>3.0579999999999998</v>
      </c>
      <c r="K119" s="847">
        <v>4.3499999999999996</v>
      </c>
      <c r="L119" s="847">
        <v>3.1709999999999998</v>
      </c>
      <c r="M119" s="847">
        <v>4.4000000000000004</v>
      </c>
      <c r="N119" s="847">
        <v>3.2290000000000001</v>
      </c>
      <c r="O119" s="847">
        <v>3.52</v>
      </c>
      <c r="P119" s="847">
        <v>3.8109999999999999</v>
      </c>
      <c r="Q119" s="847">
        <v>3.8450000000000002</v>
      </c>
      <c r="R119" s="321">
        <f t="shared" si="23"/>
        <v>0</v>
      </c>
      <c r="S119" s="72">
        <f t="shared" si="24"/>
        <v>0</v>
      </c>
      <c r="T119" s="72">
        <f t="shared" si="25"/>
        <v>0</v>
      </c>
      <c r="U119" s="72">
        <f t="shared" si="26"/>
        <v>0</v>
      </c>
      <c r="V119" s="72">
        <f t="shared" si="27"/>
        <v>0</v>
      </c>
      <c r="W119" s="72">
        <f t="shared" si="28"/>
        <v>0</v>
      </c>
      <c r="X119" s="196">
        <f t="shared" si="29"/>
        <v>0.40000000000004476</v>
      </c>
      <c r="Y119" s="196">
        <f t="shared" si="30"/>
        <v>0</v>
      </c>
      <c r="Z119" s="72">
        <f t="shared" si="31"/>
        <v>0</v>
      </c>
      <c r="AA119" s="72">
        <f t="shared" si="32"/>
        <v>0</v>
      </c>
      <c r="AB119" s="321">
        <f t="shared" si="33"/>
        <v>5.2999999999999936</v>
      </c>
      <c r="AC119" s="72">
        <f t="shared" si="34"/>
        <v>2.4999999999999467</v>
      </c>
      <c r="AD119" s="72">
        <f t="shared" si="35"/>
        <v>5.3999999999999826</v>
      </c>
      <c r="AE119" s="72">
        <f t="shared" si="36"/>
        <v>5.7999999999999829</v>
      </c>
      <c r="AF119" s="72">
        <f t="shared" si="37"/>
        <v>2.2999999999999687</v>
      </c>
      <c r="AG119" s="72">
        <f t="shared" si="38"/>
        <v>5.8000000000000718</v>
      </c>
      <c r="AH119" s="196">
        <f t="shared" si="39"/>
        <v>2.7000000000000135</v>
      </c>
      <c r="AI119" s="196">
        <f t="shared" si="40"/>
        <v>4.4000000000000039</v>
      </c>
      <c r="AJ119" s="72">
        <f t="shared" si="41"/>
        <v>6.0000000000000053</v>
      </c>
      <c r="AK119" s="72">
        <f t="shared" si="42"/>
        <v>3.7000000000000366</v>
      </c>
      <c r="AM119" s="35"/>
      <c r="AN119" s="35"/>
    </row>
    <row r="120" spans="1:40" x14ac:dyDescent="0.3">
      <c r="A120" s="35">
        <v>46020</v>
      </c>
      <c r="B120" s="847" t="s">
        <v>883</v>
      </c>
      <c r="C120">
        <v>4.0359999999999996</v>
      </c>
      <c r="E120">
        <f t="shared" si="22"/>
        <v>1</v>
      </c>
      <c r="F120" s="11">
        <v>118</v>
      </c>
      <c r="G120" s="179">
        <v>46084</v>
      </c>
      <c r="H120" s="847">
        <v>4.1619999999999999</v>
      </c>
      <c r="I120" s="847">
        <v>4.2279999999999998</v>
      </c>
      <c r="J120" s="847">
        <v>3.0579999999999998</v>
      </c>
      <c r="K120" s="847">
        <v>4.3499999999999996</v>
      </c>
      <c r="L120" s="847">
        <v>3.1709999999999998</v>
      </c>
      <c r="M120" s="847">
        <v>4.4000000000000004</v>
      </c>
      <c r="N120" s="847">
        <v>3.2290000000000001</v>
      </c>
      <c r="O120" s="847">
        <v>3.52</v>
      </c>
      <c r="P120" s="847">
        <v>3.8109999999999999</v>
      </c>
      <c r="Q120" s="847">
        <v>3.8450000000000002</v>
      </c>
      <c r="R120" s="321">
        <f t="shared" si="23"/>
        <v>1.2000000000000011</v>
      </c>
      <c r="S120" s="72">
        <f t="shared" si="24"/>
        <v>1.2999999999999901</v>
      </c>
      <c r="T120" s="72">
        <f t="shared" si="25"/>
        <v>1.6000000000000014</v>
      </c>
      <c r="U120" s="72">
        <f t="shared" si="26"/>
        <v>0.30000000000001137</v>
      </c>
      <c r="V120" s="72">
        <f t="shared" si="27"/>
        <v>-1.0000000000000231</v>
      </c>
      <c r="W120" s="72">
        <f t="shared" si="28"/>
        <v>0</v>
      </c>
      <c r="X120" s="196">
        <f t="shared" si="29"/>
        <v>0.49999999999998934</v>
      </c>
      <c r="Y120" s="196">
        <f t="shared" si="30"/>
        <v>0.49999999999998934</v>
      </c>
      <c r="Z120" s="72">
        <f t="shared" si="31"/>
        <v>5.3999999999999382</v>
      </c>
      <c r="AA120" s="72">
        <f t="shared" si="32"/>
        <v>5.400000000000027</v>
      </c>
      <c r="AB120" s="321">
        <f t="shared" si="33"/>
        <v>5.1999999999999602</v>
      </c>
      <c r="AC120" s="72">
        <f t="shared" si="34"/>
        <v>2.9999999999999361</v>
      </c>
      <c r="AD120" s="72">
        <f t="shared" si="35"/>
        <v>2.4999999999999911</v>
      </c>
      <c r="AE120" s="72">
        <f t="shared" si="36"/>
        <v>5.7999999999999829</v>
      </c>
      <c r="AF120" s="72">
        <f t="shared" si="37"/>
        <v>2.2999999999999687</v>
      </c>
      <c r="AG120" s="72">
        <f t="shared" si="38"/>
        <v>5.8000000000000718</v>
      </c>
      <c r="AH120" s="196">
        <f t="shared" si="39"/>
        <v>3.1000000000000139</v>
      </c>
      <c r="AI120" s="196">
        <f t="shared" si="40"/>
        <v>4.7000000000000153</v>
      </c>
      <c r="AJ120" s="72">
        <f t="shared" si="41"/>
        <v>6.4000000000000057</v>
      </c>
      <c r="AK120" s="72">
        <f t="shared" si="42"/>
        <v>4.8000000000000043</v>
      </c>
      <c r="AM120" s="35"/>
      <c r="AN120" s="35"/>
    </row>
    <row r="121" spans="1:40" x14ac:dyDescent="0.3">
      <c r="A121" s="35">
        <v>46021</v>
      </c>
      <c r="B121" s="847" t="s">
        <v>883</v>
      </c>
      <c r="C121">
        <v>4.0359999999999996</v>
      </c>
      <c r="E121">
        <f t="shared" si="22"/>
        <v>3</v>
      </c>
      <c r="F121" s="11">
        <v>119</v>
      </c>
      <c r="G121" s="179">
        <v>46083</v>
      </c>
      <c r="H121" s="847">
        <v>4.157</v>
      </c>
      <c r="I121" s="847">
        <v>4.2229999999999999</v>
      </c>
      <c r="J121" s="847">
        <v>3.0459999999999998</v>
      </c>
      <c r="K121" s="847">
        <v>4.2960000000000003</v>
      </c>
      <c r="L121" s="847">
        <v>3.1579999999999999</v>
      </c>
      <c r="M121" s="847">
        <v>4.3460000000000001</v>
      </c>
      <c r="N121" s="847">
        <v>3.2130000000000001</v>
      </c>
      <c r="O121" s="847">
        <v>3.5169999999999999</v>
      </c>
      <c r="P121" s="847">
        <v>3.8210000000000002</v>
      </c>
      <c r="Q121" s="847">
        <v>3.8450000000000002</v>
      </c>
      <c r="R121" s="321">
        <f t="shared" si="23"/>
        <v>0.40000000000000036</v>
      </c>
      <c r="S121" s="72">
        <f t="shared" si="24"/>
        <v>0.80000000000000071</v>
      </c>
      <c r="T121" s="72">
        <f t="shared" si="25"/>
        <v>0.8999999999999897</v>
      </c>
      <c r="U121" s="72">
        <f t="shared" si="26"/>
        <v>3.7999999999999812</v>
      </c>
      <c r="V121" s="72">
        <f t="shared" si="27"/>
        <v>6.7000000000000171</v>
      </c>
      <c r="W121" s="72">
        <f t="shared" si="28"/>
        <v>3.0000000000000249</v>
      </c>
      <c r="X121" s="196">
        <f t="shared" si="29"/>
        <v>3.8000000000000256</v>
      </c>
      <c r="Y121" s="196">
        <f t="shared" si="30"/>
        <v>1.2999999999999901</v>
      </c>
      <c r="Z121" s="72">
        <f t="shared" si="31"/>
        <v>0.40000000000004476</v>
      </c>
      <c r="AA121" s="72">
        <f t="shared" si="32"/>
        <v>0.40000000000004476</v>
      </c>
      <c r="AB121" s="321">
        <f t="shared" si="33"/>
        <v>4.6999999999999709</v>
      </c>
      <c r="AC121" s="72">
        <f t="shared" si="34"/>
        <v>2.7999999999999581</v>
      </c>
      <c r="AD121" s="72">
        <f t="shared" si="35"/>
        <v>4.1999999999999815</v>
      </c>
      <c r="AE121" s="72">
        <f t="shared" si="36"/>
        <v>0.40000000000004476</v>
      </c>
      <c r="AF121" s="72">
        <f t="shared" si="37"/>
        <v>3.1000000000000139</v>
      </c>
      <c r="AG121" s="72">
        <f t="shared" si="38"/>
        <v>0.40000000000004476</v>
      </c>
      <c r="AH121" s="196">
        <f t="shared" si="39"/>
        <v>4.0000000000000036</v>
      </c>
      <c r="AI121" s="196">
        <f t="shared" si="40"/>
        <v>7.2000000000000064</v>
      </c>
      <c r="AJ121" s="72">
        <f t="shared" si="41"/>
        <v>10.30000000000002</v>
      </c>
      <c r="AK121" s="72">
        <f t="shared" si="42"/>
        <v>5.1000000000000156</v>
      </c>
      <c r="AM121" s="35"/>
      <c r="AN121" s="35"/>
    </row>
    <row r="122" spans="1:40" x14ac:dyDescent="0.3">
      <c r="A122" s="35">
        <v>46022</v>
      </c>
      <c r="B122" s="847" t="s">
        <v>883</v>
      </c>
      <c r="C122">
        <v>4.04</v>
      </c>
      <c r="E122">
        <f t="shared" si="22"/>
        <v>1</v>
      </c>
      <c r="F122" s="11">
        <v>120</v>
      </c>
      <c r="G122" s="179">
        <v>46080</v>
      </c>
      <c r="H122" s="847">
        <v>4.1189999999999998</v>
      </c>
      <c r="I122" s="847">
        <v>4.21</v>
      </c>
      <c r="J122" s="847">
        <v>3.0419999999999998</v>
      </c>
      <c r="K122" s="847">
        <v>4.2919999999999998</v>
      </c>
      <c r="L122" s="847">
        <v>3.15</v>
      </c>
      <c r="M122" s="847">
        <v>4.3419999999999996</v>
      </c>
      <c r="N122" s="847">
        <v>3.2040000000000002</v>
      </c>
      <c r="O122" s="847">
        <v>3.4790000000000001</v>
      </c>
      <c r="P122" s="847">
        <v>3.754</v>
      </c>
      <c r="Q122" s="847">
        <v>3.8149999999999999</v>
      </c>
      <c r="R122" s="321">
        <f t="shared" si="23"/>
        <v>0</v>
      </c>
      <c r="S122" s="72">
        <f t="shared" si="24"/>
        <v>0</v>
      </c>
      <c r="T122" s="72">
        <f t="shared" si="25"/>
        <v>0</v>
      </c>
      <c r="U122" s="72">
        <f t="shared" si="26"/>
        <v>0</v>
      </c>
      <c r="V122" s="72">
        <f t="shared" si="27"/>
        <v>0</v>
      </c>
      <c r="W122" s="72">
        <f t="shared" si="28"/>
        <v>0.30000000000001137</v>
      </c>
      <c r="X122" s="196">
        <f t="shared" si="29"/>
        <v>0</v>
      </c>
      <c r="Y122" s="196">
        <f t="shared" si="30"/>
        <v>0</v>
      </c>
      <c r="Z122" s="72">
        <f t="shared" si="31"/>
        <v>0</v>
      </c>
      <c r="AA122" s="72">
        <f t="shared" si="32"/>
        <v>0</v>
      </c>
      <c r="AB122" s="321">
        <f t="shared" si="33"/>
        <v>2.7999999999999581</v>
      </c>
      <c r="AC122" s="72">
        <f t="shared" si="34"/>
        <v>1.499999999999968</v>
      </c>
      <c r="AD122" s="72">
        <f t="shared" si="35"/>
        <v>3.7999999999999812</v>
      </c>
      <c r="AE122" s="72">
        <f t="shared" si="36"/>
        <v>0</v>
      </c>
      <c r="AF122" s="72">
        <f t="shared" si="37"/>
        <v>2.3000000000000131</v>
      </c>
      <c r="AG122" s="72">
        <f t="shared" si="38"/>
        <v>0</v>
      </c>
      <c r="AH122" s="196">
        <f t="shared" si="39"/>
        <v>3.1000000000000139</v>
      </c>
      <c r="AI122" s="196">
        <f t="shared" si="40"/>
        <v>5.8000000000000274</v>
      </c>
      <c r="AJ122" s="72">
        <f t="shared" si="41"/>
        <v>8.4999999999999964</v>
      </c>
      <c r="AK122" s="72">
        <f t="shared" si="42"/>
        <v>6.4999999999999947</v>
      </c>
      <c r="AM122" s="35"/>
      <c r="AN122" s="35"/>
    </row>
    <row r="123" spans="1:40" x14ac:dyDescent="0.3">
      <c r="A123" s="35">
        <v>46027</v>
      </c>
      <c r="B123" s="847" t="s">
        <v>883</v>
      </c>
      <c r="C123">
        <v>4.0439999999999996</v>
      </c>
      <c r="E123">
        <f t="shared" si="22"/>
        <v>1</v>
      </c>
      <c r="F123" s="11">
        <v>121</v>
      </c>
      <c r="G123" s="179">
        <v>46079</v>
      </c>
      <c r="H123" s="847">
        <v>4.1189999999999998</v>
      </c>
      <c r="I123" s="847">
        <v>4.21</v>
      </c>
      <c r="J123" s="847">
        <v>3.0419999999999998</v>
      </c>
      <c r="K123" s="847">
        <v>4.2919999999999998</v>
      </c>
      <c r="L123" s="847">
        <v>3.15</v>
      </c>
      <c r="M123" s="847">
        <v>4.3419999999999996</v>
      </c>
      <c r="N123" s="847">
        <v>3.2040000000000002</v>
      </c>
      <c r="O123" s="847">
        <v>3.4790000000000001</v>
      </c>
      <c r="P123" s="847">
        <v>3.754</v>
      </c>
      <c r="Q123" s="847">
        <v>3.8119999999999998</v>
      </c>
      <c r="R123" s="321">
        <f t="shared" si="23"/>
        <v>3.6000000000000032</v>
      </c>
      <c r="S123" s="72">
        <f t="shared" si="24"/>
        <v>0</v>
      </c>
      <c r="T123" s="72">
        <f t="shared" si="25"/>
        <v>0</v>
      </c>
      <c r="U123" s="72">
        <f t="shared" si="26"/>
        <v>0.40000000000000036</v>
      </c>
      <c r="V123" s="72">
        <f t="shared" si="27"/>
        <v>0.80000000000000071</v>
      </c>
      <c r="W123" s="72">
        <f t="shared" si="28"/>
        <v>0.40000000000000036</v>
      </c>
      <c r="X123" s="196">
        <f t="shared" si="29"/>
        <v>0.30000000000001137</v>
      </c>
      <c r="Y123" s="196">
        <f t="shared" si="30"/>
        <v>0.69999999999996732</v>
      </c>
      <c r="Z123" s="72">
        <f t="shared" si="31"/>
        <v>0</v>
      </c>
      <c r="AA123" s="72">
        <f t="shared" si="32"/>
        <v>0</v>
      </c>
      <c r="AB123" s="321">
        <f t="shared" si="33"/>
        <v>3.0999999999999694</v>
      </c>
      <c r="AC123" s="72">
        <f t="shared" si="34"/>
        <v>1.499999999999968</v>
      </c>
      <c r="AD123" s="72">
        <f t="shared" si="35"/>
        <v>3.7999999999999812</v>
      </c>
      <c r="AE123" s="72">
        <f t="shared" si="36"/>
        <v>0</v>
      </c>
      <c r="AF123" s="72">
        <f t="shared" si="37"/>
        <v>2.3000000000000131</v>
      </c>
      <c r="AG123" s="72">
        <f t="shared" si="38"/>
        <v>0</v>
      </c>
      <c r="AH123" s="196">
        <f t="shared" si="39"/>
        <v>3.1000000000000139</v>
      </c>
      <c r="AI123" s="196">
        <f t="shared" si="40"/>
        <v>6.0000000000000053</v>
      </c>
      <c r="AJ123" s="72">
        <f t="shared" si="41"/>
        <v>8.8999999999999968</v>
      </c>
      <c r="AK123" s="72">
        <f t="shared" si="42"/>
        <v>6.1999999999999833</v>
      </c>
      <c r="AM123" s="35"/>
      <c r="AN123" s="35"/>
    </row>
    <row r="124" spans="1:40" x14ac:dyDescent="0.3">
      <c r="A124" s="35">
        <v>46028</v>
      </c>
      <c r="B124" s="847" t="s">
        <v>883</v>
      </c>
      <c r="C124">
        <v>4.05</v>
      </c>
      <c r="E124">
        <f t="shared" si="22"/>
        <v>1</v>
      </c>
      <c r="F124" s="11">
        <v>122</v>
      </c>
      <c r="G124" s="179">
        <v>46078</v>
      </c>
      <c r="H124" s="847">
        <v>4.1159999999999997</v>
      </c>
      <c r="I124" s="847">
        <v>4.2030000000000003</v>
      </c>
      <c r="J124" s="847">
        <v>3.0059999999999998</v>
      </c>
      <c r="K124" s="847">
        <v>4.2919999999999998</v>
      </c>
      <c r="L124" s="847">
        <v>3.15</v>
      </c>
      <c r="M124" s="847">
        <v>4.3419999999999996</v>
      </c>
      <c r="N124" s="847">
        <v>3.2040000000000002</v>
      </c>
      <c r="O124" s="847">
        <v>3.4750000000000001</v>
      </c>
      <c r="P124" s="847">
        <v>3.746</v>
      </c>
      <c r="Q124" s="847">
        <v>3.8079999999999998</v>
      </c>
      <c r="R124" s="321">
        <f t="shared" si="23"/>
        <v>0</v>
      </c>
      <c r="S124" s="72">
        <f t="shared" si="24"/>
        <v>0</v>
      </c>
      <c r="T124" s="72">
        <f t="shared" si="25"/>
        <v>0</v>
      </c>
      <c r="U124" s="72">
        <f t="shared" si="26"/>
        <v>-0.19999999999997797</v>
      </c>
      <c r="V124" s="72">
        <f t="shared" si="27"/>
        <v>-0.40000000000000036</v>
      </c>
      <c r="W124" s="72">
        <f t="shared" si="28"/>
        <v>0</v>
      </c>
      <c r="X124" s="196">
        <f t="shared" si="29"/>
        <v>0</v>
      </c>
      <c r="Y124" s="196">
        <f t="shared" si="30"/>
        <v>0</v>
      </c>
      <c r="Z124" s="72">
        <f t="shared" si="31"/>
        <v>0</v>
      </c>
      <c r="AA124" s="72">
        <f t="shared" si="32"/>
        <v>0</v>
      </c>
      <c r="AB124" s="321">
        <f t="shared" si="33"/>
        <v>2.7999999999999581</v>
      </c>
      <c r="AC124" s="72">
        <f t="shared" si="34"/>
        <v>0.90000000000003411</v>
      </c>
      <c r="AD124" s="72">
        <f t="shared" si="35"/>
        <v>-0.80000000000000071</v>
      </c>
      <c r="AE124" s="72">
        <f t="shared" si="36"/>
        <v>-0.30000000000001137</v>
      </c>
      <c r="AF124" s="72">
        <f t="shared" si="37"/>
        <v>0.70000000000001172</v>
      </c>
      <c r="AG124" s="72">
        <f t="shared" si="38"/>
        <v>9.9999999999944578E-2</v>
      </c>
      <c r="AH124" s="196">
        <f t="shared" si="39"/>
        <v>2.0000000000000018</v>
      </c>
      <c r="AI124" s="196">
        <f t="shared" si="40"/>
        <v>4.8999999999999932</v>
      </c>
      <c r="AJ124" s="72">
        <f t="shared" si="41"/>
        <v>7.7999999999999847</v>
      </c>
      <c r="AK124" s="72">
        <f t="shared" si="42"/>
        <v>5.7999999999999829</v>
      </c>
      <c r="AM124" s="35"/>
      <c r="AN124" s="35"/>
    </row>
    <row r="125" spans="1:40" x14ac:dyDescent="0.3">
      <c r="A125" s="35">
        <v>46029</v>
      </c>
      <c r="B125" s="847" t="s">
        <v>883</v>
      </c>
      <c r="C125">
        <v>4.09</v>
      </c>
      <c r="E125">
        <f t="shared" si="22"/>
        <v>1</v>
      </c>
      <c r="F125" s="11">
        <v>123</v>
      </c>
      <c r="G125" s="179">
        <v>46077</v>
      </c>
      <c r="H125" s="847">
        <v>4.1159999999999997</v>
      </c>
      <c r="I125" s="847">
        <v>4.2030000000000003</v>
      </c>
      <c r="J125" s="847">
        <v>3.0059999999999998</v>
      </c>
      <c r="K125" s="847">
        <v>4.2919999999999998</v>
      </c>
      <c r="L125" s="847">
        <v>3.15</v>
      </c>
      <c r="M125" s="847">
        <v>4.3419999999999996</v>
      </c>
      <c r="N125" s="847">
        <v>3.2040000000000002</v>
      </c>
      <c r="O125" s="847">
        <v>3.4769999999999999</v>
      </c>
      <c r="P125" s="847">
        <v>3.75</v>
      </c>
      <c r="Q125" s="847">
        <v>3.8079999999999998</v>
      </c>
      <c r="R125" s="321">
        <f t="shared" si="23"/>
        <v>0.19999999999997797</v>
      </c>
      <c r="S125" s="72">
        <f t="shared" si="24"/>
        <v>0.19999999999997797</v>
      </c>
      <c r="T125" s="72">
        <f t="shared" si="25"/>
        <v>0.20000000000002238</v>
      </c>
      <c r="U125" s="72">
        <f t="shared" si="26"/>
        <v>-0.1000000000000334</v>
      </c>
      <c r="V125" s="72">
        <f t="shared" si="27"/>
        <v>-0.40000000000000036</v>
      </c>
      <c r="W125" s="72">
        <f t="shared" si="28"/>
        <v>0</v>
      </c>
      <c r="X125" s="196">
        <f t="shared" si="29"/>
        <v>0.19999999999997797</v>
      </c>
      <c r="Y125" s="196">
        <f t="shared" si="30"/>
        <v>0</v>
      </c>
      <c r="Z125" s="72">
        <f t="shared" si="31"/>
        <v>0</v>
      </c>
      <c r="AA125" s="72">
        <f t="shared" si="32"/>
        <v>0</v>
      </c>
      <c r="AB125" s="321">
        <f t="shared" si="33"/>
        <v>4.2999999999999261</v>
      </c>
      <c r="AC125" s="72">
        <f t="shared" si="34"/>
        <v>1.4000000000000234</v>
      </c>
      <c r="AD125" s="72">
        <f t="shared" si="35"/>
        <v>0.99999999999997868</v>
      </c>
      <c r="AE125" s="72">
        <f t="shared" si="36"/>
        <v>-0.40000000000004476</v>
      </c>
      <c r="AF125" s="72">
        <f t="shared" si="37"/>
        <v>3.0999999999999694</v>
      </c>
      <c r="AG125" s="72">
        <f t="shared" si="38"/>
        <v>0</v>
      </c>
      <c r="AH125" s="196">
        <f t="shared" si="39"/>
        <v>3.9000000000000146</v>
      </c>
      <c r="AI125" s="196">
        <f t="shared" si="40"/>
        <v>7.2999999999999954</v>
      </c>
      <c r="AJ125" s="72">
        <f t="shared" si="41"/>
        <v>10.700000000000021</v>
      </c>
      <c r="AK125" s="72">
        <f t="shared" si="42"/>
        <v>5.7999999999999829</v>
      </c>
      <c r="AM125" s="35"/>
      <c r="AN125" s="35"/>
    </row>
    <row r="126" spans="1:40" x14ac:dyDescent="0.3">
      <c r="A126" s="35">
        <v>46030</v>
      </c>
      <c r="B126" s="847" t="s">
        <v>883</v>
      </c>
      <c r="C126">
        <v>4.1689999999999996</v>
      </c>
      <c r="E126">
        <f t="shared" si="22"/>
        <v>10</v>
      </c>
      <c r="F126" s="11">
        <v>124</v>
      </c>
      <c r="G126" s="179">
        <v>46076</v>
      </c>
      <c r="H126" s="847">
        <v>4.1139999999999999</v>
      </c>
      <c r="I126" s="847">
        <v>4.2030000000000003</v>
      </c>
      <c r="J126" s="847">
        <v>3.004</v>
      </c>
      <c r="K126" s="847">
        <v>4.2919999999999998</v>
      </c>
      <c r="L126" s="847">
        <v>3.1480000000000001</v>
      </c>
      <c r="M126" s="847">
        <v>4.3419999999999996</v>
      </c>
      <c r="N126" s="847">
        <v>3.202</v>
      </c>
      <c r="O126" s="847">
        <v>3.4780000000000002</v>
      </c>
      <c r="P126" s="847">
        <v>3.754</v>
      </c>
      <c r="Q126" s="847">
        <v>3.8079999999999998</v>
      </c>
      <c r="R126" s="321">
        <f t="shared" si="23"/>
        <v>0</v>
      </c>
      <c r="S126" s="72">
        <f t="shared" si="24"/>
        <v>0</v>
      </c>
      <c r="T126" s="72">
        <f t="shared" si="25"/>
        <v>0</v>
      </c>
      <c r="U126" s="72">
        <f t="shared" si="26"/>
        <v>0</v>
      </c>
      <c r="V126" s="72">
        <f t="shared" si="27"/>
        <v>0</v>
      </c>
      <c r="W126" s="72">
        <f t="shared" si="28"/>
        <v>0</v>
      </c>
      <c r="X126" s="196">
        <f t="shared" si="29"/>
        <v>9.9999999999944578E-2</v>
      </c>
      <c r="Y126" s="196">
        <f t="shared" si="30"/>
        <v>0</v>
      </c>
      <c r="Z126" s="72">
        <f t="shared" si="31"/>
        <v>0</v>
      </c>
      <c r="AA126" s="72">
        <f t="shared" si="32"/>
        <v>0</v>
      </c>
      <c r="AB126" s="321">
        <f t="shared" si="33"/>
        <v>4.0999999999999481</v>
      </c>
      <c r="AC126" s="72">
        <f t="shared" si="34"/>
        <v>1.1000000000000121</v>
      </c>
      <c r="AD126" s="72">
        <f t="shared" si="35"/>
        <v>-9.9999999999988987E-2</v>
      </c>
      <c r="AE126" s="72">
        <f t="shared" si="36"/>
        <v>-0.30000000000001137</v>
      </c>
      <c r="AF126" s="72">
        <f t="shared" si="37"/>
        <v>1.4000000000000234</v>
      </c>
      <c r="AG126" s="72">
        <f t="shared" si="38"/>
        <v>9.9999999999944578E-2</v>
      </c>
      <c r="AH126" s="196">
        <f t="shared" si="39"/>
        <v>2.7000000000000135</v>
      </c>
      <c r="AI126" s="196">
        <f t="shared" si="40"/>
        <v>7.0000000000000284</v>
      </c>
      <c r="AJ126" s="72">
        <f t="shared" si="41"/>
        <v>11.299999999999999</v>
      </c>
      <c r="AK126" s="72">
        <f t="shared" si="42"/>
        <v>6.0999999999999943</v>
      </c>
      <c r="AM126" s="35"/>
      <c r="AN126" s="35"/>
    </row>
    <row r="127" spans="1:40" x14ac:dyDescent="0.3">
      <c r="A127" s="35">
        <v>46031</v>
      </c>
      <c r="B127" s="847" t="s">
        <v>883</v>
      </c>
      <c r="C127">
        <v>4.1520000000000001</v>
      </c>
      <c r="E127">
        <f t="shared" si="22"/>
        <v>1</v>
      </c>
      <c r="F127" s="11">
        <v>125</v>
      </c>
      <c r="G127" s="179">
        <v>46066</v>
      </c>
      <c r="H127" s="847">
        <v>4.1130000000000004</v>
      </c>
      <c r="I127" s="847">
        <v>4.2030000000000003</v>
      </c>
      <c r="J127" s="847">
        <v>3.004</v>
      </c>
      <c r="K127" s="847">
        <v>4.2919999999999998</v>
      </c>
      <c r="L127" s="847">
        <v>3.1480000000000001</v>
      </c>
      <c r="M127" s="847">
        <v>4.3419999999999996</v>
      </c>
      <c r="N127" s="847">
        <v>3.202</v>
      </c>
      <c r="O127" s="847">
        <v>3.4780000000000002</v>
      </c>
      <c r="P127" s="847">
        <v>3.754</v>
      </c>
      <c r="Q127" s="847">
        <v>3.8079999999999998</v>
      </c>
      <c r="R127" s="321">
        <f t="shared" si="23"/>
        <v>0</v>
      </c>
      <c r="S127" s="72">
        <f t="shared" si="24"/>
        <v>0</v>
      </c>
      <c r="T127" s="72">
        <f t="shared" si="25"/>
        <v>0</v>
      </c>
      <c r="U127" s="72">
        <f t="shared" si="26"/>
        <v>-0.19999999999997797</v>
      </c>
      <c r="V127" s="72">
        <f t="shared" si="27"/>
        <v>-0.40000000000000036</v>
      </c>
      <c r="W127" s="72">
        <f t="shared" si="28"/>
        <v>0</v>
      </c>
      <c r="X127" s="196">
        <f t="shared" si="29"/>
        <v>0</v>
      </c>
      <c r="Y127" s="196">
        <f t="shared" si="30"/>
        <v>0</v>
      </c>
      <c r="Z127" s="72">
        <f t="shared" si="31"/>
        <v>0</v>
      </c>
      <c r="AA127" s="72">
        <f t="shared" si="32"/>
        <v>0</v>
      </c>
      <c r="AB127" s="321">
        <f t="shared" si="33"/>
        <v>5.200000000000049</v>
      </c>
      <c r="AC127" s="72">
        <f t="shared" si="34"/>
        <v>1.6000000000000014</v>
      </c>
      <c r="AD127" s="72">
        <f t="shared" si="35"/>
        <v>0.80000000000000071</v>
      </c>
      <c r="AE127" s="72">
        <f t="shared" si="36"/>
        <v>-0.40000000000004476</v>
      </c>
      <c r="AF127" s="72">
        <f t="shared" si="37"/>
        <v>2.8999999999999915</v>
      </c>
      <c r="AG127" s="72">
        <f t="shared" si="38"/>
        <v>0</v>
      </c>
      <c r="AH127" s="196">
        <f t="shared" si="39"/>
        <v>3.6999999999999922</v>
      </c>
      <c r="AI127" s="196">
        <f t="shared" si="40"/>
        <v>9.0000000000000302</v>
      </c>
      <c r="AJ127" s="72">
        <f t="shared" si="41"/>
        <v>14.299999999999979</v>
      </c>
      <c r="AK127" s="72">
        <f t="shared" si="42"/>
        <v>10.499999999999998</v>
      </c>
      <c r="AM127" s="35"/>
      <c r="AN127" s="35"/>
    </row>
    <row r="128" spans="1:40" x14ac:dyDescent="0.3">
      <c r="A128" s="35">
        <v>46034</v>
      </c>
      <c r="B128" s="847" t="s">
        <v>883</v>
      </c>
      <c r="C128">
        <v>4.1509999999999998</v>
      </c>
      <c r="E128">
        <f t="shared" si="22"/>
        <v>1</v>
      </c>
      <c r="F128" s="11">
        <v>126</v>
      </c>
      <c r="G128" s="179">
        <v>46065</v>
      </c>
      <c r="H128" s="847">
        <v>4.1130000000000004</v>
      </c>
      <c r="I128" s="847">
        <v>4.2030000000000003</v>
      </c>
      <c r="J128" s="847">
        <v>3.004</v>
      </c>
      <c r="K128" s="847">
        <v>4.2919999999999998</v>
      </c>
      <c r="L128" s="847">
        <v>3.1480000000000001</v>
      </c>
      <c r="M128" s="847">
        <v>4.3419999999999996</v>
      </c>
      <c r="N128" s="847">
        <v>3.202</v>
      </c>
      <c r="O128" s="847">
        <v>3.48</v>
      </c>
      <c r="P128" s="847">
        <v>3.758</v>
      </c>
      <c r="Q128" s="847">
        <v>3.8079999999999998</v>
      </c>
      <c r="R128" s="321">
        <f t="shared" si="23"/>
        <v>0</v>
      </c>
      <c r="S128" s="72">
        <f t="shared" si="24"/>
        <v>0</v>
      </c>
      <c r="T128" s="72">
        <f t="shared" si="25"/>
        <v>0</v>
      </c>
      <c r="U128" s="72">
        <f t="shared" si="26"/>
        <v>0.40000000000000036</v>
      </c>
      <c r="V128" s="72">
        <f t="shared" si="27"/>
        <v>0.70000000000001172</v>
      </c>
      <c r="W128" s="72">
        <f t="shared" si="28"/>
        <v>0</v>
      </c>
      <c r="X128" s="196">
        <f t="shared" si="29"/>
        <v>0</v>
      </c>
      <c r="Y128" s="196">
        <f t="shared" si="30"/>
        <v>0</v>
      </c>
      <c r="Z128" s="72">
        <f t="shared" si="31"/>
        <v>0</v>
      </c>
      <c r="AA128" s="72">
        <f t="shared" si="32"/>
        <v>0</v>
      </c>
      <c r="AB128" s="321">
        <f t="shared" si="33"/>
        <v>4.8000000000000043</v>
      </c>
      <c r="AC128" s="72">
        <f t="shared" si="34"/>
        <v>1.6000000000000014</v>
      </c>
      <c r="AD128" s="72">
        <f t="shared" si="35"/>
        <v>0.80000000000000071</v>
      </c>
      <c r="AE128" s="72">
        <f t="shared" si="36"/>
        <v>-0.40000000000004476</v>
      </c>
      <c r="AF128" s="72">
        <f t="shared" si="37"/>
        <v>2.8999999999999915</v>
      </c>
      <c r="AG128" s="72">
        <f t="shared" si="38"/>
        <v>0</v>
      </c>
      <c r="AH128" s="196">
        <f t="shared" si="39"/>
        <v>3.6999999999999922</v>
      </c>
      <c r="AI128" s="196">
        <f t="shared" si="40"/>
        <v>9.3999999999999861</v>
      </c>
      <c r="AJ128" s="72">
        <f t="shared" si="41"/>
        <v>15.09999999999998</v>
      </c>
      <c r="AK128" s="72">
        <f t="shared" si="42"/>
        <v>10.499999999999998</v>
      </c>
      <c r="AM128" s="35"/>
      <c r="AN128" s="35"/>
    </row>
    <row r="129" spans="1:40" x14ac:dyDescent="0.3">
      <c r="A129" s="35">
        <v>46035</v>
      </c>
      <c r="B129" s="847" t="s">
        <v>883</v>
      </c>
      <c r="C129">
        <v>4.1399999999999997</v>
      </c>
      <c r="E129">
        <f t="shared" si="22"/>
        <v>1</v>
      </c>
      <c r="F129" s="11">
        <v>127</v>
      </c>
      <c r="G129" s="179">
        <v>46064</v>
      </c>
      <c r="H129" s="847">
        <v>4.1130000000000004</v>
      </c>
      <c r="I129" s="847">
        <v>4.2030000000000003</v>
      </c>
      <c r="J129" s="847">
        <v>3.004</v>
      </c>
      <c r="K129" s="847">
        <v>4.2919999999999998</v>
      </c>
      <c r="L129" s="847">
        <v>3.1480000000000001</v>
      </c>
      <c r="M129" s="847">
        <v>4.3419999999999996</v>
      </c>
      <c r="N129" s="847">
        <v>3.202</v>
      </c>
      <c r="O129" s="847">
        <v>3.476</v>
      </c>
      <c r="P129" s="847">
        <v>3.7509999999999999</v>
      </c>
      <c r="Q129" s="847">
        <v>3.8079999999999998</v>
      </c>
      <c r="R129" s="321">
        <f t="shared" si="23"/>
        <v>-2.8999999999999915</v>
      </c>
      <c r="S129" s="72">
        <f t="shared" si="24"/>
        <v>0</v>
      </c>
      <c r="T129" s="72">
        <f t="shared" si="25"/>
        <v>0.40000000000000036</v>
      </c>
      <c r="U129" s="72">
        <f t="shared" si="26"/>
        <v>0.30000000000001137</v>
      </c>
      <c r="V129" s="72">
        <f t="shared" si="27"/>
        <v>0.40000000000000036</v>
      </c>
      <c r="W129" s="72">
        <f t="shared" si="28"/>
        <v>1.0999999999999677</v>
      </c>
      <c r="X129" s="196">
        <f t="shared" si="29"/>
        <v>0.30000000000001137</v>
      </c>
      <c r="Y129" s="196">
        <f t="shared" si="30"/>
        <v>0.49999999999998934</v>
      </c>
      <c r="Z129" s="72">
        <f t="shared" si="31"/>
        <v>0</v>
      </c>
      <c r="AA129" s="72">
        <f t="shared" si="32"/>
        <v>0</v>
      </c>
      <c r="AB129" s="321">
        <f t="shared" si="33"/>
        <v>5.3000000000000824</v>
      </c>
      <c r="AC129" s="72">
        <f t="shared" si="34"/>
        <v>1.6000000000000014</v>
      </c>
      <c r="AD129" s="72">
        <f t="shared" si="35"/>
        <v>1.2000000000000011</v>
      </c>
      <c r="AE129" s="72">
        <f t="shared" si="36"/>
        <v>0</v>
      </c>
      <c r="AF129" s="72">
        <f t="shared" si="37"/>
        <v>2.8999999999999915</v>
      </c>
      <c r="AG129" s="72">
        <f t="shared" si="38"/>
        <v>0.39999999999995595</v>
      </c>
      <c r="AH129" s="196">
        <f t="shared" si="39"/>
        <v>3.6999999999999922</v>
      </c>
      <c r="AI129" s="196">
        <f t="shared" si="40"/>
        <v>8.4999999999999964</v>
      </c>
      <c r="AJ129" s="72">
        <f t="shared" si="41"/>
        <v>13.3</v>
      </c>
      <c r="AK129" s="72">
        <f t="shared" si="42"/>
        <v>10.499999999999998</v>
      </c>
      <c r="AM129" s="35"/>
      <c r="AN129" s="35"/>
    </row>
    <row r="130" spans="1:40" x14ac:dyDescent="0.3">
      <c r="A130" s="35">
        <v>46036</v>
      </c>
      <c r="B130" s="847" t="s">
        <v>883</v>
      </c>
      <c r="C130">
        <v>4.1399999999999997</v>
      </c>
      <c r="E130">
        <f t="shared" si="22"/>
        <v>1</v>
      </c>
      <c r="F130" s="11">
        <v>128</v>
      </c>
      <c r="G130" s="179">
        <v>46063</v>
      </c>
      <c r="H130" s="847">
        <v>4.1100000000000003</v>
      </c>
      <c r="I130" s="847">
        <v>4.1980000000000004</v>
      </c>
      <c r="J130" s="847">
        <v>3.0329999999999999</v>
      </c>
      <c r="K130" s="847">
        <v>4.2919999999999998</v>
      </c>
      <c r="L130" s="847">
        <v>3.1480000000000001</v>
      </c>
      <c r="M130" s="847">
        <v>4.3419999999999996</v>
      </c>
      <c r="N130" s="847">
        <v>3.198</v>
      </c>
      <c r="O130" s="847">
        <v>3.4729999999999999</v>
      </c>
      <c r="P130" s="847">
        <v>3.7469999999999999</v>
      </c>
      <c r="Q130" s="847">
        <v>3.7970000000000002</v>
      </c>
      <c r="R130" s="321">
        <f t="shared" si="23"/>
        <v>2.8999999999999915</v>
      </c>
      <c r="S130" s="72">
        <f t="shared" si="24"/>
        <v>2.1000000000000352</v>
      </c>
      <c r="T130" s="72">
        <f t="shared" si="25"/>
        <v>2.4999999999999911</v>
      </c>
      <c r="U130" s="72">
        <f t="shared" si="26"/>
        <v>2.8000000000000025</v>
      </c>
      <c r="V130" s="72">
        <f t="shared" si="27"/>
        <v>2.8999999999999915</v>
      </c>
      <c r="W130" s="72">
        <f t="shared" si="28"/>
        <v>0.30000000000001137</v>
      </c>
      <c r="X130" s="196">
        <f t="shared" si="29"/>
        <v>0</v>
      </c>
      <c r="Y130" s="196">
        <f t="shared" si="30"/>
        <v>0.30000000000001137</v>
      </c>
      <c r="Z130" s="72">
        <f t="shared" si="31"/>
        <v>0</v>
      </c>
      <c r="AA130" s="72">
        <f t="shared" si="32"/>
        <v>0</v>
      </c>
      <c r="AB130" s="321">
        <f t="shared" si="33"/>
        <v>4.7000000000000597</v>
      </c>
      <c r="AC130" s="72">
        <f t="shared" si="34"/>
        <v>1.1000000000000121</v>
      </c>
      <c r="AD130" s="72">
        <f t="shared" si="35"/>
        <v>4.9999999999999822</v>
      </c>
      <c r="AE130" s="72">
        <f t="shared" si="36"/>
        <v>0</v>
      </c>
      <c r="AF130" s="72">
        <f t="shared" si="37"/>
        <v>3.8000000000000256</v>
      </c>
      <c r="AG130" s="72">
        <f t="shared" si="38"/>
        <v>0.39999999999995595</v>
      </c>
      <c r="AH130" s="196">
        <f t="shared" si="39"/>
        <v>4.1999999999999815</v>
      </c>
      <c r="AI130" s="196">
        <f t="shared" si="40"/>
        <v>8.6999999999999744</v>
      </c>
      <c r="AJ130" s="72">
        <f t="shared" si="41"/>
        <v>13.099999999999978</v>
      </c>
      <c r="AK130" s="72">
        <f t="shared" si="42"/>
        <v>9.4000000000000306</v>
      </c>
      <c r="AM130" s="35"/>
      <c r="AN130" s="35"/>
    </row>
    <row r="131" spans="1:40" x14ac:dyDescent="0.3">
      <c r="A131" s="35">
        <v>46037</v>
      </c>
      <c r="B131" s="847" t="s">
        <v>883</v>
      </c>
      <c r="C131">
        <v>4.141</v>
      </c>
      <c r="E131">
        <f t="shared" si="22"/>
        <v>3</v>
      </c>
      <c r="F131" s="11">
        <v>129</v>
      </c>
      <c r="G131" s="179">
        <v>46062</v>
      </c>
      <c r="H131" s="847">
        <v>4.1100000000000003</v>
      </c>
      <c r="I131" s="847">
        <v>4.1950000000000003</v>
      </c>
      <c r="J131" s="847">
        <v>3.004</v>
      </c>
      <c r="K131" s="847">
        <v>4.2919999999999998</v>
      </c>
      <c r="L131" s="847">
        <v>3.1269999999999998</v>
      </c>
      <c r="M131" s="847">
        <v>4.3419999999999996</v>
      </c>
      <c r="N131" s="847">
        <v>3.173</v>
      </c>
      <c r="O131" s="847">
        <v>3.4449999999999998</v>
      </c>
      <c r="P131" s="847">
        <v>3.718</v>
      </c>
      <c r="Q131" s="847">
        <v>3.794</v>
      </c>
      <c r="R131" s="321">
        <f t="shared" si="23"/>
        <v>0</v>
      </c>
      <c r="S131" s="72">
        <f t="shared" si="24"/>
        <v>0</v>
      </c>
      <c r="T131" s="72">
        <f t="shared" si="25"/>
        <v>0</v>
      </c>
      <c r="U131" s="72">
        <f t="shared" si="26"/>
        <v>2.4000000000000021</v>
      </c>
      <c r="V131" s="72">
        <f t="shared" si="27"/>
        <v>4.8999999999999932</v>
      </c>
      <c r="W131" s="72">
        <f t="shared" si="28"/>
        <v>4.4000000000000039</v>
      </c>
      <c r="X131" s="196">
        <f t="shared" si="29"/>
        <v>1.9000000000000128</v>
      </c>
      <c r="Y131" s="196">
        <f t="shared" si="30"/>
        <v>0</v>
      </c>
      <c r="Z131" s="72">
        <f t="shared" si="31"/>
        <v>0</v>
      </c>
      <c r="AA131" s="72">
        <f t="shared" si="32"/>
        <v>0</v>
      </c>
      <c r="AB131" s="321">
        <f t="shared" si="33"/>
        <v>4.7000000000000597</v>
      </c>
      <c r="AC131" s="72">
        <f t="shared" si="34"/>
        <v>0.80000000000000071</v>
      </c>
      <c r="AD131" s="72">
        <f t="shared" si="35"/>
        <v>2.0999999999999908</v>
      </c>
      <c r="AE131" s="72">
        <f t="shared" si="36"/>
        <v>0</v>
      </c>
      <c r="AF131" s="72">
        <f t="shared" si="37"/>
        <v>1.6999999999999904</v>
      </c>
      <c r="AG131" s="72">
        <f t="shared" si="38"/>
        <v>0.39999999999995595</v>
      </c>
      <c r="AH131" s="196">
        <f t="shared" si="39"/>
        <v>1.6999999999999904</v>
      </c>
      <c r="AI131" s="196">
        <f t="shared" si="40"/>
        <v>5.699999999999994</v>
      </c>
      <c r="AJ131" s="72">
        <f t="shared" si="41"/>
        <v>9.8999999999999755</v>
      </c>
      <c r="AK131" s="72">
        <f t="shared" si="42"/>
        <v>9.1000000000000192</v>
      </c>
      <c r="AM131" s="35"/>
      <c r="AN131" s="35"/>
    </row>
    <row r="132" spans="1:40" x14ac:dyDescent="0.3">
      <c r="A132" s="35">
        <v>46038</v>
      </c>
      <c r="B132" s="847" t="s">
        <v>883</v>
      </c>
      <c r="C132">
        <v>4.1399999999999997</v>
      </c>
      <c r="E132">
        <f t="shared" ref="E132:E195" si="43">G132-G133</f>
        <v>1</v>
      </c>
      <c r="F132" s="11">
        <v>130</v>
      </c>
      <c r="G132" s="179">
        <v>46059</v>
      </c>
      <c r="H132" s="847">
        <v>4.0910000000000002</v>
      </c>
      <c r="I132" s="847">
        <v>4.1950000000000003</v>
      </c>
      <c r="J132" s="847">
        <v>3.004</v>
      </c>
      <c r="K132" s="847">
        <v>4.2919999999999998</v>
      </c>
      <c r="L132" s="847">
        <v>3.1269999999999998</v>
      </c>
      <c r="M132" s="847">
        <v>4.3419999999999996</v>
      </c>
      <c r="N132" s="847">
        <v>3.173</v>
      </c>
      <c r="O132" s="847">
        <v>3.4209999999999998</v>
      </c>
      <c r="P132" s="847">
        <v>3.669</v>
      </c>
      <c r="Q132" s="847">
        <v>3.75</v>
      </c>
      <c r="R132" s="321">
        <f t="shared" ref="R132:R195" si="44">(J132-J133)*100</f>
        <v>0</v>
      </c>
      <c r="S132" s="72">
        <f t="shared" ref="S132:S195" si="45">(L132-L133)*100</f>
        <v>0</v>
      </c>
      <c r="T132" s="72">
        <f t="shared" ref="T132:T195" si="46">(N132-N133)*100</f>
        <v>0</v>
      </c>
      <c r="U132" s="72">
        <f t="shared" ref="U132:U195" si="47">(O132-O133)*100</f>
        <v>0.19999999999997797</v>
      </c>
      <c r="V132" s="72">
        <f t="shared" ref="V132:V195" si="48">(P132-P133)*100</f>
        <v>0.40000000000000036</v>
      </c>
      <c r="W132" s="72">
        <f t="shared" ref="W132:W195" si="49">(Q132-Q133)*100</f>
        <v>0</v>
      </c>
      <c r="X132" s="196">
        <f t="shared" ref="X132:X195" si="50">(H132-H133)*100</f>
        <v>0.30000000000001137</v>
      </c>
      <c r="Y132" s="196">
        <f t="shared" ref="Y132:Y195" si="51">(I132-I133)*100</f>
        <v>0</v>
      </c>
      <c r="Z132" s="72">
        <f t="shared" ref="Z132:Z195" si="52">(K132-K133)*100</f>
        <v>0</v>
      </c>
      <c r="AA132" s="72">
        <f t="shared" ref="AA132:AA195" si="53">(M132-M133)*100</f>
        <v>0</v>
      </c>
      <c r="AB132" s="321">
        <f t="shared" ref="AB132:AB195" si="54">(H132-H142)*100</f>
        <v>3.3000000000000362</v>
      </c>
      <c r="AC132" s="72">
        <f t="shared" ref="AC132:AC195" si="55">(I132-I142)*100</f>
        <v>1.1000000000000121</v>
      </c>
      <c r="AD132" s="72">
        <f t="shared" ref="AD132:AD195" si="56">(J132-J142)*100</f>
        <v>2.0999999999999908</v>
      </c>
      <c r="AE132" s="72">
        <f t="shared" ref="AE132:AE195" si="57">(K132-K142)*100</f>
        <v>0</v>
      </c>
      <c r="AF132" s="72">
        <f t="shared" ref="AF132:AF195" si="58">(L132-L142)*100</f>
        <v>1.6999999999999904</v>
      </c>
      <c r="AG132" s="72">
        <f t="shared" ref="AG132:AG195" si="59">(M132-M142)*100</f>
        <v>0.39999999999995595</v>
      </c>
      <c r="AH132" s="196">
        <f t="shared" ref="AH132:AH195" si="60">(N132-N142)*100</f>
        <v>1.6999999999999904</v>
      </c>
      <c r="AI132" s="196">
        <f t="shared" ref="AI132:AI195" si="61">(O132-O142)*100</f>
        <v>3.6000000000000032</v>
      </c>
      <c r="AJ132" s="72">
        <f t="shared" ref="AJ132:AJ195" si="62">(P132-P142)*100</f>
        <v>5.500000000000016</v>
      </c>
      <c r="AK132" s="72">
        <f t="shared" ref="AK132:AK195" si="63">(Q132-Q142)*100</f>
        <v>4.1999999999999815</v>
      </c>
      <c r="AM132" s="35"/>
      <c r="AN132" s="35"/>
    </row>
    <row r="133" spans="1:40" x14ac:dyDescent="0.3">
      <c r="A133" s="35">
        <v>46041</v>
      </c>
      <c r="B133" s="847" t="s">
        <v>883</v>
      </c>
      <c r="C133">
        <v>4.1399999999999997</v>
      </c>
      <c r="E133">
        <f t="shared" si="43"/>
        <v>1</v>
      </c>
      <c r="F133" s="11">
        <v>131</v>
      </c>
      <c r="G133" s="179">
        <v>46058</v>
      </c>
      <c r="H133" s="847">
        <v>4.0880000000000001</v>
      </c>
      <c r="I133" s="847">
        <v>4.1950000000000003</v>
      </c>
      <c r="J133" s="847">
        <v>3.004</v>
      </c>
      <c r="K133" s="847">
        <v>4.2919999999999998</v>
      </c>
      <c r="L133" s="847">
        <v>3.1269999999999998</v>
      </c>
      <c r="M133" s="847">
        <v>4.3419999999999996</v>
      </c>
      <c r="N133" s="847">
        <v>3.173</v>
      </c>
      <c r="O133" s="847">
        <v>3.419</v>
      </c>
      <c r="P133" s="847">
        <v>3.665</v>
      </c>
      <c r="Q133" s="847">
        <v>3.75</v>
      </c>
      <c r="R133" s="321">
        <f t="shared" si="44"/>
        <v>-0.99999999999997868</v>
      </c>
      <c r="S133" s="72">
        <f t="shared" si="45"/>
        <v>-1.6000000000000014</v>
      </c>
      <c r="T133" s="72">
        <f t="shared" si="46"/>
        <v>-1.1000000000000121</v>
      </c>
      <c r="U133" s="72">
        <f t="shared" si="47"/>
        <v>-0.70000000000001172</v>
      </c>
      <c r="V133" s="72">
        <f t="shared" si="48"/>
        <v>-0.30000000000001137</v>
      </c>
      <c r="W133" s="72">
        <f t="shared" si="49"/>
        <v>0</v>
      </c>
      <c r="X133" s="196">
        <f t="shared" si="50"/>
        <v>0</v>
      </c>
      <c r="Y133" s="196">
        <f t="shared" si="51"/>
        <v>0.1000000000000334</v>
      </c>
      <c r="Z133" s="72">
        <f t="shared" si="52"/>
        <v>-0.30000000000001137</v>
      </c>
      <c r="AA133" s="72">
        <f t="shared" si="53"/>
        <v>9.9999999999944578E-2</v>
      </c>
      <c r="AB133" s="321">
        <f t="shared" si="54"/>
        <v>2.7000000000000135</v>
      </c>
      <c r="AC133" s="72">
        <f t="shared" si="55"/>
        <v>1.6000000000000014</v>
      </c>
      <c r="AD133" s="72">
        <f t="shared" si="56"/>
        <v>2.0999999999999908</v>
      </c>
      <c r="AE133" s="72">
        <f t="shared" si="57"/>
        <v>0</v>
      </c>
      <c r="AF133" s="72">
        <f t="shared" si="58"/>
        <v>1.6999999999999904</v>
      </c>
      <c r="AG133" s="72">
        <f t="shared" si="59"/>
        <v>-0.40000000000004476</v>
      </c>
      <c r="AH133" s="196">
        <f t="shared" si="60"/>
        <v>1.6999999999999904</v>
      </c>
      <c r="AI133" s="196">
        <f t="shared" si="61"/>
        <v>3.6000000000000032</v>
      </c>
      <c r="AJ133" s="72">
        <f t="shared" si="62"/>
        <v>5.3999999999999826</v>
      </c>
      <c r="AK133" s="72">
        <f t="shared" si="63"/>
        <v>5.2999999999999936</v>
      </c>
      <c r="AM133" s="35"/>
      <c r="AN133" s="35"/>
    </row>
    <row r="134" spans="1:40" x14ac:dyDescent="0.3">
      <c r="A134" s="35">
        <v>46042</v>
      </c>
      <c r="B134" s="847" t="s">
        <v>883</v>
      </c>
      <c r="C134">
        <v>4.056</v>
      </c>
      <c r="E134">
        <f t="shared" si="43"/>
        <v>1</v>
      </c>
      <c r="F134" s="11">
        <v>132</v>
      </c>
      <c r="G134" s="179">
        <v>46057</v>
      </c>
      <c r="H134" s="847">
        <v>4.0880000000000001</v>
      </c>
      <c r="I134" s="847">
        <v>4.194</v>
      </c>
      <c r="J134" s="847">
        <v>3.0139999999999998</v>
      </c>
      <c r="K134" s="847">
        <v>4.2949999999999999</v>
      </c>
      <c r="L134" s="847">
        <v>3.1429999999999998</v>
      </c>
      <c r="M134" s="847">
        <v>4.3410000000000002</v>
      </c>
      <c r="N134" s="847">
        <v>3.1840000000000002</v>
      </c>
      <c r="O134" s="847">
        <v>3.4260000000000002</v>
      </c>
      <c r="P134" s="847">
        <v>3.6680000000000001</v>
      </c>
      <c r="Q134" s="847">
        <v>3.75</v>
      </c>
      <c r="R134" s="321">
        <f t="shared" si="44"/>
        <v>1.7999999999999794</v>
      </c>
      <c r="S134" s="72">
        <f t="shared" si="45"/>
        <v>2.3999999999999577</v>
      </c>
      <c r="T134" s="72">
        <f t="shared" si="46"/>
        <v>1.9000000000000128</v>
      </c>
      <c r="U134" s="72">
        <f t="shared" si="47"/>
        <v>2.2000000000000242</v>
      </c>
      <c r="V134" s="72">
        <f t="shared" si="48"/>
        <v>2.5000000000000355</v>
      </c>
      <c r="W134" s="72">
        <f t="shared" si="49"/>
        <v>0</v>
      </c>
      <c r="X134" s="196">
        <f t="shared" si="50"/>
        <v>1.499999999999968</v>
      </c>
      <c r="Y134" s="196">
        <f t="shared" si="51"/>
        <v>0.49999999999998934</v>
      </c>
      <c r="Z134" s="72">
        <f t="shared" si="52"/>
        <v>-0.1000000000000334</v>
      </c>
      <c r="AA134" s="72">
        <f t="shared" si="53"/>
        <v>-9.9999999999944578E-2</v>
      </c>
      <c r="AB134" s="321">
        <f t="shared" si="54"/>
        <v>4.8000000000000043</v>
      </c>
      <c r="AC134" s="72">
        <f t="shared" si="55"/>
        <v>2.2000000000000242</v>
      </c>
      <c r="AD134" s="72">
        <f t="shared" si="56"/>
        <v>3.0999999999999694</v>
      </c>
      <c r="AE134" s="72">
        <f t="shared" si="57"/>
        <v>0.30000000000001137</v>
      </c>
      <c r="AF134" s="72">
        <f t="shared" si="58"/>
        <v>3.2999999999999918</v>
      </c>
      <c r="AG134" s="72">
        <f t="shared" si="59"/>
        <v>0.30000000000001137</v>
      </c>
      <c r="AH134" s="196">
        <f t="shared" si="60"/>
        <v>2.8000000000000025</v>
      </c>
      <c r="AI134" s="196">
        <f t="shared" si="61"/>
        <v>4.5000000000000373</v>
      </c>
      <c r="AJ134" s="72">
        <f t="shared" si="62"/>
        <v>6.2000000000000277</v>
      </c>
      <c r="AK134" s="72">
        <f t="shared" si="63"/>
        <v>5.7999999999999829</v>
      </c>
      <c r="AM134" s="35"/>
      <c r="AN134" s="35"/>
    </row>
    <row r="135" spans="1:40" x14ac:dyDescent="0.3">
      <c r="A135" s="35">
        <v>46043</v>
      </c>
      <c r="B135" s="847" t="s">
        <v>883</v>
      </c>
      <c r="C135">
        <v>4.04</v>
      </c>
      <c r="E135">
        <f t="shared" si="43"/>
        <v>1</v>
      </c>
      <c r="F135" s="11">
        <v>133</v>
      </c>
      <c r="G135" s="179">
        <v>46056</v>
      </c>
      <c r="H135" s="847">
        <v>4.0730000000000004</v>
      </c>
      <c r="I135" s="847">
        <v>4.1890000000000001</v>
      </c>
      <c r="J135" s="847">
        <v>2.996</v>
      </c>
      <c r="K135" s="847">
        <v>4.2960000000000003</v>
      </c>
      <c r="L135" s="847">
        <v>3.1190000000000002</v>
      </c>
      <c r="M135" s="847">
        <v>4.3419999999999996</v>
      </c>
      <c r="N135" s="847">
        <v>3.165</v>
      </c>
      <c r="O135" s="847">
        <v>3.4039999999999999</v>
      </c>
      <c r="P135" s="847">
        <v>3.6429999999999998</v>
      </c>
      <c r="Q135" s="847">
        <v>3.75</v>
      </c>
      <c r="R135" s="321">
        <f t="shared" si="44"/>
        <v>-0.8999999999999897</v>
      </c>
      <c r="S135" s="72">
        <f t="shared" si="45"/>
        <v>-1.499999999999968</v>
      </c>
      <c r="T135" s="72">
        <f t="shared" si="46"/>
        <v>-0.99999999999997868</v>
      </c>
      <c r="U135" s="72">
        <f t="shared" si="47"/>
        <v>-0.40000000000000036</v>
      </c>
      <c r="V135" s="72">
        <f t="shared" si="48"/>
        <v>0.19999999999997797</v>
      </c>
      <c r="W135" s="72">
        <f t="shared" si="49"/>
        <v>0.30000000000001137</v>
      </c>
      <c r="X135" s="196">
        <f t="shared" si="50"/>
        <v>0</v>
      </c>
      <c r="Y135" s="196">
        <f t="shared" si="51"/>
        <v>-0.30000000000001137</v>
      </c>
      <c r="Z135" s="72">
        <f t="shared" si="52"/>
        <v>0.1000000000000334</v>
      </c>
      <c r="AA135" s="72">
        <f t="shared" si="53"/>
        <v>9.9999999999944578E-2</v>
      </c>
      <c r="AB135" s="321">
        <f t="shared" si="54"/>
        <v>1.7000000000000348</v>
      </c>
      <c r="AC135" s="72">
        <f t="shared" si="55"/>
        <v>-1.2999999999999901</v>
      </c>
      <c r="AD135" s="72">
        <f t="shared" si="56"/>
        <v>1.2999999999999901</v>
      </c>
      <c r="AE135" s="72">
        <f t="shared" si="57"/>
        <v>-0.80000000000000071</v>
      </c>
      <c r="AF135" s="72">
        <f t="shared" si="58"/>
        <v>0.90000000000003411</v>
      </c>
      <c r="AG135" s="72">
        <f t="shared" si="59"/>
        <v>-0.80000000000000071</v>
      </c>
      <c r="AH135" s="196">
        <f t="shared" si="60"/>
        <v>0.8999999999999897</v>
      </c>
      <c r="AI135" s="196">
        <f t="shared" si="61"/>
        <v>1.6999999999999904</v>
      </c>
      <c r="AJ135" s="72">
        <f t="shared" si="62"/>
        <v>2.4999999999999911</v>
      </c>
      <c r="AK135" s="72">
        <f t="shared" si="63"/>
        <v>8.0999999999999961</v>
      </c>
      <c r="AM135" s="35"/>
      <c r="AN135" s="35"/>
    </row>
    <row r="136" spans="1:40" x14ac:dyDescent="0.3">
      <c r="A136" s="35">
        <v>46044</v>
      </c>
      <c r="B136" s="847" t="s">
        <v>883</v>
      </c>
      <c r="C136">
        <v>4.0609999999999999</v>
      </c>
      <c r="E136">
        <f t="shared" si="43"/>
        <v>3</v>
      </c>
      <c r="F136" s="11">
        <v>134</v>
      </c>
      <c r="G136" s="179">
        <v>46055</v>
      </c>
      <c r="H136" s="847">
        <v>4.0730000000000004</v>
      </c>
      <c r="I136" s="847">
        <v>4.1920000000000002</v>
      </c>
      <c r="J136" s="847">
        <v>3.0049999999999999</v>
      </c>
      <c r="K136" s="847">
        <v>4.2949999999999999</v>
      </c>
      <c r="L136" s="847">
        <v>3.1339999999999999</v>
      </c>
      <c r="M136" s="847">
        <v>4.3410000000000002</v>
      </c>
      <c r="N136" s="847">
        <v>3.1749999999999998</v>
      </c>
      <c r="O136" s="847">
        <v>3.4079999999999999</v>
      </c>
      <c r="P136" s="847">
        <v>3.641</v>
      </c>
      <c r="Q136" s="847">
        <v>3.7469999999999999</v>
      </c>
      <c r="R136" s="321">
        <f t="shared" si="44"/>
        <v>0.8999999999999897</v>
      </c>
      <c r="S136" s="72">
        <f t="shared" si="45"/>
        <v>1.499999999999968</v>
      </c>
      <c r="T136" s="72">
        <f t="shared" si="46"/>
        <v>0.99999999999997868</v>
      </c>
      <c r="U136" s="72">
        <f t="shared" si="47"/>
        <v>2.0000000000000018</v>
      </c>
      <c r="V136" s="72">
        <f t="shared" si="48"/>
        <v>2.9999999999999805</v>
      </c>
      <c r="W136" s="72">
        <f t="shared" si="49"/>
        <v>4.4000000000000039</v>
      </c>
      <c r="X136" s="196">
        <f t="shared" si="50"/>
        <v>1.2000000000000455</v>
      </c>
      <c r="Y136" s="196">
        <f t="shared" si="51"/>
        <v>0.49999999999998934</v>
      </c>
      <c r="Z136" s="72">
        <f t="shared" si="52"/>
        <v>-0.1000000000000334</v>
      </c>
      <c r="AA136" s="72">
        <f t="shared" si="53"/>
        <v>-9.9999999999944578E-2</v>
      </c>
      <c r="AB136" s="321">
        <f t="shared" si="54"/>
        <v>-6.6999999999999282</v>
      </c>
      <c r="AC136" s="72">
        <f t="shared" si="55"/>
        <v>-5.2999999999999936</v>
      </c>
      <c r="AD136" s="72">
        <f t="shared" si="56"/>
        <v>0.49999999999998934</v>
      </c>
      <c r="AE136" s="72">
        <f t="shared" si="57"/>
        <v>-0.90000000000003411</v>
      </c>
      <c r="AF136" s="72">
        <f t="shared" si="58"/>
        <v>2.9999999999999805</v>
      </c>
      <c r="AG136" s="72">
        <f t="shared" si="59"/>
        <v>-0.89999999999994529</v>
      </c>
      <c r="AH136" s="196">
        <f t="shared" si="60"/>
        <v>2.4999999999999911</v>
      </c>
      <c r="AI136" s="196">
        <f t="shared" si="61"/>
        <v>1.2000000000000011</v>
      </c>
      <c r="AJ136" s="72">
        <f t="shared" si="62"/>
        <v>-0.19999999999997797</v>
      </c>
      <c r="AK136" s="72">
        <f t="shared" si="63"/>
        <v>-0.30000000000001137</v>
      </c>
      <c r="AM136" s="35"/>
      <c r="AN136" s="35"/>
    </row>
    <row r="137" spans="1:40" x14ac:dyDescent="0.3">
      <c r="A137" s="35">
        <v>46045</v>
      </c>
      <c r="B137" s="847" t="s">
        <v>883</v>
      </c>
      <c r="C137">
        <v>4.0579999999999998</v>
      </c>
      <c r="E137">
        <f t="shared" si="43"/>
        <v>1</v>
      </c>
      <c r="F137" s="11">
        <v>135</v>
      </c>
      <c r="G137" s="179">
        <v>46052</v>
      </c>
      <c r="H137" s="847">
        <v>4.0609999999999999</v>
      </c>
      <c r="I137" s="847">
        <v>4.1870000000000003</v>
      </c>
      <c r="J137" s="847">
        <v>2.996</v>
      </c>
      <c r="K137" s="847">
        <v>4.2960000000000003</v>
      </c>
      <c r="L137" s="847">
        <v>3.1190000000000002</v>
      </c>
      <c r="M137" s="847">
        <v>4.3419999999999996</v>
      </c>
      <c r="N137" s="847">
        <v>3.165</v>
      </c>
      <c r="O137" s="847">
        <v>3.3879999999999999</v>
      </c>
      <c r="P137" s="847">
        <v>3.6110000000000002</v>
      </c>
      <c r="Q137" s="847">
        <v>3.7029999999999998</v>
      </c>
      <c r="R137" s="321">
        <f t="shared" si="44"/>
        <v>0</v>
      </c>
      <c r="S137" s="72">
        <f t="shared" si="45"/>
        <v>0</v>
      </c>
      <c r="T137" s="72">
        <f t="shared" si="46"/>
        <v>0</v>
      </c>
      <c r="U137" s="72">
        <f t="shared" si="47"/>
        <v>0.19999999999997797</v>
      </c>
      <c r="V137" s="72">
        <f t="shared" si="48"/>
        <v>0.40000000000000036</v>
      </c>
      <c r="W137" s="72">
        <f t="shared" si="49"/>
        <v>0</v>
      </c>
      <c r="X137" s="196">
        <f t="shared" si="50"/>
        <v>-0.40000000000004476</v>
      </c>
      <c r="Y137" s="196">
        <f t="shared" si="51"/>
        <v>0</v>
      </c>
      <c r="Z137" s="72">
        <f t="shared" si="52"/>
        <v>0</v>
      </c>
      <c r="AA137" s="72">
        <f t="shared" si="53"/>
        <v>0</v>
      </c>
      <c r="AB137" s="321">
        <f t="shared" si="54"/>
        <v>-7.8999999999999737</v>
      </c>
      <c r="AC137" s="72">
        <f t="shared" si="55"/>
        <v>-5.7999999999999829</v>
      </c>
      <c r="AD137" s="72">
        <f t="shared" si="56"/>
        <v>-0.40000000000000036</v>
      </c>
      <c r="AE137" s="72">
        <f t="shared" si="57"/>
        <v>-0.80000000000000071</v>
      </c>
      <c r="AF137" s="72">
        <f t="shared" si="58"/>
        <v>1.5000000000000124</v>
      </c>
      <c r="AG137" s="72">
        <f t="shared" si="59"/>
        <v>-0.80000000000000071</v>
      </c>
      <c r="AH137" s="196">
        <f t="shared" si="60"/>
        <v>1.5000000000000124</v>
      </c>
      <c r="AI137" s="196">
        <f t="shared" si="61"/>
        <v>1.2999999999999901</v>
      </c>
      <c r="AJ137" s="72">
        <f t="shared" si="62"/>
        <v>1.1000000000000121</v>
      </c>
      <c r="AK137" s="72">
        <f t="shared" si="63"/>
        <v>2.8000000000000025</v>
      </c>
      <c r="AM137" s="35"/>
      <c r="AN137" s="35"/>
    </row>
    <row r="138" spans="1:40" x14ac:dyDescent="0.3">
      <c r="A138" s="35">
        <v>46048</v>
      </c>
      <c r="B138" s="847" t="s">
        <v>883</v>
      </c>
      <c r="C138">
        <v>4.0629999999999997</v>
      </c>
      <c r="E138">
        <f t="shared" si="43"/>
        <v>1</v>
      </c>
      <c r="F138" s="11">
        <v>136</v>
      </c>
      <c r="G138" s="179">
        <v>46051</v>
      </c>
      <c r="H138" s="847">
        <v>4.0650000000000004</v>
      </c>
      <c r="I138" s="847">
        <v>4.1870000000000003</v>
      </c>
      <c r="J138" s="847">
        <v>2.996</v>
      </c>
      <c r="K138" s="847">
        <v>4.2960000000000003</v>
      </c>
      <c r="L138" s="847">
        <v>3.1190000000000002</v>
      </c>
      <c r="M138" s="847">
        <v>4.3419999999999996</v>
      </c>
      <c r="N138" s="847">
        <v>3.165</v>
      </c>
      <c r="O138" s="847">
        <v>3.3860000000000001</v>
      </c>
      <c r="P138" s="847">
        <v>3.6070000000000002</v>
      </c>
      <c r="Q138" s="847">
        <v>3.7029999999999998</v>
      </c>
      <c r="R138" s="321">
        <f t="shared" si="44"/>
        <v>0.40000000000000036</v>
      </c>
      <c r="S138" s="72">
        <f t="shared" si="45"/>
        <v>0</v>
      </c>
      <c r="T138" s="72">
        <f t="shared" si="46"/>
        <v>0</v>
      </c>
      <c r="U138" s="72">
        <f t="shared" si="47"/>
        <v>-0.49999999999998934</v>
      </c>
      <c r="V138" s="72">
        <f t="shared" si="48"/>
        <v>-1.0999999999999677</v>
      </c>
      <c r="W138" s="72">
        <f t="shared" si="49"/>
        <v>0</v>
      </c>
      <c r="X138" s="196">
        <f t="shared" si="50"/>
        <v>0.50000000000007816</v>
      </c>
      <c r="Y138" s="196">
        <f t="shared" si="51"/>
        <v>0</v>
      </c>
      <c r="Z138" s="72">
        <f t="shared" si="52"/>
        <v>0.40000000000004476</v>
      </c>
      <c r="AA138" s="72">
        <f t="shared" si="53"/>
        <v>0.39999999999995595</v>
      </c>
      <c r="AB138" s="321">
        <f t="shared" si="54"/>
        <v>-7.5999999999999623</v>
      </c>
      <c r="AC138" s="72">
        <f t="shared" si="55"/>
        <v>-5.7999999999999829</v>
      </c>
      <c r="AD138" s="72">
        <f t="shared" si="56"/>
        <v>0</v>
      </c>
      <c r="AE138" s="72">
        <f t="shared" si="57"/>
        <v>-0.80000000000000071</v>
      </c>
      <c r="AF138" s="72">
        <f t="shared" si="58"/>
        <v>-0.99999999999997868</v>
      </c>
      <c r="AG138" s="72">
        <f t="shared" si="59"/>
        <v>-0.80000000000000071</v>
      </c>
      <c r="AH138" s="196">
        <f t="shared" si="60"/>
        <v>-0.59999999999997833</v>
      </c>
      <c r="AI138" s="196">
        <f t="shared" si="61"/>
        <v>-9.9999999999988987E-2</v>
      </c>
      <c r="AJ138" s="72">
        <f t="shared" si="62"/>
        <v>0.30000000000001137</v>
      </c>
      <c r="AK138" s="72">
        <f t="shared" si="63"/>
        <v>3.6000000000000032</v>
      </c>
      <c r="AM138" s="35"/>
      <c r="AN138" s="35"/>
    </row>
    <row r="139" spans="1:40" x14ac:dyDescent="0.3">
      <c r="A139" s="35">
        <v>46049</v>
      </c>
      <c r="B139" s="847" t="s">
        <v>883</v>
      </c>
      <c r="C139">
        <v>4.0629999999999997</v>
      </c>
      <c r="E139">
        <f t="shared" si="43"/>
        <v>1</v>
      </c>
      <c r="F139" s="11">
        <v>137</v>
      </c>
      <c r="G139" s="179">
        <v>46050</v>
      </c>
      <c r="H139" s="847">
        <v>4.0599999999999996</v>
      </c>
      <c r="I139" s="847">
        <v>4.1870000000000003</v>
      </c>
      <c r="J139" s="847">
        <v>2.992</v>
      </c>
      <c r="K139" s="847">
        <v>4.2919999999999998</v>
      </c>
      <c r="L139" s="847">
        <v>3.1190000000000002</v>
      </c>
      <c r="M139" s="847">
        <v>4.3380000000000001</v>
      </c>
      <c r="N139" s="847">
        <v>3.165</v>
      </c>
      <c r="O139" s="847">
        <v>3.391</v>
      </c>
      <c r="P139" s="847">
        <v>3.6179999999999999</v>
      </c>
      <c r="Q139" s="847">
        <v>3.7029999999999998</v>
      </c>
      <c r="R139" s="321">
        <f t="shared" si="44"/>
        <v>0.8999999999999897</v>
      </c>
      <c r="S139" s="72">
        <f t="shared" si="45"/>
        <v>0.90000000000003411</v>
      </c>
      <c r="T139" s="72">
        <f t="shared" si="46"/>
        <v>0.8999999999999897</v>
      </c>
      <c r="U139" s="72">
        <f t="shared" si="47"/>
        <v>0.49999999999998934</v>
      </c>
      <c r="V139" s="72">
        <f t="shared" si="48"/>
        <v>0.19999999999997797</v>
      </c>
      <c r="W139" s="72">
        <f t="shared" si="49"/>
        <v>0</v>
      </c>
      <c r="X139" s="196">
        <f t="shared" si="50"/>
        <v>-0.30000000000001137</v>
      </c>
      <c r="Y139" s="196">
        <f t="shared" si="51"/>
        <v>0</v>
      </c>
      <c r="Z139" s="72">
        <f t="shared" si="52"/>
        <v>0</v>
      </c>
      <c r="AA139" s="72">
        <f t="shared" si="53"/>
        <v>0</v>
      </c>
      <c r="AB139" s="321">
        <f t="shared" si="54"/>
        <v>-8.0000000000000071</v>
      </c>
      <c r="AC139" s="72">
        <f t="shared" si="55"/>
        <v>-5.7999999999999829</v>
      </c>
      <c r="AD139" s="72">
        <f t="shared" si="56"/>
        <v>-3.1000000000000139</v>
      </c>
      <c r="AE139" s="72">
        <f t="shared" si="57"/>
        <v>0</v>
      </c>
      <c r="AF139" s="72">
        <f t="shared" si="58"/>
        <v>2.3000000000000131</v>
      </c>
      <c r="AG139" s="72">
        <f t="shared" si="59"/>
        <v>0</v>
      </c>
      <c r="AH139" s="196">
        <f t="shared" si="60"/>
        <v>2.3000000000000131</v>
      </c>
      <c r="AI139" s="196">
        <f t="shared" si="61"/>
        <v>1.6999999999999904</v>
      </c>
      <c r="AJ139" s="72">
        <f t="shared" si="62"/>
        <v>1.0999999999999677</v>
      </c>
      <c r="AK139" s="72">
        <f t="shared" si="63"/>
        <v>5.2999999999999936</v>
      </c>
      <c r="AM139" s="35"/>
      <c r="AN139" s="35"/>
    </row>
    <row r="140" spans="1:40" x14ac:dyDescent="0.3">
      <c r="A140" s="35">
        <v>46050</v>
      </c>
      <c r="B140" s="847" t="s">
        <v>883</v>
      </c>
      <c r="C140">
        <v>4.0599999999999996</v>
      </c>
      <c r="E140">
        <f t="shared" si="43"/>
        <v>1</v>
      </c>
      <c r="F140" s="11">
        <v>138</v>
      </c>
      <c r="G140" s="179">
        <v>46049</v>
      </c>
      <c r="H140" s="847">
        <v>4.0629999999999997</v>
      </c>
      <c r="I140" s="847">
        <v>4.1870000000000003</v>
      </c>
      <c r="J140" s="847">
        <v>2.9830000000000001</v>
      </c>
      <c r="K140" s="847">
        <v>4.2919999999999998</v>
      </c>
      <c r="L140" s="847">
        <v>3.11</v>
      </c>
      <c r="M140" s="847">
        <v>4.3380000000000001</v>
      </c>
      <c r="N140" s="847">
        <v>3.1560000000000001</v>
      </c>
      <c r="O140" s="847">
        <v>3.3860000000000001</v>
      </c>
      <c r="P140" s="847">
        <v>3.6160000000000001</v>
      </c>
      <c r="Q140" s="847">
        <v>3.7029999999999998</v>
      </c>
      <c r="R140" s="321">
        <f t="shared" si="44"/>
        <v>0</v>
      </c>
      <c r="S140" s="72">
        <f t="shared" si="45"/>
        <v>0</v>
      </c>
      <c r="T140" s="72">
        <f t="shared" si="46"/>
        <v>0</v>
      </c>
      <c r="U140" s="72">
        <f t="shared" si="47"/>
        <v>-0.19999999999997797</v>
      </c>
      <c r="V140" s="72">
        <f t="shared" si="48"/>
        <v>-0.30000000000001137</v>
      </c>
      <c r="W140" s="72">
        <f t="shared" si="49"/>
        <v>0</v>
      </c>
      <c r="X140" s="196">
        <f t="shared" si="50"/>
        <v>0</v>
      </c>
      <c r="Y140" s="196">
        <f t="shared" si="51"/>
        <v>0</v>
      </c>
      <c r="Z140" s="72">
        <f t="shared" si="52"/>
        <v>0</v>
      </c>
      <c r="AA140" s="72">
        <f t="shared" si="53"/>
        <v>0</v>
      </c>
      <c r="AB140" s="321">
        <f t="shared" si="54"/>
        <v>-7.6999999999999957</v>
      </c>
      <c r="AC140" s="72">
        <f t="shared" si="55"/>
        <v>-4.4999999999999929</v>
      </c>
      <c r="AD140" s="72">
        <f t="shared" si="56"/>
        <v>-1.5000000000000124</v>
      </c>
      <c r="AE140" s="72">
        <f t="shared" si="57"/>
        <v>0.39999999999995595</v>
      </c>
      <c r="AF140" s="72">
        <f t="shared" si="58"/>
        <v>3.2999999999999918</v>
      </c>
      <c r="AG140" s="72">
        <f t="shared" si="59"/>
        <v>0.49999999999998934</v>
      </c>
      <c r="AH140" s="196">
        <f t="shared" si="60"/>
        <v>3.2999999999999918</v>
      </c>
      <c r="AI140" s="196">
        <f t="shared" si="61"/>
        <v>5.1000000000000156</v>
      </c>
      <c r="AJ140" s="72">
        <f t="shared" si="62"/>
        <v>6.899999999999995</v>
      </c>
      <c r="AK140" s="72">
        <f t="shared" si="63"/>
        <v>7.4999999999999734</v>
      </c>
      <c r="AM140" s="35"/>
      <c r="AN140" s="35"/>
    </row>
    <row r="141" spans="1:40" x14ac:dyDescent="0.3">
      <c r="A141" s="35">
        <v>46051</v>
      </c>
      <c r="B141" s="847" t="s">
        <v>883</v>
      </c>
      <c r="C141">
        <v>4.0650000000000004</v>
      </c>
      <c r="E141">
        <f t="shared" si="43"/>
        <v>3</v>
      </c>
      <c r="F141" s="11">
        <v>139</v>
      </c>
      <c r="G141" s="179">
        <v>46048</v>
      </c>
      <c r="H141" s="847">
        <v>4.0629999999999997</v>
      </c>
      <c r="I141" s="847">
        <v>4.1870000000000003</v>
      </c>
      <c r="J141" s="847">
        <v>2.9830000000000001</v>
      </c>
      <c r="K141" s="847">
        <v>4.2919999999999998</v>
      </c>
      <c r="L141" s="847">
        <v>3.11</v>
      </c>
      <c r="M141" s="847">
        <v>4.3380000000000001</v>
      </c>
      <c r="N141" s="847">
        <v>3.1560000000000001</v>
      </c>
      <c r="O141" s="847">
        <v>3.3879999999999999</v>
      </c>
      <c r="P141" s="847">
        <v>3.6190000000000002</v>
      </c>
      <c r="Q141" s="847">
        <v>3.7029999999999998</v>
      </c>
      <c r="R141" s="321">
        <f t="shared" si="44"/>
        <v>0</v>
      </c>
      <c r="S141" s="72">
        <f t="shared" si="45"/>
        <v>0</v>
      </c>
      <c r="T141" s="72">
        <f t="shared" si="46"/>
        <v>0</v>
      </c>
      <c r="U141" s="72">
        <f t="shared" si="47"/>
        <v>0.30000000000001137</v>
      </c>
      <c r="V141" s="72">
        <f t="shared" si="48"/>
        <v>0.50000000000003375</v>
      </c>
      <c r="W141" s="72">
        <f t="shared" si="49"/>
        <v>-0.50000000000003375</v>
      </c>
      <c r="X141" s="196">
        <f t="shared" si="50"/>
        <v>0.49999999999998934</v>
      </c>
      <c r="Y141" s="196">
        <f t="shared" si="51"/>
        <v>0.30000000000001137</v>
      </c>
      <c r="Z141" s="72">
        <f t="shared" si="52"/>
        <v>0</v>
      </c>
      <c r="AA141" s="72">
        <f t="shared" si="53"/>
        <v>0</v>
      </c>
      <c r="AB141" s="321">
        <f t="shared" si="54"/>
        <v>-8.8000000000000078</v>
      </c>
      <c r="AC141" s="72">
        <f t="shared" si="55"/>
        <v>-5.600000000000005</v>
      </c>
      <c r="AD141" s="72">
        <f t="shared" si="56"/>
        <v>-4.8000000000000043</v>
      </c>
      <c r="AE141" s="72">
        <f t="shared" si="57"/>
        <v>2.4999999999999467</v>
      </c>
      <c r="AF141" s="72">
        <f t="shared" si="58"/>
        <v>2.4999999999999911</v>
      </c>
      <c r="AG141" s="72">
        <f t="shared" si="59"/>
        <v>2.5000000000000355</v>
      </c>
      <c r="AH141" s="196">
        <f t="shared" si="60"/>
        <v>3.2999999999999918</v>
      </c>
      <c r="AI141" s="196">
        <f t="shared" si="61"/>
        <v>5.699999999999994</v>
      </c>
      <c r="AJ141" s="72">
        <f t="shared" si="62"/>
        <v>8.0000000000000071</v>
      </c>
      <c r="AK141" s="72">
        <f t="shared" si="63"/>
        <v>7.4999999999999734</v>
      </c>
      <c r="AM141" s="35"/>
      <c r="AN141" s="35"/>
    </row>
    <row r="142" spans="1:40" x14ac:dyDescent="0.3">
      <c r="A142" s="35">
        <v>46052</v>
      </c>
      <c r="B142" s="847" t="s">
        <v>883</v>
      </c>
      <c r="C142">
        <v>4.0609999999999999</v>
      </c>
      <c r="E142">
        <f t="shared" si="43"/>
        <v>1</v>
      </c>
      <c r="F142" s="11">
        <v>140</v>
      </c>
      <c r="G142" s="179">
        <v>46045</v>
      </c>
      <c r="H142" s="847">
        <v>4.0579999999999998</v>
      </c>
      <c r="I142" s="847">
        <v>4.1840000000000002</v>
      </c>
      <c r="J142" s="847">
        <v>2.9830000000000001</v>
      </c>
      <c r="K142" s="847">
        <v>4.2919999999999998</v>
      </c>
      <c r="L142" s="847">
        <v>3.11</v>
      </c>
      <c r="M142" s="847">
        <v>4.3380000000000001</v>
      </c>
      <c r="N142" s="847">
        <v>3.1560000000000001</v>
      </c>
      <c r="O142" s="847">
        <v>3.3849999999999998</v>
      </c>
      <c r="P142" s="847">
        <v>3.6139999999999999</v>
      </c>
      <c r="Q142" s="847">
        <v>3.7080000000000002</v>
      </c>
      <c r="R142" s="321">
        <f t="shared" si="44"/>
        <v>0</v>
      </c>
      <c r="S142" s="72">
        <f t="shared" si="45"/>
        <v>0</v>
      </c>
      <c r="T142" s="72">
        <f t="shared" si="46"/>
        <v>0</v>
      </c>
      <c r="U142" s="72">
        <f t="shared" si="47"/>
        <v>0.19999999999997797</v>
      </c>
      <c r="V142" s="72">
        <f t="shared" si="48"/>
        <v>0.29999999999996696</v>
      </c>
      <c r="W142" s="72">
        <f t="shared" si="49"/>
        <v>1.1000000000000121</v>
      </c>
      <c r="X142" s="196">
        <f t="shared" si="50"/>
        <v>-0.30000000000001137</v>
      </c>
      <c r="Y142" s="196">
        <f t="shared" si="51"/>
        <v>0.49999999999998934</v>
      </c>
      <c r="Z142" s="72">
        <f t="shared" si="52"/>
        <v>0</v>
      </c>
      <c r="AA142" s="72">
        <f t="shared" si="53"/>
        <v>-0.80000000000000071</v>
      </c>
      <c r="AB142" s="321">
        <f t="shared" si="54"/>
        <v>-9.4000000000000306</v>
      </c>
      <c r="AC142" s="72">
        <f t="shared" si="55"/>
        <v>-5.1000000000000156</v>
      </c>
      <c r="AD142" s="72">
        <f t="shared" si="56"/>
        <v>-6.4999999999999947</v>
      </c>
      <c r="AE142" s="72">
        <f t="shared" si="57"/>
        <v>2.8999999999999915</v>
      </c>
      <c r="AF142" s="72">
        <f t="shared" si="58"/>
        <v>0</v>
      </c>
      <c r="AG142" s="72">
        <f t="shared" si="59"/>
        <v>3.0000000000000249</v>
      </c>
      <c r="AH142" s="196">
        <f t="shared" si="60"/>
        <v>0.80000000000000071</v>
      </c>
      <c r="AI142" s="196">
        <f t="shared" si="61"/>
        <v>4.2999999999999705</v>
      </c>
      <c r="AJ142" s="72">
        <f t="shared" si="62"/>
        <v>7.7999999999999847</v>
      </c>
      <c r="AK142" s="72">
        <f t="shared" si="63"/>
        <v>8.6000000000000298</v>
      </c>
      <c r="AM142" s="35"/>
      <c r="AN142" s="35"/>
    </row>
    <row r="143" spans="1:40" x14ac:dyDescent="0.3">
      <c r="A143" s="35">
        <v>46055</v>
      </c>
      <c r="B143" s="847" t="s">
        <v>883</v>
      </c>
      <c r="C143">
        <v>4.0730000000000004</v>
      </c>
      <c r="E143">
        <f t="shared" si="43"/>
        <v>1</v>
      </c>
      <c r="F143" s="11">
        <v>141</v>
      </c>
      <c r="G143" s="179">
        <v>46044</v>
      </c>
      <c r="H143" s="847">
        <v>4.0609999999999999</v>
      </c>
      <c r="I143" s="847">
        <v>4.1790000000000003</v>
      </c>
      <c r="J143" s="847">
        <v>2.9830000000000001</v>
      </c>
      <c r="K143" s="847">
        <v>4.2919999999999998</v>
      </c>
      <c r="L143" s="847">
        <v>3.11</v>
      </c>
      <c r="M143" s="847">
        <v>4.3460000000000001</v>
      </c>
      <c r="N143" s="847">
        <v>3.1560000000000001</v>
      </c>
      <c r="O143" s="847">
        <v>3.383</v>
      </c>
      <c r="P143" s="847">
        <v>3.6110000000000002</v>
      </c>
      <c r="Q143" s="847">
        <v>3.6970000000000001</v>
      </c>
      <c r="R143" s="321">
        <f t="shared" si="44"/>
        <v>0</v>
      </c>
      <c r="S143" s="72">
        <f t="shared" si="45"/>
        <v>0</v>
      </c>
      <c r="T143" s="72">
        <f t="shared" si="46"/>
        <v>0</v>
      </c>
      <c r="U143" s="72">
        <f t="shared" si="47"/>
        <v>0.20000000000002238</v>
      </c>
      <c r="V143" s="72">
        <f t="shared" si="48"/>
        <v>0.50000000000003375</v>
      </c>
      <c r="W143" s="72">
        <f t="shared" si="49"/>
        <v>0.49999999999998934</v>
      </c>
      <c r="X143" s="196">
        <f t="shared" si="50"/>
        <v>2.0999999999999908</v>
      </c>
      <c r="Y143" s="196">
        <f t="shared" si="51"/>
        <v>0.70000000000005613</v>
      </c>
      <c r="Z143" s="72">
        <f t="shared" si="52"/>
        <v>0</v>
      </c>
      <c r="AA143" s="72">
        <f t="shared" si="53"/>
        <v>0.80000000000000071</v>
      </c>
      <c r="AB143" s="321">
        <f t="shared" si="54"/>
        <v>-10.799999999999965</v>
      </c>
      <c r="AC143" s="72">
        <f t="shared" si="55"/>
        <v>-4.5999999999999375</v>
      </c>
      <c r="AD143" s="72">
        <f t="shared" si="56"/>
        <v>-0.8999999999999897</v>
      </c>
      <c r="AE143" s="72">
        <f t="shared" si="57"/>
        <v>7.099999999999973</v>
      </c>
      <c r="AF143" s="72">
        <f t="shared" si="58"/>
        <v>5.600000000000005</v>
      </c>
      <c r="AG143" s="72">
        <f t="shared" si="59"/>
        <v>7.099999999999973</v>
      </c>
      <c r="AH143" s="196">
        <f t="shared" si="60"/>
        <v>4.3000000000000149</v>
      </c>
      <c r="AI143" s="196">
        <f t="shared" si="61"/>
        <v>9.2999999999999972</v>
      </c>
      <c r="AJ143" s="72">
        <f t="shared" si="62"/>
        <v>14.300000000000024</v>
      </c>
      <c r="AK143" s="72">
        <f t="shared" si="63"/>
        <v>9.3999999999999861</v>
      </c>
      <c r="AM143" s="35"/>
      <c r="AN143" s="35"/>
    </row>
    <row r="144" spans="1:40" x14ac:dyDescent="0.3">
      <c r="A144" s="35">
        <v>46056</v>
      </c>
      <c r="B144" s="847" t="s">
        <v>883</v>
      </c>
      <c r="C144">
        <v>4.0730000000000004</v>
      </c>
      <c r="E144">
        <f t="shared" si="43"/>
        <v>1</v>
      </c>
      <c r="F144" s="11">
        <v>142</v>
      </c>
      <c r="G144" s="179">
        <v>46043</v>
      </c>
      <c r="H144" s="847">
        <v>4.04</v>
      </c>
      <c r="I144" s="847">
        <v>4.1719999999999997</v>
      </c>
      <c r="J144" s="847">
        <v>2.9830000000000001</v>
      </c>
      <c r="K144" s="847">
        <v>4.2919999999999998</v>
      </c>
      <c r="L144" s="847">
        <v>3.11</v>
      </c>
      <c r="M144" s="847">
        <v>4.3380000000000001</v>
      </c>
      <c r="N144" s="847">
        <v>3.1560000000000001</v>
      </c>
      <c r="O144" s="847">
        <v>3.3809999999999998</v>
      </c>
      <c r="P144" s="847">
        <v>3.6059999999999999</v>
      </c>
      <c r="Q144" s="847">
        <v>3.6920000000000002</v>
      </c>
      <c r="R144" s="321">
        <f t="shared" si="44"/>
        <v>0</v>
      </c>
      <c r="S144" s="72">
        <f t="shared" si="45"/>
        <v>0</v>
      </c>
      <c r="T144" s="72">
        <f t="shared" si="46"/>
        <v>0</v>
      </c>
      <c r="U144" s="72">
        <f t="shared" si="47"/>
        <v>-0.60000000000002274</v>
      </c>
      <c r="V144" s="72">
        <f t="shared" si="48"/>
        <v>-1.2000000000000011</v>
      </c>
      <c r="W144" s="72">
        <f t="shared" si="49"/>
        <v>2.3000000000000131</v>
      </c>
      <c r="X144" s="196">
        <f t="shared" si="50"/>
        <v>-1.6000000000000014</v>
      </c>
      <c r="Y144" s="196">
        <f t="shared" si="51"/>
        <v>-3.0000000000000249</v>
      </c>
      <c r="Z144" s="72">
        <f t="shared" si="52"/>
        <v>-1.2000000000000455</v>
      </c>
      <c r="AA144" s="72">
        <f t="shared" si="53"/>
        <v>-1.1999999999999567</v>
      </c>
      <c r="AB144" s="321">
        <f t="shared" si="54"/>
        <v>-4.9999999999999822</v>
      </c>
      <c r="AC144" s="72">
        <f t="shared" si="55"/>
        <v>0</v>
      </c>
      <c r="AD144" s="72">
        <f t="shared" si="56"/>
        <v>4.4999999999999929</v>
      </c>
      <c r="AE144" s="72">
        <f t="shared" si="57"/>
        <v>17.300000000000004</v>
      </c>
      <c r="AF144" s="72">
        <f t="shared" si="58"/>
        <v>11.399999999999988</v>
      </c>
      <c r="AG144" s="72">
        <f t="shared" si="59"/>
        <v>16.300000000000026</v>
      </c>
      <c r="AH144" s="196">
        <f t="shared" si="60"/>
        <v>9.1000000000000192</v>
      </c>
      <c r="AI144" s="196">
        <f t="shared" si="61"/>
        <v>18.599999999999994</v>
      </c>
      <c r="AJ144" s="72">
        <f t="shared" si="62"/>
        <v>27.999999999999979</v>
      </c>
      <c r="AK144" s="72">
        <f t="shared" si="63"/>
        <v>16.100000000000001</v>
      </c>
      <c r="AM144" s="35"/>
      <c r="AN144" s="35"/>
    </row>
    <row r="145" spans="1:40" x14ac:dyDescent="0.3">
      <c r="A145" s="35">
        <v>46057</v>
      </c>
      <c r="B145" s="847" t="s">
        <v>883</v>
      </c>
      <c r="C145">
        <v>4.0880000000000001</v>
      </c>
      <c r="E145">
        <f t="shared" si="43"/>
        <v>1</v>
      </c>
      <c r="F145" s="11">
        <v>143</v>
      </c>
      <c r="G145" s="179">
        <v>46042</v>
      </c>
      <c r="H145" s="847">
        <v>4.056</v>
      </c>
      <c r="I145" s="847">
        <v>4.202</v>
      </c>
      <c r="J145" s="847">
        <v>2.9830000000000001</v>
      </c>
      <c r="K145" s="847">
        <v>4.3040000000000003</v>
      </c>
      <c r="L145" s="847">
        <v>3.11</v>
      </c>
      <c r="M145" s="847">
        <v>4.3499999999999996</v>
      </c>
      <c r="N145" s="847">
        <v>3.1560000000000001</v>
      </c>
      <c r="O145" s="847">
        <v>3.387</v>
      </c>
      <c r="P145" s="847">
        <v>3.6179999999999999</v>
      </c>
      <c r="Q145" s="847">
        <v>3.669</v>
      </c>
      <c r="R145" s="321">
        <f t="shared" si="44"/>
        <v>-1.6999999999999904</v>
      </c>
      <c r="S145" s="72">
        <f t="shared" si="45"/>
        <v>0.59999999999997833</v>
      </c>
      <c r="T145" s="72">
        <f t="shared" si="46"/>
        <v>0.60000000000002274</v>
      </c>
      <c r="U145" s="72">
        <f t="shared" si="47"/>
        <v>-0.8999999999999897</v>
      </c>
      <c r="V145" s="72">
        <f t="shared" si="48"/>
        <v>-2.4999999999999911</v>
      </c>
      <c r="W145" s="72">
        <f t="shared" si="49"/>
        <v>-8.0999999999999961</v>
      </c>
      <c r="X145" s="196">
        <f t="shared" si="50"/>
        <v>-8.3999999999999631</v>
      </c>
      <c r="Y145" s="196">
        <f t="shared" si="51"/>
        <v>-4.3000000000000149</v>
      </c>
      <c r="Z145" s="72">
        <f t="shared" si="52"/>
        <v>0</v>
      </c>
      <c r="AA145" s="72">
        <f t="shared" si="53"/>
        <v>0</v>
      </c>
      <c r="AB145" s="321">
        <f t="shared" si="54"/>
        <v>0.60000000000002274</v>
      </c>
      <c r="AC145" s="72">
        <f t="shared" si="55"/>
        <v>8.9999999999999858</v>
      </c>
      <c r="AD145" s="72">
        <f t="shared" si="56"/>
        <v>4.4999999999999929</v>
      </c>
      <c r="AE145" s="72">
        <f t="shared" si="57"/>
        <v>18.50000000000005</v>
      </c>
      <c r="AF145" s="72">
        <f t="shared" si="58"/>
        <v>11.399999999999988</v>
      </c>
      <c r="AG145" s="72">
        <f t="shared" si="59"/>
        <v>17.499999999999982</v>
      </c>
      <c r="AH145" s="196">
        <f t="shared" si="60"/>
        <v>10.000000000000009</v>
      </c>
      <c r="AI145" s="196">
        <f t="shared" si="61"/>
        <v>23.4</v>
      </c>
      <c r="AJ145" s="72">
        <f t="shared" si="62"/>
        <v>36.700000000000003</v>
      </c>
      <c r="AK145" s="72">
        <f t="shared" si="63"/>
        <v>17.700000000000003</v>
      </c>
      <c r="AM145" s="35"/>
      <c r="AN145" s="35"/>
    </row>
    <row r="146" spans="1:40" x14ac:dyDescent="0.3">
      <c r="A146" s="35">
        <v>46058</v>
      </c>
      <c r="B146" s="847" t="s">
        <v>883</v>
      </c>
      <c r="C146">
        <v>4.0880000000000001</v>
      </c>
      <c r="E146">
        <f t="shared" si="43"/>
        <v>3</v>
      </c>
      <c r="F146" s="11">
        <v>144</v>
      </c>
      <c r="G146" s="179">
        <v>46041</v>
      </c>
      <c r="H146" s="847">
        <v>4.1399999999999997</v>
      </c>
      <c r="I146" s="847">
        <v>4.2450000000000001</v>
      </c>
      <c r="J146" s="847">
        <v>3</v>
      </c>
      <c r="K146" s="847">
        <v>4.3040000000000003</v>
      </c>
      <c r="L146" s="847">
        <v>3.1040000000000001</v>
      </c>
      <c r="M146" s="847">
        <v>4.3499999999999996</v>
      </c>
      <c r="N146" s="847">
        <v>3.15</v>
      </c>
      <c r="O146" s="847">
        <v>3.3959999999999999</v>
      </c>
      <c r="P146" s="847">
        <v>3.6429999999999998</v>
      </c>
      <c r="Q146" s="847">
        <v>3.75</v>
      </c>
      <c r="R146" s="321">
        <f t="shared" si="44"/>
        <v>0</v>
      </c>
      <c r="S146" s="72">
        <f t="shared" si="45"/>
        <v>0</v>
      </c>
      <c r="T146" s="72">
        <f t="shared" si="46"/>
        <v>0</v>
      </c>
      <c r="U146" s="72">
        <f t="shared" si="47"/>
        <v>2.0999999999999908</v>
      </c>
      <c r="V146" s="72">
        <f t="shared" si="48"/>
        <v>4.2999999999999705</v>
      </c>
      <c r="W146" s="72">
        <f t="shared" si="49"/>
        <v>7.5000000000000178</v>
      </c>
      <c r="X146" s="196">
        <f t="shared" si="50"/>
        <v>0</v>
      </c>
      <c r="Y146" s="196">
        <f t="shared" si="51"/>
        <v>0</v>
      </c>
      <c r="Z146" s="72">
        <f t="shared" si="52"/>
        <v>0</v>
      </c>
      <c r="AA146" s="72">
        <f t="shared" si="53"/>
        <v>0</v>
      </c>
      <c r="AB146" s="321">
        <f t="shared" si="54"/>
        <v>9.6000000000000085</v>
      </c>
      <c r="AC146" s="72">
        <f t="shared" si="55"/>
        <v>13.3</v>
      </c>
      <c r="AD146" s="72">
        <f t="shared" si="56"/>
        <v>6.1999999999999833</v>
      </c>
      <c r="AE146" s="72">
        <f t="shared" si="57"/>
        <v>19.099999999999984</v>
      </c>
      <c r="AF146" s="72">
        <f t="shared" si="58"/>
        <v>10.80000000000001</v>
      </c>
      <c r="AG146" s="72">
        <f t="shared" si="59"/>
        <v>17.899999999999938</v>
      </c>
      <c r="AH146" s="196">
        <f t="shared" si="60"/>
        <v>9.3999999999999861</v>
      </c>
      <c r="AI146" s="196">
        <f t="shared" si="61"/>
        <v>24.29999999999999</v>
      </c>
      <c r="AJ146" s="72">
        <f t="shared" si="62"/>
        <v>39.199999999999989</v>
      </c>
      <c r="AK146" s="72">
        <f t="shared" si="63"/>
        <v>25.8</v>
      </c>
      <c r="AM146" s="35"/>
      <c r="AN146" s="35"/>
    </row>
    <row r="147" spans="1:40" x14ac:dyDescent="0.3">
      <c r="A147" s="35">
        <v>46059</v>
      </c>
      <c r="B147" s="847" t="s">
        <v>883</v>
      </c>
      <c r="C147">
        <v>4.0910000000000002</v>
      </c>
      <c r="E147">
        <f t="shared" si="43"/>
        <v>1</v>
      </c>
      <c r="F147" s="11">
        <v>145</v>
      </c>
      <c r="G147" s="179">
        <v>46038</v>
      </c>
      <c r="H147" s="847">
        <v>4.1399999999999997</v>
      </c>
      <c r="I147" s="847">
        <v>4.2450000000000001</v>
      </c>
      <c r="J147" s="847">
        <v>3</v>
      </c>
      <c r="K147" s="847">
        <v>4.3040000000000003</v>
      </c>
      <c r="L147" s="847">
        <v>3.1040000000000001</v>
      </c>
      <c r="M147" s="847">
        <v>4.3499999999999996</v>
      </c>
      <c r="N147" s="847">
        <v>3.15</v>
      </c>
      <c r="O147" s="847">
        <v>3.375</v>
      </c>
      <c r="P147" s="847">
        <v>3.6</v>
      </c>
      <c r="Q147" s="847">
        <v>3.6749999999999998</v>
      </c>
      <c r="R147" s="321">
        <f t="shared" si="44"/>
        <v>0.40000000000000036</v>
      </c>
      <c r="S147" s="72">
        <f t="shared" si="45"/>
        <v>-2.4999999999999911</v>
      </c>
      <c r="T147" s="72">
        <f t="shared" si="46"/>
        <v>-2.0999999999999908</v>
      </c>
      <c r="U147" s="72">
        <f t="shared" si="47"/>
        <v>-1.2000000000000011</v>
      </c>
      <c r="V147" s="72">
        <f t="shared" si="48"/>
        <v>-0.40000000000000036</v>
      </c>
      <c r="W147" s="72">
        <f t="shared" si="49"/>
        <v>0.80000000000000071</v>
      </c>
      <c r="X147" s="196">
        <f t="shared" si="50"/>
        <v>-0.1000000000000334</v>
      </c>
      <c r="Y147" s="196">
        <f t="shared" si="51"/>
        <v>0</v>
      </c>
      <c r="Z147" s="72">
        <f t="shared" si="52"/>
        <v>0</v>
      </c>
      <c r="AA147" s="72">
        <f t="shared" si="53"/>
        <v>0</v>
      </c>
      <c r="AB147" s="321">
        <f t="shared" si="54"/>
        <v>9.9999999999999645</v>
      </c>
      <c r="AC147" s="72">
        <f t="shared" si="55"/>
        <v>13.700000000000045</v>
      </c>
      <c r="AD147" s="72">
        <f t="shared" si="56"/>
        <v>8.3000000000000185</v>
      </c>
      <c r="AE147" s="72">
        <f t="shared" si="57"/>
        <v>19.099999999999984</v>
      </c>
      <c r="AF147" s="72">
        <f t="shared" si="58"/>
        <v>13.3</v>
      </c>
      <c r="AG147" s="72">
        <f t="shared" si="59"/>
        <v>17.899999999999938</v>
      </c>
      <c r="AH147" s="196">
        <f t="shared" si="60"/>
        <v>12.299999999999978</v>
      </c>
      <c r="AI147" s="196">
        <f t="shared" si="61"/>
        <v>23.4</v>
      </c>
      <c r="AJ147" s="72">
        <f t="shared" si="62"/>
        <v>34.600000000000009</v>
      </c>
      <c r="AK147" s="72">
        <f t="shared" si="63"/>
        <v>17.999999999999972</v>
      </c>
      <c r="AM147" s="35"/>
      <c r="AN147" s="35"/>
    </row>
    <row r="148" spans="1:40" x14ac:dyDescent="0.3">
      <c r="A148" s="35">
        <v>46062</v>
      </c>
      <c r="B148" s="847" t="s">
        <v>883</v>
      </c>
      <c r="C148">
        <v>4.1100000000000003</v>
      </c>
      <c r="E148">
        <f t="shared" si="43"/>
        <v>1</v>
      </c>
      <c r="F148" s="11">
        <v>146</v>
      </c>
      <c r="G148" s="179">
        <v>46037</v>
      </c>
      <c r="H148" s="847">
        <v>4.141</v>
      </c>
      <c r="I148" s="847">
        <v>4.2450000000000001</v>
      </c>
      <c r="J148" s="847">
        <v>2.996</v>
      </c>
      <c r="K148" s="847">
        <v>4.3040000000000003</v>
      </c>
      <c r="L148" s="847">
        <v>3.129</v>
      </c>
      <c r="M148" s="847">
        <v>4.3499999999999996</v>
      </c>
      <c r="N148" s="847">
        <v>3.1709999999999998</v>
      </c>
      <c r="O148" s="847">
        <v>3.387</v>
      </c>
      <c r="P148" s="847">
        <v>3.6040000000000001</v>
      </c>
      <c r="Q148" s="847">
        <v>3.6669999999999998</v>
      </c>
      <c r="R148" s="321">
        <f t="shared" si="44"/>
        <v>-2.7000000000000135</v>
      </c>
      <c r="S148" s="72">
        <f t="shared" si="45"/>
        <v>3.2999999999999918</v>
      </c>
      <c r="T148" s="72">
        <f t="shared" si="46"/>
        <v>2.8999999999999915</v>
      </c>
      <c r="U148" s="72">
        <f t="shared" si="47"/>
        <v>1.2999999999999901</v>
      </c>
      <c r="V148" s="72">
        <f t="shared" si="48"/>
        <v>-0.30000000000001137</v>
      </c>
      <c r="W148" s="72">
        <f t="shared" si="49"/>
        <v>1.6999999999999904</v>
      </c>
      <c r="X148" s="196">
        <f t="shared" si="50"/>
        <v>0.1000000000000334</v>
      </c>
      <c r="Y148" s="196">
        <f t="shared" si="51"/>
        <v>0</v>
      </c>
      <c r="Z148" s="72">
        <f t="shared" si="52"/>
        <v>1.2000000000000455</v>
      </c>
      <c r="AA148" s="72">
        <f t="shared" si="53"/>
        <v>1.1999999999999567</v>
      </c>
      <c r="AB148" s="321">
        <f t="shared" si="54"/>
        <v>10.500000000000043</v>
      </c>
      <c r="AC148" s="72">
        <f t="shared" si="55"/>
        <v>14.200000000000035</v>
      </c>
      <c r="AD148" s="72">
        <f t="shared" si="56"/>
        <v>7.9000000000000181</v>
      </c>
      <c r="AE148" s="72">
        <f t="shared" si="57"/>
        <v>19.099999999999984</v>
      </c>
      <c r="AF148" s="72">
        <f t="shared" si="58"/>
        <v>15.799999999999992</v>
      </c>
      <c r="AG148" s="72">
        <f t="shared" si="59"/>
        <v>17.899999999999938</v>
      </c>
      <c r="AH148" s="196">
        <f t="shared" si="60"/>
        <v>14.399999999999968</v>
      </c>
      <c r="AI148" s="196">
        <f t="shared" si="61"/>
        <v>25.099999999999987</v>
      </c>
      <c r="AJ148" s="72">
        <f t="shared" si="62"/>
        <v>35.800000000000011</v>
      </c>
      <c r="AK148" s="72">
        <f t="shared" si="63"/>
        <v>17.199999999999971</v>
      </c>
      <c r="AM148" s="35"/>
      <c r="AN148" s="35"/>
    </row>
    <row r="149" spans="1:40" x14ac:dyDescent="0.3">
      <c r="A149" s="35">
        <v>46063</v>
      </c>
      <c r="B149" s="847" t="s">
        <v>883</v>
      </c>
      <c r="C149">
        <v>4.1100000000000003</v>
      </c>
      <c r="E149">
        <f t="shared" si="43"/>
        <v>1</v>
      </c>
      <c r="F149" s="11">
        <v>147</v>
      </c>
      <c r="G149" s="179">
        <v>46036</v>
      </c>
      <c r="H149" s="847">
        <v>4.1399999999999997</v>
      </c>
      <c r="I149" s="847">
        <v>4.2450000000000001</v>
      </c>
      <c r="J149" s="847">
        <v>3.0230000000000001</v>
      </c>
      <c r="K149" s="847">
        <v>4.2919999999999998</v>
      </c>
      <c r="L149" s="847">
        <v>3.0960000000000001</v>
      </c>
      <c r="M149" s="847">
        <v>4.3380000000000001</v>
      </c>
      <c r="N149" s="847">
        <v>3.1419999999999999</v>
      </c>
      <c r="O149" s="847">
        <v>3.3740000000000001</v>
      </c>
      <c r="P149" s="847">
        <v>3.6070000000000002</v>
      </c>
      <c r="Q149" s="847">
        <v>3.65</v>
      </c>
      <c r="R149" s="321">
        <f t="shared" si="44"/>
        <v>2.4999999999999911</v>
      </c>
      <c r="S149" s="72">
        <f t="shared" si="45"/>
        <v>1.9000000000000128</v>
      </c>
      <c r="T149" s="72">
        <f t="shared" si="46"/>
        <v>1.8999999999999684</v>
      </c>
      <c r="U149" s="72">
        <f t="shared" si="47"/>
        <v>3.9000000000000146</v>
      </c>
      <c r="V149" s="72">
        <f t="shared" si="48"/>
        <v>6.0000000000000053</v>
      </c>
      <c r="W149" s="72">
        <f t="shared" si="49"/>
        <v>2.1999999999999797</v>
      </c>
      <c r="X149" s="196">
        <f t="shared" si="50"/>
        <v>0</v>
      </c>
      <c r="Y149" s="196">
        <f t="shared" si="51"/>
        <v>1.2999999999999901</v>
      </c>
      <c r="Z149" s="72">
        <f t="shared" si="52"/>
        <v>0.39999999999995595</v>
      </c>
      <c r="AA149" s="72">
        <f t="shared" si="53"/>
        <v>0.49999999999998934</v>
      </c>
      <c r="AB149" s="321">
        <f t="shared" si="54"/>
        <v>10.400000000000009</v>
      </c>
      <c r="AC149" s="72">
        <f t="shared" si="55"/>
        <v>14.200000000000035</v>
      </c>
      <c r="AD149" s="72">
        <f t="shared" si="56"/>
        <v>10.600000000000032</v>
      </c>
      <c r="AE149" s="72">
        <f t="shared" si="57"/>
        <v>18.400000000000016</v>
      </c>
      <c r="AF149" s="72">
        <f t="shared" si="58"/>
        <v>12.5</v>
      </c>
      <c r="AG149" s="72">
        <f t="shared" si="59"/>
        <v>17.499999999999982</v>
      </c>
      <c r="AH149" s="196">
        <f t="shared" si="60"/>
        <v>11.499999999999977</v>
      </c>
      <c r="AI149" s="196">
        <f t="shared" si="61"/>
        <v>23.799999999999997</v>
      </c>
      <c r="AJ149" s="72">
        <f t="shared" si="62"/>
        <v>36.100000000000023</v>
      </c>
      <c r="AK149" s="72">
        <f t="shared" si="63"/>
        <v>15.49999999999998</v>
      </c>
      <c r="AM149" s="35"/>
      <c r="AN149" s="35"/>
    </row>
    <row r="150" spans="1:40" x14ac:dyDescent="0.3">
      <c r="A150" s="35">
        <v>46064</v>
      </c>
      <c r="B150" s="847" t="s">
        <v>883</v>
      </c>
      <c r="C150">
        <v>4.1130000000000004</v>
      </c>
      <c r="E150">
        <f t="shared" si="43"/>
        <v>1</v>
      </c>
      <c r="F150" s="11">
        <v>148</v>
      </c>
      <c r="G150" s="179">
        <v>46035</v>
      </c>
      <c r="H150" s="847">
        <v>4.1399999999999997</v>
      </c>
      <c r="I150" s="847">
        <v>4.2320000000000002</v>
      </c>
      <c r="J150" s="847">
        <v>2.9980000000000002</v>
      </c>
      <c r="K150" s="847">
        <v>4.2880000000000003</v>
      </c>
      <c r="L150" s="847">
        <v>3.077</v>
      </c>
      <c r="M150" s="847">
        <v>4.3330000000000002</v>
      </c>
      <c r="N150" s="847">
        <v>3.1230000000000002</v>
      </c>
      <c r="O150" s="847">
        <v>3.335</v>
      </c>
      <c r="P150" s="847">
        <v>3.5470000000000002</v>
      </c>
      <c r="Q150" s="847">
        <v>3.6280000000000001</v>
      </c>
      <c r="R150" s="321">
        <f t="shared" si="44"/>
        <v>-3.2999999999999918</v>
      </c>
      <c r="S150" s="72">
        <f t="shared" si="45"/>
        <v>-0.80000000000000071</v>
      </c>
      <c r="T150" s="72">
        <f t="shared" si="46"/>
        <v>0</v>
      </c>
      <c r="U150" s="72">
        <f t="shared" si="47"/>
        <v>0.40000000000000036</v>
      </c>
      <c r="V150" s="72">
        <f t="shared" si="48"/>
        <v>0.80000000000000071</v>
      </c>
      <c r="W150" s="72">
        <f t="shared" si="49"/>
        <v>0</v>
      </c>
      <c r="X150" s="196">
        <f t="shared" si="50"/>
        <v>-1.1000000000000121</v>
      </c>
      <c r="Y150" s="196">
        <f t="shared" si="51"/>
        <v>-1.1000000000000121</v>
      </c>
      <c r="Z150" s="72">
        <f t="shared" si="52"/>
        <v>2.0999999999999908</v>
      </c>
      <c r="AA150" s="72">
        <f t="shared" si="53"/>
        <v>2.0000000000000462</v>
      </c>
      <c r="AB150" s="321">
        <f t="shared" si="54"/>
        <v>10.799999999999965</v>
      </c>
      <c r="AC150" s="72">
        <f t="shared" si="55"/>
        <v>13.400000000000034</v>
      </c>
      <c r="AD150" s="72">
        <f t="shared" si="56"/>
        <v>8.5000000000000409</v>
      </c>
      <c r="AE150" s="72">
        <f t="shared" si="57"/>
        <v>18.800000000000061</v>
      </c>
      <c r="AF150" s="72">
        <f t="shared" si="58"/>
        <v>10.999999999999988</v>
      </c>
      <c r="AG150" s="72">
        <f t="shared" si="59"/>
        <v>17.900000000000027</v>
      </c>
      <c r="AH150" s="196">
        <f t="shared" si="60"/>
        <v>10.000000000000009</v>
      </c>
      <c r="AI150" s="196">
        <f t="shared" si="61"/>
        <v>20.40000000000002</v>
      </c>
      <c r="AJ150" s="72">
        <f t="shared" si="62"/>
        <v>30.800000000000026</v>
      </c>
      <c r="AK150" s="72">
        <f t="shared" si="63"/>
        <v>13.3</v>
      </c>
      <c r="AM150" s="35"/>
      <c r="AN150" s="35"/>
    </row>
    <row r="151" spans="1:40" x14ac:dyDescent="0.3">
      <c r="A151" s="35">
        <v>46065</v>
      </c>
      <c r="B151" s="847" t="s">
        <v>883</v>
      </c>
      <c r="C151">
        <v>4.1130000000000004</v>
      </c>
      <c r="E151">
        <f t="shared" si="43"/>
        <v>3</v>
      </c>
      <c r="F151" s="11">
        <v>149</v>
      </c>
      <c r="G151" s="179">
        <v>46034</v>
      </c>
      <c r="H151" s="847">
        <v>4.1509999999999998</v>
      </c>
      <c r="I151" s="847">
        <v>4.2430000000000003</v>
      </c>
      <c r="J151" s="847">
        <v>3.0310000000000001</v>
      </c>
      <c r="K151" s="847">
        <v>4.2670000000000003</v>
      </c>
      <c r="L151" s="847">
        <v>3.085</v>
      </c>
      <c r="M151" s="847">
        <v>4.3129999999999997</v>
      </c>
      <c r="N151" s="847">
        <v>3.1230000000000002</v>
      </c>
      <c r="O151" s="847">
        <v>3.331</v>
      </c>
      <c r="P151" s="847">
        <v>3.5390000000000001</v>
      </c>
      <c r="Q151" s="847">
        <v>3.6280000000000001</v>
      </c>
      <c r="R151" s="321">
        <f t="shared" si="44"/>
        <v>-1.6999999999999904</v>
      </c>
      <c r="S151" s="72">
        <f t="shared" si="45"/>
        <v>-2.4999999999999911</v>
      </c>
      <c r="T151" s="72">
        <f t="shared" si="46"/>
        <v>-2.4999999999999911</v>
      </c>
      <c r="U151" s="72">
        <f t="shared" si="47"/>
        <v>-1.1000000000000121</v>
      </c>
      <c r="V151" s="72">
        <f t="shared" si="48"/>
        <v>0.30000000000001137</v>
      </c>
      <c r="W151" s="72">
        <f t="shared" si="49"/>
        <v>0.60000000000002274</v>
      </c>
      <c r="X151" s="196">
        <f t="shared" si="50"/>
        <v>-0.1000000000000334</v>
      </c>
      <c r="Y151" s="196">
        <f t="shared" si="51"/>
        <v>0.80000000000000071</v>
      </c>
      <c r="Z151" s="72">
        <f t="shared" si="52"/>
        <v>0.40000000000004476</v>
      </c>
      <c r="AA151" s="72">
        <f t="shared" si="53"/>
        <v>0.49999999999998934</v>
      </c>
      <c r="AB151" s="321">
        <f t="shared" si="54"/>
        <v>11.899999999999977</v>
      </c>
      <c r="AC151" s="72">
        <f t="shared" si="55"/>
        <v>14.500000000000046</v>
      </c>
      <c r="AD151" s="72">
        <f t="shared" si="56"/>
        <v>11.400000000000032</v>
      </c>
      <c r="AE151" s="72">
        <f t="shared" si="57"/>
        <v>17.500000000000071</v>
      </c>
      <c r="AF151" s="72">
        <f t="shared" si="58"/>
        <v>11.399999999999988</v>
      </c>
      <c r="AG151" s="72">
        <f t="shared" si="59"/>
        <v>16.299999999999937</v>
      </c>
      <c r="AH151" s="196">
        <f t="shared" si="60"/>
        <v>9.6000000000000085</v>
      </c>
      <c r="AI151" s="196">
        <f t="shared" si="61"/>
        <v>20.000000000000018</v>
      </c>
      <c r="AJ151" s="72">
        <f t="shared" si="62"/>
        <v>30.400000000000027</v>
      </c>
      <c r="AK151" s="72">
        <f t="shared" si="63"/>
        <v>13.3</v>
      </c>
      <c r="AM151" s="35"/>
      <c r="AN151" s="35"/>
    </row>
    <row r="152" spans="1:40" x14ac:dyDescent="0.3">
      <c r="A152" s="35">
        <v>46066</v>
      </c>
      <c r="B152" s="847" t="s">
        <v>883</v>
      </c>
      <c r="C152">
        <v>4.1130000000000004</v>
      </c>
      <c r="E152">
        <f t="shared" si="43"/>
        <v>1</v>
      </c>
      <c r="F152" s="11">
        <v>150</v>
      </c>
      <c r="G152" s="179">
        <v>46031</v>
      </c>
      <c r="H152" s="847">
        <v>4.1520000000000001</v>
      </c>
      <c r="I152" s="847">
        <v>4.2350000000000003</v>
      </c>
      <c r="J152" s="847">
        <v>3.048</v>
      </c>
      <c r="K152" s="847">
        <v>4.2629999999999999</v>
      </c>
      <c r="L152" s="847">
        <v>3.11</v>
      </c>
      <c r="M152" s="847">
        <v>4.3079999999999998</v>
      </c>
      <c r="N152" s="847">
        <v>3.1480000000000001</v>
      </c>
      <c r="O152" s="847">
        <v>3.3420000000000001</v>
      </c>
      <c r="P152" s="847">
        <v>3.536</v>
      </c>
      <c r="Q152" s="847">
        <v>3.6219999999999999</v>
      </c>
      <c r="R152" s="321">
        <f t="shared" si="44"/>
        <v>5.600000000000005</v>
      </c>
      <c r="S152" s="72">
        <f t="shared" si="45"/>
        <v>5.600000000000005</v>
      </c>
      <c r="T152" s="72">
        <f t="shared" si="46"/>
        <v>3.5000000000000142</v>
      </c>
      <c r="U152" s="72">
        <f t="shared" si="47"/>
        <v>5.2000000000000046</v>
      </c>
      <c r="V152" s="72">
        <f t="shared" si="48"/>
        <v>6.800000000000006</v>
      </c>
      <c r="W152" s="72">
        <f t="shared" si="49"/>
        <v>1.8999999999999684</v>
      </c>
      <c r="X152" s="196">
        <f t="shared" si="50"/>
        <v>-1.699999999999946</v>
      </c>
      <c r="Y152" s="196">
        <f t="shared" si="51"/>
        <v>1.0000000000000675</v>
      </c>
      <c r="Z152" s="72">
        <f t="shared" si="52"/>
        <v>4.1999999999999815</v>
      </c>
      <c r="AA152" s="72">
        <f t="shared" si="53"/>
        <v>3.2999999999999474</v>
      </c>
      <c r="AB152" s="321">
        <f t="shared" si="54"/>
        <v>13.900000000000023</v>
      </c>
      <c r="AC152" s="72">
        <f t="shared" si="55"/>
        <v>15.90000000000007</v>
      </c>
      <c r="AD152" s="72">
        <f t="shared" si="56"/>
        <v>13.100000000000023</v>
      </c>
      <c r="AE152" s="72">
        <f t="shared" si="57"/>
        <v>17.999999999999972</v>
      </c>
      <c r="AF152" s="72">
        <f t="shared" si="58"/>
        <v>13.899999999999979</v>
      </c>
      <c r="AG152" s="72">
        <f t="shared" si="59"/>
        <v>16.999999999999993</v>
      </c>
      <c r="AH152" s="196">
        <f t="shared" si="60"/>
        <v>12.1</v>
      </c>
      <c r="AI152" s="196">
        <f t="shared" si="61"/>
        <v>21.10000000000003</v>
      </c>
      <c r="AJ152" s="72">
        <f t="shared" si="62"/>
        <v>30.100000000000016</v>
      </c>
      <c r="AK152" s="72">
        <f t="shared" si="63"/>
        <v>12.999999999999989</v>
      </c>
      <c r="AM152" s="35"/>
      <c r="AN152" s="35"/>
    </row>
    <row r="153" spans="1:40" x14ac:dyDescent="0.3">
      <c r="A153" s="35">
        <v>46076</v>
      </c>
      <c r="B153" s="847" t="s">
        <v>883</v>
      </c>
      <c r="C153">
        <v>4.1139999999999999</v>
      </c>
      <c r="E153">
        <f t="shared" si="43"/>
        <v>1</v>
      </c>
      <c r="F153" s="11">
        <v>151</v>
      </c>
      <c r="G153" s="179">
        <v>46030</v>
      </c>
      <c r="H153" s="847">
        <v>4.1689999999999996</v>
      </c>
      <c r="I153" s="847">
        <v>4.2249999999999996</v>
      </c>
      <c r="J153" s="847">
        <v>2.992</v>
      </c>
      <c r="K153" s="847">
        <v>4.2210000000000001</v>
      </c>
      <c r="L153" s="847">
        <v>3.0539999999999998</v>
      </c>
      <c r="M153" s="847">
        <v>4.2750000000000004</v>
      </c>
      <c r="N153" s="847">
        <v>3.113</v>
      </c>
      <c r="O153" s="847">
        <v>3.29</v>
      </c>
      <c r="P153" s="847">
        <v>3.468</v>
      </c>
      <c r="Q153" s="847">
        <v>3.6030000000000002</v>
      </c>
      <c r="R153" s="321">
        <f t="shared" si="44"/>
        <v>5.3999999999999826</v>
      </c>
      <c r="S153" s="72">
        <f t="shared" si="45"/>
        <v>5.7999999999999829</v>
      </c>
      <c r="T153" s="72">
        <f t="shared" si="46"/>
        <v>4.8000000000000043</v>
      </c>
      <c r="U153" s="72">
        <f t="shared" si="47"/>
        <v>9.5000000000000195</v>
      </c>
      <c r="V153" s="72">
        <f t="shared" si="48"/>
        <v>14.19999999999999</v>
      </c>
      <c r="W153" s="72">
        <f t="shared" si="49"/>
        <v>7.2000000000000064</v>
      </c>
      <c r="X153" s="196">
        <f t="shared" si="50"/>
        <v>7.8999999999999737</v>
      </c>
      <c r="Y153" s="196">
        <f t="shared" si="51"/>
        <v>5.2999999999999936</v>
      </c>
      <c r="Z153" s="72">
        <f t="shared" si="52"/>
        <v>10.200000000000031</v>
      </c>
      <c r="AA153" s="72">
        <f t="shared" si="53"/>
        <v>10.000000000000053</v>
      </c>
      <c r="AB153" s="321">
        <f t="shared" si="54"/>
        <v>15.599999999999969</v>
      </c>
      <c r="AC153" s="72">
        <f t="shared" si="55"/>
        <v>14.900000000000002</v>
      </c>
      <c r="AD153" s="72">
        <f t="shared" si="56"/>
        <v>7.5000000000000178</v>
      </c>
      <c r="AE153" s="72">
        <f t="shared" si="57"/>
        <v>13.79999999999999</v>
      </c>
      <c r="AF153" s="72">
        <f t="shared" si="58"/>
        <v>8.2999999999999741</v>
      </c>
      <c r="AG153" s="72">
        <f t="shared" si="59"/>
        <v>13.700000000000045</v>
      </c>
      <c r="AH153" s="196">
        <f t="shared" si="60"/>
        <v>8.5999999999999854</v>
      </c>
      <c r="AI153" s="196">
        <f t="shared" si="61"/>
        <v>15.900000000000025</v>
      </c>
      <c r="AJ153" s="72">
        <f t="shared" si="62"/>
        <v>23.300000000000011</v>
      </c>
      <c r="AK153" s="72">
        <f t="shared" si="63"/>
        <v>11.100000000000021</v>
      </c>
      <c r="AM153" s="35"/>
      <c r="AN153" s="35"/>
    </row>
    <row r="154" spans="1:40" x14ac:dyDescent="0.3">
      <c r="A154" s="35">
        <v>46077</v>
      </c>
      <c r="B154" s="847" t="s">
        <v>883</v>
      </c>
      <c r="C154">
        <v>4.1159999999999997</v>
      </c>
      <c r="E154">
        <f t="shared" si="43"/>
        <v>1</v>
      </c>
      <c r="F154" s="11">
        <v>152</v>
      </c>
      <c r="G154" s="179">
        <v>46029</v>
      </c>
      <c r="H154" s="847">
        <v>4.09</v>
      </c>
      <c r="I154" s="847">
        <v>4.1719999999999997</v>
      </c>
      <c r="J154" s="847">
        <v>2.9380000000000002</v>
      </c>
      <c r="K154" s="847">
        <v>4.1189999999999998</v>
      </c>
      <c r="L154" s="847">
        <v>2.996</v>
      </c>
      <c r="M154" s="847">
        <v>4.1749999999999998</v>
      </c>
      <c r="N154" s="847">
        <v>3.0649999999999999</v>
      </c>
      <c r="O154" s="847">
        <v>3.1949999999999998</v>
      </c>
      <c r="P154" s="847">
        <v>3.3260000000000001</v>
      </c>
      <c r="Q154" s="847">
        <v>3.5310000000000001</v>
      </c>
      <c r="R154" s="321">
        <f t="shared" si="44"/>
        <v>0</v>
      </c>
      <c r="S154" s="72">
        <f t="shared" si="45"/>
        <v>0</v>
      </c>
      <c r="T154" s="72">
        <f t="shared" si="46"/>
        <v>0.8999999999999897</v>
      </c>
      <c r="U154" s="72">
        <f t="shared" si="47"/>
        <v>4.1999999999999815</v>
      </c>
      <c r="V154" s="72">
        <f t="shared" si="48"/>
        <v>7.5000000000000178</v>
      </c>
      <c r="W154" s="72">
        <f t="shared" si="49"/>
        <v>3.9000000000000146</v>
      </c>
      <c r="X154" s="196">
        <f t="shared" si="50"/>
        <v>4.0000000000000036</v>
      </c>
      <c r="Y154" s="196">
        <f t="shared" si="51"/>
        <v>5.9999999999999609</v>
      </c>
      <c r="Z154" s="72">
        <f t="shared" si="52"/>
        <v>0</v>
      </c>
      <c r="AA154" s="72">
        <f t="shared" si="53"/>
        <v>0</v>
      </c>
      <c r="AB154" s="321">
        <f t="shared" si="54"/>
        <v>7.8000000000000291</v>
      </c>
      <c r="AC154" s="72">
        <f t="shared" si="55"/>
        <v>9.6000000000000085</v>
      </c>
      <c r="AD154" s="72">
        <f t="shared" si="56"/>
        <v>2.1000000000000352</v>
      </c>
      <c r="AE154" s="72">
        <f t="shared" si="57"/>
        <v>3.5999999999999588</v>
      </c>
      <c r="AF154" s="72">
        <f t="shared" si="58"/>
        <v>2.4999999999999911</v>
      </c>
      <c r="AG154" s="72">
        <f t="shared" si="59"/>
        <v>3.6999999999999922</v>
      </c>
      <c r="AH154" s="196">
        <f t="shared" si="60"/>
        <v>3.7999999999999812</v>
      </c>
      <c r="AI154" s="196">
        <f t="shared" si="61"/>
        <v>6.800000000000006</v>
      </c>
      <c r="AJ154" s="72">
        <f t="shared" si="62"/>
        <v>9.7999999999999865</v>
      </c>
      <c r="AK154" s="72">
        <f t="shared" si="63"/>
        <v>3.9000000000000146</v>
      </c>
      <c r="AM154" s="35"/>
      <c r="AN154" s="35"/>
    </row>
    <row r="155" spans="1:40" x14ac:dyDescent="0.3">
      <c r="A155" s="35">
        <v>46078</v>
      </c>
      <c r="B155" s="847" t="s">
        <v>883</v>
      </c>
      <c r="C155">
        <v>4.1159999999999997</v>
      </c>
      <c r="E155">
        <f t="shared" si="43"/>
        <v>1</v>
      </c>
      <c r="F155" s="11">
        <v>153</v>
      </c>
      <c r="G155" s="179">
        <v>46028</v>
      </c>
      <c r="H155" s="847">
        <v>4.05</v>
      </c>
      <c r="I155" s="847">
        <v>4.1120000000000001</v>
      </c>
      <c r="J155" s="847">
        <v>2.9380000000000002</v>
      </c>
      <c r="K155" s="847">
        <v>4.1189999999999998</v>
      </c>
      <c r="L155" s="847">
        <v>2.996</v>
      </c>
      <c r="M155" s="847">
        <v>4.1749999999999998</v>
      </c>
      <c r="N155" s="847">
        <v>3.056</v>
      </c>
      <c r="O155" s="847">
        <v>3.153</v>
      </c>
      <c r="P155" s="847">
        <v>3.2509999999999999</v>
      </c>
      <c r="Q155" s="847">
        <v>3.492</v>
      </c>
      <c r="R155" s="321">
        <f t="shared" si="44"/>
        <v>0</v>
      </c>
      <c r="S155" s="72">
        <f t="shared" si="45"/>
        <v>0</v>
      </c>
      <c r="T155" s="72">
        <f t="shared" si="46"/>
        <v>0</v>
      </c>
      <c r="U155" s="72">
        <f t="shared" si="47"/>
        <v>0</v>
      </c>
      <c r="V155" s="72">
        <f t="shared" si="48"/>
        <v>0</v>
      </c>
      <c r="W155" s="72">
        <f t="shared" si="49"/>
        <v>0</v>
      </c>
      <c r="X155" s="196">
        <f t="shared" si="50"/>
        <v>0.60000000000002274</v>
      </c>
      <c r="Y155" s="196">
        <f t="shared" si="51"/>
        <v>0</v>
      </c>
      <c r="Z155" s="72">
        <f t="shared" si="52"/>
        <v>0.59999999999993392</v>
      </c>
      <c r="AA155" s="72">
        <f t="shared" si="53"/>
        <v>0.39999999999995595</v>
      </c>
      <c r="AB155" s="321">
        <f t="shared" si="54"/>
        <v>4.1999999999999815</v>
      </c>
      <c r="AC155" s="72">
        <f t="shared" si="55"/>
        <v>3.8999999999999702</v>
      </c>
      <c r="AD155" s="72">
        <f t="shared" si="56"/>
        <v>2.1000000000000352</v>
      </c>
      <c r="AE155" s="72">
        <f t="shared" si="57"/>
        <v>3.5999999999999588</v>
      </c>
      <c r="AF155" s="72">
        <f t="shared" si="58"/>
        <v>2.4999999999999911</v>
      </c>
      <c r="AG155" s="72">
        <f t="shared" si="59"/>
        <v>3.6999999999999922</v>
      </c>
      <c r="AH155" s="196">
        <f t="shared" si="60"/>
        <v>2.8999999999999915</v>
      </c>
      <c r="AI155" s="196">
        <f t="shared" si="61"/>
        <v>2.6000000000000245</v>
      </c>
      <c r="AJ155" s="72">
        <f t="shared" si="62"/>
        <v>2.2999999999999687</v>
      </c>
      <c r="AK155" s="72">
        <f t="shared" si="63"/>
        <v>0</v>
      </c>
      <c r="AM155" s="35"/>
      <c r="AN155" s="35"/>
    </row>
    <row r="156" spans="1:40" x14ac:dyDescent="0.3">
      <c r="A156" s="35">
        <v>46079</v>
      </c>
      <c r="B156" s="847" t="s">
        <v>883</v>
      </c>
      <c r="C156">
        <v>4.1189999999999998</v>
      </c>
      <c r="E156">
        <f t="shared" si="43"/>
        <v>5</v>
      </c>
      <c r="F156" s="11">
        <v>154</v>
      </c>
      <c r="G156" s="179">
        <v>46027</v>
      </c>
      <c r="H156" s="847">
        <v>4.0439999999999996</v>
      </c>
      <c r="I156" s="847">
        <v>4.1120000000000001</v>
      </c>
      <c r="J156" s="847">
        <v>2.9380000000000002</v>
      </c>
      <c r="K156" s="847">
        <v>4.1130000000000004</v>
      </c>
      <c r="L156" s="847">
        <v>2.996</v>
      </c>
      <c r="M156" s="847">
        <v>4.1710000000000003</v>
      </c>
      <c r="N156" s="847">
        <v>3.056</v>
      </c>
      <c r="O156" s="847">
        <v>3.153</v>
      </c>
      <c r="P156" s="847">
        <v>3.2509999999999999</v>
      </c>
      <c r="Q156" s="847">
        <v>3.492</v>
      </c>
      <c r="R156" s="321">
        <f t="shared" si="44"/>
        <v>2.1000000000000352</v>
      </c>
      <c r="S156" s="72">
        <f t="shared" si="45"/>
        <v>2.4999999999999911</v>
      </c>
      <c r="T156" s="72">
        <f t="shared" si="46"/>
        <v>2.8999999999999915</v>
      </c>
      <c r="U156" s="72">
        <f t="shared" si="47"/>
        <v>1.2000000000000011</v>
      </c>
      <c r="V156" s="72">
        <f t="shared" si="48"/>
        <v>-0.30000000000001137</v>
      </c>
      <c r="W156" s="72">
        <f t="shared" si="49"/>
        <v>-0.30000000000001137</v>
      </c>
      <c r="X156" s="196">
        <f t="shared" si="50"/>
        <v>0.39999999999995595</v>
      </c>
      <c r="Y156" s="196">
        <f t="shared" si="51"/>
        <v>0.40000000000004476</v>
      </c>
      <c r="Z156" s="72">
        <f t="shared" si="52"/>
        <v>0</v>
      </c>
      <c r="AA156" s="72">
        <f t="shared" si="53"/>
        <v>0</v>
      </c>
      <c r="AB156" s="321">
        <f t="shared" si="54"/>
        <v>4.1999999999999815</v>
      </c>
      <c r="AC156" s="72">
        <f t="shared" si="55"/>
        <v>3.6000000000000476</v>
      </c>
      <c r="AD156" s="72">
        <f t="shared" si="56"/>
        <v>2.5000000000000355</v>
      </c>
      <c r="AE156" s="72">
        <f t="shared" si="57"/>
        <v>3.6000000000000476</v>
      </c>
      <c r="AF156" s="72">
        <f t="shared" si="58"/>
        <v>2.8999999999999915</v>
      </c>
      <c r="AG156" s="72">
        <f t="shared" si="59"/>
        <v>3.6999999999999922</v>
      </c>
      <c r="AH156" s="196">
        <f t="shared" si="60"/>
        <v>3.2999999999999918</v>
      </c>
      <c r="AI156" s="196">
        <f t="shared" si="61"/>
        <v>3.1000000000000139</v>
      </c>
      <c r="AJ156" s="72">
        <f t="shared" si="62"/>
        <v>2.9999999999999805</v>
      </c>
      <c r="AK156" s="72">
        <f t="shared" si="63"/>
        <v>0.59999999999997833</v>
      </c>
      <c r="AM156" s="35"/>
      <c r="AN156" s="35"/>
    </row>
    <row r="157" spans="1:40" x14ac:dyDescent="0.3">
      <c r="A157" s="35">
        <v>46080</v>
      </c>
      <c r="B157" s="847" t="s">
        <v>883</v>
      </c>
      <c r="C157">
        <v>4.1189999999999998</v>
      </c>
      <c r="E157">
        <f t="shared" si="43"/>
        <v>1</v>
      </c>
      <c r="F157" s="11">
        <v>155</v>
      </c>
      <c r="G157" s="179">
        <v>46022</v>
      </c>
      <c r="H157" s="847">
        <v>4.04</v>
      </c>
      <c r="I157" s="847">
        <v>4.1079999999999997</v>
      </c>
      <c r="J157" s="847">
        <v>2.9169999999999998</v>
      </c>
      <c r="K157" s="847">
        <v>4.1130000000000004</v>
      </c>
      <c r="L157" s="847">
        <v>2.9710000000000001</v>
      </c>
      <c r="M157" s="847">
        <v>4.1710000000000003</v>
      </c>
      <c r="N157" s="847">
        <v>3.0270000000000001</v>
      </c>
      <c r="O157" s="847">
        <v>3.141</v>
      </c>
      <c r="P157" s="847">
        <v>3.254</v>
      </c>
      <c r="Q157" s="847">
        <v>3.4950000000000001</v>
      </c>
      <c r="R157" s="321">
        <f t="shared" si="44"/>
        <v>0</v>
      </c>
      <c r="S157" s="72">
        <f t="shared" si="45"/>
        <v>0</v>
      </c>
      <c r="T157" s="72">
        <f t="shared" si="46"/>
        <v>0</v>
      </c>
      <c r="U157" s="72">
        <f t="shared" si="47"/>
        <v>0.49999999999998934</v>
      </c>
      <c r="V157" s="72">
        <f t="shared" si="48"/>
        <v>0.80000000000000071</v>
      </c>
      <c r="W157" s="72">
        <f t="shared" si="49"/>
        <v>0</v>
      </c>
      <c r="X157" s="196">
        <f t="shared" si="50"/>
        <v>0.40000000000004476</v>
      </c>
      <c r="Y157" s="196">
        <f t="shared" si="51"/>
        <v>0.49999999999998934</v>
      </c>
      <c r="Z157" s="72">
        <f t="shared" si="52"/>
        <v>0</v>
      </c>
      <c r="AA157" s="72">
        <f t="shared" si="53"/>
        <v>0</v>
      </c>
      <c r="AB157" s="321">
        <f t="shared" si="54"/>
        <v>5.500000000000016</v>
      </c>
      <c r="AC157" s="72">
        <f t="shared" si="55"/>
        <v>5.0999999999999268</v>
      </c>
      <c r="AD157" s="72">
        <f t="shared" si="56"/>
        <v>0.40000000000000036</v>
      </c>
      <c r="AE157" s="72">
        <f t="shared" si="57"/>
        <v>3.6000000000000476</v>
      </c>
      <c r="AF157" s="72">
        <f t="shared" si="58"/>
        <v>1.2999999999999901</v>
      </c>
      <c r="AG157" s="72">
        <f t="shared" si="59"/>
        <v>3.6999999999999922</v>
      </c>
      <c r="AH157" s="196">
        <f t="shared" si="60"/>
        <v>1.2000000000000011</v>
      </c>
      <c r="AI157" s="196">
        <f t="shared" si="61"/>
        <v>2.3000000000000131</v>
      </c>
      <c r="AJ157" s="72">
        <f t="shared" si="62"/>
        <v>3.2999999999999918</v>
      </c>
      <c r="AK157" s="72">
        <f t="shared" si="63"/>
        <v>1.4000000000000234</v>
      </c>
      <c r="AM157" s="35"/>
      <c r="AN157" s="35"/>
    </row>
    <row r="158" spans="1:40" x14ac:dyDescent="0.3">
      <c r="A158" s="35">
        <v>46083</v>
      </c>
      <c r="B158" s="847" t="s">
        <v>883</v>
      </c>
      <c r="C158">
        <v>4.157</v>
      </c>
      <c r="E158">
        <f t="shared" si="43"/>
        <v>1</v>
      </c>
      <c r="F158" s="11">
        <v>156</v>
      </c>
      <c r="G158" s="179">
        <v>46021</v>
      </c>
      <c r="H158" s="847">
        <v>4.0359999999999996</v>
      </c>
      <c r="I158" s="847">
        <v>4.1029999999999998</v>
      </c>
      <c r="J158" s="847">
        <v>2.9169999999999998</v>
      </c>
      <c r="K158" s="847">
        <v>4.1130000000000004</v>
      </c>
      <c r="L158" s="847">
        <v>2.9710000000000001</v>
      </c>
      <c r="M158" s="847">
        <v>4.1710000000000003</v>
      </c>
      <c r="N158" s="847">
        <v>3.0270000000000001</v>
      </c>
      <c r="O158" s="847">
        <v>3.1360000000000001</v>
      </c>
      <c r="P158" s="847">
        <v>3.246</v>
      </c>
      <c r="Q158" s="847">
        <v>3.4950000000000001</v>
      </c>
      <c r="R158" s="321">
        <f t="shared" si="44"/>
        <v>0</v>
      </c>
      <c r="S158" s="72">
        <f t="shared" si="45"/>
        <v>0</v>
      </c>
      <c r="T158" s="72">
        <f t="shared" si="46"/>
        <v>0</v>
      </c>
      <c r="U158" s="72">
        <f t="shared" si="47"/>
        <v>0</v>
      </c>
      <c r="V158" s="72">
        <f t="shared" si="48"/>
        <v>0</v>
      </c>
      <c r="W158" s="72">
        <f t="shared" si="49"/>
        <v>0</v>
      </c>
      <c r="X158" s="196">
        <f t="shared" si="50"/>
        <v>0</v>
      </c>
      <c r="Y158" s="196">
        <f t="shared" si="51"/>
        <v>0</v>
      </c>
      <c r="Z158" s="72">
        <f t="shared" si="52"/>
        <v>0.50000000000007816</v>
      </c>
      <c r="AA158" s="72">
        <f t="shared" si="53"/>
        <v>0.80000000000000071</v>
      </c>
      <c r="AB158" s="321">
        <f t="shared" si="54"/>
        <v>4.8999999999999488</v>
      </c>
      <c r="AC158" s="72">
        <f t="shared" si="55"/>
        <v>4.5999999999999375</v>
      </c>
      <c r="AD158" s="72">
        <f t="shared" si="56"/>
        <v>0.40000000000000036</v>
      </c>
      <c r="AE158" s="72">
        <f t="shared" si="57"/>
        <v>3.6000000000000476</v>
      </c>
      <c r="AF158" s="72">
        <f t="shared" si="58"/>
        <v>1.2999999999999901</v>
      </c>
      <c r="AG158" s="72">
        <f t="shared" si="59"/>
        <v>3.6999999999999922</v>
      </c>
      <c r="AH158" s="196">
        <f t="shared" si="60"/>
        <v>1.2000000000000011</v>
      </c>
      <c r="AI158" s="196">
        <f t="shared" si="61"/>
        <v>1.5000000000000124</v>
      </c>
      <c r="AJ158" s="72">
        <f t="shared" si="62"/>
        <v>1.7999999999999794</v>
      </c>
      <c r="AK158" s="72">
        <f t="shared" si="63"/>
        <v>1.0000000000000231</v>
      </c>
      <c r="AM158" s="35"/>
      <c r="AN158" s="35"/>
    </row>
    <row r="159" spans="1:40" x14ac:dyDescent="0.3">
      <c r="A159" s="35">
        <v>46084</v>
      </c>
      <c r="B159" s="847" t="s">
        <v>883</v>
      </c>
      <c r="C159">
        <v>4.1619999999999999</v>
      </c>
      <c r="E159">
        <f t="shared" si="43"/>
        <v>3</v>
      </c>
      <c r="F159" s="11">
        <v>157</v>
      </c>
      <c r="G159" s="179">
        <v>46020</v>
      </c>
      <c r="H159" s="847">
        <v>4.0359999999999996</v>
      </c>
      <c r="I159" s="847">
        <v>4.1029999999999998</v>
      </c>
      <c r="J159" s="847">
        <v>2.9169999999999998</v>
      </c>
      <c r="K159" s="847">
        <v>4.1079999999999997</v>
      </c>
      <c r="L159" s="847">
        <v>2.9710000000000001</v>
      </c>
      <c r="M159" s="847">
        <v>4.1630000000000003</v>
      </c>
      <c r="N159" s="847">
        <v>3.0270000000000001</v>
      </c>
      <c r="O159" s="847">
        <v>3.1360000000000001</v>
      </c>
      <c r="P159" s="847">
        <v>3.246</v>
      </c>
      <c r="Q159" s="847">
        <v>3.4950000000000001</v>
      </c>
      <c r="R159" s="321">
        <f t="shared" si="44"/>
        <v>0.40000000000000036</v>
      </c>
      <c r="S159" s="72">
        <f t="shared" si="45"/>
        <v>0.40000000000000036</v>
      </c>
      <c r="T159" s="72">
        <f t="shared" si="46"/>
        <v>0.40000000000000036</v>
      </c>
      <c r="U159" s="72">
        <f t="shared" si="47"/>
        <v>0.50000000000003375</v>
      </c>
      <c r="V159" s="72">
        <f t="shared" si="48"/>
        <v>0.70000000000001172</v>
      </c>
      <c r="W159" s="72">
        <f t="shared" si="49"/>
        <v>0</v>
      </c>
      <c r="X159" s="196">
        <f t="shared" si="50"/>
        <v>0.39999999999995595</v>
      </c>
      <c r="Y159" s="196">
        <f t="shared" si="51"/>
        <v>0.49999999999998934</v>
      </c>
      <c r="Z159" s="72">
        <f t="shared" si="52"/>
        <v>0.80000000000000071</v>
      </c>
      <c r="AA159" s="72">
        <f t="shared" si="53"/>
        <v>0.90000000000003411</v>
      </c>
      <c r="AB159" s="321">
        <f t="shared" si="54"/>
        <v>5.2999999999999492</v>
      </c>
      <c r="AC159" s="72">
        <f t="shared" si="55"/>
        <v>4.5999999999999375</v>
      </c>
      <c r="AD159" s="72">
        <f t="shared" si="56"/>
        <v>1.2999999999999901</v>
      </c>
      <c r="AE159" s="72">
        <f t="shared" si="57"/>
        <v>3.0999999999999694</v>
      </c>
      <c r="AF159" s="72">
        <f t="shared" si="58"/>
        <v>2.0999999999999908</v>
      </c>
      <c r="AG159" s="72">
        <f t="shared" si="59"/>
        <v>2.8999999999999915</v>
      </c>
      <c r="AH159" s="196">
        <f t="shared" si="60"/>
        <v>1.2000000000000011</v>
      </c>
      <c r="AI159" s="196">
        <f t="shared" si="61"/>
        <v>2.2000000000000242</v>
      </c>
      <c r="AJ159" s="72">
        <f t="shared" si="62"/>
        <v>3.2000000000000028</v>
      </c>
      <c r="AK159" s="72">
        <f t="shared" si="63"/>
        <v>1.6000000000000014</v>
      </c>
      <c r="AM159" s="35"/>
      <c r="AN159" s="35"/>
    </row>
    <row r="160" spans="1:40" x14ac:dyDescent="0.3">
      <c r="A160" s="35">
        <v>46085</v>
      </c>
      <c r="B160" s="847" t="s">
        <v>883</v>
      </c>
      <c r="C160">
        <v>4.1660000000000004</v>
      </c>
      <c r="E160">
        <f t="shared" si="43"/>
        <v>1</v>
      </c>
      <c r="F160" s="11">
        <v>158</v>
      </c>
      <c r="G160" s="179">
        <v>46017</v>
      </c>
      <c r="H160" s="847">
        <v>4.032</v>
      </c>
      <c r="I160" s="847">
        <v>4.0979999999999999</v>
      </c>
      <c r="J160" s="847">
        <v>2.9129999999999998</v>
      </c>
      <c r="K160" s="847">
        <v>4.0999999999999996</v>
      </c>
      <c r="L160" s="847">
        <v>2.9670000000000001</v>
      </c>
      <c r="M160" s="847">
        <v>4.1539999999999999</v>
      </c>
      <c r="N160" s="847">
        <v>3.0230000000000001</v>
      </c>
      <c r="O160" s="847">
        <v>3.1309999999999998</v>
      </c>
      <c r="P160" s="847">
        <v>3.2389999999999999</v>
      </c>
      <c r="Q160" s="847">
        <v>3.4950000000000001</v>
      </c>
      <c r="R160" s="321">
        <f t="shared" si="44"/>
        <v>-0.40000000000000036</v>
      </c>
      <c r="S160" s="72">
        <f t="shared" si="45"/>
        <v>-0.40000000000000036</v>
      </c>
      <c r="T160" s="72">
        <f t="shared" si="46"/>
        <v>-0.40000000000000036</v>
      </c>
      <c r="U160" s="72">
        <f t="shared" si="47"/>
        <v>0</v>
      </c>
      <c r="V160" s="72">
        <f t="shared" si="48"/>
        <v>0.40000000000000036</v>
      </c>
      <c r="W160" s="72">
        <f t="shared" si="49"/>
        <v>0</v>
      </c>
      <c r="X160" s="196">
        <f t="shared" si="50"/>
        <v>0</v>
      </c>
      <c r="Y160" s="196">
        <f t="shared" si="51"/>
        <v>0</v>
      </c>
      <c r="Z160" s="72">
        <f t="shared" si="52"/>
        <v>0.80000000000000071</v>
      </c>
      <c r="AA160" s="72">
        <f t="shared" si="53"/>
        <v>0.39999999999995595</v>
      </c>
      <c r="AB160" s="321">
        <f t="shared" si="54"/>
        <v>5.2000000000000046</v>
      </c>
      <c r="AC160" s="72">
        <f t="shared" si="55"/>
        <v>4.0999999999999481</v>
      </c>
      <c r="AD160" s="72">
        <f t="shared" si="56"/>
        <v>0.49999999999998934</v>
      </c>
      <c r="AE160" s="72">
        <f t="shared" si="57"/>
        <v>2.2999999999999687</v>
      </c>
      <c r="AF160" s="72">
        <f t="shared" si="58"/>
        <v>0.8999999999999897</v>
      </c>
      <c r="AG160" s="72">
        <f t="shared" si="59"/>
        <v>2.4000000000000021</v>
      </c>
      <c r="AH160" s="196">
        <f t="shared" si="60"/>
        <v>0</v>
      </c>
      <c r="AI160" s="196">
        <f t="shared" si="61"/>
        <v>1.2999999999999901</v>
      </c>
      <c r="AJ160" s="72">
        <f t="shared" si="62"/>
        <v>2.4999999999999911</v>
      </c>
      <c r="AK160" s="72">
        <f t="shared" si="63"/>
        <v>2.0999999999999908</v>
      </c>
      <c r="AM160" s="35"/>
      <c r="AN160" s="35"/>
    </row>
    <row r="161" spans="1:40" x14ac:dyDescent="0.3">
      <c r="A161" s="35">
        <v>46086</v>
      </c>
      <c r="B161" s="847" t="s">
        <v>883</v>
      </c>
      <c r="C161">
        <v>4.165</v>
      </c>
      <c r="E161">
        <f t="shared" si="43"/>
        <v>1</v>
      </c>
      <c r="F161" s="11">
        <v>159</v>
      </c>
      <c r="G161" s="179">
        <v>46016</v>
      </c>
      <c r="H161" s="847">
        <v>4.032</v>
      </c>
      <c r="I161" s="847">
        <v>4.0979999999999999</v>
      </c>
      <c r="J161" s="847">
        <v>2.9169999999999998</v>
      </c>
      <c r="K161" s="847">
        <v>4.0919999999999996</v>
      </c>
      <c r="L161" s="847">
        <v>2.9710000000000001</v>
      </c>
      <c r="M161" s="847">
        <v>4.1500000000000004</v>
      </c>
      <c r="N161" s="847">
        <v>3.0270000000000001</v>
      </c>
      <c r="O161" s="847">
        <v>3.1309999999999998</v>
      </c>
      <c r="P161" s="847">
        <v>3.2349999999999999</v>
      </c>
      <c r="Q161" s="847">
        <v>3.4950000000000001</v>
      </c>
      <c r="R161" s="321">
        <f t="shared" si="44"/>
        <v>0</v>
      </c>
      <c r="S161" s="72">
        <f t="shared" si="45"/>
        <v>0</v>
      </c>
      <c r="T161" s="72">
        <f t="shared" si="46"/>
        <v>0</v>
      </c>
      <c r="U161" s="72">
        <f t="shared" si="47"/>
        <v>0</v>
      </c>
      <c r="V161" s="72">
        <f t="shared" si="48"/>
        <v>0</v>
      </c>
      <c r="W161" s="72">
        <f t="shared" si="49"/>
        <v>0.30000000000001137</v>
      </c>
      <c r="X161" s="196">
        <f t="shared" si="50"/>
        <v>1.9000000000000128</v>
      </c>
      <c r="Y161" s="196">
        <f t="shared" si="51"/>
        <v>2.2000000000000242</v>
      </c>
      <c r="Z161" s="72">
        <f t="shared" si="52"/>
        <v>0.89999999999994529</v>
      </c>
      <c r="AA161" s="72">
        <f t="shared" si="53"/>
        <v>1.2000000000000455</v>
      </c>
      <c r="AB161" s="321">
        <f t="shared" si="54"/>
        <v>4.8999999999999932</v>
      </c>
      <c r="AC161" s="72">
        <f t="shared" si="55"/>
        <v>4.6000000000000263</v>
      </c>
      <c r="AD161" s="72">
        <f t="shared" si="56"/>
        <v>0.8999999999999897</v>
      </c>
      <c r="AE161" s="72">
        <f t="shared" si="57"/>
        <v>2.7999999999999581</v>
      </c>
      <c r="AF161" s="72">
        <f t="shared" si="58"/>
        <v>1.2999999999999901</v>
      </c>
      <c r="AG161" s="72">
        <f t="shared" si="59"/>
        <v>3.2000000000000028</v>
      </c>
      <c r="AH161" s="196">
        <f t="shared" si="60"/>
        <v>0.40000000000000036</v>
      </c>
      <c r="AI161" s="196">
        <f t="shared" si="61"/>
        <v>1.2999999999999901</v>
      </c>
      <c r="AJ161" s="72">
        <f t="shared" si="62"/>
        <v>2.0999999999999908</v>
      </c>
      <c r="AK161" s="72">
        <f t="shared" si="63"/>
        <v>2.3000000000000131</v>
      </c>
      <c r="AM161" s="35"/>
      <c r="AN161" s="35"/>
    </row>
    <row r="162" spans="1:40" x14ac:dyDescent="0.3">
      <c r="A162" s="35">
        <v>46087</v>
      </c>
      <c r="B162" s="847" t="s">
        <v>883</v>
      </c>
      <c r="C162">
        <v>4.1669999999999998</v>
      </c>
      <c r="E162">
        <f t="shared" si="43"/>
        <v>1</v>
      </c>
      <c r="F162" s="11">
        <v>160</v>
      </c>
      <c r="G162" s="179">
        <v>46015</v>
      </c>
      <c r="H162" s="847">
        <v>4.0129999999999999</v>
      </c>
      <c r="I162" s="847">
        <v>4.0759999999999996</v>
      </c>
      <c r="J162" s="847">
        <v>2.9169999999999998</v>
      </c>
      <c r="K162" s="847">
        <v>4.0830000000000002</v>
      </c>
      <c r="L162" s="847">
        <v>2.9710000000000001</v>
      </c>
      <c r="M162" s="847">
        <v>4.1379999999999999</v>
      </c>
      <c r="N162" s="847">
        <v>3.0270000000000001</v>
      </c>
      <c r="O162" s="847">
        <v>3.1309999999999998</v>
      </c>
      <c r="P162" s="847">
        <v>3.2349999999999999</v>
      </c>
      <c r="Q162" s="847">
        <v>3.492</v>
      </c>
      <c r="R162" s="321">
        <f t="shared" si="44"/>
        <v>0</v>
      </c>
      <c r="S162" s="72">
        <f t="shared" si="45"/>
        <v>0</v>
      </c>
      <c r="T162" s="72">
        <f t="shared" si="46"/>
        <v>0</v>
      </c>
      <c r="U162" s="72">
        <f t="shared" si="47"/>
        <v>0</v>
      </c>
      <c r="V162" s="72">
        <f t="shared" si="48"/>
        <v>0</v>
      </c>
      <c r="W162" s="72">
        <f t="shared" si="49"/>
        <v>0</v>
      </c>
      <c r="X162" s="196">
        <f t="shared" si="50"/>
        <v>0</v>
      </c>
      <c r="Y162" s="196">
        <f t="shared" si="51"/>
        <v>0</v>
      </c>
      <c r="Z162" s="72">
        <f t="shared" si="52"/>
        <v>0</v>
      </c>
      <c r="AA162" s="72">
        <f t="shared" si="53"/>
        <v>0</v>
      </c>
      <c r="AB162" s="321">
        <f t="shared" si="54"/>
        <v>5.699999999999994</v>
      </c>
      <c r="AC162" s="72">
        <f t="shared" si="55"/>
        <v>4.5999999999999375</v>
      </c>
      <c r="AD162" s="72">
        <f t="shared" si="56"/>
        <v>0.8999999999999897</v>
      </c>
      <c r="AE162" s="72">
        <f t="shared" si="57"/>
        <v>3.1000000000000583</v>
      </c>
      <c r="AF162" s="72">
        <f t="shared" si="58"/>
        <v>1.2999999999999901</v>
      </c>
      <c r="AG162" s="72">
        <f t="shared" si="59"/>
        <v>3.2999999999999474</v>
      </c>
      <c r="AH162" s="196">
        <f t="shared" si="60"/>
        <v>0.40000000000000036</v>
      </c>
      <c r="AI162" s="196">
        <f t="shared" si="61"/>
        <v>1.7999999999999794</v>
      </c>
      <c r="AJ162" s="72">
        <f t="shared" si="62"/>
        <v>3.0999999999999694</v>
      </c>
      <c r="AK162" s="72">
        <f t="shared" si="63"/>
        <v>2.5999999999999801</v>
      </c>
      <c r="AM162" s="35"/>
      <c r="AN162" s="35"/>
    </row>
    <row r="163" spans="1:40" x14ac:dyDescent="0.3">
      <c r="A163" s="35">
        <v>46090</v>
      </c>
      <c r="B163" s="847" t="s">
        <v>883</v>
      </c>
      <c r="C163">
        <v>4.1779999999999999</v>
      </c>
      <c r="E163">
        <f t="shared" si="43"/>
        <v>1</v>
      </c>
      <c r="F163" s="11">
        <v>161</v>
      </c>
      <c r="G163" s="179">
        <v>46014</v>
      </c>
      <c r="H163" s="847">
        <v>4.0129999999999999</v>
      </c>
      <c r="I163" s="847">
        <v>4.0759999999999996</v>
      </c>
      <c r="J163" s="847">
        <v>2.9169999999999998</v>
      </c>
      <c r="K163" s="847">
        <v>4.0830000000000002</v>
      </c>
      <c r="L163" s="847">
        <v>2.9710000000000001</v>
      </c>
      <c r="M163" s="847">
        <v>4.1379999999999999</v>
      </c>
      <c r="N163" s="847">
        <v>3.0270000000000001</v>
      </c>
      <c r="O163" s="847">
        <v>3.1309999999999998</v>
      </c>
      <c r="P163" s="847">
        <v>3.2349999999999999</v>
      </c>
      <c r="Q163" s="847">
        <v>3.492</v>
      </c>
      <c r="R163" s="321">
        <f t="shared" si="44"/>
        <v>0</v>
      </c>
      <c r="S163" s="72">
        <f t="shared" si="45"/>
        <v>0</v>
      </c>
      <c r="T163" s="72">
        <f t="shared" si="46"/>
        <v>0</v>
      </c>
      <c r="U163" s="72">
        <f t="shared" si="47"/>
        <v>0.40000000000000036</v>
      </c>
      <c r="V163" s="72">
        <f t="shared" si="48"/>
        <v>0.69999999999996732</v>
      </c>
      <c r="W163" s="72">
        <f t="shared" si="49"/>
        <v>0</v>
      </c>
      <c r="X163" s="196">
        <f t="shared" si="50"/>
        <v>0.1000000000000334</v>
      </c>
      <c r="Y163" s="196">
        <f t="shared" si="51"/>
        <v>0</v>
      </c>
      <c r="Z163" s="72">
        <f t="shared" si="52"/>
        <v>0</v>
      </c>
      <c r="AA163" s="72">
        <f t="shared" si="53"/>
        <v>0</v>
      </c>
      <c r="AB163" s="321">
        <f t="shared" si="54"/>
        <v>5.699999999999994</v>
      </c>
      <c r="AC163" s="72">
        <f t="shared" si="55"/>
        <v>4.5999999999999375</v>
      </c>
      <c r="AD163" s="72">
        <f t="shared" si="56"/>
        <v>0.8999999999999897</v>
      </c>
      <c r="AE163" s="72">
        <f t="shared" si="57"/>
        <v>3.5000000000000142</v>
      </c>
      <c r="AF163" s="72">
        <f t="shared" si="58"/>
        <v>1.2999999999999901</v>
      </c>
      <c r="AG163" s="72">
        <f t="shared" si="59"/>
        <v>3.6999999999999922</v>
      </c>
      <c r="AH163" s="196">
        <f t="shared" si="60"/>
        <v>0.40000000000000036</v>
      </c>
      <c r="AI163" s="196">
        <f t="shared" si="61"/>
        <v>1.7999999999999794</v>
      </c>
      <c r="AJ163" s="72">
        <f t="shared" si="62"/>
        <v>3.0999999999999694</v>
      </c>
      <c r="AK163" s="72">
        <f t="shared" si="63"/>
        <v>2.5999999999999801</v>
      </c>
      <c r="AM163" s="35"/>
      <c r="AN163" s="35"/>
    </row>
    <row r="164" spans="1:40" x14ac:dyDescent="0.3">
      <c r="A164" s="35">
        <v>46091</v>
      </c>
      <c r="B164" s="847" t="s">
        <v>883</v>
      </c>
      <c r="C164">
        <v>4.1870000000000003</v>
      </c>
      <c r="E164">
        <f t="shared" si="43"/>
        <v>3</v>
      </c>
      <c r="F164" s="11">
        <v>162</v>
      </c>
      <c r="G164" s="179">
        <v>46013</v>
      </c>
      <c r="H164" s="847">
        <v>4.0119999999999996</v>
      </c>
      <c r="I164" s="847">
        <v>4.0759999999999996</v>
      </c>
      <c r="J164" s="847">
        <v>2.9169999999999998</v>
      </c>
      <c r="K164" s="847">
        <v>4.0830000000000002</v>
      </c>
      <c r="L164" s="847">
        <v>2.9710000000000001</v>
      </c>
      <c r="M164" s="847">
        <v>4.1379999999999999</v>
      </c>
      <c r="N164" s="847">
        <v>3.0270000000000001</v>
      </c>
      <c r="O164" s="847">
        <v>3.1269999999999998</v>
      </c>
      <c r="P164" s="847">
        <v>3.2280000000000002</v>
      </c>
      <c r="Q164" s="847">
        <v>3.492</v>
      </c>
      <c r="R164" s="321">
        <f t="shared" si="44"/>
        <v>0</v>
      </c>
      <c r="S164" s="72">
        <f t="shared" si="45"/>
        <v>0</v>
      </c>
      <c r="T164" s="72">
        <f t="shared" si="46"/>
        <v>0</v>
      </c>
      <c r="U164" s="72">
        <f t="shared" si="47"/>
        <v>0</v>
      </c>
      <c r="V164" s="72">
        <f t="shared" si="48"/>
        <v>0</v>
      </c>
      <c r="W164" s="72">
        <f t="shared" si="49"/>
        <v>0</v>
      </c>
      <c r="X164" s="196">
        <f t="shared" si="50"/>
        <v>0.39999999999995595</v>
      </c>
      <c r="Y164" s="196">
        <f t="shared" si="51"/>
        <v>0.29999999999992255</v>
      </c>
      <c r="Z164" s="72">
        <f t="shared" si="52"/>
        <v>0</v>
      </c>
      <c r="AA164" s="72">
        <f t="shared" si="53"/>
        <v>0</v>
      </c>
      <c r="AB164" s="321">
        <f t="shared" si="54"/>
        <v>5.5999999999999606</v>
      </c>
      <c r="AC164" s="72">
        <f t="shared" si="55"/>
        <v>5.0999999999999268</v>
      </c>
      <c r="AD164" s="72">
        <f t="shared" si="56"/>
        <v>0.8999999999999897</v>
      </c>
      <c r="AE164" s="72">
        <f t="shared" si="57"/>
        <v>4.1999999999999815</v>
      </c>
      <c r="AF164" s="72">
        <f t="shared" si="58"/>
        <v>1.2999999999999901</v>
      </c>
      <c r="AG164" s="72">
        <f t="shared" si="59"/>
        <v>4.3000000000000149</v>
      </c>
      <c r="AH164" s="196">
        <f t="shared" si="60"/>
        <v>0.40000000000000036</v>
      </c>
      <c r="AI164" s="196">
        <f t="shared" si="61"/>
        <v>1.399999999999979</v>
      </c>
      <c r="AJ164" s="72">
        <f t="shared" si="62"/>
        <v>2.4000000000000021</v>
      </c>
      <c r="AK164" s="72">
        <f t="shared" si="63"/>
        <v>2.5999999999999801</v>
      </c>
      <c r="AM164" s="35"/>
      <c r="AN164" s="35"/>
    </row>
    <row r="165" spans="1:40" x14ac:dyDescent="0.3">
      <c r="A165" s="35">
        <v>46092</v>
      </c>
      <c r="B165" s="847" t="s">
        <v>883</v>
      </c>
      <c r="C165">
        <v>4.1890000000000001</v>
      </c>
      <c r="E165">
        <f t="shared" si="43"/>
        <v>1</v>
      </c>
      <c r="F165" s="11">
        <v>163</v>
      </c>
      <c r="G165" s="179">
        <v>46010</v>
      </c>
      <c r="H165" s="847">
        <v>4.008</v>
      </c>
      <c r="I165" s="847">
        <v>4.0730000000000004</v>
      </c>
      <c r="J165" s="847">
        <v>2.9169999999999998</v>
      </c>
      <c r="K165" s="847">
        <v>4.0830000000000002</v>
      </c>
      <c r="L165" s="847">
        <v>2.9710000000000001</v>
      </c>
      <c r="M165" s="847">
        <v>4.1379999999999999</v>
      </c>
      <c r="N165" s="847">
        <v>3.0270000000000001</v>
      </c>
      <c r="O165" s="847">
        <v>3.1269999999999998</v>
      </c>
      <c r="P165" s="847">
        <v>3.2280000000000002</v>
      </c>
      <c r="Q165" s="847">
        <v>3.492</v>
      </c>
      <c r="R165" s="321">
        <f t="shared" si="44"/>
        <v>0.40000000000000036</v>
      </c>
      <c r="S165" s="72">
        <f t="shared" si="45"/>
        <v>0.40000000000000036</v>
      </c>
      <c r="T165" s="72">
        <f t="shared" si="46"/>
        <v>0.40000000000000036</v>
      </c>
      <c r="U165" s="72">
        <f t="shared" si="47"/>
        <v>0.49999999999998934</v>
      </c>
      <c r="V165" s="72">
        <f t="shared" si="48"/>
        <v>0.70000000000001172</v>
      </c>
      <c r="W165" s="72">
        <f t="shared" si="49"/>
        <v>0.59999999999997833</v>
      </c>
      <c r="X165" s="196">
        <f t="shared" si="50"/>
        <v>0.60000000000002274</v>
      </c>
      <c r="Y165" s="196">
        <f t="shared" si="51"/>
        <v>-0.29999999999992255</v>
      </c>
      <c r="Z165" s="72">
        <f t="shared" si="52"/>
        <v>0.60000000000002274</v>
      </c>
      <c r="AA165" s="72">
        <f t="shared" si="53"/>
        <v>0.39999999999995595</v>
      </c>
      <c r="AB165" s="321">
        <f t="shared" si="54"/>
        <v>5.3999999999999826</v>
      </c>
      <c r="AC165" s="72">
        <f t="shared" si="55"/>
        <v>5.3000000000000824</v>
      </c>
      <c r="AD165" s="72">
        <f t="shared" si="56"/>
        <v>1.8999999999999684</v>
      </c>
      <c r="AE165" s="72">
        <f t="shared" si="57"/>
        <v>4.9999999999999822</v>
      </c>
      <c r="AF165" s="72">
        <f t="shared" si="58"/>
        <v>2.3000000000000131</v>
      </c>
      <c r="AG165" s="72">
        <f t="shared" si="59"/>
        <v>4.8000000000000043</v>
      </c>
      <c r="AH165" s="196">
        <f t="shared" si="60"/>
        <v>1.4000000000000234</v>
      </c>
      <c r="AI165" s="196">
        <f t="shared" si="61"/>
        <v>2.0999999999999908</v>
      </c>
      <c r="AJ165" s="72">
        <f t="shared" si="62"/>
        <v>2.8000000000000025</v>
      </c>
      <c r="AK165" s="72">
        <f t="shared" si="63"/>
        <v>2.8000000000000025</v>
      </c>
      <c r="AM165" s="35"/>
      <c r="AN165" s="35"/>
    </row>
    <row r="166" spans="1:40" x14ac:dyDescent="0.3">
      <c r="A166" s="35">
        <v>46093</v>
      </c>
      <c r="B166" s="847" t="s">
        <v>883</v>
      </c>
      <c r="C166">
        <v>4.2</v>
      </c>
      <c r="E166">
        <f t="shared" si="43"/>
        <v>1</v>
      </c>
      <c r="F166" s="11">
        <v>164</v>
      </c>
      <c r="G166" s="179">
        <v>46009</v>
      </c>
      <c r="H166" s="847">
        <v>4.0019999999999998</v>
      </c>
      <c r="I166" s="847">
        <v>4.0759999999999996</v>
      </c>
      <c r="J166" s="847">
        <v>2.9129999999999998</v>
      </c>
      <c r="K166" s="847">
        <v>4.077</v>
      </c>
      <c r="L166" s="847">
        <v>2.9670000000000001</v>
      </c>
      <c r="M166" s="847">
        <v>4.1340000000000003</v>
      </c>
      <c r="N166" s="847">
        <v>3.0230000000000001</v>
      </c>
      <c r="O166" s="847">
        <v>3.1219999999999999</v>
      </c>
      <c r="P166" s="847">
        <v>3.2210000000000001</v>
      </c>
      <c r="Q166" s="847">
        <v>3.4860000000000002</v>
      </c>
      <c r="R166" s="321">
        <f t="shared" si="44"/>
        <v>0</v>
      </c>
      <c r="S166" s="72">
        <f t="shared" si="45"/>
        <v>0.8999999999999897</v>
      </c>
      <c r="T166" s="72">
        <f t="shared" si="46"/>
        <v>0.80000000000000071</v>
      </c>
      <c r="U166" s="72">
        <f t="shared" si="47"/>
        <v>0.40000000000000036</v>
      </c>
      <c r="V166" s="72">
        <f t="shared" si="48"/>
        <v>0</v>
      </c>
      <c r="W166" s="72">
        <f t="shared" si="49"/>
        <v>0.50000000000003375</v>
      </c>
      <c r="X166" s="196">
        <f t="shared" si="50"/>
        <v>1.6999999999999904</v>
      </c>
      <c r="Y166" s="196">
        <f t="shared" si="51"/>
        <v>1.899999999999924</v>
      </c>
      <c r="Z166" s="72">
        <f t="shared" si="52"/>
        <v>0</v>
      </c>
      <c r="AA166" s="72">
        <f t="shared" si="53"/>
        <v>0</v>
      </c>
      <c r="AB166" s="321">
        <f t="shared" si="54"/>
        <v>6.4999999999999947</v>
      </c>
      <c r="AC166" s="72">
        <f t="shared" si="55"/>
        <v>7.299999999999951</v>
      </c>
      <c r="AD166" s="72">
        <f t="shared" si="56"/>
        <v>3.2000000000000028</v>
      </c>
      <c r="AE166" s="72">
        <f t="shared" si="57"/>
        <v>4.8000000000000043</v>
      </c>
      <c r="AF166" s="72">
        <f t="shared" si="58"/>
        <v>4.4000000000000039</v>
      </c>
      <c r="AG166" s="72">
        <f t="shared" si="59"/>
        <v>4.8000000000000043</v>
      </c>
      <c r="AH166" s="196">
        <f t="shared" si="60"/>
        <v>2.7000000000000135</v>
      </c>
      <c r="AI166" s="196">
        <f t="shared" si="61"/>
        <v>2.4000000000000021</v>
      </c>
      <c r="AJ166" s="72">
        <f t="shared" si="62"/>
        <v>2.0999999999999908</v>
      </c>
      <c r="AK166" s="72">
        <f t="shared" si="63"/>
        <v>4.1000000000000369</v>
      </c>
      <c r="AM166" s="35"/>
      <c r="AN166" s="35"/>
    </row>
    <row r="167" spans="1:40" x14ac:dyDescent="0.3">
      <c r="A167" s="35">
        <v>46094</v>
      </c>
      <c r="B167" s="847" t="s">
        <v>883</v>
      </c>
      <c r="C167">
        <v>4.1929999999999996</v>
      </c>
      <c r="E167">
        <f t="shared" si="43"/>
        <v>1</v>
      </c>
      <c r="F167" s="11">
        <v>165</v>
      </c>
      <c r="G167" s="179">
        <v>46008</v>
      </c>
      <c r="H167" s="847">
        <v>3.9849999999999999</v>
      </c>
      <c r="I167" s="847">
        <v>4.0570000000000004</v>
      </c>
      <c r="J167" s="847">
        <v>2.9129999999999998</v>
      </c>
      <c r="K167" s="847">
        <v>4.077</v>
      </c>
      <c r="L167" s="847">
        <v>2.9580000000000002</v>
      </c>
      <c r="M167" s="847">
        <v>4.1340000000000003</v>
      </c>
      <c r="N167" s="847">
        <v>3.0150000000000001</v>
      </c>
      <c r="O167" s="847">
        <v>3.1179999999999999</v>
      </c>
      <c r="P167" s="847">
        <v>3.2210000000000001</v>
      </c>
      <c r="Q167" s="847">
        <v>3.4809999999999999</v>
      </c>
      <c r="R167" s="321">
        <f t="shared" si="44"/>
        <v>0</v>
      </c>
      <c r="S167" s="72">
        <f t="shared" si="45"/>
        <v>0</v>
      </c>
      <c r="T167" s="72">
        <f t="shared" si="46"/>
        <v>0</v>
      </c>
      <c r="U167" s="72">
        <f t="shared" si="47"/>
        <v>-0.30000000000001137</v>
      </c>
      <c r="V167" s="72">
        <f t="shared" si="48"/>
        <v>-0.70000000000001172</v>
      </c>
      <c r="W167" s="72">
        <f t="shared" si="49"/>
        <v>-0.40000000000000036</v>
      </c>
      <c r="X167" s="196">
        <f t="shared" si="50"/>
        <v>-0.20000000000002238</v>
      </c>
      <c r="Y167" s="196">
        <f t="shared" si="51"/>
        <v>0</v>
      </c>
      <c r="Z167" s="72">
        <f t="shared" si="52"/>
        <v>0</v>
      </c>
      <c r="AA167" s="72">
        <f t="shared" si="53"/>
        <v>0</v>
      </c>
      <c r="AB167" s="321">
        <f t="shared" si="54"/>
        <v>4.0000000000000036</v>
      </c>
      <c r="AC167" s="72">
        <f t="shared" si="55"/>
        <v>5.9000000000000163</v>
      </c>
      <c r="AD167" s="72">
        <f t="shared" si="56"/>
        <v>3.6000000000000032</v>
      </c>
      <c r="AE167" s="72">
        <f t="shared" si="57"/>
        <v>6.7000000000000171</v>
      </c>
      <c r="AF167" s="72">
        <f t="shared" si="58"/>
        <v>4.3000000000000149</v>
      </c>
      <c r="AG167" s="72">
        <f t="shared" si="59"/>
        <v>6.2000000000000277</v>
      </c>
      <c r="AH167" s="196">
        <f t="shared" si="60"/>
        <v>2.7000000000000135</v>
      </c>
      <c r="AI167" s="196">
        <f t="shared" si="61"/>
        <v>2.8000000000000025</v>
      </c>
      <c r="AJ167" s="72">
        <f t="shared" si="62"/>
        <v>2.8000000000000025</v>
      </c>
      <c r="AK167" s="72">
        <f t="shared" si="63"/>
        <v>3.6000000000000032</v>
      </c>
      <c r="AM167" s="35"/>
      <c r="AN167" s="35"/>
    </row>
    <row r="168" spans="1:40" x14ac:dyDescent="0.3">
      <c r="A168" s="35">
        <v>46097</v>
      </c>
      <c r="B168" s="847" t="s">
        <v>883</v>
      </c>
      <c r="C168">
        <v>4.1980000000000004</v>
      </c>
      <c r="E168">
        <f t="shared" si="43"/>
        <v>1</v>
      </c>
      <c r="F168" s="11">
        <v>166</v>
      </c>
      <c r="G168" s="179">
        <v>46007</v>
      </c>
      <c r="H168" s="847">
        <v>3.9870000000000001</v>
      </c>
      <c r="I168" s="847">
        <v>4.0570000000000004</v>
      </c>
      <c r="J168" s="847">
        <v>2.9129999999999998</v>
      </c>
      <c r="K168" s="847">
        <v>4.077</v>
      </c>
      <c r="L168" s="847">
        <v>2.9580000000000002</v>
      </c>
      <c r="M168" s="847">
        <v>4.1340000000000003</v>
      </c>
      <c r="N168" s="847">
        <v>3.0150000000000001</v>
      </c>
      <c r="O168" s="847">
        <v>3.121</v>
      </c>
      <c r="P168" s="847">
        <v>3.2280000000000002</v>
      </c>
      <c r="Q168" s="847">
        <v>3.4849999999999999</v>
      </c>
      <c r="R168" s="321">
        <f t="shared" si="44"/>
        <v>0.8999999999999897</v>
      </c>
      <c r="S168" s="72">
        <f t="shared" si="45"/>
        <v>0.80000000000000071</v>
      </c>
      <c r="T168" s="72">
        <f t="shared" si="46"/>
        <v>0</v>
      </c>
      <c r="U168" s="72">
        <f t="shared" si="47"/>
        <v>0.70000000000001172</v>
      </c>
      <c r="V168" s="72">
        <f t="shared" si="48"/>
        <v>1.4000000000000234</v>
      </c>
      <c r="W168" s="72">
        <f t="shared" si="49"/>
        <v>0.59999999999997833</v>
      </c>
      <c r="X168" s="196">
        <f t="shared" si="50"/>
        <v>0.40000000000000036</v>
      </c>
      <c r="Y168" s="196">
        <f t="shared" si="51"/>
        <v>0</v>
      </c>
      <c r="Z168" s="72">
        <f t="shared" si="52"/>
        <v>0</v>
      </c>
      <c r="AA168" s="72">
        <f t="shared" si="53"/>
        <v>0</v>
      </c>
      <c r="AB168" s="321">
        <f t="shared" si="54"/>
        <v>6.0999999999999943</v>
      </c>
      <c r="AC168" s="72">
        <f t="shared" si="55"/>
        <v>7.4000000000000288</v>
      </c>
      <c r="AD168" s="72">
        <f t="shared" si="56"/>
        <v>3.9999999999999591</v>
      </c>
      <c r="AE168" s="72">
        <f t="shared" si="57"/>
        <v>7.8999999999999737</v>
      </c>
      <c r="AF168" s="72">
        <f t="shared" si="58"/>
        <v>4.8000000000000043</v>
      </c>
      <c r="AG168" s="72">
        <f t="shared" si="59"/>
        <v>7.5000000000000178</v>
      </c>
      <c r="AH168" s="196">
        <f t="shared" si="60"/>
        <v>3.2000000000000028</v>
      </c>
      <c r="AI168" s="196">
        <f t="shared" si="61"/>
        <v>3.2999999999999918</v>
      </c>
      <c r="AJ168" s="72">
        <f t="shared" si="62"/>
        <v>3.5000000000000142</v>
      </c>
      <c r="AK168" s="72">
        <f t="shared" si="63"/>
        <v>4.2999999999999705</v>
      </c>
      <c r="AM168" s="35"/>
      <c r="AN168" s="35"/>
    </row>
    <row r="169" spans="1:40" x14ac:dyDescent="0.3">
      <c r="A169" s="35">
        <v>46098</v>
      </c>
      <c r="B169" s="847" t="s">
        <v>883</v>
      </c>
      <c r="C169">
        <v>4.1950000000000003</v>
      </c>
      <c r="E169">
        <f t="shared" si="43"/>
        <v>3</v>
      </c>
      <c r="F169" s="11">
        <v>167</v>
      </c>
      <c r="G169" s="179">
        <v>46006</v>
      </c>
      <c r="H169" s="847">
        <v>3.9830000000000001</v>
      </c>
      <c r="I169" s="847">
        <v>4.0570000000000004</v>
      </c>
      <c r="J169" s="847">
        <v>2.9039999999999999</v>
      </c>
      <c r="K169" s="847">
        <v>4.077</v>
      </c>
      <c r="L169" s="847">
        <v>2.95</v>
      </c>
      <c r="M169" s="847">
        <v>4.1340000000000003</v>
      </c>
      <c r="N169" s="847">
        <v>3.0150000000000001</v>
      </c>
      <c r="O169" s="847">
        <v>3.1139999999999999</v>
      </c>
      <c r="P169" s="847">
        <v>3.214</v>
      </c>
      <c r="Q169" s="847">
        <v>3.4790000000000001</v>
      </c>
      <c r="R169" s="321">
        <f t="shared" si="44"/>
        <v>-0.40000000000000036</v>
      </c>
      <c r="S169" s="72">
        <f t="shared" si="45"/>
        <v>-0.80000000000000071</v>
      </c>
      <c r="T169" s="72">
        <f t="shared" si="46"/>
        <v>-0.80000000000000071</v>
      </c>
      <c r="U169" s="72">
        <f t="shared" si="47"/>
        <v>-0.40000000000000036</v>
      </c>
      <c r="V169" s="72">
        <f t="shared" si="48"/>
        <v>0</v>
      </c>
      <c r="W169" s="72">
        <f t="shared" si="49"/>
        <v>0.49999999999998934</v>
      </c>
      <c r="X169" s="196">
        <f t="shared" si="50"/>
        <v>0.30000000000001137</v>
      </c>
      <c r="Y169" s="196">
        <f t="shared" si="51"/>
        <v>0</v>
      </c>
      <c r="Z169" s="72">
        <f t="shared" si="52"/>
        <v>0</v>
      </c>
      <c r="AA169" s="72">
        <f t="shared" si="53"/>
        <v>0.40000000000004476</v>
      </c>
      <c r="AB169" s="321">
        <f t="shared" si="54"/>
        <v>7.2000000000000064</v>
      </c>
      <c r="AC169" s="72">
        <f t="shared" si="55"/>
        <v>7.9000000000000181</v>
      </c>
      <c r="AD169" s="72">
        <f t="shared" si="56"/>
        <v>3.8999999999999702</v>
      </c>
      <c r="AE169" s="72">
        <f t="shared" si="57"/>
        <v>8.4000000000000075</v>
      </c>
      <c r="AF169" s="72">
        <f t="shared" si="58"/>
        <v>4.8000000000000043</v>
      </c>
      <c r="AG169" s="72">
        <f t="shared" si="59"/>
        <v>8.3000000000000185</v>
      </c>
      <c r="AH169" s="196">
        <f t="shared" si="60"/>
        <v>4.0000000000000036</v>
      </c>
      <c r="AI169" s="196">
        <f t="shared" si="61"/>
        <v>3.3999999999999808</v>
      </c>
      <c r="AJ169" s="72">
        <f t="shared" si="62"/>
        <v>2.8000000000000025</v>
      </c>
      <c r="AK169" s="72">
        <f t="shared" si="63"/>
        <v>3.6999999999999922</v>
      </c>
      <c r="AM169" s="35"/>
      <c r="AN169" s="35"/>
    </row>
    <row r="170" spans="1:40" x14ac:dyDescent="0.3">
      <c r="A170" s="35">
        <v>46099</v>
      </c>
      <c r="B170" s="847" t="s">
        <v>883</v>
      </c>
      <c r="C170">
        <v>4.1980000000000004</v>
      </c>
      <c r="E170">
        <f t="shared" si="43"/>
        <v>1</v>
      </c>
      <c r="F170" s="11">
        <v>168</v>
      </c>
      <c r="G170" s="179">
        <v>46003</v>
      </c>
      <c r="H170" s="847">
        <v>3.98</v>
      </c>
      <c r="I170" s="847">
        <v>4.0570000000000004</v>
      </c>
      <c r="J170" s="847">
        <v>2.9079999999999999</v>
      </c>
      <c r="K170" s="847">
        <v>4.077</v>
      </c>
      <c r="L170" s="847">
        <v>2.9580000000000002</v>
      </c>
      <c r="M170" s="847">
        <v>4.13</v>
      </c>
      <c r="N170" s="847">
        <v>3.0230000000000001</v>
      </c>
      <c r="O170" s="847">
        <v>3.1179999999999999</v>
      </c>
      <c r="P170" s="847">
        <v>3.214</v>
      </c>
      <c r="Q170" s="847">
        <v>3.4740000000000002</v>
      </c>
      <c r="R170" s="321">
        <f t="shared" si="44"/>
        <v>0</v>
      </c>
      <c r="S170" s="72">
        <f t="shared" si="45"/>
        <v>0</v>
      </c>
      <c r="T170" s="72">
        <f t="shared" si="46"/>
        <v>0</v>
      </c>
      <c r="U170" s="72">
        <f t="shared" si="47"/>
        <v>0</v>
      </c>
      <c r="V170" s="72">
        <f t="shared" si="48"/>
        <v>0</v>
      </c>
      <c r="W170" s="72">
        <f t="shared" si="49"/>
        <v>0.20000000000002238</v>
      </c>
      <c r="X170" s="196">
        <f t="shared" si="50"/>
        <v>-0.30000000000001137</v>
      </c>
      <c r="Y170" s="196">
        <f t="shared" si="51"/>
        <v>0.50000000000007816</v>
      </c>
      <c r="Z170" s="72">
        <f t="shared" si="52"/>
        <v>1.2999999999999901</v>
      </c>
      <c r="AA170" s="72">
        <f t="shared" si="53"/>
        <v>1.1999999999999567</v>
      </c>
      <c r="AB170" s="321">
        <f t="shared" si="54"/>
        <v>8.8000000000000078</v>
      </c>
      <c r="AC170" s="72">
        <f t="shared" si="55"/>
        <v>9.0000000000000302</v>
      </c>
      <c r="AD170" s="72">
        <f t="shared" si="56"/>
        <v>4.8000000000000043</v>
      </c>
      <c r="AE170" s="72">
        <f t="shared" si="57"/>
        <v>9.3999999999999861</v>
      </c>
      <c r="AF170" s="72">
        <f t="shared" si="58"/>
        <v>6.0000000000000053</v>
      </c>
      <c r="AG170" s="72">
        <f t="shared" si="59"/>
        <v>8.8999999999999524</v>
      </c>
      <c r="AH170" s="196">
        <f t="shared" si="60"/>
        <v>5.2000000000000046</v>
      </c>
      <c r="AI170" s="196">
        <f t="shared" si="61"/>
        <v>4.0000000000000036</v>
      </c>
      <c r="AJ170" s="72">
        <f t="shared" si="62"/>
        <v>2.8000000000000025</v>
      </c>
      <c r="AK170" s="72">
        <f t="shared" si="63"/>
        <v>3.8000000000000256</v>
      </c>
      <c r="AM170" s="35"/>
      <c r="AN170" s="35"/>
    </row>
    <row r="171" spans="1:40" x14ac:dyDescent="0.3">
      <c r="A171" s="35">
        <v>46100</v>
      </c>
      <c r="B171" s="847" t="s">
        <v>883</v>
      </c>
      <c r="C171">
        <v>4.1950000000000003</v>
      </c>
      <c r="E171">
        <f t="shared" si="43"/>
        <v>1</v>
      </c>
      <c r="F171" s="11">
        <v>169</v>
      </c>
      <c r="G171" s="179">
        <v>46002</v>
      </c>
      <c r="H171" s="847">
        <v>3.9830000000000001</v>
      </c>
      <c r="I171" s="847">
        <v>4.0519999999999996</v>
      </c>
      <c r="J171" s="847">
        <v>2.9079999999999999</v>
      </c>
      <c r="K171" s="847">
        <v>4.0640000000000001</v>
      </c>
      <c r="L171" s="847">
        <v>2.9580000000000002</v>
      </c>
      <c r="M171" s="847">
        <v>4.1180000000000003</v>
      </c>
      <c r="N171" s="847">
        <v>3.0230000000000001</v>
      </c>
      <c r="O171" s="847">
        <v>3.1179999999999999</v>
      </c>
      <c r="P171" s="847">
        <v>3.214</v>
      </c>
      <c r="Q171" s="847">
        <v>3.472</v>
      </c>
      <c r="R171" s="321">
        <f t="shared" si="44"/>
        <v>0</v>
      </c>
      <c r="S171" s="72">
        <f t="shared" si="45"/>
        <v>0</v>
      </c>
      <c r="T171" s="72">
        <f t="shared" si="46"/>
        <v>0</v>
      </c>
      <c r="U171" s="72">
        <f t="shared" si="47"/>
        <v>0.49999999999998934</v>
      </c>
      <c r="V171" s="72">
        <f t="shared" si="48"/>
        <v>0.99999999999997868</v>
      </c>
      <c r="W171" s="72">
        <f t="shared" si="49"/>
        <v>0.59999999999997833</v>
      </c>
      <c r="X171" s="196">
        <f t="shared" si="50"/>
        <v>2.7000000000000135</v>
      </c>
      <c r="Y171" s="196">
        <f t="shared" si="51"/>
        <v>2.1999999999999353</v>
      </c>
      <c r="Z171" s="72">
        <f t="shared" si="52"/>
        <v>1.2000000000000455</v>
      </c>
      <c r="AA171" s="72">
        <f t="shared" si="53"/>
        <v>1.2999999999999901</v>
      </c>
      <c r="AB171" s="321">
        <f t="shared" si="54"/>
        <v>8.7000000000000188</v>
      </c>
      <c r="AC171" s="72">
        <f t="shared" si="55"/>
        <v>9.7999999999999421</v>
      </c>
      <c r="AD171" s="72">
        <f t="shared" si="56"/>
        <v>4.8000000000000043</v>
      </c>
      <c r="AE171" s="72">
        <f t="shared" si="57"/>
        <v>8.0999999999999961</v>
      </c>
      <c r="AF171" s="72">
        <f t="shared" si="58"/>
        <v>6.0000000000000053</v>
      </c>
      <c r="AG171" s="72">
        <f t="shared" si="59"/>
        <v>7.6999999999999957</v>
      </c>
      <c r="AH171" s="196">
        <f t="shared" si="60"/>
        <v>5.2000000000000046</v>
      </c>
      <c r="AI171" s="196">
        <f t="shared" si="61"/>
        <v>4.0000000000000036</v>
      </c>
      <c r="AJ171" s="72">
        <f t="shared" si="62"/>
        <v>2.8000000000000025</v>
      </c>
      <c r="AK171" s="72">
        <f t="shared" si="63"/>
        <v>3.6000000000000032</v>
      </c>
      <c r="AM171" s="35"/>
      <c r="AN171" s="35"/>
    </row>
    <row r="172" spans="1:40" x14ac:dyDescent="0.3">
      <c r="A172" s="35">
        <v>46101</v>
      </c>
      <c r="B172" s="847" t="s">
        <v>883</v>
      </c>
      <c r="C172">
        <v>4.2039999999999997</v>
      </c>
      <c r="E172">
        <f t="shared" si="43"/>
        <v>1</v>
      </c>
      <c r="F172" s="11">
        <v>170</v>
      </c>
      <c r="G172" s="179">
        <v>46001</v>
      </c>
      <c r="H172" s="847">
        <v>3.956</v>
      </c>
      <c r="I172" s="847">
        <v>4.03</v>
      </c>
      <c r="J172" s="847">
        <v>2.9079999999999999</v>
      </c>
      <c r="K172" s="847">
        <v>4.0519999999999996</v>
      </c>
      <c r="L172" s="847">
        <v>2.9580000000000002</v>
      </c>
      <c r="M172" s="847">
        <v>4.1050000000000004</v>
      </c>
      <c r="N172" s="847">
        <v>3.0230000000000001</v>
      </c>
      <c r="O172" s="847">
        <v>3.113</v>
      </c>
      <c r="P172" s="847">
        <v>3.2040000000000002</v>
      </c>
      <c r="Q172" s="847">
        <v>3.4660000000000002</v>
      </c>
      <c r="R172" s="321">
        <f t="shared" si="44"/>
        <v>0</v>
      </c>
      <c r="S172" s="72">
        <f t="shared" si="45"/>
        <v>0</v>
      </c>
      <c r="T172" s="72">
        <f t="shared" si="46"/>
        <v>0</v>
      </c>
      <c r="U172" s="72">
        <f t="shared" si="47"/>
        <v>0</v>
      </c>
      <c r="V172" s="72">
        <f t="shared" si="48"/>
        <v>0</v>
      </c>
      <c r="W172" s="72">
        <f t="shared" si="49"/>
        <v>0</v>
      </c>
      <c r="X172" s="196">
        <f t="shared" si="50"/>
        <v>0</v>
      </c>
      <c r="Y172" s="196">
        <f t="shared" si="51"/>
        <v>0</v>
      </c>
      <c r="Z172" s="72">
        <f t="shared" si="52"/>
        <v>0.39999999999995595</v>
      </c>
      <c r="AA172" s="72">
        <f t="shared" si="53"/>
        <v>0.40000000000004476</v>
      </c>
      <c r="AB172" s="321">
        <f t="shared" si="54"/>
        <v>9.0999999999999748</v>
      </c>
      <c r="AC172" s="72">
        <f t="shared" si="55"/>
        <v>8.1000000000000405</v>
      </c>
      <c r="AD172" s="72">
        <f t="shared" si="56"/>
        <v>4.8000000000000043</v>
      </c>
      <c r="AE172" s="72">
        <f t="shared" si="57"/>
        <v>6.8999999999999506</v>
      </c>
      <c r="AF172" s="72">
        <f t="shared" si="58"/>
        <v>6.0000000000000053</v>
      </c>
      <c r="AG172" s="72">
        <f t="shared" si="59"/>
        <v>6.4000000000000057</v>
      </c>
      <c r="AH172" s="196">
        <f t="shared" si="60"/>
        <v>5.2000000000000046</v>
      </c>
      <c r="AI172" s="196">
        <f t="shared" si="61"/>
        <v>3.5000000000000142</v>
      </c>
      <c r="AJ172" s="72">
        <f t="shared" si="62"/>
        <v>1.8000000000000238</v>
      </c>
      <c r="AK172" s="72">
        <f t="shared" si="63"/>
        <v>3.0000000000000249</v>
      </c>
      <c r="AM172" s="35"/>
      <c r="AN172" s="35"/>
    </row>
    <row r="173" spans="1:40" x14ac:dyDescent="0.3">
      <c r="A173" s="35">
        <v>46104</v>
      </c>
      <c r="B173" s="847" t="s">
        <v>883</v>
      </c>
      <c r="C173">
        <v>4.1980000000000004</v>
      </c>
      <c r="E173">
        <f t="shared" si="43"/>
        <v>1</v>
      </c>
      <c r="F173" s="11">
        <v>171</v>
      </c>
      <c r="G173" s="179">
        <v>46000</v>
      </c>
      <c r="H173" s="847">
        <v>3.956</v>
      </c>
      <c r="I173" s="847">
        <v>4.03</v>
      </c>
      <c r="J173" s="847">
        <v>2.9079999999999999</v>
      </c>
      <c r="K173" s="847">
        <v>4.048</v>
      </c>
      <c r="L173" s="847">
        <v>2.9580000000000002</v>
      </c>
      <c r="M173" s="847">
        <v>4.101</v>
      </c>
      <c r="N173" s="847">
        <v>3.0230000000000001</v>
      </c>
      <c r="O173" s="847">
        <v>3.113</v>
      </c>
      <c r="P173" s="847">
        <v>3.2040000000000002</v>
      </c>
      <c r="Q173" s="847">
        <v>3.4660000000000002</v>
      </c>
      <c r="R173" s="321">
        <f t="shared" si="44"/>
        <v>0</v>
      </c>
      <c r="S173" s="72">
        <f t="shared" si="45"/>
        <v>0</v>
      </c>
      <c r="T173" s="72">
        <f t="shared" si="46"/>
        <v>0</v>
      </c>
      <c r="U173" s="72">
        <f t="shared" si="47"/>
        <v>0</v>
      </c>
      <c r="V173" s="72">
        <f t="shared" si="48"/>
        <v>0</v>
      </c>
      <c r="W173" s="72">
        <f t="shared" si="49"/>
        <v>0</v>
      </c>
      <c r="X173" s="196">
        <f t="shared" si="50"/>
        <v>0</v>
      </c>
      <c r="Y173" s="196">
        <f t="shared" si="51"/>
        <v>0.49999999999998934</v>
      </c>
      <c r="Z173" s="72">
        <f t="shared" si="52"/>
        <v>0.69999999999996732</v>
      </c>
      <c r="AA173" s="72">
        <f t="shared" si="53"/>
        <v>0.60000000000002274</v>
      </c>
      <c r="AB173" s="321">
        <f t="shared" si="54"/>
        <v>8.0000000000000071</v>
      </c>
      <c r="AC173" s="72">
        <f t="shared" si="55"/>
        <v>8.1000000000000405</v>
      </c>
      <c r="AD173" s="72">
        <f t="shared" si="56"/>
        <v>4.8000000000000043</v>
      </c>
      <c r="AE173" s="72">
        <f t="shared" si="57"/>
        <v>6.4999999999999947</v>
      </c>
      <c r="AF173" s="72">
        <f t="shared" si="58"/>
        <v>6.0000000000000053</v>
      </c>
      <c r="AG173" s="72">
        <f t="shared" si="59"/>
        <v>5.9999999999999609</v>
      </c>
      <c r="AH173" s="196">
        <f t="shared" si="60"/>
        <v>5.2000000000000046</v>
      </c>
      <c r="AI173" s="196">
        <f t="shared" si="61"/>
        <v>3.5000000000000142</v>
      </c>
      <c r="AJ173" s="72">
        <f t="shared" si="62"/>
        <v>1.8000000000000238</v>
      </c>
      <c r="AK173" s="72">
        <f t="shared" si="63"/>
        <v>3.0000000000000249</v>
      </c>
      <c r="AM173" s="35"/>
      <c r="AN173" s="35"/>
    </row>
    <row r="174" spans="1:40" x14ac:dyDescent="0.3">
      <c r="A174" s="35">
        <v>46105</v>
      </c>
      <c r="B174" s="847" t="s">
        <v>883</v>
      </c>
      <c r="C174">
        <v>4.2060000000000004</v>
      </c>
      <c r="E174">
        <f t="shared" si="43"/>
        <v>3</v>
      </c>
      <c r="F174" s="11">
        <v>172</v>
      </c>
      <c r="G174" s="179">
        <v>45999</v>
      </c>
      <c r="H174" s="847">
        <v>3.956</v>
      </c>
      <c r="I174" s="847">
        <v>4.0250000000000004</v>
      </c>
      <c r="J174" s="847">
        <v>2.9079999999999999</v>
      </c>
      <c r="K174" s="847">
        <v>4.0410000000000004</v>
      </c>
      <c r="L174" s="847">
        <v>2.9580000000000002</v>
      </c>
      <c r="M174" s="847">
        <v>4.0949999999999998</v>
      </c>
      <c r="N174" s="847">
        <v>3.0230000000000001</v>
      </c>
      <c r="O174" s="847">
        <v>3.113</v>
      </c>
      <c r="P174" s="847">
        <v>3.2040000000000002</v>
      </c>
      <c r="Q174" s="847">
        <v>3.4660000000000002</v>
      </c>
      <c r="R174" s="321">
        <f t="shared" si="44"/>
        <v>0.99999999999997868</v>
      </c>
      <c r="S174" s="72">
        <f t="shared" si="45"/>
        <v>1.0000000000000231</v>
      </c>
      <c r="T174" s="72">
        <f t="shared" si="46"/>
        <v>1.0000000000000231</v>
      </c>
      <c r="U174" s="72">
        <f t="shared" si="47"/>
        <v>0.70000000000001172</v>
      </c>
      <c r="V174" s="72">
        <f t="shared" si="48"/>
        <v>0.40000000000000036</v>
      </c>
      <c r="W174" s="72">
        <f t="shared" si="49"/>
        <v>0.20000000000002238</v>
      </c>
      <c r="X174" s="196">
        <f t="shared" si="50"/>
        <v>0.19999999999997797</v>
      </c>
      <c r="Y174" s="196">
        <f t="shared" si="51"/>
        <v>0.50000000000007816</v>
      </c>
      <c r="Z174" s="72">
        <f t="shared" si="52"/>
        <v>0.80000000000000071</v>
      </c>
      <c r="AA174" s="72">
        <f t="shared" si="53"/>
        <v>0.49999999999998934</v>
      </c>
      <c r="AB174" s="321">
        <f t="shared" si="54"/>
        <v>7.7999999999999847</v>
      </c>
      <c r="AC174" s="72">
        <f t="shared" si="55"/>
        <v>7.6000000000000512</v>
      </c>
      <c r="AD174" s="72">
        <f t="shared" si="56"/>
        <v>4.8000000000000043</v>
      </c>
      <c r="AE174" s="72">
        <f t="shared" si="57"/>
        <v>5.8000000000000274</v>
      </c>
      <c r="AF174" s="72">
        <f t="shared" si="58"/>
        <v>6.0000000000000053</v>
      </c>
      <c r="AG174" s="72">
        <f t="shared" si="59"/>
        <v>5.3999999999999382</v>
      </c>
      <c r="AH174" s="196">
        <f t="shared" si="60"/>
        <v>5.2000000000000046</v>
      </c>
      <c r="AI174" s="196">
        <f t="shared" si="61"/>
        <v>3.5000000000000142</v>
      </c>
      <c r="AJ174" s="72">
        <f t="shared" si="62"/>
        <v>1.8000000000000238</v>
      </c>
      <c r="AK174" s="72">
        <f t="shared" si="63"/>
        <v>3.0000000000000249</v>
      </c>
      <c r="AM174" s="35"/>
      <c r="AN174" s="35"/>
    </row>
    <row r="175" spans="1:40" x14ac:dyDescent="0.3">
      <c r="A175" s="35">
        <v>46106</v>
      </c>
      <c r="B175" s="847" t="s">
        <v>883</v>
      </c>
      <c r="C175">
        <v>4.2</v>
      </c>
      <c r="E175">
        <f t="shared" si="43"/>
        <v>1</v>
      </c>
      <c r="F175" s="11">
        <v>173</v>
      </c>
      <c r="G175" s="179">
        <v>45996</v>
      </c>
      <c r="H175" s="847">
        <v>3.9540000000000002</v>
      </c>
      <c r="I175" s="847">
        <v>4.0199999999999996</v>
      </c>
      <c r="J175" s="847">
        <v>2.8980000000000001</v>
      </c>
      <c r="K175" s="847">
        <v>4.0330000000000004</v>
      </c>
      <c r="L175" s="847">
        <v>2.948</v>
      </c>
      <c r="M175" s="847">
        <v>4.09</v>
      </c>
      <c r="N175" s="847">
        <v>3.0129999999999999</v>
      </c>
      <c r="O175" s="847">
        <v>3.1059999999999999</v>
      </c>
      <c r="P175" s="847">
        <v>3.2</v>
      </c>
      <c r="Q175" s="847">
        <v>3.464</v>
      </c>
      <c r="R175" s="321">
        <f t="shared" si="44"/>
        <v>1.7000000000000348</v>
      </c>
      <c r="S175" s="72">
        <f t="shared" si="45"/>
        <v>2.4999999999999911</v>
      </c>
      <c r="T175" s="72">
        <f t="shared" si="46"/>
        <v>1.6999999999999904</v>
      </c>
      <c r="U175" s="72">
        <f t="shared" si="47"/>
        <v>0.80000000000000071</v>
      </c>
      <c r="V175" s="72">
        <f t="shared" si="48"/>
        <v>0</v>
      </c>
      <c r="W175" s="72">
        <f t="shared" si="49"/>
        <v>1.9000000000000128</v>
      </c>
      <c r="X175" s="196">
        <f t="shared" si="50"/>
        <v>1.7000000000000348</v>
      </c>
      <c r="Y175" s="196">
        <f t="shared" si="51"/>
        <v>1.699999999999946</v>
      </c>
      <c r="Z175" s="72">
        <f t="shared" si="52"/>
        <v>0.40000000000004476</v>
      </c>
      <c r="AA175" s="72">
        <f t="shared" si="53"/>
        <v>0.39999999999995595</v>
      </c>
      <c r="AB175" s="321">
        <f t="shared" si="54"/>
        <v>9.4000000000000306</v>
      </c>
      <c r="AC175" s="72">
        <f t="shared" si="55"/>
        <v>7.099999999999973</v>
      </c>
      <c r="AD175" s="72">
        <f t="shared" si="56"/>
        <v>3.8000000000000256</v>
      </c>
      <c r="AE175" s="72">
        <f t="shared" si="57"/>
        <v>5.0000000000000266</v>
      </c>
      <c r="AF175" s="72">
        <f t="shared" si="58"/>
        <v>4.9999999999999822</v>
      </c>
      <c r="AG175" s="72">
        <f t="shared" si="59"/>
        <v>4.8999999999999488</v>
      </c>
      <c r="AH175" s="196">
        <f t="shared" si="60"/>
        <v>4.1999999999999815</v>
      </c>
      <c r="AI175" s="196">
        <f t="shared" si="61"/>
        <v>2.8000000000000025</v>
      </c>
      <c r="AJ175" s="72">
        <f t="shared" si="62"/>
        <v>1.4000000000000234</v>
      </c>
      <c r="AK175" s="72">
        <f t="shared" si="63"/>
        <v>2.8000000000000025</v>
      </c>
      <c r="AM175" s="35"/>
      <c r="AN175" s="35"/>
    </row>
    <row r="176" spans="1:40" x14ac:dyDescent="0.3">
      <c r="A176" s="35">
        <v>46107</v>
      </c>
      <c r="B176" s="847" t="s">
        <v>883</v>
      </c>
      <c r="C176">
        <v>4.2009999999999996</v>
      </c>
      <c r="E176">
        <f t="shared" si="43"/>
        <v>1</v>
      </c>
      <c r="F176" s="11">
        <v>174</v>
      </c>
      <c r="G176" s="179">
        <v>45995</v>
      </c>
      <c r="H176" s="847">
        <v>3.9369999999999998</v>
      </c>
      <c r="I176" s="847">
        <v>4.0030000000000001</v>
      </c>
      <c r="J176" s="847">
        <v>2.8809999999999998</v>
      </c>
      <c r="K176" s="847">
        <v>4.0289999999999999</v>
      </c>
      <c r="L176" s="847">
        <v>2.923</v>
      </c>
      <c r="M176" s="847">
        <v>4.0860000000000003</v>
      </c>
      <c r="N176" s="847">
        <v>2.996</v>
      </c>
      <c r="O176" s="847">
        <v>3.0979999999999999</v>
      </c>
      <c r="P176" s="847">
        <v>3.2</v>
      </c>
      <c r="Q176" s="847">
        <v>3.4449999999999998</v>
      </c>
      <c r="R176" s="321">
        <f t="shared" si="44"/>
        <v>0.40000000000000036</v>
      </c>
      <c r="S176" s="72">
        <f t="shared" si="45"/>
        <v>0.80000000000000071</v>
      </c>
      <c r="T176" s="72">
        <f t="shared" si="46"/>
        <v>0.80000000000000071</v>
      </c>
      <c r="U176" s="72">
        <f t="shared" si="47"/>
        <v>0.80000000000000071</v>
      </c>
      <c r="V176" s="72">
        <f t="shared" si="48"/>
        <v>0.70000000000001172</v>
      </c>
      <c r="W176" s="72">
        <f t="shared" si="49"/>
        <v>0</v>
      </c>
      <c r="X176" s="196">
        <f t="shared" si="50"/>
        <v>-0.80000000000000071</v>
      </c>
      <c r="Y176" s="196">
        <f t="shared" si="51"/>
        <v>0.49999999999998934</v>
      </c>
      <c r="Z176" s="72">
        <f t="shared" si="52"/>
        <v>1.9000000000000128</v>
      </c>
      <c r="AA176" s="72">
        <f t="shared" si="53"/>
        <v>1.4000000000000234</v>
      </c>
      <c r="AB176" s="321">
        <f t="shared" si="54"/>
        <v>5.8999999999999719</v>
      </c>
      <c r="AC176" s="72">
        <f t="shared" si="55"/>
        <v>5.600000000000005</v>
      </c>
      <c r="AD176" s="72">
        <f t="shared" si="56"/>
        <v>2.4999999999999911</v>
      </c>
      <c r="AE176" s="72">
        <f t="shared" si="57"/>
        <v>5.0999999999999712</v>
      </c>
      <c r="AF176" s="72">
        <f t="shared" si="58"/>
        <v>2.8999999999999915</v>
      </c>
      <c r="AG176" s="72">
        <f t="shared" si="59"/>
        <v>4.9000000000000377</v>
      </c>
      <c r="AH176" s="196">
        <f t="shared" si="60"/>
        <v>2.8999999999999915</v>
      </c>
      <c r="AI176" s="196">
        <f t="shared" si="61"/>
        <v>2.1999999999999797</v>
      </c>
      <c r="AJ176" s="72">
        <f t="shared" si="62"/>
        <v>1.4000000000000234</v>
      </c>
      <c r="AK176" s="72">
        <f t="shared" si="63"/>
        <v>0.8999999999999897</v>
      </c>
      <c r="AM176" s="35"/>
      <c r="AN176" s="35"/>
    </row>
    <row r="177" spans="1:40" x14ac:dyDescent="0.3">
      <c r="A177" s="35">
        <v>46108</v>
      </c>
      <c r="B177" s="847" t="s">
        <v>883</v>
      </c>
      <c r="C177">
        <v>4.2130000000000001</v>
      </c>
      <c r="E177">
        <f t="shared" si="43"/>
        <v>1</v>
      </c>
      <c r="F177" s="11">
        <v>175</v>
      </c>
      <c r="G177" s="179">
        <v>45994</v>
      </c>
      <c r="H177" s="847">
        <v>3.9449999999999998</v>
      </c>
      <c r="I177" s="847">
        <v>3.9980000000000002</v>
      </c>
      <c r="J177" s="847">
        <v>2.8769999999999998</v>
      </c>
      <c r="K177" s="847">
        <v>4.01</v>
      </c>
      <c r="L177" s="847">
        <v>2.915</v>
      </c>
      <c r="M177" s="847">
        <v>4.0720000000000001</v>
      </c>
      <c r="N177" s="847">
        <v>2.988</v>
      </c>
      <c r="O177" s="847">
        <v>3.09</v>
      </c>
      <c r="P177" s="847">
        <v>3.1930000000000001</v>
      </c>
      <c r="Q177" s="847">
        <v>3.4449999999999998</v>
      </c>
      <c r="R177" s="321">
        <f t="shared" si="44"/>
        <v>0.39999999999995595</v>
      </c>
      <c r="S177" s="72">
        <f t="shared" si="45"/>
        <v>0.49999999999998934</v>
      </c>
      <c r="T177" s="72">
        <f t="shared" si="46"/>
        <v>0.49999999999998934</v>
      </c>
      <c r="U177" s="72">
        <f t="shared" si="47"/>
        <v>0.19999999999997797</v>
      </c>
      <c r="V177" s="72">
        <f t="shared" si="48"/>
        <v>0</v>
      </c>
      <c r="W177" s="72">
        <f t="shared" si="49"/>
        <v>0.29999999999996696</v>
      </c>
      <c r="X177" s="196">
        <f t="shared" si="50"/>
        <v>1.8999999999999684</v>
      </c>
      <c r="Y177" s="196">
        <f t="shared" si="51"/>
        <v>1.5000000000000124</v>
      </c>
      <c r="Z177" s="72">
        <f t="shared" si="52"/>
        <v>1.1999999999999567</v>
      </c>
      <c r="AA177" s="72">
        <f t="shared" si="53"/>
        <v>1.2999999999999901</v>
      </c>
      <c r="AB177" s="321">
        <f t="shared" si="54"/>
        <v>8.4999999999999964</v>
      </c>
      <c r="AC177" s="72">
        <f t="shared" si="55"/>
        <v>5.0000000000000266</v>
      </c>
      <c r="AD177" s="72">
        <f t="shared" si="56"/>
        <v>3.6999999999999922</v>
      </c>
      <c r="AE177" s="72">
        <f t="shared" si="57"/>
        <v>3.2999999999999918</v>
      </c>
      <c r="AF177" s="72">
        <f t="shared" si="58"/>
        <v>3.8000000000000256</v>
      </c>
      <c r="AG177" s="72">
        <f t="shared" si="59"/>
        <v>3.6999999999999922</v>
      </c>
      <c r="AH177" s="196">
        <f t="shared" si="60"/>
        <v>5.500000000000016</v>
      </c>
      <c r="AI177" s="196">
        <f t="shared" si="61"/>
        <v>3.2000000000000028</v>
      </c>
      <c r="AJ177" s="72">
        <f t="shared" si="62"/>
        <v>1.0000000000000231</v>
      </c>
      <c r="AK177" s="72">
        <f t="shared" si="63"/>
        <v>0.59999999999997833</v>
      </c>
      <c r="AM177" s="35"/>
      <c r="AN177" s="35"/>
    </row>
    <row r="178" spans="1:40" x14ac:dyDescent="0.3">
      <c r="A178" s="35">
        <v>46111</v>
      </c>
      <c r="B178" s="847" t="s">
        <v>883</v>
      </c>
      <c r="C178">
        <v>4.2080000000000002</v>
      </c>
      <c r="E178">
        <f t="shared" si="43"/>
        <v>1</v>
      </c>
      <c r="F178" s="11">
        <v>176</v>
      </c>
      <c r="G178" s="179">
        <v>45993</v>
      </c>
      <c r="H178" s="847">
        <v>3.9260000000000002</v>
      </c>
      <c r="I178" s="847">
        <v>3.9830000000000001</v>
      </c>
      <c r="J178" s="847">
        <v>2.8730000000000002</v>
      </c>
      <c r="K178" s="847">
        <v>3.9980000000000002</v>
      </c>
      <c r="L178" s="847">
        <v>2.91</v>
      </c>
      <c r="M178" s="847">
        <v>4.0590000000000002</v>
      </c>
      <c r="N178" s="847">
        <v>2.9830000000000001</v>
      </c>
      <c r="O178" s="847">
        <v>3.0880000000000001</v>
      </c>
      <c r="P178" s="847">
        <v>3.1930000000000001</v>
      </c>
      <c r="Q178" s="847">
        <v>3.4420000000000002</v>
      </c>
      <c r="R178" s="321">
        <f t="shared" si="44"/>
        <v>0.80000000000000071</v>
      </c>
      <c r="S178" s="72">
        <f t="shared" si="45"/>
        <v>0.80000000000000071</v>
      </c>
      <c r="T178" s="72">
        <f t="shared" si="46"/>
        <v>0.80000000000000071</v>
      </c>
      <c r="U178" s="72">
        <f t="shared" si="47"/>
        <v>0.80000000000000071</v>
      </c>
      <c r="V178" s="72">
        <f t="shared" si="48"/>
        <v>0.70000000000001172</v>
      </c>
      <c r="W178" s="72">
        <f t="shared" si="49"/>
        <v>0</v>
      </c>
      <c r="X178" s="196">
        <f t="shared" si="50"/>
        <v>1.5000000000000124</v>
      </c>
      <c r="Y178" s="196">
        <f t="shared" si="51"/>
        <v>0.49999999999998934</v>
      </c>
      <c r="Z178" s="72">
        <f t="shared" si="52"/>
        <v>0.50000000000003375</v>
      </c>
      <c r="AA178" s="72">
        <f t="shared" si="53"/>
        <v>0.80000000000000071</v>
      </c>
      <c r="AB178" s="321">
        <f t="shared" si="54"/>
        <v>6.6000000000000281</v>
      </c>
      <c r="AC178" s="72">
        <f t="shared" si="55"/>
        <v>3.5000000000000142</v>
      </c>
      <c r="AD178" s="72">
        <f t="shared" si="56"/>
        <v>3.3000000000000362</v>
      </c>
      <c r="AE178" s="72">
        <f t="shared" si="57"/>
        <v>2.1000000000000352</v>
      </c>
      <c r="AF178" s="72">
        <f t="shared" si="58"/>
        <v>3.3000000000000362</v>
      </c>
      <c r="AG178" s="72">
        <f t="shared" si="59"/>
        <v>2.4000000000000021</v>
      </c>
      <c r="AH178" s="196">
        <f t="shared" si="60"/>
        <v>5.0000000000000266</v>
      </c>
      <c r="AI178" s="196">
        <f t="shared" si="61"/>
        <v>3.0000000000000249</v>
      </c>
      <c r="AJ178" s="72">
        <f t="shared" si="62"/>
        <v>1.0000000000000231</v>
      </c>
      <c r="AK178" s="72">
        <f t="shared" si="63"/>
        <v>0.30000000000001137</v>
      </c>
      <c r="AM178" s="35"/>
      <c r="AN178" s="35"/>
    </row>
    <row r="179" spans="1:40" x14ac:dyDescent="0.3">
      <c r="A179" s="35">
        <v>46112</v>
      </c>
      <c r="B179" s="847" t="s">
        <v>883</v>
      </c>
      <c r="C179">
        <v>4.2130000000000001</v>
      </c>
      <c r="E179">
        <f t="shared" si="43"/>
        <v>3</v>
      </c>
      <c r="F179" s="11">
        <v>177</v>
      </c>
      <c r="G179" s="179">
        <v>45992</v>
      </c>
      <c r="H179" s="847">
        <v>3.911</v>
      </c>
      <c r="I179" s="847">
        <v>3.9780000000000002</v>
      </c>
      <c r="J179" s="847">
        <v>2.8650000000000002</v>
      </c>
      <c r="K179" s="847">
        <v>3.9929999999999999</v>
      </c>
      <c r="L179" s="847">
        <v>2.9020000000000001</v>
      </c>
      <c r="M179" s="847">
        <v>4.0510000000000002</v>
      </c>
      <c r="N179" s="847">
        <v>2.9750000000000001</v>
      </c>
      <c r="O179" s="847">
        <v>3.08</v>
      </c>
      <c r="P179" s="847">
        <v>3.1859999999999999</v>
      </c>
      <c r="Q179" s="847">
        <v>3.4420000000000002</v>
      </c>
      <c r="R179" s="321">
        <f t="shared" si="44"/>
        <v>0.50000000000003375</v>
      </c>
      <c r="S179" s="72">
        <f t="shared" si="45"/>
        <v>0.40000000000000036</v>
      </c>
      <c r="T179" s="72">
        <f t="shared" si="46"/>
        <v>0.40000000000000036</v>
      </c>
      <c r="U179" s="72">
        <f t="shared" si="47"/>
        <v>0.20000000000002238</v>
      </c>
      <c r="V179" s="72">
        <f t="shared" si="48"/>
        <v>0</v>
      </c>
      <c r="W179" s="72">
        <f t="shared" si="49"/>
        <v>0.60000000000002274</v>
      </c>
      <c r="X179" s="196">
        <f t="shared" si="50"/>
        <v>1.9000000000000128</v>
      </c>
      <c r="Y179" s="196">
        <f t="shared" si="51"/>
        <v>1.1000000000000121</v>
      </c>
      <c r="Z179" s="72">
        <f t="shared" si="52"/>
        <v>0.99999999999997868</v>
      </c>
      <c r="AA179" s="72">
        <f t="shared" si="53"/>
        <v>0.99999999999997868</v>
      </c>
      <c r="AB179" s="321">
        <f t="shared" si="54"/>
        <v>5.1000000000000156</v>
      </c>
      <c r="AC179" s="72">
        <f t="shared" si="55"/>
        <v>3.5000000000000142</v>
      </c>
      <c r="AD179" s="72">
        <f t="shared" si="56"/>
        <v>2.5000000000000355</v>
      </c>
      <c r="AE179" s="72">
        <f t="shared" si="57"/>
        <v>2.0000000000000018</v>
      </c>
      <c r="AF179" s="72">
        <f t="shared" si="58"/>
        <v>2.5000000000000355</v>
      </c>
      <c r="AG179" s="72">
        <f t="shared" si="59"/>
        <v>1.7999999999999794</v>
      </c>
      <c r="AH179" s="196">
        <f t="shared" si="60"/>
        <v>4.2000000000000259</v>
      </c>
      <c r="AI179" s="196">
        <f t="shared" si="61"/>
        <v>2.2000000000000242</v>
      </c>
      <c r="AJ179" s="72">
        <f t="shared" si="62"/>
        <v>0.30000000000001137</v>
      </c>
      <c r="AK179" s="72">
        <f t="shared" si="63"/>
        <v>0.30000000000001137</v>
      </c>
      <c r="AM179" s="35"/>
      <c r="AN179" s="35"/>
    </row>
    <row r="180" spans="1:40" x14ac:dyDescent="0.3">
      <c r="A180" s="35">
        <v>46113</v>
      </c>
      <c r="B180" s="847" t="s">
        <v>883</v>
      </c>
      <c r="C180">
        <v>4.2160000000000002</v>
      </c>
      <c r="E180">
        <f t="shared" si="43"/>
        <v>1</v>
      </c>
      <c r="F180" s="11">
        <v>178</v>
      </c>
      <c r="G180" s="179">
        <v>45989</v>
      </c>
      <c r="H180" s="847">
        <v>3.8919999999999999</v>
      </c>
      <c r="I180" s="847">
        <v>3.9670000000000001</v>
      </c>
      <c r="J180" s="847">
        <v>2.86</v>
      </c>
      <c r="K180" s="847">
        <v>3.9830000000000001</v>
      </c>
      <c r="L180" s="847">
        <v>2.8980000000000001</v>
      </c>
      <c r="M180" s="847">
        <v>4.0410000000000004</v>
      </c>
      <c r="N180" s="847">
        <v>2.9710000000000001</v>
      </c>
      <c r="O180" s="847">
        <v>3.0779999999999998</v>
      </c>
      <c r="P180" s="847">
        <v>3.1859999999999999</v>
      </c>
      <c r="Q180" s="847">
        <v>3.4359999999999999</v>
      </c>
      <c r="R180" s="321">
        <f t="shared" si="44"/>
        <v>0</v>
      </c>
      <c r="S180" s="72">
        <f t="shared" si="45"/>
        <v>0</v>
      </c>
      <c r="T180" s="72">
        <f t="shared" si="46"/>
        <v>0</v>
      </c>
      <c r="U180" s="72">
        <f t="shared" si="47"/>
        <v>0</v>
      </c>
      <c r="V180" s="72">
        <f t="shared" si="48"/>
        <v>0</v>
      </c>
      <c r="W180" s="72">
        <f t="shared" si="49"/>
        <v>0</v>
      </c>
      <c r="X180" s="196">
        <f t="shared" si="50"/>
        <v>-0.40000000000000036</v>
      </c>
      <c r="Y180" s="196">
        <f t="shared" si="51"/>
        <v>1.2999999999999901</v>
      </c>
      <c r="Z180" s="72">
        <f t="shared" si="52"/>
        <v>0</v>
      </c>
      <c r="AA180" s="72">
        <f t="shared" si="53"/>
        <v>0</v>
      </c>
      <c r="AB180" s="321">
        <f t="shared" si="54"/>
        <v>3.3999999999999808</v>
      </c>
      <c r="AC180" s="72">
        <f t="shared" si="55"/>
        <v>2.8999999999999915</v>
      </c>
      <c r="AD180" s="72">
        <f t="shared" si="56"/>
        <v>2.0000000000000018</v>
      </c>
      <c r="AE180" s="72">
        <f t="shared" si="57"/>
        <v>1.0000000000000231</v>
      </c>
      <c r="AF180" s="72">
        <f t="shared" si="58"/>
        <v>2.1000000000000352</v>
      </c>
      <c r="AG180" s="72">
        <f t="shared" si="59"/>
        <v>0.80000000000000071</v>
      </c>
      <c r="AH180" s="196">
        <f t="shared" si="60"/>
        <v>3.8000000000000256</v>
      </c>
      <c r="AI180" s="196">
        <f t="shared" si="61"/>
        <v>2.0999999999999908</v>
      </c>
      <c r="AJ180" s="72">
        <f t="shared" si="62"/>
        <v>0.59999999999997833</v>
      </c>
      <c r="AK180" s="72">
        <f t="shared" si="63"/>
        <v>-0.30000000000001137</v>
      </c>
      <c r="AM180" s="35"/>
      <c r="AN180" s="35"/>
    </row>
    <row r="181" spans="1:40" x14ac:dyDescent="0.3">
      <c r="A181" s="35">
        <v>46114</v>
      </c>
      <c r="B181" s="847" t="s">
        <v>883</v>
      </c>
      <c r="C181">
        <v>4.2130000000000001</v>
      </c>
      <c r="E181">
        <f t="shared" si="43"/>
        <v>1</v>
      </c>
      <c r="F181" s="11">
        <v>179</v>
      </c>
      <c r="G181" s="179">
        <v>45988</v>
      </c>
      <c r="H181" s="847">
        <v>3.8959999999999999</v>
      </c>
      <c r="I181" s="847">
        <v>3.9540000000000002</v>
      </c>
      <c r="J181" s="847">
        <v>2.86</v>
      </c>
      <c r="K181" s="847">
        <v>3.9830000000000001</v>
      </c>
      <c r="L181" s="847">
        <v>2.8980000000000001</v>
      </c>
      <c r="M181" s="847">
        <v>4.0410000000000004</v>
      </c>
      <c r="N181" s="847">
        <v>2.9710000000000001</v>
      </c>
      <c r="O181" s="847">
        <v>3.0779999999999998</v>
      </c>
      <c r="P181" s="847">
        <v>3.1859999999999999</v>
      </c>
      <c r="Q181" s="847">
        <v>3.4359999999999999</v>
      </c>
      <c r="R181" s="321">
        <f t="shared" si="44"/>
        <v>0</v>
      </c>
      <c r="S181" s="72">
        <f t="shared" si="45"/>
        <v>0</v>
      </c>
      <c r="T181" s="72">
        <f t="shared" si="46"/>
        <v>0</v>
      </c>
      <c r="U181" s="72">
        <f t="shared" si="47"/>
        <v>0</v>
      </c>
      <c r="V181" s="72">
        <f t="shared" si="48"/>
        <v>0</v>
      </c>
      <c r="W181" s="72">
        <f t="shared" si="49"/>
        <v>0</v>
      </c>
      <c r="X181" s="196">
        <f t="shared" si="50"/>
        <v>3.0999999999999694</v>
      </c>
      <c r="Y181" s="196">
        <f t="shared" si="51"/>
        <v>0.50000000000003375</v>
      </c>
      <c r="Z181" s="72">
        <f t="shared" si="52"/>
        <v>0</v>
      </c>
      <c r="AA181" s="72">
        <f t="shared" si="53"/>
        <v>0</v>
      </c>
      <c r="AB181" s="321">
        <f t="shared" si="54"/>
        <v>3.7999999999999812</v>
      </c>
      <c r="AC181" s="72">
        <f t="shared" si="55"/>
        <v>1.6000000000000014</v>
      </c>
      <c r="AD181" s="72">
        <f t="shared" si="56"/>
        <v>2.0000000000000018</v>
      </c>
      <c r="AE181" s="72">
        <f t="shared" si="57"/>
        <v>1.5000000000000124</v>
      </c>
      <c r="AF181" s="72">
        <f t="shared" si="58"/>
        <v>2.1000000000000352</v>
      </c>
      <c r="AG181" s="72">
        <f t="shared" si="59"/>
        <v>1.2000000000000455</v>
      </c>
      <c r="AH181" s="196">
        <f t="shared" si="60"/>
        <v>3.8000000000000256</v>
      </c>
      <c r="AI181" s="196">
        <f t="shared" si="61"/>
        <v>2.0999999999999908</v>
      </c>
      <c r="AJ181" s="72">
        <f t="shared" si="62"/>
        <v>0.59999999999997833</v>
      </c>
      <c r="AK181" s="72">
        <f t="shared" si="63"/>
        <v>-0.30000000000001137</v>
      </c>
      <c r="AM181" s="35"/>
      <c r="AN181" s="35"/>
    </row>
    <row r="182" spans="1:40" x14ac:dyDescent="0.3">
      <c r="A182" s="35">
        <v>46115</v>
      </c>
      <c r="B182" s="847" t="s">
        <v>883</v>
      </c>
      <c r="C182">
        <v>4.218</v>
      </c>
      <c r="E182">
        <f t="shared" si="43"/>
        <v>1</v>
      </c>
      <c r="F182" s="11">
        <v>180</v>
      </c>
      <c r="G182" s="179">
        <v>45987</v>
      </c>
      <c r="H182" s="847">
        <v>3.8650000000000002</v>
      </c>
      <c r="I182" s="847">
        <v>3.9489999999999998</v>
      </c>
      <c r="J182" s="847">
        <v>2.86</v>
      </c>
      <c r="K182" s="847">
        <v>3.9830000000000001</v>
      </c>
      <c r="L182" s="847">
        <v>2.8980000000000001</v>
      </c>
      <c r="M182" s="847">
        <v>4.0410000000000004</v>
      </c>
      <c r="N182" s="847">
        <v>2.9710000000000001</v>
      </c>
      <c r="O182" s="847">
        <v>3.0779999999999998</v>
      </c>
      <c r="P182" s="847">
        <v>3.1859999999999999</v>
      </c>
      <c r="Q182" s="847">
        <v>3.4359999999999999</v>
      </c>
      <c r="R182" s="321">
        <f t="shared" si="44"/>
        <v>0</v>
      </c>
      <c r="S182" s="72">
        <f t="shared" si="45"/>
        <v>0</v>
      </c>
      <c r="T182" s="72">
        <f t="shared" si="46"/>
        <v>0</v>
      </c>
      <c r="U182" s="72">
        <f t="shared" si="47"/>
        <v>0</v>
      </c>
      <c r="V182" s="72">
        <f t="shared" si="48"/>
        <v>0</v>
      </c>
      <c r="W182" s="72">
        <f t="shared" si="49"/>
        <v>0</v>
      </c>
      <c r="X182" s="196">
        <f t="shared" si="50"/>
        <v>-1.0999999999999677</v>
      </c>
      <c r="Y182" s="196">
        <f t="shared" si="51"/>
        <v>0</v>
      </c>
      <c r="Z182" s="72">
        <f t="shared" si="52"/>
        <v>0</v>
      </c>
      <c r="AA182" s="72">
        <f t="shared" si="53"/>
        <v>0</v>
      </c>
      <c r="AB182" s="321">
        <f t="shared" si="54"/>
        <v>1.2000000000000011</v>
      </c>
      <c r="AC182" s="72">
        <f t="shared" si="55"/>
        <v>2.0999999999999908</v>
      </c>
      <c r="AD182" s="72">
        <f t="shared" si="56"/>
        <v>2.4999999999999911</v>
      </c>
      <c r="AE182" s="72">
        <f t="shared" si="57"/>
        <v>2.7000000000000135</v>
      </c>
      <c r="AF182" s="72">
        <f t="shared" si="58"/>
        <v>2.4999999999999911</v>
      </c>
      <c r="AG182" s="72">
        <f t="shared" si="59"/>
        <v>2.1000000000000796</v>
      </c>
      <c r="AH182" s="196">
        <f t="shared" si="60"/>
        <v>4.0000000000000036</v>
      </c>
      <c r="AI182" s="196">
        <f t="shared" si="61"/>
        <v>2.4000000000000021</v>
      </c>
      <c r="AJ182" s="72">
        <f t="shared" si="62"/>
        <v>0.99999999999997868</v>
      </c>
      <c r="AK182" s="72">
        <f t="shared" si="63"/>
        <v>-0.30000000000001137</v>
      </c>
      <c r="AM182" s="35"/>
      <c r="AN182" s="35"/>
    </row>
    <row r="183" spans="1:40" x14ac:dyDescent="0.3">
      <c r="A183" s="35">
        <v>46118</v>
      </c>
      <c r="B183" s="847" t="s">
        <v>883</v>
      </c>
      <c r="C183">
        <v>4.2249999999999996</v>
      </c>
      <c r="E183">
        <f t="shared" si="43"/>
        <v>1</v>
      </c>
      <c r="F183" s="11">
        <v>181</v>
      </c>
      <c r="G183" s="179">
        <v>45986</v>
      </c>
      <c r="H183" s="847">
        <v>3.8759999999999999</v>
      </c>
      <c r="I183" s="847">
        <v>3.9489999999999998</v>
      </c>
      <c r="J183" s="847">
        <v>2.86</v>
      </c>
      <c r="K183" s="847">
        <v>3.9830000000000001</v>
      </c>
      <c r="L183" s="847">
        <v>2.8980000000000001</v>
      </c>
      <c r="M183" s="847">
        <v>4.0410000000000004</v>
      </c>
      <c r="N183" s="847">
        <v>2.9710000000000001</v>
      </c>
      <c r="O183" s="847">
        <v>3.0779999999999998</v>
      </c>
      <c r="P183" s="847">
        <v>3.1859999999999999</v>
      </c>
      <c r="Q183" s="847">
        <v>3.4359999999999999</v>
      </c>
      <c r="R183" s="321">
        <f t="shared" si="44"/>
        <v>0</v>
      </c>
      <c r="S183" s="72">
        <f t="shared" si="45"/>
        <v>0</v>
      </c>
      <c r="T183" s="72">
        <f t="shared" si="46"/>
        <v>0</v>
      </c>
      <c r="U183" s="72">
        <f t="shared" si="47"/>
        <v>0</v>
      </c>
      <c r="V183" s="72">
        <f t="shared" si="48"/>
        <v>0</v>
      </c>
      <c r="W183" s="72">
        <f t="shared" si="49"/>
        <v>0</v>
      </c>
      <c r="X183" s="196">
        <f t="shared" si="50"/>
        <v>-0.20000000000002238</v>
      </c>
      <c r="Y183" s="196">
        <f t="shared" si="51"/>
        <v>0</v>
      </c>
      <c r="Z183" s="72">
        <f t="shared" si="52"/>
        <v>0</v>
      </c>
      <c r="AA183" s="72">
        <f t="shared" si="53"/>
        <v>0</v>
      </c>
      <c r="AB183" s="321">
        <f t="shared" si="54"/>
        <v>3.3999999999999808</v>
      </c>
      <c r="AC183" s="72">
        <f t="shared" si="55"/>
        <v>2.5999999999999801</v>
      </c>
      <c r="AD183" s="72">
        <f t="shared" si="56"/>
        <v>2.4999999999999911</v>
      </c>
      <c r="AE183" s="72">
        <f t="shared" si="57"/>
        <v>3.5000000000000142</v>
      </c>
      <c r="AF183" s="72">
        <f t="shared" si="58"/>
        <v>2.4999999999999911</v>
      </c>
      <c r="AG183" s="72">
        <f t="shared" si="59"/>
        <v>2.9000000000000803</v>
      </c>
      <c r="AH183" s="196">
        <f t="shared" si="60"/>
        <v>4.0000000000000036</v>
      </c>
      <c r="AI183" s="196">
        <f t="shared" si="61"/>
        <v>2.4000000000000021</v>
      </c>
      <c r="AJ183" s="72">
        <f t="shared" si="62"/>
        <v>0.99999999999997868</v>
      </c>
      <c r="AK183" s="72">
        <f t="shared" si="63"/>
        <v>-0.30000000000001137</v>
      </c>
      <c r="AM183" s="35"/>
      <c r="AN183" s="35"/>
    </row>
    <row r="184" spans="1:40" x14ac:dyDescent="0.3">
      <c r="A184" s="35">
        <v>46119</v>
      </c>
      <c r="B184" s="847" t="s">
        <v>883</v>
      </c>
      <c r="C184">
        <v>4.2240000000000002</v>
      </c>
      <c r="E184">
        <f t="shared" si="43"/>
        <v>3</v>
      </c>
      <c r="F184" s="11">
        <v>182</v>
      </c>
      <c r="G184" s="179">
        <v>45985</v>
      </c>
      <c r="H184" s="847">
        <v>3.8780000000000001</v>
      </c>
      <c r="I184" s="847">
        <v>3.9489999999999998</v>
      </c>
      <c r="J184" s="847">
        <v>2.86</v>
      </c>
      <c r="K184" s="847">
        <v>3.9830000000000001</v>
      </c>
      <c r="L184" s="847">
        <v>2.8980000000000001</v>
      </c>
      <c r="M184" s="847">
        <v>4.0410000000000004</v>
      </c>
      <c r="N184" s="847">
        <v>2.9710000000000001</v>
      </c>
      <c r="O184" s="847">
        <v>3.0779999999999998</v>
      </c>
      <c r="P184" s="847">
        <v>3.1859999999999999</v>
      </c>
      <c r="Q184" s="847">
        <v>3.4359999999999999</v>
      </c>
      <c r="R184" s="321">
        <f t="shared" si="44"/>
        <v>0</v>
      </c>
      <c r="S184" s="72">
        <f t="shared" si="45"/>
        <v>0</v>
      </c>
      <c r="T184" s="72">
        <f t="shared" si="46"/>
        <v>0</v>
      </c>
      <c r="U184" s="72">
        <f t="shared" si="47"/>
        <v>0</v>
      </c>
      <c r="V184" s="72">
        <f t="shared" si="48"/>
        <v>0</v>
      </c>
      <c r="W184" s="72">
        <f t="shared" si="49"/>
        <v>0</v>
      </c>
      <c r="X184" s="196">
        <f t="shared" si="50"/>
        <v>1.8000000000000238</v>
      </c>
      <c r="Y184" s="196">
        <f t="shared" si="51"/>
        <v>0</v>
      </c>
      <c r="Z184" s="72">
        <f t="shared" si="52"/>
        <v>0</v>
      </c>
      <c r="AA184" s="72">
        <f t="shared" si="53"/>
        <v>0</v>
      </c>
      <c r="AB184" s="321">
        <f t="shared" si="54"/>
        <v>3.0000000000000249</v>
      </c>
      <c r="AC184" s="72">
        <f t="shared" si="55"/>
        <v>2.5999999999999801</v>
      </c>
      <c r="AD184" s="72">
        <f t="shared" si="56"/>
        <v>2.4999999999999911</v>
      </c>
      <c r="AE184" s="72">
        <f t="shared" si="57"/>
        <v>3.5000000000000142</v>
      </c>
      <c r="AF184" s="72">
        <f t="shared" si="58"/>
        <v>2.4999999999999911</v>
      </c>
      <c r="AG184" s="72">
        <f t="shared" si="59"/>
        <v>2.9000000000000803</v>
      </c>
      <c r="AH184" s="196">
        <f t="shared" si="60"/>
        <v>4.0000000000000036</v>
      </c>
      <c r="AI184" s="196">
        <f t="shared" si="61"/>
        <v>2.5999999999999801</v>
      </c>
      <c r="AJ184" s="72">
        <f t="shared" si="62"/>
        <v>1.399999999999979</v>
      </c>
      <c r="AK184" s="72">
        <f t="shared" si="63"/>
        <v>-0.30000000000001137</v>
      </c>
      <c r="AM184" s="35"/>
      <c r="AN184" s="35"/>
    </row>
    <row r="185" spans="1:40" x14ac:dyDescent="0.3">
      <c r="A185" s="35">
        <v>46120</v>
      </c>
      <c r="B185" s="847" t="s">
        <v>883</v>
      </c>
      <c r="C185">
        <v>4.2249999999999996</v>
      </c>
      <c r="E185">
        <f t="shared" si="43"/>
        <v>1</v>
      </c>
      <c r="F185" s="11">
        <v>183</v>
      </c>
      <c r="G185" s="179">
        <v>45982</v>
      </c>
      <c r="H185" s="847">
        <v>3.86</v>
      </c>
      <c r="I185" s="847">
        <v>3.9489999999999998</v>
      </c>
      <c r="J185" s="847">
        <v>2.86</v>
      </c>
      <c r="K185" s="847">
        <v>3.9830000000000001</v>
      </c>
      <c r="L185" s="847">
        <v>2.8980000000000001</v>
      </c>
      <c r="M185" s="847">
        <v>4.0410000000000004</v>
      </c>
      <c r="N185" s="847">
        <v>2.9710000000000001</v>
      </c>
      <c r="O185" s="847">
        <v>3.0779999999999998</v>
      </c>
      <c r="P185" s="847">
        <v>3.1859999999999999</v>
      </c>
      <c r="Q185" s="847">
        <v>3.4359999999999999</v>
      </c>
      <c r="R185" s="321">
        <f t="shared" si="44"/>
        <v>0.40000000000000036</v>
      </c>
      <c r="S185" s="72">
        <f t="shared" si="45"/>
        <v>0.40000000000000036</v>
      </c>
      <c r="T185" s="72">
        <f t="shared" si="46"/>
        <v>0.40000000000000036</v>
      </c>
      <c r="U185" s="72">
        <f t="shared" si="47"/>
        <v>0.19999999999997797</v>
      </c>
      <c r="V185" s="72">
        <f t="shared" si="48"/>
        <v>0</v>
      </c>
      <c r="W185" s="72">
        <f t="shared" si="49"/>
        <v>0</v>
      </c>
      <c r="X185" s="196">
        <f t="shared" si="50"/>
        <v>-1.8000000000000238</v>
      </c>
      <c r="Y185" s="196">
        <f t="shared" si="51"/>
        <v>0.19999999999997797</v>
      </c>
      <c r="Z185" s="72">
        <f t="shared" si="52"/>
        <v>0.49999999999998934</v>
      </c>
      <c r="AA185" s="72">
        <f t="shared" si="53"/>
        <v>0.40000000000004476</v>
      </c>
      <c r="AB185" s="321">
        <f t="shared" si="54"/>
        <v>2.0999999999999908</v>
      </c>
      <c r="AC185" s="72">
        <f t="shared" si="55"/>
        <v>3.8999999999999702</v>
      </c>
      <c r="AD185" s="72">
        <f t="shared" si="56"/>
        <v>6.5999999999999837</v>
      </c>
      <c r="AE185" s="72">
        <f t="shared" si="57"/>
        <v>7.6999999999999957</v>
      </c>
      <c r="AF185" s="72">
        <f t="shared" si="58"/>
        <v>5.8000000000000274</v>
      </c>
      <c r="AG185" s="72">
        <f t="shared" si="59"/>
        <v>6.6000000000000281</v>
      </c>
      <c r="AH185" s="196">
        <f t="shared" si="60"/>
        <v>6.0999999999999943</v>
      </c>
      <c r="AI185" s="196">
        <f t="shared" si="61"/>
        <v>3.8999999999999702</v>
      </c>
      <c r="AJ185" s="72">
        <f t="shared" si="62"/>
        <v>1.7999999999999794</v>
      </c>
      <c r="AK185" s="72">
        <f t="shared" si="63"/>
        <v>0.19999999999997797</v>
      </c>
      <c r="AM185" s="35"/>
      <c r="AN185" s="35"/>
    </row>
    <row r="186" spans="1:40" x14ac:dyDescent="0.3">
      <c r="A186" s="35">
        <v>46121</v>
      </c>
      <c r="B186" s="847" t="s">
        <v>883</v>
      </c>
      <c r="C186">
        <v>4.226</v>
      </c>
      <c r="E186">
        <f t="shared" si="43"/>
        <v>1</v>
      </c>
      <c r="F186" s="11">
        <v>184</v>
      </c>
      <c r="G186" s="179">
        <v>45981</v>
      </c>
      <c r="H186" s="847">
        <v>3.8780000000000001</v>
      </c>
      <c r="I186" s="847">
        <v>3.9470000000000001</v>
      </c>
      <c r="J186" s="847">
        <v>2.8559999999999999</v>
      </c>
      <c r="K186" s="847">
        <v>3.9780000000000002</v>
      </c>
      <c r="L186" s="847">
        <v>2.8940000000000001</v>
      </c>
      <c r="M186" s="847">
        <v>4.0369999999999999</v>
      </c>
      <c r="N186" s="847">
        <v>2.9670000000000001</v>
      </c>
      <c r="O186" s="847">
        <v>3.0760000000000001</v>
      </c>
      <c r="P186" s="847">
        <v>3.1859999999999999</v>
      </c>
      <c r="Q186" s="847">
        <v>3.4359999999999999</v>
      </c>
      <c r="R186" s="321">
        <f t="shared" si="44"/>
        <v>1.6000000000000014</v>
      </c>
      <c r="S186" s="72">
        <f t="shared" si="45"/>
        <v>1.7000000000000348</v>
      </c>
      <c r="T186" s="72">
        <f t="shared" si="46"/>
        <v>3.4000000000000252</v>
      </c>
      <c r="U186" s="72">
        <f t="shared" si="47"/>
        <v>1.8000000000000238</v>
      </c>
      <c r="V186" s="72">
        <f t="shared" si="48"/>
        <v>0.30000000000001137</v>
      </c>
      <c r="W186" s="72">
        <f t="shared" si="49"/>
        <v>-0.30000000000001137</v>
      </c>
      <c r="X186" s="196">
        <f t="shared" si="50"/>
        <v>1.8000000000000238</v>
      </c>
      <c r="Y186" s="196">
        <f t="shared" si="51"/>
        <v>-9.9999999999988987E-2</v>
      </c>
      <c r="Z186" s="72">
        <f t="shared" si="52"/>
        <v>0.1000000000000334</v>
      </c>
      <c r="AA186" s="72">
        <f t="shared" si="53"/>
        <v>0.19999999999997797</v>
      </c>
      <c r="AB186" s="321">
        <f t="shared" si="54"/>
        <v>4.0000000000000036</v>
      </c>
      <c r="AC186" s="72">
        <f t="shared" si="55"/>
        <v>3.9000000000000146</v>
      </c>
      <c r="AD186" s="72">
        <f t="shared" si="56"/>
        <v>6.4000000000000057</v>
      </c>
      <c r="AE186" s="72">
        <f t="shared" si="57"/>
        <v>7.2000000000000064</v>
      </c>
      <c r="AF186" s="72">
        <f t="shared" si="58"/>
        <v>5.600000000000005</v>
      </c>
      <c r="AG186" s="72">
        <f t="shared" si="59"/>
        <v>6.1999999999999833</v>
      </c>
      <c r="AH186" s="196">
        <f t="shared" si="60"/>
        <v>5.9000000000000163</v>
      </c>
      <c r="AI186" s="196">
        <f t="shared" si="61"/>
        <v>3.8000000000000256</v>
      </c>
      <c r="AJ186" s="72">
        <f t="shared" si="62"/>
        <v>1.7999999999999794</v>
      </c>
      <c r="AK186" s="72">
        <f t="shared" si="63"/>
        <v>0.80000000000000071</v>
      </c>
      <c r="AM186" s="35"/>
      <c r="AN186" s="35"/>
    </row>
    <row r="187" spans="1:40" x14ac:dyDescent="0.3">
      <c r="A187" s="35">
        <v>46122</v>
      </c>
      <c r="B187" s="847" t="s">
        <v>883</v>
      </c>
      <c r="C187">
        <v>4.2329999999999997</v>
      </c>
      <c r="E187">
        <f t="shared" si="43"/>
        <v>1</v>
      </c>
      <c r="F187" s="11">
        <v>185</v>
      </c>
      <c r="G187" s="179">
        <v>45980</v>
      </c>
      <c r="H187" s="847">
        <v>3.86</v>
      </c>
      <c r="I187" s="847">
        <v>3.948</v>
      </c>
      <c r="J187" s="847">
        <v>2.84</v>
      </c>
      <c r="K187" s="847">
        <v>3.9769999999999999</v>
      </c>
      <c r="L187" s="847">
        <v>2.8769999999999998</v>
      </c>
      <c r="M187" s="847">
        <v>4.0350000000000001</v>
      </c>
      <c r="N187" s="847">
        <v>2.9329999999999998</v>
      </c>
      <c r="O187" s="847">
        <v>3.0579999999999998</v>
      </c>
      <c r="P187" s="847">
        <v>3.1829999999999998</v>
      </c>
      <c r="Q187" s="847">
        <v>3.4390000000000001</v>
      </c>
      <c r="R187" s="321">
        <f t="shared" si="44"/>
        <v>0</v>
      </c>
      <c r="S187" s="72">
        <f t="shared" si="45"/>
        <v>0</v>
      </c>
      <c r="T187" s="72">
        <f t="shared" si="46"/>
        <v>0</v>
      </c>
      <c r="U187" s="72">
        <f t="shared" si="47"/>
        <v>0</v>
      </c>
      <c r="V187" s="72">
        <f t="shared" si="48"/>
        <v>0</v>
      </c>
      <c r="W187" s="72">
        <f t="shared" si="49"/>
        <v>0</v>
      </c>
      <c r="X187" s="196">
        <f t="shared" si="50"/>
        <v>0</v>
      </c>
      <c r="Y187" s="196">
        <f t="shared" si="51"/>
        <v>0</v>
      </c>
      <c r="Z187" s="72">
        <f t="shared" si="52"/>
        <v>0</v>
      </c>
      <c r="AA187" s="72">
        <f t="shared" si="53"/>
        <v>0</v>
      </c>
      <c r="AB187" s="321">
        <f t="shared" si="54"/>
        <v>2.8999999999999915</v>
      </c>
      <c r="AC187" s="72">
        <f t="shared" si="55"/>
        <v>4.8000000000000043</v>
      </c>
      <c r="AD187" s="72">
        <f t="shared" si="56"/>
        <v>4.8000000000000043</v>
      </c>
      <c r="AE187" s="72">
        <f t="shared" si="57"/>
        <v>7.4999999999999734</v>
      </c>
      <c r="AF187" s="72">
        <f t="shared" si="58"/>
        <v>3.8999999999999702</v>
      </c>
      <c r="AG187" s="72">
        <f t="shared" si="59"/>
        <v>6.4999999999999947</v>
      </c>
      <c r="AH187" s="196">
        <f t="shared" si="60"/>
        <v>2.4999999999999911</v>
      </c>
      <c r="AI187" s="196">
        <f t="shared" si="61"/>
        <v>2.1999999999999797</v>
      </c>
      <c r="AJ187" s="72">
        <f t="shared" si="62"/>
        <v>1.8999999999999684</v>
      </c>
      <c r="AK187" s="72">
        <f t="shared" si="63"/>
        <v>1.6000000000000014</v>
      </c>
      <c r="AM187" s="35"/>
      <c r="AN187" s="35"/>
    </row>
    <row r="188" spans="1:40" x14ac:dyDescent="0.3">
      <c r="A188" s="35">
        <v>46125</v>
      </c>
      <c r="B188" s="847" t="s">
        <v>883</v>
      </c>
      <c r="C188">
        <v>4.2300000000000004</v>
      </c>
      <c r="E188">
        <f t="shared" si="43"/>
        <v>1</v>
      </c>
      <c r="F188" s="11">
        <v>186</v>
      </c>
      <c r="G188" s="179">
        <v>45979</v>
      </c>
      <c r="H188" s="847">
        <v>3.86</v>
      </c>
      <c r="I188" s="847">
        <v>3.948</v>
      </c>
      <c r="J188" s="847">
        <v>2.84</v>
      </c>
      <c r="K188" s="847">
        <v>3.9769999999999999</v>
      </c>
      <c r="L188" s="847">
        <v>2.8769999999999998</v>
      </c>
      <c r="M188" s="847">
        <v>4.0350000000000001</v>
      </c>
      <c r="N188" s="847">
        <v>2.9329999999999998</v>
      </c>
      <c r="O188" s="847">
        <v>3.0579999999999998</v>
      </c>
      <c r="P188" s="847">
        <v>3.1829999999999998</v>
      </c>
      <c r="Q188" s="847">
        <v>3.4390000000000001</v>
      </c>
      <c r="R188" s="321">
        <f t="shared" si="44"/>
        <v>0</v>
      </c>
      <c r="S188" s="72">
        <f t="shared" si="45"/>
        <v>0</v>
      </c>
      <c r="T188" s="72">
        <f t="shared" si="46"/>
        <v>0</v>
      </c>
      <c r="U188" s="72">
        <f t="shared" si="47"/>
        <v>0</v>
      </c>
      <c r="V188" s="72">
        <f t="shared" si="48"/>
        <v>0</v>
      </c>
      <c r="W188" s="72">
        <f t="shared" si="49"/>
        <v>0</v>
      </c>
      <c r="X188" s="196">
        <f t="shared" si="50"/>
        <v>0</v>
      </c>
      <c r="Y188" s="196">
        <f t="shared" si="51"/>
        <v>0.49999999999998934</v>
      </c>
      <c r="Z188" s="72">
        <f t="shared" si="52"/>
        <v>0.40000000000000036</v>
      </c>
      <c r="AA188" s="72">
        <f t="shared" si="53"/>
        <v>0.19999999999997797</v>
      </c>
      <c r="AB188" s="321">
        <f t="shared" si="54"/>
        <v>3.2999999999999918</v>
      </c>
      <c r="AC188" s="72">
        <f t="shared" si="55"/>
        <v>5.2999999999999936</v>
      </c>
      <c r="AD188" s="72">
        <f t="shared" si="56"/>
        <v>4.8000000000000043</v>
      </c>
      <c r="AE188" s="72">
        <f t="shared" si="57"/>
        <v>7.8999999999999737</v>
      </c>
      <c r="AF188" s="72">
        <f t="shared" si="58"/>
        <v>3.8999999999999702</v>
      </c>
      <c r="AG188" s="72">
        <f t="shared" si="59"/>
        <v>6.899999999999995</v>
      </c>
      <c r="AH188" s="196">
        <f t="shared" si="60"/>
        <v>2.4999999999999911</v>
      </c>
      <c r="AI188" s="196">
        <f t="shared" si="61"/>
        <v>2.1999999999999797</v>
      </c>
      <c r="AJ188" s="72">
        <f t="shared" si="62"/>
        <v>1.8999999999999684</v>
      </c>
      <c r="AK188" s="72">
        <f t="shared" si="63"/>
        <v>1.6000000000000014</v>
      </c>
      <c r="AM188" s="35"/>
      <c r="AN188" s="35"/>
    </row>
    <row r="189" spans="1:40" x14ac:dyDescent="0.3">
      <c r="A189" s="35">
        <v>46126</v>
      </c>
      <c r="B189" s="847" t="s">
        <v>883</v>
      </c>
      <c r="C189">
        <v>4.2279999999999998</v>
      </c>
      <c r="E189">
        <f t="shared" si="43"/>
        <v>3</v>
      </c>
      <c r="F189" s="11">
        <v>187</v>
      </c>
      <c r="G189" s="179">
        <v>45978</v>
      </c>
      <c r="H189" s="847">
        <v>3.86</v>
      </c>
      <c r="I189" s="847">
        <v>3.9430000000000001</v>
      </c>
      <c r="J189" s="847">
        <v>2.84</v>
      </c>
      <c r="K189" s="847">
        <v>3.9729999999999999</v>
      </c>
      <c r="L189" s="847">
        <v>2.8769999999999998</v>
      </c>
      <c r="M189" s="847">
        <v>4.0330000000000004</v>
      </c>
      <c r="N189" s="847">
        <v>2.9329999999999998</v>
      </c>
      <c r="O189" s="847">
        <v>3.0579999999999998</v>
      </c>
      <c r="P189" s="847">
        <v>3.1829999999999998</v>
      </c>
      <c r="Q189" s="847">
        <v>3.4390000000000001</v>
      </c>
      <c r="R189" s="321">
        <f t="shared" si="44"/>
        <v>0</v>
      </c>
      <c r="S189" s="72">
        <f t="shared" si="45"/>
        <v>0</v>
      </c>
      <c r="T189" s="72">
        <f t="shared" si="46"/>
        <v>0</v>
      </c>
      <c r="U189" s="72">
        <f t="shared" si="47"/>
        <v>9.9999999999988987E-2</v>
      </c>
      <c r="V189" s="72">
        <f t="shared" si="48"/>
        <v>0.29999999999996696</v>
      </c>
      <c r="W189" s="72">
        <f t="shared" si="49"/>
        <v>0</v>
      </c>
      <c r="X189" s="196">
        <f t="shared" si="50"/>
        <v>0.19999999999997797</v>
      </c>
      <c r="Y189" s="196">
        <f t="shared" si="51"/>
        <v>0.49999999999998934</v>
      </c>
      <c r="Z189" s="72">
        <f t="shared" si="52"/>
        <v>0</v>
      </c>
      <c r="AA189" s="72">
        <f t="shared" si="53"/>
        <v>0</v>
      </c>
      <c r="AB189" s="321">
        <f t="shared" si="54"/>
        <v>3.7999999999999812</v>
      </c>
      <c r="AC189" s="72">
        <f t="shared" si="55"/>
        <v>5.0000000000000266</v>
      </c>
      <c r="AD189" s="72">
        <f t="shared" si="56"/>
        <v>4.8000000000000043</v>
      </c>
      <c r="AE189" s="72">
        <f t="shared" si="57"/>
        <v>7.7999999999999847</v>
      </c>
      <c r="AF189" s="72">
        <f t="shared" si="58"/>
        <v>3.8999999999999702</v>
      </c>
      <c r="AG189" s="72">
        <f t="shared" si="59"/>
        <v>7.1000000000000174</v>
      </c>
      <c r="AH189" s="196">
        <f t="shared" si="60"/>
        <v>2.4999999999999911</v>
      </c>
      <c r="AI189" s="196">
        <f t="shared" si="61"/>
        <v>2.1999999999999797</v>
      </c>
      <c r="AJ189" s="72">
        <f t="shared" si="62"/>
        <v>1.8999999999999684</v>
      </c>
      <c r="AK189" s="72">
        <f t="shared" si="63"/>
        <v>1.6000000000000014</v>
      </c>
      <c r="AM189" s="35"/>
      <c r="AN189" s="35"/>
    </row>
    <row r="190" spans="1:40" x14ac:dyDescent="0.3">
      <c r="A190" s="35">
        <v>46127</v>
      </c>
      <c r="B190" s="847" t="s">
        <v>883</v>
      </c>
      <c r="C190">
        <v>4.2210000000000001</v>
      </c>
      <c r="E190">
        <f t="shared" si="43"/>
        <v>1</v>
      </c>
      <c r="F190" s="11">
        <v>188</v>
      </c>
      <c r="G190" s="179">
        <v>45975</v>
      </c>
      <c r="H190" s="847">
        <v>3.8580000000000001</v>
      </c>
      <c r="I190" s="847">
        <v>3.9380000000000002</v>
      </c>
      <c r="J190" s="847">
        <v>2.84</v>
      </c>
      <c r="K190" s="847">
        <v>3.9729999999999999</v>
      </c>
      <c r="L190" s="847">
        <v>2.8769999999999998</v>
      </c>
      <c r="M190" s="847">
        <v>4.0330000000000004</v>
      </c>
      <c r="N190" s="847">
        <v>2.9329999999999998</v>
      </c>
      <c r="O190" s="847">
        <v>3.0569999999999999</v>
      </c>
      <c r="P190" s="847">
        <v>3.18</v>
      </c>
      <c r="Q190" s="847">
        <v>3.4390000000000001</v>
      </c>
      <c r="R190" s="321">
        <f t="shared" si="44"/>
        <v>0</v>
      </c>
      <c r="S190" s="72">
        <f t="shared" si="45"/>
        <v>0</v>
      </c>
      <c r="T190" s="72">
        <f t="shared" si="46"/>
        <v>0</v>
      </c>
      <c r="U190" s="72">
        <f t="shared" si="47"/>
        <v>0</v>
      </c>
      <c r="V190" s="72">
        <f t="shared" si="48"/>
        <v>0</v>
      </c>
      <c r="W190" s="72">
        <f t="shared" si="49"/>
        <v>0</v>
      </c>
      <c r="X190" s="196">
        <f t="shared" si="50"/>
        <v>0</v>
      </c>
      <c r="Y190" s="196">
        <f t="shared" si="51"/>
        <v>0</v>
      </c>
      <c r="Z190" s="72">
        <f t="shared" si="52"/>
        <v>0.49999999999998934</v>
      </c>
      <c r="AA190" s="72">
        <f t="shared" si="53"/>
        <v>0.40000000000004476</v>
      </c>
      <c r="AB190" s="321">
        <f t="shared" si="54"/>
        <v>3.8000000000000256</v>
      </c>
      <c r="AC190" s="72">
        <f t="shared" si="55"/>
        <v>4.5000000000000373</v>
      </c>
      <c r="AD190" s="72">
        <f t="shared" si="56"/>
        <v>4.8000000000000043</v>
      </c>
      <c r="AE190" s="72">
        <f t="shared" si="57"/>
        <v>7.7999999999999847</v>
      </c>
      <c r="AF190" s="72">
        <f t="shared" si="58"/>
        <v>3.8999999999999702</v>
      </c>
      <c r="AG190" s="72">
        <f t="shared" si="59"/>
        <v>7.1000000000000174</v>
      </c>
      <c r="AH190" s="196">
        <f t="shared" si="60"/>
        <v>2.4999999999999911</v>
      </c>
      <c r="AI190" s="196">
        <f t="shared" si="61"/>
        <v>2.0999999999999908</v>
      </c>
      <c r="AJ190" s="72">
        <f t="shared" si="62"/>
        <v>1.6000000000000014</v>
      </c>
      <c r="AK190" s="72">
        <f t="shared" si="63"/>
        <v>1.6000000000000014</v>
      </c>
      <c r="AM190" s="35"/>
      <c r="AN190" s="35"/>
    </row>
    <row r="191" spans="1:40" x14ac:dyDescent="0.3">
      <c r="A191" s="35">
        <v>46128</v>
      </c>
      <c r="B191" s="847" t="s">
        <v>883</v>
      </c>
      <c r="C191">
        <v>4.2240000000000002</v>
      </c>
      <c r="E191">
        <f t="shared" si="43"/>
        <v>1</v>
      </c>
      <c r="F191" s="11">
        <v>189</v>
      </c>
      <c r="G191" s="179">
        <v>45974</v>
      </c>
      <c r="H191" s="847">
        <v>3.8580000000000001</v>
      </c>
      <c r="I191" s="847">
        <v>3.9380000000000002</v>
      </c>
      <c r="J191" s="847">
        <v>2.84</v>
      </c>
      <c r="K191" s="847">
        <v>3.968</v>
      </c>
      <c r="L191" s="847">
        <v>2.8769999999999998</v>
      </c>
      <c r="M191" s="847">
        <v>4.0289999999999999</v>
      </c>
      <c r="N191" s="847">
        <v>2.9329999999999998</v>
      </c>
      <c r="O191" s="847">
        <v>3.0569999999999999</v>
      </c>
      <c r="P191" s="847">
        <v>3.18</v>
      </c>
      <c r="Q191" s="847">
        <v>3.4390000000000001</v>
      </c>
      <c r="R191" s="321">
        <f t="shared" si="44"/>
        <v>0.49999999999998934</v>
      </c>
      <c r="S191" s="72">
        <f t="shared" si="45"/>
        <v>0.39999999999995595</v>
      </c>
      <c r="T191" s="72">
        <f t="shared" si="46"/>
        <v>0.19999999999997797</v>
      </c>
      <c r="U191" s="72">
        <f t="shared" si="47"/>
        <v>0.30000000000001137</v>
      </c>
      <c r="V191" s="72">
        <f t="shared" si="48"/>
        <v>0.40000000000000036</v>
      </c>
      <c r="W191" s="72">
        <f t="shared" si="49"/>
        <v>0</v>
      </c>
      <c r="X191" s="196">
        <f t="shared" si="50"/>
        <v>0.49999999999998934</v>
      </c>
      <c r="Y191" s="196">
        <f t="shared" si="51"/>
        <v>1.0000000000000231</v>
      </c>
      <c r="Z191" s="72">
        <f t="shared" si="52"/>
        <v>1.2000000000000011</v>
      </c>
      <c r="AA191" s="72">
        <f t="shared" si="53"/>
        <v>0.90000000000003411</v>
      </c>
      <c r="AB191" s="321">
        <f t="shared" si="54"/>
        <v>4.8000000000000043</v>
      </c>
      <c r="AC191" s="72">
        <f t="shared" si="55"/>
        <v>5.7000000000000384</v>
      </c>
      <c r="AD191" s="72">
        <f t="shared" si="56"/>
        <v>4.8000000000000043</v>
      </c>
      <c r="AE191" s="72">
        <f t="shared" si="57"/>
        <v>8.3000000000000185</v>
      </c>
      <c r="AF191" s="72">
        <f t="shared" si="58"/>
        <v>3.8999999999999702</v>
      </c>
      <c r="AG191" s="72">
        <f t="shared" si="59"/>
        <v>7.8999999999999737</v>
      </c>
      <c r="AH191" s="196">
        <f t="shared" si="60"/>
        <v>2.4999999999999911</v>
      </c>
      <c r="AI191" s="196">
        <f t="shared" si="61"/>
        <v>2.0999999999999908</v>
      </c>
      <c r="AJ191" s="72">
        <f t="shared" si="62"/>
        <v>1.6000000000000014</v>
      </c>
      <c r="AK191" s="72">
        <f t="shared" si="63"/>
        <v>1.6000000000000014</v>
      </c>
      <c r="AM191" s="35"/>
      <c r="AN191" s="35"/>
    </row>
    <row r="192" spans="1:40" x14ac:dyDescent="0.3">
      <c r="A192" s="35">
        <v>46129</v>
      </c>
      <c r="B192" s="847" t="s">
        <v>883</v>
      </c>
      <c r="C192">
        <v>4.2249999999999996</v>
      </c>
      <c r="E192">
        <f t="shared" si="43"/>
        <v>1</v>
      </c>
      <c r="F192" s="11">
        <v>190</v>
      </c>
      <c r="G192" s="179">
        <v>45973</v>
      </c>
      <c r="H192" s="847">
        <v>3.8530000000000002</v>
      </c>
      <c r="I192" s="847">
        <v>3.9279999999999999</v>
      </c>
      <c r="J192" s="847">
        <v>2.835</v>
      </c>
      <c r="K192" s="847">
        <v>3.956</v>
      </c>
      <c r="L192" s="847">
        <v>2.8730000000000002</v>
      </c>
      <c r="M192" s="847">
        <v>4.0199999999999996</v>
      </c>
      <c r="N192" s="847">
        <v>2.931</v>
      </c>
      <c r="O192" s="847">
        <v>3.0539999999999998</v>
      </c>
      <c r="P192" s="847">
        <v>3.1760000000000002</v>
      </c>
      <c r="Q192" s="847">
        <v>3.4390000000000001</v>
      </c>
      <c r="R192" s="321">
        <f t="shared" si="44"/>
        <v>0</v>
      </c>
      <c r="S192" s="72">
        <f t="shared" si="45"/>
        <v>0</v>
      </c>
      <c r="T192" s="72">
        <f t="shared" si="46"/>
        <v>0</v>
      </c>
      <c r="U192" s="72">
        <f t="shared" si="47"/>
        <v>0</v>
      </c>
      <c r="V192" s="72">
        <f t="shared" si="48"/>
        <v>0</v>
      </c>
      <c r="W192" s="72">
        <f t="shared" si="49"/>
        <v>0</v>
      </c>
      <c r="X192" s="196">
        <f t="shared" si="50"/>
        <v>1.1000000000000121</v>
      </c>
      <c r="Y192" s="196">
        <f t="shared" si="51"/>
        <v>0.49999999999998934</v>
      </c>
      <c r="Z192" s="72">
        <f t="shared" si="52"/>
        <v>0.80000000000000071</v>
      </c>
      <c r="AA192" s="72">
        <f t="shared" si="53"/>
        <v>0.80000000000000071</v>
      </c>
      <c r="AB192" s="321">
        <f t="shared" si="54"/>
        <v>6.5000000000000391</v>
      </c>
      <c r="AC192" s="72">
        <f t="shared" si="55"/>
        <v>5.699999999999994</v>
      </c>
      <c r="AD192" s="72">
        <f t="shared" si="56"/>
        <v>4.3000000000000149</v>
      </c>
      <c r="AE192" s="72">
        <f t="shared" si="57"/>
        <v>9.0999999999999748</v>
      </c>
      <c r="AF192" s="72">
        <f t="shared" si="58"/>
        <v>3.5000000000000142</v>
      </c>
      <c r="AG192" s="72">
        <f t="shared" si="59"/>
        <v>9.0999999999999748</v>
      </c>
      <c r="AH192" s="196">
        <f t="shared" si="60"/>
        <v>2.3000000000000131</v>
      </c>
      <c r="AI192" s="196">
        <f t="shared" si="61"/>
        <v>1.7999999999999794</v>
      </c>
      <c r="AJ192" s="72">
        <f t="shared" si="62"/>
        <v>1.2000000000000011</v>
      </c>
      <c r="AK192" s="72">
        <f t="shared" si="63"/>
        <v>1.6000000000000014</v>
      </c>
      <c r="AM192" s="35"/>
      <c r="AN192" s="35"/>
    </row>
    <row r="193" spans="1:40" x14ac:dyDescent="0.3">
      <c r="A193" s="35">
        <v>46132</v>
      </c>
      <c r="B193" s="847" t="s">
        <v>883</v>
      </c>
      <c r="C193">
        <v>4.2350000000000003</v>
      </c>
      <c r="E193">
        <f t="shared" si="43"/>
        <v>1</v>
      </c>
      <c r="F193" s="11">
        <v>191</v>
      </c>
      <c r="G193" s="179">
        <v>45972</v>
      </c>
      <c r="H193" s="847">
        <v>3.8420000000000001</v>
      </c>
      <c r="I193" s="847">
        <v>3.923</v>
      </c>
      <c r="J193" s="847">
        <v>2.835</v>
      </c>
      <c r="K193" s="847">
        <v>3.948</v>
      </c>
      <c r="L193" s="847">
        <v>2.8730000000000002</v>
      </c>
      <c r="M193" s="847">
        <v>4.0119999999999996</v>
      </c>
      <c r="N193" s="847">
        <v>2.931</v>
      </c>
      <c r="O193" s="847">
        <v>3.0539999999999998</v>
      </c>
      <c r="P193" s="847">
        <v>3.1760000000000002</v>
      </c>
      <c r="Q193" s="847">
        <v>3.4390000000000001</v>
      </c>
      <c r="R193" s="321">
        <f t="shared" si="44"/>
        <v>0</v>
      </c>
      <c r="S193" s="72">
        <f t="shared" si="45"/>
        <v>0</v>
      </c>
      <c r="T193" s="72">
        <f t="shared" si="46"/>
        <v>0</v>
      </c>
      <c r="U193" s="72">
        <f t="shared" si="47"/>
        <v>0.19999999999997797</v>
      </c>
      <c r="V193" s="72">
        <f t="shared" si="48"/>
        <v>0.40000000000000036</v>
      </c>
      <c r="W193" s="72">
        <f t="shared" si="49"/>
        <v>0</v>
      </c>
      <c r="X193" s="196">
        <f t="shared" si="50"/>
        <v>-0.59999999999997833</v>
      </c>
      <c r="Y193" s="196">
        <f t="shared" si="51"/>
        <v>0</v>
      </c>
      <c r="Z193" s="72">
        <f t="shared" si="52"/>
        <v>0</v>
      </c>
      <c r="AA193" s="72">
        <f t="shared" si="53"/>
        <v>0</v>
      </c>
      <c r="AB193" s="321">
        <f t="shared" si="54"/>
        <v>5.699999999999994</v>
      </c>
      <c r="AC193" s="72">
        <f t="shared" si="55"/>
        <v>5.2999999999999936</v>
      </c>
      <c r="AD193" s="72">
        <f t="shared" si="56"/>
        <v>4.3000000000000149</v>
      </c>
      <c r="AE193" s="72">
        <f t="shared" si="57"/>
        <v>8.2999999999999741</v>
      </c>
      <c r="AF193" s="72">
        <f t="shared" si="58"/>
        <v>3.5000000000000142</v>
      </c>
      <c r="AG193" s="72">
        <f t="shared" si="59"/>
        <v>8.2999999999999741</v>
      </c>
      <c r="AH193" s="196">
        <f t="shared" si="60"/>
        <v>2.3000000000000131</v>
      </c>
      <c r="AI193" s="196">
        <f t="shared" si="61"/>
        <v>1.7999999999999794</v>
      </c>
      <c r="AJ193" s="72">
        <f t="shared" si="62"/>
        <v>1.2000000000000011</v>
      </c>
      <c r="AK193" s="72">
        <f t="shared" si="63"/>
        <v>1.6000000000000014</v>
      </c>
      <c r="AM193" s="35"/>
      <c r="AN193" s="35"/>
    </row>
    <row r="194" spans="1:40" x14ac:dyDescent="0.3">
      <c r="A194" s="35">
        <v>46133</v>
      </c>
      <c r="B194" s="847" t="s">
        <v>883</v>
      </c>
      <c r="C194">
        <v>4.2350000000000003</v>
      </c>
      <c r="E194">
        <f t="shared" si="43"/>
        <v>3</v>
      </c>
      <c r="F194" s="11">
        <v>192</v>
      </c>
      <c r="G194" s="179">
        <v>45971</v>
      </c>
      <c r="H194" s="847">
        <v>3.8479999999999999</v>
      </c>
      <c r="I194" s="847">
        <v>3.923</v>
      </c>
      <c r="J194" s="847">
        <v>2.835</v>
      </c>
      <c r="K194" s="847">
        <v>3.948</v>
      </c>
      <c r="L194" s="847">
        <v>2.8730000000000002</v>
      </c>
      <c r="M194" s="847">
        <v>4.0119999999999996</v>
      </c>
      <c r="N194" s="847">
        <v>2.931</v>
      </c>
      <c r="O194" s="847">
        <v>3.052</v>
      </c>
      <c r="P194" s="847">
        <v>3.1720000000000002</v>
      </c>
      <c r="Q194" s="847">
        <v>3.4390000000000001</v>
      </c>
      <c r="R194" s="321">
        <f t="shared" si="44"/>
        <v>4.0999999999999925</v>
      </c>
      <c r="S194" s="72">
        <f t="shared" si="45"/>
        <v>3.3000000000000362</v>
      </c>
      <c r="T194" s="72">
        <f t="shared" si="46"/>
        <v>2.0999999999999908</v>
      </c>
      <c r="U194" s="72">
        <f t="shared" si="47"/>
        <v>1.2999999999999901</v>
      </c>
      <c r="V194" s="72">
        <f t="shared" si="48"/>
        <v>0.40000000000000036</v>
      </c>
      <c r="W194" s="72">
        <f t="shared" si="49"/>
        <v>0.49999999999998934</v>
      </c>
      <c r="X194" s="196">
        <f t="shared" si="50"/>
        <v>0.8999999999999897</v>
      </c>
      <c r="Y194" s="196">
        <f t="shared" si="51"/>
        <v>1.2999999999999901</v>
      </c>
      <c r="Z194" s="72">
        <f t="shared" si="52"/>
        <v>4.1999999999999815</v>
      </c>
      <c r="AA194" s="72">
        <f t="shared" si="53"/>
        <v>3.6999999999999478</v>
      </c>
      <c r="AB194" s="321">
        <f t="shared" si="54"/>
        <v>6.0999999999999943</v>
      </c>
      <c r="AC194" s="72">
        <f t="shared" si="55"/>
        <v>5.2999999999999936</v>
      </c>
      <c r="AD194" s="72">
        <f t="shared" si="56"/>
        <v>4.3000000000000149</v>
      </c>
      <c r="AE194" s="72">
        <f t="shared" si="57"/>
        <v>9.4999999999999751</v>
      </c>
      <c r="AF194" s="72">
        <f t="shared" si="58"/>
        <v>3.5000000000000142</v>
      </c>
      <c r="AG194" s="72">
        <f t="shared" si="59"/>
        <v>9.5999999999999641</v>
      </c>
      <c r="AH194" s="196">
        <f t="shared" si="60"/>
        <v>2.3000000000000131</v>
      </c>
      <c r="AI194" s="196">
        <f t="shared" si="61"/>
        <v>1.6000000000000014</v>
      </c>
      <c r="AJ194" s="72">
        <f t="shared" si="62"/>
        <v>0.80000000000000071</v>
      </c>
      <c r="AK194" s="72">
        <f t="shared" si="63"/>
        <v>1.4000000000000234</v>
      </c>
      <c r="AM194" s="35"/>
      <c r="AN194" s="35"/>
    </row>
    <row r="195" spans="1:40" x14ac:dyDescent="0.3">
      <c r="A195" s="35">
        <v>46134</v>
      </c>
      <c r="B195" s="847" t="s">
        <v>883</v>
      </c>
      <c r="C195">
        <v>4.2300000000000004</v>
      </c>
      <c r="E195">
        <f t="shared" si="43"/>
        <v>1</v>
      </c>
      <c r="F195" s="11">
        <v>193</v>
      </c>
      <c r="G195" s="179">
        <v>45968</v>
      </c>
      <c r="H195" s="847">
        <v>3.839</v>
      </c>
      <c r="I195" s="847">
        <v>3.91</v>
      </c>
      <c r="J195" s="847">
        <v>2.794</v>
      </c>
      <c r="K195" s="847">
        <v>3.9060000000000001</v>
      </c>
      <c r="L195" s="847">
        <v>2.84</v>
      </c>
      <c r="M195" s="847">
        <v>3.9750000000000001</v>
      </c>
      <c r="N195" s="847">
        <v>2.91</v>
      </c>
      <c r="O195" s="847">
        <v>3.0390000000000001</v>
      </c>
      <c r="P195" s="847">
        <v>3.1680000000000001</v>
      </c>
      <c r="Q195" s="847">
        <v>3.4340000000000002</v>
      </c>
      <c r="R195" s="321">
        <f t="shared" si="44"/>
        <v>0.20000000000002238</v>
      </c>
      <c r="S195" s="72">
        <f t="shared" si="45"/>
        <v>0.19999999999997797</v>
      </c>
      <c r="T195" s="72">
        <f t="shared" si="46"/>
        <v>0.20000000000002238</v>
      </c>
      <c r="U195" s="72">
        <f t="shared" si="47"/>
        <v>0.1000000000000334</v>
      </c>
      <c r="V195" s="72">
        <f t="shared" si="48"/>
        <v>0</v>
      </c>
      <c r="W195" s="72">
        <f t="shared" si="49"/>
        <v>0.60000000000002274</v>
      </c>
      <c r="X195" s="196">
        <f t="shared" si="50"/>
        <v>9.9999999999988987E-2</v>
      </c>
      <c r="Y195" s="196">
        <f t="shared" si="51"/>
        <v>0.20000000000002238</v>
      </c>
      <c r="Z195" s="72">
        <f t="shared" si="52"/>
        <v>0</v>
      </c>
      <c r="AA195" s="72">
        <f t="shared" si="53"/>
        <v>0</v>
      </c>
      <c r="AB195" s="321">
        <f t="shared" si="54"/>
        <v>4.5999999999999819</v>
      </c>
      <c r="AC195" s="72">
        <f t="shared" si="55"/>
        <v>4.4999999999999929</v>
      </c>
      <c r="AD195" s="72">
        <f t="shared" si="56"/>
        <v>0.20000000000002238</v>
      </c>
      <c r="AE195" s="72">
        <f t="shared" si="57"/>
        <v>5.2999999999999936</v>
      </c>
      <c r="AF195" s="72">
        <f t="shared" si="58"/>
        <v>0.19999999999997797</v>
      </c>
      <c r="AG195" s="72">
        <f t="shared" si="59"/>
        <v>5.9000000000000163</v>
      </c>
      <c r="AH195" s="196">
        <f t="shared" si="60"/>
        <v>0.20000000000002238</v>
      </c>
      <c r="AI195" s="196">
        <f t="shared" si="61"/>
        <v>0.30000000000001137</v>
      </c>
      <c r="AJ195" s="72">
        <f t="shared" si="62"/>
        <v>0.40000000000000036</v>
      </c>
      <c r="AK195" s="72">
        <f t="shared" si="63"/>
        <v>1.2000000000000011</v>
      </c>
      <c r="AM195" s="35"/>
      <c r="AN195" s="35"/>
    </row>
    <row r="196" spans="1:40" x14ac:dyDescent="0.3">
      <c r="A196" s="35">
        <v>46135</v>
      </c>
      <c r="B196" s="847" t="s">
        <v>883</v>
      </c>
      <c r="C196">
        <v>4.2329999999999997</v>
      </c>
      <c r="E196">
        <f t="shared" ref="E196:E259" si="64">G196-G197</f>
        <v>1</v>
      </c>
      <c r="F196" s="11">
        <v>194</v>
      </c>
      <c r="G196" s="179">
        <v>45967</v>
      </c>
      <c r="H196" s="847">
        <v>3.8380000000000001</v>
      </c>
      <c r="I196" s="847">
        <v>3.9079999999999999</v>
      </c>
      <c r="J196" s="847">
        <v>2.7919999999999998</v>
      </c>
      <c r="K196" s="847">
        <v>3.9060000000000001</v>
      </c>
      <c r="L196" s="847">
        <v>2.8380000000000001</v>
      </c>
      <c r="M196" s="847">
        <v>3.9750000000000001</v>
      </c>
      <c r="N196" s="847">
        <v>2.9079999999999999</v>
      </c>
      <c r="O196" s="847">
        <v>3.0379999999999998</v>
      </c>
      <c r="P196" s="847">
        <v>3.1680000000000001</v>
      </c>
      <c r="Q196" s="847">
        <v>3.4279999999999999</v>
      </c>
      <c r="R196" s="321">
        <f t="shared" ref="R196:R254" si="65">(J196-J197)*100</f>
        <v>0</v>
      </c>
      <c r="S196" s="72">
        <f t="shared" ref="S196:S254" si="66">(L196-L197)*100</f>
        <v>0</v>
      </c>
      <c r="T196" s="72">
        <f t="shared" ref="T196:T254" si="67">(N196-N197)*100</f>
        <v>0</v>
      </c>
      <c r="U196" s="72">
        <f t="shared" ref="U196:U254" si="68">(O196-O197)*100</f>
        <v>0.19999999999997797</v>
      </c>
      <c r="V196" s="72">
        <f t="shared" ref="V196:V254" si="69">(P196-P197)*100</f>
        <v>0.40000000000000036</v>
      </c>
      <c r="W196" s="72">
        <f t="shared" ref="W196:W254" si="70">(Q196-Q197)*100</f>
        <v>0.49999999999998934</v>
      </c>
      <c r="X196" s="196">
        <f t="shared" ref="X196:X254" si="71">(H196-H197)*100</f>
        <v>0.70000000000001172</v>
      </c>
      <c r="Y196" s="196">
        <f t="shared" ref="Y196:Y254" si="72">(I196-I197)*100</f>
        <v>0.80000000000000071</v>
      </c>
      <c r="Z196" s="72">
        <f t="shared" ref="Z196:Z254" si="73">(K196-K197)*100</f>
        <v>0.40000000000000036</v>
      </c>
      <c r="AA196" s="72">
        <f t="shared" ref="AA196:AA254" si="74">(M196-M197)*100</f>
        <v>0.49999999999998934</v>
      </c>
      <c r="AB196" s="321">
        <f t="shared" ref="AB196:AB254" si="75">(H196-H206)*100</f>
        <v>4.0999999999999925</v>
      </c>
      <c r="AC196" s="72">
        <f t="shared" ref="AC196:AC254" si="76">(I196-I206)*100</f>
        <v>4.2999999999999705</v>
      </c>
      <c r="AD196" s="72">
        <f t="shared" ref="AD196:AD254" si="77">(J196-J206)*100</f>
        <v>0.8999999999999897</v>
      </c>
      <c r="AE196" s="72">
        <f t="shared" ref="AE196:AE254" si="78">(K196-K206)*100</f>
        <v>5.2999999999999936</v>
      </c>
      <c r="AF196" s="72">
        <f t="shared" ref="AF196:AF254" si="79">(L196-L206)*100</f>
        <v>0.8999999999999897</v>
      </c>
      <c r="AG196" s="72">
        <f t="shared" ref="AG196:AG254" si="80">(M196-M206)*100</f>
        <v>6.3000000000000167</v>
      </c>
      <c r="AH196" s="196">
        <f t="shared" ref="AH196:AH254" si="81">(N196-N206)*100</f>
        <v>0.80000000000000071</v>
      </c>
      <c r="AI196" s="196">
        <f t="shared" ref="AI196:AI254" si="82">(O196-O206)*100</f>
        <v>0.80000000000000071</v>
      </c>
      <c r="AJ196" s="72">
        <f t="shared" ref="AJ196:AJ254" si="83">(P196-P206)*100</f>
        <v>0.80000000000000071</v>
      </c>
      <c r="AK196" s="72">
        <f t="shared" ref="AK196:AK254" si="84">(Q196-Q206)*100</f>
        <v>0.40000000000000036</v>
      </c>
      <c r="AM196" s="35"/>
      <c r="AN196" s="35"/>
    </row>
    <row r="197" spans="1:40" x14ac:dyDescent="0.3">
      <c r="A197" s="35">
        <v>46136</v>
      </c>
      <c r="B197" s="847" t="s">
        <v>883</v>
      </c>
      <c r="C197">
        <v>4.2329999999999997</v>
      </c>
      <c r="E197">
        <f t="shared" si="64"/>
        <v>1</v>
      </c>
      <c r="F197" s="11">
        <v>195</v>
      </c>
      <c r="G197" s="179">
        <v>45966</v>
      </c>
      <c r="H197" s="847">
        <v>3.831</v>
      </c>
      <c r="I197" s="847">
        <v>3.9</v>
      </c>
      <c r="J197" s="847">
        <v>2.7919999999999998</v>
      </c>
      <c r="K197" s="847">
        <v>3.9020000000000001</v>
      </c>
      <c r="L197" s="847">
        <v>2.8380000000000001</v>
      </c>
      <c r="M197" s="847">
        <v>3.97</v>
      </c>
      <c r="N197" s="847">
        <v>2.9079999999999999</v>
      </c>
      <c r="O197" s="847">
        <v>3.036</v>
      </c>
      <c r="P197" s="847">
        <v>3.1640000000000001</v>
      </c>
      <c r="Q197" s="847">
        <v>3.423</v>
      </c>
      <c r="R197" s="321">
        <f t="shared" si="65"/>
        <v>0</v>
      </c>
      <c r="S197" s="72">
        <f t="shared" si="66"/>
        <v>0</v>
      </c>
      <c r="T197" s="72">
        <f t="shared" si="67"/>
        <v>0</v>
      </c>
      <c r="U197" s="72">
        <f t="shared" si="68"/>
        <v>0</v>
      </c>
      <c r="V197" s="72">
        <f t="shared" si="69"/>
        <v>0</v>
      </c>
      <c r="W197" s="72">
        <f t="shared" si="70"/>
        <v>0</v>
      </c>
      <c r="X197" s="196">
        <f t="shared" si="71"/>
        <v>0.40000000000000036</v>
      </c>
      <c r="Y197" s="196">
        <f t="shared" si="72"/>
        <v>0.49999999999998934</v>
      </c>
      <c r="Z197" s="72">
        <f t="shared" si="73"/>
        <v>0.40000000000000036</v>
      </c>
      <c r="AA197" s="72">
        <f t="shared" si="74"/>
        <v>0.40000000000000036</v>
      </c>
      <c r="AB197" s="321">
        <f t="shared" si="75"/>
        <v>6.0999999999999943</v>
      </c>
      <c r="AC197" s="72">
        <f t="shared" si="76"/>
        <v>6.4999999999999947</v>
      </c>
      <c r="AD197" s="72">
        <f t="shared" si="77"/>
        <v>0.8999999999999897</v>
      </c>
      <c r="AE197" s="72">
        <f t="shared" si="78"/>
        <v>5.8000000000000274</v>
      </c>
      <c r="AF197" s="72">
        <f t="shared" si="79"/>
        <v>0.8999999999999897</v>
      </c>
      <c r="AG197" s="72">
        <f t="shared" si="80"/>
        <v>6.2000000000000277</v>
      </c>
      <c r="AH197" s="196">
        <f t="shared" si="81"/>
        <v>0.80000000000000071</v>
      </c>
      <c r="AI197" s="196">
        <f t="shared" si="82"/>
        <v>0.60000000000002274</v>
      </c>
      <c r="AJ197" s="72">
        <f t="shared" si="83"/>
        <v>0.40000000000000036</v>
      </c>
      <c r="AK197" s="72">
        <f t="shared" si="84"/>
        <v>-0.30000000000001137</v>
      </c>
      <c r="AM197" s="35"/>
      <c r="AN197" s="35"/>
    </row>
    <row r="198" spans="1:40" x14ac:dyDescent="0.3">
      <c r="A198" s="35">
        <v>46140</v>
      </c>
      <c r="B198" s="847" t="s">
        <v>883</v>
      </c>
      <c r="C198">
        <v>4.2329999999999997</v>
      </c>
      <c r="E198">
        <f t="shared" si="64"/>
        <v>1</v>
      </c>
      <c r="F198" s="11">
        <v>196</v>
      </c>
      <c r="G198" s="179">
        <v>45965</v>
      </c>
      <c r="H198" s="847">
        <v>3.827</v>
      </c>
      <c r="I198" s="847">
        <v>3.895</v>
      </c>
      <c r="J198" s="847">
        <v>2.7919999999999998</v>
      </c>
      <c r="K198" s="847">
        <v>3.8980000000000001</v>
      </c>
      <c r="L198" s="847">
        <v>2.8380000000000001</v>
      </c>
      <c r="M198" s="847">
        <v>3.9660000000000002</v>
      </c>
      <c r="N198" s="847">
        <v>2.9079999999999999</v>
      </c>
      <c r="O198" s="847">
        <v>3.036</v>
      </c>
      <c r="P198" s="847">
        <v>3.1640000000000001</v>
      </c>
      <c r="Q198" s="847">
        <v>3.423</v>
      </c>
      <c r="R198" s="321">
        <f t="shared" si="65"/>
        <v>0</v>
      </c>
      <c r="S198" s="72">
        <f t="shared" si="66"/>
        <v>0</v>
      </c>
      <c r="T198" s="72">
        <f t="shared" si="67"/>
        <v>0</v>
      </c>
      <c r="U198" s="72">
        <f t="shared" si="68"/>
        <v>0</v>
      </c>
      <c r="V198" s="72">
        <f t="shared" si="69"/>
        <v>0</v>
      </c>
      <c r="W198" s="72">
        <f t="shared" si="70"/>
        <v>0</v>
      </c>
      <c r="X198" s="196">
        <f t="shared" si="71"/>
        <v>0.49999999999998934</v>
      </c>
      <c r="Y198" s="196">
        <f t="shared" si="72"/>
        <v>0.20000000000002238</v>
      </c>
      <c r="Z198" s="72">
        <f t="shared" si="73"/>
        <v>0.30000000000001137</v>
      </c>
      <c r="AA198" s="72">
        <f t="shared" si="74"/>
        <v>0.40000000000000036</v>
      </c>
      <c r="AB198" s="321">
        <f t="shared" si="75"/>
        <v>6.4999999999999947</v>
      </c>
      <c r="AC198" s="72">
        <f t="shared" si="76"/>
        <v>6.999999999999984</v>
      </c>
      <c r="AD198" s="72">
        <f t="shared" si="77"/>
        <v>2.4999999999999911</v>
      </c>
      <c r="AE198" s="72">
        <f t="shared" si="78"/>
        <v>5.400000000000027</v>
      </c>
      <c r="AF198" s="72">
        <f t="shared" si="79"/>
        <v>2.4999999999999911</v>
      </c>
      <c r="AG198" s="72">
        <f t="shared" si="80"/>
        <v>5.8000000000000274</v>
      </c>
      <c r="AH198" s="196">
        <f t="shared" si="81"/>
        <v>2.4999999999999911</v>
      </c>
      <c r="AI198" s="196">
        <f t="shared" si="82"/>
        <v>1.9000000000000128</v>
      </c>
      <c r="AJ198" s="72">
        <f t="shared" si="83"/>
        <v>1.3000000000000345</v>
      </c>
      <c r="AK198" s="72">
        <f t="shared" si="84"/>
        <v>-0.19999999999997797</v>
      </c>
      <c r="AM198" s="35"/>
      <c r="AN198" s="35"/>
    </row>
    <row r="199" spans="1:40" x14ac:dyDescent="0.3">
      <c r="A199" s="35">
        <v>46141</v>
      </c>
      <c r="B199" s="847" t="s">
        <v>883</v>
      </c>
      <c r="C199">
        <v>4.2359999999999998</v>
      </c>
      <c r="E199">
        <f t="shared" si="64"/>
        <v>3</v>
      </c>
      <c r="F199" s="11">
        <v>197</v>
      </c>
      <c r="G199" s="179">
        <v>45964</v>
      </c>
      <c r="H199" s="847">
        <v>3.8220000000000001</v>
      </c>
      <c r="I199" s="847">
        <v>3.8929999999999998</v>
      </c>
      <c r="J199" s="847">
        <v>2.7919999999999998</v>
      </c>
      <c r="K199" s="847">
        <v>3.895</v>
      </c>
      <c r="L199" s="847">
        <v>2.8380000000000001</v>
      </c>
      <c r="M199" s="847">
        <v>3.9620000000000002</v>
      </c>
      <c r="N199" s="847">
        <v>2.9079999999999999</v>
      </c>
      <c r="O199" s="847">
        <v>3.036</v>
      </c>
      <c r="P199" s="847">
        <v>3.1640000000000001</v>
      </c>
      <c r="Q199" s="847">
        <v>3.423</v>
      </c>
      <c r="R199" s="321">
        <f t="shared" si="65"/>
        <v>0</v>
      </c>
      <c r="S199" s="72">
        <f t="shared" si="66"/>
        <v>0</v>
      </c>
      <c r="T199" s="72">
        <f t="shared" si="67"/>
        <v>0</v>
      </c>
      <c r="U199" s="72">
        <f t="shared" si="68"/>
        <v>0</v>
      </c>
      <c r="V199" s="72">
        <f t="shared" si="69"/>
        <v>0</v>
      </c>
      <c r="W199" s="72">
        <f t="shared" si="70"/>
        <v>0</v>
      </c>
      <c r="X199" s="196">
        <f t="shared" si="71"/>
        <v>0.20000000000002238</v>
      </c>
      <c r="Y199" s="196">
        <f t="shared" si="72"/>
        <v>0</v>
      </c>
      <c r="Z199" s="72">
        <f t="shared" si="73"/>
        <v>0</v>
      </c>
      <c r="AA199" s="72">
        <f t="shared" si="74"/>
        <v>0</v>
      </c>
      <c r="AB199" s="321">
        <f t="shared" si="75"/>
        <v>6.4000000000000057</v>
      </c>
      <c r="AC199" s="72">
        <f t="shared" si="76"/>
        <v>6.7999999999999616</v>
      </c>
      <c r="AD199" s="72">
        <f t="shared" si="77"/>
        <v>2.4999999999999911</v>
      </c>
      <c r="AE199" s="72">
        <f t="shared" si="78"/>
        <v>5.1000000000000156</v>
      </c>
      <c r="AF199" s="72">
        <f t="shared" si="79"/>
        <v>2.4999999999999911</v>
      </c>
      <c r="AG199" s="72">
        <f t="shared" si="80"/>
        <v>5.8000000000000274</v>
      </c>
      <c r="AH199" s="196">
        <f t="shared" si="81"/>
        <v>2.4999999999999911</v>
      </c>
      <c r="AI199" s="196">
        <f t="shared" si="82"/>
        <v>1.9000000000000128</v>
      </c>
      <c r="AJ199" s="72">
        <f t="shared" si="83"/>
        <v>1.3000000000000345</v>
      </c>
      <c r="AK199" s="72">
        <f t="shared" si="84"/>
        <v>-0.49999999999998934</v>
      </c>
      <c r="AM199" s="35"/>
      <c r="AN199" s="35"/>
    </row>
    <row r="200" spans="1:40" x14ac:dyDescent="0.3">
      <c r="A200" s="35">
        <v>46146</v>
      </c>
      <c r="B200" s="847" t="s">
        <v>883</v>
      </c>
      <c r="C200">
        <v>4.226</v>
      </c>
      <c r="E200">
        <f t="shared" si="64"/>
        <v>1</v>
      </c>
      <c r="F200" s="11">
        <v>198</v>
      </c>
      <c r="G200" s="179">
        <v>45961</v>
      </c>
      <c r="H200" s="847">
        <v>3.82</v>
      </c>
      <c r="I200" s="847">
        <v>3.8929999999999998</v>
      </c>
      <c r="J200" s="847">
        <v>2.7919999999999998</v>
      </c>
      <c r="K200" s="847">
        <v>3.895</v>
      </c>
      <c r="L200" s="847">
        <v>2.8380000000000001</v>
      </c>
      <c r="M200" s="847">
        <v>3.9620000000000002</v>
      </c>
      <c r="N200" s="847">
        <v>2.9079999999999999</v>
      </c>
      <c r="O200" s="847">
        <v>3.036</v>
      </c>
      <c r="P200" s="847">
        <v>3.1640000000000001</v>
      </c>
      <c r="Q200" s="847">
        <v>3.423</v>
      </c>
      <c r="R200" s="321">
        <f t="shared" si="65"/>
        <v>0</v>
      </c>
      <c r="S200" s="72">
        <f t="shared" si="66"/>
        <v>0</v>
      </c>
      <c r="T200" s="72">
        <f t="shared" si="67"/>
        <v>0</v>
      </c>
      <c r="U200" s="72">
        <f t="shared" si="68"/>
        <v>0</v>
      </c>
      <c r="V200" s="72">
        <f t="shared" si="69"/>
        <v>0</v>
      </c>
      <c r="W200" s="72">
        <f t="shared" si="70"/>
        <v>0</v>
      </c>
      <c r="X200" s="196">
        <f t="shared" si="71"/>
        <v>0.99999999999997868</v>
      </c>
      <c r="Y200" s="196">
        <f t="shared" si="72"/>
        <v>1.2000000000000011</v>
      </c>
      <c r="Z200" s="72">
        <f t="shared" si="73"/>
        <v>1.0000000000000231</v>
      </c>
      <c r="AA200" s="72">
        <f t="shared" si="74"/>
        <v>1.2000000000000011</v>
      </c>
      <c r="AB200" s="321">
        <f t="shared" si="75"/>
        <v>5.7999999999999829</v>
      </c>
      <c r="AC200" s="72">
        <f t="shared" si="76"/>
        <v>7.2999999999999954</v>
      </c>
      <c r="AD200" s="72">
        <f t="shared" si="77"/>
        <v>4.1999999999999815</v>
      </c>
      <c r="AE200" s="72">
        <f t="shared" si="78"/>
        <v>6.7000000000000171</v>
      </c>
      <c r="AF200" s="72">
        <f t="shared" si="79"/>
        <v>4.2000000000000259</v>
      </c>
      <c r="AG200" s="72">
        <f t="shared" si="80"/>
        <v>7.1000000000000174</v>
      </c>
      <c r="AH200" s="196">
        <f t="shared" si="81"/>
        <v>4.0999999999999925</v>
      </c>
      <c r="AI200" s="196">
        <f t="shared" si="82"/>
        <v>2.7000000000000135</v>
      </c>
      <c r="AJ200" s="72">
        <f t="shared" si="83"/>
        <v>1.3000000000000345</v>
      </c>
      <c r="AK200" s="72">
        <f t="shared" si="84"/>
        <v>-0.19999999999997797</v>
      </c>
      <c r="AM200" s="35"/>
      <c r="AN200" s="35"/>
    </row>
    <row r="201" spans="1:40" x14ac:dyDescent="0.3">
      <c r="A201" s="35">
        <v>46147</v>
      </c>
      <c r="B201" s="847" t="s">
        <v>883</v>
      </c>
      <c r="C201">
        <v>4.2320000000000002</v>
      </c>
      <c r="E201">
        <f t="shared" si="64"/>
        <v>1</v>
      </c>
      <c r="F201" s="11">
        <v>199</v>
      </c>
      <c r="G201" s="179">
        <v>45960</v>
      </c>
      <c r="H201" s="847">
        <v>3.81</v>
      </c>
      <c r="I201" s="847">
        <v>3.8809999999999998</v>
      </c>
      <c r="J201" s="847">
        <v>2.7919999999999998</v>
      </c>
      <c r="K201" s="847">
        <v>3.8849999999999998</v>
      </c>
      <c r="L201" s="847">
        <v>2.8380000000000001</v>
      </c>
      <c r="M201" s="847">
        <v>3.95</v>
      </c>
      <c r="N201" s="847">
        <v>2.9079999999999999</v>
      </c>
      <c r="O201" s="847">
        <v>3.036</v>
      </c>
      <c r="P201" s="847">
        <v>3.1640000000000001</v>
      </c>
      <c r="Q201" s="847">
        <v>3.423</v>
      </c>
      <c r="R201" s="321">
        <f t="shared" si="65"/>
        <v>0</v>
      </c>
      <c r="S201" s="72">
        <f t="shared" si="66"/>
        <v>0</v>
      </c>
      <c r="T201" s="72">
        <f t="shared" si="67"/>
        <v>0</v>
      </c>
      <c r="U201" s="72">
        <f t="shared" si="68"/>
        <v>0</v>
      </c>
      <c r="V201" s="72">
        <f t="shared" si="69"/>
        <v>0</v>
      </c>
      <c r="W201" s="72">
        <f t="shared" si="70"/>
        <v>0</v>
      </c>
      <c r="X201" s="196">
        <f t="shared" si="71"/>
        <v>2.2000000000000242</v>
      </c>
      <c r="Y201" s="196">
        <f t="shared" si="72"/>
        <v>0.99999999999997868</v>
      </c>
      <c r="Z201" s="72">
        <f t="shared" si="73"/>
        <v>1.9999999999999574</v>
      </c>
      <c r="AA201" s="72">
        <f t="shared" si="74"/>
        <v>2.1000000000000352</v>
      </c>
      <c r="AB201" s="321">
        <f t="shared" si="75"/>
        <v>6.4000000000000057</v>
      </c>
      <c r="AC201" s="72">
        <f t="shared" si="76"/>
        <v>6.5999999999999837</v>
      </c>
      <c r="AD201" s="72">
        <f t="shared" si="77"/>
        <v>4.7999999999999599</v>
      </c>
      <c r="AE201" s="72">
        <f t="shared" si="78"/>
        <v>5.699999999999994</v>
      </c>
      <c r="AF201" s="72">
        <f t="shared" si="79"/>
        <v>4.8000000000000043</v>
      </c>
      <c r="AG201" s="72">
        <f t="shared" si="80"/>
        <v>5.9000000000000163</v>
      </c>
      <c r="AH201" s="196">
        <f t="shared" si="81"/>
        <v>4.8000000000000043</v>
      </c>
      <c r="AI201" s="196">
        <f t="shared" si="82"/>
        <v>3.0000000000000249</v>
      </c>
      <c r="AJ201" s="72">
        <f t="shared" si="83"/>
        <v>1.3000000000000345</v>
      </c>
      <c r="AK201" s="72">
        <f t="shared" si="84"/>
        <v>-0.49999999999998934</v>
      </c>
      <c r="AM201" s="35"/>
      <c r="AN201" s="35"/>
    </row>
    <row r="202" spans="1:40" x14ac:dyDescent="0.3">
      <c r="A202" s="35">
        <v>46148</v>
      </c>
      <c r="B202" s="847" t="s">
        <v>883</v>
      </c>
      <c r="C202">
        <v>4.2350000000000003</v>
      </c>
      <c r="E202">
        <f t="shared" si="64"/>
        <v>1</v>
      </c>
      <c r="F202" s="11">
        <v>200</v>
      </c>
      <c r="G202" s="179">
        <v>45959</v>
      </c>
      <c r="H202" s="847">
        <v>3.7879999999999998</v>
      </c>
      <c r="I202" s="847">
        <v>3.871</v>
      </c>
      <c r="J202" s="847">
        <v>2.7919999999999998</v>
      </c>
      <c r="K202" s="847">
        <v>3.8650000000000002</v>
      </c>
      <c r="L202" s="847">
        <v>2.8380000000000001</v>
      </c>
      <c r="M202" s="847">
        <v>3.9289999999999998</v>
      </c>
      <c r="N202" s="847">
        <v>2.9079999999999999</v>
      </c>
      <c r="O202" s="847">
        <v>3.036</v>
      </c>
      <c r="P202" s="847">
        <v>3.1640000000000001</v>
      </c>
      <c r="Q202" s="847">
        <v>3.423</v>
      </c>
      <c r="R202" s="321">
        <f t="shared" si="65"/>
        <v>0</v>
      </c>
      <c r="S202" s="72">
        <f t="shared" si="66"/>
        <v>0</v>
      </c>
      <c r="T202" s="72">
        <f t="shared" si="67"/>
        <v>0</v>
      </c>
      <c r="U202" s="72">
        <f t="shared" si="68"/>
        <v>0</v>
      </c>
      <c r="V202" s="72">
        <f t="shared" si="69"/>
        <v>0</v>
      </c>
      <c r="W202" s="72">
        <f t="shared" si="70"/>
        <v>0</v>
      </c>
      <c r="X202" s="196">
        <f t="shared" si="71"/>
        <v>0.29999999999996696</v>
      </c>
      <c r="Y202" s="196">
        <f t="shared" si="72"/>
        <v>9.9999999999988987E-2</v>
      </c>
      <c r="Z202" s="72">
        <f t="shared" si="73"/>
        <v>0</v>
      </c>
      <c r="AA202" s="72">
        <f t="shared" si="74"/>
        <v>0</v>
      </c>
      <c r="AB202" s="321">
        <f t="shared" si="75"/>
        <v>6.0999999999999943</v>
      </c>
      <c r="AC202" s="72">
        <f t="shared" si="76"/>
        <v>7.2999999999999954</v>
      </c>
      <c r="AD202" s="72">
        <f t="shared" si="77"/>
        <v>6.4999999999999947</v>
      </c>
      <c r="AE202" s="72">
        <f t="shared" si="78"/>
        <v>5.400000000000027</v>
      </c>
      <c r="AF202" s="72">
        <f t="shared" si="79"/>
        <v>6.4999999999999947</v>
      </c>
      <c r="AG202" s="72">
        <f t="shared" si="80"/>
        <v>5.8999999999999719</v>
      </c>
      <c r="AH202" s="196">
        <f t="shared" si="81"/>
        <v>7.2999999999999954</v>
      </c>
      <c r="AI202" s="196">
        <f t="shared" si="82"/>
        <v>5.3999999999999826</v>
      </c>
      <c r="AJ202" s="72">
        <f t="shared" si="83"/>
        <v>3.5000000000000142</v>
      </c>
      <c r="AK202" s="72">
        <f t="shared" si="84"/>
        <v>2.0000000000000018</v>
      </c>
      <c r="AM202" s="35"/>
      <c r="AN202" s="35"/>
    </row>
    <row r="203" spans="1:40" x14ac:dyDescent="0.3">
      <c r="A203" s="35">
        <v>46149</v>
      </c>
      <c r="B203" s="847" t="s">
        <v>883</v>
      </c>
      <c r="C203">
        <v>4.2350000000000003</v>
      </c>
      <c r="E203">
        <f t="shared" si="64"/>
        <v>1</v>
      </c>
      <c r="F203" s="11">
        <v>201</v>
      </c>
      <c r="G203" s="179">
        <v>45958</v>
      </c>
      <c r="H203" s="847">
        <v>3.7850000000000001</v>
      </c>
      <c r="I203" s="847">
        <v>3.87</v>
      </c>
      <c r="J203" s="847">
        <v>2.7919999999999998</v>
      </c>
      <c r="K203" s="847">
        <v>3.8650000000000002</v>
      </c>
      <c r="L203" s="847">
        <v>2.8380000000000001</v>
      </c>
      <c r="M203" s="847">
        <v>3.9289999999999998</v>
      </c>
      <c r="N203" s="847">
        <v>2.9079999999999999</v>
      </c>
      <c r="O203" s="847">
        <v>3.036</v>
      </c>
      <c r="P203" s="847">
        <v>3.1640000000000001</v>
      </c>
      <c r="Q203" s="847">
        <v>3.423</v>
      </c>
      <c r="R203" s="321">
        <f t="shared" si="65"/>
        <v>0</v>
      </c>
      <c r="S203" s="72">
        <f t="shared" si="66"/>
        <v>0</v>
      </c>
      <c r="T203" s="72">
        <f t="shared" si="67"/>
        <v>0</v>
      </c>
      <c r="U203" s="72">
        <f t="shared" si="68"/>
        <v>0</v>
      </c>
      <c r="V203" s="72">
        <f t="shared" si="69"/>
        <v>0</v>
      </c>
      <c r="W203" s="72">
        <f t="shared" si="70"/>
        <v>-0.19999999999997797</v>
      </c>
      <c r="X203" s="196">
        <f t="shared" si="71"/>
        <v>-0.19999999999997797</v>
      </c>
      <c r="Y203" s="196">
        <f t="shared" si="72"/>
        <v>0</v>
      </c>
      <c r="Z203" s="72">
        <f t="shared" si="73"/>
        <v>1.2000000000000011</v>
      </c>
      <c r="AA203" s="72">
        <f t="shared" si="74"/>
        <v>1.2999999999999901</v>
      </c>
      <c r="AB203" s="321">
        <f t="shared" si="75"/>
        <v>5.9000000000000163</v>
      </c>
      <c r="AC203" s="72">
        <f t="shared" si="76"/>
        <v>7.6999999999999957</v>
      </c>
      <c r="AD203" s="72">
        <f t="shared" si="77"/>
        <v>6.4999999999999947</v>
      </c>
      <c r="AE203" s="72">
        <f t="shared" si="78"/>
        <v>5.400000000000027</v>
      </c>
      <c r="AF203" s="72">
        <f t="shared" si="79"/>
        <v>6.4999999999999947</v>
      </c>
      <c r="AG203" s="72">
        <f t="shared" si="80"/>
        <v>5.8999999999999719</v>
      </c>
      <c r="AH203" s="196">
        <f t="shared" si="81"/>
        <v>7.2999999999999954</v>
      </c>
      <c r="AI203" s="196">
        <f t="shared" si="82"/>
        <v>5.3999999999999826</v>
      </c>
      <c r="AJ203" s="72">
        <f t="shared" si="83"/>
        <v>3.5000000000000142</v>
      </c>
      <c r="AK203" s="72">
        <f t="shared" si="84"/>
        <v>2.0999999999999908</v>
      </c>
      <c r="AM203" s="35"/>
      <c r="AN203" s="35"/>
    </row>
    <row r="204" spans="1:40" x14ac:dyDescent="0.3">
      <c r="A204" s="35">
        <v>46150</v>
      </c>
      <c r="B204" s="847" t="s">
        <v>883</v>
      </c>
      <c r="C204">
        <v>4.2350000000000003</v>
      </c>
      <c r="E204">
        <f t="shared" si="64"/>
        <v>3</v>
      </c>
      <c r="F204" s="11">
        <v>202</v>
      </c>
      <c r="G204" s="179">
        <v>45957</v>
      </c>
      <c r="H204" s="847">
        <v>3.7869999999999999</v>
      </c>
      <c r="I204" s="847">
        <v>3.87</v>
      </c>
      <c r="J204" s="847">
        <v>2.7919999999999998</v>
      </c>
      <c r="K204" s="847">
        <v>3.8530000000000002</v>
      </c>
      <c r="L204" s="847">
        <v>2.8380000000000001</v>
      </c>
      <c r="M204" s="847">
        <v>3.9159999999999999</v>
      </c>
      <c r="N204" s="847">
        <v>2.9079999999999999</v>
      </c>
      <c r="O204" s="847">
        <v>3.036</v>
      </c>
      <c r="P204" s="847">
        <v>3.1640000000000001</v>
      </c>
      <c r="Q204" s="847">
        <v>3.4249999999999998</v>
      </c>
      <c r="R204" s="321">
        <f t="shared" si="65"/>
        <v>0</v>
      </c>
      <c r="S204" s="72">
        <f t="shared" si="66"/>
        <v>0</v>
      </c>
      <c r="T204" s="72">
        <f t="shared" si="67"/>
        <v>0</v>
      </c>
      <c r="U204" s="72">
        <f t="shared" si="68"/>
        <v>0</v>
      </c>
      <c r="V204" s="72">
        <f t="shared" si="69"/>
        <v>0</v>
      </c>
      <c r="W204" s="72">
        <f t="shared" si="70"/>
        <v>0.29999999999996696</v>
      </c>
      <c r="X204" s="196">
        <f t="shared" si="71"/>
        <v>-0.60000000000002274</v>
      </c>
      <c r="Y204" s="196">
        <f t="shared" si="72"/>
        <v>0.49999999999998934</v>
      </c>
      <c r="Z204" s="72">
        <f t="shared" si="73"/>
        <v>0</v>
      </c>
      <c r="AA204" s="72">
        <f t="shared" si="74"/>
        <v>0</v>
      </c>
      <c r="AB204" s="321">
        <f t="shared" si="75"/>
        <v>6.0000000000000053</v>
      </c>
      <c r="AC204" s="72">
        <f t="shared" si="76"/>
        <v>8.2000000000000295</v>
      </c>
      <c r="AD204" s="72">
        <f t="shared" si="77"/>
        <v>6.4999999999999947</v>
      </c>
      <c r="AE204" s="72">
        <f t="shared" si="78"/>
        <v>5.0000000000000266</v>
      </c>
      <c r="AF204" s="72">
        <f t="shared" si="79"/>
        <v>6.4999999999999947</v>
      </c>
      <c r="AG204" s="72">
        <f t="shared" si="80"/>
        <v>5.3999999999999826</v>
      </c>
      <c r="AH204" s="196">
        <f t="shared" si="81"/>
        <v>7.2999999999999954</v>
      </c>
      <c r="AI204" s="196">
        <f t="shared" si="82"/>
        <v>5.3999999999999826</v>
      </c>
      <c r="AJ204" s="72">
        <f t="shared" si="83"/>
        <v>3.5000000000000142</v>
      </c>
      <c r="AK204" s="72">
        <f t="shared" si="84"/>
        <v>1.8999999999999684</v>
      </c>
      <c r="AM204" s="35"/>
      <c r="AN204" s="35"/>
    </row>
    <row r="205" spans="1:40" x14ac:dyDescent="0.3">
      <c r="A205" s="35">
        <v>46153</v>
      </c>
      <c r="B205" s="847" t="s">
        <v>883</v>
      </c>
      <c r="C205">
        <v>4.2350000000000003</v>
      </c>
      <c r="E205">
        <f t="shared" si="64"/>
        <v>1</v>
      </c>
      <c r="F205" s="11">
        <v>203</v>
      </c>
      <c r="G205" s="179">
        <v>45954</v>
      </c>
      <c r="H205" s="847">
        <v>3.7930000000000001</v>
      </c>
      <c r="I205" s="847">
        <v>3.8650000000000002</v>
      </c>
      <c r="J205" s="847">
        <v>2.7919999999999998</v>
      </c>
      <c r="K205" s="847">
        <v>3.8530000000000002</v>
      </c>
      <c r="L205" s="847">
        <v>2.8380000000000001</v>
      </c>
      <c r="M205" s="847">
        <v>3.9159999999999999</v>
      </c>
      <c r="N205" s="847">
        <v>2.9079999999999999</v>
      </c>
      <c r="O205" s="847">
        <v>3.036</v>
      </c>
      <c r="P205" s="847">
        <v>3.1640000000000001</v>
      </c>
      <c r="Q205" s="847">
        <v>3.4220000000000002</v>
      </c>
      <c r="R205" s="321">
        <f t="shared" si="65"/>
        <v>0.8999999999999897</v>
      </c>
      <c r="S205" s="72">
        <f t="shared" si="66"/>
        <v>0.8999999999999897</v>
      </c>
      <c r="T205" s="72">
        <f t="shared" si="67"/>
        <v>0.80000000000000071</v>
      </c>
      <c r="U205" s="72">
        <f t="shared" si="68"/>
        <v>0.60000000000002274</v>
      </c>
      <c r="V205" s="72">
        <f t="shared" si="69"/>
        <v>0.40000000000000036</v>
      </c>
      <c r="W205" s="72">
        <f t="shared" si="70"/>
        <v>-0.19999999999997797</v>
      </c>
      <c r="X205" s="196">
        <f t="shared" si="71"/>
        <v>-0.40000000000000036</v>
      </c>
      <c r="Y205" s="196">
        <f t="shared" si="72"/>
        <v>0</v>
      </c>
      <c r="Z205" s="72">
        <f t="shared" si="73"/>
        <v>0</v>
      </c>
      <c r="AA205" s="72">
        <f t="shared" si="74"/>
        <v>0.40000000000000036</v>
      </c>
      <c r="AB205" s="321">
        <f t="shared" si="75"/>
        <v>7.4000000000000288</v>
      </c>
      <c r="AC205" s="72">
        <f t="shared" si="76"/>
        <v>7.7000000000000401</v>
      </c>
      <c r="AD205" s="72">
        <f t="shared" si="77"/>
        <v>6.4999999999999947</v>
      </c>
      <c r="AE205" s="72">
        <f t="shared" si="78"/>
        <v>5.500000000000016</v>
      </c>
      <c r="AF205" s="72">
        <f t="shared" si="79"/>
        <v>6.4999999999999947</v>
      </c>
      <c r="AG205" s="72">
        <f t="shared" si="80"/>
        <v>5.7999999999999829</v>
      </c>
      <c r="AH205" s="196">
        <f t="shared" si="81"/>
        <v>7.2999999999999954</v>
      </c>
      <c r="AI205" s="196">
        <f t="shared" si="82"/>
        <v>5.3999999999999826</v>
      </c>
      <c r="AJ205" s="72">
        <f t="shared" si="83"/>
        <v>3.5000000000000142</v>
      </c>
      <c r="AK205" s="72">
        <f t="shared" si="84"/>
        <v>-1.499999999999968</v>
      </c>
      <c r="AM205" s="35"/>
      <c r="AN205" s="35"/>
    </row>
    <row r="206" spans="1:40" x14ac:dyDescent="0.3">
      <c r="A206" s="35">
        <v>46154</v>
      </c>
      <c r="B206" s="847" t="s">
        <v>883</v>
      </c>
      <c r="C206">
        <v>4.2359999999999998</v>
      </c>
      <c r="E206">
        <f t="shared" si="64"/>
        <v>1</v>
      </c>
      <c r="F206" s="11">
        <v>204</v>
      </c>
      <c r="G206" s="179">
        <v>45953</v>
      </c>
      <c r="H206" s="847">
        <v>3.7970000000000002</v>
      </c>
      <c r="I206" s="847">
        <v>3.8650000000000002</v>
      </c>
      <c r="J206" s="847">
        <v>2.7829999999999999</v>
      </c>
      <c r="K206" s="847">
        <v>3.8530000000000002</v>
      </c>
      <c r="L206" s="847">
        <v>2.8290000000000002</v>
      </c>
      <c r="M206" s="847">
        <v>3.9119999999999999</v>
      </c>
      <c r="N206" s="847">
        <v>2.9</v>
      </c>
      <c r="O206" s="847">
        <v>3.03</v>
      </c>
      <c r="P206" s="847">
        <v>3.16</v>
      </c>
      <c r="Q206" s="847">
        <v>3.4239999999999999</v>
      </c>
      <c r="R206" s="321">
        <f t="shared" si="65"/>
        <v>0</v>
      </c>
      <c r="S206" s="72">
        <f t="shared" si="66"/>
        <v>0</v>
      </c>
      <c r="T206" s="72">
        <f t="shared" si="67"/>
        <v>0</v>
      </c>
      <c r="U206" s="72">
        <f t="shared" si="68"/>
        <v>0</v>
      </c>
      <c r="V206" s="72">
        <f t="shared" si="69"/>
        <v>0</v>
      </c>
      <c r="W206" s="72">
        <f t="shared" si="70"/>
        <v>-0.20000000000002238</v>
      </c>
      <c r="X206" s="196">
        <f t="shared" si="71"/>
        <v>2.7000000000000135</v>
      </c>
      <c r="Y206" s="196">
        <f t="shared" si="72"/>
        <v>3.0000000000000249</v>
      </c>
      <c r="Z206" s="72">
        <f t="shared" si="73"/>
        <v>0.90000000000003411</v>
      </c>
      <c r="AA206" s="72">
        <f t="shared" si="74"/>
        <v>0.40000000000000036</v>
      </c>
      <c r="AB206" s="321">
        <f t="shared" si="75"/>
        <v>9.2000000000000082</v>
      </c>
      <c r="AC206" s="72">
        <f t="shared" si="76"/>
        <v>8.9000000000000412</v>
      </c>
      <c r="AD206" s="72">
        <f t="shared" si="77"/>
        <v>5.600000000000005</v>
      </c>
      <c r="AE206" s="72">
        <f t="shared" si="78"/>
        <v>6.7000000000000171</v>
      </c>
      <c r="AF206" s="72">
        <f t="shared" si="79"/>
        <v>5.600000000000005</v>
      </c>
      <c r="AG206" s="72">
        <f t="shared" si="80"/>
        <v>6.6999999999999726</v>
      </c>
      <c r="AH206" s="196">
        <f t="shared" si="81"/>
        <v>6.4999999999999947</v>
      </c>
      <c r="AI206" s="196">
        <f t="shared" si="82"/>
        <v>4.9999999999999822</v>
      </c>
      <c r="AJ206" s="72">
        <f t="shared" si="83"/>
        <v>3.6000000000000032</v>
      </c>
      <c r="AK206" s="72">
        <f t="shared" si="84"/>
        <v>1.5000000000000124</v>
      </c>
      <c r="AM206" s="35"/>
      <c r="AN206" s="35"/>
    </row>
    <row r="207" spans="1:40" x14ac:dyDescent="0.3">
      <c r="A207" s="35">
        <v>46155</v>
      </c>
      <c r="B207" s="847" t="s">
        <v>883</v>
      </c>
      <c r="C207">
        <v>4.2380000000000004</v>
      </c>
      <c r="E207">
        <f t="shared" si="64"/>
        <v>1</v>
      </c>
      <c r="F207" s="11">
        <v>205</v>
      </c>
      <c r="G207" s="179">
        <v>45952</v>
      </c>
      <c r="H207" s="847">
        <v>3.77</v>
      </c>
      <c r="I207" s="847">
        <v>3.835</v>
      </c>
      <c r="J207" s="847">
        <v>2.7829999999999999</v>
      </c>
      <c r="K207" s="847">
        <v>3.8439999999999999</v>
      </c>
      <c r="L207" s="847">
        <v>2.8290000000000002</v>
      </c>
      <c r="M207" s="847">
        <v>3.9079999999999999</v>
      </c>
      <c r="N207" s="847">
        <v>2.9</v>
      </c>
      <c r="O207" s="847">
        <v>3.03</v>
      </c>
      <c r="P207" s="847">
        <v>3.16</v>
      </c>
      <c r="Q207" s="847">
        <v>3.4260000000000002</v>
      </c>
      <c r="R207" s="321">
        <f t="shared" si="65"/>
        <v>1.6000000000000014</v>
      </c>
      <c r="S207" s="72">
        <f t="shared" si="66"/>
        <v>1.6000000000000014</v>
      </c>
      <c r="T207" s="72">
        <f t="shared" si="67"/>
        <v>1.6999999999999904</v>
      </c>
      <c r="U207" s="72">
        <f t="shared" si="68"/>
        <v>1.2999999999999901</v>
      </c>
      <c r="V207" s="72">
        <f t="shared" si="69"/>
        <v>0.90000000000003411</v>
      </c>
      <c r="W207" s="72">
        <f t="shared" si="70"/>
        <v>0.1000000000000334</v>
      </c>
      <c r="X207" s="196">
        <f t="shared" si="71"/>
        <v>0.80000000000000071</v>
      </c>
      <c r="Y207" s="196">
        <f t="shared" si="72"/>
        <v>0.99999999999997868</v>
      </c>
      <c r="Z207" s="72">
        <f t="shared" si="73"/>
        <v>0</v>
      </c>
      <c r="AA207" s="72">
        <f t="shared" si="74"/>
        <v>0</v>
      </c>
      <c r="AB207" s="321">
        <f t="shared" si="75"/>
        <v>10.499999999999998</v>
      </c>
      <c r="AC207" s="72">
        <f t="shared" si="76"/>
        <v>8.0000000000000071</v>
      </c>
      <c r="AD207" s="72">
        <f t="shared" si="77"/>
        <v>6.999999999999984</v>
      </c>
      <c r="AE207" s="72">
        <f t="shared" si="78"/>
        <v>8.2999999999999741</v>
      </c>
      <c r="AF207" s="72">
        <f t="shared" si="79"/>
        <v>6.6000000000000281</v>
      </c>
      <c r="AG207" s="72">
        <f t="shared" si="80"/>
        <v>8.0999999999999961</v>
      </c>
      <c r="AH207" s="196">
        <f t="shared" si="81"/>
        <v>7.8999999999999737</v>
      </c>
      <c r="AI207" s="196">
        <f t="shared" si="82"/>
        <v>7.6999999999999957</v>
      </c>
      <c r="AJ207" s="72">
        <f t="shared" si="83"/>
        <v>7.4000000000000288</v>
      </c>
      <c r="AK207" s="72">
        <f t="shared" si="84"/>
        <v>3.1000000000000139</v>
      </c>
      <c r="AM207" s="35"/>
      <c r="AN207" s="35"/>
    </row>
    <row r="208" spans="1:40" x14ac:dyDescent="0.3">
      <c r="A208" s="35">
        <v>46156</v>
      </c>
      <c r="B208" s="847" t="s">
        <v>883</v>
      </c>
      <c r="C208">
        <v>4.2430000000000003</v>
      </c>
      <c r="E208">
        <f t="shared" si="64"/>
        <v>1</v>
      </c>
      <c r="F208" s="11">
        <v>206</v>
      </c>
      <c r="G208" s="179">
        <v>45951</v>
      </c>
      <c r="H208" s="847">
        <v>3.762</v>
      </c>
      <c r="I208" s="847">
        <v>3.8250000000000002</v>
      </c>
      <c r="J208" s="847">
        <v>2.7669999999999999</v>
      </c>
      <c r="K208" s="847">
        <v>3.8439999999999999</v>
      </c>
      <c r="L208" s="847">
        <v>2.8130000000000002</v>
      </c>
      <c r="M208" s="847">
        <v>3.9079999999999999</v>
      </c>
      <c r="N208" s="847">
        <v>2.883</v>
      </c>
      <c r="O208" s="847">
        <v>3.0169999999999999</v>
      </c>
      <c r="P208" s="847">
        <v>3.1509999999999998</v>
      </c>
      <c r="Q208" s="847">
        <v>3.4249999999999998</v>
      </c>
      <c r="R208" s="321">
        <f t="shared" si="65"/>
        <v>0</v>
      </c>
      <c r="S208" s="72">
        <f t="shared" si="66"/>
        <v>0</v>
      </c>
      <c r="T208" s="72">
        <f t="shared" si="67"/>
        <v>0</v>
      </c>
      <c r="U208" s="72">
        <f t="shared" si="68"/>
        <v>0</v>
      </c>
      <c r="V208" s="72">
        <f t="shared" si="69"/>
        <v>0</v>
      </c>
      <c r="W208" s="72">
        <f t="shared" si="70"/>
        <v>-0.30000000000001137</v>
      </c>
      <c r="X208" s="196">
        <f t="shared" si="71"/>
        <v>0.40000000000000036</v>
      </c>
      <c r="Y208" s="196">
        <f t="shared" si="72"/>
        <v>0</v>
      </c>
      <c r="Z208" s="72">
        <f t="shared" si="73"/>
        <v>0</v>
      </c>
      <c r="AA208" s="72">
        <f t="shared" si="74"/>
        <v>0.40000000000000036</v>
      </c>
      <c r="AB208" s="321">
        <f t="shared" si="75"/>
        <v>8.8000000000000078</v>
      </c>
      <c r="AC208" s="72">
        <f t="shared" si="76"/>
        <v>7.5000000000000178</v>
      </c>
      <c r="AD208" s="72">
        <f t="shared" si="77"/>
        <v>5.3999999999999826</v>
      </c>
      <c r="AE208" s="72">
        <f t="shared" si="78"/>
        <v>8.6999999999999744</v>
      </c>
      <c r="AF208" s="72">
        <f t="shared" si="79"/>
        <v>3.8000000000000256</v>
      </c>
      <c r="AG208" s="72">
        <f t="shared" si="80"/>
        <v>8.0999999999999961</v>
      </c>
      <c r="AH208" s="196">
        <f t="shared" si="81"/>
        <v>6.1999999999999833</v>
      </c>
      <c r="AI208" s="196">
        <f t="shared" si="82"/>
        <v>6.1999999999999833</v>
      </c>
      <c r="AJ208" s="72">
        <f t="shared" si="83"/>
        <v>6.0999999999999943</v>
      </c>
      <c r="AK208" s="72">
        <f t="shared" si="84"/>
        <v>3.2000000000000028</v>
      </c>
      <c r="AM208" s="35"/>
      <c r="AN208" s="35"/>
    </row>
    <row r="209" spans="1:40" x14ac:dyDescent="0.3">
      <c r="A209" s="35">
        <v>46157</v>
      </c>
      <c r="B209" s="847" t="s">
        <v>883</v>
      </c>
      <c r="C209">
        <v>4.24</v>
      </c>
      <c r="E209">
        <f t="shared" si="64"/>
        <v>3</v>
      </c>
      <c r="F209" s="11">
        <v>207</v>
      </c>
      <c r="G209" s="179">
        <v>45950</v>
      </c>
      <c r="H209" s="847">
        <v>3.758</v>
      </c>
      <c r="I209" s="847">
        <v>3.8250000000000002</v>
      </c>
      <c r="J209" s="847">
        <v>2.7669999999999999</v>
      </c>
      <c r="K209" s="847">
        <v>3.8439999999999999</v>
      </c>
      <c r="L209" s="847">
        <v>2.8130000000000002</v>
      </c>
      <c r="M209" s="847">
        <v>3.9039999999999999</v>
      </c>
      <c r="N209" s="847">
        <v>2.883</v>
      </c>
      <c r="O209" s="847">
        <v>3.0169999999999999</v>
      </c>
      <c r="P209" s="847">
        <v>3.1509999999999998</v>
      </c>
      <c r="Q209" s="847">
        <v>3.4279999999999999</v>
      </c>
      <c r="R209" s="321">
        <f t="shared" si="65"/>
        <v>1.6999999999999904</v>
      </c>
      <c r="S209" s="72">
        <f t="shared" si="66"/>
        <v>1.7000000000000348</v>
      </c>
      <c r="T209" s="72">
        <f t="shared" si="67"/>
        <v>1.6000000000000014</v>
      </c>
      <c r="U209" s="72">
        <f t="shared" si="68"/>
        <v>0.80000000000000071</v>
      </c>
      <c r="V209" s="72">
        <f t="shared" si="69"/>
        <v>0</v>
      </c>
      <c r="W209" s="72">
        <f t="shared" si="70"/>
        <v>0.30000000000001137</v>
      </c>
      <c r="X209" s="196">
        <f t="shared" si="71"/>
        <v>-0.40000000000000036</v>
      </c>
      <c r="Y209" s="196">
        <f t="shared" si="72"/>
        <v>0.50000000000003375</v>
      </c>
      <c r="Z209" s="72">
        <f t="shared" si="73"/>
        <v>1.6000000000000014</v>
      </c>
      <c r="AA209" s="72">
        <f t="shared" si="74"/>
        <v>1.2999999999999901</v>
      </c>
      <c r="AB209" s="321">
        <f t="shared" si="75"/>
        <v>7.9000000000000181</v>
      </c>
      <c r="AC209" s="72">
        <f t="shared" si="76"/>
        <v>7.5000000000000178</v>
      </c>
      <c r="AD209" s="72">
        <f t="shared" si="77"/>
        <v>5.3999999999999826</v>
      </c>
      <c r="AE209" s="72">
        <f t="shared" si="78"/>
        <v>8.6999999999999744</v>
      </c>
      <c r="AF209" s="72">
        <f t="shared" si="79"/>
        <v>5.0000000000000266</v>
      </c>
      <c r="AG209" s="72">
        <f t="shared" si="80"/>
        <v>7.6999999999999957</v>
      </c>
      <c r="AH209" s="196">
        <f t="shared" si="81"/>
        <v>6.1999999999999833</v>
      </c>
      <c r="AI209" s="196">
        <f t="shared" si="82"/>
        <v>6.4000000000000057</v>
      </c>
      <c r="AJ209" s="72">
        <f t="shared" si="83"/>
        <v>6.4999999999999947</v>
      </c>
      <c r="AK209" s="72">
        <f t="shared" si="84"/>
        <v>3.2999999999999918</v>
      </c>
      <c r="AM209" s="35"/>
      <c r="AN209" s="35"/>
    </row>
    <row r="210" spans="1:40" x14ac:dyDescent="0.3">
      <c r="A210" s="35">
        <v>46160</v>
      </c>
      <c r="B210" s="847" t="s">
        <v>883</v>
      </c>
      <c r="C210">
        <v>4.2439999999999998</v>
      </c>
      <c r="E210">
        <f t="shared" si="64"/>
        <v>1</v>
      </c>
      <c r="F210" s="11">
        <v>208</v>
      </c>
      <c r="G210" s="179">
        <v>45947</v>
      </c>
      <c r="H210" s="847">
        <v>3.762</v>
      </c>
      <c r="I210" s="847">
        <v>3.82</v>
      </c>
      <c r="J210" s="847">
        <v>2.75</v>
      </c>
      <c r="K210" s="847">
        <v>3.8279999999999998</v>
      </c>
      <c r="L210" s="847">
        <v>2.7959999999999998</v>
      </c>
      <c r="M210" s="847">
        <v>3.891</v>
      </c>
      <c r="N210" s="847">
        <v>2.867</v>
      </c>
      <c r="O210" s="847">
        <v>3.0089999999999999</v>
      </c>
      <c r="P210" s="847">
        <v>3.1509999999999998</v>
      </c>
      <c r="Q210" s="847">
        <v>3.4249999999999998</v>
      </c>
      <c r="R210" s="321">
        <f t="shared" si="65"/>
        <v>0.59999999999997833</v>
      </c>
      <c r="S210" s="72">
        <f t="shared" si="66"/>
        <v>0.59999999999997833</v>
      </c>
      <c r="T210" s="72">
        <f t="shared" si="67"/>
        <v>0.70000000000001172</v>
      </c>
      <c r="U210" s="72">
        <f t="shared" si="68"/>
        <v>0.30000000000001137</v>
      </c>
      <c r="V210" s="72">
        <f t="shared" si="69"/>
        <v>0</v>
      </c>
      <c r="W210" s="72">
        <f t="shared" si="70"/>
        <v>-0.30000000000001137</v>
      </c>
      <c r="X210" s="196">
        <f t="shared" si="71"/>
        <v>1.6000000000000014</v>
      </c>
      <c r="Y210" s="196">
        <f t="shared" si="72"/>
        <v>0.49999999999998934</v>
      </c>
      <c r="Z210" s="72">
        <f t="shared" si="73"/>
        <v>0</v>
      </c>
      <c r="AA210" s="72">
        <f t="shared" si="74"/>
        <v>0</v>
      </c>
      <c r="AB210" s="321">
        <f t="shared" si="75"/>
        <v>10.199999999999987</v>
      </c>
      <c r="AC210" s="72">
        <f t="shared" si="76"/>
        <v>6.999999999999984</v>
      </c>
      <c r="AD210" s="72">
        <f t="shared" si="77"/>
        <v>3.6999999999999922</v>
      </c>
      <c r="AE210" s="72">
        <f t="shared" si="78"/>
        <v>7.099999999999973</v>
      </c>
      <c r="AF210" s="72">
        <f t="shared" si="79"/>
        <v>3.2999999999999918</v>
      </c>
      <c r="AG210" s="72">
        <f t="shared" si="80"/>
        <v>6.4000000000000057</v>
      </c>
      <c r="AH210" s="196">
        <f t="shared" si="81"/>
        <v>4.5999999999999819</v>
      </c>
      <c r="AI210" s="196">
        <f t="shared" si="82"/>
        <v>5.600000000000005</v>
      </c>
      <c r="AJ210" s="72">
        <f t="shared" si="83"/>
        <v>6.4999999999999947</v>
      </c>
      <c r="AK210" s="72">
        <f t="shared" si="84"/>
        <v>2.2999999999999687</v>
      </c>
      <c r="AM210" s="35"/>
      <c r="AN210" s="35"/>
    </row>
    <row r="211" spans="1:40" x14ac:dyDescent="0.3">
      <c r="A211" s="35">
        <v>46161</v>
      </c>
      <c r="B211" s="847" t="s">
        <v>883</v>
      </c>
      <c r="C211">
        <v>4.24</v>
      </c>
      <c r="E211">
        <f t="shared" si="64"/>
        <v>1</v>
      </c>
      <c r="F211" s="11">
        <v>209</v>
      </c>
      <c r="G211" s="179">
        <v>45946</v>
      </c>
      <c r="H211" s="847">
        <v>3.746</v>
      </c>
      <c r="I211" s="847">
        <v>3.8149999999999999</v>
      </c>
      <c r="J211" s="847">
        <v>2.7440000000000002</v>
      </c>
      <c r="K211" s="847">
        <v>3.8279999999999998</v>
      </c>
      <c r="L211" s="847">
        <v>2.79</v>
      </c>
      <c r="M211" s="847">
        <v>3.891</v>
      </c>
      <c r="N211" s="847">
        <v>2.86</v>
      </c>
      <c r="O211" s="847">
        <v>3.0059999999999998</v>
      </c>
      <c r="P211" s="847">
        <v>3.1509999999999998</v>
      </c>
      <c r="Q211" s="847">
        <v>3.4279999999999999</v>
      </c>
      <c r="R211" s="321">
        <f t="shared" si="65"/>
        <v>1.7000000000000348</v>
      </c>
      <c r="S211" s="72">
        <f t="shared" si="66"/>
        <v>1.6999999999999904</v>
      </c>
      <c r="T211" s="72">
        <f t="shared" si="67"/>
        <v>2.4999999999999911</v>
      </c>
      <c r="U211" s="72">
        <f t="shared" si="68"/>
        <v>2.3999999999999577</v>
      </c>
      <c r="V211" s="72">
        <f t="shared" si="69"/>
        <v>2.1999999999999797</v>
      </c>
      <c r="W211" s="72">
        <f t="shared" si="70"/>
        <v>2.4999999999999911</v>
      </c>
      <c r="X211" s="196">
        <f t="shared" si="71"/>
        <v>1.9000000000000128</v>
      </c>
      <c r="Y211" s="196">
        <f t="shared" si="72"/>
        <v>1.6999999999999904</v>
      </c>
      <c r="Z211" s="72">
        <f t="shared" si="73"/>
        <v>1.6999999999999904</v>
      </c>
      <c r="AA211" s="72">
        <f t="shared" si="74"/>
        <v>2.0999999999999908</v>
      </c>
      <c r="AB211" s="321">
        <f t="shared" si="75"/>
        <v>7.3999999999999844</v>
      </c>
      <c r="AC211" s="72">
        <f t="shared" si="76"/>
        <v>6.999999999999984</v>
      </c>
      <c r="AD211" s="72">
        <f t="shared" si="77"/>
        <v>3.1000000000000139</v>
      </c>
      <c r="AE211" s="72">
        <f t="shared" si="78"/>
        <v>7.099999999999973</v>
      </c>
      <c r="AF211" s="72">
        <f t="shared" si="79"/>
        <v>2.7000000000000135</v>
      </c>
      <c r="AG211" s="72">
        <f t="shared" si="80"/>
        <v>6.4000000000000057</v>
      </c>
      <c r="AH211" s="196">
        <f t="shared" si="81"/>
        <v>3.8999999999999702</v>
      </c>
      <c r="AI211" s="196">
        <f t="shared" si="82"/>
        <v>5.2999999999999936</v>
      </c>
      <c r="AJ211" s="72">
        <f t="shared" si="83"/>
        <v>6.4999999999999947</v>
      </c>
      <c r="AK211" s="72">
        <f t="shared" si="84"/>
        <v>2.8000000000000025</v>
      </c>
      <c r="AM211" s="35"/>
      <c r="AN211" s="35"/>
    </row>
    <row r="212" spans="1:40" x14ac:dyDescent="0.3">
      <c r="A212" s="35">
        <v>46162</v>
      </c>
      <c r="B212" s="847" t="s">
        <v>883</v>
      </c>
      <c r="C212">
        <v>4.2439999999999998</v>
      </c>
      <c r="E212">
        <f t="shared" si="64"/>
        <v>1</v>
      </c>
      <c r="F212" s="11">
        <v>210</v>
      </c>
      <c r="G212" s="179">
        <v>45945</v>
      </c>
      <c r="H212" s="847">
        <v>3.7269999999999999</v>
      </c>
      <c r="I212" s="847">
        <v>3.798</v>
      </c>
      <c r="J212" s="847">
        <v>2.7269999999999999</v>
      </c>
      <c r="K212" s="847">
        <v>3.8109999999999999</v>
      </c>
      <c r="L212" s="847">
        <v>2.7730000000000001</v>
      </c>
      <c r="M212" s="847">
        <v>3.87</v>
      </c>
      <c r="N212" s="847">
        <v>2.835</v>
      </c>
      <c r="O212" s="847">
        <v>2.9820000000000002</v>
      </c>
      <c r="P212" s="847">
        <v>3.129</v>
      </c>
      <c r="Q212" s="847">
        <v>3.403</v>
      </c>
      <c r="R212" s="321">
        <f t="shared" si="65"/>
        <v>0</v>
      </c>
      <c r="S212" s="72">
        <f t="shared" si="66"/>
        <v>0</v>
      </c>
      <c r="T212" s="72">
        <f t="shared" si="67"/>
        <v>0</v>
      </c>
      <c r="U212" s="72">
        <f t="shared" si="68"/>
        <v>0</v>
      </c>
      <c r="V212" s="72">
        <f t="shared" si="69"/>
        <v>0</v>
      </c>
      <c r="W212" s="72">
        <f t="shared" si="70"/>
        <v>9.9999999999988987E-2</v>
      </c>
      <c r="X212" s="196">
        <f t="shared" si="71"/>
        <v>9.9999999999988987E-2</v>
      </c>
      <c r="Y212" s="196">
        <f t="shared" si="72"/>
        <v>0.49999999999998934</v>
      </c>
      <c r="Z212" s="72">
        <f t="shared" si="73"/>
        <v>0</v>
      </c>
      <c r="AA212" s="72">
        <f t="shared" si="74"/>
        <v>0</v>
      </c>
      <c r="AB212" s="321">
        <f t="shared" si="75"/>
        <v>10.099999999999998</v>
      </c>
      <c r="AC212" s="72">
        <f t="shared" si="76"/>
        <v>8.4999999999999964</v>
      </c>
      <c r="AD212" s="72">
        <f t="shared" si="77"/>
        <v>3.4999999999999698</v>
      </c>
      <c r="AE212" s="72">
        <f t="shared" si="78"/>
        <v>8.0000000000000071</v>
      </c>
      <c r="AF212" s="72">
        <f t="shared" si="79"/>
        <v>3.5000000000000142</v>
      </c>
      <c r="AG212" s="72">
        <f t="shared" si="80"/>
        <v>5.2999999999999936</v>
      </c>
      <c r="AH212" s="196">
        <f t="shared" si="81"/>
        <v>4.0999999999999925</v>
      </c>
      <c r="AI212" s="196">
        <f t="shared" si="82"/>
        <v>5.500000000000016</v>
      </c>
      <c r="AJ212" s="72">
        <f t="shared" si="83"/>
        <v>6.800000000000006</v>
      </c>
      <c r="AK212" s="72">
        <f t="shared" si="84"/>
        <v>2.4000000000000021</v>
      </c>
      <c r="AM212" s="35"/>
      <c r="AN212" s="35"/>
    </row>
    <row r="213" spans="1:40" x14ac:dyDescent="0.3">
      <c r="A213" s="35">
        <v>46163</v>
      </c>
      <c r="B213" s="847" t="s">
        <v>883</v>
      </c>
      <c r="C213">
        <v>4.2510000000000003</v>
      </c>
      <c r="E213">
        <f t="shared" si="64"/>
        <v>1</v>
      </c>
      <c r="F213" s="11">
        <v>211</v>
      </c>
      <c r="G213" s="179">
        <v>45944</v>
      </c>
      <c r="H213" s="847">
        <v>3.726</v>
      </c>
      <c r="I213" s="847">
        <v>3.7930000000000001</v>
      </c>
      <c r="J213" s="847">
        <v>2.7269999999999999</v>
      </c>
      <c r="K213" s="847">
        <v>3.8109999999999999</v>
      </c>
      <c r="L213" s="847">
        <v>2.7730000000000001</v>
      </c>
      <c r="M213" s="847">
        <v>3.87</v>
      </c>
      <c r="N213" s="847">
        <v>2.835</v>
      </c>
      <c r="O213" s="847">
        <v>2.9820000000000002</v>
      </c>
      <c r="P213" s="847">
        <v>3.129</v>
      </c>
      <c r="Q213" s="847">
        <v>3.4020000000000001</v>
      </c>
      <c r="R213" s="321">
        <f t="shared" si="65"/>
        <v>0</v>
      </c>
      <c r="S213" s="72">
        <f t="shared" si="66"/>
        <v>0</v>
      </c>
      <c r="T213" s="72">
        <f t="shared" si="67"/>
        <v>0</v>
      </c>
      <c r="U213" s="72">
        <f t="shared" si="68"/>
        <v>0</v>
      </c>
      <c r="V213" s="72">
        <f t="shared" si="69"/>
        <v>0</v>
      </c>
      <c r="W213" s="72">
        <f t="shared" si="70"/>
        <v>-0.40000000000000036</v>
      </c>
      <c r="X213" s="196">
        <f t="shared" si="71"/>
        <v>-9.9999999999988987E-2</v>
      </c>
      <c r="Y213" s="196">
        <f t="shared" si="72"/>
        <v>0.50000000000003375</v>
      </c>
      <c r="Z213" s="72">
        <f t="shared" si="73"/>
        <v>0.80000000000000071</v>
      </c>
      <c r="AA213" s="72">
        <f t="shared" si="74"/>
        <v>0.80000000000000071</v>
      </c>
      <c r="AB213" s="321">
        <f t="shared" si="75"/>
        <v>10.299999999999976</v>
      </c>
      <c r="AC213" s="72">
        <f t="shared" si="76"/>
        <v>8.4999999999999964</v>
      </c>
      <c r="AD213" s="72">
        <f t="shared" si="77"/>
        <v>3.4999999999999698</v>
      </c>
      <c r="AE213" s="72">
        <f t="shared" si="78"/>
        <v>8.0000000000000071</v>
      </c>
      <c r="AF213" s="72">
        <f t="shared" si="79"/>
        <v>3.5000000000000142</v>
      </c>
      <c r="AG213" s="72">
        <f t="shared" si="80"/>
        <v>5.2999999999999936</v>
      </c>
      <c r="AH213" s="196">
        <f t="shared" si="81"/>
        <v>4.0999999999999925</v>
      </c>
      <c r="AI213" s="196">
        <f t="shared" si="82"/>
        <v>5.7000000000000384</v>
      </c>
      <c r="AJ213" s="72">
        <f t="shared" si="83"/>
        <v>7.2000000000000064</v>
      </c>
      <c r="AK213" s="72">
        <f t="shared" si="84"/>
        <v>2.8000000000000025</v>
      </c>
      <c r="AM213" s="35"/>
      <c r="AN213" s="35"/>
    </row>
    <row r="214" spans="1:40" x14ac:dyDescent="0.3">
      <c r="A214" s="35">
        <v>46164</v>
      </c>
      <c r="B214" s="847" t="s">
        <v>883</v>
      </c>
      <c r="C214">
        <v>4.2530000000000001</v>
      </c>
      <c r="E214">
        <f t="shared" si="64"/>
        <v>3</v>
      </c>
      <c r="F214" s="11">
        <v>212</v>
      </c>
      <c r="G214" s="179">
        <v>45943</v>
      </c>
      <c r="H214" s="847">
        <v>3.7269999999999999</v>
      </c>
      <c r="I214" s="847">
        <v>3.7879999999999998</v>
      </c>
      <c r="J214" s="847">
        <v>2.7269999999999999</v>
      </c>
      <c r="K214" s="847">
        <v>3.8029999999999999</v>
      </c>
      <c r="L214" s="847">
        <v>2.7730000000000001</v>
      </c>
      <c r="M214" s="847">
        <v>3.8620000000000001</v>
      </c>
      <c r="N214" s="847">
        <v>2.835</v>
      </c>
      <c r="O214" s="847">
        <v>2.9820000000000002</v>
      </c>
      <c r="P214" s="847">
        <v>3.129</v>
      </c>
      <c r="Q214" s="847">
        <v>3.4060000000000001</v>
      </c>
      <c r="R214" s="321">
        <f t="shared" si="65"/>
        <v>0</v>
      </c>
      <c r="S214" s="72">
        <f t="shared" si="66"/>
        <v>0</v>
      </c>
      <c r="T214" s="72">
        <f t="shared" si="67"/>
        <v>0</v>
      </c>
      <c r="U214" s="72">
        <f t="shared" si="68"/>
        <v>0</v>
      </c>
      <c r="V214" s="72">
        <f t="shared" si="69"/>
        <v>0</v>
      </c>
      <c r="W214" s="72">
        <f t="shared" si="70"/>
        <v>-3.0999999999999694</v>
      </c>
      <c r="X214" s="196">
        <f t="shared" si="71"/>
        <v>0.80000000000000071</v>
      </c>
      <c r="Y214" s="196">
        <f t="shared" si="72"/>
        <v>0</v>
      </c>
      <c r="Z214" s="72">
        <f t="shared" si="73"/>
        <v>0.49999999999998934</v>
      </c>
      <c r="AA214" s="72">
        <f t="shared" si="74"/>
        <v>0.40000000000000036</v>
      </c>
      <c r="AB214" s="321">
        <f t="shared" si="75"/>
        <v>10.399999999999965</v>
      </c>
      <c r="AC214" s="72">
        <f t="shared" si="76"/>
        <v>8.4999999999999964</v>
      </c>
      <c r="AD214" s="72">
        <f t="shared" si="77"/>
        <v>3.4999999999999698</v>
      </c>
      <c r="AE214" s="72">
        <f t="shared" si="78"/>
        <v>7.2000000000000064</v>
      </c>
      <c r="AF214" s="72">
        <f t="shared" si="79"/>
        <v>3.5000000000000142</v>
      </c>
      <c r="AG214" s="72">
        <f t="shared" si="80"/>
        <v>4.4999999999999929</v>
      </c>
      <c r="AH214" s="196">
        <f t="shared" si="81"/>
        <v>4.0999999999999925</v>
      </c>
      <c r="AI214" s="196">
        <f t="shared" si="82"/>
        <v>5.500000000000016</v>
      </c>
      <c r="AJ214" s="72">
        <f t="shared" si="83"/>
        <v>6.999999999999984</v>
      </c>
      <c r="AK214" s="72">
        <f t="shared" si="84"/>
        <v>3.2000000000000028</v>
      </c>
      <c r="AM214" s="35"/>
      <c r="AN214" s="35"/>
    </row>
    <row r="215" spans="1:40" x14ac:dyDescent="0.3">
      <c r="A215" s="35">
        <v>46167</v>
      </c>
      <c r="B215" s="847" t="s">
        <v>883</v>
      </c>
      <c r="C215">
        <v>4.25</v>
      </c>
      <c r="E215">
        <f t="shared" si="64"/>
        <v>1</v>
      </c>
      <c r="F215" s="11">
        <v>213</v>
      </c>
      <c r="G215" s="179">
        <v>45940</v>
      </c>
      <c r="H215" s="847">
        <v>3.7189999999999999</v>
      </c>
      <c r="I215" s="847">
        <v>3.7879999999999998</v>
      </c>
      <c r="J215" s="847">
        <v>2.7269999999999999</v>
      </c>
      <c r="K215" s="847">
        <v>3.798</v>
      </c>
      <c r="L215" s="847">
        <v>2.7730000000000001</v>
      </c>
      <c r="M215" s="847">
        <v>3.8580000000000001</v>
      </c>
      <c r="N215" s="847">
        <v>2.835</v>
      </c>
      <c r="O215" s="847">
        <v>2.9820000000000002</v>
      </c>
      <c r="P215" s="847">
        <v>3.129</v>
      </c>
      <c r="Q215" s="847">
        <v>3.4369999999999998</v>
      </c>
      <c r="R215" s="321">
        <f t="shared" si="65"/>
        <v>0</v>
      </c>
      <c r="S215" s="72">
        <f t="shared" si="66"/>
        <v>0</v>
      </c>
      <c r="T215" s="72">
        <f t="shared" si="67"/>
        <v>0</v>
      </c>
      <c r="U215" s="72">
        <f t="shared" si="68"/>
        <v>0.20000000000002238</v>
      </c>
      <c r="V215" s="72">
        <f t="shared" si="69"/>
        <v>0.49999999999998934</v>
      </c>
      <c r="W215" s="72">
        <f t="shared" si="70"/>
        <v>2.8000000000000025</v>
      </c>
      <c r="X215" s="196">
        <f t="shared" si="71"/>
        <v>1.399999999999979</v>
      </c>
      <c r="Y215" s="196">
        <f t="shared" si="72"/>
        <v>1.2000000000000011</v>
      </c>
      <c r="Z215" s="72">
        <f t="shared" si="73"/>
        <v>1.2000000000000011</v>
      </c>
      <c r="AA215" s="72">
        <f t="shared" si="74"/>
        <v>1.2999999999999901</v>
      </c>
      <c r="AB215" s="321">
        <f t="shared" si="75"/>
        <v>9.6999999999999975</v>
      </c>
      <c r="AC215" s="72">
        <f t="shared" si="76"/>
        <v>8.6999999999999744</v>
      </c>
      <c r="AD215" s="72">
        <f t="shared" si="77"/>
        <v>3.4999999999999698</v>
      </c>
      <c r="AE215" s="72">
        <f t="shared" si="78"/>
        <v>6.7000000000000171</v>
      </c>
      <c r="AF215" s="72">
        <f t="shared" si="79"/>
        <v>3.5000000000000142</v>
      </c>
      <c r="AG215" s="72">
        <f t="shared" si="80"/>
        <v>4.0999999999999925</v>
      </c>
      <c r="AH215" s="196">
        <f t="shared" si="81"/>
        <v>4.0999999999999925</v>
      </c>
      <c r="AI215" s="196">
        <f t="shared" si="82"/>
        <v>5.500000000000016</v>
      </c>
      <c r="AJ215" s="72">
        <f t="shared" si="83"/>
        <v>6.999999999999984</v>
      </c>
      <c r="AK215" s="72">
        <f t="shared" si="84"/>
        <v>6.2999999999999723</v>
      </c>
      <c r="AM215" s="35"/>
      <c r="AN215" s="35"/>
    </row>
    <row r="216" spans="1:40" x14ac:dyDescent="0.3">
      <c r="A216" s="35">
        <v>46168</v>
      </c>
      <c r="B216" s="847" t="s">
        <v>883</v>
      </c>
      <c r="C216">
        <v>4.25</v>
      </c>
      <c r="E216">
        <f t="shared" si="64"/>
        <v>1</v>
      </c>
      <c r="F216" s="11">
        <v>214</v>
      </c>
      <c r="G216" s="179">
        <v>45939</v>
      </c>
      <c r="H216" s="847">
        <v>3.7050000000000001</v>
      </c>
      <c r="I216" s="847">
        <v>3.7759999999999998</v>
      </c>
      <c r="J216" s="847">
        <v>2.7269999999999999</v>
      </c>
      <c r="K216" s="847">
        <v>3.786</v>
      </c>
      <c r="L216" s="847">
        <v>2.7730000000000001</v>
      </c>
      <c r="M216" s="847">
        <v>3.8450000000000002</v>
      </c>
      <c r="N216" s="847">
        <v>2.835</v>
      </c>
      <c r="O216" s="847">
        <v>2.98</v>
      </c>
      <c r="P216" s="847">
        <v>3.1240000000000001</v>
      </c>
      <c r="Q216" s="847">
        <v>3.4089999999999998</v>
      </c>
      <c r="R216" s="321">
        <f t="shared" si="65"/>
        <v>1.399999999999979</v>
      </c>
      <c r="S216" s="72">
        <f t="shared" si="66"/>
        <v>1.0000000000000231</v>
      </c>
      <c r="T216" s="72">
        <f t="shared" si="67"/>
        <v>1.399999999999979</v>
      </c>
      <c r="U216" s="72">
        <f t="shared" si="68"/>
        <v>2.7000000000000135</v>
      </c>
      <c r="V216" s="72">
        <f t="shared" si="69"/>
        <v>3.8000000000000256</v>
      </c>
      <c r="W216" s="72">
        <f t="shared" si="70"/>
        <v>1.399999999999979</v>
      </c>
      <c r="X216" s="196">
        <f t="shared" si="71"/>
        <v>4.0000000000000036</v>
      </c>
      <c r="Y216" s="196">
        <f t="shared" si="72"/>
        <v>2.0999999999999908</v>
      </c>
      <c r="Z216" s="72">
        <f t="shared" si="73"/>
        <v>2.4999999999999911</v>
      </c>
      <c r="AA216" s="72">
        <f t="shared" si="74"/>
        <v>1.8000000000000238</v>
      </c>
      <c r="AB216" s="321">
        <f t="shared" si="75"/>
        <v>8.9999999999999858</v>
      </c>
      <c r="AC216" s="72">
        <f t="shared" si="76"/>
        <v>8.0999999999999961</v>
      </c>
      <c r="AD216" s="72">
        <f t="shared" si="77"/>
        <v>3.4999999999999698</v>
      </c>
      <c r="AE216" s="72">
        <f t="shared" si="78"/>
        <v>5.699999999999994</v>
      </c>
      <c r="AF216" s="72">
        <f t="shared" si="79"/>
        <v>3.5000000000000142</v>
      </c>
      <c r="AG216" s="72">
        <f t="shared" si="80"/>
        <v>2.8000000000000025</v>
      </c>
      <c r="AH216" s="196">
        <f t="shared" si="81"/>
        <v>4.0999999999999925</v>
      </c>
      <c r="AI216" s="196">
        <f t="shared" si="82"/>
        <v>6.4999999999999947</v>
      </c>
      <c r="AJ216" s="72">
        <f t="shared" si="83"/>
        <v>8.8000000000000078</v>
      </c>
      <c r="AK216" s="72">
        <f t="shared" si="84"/>
        <v>3.3999999999999808</v>
      </c>
      <c r="AM216" s="35"/>
      <c r="AN216" s="35"/>
    </row>
    <row r="217" spans="1:40" x14ac:dyDescent="0.3">
      <c r="A217" s="35">
        <v>46169</v>
      </c>
      <c r="B217" s="847" t="s">
        <v>883</v>
      </c>
      <c r="C217">
        <v>4.2519999999999998</v>
      </c>
      <c r="E217">
        <f t="shared" si="64"/>
        <v>1</v>
      </c>
      <c r="F217" s="11">
        <v>215</v>
      </c>
      <c r="G217" s="179">
        <v>45938</v>
      </c>
      <c r="H217" s="847">
        <v>3.665</v>
      </c>
      <c r="I217" s="847">
        <v>3.7549999999999999</v>
      </c>
      <c r="J217" s="847">
        <v>2.7130000000000001</v>
      </c>
      <c r="K217" s="847">
        <v>3.7610000000000001</v>
      </c>
      <c r="L217" s="847">
        <v>2.7629999999999999</v>
      </c>
      <c r="M217" s="847">
        <v>3.827</v>
      </c>
      <c r="N217" s="847">
        <v>2.8210000000000002</v>
      </c>
      <c r="O217" s="847">
        <v>2.9529999999999998</v>
      </c>
      <c r="P217" s="847">
        <v>3.0859999999999999</v>
      </c>
      <c r="Q217" s="847">
        <v>3.395</v>
      </c>
      <c r="R217" s="321">
        <f t="shared" si="65"/>
        <v>0</v>
      </c>
      <c r="S217" s="72">
        <f t="shared" si="66"/>
        <v>-1.2000000000000011</v>
      </c>
      <c r="T217" s="72">
        <f t="shared" si="67"/>
        <v>0</v>
      </c>
      <c r="U217" s="72">
        <f t="shared" si="68"/>
        <v>-0.20000000000002238</v>
      </c>
      <c r="V217" s="72">
        <f t="shared" si="69"/>
        <v>-0.40000000000000036</v>
      </c>
      <c r="W217" s="72">
        <f t="shared" si="70"/>
        <v>0.20000000000002238</v>
      </c>
      <c r="X217" s="196">
        <f t="shared" si="71"/>
        <v>-0.8999999999999897</v>
      </c>
      <c r="Y217" s="196">
        <f t="shared" si="72"/>
        <v>0.49999999999998934</v>
      </c>
      <c r="Z217" s="72">
        <f t="shared" si="73"/>
        <v>0.40000000000000036</v>
      </c>
      <c r="AA217" s="72">
        <f t="shared" si="74"/>
        <v>0</v>
      </c>
      <c r="AB217" s="321">
        <f t="shared" si="75"/>
        <v>8.7000000000000188</v>
      </c>
      <c r="AC217" s="72">
        <f t="shared" si="76"/>
        <v>9.0999999999999748</v>
      </c>
      <c r="AD217" s="72">
        <f t="shared" si="77"/>
        <v>3.2000000000000028</v>
      </c>
      <c r="AE217" s="72">
        <f t="shared" si="78"/>
        <v>6.7000000000000171</v>
      </c>
      <c r="AF217" s="72">
        <f t="shared" si="79"/>
        <v>4.0000000000000036</v>
      </c>
      <c r="AG217" s="72">
        <f t="shared" si="80"/>
        <v>3.5000000000000142</v>
      </c>
      <c r="AH217" s="196">
        <f t="shared" si="81"/>
        <v>3.6000000000000032</v>
      </c>
      <c r="AI217" s="196">
        <f t="shared" si="82"/>
        <v>4.0999999999999925</v>
      </c>
      <c r="AJ217" s="72">
        <f t="shared" si="83"/>
        <v>4.6999999999999709</v>
      </c>
      <c r="AK217" s="72">
        <f t="shared" si="84"/>
        <v>2.5999999999999801</v>
      </c>
      <c r="AM217" s="35"/>
      <c r="AN217" s="35"/>
    </row>
    <row r="218" spans="1:40" x14ac:dyDescent="0.3">
      <c r="A218" s="35">
        <v>46170</v>
      </c>
      <c r="B218" s="847" t="s">
        <v>883</v>
      </c>
      <c r="C218">
        <v>4.3259999999999996</v>
      </c>
      <c r="E218">
        <f t="shared" si="64"/>
        <v>1</v>
      </c>
      <c r="F218" s="11">
        <v>216</v>
      </c>
      <c r="G218" s="179">
        <v>45937</v>
      </c>
      <c r="H218" s="847">
        <v>3.6739999999999999</v>
      </c>
      <c r="I218" s="847">
        <v>3.75</v>
      </c>
      <c r="J218" s="847">
        <v>2.7130000000000001</v>
      </c>
      <c r="K218" s="847">
        <v>3.7570000000000001</v>
      </c>
      <c r="L218" s="847">
        <v>2.7749999999999999</v>
      </c>
      <c r="M218" s="847">
        <v>3.827</v>
      </c>
      <c r="N218" s="847">
        <v>2.8210000000000002</v>
      </c>
      <c r="O218" s="847">
        <v>2.9550000000000001</v>
      </c>
      <c r="P218" s="847">
        <v>3.09</v>
      </c>
      <c r="Q218" s="847">
        <v>3.3929999999999998</v>
      </c>
      <c r="R218" s="321">
        <f t="shared" si="65"/>
        <v>0</v>
      </c>
      <c r="S218" s="72">
        <f t="shared" si="66"/>
        <v>1.2000000000000011</v>
      </c>
      <c r="T218" s="72">
        <f t="shared" si="67"/>
        <v>0</v>
      </c>
      <c r="U218" s="72">
        <f t="shared" si="68"/>
        <v>0.20000000000002238</v>
      </c>
      <c r="V218" s="72">
        <f t="shared" si="69"/>
        <v>0.40000000000000036</v>
      </c>
      <c r="W218" s="72">
        <f t="shared" si="70"/>
        <v>-0.20000000000002238</v>
      </c>
      <c r="X218" s="196">
        <f t="shared" si="71"/>
        <v>-0.49999999999998934</v>
      </c>
      <c r="Y218" s="196">
        <f t="shared" si="72"/>
        <v>0</v>
      </c>
      <c r="Z218" s="72">
        <f t="shared" si="73"/>
        <v>0</v>
      </c>
      <c r="AA218" s="72">
        <f t="shared" si="74"/>
        <v>0</v>
      </c>
      <c r="AB218" s="321">
        <f t="shared" si="75"/>
        <v>9.6000000000000085</v>
      </c>
      <c r="AC218" s="72">
        <f t="shared" si="76"/>
        <v>8.8999999999999968</v>
      </c>
      <c r="AD218" s="72">
        <f t="shared" si="77"/>
        <v>3.2000000000000028</v>
      </c>
      <c r="AE218" s="72">
        <f t="shared" si="78"/>
        <v>6.3000000000000167</v>
      </c>
      <c r="AF218" s="72">
        <f t="shared" si="79"/>
        <v>5.2000000000000046</v>
      </c>
      <c r="AG218" s="72">
        <f t="shared" si="80"/>
        <v>3.5000000000000142</v>
      </c>
      <c r="AH218" s="196">
        <f t="shared" si="81"/>
        <v>3.6000000000000032</v>
      </c>
      <c r="AI218" s="196">
        <f t="shared" si="82"/>
        <v>4.7000000000000153</v>
      </c>
      <c r="AJ218" s="72">
        <f t="shared" si="83"/>
        <v>5.8999999999999719</v>
      </c>
      <c r="AK218" s="72">
        <f t="shared" si="84"/>
        <v>2.3999999999999577</v>
      </c>
      <c r="AM218" s="35"/>
      <c r="AN218" s="35"/>
    </row>
    <row r="219" spans="1:40" x14ac:dyDescent="0.3">
      <c r="A219" s="35">
        <v>46171</v>
      </c>
      <c r="B219" s="847" t="s">
        <v>883</v>
      </c>
      <c r="C219">
        <v>4.3209999999999997</v>
      </c>
      <c r="E219">
        <f t="shared" si="64"/>
        <v>3</v>
      </c>
      <c r="F219" s="11">
        <v>217</v>
      </c>
      <c r="G219" s="179">
        <v>45936</v>
      </c>
      <c r="H219" s="847">
        <v>3.6789999999999998</v>
      </c>
      <c r="I219" s="847">
        <v>3.75</v>
      </c>
      <c r="J219" s="847">
        <v>2.7130000000000001</v>
      </c>
      <c r="K219" s="847">
        <v>3.7570000000000001</v>
      </c>
      <c r="L219" s="847">
        <v>2.7629999999999999</v>
      </c>
      <c r="M219" s="847">
        <v>3.827</v>
      </c>
      <c r="N219" s="847">
        <v>2.8210000000000002</v>
      </c>
      <c r="O219" s="847">
        <v>2.9529999999999998</v>
      </c>
      <c r="P219" s="847">
        <v>3.0859999999999999</v>
      </c>
      <c r="Q219" s="847">
        <v>3.395</v>
      </c>
      <c r="R219" s="321">
        <f t="shared" si="65"/>
        <v>0</v>
      </c>
      <c r="S219" s="72">
        <f t="shared" si="66"/>
        <v>0</v>
      </c>
      <c r="T219" s="72">
        <f t="shared" si="67"/>
        <v>0</v>
      </c>
      <c r="U219" s="72">
        <f t="shared" si="68"/>
        <v>0</v>
      </c>
      <c r="V219" s="72">
        <f t="shared" si="69"/>
        <v>0</v>
      </c>
      <c r="W219" s="72">
        <f t="shared" si="70"/>
        <v>-0.70000000000001172</v>
      </c>
      <c r="X219" s="196">
        <f t="shared" si="71"/>
        <v>1.8999999999999684</v>
      </c>
      <c r="Y219" s="196">
        <f t="shared" si="72"/>
        <v>0</v>
      </c>
      <c r="Z219" s="72">
        <f t="shared" si="73"/>
        <v>0</v>
      </c>
      <c r="AA219" s="72">
        <f t="shared" si="74"/>
        <v>0</v>
      </c>
      <c r="AB219" s="321">
        <f t="shared" si="75"/>
        <v>10.099999999999998</v>
      </c>
      <c r="AC219" s="72">
        <f t="shared" si="76"/>
        <v>9.3999999999999861</v>
      </c>
      <c r="AD219" s="72">
        <f t="shared" si="77"/>
        <v>3.2000000000000028</v>
      </c>
      <c r="AE219" s="72">
        <f t="shared" si="78"/>
        <v>6.3000000000000167</v>
      </c>
      <c r="AF219" s="72">
        <f t="shared" si="79"/>
        <v>4.0000000000000036</v>
      </c>
      <c r="AG219" s="72">
        <f t="shared" si="80"/>
        <v>3.5000000000000142</v>
      </c>
      <c r="AH219" s="196">
        <f t="shared" si="81"/>
        <v>3.6000000000000032</v>
      </c>
      <c r="AI219" s="196">
        <f t="shared" si="82"/>
        <v>4.8000000000000043</v>
      </c>
      <c r="AJ219" s="72">
        <f t="shared" si="83"/>
        <v>6.1999999999999833</v>
      </c>
      <c r="AK219" s="72">
        <f t="shared" si="84"/>
        <v>2.5999999999999801</v>
      </c>
      <c r="AM219" s="35"/>
      <c r="AN219" s="35"/>
    </row>
    <row r="220" spans="1:40" x14ac:dyDescent="0.3">
      <c r="A220" s="35">
        <v>46174</v>
      </c>
      <c r="B220" s="847" t="s">
        <v>883</v>
      </c>
      <c r="C220">
        <v>4.33</v>
      </c>
      <c r="E220">
        <f t="shared" si="64"/>
        <v>1</v>
      </c>
      <c r="F220" s="11">
        <v>218</v>
      </c>
      <c r="G220" s="179">
        <v>45933</v>
      </c>
      <c r="H220" s="847">
        <v>3.66</v>
      </c>
      <c r="I220" s="847">
        <v>3.75</v>
      </c>
      <c r="J220" s="847">
        <v>2.7130000000000001</v>
      </c>
      <c r="K220" s="847">
        <v>3.7570000000000001</v>
      </c>
      <c r="L220" s="847">
        <v>2.7629999999999999</v>
      </c>
      <c r="M220" s="847">
        <v>3.827</v>
      </c>
      <c r="N220" s="847">
        <v>2.8210000000000002</v>
      </c>
      <c r="O220" s="847">
        <v>2.9529999999999998</v>
      </c>
      <c r="P220" s="847">
        <v>3.0859999999999999</v>
      </c>
      <c r="Q220" s="847">
        <v>3.4020000000000001</v>
      </c>
      <c r="R220" s="321">
        <f t="shared" si="65"/>
        <v>0</v>
      </c>
      <c r="S220" s="72">
        <f t="shared" si="66"/>
        <v>0</v>
      </c>
      <c r="T220" s="72">
        <f t="shared" si="67"/>
        <v>0</v>
      </c>
      <c r="U220" s="72">
        <f t="shared" si="68"/>
        <v>0</v>
      </c>
      <c r="V220" s="72">
        <f t="shared" si="69"/>
        <v>0</v>
      </c>
      <c r="W220" s="72">
        <f t="shared" si="70"/>
        <v>0.20000000000002238</v>
      </c>
      <c r="X220" s="196">
        <f t="shared" si="71"/>
        <v>-1.2000000000000011</v>
      </c>
      <c r="Y220" s="196">
        <f t="shared" si="72"/>
        <v>0.49999999999998934</v>
      </c>
      <c r="Z220" s="72">
        <f t="shared" si="73"/>
        <v>0</v>
      </c>
      <c r="AA220" s="72">
        <f t="shared" si="74"/>
        <v>0</v>
      </c>
      <c r="AB220" s="321">
        <f t="shared" si="75"/>
        <v>8.8000000000000078</v>
      </c>
      <c r="AC220" s="72">
        <f t="shared" si="76"/>
        <v>9.9000000000000199</v>
      </c>
      <c r="AD220" s="72">
        <f t="shared" si="77"/>
        <v>4.4000000000000039</v>
      </c>
      <c r="AE220" s="72">
        <f t="shared" si="78"/>
        <v>6.3000000000000167</v>
      </c>
      <c r="AF220" s="72">
        <f t="shared" si="79"/>
        <v>5.2999999999999936</v>
      </c>
      <c r="AG220" s="72">
        <f t="shared" si="80"/>
        <v>3.5000000000000142</v>
      </c>
      <c r="AH220" s="196">
        <f t="shared" si="81"/>
        <v>4.8000000000000043</v>
      </c>
      <c r="AI220" s="196">
        <f t="shared" si="82"/>
        <v>5.3999999999999826</v>
      </c>
      <c r="AJ220" s="72">
        <f t="shared" si="83"/>
        <v>6.1999999999999833</v>
      </c>
      <c r="AK220" s="72">
        <f t="shared" si="84"/>
        <v>3.8000000000000256</v>
      </c>
      <c r="AM220" s="35"/>
      <c r="AN220" s="35"/>
    </row>
    <row r="221" spans="1:40" x14ac:dyDescent="0.3">
      <c r="A221" s="35">
        <v>46175</v>
      </c>
      <c r="B221" s="847" t="s">
        <v>883</v>
      </c>
      <c r="C221">
        <v>4.3280000000000003</v>
      </c>
      <c r="E221">
        <f t="shared" si="64"/>
        <v>1</v>
      </c>
      <c r="F221" s="11">
        <v>219</v>
      </c>
      <c r="G221" s="179">
        <v>45932</v>
      </c>
      <c r="H221" s="847">
        <v>3.6720000000000002</v>
      </c>
      <c r="I221" s="847">
        <v>3.7450000000000001</v>
      </c>
      <c r="J221" s="847">
        <v>2.7130000000000001</v>
      </c>
      <c r="K221" s="847">
        <v>3.7570000000000001</v>
      </c>
      <c r="L221" s="847">
        <v>2.7629999999999999</v>
      </c>
      <c r="M221" s="847">
        <v>3.827</v>
      </c>
      <c r="N221" s="847">
        <v>2.8210000000000002</v>
      </c>
      <c r="O221" s="847">
        <v>2.9529999999999998</v>
      </c>
      <c r="P221" s="847">
        <v>3.0859999999999999</v>
      </c>
      <c r="Q221" s="847">
        <v>3.4</v>
      </c>
      <c r="R221" s="321">
        <f t="shared" si="65"/>
        <v>2.0999999999999908</v>
      </c>
      <c r="S221" s="72">
        <f t="shared" si="66"/>
        <v>2.4999999999999911</v>
      </c>
      <c r="T221" s="72">
        <f t="shared" si="67"/>
        <v>2.7000000000000135</v>
      </c>
      <c r="U221" s="72">
        <f t="shared" si="68"/>
        <v>2.5999999999999801</v>
      </c>
      <c r="V221" s="72">
        <f t="shared" si="69"/>
        <v>2.4999999999999911</v>
      </c>
      <c r="W221" s="72">
        <f t="shared" si="70"/>
        <v>2.0999999999999908</v>
      </c>
      <c r="X221" s="196">
        <f t="shared" si="71"/>
        <v>4.6000000000000263</v>
      </c>
      <c r="Y221" s="196">
        <f t="shared" si="72"/>
        <v>3.2000000000000028</v>
      </c>
      <c r="Z221" s="72">
        <f t="shared" si="73"/>
        <v>2.6000000000000245</v>
      </c>
      <c r="AA221" s="72">
        <f t="shared" si="74"/>
        <v>0.99999999999997868</v>
      </c>
      <c r="AB221" s="321">
        <f t="shared" si="75"/>
        <v>10.30000000000002</v>
      </c>
      <c r="AC221" s="72">
        <f t="shared" si="76"/>
        <v>9.4000000000000306</v>
      </c>
      <c r="AD221" s="72">
        <f t="shared" si="77"/>
        <v>4.4000000000000039</v>
      </c>
      <c r="AE221" s="72">
        <f t="shared" si="78"/>
        <v>6.3000000000000167</v>
      </c>
      <c r="AF221" s="72">
        <f t="shared" si="79"/>
        <v>5.2999999999999936</v>
      </c>
      <c r="AG221" s="72">
        <f t="shared" si="80"/>
        <v>3.5000000000000142</v>
      </c>
      <c r="AH221" s="196">
        <f t="shared" si="81"/>
        <v>4.8000000000000043</v>
      </c>
      <c r="AI221" s="196">
        <f t="shared" si="82"/>
        <v>5.7999999999999829</v>
      </c>
      <c r="AJ221" s="72">
        <f t="shared" si="83"/>
        <v>6.899999999999995</v>
      </c>
      <c r="AK221" s="72">
        <f t="shared" si="84"/>
        <v>3.2999999999999918</v>
      </c>
      <c r="AM221" s="35"/>
      <c r="AN221" s="35"/>
    </row>
    <row r="222" spans="1:40" x14ac:dyDescent="0.3">
      <c r="A222" s="35">
        <v>46176</v>
      </c>
      <c r="B222" s="847" t="s">
        <v>883</v>
      </c>
      <c r="C222">
        <v>4.3289999999999997</v>
      </c>
      <c r="E222">
        <f t="shared" si="64"/>
        <v>1</v>
      </c>
      <c r="F222" s="11">
        <v>220</v>
      </c>
      <c r="G222" s="179">
        <v>45931</v>
      </c>
      <c r="H222" s="847">
        <v>3.6259999999999999</v>
      </c>
      <c r="I222" s="847">
        <v>3.7130000000000001</v>
      </c>
      <c r="J222" s="847">
        <v>2.6920000000000002</v>
      </c>
      <c r="K222" s="847">
        <v>3.7309999999999999</v>
      </c>
      <c r="L222" s="847">
        <v>2.738</v>
      </c>
      <c r="M222" s="847">
        <v>3.8170000000000002</v>
      </c>
      <c r="N222" s="847">
        <v>2.794</v>
      </c>
      <c r="O222" s="847">
        <v>2.927</v>
      </c>
      <c r="P222" s="847">
        <v>3.0609999999999999</v>
      </c>
      <c r="Q222" s="847">
        <v>3.379</v>
      </c>
      <c r="R222" s="321">
        <f t="shared" si="65"/>
        <v>0</v>
      </c>
      <c r="S222" s="72">
        <f t="shared" si="66"/>
        <v>0</v>
      </c>
      <c r="T222" s="72">
        <f t="shared" si="67"/>
        <v>0</v>
      </c>
      <c r="U222" s="72">
        <f t="shared" si="68"/>
        <v>0.20000000000002238</v>
      </c>
      <c r="V222" s="72">
        <f t="shared" si="69"/>
        <v>0.40000000000000036</v>
      </c>
      <c r="W222" s="72">
        <f t="shared" si="70"/>
        <v>0.49999999999998934</v>
      </c>
      <c r="X222" s="196">
        <f t="shared" si="71"/>
        <v>0.29999999999996696</v>
      </c>
      <c r="Y222" s="196">
        <f t="shared" si="72"/>
        <v>0.49999999999998934</v>
      </c>
      <c r="Z222" s="72">
        <f t="shared" si="73"/>
        <v>0</v>
      </c>
      <c r="AA222" s="72">
        <f t="shared" si="74"/>
        <v>0</v>
      </c>
      <c r="AB222" s="321">
        <f t="shared" si="75"/>
        <v>6.800000000000006</v>
      </c>
      <c r="AC222" s="72">
        <f t="shared" si="76"/>
        <v>7.0000000000000284</v>
      </c>
      <c r="AD222" s="72">
        <f t="shared" si="77"/>
        <v>2.9000000000000359</v>
      </c>
      <c r="AE222" s="72">
        <f t="shared" si="78"/>
        <v>4.5999999999999819</v>
      </c>
      <c r="AF222" s="72">
        <f t="shared" si="79"/>
        <v>3.3999999999999808</v>
      </c>
      <c r="AG222" s="72">
        <f t="shared" si="80"/>
        <v>2.9000000000000359</v>
      </c>
      <c r="AH222" s="196">
        <f t="shared" si="81"/>
        <v>2.7000000000000135</v>
      </c>
      <c r="AI222" s="196">
        <f t="shared" si="82"/>
        <v>4.0000000000000036</v>
      </c>
      <c r="AJ222" s="72">
        <f t="shared" si="83"/>
        <v>5.500000000000016</v>
      </c>
      <c r="AK222" s="72">
        <f t="shared" si="84"/>
        <v>2.0999999999999908</v>
      </c>
      <c r="AM222" s="35"/>
      <c r="AN222" s="35"/>
    </row>
    <row r="223" spans="1:40" x14ac:dyDescent="0.3">
      <c r="A223" s="35">
        <v>46177</v>
      </c>
      <c r="B223" s="847" t="s">
        <v>883</v>
      </c>
      <c r="C223">
        <v>4.3339999999999996</v>
      </c>
      <c r="E223">
        <f t="shared" si="64"/>
        <v>1</v>
      </c>
      <c r="F223" s="11">
        <v>221</v>
      </c>
      <c r="G223" s="179">
        <v>45930</v>
      </c>
      <c r="H223" s="847">
        <v>3.6230000000000002</v>
      </c>
      <c r="I223" s="847">
        <v>3.7080000000000002</v>
      </c>
      <c r="J223" s="847">
        <v>2.6920000000000002</v>
      </c>
      <c r="K223" s="847">
        <v>3.7309999999999999</v>
      </c>
      <c r="L223" s="847">
        <v>2.738</v>
      </c>
      <c r="M223" s="847">
        <v>3.8170000000000002</v>
      </c>
      <c r="N223" s="847">
        <v>2.794</v>
      </c>
      <c r="O223" s="847">
        <v>2.9249999999999998</v>
      </c>
      <c r="P223" s="847">
        <v>3.0569999999999999</v>
      </c>
      <c r="Q223" s="847">
        <v>3.3740000000000001</v>
      </c>
      <c r="R223" s="321">
        <f t="shared" si="65"/>
        <v>0</v>
      </c>
      <c r="S223" s="72">
        <f t="shared" si="66"/>
        <v>0</v>
      </c>
      <c r="T223" s="72">
        <f t="shared" si="67"/>
        <v>0</v>
      </c>
      <c r="U223" s="72">
        <f t="shared" si="68"/>
        <v>-0.20000000000002238</v>
      </c>
      <c r="V223" s="72">
        <f t="shared" si="69"/>
        <v>-0.20000000000002238</v>
      </c>
      <c r="W223" s="72">
        <f t="shared" si="70"/>
        <v>0</v>
      </c>
      <c r="X223" s="196">
        <f t="shared" si="71"/>
        <v>0</v>
      </c>
      <c r="Y223" s="196">
        <f t="shared" si="72"/>
        <v>0.50000000000003375</v>
      </c>
      <c r="Z223" s="72">
        <f t="shared" si="73"/>
        <v>0</v>
      </c>
      <c r="AA223" s="72">
        <f t="shared" si="74"/>
        <v>0</v>
      </c>
      <c r="AB223" s="321">
        <f t="shared" si="75"/>
        <v>6.6000000000000281</v>
      </c>
      <c r="AC223" s="72">
        <f t="shared" si="76"/>
        <v>6.5000000000000391</v>
      </c>
      <c r="AD223" s="72">
        <f t="shared" si="77"/>
        <v>2.9000000000000359</v>
      </c>
      <c r="AE223" s="72">
        <f t="shared" si="78"/>
        <v>4.5999999999999819</v>
      </c>
      <c r="AF223" s="72">
        <f t="shared" si="79"/>
        <v>3.3999999999999808</v>
      </c>
      <c r="AG223" s="72">
        <f t="shared" si="80"/>
        <v>2.9000000000000359</v>
      </c>
      <c r="AH223" s="196">
        <f t="shared" si="81"/>
        <v>2.7000000000000135</v>
      </c>
      <c r="AI223" s="196">
        <f t="shared" si="82"/>
        <v>3.7999999999999812</v>
      </c>
      <c r="AJ223" s="72">
        <f t="shared" si="83"/>
        <v>5.1000000000000156</v>
      </c>
      <c r="AK223" s="72">
        <f t="shared" si="84"/>
        <v>1.6000000000000014</v>
      </c>
      <c r="AM223" s="35"/>
      <c r="AN223" s="35"/>
    </row>
    <row r="224" spans="1:40" x14ac:dyDescent="0.3">
      <c r="A224" s="35">
        <v>46178</v>
      </c>
      <c r="B224" s="847" t="s">
        <v>883</v>
      </c>
      <c r="C224">
        <v>4.3339999999999996</v>
      </c>
      <c r="E224">
        <f t="shared" si="64"/>
        <v>3</v>
      </c>
      <c r="F224" s="11">
        <v>222</v>
      </c>
      <c r="G224" s="179">
        <v>45929</v>
      </c>
      <c r="H224" s="847">
        <v>3.6230000000000002</v>
      </c>
      <c r="I224" s="847">
        <v>3.7029999999999998</v>
      </c>
      <c r="J224" s="847">
        <v>2.6920000000000002</v>
      </c>
      <c r="K224" s="847">
        <v>3.7309999999999999</v>
      </c>
      <c r="L224" s="847">
        <v>2.738</v>
      </c>
      <c r="M224" s="847">
        <v>3.8170000000000002</v>
      </c>
      <c r="N224" s="847">
        <v>2.794</v>
      </c>
      <c r="O224" s="847">
        <v>2.927</v>
      </c>
      <c r="P224" s="847">
        <v>3.0590000000000002</v>
      </c>
      <c r="Q224" s="847">
        <v>3.3740000000000001</v>
      </c>
      <c r="R224" s="321">
        <f t="shared" si="65"/>
        <v>0</v>
      </c>
      <c r="S224" s="72">
        <f t="shared" si="66"/>
        <v>0</v>
      </c>
      <c r="T224" s="72">
        <f t="shared" si="67"/>
        <v>0</v>
      </c>
      <c r="U224" s="72">
        <f t="shared" si="68"/>
        <v>0</v>
      </c>
      <c r="V224" s="72">
        <f t="shared" si="69"/>
        <v>0</v>
      </c>
      <c r="W224" s="72">
        <f t="shared" si="70"/>
        <v>0</v>
      </c>
      <c r="X224" s="196">
        <f t="shared" si="71"/>
        <v>0.1000000000000334</v>
      </c>
      <c r="Y224" s="196">
        <f t="shared" si="72"/>
        <v>0.19999999999997797</v>
      </c>
      <c r="Z224" s="72">
        <f t="shared" si="73"/>
        <v>0</v>
      </c>
      <c r="AA224" s="72">
        <f t="shared" si="74"/>
        <v>0</v>
      </c>
      <c r="AB224" s="321">
        <f t="shared" si="75"/>
        <v>6.4000000000000057</v>
      </c>
      <c r="AC224" s="72">
        <f t="shared" si="76"/>
        <v>6.0000000000000053</v>
      </c>
      <c r="AD224" s="72">
        <f t="shared" si="77"/>
        <v>2.8000000000000025</v>
      </c>
      <c r="AE224" s="72">
        <f t="shared" si="78"/>
        <v>4.6999999999999709</v>
      </c>
      <c r="AF224" s="72">
        <f t="shared" si="79"/>
        <v>2.8999999999999915</v>
      </c>
      <c r="AG224" s="72">
        <f t="shared" si="80"/>
        <v>3.1000000000000139</v>
      </c>
      <c r="AH224" s="196">
        <f t="shared" si="81"/>
        <v>2.6000000000000245</v>
      </c>
      <c r="AI224" s="196">
        <f t="shared" si="82"/>
        <v>3.2999999999999918</v>
      </c>
      <c r="AJ224" s="72">
        <f t="shared" si="83"/>
        <v>3.8000000000000256</v>
      </c>
      <c r="AK224" s="72">
        <f t="shared" si="84"/>
        <v>1.2999999999999901</v>
      </c>
      <c r="AM224" s="35"/>
      <c r="AN224" s="35"/>
    </row>
    <row r="225" spans="1:40" x14ac:dyDescent="0.3">
      <c r="A225" s="35">
        <v>46181</v>
      </c>
      <c r="B225" s="847" t="s">
        <v>883</v>
      </c>
      <c r="C225">
        <v>4.335</v>
      </c>
      <c r="E225">
        <f t="shared" si="64"/>
        <v>1</v>
      </c>
      <c r="F225" s="11">
        <v>223</v>
      </c>
      <c r="G225" s="179">
        <v>45926</v>
      </c>
      <c r="H225" s="847">
        <v>3.6219999999999999</v>
      </c>
      <c r="I225" s="847">
        <v>3.7010000000000001</v>
      </c>
      <c r="J225" s="847">
        <v>2.6920000000000002</v>
      </c>
      <c r="K225" s="847">
        <v>3.7309999999999999</v>
      </c>
      <c r="L225" s="847">
        <v>2.738</v>
      </c>
      <c r="M225" s="847">
        <v>3.8170000000000002</v>
      </c>
      <c r="N225" s="847">
        <v>2.794</v>
      </c>
      <c r="O225" s="847">
        <v>2.927</v>
      </c>
      <c r="P225" s="847">
        <v>3.0590000000000002</v>
      </c>
      <c r="Q225" s="847">
        <v>3.3740000000000001</v>
      </c>
      <c r="R225" s="321">
        <f t="shared" si="65"/>
        <v>0</v>
      </c>
      <c r="S225" s="72">
        <f t="shared" si="66"/>
        <v>0</v>
      </c>
      <c r="T225" s="72">
        <f t="shared" si="67"/>
        <v>0</v>
      </c>
      <c r="U225" s="72">
        <f t="shared" si="68"/>
        <v>1.2000000000000011</v>
      </c>
      <c r="V225" s="72">
        <f t="shared" si="69"/>
        <v>2.3000000000000131</v>
      </c>
      <c r="W225" s="72">
        <f t="shared" si="70"/>
        <v>-9.9999999999988987E-2</v>
      </c>
      <c r="X225" s="196">
        <f t="shared" si="71"/>
        <v>0.69999999999996732</v>
      </c>
      <c r="Y225" s="196">
        <f t="shared" si="72"/>
        <v>0.60000000000002274</v>
      </c>
      <c r="Z225" s="72">
        <f t="shared" si="73"/>
        <v>0.19999999999997797</v>
      </c>
      <c r="AA225" s="72">
        <f t="shared" si="74"/>
        <v>0</v>
      </c>
      <c r="AB225" s="321">
        <f t="shared" si="75"/>
        <v>5.7999999999999829</v>
      </c>
      <c r="AC225" s="72">
        <f t="shared" si="76"/>
        <v>6.0999999999999943</v>
      </c>
      <c r="AD225" s="72">
        <f t="shared" si="77"/>
        <v>3.2000000000000028</v>
      </c>
      <c r="AE225" s="72">
        <f t="shared" si="78"/>
        <v>4.9999999999999822</v>
      </c>
      <c r="AF225" s="72">
        <f t="shared" si="79"/>
        <v>3.6000000000000032</v>
      </c>
      <c r="AG225" s="72">
        <f t="shared" si="80"/>
        <v>3.6000000000000032</v>
      </c>
      <c r="AH225" s="196">
        <f t="shared" si="81"/>
        <v>2.8999999999999915</v>
      </c>
      <c r="AI225" s="196">
        <f t="shared" si="82"/>
        <v>3.6000000000000032</v>
      </c>
      <c r="AJ225" s="72">
        <f t="shared" si="83"/>
        <v>4.2000000000000259</v>
      </c>
      <c r="AK225" s="72">
        <f t="shared" si="84"/>
        <v>0.20000000000002238</v>
      </c>
      <c r="AM225" s="35"/>
      <c r="AN225" s="35"/>
    </row>
    <row r="226" spans="1:40" x14ac:dyDescent="0.3">
      <c r="A226" s="35">
        <v>46182</v>
      </c>
      <c r="B226" s="847" t="s">
        <v>883</v>
      </c>
      <c r="C226">
        <v>4.3390000000000004</v>
      </c>
      <c r="E226">
        <f t="shared" si="64"/>
        <v>1</v>
      </c>
      <c r="F226" s="11">
        <v>224</v>
      </c>
      <c r="G226" s="179">
        <v>45925</v>
      </c>
      <c r="H226" s="847">
        <v>3.6150000000000002</v>
      </c>
      <c r="I226" s="847">
        <v>3.6949999999999998</v>
      </c>
      <c r="J226" s="847">
        <v>2.6920000000000002</v>
      </c>
      <c r="K226" s="847">
        <v>3.7290000000000001</v>
      </c>
      <c r="L226" s="847">
        <v>2.738</v>
      </c>
      <c r="M226" s="847">
        <v>3.8170000000000002</v>
      </c>
      <c r="N226" s="847">
        <v>2.794</v>
      </c>
      <c r="O226" s="847">
        <v>2.915</v>
      </c>
      <c r="P226" s="847">
        <v>3.036</v>
      </c>
      <c r="Q226" s="847">
        <v>3.375</v>
      </c>
      <c r="R226" s="321">
        <f t="shared" si="65"/>
        <v>1.1000000000000121</v>
      </c>
      <c r="S226" s="72">
        <f t="shared" si="66"/>
        <v>1.5000000000000124</v>
      </c>
      <c r="T226" s="72">
        <f t="shared" si="67"/>
        <v>0.8999999999999897</v>
      </c>
      <c r="U226" s="72">
        <f t="shared" si="68"/>
        <v>0.30000000000001137</v>
      </c>
      <c r="V226" s="72">
        <f t="shared" si="69"/>
        <v>-0.30000000000001137</v>
      </c>
      <c r="W226" s="72">
        <f t="shared" si="70"/>
        <v>0.59999999999997833</v>
      </c>
      <c r="X226" s="196">
        <f t="shared" si="71"/>
        <v>3.7000000000000366</v>
      </c>
      <c r="Y226" s="196">
        <f t="shared" si="72"/>
        <v>3.0999999999999694</v>
      </c>
      <c r="Z226" s="72">
        <f t="shared" si="73"/>
        <v>3.5000000000000142</v>
      </c>
      <c r="AA226" s="72">
        <f t="shared" si="74"/>
        <v>2.5000000000000355</v>
      </c>
      <c r="AB226" s="321">
        <f t="shared" si="75"/>
        <v>5.600000000000005</v>
      </c>
      <c r="AC226" s="72">
        <f t="shared" si="76"/>
        <v>5.7999999999999829</v>
      </c>
      <c r="AD226" s="72">
        <f t="shared" si="77"/>
        <v>3.2000000000000028</v>
      </c>
      <c r="AE226" s="72">
        <f t="shared" si="78"/>
        <v>4.8000000000000043</v>
      </c>
      <c r="AF226" s="72">
        <f t="shared" si="79"/>
        <v>3.6000000000000032</v>
      </c>
      <c r="AG226" s="72">
        <f t="shared" si="80"/>
        <v>4.0000000000000036</v>
      </c>
      <c r="AH226" s="196">
        <f t="shared" si="81"/>
        <v>2.8999999999999915</v>
      </c>
      <c r="AI226" s="196">
        <f t="shared" si="82"/>
        <v>2.8000000000000025</v>
      </c>
      <c r="AJ226" s="72">
        <f t="shared" si="83"/>
        <v>2.6000000000000245</v>
      </c>
      <c r="AK226" s="72">
        <f t="shared" si="84"/>
        <v>0.59999999999997833</v>
      </c>
      <c r="AM226" s="35"/>
      <c r="AN226" s="35"/>
    </row>
    <row r="227" spans="1:40" x14ac:dyDescent="0.3">
      <c r="A227" s="35">
        <v>46183</v>
      </c>
      <c r="B227" s="847" t="s">
        <v>883</v>
      </c>
      <c r="C227">
        <v>4.34</v>
      </c>
      <c r="E227">
        <f t="shared" si="64"/>
        <v>1</v>
      </c>
      <c r="F227" s="11">
        <v>225</v>
      </c>
      <c r="G227" s="179">
        <v>45924</v>
      </c>
      <c r="H227" s="847">
        <v>3.5779999999999998</v>
      </c>
      <c r="I227" s="847">
        <v>3.6640000000000001</v>
      </c>
      <c r="J227" s="847">
        <v>2.681</v>
      </c>
      <c r="K227" s="847">
        <v>3.694</v>
      </c>
      <c r="L227" s="847">
        <v>2.7229999999999999</v>
      </c>
      <c r="M227" s="847">
        <v>3.7919999999999998</v>
      </c>
      <c r="N227" s="847">
        <v>2.7850000000000001</v>
      </c>
      <c r="O227" s="847">
        <v>2.9119999999999999</v>
      </c>
      <c r="P227" s="847">
        <v>3.0390000000000001</v>
      </c>
      <c r="Q227" s="847">
        <v>3.3690000000000002</v>
      </c>
      <c r="R227" s="321">
        <f t="shared" si="65"/>
        <v>0</v>
      </c>
      <c r="S227" s="72">
        <f t="shared" si="66"/>
        <v>0</v>
      </c>
      <c r="T227" s="72">
        <f t="shared" si="67"/>
        <v>0</v>
      </c>
      <c r="U227" s="72">
        <f t="shared" si="68"/>
        <v>0.40000000000000036</v>
      </c>
      <c r="V227" s="72">
        <f t="shared" si="69"/>
        <v>0.80000000000000071</v>
      </c>
      <c r="W227" s="72">
        <f t="shared" si="70"/>
        <v>0</v>
      </c>
      <c r="X227" s="196">
        <f t="shared" si="71"/>
        <v>0</v>
      </c>
      <c r="Y227" s="196">
        <f t="shared" si="72"/>
        <v>0.30000000000001137</v>
      </c>
      <c r="Z227" s="72">
        <f t="shared" si="73"/>
        <v>0</v>
      </c>
      <c r="AA227" s="72">
        <f t="shared" si="74"/>
        <v>0</v>
      </c>
      <c r="AB227" s="321">
        <f t="shared" si="75"/>
        <v>3.3999999999999808</v>
      </c>
      <c r="AC227" s="72">
        <f t="shared" si="76"/>
        <v>4.0999999999999925</v>
      </c>
      <c r="AD227" s="72">
        <f t="shared" si="77"/>
        <v>2.4999999999999911</v>
      </c>
      <c r="AE227" s="72">
        <f t="shared" si="78"/>
        <v>1.6999999999999904</v>
      </c>
      <c r="AF227" s="72">
        <f t="shared" si="79"/>
        <v>2.4999999999999911</v>
      </c>
      <c r="AG227" s="72">
        <f t="shared" si="80"/>
        <v>1.8999999999999684</v>
      </c>
      <c r="AH227" s="196">
        <f t="shared" si="81"/>
        <v>2.5000000000000355</v>
      </c>
      <c r="AI227" s="196">
        <f t="shared" si="82"/>
        <v>2.3000000000000131</v>
      </c>
      <c r="AJ227" s="72">
        <f t="shared" si="83"/>
        <v>2.1000000000000352</v>
      </c>
      <c r="AK227" s="72">
        <f t="shared" si="84"/>
        <v>0.70000000000001172</v>
      </c>
      <c r="AM227" s="35"/>
      <c r="AN227" s="35"/>
    </row>
    <row r="228" spans="1:40" x14ac:dyDescent="0.3">
      <c r="A228" s="35">
        <v>46184</v>
      </c>
      <c r="B228" s="847" t="s">
        <v>883</v>
      </c>
      <c r="C228">
        <v>4.3470000000000004</v>
      </c>
      <c r="E228">
        <f t="shared" si="64"/>
        <v>1</v>
      </c>
      <c r="F228" s="11">
        <v>226</v>
      </c>
      <c r="G228" s="179">
        <v>45923</v>
      </c>
      <c r="H228" s="847">
        <v>3.5779999999999998</v>
      </c>
      <c r="I228" s="847">
        <v>3.661</v>
      </c>
      <c r="J228" s="847">
        <v>2.681</v>
      </c>
      <c r="K228" s="847">
        <v>3.694</v>
      </c>
      <c r="L228" s="847">
        <v>2.7229999999999999</v>
      </c>
      <c r="M228" s="847">
        <v>3.7919999999999998</v>
      </c>
      <c r="N228" s="847">
        <v>2.7850000000000001</v>
      </c>
      <c r="O228" s="847">
        <v>2.9079999999999999</v>
      </c>
      <c r="P228" s="847">
        <v>3.0310000000000001</v>
      </c>
      <c r="Q228" s="847">
        <v>3.3690000000000002</v>
      </c>
      <c r="R228" s="321">
        <f t="shared" si="65"/>
        <v>0</v>
      </c>
      <c r="S228" s="72">
        <f t="shared" si="66"/>
        <v>0</v>
      </c>
      <c r="T228" s="72">
        <f t="shared" si="67"/>
        <v>0</v>
      </c>
      <c r="U228" s="72">
        <f t="shared" si="68"/>
        <v>0.30000000000001137</v>
      </c>
      <c r="V228" s="72">
        <f t="shared" si="69"/>
        <v>0.70000000000001172</v>
      </c>
      <c r="W228" s="72">
        <f t="shared" si="70"/>
        <v>0</v>
      </c>
      <c r="X228" s="196">
        <f t="shared" si="71"/>
        <v>0</v>
      </c>
      <c r="Y228" s="196">
        <f t="shared" si="72"/>
        <v>0.49999999999998934</v>
      </c>
      <c r="Z228" s="72">
        <f t="shared" si="73"/>
        <v>0</v>
      </c>
      <c r="AA228" s="72">
        <f t="shared" si="74"/>
        <v>0</v>
      </c>
      <c r="AB228" s="321">
        <f t="shared" si="75"/>
        <v>3.6000000000000032</v>
      </c>
      <c r="AC228" s="72">
        <f t="shared" si="76"/>
        <v>4.0000000000000036</v>
      </c>
      <c r="AD228" s="72">
        <f t="shared" si="77"/>
        <v>2.4999999999999911</v>
      </c>
      <c r="AE228" s="72">
        <f t="shared" si="78"/>
        <v>1.6999999999999904</v>
      </c>
      <c r="AF228" s="72">
        <f t="shared" si="79"/>
        <v>2.4999999999999911</v>
      </c>
      <c r="AG228" s="72">
        <f t="shared" si="80"/>
        <v>1.8999999999999684</v>
      </c>
      <c r="AH228" s="196">
        <f t="shared" si="81"/>
        <v>2.5000000000000355</v>
      </c>
      <c r="AI228" s="196">
        <f t="shared" si="82"/>
        <v>2.4000000000000021</v>
      </c>
      <c r="AJ228" s="72">
        <f t="shared" si="83"/>
        <v>2.4000000000000021</v>
      </c>
      <c r="AK228" s="72">
        <f t="shared" si="84"/>
        <v>0.80000000000000071</v>
      </c>
      <c r="AM228" s="35"/>
      <c r="AN228" s="35"/>
    </row>
    <row r="229" spans="1:40" x14ac:dyDescent="0.3">
      <c r="A229" s="35">
        <v>46185</v>
      </c>
      <c r="B229" s="847" t="s">
        <v>883</v>
      </c>
      <c r="C229">
        <v>4.3470000000000004</v>
      </c>
      <c r="E229">
        <f t="shared" si="64"/>
        <v>3</v>
      </c>
      <c r="F229" s="11">
        <v>227</v>
      </c>
      <c r="G229" s="179">
        <v>45922</v>
      </c>
      <c r="H229" s="847">
        <v>3.5779999999999998</v>
      </c>
      <c r="I229" s="847">
        <v>3.6560000000000001</v>
      </c>
      <c r="J229" s="847">
        <v>2.681</v>
      </c>
      <c r="K229" s="847">
        <v>3.694</v>
      </c>
      <c r="L229" s="847">
        <v>2.7229999999999999</v>
      </c>
      <c r="M229" s="847">
        <v>3.7919999999999998</v>
      </c>
      <c r="N229" s="847">
        <v>2.7850000000000001</v>
      </c>
      <c r="O229" s="847">
        <v>2.9049999999999998</v>
      </c>
      <c r="P229" s="847">
        <v>3.024</v>
      </c>
      <c r="Q229" s="847">
        <v>3.3690000000000002</v>
      </c>
      <c r="R229" s="321">
        <f t="shared" si="65"/>
        <v>1.2000000000000011</v>
      </c>
      <c r="S229" s="72">
        <f t="shared" si="66"/>
        <v>1.2999999999999901</v>
      </c>
      <c r="T229" s="72">
        <f t="shared" si="67"/>
        <v>1.2000000000000011</v>
      </c>
      <c r="U229" s="72">
        <f t="shared" si="68"/>
        <v>0.59999999999997833</v>
      </c>
      <c r="V229" s="72">
        <f t="shared" si="69"/>
        <v>0</v>
      </c>
      <c r="W229" s="72">
        <f t="shared" si="70"/>
        <v>0.50000000000003375</v>
      </c>
      <c r="X229" s="196">
        <f t="shared" si="71"/>
        <v>0.59999999999997833</v>
      </c>
      <c r="Y229" s="196">
        <f t="shared" si="72"/>
        <v>0.50000000000003375</v>
      </c>
      <c r="Z229" s="72">
        <f t="shared" si="73"/>
        <v>0</v>
      </c>
      <c r="AA229" s="72">
        <f t="shared" si="74"/>
        <v>0</v>
      </c>
      <c r="AB229" s="321">
        <f t="shared" si="75"/>
        <v>3.7999999999999812</v>
      </c>
      <c r="AC229" s="72">
        <f t="shared" si="76"/>
        <v>3.6000000000000032</v>
      </c>
      <c r="AD229" s="72">
        <f t="shared" si="77"/>
        <v>3.2999999999999918</v>
      </c>
      <c r="AE229" s="72">
        <f t="shared" si="78"/>
        <v>1.6999999999999904</v>
      </c>
      <c r="AF229" s="72">
        <f t="shared" si="79"/>
        <v>3.2999999999999918</v>
      </c>
      <c r="AG229" s="72">
        <f t="shared" si="80"/>
        <v>1.8999999999999684</v>
      </c>
      <c r="AH229" s="196">
        <f t="shared" si="81"/>
        <v>3.3000000000000362</v>
      </c>
      <c r="AI229" s="196">
        <f t="shared" si="82"/>
        <v>2.4999999999999911</v>
      </c>
      <c r="AJ229" s="72">
        <f t="shared" si="83"/>
        <v>1.6999999999999904</v>
      </c>
      <c r="AK229" s="72">
        <f t="shared" si="84"/>
        <v>0.70000000000001172</v>
      </c>
      <c r="AM229" s="35"/>
      <c r="AN229" s="35"/>
    </row>
    <row r="230" spans="1:40" x14ac:dyDescent="0.3">
      <c r="A230" s="35">
        <v>46188</v>
      </c>
      <c r="B230" s="847" t="s">
        <v>883</v>
      </c>
      <c r="C230">
        <v>4.3499999999999996</v>
      </c>
      <c r="E230">
        <f t="shared" si="64"/>
        <v>1</v>
      </c>
      <c r="F230" s="11">
        <v>228</v>
      </c>
      <c r="G230" s="179">
        <v>45919</v>
      </c>
      <c r="H230" s="847">
        <v>3.5720000000000001</v>
      </c>
      <c r="I230" s="847">
        <v>3.6509999999999998</v>
      </c>
      <c r="J230" s="847">
        <v>2.669</v>
      </c>
      <c r="K230" s="847">
        <v>3.694</v>
      </c>
      <c r="L230" s="847">
        <v>2.71</v>
      </c>
      <c r="M230" s="847">
        <v>3.7919999999999998</v>
      </c>
      <c r="N230" s="847">
        <v>2.7730000000000001</v>
      </c>
      <c r="O230" s="847">
        <v>2.899</v>
      </c>
      <c r="P230" s="847">
        <v>3.024</v>
      </c>
      <c r="Q230" s="847">
        <v>3.3639999999999999</v>
      </c>
      <c r="R230" s="321">
        <f t="shared" si="65"/>
        <v>0</v>
      </c>
      <c r="S230" s="72">
        <f t="shared" si="66"/>
        <v>0</v>
      </c>
      <c r="T230" s="72">
        <f t="shared" si="67"/>
        <v>0</v>
      </c>
      <c r="U230" s="72">
        <f t="shared" si="68"/>
        <v>0.40000000000000036</v>
      </c>
      <c r="V230" s="72">
        <f t="shared" si="69"/>
        <v>0.70000000000001172</v>
      </c>
      <c r="W230" s="72">
        <f t="shared" si="70"/>
        <v>-0.30000000000001137</v>
      </c>
      <c r="X230" s="196">
        <f t="shared" si="71"/>
        <v>0.30000000000001137</v>
      </c>
      <c r="Y230" s="196">
        <f t="shared" si="72"/>
        <v>0</v>
      </c>
      <c r="Z230" s="72">
        <f t="shared" si="73"/>
        <v>0</v>
      </c>
      <c r="AA230" s="72">
        <f t="shared" si="74"/>
        <v>0</v>
      </c>
      <c r="AB230" s="321">
        <f t="shared" si="75"/>
        <v>3.4000000000000252</v>
      </c>
      <c r="AC230" s="72">
        <f t="shared" si="76"/>
        <v>3.0999999999999694</v>
      </c>
      <c r="AD230" s="72">
        <f t="shared" si="77"/>
        <v>2.0999999999999908</v>
      </c>
      <c r="AE230" s="72">
        <f t="shared" si="78"/>
        <v>1.6999999999999904</v>
      </c>
      <c r="AF230" s="72">
        <f t="shared" si="79"/>
        <v>2.0000000000000018</v>
      </c>
      <c r="AG230" s="72">
        <f t="shared" si="80"/>
        <v>1.8999999999999684</v>
      </c>
      <c r="AH230" s="196">
        <f t="shared" si="81"/>
        <v>2.1000000000000352</v>
      </c>
      <c r="AI230" s="196">
        <f t="shared" si="82"/>
        <v>1.9000000000000128</v>
      </c>
      <c r="AJ230" s="72">
        <f t="shared" si="83"/>
        <v>1.6999999999999904</v>
      </c>
      <c r="AK230" s="72">
        <f t="shared" si="84"/>
        <v>0.29999999999996696</v>
      </c>
      <c r="AM230" s="35"/>
      <c r="AN230" s="35"/>
    </row>
    <row r="231" spans="1:40" x14ac:dyDescent="0.3">
      <c r="A231" s="35">
        <v>46189</v>
      </c>
      <c r="B231" s="847" t="s">
        <v>883</v>
      </c>
      <c r="C231">
        <v>4.3499999999999996</v>
      </c>
      <c r="E231">
        <f t="shared" si="64"/>
        <v>1</v>
      </c>
      <c r="F231" s="11">
        <v>229</v>
      </c>
      <c r="G231" s="179">
        <v>45918</v>
      </c>
      <c r="H231" s="847">
        <v>3.569</v>
      </c>
      <c r="I231" s="847">
        <v>3.6509999999999998</v>
      </c>
      <c r="J231" s="847">
        <v>2.669</v>
      </c>
      <c r="K231" s="847">
        <v>3.694</v>
      </c>
      <c r="L231" s="847">
        <v>2.71</v>
      </c>
      <c r="M231" s="847">
        <v>3.7919999999999998</v>
      </c>
      <c r="N231" s="847">
        <v>2.7730000000000001</v>
      </c>
      <c r="O231" s="847">
        <v>2.895</v>
      </c>
      <c r="P231" s="847">
        <v>3.0169999999999999</v>
      </c>
      <c r="Q231" s="847">
        <v>3.367</v>
      </c>
      <c r="R231" s="321">
        <f t="shared" si="65"/>
        <v>0.60000000000002274</v>
      </c>
      <c r="S231" s="72">
        <f t="shared" si="66"/>
        <v>0.59999999999997833</v>
      </c>
      <c r="T231" s="72">
        <f t="shared" si="67"/>
        <v>0.60000000000002274</v>
      </c>
      <c r="U231" s="72">
        <f t="shared" si="68"/>
        <v>0.80000000000000071</v>
      </c>
      <c r="V231" s="72">
        <f t="shared" si="69"/>
        <v>1.1000000000000121</v>
      </c>
      <c r="W231" s="72">
        <f t="shared" si="70"/>
        <v>0.8999999999999897</v>
      </c>
      <c r="X231" s="196">
        <f t="shared" si="71"/>
        <v>1.1000000000000121</v>
      </c>
      <c r="Y231" s="196">
        <f t="shared" si="72"/>
        <v>0.80000000000000071</v>
      </c>
      <c r="Z231" s="72">
        <f t="shared" si="73"/>
        <v>0.8999999999999897</v>
      </c>
      <c r="AA231" s="72">
        <f t="shared" si="74"/>
        <v>0.40000000000000036</v>
      </c>
      <c r="AB231" s="321">
        <f t="shared" si="75"/>
        <v>1.9000000000000128</v>
      </c>
      <c r="AC231" s="72">
        <f t="shared" si="76"/>
        <v>3.0999999999999694</v>
      </c>
      <c r="AD231" s="72">
        <f t="shared" si="77"/>
        <v>2.0999999999999908</v>
      </c>
      <c r="AE231" s="72">
        <f t="shared" si="78"/>
        <v>1.6999999999999904</v>
      </c>
      <c r="AF231" s="72">
        <f t="shared" si="79"/>
        <v>2.0000000000000018</v>
      </c>
      <c r="AG231" s="72">
        <f t="shared" si="80"/>
        <v>1.8999999999999684</v>
      </c>
      <c r="AH231" s="196">
        <f t="shared" si="81"/>
        <v>2.1000000000000352</v>
      </c>
      <c r="AI231" s="196">
        <f t="shared" si="82"/>
        <v>1.5000000000000124</v>
      </c>
      <c r="AJ231" s="72">
        <f t="shared" si="83"/>
        <v>0.99999999999997868</v>
      </c>
      <c r="AK231" s="72">
        <f t="shared" si="84"/>
        <v>-1.1000000000000121</v>
      </c>
      <c r="AM231" s="35"/>
      <c r="AN231" s="35"/>
    </row>
    <row r="232" spans="1:40" x14ac:dyDescent="0.3">
      <c r="A232" s="35">
        <v>46190</v>
      </c>
      <c r="B232" s="847" t="s">
        <v>883</v>
      </c>
      <c r="C232">
        <v>4.3520000000000003</v>
      </c>
      <c r="E232">
        <f t="shared" si="64"/>
        <v>1</v>
      </c>
      <c r="F232" s="11">
        <v>230</v>
      </c>
      <c r="G232" s="179">
        <v>45917</v>
      </c>
      <c r="H232" s="847">
        <v>3.5579999999999998</v>
      </c>
      <c r="I232" s="847">
        <v>3.6429999999999998</v>
      </c>
      <c r="J232" s="847">
        <v>2.6629999999999998</v>
      </c>
      <c r="K232" s="847">
        <v>3.6850000000000001</v>
      </c>
      <c r="L232" s="847">
        <v>2.7040000000000002</v>
      </c>
      <c r="M232" s="847">
        <v>3.7879999999999998</v>
      </c>
      <c r="N232" s="847">
        <v>2.7669999999999999</v>
      </c>
      <c r="O232" s="847">
        <v>2.887</v>
      </c>
      <c r="P232" s="847">
        <v>3.0059999999999998</v>
      </c>
      <c r="Q232" s="847">
        <v>3.3580000000000001</v>
      </c>
      <c r="R232" s="321">
        <f t="shared" si="65"/>
        <v>0</v>
      </c>
      <c r="S232" s="72">
        <f t="shared" si="66"/>
        <v>0</v>
      </c>
      <c r="T232" s="72">
        <f t="shared" si="67"/>
        <v>0</v>
      </c>
      <c r="U232" s="72">
        <f t="shared" si="68"/>
        <v>0</v>
      </c>
      <c r="V232" s="72">
        <f t="shared" si="69"/>
        <v>0</v>
      </c>
      <c r="W232" s="72">
        <f t="shared" si="70"/>
        <v>0</v>
      </c>
      <c r="X232" s="196">
        <f t="shared" si="71"/>
        <v>9.9999999999988987E-2</v>
      </c>
      <c r="Y232" s="196">
        <f t="shared" si="72"/>
        <v>0</v>
      </c>
      <c r="Z232" s="72">
        <f t="shared" si="73"/>
        <v>0</v>
      </c>
      <c r="AA232" s="72">
        <f t="shared" si="74"/>
        <v>0</v>
      </c>
      <c r="AB232" s="321">
        <f t="shared" si="75"/>
        <v>0.99999999999997868</v>
      </c>
      <c r="AC232" s="72">
        <f t="shared" si="76"/>
        <v>2.7999999999999581</v>
      </c>
      <c r="AD232" s="72">
        <f t="shared" si="77"/>
        <v>3.2000000000000028</v>
      </c>
      <c r="AE232" s="72">
        <f t="shared" si="78"/>
        <v>0.80000000000000071</v>
      </c>
      <c r="AF232" s="72">
        <f t="shared" si="79"/>
        <v>3.1000000000000139</v>
      </c>
      <c r="AG232" s="72">
        <f t="shared" si="80"/>
        <v>2.2999999999999687</v>
      </c>
      <c r="AH232" s="196">
        <f t="shared" si="81"/>
        <v>3.2000000000000028</v>
      </c>
      <c r="AI232" s="196">
        <f t="shared" si="82"/>
        <v>1.6000000000000014</v>
      </c>
      <c r="AJ232" s="72">
        <f t="shared" si="83"/>
        <v>-0.1000000000000334</v>
      </c>
      <c r="AK232" s="72">
        <f t="shared" si="84"/>
        <v>-2.8000000000000025</v>
      </c>
      <c r="AM232" s="35"/>
      <c r="AN232" s="35"/>
    </row>
    <row r="233" spans="1:40" x14ac:dyDescent="0.3">
      <c r="A233" s="35">
        <v>46191</v>
      </c>
      <c r="B233" s="847" t="s">
        <v>883</v>
      </c>
      <c r="C233">
        <v>4.3849999999999998</v>
      </c>
      <c r="E233">
        <f t="shared" si="64"/>
        <v>1</v>
      </c>
      <c r="F233" s="11">
        <v>231</v>
      </c>
      <c r="G233" s="179">
        <v>45916</v>
      </c>
      <c r="H233" s="847">
        <v>3.5569999999999999</v>
      </c>
      <c r="I233" s="847">
        <v>3.6429999999999998</v>
      </c>
      <c r="J233" s="847">
        <v>2.6629999999999998</v>
      </c>
      <c r="K233" s="847">
        <v>3.6850000000000001</v>
      </c>
      <c r="L233" s="847">
        <v>2.7040000000000002</v>
      </c>
      <c r="M233" s="847">
        <v>3.7879999999999998</v>
      </c>
      <c r="N233" s="847">
        <v>2.7669999999999999</v>
      </c>
      <c r="O233" s="847">
        <v>2.887</v>
      </c>
      <c r="P233" s="847">
        <v>3.0059999999999998</v>
      </c>
      <c r="Q233" s="847">
        <v>3.3580000000000001</v>
      </c>
      <c r="R233" s="321">
        <f t="shared" si="65"/>
        <v>-0.1000000000000334</v>
      </c>
      <c r="S233" s="72">
        <f t="shared" si="66"/>
        <v>-0.49999999999998934</v>
      </c>
      <c r="T233" s="72">
        <f t="shared" si="67"/>
        <v>-9.9999999999988987E-2</v>
      </c>
      <c r="U233" s="72">
        <f t="shared" si="68"/>
        <v>-0.70000000000001172</v>
      </c>
      <c r="V233" s="72">
        <f t="shared" si="69"/>
        <v>-1.5000000000000124</v>
      </c>
      <c r="W233" s="72">
        <f t="shared" si="70"/>
        <v>-0.30000000000001137</v>
      </c>
      <c r="X233" s="196">
        <f t="shared" si="71"/>
        <v>-0.20000000000002238</v>
      </c>
      <c r="Y233" s="196">
        <f t="shared" si="72"/>
        <v>0</v>
      </c>
      <c r="Z233" s="72">
        <f t="shared" si="73"/>
        <v>9.9999999999988987E-2</v>
      </c>
      <c r="AA233" s="72">
        <f t="shared" si="74"/>
        <v>0.19999999999997797</v>
      </c>
      <c r="AB233" s="321">
        <f t="shared" si="75"/>
        <v>0.70000000000001172</v>
      </c>
      <c r="AC233" s="72">
        <f t="shared" si="76"/>
        <v>2.7999999999999581</v>
      </c>
      <c r="AD233" s="72">
        <f t="shared" si="77"/>
        <v>3.2000000000000028</v>
      </c>
      <c r="AE233" s="72">
        <f t="shared" si="78"/>
        <v>0.80000000000000071</v>
      </c>
      <c r="AF233" s="72">
        <f t="shared" si="79"/>
        <v>3.1000000000000139</v>
      </c>
      <c r="AG233" s="72">
        <f t="shared" si="80"/>
        <v>2.2999999999999687</v>
      </c>
      <c r="AH233" s="196">
        <f t="shared" si="81"/>
        <v>3.2000000000000028</v>
      </c>
      <c r="AI233" s="196">
        <f t="shared" si="82"/>
        <v>1.399999999999979</v>
      </c>
      <c r="AJ233" s="72">
        <f t="shared" si="83"/>
        <v>-0.40000000000000036</v>
      </c>
      <c r="AK233" s="72">
        <f t="shared" si="84"/>
        <v>-3.3999999999999808</v>
      </c>
      <c r="AM233" s="35"/>
      <c r="AN233" s="35"/>
    </row>
    <row r="234" spans="1:40" x14ac:dyDescent="0.3">
      <c r="A234" s="35">
        <v>46192</v>
      </c>
      <c r="B234" s="847" t="s">
        <v>883</v>
      </c>
      <c r="C234">
        <v>4.3899999999999997</v>
      </c>
      <c r="E234">
        <f t="shared" si="64"/>
        <v>3</v>
      </c>
      <c r="F234" s="11">
        <v>232</v>
      </c>
      <c r="G234" s="179">
        <v>45915</v>
      </c>
      <c r="H234" s="847">
        <v>3.5590000000000002</v>
      </c>
      <c r="I234" s="847">
        <v>3.6429999999999998</v>
      </c>
      <c r="J234" s="847">
        <v>2.6640000000000001</v>
      </c>
      <c r="K234" s="847">
        <v>3.6840000000000002</v>
      </c>
      <c r="L234" s="847">
        <v>2.7090000000000001</v>
      </c>
      <c r="M234" s="847">
        <v>3.786</v>
      </c>
      <c r="N234" s="847">
        <v>2.7679999999999998</v>
      </c>
      <c r="O234" s="847">
        <v>2.8940000000000001</v>
      </c>
      <c r="P234" s="847">
        <v>3.0209999999999999</v>
      </c>
      <c r="Q234" s="847">
        <v>3.3610000000000002</v>
      </c>
      <c r="R234" s="321">
        <f t="shared" si="65"/>
        <v>0.40000000000000036</v>
      </c>
      <c r="S234" s="72">
        <f t="shared" si="66"/>
        <v>0.70000000000001172</v>
      </c>
      <c r="T234" s="72">
        <f t="shared" si="67"/>
        <v>0.29999999999996696</v>
      </c>
      <c r="U234" s="72">
        <f t="shared" si="68"/>
        <v>0.30000000000001137</v>
      </c>
      <c r="V234" s="72">
        <f t="shared" si="69"/>
        <v>0.40000000000000036</v>
      </c>
      <c r="W234" s="72">
        <f t="shared" si="70"/>
        <v>-1.0999999999999677</v>
      </c>
      <c r="X234" s="196">
        <f t="shared" si="71"/>
        <v>-0.49999999999998934</v>
      </c>
      <c r="Y234" s="196">
        <f t="shared" si="72"/>
        <v>0.29999999999996696</v>
      </c>
      <c r="Z234" s="72">
        <f t="shared" si="73"/>
        <v>0.30000000000001137</v>
      </c>
      <c r="AA234" s="72">
        <f t="shared" si="74"/>
        <v>0.49999999999998934</v>
      </c>
      <c r="AB234" s="321">
        <f t="shared" si="75"/>
        <v>1.3000000000000345</v>
      </c>
      <c r="AC234" s="72">
        <f t="shared" si="76"/>
        <v>2.1999999999999797</v>
      </c>
      <c r="AD234" s="72">
        <f t="shared" si="77"/>
        <v>4.3000000000000149</v>
      </c>
      <c r="AE234" s="72">
        <f t="shared" si="78"/>
        <v>1.3000000000000345</v>
      </c>
      <c r="AF234" s="72">
        <f t="shared" si="79"/>
        <v>4.6000000000000263</v>
      </c>
      <c r="AG234" s="72">
        <f t="shared" si="80"/>
        <v>2.6000000000000245</v>
      </c>
      <c r="AH234" s="196">
        <f t="shared" si="81"/>
        <v>4.2999999999999705</v>
      </c>
      <c r="AI234" s="196">
        <f t="shared" si="82"/>
        <v>2.6000000000000245</v>
      </c>
      <c r="AJ234" s="72">
        <f t="shared" si="83"/>
        <v>1.1000000000000121</v>
      </c>
      <c r="AK234" s="72">
        <f t="shared" si="84"/>
        <v>-2.1999999999999797</v>
      </c>
      <c r="AM234" s="35"/>
      <c r="AN234" s="35"/>
    </row>
    <row r="235" spans="1:40" x14ac:dyDescent="0.3">
      <c r="A235" s="35">
        <v>46195</v>
      </c>
      <c r="B235" s="847" t="s">
        <v>883</v>
      </c>
      <c r="C235">
        <v>4.3970000000000002</v>
      </c>
      <c r="E235">
        <f t="shared" si="64"/>
        <v>1</v>
      </c>
      <c r="F235" s="11">
        <v>233</v>
      </c>
      <c r="G235" s="179">
        <v>45912</v>
      </c>
      <c r="H235" s="847">
        <v>3.5640000000000001</v>
      </c>
      <c r="I235" s="847">
        <v>3.64</v>
      </c>
      <c r="J235" s="847">
        <v>2.66</v>
      </c>
      <c r="K235" s="847">
        <v>3.681</v>
      </c>
      <c r="L235" s="847">
        <v>2.702</v>
      </c>
      <c r="M235" s="847">
        <v>3.7810000000000001</v>
      </c>
      <c r="N235" s="847">
        <v>2.7650000000000001</v>
      </c>
      <c r="O235" s="847">
        <v>2.891</v>
      </c>
      <c r="P235" s="847">
        <v>3.0169999999999999</v>
      </c>
      <c r="Q235" s="847">
        <v>3.3719999999999999</v>
      </c>
      <c r="R235" s="321">
        <f t="shared" si="65"/>
        <v>0</v>
      </c>
      <c r="S235" s="72">
        <f t="shared" si="66"/>
        <v>0</v>
      </c>
      <c r="T235" s="72">
        <f t="shared" si="67"/>
        <v>0</v>
      </c>
      <c r="U235" s="72">
        <f t="shared" si="68"/>
        <v>0.40000000000000036</v>
      </c>
      <c r="V235" s="72">
        <f t="shared" si="69"/>
        <v>0.70000000000001172</v>
      </c>
      <c r="W235" s="72">
        <f t="shared" si="70"/>
        <v>0.29999999999996696</v>
      </c>
      <c r="X235" s="196">
        <f t="shared" si="71"/>
        <v>0.49999999999998934</v>
      </c>
      <c r="Y235" s="196">
        <f t="shared" si="72"/>
        <v>0.30000000000001137</v>
      </c>
      <c r="Z235" s="72">
        <f t="shared" si="73"/>
        <v>0</v>
      </c>
      <c r="AA235" s="72">
        <f t="shared" si="74"/>
        <v>0.40000000000000036</v>
      </c>
      <c r="AB235" s="321">
        <f t="shared" si="75"/>
        <v>2.0000000000000018</v>
      </c>
      <c r="AC235" s="72">
        <f t="shared" si="76"/>
        <v>1.9000000000000128</v>
      </c>
      <c r="AD235" s="72">
        <f t="shared" si="77"/>
        <v>4.7000000000000153</v>
      </c>
      <c r="AE235" s="72">
        <f t="shared" si="78"/>
        <v>0.80000000000000071</v>
      </c>
      <c r="AF235" s="72">
        <f t="shared" si="79"/>
        <v>4.8000000000000043</v>
      </c>
      <c r="AG235" s="72">
        <f t="shared" si="80"/>
        <v>2.1000000000000352</v>
      </c>
      <c r="AH235" s="196">
        <f t="shared" si="81"/>
        <v>4.8000000000000043</v>
      </c>
      <c r="AI235" s="196">
        <f t="shared" si="82"/>
        <v>2.5999999999999801</v>
      </c>
      <c r="AJ235" s="72">
        <f t="shared" si="83"/>
        <v>0.30000000000001137</v>
      </c>
      <c r="AK235" s="72">
        <f t="shared" si="84"/>
        <v>-1.1000000000000121</v>
      </c>
      <c r="AM235" s="35"/>
      <c r="AN235" s="35"/>
    </row>
    <row r="236" spans="1:40" x14ac:dyDescent="0.3">
      <c r="A236" s="35">
        <v>46196</v>
      </c>
      <c r="B236" s="847" t="s">
        <v>883</v>
      </c>
      <c r="C236">
        <v>4.3940000000000001</v>
      </c>
      <c r="E236">
        <f t="shared" si="64"/>
        <v>1</v>
      </c>
      <c r="F236" s="11">
        <v>234</v>
      </c>
      <c r="G236" s="179">
        <v>45911</v>
      </c>
      <c r="H236" s="847">
        <v>3.5590000000000002</v>
      </c>
      <c r="I236" s="847">
        <v>3.637</v>
      </c>
      <c r="J236" s="847">
        <v>2.66</v>
      </c>
      <c r="K236" s="847">
        <v>3.681</v>
      </c>
      <c r="L236" s="847">
        <v>2.702</v>
      </c>
      <c r="M236" s="847">
        <v>3.7770000000000001</v>
      </c>
      <c r="N236" s="847">
        <v>2.7650000000000001</v>
      </c>
      <c r="O236" s="847">
        <v>2.887</v>
      </c>
      <c r="P236" s="847">
        <v>3.01</v>
      </c>
      <c r="Q236" s="847">
        <v>3.3690000000000002</v>
      </c>
      <c r="R236" s="321">
        <f t="shared" si="65"/>
        <v>0.40000000000000036</v>
      </c>
      <c r="S236" s="72">
        <f t="shared" si="66"/>
        <v>0.40000000000000036</v>
      </c>
      <c r="T236" s="72">
        <f t="shared" si="67"/>
        <v>0.50000000000003375</v>
      </c>
      <c r="U236" s="72">
        <f t="shared" si="68"/>
        <v>-0.19999999999997797</v>
      </c>
      <c r="V236" s="72">
        <f t="shared" si="69"/>
        <v>-0.80000000000000071</v>
      </c>
      <c r="W236" s="72">
        <f t="shared" si="70"/>
        <v>0.70000000000001172</v>
      </c>
      <c r="X236" s="196">
        <f t="shared" si="71"/>
        <v>1.5000000000000124</v>
      </c>
      <c r="Y236" s="196">
        <f t="shared" si="72"/>
        <v>1.399999999999979</v>
      </c>
      <c r="Z236" s="72">
        <f t="shared" si="73"/>
        <v>0.40000000000000036</v>
      </c>
      <c r="AA236" s="72">
        <f t="shared" si="74"/>
        <v>0.40000000000000036</v>
      </c>
      <c r="AB236" s="321">
        <f t="shared" si="75"/>
        <v>1.5000000000000124</v>
      </c>
      <c r="AC236" s="72">
        <f t="shared" si="76"/>
        <v>2.8999999999999915</v>
      </c>
      <c r="AD236" s="72">
        <f t="shared" si="77"/>
        <v>5.2000000000000046</v>
      </c>
      <c r="AE236" s="72">
        <f t="shared" si="78"/>
        <v>1.2000000000000011</v>
      </c>
      <c r="AF236" s="72">
        <f t="shared" si="79"/>
        <v>5.2000000000000046</v>
      </c>
      <c r="AG236" s="72">
        <f t="shared" si="80"/>
        <v>2.5000000000000355</v>
      </c>
      <c r="AH236" s="196">
        <f t="shared" si="81"/>
        <v>5.699999999999994</v>
      </c>
      <c r="AI236" s="196">
        <f t="shared" si="82"/>
        <v>2.8000000000000025</v>
      </c>
      <c r="AJ236" s="72">
        <f t="shared" si="83"/>
        <v>0</v>
      </c>
      <c r="AK236" s="72">
        <f t="shared" si="84"/>
        <v>-0.8999999999999897</v>
      </c>
      <c r="AM236" s="35"/>
      <c r="AN236" s="35"/>
    </row>
    <row r="237" spans="1:40" x14ac:dyDescent="0.3">
      <c r="A237" s="35">
        <v>46197</v>
      </c>
      <c r="B237" s="847" t="s">
        <v>883</v>
      </c>
      <c r="C237">
        <v>4.3959999999999999</v>
      </c>
      <c r="E237">
        <f t="shared" si="64"/>
        <v>1</v>
      </c>
      <c r="F237" s="11">
        <v>235</v>
      </c>
      <c r="G237" s="179">
        <v>45910</v>
      </c>
      <c r="H237" s="847">
        <v>3.544</v>
      </c>
      <c r="I237" s="847">
        <v>3.6230000000000002</v>
      </c>
      <c r="J237" s="847">
        <v>2.6560000000000001</v>
      </c>
      <c r="K237" s="847">
        <v>3.677</v>
      </c>
      <c r="L237" s="847">
        <v>2.698</v>
      </c>
      <c r="M237" s="847">
        <v>3.7730000000000001</v>
      </c>
      <c r="N237" s="847">
        <v>2.76</v>
      </c>
      <c r="O237" s="847">
        <v>2.8889999999999998</v>
      </c>
      <c r="P237" s="847">
        <v>3.0179999999999998</v>
      </c>
      <c r="Q237" s="847">
        <v>3.3620000000000001</v>
      </c>
      <c r="R237" s="321">
        <f t="shared" si="65"/>
        <v>0</v>
      </c>
      <c r="S237" s="72">
        <f t="shared" si="66"/>
        <v>0</v>
      </c>
      <c r="T237" s="72">
        <f t="shared" si="67"/>
        <v>0</v>
      </c>
      <c r="U237" s="72">
        <f t="shared" si="68"/>
        <v>0.49999999999998934</v>
      </c>
      <c r="V237" s="72">
        <f t="shared" si="69"/>
        <v>1.0999999999999677</v>
      </c>
      <c r="W237" s="72">
        <f t="shared" si="70"/>
        <v>9.9999999999988987E-2</v>
      </c>
      <c r="X237" s="196">
        <f t="shared" si="71"/>
        <v>0.20000000000002238</v>
      </c>
      <c r="Y237" s="196">
        <f t="shared" si="72"/>
        <v>0.20000000000002238</v>
      </c>
      <c r="Z237" s="72">
        <f t="shared" si="73"/>
        <v>0</v>
      </c>
      <c r="AA237" s="72">
        <f t="shared" si="74"/>
        <v>0</v>
      </c>
      <c r="AB237" s="321">
        <f t="shared" si="75"/>
        <v>0.8999999999999897</v>
      </c>
      <c r="AC237" s="72">
        <f t="shared" si="76"/>
        <v>2.5000000000000355</v>
      </c>
      <c r="AD237" s="72">
        <f t="shared" si="77"/>
        <v>8.4999999999999964</v>
      </c>
      <c r="AE237" s="72">
        <f t="shared" si="78"/>
        <v>2.8999999999999915</v>
      </c>
      <c r="AF237" s="72">
        <f t="shared" si="79"/>
        <v>7.6999999999999957</v>
      </c>
      <c r="AG237" s="72">
        <f t="shared" si="80"/>
        <v>3.8000000000000256</v>
      </c>
      <c r="AH237" s="196">
        <f t="shared" si="81"/>
        <v>7.6999999999999957</v>
      </c>
      <c r="AI237" s="196">
        <f t="shared" si="82"/>
        <v>4.8999999999999932</v>
      </c>
      <c r="AJ237" s="72">
        <f t="shared" si="83"/>
        <v>2.1999999999999797</v>
      </c>
      <c r="AK237" s="72">
        <f t="shared" si="84"/>
        <v>2.6000000000000245</v>
      </c>
      <c r="AM237" s="35"/>
      <c r="AN237" s="35"/>
    </row>
    <row r="238" spans="1:40" x14ac:dyDescent="0.3">
      <c r="A238" s="35">
        <v>46198</v>
      </c>
      <c r="B238" s="847" t="s">
        <v>883</v>
      </c>
      <c r="C238">
        <v>4.3970000000000002</v>
      </c>
      <c r="E238">
        <f t="shared" si="64"/>
        <v>1</v>
      </c>
      <c r="F238" s="11">
        <v>236</v>
      </c>
      <c r="G238" s="179">
        <v>45909</v>
      </c>
      <c r="H238" s="847">
        <v>3.5419999999999998</v>
      </c>
      <c r="I238" s="847">
        <v>3.621</v>
      </c>
      <c r="J238" s="847">
        <v>2.6560000000000001</v>
      </c>
      <c r="K238" s="847">
        <v>3.677</v>
      </c>
      <c r="L238" s="847">
        <v>2.698</v>
      </c>
      <c r="M238" s="847">
        <v>3.7730000000000001</v>
      </c>
      <c r="N238" s="847">
        <v>2.76</v>
      </c>
      <c r="O238" s="847">
        <v>2.8839999999999999</v>
      </c>
      <c r="P238" s="847">
        <v>3.0070000000000001</v>
      </c>
      <c r="Q238" s="847">
        <v>3.3610000000000002</v>
      </c>
      <c r="R238" s="321">
        <f t="shared" si="65"/>
        <v>0.80000000000000071</v>
      </c>
      <c r="S238" s="72">
        <f t="shared" si="66"/>
        <v>0.80000000000000071</v>
      </c>
      <c r="T238" s="72">
        <f t="shared" si="67"/>
        <v>0.80000000000000071</v>
      </c>
      <c r="U238" s="72">
        <f t="shared" si="68"/>
        <v>0.40000000000000036</v>
      </c>
      <c r="V238" s="72">
        <f t="shared" si="69"/>
        <v>0</v>
      </c>
      <c r="W238" s="72">
        <f t="shared" si="70"/>
        <v>-9.9999999999988987E-2</v>
      </c>
      <c r="X238" s="196">
        <f t="shared" si="71"/>
        <v>0.19999999999997797</v>
      </c>
      <c r="Y238" s="196">
        <f t="shared" si="72"/>
        <v>9.9999999999988987E-2</v>
      </c>
      <c r="Z238" s="72">
        <f t="shared" si="73"/>
        <v>0</v>
      </c>
      <c r="AA238" s="72">
        <f t="shared" si="74"/>
        <v>0</v>
      </c>
      <c r="AB238" s="321">
        <f t="shared" si="75"/>
        <v>0.69999999999996732</v>
      </c>
      <c r="AC238" s="72">
        <f t="shared" si="76"/>
        <v>2.3000000000000131</v>
      </c>
      <c r="AD238" s="72">
        <f t="shared" si="77"/>
        <v>11.800000000000033</v>
      </c>
      <c r="AE238" s="72">
        <f t="shared" si="78"/>
        <v>3.9000000000000146</v>
      </c>
      <c r="AF238" s="72">
        <f t="shared" si="79"/>
        <v>11.499999999999977</v>
      </c>
      <c r="AG238" s="72">
        <f t="shared" si="80"/>
        <v>5.400000000000027</v>
      </c>
      <c r="AH238" s="196">
        <f t="shared" si="81"/>
        <v>11.799999999999988</v>
      </c>
      <c r="AI238" s="196">
        <f t="shared" si="82"/>
        <v>9.8999999999999755</v>
      </c>
      <c r="AJ238" s="72">
        <f t="shared" si="83"/>
        <v>7.8000000000000291</v>
      </c>
      <c r="AK238" s="72">
        <f t="shared" si="84"/>
        <v>10.80000000000001</v>
      </c>
      <c r="AM238" s="35"/>
      <c r="AN238" s="35"/>
    </row>
    <row r="239" spans="1:40" x14ac:dyDescent="0.3">
      <c r="A239" s="35">
        <v>46199</v>
      </c>
      <c r="B239" s="847" t="s">
        <v>883</v>
      </c>
      <c r="C239">
        <v>4.3959999999999999</v>
      </c>
      <c r="E239">
        <f t="shared" si="64"/>
        <v>3</v>
      </c>
      <c r="F239" s="11">
        <v>237</v>
      </c>
      <c r="G239" s="179">
        <v>45908</v>
      </c>
      <c r="H239" s="847">
        <v>3.54</v>
      </c>
      <c r="I239" s="847">
        <v>3.62</v>
      </c>
      <c r="J239" s="847">
        <v>2.6480000000000001</v>
      </c>
      <c r="K239" s="847">
        <v>3.677</v>
      </c>
      <c r="L239" s="847">
        <v>2.69</v>
      </c>
      <c r="M239" s="847">
        <v>3.7730000000000001</v>
      </c>
      <c r="N239" s="847">
        <v>2.7519999999999998</v>
      </c>
      <c r="O239" s="847">
        <v>2.88</v>
      </c>
      <c r="P239" s="847">
        <v>3.0070000000000001</v>
      </c>
      <c r="Q239" s="847">
        <v>3.3620000000000001</v>
      </c>
      <c r="R239" s="321">
        <f t="shared" si="65"/>
        <v>0</v>
      </c>
      <c r="S239" s="72">
        <f t="shared" si="66"/>
        <v>0</v>
      </c>
      <c r="T239" s="72">
        <f t="shared" si="67"/>
        <v>0</v>
      </c>
      <c r="U239" s="72">
        <f t="shared" si="68"/>
        <v>0</v>
      </c>
      <c r="V239" s="72">
        <f t="shared" si="69"/>
        <v>0</v>
      </c>
      <c r="W239" s="72">
        <f t="shared" si="70"/>
        <v>9.9999999999988987E-2</v>
      </c>
      <c r="X239" s="196">
        <f t="shared" si="71"/>
        <v>0.20000000000002238</v>
      </c>
      <c r="Y239" s="196">
        <f t="shared" si="72"/>
        <v>0</v>
      </c>
      <c r="Z239" s="72">
        <f t="shared" si="73"/>
        <v>0</v>
      </c>
      <c r="AA239" s="72">
        <f t="shared" si="74"/>
        <v>0</v>
      </c>
      <c r="AB239" s="321">
        <f t="shared" si="75"/>
        <v>4.9999999999999822</v>
      </c>
      <c r="AC239" s="72">
        <f t="shared" si="76"/>
        <v>5.2000000000000046</v>
      </c>
      <c r="AD239" s="72">
        <f t="shared" si="77"/>
        <v>11.000000000000032</v>
      </c>
      <c r="AE239" s="72">
        <f t="shared" si="78"/>
        <v>4.8000000000000043</v>
      </c>
      <c r="AF239" s="72">
        <f t="shared" si="79"/>
        <v>10.699999999999976</v>
      </c>
      <c r="AG239" s="72">
        <f t="shared" si="80"/>
        <v>6.0000000000000053</v>
      </c>
      <c r="AH239" s="196">
        <f t="shared" si="81"/>
        <v>10.999999999999988</v>
      </c>
      <c r="AI239" s="196">
        <f t="shared" si="82"/>
        <v>13.199999999999967</v>
      </c>
      <c r="AJ239" s="72">
        <f t="shared" si="83"/>
        <v>15.200000000000014</v>
      </c>
      <c r="AK239" s="72">
        <f t="shared" si="84"/>
        <v>21.4</v>
      </c>
      <c r="AM239" s="35"/>
      <c r="AN239" s="35"/>
    </row>
    <row r="240" spans="1:40" x14ac:dyDescent="0.3">
      <c r="A240" s="35">
        <v>46202</v>
      </c>
      <c r="B240" s="847" t="s">
        <v>883</v>
      </c>
      <c r="C240">
        <v>4.399</v>
      </c>
      <c r="E240">
        <f t="shared" si="64"/>
        <v>1</v>
      </c>
      <c r="F240" s="11">
        <v>238</v>
      </c>
      <c r="G240" s="179">
        <v>45905</v>
      </c>
      <c r="H240" s="847">
        <v>3.5379999999999998</v>
      </c>
      <c r="I240" s="847">
        <v>3.62</v>
      </c>
      <c r="J240" s="847">
        <v>2.6480000000000001</v>
      </c>
      <c r="K240" s="847">
        <v>3.677</v>
      </c>
      <c r="L240" s="847">
        <v>2.69</v>
      </c>
      <c r="M240" s="847">
        <v>3.7730000000000001</v>
      </c>
      <c r="N240" s="847">
        <v>2.7519999999999998</v>
      </c>
      <c r="O240" s="847">
        <v>2.88</v>
      </c>
      <c r="P240" s="847">
        <v>3.0070000000000001</v>
      </c>
      <c r="Q240" s="847">
        <v>3.3610000000000002</v>
      </c>
      <c r="R240" s="321">
        <f t="shared" si="65"/>
        <v>0</v>
      </c>
      <c r="S240" s="72">
        <f t="shared" si="66"/>
        <v>0</v>
      </c>
      <c r="T240" s="72">
        <f t="shared" si="67"/>
        <v>0</v>
      </c>
      <c r="U240" s="72">
        <f t="shared" si="68"/>
        <v>0</v>
      </c>
      <c r="V240" s="72">
        <f t="shared" si="69"/>
        <v>0</v>
      </c>
      <c r="W240" s="72">
        <f t="shared" si="70"/>
        <v>-1.6999999999999904</v>
      </c>
      <c r="X240" s="196">
        <f t="shared" si="71"/>
        <v>-1.2000000000000011</v>
      </c>
      <c r="Y240" s="196">
        <f t="shared" si="72"/>
        <v>0</v>
      </c>
      <c r="Z240" s="72">
        <f t="shared" si="73"/>
        <v>0</v>
      </c>
      <c r="AA240" s="72">
        <f t="shared" si="74"/>
        <v>0</v>
      </c>
      <c r="AB240" s="321">
        <f t="shared" si="75"/>
        <v>10.599999999999987</v>
      </c>
      <c r="AC240" s="72">
        <f t="shared" si="76"/>
        <v>9.6999999999999975</v>
      </c>
      <c r="AD240" s="72">
        <f t="shared" si="77"/>
        <v>14.400000000000013</v>
      </c>
      <c r="AE240" s="72">
        <f t="shared" si="78"/>
        <v>8.8999999999999968</v>
      </c>
      <c r="AF240" s="72">
        <f t="shared" si="79"/>
        <v>14.000000000000012</v>
      </c>
      <c r="AG240" s="72">
        <f t="shared" si="80"/>
        <v>10.600000000000032</v>
      </c>
      <c r="AH240" s="196">
        <f t="shared" si="81"/>
        <v>13.899999999999979</v>
      </c>
      <c r="AI240" s="196">
        <f t="shared" si="82"/>
        <v>15.799999999999992</v>
      </c>
      <c r="AJ240" s="72">
        <f t="shared" si="83"/>
        <v>17.600000000000016</v>
      </c>
      <c r="AK240" s="72">
        <f t="shared" si="84"/>
        <v>24.800000000000022</v>
      </c>
      <c r="AM240" s="35"/>
      <c r="AN240" s="35"/>
    </row>
    <row r="241" spans="1:40" x14ac:dyDescent="0.3">
      <c r="A241" s="35">
        <v>46203</v>
      </c>
      <c r="B241" s="847" t="s">
        <v>883</v>
      </c>
      <c r="C241">
        <v>4.3949999999999996</v>
      </c>
      <c r="E241">
        <f t="shared" si="64"/>
        <v>1</v>
      </c>
      <c r="F241" s="11">
        <v>239</v>
      </c>
      <c r="G241" s="179">
        <v>45904</v>
      </c>
      <c r="H241" s="847">
        <v>3.55</v>
      </c>
      <c r="I241" s="847">
        <v>3.62</v>
      </c>
      <c r="J241" s="847">
        <v>2.6480000000000001</v>
      </c>
      <c r="K241" s="847">
        <v>3.677</v>
      </c>
      <c r="L241" s="847">
        <v>2.69</v>
      </c>
      <c r="M241" s="847">
        <v>3.7730000000000001</v>
      </c>
      <c r="N241" s="847">
        <v>2.7519999999999998</v>
      </c>
      <c r="O241" s="847">
        <v>2.88</v>
      </c>
      <c r="P241" s="847">
        <v>3.0070000000000001</v>
      </c>
      <c r="Q241" s="847">
        <v>3.3780000000000001</v>
      </c>
      <c r="R241" s="321">
        <f t="shared" si="65"/>
        <v>1.7000000000000348</v>
      </c>
      <c r="S241" s="72">
        <f t="shared" si="66"/>
        <v>1.6999999999999904</v>
      </c>
      <c r="T241" s="72">
        <f t="shared" si="67"/>
        <v>1.6999999999999904</v>
      </c>
      <c r="U241" s="72">
        <f t="shared" si="68"/>
        <v>0.8999999999999897</v>
      </c>
      <c r="V241" s="72">
        <f t="shared" si="69"/>
        <v>0</v>
      </c>
      <c r="W241" s="72">
        <f t="shared" si="70"/>
        <v>-0.80000000000000071</v>
      </c>
      <c r="X241" s="196">
        <f t="shared" si="71"/>
        <v>0.19999999999997797</v>
      </c>
      <c r="Y241" s="196">
        <f t="shared" si="72"/>
        <v>0.49999999999998934</v>
      </c>
      <c r="Z241" s="72">
        <f t="shared" si="73"/>
        <v>0</v>
      </c>
      <c r="AA241" s="72">
        <f t="shared" si="74"/>
        <v>0.80000000000000071</v>
      </c>
      <c r="AB241" s="321">
        <f t="shared" si="75"/>
        <v>11.7</v>
      </c>
      <c r="AC241" s="72">
        <f t="shared" si="76"/>
        <v>9.6999999999999975</v>
      </c>
      <c r="AD241" s="72">
        <f t="shared" si="77"/>
        <v>15.200000000000014</v>
      </c>
      <c r="AE241" s="72">
        <f t="shared" si="78"/>
        <v>8.8999999999999968</v>
      </c>
      <c r="AF241" s="72">
        <f t="shared" si="79"/>
        <v>14.800000000000013</v>
      </c>
      <c r="AG241" s="72">
        <f t="shared" si="80"/>
        <v>10.600000000000032</v>
      </c>
      <c r="AH241" s="196">
        <f t="shared" si="81"/>
        <v>14.399999999999968</v>
      </c>
      <c r="AI241" s="196">
        <f t="shared" si="82"/>
        <v>16.39999999999997</v>
      </c>
      <c r="AJ241" s="72">
        <f t="shared" si="83"/>
        <v>18.400000000000016</v>
      </c>
      <c r="AK241" s="72">
        <f t="shared" si="84"/>
        <v>27.499999999999993</v>
      </c>
      <c r="AM241" s="35"/>
      <c r="AN241" s="35"/>
    </row>
    <row r="242" spans="1:40" x14ac:dyDescent="0.3">
      <c r="A242" s="35">
        <v>46204</v>
      </c>
      <c r="B242" s="847" t="s">
        <v>883</v>
      </c>
      <c r="C242">
        <v>4.3979999999999997</v>
      </c>
      <c r="E242">
        <f t="shared" si="64"/>
        <v>5</v>
      </c>
      <c r="F242" s="11">
        <v>240</v>
      </c>
      <c r="G242" s="179">
        <v>45903</v>
      </c>
      <c r="H242" s="847">
        <v>3.548</v>
      </c>
      <c r="I242" s="847">
        <v>3.6150000000000002</v>
      </c>
      <c r="J242" s="847">
        <v>2.6309999999999998</v>
      </c>
      <c r="K242" s="847">
        <v>3.677</v>
      </c>
      <c r="L242" s="847">
        <v>2.673</v>
      </c>
      <c r="M242" s="847">
        <v>3.7650000000000001</v>
      </c>
      <c r="N242" s="847">
        <v>2.7349999999999999</v>
      </c>
      <c r="O242" s="847">
        <v>2.871</v>
      </c>
      <c r="P242" s="847">
        <v>3.0070000000000001</v>
      </c>
      <c r="Q242" s="847">
        <v>3.3860000000000001</v>
      </c>
      <c r="R242" s="321">
        <f t="shared" si="65"/>
        <v>0</v>
      </c>
      <c r="S242" s="72">
        <f t="shared" si="66"/>
        <v>0</v>
      </c>
      <c r="T242" s="72">
        <f t="shared" si="67"/>
        <v>0</v>
      </c>
      <c r="U242" s="72">
        <f t="shared" si="68"/>
        <v>-0.20000000000002238</v>
      </c>
      <c r="V242" s="72">
        <f t="shared" si="69"/>
        <v>-0.29999999999996696</v>
      </c>
      <c r="W242" s="72">
        <f t="shared" si="70"/>
        <v>-0.59999999999997833</v>
      </c>
      <c r="X242" s="196">
        <f t="shared" si="71"/>
        <v>-0.19999999999997797</v>
      </c>
      <c r="Y242" s="196">
        <f t="shared" si="72"/>
        <v>0</v>
      </c>
      <c r="Z242" s="72">
        <f t="shared" si="73"/>
        <v>0</v>
      </c>
      <c r="AA242" s="72">
        <f t="shared" si="74"/>
        <v>0</v>
      </c>
      <c r="AB242" s="321">
        <f t="shared" si="75"/>
        <v>12.300000000000022</v>
      </c>
      <c r="AC242" s="72">
        <f t="shared" si="76"/>
        <v>9.5000000000000195</v>
      </c>
      <c r="AD242" s="72">
        <f t="shared" si="77"/>
        <v>13.899999999999979</v>
      </c>
      <c r="AE242" s="72">
        <f t="shared" si="78"/>
        <v>8.8999999999999968</v>
      </c>
      <c r="AF242" s="72">
        <f t="shared" si="79"/>
        <v>13.500000000000023</v>
      </c>
      <c r="AG242" s="72">
        <f t="shared" si="80"/>
        <v>10.000000000000009</v>
      </c>
      <c r="AH242" s="196">
        <f t="shared" si="81"/>
        <v>13.499999999999979</v>
      </c>
      <c r="AI242" s="196">
        <f t="shared" si="82"/>
        <v>15.600000000000014</v>
      </c>
      <c r="AJ242" s="72">
        <f t="shared" si="83"/>
        <v>17.700000000000003</v>
      </c>
      <c r="AK242" s="72">
        <f t="shared" si="84"/>
        <v>27.600000000000023</v>
      </c>
      <c r="AM242" s="35"/>
      <c r="AN242" s="35"/>
    </row>
    <row r="243" spans="1:40" x14ac:dyDescent="0.3">
      <c r="A243" s="35">
        <v>46205</v>
      </c>
      <c r="B243" s="847" t="s">
        <v>883</v>
      </c>
      <c r="C243">
        <v>4.399</v>
      </c>
      <c r="E243">
        <f t="shared" si="64"/>
        <v>1</v>
      </c>
      <c r="F243" s="11">
        <v>241</v>
      </c>
      <c r="G243" s="179">
        <v>45898</v>
      </c>
      <c r="H243" s="847">
        <v>3.55</v>
      </c>
      <c r="I243" s="847">
        <v>3.6150000000000002</v>
      </c>
      <c r="J243" s="847">
        <v>2.6309999999999998</v>
      </c>
      <c r="K243" s="847">
        <v>3.677</v>
      </c>
      <c r="L243" s="847">
        <v>2.673</v>
      </c>
      <c r="M243" s="847">
        <v>3.7650000000000001</v>
      </c>
      <c r="N243" s="847">
        <v>2.7349999999999999</v>
      </c>
      <c r="O243" s="847">
        <v>2.8730000000000002</v>
      </c>
      <c r="P243" s="847">
        <v>3.01</v>
      </c>
      <c r="Q243" s="847">
        <v>3.3919999999999999</v>
      </c>
      <c r="R243" s="321">
        <f t="shared" si="65"/>
        <v>0.99999999999997868</v>
      </c>
      <c r="S243" s="72">
        <f t="shared" si="66"/>
        <v>1.0000000000000231</v>
      </c>
      <c r="T243" s="72">
        <f t="shared" si="67"/>
        <v>0.99999999999997868</v>
      </c>
      <c r="U243" s="72">
        <f t="shared" si="68"/>
        <v>0.50000000000003375</v>
      </c>
      <c r="V243" s="72">
        <f t="shared" si="69"/>
        <v>0</v>
      </c>
      <c r="W243" s="72">
        <f t="shared" si="70"/>
        <v>0.8999999999999897</v>
      </c>
      <c r="X243" s="196">
        <f t="shared" si="71"/>
        <v>0.40000000000000036</v>
      </c>
      <c r="Y243" s="196">
        <f t="shared" si="72"/>
        <v>-0.59999999999997833</v>
      </c>
      <c r="Z243" s="72">
        <f t="shared" si="73"/>
        <v>0.60000000000002274</v>
      </c>
      <c r="AA243" s="72">
        <f t="shared" si="74"/>
        <v>0.50000000000003375</v>
      </c>
      <c r="AB243" s="321">
        <f t="shared" si="75"/>
        <v>12.199999999999989</v>
      </c>
      <c r="AC243" s="72">
        <f t="shared" si="76"/>
        <v>9.8000000000000309</v>
      </c>
      <c r="AD243" s="72">
        <f t="shared" si="77"/>
        <v>14.799999999999969</v>
      </c>
      <c r="AE243" s="72">
        <f t="shared" si="78"/>
        <v>9.7999999999999865</v>
      </c>
      <c r="AF243" s="72">
        <f t="shared" si="79"/>
        <v>14.400000000000013</v>
      </c>
      <c r="AG243" s="72">
        <f t="shared" si="80"/>
        <v>10.899999999999999</v>
      </c>
      <c r="AH243" s="196">
        <f t="shared" si="81"/>
        <v>14.299999999999979</v>
      </c>
      <c r="AI243" s="196">
        <f t="shared" si="82"/>
        <v>15.900000000000025</v>
      </c>
      <c r="AJ243" s="72">
        <f t="shared" si="83"/>
        <v>17.299999999999962</v>
      </c>
      <c r="AK243" s="72">
        <f t="shared" si="84"/>
        <v>27.800000000000004</v>
      </c>
      <c r="AM243" s="35"/>
      <c r="AN243" s="35"/>
    </row>
    <row r="244" spans="1:40" x14ac:dyDescent="0.3">
      <c r="A244" s="35">
        <v>46206</v>
      </c>
      <c r="B244" s="847" t="s">
        <v>883</v>
      </c>
      <c r="C244">
        <v>4.3959999999999999</v>
      </c>
      <c r="E244">
        <f t="shared" si="64"/>
        <v>1</v>
      </c>
      <c r="F244" s="11">
        <v>242</v>
      </c>
      <c r="G244" s="179">
        <v>45897</v>
      </c>
      <c r="H244" s="847">
        <v>3.5459999999999998</v>
      </c>
      <c r="I244" s="847">
        <v>3.621</v>
      </c>
      <c r="J244" s="847">
        <v>2.621</v>
      </c>
      <c r="K244" s="847">
        <v>3.6709999999999998</v>
      </c>
      <c r="L244" s="847">
        <v>2.6629999999999998</v>
      </c>
      <c r="M244" s="847">
        <v>3.76</v>
      </c>
      <c r="N244" s="847">
        <v>2.7250000000000001</v>
      </c>
      <c r="O244" s="847">
        <v>2.8679999999999999</v>
      </c>
      <c r="P244" s="847">
        <v>3.01</v>
      </c>
      <c r="Q244" s="847">
        <v>3.383</v>
      </c>
      <c r="R244" s="321">
        <f t="shared" si="65"/>
        <v>0.80000000000000071</v>
      </c>
      <c r="S244" s="72">
        <f t="shared" si="66"/>
        <v>0.8999999999999897</v>
      </c>
      <c r="T244" s="72">
        <f t="shared" si="67"/>
        <v>0.80000000000000071</v>
      </c>
      <c r="U244" s="72">
        <f t="shared" si="68"/>
        <v>0.29999999999996696</v>
      </c>
      <c r="V244" s="72">
        <f t="shared" si="69"/>
        <v>-0.40000000000000036</v>
      </c>
      <c r="W244" s="72">
        <f t="shared" si="70"/>
        <v>0</v>
      </c>
      <c r="X244" s="196">
        <f t="shared" si="71"/>
        <v>0.19999999999997797</v>
      </c>
      <c r="Y244" s="196">
        <f t="shared" si="72"/>
        <v>0</v>
      </c>
      <c r="Z244" s="72">
        <f t="shared" si="73"/>
        <v>-0.20000000000002238</v>
      </c>
      <c r="AA244" s="72">
        <f t="shared" si="74"/>
        <v>0</v>
      </c>
      <c r="AB244" s="321">
        <f t="shared" si="75"/>
        <v>12.799999999999967</v>
      </c>
      <c r="AC244" s="72">
        <f t="shared" si="76"/>
        <v>10.599999999999987</v>
      </c>
      <c r="AD244" s="72">
        <f t="shared" si="77"/>
        <v>16.299999999999983</v>
      </c>
      <c r="AE244" s="72">
        <f t="shared" si="78"/>
        <v>9.9999999999999645</v>
      </c>
      <c r="AF244" s="72">
        <f t="shared" si="79"/>
        <v>15.899999999999981</v>
      </c>
      <c r="AG244" s="72">
        <f t="shared" si="80"/>
        <v>11.199999999999966</v>
      </c>
      <c r="AH244" s="196">
        <f t="shared" si="81"/>
        <v>15.399999999999991</v>
      </c>
      <c r="AI244" s="196">
        <f t="shared" si="82"/>
        <v>17.09999999999998</v>
      </c>
      <c r="AJ244" s="72">
        <f t="shared" si="83"/>
        <v>18.699999999999982</v>
      </c>
      <c r="AK244" s="72">
        <f t="shared" si="84"/>
        <v>27.800000000000004</v>
      </c>
      <c r="AM244" s="35"/>
      <c r="AN244" s="35"/>
    </row>
    <row r="245" spans="1:40" x14ac:dyDescent="0.3">
      <c r="A245" s="35">
        <v>46209</v>
      </c>
      <c r="B245" s="847" t="s">
        <v>883</v>
      </c>
      <c r="C245">
        <v>4.3970000000000002</v>
      </c>
      <c r="E245">
        <f t="shared" si="64"/>
        <v>1</v>
      </c>
      <c r="F245" s="11">
        <v>243</v>
      </c>
      <c r="G245" s="179">
        <v>45896</v>
      </c>
      <c r="H245" s="847">
        <v>3.544</v>
      </c>
      <c r="I245" s="847">
        <v>3.621</v>
      </c>
      <c r="J245" s="847">
        <v>2.613</v>
      </c>
      <c r="K245" s="847">
        <v>3.673</v>
      </c>
      <c r="L245" s="847">
        <v>2.6539999999999999</v>
      </c>
      <c r="M245" s="847">
        <v>3.76</v>
      </c>
      <c r="N245" s="847">
        <v>2.7170000000000001</v>
      </c>
      <c r="O245" s="847">
        <v>2.8650000000000002</v>
      </c>
      <c r="P245" s="847">
        <v>3.0139999999999998</v>
      </c>
      <c r="Q245" s="847">
        <v>3.383</v>
      </c>
      <c r="R245" s="321">
        <f t="shared" si="65"/>
        <v>0.49999999999998934</v>
      </c>
      <c r="S245" s="72">
        <f t="shared" si="66"/>
        <v>0.40000000000000036</v>
      </c>
      <c r="T245" s="72">
        <f t="shared" si="67"/>
        <v>0.8999999999999897</v>
      </c>
      <c r="U245" s="72">
        <f t="shared" si="68"/>
        <v>0.60000000000002274</v>
      </c>
      <c r="V245" s="72">
        <f t="shared" si="69"/>
        <v>0.40000000000000036</v>
      </c>
      <c r="W245" s="72">
        <f t="shared" si="70"/>
        <v>0.49999999999998934</v>
      </c>
      <c r="X245" s="196">
        <f t="shared" si="71"/>
        <v>0</v>
      </c>
      <c r="Y245" s="196">
        <f t="shared" si="72"/>
        <v>1.2999999999999901</v>
      </c>
      <c r="Z245" s="72">
        <f t="shared" si="73"/>
        <v>0.40000000000000036</v>
      </c>
      <c r="AA245" s="72">
        <f t="shared" si="74"/>
        <v>0.80000000000000071</v>
      </c>
      <c r="AB245" s="321">
        <f t="shared" si="75"/>
        <v>16.700000000000024</v>
      </c>
      <c r="AC245" s="72">
        <f t="shared" si="76"/>
        <v>15.09999999999998</v>
      </c>
      <c r="AD245" s="72">
        <f t="shared" si="77"/>
        <v>20.299999999999983</v>
      </c>
      <c r="AE245" s="72">
        <f t="shared" si="78"/>
        <v>14.000000000000012</v>
      </c>
      <c r="AF245" s="72">
        <f t="shared" si="79"/>
        <v>19.399999999999995</v>
      </c>
      <c r="AG245" s="72">
        <f t="shared" si="80"/>
        <v>14.299999999999979</v>
      </c>
      <c r="AH245" s="196">
        <f t="shared" si="81"/>
        <v>17.100000000000026</v>
      </c>
      <c r="AI245" s="196">
        <f t="shared" si="82"/>
        <v>20.200000000000038</v>
      </c>
      <c r="AJ245" s="72">
        <f t="shared" si="83"/>
        <v>23.499999999999986</v>
      </c>
      <c r="AK245" s="72">
        <f t="shared" si="84"/>
        <v>29.199999999999982</v>
      </c>
      <c r="AM245" s="35"/>
      <c r="AN245" s="35"/>
    </row>
    <row r="246" spans="1:40" x14ac:dyDescent="0.3">
      <c r="A246" s="35">
        <v>46210</v>
      </c>
      <c r="B246" s="847" t="s">
        <v>883</v>
      </c>
      <c r="C246">
        <v>4.399</v>
      </c>
      <c r="E246">
        <f t="shared" si="64"/>
        <v>1</v>
      </c>
      <c r="F246" s="11">
        <v>244</v>
      </c>
      <c r="G246" s="179">
        <v>45895</v>
      </c>
      <c r="H246" s="847">
        <v>3.544</v>
      </c>
      <c r="I246" s="847">
        <v>3.6080000000000001</v>
      </c>
      <c r="J246" s="847">
        <v>2.6080000000000001</v>
      </c>
      <c r="K246" s="847">
        <v>3.669</v>
      </c>
      <c r="L246" s="847">
        <v>2.65</v>
      </c>
      <c r="M246" s="847">
        <v>3.7519999999999998</v>
      </c>
      <c r="N246" s="847">
        <v>2.7080000000000002</v>
      </c>
      <c r="O246" s="847">
        <v>2.859</v>
      </c>
      <c r="P246" s="847">
        <v>3.01</v>
      </c>
      <c r="Q246" s="847">
        <v>3.3780000000000001</v>
      </c>
      <c r="R246" s="321">
        <f t="shared" si="65"/>
        <v>3.6999999999999922</v>
      </c>
      <c r="S246" s="72">
        <f t="shared" si="66"/>
        <v>2.8999999999999915</v>
      </c>
      <c r="T246" s="72">
        <f t="shared" si="67"/>
        <v>2.5000000000000355</v>
      </c>
      <c r="U246" s="72">
        <f t="shared" si="68"/>
        <v>1.9000000000000128</v>
      </c>
      <c r="V246" s="72">
        <f t="shared" si="69"/>
        <v>1.399999999999979</v>
      </c>
      <c r="W246" s="72">
        <f t="shared" si="70"/>
        <v>4.2000000000000259</v>
      </c>
      <c r="X246" s="196">
        <f t="shared" si="71"/>
        <v>0.8999999999999897</v>
      </c>
      <c r="Y246" s="196">
        <f t="shared" si="72"/>
        <v>1.0000000000000231</v>
      </c>
      <c r="Z246" s="72">
        <f t="shared" si="73"/>
        <v>2.0999999999999908</v>
      </c>
      <c r="AA246" s="72">
        <f t="shared" si="74"/>
        <v>1.6999999999999904</v>
      </c>
      <c r="AB246" s="321">
        <f t="shared" si="75"/>
        <v>17.300000000000004</v>
      </c>
      <c r="AC246" s="72">
        <f t="shared" si="76"/>
        <v>13.500000000000023</v>
      </c>
      <c r="AD246" s="72">
        <f t="shared" si="77"/>
        <v>21.799999999999997</v>
      </c>
      <c r="AE246" s="72">
        <f t="shared" si="78"/>
        <v>13.100000000000023</v>
      </c>
      <c r="AF246" s="72">
        <f t="shared" si="79"/>
        <v>20.999999999999996</v>
      </c>
      <c r="AG246" s="72">
        <f t="shared" si="80"/>
        <v>13.499999999999979</v>
      </c>
      <c r="AH246" s="196">
        <f t="shared" si="81"/>
        <v>16.600000000000037</v>
      </c>
      <c r="AI246" s="196">
        <f t="shared" si="82"/>
        <v>20.000000000000018</v>
      </c>
      <c r="AJ246" s="72">
        <f t="shared" si="83"/>
        <v>23.4</v>
      </c>
      <c r="AK246" s="72">
        <f t="shared" si="84"/>
        <v>29.800000000000004</v>
      </c>
      <c r="AM246" s="35"/>
      <c r="AN246" s="35"/>
    </row>
    <row r="247" spans="1:40" x14ac:dyDescent="0.3">
      <c r="A247" s="35">
        <v>46211</v>
      </c>
      <c r="B247" s="847" t="s">
        <v>883</v>
      </c>
      <c r="C247">
        <v>4.399</v>
      </c>
      <c r="E247">
        <f t="shared" si="64"/>
        <v>3</v>
      </c>
      <c r="F247" s="11">
        <v>245</v>
      </c>
      <c r="G247" s="179">
        <v>45894</v>
      </c>
      <c r="H247" s="847">
        <v>3.5350000000000001</v>
      </c>
      <c r="I247" s="847">
        <v>3.5979999999999999</v>
      </c>
      <c r="J247" s="847">
        <v>2.5710000000000002</v>
      </c>
      <c r="K247" s="847">
        <v>3.6480000000000001</v>
      </c>
      <c r="L247" s="847">
        <v>2.621</v>
      </c>
      <c r="M247" s="847">
        <v>3.7349999999999999</v>
      </c>
      <c r="N247" s="847">
        <v>2.6829999999999998</v>
      </c>
      <c r="O247" s="847">
        <v>2.84</v>
      </c>
      <c r="P247" s="847">
        <v>2.996</v>
      </c>
      <c r="Q247" s="847">
        <v>3.3359999999999999</v>
      </c>
      <c r="R247" s="321">
        <f t="shared" si="65"/>
        <v>3.3000000000000362</v>
      </c>
      <c r="S247" s="72">
        <f t="shared" si="66"/>
        <v>3.7999999999999812</v>
      </c>
      <c r="T247" s="72">
        <f t="shared" si="67"/>
        <v>4.0999999999999925</v>
      </c>
      <c r="U247" s="72">
        <f t="shared" si="68"/>
        <v>5.4999999999999716</v>
      </c>
      <c r="V247" s="72">
        <f t="shared" si="69"/>
        <v>6.7000000000000171</v>
      </c>
      <c r="W247" s="72">
        <f t="shared" si="70"/>
        <v>8.2999999999999741</v>
      </c>
      <c r="X247" s="196">
        <f t="shared" si="71"/>
        <v>0</v>
      </c>
      <c r="Y247" s="196">
        <f t="shared" si="72"/>
        <v>0</v>
      </c>
      <c r="Z247" s="72">
        <f t="shared" si="73"/>
        <v>1.0000000000000231</v>
      </c>
      <c r="AA247" s="72">
        <f t="shared" si="74"/>
        <v>1.6000000000000014</v>
      </c>
      <c r="AB247" s="321">
        <f t="shared" si="75"/>
        <v>16.500000000000004</v>
      </c>
      <c r="AC247" s="72">
        <f t="shared" si="76"/>
        <v>12.799999999999967</v>
      </c>
      <c r="AD247" s="72">
        <f t="shared" si="77"/>
        <v>17.300000000000004</v>
      </c>
      <c r="AE247" s="72">
        <f t="shared" si="78"/>
        <v>11.500000000000021</v>
      </c>
      <c r="AF247" s="72">
        <f t="shared" si="79"/>
        <v>18.100000000000005</v>
      </c>
      <c r="AG247" s="72">
        <f t="shared" si="80"/>
        <v>12.199999999999989</v>
      </c>
      <c r="AH247" s="196">
        <f t="shared" si="81"/>
        <v>15.799999999999992</v>
      </c>
      <c r="AI247" s="196">
        <f t="shared" si="82"/>
        <v>19.099999999999984</v>
      </c>
      <c r="AJ247" s="72">
        <f t="shared" si="83"/>
        <v>22.40000000000002</v>
      </c>
      <c r="AK247" s="72">
        <f t="shared" si="84"/>
        <v>24.899999999999967</v>
      </c>
      <c r="AM247" s="35"/>
      <c r="AN247" s="35"/>
    </row>
    <row r="248" spans="1:40" x14ac:dyDescent="0.3">
      <c r="A248" s="35">
        <v>46212</v>
      </c>
      <c r="B248" s="847" t="s">
        <v>883</v>
      </c>
      <c r="C248">
        <v>4.3970000000000002</v>
      </c>
      <c r="E248">
        <f t="shared" si="64"/>
        <v>1</v>
      </c>
      <c r="F248" s="11">
        <v>246</v>
      </c>
      <c r="G248" s="179">
        <v>45891</v>
      </c>
      <c r="H248" s="847">
        <v>3.5350000000000001</v>
      </c>
      <c r="I248" s="847">
        <v>3.5979999999999999</v>
      </c>
      <c r="J248" s="847">
        <v>2.5379999999999998</v>
      </c>
      <c r="K248" s="847">
        <v>3.6379999999999999</v>
      </c>
      <c r="L248" s="847">
        <v>2.5830000000000002</v>
      </c>
      <c r="M248" s="847">
        <v>3.7189999999999999</v>
      </c>
      <c r="N248" s="847">
        <v>2.6419999999999999</v>
      </c>
      <c r="O248" s="847">
        <v>2.7850000000000001</v>
      </c>
      <c r="P248" s="847">
        <v>2.9289999999999998</v>
      </c>
      <c r="Q248" s="847">
        <v>3.2530000000000001</v>
      </c>
      <c r="R248" s="321">
        <f t="shared" si="65"/>
        <v>0</v>
      </c>
      <c r="S248" s="72">
        <f t="shared" si="66"/>
        <v>0</v>
      </c>
      <c r="T248" s="72">
        <f t="shared" si="67"/>
        <v>0</v>
      </c>
      <c r="U248" s="72">
        <f t="shared" si="68"/>
        <v>3.6999999999999922</v>
      </c>
      <c r="V248" s="72">
        <f t="shared" si="69"/>
        <v>7.3999999999999844</v>
      </c>
      <c r="W248" s="72">
        <f t="shared" si="70"/>
        <v>10.499999999999998</v>
      </c>
      <c r="X248" s="196">
        <f t="shared" si="71"/>
        <v>4.4999999999999929</v>
      </c>
      <c r="Y248" s="196">
        <f t="shared" si="72"/>
        <v>2.9999999999999805</v>
      </c>
      <c r="Z248" s="72">
        <f t="shared" si="73"/>
        <v>0.8999999999999897</v>
      </c>
      <c r="AA248" s="72">
        <f t="shared" si="74"/>
        <v>0.59999999999997833</v>
      </c>
      <c r="AB248" s="321">
        <f t="shared" si="75"/>
        <v>16.700000000000024</v>
      </c>
      <c r="AC248" s="72">
        <f t="shared" si="76"/>
        <v>12.9</v>
      </c>
      <c r="AD248" s="72">
        <f t="shared" si="77"/>
        <v>13.199999999999967</v>
      </c>
      <c r="AE248" s="72">
        <f t="shared" si="78"/>
        <v>10.499999999999998</v>
      </c>
      <c r="AF248" s="72">
        <f t="shared" si="79"/>
        <v>13.500000000000023</v>
      </c>
      <c r="AG248" s="72">
        <f t="shared" si="80"/>
        <v>10.599999999999987</v>
      </c>
      <c r="AH248" s="196">
        <f t="shared" si="81"/>
        <v>10.899999999999999</v>
      </c>
      <c r="AI248" s="196">
        <f t="shared" si="82"/>
        <v>13.200000000000012</v>
      </c>
      <c r="AJ248" s="72">
        <f t="shared" si="83"/>
        <v>15.700000000000003</v>
      </c>
      <c r="AK248" s="72">
        <f t="shared" si="84"/>
        <v>17.100000000000026</v>
      </c>
      <c r="AM248" s="35"/>
      <c r="AN248" s="35"/>
    </row>
    <row r="249" spans="1:40" x14ac:dyDescent="0.3">
      <c r="A249" s="35">
        <v>46213</v>
      </c>
      <c r="B249" s="847" t="s">
        <v>883</v>
      </c>
      <c r="C249">
        <v>4.3979999999999997</v>
      </c>
      <c r="E249">
        <f t="shared" si="64"/>
        <v>1</v>
      </c>
      <c r="F249" s="11">
        <v>247</v>
      </c>
      <c r="G249" s="179">
        <v>45890</v>
      </c>
      <c r="H249" s="847">
        <v>3.49</v>
      </c>
      <c r="I249" s="847">
        <v>3.5680000000000001</v>
      </c>
      <c r="J249" s="847">
        <v>2.5379999999999998</v>
      </c>
      <c r="K249" s="847">
        <v>3.629</v>
      </c>
      <c r="L249" s="847">
        <v>2.5830000000000002</v>
      </c>
      <c r="M249" s="847">
        <v>3.7130000000000001</v>
      </c>
      <c r="N249" s="847">
        <v>2.6419999999999999</v>
      </c>
      <c r="O249" s="847">
        <v>2.7480000000000002</v>
      </c>
      <c r="P249" s="847">
        <v>2.855</v>
      </c>
      <c r="Q249" s="847">
        <v>3.1480000000000001</v>
      </c>
      <c r="R249" s="321">
        <f t="shared" si="65"/>
        <v>3.3999999999999808</v>
      </c>
      <c r="S249" s="72">
        <f t="shared" si="66"/>
        <v>3.3000000000000362</v>
      </c>
      <c r="T249" s="72">
        <f t="shared" si="67"/>
        <v>2.8999999999999915</v>
      </c>
      <c r="U249" s="72">
        <f t="shared" si="68"/>
        <v>2.6000000000000245</v>
      </c>
      <c r="V249" s="72">
        <f t="shared" si="69"/>
        <v>2.4000000000000021</v>
      </c>
      <c r="W249" s="72">
        <f t="shared" si="70"/>
        <v>3.5000000000000142</v>
      </c>
      <c r="X249" s="196">
        <f t="shared" si="71"/>
        <v>5.8000000000000274</v>
      </c>
      <c r="Y249" s="196">
        <f t="shared" si="72"/>
        <v>4.4999999999999929</v>
      </c>
      <c r="Z249" s="72">
        <f t="shared" si="73"/>
        <v>4.0999999999999925</v>
      </c>
      <c r="AA249" s="72">
        <f t="shared" si="74"/>
        <v>4.6000000000000263</v>
      </c>
      <c r="AB249" s="321">
        <f t="shared" si="75"/>
        <v>11.900000000000022</v>
      </c>
      <c r="AC249" s="72">
        <f t="shared" si="76"/>
        <v>10.199999999999987</v>
      </c>
      <c r="AD249" s="72">
        <f t="shared" si="77"/>
        <v>13.599999999999968</v>
      </c>
      <c r="AE249" s="72">
        <f t="shared" si="78"/>
        <v>9.6000000000000085</v>
      </c>
      <c r="AF249" s="72">
        <f t="shared" si="79"/>
        <v>13.500000000000023</v>
      </c>
      <c r="AG249" s="72">
        <f t="shared" si="80"/>
        <v>10.899999999999999</v>
      </c>
      <c r="AH249" s="196">
        <f t="shared" si="81"/>
        <v>11.7</v>
      </c>
      <c r="AI249" s="196">
        <f t="shared" si="82"/>
        <v>10.100000000000042</v>
      </c>
      <c r="AJ249" s="72">
        <f t="shared" si="83"/>
        <v>8.5999999999999854</v>
      </c>
      <c r="AK249" s="72">
        <f t="shared" si="84"/>
        <v>6.800000000000006</v>
      </c>
      <c r="AM249" s="35"/>
      <c r="AN249" s="35"/>
    </row>
    <row r="250" spans="1:40" x14ac:dyDescent="0.3">
      <c r="A250" s="35">
        <v>46216</v>
      </c>
      <c r="B250" s="847" t="s">
        <v>883</v>
      </c>
      <c r="C250">
        <v>4.3979999999999997</v>
      </c>
      <c r="E250">
        <f t="shared" si="64"/>
        <v>1</v>
      </c>
      <c r="F250" s="11">
        <v>248</v>
      </c>
      <c r="G250" s="179">
        <v>45889</v>
      </c>
      <c r="H250" s="847">
        <v>3.4319999999999999</v>
      </c>
      <c r="I250" s="847">
        <v>3.5230000000000001</v>
      </c>
      <c r="J250" s="847">
        <v>2.504</v>
      </c>
      <c r="K250" s="847">
        <v>3.5880000000000001</v>
      </c>
      <c r="L250" s="847">
        <v>2.5499999999999998</v>
      </c>
      <c r="M250" s="847">
        <v>3.6669999999999998</v>
      </c>
      <c r="N250" s="847">
        <v>2.613</v>
      </c>
      <c r="O250" s="847">
        <v>2.722</v>
      </c>
      <c r="P250" s="847">
        <v>2.831</v>
      </c>
      <c r="Q250" s="847">
        <v>3.113</v>
      </c>
      <c r="R250" s="321">
        <f t="shared" si="65"/>
        <v>0.80000000000000071</v>
      </c>
      <c r="S250" s="72">
        <f t="shared" si="66"/>
        <v>0.80000000000000071</v>
      </c>
      <c r="T250" s="72">
        <f t="shared" si="67"/>
        <v>0.49999999999998934</v>
      </c>
      <c r="U250" s="72">
        <f t="shared" si="68"/>
        <v>0.59999999999997833</v>
      </c>
      <c r="V250" s="72">
        <f t="shared" si="69"/>
        <v>0.80000000000000071</v>
      </c>
      <c r="W250" s="72">
        <f t="shared" si="70"/>
        <v>0.99999999999997868</v>
      </c>
      <c r="X250" s="196">
        <f t="shared" si="71"/>
        <v>-9.9999999999988987E-2</v>
      </c>
      <c r="Y250" s="196">
        <f t="shared" si="72"/>
        <v>0</v>
      </c>
      <c r="Z250" s="72">
        <f t="shared" si="73"/>
        <v>0</v>
      </c>
      <c r="AA250" s="72">
        <f t="shared" si="74"/>
        <v>0</v>
      </c>
      <c r="AB250" s="321">
        <f t="shared" si="75"/>
        <v>9.3999999999999861</v>
      </c>
      <c r="AC250" s="72">
        <f t="shared" si="76"/>
        <v>7.8000000000000291</v>
      </c>
      <c r="AD250" s="72">
        <f t="shared" si="77"/>
        <v>15.600000000000014</v>
      </c>
      <c r="AE250" s="72">
        <f t="shared" si="78"/>
        <v>8.0000000000000071</v>
      </c>
      <c r="AF250" s="72">
        <f t="shared" si="79"/>
        <v>15.99999999999997</v>
      </c>
      <c r="AG250" s="72">
        <f t="shared" si="80"/>
        <v>8.5999999999999854</v>
      </c>
      <c r="AH250" s="196">
        <f t="shared" si="81"/>
        <v>14.19999999999999</v>
      </c>
      <c r="AI250" s="196">
        <f t="shared" si="82"/>
        <v>10.499999999999998</v>
      </c>
      <c r="AJ250" s="72">
        <f t="shared" si="83"/>
        <v>6.7000000000000171</v>
      </c>
      <c r="AK250" s="72">
        <f t="shared" si="84"/>
        <v>3.6999999999999922</v>
      </c>
      <c r="AM250" s="35"/>
      <c r="AN250" s="35"/>
    </row>
    <row r="251" spans="1:40" x14ac:dyDescent="0.3">
      <c r="A251" s="35">
        <v>46217</v>
      </c>
      <c r="B251" s="847" t="s">
        <v>883</v>
      </c>
      <c r="C251">
        <v>4.3979999999999997</v>
      </c>
      <c r="E251">
        <f t="shared" si="64"/>
        <v>1</v>
      </c>
      <c r="F251" s="11">
        <v>249</v>
      </c>
      <c r="G251" s="179">
        <v>45888</v>
      </c>
      <c r="H251" s="847">
        <v>3.4329999999999998</v>
      </c>
      <c r="I251" s="847">
        <v>3.5230000000000001</v>
      </c>
      <c r="J251" s="847">
        <v>2.496</v>
      </c>
      <c r="K251" s="847">
        <v>3.5880000000000001</v>
      </c>
      <c r="L251" s="847">
        <v>2.5419999999999998</v>
      </c>
      <c r="M251" s="847">
        <v>3.6669999999999998</v>
      </c>
      <c r="N251" s="847">
        <v>2.6080000000000001</v>
      </c>
      <c r="O251" s="847">
        <v>2.7160000000000002</v>
      </c>
      <c r="P251" s="847">
        <v>2.823</v>
      </c>
      <c r="Q251" s="847">
        <v>3.1030000000000002</v>
      </c>
      <c r="R251" s="321">
        <f t="shared" si="65"/>
        <v>0.40000000000000036</v>
      </c>
      <c r="S251" s="72">
        <f t="shared" si="66"/>
        <v>0.40000000000000036</v>
      </c>
      <c r="T251" s="72">
        <f t="shared" si="67"/>
        <v>0.80000000000000071</v>
      </c>
      <c r="U251" s="72">
        <f t="shared" si="68"/>
        <v>0.1000000000000334</v>
      </c>
      <c r="V251" s="72">
        <f t="shared" si="69"/>
        <v>-0.70000000000001172</v>
      </c>
      <c r="W251" s="72">
        <f t="shared" si="70"/>
        <v>-0.69999999999996732</v>
      </c>
      <c r="X251" s="196">
        <f t="shared" si="71"/>
        <v>0.80000000000000071</v>
      </c>
      <c r="Y251" s="196">
        <f t="shared" si="72"/>
        <v>0.30000000000001137</v>
      </c>
      <c r="Z251" s="72">
        <f t="shared" si="73"/>
        <v>0</v>
      </c>
      <c r="AA251" s="72">
        <f t="shared" si="74"/>
        <v>0.19999999999997797</v>
      </c>
      <c r="AB251" s="321">
        <f t="shared" si="75"/>
        <v>9.4999999999999751</v>
      </c>
      <c r="AC251" s="72">
        <f t="shared" si="76"/>
        <v>8.3000000000000185</v>
      </c>
      <c r="AD251" s="72">
        <f t="shared" si="77"/>
        <v>14.800000000000013</v>
      </c>
      <c r="AE251" s="72">
        <f t="shared" si="78"/>
        <v>8.6000000000000298</v>
      </c>
      <c r="AF251" s="72">
        <f t="shared" si="79"/>
        <v>15.199999999999969</v>
      </c>
      <c r="AG251" s="72">
        <f t="shared" si="80"/>
        <v>7.6999999999999957</v>
      </c>
      <c r="AH251" s="196">
        <f t="shared" si="81"/>
        <v>13.700000000000001</v>
      </c>
      <c r="AI251" s="196">
        <f t="shared" si="82"/>
        <v>9.9000000000000199</v>
      </c>
      <c r="AJ251" s="72">
        <f t="shared" si="83"/>
        <v>6.0000000000000053</v>
      </c>
      <c r="AK251" s="72">
        <f t="shared" si="84"/>
        <v>3.0000000000000249</v>
      </c>
      <c r="AM251" s="35"/>
      <c r="AN251" s="35"/>
    </row>
    <row r="252" spans="1:40" x14ac:dyDescent="0.3">
      <c r="A252" s="35">
        <v>46218</v>
      </c>
      <c r="B252" s="847" t="s">
        <v>883</v>
      </c>
      <c r="C252">
        <v>4.4000000000000004</v>
      </c>
      <c r="E252">
        <f t="shared" si="64"/>
        <v>3</v>
      </c>
      <c r="F252" s="11">
        <v>250</v>
      </c>
      <c r="G252" s="179">
        <v>45887</v>
      </c>
      <c r="H252" s="847">
        <v>3.4249999999999998</v>
      </c>
      <c r="I252" s="847">
        <v>3.52</v>
      </c>
      <c r="J252" s="847">
        <v>2.492</v>
      </c>
      <c r="K252" s="847">
        <v>3.5880000000000001</v>
      </c>
      <c r="L252" s="847">
        <v>2.5379999999999998</v>
      </c>
      <c r="M252" s="847">
        <v>3.665</v>
      </c>
      <c r="N252" s="847">
        <v>2.6</v>
      </c>
      <c r="O252" s="847">
        <v>2.7149999999999999</v>
      </c>
      <c r="P252" s="847">
        <v>2.83</v>
      </c>
      <c r="Q252" s="847">
        <v>3.11</v>
      </c>
      <c r="R252" s="321">
        <f t="shared" si="65"/>
        <v>0.8999999999999897</v>
      </c>
      <c r="S252" s="72">
        <f t="shared" si="66"/>
        <v>0.8999999999999897</v>
      </c>
      <c r="T252" s="72">
        <f t="shared" si="67"/>
        <v>0.80000000000000071</v>
      </c>
      <c r="U252" s="72">
        <f t="shared" si="68"/>
        <v>9.9999999999988987E-2</v>
      </c>
      <c r="V252" s="72">
        <f t="shared" si="69"/>
        <v>-0.70000000000001172</v>
      </c>
      <c r="W252" s="72">
        <f t="shared" si="70"/>
        <v>-0.40000000000000036</v>
      </c>
      <c r="X252" s="196">
        <f t="shared" si="71"/>
        <v>-0.30000000000001137</v>
      </c>
      <c r="Y252" s="196">
        <f t="shared" si="72"/>
        <v>0.30000000000001137</v>
      </c>
      <c r="Z252" s="72">
        <f t="shared" si="73"/>
        <v>0.8999999999999897</v>
      </c>
      <c r="AA252" s="72">
        <f t="shared" si="74"/>
        <v>0.8999999999999897</v>
      </c>
      <c r="AB252" s="321">
        <f t="shared" si="75"/>
        <v>8.9999999999999858</v>
      </c>
      <c r="AC252" s="72">
        <f t="shared" si="76"/>
        <v>7.9000000000000181</v>
      </c>
      <c r="AD252" s="72">
        <f t="shared" si="77"/>
        <v>14.400000000000013</v>
      </c>
      <c r="AE252" s="72">
        <f t="shared" si="78"/>
        <v>8.6000000000000298</v>
      </c>
      <c r="AF252" s="72">
        <f t="shared" si="79"/>
        <v>14.799999999999969</v>
      </c>
      <c r="AG252" s="72">
        <f t="shared" si="80"/>
        <v>8.9999999999999858</v>
      </c>
      <c r="AH252" s="196">
        <f t="shared" si="81"/>
        <v>13.700000000000001</v>
      </c>
      <c r="AI252" s="196">
        <f t="shared" si="82"/>
        <v>10.399999999999965</v>
      </c>
      <c r="AJ252" s="72">
        <f t="shared" si="83"/>
        <v>7.1000000000000174</v>
      </c>
      <c r="AK252" s="72">
        <f t="shared" si="84"/>
        <v>3.7999999999999812</v>
      </c>
      <c r="AM252" s="35"/>
      <c r="AN252" s="35"/>
    </row>
    <row r="253" spans="1:40" x14ac:dyDescent="0.3">
      <c r="A253" s="35">
        <v>46219</v>
      </c>
      <c r="B253" s="847" t="s">
        <v>883</v>
      </c>
      <c r="C253">
        <v>4.4020000000000001</v>
      </c>
      <c r="E253">
        <f t="shared" si="64"/>
        <v>1</v>
      </c>
      <c r="F253" s="11">
        <v>251</v>
      </c>
      <c r="G253" s="179">
        <v>45884</v>
      </c>
      <c r="H253" s="847">
        <v>3.4279999999999999</v>
      </c>
      <c r="I253" s="847">
        <v>3.5169999999999999</v>
      </c>
      <c r="J253" s="847">
        <v>2.4830000000000001</v>
      </c>
      <c r="K253" s="847">
        <v>3.5790000000000002</v>
      </c>
      <c r="L253" s="847">
        <v>2.5289999999999999</v>
      </c>
      <c r="M253" s="847">
        <v>3.6560000000000001</v>
      </c>
      <c r="N253" s="847">
        <v>2.5920000000000001</v>
      </c>
      <c r="O253" s="847">
        <v>2.714</v>
      </c>
      <c r="P253" s="847">
        <v>2.8370000000000002</v>
      </c>
      <c r="Q253" s="847">
        <v>3.1139999999999999</v>
      </c>
      <c r="R253" s="321">
        <f t="shared" si="65"/>
        <v>2.4999999999999911</v>
      </c>
      <c r="S253" s="72">
        <f t="shared" si="66"/>
        <v>2.4999999999999911</v>
      </c>
      <c r="T253" s="72">
        <f t="shared" si="67"/>
        <v>2.0999999999999908</v>
      </c>
      <c r="U253" s="72">
        <f t="shared" si="68"/>
        <v>1.6999999999999904</v>
      </c>
      <c r="V253" s="72">
        <f t="shared" si="69"/>
        <v>1.4000000000000234</v>
      </c>
      <c r="W253" s="72">
        <f t="shared" si="70"/>
        <v>0.8999999999999897</v>
      </c>
      <c r="X253" s="196">
        <f t="shared" si="71"/>
        <v>0.99999999999997868</v>
      </c>
      <c r="Y253" s="196">
        <f t="shared" si="72"/>
        <v>0.19999999999997797</v>
      </c>
      <c r="Z253" s="72">
        <f t="shared" si="73"/>
        <v>0.80000000000000071</v>
      </c>
      <c r="AA253" s="72">
        <f t="shared" si="74"/>
        <v>0.80000000000000071</v>
      </c>
      <c r="AB253" s="321">
        <f t="shared" si="75"/>
        <v>9.2999999999999972</v>
      </c>
      <c r="AC253" s="72">
        <f t="shared" si="76"/>
        <v>7.6999999999999957</v>
      </c>
      <c r="AD253" s="72">
        <f t="shared" si="77"/>
        <v>13.500000000000023</v>
      </c>
      <c r="AE253" s="72">
        <f t="shared" si="78"/>
        <v>7.7000000000000401</v>
      </c>
      <c r="AF253" s="72">
        <f t="shared" si="79"/>
        <v>13.899999999999979</v>
      </c>
      <c r="AG253" s="72">
        <f t="shared" si="80"/>
        <v>8.0999999999999961</v>
      </c>
      <c r="AH253" s="196">
        <f t="shared" si="81"/>
        <v>12.9</v>
      </c>
      <c r="AI253" s="196">
        <f t="shared" si="82"/>
        <v>10.299999999999976</v>
      </c>
      <c r="AJ253" s="72">
        <f t="shared" si="83"/>
        <v>7.8000000000000291</v>
      </c>
      <c r="AK253" s="72">
        <f t="shared" si="84"/>
        <v>4.2999999999999705</v>
      </c>
      <c r="AM253" s="35"/>
      <c r="AN253" s="35"/>
    </row>
    <row r="254" spans="1:40" x14ac:dyDescent="0.3">
      <c r="A254" s="35">
        <v>46220</v>
      </c>
      <c r="B254" s="847" t="s">
        <v>883</v>
      </c>
      <c r="C254">
        <v>4.4050000000000002</v>
      </c>
      <c r="E254">
        <f t="shared" si="64"/>
        <v>1</v>
      </c>
      <c r="F254" s="11">
        <v>252</v>
      </c>
      <c r="G254" s="179">
        <v>45883</v>
      </c>
      <c r="H254" s="847">
        <v>3.4180000000000001</v>
      </c>
      <c r="I254" s="847">
        <v>3.5150000000000001</v>
      </c>
      <c r="J254" s="847">
        <v>2.4580000000000002</v>
      </c>
      <c r="K254" s="847">
        <v>3.5710000000000002</v>
      </c>
      <c r="L254" s="847">
        <v>2.504</v>
      </c>
      <c r="M254" s="847">
        <v>3.6480000000000001</v>
      </c>
      <c r="N254" s="847">
        <v>2.5710000000000002</v>
      </c>
      <c r="O254" s="847">
        <v>2.6970000000000001</v>
      </c>
      <c r="P254" s="847">
        <v>2.823</v>
      </c>
      <c r="Q254" s="847">
        <v>3.105</v>
      </c>
      <c r="R254" s="321">
        <f t="shared" si="65"/>
        <v>4.8000000000000043</v>
      </c>
      <c r="S254" s="72">
        <f t="shared" si="66"/>
        <v>4.4000000000000039</v>
      </c>
      <c r="T254" s="72">
        <f t="shared" si="67"/>
        <v>2.5000000000000355</v>
      </c>
      <c r="U254" s="72">
        <f t="shared" si="68"/>
        <v>3.4000000000000252</v>
      </c>
      <c r="V254" s="72">
        <f t="shared" si="69"/>
        <v>4.4000000000000039</v>
      </c>
      <c r="W254" s="72">
        <f t="shared" si="70"/>
        <v>1.399999999999979</v>
      </c>
      <c r="X254" s="196">
        <f t="shared" si="71"/>
        <v>4.1000000000000369</v>
      </c>
      <c r="Y254" s="196">
        <f t="shared" si="72"/>
        <v>4.4999999999999929</v>
      </c>
      <c r="Z254" s="72">
        <f t="shared" si="73"/>
        <v>3.8000000000000256</v>
      </c>
      <c r="AA254" s="72">
        <f t="shared" si="74"/>
        <v>3.1000000000000139</v>
      </c>
      <c r="AB254" s="321">
        <f t="shared" si="75"/>
        <v>8.2000000000000295</v>
      </c>
      <c r="AC254" s="72">
        <f t="shared" si="76"/>
        <v>7.5000000000000178</v>
      </c>
      <c r="AD254" s="72">
        <f t="shared" si="77"/>
        <v>11.400000000000032</v>
      </c>
      <c r="AE254" s="72">
        <f t="shared" si="78"/>
        <v>6.9000000000000394</v>
      </c>
      <c r="AF254" s="72">
        <f t="shared" si="79"/>
        <v>11.900000000000022</v>
      </c>
      <c r="AG254" s="72">
        <f t="shared" si="80"/>
        <v>7.2999999999999954</v>
      </c>
      <c r="AH254" s="196">
        <f t="shared" si="81"/>
        <v>11.7</v>
      </c>
      <c r="AI254" s="196">
        <f t="shared" si="82"/>
        <v>9.5000000000000195</v>
      </c>
      <c r="AJ254" s="72">
        <f t="shared" si="83"/>
        <v>7.3999999999999844</v>
      </c>
      <c r="AK254" s="72">
        <f t="shared" si="84"/>
        <v>3.9000000000000146</v>
      </c>
      <c r="AM254" s="35"/>
      <c r="AN254" s="35"/>
    </row>
    <row r="255" spans="1:40" x14ac:dyDescent="0.3">
      <c r="A255" s="35">
        <v>46223</v>
      </c>
      <c r="B255" s="847" t="s">
        <v>883</v>
      </c>
      <c r="C255">
        <v>4.4020000000000001</v>
      </c>
      <c r="E255">
        <f t="shared" si="64"/>
        <v>1</v>
      </c>
      <c r="F255" s="11">
        <v>253</v>
      </c>
      <c r="G255" s="179">
        <v>45882</v>
      </c>
      <c r="H255" s="847">
        <v>3.3769999999999998</v>
      </c>
      <c r="I255" s="847">
        <v>3.47</v>
      </c>
      <c r="J255" s="847">
        <v>2.41</v>
      </c>
      <c r="K255" s="847">
        <v>3.5329999999999999</v>
      </c>
      <c r="L255" s="847">
        <v>2.46</v>
      </c>
      <c r="M255" s="847">
        <v>3.617</v>
      </c>
      <c r="N255" s="847">
        <v>2.5459999999999998</v>
      </c>
      <c r="O255" s="847">
        <v>2.6629999999999998</v>
      </c>
      <c r="P255" s="847">
        <v>2.7789999999999999</v>
      </c>
      <c r="Q255" s="847">
        <v>3.0910000000000002</v>
      </c>
      <c r="R255" s="321"/>
      <c r="S255" s="72"/>
      <c r="T255" s="72"/>
      <c r="U255" s="72"/>
      <c r="V255" s="72"/>
      <c r="W255" s="72"/>
      <c r="X255" s="196"/>
      <c r="Y255" s="196"/>
      <c r="Z255" s="72"/>
      <c r="AA255" s="72"/>
      <c r="AB255" s="321"/>
      <c r="AC255" s="72"/>
      <c r="AD255" s="72"/>
      <c r="AE255" s="72"/>
      <c r="AF255" s="72"/>
      <c r="AG255" s="72"/>
      <c r="AH255" s="196"/>
      <c r="AI255" s="196"/>
      <c r="AJ255" s="72"/>
      <c r="AK255" s="72"/>
      <c r="AM255" s="35"/>
      <c r="AN255" s="35"/>
    </row>
    <row r="256" spans="1:40" x14ac:dyDescent="0.3">
      <c r="A256" s="35">
        <v>46224</v>
      </c>
      <c r="B256" s="847" t="s">
        <v>883</v>
      </c>
      <c r="C256">
        <v>4.4080000000000004</v>
      </c>
      <c r="E256">
        <f t="shared" si="64"/>
        <v>1</v>
      </c>
      <c r="G256" s="179">
        <v>45881</v>
      </c>
      <c r="H256" s="847">
        <v>3.371</v>
      </c>
      <c r="I256" s="847">
        <v>3.4729999999999999</v>
      </c>
      <c r="J256" s="847">
        <v>2.39</v>
      </c>
      <c r="K256" s="847">
        <v>3.5379999999999998</v>
      </c>
      <c r="L256" s="847">
        <v>2.44</v>
      </c>
      <c r="M256" s="847">
        <v>3.617</v>
      </c>
      <c r="N256" s="847">
        <v>2.5419999999999998</v>
      </c>
      <c r="O256" s="847">
        <v>2.6589999999999998</v>
      </c>
      <c r="P256" s="847">
        <v>2.7759999999999998</v>
      </c>
      <c r="Q256" s="847">
        <v>3.08</v>
      </c>
      <c r="R256" s="321"/>
      <c r="S256" s="72"/>
      <c r="T256" s="72"/>
      <c r="U256" s="72"/>
      <c r="V256" s="72"/>
      <c r="W256" s="72"/>
      <c r="X256" s="196"/>
      <c r="Y256" s="196"/>
      <c r="Z256" s="72"/>
      <c r="AA256" s="72"/>
      <c r="AB256" s="321"/>
      <c r="AC256" s="72"/>
      <c r="AD256" s="72"/>
      <c r="AE256" s="72"/>
      <c r="AF256" s="72"/>
      <c r="AG256" s="72"/>
      <c r="AH256" s="196"/>
      <c r="AI256" s="196"/>
      <c r="AJ256" s="72"/>
      <c r="AK256" s="72"/>
      <c r="AM256" s="35"/>
      <c r="AN256" s="35"/>
    </row>
    <row r="257" spans="1:40" x14ac:dyDescent="0.3">
      <c r="A257" s="35">
        <v>46225</v>
      </c>
      <c r="B257" s="847" t="s">
        <v>883</v>
      </c>
      <c r="C257">
        <v>4.407</v>
      </c>
      <c r="E257">
        <f t="shared" si="64"/>
        <v>3</v>
      </c>
      <c r="G257" s="179">
        <v>45880</v>
      </c>
      <c r="H257" s="847">
        <v>3.37</v>
      </c>
      <c r="I257" s="847">
        <v>3.47</v>
      </c>
      <c r="J257" s="847">
        <v>2.3980000000000001</v>
      </c>
      <c r="K257" s="847">
        <v>3.5329999999999999</v>
      </c>
      <c r="L257" s="847">
        <v>2.44</v>
      </c>
      <c r="M257" s="847">
        <v>3.613</v>
      </c>
      <c r="N257" s="847">
        <v>2.5249999999999999</v>
      </c>
      <c r="O257" s="847">
        <v>2.649</v>
      </c>
      <c r="P257" s="847">
        <v>2.7719999999999998</v>
      </c>
      <c r="Q257" s="847">
        <v>3.0870000000000002</v>
      </c>
      <c r="AB257" s="321"/>
      <c r="AC257" s="72"/>
      <c r="AD257" s="72"/>
      <c r="AE257" s="72"/>
      <c r="AF257" s="72"/>
      <c r="AG257" s="72"/>
      <c r="AH257" s="196"/>
      <c r="AI257" s="196"/>
      <c r="AJ257" s="72"/>
      <c r="AK257" s="72"/>
      <c r="AM257" s="35"/>
      <c r="AN257" s="35"/>
    </row>
    <row r="258" spans="1:40" x14ac:dyDescent="0.3">
      <c r="A258" s="35">
        <v>46226</v>
      </c>
      <c r="B258" s="847" t="s">
        <v>883</v>
      </c>
      <c r="C258">
        <v>4.4089999999999998</v>
      </c>
      <c r="E258">
        <f t="shared" si="64"/>
        <v>1</v>
      </c>
      <c r="G258" s="179">
        <v>45877</v>
      </c>
      <c r="H258" s="847">
        <v>3.3679999999999999</v>
      </c>
      <c r="I258" s="847">
        <v>3.4689999999999999</v>
      </c>
      <c r="J258" s="847">
        <v>2.4060000000000001</v>
      </c>
      <c r="K258" s="847">
        <v>3.5329999999999999</v>
      </c>
      <c r="L258" s="847">
        <v>2.448</v>
      </c>
      <c r="M258" s="847">
        <v>3.613</v>
      </c>
      <c r="N258" s="847">
        <v>2.5329999999999999</v>
      </c>
      <c r="O258" s="847">
        <v>2.653</v>
      </c>
      <c r="P258" s="847">
        <v>2.7719999999999998</v>
      </c>
      <c r="Q258" s="847">
        <v>3.0819999999999999</v>
      </c>
      <c r="AB258" s="321"/>
      <c r="AC258" s="72"/>
      <c r="AD258" s="72"/>
      <c r="AE258" s="72"/>
      <c r="AF258" s="72"/>
      <c r="AG258" s="72"/>
      <c r="AH258" s="196"/>
      <c r="AI258" s="196"/>
      <c r="AJ258" s="72"/>
      <c r="AK258" s="72"/>
    </row>
    <row r="259" spans="1:40" x14ac:dyDescent="0.3">
      <c r="A259" s="35">
        <v>46227</v>
      </c>
      <c r="B259" s="847" t="s">
        <v>883</v>
      </c>
      <c r="C259">
        <v>4.4050000000000002</v>
      </c>
      <c r="E259">
        <f t="shared" si="64"/>
        <v>1</v>
      </c>
      <c r="G259" s="179">
        <v>45876</v>
      </c>
      <c r="H259" s="847">
        <v>3.371</v>
      </c>
      <c r="I259" s="847">
        <v>3.4660000000000002</v>
      </c>
      <c r="J259" s="847">
        <v>2.4020000000000001</v>
      </c>
      <c r="K259" s="847">
        <v>3.5329999999999999</v>
      </c>
      <c r="L259" s="847">
        <v>2.448</v>
      </c>
      <c r="M259" s="847">
        <v>3.6040000000000001</v>
      </c>
      <c r="N259" s="847">
        <v>2.5249999999999999</v>
      </c>
      <c r="O259" s="847">
        <v>2.6469999999999998</v>
      </c>
      <c r="P259" s="847">
        <v>2.7690000000000001</v>
      </c>
      <c r="Q259" s="847">
        <v>3.08</v>
      </c>
      <c r="AB259" s="321"/>
      <c r="AC259" s="72"/>
      <c r="AD259" s="72"/>
      <c r="AE259" s="72"/>
      <c r="AF259" s="72"/>
      <c r="AG259" s="72"/>
      <c r="AH259" s="196"/>
      <c r="AI259" s="196"/>
      <c r="AJ259" s="72"/>
      <c r="AK259" s="72"/>
    </row>
    <row r="260" spans="1:40" x14ac:dyDescent="0.3">
      <c r="A260" s="35">
        <v>46230</v>
      </c>
      <c r="B260" s="847" t="s">
        <v>883</v>
      </c>
      <c r="C260">
        <v>4.4080000000000004</v>
      </c>
      <c r="E260">
        <f t="shared" ref="E260:E272" si="85">G260-G261</f>
        <v>1</v>
      </c>
      <c r="G260" s="179">
        <v>45875</v>
      </c>
      <c r="H260" s="847">
        <v>3.3380000000000001</v>
      </c>
      <c r="I260" s="847">
        <v>3.4449999999999998</v>
      </c>
      <c r="J260" s="847">
        <v>2.3479999999999999</v>
      </c>
      <c r="K260" s="847">
        <v>3.508</v>
      </c>
      <c r="L260" s="847">
        <v>2.39</v>
      </c>
      <c r="M260" s="847">
        <v>3.581</v>
      </c>
      <c r="N260" s="847">
        <v>2.4710000000000001</v>
      </c>
      <c r="O260" s="847">
        <v>2.617</v>
      </c>
      <c r="P260" s="847">
        <v>2.7639999999999998</v>
      </c>
      <c r="Q260" s="847">
        <v>3.0760000000000001</v>
      </c>
      <c r="AB260" s="321"/>
      <c r="AC260" s="72"/>
      <c r="AD260" s="72"/>
      <c r="AE260" s="72"/>
      <c r="AF260" s="72"/>
      <c r="AG260" s="72"/>
      <c r="AH260" s="196"/>
      <c r="AI260" s="196"/>
      <c r="AJ260" s="72"/>
      <c r="AK260" s="72"/>
    </row>
    <row r="261" spans="1:40" x14ac:dyDescent="0.3">
      <c r="A261" s="35">
        <v>46231</v>
      </c>
      <c r="B261" s="847" t="s">
        <v>883</v>
      </c>
      <c r="C261">
        <v>4.4080000000000004</v>
      </c>
      <c r="E261">
        <f t="shared" si="85"/>
        <v>1</v>
      </c>
      <c r="G261" s="179">
        <v>45874</v>
      </c>
      <c r="H261" s="847">
        <v>3.3380000000000001</v>
      </c>
      <c r="I261" s="847">
        <v>3.44</v>
      </c>
      <c r="J261" s="847">
        <v>2.3479999999999999</v>
      </c>
      <c r="K261" s="847">
        <v>3.5019999999999998</v>
      </c>
      <c r="L261" s="847">
        <v>2.39</v>
      </c>
      <c r="M261" s="847">
        <v>3.59</v>
      </c>
      <c r="N261" s="847">
        <v>2.4710000000000001</v>
      </c>
      <c r="O261" s="847">
        <v>2.617</v>
      </c>
      <c r="P261" s="847">
        <v>2.7629999999999999</v>
      </c>
      <c r="Q261" s="847">
        <v>3.073</v>
      </c>
      <c r="AB261" s="321"/>
      <c r="AC261" s="72"/>
      <c r="AD261" s="72"/>
      <c r="AE261" s="72"/>
      <c r="AF261" s="72"/>
      <c r="AG261" s="72"/>
      <c r="AH261" s="196"/>
      <c r="AI261" s="196"/>
      <c r="AJ261" s="72"/>
      <c r="AK261" s="72"/>
    </row>
    <row r="262" spans="1:40" x14ac:dyDescent="0.3">
      <c r="A262" s="35">
        <v>46232</v>
      </c>
      <c r="B262" s="847" t="s">
        <v>883</v>
      </c>
      <c r="C262">
        <v>4.4089999999999998</v>
      </c>
      <c r="E262">
        <f t="shared" si="85"/>
        <v>3</v>
      </c>
      <c r="G262" s="179">
        <v>45873</v>
      </c>
      <c r="H262" s="847">
        <v>3.335</v>
      </c>
      <c r="I262" s="847">
        <v>3.4409999999999998</v>
      </c>
      <c r="J262" s="847">
        <v>2.3479999999999999</v>
      </c>
      <c r="K262" s="847">
        <v>3.5019999999999998</v>
      </c>
      <c r="L262" s="847">
        <v>2.39</v>
      </c>
      <c r="M262" s="847">
        <v>3.5750000000000002</v>
      </c>
      <c r="N262" s="847">
        <v>2.4630000000000001</v>
      </c>
      <c r="O262" s="847">
        <v>2.6110000000000002</v>
      </c>
      <c r="P262" s="847">
        <v>2.7589999999999999</v>
      </c>
      <c r="Q262" s="847">
        <v>3.0720000000000001</v>
      </c>
      <c r="AB262" s="321"/>
      <c r="AC262" s="72"/>
      <c r="AD262" s="72"/>
      <c r="AE262" s="72"/>
      <c r="AF262" s="72"/>
      <c r="AG262" s="72"/>
      <c r="AH262" s="196"/>
      <c r="AI262" s="196"/>
      <c r="AJ262" s="72"/>
      <c r="AK262" s="72"/>
    </row>
    <row r="263" spans="1:40" x14ac:dyDescent="0.3">
      <c r="A263" s="35">
        <v>46233</v>
      </c>
      <c r="B263" s="847" t="s">
        <v>883</v>
      </c>
      <c r="C263">
        <v>4.4119999999999999</v>
      </c>
      <c r="E263">
        <f t="shared" si="85"/>
        <v>1</v>
      </c>
      <c r="G263" s="179">
        <v>45870</v>
      </c>
      <c r="H263" s="847">
        <v>3.335</v>
      </c>
      <c r="I263" s="847">
        <v>3.44</v>
      </c>
      <c r="J263" s="847">
        <v>2.3479999999999999</v>
      </c>
      <c r="K263" s="847">
        <v>3.5019999999999998</v>
      </c>
      <c r="L263" s="847">
        <v>2.39</v>
      </c>
      <c r="M263" s="847">
        <v>3.5750000000000002</v>
      </c>
      <c r="N263" s="847">
        <v>2.4630000000000001</v>
      </c>
      <c r="O263" s="847">
        <v>2.6110000000000002</v>
      </c>
      <c r="P263" s="847">
        <v>2.7589999999999999</v>
      </c>
      <c r="Q263" s="847">
        <v>3.0710000000000002</v>
      </c>
      <c r="AB263" s="321"/>
      <c r="AC263" s="72"/>
      <c r="AD263" s="72"/>
      <c r="AE263" s="72"/>
      <c r="AF263" s="72"/>
      <c r="AG263" s="72"/>
      <c r="AH263" s="196"/>
      <c r="AI263" s="196"/>
      <c r="AJ263" s="72"/>
      <c r="AK263" s="72"/>
    </row>
    <row r="264" spans="1:40" x14ac:dyDescent="0.3">
      <c r="A264" s="35">
        <v>46234</v>
      </c>
      <c r="B264" s="847" t="s">
        <v>883</v>
      </c>
      <c r="C264">
        <v>4.41</v>
      </c>
      <c r="E264">
        <f t="shared" si="85"/>
        <v>1</v>
      </c>
      <c r="G264" s="179">
        <v>45869</v>
      </c>
      <c r="H264" s="847">
        <v>3.3359999999999999</v>
      </c>
      <c r="I264" s="847">
        <v>3.44</v>
      </c>
      <c r="J264" s="847">
        <v>2.3439999999999999</v>
      </c>
      <c r="K264" s="847">
        <v>3.5019999999999998</v>
      </c>
      <c r="L264" s="847">
        <v>2.3849999999999998</v>
      </c>
      <c r="M264" s="847">
        <v>3.5750000000000002</v>
      </c>
      <c r="N264" s="847">
        <v>2.4540000000000002</v>
      </c>
      <c r="O264" s="847">
        <v>2.6019999999999999</v>
      </c>
      <c r="P264" s="847">
        <v>2.7490000000000001</v>
      </c>
      <c r="Q264" s="847">
        <v>3.0659999999999998</v>
      </c>
      <c r="AB264" s="321"/>
      <c r="AC264" s="72"/>
      <c r="AD264" s="72"/>
      <c r="AE264" s="72"/>
      <c r="AF264" s="72"/>
      <c r="AG264" s="72"/>
      <c r="AH264" s="196"/>
      <c r="AI264" s="196"/>
      <c r="AJ264" s="72"/>
      <c r="AK264" s="72"/>
    </row>
    <row r="265" spans="1:40" x14ac:dyDescent="0.3">
      <c r="A265" s="35">
        <v>46237</v>
      </c>
      <c r="B265" s="847" t="s">
        <v>883</v>
      </c>
      <c r="C265">
        <v>4.41</v>
      </c>
      <c r="E265">
        <f t="shared" si="85"/>
        <v>1</v>
      </c>
      <c r="G265" s="179">
        <v>45868</v>
      </c>
      <c r="H265" s="847">
        <v>3.323</v>
      </c>
      <c r="I265" s="847">
        <v>3.431</v>
      </c>
      <c r="J265" s="847">
        <v>2.34</v>
      </c>
      <c r="K265" s="847">
        <v>3.4940000000000002</v>
      </c>
      <c r="L265" s="847">
        <v>2.383</v>
      </c>
      <c r="M265" s="847">
        <v>3.5670000000000002</v>
      </c>
      <c r="N265" s="847">
        <v>2.4540000000000002</v>
      </c>
      <c r="O265" s="847">
        <v>2.5990000000000002</v>
      </c>
      <c r="P265" s="847">
        <v>2.7429999999999999</v>
      </c>
      <c r="Q265" s="847">
        <v>3.0659999999999998</v>
      </c>
      <c r="AB265" s="321"/>
      <c r="AC265" s="72"/>
      <c r="AD265" s="72"/>
      <c r="AE265" s="72"/>
      <c r="AF265" s="72"/>
      <c r="AG265" s="72"/>
      <c r="AH265" s="196"/>
      <c r="AI265" s="196"/>
      <c r="AJ265" s="72"/>
      <c r="AK265" s="72"/>
    </row>
    <row r="266" spans="1:40" x14ac:dyDescent="0.3">
      <c r="A266" s="35">
        <v>46238</v>
      </c>
      <c r="B266" s="847" t="s">
        <v>883</v>
      </c>
      <c r="C266">
        <v>4.4119999999999999</v>
      </c>
      <c r="E266">
        <f t="shared" si="85"/>
        <v>1</v>
      </c>
      <c r="G266" s="179">
        <v>45867</v>
      </c>
      <c r="H266" s="847">
        <v>3.31</v>
      </c>
      <c r="I266" s="847">
        <v>3.4289999999999998</v>
      </c>
      <c r="J266" s="847">
        <v>2.34</v>
      </c>
      <c r="K266" s="847">
        <v>3.4940000000000002</v>
      </c>
      <c r="L266" s="847">
        <v>2.383</v>
      </c>
      <c r="M266" s="847">
        <v>3.5670000000000002</v>
      </c>
      <c r="N266" s="847">
        <v>2.4540000000000002</v>
      </c>
      <c r="O266" s="847">
        <v>2.5979999999999999</v>
      </c>
      <c r="P266" s="847">
        <v>2.7410000000000001</v>
      </c>
      <c r="Q266" s="847">
        <v>3.0649999999999999</v>
      </c>
      <c r="AB266" s="321"/>
      <c r="AC266" s="72"/>
      <c r="AD266" s="72"/>
      <c r="AE266" s="72"/>
      <c r="AF266" s="72"/>
      <c r="AG266" s="72"/>
      <c r="AH266" s="196"/>
      <c r="AI266" s="196"/>
      <c r="AJ266" s="72"/>
      <c r="AK266" s="72"/>
    </row>
    <row r="267" spans="1:40" x14ac:dyDescent="0.3">
      <c r="A267" s="35">
        <v>46239</v>
      </c>
      <c r="B267" s="847" t="s">
        <v>883</v>
      </c>
      <c r="C267">
        <v>4.4080000000000004</v>
      </c>
      <c r="E267">
        <f t="shared" si="85"/>
        <v>3</v>
      </c>
      <c r="G267" s="179">
        <v>45866</v>
      </c>
      <c r="H267" s="847">
        <v>3.31</v>
      </c>
      <c r="I267" s="847">
        <v>3.4289999999999998</v>
      </c>
      <c r="J267" s="847">
        <v>2.3210000000000002</v>
      </c>
      <c r="K267" s="847">
        <v>3.49</v>
      </c>
      <c r="L267" s="847">
        <v>2.36</v>
      </c>
      <c r="M267" s="847">
        <v>3.5579999999999998</v>
      </c>
      <c r="N267" s="847">
        <v>2.4329999999999998</v>
      </c>
      <c r="O267" s="847">
        <v>2.5840000000000001</v>
      </c>
      <c r="P267" s="847">
        <v>2.734</v>
      </c>
      <c r="Q267" s="847">
        <v>3.0640000000000001</v>
      </c>
      <c r="AB267" s="321"/>
      <c r="AC267" s="72"/>
      <c r="AD267" s="72"/>
      <c r="AE267" s="72"/>
      <c r="AF267" s="72"/>
      <c r="AG267" s="72"/>
      <c r="AH267" s="196"/>
      <c r="AI267" s="196"/>
      <c r="AJ267" s="72"/>
      <c r="AK267" s="72"/>
    </row>
    <row r="268" spans="1:40" x14ac:dyDescent="0.3">
      <c r="A268" s="35">
        <v>46240</v>
      </c>
      <c r="B268" s="847" t="s">
        <v>883</v>
      </c>
      <c r="C268">
        <v>4.4119999999999999</v>
      </c>
      <c r="E268">
        <f t="shared" si="85"/>
        <v>1</v>
      </c>
      <c r="G268" s="179">
        <v>45863</v>
      </c>
      <c r="H268" s="847">
        <v>3.3149999999999999</v>
      </c>
      <c r="I268" s="847">
        <v>3.4289999999999998</v>
      </c>
      <c r="J268" s="847">
        <v>2.3210000000000002</v>
      </c>
      <c r="K268" s="847">
        <v>3.49</v>
      </c>
      <c r="L268" s="847">
        <v>2.36</v>
      </c>
      <c r="M268" s="847">
        <v>3.5579999999999998</v>
      </c>
      <c r="N268" s="847">
        <v>2.4329999999999998</v>
      </c>
      <c r="O268" s="847">
        <v>2.5840000000000001</v>
      </c>
      <c r="P268" s="847">
        <v>2.734</v>
      </c>
      <c r="Q268" s="847">
        <v>3.0649999999999999</v>
      </c>
      <c r="AB268" s="321"/>
      <c r="AC268" s="72"/>
      <c r="AD268" s="72"/>
      <c r="AE268" s="72"/>
      <c r="AF268" s="72"/>
      <c r="AG268" s="72"/>
      <c r="AH268" s="196"/>
      <c r="AI268" s="196"/>
      <c r="AJ268" s="72"/>
      <c r="AK268" s="72"/>
    </row>
    <row r="269" spans="1:40" x14ac:dyDescent="0.3">
      <c r="A269" s="35">
        <v>46241</v>
      </c>
      <c r="B269" s="847" t="s">
        <v>883</v>
      </c>
      <c r="C269">
        <v>4.415</v>
      </c>
      <c r="E269">
        <f t="shared" si="85"/>
        <v>1</v>
      </c>
      <c r="G269" s="179">
        <v>45862</v>
      </c>
      <c r="H269" s="847">
        <v>3.3239999999999998</v>
      </c>
      <c r="I269" s="847">
        <v>3.4319999999999999</v>
      </c>
      <c r="J269" s="847">
        <v>2.3039999999999998</v>
      </c>
      <c r="K269" s="847">
        <v>3.4769999999999999</v>
      </c>
      <c r="L269" s="847">
        <v>2.3439999999999999</v>
      </c>
      <c r="M269" s="847">
        <v>3.55</v>
      </c>
      <c r="N269" s="847">
        <v>2.4249999999999998</v>
      </c>
      <c r="O269" s="847">
        <v>2.5790000000000002</v>
      </c>
      <c r="P269" s="847">
        <v>2.7320000000000002</v>
      </c>
      <c r="Q269" s="847">
        <v>3.0569999999999999</v>
      </c>
      <c r="AB269" s="321"/>
      <c r="AC269" s="72"/>
      <c r="AD269" s="72"/>
      <c r="AE269" s="72"/>
      <c r="AF269" s="72"/>
      <c r="AG269" s="72"/>
      <c r="AH269" s="196"/>
      <c r="AI269" s="196"/>
      <c r="AJ269" s="72"/>
      <c r="AK269" s="72"/>
    </row>
    <row r="270" spans="1:40" x14ac:dyDescent="0.3">
      <c r="A270" s="35">
        <v>46244</v>
      </c>
      <c r="B270" s="847" t="s">
        <v>883</v>
      </c>
      <c r="C270">
        <v>4.4160000000000004</v>
      </c>
      <c r="E270">
        <f t="shared" si="85"/>
        <v>1</v>
      </c>
      <c r="G270" s="179">
        <v>45861</v>
      </c>
      <c r="H270" s="847">
        <v>3.3050000000000002</v>
      </c>
      <c r="I270" s="847">
        <v>3.407</v>
      </c>
      <c r="J270" s="847">
        <v>2.2709999999999999</v>
      </c>
      <c r="K270" s="847">
        <v>3.4420000000000002</v>
      </c>
      <c r="L270" s="847">
        <v>2.302</v>
      </c>
      <c r="M270" s="847">
        <v>3.5169999999999999</v>
      </c>
      <c r="N270" s="847">
        <v>2.3730000000000002</v>
      </c>
      <c r="O270" s="847">
        <v>2.5419999999999998</v>
      </c>
      <c r="P270" s="847">
        <v>2.7109999999999999</v>
      </c>
      <c r="Q270" s="847">
        <v>3.0310000000000001</v>
      </c>
      <c r="AB270" s="321"/>
      <c r="AC270" s="72"/>
      <c r="AD270" s="72"/>
      <c r="AE270" s="72"/>
      <c r="AF270" s="72"/>
      <c r="AG270" s="72"/>
      <c r="AH270" s="196"/>
      <c r="AI270" s="196"/>
      <c r="AJ270" s="72"/>
      <c r="AK270" s="72"/>
    </row>
    <row r="271" spans="1:40" x14ac:dyDescent="0.3">
      <c r="A271" s="35">
        <v>46245</v>
      </c>
      <c r="B271" s="847" t="s">
        <v>883</v>
      </c>
      <c r="C271">
        <v>4.4180000000000001</v>
      </c>
      <c r="E271">
        <f t="shared" si="85"/>
        <v>1</v>
      </c>
      <c r="G271" s="179">
        <v>45860</v>
      </c>
      <c r="H271" s="847">
        <v>3.2850000000000001</v>
      </c>
      <c r="I271" s="847">
        <v>3.3929999999999998</v>
      </c>
      <c r="J271" s="847">
        <v>2.2690000000000001</v>
      </c>
      <c r="K271" s="847">
        <v>3.4329999999999998</v>
      </c>
      <c r="L271" s="847">
        <v>2.302</v>
      </c>
      <c r="M271" s="847">
        <v>3.5169999999999999</v>
      </c>
      <c r="N271" s="847">
        <v>2.3690000000000002</v>
      </c>
      <c r="O271" s="847">
        <v>2.5289999999999999</v>
      </c>
      <c r="P271" s="847">
        <v>2.69</v>
      </c>
      <c r="Q271" s="847">
        <v>3.028</v>
      </c>
      <c r="AB271" s="321"/>
      <c r="AC271" s="72"/>
      <c r="AD271" s="72"/>
      <c r="AE271" s="72"/>
      <c r="AF271" s="72"/>
      <c r="AG271" s="72"/>
      <c r="AH271" s="196"/>
      <c r="AI271" s="196"/>
      <c r="AJ271" s="72"/>
      <c r="AK271" s="72"/>
    </row>
    <row r="272" spans="1:40" x14ac:dyDescent="0.3">
      <c r="A272" s="35">
        <v>46246</v>
      </c>
      <c r="B272" s="847" t="s">
        <v>883</v>
      </c>
      <c r="C272">
        <v>4.423</v>
      </c>
      <c r="E272">
        <f t="shared" si="85"/>
        <v>3</v>
      </c>
      <c r="G272" s="179">
        <v>45859</v>
      </c>
      <c r="H272" s="847">
        <v>3.2839999999999998</v>
      </c>
      <c r="I272" s="847">
        <v>3.395</v>
      </c>
      <c r="J272" s="847">
        <v>2.2690000000000001</v>
      </c>
      <c r="K272" s="847">
        <v>3.4329999999999998</v>
      </c>
      <c r="L272" s="847">
        <v>2.302</v>
      </c>
      <c r="M272" s="847">
        <v>3.5169999999999999</v>
      </c>
      <c r="N272" s="847">
        <v>2.3690000000000002</v>
      </c>
      <c r="O272" s="847">
        <v>2.5299999999999998</v>
      </c>
      <c r="P272" s="847">
        <v>2.6909999999999998</v>
      </c>
      <c r="Q272" s="847">
        <v>3.028</v>
      </c>
      <c r="AB272" s="321"/>
      <c r="AC272" s="72"/>
      <c r="AD272" s="72"/>
      <c r="AE272" s="72"/>
      <c r="AF272" s="72"/>
      <c r="AG272" s="72"/>
      <c r="AH272" s="196"/>
      <c r="AI272" s="196"/>
      <c r="AJ272" s="72"/>
      <c r="AK272" s="72"/>
    </row>
    <row r="273" spans="1:17" x14ac:dyDescent="0.3">
      <c r="A273" s="35">
        <v>46247</v>
      </c>
      <c r="B273" s="847" t="s">
        <v>883</v>
      </c>
      <c r="C273">
        <v>4.423</v>
      </c>
      <c r="G273" s="179">
        <v>45856</v>
      </c>
      <c r="H273" s="847">
        <v>3.2810000000000001</v>
      </c>
      <c r="I273" s="847">
        <v>3.391</v>
      </c>
      <c r="J273" s="847">
        <v>2.2690000000000001</v>
      </c>
      <c r="K273" s="847">
        <v>3.4329999999999998</v>
      </c>
      <c r="L273" s="847">
        <v>2.302</v>
      </c>
      <c r="M273" s="847">
        <v>3.5169999999999999</v>
      </c>
      <c r="N273" s="847">
        <v>2.3690000000000002</v>
      </c>
      <c r="O273" s="847">
        <v>2.5259999999999998</v>
      </c>
      <c r="P273" s="847">
        <v>2.6840000000000002</v>
      </c>
      <c r="Q273" s="847">
        <v>3.0259999999999998</v>
      </c>
    </row>
    <row r="274" spans="1:17" x14ac:dyDescent="0.3">
      <c r="A274" s="35">
        <v>46248</v>
      </c>
      <c r="B274" s="847" t="s">
        <v>883</v>
      </c>
      <c r="C274">
        <v>4.4240000000000004</v>
      </c>
      <c r="G274" s="179">
        <v>45855</v>
      </c>
      <c r="H274" s="847">
        <v>3.28</v>
      </c>
      <c r="I274" s="847">
        <v>3.3849999999999998</v>
      </c>
      <c r="J274" s="847">
        <v>2.2690000000000001</v>
      </c>
      <c r="K274" s="847">
        <v>3.423</v>
      </c>
      <c r="L274" s="847">
        <v>2.302</v>
      </c>
      <c r="M274" s="847">
        <v>3.5129999999999999</v>
      </c>
      <c r="N274" s="847">
        <v>2.3690000000000002</v>
      </c>
      <c r="O274" s="847">
        <v>2.5209999999999999</v>
      </c>
      <c r="P274" s="847">
        <v>2.6739999999999999</v>
      </c>
      <c r="Q274" s="847">
        <v>3.0129999999999999</v>
      </c>
    </row>
    <row r="275" spans="1:17" x14ac:dyDescent="0.3">
      <c r="A275" s="35">
        <v>46251</v>
      </c>
      <c r="B275" s="847" t="s">
        <v>883</v>
      </c>
      <c r="C275">
        <v>4.4530000000000003</v>
      </c>
      <c r="G275" s="179">
        <v>45854</v>
      </c>
      <c r="H275" s="847">
        <v>3.24</v>
      </c>
      <c r="I275" s="847">
        <v>3.363</v>
      </c>
      <c r="J275" s="847">
        <v>2.206</v>
      </c>
      <c r="K275" s="847">
        <v>3.4169999999999998</v>
      </c>
      <c r="L275" s="847">
        <v>2.2559999999999998</v>
      </c>
      <c r="M275" s="847">
        <v>3.508</v>
      </c>
      <c r="N275" s="847">
        <v>2.327</v>
      </c>
      <c r="O275" s="847">
        <v>2.5</v>
      </c>
      <c r="P275" s="847">
        <v>2.6739999999999999</v>
      </c>
      <c r="Q275" s="847">
        <v>3.0110000000000001</v>
      </c>
    </row>
    <row r="276" spans="1:17" x14ac:dyDescent="0.3">
      <c r="A276" s="35">
        <v>46252</v>
      </c>
      <c r="B276" s="847" t="s">
        <v>883</v>
      </c>
      <c r="C276">
        <v>4.4480000000000004</v>
      </c>
      <c r="G276" s="179">
        <v>45853</v>
      </c>
      <c r="H276" s="847">
        <v>3.234</v>
      </c>
      <c r="I276" s="847">
        <v>3.3580000000000001</v>
      </c>
      <c r="J276" s="847">
        <v>2.2040000000000002</v>
      </c>
      <c r="K276" s="847">
        <v>3.4169999999999998</v>
      </c>
      <c r="L276" s="847">
        <v>2.254</v>
      </c>
      <c r="M276" s="847">
        <v>3.508</v>
      </c>
      <c r="N276" s="847">
        <v>2.3250000000000002</v>
      </c>
      <c r="O276" s="847">
        <v>2.4969999999999999</v>
      </c>
      <c r="P276" s="847">
        <v>2.669</v>
      </c>
      <c r="Q276" s="847">
        <v>3.012</v>
      </c>
    </row>
    <row r="277" spans="1:17" x14ac:dyDescent="0.3">
      <c r="A277" s="35">
        <v>45852</v>
      </c>
      <c r="B277" s="847" t="s">
        <v>884</v>
      </c>
      <c r="C277">
        <v>3.3450000000000002</v>
      </c>
      <c r="G277" s="179">
        <v>45852</v>
      </c>
      <c r="H277" s="847">
        <v>3.2280000000000002</v>
      </c>
      <c r="I277" s="847">
        <v>3.3450000000000002</v>
      </c>
      <c r="J277" s="847">
        <v>2.2040000000000002</v>
      </c>
      <c r="K277" s="847">
        <v>3.4079999999999999</v>
      </c>
      <c r="L277" s="847">
        <v>2.254</v>
      </c>
      <c r="M277" s="847">
        <v>3.5</v>
      </c>
      <c r="N277" s="847">
        <v>2.3250000000000002</v>
      </c>
      <c r="O277" s="847">
        <v>2.4969999999999999</v>
      </c>
      <c r="P277" s="847">
        <v>2.669</v>
      </c>
      <c r="Q277" s="847">
        <v>3.0110000000000001</v>
      </c>
    </row>
    <row r="278" spans="1:17" x14ac:dyDescent="0.3">
      <c r="A278" s="35">
        <v>45853</v>
      </c>
      <c r="B278" s="847" t="s">
        <v>884</v>
      </c>
      <c r="C278">
        <v>3.3580000000000001</v>
      </c>
      <c r="H278"/>
      <c r="I278"/>
      <c r="J278"/>
      <c r="K278"/>
      <c r="L278"/>
      <c r="M278"/>
      <c r="N278"/>
      <c r="O278"/>
      <c r="P278"/>
      <c r="Q278"/>
    </row>
    <row r="279" spans="1:17" x14ac:dyDescent="0.3">
      <c r="A279" s="35">
        <v>45854</v>
      </c>
      <c r="B279" s="847" t="s">
        <v>884</v>
      </c>
      <c r="C279">
        <v>3.363</v>
      </c>
    </row>
    <row r="280" spans="1:17" x14ac:dyDescent="0.3">
      <c r="A280" s="35">
        <v>45855</v>
      </c>
      <c r="B280" s="847" t="s">
        <v>884</v>
      </c>
      <c r="C280">
        <v>3.3849999999999998</v>
      </c>
    </row>
    <row r="281" spans="1:17" x14ac:dyDescent="0.3">
      <c r="A281" s="35">
        <v>45856</v>
      </c>
      <c r="B281" s="847" t="s">
        <v>884</v>
      </c>
      <c r="C281">
        <v>3.391</v>
      </c>
    </row>
    <row r="282" spans="1:17" x14ac:dyDescent="0.3">
      <c r="A282" s="35">
        <v>45859</v>
      </c>
      <c r="B282" s="847" t="s">
        <v>884</v>
      </c>
      <c r="C282">
        <v>3.395</v>
      </c>
    </row>
    <row r="283" spans="1:17" x14ac:dyDescent="0.3">
      <c r="A283" s="35">
        <v>45860</v>
      </c>
      <c r="B283" s="847" t="s">
        <v>884</v>
      </c>
      <c r="C283">
        <v>3.3929999999999998</v>
      </c>
    </row>
    <row r="284" spans="1:17" x14ac:dyDescent="0.3">
      <c r="A284" s="35">
        <v>45861</v>
      </c>
      <c r="B284" s="847" t="s">
        <v>884</v>
      </c>
      <c r="C284">
        <v>3.407</v>
      </c>
    </row>
    <row r="285" spans="1:17" x14ac:dyDescent="0.3">
      <c r="A285" s="35">
        <v>45862</v>
      </c>
      <c r="B285" s="847" t="s">
        <v>884</v>
      </c>
      <c r="C285">
        <v>3.4319999999999999</v>
      </c>
    </row>
    <row r="286" spans="1:17" x14ac:dyDescent="0.3">
      <c r="A286" s="35">
        <v>45863</v>
      </c>
      <c r="B286" s="847" t="s">
        <v>884</v>
      </c>
      <c r="C286">
        <v>3.4289999999999998</v>
      </c>
    </row>
    <row r="287" spans="1:17" x14ac:dyDescent="0.3">
      <c r="A287" s="35">
        <v>45866</v>
      </c>
      <c r="B287" s="847" t="s">
        <v>884</v>
      </c>
      <c r="C287">
        <v>3.4289999999999998</v>
      </c>
    </row>
    <row r="288" spans="1:17" x14ac:dyDescent="0.3">
      <c r="A288" s="35">
        <v>45867</v>
      </c>
      <c r="B288" s="847" t="s">
        <v>884</v>
      </c>
      <c r="C288">
        <v>3.4289999999999998</v>
      </c>
    </row>
    <row r="289" spans="1:3" x14ac:dyDescent="0.3">
      <c r="A289" s="35">
        <v>45868</v>
      </c>
      <c r="B289" s="847" t="s">
        <v>884</v>
      </c>
      <c r="C289">
        <v>3.431</v>
      </c>
    </row>
    <row r="290" spans="1:3" x14ac:dyDescent="0.3">
      <c r="A290" s="35">
        <v>45869</v>
      </c>
      <c r="B290" s="847" t="s">
        <v>884</v>
      </c>
      <c r="C290">
        <v>3.44</v>
      </c>
    </row>
    <row r="291" spans="1:3" x14ac:dyDescent="0.3">
      <c r="A291" s="35">
        <v>45870</v>
      </c>
      <c r="B291" s="847" t="s">
        <v>884</v>
      </c>
      <c r="C291">
        <v>3.44</v>
      </c>
    </row>
    <row r="292" spans="1:3" x14ac:dyDescent="0.3">
      <c r="A292" s="35">
        <v>45873</v>
      </c>
      <c r="B292" s="847" t="s">
        <v>884</v>
      </c>
      <c r="C292">
        <v>3.4409999999999998</v>
      </c>
    </row>
    <row r="293" spans="1:3" x14ac:dyDescent="0.3">
      <c r="A293" s="35">
        <v>45874</v>
      </c>
      <c r="B293" s="847" t="s">
        <v>884</v>
      </c>
      <c r="C293">
        <v>3.44</v>
      </c>
    </row>
    <row r="294" spans="1:3" x14ac:dyDescent="0.3">
      <c r="A294" s="35">
        <v>45875</v>
      </c>
      <c r="B294" s="847" t="s">
        <v>884</v>
      </c>
      <c r="C294">
        <v>3.4449999999999998</v>
      </c>
    </row>
    <row r="295" spans="1:3" x14ac:dyDescent="0.3">
      <c r="A295" s="35">
        <v>45876</v>
      </c>
      <c r="B295" s="847" t="s">
        <v>884</v>
      </c>
      <c r="C295">
        <v>3.4660000000000002</v>
      </c>
    </row>
    <row r="296" spans="1:3" x14ac:dyDescent="0.3">
      <c r="A296" s="35">
        <v>45877</v>
      </c>
      <c r="B296" s="847" t="s">
        <v>884</v>
      </c>
      <c r="C296">
        <v>3.4689999999999999</v>
      </c>
    </row>
    <row r="297" spans="1:3" x14ac:dyDescent="0.3">
      <c r="A297" s="35">
        <v>45880</v>
      </c>
      <c r="B297" s="847" t="s">
        <v>884</v>
      </c>
      <c r="C297">
        <v>3.47</v>
      </c>
    </row>
    <row r="298" spans="1:3" x14ac:dyDescent="0.3">
      <c r="A298" s="35">
        <v>45881</v>
      </c>
      <c r="B298" s="847" t="s">
        <v>884</v>
      </c>
      <c r="C298">
        <v>3.4729999999999999</v>
      </c>
    </row>
    <row r="299" spans="1:3" x14ac:dyDescent="0.3">
      <c r="A299" s="35">
        <v>45882</v>
      </c>
      <c r="B299" s="847" t="s">
        <v>884</v>
      </c>
      <c r="C299">
        <v>3.47</v>
      </c>
    </row>
    <row r="300" spans="1:3" x14ac:dyDescent="0.3">
      <c r="A300" s="35">
        <v>45883</v>
      </c>
      <c r="B300" s="847" t="s">
        <v>884</v>
      </c>
      <c r="C300">
        <v>3.5150000000000001</v>
      </c>
    </row>
    <row r="301" spans="1:3" x14ac:dyDescent="0.3">
      <c r="A301" s="35">
        <v>45884</v>
      </c>
      <c r="B301" s="847" t="s">
        <v>884</v>
      </c>
      <c r="C301">
        <v>3.5169999999999999</v>
      </c>
    </row>
    <row r="302" spans="1:3" x14ac:dyDescent="0.3">
      <c r="A302" s="35">
        <v>45887</v>
      </c>
      <c r="B302" s="847" t="s">
        <v>884</v>
      </c>
      <c r="C302">
        <v>3.52</v>
      </c>
    </row>
    <row r="303" spans="1:3" x14ac:dyDescent="0.3">
      <c r="A303" s="35">
        <v>45888</v>
      </c>
      <c r="B303" s="847" t="s">
        <v>884</v>
      </c>
      <c r="C303">
        <v>3.5230000000000001</v>
      </c>
    </row>
    <row r="304" spans="1:3" x14ac:dyDescent="0.3">
      <c r="A304" s="35">
        <v>45889</v>
      </c>
      <c r="B304" s="847" t="s">
        <v>884</v>
      </c>
      <c r="C304">
        <v>3.5230000000000001</v>
      </c>
    </row>
    <row r="305" spans="1:3" x14ac:dyDescent="0.3">
      <c r="A305" s="35">
        <v>45890</v>
      </c>
      <c r="B305" s="847" t="s">
        <v>884</v>
      </c>
      <c r="C305">
        <v>3.5680000000000001</v>
      </c>
    </row>
    <row r="306" spans="1:3" x14ac:dyDescent="0.3">
      <c r="A306" s="35">
        <v>45891</v>
      </c>
      <c r="B306" s="847" t="s">
        <v>884</v>
      </c>
      <c r="C306">
        <v>3.5979999999999999</v>
      </c>
    </row>
    <row r="307" spans="1:3" x14ac:dyDescent="0.3">
      <c r="A307" s="35">
        <v>45894</v>
      </c>
      <c r="B307" s="847" t="s">
        <v>884</v>
      </c>
      <c r="C307">
        <v>3.5979999999999999</v>
      </c>
    </row>
    <row r="308" spans="1:3" x14ac:dyDescent="0.3">
      <c r="A308" s="35">
        <v>45895</v>
      </c>
      <c r="B308" s="847" t="s">
        <v>884</v>
      </c>
      <c r="C308">
        <v>3.6080000000000001</v>
      </c>
    </row>
    <row r="309" spans="1:3" x14ac:dyDescent="0.3">
      <c r="A309" s="35">
        <v>45896</v>
      </c>
      <c r="B309" s="847" t="s">
        <v>884</v>
      </c>
      <c r="C309">
        <v>3.621</v>
      </c>
    </row>
    <row r="310" spans="1:3" x14ac:dyDescent="0.3">
      <c r="A310" s="35">
        <v>45897</v>
      </c>
      <c r="B310" s="847" t="s">
        <v>884</v>
      </c>
      <c r="C310">
        <v>3.621</v>
      </c>
    </row>
    <row r="311" spans="1:3" x14ac:dyDescent="0.3">
      <c r="A311" s="35">
        <v>45898</v>
      </c>
      <c r="B311" s="847" t="s">
        <v>884</v>
      </c>
      <c r="C311">
        <v>3.6150000000000002</v>
      </c>
    </row>
    <row r="312" spans="1:3" x14ac:dyDescent="0.3">
      <c r="A312" s="35">
        <v>45903</v>
      </c>
      <c r="B312" s="847" t="s">
        <v>884</v>
      </c>
      <c r="C312">
        <v>3.6150000000000002</v>
      </c>
    </row>
    <row r="313" spans="1:3" x14ac:dyDescent="0.3">
      <c r="A313" s="35">
        <v>45904</v>
      </c>
      <c r="B313" s="847" t="s">
        <v>884</v>
      </c>
      <c r="C313">
        <v>3.62</v>
      </c>
    </row>
    <row r="314" spans="1:3" x14ac:dyDescent="0.3">
      <c r="A314" s="35">
        <v>45905</v>
      </c>
      <c r="B314" s="847" t="s">
        <v>884</v>
      </c>
      <c r="C314">
        <v>3.62</v>
      </c>
    </row>
    <row r="315" spans="1:3" x14ac:dyDescent="0.3">
      <c r="A315" s="35">
        <v>45908</v>
      </c>
      <c r="B315" s="847" t="s">
        <v>884</v>
      </c>
      <c r="C315">
        <v>3.62</v>
      </c>
    </row>
    <row r="316" spans="1:3" x14ac:dyDescent="0.3">
      <c r="A316" s="35">
        <v>45909</v>
      </c>
      <c r="B316" s="847" t="s">
        <v>884</v>
      </c>
      <c r="C316">
        <v>3.621</v>
      </c>
    </row>
    <row r="317" spans="1:3" x14ac:dyDescent="0.3">
      <c r="A317" s="35">
        <v>45910</v>
      </c>
      <c r="B317" s="847" t="s">
        <v>884</v>
      </c>
      <c r="C317">
        <v>3.6230000000000002</v>
      </c>
    </row>
    <row r="318" spans="1:3" x14ac:dyDescent="0.3">
      <c r="A318" s="35">
        <v>45911</v>
      </c>
      <c r="B318" s="847" t="s">
        <v>884</v>
      </c>
      <c r="C318">
        <v>3.637</v>
      </c>
    </row>
    <row r="319" spans="1:3" x14ac:dyDescent="0.3">
      <c r="A319" s="35">
        <v>45912</v>
      </c>
      <c r="B319" s="847" t="s">
        <v>884</v>
      </c>
      <c r="C319">
        <v>3.64</v>
      </c>
    </row>
    <row r="320" spans="1:3" x14ac:dyDescent="0.3">
      <c r="A320" s="35">
        <v>45915</v>
      </c>
      <c r="B320" s="847" t="s">
        <v>884</v>
      </c>
      <c r="C320">
        <v>3.6429999999999998</v>
      </c>
    </row>
    <row r="321" spans="1:3" x14ac:dyDescent="0.3">
      <c r="A321" s="35">
        <v>45916</v>
      </c>
      <c r="B321" s="847" t="s">
        <v>884</v>
      </c>
      <c r="C321">
        <v>3.6429999999999998</v>
      </c>
    </row>
    <row r="322" spans="1:3" x14ac:dyDescent="0.3">
      <c r="A322" s="35">
        <v>45917</v>
      </c>
      <c r="B322" s="847" t="s">
        <v>884</v>
      </c>
      <c r="C322">
        <v>3.6429999999999998</v>
      </c>
    </row>
    <row r="323" spans="1:3" x14ac:dyDescent="0.3">
      <c r="A323" s="35">
        <v>45918</v>
      </c>
      <c r="B323" s="847" t="s">
        <v>884</v>
      </c>
      <c r="C323">
        <v>3.6509999999999998</v>
      </c>
    </row>
    <row r="324" spans="1:3" x14ac:dyDescent="0.3">
      <c r="A324" s="35">
        <v>45919</v>
      </c>
      <c r="B324" s="847" t="s">
        <v>884</v>
      </c>
      <c r="C324">
        <v>3.6509999999999998</v>
      </c>
    </row>
    <row r="325" spans="1:3" x14ac:dyDescent="0.3">
      <c r="A325" s="35">
        <v>45922</v>
      </c>
      <c r="B325" s="847" t="s">
        <v>884</v>
      </c>
      <c r="C325">
        <v>3.6560000000000001</v>
      </c>
    </row>
    <row r="326" spans="1:3" x14ac:dyDescent="0.3">
      <c r="A326" s="35">
        <v>45923</v>
      </c>
      <c r="B326" s="847" t="s">
        <v>884</v>
      </c>
      <c r="C326">
        <v>3.661</v>
      </c>
    </row>
    <row r="327" spans="1:3" x14ac:dyDescent="0.3">
      <c r="A327" s="35">
        <v>45924</v>
      </c>
      <c r="B327" s="847" t="s">
        <v>884</v>
      </c>
      <c r="C327">
        <v>3.6640000000000001</v>
      </c>
    </row>
    <row r="328" spans="1:3" x14ac:dyDescent="0.3">
      <c r="A328" s="35">
        <v>45925</v>
      </c>
      <c r="B328" s="847" t="s">
        <v>884</v>
      </c>
      <c r="C328">
        <v>3.6949999999999998</v>
      </c>
    </row>
    <row r="329" spans="1:3" x14ac:dyDescent="0.3">
      <c r="A329" s="35">
        <v>45926</v>
      </c>
      <c r="B329" s="847" t="s">
        <v>884</v>
      </c>
      <c r="C329">
        <v>3.7010000000000001</v>
      </c>
    </row>
    <row r="330" spans="1:3" x14ac:dyDescent="0.3">
      <c r="A330" s="35">
        <v>45929</v>
      </c>
      <c r="B330" s="847" t="s">
        <v>884</v>
      </c>
      <c r="C330">
        <v>3.7029999999999998</v>
      </c>
    </row>
    <row r="331" spans="1:3" x14ac:dyDescent="0.3">
      <c r="A331" s="35">
        <v>45930</v>
      </c>
      <c r="B331" s="847" t="s">
        <v>884</v>
      </c>
      <c r="C331">
        <v>3.7080000000000002</v>
      </c>
    </row>
    <row r="332" spans="1:3" x14ac:dyDescent="0.3">
      <c r="A332" s="35">
        <v>45931</v>
      </c>
      <c r="B332" s="847" t="s">
        <v>884</v>
      </c>
      <c r="C332">
        <v>3.7130000000000001</v>
      </c>
    </row>
    <row r="333" spans="1:3" x14ac:dyDescent="0.3">
      <c r="A333" s="35">
        <v>45932</v>
      </c>
      <c r="B333" s="847" t="s">
        <v>884</v>
      </c>
      <c r="C333">
        <v>3.7450000000000001</v>
      </c>
    </row>
    <row r="334" spans="1:3" x14ac:dyDescent="0.3">
      <c r="A334" s="35">
        <v>45933</v>
      </c>
      <c r="B334" s="847" t="s">
        <v>884</v>
      </c>
      <c r="C334">
        <v>3.75</v>
      </c>
    </row>
    <row r="335" spans="1:3" x14ac:dyDescent="0.3">
      <c r="A335" s="35">
        <v>45936</v>
      </c>
      <c r="B335" s="847" t="s">
        <v>884</v>
      </c>
      <c r="C335">
        <v>3.75</v>
      </c>
    </row>
    <row r="336" spans="1:3" x14ac:dyDescent="0.3">
      <c r="A336" s="35">
        <v>45937</v>
      </c>
      <c r="B336" s="847" t="s">
        <v>884</v>
      </c>
      <c r="C336">
        <v>3.75</v>
      </c>
    </row>
    <row r="337" spans="1:3" x14ac:dyDescent="0.3">
      <c r="A337" s="35">
        <v>45938</v>
      </c>
      <c r="B337" s="847" t="s">
        <v>884</v>
      </c>
      <c r="C337">
        <v>3.7549999999999999</v>
      </c>
    </row>
    <row r="338" spans="1:3" x14ac:dyDescent="0.3">
      <c r="A338" s="35">
        <v>45939</v>
      </c>
      <c r="B338" s="847" t="s">
        <v>884</v>
      </c>
      <c r="C338">
        <v>3.7759999999999998</v>
      </c>
    </row>
    <row r="339" spans="1:3" x14ac:dyDescent="0.3">
      <c r="A339" s="35">
        <v>45940</v>
      </c>
      <c r="B339" s="847" t="s">
        <v>884</v>
      </c>
      <c r="C339">
        <v>3.7879999999999998</v>
      </c>
    </row>
    <row r="340" spans="1:3" x14ac:dyDescent="0.3">
      <c r="A340" s="35">
        <v>45943</v>
      </c>
      <c r="B340" s="847" t="s">
        <v>884</v>
      </c>
      <c r="C340">
        <v>3.7879999999999998</v>
      </c>
    </row>
    <row r="341" spans="1:3" x14ac:dyDescent="0.3">
      <c r="A341" s="35">
        <v>45944</v>
      </c>
      <c r="B341" s="847" t="s">
        <v>884</v>
      </c>
      <c r="C341">
        <v>3.7930000000000001</v>
      </c>
    </row>
    <row r="342" spans="1:3" x14ac:dyDescent="0.3">
      <c r="A342" s="35">
        <v>45945</v>
      </c>
      <c r="B342" s="847" t="s">
        <v>884</v>
      </c>
      <c r="C342">
        <v>3.798</v>
      </c>
    </row>
    <row r="343" spans="1:3" x14ac:dyDescent="0.3">
      <c r="A343" s="35">
        <v>45946</v>
      </c>
      <c r="B343" s="847" t="s">
        <v>884</v>
      </c>
      <c r="C343">
        <v>3.8149999999999999</v>
      </c>
    </row>
    <row r="344" spans="1:3" x14ac:dyDescent="0.3">
      <c r="A344" s="35">
        <v>45947</v>
      </c>
      <c r="B344" s="847" t="s">
        <v>884</v>
      </c>
      <c r="C344">
        <v>3.82</v>
      </c>
    </row>
    <row r="345" spans="1:3" x14ac:dyDescent="0.3">
      <c r="A345" s="35">
        <v>45950</v>
      </c>
      <c r="B345" s="847" t="s">
        <v>884</v>
      </c>
      <c r="C345">
        <v>3.8250000000000002</v>
      </c>
    </row>
    <row r="346" spans="1:3" x14ac:dyDescent="0.3">
      <c r="A346" s="35">
        <v>45951</v>
      </c>
      <c r="B346" s="847" t="s">
        <v>884</v>
      </c>
      <c r="C346">
        <v>3.8250000000000002</v>
      </c>
    </row>
    <row r="347" spans="1:3" x14ac:dyDescent="0.3">
      <c r="A347" s="35">
        <v>45952</v>
      </c>
      <c r="B347" s="847" t="s">
        <v>884</v>
      </c>
      <c r="C347">
        <v>3.835</v>
      </c>
    </row>
    <row r="348" spans="1:3" x14ac:dyDescent="0.3">
      <c r="A348" s="35">
        <v>45953</v>
      </c>
      <c r="B348" s="847" t="s">
        <v>884</v>
      </c>
      <c r="C348">
        <v>3.8650000000000002</v>
      </c>
    </row>
    <row r="349" spans="1:3" x14ac:dyDescent="0.3">
      <c r="A349" s="35">
        <v>45954</v>
      </c>
      <c r="B349" s="847" t="s">
        <v>884</v>
      </c>
      <c r="C349">
        <v>3.8650000000000002</v>
      </c>
    </row>
    <row r="350" spans="1:3" x14ac:dyDescent="0.3">
      <c r="A350" s="35">
        <v>45957</v>
      </c>
      <c r="B350" s="847" t="s">
        <v>884</v>
      </c>
      <c r="C350">
        <v>3.87</v>
      </c>
    </row>
    <row r="351" spans="1:3" x14ac:dyDescent="0.3">
      <c r="A351" s="35">
        <v>45958</v>
      </c>
      <c r="B351" s="847" t="s">
        <v>884</v>
      </c>
      <c r="C351">
        <v>3.87</v>
      </c>
    </row>
    <row r="352" spans="1:3" x14ac:dyDescent="0.3">
      <c r="A352" s="35">
        <v>45959</v>
      </c>
      <c r="B352" s="847" t="s">
        <v>884</v>
      </c>
      <c r="C352">
        <v>3.871</v>
      </c>
    </row>
    <row r="353" spans="1:3" x14ac:dyDescent="0.3">
      <c r="A353" s="35">
        <v>45960</v>
      </c>
      <c r="B353" s="847" t="s">
        <v>884</v>
      </c>
      <c r="C353">
        <v>3.8809999999999998</v>
      </c>
    </row>
    <row r="354" spans="1:3" x14ac:dyDescent="0.3">
      <c r="A354" s="35">
        <v>45961</v>
      </c>
      <c r="B354" s="847" t="s">
        <v>884</v>
      </c>
      <c r="C354">
        <v>3.8929999999999998</v>
      </c>
    </row>
    <row r="355" spans="1:3" x14ac:dyDescent="0.3">
      <c r="A355" s="35">
        <v>45964</v>
      </c>
      <c r="B355" s="847" t="s">
        <v>884</v>
      </c>
      <c r="C355">
        <v>3.8929999999999998</v>
      </c>
    </row>
    <row r="356" spans="1:3" x14ac:dyDescent="0.3">
      <c r="A356" s="35">
        <v>45965</v>
      </c>
      <c r="B356" s="847" t="s">
        <v>884</v>
      </c>
      <c r="C356">
        <v>3.895</v>
      </c>
    </row>
    <row r="357" spans="1:3" x14ac:dyDescent="0.3">
      <c r="A357" s="35">
        <v>45966</v>
      </c>
      <c r="B357" s="847" t="s">
        <v>884</v>
      </c>
      <c r="C357">
        <v>3.9</v>
      </c>
    </row>
    <row r="358" spans="1:3" x14ac:dyDescent="0.3">
      <c r="A358" s="35">
        <v>45967</v>
      </c>
      <c r="B358" s="847" t="s">
        <v>884</v>
      </c>
      <c r="C358">
        <v>3.9079999999999999</v>
      </c>
    </row>
    <row r="359" spans="1:3" x14ac:dyDescent="0.3">
      <c r="A359" s="35">
        <v>45968</v>
      </c>
      <c r="B359" s="847" t="s">
        <v>884</v>
      </c>
      <c r="C359">
        <v>3.91</v>
      </c>
    </row>
    <row r="360" spans="1:3" x14ac:dyDescent="0.3">
      <c r="A360" s="35">
        <v>45971</v>
      </c>
      <c r="B360" s="847" t="s">
        <v>884</v>
      </c>
      <c r="C360">
        <v>3.923</v>
      </c>
    </row>
    <row r="361" spans="1:3" x14ac:dyDescent="0.3">
      <c r="A361" s="35">
        <v>45972</v>
      </c>
      <c r="B361" s="847" t="s">
        <v>884</v>
      </c>
      <c r="C361">
        <v>3.923</v>
      </c>
    </row>
    <row r="362" spans="1:3" x14ac:dyDescent="0.3">
      <c r="A362" s="35">
        <v>45973</v>
      </c>
      <c r="B362" s="847" t="s">
        <v>884</v>
      </c>
      <c r="C362">
        <v>3.9279999999999999</v>
      </c>
    </row>
    <row r="363" spans="1:3" x14ac:dyDescent="0.3">
      <c r="A363" s="35">
        <v>45974</v>
      </c>
      <c r="B363" s="847" t="s">
        <v>884</v>
      </c>
      <c r="C363">
        <v>3.9380000000000002</v>
      </c>
    </row>
    <row r="364" spans="1:3" x14ac:dyDescent="0.3">
      <c r="A364" s="35">
        <v>45975</v>
      </c>
      <c r="B364" s="847" t="s">
        <v>884</v>
      </c>
      <c r="C364">
        <v>3.9380000000000002</v>
      </c>
    </row>
    <row r="365" spans="1:3" x14ac:dyDescent="0.3">
      <c r="A365" s="35">
        <v>45978</v>
      </c>
      <c r="B365" s="847" t="s">
        <v>884</v>
      </c>
      <c r="C365">
        <v>3.9430000000000001</v>
      </c>
    </row>
    <row r="366" spans="1:3" x14ac:dyDescent="0.3">
      <c r="A366" s="35">
        <v>45979</v>
      </c>
      <c r="B366" s="847" t="s">
        <v>884</v>
      </c>
      <c r="C366">
        <v>3.948</v>
      </c>
    </row>
    <row r="367" spans="1:3" x14ac:dyDescent="0.3">
      <c r="A367" s="35">
        <v>45980</v>
      </c>
      <c r="B367" s="847" t="s">
        <v>884</v>
      </c>
      <c r="C367">
        <v>3.948</v>
      </c>
    </row>
    <row r="368" spans="1:3" x14ac:dyDescent="0.3">
      <c r="A368" s="35">
        <v>45981</v>
      </c>
      <c r="B368" s="847" t="s">
        <v>884</v>
      </c>
      <c r="C368">
        <v>3.9470000000000001</v>
      </c>
    </row>
    <row r="369" spans="1:3" x14ac:dyDescent="0.3">
      <c r="A369" s="35">
        <v>45982</v>
      </c>
      <c r="B369" s="847" t="s">
        <v>884</v>
      </c>
      <c r="C369">
        <v>3.9489999999999998</v>
      </c>
    </row>
    <row r="370" spans="1:3" x14ac:dyDescent="0.3">
      <c r="A370" s="35">
        <v>45985</v>
      </c>
      <c r="B370" s="847" t="s">
        <v>884</v>
      </c>
      <c r="C370">
        <v>3.9489999999999998</v>
      </c>
    </row>
    <row r="371" spans="1:3" x14ac:dyDescent="0.3">
      <c r="A371" s="35">
        <v>45986</v>
      </c>
      <c r="B371" s="847" t="s">
        <v>884</v>
      </c>
      <c r="C371">
        <v>3.9489999999999998</v>
      </c>
    </row>
    <row r="372" spans="1:3" x14ac:dyDescent="0.3">
      <c r="A372" s="35">
        <v>45987</v>
      </c>
      <c r="B372" s="847" t="s">
        <v>884</v>
      </c>
      <c r="C372">
        <v>3.9489999999999998</v>
      </c>
    </row>
    <row r="373" spans="1:3" x14ac:dyDescent="0.3">
      <c r="A373" s="35">
        <v>45988</v>
      </c>
      <c r="B373" s="847" t="s">
        <v>884</v>
      </c>
      <c r="C373">
        <v>3.9540000000000002</v>
      </c>
    </row>
    <row r="374" spans="1:3" x14ac:dyDescent="0.3">
      <c r="A374" s="35">
        <v>45989</v>
      </c>
      <c r="B374" s="847" t="s">
        <v>884</v>
      </c>
      <c r="C374">
        <v>3.9670000000000001</v>
      </c>
    </row>
    <row r="375" spans="1:3" x14ac:dyDescent="0.3">
      <c r="A375" s="35">
        <v>45992</v>
      </c>
      <c r="B375" s="847" t="s">
        <v>884</v>
      </c>
      <c r="C375">
        <v>3.9780000000000002</v>
      </c>
    </row>
    <row r="376" spans="1:3" x14ac:dyDescent="0.3">
      <c r="A376" s="35">
        <v>45993</v>
      </c>
      <c r="B376" s="847" t="s">
        <v>884</v>
      </c>
      <c r="C376">
        <v>3.9830000000000001</v>
      </c>
    </row>
    <row r="377" spans="1:3" x14ac:dyDescent="0.3">
      <c r="A377" s="35">
        <v>45994</v>
      </c>
      <c r="B377" s="847" t="s">
        <v>884</v>
      </c>
      <c r="C377">
        <v>3.9980000000000002</v>
      </c>
    </row>
    <row r="378" spans="1:3" x14ac:dyDescent="0.3">
      <c r="A378" s="35">
        <v>45995</v>
      </c>
      <c r="B378" s="847" t="s">
        <v>884</v>
      </c>
      <c r="C378">
        <v>4.0030000000000001</v>
      </c>
    </row>
    <row r="379" spans="1:3" x14ac:dyDescent="0.3">
      <c r="A379" s="35">
        <v>45996</v>
      </c>
      <c r="B379" s="847" t="s">
        <v>884</v>
      </c>
      <c r="C379">
        <v>4.0199999999999996</v>
      </c>
    </row>
    <row r="380" spans="1:3" x14ac:dyDescent="0.3">
      <c r="A380" s="35">
        <v>45999</v>
      </c>
      <c r="B380" s="847" t="s">
        <v>884</v>
      </c>
      <c r="C380">
        <v>4.0250000000000004</v>
      </c>
    </row>
    <row r="381" spans="1:3" x14ac:dyDescent="0.3">
      <c r="A381" s="35">
        <v>46000</v>
      </c>
      <c r="B381" s="847" t="s">
        <v>884</v>
      </c>
      <c r="C381">
        <v>4.03</v>
      </c>
    </row>
    <row r="382" spans="1:3" x14ac:dyDescent="0.3">
      <c r="A382" s="35">
        <v>46001</v>
      </c>
      <c r="B382" s="847" t="s">
        <v>884</v>
      </c>
      <c r="C382">
        <v>4.03</v>
      </c>
    </row>
    <row r="383" spans="1:3" x14ac:dyDescent="0.3">
      <c r="A383" s="35">
        <v>46002</v>
      </c>
      <c r="B383" s="847" t="s">
        <v>884</v>
      </c>
      <c r="C383">
        <v>4.0519999999999996</v>
      </c>
    </row>
    <row r="384" spans="1:3" x14ac:dyDescent="0.3">
      <c r="A384" s="35">
        <v>46003</v>
      </c>
      <c r="B384" s="847" t="s">
        <v>884</v>
      </c>
      <c r="C384">
        <v>4.0570000000000004</v>
      </c>
    </row>
    <row r="385" spans="1:3" x14ac:dyDescent="0.3">
      <c r="A385" s="35">
        <v>46006</v>
      </c>
      <c r="B385" s="847" t="s">
        <v>884</v>
      </c>
      <c r="C385">
        <v>4.0570000000000004</v>
      </c>
    </row>
    <row r="386" spans="1:3" x14ac:dyDescent="0.3">
      <c r="A386" s="35">
        <v>46007</v>
      </c>
      <c r="B386" s="847" t="s">
        <v>884</v>
      </c>
      <c r="C386">
        <v>4.0570000000000004</v>
      </c>
    </row>
    <row r="387" spans="1:3" x14ac:dyDescent="0.3">
      <c r="A387" s="35">
        <v>46008</v>
      </c>
      <c r="B387" s="847" t="s">
        <v>884</v>
      </c>
      <c r="C387">
        <v>4.0570000000000004</v>
      </c>
    </row>
    <row r="388" spans="1:3" x14ac:dyDescent="0.3">
      <c r="A388" s="35">
        <v>46009</v>
      </c>
      <c r="B388" s="847" t="s">
        <v>884</v>
      </c>
      <c r="C388">
        <v>4.0759999999999996</v>
      </c>
    </row>
    <row r="389" spans="1:3" x14ac:dyDescent="0.3">
      <c r="A389" s="35">
        <v>46010</v>
      </c>
      <c r="B389" s="847" t="s">
        <v>884</v>
      </c>
      <c r="C389">
        <v>4.0730000000000004</v>
      </c>
    </row>
    <row r="390" spans="1:3" x14ac:dyDescent="0.3">
      <c r="A390" s="35">
        <v>46013</v>
      </c>
      <c r="B390" s="847" t="s">
        <v>884</v>
      </c>
      <c r="C390">
        <v>4.0759999999999996</v>
      </c>
    </row>
    <row r="391" spans="1:3" x14ac:dyDescent="0.3">
      <c r="A391" s="35">
        <v>46014</v>
      </c>
      <c r="B391" s="847" t="s">
        <v>884</v>
      </c>
      <c r="C391">
        <v>4.0759999999999996</v>
      </c>
    </row>
    <row r="392" spans="1:3" x14ac:dyDescent="0.3">
      <c r="A392" s="35">
        <v>46015</v>
      </c>
      <c r="B392" s="847" t="s">
        <v>884</v>
      </c>
      <c r="C392">
        <v>4.0759999999999996</v>
      </c>
    </row>
    <row r="393" spans="1:3" x14ac:dyDescent="0.3">
      <c r="A393" s="35">
        <v>46016</v>
      </c>
      <c r="B393" s="847" t="s">
        <v>884</v>
      </c>
      <c r="C393">
        <v>4.0979999999999999</v>
      </c>
    </row>
    <row r="394" spans="1:3" x14ac:dyDescent="0.3">
      <c r="A394" s="35">
        <v>46017</v>
      </c>
      <c r="B394" s="847" t="s">
        <v>884</v>
      </c>
      <c r="C394">
        <v>4.0979999999999999</v>
      </c>
    </row>
    <row r="395" spans="1:3" x14ac:dyDescent="0.3">
      <c r="A395" s="35">
        <v>46020</v>
      </c>
      <c r="B395" s="847" t="s">
        <v>884</v>
      </c>
      <c r="C395">
        <v>4.1029999999999998</v>
      </c>
    </row>
    <row r="396" spans="1:3" x14ac:dyDescent="0.3">
      <c r="A396" s="35">
        <v>46021</v>
      </c>
      <c r="B396" s="847" t="s">
        <v>884</v>
      </c>
      <c r="C396">
        <v>4.1029999999999998</v>
      </c>
    </row>
    <row r="397" spans="1:3" x14ac:dyDescent="0.3">
      <c r="A397" s="35">
        <v>46022</v>
      </c>
      <c r="B397" s="847" t="s">
        <v>884</v>
      </c>
      <c r="C397">
        <v>4.1079999999999997</v>
      </c>
    </row>
    <row r="398" spans="1:3" x14ac:dyDescent="0.3">
      <c r="A398" s="35">
        <v>46027</v>
      </c>
      <c r="B398" s="847" t="s">
        <v>884</v>
      </c>
      <c r="C398">
        <v>4.1120000000000001</v>
      </c>
    </row>
    <row r="399" spans="1:3" x14ac:dyDescent="0.3">
      <c r="A399" s="35">
        <v>46028</v>
      </c>
      <c r="B399" s="847" t="s">
        <v>884</v>
      </c>
      <c r="C399">
        <v>4.1120000000000001</v>
      </c>
    </row>
    <row r="400" spans="1:3" x14ac:dyDescent="0.3">
      <c r="A400" s="35">
        <v>46029</v>
      </c>
      <c r="B400" s="847" t="s">
        <v>884</v>
      </c>
      <c r="C400">
        <v>4.1719999999999997</v>
      </c>
    </row>
    <row r="401" spans="1:3" x14ac:dyDescent="0.3">
      <c r="A401" s="35">
        <v>46030</v>
      </c>
      <c r="B401" s="847" t="s">
        <v>884</v>
      </c>
      <c r="C401">
        <v>4.2249999999999996</v>
      </c>
    </row>
    <row r="402" spans="1:3" x14ac:dyDescent="0.3">
      <c r="A402" s="35">
        <v>46031</v>
      </c>
      <c r="B402" s="847" t="s">
        <v>884</v>
      </c>
      <c r="C402">
        <v>4.2350000000000003</v>
      </c>
    </row>
    <row r="403" spans="1:3" x14ac:dyDescent="0.3">
      <c r="A403" s="35">
        <v>46034</v>
      </c>
      <c r="B403" s="847" t="s">
        <v>884</v>
      </c>
      <c r="C403">
        <v>4.2430000000000003</v>
      </c>
    </row>
    <row r="404" spans="1:3" x14ac:dyDescent="0.3">
      <c r="A404" s="35">
        <v>46035</v>
      </c>
      <c r="B404" s="847" t="s">
        <v>884</v>
      </c>
      <c r="C404">
        <v>4.2320000000000002</v>
      </c>
    </row>
    <row r="405" spans="1:3" x14ac:dyDescent="0.3">
      <c r="A405" s="35">
        <v>46036</v>
      </c>
      <c r="B405" s="847" t="s">
        <v>884</v>
      </c>
      <c r="C405">
        <v>4.2450000000000001</v>
      </c>
    </row>
    <row r="406" spans="1:3" x14ac:dyDescent="0.3">
      <c r="A406" s="35">
        <v>46037</v>
      </c>
      <c r="B406" s="847" t="s">
        <v>884</v>
      </c>
      <c r="C406">
        <v>4.2450000000000001</v>
      </c>
    </row>
    <row r="407" spans="1:3" x14ac:dyDescent="0.3">
      <c r="A407" s="35">
        <v>46038</v>
      </c>
      <c r="B407" s="847" t="s">
        <v>884</v>
      </c>
      <c r="C407">
        <v>4.2450000000000001</v>
      </c>
    </row>
    <row r="408" spans="1:3" x14ac:dyDescent="0.3">
      <c r="A408" s="35">
        <v>46041</v>
      </c>
      <c r="B408" s="847" t="s">
        <v>884</v>
      </c>
      <c r="C408">
        <v>4.2450000000000001</v>
      </c>
    </row>
    <row r="409" spans="1:3" x14ac:dyDescent="0.3">
      <c r="A409" s="35">
        <v>46042</v>
      </c>
      <c r="B409" s="847" t="s">
        <v>884</v>
      </c>
      <c r="C409">
        <v>4.202</v>
      </c>
    </row>
    <row r="410" spans="1:3" x14ac:dyDescent="0.3">
      <c r="A410" s="35">
        <v>46043</v>
      </c>
      <c r="B410" s="847" t="s">
        <v>884</v>
      </c>
      <c r="C410">
        <v>4.1719999999999997</v>
      </c>
    </row>
    <row r="411" spans="1:3" x14ac:dyDescent="0.3">
      <c r="A411" s="35">
        <v>46044</v>
      </c>
      <c r="B411" s="847" t="s">
        <v>884</v>
      </c>
      <c r="C411">
        <v>4.1790000000000003</v>
      </c>
    </row>
    <row r="412" spans="1:3" x14ac:dyDescent="0.3">
      <c r="A412" s="35">
        <v>46045</v>
      </c>
      <c r="B412" s="847" t="s">
        <v>884</v>
      </c>
      <c r="C412">
        <v>4.1840000000000002</v>
      </c>
    </row>
    <row r="413" spans="1:3" x14ac:dyDescent="0.3">
      <c r="A413" s="35">
        <v>46048</v>
      </c>
      <c r="B413" s="847" t="s">
        <v>884</v>
      </c>
      <c r="C413">
        <v>4.1870000000000003</v>
      </c>
    </row>
    <row r="414" spans="1:3" x14ac:dyDescent="0.3">
      <c r="A414" s="35">
        <v>46049</v>
      </c>
      <c r="B414" s="847" t="s">
        <v>884</v>
      </c>
      <c r="C414">
        <v>4.1870000000000003</v>
      </c>
    </row>
    <row r="415" spans="1:3" x14ac:dyDescent="0.3">
      <c r="A415" s="35">
        <v>46050</v>
      </c>
      <c r="B415" s="847" t="s">
        <v>884</v>
      </c>
      <c r="C415">
        <v>4.1870000000000003</v>
      </c>
    </row>
    <row r="416" spans="1:3" x14ac:dyDescent="0.3">
      <c r="A416" s="35">
        <v>46051</v>
      </c>
      <c r="B416" s="847" t="s">
        <v>884</v>
      </c>
      <c r="C416">
        <v>4.1870000000000003</v>
      </c>
    </row>
    <row r="417" spans="1:3" x14ac:dyDescent="0.3">
      <c r="A417" s="35">
        <v>46052</v>
      </c>
      <c r="B417" s="847" t="s">
        <v>884</v>
      </c>
      <c r="C417">
        <v>4.1870000000000003</v>
      </c>
    </row>
    <row r="418" spans="1:3" x14ac:dyDescent="0.3">
      <c r="A418" s="35">
        <v>46055</v>
      </c>
      <c r="B418" s="847" t="s">
        <v>884</v>
      </c>
      <c r="C418">
        <v>4.1920000000000002</v>
      </c>
    </row>
    <row r="419" spans="1:3" x14ac:dyDescent="0.3">
      <c r="A419" s="35">
        <v>46056</v>
      </c>
      <c r="B419" s="847" t="s">
        <v>884</v>
      </c>
      <c r="C419">
        <v>4.1890000000000001</v>
      </c>
    </row>
    <row r="420" spans="1:3" x14ac:dyDescent="0.3">
      <c r="A420" s="35">
        <v>46057</v>
      </c>
      <c r="B420" s="847" t="s">
        <v>884</v>
      </c>
      <c r="C420">
        <v>4.194</v>
      </c>
    </row>
    <row r="421" spans="1:3" x14ac:dyDescent="0.3">
      <c r="A421" s="35">
        <v>46058</v>
      </c>
      <c r="B421" s="847" t="s">
        <v>884</v>
      </c>
      <c r="C421">
        <v>4.1950000000000003</v>
      </c>
    </row>
    <row r="422" spans="1:3" x14ac:dyDescent="0.3">
      <c r="A422" s="35">
        <v>46059</v>
      </c>
      <c r="B422" s="847" t="s">
        <v>884</v>
      </c>
      <c r="C422">
        <v>4.1950000000000003</v>
      </c>
    </row>
    <row r="423" spans="1:3" x14ac:dyDescent="0.3">
      <c r="A423" s="35">
        <v>46062</v>
      </c>
      <c r="B423" s="847" t="s">
        <v>884</v>
      </c>
      <c r="C423">
        <v>4.1950000000000003</v>
      </c>
    </row>
    <row r="424" spans="1:3" x14ac:dyDescent="0.3">
      <c r="A424" s="35">
        <v>46063</v>
      </c>
      <c r="B424" s="847" t="s">
        <v>884</v>
      </c>
      <c r="C424">
        <v>4.1980000000000004</v>
      </c>
    </row>
    <row r="425" spans="1:3" x14ac:dyDescent="0.3">
      <c r="A425" s="35">
        <v>46064</v>
      </c>
      <c r="B425" s="847" t="s">
        <v>884</v>
      </c>
      <c r="C425">
        <v>4.2030000000000003</v>
      </c>
    </row>
    <row r="426" spans="1:3" x14ac:dyDescent="0.3">
      <c r="A426" s="35">
        <v>46065</v>
      </c>
      <c r="B426" s="847" t="s">
        <v>884</v>
      </c>
      <c r="C426">
        <v>4.2030000000000003</v>
      </c>
    </row>
    <row r="427" spans="1:3" x14ac:dyDescent="0.3">
      <c r="A427" s="35">
        <v>46066</v>
      </c>
      <c r="B427" s="847" t="s">
        <v>884</v>
      </c>
      <c r="C427">
        <v>4.2030000000000003</v>
      </c>
    </row>
    <row r="428" spans="1:3" x14ac:dyDescent="0.3">
      <c r="A428" s="35">
        <v>46076</v>
      </c>
      <c r="B428" s="847" t="s">
        <v>884</v>
      </c>
      <c r="C428">
        <v>4.2030000000000003</v>
      </c>
    </row>
    <row r="429" spans="1:3" x14ac:dyDescent="0.3">
      <c r="A429" s="35">
        <v>46077</v>
      </c>
      <c r="B429" s="847" t="s">
        <v>884</v>
      </c>
      <c r="C429">
        <v>4.2030000000000003</v>
      </c>
    </row>
    <row r="430" spans="1:3" x14ac:dyDescent="0.3">
      <c r="A430" s="35">
        <v>46078</v>
      </c>
      <c r="B430" s="847" t="s">
        <v>884</v>
      </c>
      <c r="C430">
        <v>4.2030000000000003</v>
      </c>
    </row>
    <row r="431" spans="1:3" x14ac:dyDescent="0.3">
      <c r="A431" s="35">
        <v>46079</v>
      </c>
      <c r="B431" s="847" t="s">
        <v>884</v>
      </c>
      <c r="C431">
        <v>4.21</v>
      </c>
    </row>
    <row r="432" spans="1:3" x14ac:dyDescent="0.3">
      <c r="A432" s="35">
        <v>46080</v>
      </c>
      <c r="B432" s="847" t="s">
        <v>884</v>
      </c>
      <c r="C432">
        <v>4.21</v>
      </c>
    </row>
    <row r="433" spans="1:3" x14ac:dyDescent="0.3">
      <c r="A433" s="35">
        <v>46083</v>
      </c>
      <c r="B433" s="847" t="s">
        <v>884</v>
      </c>
      <c r="C433">
        <v>4.2229999999999999</v>
      </c>
    </row>
    <row r="434" spans="1:3" x14ac:dyDescent="0.3">
      <c r="A434" s="35">
        <v>46084</v>
      </c>
      <c r="B434" s="847" t="s">
        <v>884</v>
      </c>
      <c r="C434">
        <v>4.2279999999999998</v>
      </c>
    </row>
    <row r="435" spans="1:3" x14ac:dyDescent="0.3">
      <c r="A435" s="35">
        <v>46085</v>
      </c>
      <c r="B435" s="847" t="s">
        <v>884</v>
      </c>
      <c r="C435">
        <v>4.2279999999999998</v>
      </c>
    </row>
    <row r="436" spans="1:3" x14ac:dyDescent="0.3">
      <c r="A436" s="35">
        <v>46086</v>
      </c>
      <c r="B436" s="847" t="s">
        <v>884</v>
      </c>
      <c r="C436">
        <v>4.2300000000000004</v>
      </c>
    </row>
    <row r="437" spans="1:3" x14ac:dyDescent="0.3">
      <c r="A437" s="35">
        <v>46087</v>
      </c>
      <c r="B437" s="847" t="s">
        <v>884</v>
      </c>
      <c r="C437">
        <v>4.2300000000000004</v>
      </c>
    </row>
    <row r="438" spans="1:3" x14ac:dyDescent="0.3">
      <c r="A438" s="35">
        <v>46090</v>
      </c>
      <c r="B438" s="847" t="s">
        <v>884</v>
      </c>
      <c r="C438">
        <v>4.2530000000000001</v>
      </c>
    </row>
    <row r="439" spans="1:3" x14ac:dyDescent="0.3">
      <c r="A439" s="35">
        <v>46091</v>
      </c>
      <c r="B439" s="847" t="s">
        <v>884</v>
      </c>
      <c r="C439">
        <v>4.258</v>
      </c>
    </row>
    <row r="440" spans="1:3" x14ac:dyDescent="0.3">
      <c r="A440" s="35">
        <v>46092</v>
      </c>
      <c r="B440" s="847" t="s">
        <v>884</v>
      </c>
      <c r="C440">
        <v>4.2880000000000003</v>
      </c>
    </row>
    <row r="441" spans="1:3" x14ac:dyDescent="0.3">
      <c r="A441" s="35">
        <v>46093</v>
      </c>
      <c r="B441" s="847" t="s">
        <v>884</v>
      </c>
      <c r="C441">
        <v>4.298</v>
      </c>
    </row>
    <row r="442" spans="1:3" x14ac:dyDescent="0.3">
      <c r="A442" s="35">
        <v>46094</v>
      </c>
      <c r="B442" s="847" t="s">
        <v>884</v>
      </c>
      <c r="C442">
        <v>4.3049999999999997</v>
      </c>
    </row>
    <row r="443" spans="1:3" x14ac:dyDescent="0.3">
      <c r="A443" s="35">
        <v>46097</v>
      </c>
      <c r="B443" s="847" t="s">
        <v>884</v>
      </c>
      <c r="C443">
        <v>4.3049999999999997</v>
      </c>
    </row>
    <row r="444" spans="1:3" x14ac:dyDescent="0.3">
      <c r="A444" s="35">
        <v>46098</v>
      </c>
      <c r="B444" s="847" t="s">
        <v>884</v>
      </c>
      <c r="C444">
        <v>4.3049999999999997</v>
      </c>
    </row>
    <row r="445" spans="1:3" x14ac:dyDescent="0.3">
      <c r="A445" s="35">
        <v>46099</v>
      </c>
      <c r="B445" s="847" t="s">
        <v>884</v>
      </c>
      <c r="C445">
        <v>4.3049999999999997</v>
      </c>
    </row>
    <row r="446" spans="1:3" x14ac:dyDescent="0.3">
      <c r="A446" s="35">
        <v>46100</v>
      </c>
      <c r="B446" s="847" t="s">
        <v>884</v>
      </c>
      <c r="C446">
        <v>4.3049999999999997</v>
      </c>
    </row>
    <row r="447" spans="1:3" x14ac:dyDescent="0.3">
      <c r="A447" s="35">
        <v>46101</v>
      </c>
      <c r="B447" s="847" t="s">
        <v>884</v>
      </c>
      <c r="C447">
        <v>4.3049999999999997</v>
      </c>
    </row>
    <row r="448" spans="1:3" x14ac:dyDescent="0.3">
      <c r="A448" s="35">
        <v>46104</v>
      </c>
      <c r="B448" s="847" t="s">
        <v>884</v>
      </c>
      <c r="C448">
        <v>4.3049999999999997</v>
      </c>
    </row>
    <row r="449" spans="1:3" x14ac:dyDescent="0.3">
      <c r="A449" s="35">
        <v>46105</v>
      </c>
      <c r="B449" s="847" t="s">
        <v>884</v>
      </c>
      <c r="C449">
        <v>4.3049999999999997</v>
      </c>
    </row>
    <row r="450" spans="1:3" x14ac:dyDescent="0.3">
      <c r="A450" s="35">
        <v>46106</v>
      </c>
      <c r="B450" s="847" t="s">
        <v>884</v>
      </c>
      <c r="C450">
        <v>4.3049999999999997</v>
      </c>
    </row>
    <row r="451" spans="1:3" x14ac:dyDescent="0.3">
      <c r="A451" s="35">
        <v>46107</v>
      </c>
      <c r="B451" s="847" t="s">
        <v>884</v>
      </c>
      <c r="C451">
        <v>4.3049999999999997</v>
      </c>
    </row>
    <row r="452" spans="1:3" x14ac:dyDescent="0.3">
      <c r="A452" s="35">
        <v>46108</v>
      </c>
      <c r="B452" s="847" t="s">
        <v>884</v>
      </c>
      <c r="C452">
        <v>4.3049999999999997</v>
      </c>
    </row>
    <row r="453" spans="1:3" x14ac:dyDescent="0.3">
      <c r="A453" s="35">
        <v>46111</v>
      </c>
      <c r="B453" s="847" t="s">
        <v>884</v>
      </c>
      <c r="C453">
        <v>4.3049999999999997</v>
      </c>
    </row>
    <row r="454" spans="1:3" x14ac:dyDescent="0.3">
      <c r="A454" s="35">
        <v>46112</v>
      </c>
      <c r="B454" s="847" t="s">
        <v>884</v>
      </c>
      <c r="C454">
        <v>4.3049999999999997</v>
      </c>
    </row>
    <row r="455" spans="1:3" x14ac:dyDescent="0.3">
      <c r="A455" s="35">
        <v>46113</v>
      </c>
      <c r="B455" s="847" t="s">
        <v>884</v>
      </c>
      <c r="C455">
        <v>4.3049999999999997</v>
      </c>
    </row>
    <row r="456" spans="1:3" x14ac:dyDescent="0.3">
      <c r="A456" s="35">
        <v>46114</v>
      </c>
      <c r="B456" s="847" t="s">
        <v>884</v>
      </c>
      <c r="C456">
        <v>4.3049999999999997</v>
      </c>
    </row>
    <row r="457" spans="1:3" x14ac:dyDescent="0.3">
      <c r="A457" s="35">
        <v>46115</v>
      </c>
      <c r="B457" s="847" t="s">
        <v>884</v>
      </c>
      <c r="C457">
        <v>4.3049999999999997</v>
      </c>
    </row>
    <row r="458" spans="1:3" x14ac:dyDescent="0.3">
      <c r="A458" s="35">
        <v>46118</v>
      </c>
      <c r="B458" s="847" t="s">
        <v>884</v>
      </c>
      <c r="C458">
        <v>4.3140000000000001</v>
      </c>
    </row>
    <row r="459" spans="1:3" x14ac:dyDescent="0.3">
      <c r="A459" s="35">
        <v>46119</v>
      </c>
      <c r="B459" s="847" t="s">
        <v>884</v>
      </c>
      <c r="C459">
        <v>4.3170000000000002</v>
      </c>
    </row>
    <row r="460" spans="1:3" x14ac:dyDescent="0.3">
      <c r="A460" s="35">
        <v>46120</v>
      </c>
      <c r="B460" s="847" t="s">
        <v>884</v>
      </c>
      <c r="C460">
        <v>4.3220000000000001</v>
      </c>
    </row>
    <row r="461" spans="1:3" x14ac:dyDescent="0.3">
      <c r="A461" s="35">
        <v>46121</v>
      </c>
      <c r="B461" s="847" t="s">
        <v>884</v>
      </c>
      <c r="C461">
        <v>4.3220000000000001</v>
      </c>
    </row>
    <row r="462" spans="1:3" x14ac:dyDescent="0.3">
      <c r="A462" s="35">
        <v>46122</v>
      </c>
      <c r="B462" s="847" t="s">
        <v>884</v>
      </c>
      <c r="C462">
        <v>4.3220000000000001</v>
      </c>
    </row>
    <row r="463" spans="1:3" x14ac:dyDescent="0.3">
      <c r="A463" s="35">
        <v>46125</v>
      </c>
      <c r="B463" s="847" t="s">
        <v>884</v>
      </c>
      <c r="C463">
        <v>4.3220000000000001</v>
      </c>
    </row>
    <row r="464" spans="1:3" x14ac:dyDescent="0.3">
      <c r="A464" s="35">
        <v>46126</v>
      </c>
      <c r="B464" s="847" t="s">
        <v>884</v>
      </c>
      <c r="C464">
        <v>4.3220000000000001</v>
      </c>
    </row>
    <row r="465" spans="1:3" x14ac:dyDescent="0.3">
      <c r="A465" s="35">
        <v>46127</v>
      </c>
      <c r="B465" s="847" t="s">
        <v>884</v>
      </c>
      <c r="C465">
        <v>4.319</v>
      </c>
    </row>
    <row r="466" spans="1:3" x14ac:dyDescent="0.3">
      <c r="A466" s="35">
        <v>46128</v>
      </c>
      <c r="B466" s="847" t="s">
        <v>884</v>
      </c>
      <c r="C466">
        <v>4.3250000000000002</v>
      </c>
    </row>
    <row r="467" spans="1:3" x14ac:dyDescent="0.3">
      <c r="A467" s="35">
        <v>46129</v>
      </c>
      <c r="B467" s="847" t="s">
        <v>884</v>
      </c>
      <c r="C467">
        <v>4.327</v>
      </c>
    </row>
    <row r="468" spans="1:3" x14ac:dyDescent="0.3">
      <c r="A468" s="35">
        <v>46132</v>
      </c>
      <c r="B468" s="847" t="s">
        <v>884</v>
      </c>
      <c r="C468">
        <v>4.33</v>
      </c>
    </row>
    <row r="469" spans="1:3" x14ac:dyDescent="0.3">
      <c r="A469" s="35">
        <v>46133</v>
      </c>
      <c r="B469" s="847" t="s">
        <v>884</v>
      </c>
      <c r="C469">
        <v>4.3330000000000002</v>
      </c>
    </row>
    <row r="470" spans="1:3" x14ac:dyDescent="0.3">
      <c r="A470" s="35">
        <v>46134</v>
      </c>
      <c r="B470" s="847" t="s">
        <v>884</v>
      </c>
      <c r="C470">
        <v>4.3330000000000002</v>
      </c>
    </row>
    <row r="471" spans="1:3" x14ac:dyDescent="0.3">
      <c r="A471" s="35">
        <v>46135</v>
      </c>
      <c r="B471" s="847" t="s">
        <v>884</v>
      </c>
      <c r="C471">
        <v>4.3330000000000002</v>
      </c>
    </row>
    <row r="472" spans="1:3" x14ac:dyDescent="0.3">
      <c r="A472" s="35">
        <v>46136</v>
      </c>
      <c r="B472" s="847" t="s">
        <v>884</v>
      </c>
      <c r="C472">
        <v>4.3339999999999996</v>
      </c>
    </row>
    <row r="473" spans="1:3" x14ac:dyDescent="0.3">
      <c r="A473" s="35">
        <v>46140</v>
      </c>
      <c r="B473" s="847" t="s">
        <v>884</v>
      </c>
      <c r="C473">
        <v>4.3339999999999996</v>
      </c>
    </row>
    <row r="474" spans="1:3" x14ac:dyDescent="0.3">
      <c r="A474" s="35">
        <v>46141</v>
      </c>
      <c r="B474" s="847" t="s">
        <v>884</v>
      </c>
      <c r="C474">
        <v>4.335</v>
      </c>
    </row>
    <row r="475" spans="1:3" x14ac:dyDescent="0.3">
      <c r="A475" s="35">
        <v>46146</v>
      </c>
      <c r="B475" s="847" t="s">
        <v>884</v>
      </c>
      <c r="C475">
        <v>4.335</v>
      </c>
    </row>
    <row r="476" spans="1:3" x14ac:dyDescent="0.3">
      <c r="A476" s="35">
        <v>46147</v>
      </c>
      <c r="B476" s="847" t="s">
        <v>884</v>
      </c>
      <c r="C476">
        <v>4.335</v>
      </c>
    </row>
    <row r="477" spans="1:3" x14ac:dyDescent="0.3">
      <c r="A477" s="35">
        <v>46148</v>
      </c>
      <c r="B477" s="847" t="s">
        <v>884</v>
      </c>
      <c r="C477">
        <v>4.335</v>
      </c>
    </row>
    <row r="478" spans="1:3" x14ac:dyDescent="0.3">
      <c r="A478" s="35">
        <v>46149</v>
      </c>
      <c r="B478" s="847" t="s">
        <v>884</v>
      </c>
      <c r="C478">
        <v>4.3369999999999997</v>
      </c>
    </row>
    <row r="479" spans="1:3" x14ac:dyDescent="0.3">
      <c r="A479" s="35">
        <v>46150</v>
      </c>
      <c r="B479" s="847" t="s">
        <v>884</v>
      </c>
      <c r="C479">
        <v>4.3460000000000001</v>
      </c>
    </row>
    <row r="480" spans="1:3" x14ac:dyDescent="0.3">
      <c r="A480" s="35">
        <v>46153</v>
      </c>
      <c r="B480" s="847" t="s">
        <v>884</v>
      </c>
      <c r="C480">
        <v>4.3460000000000001</v>
      </c>
    </row>
    <row r="481" spans="1:3" x14ac:dyDescent="0.3">
      <c r="A481" s="35">
        <v>46154</v>
      </c>
      <c r="B481" s="847" t="s">
        <v>884</v>
      </c>
      <c r="C481">
        <v>4.3460000000000001</v>
      </c>
    </row>
    <row r="482" spans="1:3" x14ac:dyDescent="0.3">
      <c r="A482" s="35">
        <v>46155</v>
      </c>
      <c r="B482" s="847" t="s">
        <v>884</v>
      </c>
      <c r="C482">
        <v>4.3479999999999999</v>
      </c>
    </row>
    <row r="483" spans="1:3" x14ac:dyDescent="0.3">
      <c r="A483" s="35">
        <v>46156</v>
      </c>
      <c r="B483" s="847" t="s">
        <v>884</v>
      </c>
      <c r="C483">
        <v>4.3499999999999996</v>
      </c>
    </row>
    <row r="484" spans="1:3" x14ac:dyDescent="0.3">
      <c r="A484" s="35">
        <v>46157</v>
      </c>
      <c r="B484" s="847" t="s">
        <v>884</v>
      </c>
      <c r="C484">
        <v>4.3499999999999996</v>
      </c>
    </row>
    <row r="485" spans="1:3" x14ac:dyDescent="0.3">
      <c r="A485" s="35">
        <v>46160</v>
      </c>
      <c r="B485" s="847" t="s">
        <v>884</v>
      </c>
      <c r="C485">
        <v>4.351</v>
      </c>
    </row>
    <row r="486" spans="1:3" x14ac:dyDescent="0.3">
      <c r="A486" s="35">
        <v>46161</v>
      </c>
      <c r="B486" s="847" t="s">
        <v>884</v>
      </c>
      <c r="C486">
        <v>4.3559999999999999</v>
      </c>
    </row>
    <row r="487" spans="1:3" x14ac:dyDescent="0.3">
      <c r="A487" s="35">
        <v>46162</v>
      </c>
      <c r="B487" s="847" t="s">
        <v>884</v>
      </c>
      <c r="C487">
        <v>4.367</v>
      </c>
    </row>
    <row r="488" spans="1:3" x14ac:dyDescent="0.3">
      <c r="A488" s="35">
        <v>46163</v>
      </c>
      <c r="B488" s="847" t="s">
        <v>884</v>
      </c>
      <c r="C488">
        <v>4.37</v>
      </c>
    </row>
    <row r="489" spans="1:3" x14ac:dyDescent="0.3">
      <c r="A489" s="35">
        <v>46164</v>
      </c>
      <c r="B489" s="847" t="s">
        <v>884</v>
      </c>
      <c r="C489">
        <v>4.3769999999999998</v>
      </c>
    </row>
    <row r="490" spans="1:3" x14ac:dyDescent="0.3">
      <c r="A490" s="35">
        <v>46167</v>
      </c>
      <c r="B490" s="847" t="s">
        <v>884</v>
      </c>
      <c r="C490">
        <v>4.3769999999999998</v>
      </c>
    </row>
    <row r="491" spans="1:3" x14ac:dyDescent="0.3">
      <c r="A491" s="35">
        <v>46168</v>
      </c>
      <c r="B491" s="847" t="s">
        <v>884</v>
      </c>
      <c r="C491">
        <v>4.3769999999999998</v>
      </c>
    </row>
    <row r="492" spans="1:3" x14ac:dyDescent="0.3">
      <c r="A492" s="35">
        <v>46169</v>
      </c>
      <c r="B492" s="847" t="s">
        <v>884</v>
      </c>
      <c r="C492">
        <v>4.3769999999999998</v>
      </c>
    </row>
    <row r="493" spans="1:3" x14ac:dyDescent="0.3">
      <c r="A493" s="35">
        <v>46170</v>
      </c>
      <c r="B493" s="847" t="s">
        <v>884</v>
      </c>
      <c r="C493">
        <v>4.5019999999999998</v>
      </c>
    </row>
    <row r="494" spans="1:3" x14ac:dyDescent="0.3">
      <c r="A494" s="35">
        <v>46171</v>
      </c>
      <c r="B494" s="847" t="s">
        <v>884</v>
      </c>
      <c r="C494">
        <v>4.4980000000000002</v>
      </c>
    </row>
    <row r="495" spans="1:3" x14ac:dyDescent="0.3">
      <c r="A495" s="35">
        <v>46174</v>
      </c>
      <c r="B495" s="847" t="s">
        <v>884</v>
      </c>
      <c r="C495">
        <v>4.5049999999999999</v>
      </c>
    </row>
    <row r="496" spans="1:3" x14ac:dyDescent="0.3">
      <c r="A496" s="35">
        <v>46175</v>
      </c>
      <c r="B496" s="847" t="s">
        <v>884</v>
      </c>
      <c r="C496">
        <v>4.5049999999999999</v>
      </c>
    </row>
    <row r="497" spans="1:3" x14ac:dyDescent="0.3">
      <c r="A497" s="35">
        <v>46176</v>
      </c>
      <c r="B497" s="847" t="s">
        <v>884</v>
      </c>
      <c r="C497">
        <v>4.5049999999999999</v>
      </c>
    </row>
    <row r="498" spans="1:3" x14ac:dyDescent="0.3">
      <c r="A498" s="35">
        <v>46177</v>
      </c>
      <c r="B498" s="847" t="s">
        <v>884</v>
      </c>
      <c r="C498">
        <v>4.5170000000000003</v>
      </c>
    </row>
    <row r="499" spans="1:3" x14ac:dyDescent="0.3">
      <c r="A499" s="35">
        <v>46178</v>
      </c>
      <c r="B499" s="847" t="s">
        <v>884</v>
      </c>
      <c r="C499">
        <v>4.5170000000000003</v>
      </c>
    </row>
    <row r="500" spans="1:3" x14ac:dyDescent="0.3">
      <c r="A500" s="35">
        <v>46181</v>
      </c>
      <c r="B500" s="847" t="s">
        <v>884</v>
      </c>
      <c r="C500">
        <v>4.5199999999999996</v>
      </c>
    </row>
    <row r="501" spans="1:3" x14ac:dyDescent="0.3">
      <c r="A501" s="35">
        <v>46182</v>
      </c>
      <c r="B501" s="847" t="s">
        <v>884</v>
      </c>
      <c r="C501">
        <v>4.5229999999999997</v>
      </c>
    </row>
    <row r="502" spans="1:3" x14ac:dyDescent="0.3">
      <c r="A502" s="35">
        <v>46183</v>
      </c>
      <c r="B502" s="847" t="s">
        <v>884</v>
      </c>
      <c r="C502">
        <v>4.5380000000000003</v>
      </c>
    </row>
    <row r="503" spans="1:3" x14ac:dyDescent="0.3">
      <c r="A503" s="35">
        <v>46184</v>
      </c>
      <c r="B503" s="847" t="s">
        <v>884</v>
      </c>
      <c r="C503">
        <v>4.5389999999999997</v>
      </c>
    </row>
    <row r="504" spans="1:3" x14ac:dyDescent="0.3">
      <c r="A504" s="35">
        <v>46185</v>
      </c>
      <c r="B504" s="847" t="s">
        <v>884</v>
      </c>
      <c r="C504">
        <v>4.5419999999999998</v>
      </c>
    </row>
    <row r="505" spans="1:3" x14ac:dyDescent="0.3">
      <c r="A505" s="35">
        <v>46188</v>
      </c>
      <c r="B505" s="847" t="s">
        <v>884</v>
      </c>
      <c r="C505">
        <v>4.5430000000000001</v>
      </c>
    </row>
    <row r="506" spans="1:3" x14ac:dyDescent="0.3">
      <c r="A506" s="35">
        <v>46189</v>
      </c>
      <c r="B506" s="847" t="s">
        <v>884</v>
      </c>
      <c r="C506">
        <v>4.5430000000000001</v>
      </c>
    </row>
    <row r="507" spans="1:3" x14ac:dyDescent="0.3">
      <c r="A507" s="35">
        <v>46190</v>
      </c>
      <c r="B507" s="847" t="s">
        <v>884</v>
      </c>
      <c r="C507">
        <v>4.5430000000000001</v>
      </c>
    </row>
    <row r="508" spans="1:3" x14ac:dyDescent="0.3">
      <c r="A508" s="35">
        <v>46191</v>
      </c>
      <c r="B508" s="847" t="s">
        <v>884</v>
      </c>
      <c r="C508">
        <v>4.5599999999999996</v>
      </c>
    </row>
    <row r="509" spans="1:3" x14ac:dyDescent="0.3">
      <c r="A509" s="35">
        <v>46192</v>
      </c>
      <c r="B509" s="847" t="s">
        <v>884</v>
      </c>
      <c r="C509">
        <v>4.5659999999999998</v>
      </c>
    </row>
    <row r="510" spans="1:3" x14ac:dyDescent="0.3">
      <c r="A510" s="35">
        <v>46195</v>
      </c>
      <c r="B510" s="847" t="s">
        <v>884</v>
      </c>
      <c r="C510">
        <v>4.569</v>
      </c>
    </row>
    <row r="511" spans="1:3" x14ac:dyDescent="0.3">
      <c r="A511" s="35">
        <v>46196</v>
      </c>
      <c r="B511" s="847" t="s">
        <v>884</v>
      </c>
      <c r="C511">
        <v>4.5670000000000002</v>
      </c>
    </row>
    <row r="512" spans="1:3" x14ac:dyDescent="0.3">
      <c r="A512" s="35">
        <v>46197</v>
      </c>
      <c r="B512" s="847" t="s">
        <v>884</v>
      </c>
      <c r="C512">
        <v>4.5709999999999997</v>
      </c>
    </row>
    <row r="513" spans="1:3" x14ac:dyDescent="0.3">
      <c r="A513" s="35">
        <v>46198</v>
      </c>
      <c r="B513" s="847" t="s">
        <v>884</v>
      </c>
      <c r="C513">
        <v>4.5730000000000004</v>
      </c>
    </row>
    <row r="514" spans="1:3" x14ac:dyDescent="0.3">
      <c r="A514" s="35">
        <v>46199</v>
      </c>
      <c r="B514" s="847" t="s">
        <v>884</v>
      </c>
      <c r="C514">
        <v>4.5709999999999997</v>
      </c>
    </row>
    <row r="515" spans="1:3" x14ac:dyDescent="0.3">
      <c r="A515" s="35">
        <v>46202</v>
      </c>
      <c r="B515" s="847" t="s">
        <v>884</v>
      </c>
      <c r="C515">
        <v>4.5759999999999996</v>
      </c>
    </row>
    <row r="516" spans="1:3" x14ac:dyDescent="0.3">
      <c r="A516" s="35">
        <v>46203</v>
      </c>
      <c r="B516" s="847" t="s">
        <v>884</v>
      </c>
      <c r="C516">
        <v>4.569</v>
      </c>
    </row>
    <row r="517" spans="1:3" x14ac:dyDescent="0.3">
      <c r="A517" s="35">
        <v>46204</v>
      </c>
      <c r="B517" s="847" t="s">
        <v>884</v>
      </c>
      <c r="C517">
        <v>4.5739999999999998</v>
      </c>
    </row>
    <row r="518" spans="1:3" x14ac:dyDescent="0.3">
      <c r="A518" s="35">
        <v>46205</v>
      </c>
      <c r="B518" s="847" t="s">
        <v>884</v>
      </c>
      <c r="C518">
        <v>4.5739999999999998</v>
      </c>
    </row>
    <row r="519" spans="1:3" x14ac:dyDescent="0.3">
      <c r="A519" s="35">
        <v>46206</v>
      </c>
      <c r="B519" s="847" t="s">
        <v>884</v>
      </c>
      <c r="C519">
        <v>4.5720000000000001</v>
      </c>
    </row>
    <row r="520" spans="1:3" x14ac:dyDescent="0.3">
      <c r="A520" s="35">
        <v>46209</v>
      </c>
      <c r="B520" s="847" t="s">
        <v>884</v>
      </c>
      <c r="C520">
        <v>4.5720000000000001</v>
      </c>
    </row>
    <row r="521" spans="1:3" x14ac:dyDescent="0.3">
      <c r="A521" s="35">
        <v>46210</v>
      </c>
      <c r="B521" s="847" t="s">
        <v>884</v>
      </c>
      <c r="C521">
        <v>4.5739999999999998</v>
      </c>
    </row>
    <row r="522" spans="1:3" x14ac:dyDescent="0.3">
      <c r="A522" s="35">
        <v>46211</v>
      </c>
      <c r="B522" s="847" t="s">
        <v>884</v>
      </c>
      <c r="C522">
        <v>4.5739999999999998</v>
      </c>
    </row>
    <row r="523" spans="1:3" x14ac:dyDescent="0.3">
      <c r="A523" s="35">
        <v>46212</v>
      </c>
      <c r="B523" s="847" t="s">
        <v>884</v>
      </c>
      <c r="C523">
        <v>4.5659999999999998</v>
      </c>
    </row>
    <row r="524" spans="1:3" x14ac:dyDescent="0.3">
      <c r="A524" s="35">
        <v>46213</v>
      </c>
      <c r="B524" s="847" t="s">
        <v>884</v>
      </c>
      <c r="C524">
        <v>4.5739999999999998</v>
      </c>
    </row>
    <row r="525" spans="1:3" x14ac:dyDescent="0.3">
      <c r="A525" s="35">
        <v>46216</v>
      </c>
      <c r="B525" s="847" t="s">
        <v>884</v>
      </c>
      <c r="C525">
        <v>4.5739999999999998</v>
      </c>
    </row>
    <row r="526" spans="1:3" x14ac:dyDescent="0.3">
      <c r="A526" s="35">
        <v>46217</v>
      </c>
      <c r="B526" s="847" t="s">
        <v>884</v>
      </c>
      <c r="C526">
        <v>4.5739999999999998</v>
      </c>
    </row>
    <row r="527" spans="1:3" x14ac:dyDescent="0.3">
      <c r="A527" s="35">
        <v>46218</v>
      </c>
      <c r="B527" s="847" t="s">
        <v>884</v>
      </c>
      <c r="C527">
        <v>4.5739999999999998</v>
      </c>
    </row>
    <row r="528" spans="1:3" x14ac:dyDescent="0.3">
      <c r="A528" s="35">
        <v>46219</v>
      </c>
      <c r="B528" s="847" t="s">
        <v>884</v>
      </c>
      <c r="C528">
        <v>4.5780000000000003</v>
      </c>
    </row>
    <row r="529" spans="1:3" x14ac:dyDescent="0.3">
      <c r="A529" s="35">
        <v>46220</v>
      </c>
      <c r="B529" s="847" t="s">
        <v>884</v>
      </c>
      <c r="C529">
        <v>4.5810000000000004</v>
      </c>
    </row>
    <row r="530" spans="1:3" x14ac:dyDescent="0.3">
      <c r="A530" s="35">
        <v>46223</v>
      </c>
      <c r="B530" s="847" t="s">
        <v>884</v>
      </c>
      <c r="C530">
        <v>4.5780000000000003</v>
      </c>
    </row>
    <row r="531" spans="1:3" x14ac:dyDescent="0.3">
      <c r="A531" s="35">
        <v>46224</v>
      </c>
      <c r="B531" s="847" t="s">
        <v>884</v>
      </c>
      <c r="C531">
        <v>4.5780000000000003</v>
      </c>
    </row>
    <row r="532" spans="1:3" x14ac:dyDescent="0.3">
      <c r="A532" s="35">
        <v>46225</v>
      </c>
      <c r="B532" s="847" t="s">
        <v>884</v>
      </c>
      <c r="C532">
        <v>4.5780000000000003</v>
      </c>
    </row>
    <row r="533" spans="1:3" x14ac:dyDescent="0.3">
      <c r="A533" s="35">
        <v>46226</v>
      </c>
      <c r="B533" s="847" t="s">
        <v>884</v>
      </c>
      <c r="C533">
        <v>4.5780000000000003</v>
      </c>
    </row>
    <row r="534" spans="1:3" x14ac:dyDescent="0.3">
      <c r="A534" s="35">
        <v>46227</v>
      </c>
      <c r="B534" s="847" t="s">
        <v>884</v>
      </c>
      <c r="C534">
        <v>4.5780000000000003</v>
      </c>
    </row>
    <row r="535" spans="1:3" x14ac:dyDescent="0.3">
      <c r="A535" s="35">
        <v>46230</v>
      </c>
      <c r="B535" s="847" t="s">
        <v>884</v>
      </c>
      <c r="C535">
        <v>4.5739999999999998</v>
      </c>
    </row>
    <row r="536" spans="1:3" x14ac:dyDescent="0.3">
      <c r="A536" s="35">
        <v>46231</v>
      </c>
      <c r="B536" s="847" t="s">
        <v>884</v>
      </c>
      <c r="C536">
        <v>4.5739999999999998</v>
      </c>
    </row>
    <row r="537" spans="1:3" x14ac:dyDescent="0.3">
      <c r="A537" s="35">
        <v>46232</v>
      </c>
      <c r="B537" s="847" t="s">
        <v>884</v>
      </c>
      <c r="C537">
        <v>4.5739999999999998</v>
      </c>
    </row>
    <row r="538" spans="1:3" x14ac:dyDescent="0.3">
      <c r="A538" s="35">
        <v>46233</v>
      </c>
      <c r="B538" s="847" t="s">
        <v>884</v>
      </c>
      <c r="C538">
        <v>4.5739999999999998</v>
      </c>
    </row>
    <row r="539" spans="1:3" x14ac:dyDescent="0.3">
      <c r="A539" s="35">
        <v>46234</v>
      </c>
      <c r="B539" s="847" t="s">
        <v>884</v>
      </c>
      <c r="C539">
        <v>4.5780000000000003</v>
      </c>
    </row>
    <row r="540" spans="1:3" x14ac:dyDescent="0.3">
      <c r="A540" s="35">
        <v>46237</v>
      </c>
      <c r="B540" s="847" t="s">
        <v>884</v>
      </c>
      <c r="C540">
        <v>4.5739999999999998</v>
      </c>
    </row>
    <row r="541" spans="1:3" x14ac:dyDescent="0.3">
      <c r="A541" s="35">
        <v>46238</v>
      </c>
      <c r="B541" s="847" t="s">
        <v>884</v>
      </c>
      <c r="C541">
        <v>4.5739999999999998</v>
      </c>
    </row>
    <row r="542" spans="1:3" x14ac:dyDescent="0.3">
      <c r="A542" s="35">
        <v>46239</v>
      </c>
      <c r="B542" s="847" t="s">
        <v>884</v>
      </c>
      <c r="C542">
        <v>4.5739999999999998</v>
      </c>
    </row>
    <row r="543" spans="1:3" x14ac:dyDescent="0.3">
      <c r="A543" s="35">
        <v>46240</v>
      </c>
      <c r="B543" s="847" t="s">
        <v>884</v>
      </c>
      <c r="C543">
        <v>4.5739999999999998</v>
      </c>
    </row>
    <row r="544" spans="1:3" x14ac:dyDescent="0.3">
      <c r="A544" s="35">
        <v>46241</v>
      </c>
      <c r="B544" s="847" t="s">
        <v>884</v>
      </c>
      <c r="C544">
        <v>4.5739999999999998</v>
      </c>
    </row>
    <row r="545" spans="1:3" x14ac:dyDescent="0.3">
      <c r="A545" s="35">
        <v>46244</v>
      </c>
      <c r="B545" s="847" t="s">
        <v>884</v>
      </c>
      <c r="C545">
        <v>4.5739999999999998</v>
      </c>
    </row>
    <row r="546" spans="1:3" x14ac:dyDescent="0.3">
      <c r="A546" s="35">
        <v>46245</v>
      </c>
      <c r="B546" s="847" t="s">
        <v>884</v>
      </c>
      <c r="C546">
        <v>4.5739999999999998</v>
      </c>
    </row>
    <row r="547" spans="1:3" x14ac:dyDescent="0.3">
      <c r="A547" s="35">
        <v>46246</v>
      </c>
      <c r="B547" s="847" t="s">
        <v>884</v>
      </c>
      <c r="C547">
        <v>4.5739999999999998</v>
      </c>
    </row>
    <row r="548" spans="1:3" x14ac:dyDescent="0.3">
      <c r="A548" s="35">
        <v>46247</v>
      </c>
      <c r="B548" s="847" t="s">
        <v>884</v>
      </c>
      <c r="C548">
        <v>4.5739999999999998</v>
      </c>
    </row>
    <row r="549" spans="1:3" x14ac:dyDescent="0.3">
      <c r="A549" s="35">
        <v>46248</v>
      </c>
      <c r="B549" s="847" t="s">
        <v>884</v>
      </c>
      <c r="C549">
        <v>4.5739999999999998</v>
      </c>
    </row>
    <row r="550" spans="1:3" x14ac:dyDescent="0.3">
      <c r="A550" s="35">
        <v>46251</v>
      </c>
      <c r="B550" s="847" t="s">
        <v>884</v>
      </c>
      <c r="C550">
        <v>4.5780000000000003</v>
      </c>
    </row>
    <row r="551" spans="1:3" x14ac:dyDescent="0.3">
      <c r="A551" s="35">
        <v>46252</v>
      </c>
      <c r="B551" s="847" t="s">
        <v>884</v>
      </c>
      <c r="C551">
        <v>4.5780000000000003</v>
      </c>
    </row>
    <row r="552" spans="1:3" x14ac:dyDescent="0.3">
      <c r="A552" s="35">
        <v>45852</v>
      </c>
      <c r="B552" s="847" t="s">
        <v>877</v>
      </c>
      <c r="C552">
        <v>2.2040000000000002</v>
      </c>
    </row>
    <row r="553" spans="1:3" x14ac:dyDescent="0.3">
      <c r="A553" s="35">
        <v>45853</v>
      </c>
      <c r="B553" s="847" t="s">
        <v>877</v>
      </c>
      <c r="C553">
        <v>2.2040000000000002</v>
      </c>
    </row>
    <row r="554" spans="1:3" x14ac:dyDescent="0.3">
      <c r="A554" s="35">
        <v>45854</v>
      </c>
      <c r="B554" s="847" t="s">
        <v>877</v>
      </c>
      <c r="C554">
        <v>2.206</v>
      </c>
    </row>
    <row r="555" spans="1:3" x14ac:dyDescent="0.3">
      <c r="A555" s="35">
        <v>45855</v>
      </c>
      <c r="B555" s="847" t="s">
        <v>877</v>
      </c>
      <c r="C555">
        <v>2.2690000000000001</v>
      </c>
    </row>
    <row r="556" spans="1:3" x14ac:dyDescent="0.3">
      <c r="A556" s="35">
        <v>45856</v>
      </c>
      <c r="B556" s="847" t="s">
        <v>877</v>
      </c>
      <c r="C556">
        <v>2.2690000000000001</v>
      </c>
    </row>
    <row r="557" spans="1:3" x14ac:dyDescent="0.3">
      <c r="A557" s="35">
        <v>45859</v>
      </c>
      <c r="B557" s="847" t="s">
        <v>877</v>
      </c>
      <c r="C557">
        <v>2.2690000000000001</v>
      </c>
    </row>
    <row r="558" spans="1:3" x14ac:dyDescent="0.3">
      <c r="A558" s="35">
        <v>45860</v>
      </c>
      <c r="B558" s="847" t="s">
        <v>877</v>
      </c>
      <c r="C558">
        <v>2.2690000000000001</v>
      </c>
    </row>
    <row r="559" spans="1:3" x14ac:dyDescent="0.3">
      <c r="A559" s="35">
        <v>45861</v>
      </c>
      <c r="B559" s="847" t="s">
        <v>877</v>
      </c>
      <c r="C559">
        <v>2.2709999999999999</v>
      </c>
    </row>
    <row r="560" spans="1:3" x14ac:dyDescent="0.3">
      <c r="A560" s="35">
        <v>45862</v>
      </c>
      <c r="B560" s="847" t="s">
        <v>877</v>
      </c>
      <c r="C560">
        <v>2.3039999999999998</v>
      </c>
    </row>
    <row r="561" spans="1:3" x14ac:dyDescent="0.3">
      <c r="A561" s="35">
        <v>45863</v>
      </c>
      <c r="B561" s="847" t="s">
        <v>877</v>
      </c>
      <c r="C561">
        <v>2.3210000000000002</v>
      </c>
    </row>
    <row r="562" spans="1:3" x14ac:dyDescent="0.3">
      <c r="A562" s="35">
        <v>45866</v>
      </c>
      <c r="B562" s="847" t="s">
        <v>877</v>
      </c>
      <c r="C562">
        <v>2.3210000000000002</v>
      </c>
    </row>
    <row r="563" spans="1:3" x14ac:dyDescent="0.3">
      <c r="A563" s="35">
        <v>45867</v>
      </c>
      <c r="B563" s="847" t="s">
        <v>877</v>
      </c>
      <c r="C563">
        <v>2.34</v>
      </c>
    </row>
    <row r="564" spans="1:3" x14ac:dyDescent="0.3">
      <c r="A564" s="35">
        <v>45868</v>
      </c>
      <c r="B564" s="847" t="s">
        <v>877</v>
      </c>
      <c r="C564">
        <v>2.34</v>
      </c>
    </row>
    <row r="565" spans="1:3" x14ac:dyDescent="0.3">
      <c r="A565" s="35">
        <v>45869</v>
      </c>
      <c r="B565" s="847" t="s">
        <v>877</v>
      </c>
      <c r="C565">
        <v>2.3439999999999999</v>
      </c>
    </row>
    <row r="566" spans="1:3" x14ac:dyDescent="0.3">
      <c r="A566" s="35">
        <v>45870</v>
      </c>
      <c r="B566" s="847" t="s">
        <v>877</v>
      </c>
      <c r="C566">
        <v>2.3479999999999999</v>
      </c>
    </row>
    <row r="567" spans="1:3" x14ac:dyDescent="0.3">
      <c r="A567" s="35">
        <v>45873</v>
      </c>
      <c r="B567" s="847" t="s">
        <v>877</v>
      </c>
      <c r="C567">
        <v>2.3479999999999999</v>
      </c>
    </row>
    <row r="568" spans="1:3" x14ac:dyDescent="0.3">
      <c r="A568" s="35">
        <v>45874</v>
      </c>
      <c r="B568" s="847" t="s">
        <v>877</v>
      </c>
      <c r="C568">
        <v>2.3479999999999999</v>
      </c>
    </row>
    <row r="569" spans="1:3" x14ac:dyDescent="0.3">
      <c r="A569" s="35">
        <v>45875</v>
      </c>
      <c r="B569" s="847" t="s">
        <v>877</v>
      </c>
      <c r="C569">
        <v>2.3479999999999999</v>
      </c>
    </row>
    <row r="570" spans="1:3" x14ac:dyDescent="0.3">
      <c r="A570" s="35">
        <v>45876</v>
      </c>
      <c r="B570" s="847" t="s">
        <v>877</v>
      </c>
      <c r="C570">
        <v>2.4020000000000001</v>
      </c>
    </row>
    <row r="571" spans="1:3" x14ac:dyDescent="0.3">
      <c r="A571" s="35">
        <v>45877</v>
      </c>
      <c r="B571" s="847" t="s">
        <v>877</v>
      </c>
      <c r="C571">
        <v>2.4060000000000001</v>
      </c>
    </row>
    <row r="572" spans="1:3" x14ac:dyDescent="0.3">
      <c r="A572" s="35">
        <v>45880</v>
      </c>
      <c r="B572" s="847" t="s">
        <v>877</v>
      </c>
      <c r="C572">
        <v>2.3980000000000001</v>
      </c>
    </row>
    <row r="573" spans="1:3" x14ac:dyDescent="0.3">
      <c r="A573" s="35">
        <v>45881</v>
      </c>
      <c r="B573" s="847" t="s">
        <v>877</v>
      </c>
      <c r="C573">
        <v>2.39</v>
      </c>
    </row>
    <row r="574" spans="1:3" x14ac:dyDescent="0.3">
      <c r="A574" s="35">
        <v>45882</v>
      </c>
      <c r="B574" s="847" t="s">
        <v>877</v>
      </c>
      <c r="C574">
        <v>2.41</v>
      </c>
    </row>
    <row r="575" spans="1:3" x14ac:dyDescent="0.3">
      <c r="A575" s="35">
        <v>45883</v>
      </c>
      <c r="B575" s="847" t="s">
        <v>877</v>
      </c>
      <c r="C575">
        <v>2.4580000000000002</v>
      </c>
    </row>
    <row r="576" spans="1:3" x14ac:dyDescent="0.3">
      <c r="A576" s="35">
        <v>45884</v>
      </c>
      <c r="B576" s="847" t="s">
        <v>877</v>
      </c>
      <c r="C576">
        <v>2.4830000000000001</v>
      </c>
    </row>
    <row r="577" spans="1:3" x14ac:dyDescent="0.3">
      <c r="A577" s="35">
        <v>45887</v>
      </c>
      <c r="B577" s="847" t="s">
        <v>877</v>
      </c>
      <c r="C577">
        <v>2.492</v>
      </c>
    </row>
    <row r="578" spans="1:3" x14ac:dyDescent="0.3">
      <c r="A578" s="35">
        <v>45888</v>
      </c>
      <c r="B578" s="847" t="s">
        <v>877</v>
      </c>
      <c r="C578">
        <v>2.496</v>
      </c>
    </row>
    <row r="579" spans="1:3" x14ac:dyDescent="0.3">
      <c r="A579" s="35">
        <v>45889</v>
      </c>
      <c r="B579" s="847" t="s">
        <v>877</v>
      </c>
      <c r="C579">
        <v>2.504</v>
      </c>
    </row>
    <row r="580" spans="1:3" x14ac:dyDescent="0.3">
      <c r="A580" s="35">
        <v>45890</v>
      </c>
      <c r="B580" s="847" t="s">
        <v>877</v>
      </c>
      <c r="C580">
        <v>2.5379999999999998</v>
      </c>
    </row>
    <row r="581" spans="1:3" x14ac:dyDescent="0.3">
      <c r="A581" s="35">
        <v>45891</v>
      </c>
      <c r="B581" s="847" t="s">
        <v>877</v>
      </c>
      <c r="C581">
        <v>2.5379999999999998</v>
      </c>
    </row>
    <row r="582" spans="1:3" x14ac:dyDescent="0.3">
      <c r="A582" s="35">
        <v>45894</v>
      </c>
      <c r="B582" s="847" t="s">
        <v>877</v>
      </c>
      <c r="C582">
        <v>2.5710000000000002</v>
      </c>
    </row>
    <row r="583" spans="1:3" x14ac:dyDescent="0.3">
      <c r="A583" s="35">
        <v>45895</v>
      </c>
      <c r="B583" s="847" t="s">
        <v>877</v>
      </c>
      <c r="C583">
        <v>2.6080000000000001</v>
      </c>
    </row>
    <row r="584" spans="1:3" x14ac:dyDescent="0.3">
      <c r="A584" s="35">
        <v>45896</v>
      </c>
      <c r="B584" s="847" t="s">
        <v>877</v>
      </c>
      <c r="C584">
        <v>2.613</v>
      </c>
    </row>
    <row r="585" spans="1:3" x14ac:dyDescent="0.3">
      <c r="A585" s="35">
        <v>45897</v>
      </c>
      <c r="B585" s="847" t="s">
        <v>877</v>
      </c>
      <c r="C585">
        <v>2.621</v>
      </c>
    </row>
    <row r="586" spans="1:3" x14ac:dyDescent="0.3">
      <c r="A586" s="35">
        <v>45898</v>
      </c>
      <c r="B586" s="847" t="s">
        <v>877</v>
      </c>
      <c r="C586">
        <v>2.6309999999999998</v>
      </c>
    </row>
    <row r="587" spans="1:3" x14ac:dyDescent="0.3">
      <c r="A587" s="35">
        <v>45903</v>
      </c>
      <c r="B587" s="847" t="s">
        <v>877</v>
      </c>
      <c r="C587">
        <v>2.6309999999999998</v>
      </c>
    </row>
    <row r="588" spans="1:3" x14ac:dyDescent="0.3">
      <c r="A588" s="35">
        <v>45904</v>
      </c>
      <c r="B588" s="847" t="s">
        <v>877</v>
      </c>
      <c r="C588">
        <v>2.6480000000000001</v>
      </c>
    </row>
    <row r="589" spans="1:3" x14ac:dyDescent="0.3">
      <c r="A589" s="35">
        <v>45905</v>
      </c>
      <c r="B589" s="847" t="s">
        <v>877</v>
      </c>
      <c r="C589">
        <v>2.6480000000000001</v>
      </c>
    </row>
    <row r="590" spans="1:3" x14ac:dyDescent="0.3">
      <c r="A590" s="35">
        <v>45908</v>
      </c>
      <c r="B590" s="847" t="s">
        <v>877</v>
      </c>
      <c r="C590">
        <v>2.6480000000000001</v>
      </c>
    </row>
    <row r="591" spans="1:3" x14ac:dyDescent="0.3">
      <c r="A591" s="35">
        <v>45909</v>
      </c>
      <c r="B591" s="847" t="s">
        <v>877</v>
      </c>
      <c r="C591">
        <v>2.6560000000000001</v>
      </c>
    </row>
    <row r="592" spans="1:3" x14ac:dyDescent="0.3">
      <c r="A592" s="35">
        <v>45910</v>
      </c>
      <c r="B592" s="847" t="s">
        <v>877</v>
      </c>
      <c r="C592">
        <v>2.6560000000000001</v>
      </c>
    </row>
    <row r="593" spans="1:3" x14ac:dyDescent="0.3">
      <c r="A593" s="35">
        <v>45911</v>
      </c>
      <c r="B593" s="847" t="s">
        <v>877</v>
      </c>
      <c r="C593">
        <v>2.66</v>
      </c>
    </row>
    <row r="594" spans="1:3" x14ac:dyDescent="0.3">
      <c r="A594" s="35">
        <v>45912</v>
      </c>
      <c r="B594" s="847" t="s">
        <v>877</v>
      </c>
      <c r="C594">
        <v>2.66</v>
      </c>
    </row>
    <row r="595" spans="1:3" x14ac:dyDescent="0.3">
      <c r="A595" s="35">
        <v>45915</v>
      </c>
      <c r="B595" s="847" t="s">
        <v>877</v>
      </c>
      <c r="C595">
        <v>2.6640000000000001</v>
      </c>
    </row>
    <row r="596" spans="1:3" x14ac:dyDescent="0.3">
      <c r="A596" s="35">
        <v>45916</v>
      </c>
      <c r="B596" s="847" t="s">
        <v>877</v>
      </c>
      <c r="C596">
        <v>2.6629999999999998</v>
      </c>
    </row>
    <row r="597" spans="1:3" x14ac:dyDescent="0.3">
      <c r="A597" s="35">
        <v>45917</v>
      </c>
      <c r="B597" s="847" t="s">
        <v>877</v>
      </c>
      <c r="C597">
        <v>2.6629999999999998</v>
      </c>
    </row>
    <row r="598" spans="1:3" x14ac:dyDescent="0.3">
      <c r="A598" s="35">
        <v>45918</v>
      </c>
      <c r="B598" s="847" t="s">
        <v>877</v>
      </c>
      <c r="C598">
        <v>2.669</v>
      </c>
    </row>
    <row r="599" spans="1:3" x14ac:dyDescent="0.3">
      <c r="A599" s="35">
        <v>45919</v>
      </c>
      <c r="B599" s="847" t="s">
        <v>877</v>
      </c>
      <c r="C599">
        <v>2.669</v>
      </c>
    </row>
    <row r="600" spans="1:3" x14ac:dyDescent="0.3">
      <c r="A600" s="35">
        <v>45922</v>
      </c>
      <c r="B600" s="847" t="s">
        <v>877</v>
      </c>
      <c r="C600">
        <v>2.681</v>
      </c>
    </row>
    <row r="601" spans="1:3" x14ac:dyDescent="0.3">
      <c r="A601" s="35">
        <v>45923</v>
      </c>
      <c r="B601" s="847" t="s">
        <v>877</v>
      </c>
      <c r="C601">
        <v>2.681</v>
      </c>
    </row>
    <row r="602" spans="1:3" x14ac:dyDescent="0.3">
      <c r="A602" s="35">
        <v>45924</v>
      </c>
      <c r="B602" s="847" t="s">
        <v>877</v>
      </c>
      <c r="C602">
        <v>2.681</v>
      </c>
    </row>
    <row r="603" spans="1:3" x14ac:dyDescent="0.3">
      <c r="A603" s="35">
        <v>45925</v>
      </c>
      <c r="B603" s="847" t="s">
        <v>877</v>
      </c>
      <c r="C603">
        <v>2.6920000000000002</v>
      </c>
    </row>
    <row r="604" spans="1:3" x14ac:dyDescent="0.3">
      <c r="A604" s="35">
        <v>45926</v>
      </c>
      <c r="B604" s="847" t="s">
        <v>877</v>
      </c>
      <c r="C604">
        <v>2.6920000000000002</v>
      </c>
    </row>
    <row r="605" spans="1:3" x14ac:dyDescent="0.3">
      <c r="A605" s="35">
        <v>45929</v>
      </c>
      <c r="B605" s="847" t="s">
        <v>877</v>
      </c>
      <c r="C605">
        <v>2.6920000000000002</v>
      </c>
    </row>
    <row r="606" spans="1:3" x14ac:dyDescent="0.3">
      <c r="A606" s="35">
        <v>45930</v>
      </c>
      <c r="B606" s="847" t="s">
        <v>877</v>
      </c>
      <c r="C606">
        <v>2.6920000000000002</v>
      </c>
    </row>
    <row r="607" spans="1:3" x14ac:dyDescent="0.3">
      <c r="A607" s="35">
        <v>45931</v>
      </c>
      <c r="B607" s="847" t="s">
        <v>877</v>
      </c>
      <c r="C607">
        <v>2.6920000000000002</v>
      </c>
    </row>
    <row r="608" spans="1:3" x14ac:dyDescent="0.3">
      <c r="A608" s="35">
        <v>45932</v>
      </c>
      <c r="B608" s="847" t="s">
        <v>877</v>
      </c>
      <c r="C608">
        <v>2.7130000000000001</v>
      </c>
    </row>
    <row r="609" spans="1:3" x14ac:dyDescent="0.3">
      <c r="A609" s="35">
        <v>45933</v>
      </c>
      <c r="B609" s="847" t="s">
        <v>877</v>
      </c>
      <c r="C609">
        <v>2.7130000000000001</v>
      </c>
    </row>
    <row r="610" spans="1:3" x14ac:dyDescent="0.3">
      <c r="A610" s="35">
        <v>45936</v>
      </c>
      <c r="B610" s="847" t="s">
        <v>877</v>
      </c>
      <c r="C610">
        <v>2.7130000000000001</v>
      </c>
    </row>
    <row r="611" spans="1:3" x14ac:dyDescent="0.3">
      <c r="A611" s="35">
        <v>45937</v>
      </c>
      <c r="B611" s="847" t="s">
        <v>877</v>
      </c>
      <c r="C611">
        <v>2.7130000000000001</v>
      </c>
    </row>
    <row r="612" spans="1:3" x14ac:dyDescent="0.3">
      <c r="A612" s="35">
        <v>45938</v>
      </c>
      <c r="B612" s="847" t="s">
        <v>877</v>
      </c>
      <c r="C612">
        <v>2.7130000000000001</v>
      </c>
    </row>
    <row r="613" spans="1:3" x14ac:dyDescent="0.3">
      <c r="A613" s="35">
        <v>45939</v>
      </c>
      <c r="B613" s="847" t="s">
        <v>877</v>
      </c>
      <c r="C613">
        <v>2.7269999999999999</v>
      </c>
    </row>
    <row r="614" spans="1:3" x14ac:dyDescent="0.3">
      <c r="A614" s="35">
        <v>45940</v>
      </c>
      <c r="B614" s="847" t="s">
        <v>877</v>
      </c>
      <c r="C614">
        <v>2.7269999999999999</v>
      </c>
    </row>
    <row r="615" spans="1:3" x14ac:dyDescent="0.3">
      <c r="A615" s="35">
        <v>45943</v>
      </c>
      <c r="B615" s="847" t="s">
        <v>877</v>
      </c>
      <c r="C615">
        <v>2.7269999999999999</v>
      </c>
    </row>
    <row r="616" spans="1:3" x14ac:dyDescent="0.3">
      <c r="A616" s="35">
        <v>45944</v>
      </c>
      <c r="B616" s="847" t="s">
        <v>877</v>
      </c>
      <c r="C616">
        <v>2.7269999999999999</v>
      </c>
    </row>
    <row r="617" spans="1:3" x14ac:dyDescent="0.3">
      <c r="A617" s="35">
        <v>45945</v>
      </c>
      <c r="B617" s="847" t="s">
        <v>877</v>
      </c>
      <c r="C617">
        <v>2.7269999999999999</v>
      </c>
    </row>
    <row r="618" spans="1:3" x14ac:dyDescent="0.3">
      <c r="A618" s="35">
        <v>45946</v>
      </c>
      <c r="B618" s="847" t="s">
        <v>877</v>
      </c>
      <c r="C618">
        <v>2.7440000000000002</v>
      </c>
    </row>
    <row r="619" spans="1:3" x14ac:dyDescent="0.3">
      <c r="A619" s="35">
        <v>45947</v>
      </c>
      <c r="B619" s="847" t="s">
        <v>877</v>
      </c>
      <c r="C619">
        <v>2.75</v>
      </c>
    </row>
    <row r="620" spans="1:3" x14ac:dyDescent="0.3">
      <c r="A620" s="35">
        <v>45950</v>
      </c>
      <c r="B620" s="847" t="s">
        <v>877</v>
      </c>
      <c r="C620">
        <v>2.7669999999999999</v>
      </c>
    </row>
    <row r="621" spans="1:3" x14ac:dyDescent="0.3">
      <c r="A621" s="35">
        <v>45951</v>
      </c>
      <c r="B621" s="847" t="s">
        <v>877</v>
      </c>
      <c r="C621">
        <v>2.7669999999999999</v>
      </c>
    </row>
    <row r="622" spans="1:3" x14ac:dyDescent="0.3">
      <c r="A622" s="35">
        <v>45952</v>
      </c>
      <c r="B622" s="847" t="s">
        <v>877</v>
      </c>
      <c r="C622">
        <v>2.7829999999999999</v>
      </c>
    </row>
    <row r="623" spans="1:3" x14ac:dyDescent="0.3">
      <c r="A623" s="35">
        <v>45953</v>
      </c>
      <c r="B623" s="847" t="s">
        <v>877</v>
      </c>
      <c r="C623">
        <v>2.7829999999999999</v>
      </c>
    </row>
    <row r="624" spans="1:3" x14ac:dyDescent="0.3">
      <c r="A624" s="35">
        <v>45954</v>
      </c>
      <c r="B624" s="847" t="s">
        <v>877</v>
      </c>
      <c r="C624">
        <v>2.7919999999999998</v>
      </c>
    </row>
    <row r="625" spans="1:3" x14ac:dyDescent="0.3">
      <c r="A625" s="35">
        <v>45957</v>
      </c>
      <c r="B625" s="847" t="s">
        <v>877</v>
      </c>
      <c r="C625">
        <v>2.7919999999999998</v>
      </c>
    </row>
    <row r="626" spans="1:3" x14ac:dyDescent="0.3">
      <c r="A626" s="35">
        <v>45958</v>
      </c>
      <c r="B626" s="847" t="s">
        <v>877</v>
      </c>
      <c r="C626">
        <v>2.7919999999999998</v>
      </c>
    </row>
    <row r="627" spans="1:3" x14ac:dyDescent="0.3">
      <c r="A627" s="35">
        <v>45959</v>
      </c>
      <c r="B627" s="847" t="s">
        <v>877</v>
      </c>
      <c r="C627">
        <v>2.7919999999999998</v>
      </c>
    </row>
    <row r="628" spans="1:3" x14ac:dyDescent="0.3">
      <c r="A628" s="35">
        <v>45960</v>
      </c>
      <c r="B628" s="847" t="s">
        <v>877</v>
      </c>
      <c r="C628">
        <v>2.7919999999999998</v>
      </c>
    </row>
    <row r="629" spans="1:3" x14ac:dyDescent="0.3">
      <c r="A629" s="35">
        <v>45961</v>
      </c>
      <c r="B629" s="847" t="s">
        <v>877</v>
      </c>
      <c r="C629">
        <v>2.7919999999999998</v>
      </c>
    </row>
    <row r="630" spans="1:3" x14ac:dyDescent="0.3">
      <c r="A630" s="35">
        <v>45964</v>
      </c>
      <c r="B630" s="847" t="s">
        <v>877</v>
      </c>
      <c r="C630">
        <v>2.7919999999999998</v>
      </c>
    </row>
    <row r="631" spans="1:3" x14ac:dyDescent="0.3">
      <c r="A631" s="35">
        <v>45965</v>
      </c>
      <c r="B631" s="847" t="s">
        <v>877</v>
      </c>
      <c r="C631">
        <v>2.7919999999999998</v>
      </c>
    </row>
    <row r="632" spans="1:3" x14ac:dyDescent="0.3">
      <c r="A632" s="35">
        <v>45966</v>
      </c>
      <c r="B632" s="847" t="s">
        <v>877</v>
      </c>
      <c r="C632">
        <v>2.7919999999999998</v>
      </c>
    </row>
    <row r="633" spans="1:3" x14ac:dyDescent="0.3">
      <c r="A633" s="35">
        <v>45967</v>
      </c>
      <c r="B633" s="847" t="s">
        <v>877</v>
      </c>
      <c r="C633">
        <v>2.7919999999999998</v>
      </c>
    </row>
    <row r="634" spans="1:3" x14ac:dyDescent="0.3">
      <c r="A634" s="35">
        <v>45968</v>
      </c>
      <c r="B634" s="847" t="s">
        <v>877</v>
      </c>
      <c r="C634">
        <v>2.794</v>
      </c>
    </row>
    <row r="635" spans="1:3" x14ac:dyDescent="0.3">
      <c r="A635" s="35">
        <v>45971</v>
      </c>
      <c r="B635" s="847" t="s">
        <v>877</v>
      </c>
      <c r="C635">
        <v>2.835</v>
      </c>
    </row>
    <row r="636" spans="1:3" x14ac:dyDescent="0.3">
      <c r="A636" s="35">
        <v>45972</v>
      </c>
      <c r="B636" s="847" t="s">
        <v>877</v>
      </c>
      <c r="C636">
        <v>2.835</v>
      </c>
    </row>
    <row r="637" spans="1:3" x14ac:dyDescent="0.3">
      <c r="A637" s="35">
        <v>45973</v>
      </c>
      <c r="B637" s="847" t="s">
        <v>877</v>
      </c>
      <c r="C637">
        <v>2.835</v>
      </c>
    </row>
    <row r="638" spans="1:3" x14ac:dyDescent="0.3">
      <c r="A638" s="35">
        <v>45974</v>
      </c>
      <c r="B638" s="847" t="s">
        <v>877</v>
      </c>
      <c r="C638">
        <v>2.84</v>
      </c>
    </row>
    <row r="639" spans="1:3" x14ac:dyDescent="0.3">
      <c r="A639" s="35">
        <v>45975</v>
      </c>
      <c r="B639" s="847" t="s">
        <v>877</v>
      </c>
      <c r="C639">
        <v>2.84</v>
      </c>
    </row>
    <row r="640" spans="1:3" x14ac:dyDescent="0.3">
      <c r="A640" s="35">
        <v>45978</v>
      </c>
      <c r="B640" s="847" t="s">
        <v>877</v>
      </c>
      <c r="C640">
        <v>2.84</v>
      </c>
    </row>
    <row r="641" spans="1:3" x14ac:dyDescent="0.3">
      <c r="A641" s="35">
        <v>45979</v>
      </c>
      <c r="B641" s="847" t="s">
        <v>877</v>
      </c>
      <c r="C641">
        <v>2.84</v>
      </c>
    </row>
    <row r="642" spans="1:3" x14ac:dyDescent="0.3">
      <c r="A642" s="35">
        <v>45980</v>
      </c>
      <c r="B642" s="847" t="s">
        <v>877</v>
      </c>
      <c r="C642">
        <v>2.84</v>
      </c>
    </row>
    <row r="643" spans="1:3" x14ac:dyDescent="0.3">
      <c r="A643" s="35">
        <v>45981</v>
      </c>
      <c r="B643" s="847" t="s">
        <v>877</v>
      </c>
      <c r="C643">
        <v>2.8559999999999999</v>
      </c>
    </row>
    <row r="644" spans="1:3" x14ac:dyDescent="0.3">
      <c r="A644" s="35">
        <v>45982</v>
      </c>
      <c r="B644" s="847" t="s">
        <v>877</v>
      </c>
      <c r="C644">
        <v>2.86</v>
      </c>
    </row>
    <row r="645" spans="1:3" x14ac:dyDescent="0.3">
      <c r="A645" s="35">
        <v>45985</v>
      </c>
      <c r="B645" s="847" t="s">
        <v>877</v>
      </c>
      <c r="C645">
        <v>2.86</v>
      </c>
    </row>
    <row r="646" spans="1:3" x14ac:dyDescent="0.3">
      <c r="A646" s="35">
        <v>45986</v>
      </c>
      <c r="B646" s="847" t="s">
        <v>877</v>
      </c>
      <c r="C646">
        <v>2.86</v>
      </c>
    </row>
    <row r="647" spans="1:3" x14ac:dyDescent="0.3">
      <c r="A647" s="35">
        <v>45987</v>
      </c>
      <c r="B647" s="847" t="s">
        <v>877</v>
      </c>
      <c r="C647">
        <v>2.86</v>
      </c>
    </row>
    <row r="648" spans="1:3" x14ac:dyDescent="0.3">
      <c r="A648" s="35">
        <v>45988</v>
      </c>
      <c r="B648" s="847" t="s">
        <v>877</v>
      </c>
      <c r="C648">
        <v>2.86</v>
      </c>
    </row>
    <row r="649" spans="1:3" x14ac:dyDescent="0.3">
      <c r="A649" s="35">
        <v>45989</v>
      </c>
      <c r="B649" s="847" t="s">
        <v>877</v>
      </c>
      <c r="C649">
        <v>2.86</v>
      </c>
    </row>
    <row r="650" spans="1:3" x14ac:dyDescent="0.3">
      <c r="A650" s="35">
        <v>45992</v>
      </c>
      <c r="B650" s="847" t="s">
        <v>877</v>
      </c>
      <c r="C650">
        <v>2.8650000000000002</v>
      </c>
    </row>
    <row r="651" spans="1:3" x14ac:dyDescent="0.3">
      <c r="A651" s="35">
        <v>45993</v>
      </c>
      <c r="B651" s="847" t="s">
        <v>877</v>
      </c>
      <c r="C651">
        <v>2.8730000000000002</v>
      </c>
    </row>
    <row r="652" spans="1:3" x14ac:dyDescent="0.3">
      <c r="A652" s="35">
        <v>45994</v>
      </c>
      <c r="B652" s="847" t="s">
        <v>877</v>
      </c>
      <c r="C652">
        <v>2.8769999999999998</v>
      </c>
    </row>
    <row r="653" spans="1:3" x14ac:dyDescent="0.3">
      <c r="A653" s="35">
        <v>45995</v>
      </c>
      <c r="B653" s="847" t="s">
        <v>877</v>
      </c>
      <c r="C653">
        <v>2.8809999999999998</v>
      </c>
    </row>
    <row r="654" spans="1:3" x14ac:dyDescent="0.3">
      <c r="A654" s="35">
        <v>45996</v>
      </c>
      <c r="B654" s="847" t="s">
        <v>877</v>
      </c>
      <c r="C654">
        <v>2.8980000000000001</v>
      </c>
    </row>
    <row r="655" spans="1:3" x14ac:dyDescent="0.3">
      <c r="A655" s="35">
        <v>45999</v>
      </c>
      <c r="B655" s="847" t="s">
        <v>877</v>
      </c>
      <c r="C655">
        <v>2.9079999999999999</v>
      </c>
    </row>
    <row r="656" spans="1:3" x14ac:dyDescent="0.3">
      <c r="A656" s="35">
        <v>46000</v>
      </c>
      <c r="B656" s="847" t="s">
        <v>877</v>
      </c>
      <c r="C656">
        <v>2.9079999999999999</v>
      </c>
    </row>
    <row r="657" spans="1:3" x14ac:dyDescent="0.3">
      <c r="A657" s="35">
        <v>46001</v>
      </c>
      <c r="B657" s="847" t="s">
        <v>877</v>
      </c>
      <c r="C657">
        <v>2.9079999999999999</v>
      </c>
    </row>
    <row r="658" spans="1:3" x14ac:dyDescent="0.3">
      <c r="A658" s="35">
        <v>46002</v>
      </c>
      <c r="B658" s="847" t="s">
        <v>877</v>
      </c>
      <c r="C658">
        <v>2.9079999999999999</v>
      </c>
    </row>
    <row r="659" spans="1:3" x14ac:dyDescent="0.3">
      <c r="A659" s="35">
        <v>46003</v>
      </c>
      <c r="B659" s="847" t="s">
        <v>877</v>
      </c>
      <c r="C659">
        <v>2.9079999999999999</v>
      </c>
    </row>
    <row r="660" spans="1:3" x14ac:dyDescent="0.3">
      <c r="A660" s="35">
        <v>46006</v>
      </c>
      <c r="B660" s="847" t="s">
        <v>877</v>
      </c>
      <c r="C660">
        <v>2.9039999999999999</v>
      </c>
    </row>
    <row r="661" spans="1:3" x14ac:dyDescent="0.3">
      <c r="A661" s="35">
        <v>46007</v>
      </c>
      <c r="B661" s="847" t="s">
        <v>877</v>
      </c>
      <c r="C661">
        <v>2.9129999999999998</v>
      </c>
    </row>
    <row r="662" spans="1:3" x14ac:dyDescent="0.3">
      <c r="A662" s="35">
        <v>46008</v>
      </c>
      <c r="B662" s="847" t="s">
        <v>877</v>
      </c>
      <c r="C662">
        <v>2.9129999999999998</v>
      </c>
    </row>
    <row r="663" spans="1:3" x14ac:dyDescent="0.3">
      <c r="A663" s="35">
        <v>46009</v>
      </c>
      <c r="B663" s="847" t="s">
        <v>877</v>
      </c>
      <c r="C663">
        <v>2.9129999999999998</v>
      </c>
    </row>
    <row r="664" spans="1:3" x14ac:dyDescent="0.3">
      <c r="A664" s="35">
        <v>46010</v>
      </c>
      <c r="B664" s="847" t="s">
        <v>877</v>
      </c>
      <c r="C664">
        <v>2.9169999999999998</v>
      </c>
    </row>
    <row r="665" spans="1:3" x14ac:dyDescent="0.3">
      <c r="A665" s="35">
        <v>46013</v>
      </c>
      <c r="B665" s="847" t="s">
        <v>877</v>
      </c>
      <c r="C665">
        <v>2.9169999999999998</v>
      </c>
    </row>
    <row r="666" spans="1:3" x14ac:dyDescent="0.3">
      <c r="A666" s="35">
        <v>46014</v>
      </c>
      <c r="B666" s="847" t="s">
        <v>877</v>
      </c>
      <c r="C666">
        <v>2.9169999999999998</v>
      </c>
    </row>
    <row r="667" spans="1:3" x14ac:dyDescent="0.3">
      <c r="A667" s="35">
        <v>46015</v>
      </c>
      <c r="B667" s="847" t="s">
        <v>877</v>
      </c>
      <c r="C667">
        <v>2.9169999999999998</v>
      </c>
    </row>
    <row r="668" spans="1:3" x14ac:dyDescent="0.3">
      <c r="A668" s="35">
        <v>46016</v>
      </c>
      <c r="B668" s="847" t="s">
        <v>877</v>
      </c>
      <c r="C668">
        <v>2.9169999999999998</v>
      </c>
    </row>
    <row r="669" spans="1:3" x14ac:dyDescent="0.3">
      <c r="A669" s="35">
        <v>46017</v>
      </c>
      <c r="B669" s="847" t="s">
        <v>877</v>
      </c>
      <c r="C669">
        <v>2.9129999999999998</v>
      </c>
    </row>
    <row r="670" spans="1:3" x14ac:dyDescent="0.3">
      <c r="A670" s="35">
        <v>46020</v>
      </c>
      <c r="B670" s="847" t="s">
        <v>877</v>
      </c>
      <c r="C670">
        <v>2.9169999999999998</v>
      </c>
    </row>
    <row r="671" spans="1:3" x14ac:dyDescent="0.3">
      <c r="A671" s="35">
        <v>46021</v>
      </c>
      <c r="B671" s="847" t="s">
        <v>877</v>
      </c>
      <c r="C671">
        <v>2.9169999999999998</v>
      </c>
    </row>
    <row r="672" spans="1:3" x14ac:dyDescent="0.3">
      <c r="A672" s="35">
        <v>46022</v>
      </c>
      <c r="B672" s="847" t="s">
        <v>877</v>
      </c>
      <c r="C672">
        <v>2.9169999999999998</v>
      </c>
    </row>
    <row r="673" spans="1:3" x14ac:dyDescent="0.3">
      <c r="A673" s="35">
        <v>46027</v>
      </c>
      <c r="B673" s="847" t="s">
        <v>877</v>
      </c>
      <c r="C673">
        <v>2.9380000000000002</v>
      </c>
    </row>
    <row r="674" spans="1:3" x14ac:dyDescent="0.3">
      <c r="A674" s="35">
        <v>46028</v>
      </c>
      <c r="B674" s="847" t="s">
        <v>877</v>
      </c>
      <c r="C674">
        <v>2.9380000000000002</v>
      </c>
    </row>
    <row r="675" spans="1:3" x14ac:dyDescent="0.3">
      <c r="A675" s="35">
        <v>46029</v>
      </c>
      <c r="B675" s="847" t="s">
        <v>877</v>
      </c>
      <c r="C675">
        <v>2.9380000000000002</v>
      </c>
    </row>
    <row r="676" spans="1:3" x14ac:dyDescent="0.3">
      <c r="A676" s="35">
        <v>46030</v>
      </c>
      <c r="B676" s="847" t="s">
        <v>877</v>
      </c>
      <c r="C676">
        <v>2.992</v>
      </c>
    </row>
    <row r="677" spans="1:3" x14ac:dyDescent="0.3">
      <c r="A677" s="35">
        <v>46031</v>
      </c>
      <c r="B677" s="847" t="s">
        <v>877</v>
      </c>
      <c r="C677">
        <v>3.048</v>
      </c>
    </row>
    <row r="678" spans="1:3" x14ac:dyDescent="0.3">
      <c r="A678" s="35">
        <v>46034</v>
      </c>
      <c r="B678" s="847" t="s">
        <v>877</v>
      </c>
      <c r="C678">
        <v>3.0310000000000001</v>
      </c>
    </row>
    <row r="679" spans="1:3" x14ac:dyDescent="0.3">
      <c r="A679" s="35">
        <v>46035</v>
      </c>
      <c r="B679" s="847" t="s">
        <v>877</v>
      </c>
      <c r="C679">
        <v>2.9980000000000002</v>
      </c>
    </row>
    <row r="680" spans="1:3" x14ac:dyDescent="0.3">
      <c r="A680" s="35">
        <v>46036</v>
      </c>
      <c r="B680" s="847" t="s">
        <v>877</v>
      </c>
      <c r="C680">
        <v>3.0230000000000001</v>
      </c>
    </row>
    <row r="681" spans="1:3" x14ac:dyDescent="0.3">
      <c r="A681" s="35">
        <v>46037</v>
      </c>
      <c r="B681" s="847" t="s">
        <v>877</v>
      </c>
      <c r="C681">
        <v>2.996</v>
      </c>
    </row>
    <row r="682" spans="1:3" x14ac:dyDescent="0.3">
      <c r="A682" s="35">
        <v>46038</v>
      </c>
      <c r="B682" s="847" t="s">
        <v>877</v>
      </c>
      <c r="C682">
        <v>3</v>
      </c>
    </row>
    <row r="683" spans="1:3" x14ac:dyDescent="0.3">
      <c r="A683" s="35">
        <v>46041</v>
      </c>
      <c r="B683" s="847" t="s">
        <v>877</v>
      </c>
      <c r="C683">
        <v>3</v>
      </c>
    </row>
    <row r="684" spans="1:3" x14ac:dyDescent="0.3">
      <c r="A684" s="35">
        <v>46042</v>
      </c>
      <c r="B684" s="847" t="s">
        <v>877</v>
      </c>
      <c r="C684">
        <v>2.9830000000000001</v>
      </c>
    </row>
    <row r="685" spans="1:3" x14ac:dyDescent="0.3">
      <c r="A685" s="35">
        <v>46043</v>
      </c>
      <c r="B685" s="847" t="s">
        <v>877</v>
      </c>
      <c r="C685">
        <v>2.9830000000000001</v>
      </c>
    </row>
    <row r="686" spans="1:3" x14ac:dyDescent="0.3">
      <c r="A686" s="35">
        <v>46044</v>
      </c>
      <c r="B686" s="847" t="s">
        <v>877</v>
      </c>
      <c r="C686">
        <v>2.9830000000000001</v>
      </c>
    </row>
    <row r="687" spans="1:3" x14ac:dyDescent="0.3">
      <c r="A687" s="35">
        <v>46045</v>
      </c>
      <c r="B687" s="847" t="s">
        <v>877</v>
      </c>
      <c r="C687">
        <v>2.9830000000000001</v>
      </c>
    </row>
    <row r="688" spans="1:3" x14ac:dyDescent="0.3">
      <c r="A688" s="35">
        <v>46048</v>
      </c>
      <c r="B688" s="847" t="s">
        <v>877</v>
      </c>
      <c r="C688">
        <v>2.9830000000000001</v>
      </c>
    </row>
    <row r="689" spans="1:3" x14ac:dyDescent="0.3">
      <c r="A689" s="35">
        <v>46049</v>
      </c>
      <c r="B689" s="847" t="s">
        <v>877</v>
      </c>
      <c r="C689">
        <v>2.9830000000000001</v>
      </c>
    </row>
    <row r="690" spans="1:3" x14ac:dyDescent="0.3">
      <c r="A690" s="35">
        <v>46050</v>
      </c>
      <c r="B690" s="847" t="s">
        <v>877</v>
      </c>
      <c r="C690">
        <v>2.992</v>
      </c>
    </row>
    <row r="691" spans="1:3" x14ac:dyDescent="0.3">
      <c r="A691" s="35">
        <v>46051</v>
      </c>
      <c r="B691" s="847" t="s">
        <v>877</v>
      </c>
      <c r="C691">
        <v>2.996</v>
      </c>
    </row>
    <row r="692" spans="1:3" x14ac:dyDescent="0.3">
      <c r="A692" s="35">
        <v>46052</v>
      </c>
      <c r="B692" s="847" t="s">
        <v>877</v>
      </c>
      <c r="C692">
        <v>2.996</v>
      </c>
    </row>
    <row r="693" spans="1:3" x14ac:dyDescent="0.3">
      <c r="A693" s="35">
        <v>46055</v>
      </c>
      <c r="B693" s="847" t="s">
        <v>877</v>
      </c>
      <c r="C693">
        <v>3.0049999999999999</v>
      </c>
    </row>
    <row r="694" spans="1:3" x14ac:dyDescent="0.3">
      <c r="A694" s="35">
        <v>46056</v>
      </c>
      <c r="B694" s="847" t="s">
        <v>877</v>
      </c>
      <c r="C694">
        <v>2.996</v>
      </c>
    </row>
    <row r="695" spans="1:3" x14ac:dyDescent="0.3">
      <c r="A695" s="35">
        <v>46057</v>
      </c>
      <c r="B695" s="847" t="s">
        <v>877</v>
      </c>
      <c r="C695">
        <v>3.0139999999999998</v>
      </c>
    </row>
    <row r="696" spans="1:3" x14ac:dyDescent="0.3">
      <c r="A696" s="35">
        <v>46058</v>
      </c>
      <c r="B696" s="847" t="s">
        <v>877</v>
      </c>
      <c r="C696">
        <v>3.004</v>
      </c>
    </row>
    <row r="697" spans="1:3" x14ac:dyDescent="0.3">
      <c r="A697" s="35">
        <v>46059</v>
      </c>
      <c r="B697" s="847" t="s">
        <v>877</v>
      </c>
      <c r="C697">
        <v>3.004</v>
      </c>
    </row>
    <row r="698" spans="1:3" x14ac:dyDescent="0.3">
      <c r="A698" s="35">
        <v>46062</v>
      </c>
      <c r="B698" s="847" t="s">
        <v>877</v>
      </c>
      <c r="C698">
        <v>3.004</v>
      </c>
    </row>
    <row r="699" spans="1:3" x14ac:dyDescent="0.3">
      <c r="A699" s="35">
        <v>46063</v>
      </c>
      <c r="B699" s="847" t="s">
        <v>877</v>
      </c>
      <c r="C699">
        <v>3.0329999999999999</v>
      </c>
    </row>
    <row r="700" spans="1:3" x14ac:dyDescent="0.3">
      <c r="A700" s="35">
        <v>46064</v>
      </c>
      <c r="B700" s="847" t="s">
        <v>877</v>
      </c>
      <c r="C700">
        <v>3.004</v>
      </c>
    </row>
    <row r="701" spans="1:3" x14ac:dyDescent="0.3">
      <c r="A701" s="35">
        <v>46065</v>
      </c>
      <c r="B701" s="847" t="s">
        <v>877</v>
      </c>
      <c r="C701">
        <v>3.004</v>
      </c>
    </row>
    <row r="702" spans="1:3" x14ac:dyDescent="0.3">
      <c r="A702" s="35">
        <v>46066</v>
      </c>
      <c r="B702" s="847" t="s">
        <v>877</v>
      </c>
      <c r="C702">
        <v>3.004</v>
      </c>
    </row>
    <row r="703" spans="1:3" x14ac:dyDescent="0.3">
      <c r="A703" s="35">
        <v>46076</v>
      </c>
      <c r="B703" s="847" t="s">
        <v>877</v>
      </c>
      <c r="C703">
        <v>3.004</v>
      </c>
    </row>
    <row r="704" spans="1:3" x14ac:dyDescent="0.3">
      <c r="A704" s="35">
        <v>46077</v>
      </c>
      <c r="B704" s="847" t="s">
        <v>877</v>
      </c>
      <c r="C704">
        <v>3.0059999999999998</v>
      </c>
    </row>
    <row r="705" spans="1:3" x14ac:dyDescent="0.3">
      <c r="A705" s="35">
        <v>46078</v>
      </c>
      <c r="B705" s="847" t="s">
        <v>877</v>
      </c>
      <c r="C705">
        <v>3.0059999999999998</v>
      </c>
    </row>
    <row r="706" spans="1:3" x14ac:dyDescent="0.3">
      <c r="A706" s="35">
        <v>46079</v>
      </c>
      <c r="B706" s="847" t="s">
        <v>877</v>
      </c>
      <c r="C706">
        <v>3.0419999999999998</v>
      </c>
    </row>
    <row r="707" spans="1:3" x14ac:dyDescent="0.3">
      <c r="A707" s="35">
        <v>46080</v>
      </c>
      <c r="B707" s="847" t="s">
        <v>877</v>
      </c>
      <c r="C707">
        <v>3.0419999999999998</v>
      </c>
    </row>
    <row r="708" spans="1:3" x14ac:dyDescent="0.3">
      <c r="A708" s="35">
        <v>46083</v>
      </c>
      <c r="B708" s="847" t="s">
        <v>877</v>
      </c>
      <c r="C708">
        <v>3.0459999999999998</v>
      </c>
    </row>
    <row r="709" spans="1:3" x14ac:dyDescent="0.3">
      <c r="A709" s="35">
        <v>46084</v>
      </c>
      <c r="B709" s="847" t="s">
        <v>877</v>
      </c>
      <c r="C709">
        <v>3.0579999999999998</v>
      </c>
    </row>
    <row r="710" spans="1:3" x14ac:dyDescent="0.3">
      <c r="A710" s="35">
        <v>46085</v>
      </c>
      <c r="B710" s="847" t="s">
        <v>877</v>
      </c>
      <c r="C710">
        <v>3.0579999999999998</v>
      </c>
    </row>
    <row r="711" spans="1:3" x14ac:dyDescent="0.3">
      <c r="A711" s="35">
        <v>46086</v>
      </c>
      <c r="B711" s="847" t="s">
        <v>877</v>
      </c>
      <c r="C711">
        <v>3.0579999999999998</v>
      </c>
    </row>
    <row r="712" spans="1:3" x14ac:dyDescent="0.3">
      <c r="A712" s="35">
        <v>46087</v>
      </c>
      <c r="B712" s="847" t="s">
        <v>877</v>
      </c>
      <c r="C712">
        <v>3.0579999999999998</v>
      </c>
    </row>
    <row r="713" spans="1:3" x14ac:dyDescent="0.3">
      <c r="A713" s="35">
        <v>46090</v>
      </c>
      <c r="B713" s="847" t="s">
        <v>877</v>
      </c>
      <c r="C713">
        <v>3.0750000000000002</v>
      </c>
    </row>
    <row r="714" spans="1:3" x14ac:dyDescent="0.3">
      <c r="A714" s="35">
        <v>46091</v>
      </c>
      <c r="B714" s="847" t="s">
        <v>877</v>
      </c>
      <c r="C714">
        <v>3.0960000000000001</v>
      </c>
    </row>
    <row r="715" spans="1:3" x14ac:dyDescent="0.3">
      <c r="A715" s="35">
        <v>46092</v>
      </c>
      <c r="B715" s="847" t="s">
        <v>877</v>
      </c>
      <c r="C715">
        <v>3.0960000000000001</v>
      </c>
    </row>
    <row r="716" spans="1:3" x14ac:dyDescent="0.3">
      <c r="A716" s="35">
        <v>46093</v>
      </c>
      <c r="B716" s="847" t="s">
        <v>877</v>
      </c>
      <c r="C716">
        <v>3.117</v>
      </c>
    </row>
    <row r="717" spans="1:3" x14ac:dyDescent="0.3">
      <c r="A717" s="35">
        <v>46094</v>
      </c>
      <c r="B717" s="847" t="s">
        <v>877</v>
      </c>
      <c r="C717">
        <v>3.1379999999999999</v>
      </c>
    </row>
    <row r="718" spans="1:3" x14ac:dyDescent="0.3">
      <c r="A718" s="35">
        <v>46097</v>
      </c>
      <c r="B718" s="847" t="s">
        <v>877</v>
      </c>
      <c r="C718">
        <v>3.1379999999999999</v>
      </c>
    </row>
    <row r="719" spans="1:3" x14ac:dyDescent="0.3">
      <c r="A719" s="35">
        <v>46098</v>
      </c>
      <c r="B719" s="847" t="s">
        <v>877</v>
      </c>
      <c r="C719">
        <v>3.1880000000000002</v>
      </c>
    </row>
    <row r="720" spans="1:3" x14ac:dyDescent="0.3">
      <c r="A720" s="35">
        <v>46099</v>
      </c>
      <c r="B720" s="847" t="s">
        <v>877</v>
      </c>
      <c r="C720">
        <v>3.1880000000000002</v>
      </c>
    </row>
    <row r="721" spans="1:3" x14ac:dyDescent="0.3">
      <c r="A721" s="35">
        <v>46100</v>
      </c>
      <c r="B721" s="847" t="s">
        <v>877</v>
      </c>
      <c r="C721">
        <v>3.1880000000000002</v>
      </c>
    </row>
    <row r="722" spans="1:3" x14ac:dyDescent="0.3">
      <c r="A722" s="35">
        <v>46101</v>
      </c>
      <c r="B722" s="847" t="s">
        <v>877</v>
      </c>
      <c r="C722">
        <v>3.1880000000000002</v>
      </c>
    </row>
    <row r="723" spans="1:3" x14ac:dyDescent="0.3">
      <c r="A723" s="35">
        <v>46104</v>
      </c>
      <c r="B723" s="847" t="s">
        <v>877</v>
      </c>
      <c r="C723">
        <v>3.1920000000000002</v>
      </c>
    </row>
    <row r="724" spans="1:3" x14ac:dyDescent="0.3">
      <c r="A724" s="35">
        <v>46105</v>
      </c>
      <c r="B724" s="847" t="s">
        <v>877</v>
      </c>
      <c r="C724">
        <v>3.2040000000000002</v>
      </c>
    </row>
    <row r="725" spans="1:3" x14ac:dyDescent="0.3">
      <c r="A725" s="35">
        <v>46106</v>
      </c>
      <c r="B725" s="847" t="s">
        <v>877</v>
      </c>
      <c r="C725">
        <v>3.2040000000000002</v>
      </c>
    </row>
    <row r="726" spans="1:3" x14ac:dyDescent="0.3">
      <c r="A726" s="35">
        <v>46107</v>
      </c>
      <c r="B726" s="847" t="s">
        <v>877</v>
      </c>
      <c r="C726">
        <v>3.2040000000000002</v>
      </c>
    </row>
    <row r="727" spans="1:3" x14ac:dyDescent="0.3">
      <c r="A727" s="35">
        <v>46108</v>
      </c>
      <c r="B727" s="847" t="s">
        <v>877</v>
      </c>
      <c r="C727">
        <v>3.2040000000000002</v>
      </c>
    </row>
    <row r="728" spans="1:3" x14ac:dyDescent="0.3">
      <c r="A728" s="35">
        <v>46111</v>
      </c>
      <c r="B728" s="847" t="s">
        <v>877</v>
      </c>
      <c r="C728">
        <v>3.2040000000000002</v>
      </c>
    </row>
    <row r="729" spans="1:3" x14ac:dyDescent="0.3">
      <c r="A729" s="35">
        <v>46112</v>
      </c>
      <c r="B729" s="847" t="s">
        <v>877</v>
      </c>
      <c r="C729">
        <v>3.2040000000000002</v>
      </c>
    </row>
    <row r="730" spans="1:3" x14ac:dyDescent="0.3">
      <c r="A730" s="35">
        <v>46113</v>
      </c>
      <c r="B730" s="847" t="s">
        <v>877</v>
      </c>
      <c r="C730">
        <v>3.2040000000000002</v>
      </c>
    </row>
    <row r="731" spans="1:3" x14ac:dyDescent="0.3">
      <c r="A731" s="35">
        <v>46114</v>
      </c>
      <c r="B731" s="847" t="s">
        <v>877</v>
      </c>
      <c r="C731">
        <v>3.2040000000000002</v>
      </c>
    </row>
    <row r="732" spans="1:3" x14ac:dyDescent="0.3">
      <c r="A732" s="35">
        <v>46115</v>
      </c>
      <c r="B732" s="847" t="s">
        <v>877</v>
      </c>
      <c r="C732">
        <v>3.2040000000000002</v>
      </c>
    </row>
    <row r="733" spans="1:3" x14ac:dyDescent="0.3">
      <c r="A733" s="35">
        <v>46118</v>
      </c>
      <c r="B733" s="847" t="s">
        <v>877</v>
      </c>
      <c r="C733">
        <v>3.2130000000000001</v>
      </c>
    </row>
    <row r="734" spans="1:3" x14ac:dyDescent="0.3">
      <c r="A734" s="35">
        <v>46119</v>
      </c>
      <c r="B734" s="847" t="s">
        <v>877</v>
      </c>
      <c r="C734">
        <v>3.2130000000000001</v>
      </c>
    </row>
    <row r="735" spans="1:3" x14ac:dyDescent="0.3">
      <c r="A735" s="35">
        <v>46120</v>
      </c>
      <c r="B735" s="847" t="s">
        <v>877</v>
      </c>
      <c r="C735">
        <v>3.2130000000000001</v>
      </c>
    </row>
    <row r="736" spans="1:3" x14ac:dyDescent="0.3">
      <c r="A736" s="35">
        <v>46121</v>
      </c>
      <c r="B736" s="847" t="s">
        <v>877</v>
      </c>
      <c r="C736">
        <v>3.2130000000000001</v>
      </c>
    </row>
    <row r="737" spans="1:3" x14ac:dyDescent="0.3">
      <c r="A737" s="35">
        <v>46122</v>
      </c>
      <c r="B737" s="847" t="s">
        <v>877</v>
      </c>
      <c r="C737">
        <v>3.2130000000000001</v>
      </c>
    </row>
    <row r="738" spans="1:3" x14ac:dyDescent="0.3">
      <c r="A738" s="35">
        <v>46125</v>
      </c>
      <c r="B738" s="847" t="s">
        <v>877</v>
      </c>
      <c r="C738">
        <v>3.2130000000000001</v>
      </c>
    </row>
    <row r="739" spans="1:3" x14ac:dyDescent="0.3">
      <c r="A739" s="35">
        <v>46126</v>
      </c>
      <c r="B739" s="847" t="s">
        <v>877</v>
      </c>
      <c r="C739">
        <v>3.2130000000000001</v>
      </c>
    </row>
    <row r="740" spans="1:3" x14ac:dyDescent="0.3">
      <c r="A740" s="35">
        <v>46127</v>
      </c>
      <c r="B740" s="847" t="s">
        <v>877</v>
      </c>
      <c r="C740">
        <v>3.2130000000000001</v>
      </c>
    </row>
    <row r="741" spans="1:3" x14ac:dyDescent="0.3">
      <c r="A741" s="35">
        <v>46128</v>
      </c>
      <c r="B741" s="847" t="s">
        <v>877</v>
      </c>
      <c r="C741">
        <v>3.2170000000000001</v>
      </c>
    </row>
    <row r="742" spans="1:3" x14ac:dyDescent="0.3">
      <c r="A742" s="35">
        <v>46129</v>
      </c>
      <c r="B742" s="847" t="s">
        <v>877</v>
      </c>
      <c r="C742">
        <v>3.2170000000000001</v>
      </c>
    </row>
    <row r="743" spans="1:3" x14ac:dyDescent="0.3">
      <c r="A743" s="35">
        <v>46132</v>
      </c>
      <c r="B743" s="847" t="s">
        <v>877</v>
      </c>
      <c r="C743">
        <v>3.258</v>
      </c>
    </row>
    <row r="744" spans="1:3" x14ac:dyDescent="0.3">
      <c r="A744" s="35">
        <v>46133</v>
      </c>
      <c r="B744" s="847" t="s">
        <v>877</v>
      </c>
      <c r="C744">
        <v>3.2170000000000001</v>
      </c>
    </row>
    <row r="745" spans="1:3" x14ac:dyDescent="0.3">
      <c r="A745" s="35">
        <v>46134</v>
      </c>
      <c r="B745" s="847" t="s">
        <v>877</v>
      </c>
      <c r="C745">
        <v>3.258</v>
      </c>
    </row>
    <row r="746" spans="1:3" x14ac:dyDescent="0.3">
      <c r="A746" s="35">
        <v>46135</v>
      </c>
      <c r="B746" s="847" t="s">
        <v>877</v>
      </c>
      <c r="C746">
        <v>3.2629999999999999</v>
      </c>
    </row>
    <row r="747" spans="1:3" x14ac:dyDescent="0.3">
      <c r="A747" s="35">
        <v>46136</v>
      </c>
      <c r="B747" s="847" t="s">
        <v>877</v>
      </c>
      <c r="C747">
        <v>3.2629999999999999</v>
      </c>
    </row>
    <row r="748" spans="1:3" x14ac:dyDescent="0.3">
      <c r="A748" s="35">
        <v>46140</v>
      </c>
      <c r="B748" s="847" t="s">
        <v>877</v>
      </c>
      <c r="C748">
        <v>3.2629999999999999</v>
      </c>
    </row>
    <row r="749" spans="1:3" x14ac:dyDescent="0.3">
      <c r="A749" s="35">
        <v>46141</v>
      </c>
      <c r="B749" s="847" t="s">
        <v>877</v>
      </c>
      <c r="C749">
        <v>3.2629999999999999</v>
      </c>
    </row>
    <row r="750" spans="1:3" x14ac:dyDescent="0.3">
      <c r="A750" s="35">
        <v>46146</v>
      </c>
      <c r="B750" s="847" t="s">
        <v>877</v>
      </c>
      <c r="C750">
        <v>3.2629999999999999</v>
      </c>
    </row>
    <row r="751" spans="1:3" x14ac:dyDescent="0.3">
      <c r="A751" s="35">
        <v>46147</v>
      </c>
      <c r="B751" s="847" t="s">
        <v>877</v>
      </c>
      <c r="C751">
        <v>3.2709999999999999</v>
      </c>
    </row>
    <row r="752" spans="1:3" x14ac:dyDescent="0.3">
      <c r="A752" s="35">
        <v>46148</v>
      </c>
      <c r="B752" s="847" t="s">
        <v>877</v>
      </c>
      <c r="C752">
        <v>3.2709999999999999</v>
      </c>
    </row>
    <row r="753" spans="1:3" x14ac:dyDescent="0.3">
      <c r="A753" s="35">
        <v>46149</v>
      </c>
      <c r="B753" s="847" t="s">
        <v>877</v>
      </c>
      <c r="C753">
        <v>3.2709999999999999</v>
      </c>
    </row>
    <row r="754" spans="1:3" x14ac:dyDescent="0.3">
      <c r="A754" s="35">
        <v>46150</v>
      </c>
      <c r="B754" s="847" t="s">
        <v>877</v>
      </c>
      <c r="C754">
        <v>3.2730000000000001</v>
      </c>
    </row>
    <row r="755" spans="1:3" x14ac:dyDescent="0.3">
      <c r="A755" s="35">
        <v>46153</v>
      </c>
      <c r="B755" s="847" t="s">
        <v>877</v>
      </c>
      <c r="C755">
        <v>3.2730000000000001</v>
      </c>
    </row>
    <row r="756" spans="1:3" x14ac:dyDescent="0.3">
      <c r="A756" s="35">
        <v>46154</v>
      </c>
      <c r="B756" s="847" t="s">
        <v>877</v>
      </c>
      <c r="C756">
        <v>3.2730000000000001</v>
      </c>
    </row>
    <row r="757" spans="1:3" x14ac:dyDescent="0.3">
      <c r="A757" s="35">
        <v>46155</v>
      </c>
      <c r="B757" s="847" t="s">
        <v>877</v>
      </c>
      <c r="C757">
        <v>3.2730000000000001</v>
      </c>
    </row>
    <row r="758" spans="1:3" x14ac:dyDescent="0.3">
      <c r="A758" s="35">
        <v>46156</v>
      </c>
      <c r="B758" s="847" t="s">
        <v>877</v>
      </c>
      <c r="C758">
        <v>3.2730000000000001</v>
      </c>
    </row>
    <row r="759" spans="1:3" x14ac:dyDescent="0.3">
      <c r="A759" s="35">
        <v>46157</v>
      </c>
      <c r="B759" s="847" t="s">
        <v>877</v>
      </c>
      <c r="C759">
        <v>3.2730000000000001</v>
      </c>
    </row>
    <row r="760" spans="1:3" x14ac:dyDescent="0.3">
      <c r="A760" s="35">
        <v>46160</v>
      </c>
      <c r="B760" s="847" t="s">
        <v>877</v>
      </c>
      <c r="C760">
        <v>3.2730000000000001</v>
      </c>
    </row>
    <row r="761" spans="1:3" x14ac:dyDescent="0.3">
      <c r="A761" s="35">
        <v>46161</v>
      </c>
      <c r="B761" s="847" t="s">
        <v>877</v>
      </c>
      <c r="C761">
        <v>3.2730000000000001</v>
      </c>
    </row>
    <row r="762" spans="1:3" x14ac:dyDescent="0.3">
      <c r="A762" s="35">
        <v>46162</v>
      </c>
      <c r="B762" s="847" t="s">
        <v>877</v>
      </c>
      <c r="C762">
        <v>3.2730000000000001</v>
      </c>
    </row>
    <row r="763" spans="1:3" x14ac:dyDescent="0.3">
      <c r="A763" s="35">
        <v>46163</v>
      </c>
      <c r="B763" s="847" t="s">
        <v>877</v>
      </c>
      <c r="C763">
        <v>3.2730000000000001</v>
      </c>
    </row>
    <row r="764" spans="1:3" x14ac:dyDescent="0.3">
      <c r="A764" s="35">
        <v>46164</v>
      </c>
      <c r="B764" s="847" t="s">
        <v>877</v>
      </c>
      <c r="C764">
        <v>3.2730000000000001</v>
      </c>
    </row>
    <row r="765" spans="1:3" x14ac:dyDescent="0.3">
      <c r="A765" s="35">
        <v>46167</v>
      </c>
      <c r="B765" s="847" t="s">
        <v>877</v>
      </c>
      <c r="C765">
        <v>3.2730000000000001</v>
      </c>
    </row>
    <row r="766" spans="1:3" x14ac:dyDescent="0.3">
      <c r="A766" s="35">
        <v>46168</v>
      </c>
      <c r="B766" s="847" t="s">
        <v>877</v>
      </c>
      <c r="C766">
        <v>3.2730000000000001</v>
      </c>
    </row>
    <row r="767" spans="1:3" x14ac:dyDescent="0.3">
      <c r="A767" s="35">
        <v>46169</v>
      </c>
      <c r="B767" s="847" t="s">
        <v>877</v>
      </c>
      <c r="C767">
        <v>3.2730000000000001</v>
      </c>
    </row>
    <row r="768" spans="1:3" x14ac:dyDescent="0.3">
      <c r="A768" s="35">
        <v>46170</v>
      </c>
      <c r="B768" s="847" t="s">
        <v>877</v>
      </c>
      <c r="C768">
        <v>3.2810000000000001</v>
      </c>
    </row>
    <row r="769" spans="1:3" x14ac:dyDescent="0.3">
      <c r="A769" s="35">
        <v>46171</v>
      </c>
      <c r="B769" s="847" t="s">
        <v>877</v>
      </c>
      <c r="C769">
        <v>3.294</v>
      </c>
    </row>
    <row r="770" spans="1:3" x14ac:dyDescent="0.3">
      <c r="A770" s="35">
        <v>46174</v>
      </c>
      <c r="B770" s="847" t="s">
        <v>877</v>
      </c>
      <c r="C770">
        <v>3.294</v>
      </c>
    </row>
    <row r="771" spans="1:3" x14ac:dyDescent="0.3">
      <c r="A771" s="35">
        <v>46175</v>
      </c>
      <c r="B771" s="847" t="s">
        <v>877</v>
      </c>
      <c r="C771">
        <v>3.31</v>
      </c>
    </row>
    <row r="772" spans="1:3" x14ac:dyDescent="0.3">
      <c r="A772" s="35">
        <v>46176</v>
      </c>
      <c r="B772" s="847" t="s">
        <v>877</v>
      </c>
      <c r="C772">
        <v>3.327</v>
      </c>
    </row>
    <row r="773" spans="1:3" x14ac:dyDescent="0.3">
      <c r="A773" s="35">
        <v>46177</v>
      </c>
      <c r="B773" s="847" t="s">
        <v>877</v>
      </c>
      <c r="C773">
        <v>3.335</v>
      </c>
    </row>
    <row r="774" spans="1:3" x14ac:dyDescent="0.3">
      <c r="A774" s="35">
        <v>46178</v>
      </c>
      <c r="B774" s="847" t="s">
        <v>877</v>
      </c>
      <c r="C774">
        <v>3.34</v>
      </c>
    </row>
    <row r="775" spans="1:3" x14ac:dyDescent="0.3">
      <c r="A775" s="35">
        <v>46181</v>
      </c>
      <c r="B775" s="847" t="s">
        <v>877</v>
      </c>
      <c r="C775">
        <v>3.3439999999999999</v>
      </c>
    </row>
    <row r="776" spans="1:3" x14ac:dyDescent="0.3">
      <c r="A776" s="35">
        <v>46182</v>
      </c>
      <c r="B776" s="847" t="s">
        <v>877</v>
      </c>
      <c r="C776">
        <v>3.3439999999999999</v>
      </c>
    </row>
    <row r="777" spans="1:3" x14ac:dyDescent="0.3">
      <c r="A777" s="35">
        <v>46183</v>
      </c>
      <c r="B777" s="847" t="s">
        <v>877</v>
      </c>
      <c r="C777">
        <v>3.3460000000000001</v>
      </c>
    </row>
    <row r="778" spans="1:3" x14ac:dyDescent="0.3">
      <c r="A778" s="35">
        <v>46184</v>
      </c>
      <c r="B778" s="847" t="s">
        <v>877</v>
      </c>
      <c r="C778">
        <v>3.3580000000000001</v>
      </c>
    </row>
    <row r="779" spans="1:3" x14ac:dyDescent="0.3">
      <c r="A779" s="35">
        <v>46185</v>
      </c>
      <c r="B779" s="847" t="s">
        <v>877</v>
      </c>
      <c r="C779">
        <v>3.363</v>
      </c>
    </row>
    <row r="780" spans="1:3" x14ac:dyDescent="0.3">
      <c r="A780" s="35">
        <v>46188</v>
      </c>
      <c r="B780" s="847" t="s">
        <v>877</v>
      </c>
      <c r="C780">
        <v>3.363</v>
      </c>
    </row>
    <row r="781" spans="1:3" x14ac:dyDescent="0.3">
      <c r="A781" s="35">
        <v>46189</v>
      </c>
      <c r="B781" s="847" t="s">
        <v>877</v>
      </c>
      <c r="C781">
        <v>3.363</v>
      </c>
    </row>
    <row r="782" spans="1:3" x14ac:dyDescent="0.3">
      <c r="A782" s="35">
        <v>46190</v>
      </c>
      <c r="B782" s="847" t="s">
        <v>877</v>
      </c>
      <c r="C782">
        <v>3.363</v>
      </c>
    </row>
    <row r="783" spans="1:3" x14ac:dyDescent="0.3">
      <c r="A783" s="35">
        <v>46191</v>
      </c>
      <c r="B783" s="847" t="s">
        <v>877</v>
      </c>
      <c r="C783">
        <v>3.371</v>
      </c>
    </row>
    <row r="784" spans="1:3" x14ac:dyDescent="0.3">
      <c r="A784" s="35">
        <v>46192</v>
      </c>
      <c r="B784" s="847" t="s">
        <v>877</v>
      </c>
      <c r="C784">
        <v>3.375</v>
      </c>
    </row>
    <row r="785" spans="1:3" x14ac:dyDescent="0.3">
      <c r="A785" s="35">
        <v>46195</v>
      </c>
      <c r="B785" s="847" t="s">
        <v>877</v>
      </c>
      <c r="C785">
        <v>3.375</v>
      </c>
    </row>
    <row r="786" spans="1:3" x14ac:dyDescent="0.3">
      <c r="A786" s="35">
        <v>46196</v>
      </c>
      <c r="B786" s="847" t="s">
        <v>877</v>
      </c>
      <c r="C786">
        <v>3.375</v>
      </c>
    </row>
    <row r="787" spans="1:3" x14ac:dyDescent="0.3">
      <c r="A787" s="35">
        <v>46197</v>
      </c>
      <c r="B787" s="847" t="s">
        <v>877</v>
      </c>
      <c r="C787">
        <v>3.375</v>
      </c>
    </row>
    <row r="788" spans="1:3" x14ac:dyDescent="0.3">
      <c r="A788" s="35">
        <v>46198</v>
      </c>
      <c r="B788" s="847" t="s">
        <v>877</v>
      </c>
      <c r="C788">
        <v>3.375</v>
      </c>
    </row>
    <row r="789" spans="1:3" x14ac:dyDescent="0.3">
      <c r="A789" s="35">
        <v>46199</v>
      </c>
      <c r="B789" s="847" t="s">
        <v>877</v>
      </c>
      <c r="C789">
        <v>3.3919999999999999</v>
      </c>
    </row>
    <row r="790" spans="1:3" x14ac:dyDescent="0.3">
      <c r="A790" s="35">
        <v>46202</v>
      </c>
      <c r="B790" s="847" t="s">
        <v>877</v>
      </c>
      <c r="C790">
        <v>3.3919999999999999</v>
      </c>
    </row>
    <row r="791" spans="1:3" x14ac:dyDescent="0.3">
      <c r="A791" s="35">
        <v>46203</v>
      </c>
      <c r="B791" s="847" t="s">
        <v>877</v>
      </c>
      <c r="C791">
        <v>3.3959999999999999</v>
      </c>
    </row>
    <row r="792" spans="1:3" x14ac:dyDescent="0.3">
      <c r="A792" s="35">
        <v>46204</v>
      </c>
      <c r="B792" s="847" t="s">
        <v>877</v>
      </c>
      <c r="C792">
        <v>3.3959999999999999</v>
      </c>
    </row>
    <row r="793" spans="1:3" x14ac:dyDescent="0.3">
      <c r="A793" s="35">
        <v>46205</v>
      </c>
      <c r="B793" s="847" t="s">
        <v>877</v>
      </c>
      <c r="C793">
        <v>3.3959999999999999</v>
      </c>
    </row>
    <row r="794" spans="1:3" x14ac:dyDescent="0.3">
      <c r="A794" s="35">
        <v>46206</v>
      </c>
      <c r="B794" s="847" t="s">
        <v>877</v>
      </c>
      <c r="C794">
        <v>3.3959999999999999</v>
      </c>
    </row>
    <row r="795" spans="1:3" x14ac:dyDescent="0.3">
      <c r="A795" s="35">
        <v>46209</v>
      </c>
      <c r="B795" s="847" t="s">
        <v>877</v>
      </c>
      <c r="C795">
        <v>3.3959999999999999</v>
      </c>
    </row>
    <row r="796" spans="1:3" x14ac:dyDescent="0.3">
      <c r="A796" s="35">
        <v>46210</v>
      </c>
      <c r="B796" s="847" t="s">
        <v>877</v>
      </c>
      <c r="C796">
        <v>3.3959999999999999</v>
      </c>
    </row>
    <row r="797" spans="1:3" x14ac:dyDescent="0.3">
      <c r="A797" s="35">
        <v>46211</v>
      </c>
      <c r="B797" s="847" t="s">
        <v>877</v>
      </c>
      <c r="C797">
        <v>3.3959999999999999</v>
      </c>
    </row>
    <row r="798" spans="1:3" x14ac:dyDescent="0.3">
      <c r="A798" s="35">
        <v>46212</v>
      </c>
      <c r="B798" s="847" t="s">
        <v>877</v>
      </c>
      <c r="C798">
        <v>3.3959999999999999</v>
      </c>
    </row>
    <row r="799" spans="1:3" x14ac:dyDescent="0.3">
      <c r="A799" s="35">
        <v>46213</v>
      </c>
      <c r="B799" s="847" t="s">
        <v>877</v>
      </c>
      <c r="C799">
        <v>3.3959999999999999</v>
      </c>
    </row>
    <row r="800" spans="1:3" x14ac:dyDescent="0.3">
      <c r="A800" s="35">
        <v>46216</v>
      </c>
      <c r="B800" s="847" t="s">
        <v>877</v>
      </c>
      <c r="C800">
        <v>3.3959999999999999</v>
      </c>
    </row>
    <row r="801" spans="1:3" x14ac:dyDescent="0.3">
      <c r="A801" s="35">
        <v>46217</v>
      </c>
      <c r="B801" s="847" t="s">
        <v>877</v>
      </c>
      <c r="C801">
        <v>3.3959999999999999</v>
      </c>
    </row>
    <row r="802" spans="1:3" x14ac:dyDescent="0.3">
      <c r="A802" s="35">
        <v>46218</v>
      </c>
      <c r="B802" s="847" t="s">
        <v>877</v>
      </c>
      <c r="C802">
        <v>3.3959999999999999</v>
      </c>
    </row>
    <row r="803" spans="1:3" x14ac:dyDescent="0.3">
      <c r="A803" s="35">
        <v>46219</v>
      </c>
      <c r="B803" s="847" t="s">
        <v>877</v>
      </c>
      <c r="C803">
        <v>3.3959999999999999</v>
      </c>
    </row>
    <row r="804" spans="1:3" x14ac:dyDescent="0.3">
      <c r="A804" s="35">
        <v>46220</v>
      </c>
      <c r="B804" s="847" t="s">
        <v>877</v>
      </c>
      <c r="C804">
        <v>3.4129999999999998</v>
      </c>
    </row>
    <row r="805" spans="1:3" x14ac:dyDescent="0.3">
      <c r="A805" s="35">
        <v>46223</v>
      </c>
      <c r="B805" s="847" t="s">
        <v>877</v>
      </c>
      <c r="C805">
        <v>3.4129999999999998</v>
      </c>
    </row>
    <row r="806" spans="1:3" x14ac:dyDescent="0.3">
      <c r="A806" s="35">
        <v>46224</v>
      </c>
      <c r="B806" s="847" t="s">
        <v>877</v>
      </c>
      <c r="C806">
        <v>3.45</v>
      </c>
    </row>
    <row r="807" spans="1:3" x14ac:dyDescent="0.3">
      <c r="A807" s="35">
        <v>46225</v>
      </c>
      <c r="B807" s="847" t="s">
        <v>877</v>
      </c>
      <c r="C807">
        <v>3.4670000000000001</v>
      </c>
    </row>
    <row r="808" spans="1:3" x14ac:dyDescent="0.3">
      <c r="A808" s="35">
        <v>46226</v>
      </c>
      <c r="B808" s="847" t="s">
        <v>877</v>
      </c>
      <c r="C808">
        <v>3.4670000000000001</v>
      </c>
    </row>
    <row r="809" spans="1:3" x14ac:dyDescent="0.3">
      <c r="A809" s="35">
        <v>46227</v>
      </c>
      <c r="B809" s="847" t="s">
        <v>877</v>
      </c>
      <c r="C809">
        <v>3.4670000000000001</v>
      </c>
    </row>
    <row r="810" spans="1:3" x14ac:dyDescent="0.3">
      <c r="A810" s="35">
        <v>46230</v>
      </c>
      <c r="B810" s="847" t="s">
        <v>877</v>
      </c>
      <c r="C810">
        <v>3.4670000000000001</v>
      </c>
    </row>
    <row r="811" spans="1:3" x14ac:dyDescent="0.3">
      <c r="A811" s="35">
        <v>46231</v>
      </c>
      <c r="B811" s="847" t="s">
        <v>877</v>
      </c>
      <c r="C811">
        <v>3.4670000000000001</v>
      </c>
    </row>
    <row r="812" spans="1:3" x14ac:dyDescent="0.3">
      <c r="A812" s="35">
        <v>46232</v>
      </c>
      <c r="B812" s="847" t="s">
        <v>877</v>
      </c>
      <c r="C812">
        <v>3.4670000000000001</v>
      </c>
    </row>
    <row r="813" spans="1:3" x14ac:dyDescent="0.3">
      <c r="A813" s="35">
        <v>46233</v>
      </c>
      <c r="B813" s="847" t="s">
        <v>877</v>
      </c>
      <c r="C813">
        <v>3.4670000000000001</v>
      </c>
    </row>
    <row r="814" spans="1:3" x14ac:dyDescent="0.3">
      <c r="A814" s="35">
        <v>46234</v>
      </c>
      <c r="B814" s="847" t="s">
        <v>877</v>
      </c>
      <c r="C814">
        <v>3.4670000000000001</v>
      </c>
    </row>
    <row r="815" spans="1:3" x14ac:dyDescent="0.3">
      <c r="A815" s="35">
        <v>46237</v>
      </c>
      <c r="B815" s="847" t="s">
        <v>877</v>
      </c>
      <c r="C815">
        <v>3.508</v>
      </c>
    </row>
    <row r="816" spans="1:3" x14ac:dyDescent="0.3">
      <c r="A816" s="35">
        <v>46238</v>
      </c>
      <c r="B816" s="847" t="s">
        <v>877</v>
      </c>
      <c r="C816">
        <v>3.508</v>
      </c>
    </row>
    <row r="817" spans="1:3" x14ac:dyDescent="0.3">
      <c r="A817" s="35">
        <v>46239</v>
      </c>
      <c r="B817" s="847" t="s">
        <v>877</v>
      </c>
      <c r="C817">
        <v>3.508</v>
      </c>
    </row>
    <row r="818" spans="1:3" x14ac:dyDescent="0.3">
      <c r="A818" s="35">
        <v>46240</v>
      </c>
      <c r="B818" s="847" t="s">
        <v>877</v>
      </c>
      <c r="C818">
        <v>3.5169999999999999</v>
      </c>
    </row>
    <row r="819" spans="1:3" x14ac:dyDescent="0.3">
      <c r="A819" s="35">
        <v>46241</v>
      </c>
      <c r="B819" s="847" t="s">
        <v>877</v>
      </c>
      <c r="C819">
        <v>3.5169999999999999</v>
      </c>
    </row>
    <row r="820" spans="1:3" x14ac:dyDescent="0.3">
      <c r="A820" s="35">
        <v>46244</v>
      </c>
      <c r="B820" s="847" t="s">
        <v>877</v>
      </c>
      <c r="C820">
        <v>3.5169999999999999</v>
      </c>
    </row>
    <row r="821" spans="1:3" x14ac:dyDescent="0.3">
      <c r="A821" s="35">
        <v>46245</v>
      </c>
      <c r="B821" s="847" t="s">
        <v>877</v>
      </c>
      <c r="C821">
        <v>3.5169999999999999</v>
      </c>
    </row>
    <row r="822" spans="1:3" x14ac:dyDescent="0.3">
      <c r="A822" s="35">
        <v>46246</v>
      </c>
      <c r="B822" s="847" t="s">
        <v>877</v>
      </c>
      <c r="C822">
        <v>3.5289999999999999</v>
      </c>
    </row>
    <row r="823" spans="1:3" x14ac:dyDescent="0.3">
      <c r="A823" s="35">
        <v>46247</v>
      </c>
      <c r="B823" s="847" t="s">
        <v>877</v>
      </c>
      <c r="C823">
        <v>3.5289999999999999</v>
      </c>
    </row>
    <row r="824" spans="1:3" x14ac:dyDescent="0.3">
      <c r="A824" s="35">
        <v>46248</v>
      </c>
      <c r="B824" s="847" t="s">
        <v>877</v>
      </c>
      <c r="C824">
        <v>3.5289999999999999</v>
      </c>
    </row>
    <row r="825" spans="1:3" x14ac:dyDescent="0.3">
      <c r="A825" s="35">
        <v>46251</v>
      </c>
      <c r="B825" s="847" t="s">
        <v>877</v>
      </c>
      <c r="C825">
        <v>3.5289999999999999</v>
      </c>
    </row>
    <row r="826" spans="1:3" x14ac:dyDescent="0.3">
      <c r="A826" s="35">
        <v>46252</v>
      </c>
      <c r="B826" s="847" t="s">
        <v>877</v>
      </c>
      <c r="C826">
        <v>3.5289999999999999</v>
      </c>
    </row>
    <row r="827" spans="1:3" x14ac:dyDescent="0.3">
      <c r="A827" s="35">
        <v>45852</v>
      </c>
      <c r="B827" s="847" t="s">
        <v>885</v>
      </c>
      <c r="C827">
        <v>3.4079999999999999</v>
      </c>
    </row>
    <row r="828" spans="1:3" x14ac:dyDescent="0.3">
      <c r="A828" s="35">
        <v>45853</v>
      </c>
      <c r="B828" s="847" t="s">
        <v>885</v>
      </c>
      <c r="C828">
        <v>3.4169999999999998</v>
      </c>
    </row>
    <row r="829" spans="1:3" x14ac:dyDescent="0.3">
      <c r="A829" s="35">
        <v>45854</v>
      </c>
      <c r="B829" s="847" t="s">
        <v>885</v>
      </c>
      <c r="C829">
        <v>3.4169999999999998</v>
      </c>
    </row>
    <row r="830" spans="1:3" x14ac:dyDescent="0.3">
      <c r="A830" s="35">
        <v>45855</v>
      </c>
      <c r="B830" s="847" t="s">
        <v>885</v>
      </c>
      <c r="C830">
        <v>3.423</v>
      </c>
    </row>
    <row r="831" spans="1:3" x14ac:dyDescent="0.3">
      <c r="A831" s="35">
        <v>45856</v>
      </c>
      <c r="B831" s="847" t="s">
        <v>885</v>
      </c>
      <c r="C831">
        <v>3.4329999999999998</v>
      </c>
    </row>
    <row r="832" spans="1:3" x14ac:dyDescent="0.3">
      <c r="A832" s="35">
        <v>45859</v>
      </c>
      <c r="B832" s="847" t="s">
        <v>885</v>
      </c>
      <c r="C832">
        <v>3.4329999999999998</v>
      </c>
    </row>
    <row r="833" spans="1:3" x14ac:dyDescent="0.3">
      <c r="A833" s="35">
        <v>45860</v>
      </c>
      <c r="B833" s="847" t="s">
        <v>885</v>
      </c>
      <c r="C833">
        <v>3.4329999999999998</v>
      </c>
    </row>
    <row r="834" spans="1:3" x14ac:dyDescent="0.3">
      <c r="A834" s="35">
        <v>45861</v>
      </c>
      <c r="B834" s="847" t="s">
        <v>885</v>
      </c>
      <c r="C834">
        <v>3.4420000000000002</v>
      </c>
    </row>
    <row r="835" spans="1:3" x14ac:dyDescent="0.3">
      <c r="A835" s="35">
        <v>45862</v>
      </c>
      <c r="B835" s="847" t="s">
        <v>885</v>
      </c>
      <c r="C835">
        <v>3.4769999999999999</v>
      </c>
    </row>
    <row r="836" spans="1:3" x14ac:dyDescent="0.3">
      <c r="A836" s="35">
        <v>45863</v>
      </c>
      <c r="B836" s="847" t="s">
        <v>885</v>
      </c>
      <c r="C836">
        <v>3.49</v>
      </c>
    </row>
    <row r="837" spans="1:3" x14ac:dyDescent="0.3">
      <c r="A837" s="35">
        <v>45866</v>
      </c>
      <c r="B837" s="847" t="s">
        <v>885</v>
      </c>
      <c r="C837">
        <v>3.49</v>
      </c>
    </row>
    <row r="838" spans="1:3" x14ac:dyDescent="0.3">
      <c r="A838" s="35">
        <v>45867</v>
      </c>
      <c r="B838" s="847" t="s">
        <v>885</v>
      </c>
      <c r="C838">
        <v>3.4940000000000002</v>
      </c>
    </row>
    <row r="839" spans="1:3" x14ac:dyDescent="0.3">
      <c r="A839" s="35">
        <v>45868</v>
      </c>
      <c r="B839" s="847" t="s">
        <v>885</v>
      </c>
      <c r="C839">
        <v>3.4940000000000002</v>
      </c>
    </row>
    <row r="840" spans="1:3" x14ac:dyDescent="0.3">
      <c r="A840" s="35">
        <v>45869</v>
      </c>
      <c r="B840" s="847" t="s">
        <v>885</v>
      </c>
      <c r="C840">
        <v>3.5019999999999998</v>
      </c>
    </row>
    <row r="841" spans="1:3" x14ac:dyDescent="0.3">
      <c r="A841" s="35">
        <v>45870</v>
      </c>
      <c r="B841" s="847" t="s">
        <v>885</v>
      </c>
      <c r="C841">
        <v>3.5019999999999998</v>
      </c>
    </row>
    <row r="842" spans="1:3" x14ac:dyDescent="0.3">
      <c r="A842" s="35">
        <v>45873</v>
      </c>
      <c r="B842" s="847" t="s">
        <v>885</v>
      </c>
      <c r="C842">
        <v>3.5019999999999998</v>
      </c>
    </row>
    <row r="843" spans="1:3" x14ac:dyDescent="0.3">
      <c r="A843" s="35">
        <v>45874</v>
      </c>
      <c r="B843" s="847" t="s">
        <v>885</v>
      </c>
      <c r="C843">
        <v>3.5019999999999998</v>
      </c>
    </row>
    <row r="844" spans="1:3" x14ac:dyDescent="0.3">
      <c r="A844" s="35">
        <v>45875</v>
      </c>
      <c r="B844" s="847" t="s">
        <v>885</v>
      </c>
      <c r="C844">
        <v>3.508</v>
      </c>
    </row>
    <row r="845" spans="1:3" x14ac:dyDescent="0.3">
      <c r="A845" s="35">
        <v>45876</v>
      </c>
      <c r="B845" s="847" t="s">
        <v>885</v>
      </c>
      <c r="C845">
        <v>3.5329999999999999</v>
      </c>
    </row>
    <row r="846" spans="1:3" x14ac:dyDescent="0.3">
      <c r="A846" s="35">
        <v>45877</v>
      </c>
      <c r="B846" s="847" t="s">
        <v>885</v>
      </c>
      <c r="C846">
        <v>3.5329999999999999</v>
      </c>
    </row>
    <row r="847" spans="1:3" x14ac:dyDescent="0.3">
      <c r="A847" s="35">
        <v>45880</v>
      </c>
      <c r="B847" s="847" t="s">
        <v>885</v>
      </c>
      <c r="C847">
        <v>3.5329999999999999</v>
      </c>
    </row>
    <row r="848" spans="1:3" x14ac:dyDescent="0.3">
      <c r="A848" s="35">
        <v>45881</v>
      </c>
      <c r="B848" s="847" t="s">
        <v>885</v>
      </c>
      <c r="C848">
        <v>3.5379999999999998</v>
      </c>
    </row>
    <row r="849" spans="1:3" x14ac:dyDescent="0.3">
      <c r="A849" s="35">
        <v>45882</v>
      </c>
      <c r="B849" s="847" t="s">
        <v>885</v>
      </c>
      <c r="C849">
        <v>3.5329999999999999</v>
      </c>
    </row>
    <row r="850" spans="1:3" x14ac:dyDescent="0.3">
      <c r="A850" s="35">
        <v>45883</v>
      </c>
      <c r="B850" s="847" t="s">
        <v>885</v>
      </c>
      <c r="C850">
        <v>3.5710000000000002</v>
      </c>
    </row>
    <row r="851" spans="1:3" x14ac:dyDescent="0.3">
      <c r="A851" s="35">
        <v>45884</v>
      </c>
      <c r="B851" s="847" t="s">
        <v>885</v>
      </c>
      <c r="C851">
        <v>3.5790000000000002</v>
      </c>
    </row>
    <row r="852" spans="1:3" x14ac:dyDescent="0.3">
      <c r="A852" s="35">
        <v>45887</v>
      </c>
      <c r="B852" s="847" t="s">
        <v>885</v>
      </c>
      <c r="C852">
        <v>3.5880000000000001</v>
      </c>
    </row>
    <row r="853" spans="1:3" x14ac:dyDescent="0.3">
      <c r="A853" s="35">
        <v>45888</v>
      </c>
      <c r="B853" s="847" t="s">
        <v>885</v>
      </c>
      <c r="C853">
        <v>3.5880000000000001</v>
      </c>
    </row>
    <row r="854" spans="1:3" x14ac:dyDescent="0.3">
      <c r="A854" s="35">
        <v>45889</v>
      </c>
      <c r="B854" s="847" t="s">
        <v>885</v>
      </c>
      <c r="C854">
        <v>3.5880000000000001</v>
      </c>
    </row>
    <row r="855" spans="1:3" x14ac:dyDescent="0.3">
      <c r="A855" s="35">
        <v>45890</v>
      </c>
      <c r="B855" s="847" t="s">
        <v>885</v>
      </c>
      <c r="C855">
        <v>3.629</v>
      </c>
    </row>
    <row r="856" spans="1:3" x14ac:dyDescent="0.3">
      <c r="A856" s="35">
        <v>45891</v>
      </c>
      <c r="B856" s="847" t="s">
        <v>885</v>
      </c>
      <c r="C856">
        <v>3.6379999999999999</v>
      </c>
    </row>
    <row r="857" spans="1:3" x14ac:dyDescent="0.3">
      <c r="A857" s="35">
        <v>45894</v>
      </c>
      <c r="B857" s="847" t="s">
        <v>885</v>
      </c>
      <c r="C857">
        <v>3.6480000000000001</v>
      </c>
    </row>
    <row r="858" spans="1:3" x14ac:dyDescent="0.3">
      <c r="A858" s="35">
        <v>45895</v>
      </c>
      <c r="B858" s="847" t="s">
        <v>885</v>
      </c>
      <c r="C858">
        <v>3.669</v>
      </c>
    </row>
    <row r="859" spans="1:3" x14ac:dyDescent="0.3">
      <c r="A859" s="35">
        <v>45896</v>
      </c>
      <c r="B859" s="847" t="s">
        <v>885</v>
      </c>
      <c r="C859">
        <v>3.673</v>
      </c>
    </row>
    <row r="860" spans="1:3" x14ac:dyDescent="0.3">
      <c r="A860" s="35">
        <v>45897</v>
      </c>
      <c r="B860" s="847" t="s">
        <v>885</v>
      </c>
      <c r="C860">
        <v>3.6709999999999998</v>
      </c>
    </row>
    <row r="861" spans="1:3" x14ac:dyDescent="0.3">
      <c r="A861" s="35">
        <v>45898</v>
      </c>
      <c r="B861" s="847" t="s">
        <v>885</v>
      </c>
      <c r="C861">
        <v>3.677</v>
      </c>
    </row>
    <row r="862" spans="1:3" x14ac:dyDescent="0.3">
      <c r="A862" s="35">
        <v>45903</v>
      </c>
      <c r="B862" s="847" t="s">
        <v>885</v>
      </c>
      <c r="C862">
        <v>3.677</v>
      </c>
    </row>
    <row r="863" spans="1:3" x14ac:dyDescent="0.3">
      <c r="A863" s="35">
        <v>45904</v>
      </c>
      <c r="B863" s="847" t="s">
        <v>885</v>
      </c>
      <c r="C863">
        <v>3.677</v>
      </c>
    </row>
    <row r="864" spans="1:3" x14ac:dyDescent="0.3">
      <c r="A864" s="35">
        <v>45905</v>
      </c>
      <c r="B864" s="847" t="s">
        <v>885</v>
      </c>
      <c r="C864">
        <v>3.677</v>
      </c>
    </row>
    <row r="865" spans="1:3" x14ac:dyDescent="0.3">
      <c r="A865" s="35">
        <v>45908</v>
      </c>
      <c r="B865" s="847" t="s">
        <v>885</v>
      </c>
      <c r="C865">
        <v>3.677</v>
      </c>
    </row>
    <row r="866" spans="1:3" x14ac:dyDescent="0.3">
      <c r="A866" s="35">
        <v>45909</v>
      </c>
      <c r="B866" s="847" t="s">
        <v>885</v>
      </c>
      <c r="C866">
        <v>3.677</v>
      </c>
    </row>
    <row r="867" spans="1:3" x14ac:dyDescent="0.3">
      <c r="A867" s="35">
        <v>45910</v>
      </c>
      <c r="B867" s="847" t="s">
        <v>885</v>
      </c>
      <c r="C867">
        <v>3.677</v>
      </c>
    </row>
    <row r="868" spans="1:3" x14ac:dyDescent="0.3">
      <c r="A868" s="35">
        <v>45911</v>
      </c>
      <c r="B868" s="847" t="s">
        <v>885</v>
      </c>
      <c r="C868">
        <v>3.681</v>
      </c>
    </row>
    <row r="869" spans="1:3" x14ac:dyDescent="0.3">
      <c r="A869" s="35">
        <v>45912</v>
      </c>
      <c r="B869" s="847" t="s">
        <v>885</v>
      </c>
      <c r="C869">
        <v>3.681</v>
      </c>
    </row>
    <row r="870" spans="1:3" x14ac:dyDescent="0.3">
      <c r="A870" s="35">
        <v>45915</v>
      </c>
      <c r="B870" s="847" t="s">
        <v>885</v>
      </c>
      <c r="C870">
        <v>3.6840000000000002</v>
      </c>
    </row>
    <row r="871" spans="1:3" x14ac:dyDescent="0.3">
      <c r="A871" s="35">
        <v>45916</v>
      </c>
      <c r="B871" s="847" t="s">
        <v>885</v>
      </c>
      <c r="C871">
        <v>3.6850000000000001</v>
      </c>
    </row>
    <row r="872" spans="1:3" x14ac:dyDescent="0.3">
      <c r="A872" s="35">
        <v>45917</v>
      </c>
      <c r="B872" s="847" t="s">
        <v>885</v>
      </c>
      <c r="C872">
        <v>3.6850000000000001</v>
      </c>
    </row>
    <row r="873" spans="1:3" x14ac:dyDescent="0.3">
      <c r="A873" s="35">
        <v>45918</v>
      </c>
      <c r="B873" s="847" t="s">
        <v>885</v>
      </c>
      <c r="C873">
        <v>3.694</v>
      </c>
    </row>
    <row r="874" spans="1:3" x14ac:dyDescent="0.3">
      <c r="A874" s="35">
        <v>45919</v>
      </c>
      <c r="B874" s="847" t="s">
        <v>885</v>
      </c>
      <c r="C874">
        <v>3.694</v>
      </c>
    </row>
    <row r="875" spans="1:3" x14ac:dyDescent="0.3">
      <c r="A875" s="35">
        <v>45922</v>
      </c>
      <c r="B875" s="847" t="s">
        <v>885</v>
      </c>
      <c r="C875">
        <v>3.694</v>
      </c>
    </row>
    <row r="876" spans="1:3" x14ac:dyDescent="0.3">
      <c r="A876" s="35">
        <v>45923</v>
      </c>
      <c r="B876" s="847" t="s">
        <v>885</v>
      </c>
      <c r="C876">
        <v>3.694</v>
      </c>
    </row>
    <row r="877" spans="1:3" x14ac:dyDescent="0.3">
      <c r="A877" s="35">
        <v>45924</v>
      </c>
      <c r="B877" s="847" t="s">
        <v>885</v>
      </c>
      <c r="C877">
        <v>3.694</v>
      </c>
    </row>
    <row r="878" spans="1:3" x14ac:dyDescent="0.3">
      <c r="A878" s="35">
        <v>45925</v>
      </c>
      <c r="B878" s="847" t="s">
        <v>885</v>
      </c>
      <c r="C878">
        <v>3.7290000000000001</v>
      </c>
    </row>
    <row r="879" spans="1:3" x14ac:dyDescent="0.3">
      <c r="A879" s="35">
        <v>45926</v>
      </c>
      <c r="B879" s="847" t="s">
        <v>885</v>
      </c>
      <c r="C879">
        <v>3.7309999999999999</v>
      </c>
    </row>
    <row r="880" spans="1:3" x14ac:dyDescent="0.3">
      <c r="A880" s="35">
        <v>45929</v>
      </c>
      <c r="B880" s="847" t="s">
        <v>885</v>
      </c>
      <c r="C880">
        <v>3.7309999999999999</v>
      </c>
    </row>
    <row r="881" spans="1:3" x14ac:dyDescent="0.3">
      <c r="A881" s="35">
        <v>45930</v>
      </c>
      <c r="B881" s="847" t="s">
        <v>885</v>
      </c>
      <c r="C881">
        <v>3.7309999999999999</v>
      </c>
    </row>
    <row r="882" spans="1:3" x14ac:dyDescent="0.3">
      <c r="A882" s="35">
        <v>45931</v>
      </c>
      <c r="B882" s="847" t="s">
        <v>885</v>
      </c>
      <c r="C882">
        <v>3.7309999999999999</v>
      </c>
    </row>
    <row r="883" spans="1:3" x14ac:dyDescent="0.3">
      <c r="A883" s="35">
        <v>45932</v>
      </c>
      <c r="B883" s="847" t="s">
        <v>885</v>
      </c>
      <c r="C883">
        <v>3.7570000000000001</v>
      </c>
    </row>
    <row r="884" spans="1:3" x14ac:dyDescent="0.3">
      <c r="A884" s="35">
        <v>45933</v>
      </c>
      <c r="B884" s="847" t="s">
        <v>885</v>
      </c>
      <c r="C884">
        <v>3.7570000000000001</v>
      </c>
    </row>
    <row r="885" spans="1:3" x14ac:dyDescent="0.3">
      <c r="A885" s="35">
        <v>45936</v>
      </c>
      <c r="B885" s="847" t="s">
        <v>885</v>
      </c>
      <c r="C885">
        <v>3.7570000000000001</v>
      </c>
    </row>
    <row r="886" spans="1:3" x14ac:dyDescent="0.3">
      <c r="A886" s="35">
        <v>45937</v>
      </c>
      <c r="B886" s="847" t="s">
        <v>885</v>
      </c>
      <c r="C886">
        <v>3.7570000000000001</v>
      </c>
    </row>
    <row r="887" spans="1:3" x14ac:dyDescent="0.3">
      <c r="A887" s="35">
        <v>45938</v>
      </c>
      <c r="B887" s="847" t="s">
        <v>885</v>
      </c>
      <c r="C887">
        <v>3.7610000000000001</v>
      </c>
    </row>
    <row r="888" spans="1:3" x14ac:dyDescent="0.3">
      <c r="A888" s="35">
        <v>45939</v>
      </c>
      <c r="B888" s="847" t="s">
        <v>885</v>
      </c>
      <c r="C888">
        <v>3.786</v>
      </c>
    </row>
    <row r="889" spans="1:3" x14ac:dyDescent="0.3">
      <c r="A889" s="35">
        <v>45940</v>
      </c>
      <c r="B889" s="847" t="s">
        <v>885</v>
      </c>
      <c r="C889">
        <v>3.798</v>
      </c>
    </row>
    <row r="890" spans="1:3" x14ac:dyDescent="0.3">
      <c r="A890" s="35">
        <v>45943</v>
      </c>
      <c r="B890" s="847" t="s">
        <v>885</v>
      </c>
      <c r="C890">
        <v>3.8029999999999999</v>
      </c>
    </row>
    <row r="891" spans="1:3" x14ac:dyDescent="0.3">
      <c r="A891" s="35">
        <v>45944</v>
      </c>
      <c r="B891" s="847" t="s">
        <v>885</v>
      </c>
      <c r="C891">
        <v>3.8109999999999999</v>
      </c>
    </row>
    <row r="892" spans="1:3" x14ac:dyDescent="0.3">
      <c r="A892" s="35">
        <v>45945</v>
      </c>
      <c r="B892" s="847" t="s">
        <v>885</v>
      </c>
      <c r="C892">
        <v>3.8109999999999999</v>
      </c>
    </row>
    <row r="893" spans="1:3" x14ac:dyDescent="0.3">
      <c r="A893" s="35">
        <v>45946</v>
      </c>
      <c r="B893" s="847" t="s">
        <v>885</v>
      </c>
      <c r="C893">
        <v>3.8279999999999998</v>
      </c>
    </row>
    <row r="894" spans="1:3" x14ac:dyDescent="0.3">
      <c r="A894" s="35">
        <v>45947</v>
      </c>
      <c r="B894" s="847" t="s">
        <v>885</v>
      </c>
      <c r="C894">
        <v>3.8279999999999998</v>
      </c>
    </row>
    <row r="895" spans="1:3" x14ac:dyDescent="0.3">
      <c r="A895" s="35">
        <v>45950</v>
      </c>
      <c r="B895" s="847" t="s">
        <v>885</v>
      </c>
      <c r="C895">
        <v>3.8439999999999999</v>
      </c>
    </row>
    <row r="896" spans="1:3" x14ac:dyDescent="0.3">
      <c r="A896" s="35">
        <v>45951</v>
      </c>
      <c r="B896" s="847" t="s">
        <v>885</v>
      </c>
      <c r="C896">
        <v>3.8439999999999999</v>
      </c>
    </row>
    <row r="897" spans="1:3" x14ac:dyDescent="0.3">
      <c r="A897" s="35">
        <v>45952</v>
      </c>
      <c r="B897" s="847" t="s">
        <v>885</v>
      </c>
      <c r="C897">
        <v>3.8439999999999999</v>
      </c>
    </row>
    <row r="898" spans="1:3" x14ac:dyDescent="0.3">
      <c r="A898" s="35">
        <v>45953</v>
      </c>
      <c r="B898" s="847" t="s">
        <v>885</v>
      </c>
      <c r="C898">
        <v>3.8530000000000002</v>
      </c>
    </row>
    <row r="899" spans="1:3" x14ac:dyDescent="0.3">
      <c r="A899" s="35">
        <v>45954</v>
      </c>
      <c r="B899" s="847" t="s">
        <v>885</v>
      </c>
      <c r="C899">
        <v>3.8530000000000002</v>
      </c>
    </row>
    <row r="900" spans="1:3" x14ac:dyDescent="0.3">
      <c r="A900" s="35">
        <v>45957</v>
      </c>
      <c r="B900" s="847" t="s">
        <v>885</v>
      </c>
      <c r="C900">
        <v>3.8530000000000002</v>
      </c>
    </row>
    <row r="901" spans="1:3" x14ac:dyDescent="0.3">
      <c r="A901" s="35">
        <v>45958</v>
      </c>
      <c r="B901" s="847" t="s">
        <v>885</v>
      </c>
      <c r="C901">
        <v>3.8650000000000002</v>
      </c>
    </row>
    <row r="902" spans="1:3" x14ac:dyDescent="0.3">
      <c r="A902" s="35">
        <v>45959</v>
      </c>
      <c r="B902" s="847" t="s">
        <v>885</v>
      </c>
      <c r="C902">
        <v>3.8650000000000002</v>
      </c>
    </row>
    <row r="903" spans="1:3" x14ac:dyDescent="0.3">
      <c r="A903" s="35">
        <v>45960</v>
      </c>
      <c r="B903" s="847" t="s">
        <v>885</v>
      </c>
      <c r="C903">
        <v>3.8849999999999998</v>
      </c>
    </row>
    <row r="904" spans="1:3" x14ac:dyDescent="0.3">
      <c r="A904" s="35">
        <v>45961</v>
      </c>
      <c r="B904" s="847" t="s">
        <v>885</v>
      </c>
      <c r="C904">
        <v>3.895</v>
      </c>
    </row>
    <row r="905" spans="1:3" x14ac:dyDescent="0.3">
      <c r="A905" s="35">
        <v>45964</v>
      </c>
      <c r="B905" s="847" t="s">
        <v>885</v>
      </c>
      <c r="C905">
        <v>3.895</v>
      </c>
    </row>
    <row r="906" spans="1:3" x14ac:dyDescent="0.3">
      <c r="A906" s="35">
        <v>45965</v>
      </c>
      <c r="B906" s="847" t="s">
        <v>885</v>
      </c>
      <c r="C906">
        <v>3.8980000000000001</v>
      </c>
    </row>
    <row r="907" spans="1:3" x14ac:dyDescent="0.3">
      <c r="A907" s="35">
        <v>45966</v>
      </c>
      <c r="B907" s="847" t="s">
        <v>885</v>
      </c>
      <c r="C907">
        <v>3.9020000000000001</v>
      </c>
    </row>
    <row r="908" spans="1:3" x14ac:dyDescent="0.3">
      <c r="A908" s="35">
        <v>45967</v>
      </c>
      <c r="B908" s="847" t="s">
        <v>885</v>
      </c>
      <c r="C908">
        <v>3.9060000000000001</v>
      </c>
    </row>
    <row r="909" spans="1:3" x14ac:dyDescent="0.3">
      <c r="A909" s="35">
        <v>45968</v>
      </c>
      <c r="B909" s="847" t="s">
        <v>885</v>
      </c>
      <c r="C909">
        <v>3.9060000000000001</v>
      </c>
    </row>
    <row r="910" spans="1:3" x14ac:dyDescent="0.3">
      <c r="A910" s="35">
        <v>45971</v>
      </c>
      <c r="B910" s="847" t="s">
        <v>885</v>
      </c>
      <c r="C910">
        <v>3.948</v>
      </c>
    </row>
    <row r="911" spans="1:3" x14ac:dyDescent="0.3">
      <c r="A911" s="35">
        <v>45972</v>
      </c>
      <c r="B911" s="847" t="s">
        <v>885</v>
      </c>
      <c r="C911">
        <v>3.948</v>
      </c>
    </row>
    <row r="912" spans="1:3" x14ac:dyDescent="0.3">
      <c r="A912" s="35">
        <v>45973</v>
      </c>
      <c r="B912" s="847" t="s">
        <v>885</v>
      </c>
      <c r="C912">
        <v>3.956</v>
      </c>
    </row>
    <row r="913" spans="1:3" x14ac:dyDescent="0.3">
      <c r="A913" s="35">
        <v>45974</v>
      </c>
      <c r="B913" s="847" t="s">
        <v>885</v>
      </c>
      <c r="C913">
        <v>3.968</v>
      </c>
    </row>
    <row r="914" spans="1:3" x14ac:dyDescent="0.3">
      <c r="A914" s="35">
        <v>45975</v>
      </c>
      <c r="B914" s="847" t="s">
        <v>885</v>
      </c>
      <c r="C914">
        <v>3.9729999999999999</v>
      </c>
    </row>
    <row r="915" spans="1:3" x14ac:dyDescent="0.3">
      <c r="A915" s="35">
        <v>45978</v>
      </c>
      <c r="B915" s="847" t="s">
        <v>885</v>
      </c>
      <c r="C915">
        <v>3.9729999999999999</v>
      </c>
    </row>
    <row r="916" spans="1:3" x14ac:dyDescent="0.3">
      <c r="A916" s="35">
        <v>45979</v>
      </c>
      <c r="B916" s="847" t="s">
        <v>885</v>
      </c>
      <c r="C916">
        <v>3.9769999999999999</v>
      </c>
    </row>
    <row r="917" spans="1:3" x14ac:dyDescent="0.3">
      <c r="A917" s="35">
        <v>45980</v>
      </c>
      <c r="B917" s="847" t="s">
        <v>885</v>
      </c>
      <c r="C917">
        <v>3.9769999999999999</v>
      </c>
    </row>
    <row r="918" spans="1:3" x14ac:dyDescent="0.3">
      <c r="A918" s="35">
        <v>45981</v>
      </c>
      <c r="B918" s="847" t="s">
        <v>885</v>
      </c>
      <c r="C918">
        <v>3.9780000000000002</v>
      </c>
    </row>
    <row r="919" spans="1:3" x14ac:dyDescent="0.3">
      <c r="A919" s="35">
        <v>45982</v>
      </c>
      <c r="B919" s="847" t="s">
        <v>885</v>
      </c>
      <c r="C919">
        <v>3.9830000000000001</v>
      </c>
    </row>
    <row r="920" spans="1:3" x14ac:dyDescent="0.3">
      <c r="A920" s="35">
        <v>45985</v>
      </c>
      <c r="B920" s="847" t="s">
        <v>885</v>
      </c>
      <c r="C920">
        <v>3.9830000000000001</v>
      </c>
    </row>
    <row r="921" spans="1:3" x14ac:dyDescent="0.3">
      <c r="A921" s="35">
        <v>45986</v>
      </c>
      <c r="B921" s="847" t="s">
        <v>885</v>
      </c>
      <c r="C921">
        <v>3.9830000000000001</v>
      </c>
    </row>
    <row r="922" spans="1:3" x14ac:dyDescent="0.3">
      <c r="A922" s="35">
        <v>45987</v>
      </c>
      <c r="B922" s="847" t="s">
        <v>885</v>
      </c>
      <c r="C922">
        <v>3.9830000000000001</v>
      </c>
    </row>
    <row r="923" spans="1:3" x14ac:dyDescent="0.3">
      <c r="A923" s="35">
        <v>45988</v>
      </c>
      <c r="B923" s="847" t="s">
        <v>885</v>
      </c>
      <c r="C923">
        <v>3.9830000000000001</v>
      </c>
    </row>
    <row r="924" spans="1:3" x14ac:dyDescent="0.3">
      <c r="A924" s="35">
        <v>45989</v>
      </c>
      <c r="B924" s="847" t="s">
        <v>885</v>
      </c>
      <c r="C924">
        <v>3.9830000000000001</v>
      </c>
    </row>
    <row r="925" spans="1:3" x14ac:dyDescent="0.3">
      <c r="A925" s="35">
        <v>45992</v>
      </c>
      <c r="B925" s="847" t="s">
        <v>885</v>
      </c>
      <c r="C925">
        <v>3.9929999999999999</v>
      </c>
    </row>
    <row r="926" spans="1:3" x14ac:dyDescent="0.3">
      <c r="A926" s="35">
        <v>45993</v>
      </c>
      <c r="B926" s="847" t="s">
        <v>885</v>
      </c>
      <c r="C926">
        <v>3.9980000000000002</v>
      </c>
    </row>
    <row r="927" spans="1:3" x14ac:dyDescent="0.3">
      <c r="A927" s="35">
        <v>45994</v>
      </c>
      <c r="B927" s="847" t="s">
        <v>885</v>
      </c>
      <c r="C927">
        <v>4.01</v>
      </c>
    </row>
    <row r="928" spans="1:3" x14ac:dyDescent="0.3">
      <c r="A928" s="35">
        <v>45995</v>
      </c>
      <c r="B928" s="847" t="s">
        <v>885</v>
      </c>
      <c r="C928">
        <v>4.0289999999999999</v>
      </c>
    </row>
    <row r="929" spans="1:3" x14ac:dyDescent="0.3">
      <c r="A929" s="35">
        <v>45996</v>
      </c>
      <c r="B929" s="847" t="s">
        <v>885</v>
      </c>
      <c r="C929">
        <v>4.0330000000000004</v>
      </c>
    </row>
    <row r="930" spans="1:3" x14ac:dyDescent="0.3">
      <c r="A930" s="35">
        <v>45999</v>
      </c>
      <c r="B930" s="847" t="s">
        <v>885</v>
      </c>
      <c r="C930">
        <v>4.0410000000000004</v>
      </c>
    </row>
    <row r="931" spans="1:3" x14ac:dyDescent="0.3">
      <c r="A931" s="35">
        <v>46000</v>
      </c>
      <c r="B931" s="847" t="s">
        <v>885</v>
      </c>
      <c r="C931">
        <v>4.048</v>
      </c>
    </row>
    <row r="932" spans="1:3" x14ac:dyDescent="0.3">
      <c r="A932" s="35">
        <v>46001</v>
      </c>
      <c r="B932" s="847" t="s">
        <v>885</v>
      </c>
      <c r="C932">
        <v>4.0519999999999996</v>
      </c>
    </row>
    <row r="933" spans="1:3" x14ac:dyDescent="0.3">
      <c r="A933" s="35">
        <v>46002</v>
      </c>
      <c r="B933" s="847" t="s">
        <v>885</v>
      </c>
      <c r="C933">
        <v>4.0640000000000001</v>
      </c>
    </row>
    <row r="934" spans="1:3" x14ac:dyDescent="0.3">
      <c r="A934" s="35">
        <v>46003</v>
      </c>
      <c r="B934" s="847" t="s">
        <v>885</v>
      </c>
      <c r="C934">
        <v>4.077</v>
      </c>
    </row>
    <row r="935" spans="1:3" x14ac:dyDescent="0.3">
      <c r="A935" s="35">
        <v>46006</v>
      </c>
      <c r="B935" s="847" t="s">
        <v>885</v>
      </c>
      <c r="C935">
        <v>4.077</v>
      </c>
    </row>
    <row r="936" spans="1:3" x14ac:dyDescent="0.3">
      <c r="A936" s="35">
        <v>46007</v>
      </c>
      <c r="B936" s="847" t="s">
        <v>885</v>
      </c>
      <c r="C936">
        <v>4.077</v>
      </c>
    </row>
    <row r="937" spans="1:3" x14ac:dyDescent="0.3">
      <c r="A937" s="35">
        <v>46008</v>
      </c>
      <c r="B937" s="847" t="s">
        <v>885</v>
      </c>
      <c r="C937">
        <v>4.077</v>
      </c>
    </row>
    <row r="938" spans="1:3" x14ac:dyDescent="0.3">
      <c r="A938" s="35">
        <v>46009</v>
      </c>
      <c r="B938" s="847" t="s">
        <v>885</v>
      </c>
      <c r="C938">
        <v>4.077</v>
      </c>
    </row>
    <row r="939" spans="1:3" x14ac:dyDescent="0.3">
      <c r="A939" s="35">
        <v>46010</v>
      </c>
      <c r="B939" s="847" t="s">
        <v>885</v>
      </c>
      <c r="C939">
        <v>4.0830000000000002</v>
      </c>
    </row>
    <row r="940" spans="1:3" x14ac:dyDescent="0.3">
      <c r="A940" s="35">
        <v>46013</v>
      </c>
      <c r="B940" s="847" t="s">
        <v>885</v>
      </c>
      <c r="C940">
        <v>4.0830000000000002</v>
      </c>
    </row>
    <row r="941" spans="1:3" x14ac:dyDescent="0.3">
      <c r="A941" s="35">
        <v>46014</v>
      </c>
      <c r="B941" s="847" t="s">
        <v>885</v>
      </c>
      <c r="C941">
        <v>4.0830000000000002</v>
      </c>
    </row>
    <row r="942" spans="1:3" x14ac:dyDescent="0.3">
      <c r="A942" s="35">
        <v>46015</v>
      </c>
      <c r="B942" s="847" t="s">
        <v>885</v>
      </c>
      <c r="C942">
        <v>4.0830000000000002</v>
      </c>
    </row>
    <row r="943" spans="1:3" x14ac:dyDescent="0.3">
      <c r="A943" s="35">
        <v>46016</v>
      </c>
      <c r="B943" s="847" t="s">
        <v>885</v>
      </c>
      <c r="C943">
        <v>4.0919999999999996</v>
      </c>
    </row>
    <row r="944" spans="1:3" x14ac:dyDescent="0.3">
      <c r="A944" s="35">
        <v>46017</v>
      </c>
      <c r="B944" s="847" t="s">
        <v>885</v>
      </c>
      <c r="C944">
        <v>4.0999999999999996</v>
      </c>
    </row>
    <row r="945" spans="1:3" x14ac:dyDescent="0.3">
      <c r="A945" s="35">
        <v>46020</v>
      </c>
      <c r="B945" s="847" t="s">
        <v>885</v>
      </c>
      <c r="C945">
        <v>4.1079999999999997</v>
      </c>
    </row>
    <row r="946" spans="1:3" x14ac:dyDescent="0.3">
      <c r="A946" s="35">
        <v>46021</v>
      </c>
      <c r="B946" s="847" t="s">
        <v>885</v>
      </c>
      <c r="C946">
        <v>4.1130000000000004</v>
      </c>
    </row>
    <row r="947" spans="1:3" x14ac:dyDescent="0.3">
      <c r="A947" s="35">
        <v>46022</v>
      </c>
      <c r="B947" s="847" t="s">
        <v>885</v>
      </c>
      <c r="C947">
        <v>4.1130000000000004</v>
      </c>
    </row>
    <row r="948" spans="1:3" x14ac:dyDescent="0.3">
      <c r="A948" s="35">
        <v>46027</v>
      </c>
      <c r="B948" s="847" t="s">
        <v>885</v>
      </c>
      <c r="C948">
        <v>4.1130000000000004</v>
      </c>
    </row>
    <row r="949" spans="1:3" x14ac:dyDescent="0.3">
      <c r="A949" s="35">
        <v>46028</v>
      </c>
      <c r="B949" s="847" t="s">
        <v>885</v>
      </c>
      <c r="C949">
        <v>4.1189999999999998</v>
      </c>
    </row>
    <row r="950" spans="1:3" x14ac:dyDescent="0.3">
      <c r="A950" s="35">
        <v>46029</v>
      </c>
      <c r="B950" s="847" t="s">
        <v>885</v>
      </c>
      <c r="C950">
        <v>4.1189999999999998</v>
      </c>
    </row>
    <row r="951" spans="1:3" x14ac:dyDescent="0.3">
      <c r="A951" s="35">
        <v>46030</v>
      </c>
      <c r="B951" s="847" t="s">
        <v>885</v>
      </c>
      <c r="C951">
        <v>4.2210000000000001</v>
      </c>
    </row>
    <row r="952" spans="1:3" x14ac:dyDescent="0.3">
      <c r="A952" s="35">
        <v>46031</v>
      </c>
      <c r="B952" s="847" t="s">
        <v>885</v>
      </c>
      <c r="C952">
        <v>4.2629999999999999</v>
      </c>
    </row>
    <row r="953" spans="1:3" x14ac:dyDescent="0.3">
      <c r="A953" s="35">
        <v>46034</v>
      </c>
      <c r="B953" s="847" t="s">
        <v>885</v>
      </c>
      <c r="C953">
        <v>4.2670000000000003</v>
      </c>
    </row>
    <row r="954" spans="1:3" x14ac:dyDescent="0.3">
      <c r="A954" s="35">
        <v>46035</v>
      </c>
      <c r="B954" s="847" t="s">
        <v>885</v>
      </c>
      <c r="C954">
        <v>4.2880000000000003</v>
      </c>
    </row>
    <row r="955" spans="1:3" x14ac:dyDescent="0.3">
      <c r="A955" s="35">
        <v>46036</v>
      </c>
      <c r="B955" s="847" t="s">
        <v>885</v>
      </c>
      <c r="C955">
        <v>4.2919999999999998</v>
      </c>
    </row>
    <row r="956" spans="1:3" x14ac:dyDescent="0.3">
      <c r="A956" s="35">
        <v>46037</v>
      </c>
      <c r="B956" s="847" t="s">
        <v>885</v>
      </c>
      <c r="C956">
        <v>4.3040000000000003</v>
      </c>
    </row>
    <row r="957" spans="1:3" x14ac:dyDescent="0.3">
      <c r="A957" s="35">
        <v>46038</v>
      </c>
      <c r="B957" s="847" t="s">
        <v>885</v>
      </c>
      <c r="C957">
        <v>4.3040000000000003</v>
      </c>
    </row>
    <row r="958" spans="1:3" x14ac:dyDescent="0.3">
      <c r="A958" s="35">
        <v>46041</v>
      </c>
      <c r="B958" s="847" t="s">
        <v>885</v>
      </c>
      <c r="C958">
        <v>4.3040000000000003</v>
      </c>
    </row>
    <row r="959" spans="1:3" x14ac:dyDescent="0.3">
      <c r="A959" s="35">
        <v>46042</v>
      </c>
      <c r="B959" s="847" t="s">
        <v>885</v>
      </c>
      <c r="C959">
        <v>4.3040000000000003</v>
      </c>
    </row>
    <row r="960" spans="1:3" x14ac:dyDescent="0.3">
      <c r="A960" s="35">
        <v>46043</v>
      </c>
      <c r="B960" s="847" t="s">
        <v>885</v>
      </c>
      <c r="C960">
        <v>4.2919999999999998</v>
      </c>
    </row>
    <row r="961" spans="1:3" x14ac:dyDescent="0.3">
      <c r="A961" s="35">
        <v>46044</v>
      </c>
      <c r="B961" s="847" t="s">
        <v>885</v>
      </c>
      <c r="C961">
        <v>4.2919999999999998</v>
      </c>
    </row>
    <row r="962" spans="1:3" x14ac:dyDescent="0.3">
      <c r="A962" s="35">
        <v>46045</v>
      </c>
      <c r="B962" s="847" t="s">
        <v>885</v>
      </c>
      <c r="C962">
        <v>4.2919999999999998</v>
      </c>
    </row>
    <row r="963" spans="1:3" x14ac:dyDescent="0.3">
      <c r="A963" s="35">
        <v>46048</v>
      </c>
      <c r="B963" s="847" t="s">
        <v>885</v>
      </c>
      <c r="C963">
        <v>4.2919999999999998</v>
      </c>
    </row>
    <row r="964" spans="1:3" x14ac:dyDescent="0.3">
      <c r="A964" s="35">
        <v>46049</v>
      </c>
      <c r="B964" s="847" t="s">
        <v>885</v>
      </c>
      <c r="C964">
        <v>4.2919999999999998</v>
      </c>
    </row>
    <row r="965" spans="1:3" x14ac:dyDescent="0.3">
      <c r="A965" s="35">
        <v>46050</v>
      </c>
      <c r="B965" s="847" t="s">
        <v>885</v>
      </c>
      <c r="C965">
        <v>4.2919999999999998</v>
      </c>
    </row>
    <row r="966" spans="1:3" x14ac:dyDescent="0.3">
      <c r="A966" s="35">
        <v>46051</v>
      </c>
      <c r="B966" s="847" t="s">
        <v>885</v>
      </c>
      <c r="C966">
        <v>4.2960000000000003</v>
      </c>
    </row>
    <row r="967" spans="1:3" x14ac:dyDescent="0.3">
      <c r="A967" s="35">
        <v>46052</v>
      </c>
      <c r="B967" s="847" t="s">
        <v>885</v>
      </c>
      <c r="C967">
        <v>4.2960000000000003</v>
      </c>
    </row>
    <row r="968" spans="1:3" x14ac:dyDescent="0.3">
      <c r="A968" s="35">
        <v>46055</v>
      </c>
      <c r="B968" s="847" t="s">
        <v>885</v>
      </c>
      <c r="C968">
        <v>4.2949999999999999</v>
      </c>
    </row>
    <row r="969" spans="1:3" x14ac:dyDescent="0.3">
      <c r="A969" s="35">
        <v>46056</v>
      </c>
      <c r="B969" s="847" t="s">
        <v>885</v>
      </c>
      <c r="C969">
        <v>4.2960000000000003</v>
      </c>
    </row>
    <row r="970" spans="1:3" x14ac:dyDescent="0.3">
      <c r="A970" s="35">
        <v>46057</v>
      </c>
      <c r="B970" s="847" t="s">
        <v>885</v>
      </c>
      <c r="C970">
        <v>4.2949999999999999</v>
      </c>
    </row>
    <row r="971" spans="1:3" x14ac:dyDescent="0.3">
      <c r="A971" s="35">
        <v>46058</v>
      </c>
      <c r="B971" s="847" t="s">
        <v>885</v>
      </c>
      <c r="C971">
        <v>4.2919999999999998</v>
      </c>
    </row>
    <row r="972" spans="1:3" x14ac:dyDescent="0.3">
      <c r="A972" s="35">
        <v>46059</v>
      </c>
      <c r="B972" s="847" t="s">
        <v>885</v>
      </c>
      <c r="C972">
        <v>4.2919999999999998</v>
      </c>
    </row>
    <row r="973" spans="1:3" x14ac:dyDescent="0.3">
      <c r="A973" s="35">
        <v>46062</v>
      </c>
      <c r="B973" s="847" t="s">
        <v>885</v>
      </c>
      <c r="C973">
        <v>4.2919999999999998</v>
      </c>
    </row>
    <row r="974" spans="1:3" x14ac:dyDescent="0.3">
      <c r="A974" s="35">
        <v>46063</v>
      </c>
      <c r="B974" s="847" t="s">
        <v>885</v>
      </c>
      <c r="C974">
        <v>4.2919999999999998</v>
      </c>
    </row>
    <row r="975" spans="1:3" x14ac:dyDescent="0.3">
      <c r="A975" s="35">
        <v>46064</v>
      </c>
      <c r="B975" s="847" t="s">
        <v>885</v>
      </c>
      <c r="C975">
        <v>4.2919999999999998</v>
      </c>
    </row>
    <row r="976" spans="1:3" x14ac:dyDescent="0.3">
      <c r="A976" s="35">
        <v>46065</v>
      </c>
      <c r="B976" s="847" t="s">
        <v>885</v>
      </c>
      <c r="C976">
        <v>4.2919999999999998</v>
      </c>
    </row>
    <row r="977" spans="1:3" x14ac:dyDescent="0.3">
      <c r="A977" s="35">
        <v>46066</v>
      </c>
      <c r="B977" s="847" t="s">
        <v>885</v>
      </c>
      <c r="C977">
        <v>4.2919999999999998</v>
      </c>
    </row>
    <row r="978" spans="1:3" x14ac:dyDescent="0.3">
      <c r="A978" s="35">
        <v>46076</v>
      </c>
      <c r="B978" s="847" t="s">
        <v>885</v>
      </c>
      <c r="C978">
        <v>4.2919999999999998</v>
      </c>
    </row>
    <row r="979" spans="1:3" x14ac:dyDescent="0.3">
      <c r="A979" s="35">
        <v>46077</v>
      </c>
      <c r="B979" s="847" t="s">
        <v>885</v>
      </c>
      <c r="C979">
        <v>4.2919999999999998</v>
      </c>
    </row>
    <row r="980" spans="1:3" x14ac:dyDescent="0.3">
      <c r="A980" s="35">
        <v>46078</v>
      </c>
      <c r="B980" s="847" t="s">
        <v>885</v>
      </c>
      <c r="C980">
        <v>4.2919999999999998</v>
      </c>
    </row>
    <row r="981" spans="1:3" x14ac:dyDescent="0.3">
      <c r="A981" s="35">
        <v>46079</v>
      </c>
      <c r="B981" s="847" t="s">
        <v>885</v>
      </c>
      <c r="C981">
        <v>4.2919999999999998</v>
      </c>
    </row>
    <row r="982" spans="1:3" x14ac:dyDescent="0.3">
      <c r="A982" s="35">
        <v>46080</v>
      </c>
      <c r="B982" s="847" t="s">
        <v>885</v>
      </c>
      <c r="C982">
        <v>4.2919999999999998</v>
      </c>
    </row>
    <row r="983" spans="1:3" x14ac:dyDescent="0.3">
      <c r="A983" s="35">
        <v>46083</v>
      </c>
      <c r="B983" s="847" t="s">
        <v>885</v>
      </c>
      <c r="C983">
        <v>4.2960000000000003</v>
      </c>
    </row>
    <row r="984" spans="1:3" x14ac:dyDescent="0.3">
      <c r="A984" s="35">
        <v>46084</v>
      </c>
      <c r="B984" s="847" t="s">
        <v>885</v>
      </c>
      <c r="C984">
        <v>4.3499999999999996</v>
      </c>
    </row>
    <row r="985" spans="1:3" x14ac:dyDescent="0.3">
      <c r="A985" s="35">
        <v>46085</v>
      </c>
      <c r="B985" s="847" t="s">
        <v>885</v>
      </c>
      <c r="C985">
        <v>4.3499999999999996</v>
      </c>
    </row>
    <row r="986" spans="1:3" x14ac:dyDescent="0.3">
      <c r="A986" s="35">
        <v>46086</v>
      </c>
      <c r="B986" s="847" t="s">
        <v>885</v>
      </c>
      <c r="C986">
        <v>4.3499999999999996</v>
      </c>
    </row>
    <row r="987" spans="1:3" x14ac:dyDescent="0.3">
      <c r="A987" s="35">
        <v>46087</v>
      </c>
      <c r="B987" s="847" t="s">
        <v>885</v>
      </c>
      <c r="C987">
        <v>4.3499999999999996</v>
      </c>
    </row>
    <row r="988" spans="1:3" x14ac:dyDescent="0.3">
      <c r="A988" s="35">
        <v>46090</v>
      </c>
      <c r="B988" s="847" t="s">
        <v>885</v>
      </c>
      <c r="C988">
        <v>4.3419999999999996</v>
      </c>
    </row>
    <row r="989" spans="1:3" x14ac:dyDescent="0.3">
      <c r="A989" s="35">
        <v>46091</v>
      </c>
      <c r="B989" s="847" t="s">
        <v>885</v>
      </c>
      <c r="C989">
        <v>4.3460000000000001</v>
      </c>
    </row>
    <row r="990" spans="1:3" x14ac:dyDescent="0.3">
      <c r="A990" s="35">
        <v>46092</v>
      </c>
      <c r="B990" s="847" t="s">
        <v>885</v>
      </c>
      <c r="C990">
        <v>4.3460000000000001</v>
      </c>
    </row>
    <row r="991" spans="1:3" x14ac:dyDescent="0.3">
      <c r="A991" s="35">
        <v>46093</v>
      </c>
      <c r="B991" s="847" t="s">
        <v>885</v>
      </c>
      <c r="C991">
        <v>4.3789999999999996</v>
      </c>
    </row>
    <row r="992" spans="1:3" x14ac:dyDescent="0.3">
      <c r="A992" s="35">
        <v>46094</v>
      </c>
      <c r="B992" s="847" t="s">
        <v>885</v>
      </c>
      <c r="C992">
        <v>4.383</v>
      </c>
    </row>
    <row r="993" spans="1:3" x14ac:dyDescent="0.3">
      <c r="A993" s="35">
        <v>46097</v>
      </c>
      <c r="B993" s="847" t="s">
        <v>885</v>
      </c>
      <c r="C993">
        <v>4.383</v>
      </c>
    </row>
    <row r="994" spans="1:3" x14ac:dyDescent="0.3">
      <c r="A994" s="35">
        <v>46098</v>
      </c>
      <c r="B994" s="847" t="s">
        <v>885</v>
      </c>
      <c r="C994">
        <v>4.383</v>
      </c>
    </row>
    <row r="995" spans="1:3" x14ac:dyDescent="0.3">
      <c r="A995" s="35">
        <v>46099</v>
      </c>
      <c r="B995" s="847" t="s">
        <v>885</v>
      </c>
      <c r="C995">
        <v>4.383</v>
      </c>
    </row>
    <row r="996" spans="1:3" x14ac:dyDescent="0.3">
      <c r="A996" s="35">
        <v>46100</v>
      </c>
      <c r="B996" s="847" t="s">
        <v>885</v>
      </c>
      <c r="C996">
        <v>4.383</v>
      </c>
    </row>
    <row r="997" spans="1:3" x14ac:dyDescent="0.3">
      <c r="A997" s="35">
        <v>46101</v>
      </c>
      <c r="B997" s="847" t="s">
        <v>885</v>
      </c>
      <c r="C997">
        <v>4.383</v>
      </c>
    </row>
    <row r="998" spans="1:3" x14ac:dyDescent="0.3">
      <c r="A998" s="35">
        <v>46104</v>
      </c>
      <c r="B998" s="847" t="s">
        <v>885</v>
      </c>
      <c r="C998">
        <v>4.383</v>
      </c>
    </row>
    <row r="999" spans="1:3" x14ac:dyDescent="0.3">
      <c r="A999" s="35">
        <v>46105</v>
      </c>
      <c r="B999" s="847" t="s">
        <v>885</v>
      </c>
      <c r="C999">
        <v>4.383</v>
      </c>
    </row>
    <row r="1000" spans="1:3" x14ac:dyDescent="0.3">
      <c r="A1000" s="35">
        <v>46106</v>
      </c>
      <c r="B1000" s="847" t="s">
        <v>885</v>
      </c>
      <c r="C1000">
        <v>4.383</v>
      </c>
    </row>
    <row r="1001" spans="1:3" x14ac:dyDescent="0.3">
      <c r="A1001" s="35">
        <v>46107</v>
      </c>
      <c r="B1001" s="847" t="s">
        <v>885</v>
      </c>
      <c r="C1001">
        <v>4.383</v>
      </c>
    </row>
    <row r="1002" spans="1:3" x14ac:dyDescent="0.3">
      <c r="A1002" s="35">
        <v>46108</v>
      </c>
      <c r="B1002" s="847" t="s">
        <v>885</v>
      </c>
      <c r="C1002">
        <v>4.383</v>
      </c>
    </row>
    <row r="1003" spans="1:3" x14ac:dyDescent="0.3">
      <c r="A1003" s="35">
        <v>46111</v>
      </c>
      <c r="B1003" s="847" t="s">
        <v>885</v>
      </c>
      <c r="C1003">
        <v>4.383</v>
      </c>
    </row>
    <row r="1004" spans="1:3" x14ac:dyDescent="0.3">
      <c r="A1004" s="35">
        <v>46112</v>
      </c>
      <c r="B1004" s="847" t="s">
        <v>885</v>
      </c>
      <c r="C1004">
        <v>4.383</v>
      </c>
    </row>
    <row r="1005" spans="1:3" x14ac:dyDescent="0.3">
      <c r="A1005" s="35">
        <v>46113</v>
      </c>
      <c r="B1005" s="847" t="s">
        <v>885</v>
      </c>
      <c r="C1005">
        <v>4.383</v>
      </c>
    </row>
    <row r="1006" spans="1:3" x14ac:dyDescent="0.3">
      <c r="A1006" s="35">
        <v>46114</v>
      </c>
      <c r="B1006" s="847" t="s">
        <v>885</v>
      </c>
      <c r="C1006">
        <v>4.383</v>
      </c>
    </row>
    <row r="1007" spans="1:3" x14ac:dyDescent="0.3">
      <c r="A1007" s="35">
        <v>46115</v>
      </c>
      <c r="B1007" s="847" t="s">
        <v>885</v>
      </c>
      <c r="C1007">
        <v>4.383</v>
      </c>
    </row>
    <row r="1008" spans="1:3" x14ac:dyDescent="0.3">
      <c r="A1008" s="35">
        <v>46118</v>
      </c>
      <c r="B1008" s="847" t="s">
        <v>885</v>
      </c>
      <c r="C1008">
        <v>4.383</v>
      </c>
    </row>
    <row r="1009" spans="1:3" x14ac:dyDescent="0.3">
      <c r="A1009" s="35">
        <v>46119</v>
      </c>
      <c r="B1009" s="847" t="s">
        <v>885</v>
      </c>
      <c r="C1009">
        <v>4.383</v>
      </c>
    </row>
    <row r="1010" spans="1:3" x14ac:dyDescent="0.3">
      <c r="A1010" s="35">
        <v>46120</v>
      </c>
      <c r="B1010" s="847" t="s">
        <v>885</v>
      </c>
      <c r="C1010">
        <v>4.383</v>
      </c>
    </row>
    <row r="1011" spans="1:3" x14ac:dyDescent="0.3">
      <c r="A1011" s="35">
        <v>46121</v>
      </c>
      <c r="B1011" s="847" t="s">
        <v>885</v>
      </c>
      <c r="C1011">
        <v>4.383</v>
      </c>
    </row>
    <row r="1012" spans="1:3" x14ac:dyDescent="0.3">
      <c r="A1012" s="35">
        <v>46122</v>
      </c>
      <c r="B1012" s="847" t="s">
        <v>885</v>
      </c>
      <c r="C1012">
        <v>4.383</v>
      </c>
    </row>
    <row r="1013" spans="1:3" x14ac:dyDescent="0.3">
      <c r="A1013" s="35">
        <v>46125</v>
      </c>
      <c r="B1013" s="847" t="s">
        <v>885</v>
      </c>
      <c r="C1013">
        <v>4.383</v>
      </c>
    </row>
    <row r="1014" spans="1:3" x14ac:dyDescent="0.3">
      <c r="A1014" s="35">
        <v>46126</v>
      </c>
      <c r="B1014" s="847" t="s">
        <v>885</v>
      </c>
      <c r="C1014">
        <v>4.383</v>
      </c>
    </row>
    <row r="1015" spans="1:3" x14ac:dyDescent="0.3">
      <c r="A1015" s="35">
        <v>46127</v>
      </c>
      <c r="B1015" s="847" t="s">
        <v>885</v>
      </c>
      <c r="C1015">
        <v>4.3879999999999999</v>
      </c>
    </row>
    <row r="1016" spans="1:3" x14ac:dyDescent="0.3">
      <c r="A1016" s="35">
        <v>46128</v>
      </c>
      <c r="B1016" s="847" t="s">
        <v>885</v>
      </c>
      <c r="C1016">
        <v>4.3879999999999999</v>
      </c>
    </row>
    <row r="1017" spans="1:3" x14ac:dyDescent="0.3">
      <c r="A1017" s="35">
        <v>46129</v>
      </c>
      <c r="B1017" s="847" t="s">
        <v>885</v>
      </c>
      <c r="C1017">
        <v>4.3890000000000002</v>
      </c>
    </row>
    <row r="1018" spans="1:3" x14ac:dyDescent="0.3">
      <c r="A1018" s="35">
        <v>46132</v>
      </c>
      <c r="B1018" s="847" t="s">
        <v>885</v>
      </c>
      <c r="C1018">
        <v>4.3929999999999998</v>
      </c>
    </row>
    <row r="1019" spans="1:3" x14ac:dyDescent="0.3">
      <c r="A1019" s="35">
        <v>46133</v>
      </c>
      <c r="B1019" s="847" t="s">
        <v>885</v>
      </c>
      <c r="C1019">
        <v>4.3890000000000002</v>
      </c>
    </row>
    <row r="1020" spans="1:3" x14ac:dyDescent="0.3">
      <c r="A1020" s="35">
        <v>46134</v>
      </c>
      <c r="B1020" s="847" t="s">
        <v>885</v>
      </c>
      <c r="C1020">
        <v>4.3929999999999998</v>
      </c>
    </row>
    <row r="1021" spans="1:3" x14ac:dyDescent="0.3">
      <c r="A1021" s="35">
        <v>46135</v>
      </c>
      <c r="B1021" s="847" t="s">
        <v>885</v>
      </c>
      <c r="C1021">
        <v>4.3929999999999998</v>
      </c>
    </row>
    <row r="1022" spans="1:3" x14ac:dyDescent="0.3">
      <c r="A1022" s="35">
        <v>46136</v>
      </c>
      <c r="B1022" s="847" t="s">
        <v>885</v>
      </c>
      <c r="C1022">
        <v>4.3929999999999998</v>
      </c>
    </row>
    <row r="1023" spans="1:3" x14ac:dyDescent="0.3">
      <c r="A1023" s="35">
        <v>46140</v>
      </c>
      <c r="B1023" s="847" t="s">
        <v>885</v>
      </c>
      <c r="C1023">
        <v>4.3929999999999998</v>
      </c>
    </row>
    <row r="1024" spans="1:3" x14ac:dyDescent="0.3">
      <c r="A1024" s="35">
        <v>46141</v>
      </c>
      <c r="B1024" s="847" t="s">
        <v>885</v>
      </c>
      <c r="C1024">
        <v>4.3929999999999998</v>
      </c>
    </row>
    <row r="1025" spans="1:3" x14ac:dyDescent="0.3">
      <c r="A1025" s="35">
        <v>46146</v>
      </c>
      <c r="B1025" s="847" t="s">
        <v>885</v>
      </c>
      <c r="C1025">
        <v>4.3929999999999998</v>
      </c>
    </row>
    <row r="1026" spans="1:3" x14ac:dyDescent="0.3">
      <c r="A1026" s="35">
        <v>46147</v>
      </c>
      <c r="B1026" s="847" t="s">
        <v>885</v>
      </c>
      <c r="C1026">
        <v>4.3929999999999998</v>
      </c>
    </row>
    <row r="1027" spans="1:3" x14ac:dyDescent="0.3">
      <c r="A1027" s="35">
        <v>46148</v>
      </c>
      <c r="B1027" s="847" t="s">
        <v>885</v>
      </c>
      <c r="C1027">
        <v>4.3929999999999998</v>
      </c>
    </row>
    <row r="1028" spans="1:3" x14ac:dyDescent="0.3">
      <c r="A1028" s="35">
        <v>46149</v>
      </c>
      <c r="B1028" s="847" t="s">
        <v>885</v>
      </c>
      <c r="C1028">
        <v>4.3929999999999998</v>
      </c>
    </row>
    <row r="1029" spans="1:3" x14ac:dyDescent="0.3">
      <c r="A1029" s="35">
        <v>46150</v>
      </c>
      <c r="B1029" s="847" t="s">
        <v>885</v>
      </c>
      <c r="C1029">
        <v>4.3979999999999997</v>
      </c>
    </row>
    <row r="1030" spans="1:3" x14ac:dyDescent="0.3">
      <c r="A1030" s="35">
        <v>46153</v>
      </c>
      <c r="B1030" s="847" t="s">
        <v>885</v>
      </c>
      <c r="C1030">
        <v>4.3979999999999997</v>
      </c>
    </row>
    <row r="1031" spans="1:3" x14ac:dyDescent="0.3">
      <c r="A1031" s="35">
        <v>46154</v>
      </c>
      <c r="B1031" s="847" t="s">
        <v>885</v>
      </c>
      <c r="C1031">
        <v>4.3979999999999997</v>
      </c>
    </row>
    <row r="1032" spans="1:3" x14ac:dyDescent="0.3">
      <c r="A1032" s="35">
        <v>46155</v>
      </c>
      <c r="B1032" s="847" t="s">
        <v>885</v>
      </c>
      <c r="C1032">
        <v>4.3979999999999997</v>
      </c>
    </row>
    <row r="1033" spans="1:3" x14ac:dyDescent="0.3">
      <c r="A1033" s="35">
        <v>46156</v>
      </c>
      <c r="B1033" s="847" t="s">
        <v>885</v>
      </c>
      <c r="C1033">
        <v>4.4029999999999996</v>
      </c>
    </row>
    <row r="1034" spans="1:3" x14ac:dyDescent="0.3">
      <c r="A1034" s="35">
        <v>46157</v>
      </c>
      <c r="B1034" s="847" t="s">
        <v>885</v>
      </c>
      <c r="C1034">
        <v>4.4029999999999996</v>
      </c>
    </row>
    <row r="1035" spans="1:3" x14ac:dyDescent="0.3">
      <c r="A1035" s="35">
        <v>46160</v>
      </c>
      <c r="B1035" s="847" t="s">
        <v>885</v>
      </c>
      <c r="C1035">
        <v>4.4029999999999996</v>
      </c>
    </row>
    <row r="1036" spans="1:3" x14ac:dyDescent="0.3">
      <c r="A1036" s="35">
        <v>46161</v>
      </c>
      <c r="B1036" s="847" t="s">
        <v>885</v>
      </c>
      <c r="C1036">
        <v>4.4029999999999996</v>
      </c>
    </row>
    <row r="1037" spans="1:3" x14ac:dyDescent="0.3">
      <c r="A1037" s="35">
        <v>46162</v>
      </c>
      <c r="B1037" s="847" t="s">
        <v>885</v>
      </c>
      <c r="C1037">
        <v>4.42</v>
      </c>
    </row>
    <row r="1038" spans="1:3" x14ac:dyDescent="0.3">
      <c r="A1038" s="35">
        <v>46163</v>
      </c>
      <c r="B1038" s="847" t="s">
        <v>885</v>
      </c>
      <c r="C1038">
        <v>4.4240000000000004</v>
      </c>
    </row>
    <row r="1039" spans="1:3" x14ac:dyDescent="0.3">
      <c r="A1039" s="35">
        <v>46164</v>
      </c>
      <c r="B1039" s="847" t="s">
        <v>885</v>
      </c>
      <c r="C1039">
        <v>4.4240000000000004</v>
      </c>
    </row>
    <row r="1040" spans="1:3" x14ac:dyDescent="0.3">
      <c r="A1040" s="35">
        <v>46167</v>
      </c>
      <c r="B1040" s="847" t="s">
        <v>885</v>
      </c>
      <c r="C1040">
        <v>4.4279999999999999</v>
      </c>
    </row>
    <row r="1041" spans="1:3" x14ac:dyDescent="0.3">
      <c r="A1041" s="35">
        <v>46168</v>
      </c>
      <c r="B1041" s="847" t="s">
        <v>885</v>
      </c>
      <c r="C1041">
        <v>4.4279999999999999</v>
      </c>
    </row>
    <row r="1042" spans="1:3" x14ac:dyDescent="0.3">
      <c r="A1042" s="35">
        <v>46169</v>
      </c>
      <c r="B1042" s="847" t="s">
        <v>885</v>
      </c>
      <c r="C1042">
        <v>4.4279999999999999</v>
      </c>
    </row>
    <row r="1043" spans="1:3" x14ac:dyDescent="0.3">
      <c r="A1043" s="35">
        <v>46170</v>
      </c>
      <c r="B1043" s="847" t="s">
        <v>885</v>
      </c>
      <c r="C1043">
        <v>4.4379999999999997</v>
      </c>
    </row>
    <row r="1044" spans="1:3" x14ac:dyDescent="0.3">
      <c r="A1044" s="35">
        <v>46171</v>
      </c>
      <c r="B1044" s="847" t="s">
        <v>885</v>
      </c>
      <c r="C1044">
        <v>4.4820000000000002</v>
      </c>
    </row>
    <row r="1045" spans="1:3" x14ac:dyDescent="0.3">
      <c r="A1045" s="35">
        <v>46174</v>
      </c>
      <c r="B1045" s="847" t="s">
        <v>885</v>
      </c>
      <c r="C1045">
        <v>4.5</v>
      </c>
    </row>
    <row r="1046" spans="1:3" x14ac:dyDescent="0.3">
      <c r="A1046" s="35">
        <v>46175</v>
      </c>
      <c r="B1046" s="847" t="s">
        <v>885</v>
      </c>
      <c r="C1046">
        <v>4.5229999999999997</v>
      </c>
    </row>
    <row r="1047" spans="1:3" x14ac:dyDescent="0.3">
      <c r="A1047" s="35">
        <v>46176</v>
      </c>
      <c r="B1047" s="847" t="s">
        <v>885</v>
      </c>
      <c r="C1047">
        <v>4.577</v>
      </c>
    </row>
    <row r="1048" spans="1:3" x14ac:dyDescent="0.3">
      <c r="A1048" s="35">
        <v>46177</v>
      </c>
      <c r="B1048" s="847" t="s">
        <v>885</v>
      </c>
      <c r="C1048">
        <v>4.577</v>
      </c>
    </row>
    <row r="1049" spans="1:3" x14ac:dyDescent="0.3">
      <c r="A1049" s="35">
        <v>46178</v>
      </c>
      <c r="B1049" s="847" t="s">
        <v>885</v>
      </c>
      <c r="C1049">
        <v>4.577</v>
      </c>
    </row>
    <row r="1050" spans="1:3" x14ac:dyDescent="0.3">
      <c r="A1050" s="35">
        <v>46181</v>
      </c>
      <c r="B1050" s="847" t="s">
        <v>885</v>
      </c>
      <c r="C1050">
        <v>4.5810000000000004</v>
      </c>
    </row>
    <row r="1051" spans="1:3" x14ac:dyDescent="0.3">
      <c r="A1051" s="35">
        <v>46182</v>
      </c>
      <c r="B1051" s="847" t="s">
        <v>885</v>
      </c>
      <c r="C1051">
        <v>4.585</v>
      </c>
    </row>
    <row r="1052" spans="1:3" x14ac:dyDescent="0.3">
      <c r="A1052" s="35">
        <v>46183</v>
      </c>
      <c r="B1052" s="847" t="s">
        <v>885</v>
      </c>
      <c r="C1052">
        <v>4.5839999999999996</v>
      </c>
    </row>
    <row r="1053" spans="1:3" x14ac:dyDescent="0.3">
      <c r="A1053" s="35">
        <v>46184</v>
      </c>
      <c r="B1053" s="847" t="s">
        <v>885</v>
      </c>
      <c r="C1053">
        <v>4.59</v>
      </c>
    </row>
    <row r="1054" spans="1:3" x14ac:dyDescent="0.3">
      <c r="A1054" s="35">
        <v>46185</v>
      </c>
      <c r="B1054" s="847" t="s">
        <v>885</v>
      </c>
      <c r="C1054">
        <v>4.5940000000000003</v>
      </c>
    </row>
    <row r="1055" spans="1:3" x14ac:dyDescent="0.3">
      <c r="A1055" s="35">
        <v>46188</v>
      </c>
      <c r="B1055" s="847" t="s">
        <v>885</v>
      </c>
      <c r="C1055">
        <v>4.5940000000000003</v>
      </c>
    </row>
    <row r="1056" spans="1:3" x14ac:dyDescent="0.3">
      <c r="A1056" s="35">
        <v>46189</v>
      </c>
      <c r="B1056" s="847" t="s">
        <v>885</v>
      </c>
      <c r="C1056">
        <v>4.5810000000000004</v>
      </c>
    </row>
    <row r="1057" spans="1:3" x14ac:dyDescent="0.3">
      <c r="A1057" s="35">
        <v>46190</v>
      </c>
      <c r="B1057" s="847" t="s">
        <v>885</v>
      </c>
      <c r="C1057">
        <v>4.6020000000000003</v>
      </c>
    </row>
    <row r="1058" spans="1:3" x14ac:dyDescent="0.3">
      <c r="A1058" s="35">
        <v>46191</v>
      </c>
      <c r="B1058" s="847" t="s">
        <v>885</v>
      </c>
      <c r="C1058">
        <v>4.6079999999999997</v>
      </c>
    </row>
    <row r="1059" spans="1:3" x14ac:dyDescent="0.3">
      <c r="A1059" s="35">
        <v>46192</v>
      </c>
      <c r="B1059" s="847" t="s">
        <v>885</v>
      </c>
      <c r="C1059">
        <v>4.62</v>
      </c>
    </row>
    <row r="1060" spans="1:3" x14ac:dyDescent="0.3">
      <c r="A1060" s="35">
        <v>46195</v>
      </c>
      <c r="B1060" s="847" t="s">
        <v>885</v>
      </c>
      <c r="C1060">
        <v>4.62</v>
      </c>
    </row>
    <row r="1061" spans="1:3" x14ac:dyDescent="0.3">
      <c r="A1061" s="35">
        <v>46196</v>
      </c>
      <c r="B1061" s="847" t="s">
        <v>885</v>
      </c>
      <c r="C1061">
        <v>4.62</v>
      </c>
    </row>
    <row r="1062" spans="1:3" x14ac:dyDescent="0.3">
      <c r="A1062" s="35">
        <v>46197</v>
      </c>
      <c r="B1062" s="847" t="s">
        <v>885</v>
      </c>
      <c r="C1062">
        <v>4.62</v>
      </c>
    </row>
    <row r="1063" spans="1:3" x14ac:dyDescent="0.3">
      <c r="A1063" s="35">
        <v>46198</v>
      </c>
      <c r="B1063" s="847" t="s">
        <v>885</v>
      </c>
      <c r="C1063">
        <v>4.62</v>
      </c>
    </row>
    <row r="1064" spans="1:3" x14ac:dyDescent="0.3">
      <c r="A1064" s="35">
        <v>46199</v>
      </c>
      <c r="B1064" s="847" t="s">
        <v>885</v>
      </c>
      <c r="C1064">
        <v>4.62</v>
      </c>
    </row>
    <row r="1065" spans="1:3" x14ac:dyDescent="0.3">
      <c r="A1065" s="35">
        <v>46202</v>
      </c>
      <c r="B1065" s="847" t="s">
        <v>885</v>
      </c>
      <c r="C1065">
        <v>4.62</v>
      </c>
    </row>
    <row r="1066" spans="1:3" x14ac:dyDescent="0.3">
      <c r="A1066" s="35">
        <v>46203</v>
      </c>
      <c r="B1066" s="847" t="s">
        <v>885</v>
      </c>
      <c r="C1066">
        <v>4.6369999999999996</v>
      </c>
    </row>
    <row r="1067" spans="1:3" x14ac:dyDescent="0.3">
      <c r="A1067" s="35">
        <v>46204</v>
      </c>
      <c r="B1067" s="847" t="s">
        <v>885</v>
      </c>
      <c r="C1067">
        <v>4.641</v>
      </c>
    </row>
    <row r="1068" spans="1:3" x14ac:dyDescent="0.3">
      <c r="A1068" s="35">
        <v>46205</v>
      </c>
      <c r="B1068" s="847" t="s">
        <v>885</v>
      </c>
      <c r="C1068">
        <v>4.641</v>
      </c>
    </row>
    <row r="1069" spans="1:3" x14ac:dyDescent="0.3">
      <c r="A1069" s="35">
        <v>46206</v>
      </c>
      <c r="B1069" s="847" t="s">
        <v>885</v>
      </c>
      <c r="C1069">
        <v>4.641</v>
      </c>
    </row>
    <row r="1070" spans="1:3" x14ac:dyDescent="0.3">
      <c r="A1070" s="35">
        <v>46209</v>
      </c>
      <c r="B1070" s="847" t="s">
        <v>885</v>
      </c>
      <c r="C1070">
        <v>4.641</v>
      </c>
    </row>
    <row r="1071" spans="1:3" x14ac:dyDescent="0.3">
      <c r="A1071" s="35">
        <v>46210</v>
      </c>
      <c r="B1071" s="847" t="s">
        <v>885</v>
      </c>
      <c r="C1071">
        <v>4.641</v>
      </c>
    </row>
    <row r="1072" spans="1:3" x14ac:dyDescent="0.3">
      <c r="A1072" s="35">
        <v>46211</v>
      </c>
      <c r="B1072" s="847" t="s">
        <v>885</v>
      </c>
      <c r="C1072">
        <v>4.641</v>
      </c>
    </row>
    <row r="1073" spans="1:3" x14ac:dyDescent="0.3">
      <c r="A1073" s="35">
        <v>46212</v>
      </c>
      <c r="B1073" s="847" t="s">
        <v>885</v>
      </c>
      <c r="C1073">
        <v>4.6159999999999997</v>
      </c>
    </row>
    <row r="1074" spans="1:3" x14ac:dyDescent="0.3">
      <c r="A1074" s="35">
        <v>46213</v>
      </c>
      <c r="B1074" s="847" t="s">
        <v>885</v>
      </c>
      <c r="C1074">
        <v>4.641</v>
      </c>
    </row>
    <row r="1075" spans="1:3" x14ac:dyDescent="0.3">
      <c r="A1075" s="35">
        <v>46216</v>
      </c>
      <c r="B1075" s="847" t="s">
        <v>885</v>
      </c>
      <c r="C1075">
        <v>4.641</v>
      </c>
    </row>
    <row r="1076" spans="1:3" x14ac:dyDescent="0.3">
      <c r="A1076" s="35">
        <v>46217</v>
      </c>
      <c r="B1076" s="847" t="s">
        <v>885</v>
      </c>
      <c r="C1076">
        <v>4.641</v>
      </c>
    </row>
    <row r="1077" spans="1:3" x14ac:dyDescent="0.3">
      <c r="A1077" s="35">
        <v>46218</v>
      </c>
      <c r="B1077" s="847" t="s">
        <v>885</v>
      </c>
      <c r="C1077">
        <v>4.6449999999999996</v>
      </c>
    </row>
    <row r="1078" spans="1:3" x14ac:dyDescent="0.3">
      <c r="A1078" s="35">
        <v>46219</v>
      </c>
      <c r="B1078" s="847" t="s">
        <v>885</v>
      </c>
      <c r="C1078">
        <v>4.6449999999999996</v>
      </c>
    </row>
    <row r="1079" spans="1:3" x14ac:dyDescent="0.3">
      <c r="A1079" s="35">
        <v>46220</v>
      </c>
      <c r="B1079" s="847" t="s">
        <v>885</v>
      </c>
      <c r="C1079">
        <v>4.6580000000000004</v>
      </c>
    </row>
    <row r="1080" spans="1:3" x14ac:dyDescent="0.3">
      <c r="A1080" s="35">
        <v>46223</v>
      </c>
      <c r="B1080" s="847" t="s">
        <v>885</v>
      </c>
      <c r="C1080">
        <v>4.6580000000000004</v>
      </c>
    </row>
    <row r="1081" spans="1:3" x14ac:dyDescent="0.3">
      <c r="A1081" s="35">
        <v>46224</v>
      </c>
      <c r="B1081" s="847" t="s">
        <v>885</v>
      </c>
      <c r="C1081">
        <v>4.6580000000000004</v>
      </c>
    </row>
    <row r="1082" spans="1:3" x14ac:dyDescent="0.3">
      <c r="A1082" s="35">
        <v>46225</v>
      </c>
      <c r="B1082" s="847" t="s">
        <v>885</v>
      </c>
      <c r="C1082">
        <v>4.6580000000000004</v>
      </c>
    </row>
    <row r="1083" spans="1:3" x14ac:dyDescent="0.3">
      <c r="A1083" s="35">
        <v>46226</v>
      </c>
      <c r="B1083" s="847" t="s">
        <v>885</v>
      </c>
      <c r="C1083">
        <v>4.6580000000000004</v>
      </c>
    </row>
    <row r="1084" spans="1:3" x14ac:dyDescent="0.3">
      <c r="A1084" s="35">
        <v>46227</v>
      </c>
      <c r="B1084" s="847" t="s">
        <v>885</v>
      </c>
      <c r="C1084">
        <v>4.6580000000000004</v>
      </c>
    </row>
    <row r="1085" spans="1:3" x14ac:dyDescent="0.3">
      <c r="A1085" s="35">
        <v>46230</v>
      </c>
      <c r="B1085" s="847" t="s">
        <v>885</v>
      </c>
      <c r="C1085">
        <v>4.6580000000000004</v>
      </c>
    </row>
    <row r="1086" spans="1:3" x14ac:dyDescent="0.3">
      <c r="A1086" s="35">
        <v>46231</v>
      </c>
      <c r="B1086" s="847" t="s">
        <v>885</v>
      </c>
      <c r="C1086">
        <v>4.6580000000000004</v>
      </c>
    </row>
    <row r="1087" spans="1:3" x14ac:dyDescent="0.3">
      <c r="A1087" s="35">
        <v>46232</v>
      </c>
      <c r="B1087" s="847" t="s">
        <v>885</v>
      </c>
      <c r="C1087">
        <v>4.6580000000000004</v>
      </c>
    </row>
    <row r="1088" spans="1:3" x14ac:dyDescent="0.3">
      <c r="A1088" s="35">
        <v>46233</v>
      </c>
      <c r="B1088" s="847" t="s">
        <v>885</v>
      </c>
      <c r="C1088">
        <v>4.6580000000000004</v>
      </c>
    </row>
    <row r="1089" spans="1:3" x14ac:dyDescent="0.3">
      <c r="A1089" s="35">
        <v>46234</v>
      </c>
      <c r="B1089" s="847" t="s">
        <v>885</v>
      </c>
      <c r="C1089">
        <v>4.6580000000000004</v>
      </c>
    </row>
    <row r="1090" spans="1:3" x14ac:dyDescent="0.3">
      <c r="A1090" s="35">
        <v>46237</v>
      </c>
      <c r="B1090" s="847" t="s">
        <v>885</v>
      </c>
      <c r="C1090">
        <v>4.6580000000000004</v>
      </c>
    </row>
    <row r="1091" spans="1:3" x14ac:dyDescent="0.3">
      <c r="A1091" s="35">
        <v>46238</v>
      </c>
      <c r="B1091" s="847" t="s">
        <v>885</v>
      </c>
      <c r="C1091">
        <v>4.6580000000000004</v>
      </c>
    </row>
    <row r="1092" spans="1:3" x14ac:dyDescent="0.3">
      <c r="A1092" s="35">
        <v>46239</v>
      </c>
      <c r="B1092" s="847" t="s">
        <v>885</v>
      </c>
      <c r="C1092">
        <v>4.6580000000000004</v>
      </c>
    </row>
    <row r="1093" spans="1:3" x14ac:dyDescent="0.3">
      <c r="A1093" s="35">
        <v>46240</v>
      </c>
      <c r="B1093" s="847" t="s">
        <v>885</v>
      </c>
      <c r="C1093">
        <v>4.6619999999999999</v>
      </c>
    </row>
    <row r="1094" spans="1:3" x14ac:dyDescent="0.3">
      <c r="A1094" s="35">
        <v>46241</v>
      </c>
      <c r="B1094" s="847" t="s">
        <v>885</v>
      </c>
      <c r="C1094">
        <v>4.6660000000000004</v>
      </c>
    </row>
    <row r="1095" spans="1:3" x14ac:dyDescent="0.3">
      <c r="A1095" s="35">
        <v>46244</v>
      </c>
      <c r="B1095" s="847" t="s">
        <v>885</v>
      </c>
      <c r="C1095">
        <v>4.6660000000000004</v>
      </c>
    </row>
    <row r="1096" spans="1:3" x14ac:dyDescent="0.3">
      <c r="A1096" s="35">
        <v>46245</v>
      </c>
      <c r="B1096" s="847" t="s">
        <v>885</v>
      </c>
      <c r="C1096">
        <v>4.6660000000000004</v>
      </c>
    </row>
    <row r="1097" spans="1:3" x14ac:dyDescent="0.3">
      <c r="A1097" s="35">
        <v>46246</v>
      </c>
      <c r="B1097" s="847" t="s">
        <v>885</v>
      </c>
      <c r="C1097">
        <v>4.6660000000000004</v>
      </c>
    </row>
    <row r="1098" spans="1:3" x14ac:dyDescent="0.3">
      <c r="A1098" s="35">
        <v>46247</v>
      </c>
      <c r="B1098" s="847" t="s">
        <v>885</v>
      </c>
      <c r="C1098">
        <v>4.6660000000000004</v>
      </c>
    </row>
    <row r="1099" spans="1:3" x14ac:dyDescent="0.3">
      <c r="A1099" s="35">
        <v>46248</v>
      </c>
      <c r="B1099" s="847" t="s">
        <v>885</v>
      </c>
      <c r="C1099">
        <v>4.6660000000000004</v>
      </c>
    </row>
    <row r="1100" spans="1:3" x14ac:dyDescent="0.3">
      <c r="A1100" s="35">
        <v>46251</v>
      </c>
      <c r="B1100" s="847" t="s">
        <v>885</v>
      </c>
      <c r="C1100">
        <v>4.6660000000000004</v>
      </c>
    </row>
    <row r="1101" spans="1:3" x14ac:dyDescent="0.3">
      <c r="A1101" s="35">
        <v>46252</v>
      </c>
      <c r="B1101" s="847" t="s">
        <v>885</v>
      </c>
      <c r="C1101">
        <v>4.6660000000000004</v>
      </c>
    </row>
    <row r="1102" spans="1:3" x14ac:dyDescent="0.3">
      <c r="A1102" s="35">
        <v>45852</v>
      </c>
      <c r="B1102" s="847" t="s">
        <v>878</v>
      </c>
      <c r="C1102">
        <v>2.254</v>
      </c>
    </row>
    <row r="1103" spans="1:3" x14ac:dyDescent="0.3">
      <c r="A1103" s="35">
        <v>45853</v>
      </c>
      <c r="B1103" s="847" t="s">
        <v>878</v>
      </c>
      <c r="C1103">
        <v>2.254</v>
      </c>
    </row>
    <row r="1104" spans="1:3" x14ac:dyDescent="0.3">
      <c r="A1104" s="35">
        <v>45854</v>
      </c>
      <c r="B1104" s="847" t="s">
        <v>878</v>
      </c>
      <c r="C1104">
        <v>2.2559999999999998</v>
      </c>
    </row>
    <row r="1105" spans="1:3" x14ac:dyDescent="0.3">
      <c r="A1105" s="35">
        <v>45855</v>
      </c>
      <c r="B1105" s="847" t="s">
        <v>878</v>
      </c>
      <c r="C1105">
        <v>2.302</v>
      </c>
    </row>
    <row r="1106" spans="1:3" x14ac:dyDescent="0.3">
      <c r="A1106" s="35">
        <v>45856</v>
      </c>
      <c r="B1106" s="847" t="s">
        <v>878</v>
      </c>
      <c r="C1106">
        <v>2.302</v>
      </c>
    </row>
    <row r="1107" spans="1:3" x14ac:dyDescent="0.3">
      <c r="A1107" s="35">
        <v>45859</v>
      </c>
      <c r="B1107" s="847" t="s">
        <v>878</v>
      </c>
      <c r="C1107">
        <v>2.302</v>
      </c>
    </row>
    <row r="1108" spans="1:3" x14ac:dyDescent="0.3">
      <c r="A1108" s="35">
        <v>45860</v>
      </c>
      <c r="B1108" s="847" t="s">
        <v>878</v>
      </c>
      <c r="C1108">
        <v>2.302</v>
      </c>
    </row>
    <row r="1109" spans="1:3" x14ac:dyDescent="0.3">
      <c r="A1109" s="35">
        <v>45861</v>
      </c>
      <c r="B1109" s="847" t="s">
        <v>878</v>
      </c>
      <c r="C1109">
        <v>2.302</v>
      </c>
    </row>
    <row r="1110" spans="1:3" x14ac:dyDescent="0.3">
      <c r="A1110" s="35">
        <v>45862</v>
      </c>
      <c r="B1110" s="847" t="s">
        <v>878</v>
      </c>
      <c r="C1110">
        <v>2.3439999999999999</v>
      </c>
    </row>
    <row r="1111" spans="1:3" x14ac:dyDescent="0.3">
      <c r="A1111" s="35">
        <v>45863</v>
      </c>
      <c r="B1111" s="847" t="s">
        <v>878</v>
      </c>
      <c r="C1111">
        <v>2.36</v>
      </c>
    </row>
    <row r="1112" spans="1:3" x14ac:dyDescent="0.3">
      <c r="A1112" s="35">
        <v>45866</v>
      </c>
      <c r="B1112" s="847" t="s">
        <v>878</v>
      </c>
      <c r="C1112">
        <v>2.36</v>
      </c>
    </row>
    <row r="1113" spans="1:3" x14ac:dyDescent="0.3">
      <c r="A1113" s="35">
        <v>45867</v>
      </c>
      <c r="B1113" s="847" t="s">
        <v>878</v>
      </c>
      <c r="C1113">
        <v>2.383</v>
      </c>
    </row>
    <row r="1114" spans="1:3" x14ac:dyDescent="0.3">
      <c r="A1114" s="35">
        <v>45868</v>
      </c>
      <c r="B1114" s="847" t="s">
        <v>878</v>
      </c>
      <c r="C1114">
        <v>2.383</v>
      </c>
    </row>
    <row r="1115" spans="1:3" x14ac:dyDescent="0.3">
      <c r="A1115" s="35">
        <v>45869</v>
      </c>
      <c r="B1115" s="847" t="s">
        <v>878</v>
      </c>
      <c r="C1115">
        <v>2.3849999999999998</v>
      </c>
    </row>
    <row r="1116" spans="1:3" x14ac:dyDescent="0.3">
      <c r="A1116" s="35">
        <v>45870</v>
      </c>
      <c r="B1116" s="847" t="s">
        <v>878</v>
      </c>
      <c r="C1116">
        <v>2.39</v>
      </c>
    </row>
    <row r="1117" spans="1:3" x14ac:dyDescent="0.3">
      <c r="A1117" s="35">
        <v>45873</v>
      </c>
      <c r="B1117" s="847" t="s">
        <v>878</v>
      </c>
      <c r="C1117">
        <v>2.39</v>
      </c>
    </row>
    <row r="1118" spans="1:3" x14ac:dyDescent="0.3">
      <c r="A1118" s="35">
        <v>45874</v>
      </c>
      <c r="B1118" s="847" t="s">
        <v>878</v>
      </c>
      <c r="C1118">
        <v>2.39</v>
      </c>
    </row>
    <row r="1119" spans="1:3" x14ac:dyDescent="0.3">
      <c r="A1119" s="35">
        <v>45875</v>
      </c>
      <c r="B1119" s="847" t="s">
        <v>878</v>
      </c>
      <c r="C1119">
        <v>2.39</v>
      </c>
    </row>
    <row r="1120" spans="1:3" x14ac:dyDescent="0.3">
      <c r="A1120" s="35">
        <v>45876</v>
      </c>
      <c r="B1120" s="847" t="s">
        <v>878</v>
      </c>
      <c r="C1120">
        <v>2.448</v>
      </c>
    </row>
    <row r="1121" spans="1:3" x14ac:dyDescent="0.3">
      <c r="A1121" s="35">
        <v>45877</v>
      </c>
      <c r="B1121" s="847" t="s">
        <v>878</v>
      </c>
      <c r="C1121">
        <v>2.448</v>
      </c>
    </row>
    <row r="1122" spans="1:3" x14ac:dyDescent="0.3">
      <c r="A1122" s="35">
        <v>45880</v>
      </c>
      <c r="B1122" s="847" t="s">
        <v>878</v>
      </c>
      <c r="C1122">
        <v>2.44</v>
      </c>
    </row>
    <row r="1123" spans="1:3" x14ac:dyDescent="0.3">
      <c r="A1123" s="35">
        <v>45881</v>
      </c>
      <c r="B1123" s="847" t="s">
        <v>878</v>
      </c>
      <c r="C1123">
        <v>2.44</v>
      </c>
    </row>
    <row r="1124" spans="1:3" x14ac:dyDescent="0.3">
      <c r="A1124" s="35">
        <v>45882</v>
      </c>
      <c r="B1124" s="847" t="s">
        <v>878</v>
      </c>
      <c r="C1124">
        <v>2.46</v>
      </c>
    </row>
    <row r="1125" spans="1:3" x14ac:dyDescent="0.3">
      <c r="A1125" s="35">
        <v>45883</v>
      </c>
      <c r="B1125" s="847" t="s">
        <v>878</v>
      </c>
      <c r="C1125">
        <v>2.504</v>
      </c>
    </row>
    <row r="1126" spans="1:3" x14ac:dyDescent="0.3">
      <c r="A1126" s="35">
        <v>45884</v>
      </c>
      <c r="B1126" s="847" t="s">
        <v>878</v>
      </c>
      <c r="C1126">
        <v>2.5289999999999999</v>
      </c>
    </row>
    <row r="1127" spans="1:3" x14ac:dyDescent="0.3">
      <c r="A1127" s="35">
        <v>45887</v>
      </c>
      <c r="B1127" s="847" t="s">
        <v>878</v>
      </c>
      <c r="C1127">
        <v>2.5379999999999998</v>
      </c>
    </row>
    <row r="1128" spans="1:3" x14ac:dyDescent="0.3">
      <c r="A1128" s="35">
        <v>45888</v>
      </c>
      <c r="B1128" s="847" t="s">
        <v>878</v>
      </c>
      <c r="C1128">
        <v>2.5419999999999998</v>
      </c>
    </row>
    <row r="1129" spans="1:3" x14ac:dyDescent="0.3">
      <c r="A1129" s="35">
        <v>45889</v>
      </c>
      <c r="B1129" s="847" t="s">
        <v>878</v>
      </c>
      <c r="C1129">
        <v>2.5499999999999998</v>
      </c>
    </row>
    <row r="1130" spans="1:3" x14ac:dyDescent="0.3">
      <c r="A1130" s="35">
        <v>45890</v>
      </c>
      <c r="B1130" s="847" t="s">
        <v>878</v>
      </c>
      <c r="C1130">
        <v>2.5830000000000002</v>
      </c>
    </row>
    <row r="1131" spans="1:3" x14ac:dyDescent="0.3">
      <c r="A1131" s="35">
        <v>45891</v>
      </c>
      <c r="B1131" s="847" t="s">
        <v>878</v>
      </c>
      <c r="C1131">
        <v>2.5830000000000002</v>
      </c>
    </row>
    <row r="1132" spans="1:3" x14ac:dyDescent="0.3">
      <c r="A1132" s="35">
        <v>45894</v>
      </c>
      <c r="B1132" s="847" t="s">
        <v>878</v>
      </c>
      <c r="C1132">
        <v>2.621</v>
      </c>
    </row>
    <row r="1133" spans="1:3" x14ac:dyDescent="0.3">
      <c r="A1133" s="35">
        <v>45895</v>
      </c>
      <c r="B1133" s="847" t="s">
        <v>878</v>
      </c>
      <c r="C1133">
        <v>2.65</v>
      </c>
    </row>
    <row r="1134" spans="1:3" x14ac:dyDescent="0.3">
      <c r="A1134" s="35">
        <v>45896</v>
      </c>
      <c r="B1134" s="847" t="s">
        <v>878</v>
      </c>
      <c r="C1134">
        <v>2.6539999999999999</v>
      </c>
    </row>
    <row r="1135" spans="1:3" x14ac:dyDescent="0.3">
      <c r="A1135" s="35">
        <v>45897</v>
      </c>
      <c r="B1135" s="847" t="s">
        <v>878</v>
      </c>
      <c r="C1135">
        <v>2.6629999999999998</v>
      </c>
    </row>
    <row r="1136" spans="1:3" x14ac:dyDescent="0.3">
      <c r="A1136" s="35">
        <v>45898</v>
      </c>
      <c r="B1136" s="847" t="s">
        <v>878</v>
      </c>
      <c r="C1136">
        <v>2.673</v>
      </c>
    </row>
    <row r="1137" spans="1:3" x14ac:dyDescent="0.3">
      <c r="A1137" s="35">
        <v>45903</v>
      </c>
      <c r="B1137" s="847" t="s">
        <v>878</v>
      </c>
      <c r="C1137">
        <v>2.673</v>
      </c>
    </row>
    <row r="1138" spans="1:3" x14ac:dyDescent="0.3">
      <c r="A1138" s="35">
        <v>45904</v>
      </c>
      <c r="B1138" s="847" t="s">
        <v>878</v>
      </c>
      <c r="C1138">
        <v>2.69</v>
      </c>
    </row>
    <row r="1139" spans="1:3" x14ac:dyDescent="0.3">
      <c r="A1139" s="35">
        <v>45905</v>
      </c>
      <c r="B1139" s="847" t="s">
        <v>878</v>
      </c>
      <c r="C1139">
        <v>2.69</v>
      </c>
    </row>
    <row r="1140" spans="1:3" x14ac:dyDescent="0.3">
      <c r="A1140" s="35">
        <v>45908</v>
      </c>
      <c r="B1140" s="847" t="s">
        <v>878</v>
      </c>
      <c r="C1140">
        <v>2.69</v>
      </c>
    </row>
    <row r="1141" spans="1:3" x14ac:dyDescent="0.3">
      <c r="A1141" s="35">
        <v>45909</v>
      </c>
      <c r="B1141" s="847" t="s">
        <v>878</v>
      </c>
      <c r="C1141">
        <v>2.698</v>
      </c>
    </row>
    <row r="1142" spans="1:3" x14ac:dyDescent="0.3">
      <c r="A1142" s="35">
        <v>45910</v>
      </c>
      <c r="B1142" s="847" t="s">
        <v>878</v>
      </c>
      <c r="C1142">
        <v>2.698</v>
      </c>
    </row>
    <row r="1143" spans="1:3" x14ac:dyDescent="0.3">
      <c r="A1143" s="35">
        <v>45911</v>
      </c>
      <c r="B1143" s="847" t="s">
        <v>878</v>
      </c>
      <c r="C1143">
        <v>2.702</v>
      </c>
    </row>
    <row r="1144" spans="1:3" x14ac:dyDescent="0.3">
      <c r="A1144" s="35">
        <v>45912</v>
      </c>
      <c r="B1144" s="847" t="s">
        <v>878</v>
      </c>
      <c r="C1144">
        <v>2.702</v>
      </c>
    </row>
    <row r="1145" spans="1:3" x14ac:dyDescent="0.3">
      <c r="A1145" s="35">
        <v>45915</v>
      </c>
      <c r="B1145" s="847" t="s">
        <v>878</v>
      </c>
      <c r="C1145">
        <v>2.7090000000000001</v>
      </c>
    </row>
    <row r="1146" spans="1:3" x14ac:dyDescent="0.3">
      <c r="A1146" s="35">
        <v>45916</v>
      </c>
      <c r="B1146" s="847" t="s">
        <v>878</v>
      </c>
      <c r="C1146">
        <v>2.7040000000000002</v>
      </c>
    </row>
    <row r="1147" spans="1:3" x14ac:dyDescent="0.3">
      <c r="A1147" s="35">
        <v>45917</v>
      </c>
      <c r="B1147" s="847" t="s">
        <v>878</v>
      </c>
      <c r="C1147">
        <v>2.7040000000000002</v>
      </c>
    </row>
    <row r="1148" spans="1:3" x14ac:dyDescent="0.3">
      <c r="A1148" s="35">
        <v>45918</v>
      </c>
      <c r="B1148" s="847" t="s">
        <v>878</v>
      </c>
      <c r="C1148">
        <v>2.71</v>
      </c>
    </row>
    <row r="1149" spans="1:3" x14ac:dyDescent="0.3">
      <c r="A1149" s="35">
        <v>45919</v>
      </c>
      <c r="B1149" s="847" t="s">
        <v>878</v>
      </c>
      <c r="C1149">
        <v>2.71</v>
      </c>
    </row>
    <row r="1150" spans="1:3" x14ac:dyDescent="0.3">
      <c r="A1150" s="35">
        <v>45922</v>
      </c>
      <c r="B1150" s="847" t="s">
        <v>878</v>
      </c>
      <c r="C1150">
        <v>2.7229999999999999</v>
      </c>
    </row>
    <row r="1151" spans="1:3" x14ac:dyDescent="0.3">
      <c r="A1151" s="35">
        <v>45923</v>
      </c>
      <c r="B1151" s="847" t="s">
        <v>878</v>
      </c>
      <c r="C1151">
        <v>2.7229999999999999</v>
      </c>
    </row>
    <row r="1152" spans="1:3" x14ac:dyDescent="0.3">
      <c r="A1152" s="35">
        <v>45924</v>
      </c>
      <c r="B1152" s="847" t="s">
        <v>878</v>
      </c>
      <c r="C1152">
        <v>2.7229999999999999</v>
      </c>
    </row>
    <row r="1153" spans="1:3" x14ac:dyDescent="0.3">
      <c r="A1153" s="35">
        <v>45925</v>
      </c>
      <c r="B1153" s="847" t="s">
        <v>878</v>
      </c>
      <c r="C1153">
        <v>2.738</v>
      </c>
    </row>
    <row r="1154" spans="1:3" x14ac:dyDescent="0.3">
      <c r="A1154" s="35">
        <v>45926</v>
      </c>
      <c r="B1154" s="847" t="s">
        <v>878</v>
      </c>
      <c r="C1154">
        <v>2.738</v>
      </c>
    </row>
    <row r="1155" spans="1:3" x14ac:dyDescent="0.3">
      <c r="A1155" s="35">
        <v>45929</v>
      </c>
      <c r="B1155" s="847" t="s">
        <v>878</v>
      </c>
      <c r="C1155">
        <v>2.738</v>
      </c>
    </row>
    <row r="1156" spans="1:3" x14ac:dyDescent="0.3">
      <c r="A1156" s="35">
        <v>45930</v>
      </c>
      <c r="B1156" s="847" t="s">
        <v>878</v>
      </c>
      <c r="C1156">
        <v>2.738</v>
      </c>
    </row>
    <row r="1157" spans="1:3" x14ac:dyDescent="0.3">
      <c r="A1157" s="35">
        <v>45931</v>
      </c>
      <c r="B1157" s="847" t="s">
        <v>878</v>
      </c>
      <c r="C1157">
        <v>2.738</v>
      </c>
    </row>
    <row r="1158" spans="1:3" x14ac:dyDescent="0.3">
      <c r="A1158" s="35">
        <v>45932</v>
      </c>
      <c r="B1158" s="847" t="s">
        <v>878</v>
      </c>
      <c r="C1158">
        <v>2.7629999999999999</v>
      </c>
    </row>
    <row r="1159" spans="1:3" x14ac:dyDescent="0.3">
      <c r="A1159" s="35">
        <v>45933</v>
      </c>
      <c r="B1159" s="847" t="s">
        <v>878</v>
      </c>
      <c r="C1159">
        <v>2.7629999999999999</v>
      </c>
    </row>
    <row r="1160" spans="1:3" x14ac:dyDescent="0.3">
      <c r="A1160" s="35">
        <v>45936</v>
      </c>
      <c r="B1160" s="847" t="s">
        <v>878</v>
      </c>
      <c r="C1160">
        <v>2.7629999999999999</v>
      </c>
    </row>
    <row r="1161" spans="1:3" x14ac:dyDescent="0.3">
      <c r="A1161" s="35">
        <v>45937</v>
      </c>
      <c r="B1161" s="847" t="s">
        <v>878</v>
      </c>
      <c r="C1161">
        <v>2.7749999999999999</v>
      </c>
    </row>
    <row r="1162" spans="1:3" x14ac:dyDescent="0.3">
      <c r="A1162" s="35">
        <v>45938</v>
      </c>
      <c r="B1162" s="847" t="s">
        <v>878</v>
      </c>
      <c r="C1162">
        <v>2.7629999999999999</v>
      </c>
    </row>
    <row r="1163" spans="1:3" x14ac:dyDescent="0.3">
      <c r="A1163" s="35">
        <v>45939</v>
      </c>
      <c r="B1163" s="847" t="s">
        <v>878</v>
      </c>
      <c r="C1163">
        <v>2.7730000000000001</v>
      </c>
    </row>
    <row r="1164" spans="1:3" x14ac:dyDescent="0.3">
      <c r="A1164" s="35">
        <v>45940</v>
      </c>
      <c r="B1164" s="847" t="s">
        <v>878</v>
      </c>
      <c r="C1164">
        <v>2.7730000000000001</v>
      </c>
    </row>
    <row r="1165" spans="1:3" x14ac:dyDescent="0.3">
      <c r="A1165" s="35">
        <v>45943</v>
      </c>
      <c r="B1165" s="847" t="s">
        <v>878</v>
      </c>
      <c r="C1165">
        <v>2.7730000000000001</v>
      </c>
    </row>
    <row r="1166" spans="1:3" x14ac:dyDescent="0.3">
      <c r="A1166" s="35">
        <v>45944</v>
      </c>
      <c r="B1166" s="847" t="s">
        <v>878</v>
      </c>
      <c r="C1166">
        <v>2.7730000000000001</v>
      </c>
    </row>
    <row r="1167" spans="1:3" x14ac:dyDescent="0.3">
      <c r="A1167" s="35">
        <v>45945</v>
      </c>
      <c r="B1167" s="847" t="s">
        <v>878</v>
      </c>
      <c r="C1167">
        <v>2.7730000000000001</v>
      </c>
    </row>
    <row r="1168" spans="1:3" x14ac:dyDescent="0.3">
      <c r="A1168" s="35">
        <v>45946</v>
      </c>
      <c r="B1168" s="847" t="s">
        <v>878</v>
      </c>
      <c r="C1168">
        <v>2.79</v>
      </c>
    </row>
    <row r="1169" spans="1:3" x14ac:dyDescent="0.3">
      <c r="A1169" s="35">
        <v>45947</v>
      </c>
      <c r="B1169" s="847" t="s">
        <v>878</v>
      </c>
      <c r="C1169">
        <v>2.7959999999999998</v>
      </c>
    </row>
    <row r="1170" spans="1:3" x14ac:dyDescent="0.3">
      <c r="A1170" s="35">
        <v>45950</v>
      </c>
      <c r="B1170" s="847" t="s">
        <v>878</v>
      </c>
      <c r="C1170">
        <v>2.8130000000000002</v>
      </c>
    </row>
    <row r="1171" spans="1:3" x14ac:dyDescent="0.3">
      <c r="A1171" s="35">
        <v>45951</v>
      </c>
      <c r="B1171" s="847" t="s">
        <v>878</v>
      </c>
      <c r="C1171">
        <v>2.8130000000000002</v>
      </c>
    </row>
    <row r="1172" spans="1:3" x14ac:dyDescent="0.3">
      <c r="A1172" s="35">
        <v>45952</v>
      </c>
      <c r="B1172" s="847" t="s">
        <v>878</v>
      </c>
      <c r="C1172">
        <v>2.8290000000000002</v>
      </c>
    </row>
    <row r="1173" spans="1:3" x14ac:dyDescent="0.3">
      <c r="A1173" s="35">
        <v>45953</v>
      </c>
      <c r="B1173" s="847" t="s">
        <v>878</v>
      </c>
      <c r="C1173">
        <v>2.8290000000000002</v>
      </c>
    </row>
    <row r="1174" spans="1:3" x14ac:dyDescent="0.3">
      <c r="A1174" s="35">
        <v>45954</v>
      </c>
      <c r="B1174" s="847" t="s">
        <v>878</v>
      </c>
      <c r="C1174">
        <v>2.8380000000000001</v>
      </c>
    </row>
    <row r="1175" spans="1:3" x14ac:dyDescent="0.3">
      <c r="A1175" s="35">
        <v>45957</v>
      </c>
      <c r="B1175" s="847" t="s">
        <v>878</v>
      </c>
      <c r="C1175">
        <v>2.8380000000000001</v>
      </c>
    </row>
    <row r="1176" spans="1:3" x14ac:dyDescent="0.3">
      <c r="A1176" s="35">
        <v>45958</v>
      </c>
      <c r="B1176" s="847" t="s">
        <v>878</v>
      </c>
      <c r="C1176">
        <v>2.8380000000000001</v>
      </c>
    </row>
    <row r="1177" spans="1:3" x14ac:dyDescent="0.3">
      <c r="A1177" s="35">
        <v>45959</v>
      </c>
      <c r="B1177" s="847" t="s">
        <v>878</v>
      </c>
      <c r="C1177">
        <v>2.8380000000000001</v>
      </c>
    </row>
    <row r="1178" spans="1:3" x14ac:dyDescent="0.3">
      <c r="A1178" s="35">
        <v>45960</v>
      </c>
      <c r="B1178" s="847" t="s">
        <v>878</v>
      </c>
      <c r="C1178">
        <v>2.8380000000000001</v>
      </c>
    </row>
    <row r="1179" spans="1:3" x14ac:dyDescent="0.3">
      <c r="A1179" s="35">
        <v>45961</v>
      </c>
      <c r="B1179" s="847" t="s">
        <v>878</v>
      </c>
      <c r="C1179">
        <v>2.8380000000000001</v>
      </c>
    </row>
    <row r="1180" spans="1:3" x14ac:dyDescent="0.3">
      <c r="A1180" s="35">
        <v>45964</v>
      </c>
      <c r="B1180" s="847" t="s">
        <v>878</v>
      </c>
      <c r="C1180">
        <v>2.8380000000000001</v>
      </c>
    </row>
    <row r="1181" spans="1:3" x14ac:dyDescent="0.3">
      <c r="A1181" s="35">
        <v>45965</v>
      </c>
      <c r="B1181" s="847" t="s">
        <v>878</v>
      </c>
      <c r="C1181">
        <v>2.8380000000000001</v>
      </c>
    </row>
    <row r="1182" spans="1:3" x14ac:dyDescent="0.3">
      <c r="A1182" s="35">
        <v>45966</v>
      </c>
      <c r="B1182" s="847" t="s">
        <v>878</v>
      </c>
      <c r="C1182">
        <v>2.8380000000000001</v>
      </c>
    </row>
    <row r="1183" spans="1:3" x14ac:dyDescent="0.3">
      <c r="A1183" s="35">
        <v>45967</v>
      </c>
      <c r="B1183" s="847" t="s">
        <v>878</v>
      </c>
      <c r="C1183">
        <v>2.8380000000000001</v>
      </c>
    </row>
    <row r="1184" spans="1:3" x14ac:dyDescent="0.3">
      <c r="A1184" s="35">
        <v>45968</v>
      </c>
      <c r="B1184" s="847" t="s">
        <v>878</v>
      </c>
      <c r="C1184">
        <v>2.84</v>
      </c>
    </row>
    <row r="1185" spans="1:3" x14ac:dyDescent="0.3">
      <c r="A1185" s="35">
        <v>45971</v>
      </c>
      <c r="B1185" s="847" t="s">
        <v>878</v>
      </c>
      <c r="C1185">
        <v>2.8730000000000002</v>
      </c>
    </row>
    <row r="1186" spans="1:3" x14ac:dyDescent="0.3">
      <c r="A1186" s="35">
        <v>45972</v>
      </c>
      <c r="B1186" s="847" t="s">
        <v>878</v>
      </c>
      <c r="C1186">
        <v>2.8730000000000002</v>
      </c>
    </row>
    <row r="1187" spans="1:3" x14ac:dyDescent="0.3">
      <c r="A1187" s="35">
        <v>45973</v>
      </c>
      <c r="B1187" s="847" t="s">
        <v>878</v>
      </c>
      <c r="C1187">
        <v>2.8730000000000002</v>
      </c>
    </row>
    <row r="1188" spans="1:3" x14ac:dyDescent="0.3">
      <c r="A1188" s="35">
        <v>45974</v>
      </c>
      <c r="B1188" s="847" t="s">
        <v>878</v>
      </c>
      <c r="C1188">
        <v>2.8769999999999998</v>
      </c>
    </row>
    <row r="1189" spans="1:3" x14ac:dyDescent="0.3">
      <c r="A1189" s="35">
        <v>45975</v>
      </c>
      <c r="B1189" s="847" t="s">
        <v>878</v>
      </c>
      <c r="C1189">
        <v>2.8769999999999998</v>
      </c>
    </row>
    <row r="1190" spans="1:3" x14ac:dyDescent="0.3">
      <c r="A1190" s="35">
        <v>45978</v>
      </c>
      <c r="B1190" s="847" t="s">
        <v>878</v>
      </c>
      <c r="C1190">
        <v>2.8769999999999998</v>
      </c>
    </row>
    <row r="1191" spans="1:3" x14ac:dyDescent="0.3">
      <c r="A1191" s="35">
        <v>45979</v>
      </c>
      <c r="B1191" s="847" t="s">
        <v>878</v>
      </c>
      <c r="C1191">
        <v>2.8769999999999998</v>
      </c>
    </row>
    <row r="1192" spans="1:3" x14ac:dyDescent="0.3">
      <c r="A1192" s="35">
        <v>45980</v>
      </c>
      <c r="B1192" s="847" t="s">
        <v>878</v>
      </c>
      <c r="C1192">
        <v>2.8769999999999998</v>
      </c>
    </row>
    <row r="1193" spans="1:3" x14ac:dyDescent="0.3">
      <c r="A1193" s="35">
        <v>45981</v>
      </c>
      <c r="B1193" s="847" t="s">
        <v>878</v>
      </c>
      <c r="C1193">
        <v>2.8940000000000001</v>
      </c>
    </row>
    <row r="1194" spans="1:3" x14ac:dyDescent="0.3">
      <c r="A1194" s="35">
        <v>45982</v>
      </c>
      <c r="B1194" s="847" t="s">
        <v>878</v>
      </c>
      <c r="C1194">
        <v>2.8980000000000001</v>
      </c>
    </row>
    <row r="1195" spans="1:3" x14ac:dyDescent="0.3">
      <c r="A1195" s="35">
        <v>45985</v>
      </c>
      <c r="B1195" s="847" t="s">
        <v>878</v>
      </c>
      <c r="C1195">
        <v>2.8980000000000001</v>
      </c>
    </row>
    <row r="1196" spans="1:3" x14ac:dyDescent="0.3">
      <c r="A1196" s="35">
        <v>45986</v>
      </c>
      <c r="B1196" s="847" t="s">
        <v>878</v>
      </c>
      <c r="C1196">
        <v>2.8980000000000001</v>
      </c>
    </row>
    <row r="1197" spans="1:3" x14ac:dyDescent="0.3">
      <c r="A1197" s="35">
        <v>45987</v>
      </c>
      <c r="B1197" s="847" t="s">
        <v>878</v>
      </c>
      <c r="C1197">
        <v>2.8980000000000001</v>
      </c>
    </row>
    <row r="1198" spans="1:3" x14ac:dyDescent="0.3">
      <c r="A1198" s="35">
        <v>45988</v>
      </c>
      <c r="B1198" s="847" t="s">
        <v>878</v>
      </c>
      <c r="C1198">
        <v>2.8980000000000001</v>
      </c>
    </row>
    <row r="1199" spans="1:3" x14ac:dyDescent="0.3">
      <c r="A1199" s="35">
        <v>45989</v>
      </c>
      <c r="B1199" s="847" t="s">
        <v>878</v>
      </c>
      <c r="C1199">
        <v>2.8980000000000001</v>
      </c>
    </row>
    <row r="1200" spans="1:3" x14ac:dyDescent="0.3">
      <c r="A1200" s="35">
        <v>45992</v>
      </c>
      <c r="B1200" s="847" t="s">
        <v>878</v>
      </c>
      <c r="C1200">
        <v>2.9020000000000001</v>
      </c>
    </row>
    <row r="1201" spans="1:3" x14ac:dyDescent="0.3">
      <c r="A1201" s="35">
        <v>45993</v>
      </c>
      <c r="B1201" s="847" t="s">
        <v>878</v>
      </c>
      <c r="C1201">
        <v>2.91</v>
      </c>
    </row>
    <row r="1202" spans="1:3" x14ac:dyDescent="0.3">
      <c r="A1202" s="35">
        <v>45994</v>
      </c>
      <c r="B1202" s="847" t="s">
        <v>878</v>
      </c>
      <c r="C1202">
        <v>2.915</v>
      </c>
    </row>
    <row r="1203" spans="1:3" x14ac:dyDescent="0.3">
      <c r="A1203" s="35">
        <v>45995</v>
      </c>
      <c r="B1203" s="847" t="s">
        <v>878</v>
      </c>
      <c r="C1203">
        <v>2.923</v>
      </c>
    </row>
    <row r="1204" spans="1:3" x14ac:dyDescent="0.3">
      <c r="A1204" s="35">
        <v>45996</v>
      </c>
      <c r="B1204" s="847" t="s">
        <v>878</v>
      </c>
      <c r="C1204">
        <v>2.948</v>
      </c>
    </row>
    <row r="1205" spans="1:3" x14ac:dyDescent="0.3">
      <c r="A1205" s="35">
        <v>45999</v>
      </c>
      <c r="B1205" s="847" t="s">
        <v>878</v>
      </c>
      <c r="C1205">
        <v>2.9580000000000002</v>
      </c>
    </row>
    <row r="1206" spans="1:3" x14ac:dyDescent="0.3">
      <c r="A1206" s="35">
        <v>46000</v>
      </c>
      <c r="B1206" s="847" t="s">
        <v>878</v>
      </c>
      <c r="C1206">
        <v>2.9580000000000002</v>
      </c>
    </row>
    <row r="1207" spans="1:3" x14ac:dyDescent="0.3">
      <c r="A1207" s="35">
        <v>46001</v>
      </c>
      <c r="B1207" s="847" t="s">
        <v>878</v>
      </c>
      <c r="C1207">
        <v>2.9580000000000002</v>
      </c>
    </row>
    <row r="1208" spans="1:3" x14ac:dyDescent="0.3">
      <c r="A1208" s="35">
        <v>46002</v>
      </c>
      <c r="B1208" s="847" t="s">
        <v>878</v>
      </c>
      <c r="C1208">
        <v>2.9580000000000002</v>
      </c>
    </row>
    <row r="1209" spans="1:3" x14ac:dyDescent="0.3">
      <c r="A1209" s="35">
        <v>46003</v>
      </c>
      <c r="B1209" s="847" t="s">
        <v>878</v>
      </c>
      <c r="C1209">
        <v>2.9580000000000002</v>
      </c>
    </row>
    <row r="1210" spans="1:3" x14ac:dyDescent="0.3">
      <c r="A1210" s="35">
        <v>46006</v>
      </c>
      <c r="B1210" s="847" t="s">
        <v>878</v>
      </c>
      <c r="C1210">
        <v>2.95</v>
      </c>
    </row>
    <row r="1211" spans="1:3" x14ac:dyDescent="0.3">
      <c r="A1211" s="35">
        <v>46007</v>
      </c>
      <c r="B1211" s="847" t="s">
        <v>878</v>
      </c>
      <c r="C1211">
        <v>2.9580000000000002</v>
      </c>
    </row>
    <row r="1212" spans="1:3" x14ac:dyDescent="0.3">
      <c r="A1212" s="35">
        <v>46008</v>
      </c>
      <c r="B1212" s="847" t="s">
        <v>878</v>
      </c>
      <c r="C1212">
        <v>2.9580000000000002</v>
      </c>
    </row>
    <row r="1213" spans="1:3" x14ac:dyDescent="0.3">
      <c r="A1213" s="35">
        <v>46009</v>
      </c>
      <c r="B1213" s="847" t="s">
        <v>878</v>
      </c>
      <c r="C1213">
        <v>2.9670000000000001</v>
      </c>
    </row>
    <row r="1214" spans="1:3" x14ac:dyDescent="0.3">
      <c r="A1214" s="35">
        <v>46010</v>
      </c>
      <c r="B1214" s="847" t="s">
        <v>878</v>
      </c>
      <c r="C1214">
        <v>2.9710000000000001</v>
      </c>
    </row>
    <row r="1215" spans="1:3" x14ac:dyDescent="0.3">
      <c r="A1215" s="35">
        <v>46013</v>
      </c>
      <c r="B1215" s="847" t="s">
        <v>878</v>
      </c>
      <c r="C1215">
        <v>2.9710000000000001</v>
      </c>
    </row>
    <row r="1216" spans="1:3" x14ac:dyDescent="0.3">
      <c r="A1216" s="35">
        <v>46014</v>
      </c>
      <c r="B1216" s="847" t="s">
        <v>878</v>
      </c>
      <c r="C1216">
        <v>2.9710000000000001</v>
      </c>
    </row>
    <row r="1217" spans="1:3" x14ac:dyDescent="0.3">
      <c r="A1217" s="35">
        <v>46015</v>
      </c>
      <c r="B1217" s="847" t="s">
        <v>878</v>
      </c>
      <c r="C1217">
        <v>2.9710000000000001</v>
      </c>
    </row>
    <row r="1218" spans="1:3" x14ac:dyDescent="0.3">
      <c r="A1218" s="35">
        <v>46016</v>
      </c>
      <c r="B1218" s="847" t="s">
        <v>878</v>
      </c>
      <c r="C1218">
        <v>2.9710000000000001</v>
      </c>
    </row>
    <row r="1219" spans="1:3" x14ac:dyDescent="0.3">
      <c r="A1219" s="35">
        <v>46017</v>
      </c>
      <c r="B1219" s="847" t="s">
        <v>878</v>
      </c>
      <c r="C1219">
        <v>2.9670000000000001</v>
      </c>
    </row>
    <row r="1220" spans="1:3" x14ac:dyDescent="0.3">
      <c r="A1220" s="35">
        <v>46020</v>
      </c>
      <c r="B1220" s="847" t="s">
        <v>878</v>
      </c>
      <c r="C1220">
        <v>2.9710000000000001</v>
      </c>
    </row>
    <row r="1221" spans="1:3" x14ac:dyDescent="0.3">
      <c r="A1221" s="35">
        <v>46021</v>
      </c>
      <c r="B1221" s="847" t="s">
        <v>878</v>
      </c>
      <c r="C1221">
        <v>2.9710000000000001</v>
      </c>
    </row>
    <row r="1222" spans="1:3" x14ac:dyDescent="0.3">
      <c r="A1222" s="35">
        <v>46022</v>
      </c>
      <c r="B1222" s="847" t="s">
        <v>878</v>
      </c>
      <c r="C1222">
        <v>2.9710000000000001</v>
      </c>
    </row>
    <row r="1223" spans="1:3" x14ac:dyDescent="0.3">
      <c r="A1223" s="35">
        <v>46027</v>
      </c>
      <c r="B1223" s="847" t="s">
        <v>878</v>
      </c>
      <c r="C1223">
        <v>2.996</v>
      </c>
    </row>
    <row r="1224" spans="1:3" x14ac:dyDescent="0.3">
      <c r="A1224" s="35">
        <v>46028</v>
      </c>
      <c r="B1224" s="847" t="s">
        <v>878</v>
      </c>
      <c r="C1224">
        <v>2.996</v>
      </c>
    </row>
    <row r="1225" spans="1:3" x14ac:dyDescent="0.3">
      <c r="A1225" s="35">
        <v>46029</v>
      </c>
      <c r="B1225" s="847" t="s">
        <v>878</v>
      </c>
      <c r="C1225">
        <v>2.996</v>
      </c>
    </row>
    <row r="1226" spans="1:3" x14ac:dyDescent="0.3">
      <c r="A1226" s="35">
        <v>46030</v>
      </c>
      <c r="B1226" s="847" t="s">
        <v>878</v>
      </c>
      <c r="C1226">
        <v>3.0539999999999998</v>
      </c>
    </row>
    <row r="1227" spans="1:3" x14ac:dyDescent="0.3">
      <c r="A1227" s="35">
        <v>46031</v>
      </c>
      <c r="B1227" s="847" t="s">
        <v>878</v>
      </c>
      <c r="C1227">
        <v>3.11</v>
      </c>
    </row>
    <row r="1228" spans="1:3" x14ac:dyDescent="0.3">
      <c r="A1228" s="35">
        <v>46034</v>
      </c>
      <c r="B1228" s="847" t="s">
        <v>878</v>
      </c>
      <c r="C1228">
        <v>3.085</v>
      </c>
    </row>
    <row r="1229" spans="1:3" x14ac:dyDescent="0.3">
      <c r="A1229" s="35">
        <v>46035</v>
      </c>
      <c r="B1229" s="847" t="s">
        <v>878</v>
      </c>
      <c r="C1229">
        <v>3.077</v>
      </c>
    </row>
    <row r="1230" spans="1:3" x14ac:dyDescent="0.3">
      <c r="A1230" s="35">
        <v>46036</v>
      </c>
      <c r="B1230" s="847" t="s">
        <v>878</v>
      </c>
      <c r="C1230">
        <v>3.0960000000000001</v>
      </c>
    </row>
    <row r="1231" spans="1:3" x14ac:dyDescent="0.3">
      <c r="A1231" s="35">
        <v>46037</v>
      </c>
      <c r="B1231" s="847" t="s">
        <v>878</v>
      </c>
      <c r="C1231">
        <v>3.129</v>
      </c>
    </row>
    <row r="1232" spans="1:3" x14ac:dyDescent="0.3">
      <c r="A1232" s="35">
        <v>46038</v>
      </c>
      <c r="B1232" s="847" t="s">
        <v>878</v>
      </c>
      <c r="C1232">
        <v>3.1040000000000001</v>
      </c>
    </row>
    <row r="1233" spans="1:3" x14ac:dyDescent="0.3">
      <c r="A1233" s="35">
        <v>46041</v>
      </c>
      <c r="B1233" s="847" t="s">
        <v>878</v>
      </c>
      <c r="C1233">
        <v>3.1040000000000001</v>
      </c>
    </row>
    <row r="1234" spans="1:3" x14ac:dyDescent="0.3">
      <c r="A1234" s="35">
        <v>46042</v>
      </c>
      <c r="B1234" s="847" t="s">
        <v>878</v>
      </c>
      <c r="C1234">
        <v>3.11</v>
      </c>
    </row>
    <row r="1235" spans="1:3" x14ac:dyDescent="0.3">
      <c r="A1235" s="35">
        <v>46043</v>
      </c>
      <c r="B1235" s="847" t="s">
        <v>878</v>
      </c>
      <c r="C1235">
        <v>3.11</v>
      </c>
    </row>
    <row r="1236" spans="1:3" x14ac:dyDescent="0.3">
      <c r="A1236" s="35">
        <v>46044</v>
      </c>
      <c r="B1236" s="847" t="s">
        <v>878</v>
      </c>
      <c r="C1236">
        <v>3.11</v>
      </c>
    </row>
    <row r="1237" spans="1:3" x14ac:dyDescent="0.3">
      <c r="A1237" s="35">
        <v>46045</v>
      </c>
      <c r="B1237" s="847" t="s">
        <v>878</v>
      </c>
      <c r="C1237">
        <v>3.11</v>
      </c>
    </row>
    <row r="1238" spans="1:3" x14ac:dyDescent="0.3">
      <c r="A1238" s="35">
        <v>46048</v>
      </c>
      <c r="B1238" s="847" t="s">
        <v>878</v>
      </c>
      <c r="C1238">
        <v>3.11</v>
      </c>
    </row>
    <row r="1239" spans="1:3" x14ac:dyDescent="0.3">
      <c r="A1239" s="35">
        <v>46049</v>
      </c>
      <c r="B1239" s="847" t="s">
        <v>878</v>
      </c>
      <c r="C1239">
        <v>3.11</v>
      </c>
    </row>
    <row r="1240" spans="1:3" x14ac:dyDescent="0.3">
      <c r="A1240" s="35">
        <v>46050</v>
      </c>
      <c r="B1240" s="847" t="s">
        <v>878</v>
      </c>
      <c r="C1240">
        <v>3.1190000000000002</v>
      </c>
    </row>
    <row r="1241" spans="1:3" x14ac:dyDescent="0.3">
      <c r="A1241" s="35">
        <v>46051</v>
      </c>
      <c r="B1241" s="847" t="s">
        <v>878</v>
      </c>
      <c r="C1241">
        <v>3.1190000000000002</v>
      </c>
    </row>
    <row r="1242" spans="1:3" x14ac:dyDescent="0.3">
      <c r="A1242" s="35">
        <v>46052</v>
      </c>
      <c r="B1242" s="847" t="s">
        <v>878</v>
      </c>
      <c r="C1242">
        <v>3.1190000000000002</v>
      </c>
    </row>
    <row r="1243" spans="1:3" x14ac:dyDescent="0.3">
      <c r="A1243" s="35">
        <v>46055</v>
      </c>
      <c r="B1243" s="847" t="s">
        <v>878</v>
      </c>
      <c r="C1243">
        <v>3.1339999999999999</v>
      </c>
    </row>
    <row r="1244" spans="1:3" x14ac:dyDescent="0.3">
      <c r="A1244" s="35">
        <v>46056</v>
      </c>
      <c r="B1244" s="847" t="s">
        <v>878</v>
      </c>
      <c r="C1244">
        <v>3.1190000000000002</v>
      </c>
    </row>
    <row r="1245" spans="1:3" x14ac:dyDescent="0.3">
      <c r="A1245" s="35">
        <v>46057</v>
      </c>
      <c r="B1245" s="847" t="s">
        <v>878</v>
      </c>
      <c r="C1245">
        <v>3.1429999999999998</v>
      </c>
    </row>
    <row r="1246" spans="1:3" x14ac:dyDescent="0.3">
      <c r="A1246" s="35">
        <v>46058</v>
      </c>
      <c r="B1246" s="847" t="s">
        <v>878</v>
      </c>
      <c r="C1246">
        <v>3.1269999999999998</v>
      </c>
    </row>
    <row r="1247" spans="1:3" x14ac:dyDescent="0.3">
      <c r="A1247" s="35">
        <v>46059</v>
      </c>
      <c r="B1247" s="847" t="s">
        <v>878</v>
      </c>
      <c r="C1247">
        <v>3.1269999999999998</v>
      </c>
    </row>
    <row r="1248" spans="1:3" x14ac:dyDescent="0.3">
      <c r="A1248" s="35">
        <v>46062</v>
      </c>
      <c r="B1248" s="847" t="s">
        <v>878</v>
      </c>
      <c r="C1248">
        <v>3.1269999999999998</v>
      </c>
    </row>
    <row r="1249" spans="1:3" x14ac:dyDescent="0.3">
      <c r="A1249" s="35">
        <v>46063</v>
      </c>
      <c r="B1249" s="847" t="s">
        <v>878</v>
      </c>
      <c r="C1249">
        <v>3.1480000000000001</v>
      </c>
    </row>
    <row r="1250" spans="1:3" x14ac:dyDescent="0.3">
      <c r="A1250" s="35">
        <v>46064</v>
      </c>
      <c r="B1250" s="847" t="s">
        <v>878</v>
      </c>
      <c r="C1250">
        <v>3.1480000000000001</v>
      </c>
    </row>
    <row r="1251" spans="1:3" x14ac:dyDescent="0.3">
      <c r="A1251" s="35">
        <v>46065</v>
      </c>
      <c r="B1251" s="847" t="s">
        <v>878</v>
      </c>
      <c r="C1251">
        <v>3.1480000000000001</v>
      </c>
    </row>
    <row r="1252" spans="1:3" x14ac:dyDescent="0.3">
      <c r="A1252" s="35">
        <v>46066</v>
      </c>
      <c r="B1252" s="847" t="s">
        <v>878</v>
      </c>
      <c r="C1252">
        <v>3.1480000000000001</v>
      </c>
    </row>
    <row r="1253" spans="1:3" x14ac:dyDescent="0.3">
      <c r="A1253" s="35">
        <v>46076</v>
      </c>
      <c r="B1253" s="847" t="s">
        <v>878</v>
      </c>
      <c r="C1253">
        <v>3.1480000000000001</v>
      </c>
    </row>
    <row r="1254" spans="1:3" x14ac:dyDescent="0.3">
      <c r="A1254" s="35">
        <v>46077</v>
      </c>
      <c r="B1254" s="847" t="s">
        <v>878</v>
      </c>
      <c r="C1254">
        <v>3.15</v>
      </c>
    </row>
    <row r="1255" spans="1:3" x14ac:dyDescent="0.3">
      <c r="A1255" s="35">
        <v>46078</v>
      </c>
      <c r="B1255" s="847" t="s">
        <v>878</v>
      </c>
      <c r="C1255">
        <v>3.15</v>
      </c>
    </row>
    <row r="1256" spans="1:3" x14ac:dyDescent="0.3">
      <c r="A1256" s="35">
        <v>46079</v>
      </c>
      <c r="B1256" s="847" t="s">
        <v>878</v>
      </c>
      <c r="C1256">
        <v>3.15</v>
      </c>
    </row>
    <row r="1257" spans="1:3" x14ac:dyDescent="0.3">
      <c r="A1257" s="35">
        <v>46080</v>
      </c>
      <c r="B1257" s="847" t="s">
        <v>878</v>
      </c>
      <c r="C1257">
        <v>3.15</v>
      </c>
    </row>
    <row r="1258" spans="1:3" x14ac:dyDescent="0.3">
      <c r="A1258" s="35">
        <v>46083</v>
      </c>
      <c r="B1258" s="847" t="s">
        <v>878</v>
      </c>
      <c r="C1258">
        <v>3.1579999999999999</v>
      </c>
    </row>
    <row r="1259" spans="1:3" x14ac:dyDescent="0.3">
      <c r="A1259" s="35">
        <v>46084</v>
      </c>
      <c r="B1259" s="847" t="s">
        <v>878</v>
      </c>
      <c r="C1259">
        <v>3.1709999999999998</v>
      </c>
    </row>
    <row r="1260" spans="1:3" x14ac:dyDescent="0.3">
      <c r="A1260" s="35">
        <v>46085</v>
      </c>
      <c r="B1260" s="847" t="s">
        <v>878</v>
      </c>
      <c r="C1260">
        <v>3.1709999999999998</v>
      </c>
    </row>
    <row r="1261" spans="1:3" x14ac:dyDescent="0.3">
      <c r="A1261" s="35">
        <v>46086</v>
      </c>
      <c r="B1261" s="847" t="s">
        <v>878</v>
      </c>
      <c r="C1261">
        <v>3.1709999999999998</v>
      </c>
    </row>
    <row r="1262" spans="1:3" x14ac:dyDescent="0.3">
      <c r="A1262" s="35">
        <v>46087</v>
      </c>
      <c r="B1262" s="847" t="s">
        <v>878</v>
      </c>
      <c r="C1262">
        <v>3.1709999999999998</v>
      </c>
    </row>
    <row r="1263" spans="1:3" x14ac:dyDescent="0.3">
      <c r="A1263" s="35">
        <v>46090</v>
      </c>
      <c r="B1263" s="847" t="s">
        <v>878</v>
      </c>
      <c r="C1263">
        <v>3.1880000000000002</v>
      </c>
    </row>
    <row r="1264" spans="1:3" x14ac:dyDescent="0.3">
      <c r="A1264" s="35">
        <v>46091</v>
      </c>
      <c r="B1264" s="847" t="s">
        <v>878</v>
      </c>
      <c r="C1264">
        <v>3.2</v>
      </c>
    </row>
    <row r="1265" spans="1:3" x14ac:dyDescent="0.3">
      <c r="A1265" s="35">
        <v>46092</v>
      </c>
      <c r="B1265" s="847" t="s">
        <v>878</v>
      </c>
      <c r="C1265">
        <v>3.2</v>
      </c>
    </row>
    <row r="1266" spans="1:3" x14ac:dyDescent="0.3">
      <c r="A1266" s="35">
        <v>46093</v>
      </c>
      <c r="B1266" s="847" t="s">
        <v>878</v>
      </c>
      <c r="C1266">
        <v>3.2210000000000001</v>
      </c>
    </row>
    <row r="1267" spans="1:3" x14ac:dyDescent="0.3">
      <c r="A1267" s="35">
        <v>46094</v>
      </c>
      <c r="B1267" s="847" t="s">
        <v>878</v>
      </c>
      <c r="C1267">
        <v>3.242</v>
      </c>
    </row>
    <row r="1268" spans="1:3" x14ac:dyDescent="0.3">
      <c r="A1268" s="35">
        <v>46097</v>
      </c>
      <c r="B1268" s="847" t="s">
        <v>878</v>
      </c>
      <c r="C1268">
        <v>3.242</v>
      </c>
    </row>
    <row r="1269" spans="1:3" x14ac:dyDescent="0.3">
      <c r="A1269" s="35">
        <v>46098</v>
      </c>
      <c r="B1269" s="847" t="s">
        <v>878</v>
      </c>
      <c r="C1269">
        <v>3.2829999999999999</v>
      </c>
    </row>
    <row r="1270" spans="1:3" x14ac:dyDescent="0.3">
      <c r="A1270" s="35">
        <v>46099</v>
      </c>
      <c r="B1270" s="847" t="s">
        <v>878</v>
      </c>
      <c r="C1270">
        <v>3.2829999999999999</v>
      </c>
    </row>
    <row r="1271" spans="1:3" x14ac:dyDescent="0.3">
      <c r="A1271" s="35">
        <v>46100</v>
      </c>
      <c r="B1271" s="847" t="s">
        <v>878</v>
      </c>
      <c r="C1271">
        <v>3.2829999999999999</v>
      </c>
    </row>
    <row r="1272" spans="1:3" x14ac:dyDescent="0.3">
      <c r="A1272" s="35">
        <v>46101</v>
      </c>
      <c r="B1272" s="847" t="s">
        <v>878</v>
      </c>
      <c r="C1272">
        <v>3.2829999999999999</v>
      </c>
    </row>
    <row r="1273" spans="1:3" x14ac:dyDescent="0.3">
      <c r="A1273" s="35">
        <v>46104</v>
      </c>
      <c r="B1273" s="847" t="s">
        <v>878</v>
      </c>
      <c r="C1273">
        <v>3.2879999999999998</v>
      </c>
    </row>
    <row r="1274" spans="1:3" x14ac:dyDescent="0.3">
      <c r="A1274" s="35">
        <v>46105</v>
      </c>
      <c r="B1274" s="847" t="s">
        <v>878</v>
      </c>
      <c r="C1274">
        <v>3.3</v>
      </c>
    </row>
    <row r="1275" spans="1:3" x14ac:dyDescent="0.3">
      <c r="A1275" s="35">
        <v>46106</v>
      </c>
      <c r="B1275" s="847" t="s">
        <v>878</v>
      </c>
      <c r="C1275">
        <v>3.3</v>
      </c>
    </row>
    <row r="1276" spans="1:3" x14ac:dyDescent="0.3">
      <c r="A1276" s="35">
        <v>46107</v>
      </c>
      <c r="B1276" s="847" t="s">
        <v>878</v>
      </c>
      <c r="C1276">
        <v>3.3</v>
      </c>
    </row>
    <row r="1277" spans="1:3" x14ac:dyDescent="0.3">
      <c r="A1277" s="35">
        <v>46108</v>
      </c>
      <c r="B1277" s="847" t="s">
        <v>878</v>
      </c>
      <c r="C1277">
        <v>3.3</v>
      </c>
    </row>
    <row r="1278" spans="1:3" x14ac:dyDescent="0.3">
      <c r="A1278" s="35">
        <v>46111</v>
      </c>
      <c r="B1278" s="847" t="s">
        <v>878</v>
      </c>
      <c r="C1278">
        <v>3.3</v>
      </c>
    </row>
    <row r="1279" spans="1:3" x14ac:dyDescent="0.3">
      <c r="A1279" s="35">
        <v>46112</v>
      </c>
      <c r="B1279" s="847" t="s">
        <v>878</v>
      </c>
      <c r="C1279">
        <v>3.3</v>
      </c>
    </row>
    <row r="1280" spans="1:3" x14ac:dyDescent="0.3">
      <c r="A1280" s="35">
        <v>46113</v>
      </c>
      <c r="B1280" s="847" t="s">
        <v>878</v>
      </c>
      <c r="C1280">
        <v>3.3</v>
      </c>
    </row>
    <row r="1281" spans="1:3" x14ac:dyDescent="0.3">
      <c r="A1281" s="35">
        <v>46114</v>
      </c>
      <c r="B1281" s="847" t="s">
        <v>878</v>
      </c>
      <c r="C1281">
        <v>3.3</v>
      </c>
    </row>
    <row r="1282" spans="1:3" x14ac:dyDescent="0.3">
      <c r="A1282" s="35">
        <v>46115</v>
      </c>
      <c r="B1282" s="847" t="s">
        <v>878</v>
      </c>
      <c r="C1282">
        <v>3.3</v>
      </c>
    </row>
    <row r="1283" spans="1:3" x14ac:dyDescent="0.3">
      <c r="A1283" s="35">
        <v>46118</v>
      </c>
      <c r="B1283" s="847" t="s">
        <v>878</v>
      </c>
      <c r="C1283">
        <v>3.3079999999999998</v>
      </c>
    </row>
    <row r="1284" spans="1:3" x14ac:dyDescent="0.3">
      <c r="A1284" s="35">
        <v>46119</v>
      </c>
      <c r="B1284" s="847" t="s">
        <v>878</v>
      </c>
      <c r="C1284">
        <v>3.3079999999999998</v>
      </c>
    </row>
    <row r="1285" spans="1:3" x14ac:dyDescent="0.3">
      <c r="A1285" s="35">
        <v>46120</v>
      </c>
      <c r="B1285" s="847" t="s">
        <v>878</v>
      </c>
      <c r="C1285">
        <v>3.3079999999999998</v>
      </c>
    </row>
    <row r="1286" spans="1:3" x14ac:dyDescent="0.3">
      <c r="A1286" s="35">
        <v>46121</v>
      </c>
      <c r="B1286" s="847" t="s">
        <v>878</v>
      </c>
      <c r="C1286">
        <v>3.3079999999999998</v>
      </c>
    </row>
    <row r="1287" spans="1:3" x14ac:dyDescent="0.3">
      <c r="A1287" s="35">
        <v>46122</v>
      </c>
      <c r="B1287" s="847" t="s">
        <v>878</v>
      </c>
      <c r="C1287">
        <v>3.3079999999999998</v>
      </c>
    </row>
    <row r="1288" spans="1:3" x14ac:dyDescent="0.3">
      <c r="A1288" s="35">
        <v>46125</v>
      </c>
      <c r="B1288" s="847" t="s">
        <v>878</v>
      </c>
      <c r="C1288">
        <v>3.3079999999999998</v>
      </c>
    </row>
    <row r="1289" spans="1:3" x14ac:dyDescent="0.3">
      <c r="A1289" s="35">
        <v>46126</v>
      </c>
      <c r="B1289" s="847" t="s">
        <v>878</v>
      </c>
      <c r="C1289">
        <v>3.3079999999999998</v>
      </c>
    </row>
    <row r="1290" spans="1:3" x14ac:dyDescent="0.3">
      <c r="A1290" s="35">
        <v>46127</v>
      </c>
      <c r="B1290" s="847" t="s">
        <v>878</v>
      </c>
      <c r="C1290">
        <v>3.3079999999999998</v>
      </c>
    </row>
    <row r="1291" spans="1:3" x14ac:dyDescent="0.3">
      <c r="A1291" s="35">
        <v>46128</v>
      </c>
      <c r="B1291" s="847" t="s">
        <v>878</v>
      </c>
      <c r="C1291">
        <v>3.3130000000000002</v>
      </c>
    </row>
    <row r="1292" spans="1:3" x14ac:dyDescent="0.3">
      <c r="A1292" s="35">
        <v>46129</v>
      </c>
      <c r="B1292" s="847" t="s">
        <v>878</v>
      </c>
      <c r="C1292">
        <v>3.3130000000000002</v>
      </c>
    </row>
    <row r="1293" spans="1:3" x14ac:dyDescent="0.3">
      <c r="A1293" s="35">
        <v>46132</v>
      </c>
      <c r="B1293" s="847" t="s">
        <v>878</v>
      </c>
      <c r="C1293">
        <v>3.3540000000000001</v>
      </c>
    </row>
    <row r="1294" spans="1:3" x14ac:dyDescent="0.3">
      <c r="A1294" s="35">
        <v>46133</v>
      </c>
      <c r="B1294" s="847" t="s">
        <v>878</v>
      </c>
      <c r="C1294">
        <v>3.3130000000000002</v>
      </c>
    </row>
    <row r="1295" spans="1:3" x14ac:dyDescent="0.3">
      <c r="A1295" s="35">
        <v>46134</v>
      </c>
      <c r="B1295" s="847" t="s">
        <v>878</v>
      </c>
      <c r="C1295">
        <v>3.3540000000000001</v>
      </c>
    </row>
    <row r="1296" spans="1:3" x14ac:dyDescent="0.3">
      <c r="A1296" s="35">
        <v>46135</v>
      </c>
      <c r="B1296" s="847" t="s">
        <v>878</v>
      </c>
      <c r="C1296">
        <v>3.3580000000000001</v>
      </c>
    </row>
    <row r="1297" spans="1:3" x14ac:dyDescent="0.3">
      <c r="A1297" s="35">
        <v>46136</v>
      </c>
      <c r="B1297" s="847" t="s">
        <v>878</v>
      </c>
      <c r="C1297">
        <v>3.3580000000000001</v>
      </c>
    </row>
    <row r="1298" spans="1:3" x14ac:dyDescent="0.3">
      <c r="A1298" s="35">
        <v>46140</v>
      </c>
      <c r="B1298" s="847" t="s">
        <v>878</v>
      </c>
      <c r="C1298">
        <v>3.3580000000000001</v>
      </c>
    </row>
    <row r="1299" spans="1:3" x14ac:dyDescent="0.3">
      <c r="A1299" s="35">
        <v>46141</v>
      </c>
      <c r="B1299" s="847" t="s">
        <v>878</v>
      </c>
      <c r="C1299">
        <v>3.3580000000000001</v>
      </c>
    </row>
    <row r="1300" spans="1:3" x14ac:dyDescent="0.3">
      <c r="A1300" s="35">
        <v>46146</v>
      </c>
      <c r="B1300" s="847" t="s">
        <v>878</v>
      </c>
      <c r="C1300">
        <v>3.3580000000000001</v>
      </c>
    </row>
    <row r="1301" spans="1:3" x14ac:dyDescent="0.3">
      <c r="A1301" s="35">
        <v>46147</v>
      </c>
      <c r="B1301" s="847" t="s">
        <v>878</v>
      </c>
      <c r="C1301">
        <v>3.367</v>
      </c>
    </row>
    <row r="1302" spans="1:3" x14ac:dyDescent="0.3">
      <c r="A1302" s="35">
        <v>46148</v>
      </c>
      <c r="B1302" s="847" t="s">
        <v>878</v>
      </c>
      <c r="C1302">
        <v>3.367</v>
      </c>
    </row>
    <row r="1303" spans="1:3" x14ac:dyDescent="0.3">
      <c r="A1303" s="35">
        <v>46149</v>
      </c>
      <c r="B1303" s="847" t="s">
        <v>878</v>
      </c>
      <c r="C1303">
        <v>3.367</v>
      </c>
    </row>
    <row r="1304" spans="1:3" x14ac:dyDescent="0.3">
      <c r="A1304" s="35">
        <v>46150</v>
      </c>
      <c r="B1304" s="847" t="s">
        <v>878</v>
      </c>
      <c r="C1304">
        <v>3.3690000000000002</v>
      </c>
    </row>
    <row r="1305" spans="1:3" x14ac:dyDescent="0.3">
      <c r="A1305" s="35">
        <v>46153</v>
      </c>
      <c r="B1305" s="847" t="s">
        <v>878</v>
      </c>
      <c r="C1305">
        <v>3.3690000000000002</v>
      </c>
    </row>
    <row r="1306" spans="1:3" x14ac:dyDescent="0.3">
      <c r="A1306" s="35">
        <v>46154</v>
      </c>
      <c r="B1306" s="847" t="s">
        <v>878</v>
      </c>
      <c r="C1306">
        <v>3.3690000000000002</v>
      </c>
    </row>
    <row r="1307" spans="1:3" x14ac:dyDescent="0.3">
      <c r="A1307" s="35">
        <v>46155</v>
      </c>
      <c r="B1307" s="847" t="s">
        <v>878</v>
      </c>
      <c r="C1307">
        <v>3.3690000000000002</v>
      </c>
    </row>
    <row r="1308" spans="1:3" x14ac:dyDescent="0.3">
      <c r="A1308" s="35">
        <v>46156</v>
      </c>
      <c r="B1308" s="847" t="s">
        <v>878</v>
      </c>
      <c r="C1308">
        <v>3.3690000000000002</v>
      </c>
    </row>
    <row r="1309" spans="1:3" x14ac:dyDescent="0.3">
      <c r="A1309" s="35">
        <v>46157</v>
      </c>
      <c r="B1309" s="847" t="s">
        <v>878</v>
      </c>
      <c r="C1309">
        <v>3.3690000000000002</v>
      </c>
    </row>
    <row r="1310" spans="1:3" x14ac:dyDescent="0.3">
      <c r="A1310" s="35">
        <v>46160</v>
      </c>
      <c r="B1310" s="847" t="s">
        <v>878</v>
      </c>
      <c r="C1310">
        <v>3.3690000000000002</v>
      </c>
    </row>
    <row r="1311" spans="1:3" x14ac:dyDescent="0.3">
      <c r="A1311" s="35">
        <v>46161</v>
      </c>
      <c r="B1311" s="847" t="s">
        <v>878</v>
      </c>
      <c r="C1311">
        <v>3.3690000000000002</v>
      </c>
    </row>
    <row r="1312" spans="1:3" x14ac:dyDescent="0.3">
      <c r="A1312" s="35">
        <v>46162</v>
      </c>
      <c r="B1312" s="847" t="s">
        <v>878</v>
      </c>
      <c r="C1312">
        <v>3.3690000000000002</v>
      </c>
    </row>
    <row r="1313" spans="1:3" x14ac:dyDescent="0.3">
      <c r="A1313" s="35">
        <v>46163</v>
      </c>
      <c r="B1313" s="847" t="s">
        <v>878</v>
      </c>
      <c r="C1313">
        <v>3.3690000000000002</v>
      </c>
    </row>
    <row r="1314" spans="1:3" x14ac:dyDescent="0.3">
      <c r="A1314" s="35">
        <v>46164</v>
      </c>
      <c r="B1314" s="847" t="s">
        <v>878</v>
      </c>
      <c r="C1314">
        <v>3.3690000000000002</v>
      </c>
    </row>
    <row r="1315" spans="1:3" x14ac:dyDescent="0.3">
      <c r="A1315" s="35">
        <v>46167</v>
      </c>
      <c r="B1315" s="847" t="s">
        <v>878</v>
      </c>
      <c r="C1315">
        <v>3.3690000000000002</v>
      </c>
    </row>
    <row r="1316" spans="1:3" x14ac:dyDescent="0.3">
      <c r="A1316" s="35">
        <v>46168</v>
      </c>
      <c r="B1316" s="847" t="s">
        <v>878</v>
      </c>
      <c r="C1316">
        <v>3.3690000000000002</v>
      </c>
    </row>
    <row r="1317" spans="1:3" x14ac:dyDescent="0.3">
      <c r="A1317" s="35">
        <v>46169</v>
      </c>
      <c r="B1317" s="847" t="s">
        <v>878</v>
      </c>
      <c r="C1317">
        <v>3.3690000000000002</v>
      </c>
    </row>
    <row r="1318" spans="1:3" x14ac:dyDescent="0.3">
      <c r="A1318" s="35">
        <v>46170</v>
      </c>
      <c r="B1318" s="847" t="s">
        <v>878</v>
      </c>
      <c r="C1318">
        <v>3.3849999999999998</v>
      </c>
    </row>
    <row r="1319" spans="1:3" x14ac:dyDescent="0.3">
      <c r="A1319" s="35">
        <v>46171</v>
      </c>
      <c r="B1319" s="847" t="s">
        <v>878</v>
      </c>
      <c r="C1319">
        <v>3.3980000000000001</v>
      </c>
    </row>
    <row r="1320" spans="1:3" x14ac:dyDescent="0.3">
      <c r="A1320" s="35">
        <v>46174</v>
      </c>
      <c r="B1320" s="847" t="s">
        <v>878</v>
      </c>
      <c r="C1320">
        <v>3.3980000000000001</v>
      </c>
    </row>
    <row r="1321" spans="1:3" x14ac:dyDescent="0.3">
      <c r="A1321" s="35">
        <v>46175</v>
      </c>
      <c r="B1321" s="847" t="s">
        <v>878</v>
      </c>
      <c r="C1321">
        <v>3.4060000000000001</v>
      </c>
    </row>
    <row r="1322" spans="1:3" x14ac:dyDescent="0.3">
      <c r="A1322" s="35">
        <v>46176</v>
      </c>
      <c r="B1322" s="847" t="s">
        <v>878</v>
      </c>
      <c r="C1322">
        <v>3.423</v>
      </c>
    </row>
    <row r="1323" spans="1:3" x14ac:dyDescent="0.3">
      <c r="A1323" s="35">
        <v>46177</v>
      </c>
      <c r="B1323" s="847" t="s">
        <v>878</v>
      </c>
      <c r="C1323">
        <v>3.431</v>
      </c>
    </row>
    <row r="1324" spans="1:3" x14ac:dyDescent="0.3">
      <c r="A1324" s="35">
        <v>46178</v>
      </c>
      <c r="B1324" s="847" t="s">
        <v>878</v>
      </c>
      <c r="C1324">
        <v>3.4350000000000001</v>
      </c>
    </row>
    <row r="1325" spans="1:3" x14ac:dyDescent="0.3">
      <c r="A1325" s="35">
        <v>46181</v>
      </c>
      <c r="B1325" s="847" t="s">
        <v>878</v>
      </c>
      <c r="C1325">
        <v>3.44</v>
      </c>
    </row>
    <row r="1326" spans="1:3" x14ac:dyDescent="0.3">
      <c r="A1326" s="35">
        <v>46182</v>
      </c>
      <c r="B1326" s="847" t="s">
        <v>878</v>
      </c>
      <c r="C1326">
        <v>3.44</v>
      </c>
    </row>
    <row r="1327" spans="1:3" x14ac:dyDescent="0.3">
      <c r="A1327" s="35">
        <v>46183</v>
      </c>
      <c r="B1327" s="847" t="s">
        <v>878</v>
      </c>
      <c r="C1327">
        <v>3.4420000000000002</v>
      </c>
    </row>
    <row r="1328" spans="1:3" x14ac:dyDescent="0.3">
      <c r="A1328" s="35">
        <v>46184</v>
      </c>
      <c r="B1328" s="847" t="s">
        <v>878</v>
      </c>
      <c r="C1328">
        <v>3.4540000000000002</v>
      </c>
    </row>
    <row r="1329" spans="1:3" x14ac:dyDescent="0.3">
      <c r="A1329" s="35">
        <v>46185</v>
      </c>
      <c r="B1329" s="847" t="s">
        <v>878</v>
      </c>
      <c r="C1329">
        <v>3.4580000000000002</v>
      </c>
    </row>
    <row r="1330" spans="1:3" x14ac:dyDescent="0.3">
      <c r="A1330" s="35">
        <v>46188</v>
      </c>
      <c r="B1330" s="847" t="s">
        <v>878</v>
      </c>
      <c r="C1330">
        <v>3.4580000000000002</v>
      </c>
    </row>
    <row r="1331" spans="1:3" x14ac:dyDescent="0.3">
      <c r="A1331" s="35">
        <v>46189</v>
      </c>
      <c r="B1331" s="847" t="s">
        <v>878</v>
      </c>
      <c r="C1331">
        <v>3.45</v>
      </c>
    </row>
    <row r="1332" spans="1:3" x14ac:dyDescent="0.3">
      <c r="A1332" s="35">
        <v>46190</v>
      </c>
      <c r="B1332" s="847" t="s">
        <v>878</v>
      </c>
      <c r="C1332">
        <v>3.4580000000000002</v>
      </c>
    </row>
    <row r="1333" spans="1:3" x14ac:dyDescent="0.3">
      <c r="A1333" s="35">
        <v>46191</v>
      </c>
      <c r="B1333" s="847" t="s">
        <v>878</v>
      </c>
      <c r="C1333">
        <v>3.4670000000000001</v>
      </c>
    </row>
    <row r="1334" spans="1:3" x14ac:dyDescent="0.3">
      <c r="A1334" s="35">
        <v>46192</v>
      </c>
      <c r="B1334" s="847" t="s">
        <v>878</v>
      </c>
      <c r="C1334">
        <v>3.4710000000000001</v>
      </c>
    </row>
    <row r="1335" spans="1:3" x14ac:dyDescent="0.3">
      <c r="A1335" s="35">
        <v>46195</v>
      </c>
      <c r="B1335" s="847" t="s">
        <v>878</v>
      </c>
      <c r="C1335">
        <v>3.4710000000000001</v>
      </c>
    </row>
    <row r="1336" spans="1:3" x14ac:dyDescent="0.3">
      <c r="A1336" s="35">
        <v>46196</v>
      </c>
      <c r="B1336" s="847" t="s">
        <v>878</v>
      </c>
      <c r="C1336">
        <v>3.4710000000000001</v>
      </c>
    </row>
    <row r="1337" spans="1:3" x14ac:dyDescent="0.3">
      <c r="A1337" s="35">
        <v>46197</v>
      </c>
      <c r="B1337" s="847" t="s">
        <v>878</v>
      </c>
      <c r="C1337">
        <v>3.4710000000000001</v>
      </c>
    </row>
    <row r="1338" spans="1:3" x14ac:dyDescent="0.3">
      <c r="A1338" s="35">
        <v>46198</v>
      </c>
      <c r="B1338" s="847" t="s">
        <v>878</v>
      </c>
      <c r="C1338">
        <v>3.4710000000000001</v>
      </c>
    </row>
    <row r="1339" spans="1:3" x14ac:dyDescent="0.3">
      <c r="A1339" s="35">
        <v>46199</v>
      </c>
      <c r="B1339" s="847" t="s">
        <v>878</v>
      </c>
      <c r="C1339">
        <v>3.496</v>
      </c>
    </row>
    <row r="1340" spans="1:3" x14ac:dyDescent="0.3">
      <c r="A1340" s="35">
        <v>46202</v>
      </c>
      <c r="B1340" s="847" t="s">
        <v>878</v>
      </c>
      <c r="C1340">
        <v>3.496</v>
      </c>
    </row>
    <row r="1341" spans="1:3" x14ac:dyDescent="0.3">
      <c r="A1341" s="35">
        <v>46203</v>
      </c>
      <c r="B1341" s="847" t="s">
        <v>878</v>
      </c>
      <c r="C1341">
        <v>3.5</v>
      </c>
    </row>
    <row r="1342" spans="1:3" x14ac:dyDescent="0.3">
      <c r="A1342" s="35">
        <v>46204</v>
      </c>
      <c r="B1342" s="847" t="s">
        <v>878</v>
      </c>
      <c r="C1342">
        <v>3.5</v>
      </c>
    </row>
    <row r="1343" spans="1:3" x14ac:dyDescent="0.3">
      <c r="A1343" s="35">
        <v>46205</v>
      </c>
      <c r="B1343" s="847" t="s">
        <v>878</v>
      </c>
      <c r="C1343">
        <v>3.5</v>
      </c>
    </row>
    <row r="1344" spans="1:3" x14ac:dyDescent="0.3">
      <c r="A1344" s="35">
        <v>46206</v>
      </c>
      <c r="B1344" s="847" t="s">
        <v>878</v>
      </c>
      <c r="C1344">
        <v>3.5</v>
      </c>
    </row>
    <row r="1345" spans="1:3" x14ac:dyDescent="0.3">
      <c r="A1345" s="35">
        <v>46209</v>
      </c>
      <c r="B1345" s="847" t="s">
        <v>878</v>
      </c>
      <c r="C1345">
        <v>3.5</v>
      </c>
    </row>
    <row r="1346" spans="1:3" x14ac:dyDescent="0.3">
      <c r="A1346" s="35">
        <v>46210</v>
      </c>
      <c r="B1346" s="847" t="s">
        <v>878</v>
      </c>
      <c r="C1346">
        <v>3.5</v>
      </c>
    </row>
    <row r="1347" spans="1:3" x14ac:dyDescent="0.3">
      <c r="A1347" s="35">
        <v>46211</v>
      </c>
      <c r="B1347" s="847" t="s">
        <v>878</v>
      </c>
      <c r="C1347">
        <v>3.5</v>
      </c>
    </row>
    <row r="1348" spans="1:3" x14ac:dyDescent="0.3">
      <c r="A1348" s="35">
        <v>46212</v>
      </c>
      <c r="B1348" s="847" t="s">
        <v>878</v>
      </c>
      <c r="C1348">
        <v>3.5</v>
      </c>
    </row>
    <row r="1349" spans="1:3" x14ac:dyDescent="0.3">
      <c r="A1349" s="35">
        <v>46213</v>
      </c>
      <c r="B1349" s="847" t="s">
        <v>878</v>
      </c>
      <c r="C1349">
        <v>3.5</v>
      </c>
    </row>
    <row r="1350" spans="1:3" x14ac:dyDescent="0.3">
      <c r="A1350" s="35">
        <v>46216</v>
      </c>
      <c r="B1350" s="847" t="s">
        <v>878</v>
      </c>
      <c r="C1350">
        <v>3.5</v>
      </c>
    </row>
    <row r="1351" spans="1:3" x14ac:dyDescent="0.3">
      <c r="A1351" s="35">
        <v>46217</v>
      </c>
      <c r="B1351" s="847" t="s">
        <v>878</v>
      </c>
      <c r="C1351">
        <v>3.5</v>
      </c>
    </row>
    <row r="1352" spans="1:3" x14ac:dyDescent="0.3">
      <c r="A1352" s="35">
        <v>46218</v>
      </c>
      <c r="B1352" s="847" t="s">
        <v>878</v>
      </c>
      <c r="C1352">
        <v>3.5</v>
      </c>
    </row>
    <row r="1353" spans="1:3" x14ac:dyDescent="0.3">
      <c r="A1353" s="35">
        <v>46219</v>
      </c>
      <c r="B1353" s="847" t="s">
        <v>878</v>
      </c>
      <c r="C1353">
        <v>3.5</v>
      </c>
    </row>
    <row r="1354" spans="1:3" x14ac:dyDescent="0.3">
      <c r="A1354" s="35">
        <v>46220</v>
      </c>
      <c r="B1354" s="847" t="s">
        <v>878</v>
      </c>
      <c r="C1354">
        <v>3.508</v>
      </c>
    </row>
    <row r="1355" spans="1:3" x14ac:dyDescent="0.3">
      <c r="A1355" s="35">
        <v>46223</v>
      </c>
      <c r="B1355" s="847" t="s">
        <v>878</v>
      </c>
      <c r="C1355">
        <v>3.508</v>
      </c>
    </row>
    <row r="1356" spans="1:3" x14ac:dyDescent="0.3">
      <c r="A1356" s="35">
        <v>46224</v>
      </c>
      <c r="B1356" s="847" t="s">
        <v>878</v>
      </c>
      <c r="C1356">
        <v>3.5379999999999998</v>
      </c>
    </row>
    <row r="1357" spans="1:3" x14ac:dyDescent="0.3">
      <c r="A1357" s="35">
        <v>46225</v>
      </c>
      <c r="B1357" s="847" t="s">
        <v>878</v>
      </c>
      <c r="C1357">
        <v>3.5710000000000002</v>
      </c>
    </row>
    <row r="1358" spans="1:3" x14ac:dyDescent="0.3">
      <c r="A1358" s="35">
        <v>46226</v>
      </c>
      <c r="B1358" s="847" t="s">
        <v>878</v>
      </c>
      <c r="C1358">
        <v>3.5710000000000002</v>
      </c>
    </row>
    <row r="1359" spans="1:3" x14ac:dyDescent="0.3">
      <c r="A1359" s="35">
        <v>46227</v>
      </c>
      <c r="B1359" s="847" t="s">
        <v>878</v>
      </c>
      <c r="C1359">
        <v>3.5710000000000002</v>
      </c>
    </row>
    <row r="1360" spans="1:3" x14ac:dyDescent="0.3">
      <c r="A1360" s="35">
        <v>46230</v>
      </c>
      <c r="B1360" s="847" t="s">
        <v>878</v>
      </c>
      <c r="C1360">
        <v>3.5710000000000002</v>
      </c>
    </row>
    <row r="1361" spans="1:3" x14ac:dyDescent="0.3">
      <c r="A1361" s="35">
        <v>46231</v>
      </c>
      <c r="B1361" s="847" t="s">
        <v>878</v>
      </c>
      <c r="C1361">
        <v>3.5710000000000002</v>
      </c>
    </row>
    <row r="1362" spans="1:3" x14ac:dyDescent="0.3">
      <c r="A1362" s="35">
        <v>46232</v>
      </c>
      <c r="B1362" s="847" t="s">
        <v>878</v>
      </c>
      <c r="C1362">
        <v>3.5710000000000002</v>
      </c>
    </row>
    <row r="1363" spans="1:3" x14ac:dyDescent="0.3">
      <c r="A1363" s="35">
        <v>46233</v>
      </c>
      <c r="B1363" s="847" t="s">
        <v>878</v>
      </c>
      <c r="C1363">
        <v>3.5710000000000002</v>
      </c>
    </row>
    <row r="1364" spans="1:3" x14ac:dyDescent="0.3">
      <c r="A1364" s="35">
        <v>46234</v>
      </c>
      <c r="B1364" s="847" t="s">
        <v>878</v>
      </c>
      <c r="C1364">
        <v>3.5710000000000002</v>
      </c>
    </row>
    <row r="1365" spans="1:3" x14ac:dyDescent="0.3">
      <c r="A1365" s="35">
        <v>46237</v>
      </c>
      <c r="B1365" s="847" t="s">
        <v>878</v>
      </c>
      <c r="C1365">
        <v>3.613</v>
      </c>
    </row>
    <row r="1366" spans="1:3" x14ac:dyDescent="0.3">
      <c r="A1366" s="35">
        <v>46238</v>
      </c>
      <c r="B1366" s="847" t="s">
        <v>878</v>
      </c>
      <c r="C1366">
        <v>3.613</v>
      </c>
    </row>
    <row r="1367" spans="1:3" x14ac:dyDescent="0.3">
      <c r="A1367" s="35">
        <v>46239</v>
      </c>
      <c r="B1367" s="847" t="s">
        <v>878</v>
      </c>
      <c r="C1367">
        <v>3.613</v>
      </c>
    </row>
    <row r="1368" spans="1:3" x14ac:dyDescent="0.3">
      <c r="A1368" s="35">
        <v>46240</v>
      </c>
      <c r="B1368" s="847" t="s">
        <v>878</v>
      </c>
      <c r="C1368">
        <v>3.621</v>
      </c>
    </row>
    <row r="1369" spans="1:3" x14ac:dyDescent="0.3">
      <c r="A1369" s="35">
        <v>46241</v>
      </c>
      <c r="B1369" s="847" t="s">
        <v>878</v>
      </c>
      <c r="C1369">
        <v>3.621</v>
      </c>
    </row>
    <row r="1370" spans="1:3" x14ac:dyDescent="0.3">
      <c r="A1370" s="35">
        <v>46244</v>
      </c>
      <c r="B1370" s="847" t="s">
        <v>878</v>
      </c>
      <c r="C1370">
        <v>3.621</v>
      </c>
    </row>
    <row r="1371" spans="1:3" x14ac:dyDescent="0.3">
      <c r="A1371" s="35">
        <v>46245</v>
      </c>
      <c r="B1371" s="847" t="s">
        <v>878</v>
      </c>
      <c r="C1371">
        <v>3.621</v>
      </c>
    </row>
    <row r="1372" spans="1:3" x14ac:dyDescent="0.3">
      <c r="A1372" s="35">
        <v>46246</v>
      </c>
      <c r="B1372" s="847" t="s">
        <v>878</v>
      </c>
      <c r="C1372">
        <v>3.633</v>
      </c>
    </row>
    <row r="1373" spans="1:3" x14ac:dyDescent="0.3">
      <c r="A1373" s="35">
        <v>46247</v>
      </c>
      <c r="B1373" s="847" t="s">
        <v>878</v>
      </c>
      <c r="C1373">
        <v>3.633</v>
      </c>
    </row>
    <row r="1374" spans="1:3" x14ac:dyDescent="0.3">
      <c r="A1374" s="35">
        <v>46248</v>
      </c>
      <c r="B1374" s="847" t="s">
        <v>878</v>
      </c>
      <c r="C1374">
        <v>3.633</v>
      </c>
    </row>
    <row r="1375" spans="1:3" x14ac:dyDescent="0.3">
      <c r="A1375" s="35">
        <v>46251</v>
      </c>
      <c r="B1375" s="847" t="s">
        <v>878</v>
      </c>
      <c r="C1375">
        <v>3.633</v>
      </c>
    </row>
    <row r="1376" spans="1:3" x14ac:dyDescent="0.3">
      <c r="A1376" s="35">
        <v>46252</v>
      </c>
      <c r="B1376" s="847" t="s">
        <v>878</v>
      </c>
      <c r="C1376">
        <v>3.633</v>
      </c>
    </row>
    <row r="1377" spans="1:3" x14ac:dyDescent="0.3">
      <c r="A1377" s="35">
        <v>45852</v>
      </c>
      <c r="B1377" s="847" t="s">
        <v>886</v>
      </c>
      <c r="C1377">
        <v>3.5</v>
      </c>
    </row>
    <row r="1378" spans="1:3" x14ac:dyDescent="0.3">
      <c r="A1378" s="35">
        <v>45853</v>
      </c>
      <c r="B1378" s="847" t="s">
        <v>886</v>
      </c>
      <c r="C1378">
        <v>3.508</v>
      </c>
    </row>
    <row r="1379" spans="1:3" x14ac:dyDescent="0.3">
      <c r="A1379" s="35">
        <v>45854</v>
      </c>
      <c r="B1379" s="847" t="s">
        <v>886</v>
      </c>
      <c r="C1379">
        <v>3.508</v>
      </c>
    </row>
    <row r="1380" spans="1:3" x14ac:dyDescent="0.3">
      <c r="A1380" s="35">
        <v>45855</v>
      </c>
      <c r="B1380" s="847" t="s">
        <v>886</v>
      </c>
      <c r="C1380">
        <v>3.5129999999999999</v>
      </c>
    </row>
    <row r="1381" spans="1:3" x14ac:dyDescent="0.3">
      <c r="A1381" s="35">
        <v>45856</v>
      </c>
      <c r="B1381" s="847" t="s">
        <v>886</v>
      </c>
      <c r="C1381">
        <v>3.5169999999999999</v>
      </c>
    </row>
    <row r="1382" spans="1:3" x14ac:dyDescent="0.3">
      <c r="A1382" s="35">
        <v>45859</v>
      </c>
      <c r="B1382" s="847" t="s">
        <v>886</v>
      </c>
      <c r="C1382">
        <v>3.5169999999999999</v>
      </c>
    </row>
    <row r="1383" spans="1:3" x14ac:dyDescent="0.3">
      <c r="A1383" s="35">
        <v>45860</v>
      </c>
      <c r="B1383" s="847" t="s">
        <v>886</v>
      </c>
      <c r="C1383">
        <v>3.5169999999999999</v>
      </c>
    </row>
    <row r="1384" spans="1:3" x14ac:dyDescent="0.3">
      <c r="A1384" s="35">
        <v>45861</v>
      </c>
      <c r="B1384" s="847" t="s">
        <v>886</v>
      </c>
      <c r="C1384">
        <v>3.5169999999999999</v>
      </c>
    </row>
    <row r="1385" spans="1:3" x14ac:dyDescent="0.3">
      <c r="A1385" s="35">
        <v>45862</v>
      </c>
      <c r="B1385" s="847" t="s">
        <v>886</v>
      </c>
      <c r="C1385">
        <v>3.55</v>
      </c>
    </row>
    <row r="1386" spans="1:3" x14ac:dyDescent="0.3">
      <c r="A1386" s="35">
        <v>45863</v>
      </c>
      <c r="B1386" s="847" t="s">
        <v>886</v>
      </c>
      <c r="C1386">
        <v>3.5579999999999998</v>
      </c>
    </row>
    <row r="1387" spans="1:3" x14ac:dyDescent="0.3">
      <c r="A1387" s="35">
        <v>45866</v>
      </c>
      <c r="B1387" s="847" t="s">
        <v>886</v>
      </c>
      <c r="C1387">
        <v>3.5579999999999998</v>
      </c>
    </row>
    <row r="1388" spans="1:3" x14ac:dyDescent="0.3">
      <c r="A1388" s="35">
        <v>45867</v>
      </c>
      <c r="B1388" s="847" t="s">
        <v>886</v>
      </c>
      <c r="C1388">
        <v>3.5670000000000002</v>
      </c>
    </row>
    <row r="1389" spans="1:3" x14ac:dyDescent="0.3">
      <c r="A1389" s="35">
        <v>45868</v>
      </c>
      <c r="B1389" s="847" t="s">
        <v>886</v>
      </c>
      <c r="C1389">
        <v>3.5670000000000002</v>
      </c>
    </row>
    <row r="1390" spans="1:3" x14ac:dyDescent="0.3">
      <c r="A1390" s="35">
        <v>45869</v>
      </c>
      <c r="B1390" s="847" t="s">
        <v>886</v>
      </c>
      <c r="C1390">
        <v>3.5750000000000002</v>
      </c>
    </row>
    <row r="1391" spans="1:3" x14ac:dyDescent="0.3">
      <c r="A1391" s="35">
        <v>45870</v>
      </c>
      <c r="B1391" s="847" t="s">
        <v>886</v>
      </c>
      <c r="C1391">
        <v>3.5750000000000002</v>
      </c>
    </row>
    <row r="1392" spans="1:3" x14ac:dyDescent="0.3">
      <c r="A1392" s="35">
        <v>45873</v>
      </c>
      <c r="B1392" s="847" t="s">
        <v>886</v>
      </c>
      <c r="C1392">
        <v>3.5750000000000002</v>
      </c>
    </row>
    <row r="1393" spans="1:3" x14ac:dyDescent="0.3">
      <c r="A1393" s="35">
        <v>45874</v>
      </c>
      <c r="B1393" s="847" t="s">
        <v>886</v>
      </c>
      <c r="C1393">
        <v>3.59</v>
      </c>
    </row>
    <row r="1394" spans="1:3" x14ac:dyDescent="0.3">
      <c r="A1394" s="35">
        <v>45875</v>
      </c>
      <c r="B1394" s="847" t="s">
        <v>886</v>
      </c>
      <c r="C1394">
        <v>3.581</v>
      </c>
    </row>
    <row r="1395" spans="1:3" x14ac:dyDescent="0.3">
      <c r="A1395" s="35">
        <v>45876</v>
      </c>
      <c r="B1395" s="847" t="s">
        <v>886</v>
      </c>
      <c r="C1395">
        <v>3.6040000000000001</v>
      </c>
    </row>
    <row r="1396" spans="1:3" x14ac:dyDescent="0.3">
      <c r="A1396" s="35">
        <v>45877</v>
      </c>
      <c r="B1396" s="847" t="s">
        <v>886</v>
      </c>
      <c r="C1396">
        <v>3.613</v>
      </c>
    </row>
    <row r="1397" spans="1:3" x14ac:dyDescent="0.3">
      <c r="A1397" s="35">
        <v>45880</v>
      </c>
      <c r="B1397" s="847" t="s">
        <v>886</v>
      </c>
      <c r="C1397">
        <v>3.613</v>
      </c>
    </row>
    <row r="1398" spans="1:3" x14ac:dyDescent="0.3">
      <c r="A1398" s="35">
        <v>45881</v>
      </c>
      <c r="B1398" s="847" t="s">
        <v>886</v>
      </c>
      <c r="C1398">
        <v>3.617</v>
      </c>
    </row>
    <row r="1399" spans="1:3" x14ac:dyDescent="0.3">
      <c r="A1399" s="35">
        <v>45882</v>
      </c>
      <c r="B1399" s="847" t="s">
        <v>886</v>
      </c>
      <c r="C1399">
        <v>3.617</v>
      </c>
    </row>
    <row r="1400" spans="1:3" x14ac:dyDescent="0.3">
      <c r="A1400" s="35">
        <v>45883</v>
      </c>
      <c r="B1400" s="847" t="s">
        <v>886</v>
      </c>
      <c r="C1400">
        <v>3.6480000000000001</v>
      </c>
    </row>
    <row r="1401" spans="1:3" x14ac:dyDescent="0.3">
      <c r="A1401" s="35">
        <v>45884</v>
      </c>
      <c r="B1401" s="847" t="s">
        <v>886</v>
      </c>
      <c r="C1401">
        <v>3.6560000000000001</v>
      </c>
    </row>
    <row r="1402" spans="1:3" x14ac:dyDescent="0.3">
      <c r="A1402" s="35">
        <v>45887</v>
      </c>
      <c r="B1402" s="847" t="s">
        <v>886</v>
      </c>
      <c r="C1402">
        <v>3.665</v>
      </c>
    </row>
    <row r="1403" spans="1:3" x14ac:dyDescent="0.3">
      <c r="A1403" s="35">
        <v>45888</v>
      </c>
      <c r="B1403" s="847" t="s">
        <v>886</v>
      </c>
      <c r="C1403">
        <v>3.6669999999999998</v>
      </c>
    </row>
    <row r="1404" spans="1:3" x14ac:dyDescent="0.3">
      <c r="A1404" s="35">
        <v>45889</v>
      </c>
      <c r="B1404" s="847" t="s">
        <v>886</v>
      </c>
      <c r="C1404">
        <v>3.6669999999999998</v>
      </c>
    </row>
    <row r="1405" spans="1:3" x14ac:dyDescent="0.3">
      <c r="A1405" s="35">
        <v>45890</v>
      </c>
      <c r="B1405" s="847" t="s">
        <v>886</v>
      </c>
      <c r="C1405">
        <v>3.7130000000000001</v>
      </c>
    </row>
    <row r="1406" spans="1:3" x14ac:dyDescent="0.3">
      <c r="A1406" s="35">
        <v>45891</v>
      </c>
      <c r="B1406" s="847" t="s">
        <v>886</v>
      </c>
      <c r="C1406">
        <v>3.7189999999999999</v>
      </c>
    </row>
    <row r="1407" spans="1:3" x14ac:dyDescent="0.3">
      <c r="A1407" s="35">
        <v>45894</v>
      </c>
      <c r="B1407" s="847" t="s">
        <v>886</v>
      </c>
      <c r="C1407">
        <v>3.7349999999999999</v>
      </c>
    </row>
    <row r="1408" spans="1:3" x14ac:dyDescent="0.3">
      <c r="A1408" s="35">
        <v>45895</v>
      </c>
      <c r="B1408" s="847" t="s">
        <v>886</v>
      </c>
      <c r="C1408">
        <v>3.7519999999999998</v>
      </c>
    </row>
    <row r="1409" spans="1:3" x14ac:dyDescent="0.3">
      <c r="A1409" s="35">
        <v>45896</v>
      </c>
      <c r="B1409" s="847" t="s">
        <v>886</v>
      </c>
      <c r="C1409">
        <v>3.76</v>
      </c>
    </row>
    <row r="1410" spans="1:3" x14ac:dyDescent="0.3">
      <c r="A1410" s="35">
        <v>45897</v>
      </c>
      <c r="B1410" s="847" t="s">
        <v>886</v>
      </c>
      <c r="C1410">
        <v>3.76</v>
      </c>
    </row>
    <row r="1411" spans="1:3" x14ac:dyDescent="0.3">
      <c r="A1411" s="35">
        <v>45898</v>
      </c>
      <c r="B1411" s="847" t="s">
        <v>886</v>
      </c>
      <c r="C1411">
        <v>3.7650000000000001</v>
      </c>
    </row>
    <row r="1412" spans="1:3" x14ac:dyDescent="0.3">
      <c r="A1412" s="35">
        <v>45903</v>
      </c>
      <c r="B1412" s="847" t="s">
        <v>886</v>
      </c>
      <c r="C1412">
        <v>3.7650000000000001</v>
      </c>
    </row>
    <row r="1413" spans="1:3" x14ac:dyDescent="0.3">
      <c r="A1413" s="35">
        <v>45904</v>
      </c>
      <c r="B1413" s="847" t="s">
        <v>886</v>
      </c>
      <c r="C1413">
        <v>3.7730000000000001</v>
      </c>
    </row>
    <row r="1414" spans="1:3" x14ac:dyDescent="0.3">
      <c r="A1414" s="35">
        <v>45905</v>
      </c>
      <c r="B1414" s="847" t="s">
        <v>886</v>
      </c>
      <c r="C1414">
        <v>3.7730000000000001</v>
      </c>
    </row>
    <row r="1415" spans="1:3" x14ac:dyDescent="0.3">
      <c r="A1415" s="35">
        <v>45908</v>
      </c>
      <c r="B1415" s="847" t="s">
        <v>886</v>
      </c>
      <c r="C1415">
        <v>3.7730000000000001</v>
      </c>
    </row>
    <row r="1416" spans="1:3" x14ac:dyDescent="0.3">
      <c r="A1416" s="35">
        <v>45909</v>
      </c>
      <c r="B1416" s="847" t="s">
        <v>886</v>
      </c>
      <c r="C1416">
        <v>3.7730000000000001</v>
      </c>
    </row>
    <row r="1417" spans="1:3" x14ac:dyDescent="0.3">
      <c r="A1417" s="35">
        <v>45910</v>
      </c>
      <c r="B1417" s="847" t="s">
        <v>886</v>
      </c>
      <c r="C1417">
        <v>3.7730000000000001</v>
      </c>
    </row>
    <row r="1418" spans="1:3" x14ac:dyDescent="0.3">
      <c r="A1418" s="35">
        <v>45911</v>
      </c>
      <c r="B1418" s="847" t="s">
        <v>886</v>
      </c>
      <c r="C1418">
        <v>3.7770000000000001</v>
      </c>
    </row>
    <row r="1419" spans="1:3" x14ac:dyDescent="0.3">
      <c r="A1419" s="35">
        <v>45912</v>
      </c>
      <c r="B1419" s="847" t="s">
        <v>886</v>
      </c>
      <c r="C1419">
        <v>3.7810000000000001</v>
      </c>
    </row>
    <row r="1420" spans="1:3" x14ac:dyDescent="0.3">
      <c r="A1420" s="35">
        <v>45915</v>
      </c>
      <c r="B1420" s="847" t="s">
        <v>886</v>
      </c>
      <c r="C1420">
        <v>3.786</v>
      </c>
    </row>
    <row r="1421" spans="1:3" x14ac:dyDescent="0.3">
      <c r="A1421" s="35">
        <v>45916</v>
      </c>
      <c r="B1421" s="847" t="s">
        <v>886</v>
      </c>
      <c r="C1421">
        <v>3.7879999999999998</v>
      </c>
    </row>
    <row r="1422" spans="1:3" x14ac:dyDescent="0.3">
      <c r="A1422" s="35">
        <v>45917</v>
      </c>
      <c r="B1422" s="847" t="s">
        <v>886</v>
      </c>
      <c r="C1422">
        <v>3.7879999999999998</v>
      </c>
    </row>
    <row r="1423" spans="1:3" x14ac:dyDescent="0.3">
      <c r="A1423" s="35">
        <v>45918</v>
      </c>
      <c r="B1423" s="847" t="s">
        <v>886</v>
      </c>
      <c r="C1423">
        <v>3.7919999999999998</v>
      </c>
    </row>
    <row r="1424" spans="1:3" x14ac:dyDescent="0.3">
      <c r="A1424" s="35">
        <v>45919</v>
      </c>
      <c r="B1424" s="847" t="s">
        <v>886</v>
      </c>
      <c r="C1424">
        <v>3.7919999999999998</v>
      </c>
    </row>
    <row r="1425" spans="1:3" x14ac:dyDescent="0.3">
      <c r="A1425" s="35">
        <v>45922</v>
      </c>
      <c r="B1425" s="847" t="s">
        <v>886</v>
      </c>
      <c r="C1425">
        <v>3.7919999999999998</v>
      </c>
    </row>
    <row r="1426" spans="1:3" x14ac:dyDescent="0.3">
      <c r="A1426" s="35">
        <v>45923</v>
      </c>
      <c r="B1426" s="847" t="s">
        <v>886</v>
      </c>
      <c r="C1426">
        <v>3.7919999999999998</v>
      </c>
    </row>
    <row r="1427" spans="1:3" x14ac:dyDescent="0.3">
      <c r="A1427" s="35">
        <v>45924</v>
      </c>
      <c r="B1427" s="847" t="s">
        <v>886</v>
      </c>
      <c r="C1427">
        <v>3.7919999999999998</v>
      </c>
    </row>
    <row r="1428" spans="1:3" x14ac:dyDescent="0.3">
      <c r="A1428" s="35">
        <v>45925</v>
      </c>
      <c r="B1428" s="847" t="s">
        <v>886</v>
      </c>
      <c r="C1428">
        <v>3.8170000000000002</v>
      </c>
    </row>
    <row r="1429" spans="1:3" x14ac:dyDescent="0.3">
      <c r="A1429" s="35">
        <v>45926</v>
      </c>
      <c r="B1429" s="847" t="s">
        <v>886</v>
      </c>
      <c r="C1429">
        <v>3.8170000000000002</v>
      </c>
    </row>
    <row r="1430" spans="1:3" x14ac:dyDescent="0.3">
      <c r="A1430" s="35">
        <v>45929</v>
      </c>
      <c r="B1430" s="847" t="s">
        <v>886</v>
      </c>
      <c r="C1430">
        <v>3.8170000000000002</v>
      </c>
    </row>
    <row r="1431" spans="1:3" x14ac:dyDescent="0.3">
      <c r="A1431" s="35">
        <v>45930</v>
      </c>
      <c r="B1431" s="847" t="s">
        <v>886</v>
      </c>
      <c r="C1431">
        <v>3.8170000000000002</v>
      </c>
    </row>
    <row r="1432" spans="1:3" x14ac:dyDescent="0.3">
      <c r="A1432" s="35">
        <v>45931</v>
      </c>
      <c r="B1432" s="847" t="s">
        <v>886</v>
      </c>
      <c r="C1432">
        <v>3.8170000000000002</v>
      </c>
    </row>
    <row r="1433" spans="1:3" x14ac:dyDescent="0.3">
      <c r="A1433" s="35">
        <v>45932</v>
      </c>
      <c r="B1433" s="847" t="s">
        <v>886</v>
      </c>
      <c r="C1433">
        <v>3.827</v>
      </c>
    </row>
    <row r="1434" spans="1:3" x14ac:dyDescent="0.3">
      <c r="A1434" s="35">
        <v>45933</v>
      </c>
      <c r="B1434" s="847" t="s">
        <v>886</v>
      </c>
      <c r="C1434">
        <v>3.827</v>
      </c>
    </row>
    <row r="1435" spans="1:3" x14ac:dyDescent="0.3">
      <c r="A1435" s="35">
        <v>45936</v>
      </c>
      <c r="B1435" s="847" t="s">
        <v>886</v>
      </c>
      <c r="C1435">
        <v>3.827</v>
      </c>
    </row>
    <row r="1436" spans="1:3" x14ac:dyDescent="0.3">
      <c r="A1436" s="35">
        <v>45937</v>
      </c>
      <c r="B1436" s="847" t="s">
        <v>886</v>
      </c>
      <c r="C1436">
        <v>3.827</v>
      </c>
    </row>
    <row r="1437" spans="1:3" x14ac:dyDescent="0.3">
      <c r="A1437" s="35">
        <v>45938</v>
      </c>
      <c r="B1437" s="847" t="s">
        <v>886</v>
      </c>
      <c r="C1437">
        <v>3.827</v>
      </c>
    </row>
    <row r="1438" spans="1:3" x14ac:dyDescent="0.3">
      <c r="A1438" s="35">
        <v>45939</v>
      </c>
      <c r="B1438" s="847" t="s">
        <v>886</v>
      </c>
      <c r="C1438">
        <v>3.8450000000000002</v>
      </c>
    </row>
    <row r="1439" spans="1:3" x14ac:dyDescent="0.3">
      <c r="A1439" s="35">
        <v>45940</v>
      </c>
      <c r="B1439" s="847" t="s">
        <v>886</v>
      </c>
      <c r="C1439">
        <v>3.8580000000000001</v>
      </c>
    </row>
    <row r="1440" spans="1:3" x14ac:dyDescent="0.3">
      <c r="A1440" s="35">
        <v>45943</v>
      </c>
      <c r="B1440" s="847" t="s">
        <v>886</v>
      </c>
      <c r="C1440">
        <v>3.8620000000000001</v>
      </c>
    </row>
    <row r="1441" spans="1:3" x14ac:dyDescent="0.3">
      <c r="A1441" s="35">
        <v>45944</v>
      </c>
      <c r="B1441" s="847" t="s">
        <v>886</v>
      </c>
      <c r="C1441">
        <v>3.87</v>
      </c>
    </row>
    <row r="1442" spans="1:3" x14ac:dyDescent="0.3">
      <c r="A1442" s="35">
        <v>45945</v>
      </c>
      <c r="B1442" s="847" t="s">
        <v>886</v>
      </c>
      <c r="C1442">
        <v>3.87</v>
      </c>
    </row>
    <row r="1443" spans="1:3" x14ac:dyDescent="0.3">
      <c r="A1443" s="35">
        <v>45946</v>
      </c>
      <c r="B1443" s="847" t="s">
        <v>886</v>
      </c>
      <c r="C1443">
        <v>3.891</v>
      </c>
    </row>
    <row r="1444" spans="1:3" x14ac:dyDescent="0.3">
      <c r="A1444" s="35">
        <v>45947</v>
      </c>
      <c r="B1444" s="847" t="s">
        <v>886</v>
      </c>
      <c r="C1444">
        <v>3.891</v>
      </c>
    </row>
    <row r="1445" spans="1:3" x14ac:dyDescent="0.3">
      <c r="A1445" s="35">
        <v>45950</v>
      </c>
      <c r="B1445" s="847" t="s">
        <v>886</v>
      </c>
      <c r="C1445">
        <v>3.9039999999999999</v>
      </c>
    </row>
    <row r="1446" spans="1:3" x14ac:dyDescent="0.3">
      <c r="A1446" s="35">
        <v>45951</v>
      </c>
      <c r="B1446" s="847" t="s">
        <v>886</v>
      </c>
      <c r="C1446">
        <v>3.9079999999999999</v>
      </c>
    </row>
    <row r="1447" spans="1:3" x14ac:dyDescent="0.3">
      <c r="A1447" s="35">
        <v>45952</v>
      </c>
      <c r="B1447" s="847" t="s">
        <v>886</v>
      </c>
      <c r="C1447">
        <v>3.9079999999999999</v>
      </c>
    </row>
    <row r="1448" spans="1:3" x14ac:dyDescent="0.3">
      <c r="A1448" s="35">
        <v>45953</v>
      </c>
      <c r="B1448" s="847" t="s">
        <v>886</v>
      </c>
      <c r="C1448">
        <v>3.9119999999999999</v>
      </c>
    </row>
    <row r="1449" spans="1:3" x14ac:dyDescent="0.3">
      <c r="A1449" s="35">
        <v>45954</v>
      </c>
      <c r="B1449" s="847" t="s">
        <v>886</v>
      </c>
      <c r="C1449">
        <v>3.9159999999999999</v>
      </c>
    </row>
    <row r="1450" spans="1:3" x14ac:dyDescent="0.3">
      <c r="A1450" s="35">
        <v>45957</v>
      </c>
      <c r="B1450" s="847" t="s">
        <v>886</v>
      </c>
      <c r="C1450">
        <v>3.9159999999999999</v>
      </c>
    </row>
    <row r="1451" spans="1:3" x14ac:dyDescent="0.3">
      <c r="A1451" s="35">
        <v>45958</v>
      </c>
      <c r="B1451" s="847" t="s">
        <v>886</v>
      </c>
      <c r="C1451">
        <v>3.9289999999999998</v>
      </c>
    </row>
    <row r="1452" spans="1:3" x14ac:dyDescent="0.3">
      <c r="A1452" s="35">
        <v>45959</v>
      </c>
      <c r="B1452" s="847" t="s">
        <v>886</v>
      </c>
      <c r="C1452">
        <v>3.9289999999999998</v>
      </c>
    </row>
    <row r="1453" spans="1:3" x14ac:dyDescent="0.3">
      <c r="A1453" s="35">
        <v>45960</v>
      </c>
      <c r="B1453" s="847" t="s">
        <v>886</v>
      </c>
      <c r="C1453">
        <v>3.95</v>
      </c>
    </row>
    <row r="1454" spans="1:3" x14ac:dyDescent="0.3">
      <c r="A1454" s="35">
        <v>45961</v>
      </c>
      <c r="B1454" s="847" t="s">
        <v>886</v>
      </c>
      <c r="C1454">
        <v>3.9620000000000002</v>
      </c>
    </row>
    <row r="1455" spans="1:3" x14ac:dyDescent="0.3">
      <c r="A1455" s="35">
        <v>45964</v>
      </c>
      <c r="B1455" s="847" t="s">
        <v>886</v>
      </c>
      <c r="C1455">
        <v>3.9620000000000002</v>
      </c>
    </row>
    <row r="1456" spans="1:3" x14ac:dyDescent="0.3">
      <c r="A1456" s="35">
        <v>45965</v>
      </c>
      <c r="B1456" s="847" t="s">
        <v>886</v>
      </c>
      <c r="C1456">
        <v>3.9660000000000002</v>
      </c>
    </row>
    <row r="1457" spans="1:3" x14ac:dyDescent="0.3">
      <c r="A1457" s="35">
        <v>45966</v>
      </c>
      <c r="B1457" s="847" t="s">
        <v>886</v>
      </c>
      <c r="C1457">
        <v>3.97</v>
      </c>
    </row>
    <row r="1458" spans="1:3" x14ac:dyDescent="0.3">
      <c r="A1458" s="35">
        <v>45967</v>
      </c>
      <c r="B1458" s="847" t="s">
        <v>886</v>
      </c>
      <c r="C1458">
        <v>3.9750000000000001</v>
      </c>
    </row>
    <row r="1459" spans="1:3" x14ac:dyDescent="0.3">
      <c r="A1459" s="35">
        <v>45968</v>
      </c>
      <c r="B1459" s="847" t="s">
        <v>886</v>
      </c>
      <c r="C1459">
        <v>3.9750000000000001</v>
      </c>
    </row>
    <row r="1460" spans="1:3" x14ac:dyDescent="0.3">
      <c r="A1460" s="35">
        <v>45971</v>
      </c>
      <c r="B1460" s="847" t="s">
        <v>886</v>
      </c>
      <c r="C1460">
        <v>4.0119999999999996</v>
      </c>
    </row>
    <row r="1461" spans="1:3" x14ac:dyDescent="0.3">
      <c r="A1461" s="35">
        <v>45972</v>
      </c>
      <c r="B1461" s="847" t="s">
        <v>886</v>
      </c>
      <c r="C1461">
        <v>4.0119999999999996</v>
      </c>
    </row>
    <row r="1462" spans="1:3" x14ac:dyDescent="0.3">
      <c r="A1462" s="35">
        <v>45973</v>
      </c>
      <c r="B1462" s="847" t="s">
        <v>886</v>
      </c>
      <c r="C1462">
        <v>4.0199999999999996</v>
      </c>
    </row>
    <row r="1463" spans="1:3" x14ac:dyDescent="0.3">
      <c r="A1463" s="35">
        <v>45974</v>
      </c>
      <c r="B1463" s="847" t="s">
        <v>886</v>
      </c>
      <c r="C1463">
        <v>4.0289999999999999</v>
      </c>
    </row>
    <row r="1464" spans="1:3" x14ac:dyDescent="0.3">
      <c r="A1464" s="35">
        <v>45975</v>
      </c>
      <c r="B1464" s="847" t="s">
        <v>886</v>
      </c>
      <c r="C1464">
        <v>4.0330000000000004</v>
      </c>
    </row>
    <row r="1465" spans="1:3" x14ac:dyDescent="0.3">
      <c r="A1465" s="35">
        <v>45978</v>
      </c>
      <c r="B1465" s="847" t="s">
        <v>886</v>
      </c>
      <c r="C1465">
        <v>4.0330000000000004</v>
      </c>
    </row>
    <row r="1466" spans="1:3" x14ac:dyDescent="0.3">
      <c r="A1466" s="35">
        <v>45979</v>
      </c>
      <c r="B1466" s="847" t="s">
        <v>886</v>
      </c>
      <c r="C1466">
        <v>4.0350000000000001</v>
      </c>
    </row>
    <row r="1467" spans="1:3" x14ac:dyDescent="0.3">
      <c r="A1467" s="35">
        <v>45980</v>
      </c>
      <c r="B1467" s="847" t="s">
        <v>886</v>
      </c>
      <c r="C1467">
        <v>4.0350000000000001</v>
      </c>
    </row>
    <row r="1468" spans="1:3" x14ac:dyDescent="0.3">
      <c r="A1468" s="35">
        <v>45981</v>
      </c>
      <c r="B1468" s="847" t="s">
        <v>886</v>
      </c>
      <c r="C1468">
        <v>4.0369999999999999</v>
      </c>
    </row>
    <row r="1469" spans="1:3" x14ac:dyDescent="0.3">
      <c r="A1469" s="35">
        <v>45982</v>
      </c>
      <c r="B1469" s="847" t="s">
        <v>886</v>
      </c>
      <c r="C1469">
        <v>4.0410000000000004</v>
      </c>
    </row>
    <row r="1470" spans="1:3" x14ac:dyDescent="0.3">
      <c r="A1470" s="35">
        <v>45985</v>
      </c>
      <c r="B1470" s="847" t="s">
        <v>886</v>
      </c>
      <c r="C1470">
        <v>4.0410000000000004</v>
      </c>
    </row>
    <row r="1471" spans="1:3" x14ac:dyDescent="0.3">
      <c r="A1471" s="35">
        <v>45986</v>
      </c>
      <c r="B1471" s="847" t="s">
        <v>886</v>
      </c>
      <c r="C1471">
        <v>4.0410000000000004</v>
      </c>
    </row>
    <row r="1472" spans="1:3" x14ac:dyDescent="0.3">
      <c r="A1472" s="35">
        <v>45987</v>
      </c>
      <c r="B1472" s="847" t="s">
        <v>886</v>
      </c>
      <c r="C1472">
        <v>4.0410000000000004</v>
      </c>
    </row>
    <row r="1473" spans="1:3" x14ac:dyDescent="0.3">
      <c r="A1473" s="35">
        <v>45988</v>
      </c>
      <c r="B1473" s="847" t="s">
        <v>886</v>
      </c>
      <c r="C1473">
        <v>4.0410000000000004</v>
      </c>
    </row>
    <row r="1474" spans="1:3" x14ac:dyDescent="0.3">
      <c r="A1474" s="35">
        <v>45989</v>
      </c>
      <c r="B1474" s="847" t="s">
        <v>886</v>
      </c>
      <c r="C1474">
        <v>4.0410000000000004</v>
      </c>
    </row>
    <row r="1475" spans="1:3" x14ac:dyDescent="0.3">
      <c r="A1475" s="35">
        <v>45992</v>
      </c>
      <c r="B1475" s="847" t="s">
        <v>886</v>
      </c>
      <c r="C1475">
        <v>4.0510000000000002</v>
      </c>
    </row>
    <row r="1476" spans="1:3" x14ac:dyDescent="0.3">
      <c r="A1476" s="35">
        <v>45993</v>
      </c>
      <c r="B1476" s="847" t="s">
        <v>886</v>
      </c>
      <c r="C1476">
        <v>4.0590000000000002</v>
      </c>
    </row>
    <row r="1477" spans="1:3" x14ac:dyDescent="0.3">
      <c r="A1477" s="35">
        <v>45994</v>
      </c>
      <c r="B1477" s="847" t="s">
        <v>886</v>
      </c>
      <c r="C1477">
        <v>4.0720000000000001</v>
      </c>
    </row>
    <row r="1478" spans="1:3" x14ac:dyDescent="0.3">
      <c r="A1478" s="35">
        <v>45995</v>
      </c>
      <c r="B1478" s="847" t="s">
        <v>886</v>
      </c>
      <c r="C1478">
        <v>4.0860000000000003</v>
      </c>
    </row>
    <row r="1479" spans="1:3" x14ac:dyDescent="0.3">
      <c r="A1479" s="35">
        <v>45996</v>
      </c>
      <c r="B1479" s="847" t="s">
        <v>886</v>
      </c>
      <c r="C1479">
        <v>4.09</v>
      </c>
    </row>
    <row r="1480" spans="1:3" x14ac:dyDescent="0.3">
      <c r="A1480" s="35">
        <v>45999</v>
      </c>
      <c r="B1480" s="847" t="s">
        <v>886</v>
      </c>
      <c r="C1480">
        <v>4.0949999999999998</v>
      </c>
    </row>
    <row r="1481" spans="1:3" x14ac:dyDescent="0.3">
      <c r="A1481" s="35">
        <v>46000</v>
      </c>
      <c r="B1481" s="847" t="s">
        <v>886</v>
      </c>
      <c r="C1481">
        <v>4.101</v>
      </c>
    </row>
    <row r="1482" spans="1:3" x14ac:dyDescent="0.3">
      <c r="A1482" s="35">
        <v>46001</v>
      </c>
      <c r="B1482" s="847" t="s">
        <v>886</v>
      </c>
      <c r="C1482">
        <v>4.1050000000000004</v>
      </c>
    </row>
    <row r="1483" spans="1:3" x14ac:dyDescent="0.3">
      <c r="A1483" s="35">
        <v>46002</v>
      </c>
      <c r="B1483" s="847" t="s">
        <v>886</v>
      </c>
      <c r="C1483">
        <v>4.1180000000000003</v>
      </c>
    </row>
    <row r="1484" spans="1:3" x14ac:dyDescent="0.3">
      <c r="A1484" s="35">
        <v>46003</v>
      </c>
      <c r="B1484" s="847" t="s">
        <v>886</v>
      </c>
      <c r="C1484">
        <v>4.13</v>
      </c>
    </row>
    <row r="1485" spans="1:3" x14ac:dyDescent="0.3">
      <c r="A1485" s="35">
        <v>46006</v>
      </c>
      <c r="B1485" s="847" t="s">
        <v>886</v>
      </c>
      <c r="C1485">
        <v>4.1340000000000003</v>
      </c>
    </row>
    <row r="1486" spans="1:3" x14ac:dyDescent="0.3">
      <c r="A1486" s="35">
        <v>46007</v>
      </c>
      <c r="B1486" s="847" t="s">
        <v>886</v>
      </c>
      <c r="C1486">
        <v>4.1340000000000003</v>
      </c>
    </row>
    <row r="1487" spans="1:3" x14ac:dyDescent="0.3">
      <c r="A1487" s="35">
        <v>46008</v>
      </c>
      <c r="B1487" s="847" t="s">
        <v>886</v>
      </c>
      <c r="C1487">
        <v>4.1340000000000003</v>
      </c>
    </row>
    <row r="1488" spans="1:3" x14ac:dyDescent="0.3">
      <c r="A1488" s="35">
        <v>46009</v>
      </c>
      <c r="B1488" s="847" t="s">
        <v>886</v>
      </c>
      <c r="C1488">
        <v>4.1340000000000003</v>
      </c>
    </row>
    <row r="1489" spans="1:3" x14ac:dyDescent="0.3">
      <c r="A1489" s="35">
        <v>46010</v>
      </c>
      <c r="B1489" s="847" t="s">
        <v>886</v>
      </c>
      <c r="C1489">
        <v>4.1379999999999999</v>
      </c>
    </row>
    <row r="1490" spans="1:3" x14ac:dyDescent="0.3">
      <c r="A1490" s="35">
        <v>46013</v>
      </c>
      <c r="B1490" s="847" t="s">
        <v>886</v>
      </c>
      <c r="C1490">
        <v>4.1379999999999999</v>
      </c>
    </row>
    <row r="1491" spans="1:3" x14ac:dyDescent="0.3">
      <c r="A1491" s="35">
        <v>46014</v>
      </c>
      <c r="B1491" s="847" t="s">
        <v>886</v>
      </c>
      <c r="C1491">
        <v>4.1379999999999999</v>
      </c>
    </row>
    <row r="1492" spans="1:3" x14ac:dyDescent="0.3">
      <c r="A1492" s="35">
        <v>46015</v>
      </c>
      <c r="B1492" s="847" t="s">
        <v>886</v>
      </c>
      <c r="C1492">
        <v>4.1379999999999999</v>
      </c>
    </row>
    <row r="1493" spans="1:3" x14ac:dyDescent="0.3">
      <c r="A1493" s="35">
        <v>46016</v>
      </c>
      <c r="B1493" s="847" t="s">
        <v>886</v>
      </c>
      <c r="C1493">
        <v>4.1500000000000004</v>
      </c>
    </row>
    <row r="1494" spans="1:3" x14ac:dyDescent="0.3">
      <c r="A1494" s="35">
        <v>46017</v>
      </c>
      <c r="B1494" s="847" t="s">
        <v>886</v>
      </c>
      <c r="C1494">
        <v>4.1539999999999999</v>
      </c>
    </row>
    <row r="1495" spans="1:3" x14ac:dyDescent="0.3">
      <c r="A1495" s="35">
        <v>46020</v>
      </c>
      <c r="B1495" s="847" t="s">
        <v>886</v>
      </c>
      <c r="C1495">
        <v>4.1630000000000003</v>
      </c>
    </row>
    <row r="1496" spans="1:3" x14ac:dyDescent="0.3">
      <c r="A1496" s="35">
        <v>46021</v>
      </c>
      <c r="B1496" s="847" t="s">
        <v>886</v>
      </c>
      <c r="C1496">
        <v>4.1710000000000003</v>
      </c>
    </row>
    <row r="1497" spans="1:3" x14ac:dyDescent="0.3">
      <c r="A1497" s="35">
        <v>46022</v>
      </c>
      <c r="B1497" s="847" t="s">
        <v>886</v>
      </c>
      <c r="C1497">
        <v>4.1710000000000003</v>
      </c>
    </row>
    <row r="1498" spans="1:3" x14ac:dyDescent="0.3">
      <c r="A1498" s="35">
        <v>46027</v>
      </c>
      <c r="B1498" s="847" t="s">
        <v>886</v>
      </c>
      <c r="C1498">
        <v>4.1710000000000003</v>
      </c>
    </row>
    <row r="1499" spans="1:3" x14ac:dyDescent="0.3">
      <c r="A1499" s="35">
        <v>46028</v>
      </c>
      <c r="B1499" s="847" t="s">
        <v>886</v>
      </c>
      <c r="C1499">
        <v>4.1749999999999998</v>
      </c>
    </row>
    <row r="1500" spans="1:3" x14ac:dyDescent="0.3">
      <c r="A1500" s="35">
        <v>46029</v>
      </c>
      <c r="B1500" s="847" t="s">
        <v>886</v>
      </c>
      <c r="C1500">
        <v>4.1749999999999998</v>
      </c>
    </row>
    <row r="1501" spans="1:3" x14ac:dyDescent="0.3">
      <c r="A1501" s="35">
        <v>46030</v>
      </c>
      <c r="B1501" s="847" t="s">
        <v>886</v>
      </c>
      <c r="C1501">
        <v>4.2750000000000004</v>
      </c>
    </row>
    <row r="1502" spans="1:3" x14ac:dyDescent="0.3">
      <c r="A1502" s="35">
        <v>46031</v>
      </c>
      <c r="B1502" s="847" t="s">
        <v>886</v>
      </c>
      <c r="C1502">
        <v>4.3079999999999998</v>
      </c>
    </row>
    <row r="1503" spans="1:3" x14ac:dyDescent="0.3">
      <c r="A1503" s="35">
        <v>46034</v>
      </c>
      <c r="B1503" s="847" t="s">
        <v>886</v>
      </c>
      <c r="C1503">
        <v>4.3129999999999997</v>
      </c>
    </row>
    <row r="1504" spans="1:3" x14ac:dyDescent="0.3">
      <c r="A1504" s="35">
        <v>46035</v>
      </c>
      <c r="B1504" s="847" t="s">
        <v>886</v>
      </c>
      <c r="C1504">
        <v>4.3330000000000002</v>
      </c>
    </row>
    <row r="1505" spans="1:3" x14ac:dyDescent="0.3">
      <c r="A1505" s="35">
        <v>46036</v>
      </c>
      <c r="B1505" s="847" t="s">
        <v>886</v>
      </c>
      <c r="C1505">
        <v>4.3380000000000001</v>
      </c>
    </row>
    <row r="1506" spans="1:3" x14ac:dyDescent="0.3">
      <c r="A1506" s="35">
        <v>46037</v>
      </c>
      <c r="B1506" s="847" t="s">
        <v>886</v>
      </c>
      <c r="C1506">
        <v>4.3499999999999996</v>
      </c>
    </row>
    <row r="1507" spans="1:3" x14ac:dyDescent="0.3">
      <c r="A1507" s="35">
        <v>46038</v>
      </c>
      <c r="B1507" s="847" t="s">
        <v>886</v>
      </c>
      <c r="C1507">
        <v>4.3499999999999996</v>
      </c>
    </row>
    <row r="1508" spans="1:3" x14ac:dyDescent="0.3">
      <c r="A1508" s="35">
        <v>46041</v>
      </c>
      <c r="B1508" s="847" t="s">
        <v>886</v>
      </c>
      <c r="C1508">
        <v>4.3499999999999996</v>
      </c>
    </row>
    <row r="1509" spans="1:3" x14ac:dyDescent="0.3">
      <c r="A1509" s="35">
        <v>46042</v>
      </c>
      <c r="B1509" s="847" t="s">
        <v>886</v>
      </c>
      <c r="C1509">
        <v>4.3499999999999996</v>
      </c>
    </row>
    <row r="1510" spans="1:3" x14ac:dyDescent="0.3">
      <c r="A1510" s="35">
        <v>46043</v>
      </c>
      <c r="B1510" s="847" t="s">
        <v>886</v>
      </c>
      <c r="C1510">
        <v>4.3380000000000001</v>
      </c>
    </row>
    <row r="1511" spans="1:3" x14ac:dyDescent="0.3">
      <c r="A1511" s="35">
        <v>46044</v>
      </c>
      <c r="B1511" s="847" t="s">
        <v>886</v>
      </c>
      <c r="C1511">
        <v>4.3460000000000001</v>
      </c>
    </row>
    <row r="1512" spans="1:3" x14ac:dyDescent="0.3">
      <c r="A1512" s="35">
        <v>46045</v>
      </c>
      <c r="B1512" s="847" t="s">
        <v>886</v>
      </c>
      <c r="C1512">
        <v>4.3380000000000001</v>
      </c>
    </row>
    <row r="1513" spans="1:3" x14ac:dyDescent="0.3">
      <c r="A1513" s="35">
        <v>46048</v>
      </c>
      <c r="B1513" s="847" t="s">
        <v>886</v>
      </c>
      <c r="C1513">
        <v>4.3380000000000001</v>
      </c>
    </row>
    <row r="1514" spans="1:3" x14ac:dyDescent="0.3">
      <c r="A1514" s="35">
        <v>46049</v>
      </c>
      <c r="B1514" s="847" t="s">
        <v>886</v>
      </c>
      <c r="C1514">
        <v>4.3380000000000001</v>
      </c>
    </row>
    <row r="1515" spans="1:3" x14ac:dyDescent="0.3">
      <c r="A1515" s="35">
        <v>46050</v>
      </c>
      <c r="B1515" s="847" t="s">
        <v>886</v>
      </c>
      <c r="C1515">
        <v>4.3380000000000001</v>
      </c>
    </row>
    <row r="1516" spans="1:3" x14ac:dyDescent="0.3">
      <c r="A1516" s="35">
        <v>46051</v>
      </c>
      <c r="B1516" s="847" t="s">
        <v>886</v>
      </c>
      <c r="C1516">
        <v>4.3419999999999996</v>
      </c>
    </row>
    <row r="1517" spans="1:3" x14ac:dyDescent="0.3">
      <c r="A1517" s="35">
        <v>46052</v>
      </c>
      <c r="B1517" s="847" t="s">
        <v>886</v>
      </c>
      <c r="C1517">
        <v>4.3419999999999996</v>
      </c>
    </row>
    <row r="1518" spans="1:3" x14ac:dyDescent="0.3">
      <c r="A1518" s="35">
        <v>46055</v>
      </c>
      <c r="B1518" s="847" t="s">
        <v>886</v>
      </c>
      <c r="C1518">
        <v>4.3410000000000002</v>
      </c>
    </row>
    <row r="1519" spans="1:3" x14ac:dyDescent="0.3">
      <c r="A1519" s="35">
        <v>46056</v>
      </c>
      <c r="B1519" s="847" t="s">
        <v>886</v>
      </c>
      <c r="C1519">
        <v>4.3419999999999996</v>
      </c>
    </row>
    <row r="1520" spans="1:3" x14ac:dyDescent="0.3">
      <c r="A1520" s="35">
        <v>46057</v>
      </c>
      <c r="B1520" s="847" t="s">
        <v>886</v>
      </c>
      <c r="C1520">
        <v>4.3410000000000002</v>
      </c>
    </row>
    <row r="1521" spans="1:3" x14ac:dyDescent="0.3">
      <c r="A1521" s="35">
        <v>46058</v>
      </c>
      <c r="B1521" s="847" t="s">
        <v>886</v>
      </c>
      <c r="C1521">
        <v>4.3419999999999996</v>
      </c>
    </row>
    <row r="1522" spans="1:3" x14ac:dyDescent="0.3">
      <c r="A1522" s="35">
        <v>46059</v>
      </c>
      <c r="B1522" s="847" t="s">
        <v>886</v>
      </c>
      <c r="C1522">
        <v>4.3419999999999996</v>
      </c>
    </row>
    <row r="1523" spans="1:3" x14ac:dyDescent="0.3">
      <c r="A1523" s="35">
        <v>46062</v>
      </c>
      <c r="B1523" s="847" t="s">
        <v>886</v>
      </c>
      <c r="C1523">
        <v>4.3419999999999996</v>
      </c>
    </row>
    <row r="1524" spans="1:3" x14ac:dyDescent="0.3">
      <c r="A1524" s="35">
        <v>46063</v>
      </c>
      <c r="B1524" s="847" t="s">
        <v>886</v>
      </c>
      <c r="C1524">
        <v>4.3419999999999996</v>
      </c>
    </row>
    <row r="1525" spans="1:3" x14ac:dyDescent="0.3">
      <c r="A1525" s="35">
        <v>46064</v>
      </c>
      <c r="B1525" s="847" t="s">
        <v>886</v>
      </c>
      <c r="C1525">
        <v>4.3419999999999996</v>
      </c>
    </row>
    <row r="1526" spans="1:3" x14ac:dyDescent="0.3">
      <c r="A1526" s="35">
        <v>46065</v>
      </c>
      <c r="B1526" s="847" t="s">
        <v>886</v>
      </c>
      <c r="C1526">
        <v>4.3419999999999996</v>
      </c>
    </row>
    <row r="1527" spans="1:3" x14ac:dyDescent="0.3">
      <c r="A1527" s="35">
        <v>46066</v>
      </c>
      <c r="B1527" s="847" t="s">
        <v>886</v>
      </c>
      <c r="C1527">
        <v>4.3419999999999996</v>
      </c>
    </row>
    <row r="1528" spans="1:3" x14ac:dyDescent="0.3">
      <c r="A1528" s="35">
        <v>46076</v>
      </c>
      <c r="B1528" s="847" t="s">
        <v>886</v>
      </c>
      <c r="C1528">
        <v>4.3419999999999996</v>
      </c>
    </row>
    <row r="1529" spans="1:3" x14ac:dyDescent="0.3">
      <c r="A1529" s="35">
        <v>46077</v>
      </c>
      <c r="B1529" s="847" t="s">
        <v>886</v>
      </c>
      <c r="C1529">
        <v>4.3419999999999996</v>
      </c>
    </row>
    <row r="1530" spans="1:3" x14ac:dyDescent="0.3">
      <c r="A1530" s="35">
        <v>46078</v>
      </c>
      <c r="B1530" s="847" t="s">
        <v>886</v>
      </c>
      <c r="C1530">
        <v>4.3419999999999996</v>
      </c>
    </row>
    <row r="1531" spans="1:3" x14ac:dyDescent="0.3">
      <c r="A1531" s="35">
        <v>46079</v>
      </c>
      <c r="B1531" s="847" t="s">
        <v>886</v>
      </c>
      <c r="C1531">
        <v>4.3419999999999996</v>
      </c>
    </row>
    <row r="1532" spans="1:3" x14ac:dyDescent="0.3">
      <c r="A1532" s="35">
        <v>46080</v>
      </c>
      <c r="B1532" s="847" t="s">
        <v>886</v>
      </c>
      <c r="C1532">
        <v>4.3419999999999996</v>
      </c>
    </row>
    <row r="1533" spans="1:3" x14ac:dyDescent="0.3">
      <c r="A1533" s="35">
        <v>46083</v>
      </c>
      <c r="B1533" s="847" t="s">
        <v>886</v>
      </c>
      <c r="C1533">
        <v>4.3460000000000001</v>
      </c>
    </row>
    <row r="1534" spans="1:3" x14ac:dyDescent="0.3">
      <c r="A1534" s="35">
        <v>46084</v>
      </c>
      <c r="B1534" s="847" t="s">
        <v>886</v>
      </c>
      <c r="C1534">
        <v>4.4000000000000004</v>
      </c>
    </row>
    <row r="1535" spans="1:3" x14ac:dyDescent="0.3">
      <c r="A1535" s="35">
        <v>46085</v>
      </c>
      <c r="B1535" s="847" t="s">
        <v>886</v>
      </c>
      <c r="C1535">
        <v>4.4000000000000004</v>
      </c>
    </row>
    <row r="1536" spans="1:3" x14ac:dyDescent="0.3">
      <c r="A1536" s="35">
        <v>46086</v>
      </c>
      <c r="B1536" s="847" t="s">
        <v>886</v>
      </c>
      <c r="C1536">
        <v>4.4000000000000004</v>
      </c>
    </row>
    <row r="1537" spans="1:3" x14ac:dyDescent="0.3">
      <c r="A1537" s="35">
        <v>46087</v>
      </c>
      <c r="B1537" s="847" t="s">
        <v>886</v>
      </c>
      <c r="C1537">
        <v>4.4000000000000004</v>
      </c>
    </row>
    <row r="1538" spans="1:3" x14ac:dyDescent="0.3">
      <c r="A1538" s="35">
        <v>46090</v>
      </c>
      <c r="B1538" s="847" t="s">
        <v>886</v>
      </c>
      <c r="C1538">
        <v>4.4000000000000004</v>
      </c>
    </row>
    <row r="1539" spans="1:3" x14ac:dyDescent="0.3">
      <c r="A1539" s="35">
        <v>46091</v>
      </c>
      <c r="B1539" s="847" t="s">
        <v>886</v>
      </c>
      <c r="C1539">
        <v>4.4039999999999999</v>
      </c>
    </row>
    <row r="1540" spans="1:3" x14ac:dyDescent="0.3">
      <c r="A1540" s="35">
        <v>46092</v>
      </c>
      <c r="B1540" s="847" t="s">
        <v>886</v>
      </c>
      <c r="C1540">
        <v>4.4039999999999999</v>
      </c>
    </row>
    <row r="1541" spans="1:3" x14ac:dyDescent="0.3">
      <c r="A1541" s="35">
        <v>46093</v>
      </c>
      <c r="B1541" s="847" t="s">
        <v>886</v>
      </c>
      <c r="C1541">
        <v>4.4379999999999997</v>
      </c>
    </row>
    <row r="1542" spans="1:3" x14ac:dyDescent="0.3">
      <c r="A1542" s="35">
        <v>46094</v>
      </c>
      <c r="B1542" s="847" t="s">
        <v>886</v>
      </c>
      <c r="C1542">
        <v>4.4379999999999997</v>
      </c>
    </row>
    <row r="1543" spans="1:3" x14ac:dyDescent="0.3">
      <c r="A1543" s="35">
        <v>46097</v>
      </c>
      <c r="B1543" s="847" t="s">
        <v>886</v>
      </c>
      <c r="C1543">
        <v>4.4379999999999997</v>
      </c>
    </row>
    <row r="1544" spans="1:3" x14ac:dyDescent="0.3">
      <c r="A1544" s="35">
        <v>46098</v>
      </c>
      <c r="B1544" s="847" t="s">
        <v>886</v>
      </c>
      <c r="C1544">
        <v>4.4379999999999997</v>
      </c>
    </row>
    <row r="1545" spans="1:3" x14ac:dyDescent="0.3">
      <c r="A1545" s="35">
        <v>46099</v>
      </c>
      <c r="B1545" s="847" t="s">
        <v>886</v>
      </c>
      <c r="C1545">
        <v>4.4379999999999997</v>
      </c>
    </row>
    <row r="1546" spans="1:3" x14ac:dyDescent="0.3">
      <c r="A1546" s="35">
        <v>46100</v>
      </c>
      <c r="B1546" s="847" t="s">
        <v>886</v>
      </c>
      <c r="C1546">
        <v>4.4379999999999997</v>
      </c>
    </row>
    <row r="1547" spans="1:3" x14ac:dyDescent="0.3">
      <c r="A1547" s="35">
        <v>46101</v>
      </c>
      <c r="B1547" s="847" t="s">
        <v>886</v>
      </c>
      <c r="C1547">
        <v>4.4379999999999997</v>
      </c>
    </row>
    <row r="1548" spans="1:3" x14ac:dyDescent="0.3">
      <c r="A1548" s="35">
        <v>46104</v>
      </c>
      <c r="B1548" s="847" t="s">
        <v>886</v>
      </c>
      <c r="C1548">
        <v>4.4379999999999997</v>
      </c>
    </row>
    <row r="1549" spans="1:3" x14ac:dyDescent="0.3">
      <c r="A1549" s="35">
        <v>46105</v>
      </c>
      <c r="B1549" s="847" t="s">
        <v>886</v>
      </c>
      <c r="C1549">
        <v>4.4379999999999997</v>
      </c>
    </row>
    <row r="1550" spans="1:3" x14ac:dyDescent="0.3">
      <c r="A1550" s="35">
        <v>46106</v>
      </c>
      <c r="B1550" s="847" t="s">
        <v>886</v>
      </c>
      <c r="C1550">
        <v>4.4379999999999997</v>
      </c>
    </row>
    <row r="1551" spans="1:3" x14ac:dyDescent="0.3">
      <c r="A1551" s="35">
        <v>46107</v>
      </c>
      <c r="B1551" s="847" t="s">
        <v>886</v>
      </c>
      <c r="C1551">
        <v>4.4630000000000001</v>
      </c>
    </row>
    <row r="1552" spans="1:3" x14ac:dyDescent="0.3">
      <c r="A1552" s="35">
        <v>46108</v>
      </c>
      <c r="B1552" s="847" t="s">
        <v>886</v>
      </c>
      <c r="C1552">
        <v>4.4669999999999996</v>
      </c>
    </row>
    <row r="1553" spans="1:3" x14ac:dyDescent="0.3">
      <c r="A1553" s="35">
        <v>46111</v>
      </c>
      <c r="B1553" s="847" t="s">
        <v>886</v>
      </c>
      <c r="C1553">
        <v>4.4669999999999996</v>
      </c>
    </row>
    <row r="1554" spans="1:3" x14ac:dyDescent="0.3">
      <c r="A1554" s="35">
        <v>46112</v>
      </c>
      <c r="B1554" s="847" t="s">
        <v>886</v>
      </c>
      <c r="C1554">
        <v>4.4669999999999996</v>
      </c>
    </row>
    <row r="1555" spans="1:3" x14ac:dyDescent="0.3">
      <c r="A1555" s="35">
        <v>46113</v>
      </c>
      <c r="B1555" s="847" t="s">
        <v>886</v>
      </c>
      <c r="C1555">
        <v>4.4669999999999996</v>
      </c>
    </row>
    <row r="1556" spans="1:3" x14ac:dyDescent="0.3">
      <c r="A1556" s="35">
        <v>46114</v>
      </c>
      <c r="B1556" s="847" t="s">
        <v>886</v>
      </c>
      <c r="C1556">
        <v>4.4669999999999996</v>
      </c>
    </row>
    <row r="1557" spans="1:3" x14ac:dyDescent="0.3">
      <c r="A1557" s="35">
        <v>46115</v>
      </c>
      <c r="B1557" s="847" t="s">
        <v>886</v>
      </c>
      <c r="C1557">
        <v>4.4669999999999996</v>
      </c>
    </row>
    <row r="1558" spans="1:3" x14ac:dyDescent="0.3">
      <c r="A1558" s="35">
        <v>46118</v>
      </c>
      <c r="B1558" s="847" t="s">
        <v>886</v>
      </c>
      <c r="C1558">
        <v>4.4669999999999996</v>
      </c>
    </row>
    <row r="1559" spans="1:3" x14ac:dyDescent="0.3">
      <c r="A1559" s="35">
        <v>46119</v>
      </c>
      <c r="B1559" s="847" t="s">
        <v>886</v>
      </c>
      <c r="C1559">
        <v>4.4669999999999996</v>
      </c>
    </row>
    <row r="1560" spans="1:3" x14ac:dyDescent="0.3">
      <c r="A1560" s="35">
        <v>46120</v>
      </c>
      <c r="B1560" s="847" t="s">
        <v>886</v>
      </c>
      <c r="C1560">
        <v>4.4669999999999996</v>
      </c>
    </row>
    <row r="1561" spans="1:3" x14ac:dyDescent="0.3">
      <c r="A1561" s="35">
        <v>46121</v>
      </c>
      <c r="B1561" s="847" t="s">
        <v>886</v>
      </c>
      <c r="C1561">
        <v>4.4669999999999996</v>
      </c>
    </row>
    <row r="1562" spans="1:3" x14ac:dyDescent="0.3">
      <c r="A1562" s="35">
        <v>46122</v>
      </c>
      <c r="B1562" s="847" t="s">
        <v>886</v>
      </c>
      <c r="C1562">
        <v>4.4669999999999996</v>
      </c>
    </row>
    <row r="1563" spans="1:3" x14ac:dyDescent="0.3">
      <c r="A1563" s="35">
        <v>46125</v>
      </c>
      <c r="B1563" s="847" t="s">
        <v>886</v>
      </c>
      <c r="C1563">
        <v>4.4669999999999996</v>
      </c>
    </row>
    <row r="1564" spans="1:3" x14ac:dyDescent="0.3">
      <c r="A1564" s="35">
        <v>46126</v>
      </c>
      <c r="B1564" s="847" t="s">
        <v>886</v>
      </c>
      <c r="C1564">
        <v>4.4669999999999996</v>
      </c>
    </row>
    <row r="1565" spans="1:3" x14ac:dyDescent="0.3">
      <c r="A1565" s="35">
        <v>46127</v>
      </c>
      <c r="B1565" s="847" t="s">
        <v>886</v>
      </c>
      <c r="C1565">
        <v>4.4630000000000001</v>
      </c>
    </row>
    <row r="1566" spans="1:3" x14ac:dyDescent="0.3">
      <c r="A1566" s="35">
        <v>46128</v>
      </c>
      <c r="B1566" s="847" t="s">
        <v>886</v>
      </c>
      <c r="C1566">
        <v>4.4630000000000001</v>
      </c>
    </row>
    <row r="1567" spans="1:3" x14ac:dyDescent="0.3">
      <c r="A1567" s="35">
        <v>46129</v>
      </c>
      <c r="B1567" s="847" t="s">
        <v>886</v>
      </c>
      <c r="C1567">
        <v>4.4640000000000004</v>
      </c>
    </row>
    <row r="1568" spans="1:3" x14ac:dyDescent="0.3">
      <c r="A1568" s="35">
        <v>46132</v>
      </c>
      <c r="B1568" s="847" t="s">
        <v>886</v>
      </c>
      <c r="C1568">
        <v>4.468</v>
      </c>
    </row>
    <row r="1569" spans="1:3" x14ac:dyDescent="0.3">
      <c r="A1569" s="35">
        <v>46133</v>
      </c>
      <c r="B1569" s="847" t="s">
        <v>886</v>
      </c>
      <c r="C1569">
        <v>4.4560000000000004</v>
      </c>
    </row>
    <row r="1570" spans="1:3" x14ac:dyDescent="0.3">
      <c r="A1570" s="35">
        <v>46134</v>
      </c>
      <c r="B1570" s="847" t="s">
        <v>886</v>
      </c>
      <c r="C1570">
        <v>4.468</v>
      </c>
    </row>
    <row r="1571" spans="1:3" x14ac:dyDescent="0.3">
      <c r="A1571" s="35">
        <v>46135</v>
      </c>
      <c r="B1571" s="847" t="s">
        <v>886</v>
      </c>
      <c r="C1571">
        <v>4.468</v>
      </c>
    </row>
    <row r="1572" spans="1:3" x14ac:dyDescent="0.3">
      <c r="A1572" s="35">
        <v>46136</v>
      </c>
      <c r="B1572" s="847" t="s">
        <v>886</v>
      </c>
      <c r="C1572">
        <v>4.468</v>
      </c>
    </row>
    <row r="1573" spans="1:3" x14ac:dyDescent="0.3">
      <c r="A1573" s="35">
        <v>46140</v>
      </c>
      <c r="B1573" s="847" t="s">
        <v>886</v>
      </c>
      <c r="C1573">
        <v>4.468</v>
      </c>
    </row>
    <row r="1574" spans="1:3" x14ac:dyDescent="0.3">
      <c r="A1574" s="35">
        <v>46141</v>
      </c>
      <c r="B1574" s="847" t="s">
        <v>886</v>
      </c>
      <c r="C1574">
        <v>4.468</v>
      </c>
    </row>
    <row r="1575" spans="1:3" x14ac:dyDescent="0.3">
      <c r="A1575" s="35">
        <v>46146</v>
      </c>
      <c r="B1575" s="847" t="s">
        <v>886</v>
      </c>
      <c r="C1575">
        <v>4.468</v>
      </c>
    </row>
    <row r="1576" spans="1:3" x14ac:dyDescent="0.3">
      <c r="A1576" s="35">
        <v>46147</v>
      </c>
      <c r="B1576" s="847" t="s">
        <v>886</v>
      </c>
      <c r="C1576">
        <v>4.4560000000000004</v>
      </c>
    </row>
    <row r="1577" spans="1:3" x14ac:dyDescent="0.3">
      <c r="A1577" s="35">
        <v>46148</v>
      </c>
      <c r="B1577" s="847" t="s">
        <v>886</v>
      </c>
      <c r="C1577">
        <v>4.4560000000000004</v>
      </c>
    </row>
    <row r="1578" spans="1:3" x14ac:dyDescent="0.3">
      <c r="A1578" s="35">
        <v>46149</v>
      </c>
      <c r="B1578" s="847" t="s">
        <v>886</v>
      </c>
      <c r="C1578">
        <v>4.4560000000000004</v>
      </c>
    </row>
    <row r="1579" spans="1:3" x14ac:dyDescent="0.3">
      <c r="A1579" s="35">
        <v>46150</v>
      </c>
      <c r="B1579" s="847" t="s">
        <v>886</v>
      </c>
      <c r="C1579">
        <v>4.46</v>
      </c>
    </row>
    <row r="1580" spans="1:3" x14ac:dyDescent="0.3">
      <c r="A1580" s="35">
        <v>46153</v>
      </c>
      <c r="B1580" s="847" t="s">
        <v>886</v>
      </c>
      <c r="C1580">
        <v>4.46</v>
      </c>
    </row>
    <row r="1581" spans="1:3" x14ac:dyDescent="0.3">
      <c r="A1581" s="35">
        <v>46154</v>
      </c>
      <c r="B1581" s="847" t="s">
        <v>886</v>
      </c>
      <c r="C1581">
        <v>4.46</v>
      </c>
    </row>
    <row r="1582" spans="1:3" x14ac:dyDescent="0.3">
      <c r="A1582" s="35">
        <v>46155</v>
      </c>
      <c r="B1582" s="847" t="s">
        <v>886</v>
      </c>
      <c r="C1582">
        <v>4.46</v>
      </c>
    </row>
    <row r="1583" spans="1:3" x14ac:dyDescent="0.3">
      <c r="A1583" s="35">
        <v>46156</v>
      </c>
      <c r="B1583" s="847" t="s">
        <v>886</v>
      </c>
      <c r="C1583">
        <v>4.4660000000000002</v>
      </c>
    </row>
    <row r="1584" spans="1:3" x14ac:dyDescent="0.3">
      <c r="A1584" s="35">
        <v>46157</v>
      </c>
      <c r="B1584" s="847" t="s">
        <v>886</v>
      </c>
      <c r="C1584">
        <v>4.4660000000000002</v>
      </c>
    </row>
    <row r="1585" spans="1:3" x14ac:dyDescent="0.3">
      <c r="A1585" s="35">
        <v>46160</v>
      </c>
      <c r="B1585" s="847" t="s">
        <v>886</v>
      </c>
      <c r="C1585">
        <v>4.4660000000000002</v>
      </c>
    </row>
    <row r="1586" spans="1:3" x14ac:dyDescent="0.3">
      <c r="A1586" s="35">
        <v>46161</v>
      </c>
      <c r="B1586" s="847" t="s">
        <v>886</v>
      </c>
      <c r="C1586">
        <v>4.4660000000000002</v>
      </c>
    </row>
    <row r="1587" spans="1:3" x14ac:dyDescent="0.3">
      <c r="A1587" s="35">
        <v>46162</v>
      </c>
      <c r="B1587" s="847" t="s">
        <v>886</v>
      </c>
      <c r="C1587">
        <v>4.4829999999999997</v>
      </c>
    </row>
    <row r="1588" spans="1:3" x14ac:dyDescent="0.3">
      <c r="A1588" s="35">
        <v>46163</v>
      </c>
      <c r="B1588" s="847" t="s">
        <v>886</v>
      </c>
      <c r="C1588">
        <v>4.4870000000000001</v>
      </c>
    </row>
    <row r="1589" spans="1:3" x14ac:dyDescent="0.3">
      <c r="A1589" s="35">
        <v>46164</v>
      </c>
      <c r="B1589" s="847" t="s">
        <v>886</v>
      </c>
      <c r="C1589">
        <v>4.4870000000000001</v>
      </c>
    </row>
    <row r="1590" spans="1:3" x14ac:dyDescent="0.3">
      <c r="A1590" s="35">
        <v>46167</v>
      </c>
      <c r="B1590" s="847" t="s">
        <v>886</v>
      </c>
      <c r="C1590">
        <v>4.4909999999999997</v>
      </c>
    </row>
    <row r="1591" spans="1:3" x14ac:dyDescent="0.3">
      <c r="A1591" s="35">
        <v>46168</v>
      </c>
      <c r="B1591" s="847" t="s">
        <v>886</v>
      </c>
      <c r="C1591">
        <v>4.4909999999999997</v>
      </c>
    </row>
    <row r="1592" spans="1:3" x14ac:dyDescent="0.3">
      <c r="A1592" s="35">
        <v>46169</v>
      </c>
      <c r="B1592" s="847" t="s">
        <v>886</v>
      </c>
      <c r="C1592">
        <v>4.4909999999999997</v>
      </c>
    </row>
    <row r="1593" spans="1:3" x14ac:dyDescent="0.3">
      <c r="A1593" s="35">
        <v>46170</v>
      </c>
      <c r="B1593" s="847" t="s">
        <v>886</v>
      </c>
      <c r="C1593">
        <v>4.5049999999999999</v>
      </c>
    </row>
    <row r="1594" spans="1:3" x14ac:dyDescent="0.3">
      <c r="A1594" s="35">
        <v>46171</v>
      </c>
      <c r="B1594" s="847" t="s">
        <v>886</v>
      </c>
      <c r="C1594">
        <v>4.55</v>
      </c>
    </row>
    <row r="1595" spans="1:3" x14ac:dyDescent="0.3">
      <c r="A1595" s="35">
        <v>46174</v>
      </c>
      <c r="B1595" s="847" t="s">
        <v>886</v>
      </c>
      <c r="C1595">
        <v>4.5709999999999997</v>
      </c>
    </row>
    <row r="1596" spans="1:3" x14ac:dyDescent="0.3">
      <c r="A1596" s="35">
        <v>46175</v>
      </c>
      <c r="B1596" s="847" t="s">
        <v>886</v>
      </c>
      <c r="C1596">
        <v>4.5880000000000001</v>
      </c>
    </row>
    <row r="1597" spans="1:3" x14ac:dyDescent="0.3">
      <c r="A1597" s="35">
        <v>46176</v>
      </c>
      <c r="B1597" s="847" t="s">
        <v>886</v>
      </c>
      <c r="C1597">
        <v>4.6420000000000003</v>
      </c>
    </row>
    <row r="1598" spans="1:3" x14ac:dyDescent="0.3">
      <c r="A1598" s="35">
        <v>46177</v>
      </c>
      <c r="B1598" s="847" t="s">
        <v>886</v>
      </c>
      <c r="C1598">
        <v>4.6420000000000003</v>
      </c>
    </row>
    <row r="1599" spans="1:3" x14ac:dyDescent="0.3">
      <c r="A1599" s="35">
        <v>46178</v>
      </c>
      <c r="B1599" s="847" t="s">
        <v>886</v>
      </c>
      <c r="C1599">
        <v>4.6420000000000003</v>
      </c>
    </row>
    <row r="1600" spans="1:3" x14ac:dyDescent="0.3">
      <c r="A1600" s="35">
        <v>46181</v>
      </c>
      <c r="B1600" s="847" t="s">
        <v>886</v>
      </c>
      <c r="C1600">
        <v>4.6459999999999999</v>
      </c>
    </row>
    <row r="1601" spans="1:3" x14ac:dyDescent="0.3">
      <c r="A1601" s="35">
        <v>46182</v>
      </c>
      <c r="B1601" s="847" t="s">
        <v>886</v>
      </c>
      <c r="C1601">
        <v>4.6459999999999999</v>
      </c>
    </row>
    <row r="1602" spans="1:3" x14ac:dyDescent="0.3">
      <c r="A1602" s="35">
        <v>46183</v>
      </c>
      <c r="B1602" s="847" t="s">
        <v>886</v>
      </c>
      <c r="C1602">
        <v>4.6449999999999996</v>
      </c>
    </row>
    <row r="1603" spans="1:3" x14ac:dyDescent="0.3">
      <c r="A1603" s="35">
        <v>46184</v>
      </c>
      <c r="B1603" s="847" t="s">
        <v>886</v>
      </c>
      <c r="C1603">
        <v>4.6539999999999999</v>
      </c>
    </row>
    <row r="1604" spans="1:3" x14ac:dyDescent="0.3">
      <c r="A1604" s="35">
        <v>46185</v>
      </c>
      <c r="B1604" s="847" t="s">
        <v>886</v>
      </c>
      <c r="C1604">
        <v>4.6710000000000003</v>
      </c>
    </row>
    <row r="1605" spans="1:3" x14ac:dyDescent="0.3">
      <c r="A1605" s="35">
        <v>46188</v>
      </c>
      <c r="B1605" s="847" t="s">
        <v>886</v>
      </c>
      <c r="C1605">
        <v>4.6710000000000003</v>
      </c>
    </row>
    <row r="1606" spans="1:3" x14ac:dyDescent="0.3">
      <c r="A1606" s="35">
        <v>46189</v>
      </c>
      <c r="B1606" s="847" t="s">
        <v>886</v>
      </c>
      <c r="C1606">
        <v>4.6580000000000004</v>
      </c>
    </row>
    <row r="1607" spans="1:3" x14ac:dyDescent="0.3">
      <c r="A1607" s="35">
        <v>46190</v>
      </c>
      <c r="B1607" s="847" t="s">
        <v>886</v>
      </c>
      <c r="C1607">
        <v>4.6790000000000003</v>
      </c>
    </row>
    <row r="1608" spans="1:3" x14ac:dyDescent="0.3">
      <c r="A1608" s="35">
        <v>46191</v>
      </c>
      <c r="B1608" s="847" t="s">
        <v>886</v>
      </c>
      <c r="C1608">
        <v>4.6829999999999998</v>
      </c>
    </row>
    <row r="1609" spans="1:3" x14ac:dyDescent="0.3">
      <c r="A1609" s="35">
        <v>46192</v>
      </c>
      <c r="B1609" s="847" t="s">
        <v>886</v>
      </c>
      <c r="C1609">
        <v>4.6909999999999998</v>
      </c>
    </row>
    <row r="1610" spans="1:3" x14ac:dyDescent="0.3">
      <c r="A1610" s="35">
        <v>46195</v>
      </c>
      <c r="B1610" s="847" t="s">
        <v>886</v>
      </c>
      <c r="C1610">
        <v>4.6909999999999998</v>
      </c>
    </row>
    <row r="1611" spans="1:3" x14ac:dyDescent="0.3">
      <c r="A1611" s="35">
        <v>46196</v>
      </c>
      <c r="B1611" s="847" t="s">
        <v>886</v>
      </c>
      <c r="C1611">
        <v>4.6909999999999998</v>
      </c>
    </row>
    <row r="1612" spans="1:3" x14ac:dyDescent="0.3">
      <c r="A1612" s="35">
        <v>46197</v>
      </c>
      <c r="B1612" s="847" t="s">
        <v>886</v>
      </c>
      <c r="C1612">
        <v>4.6909999999999998</v>
      </c>
    </row>
    <row r="1613" spans="1:3" x14ac:dyDescent="0.3">
      <c r="A1613" s="35">
        <v>46198</v>
      </c>
      <c r="B1613" s="847" t="s">
        <v>886</v>
      </c>
      <c r="C1613">
        <v>4.6909999999999998</v>
      </c>
    </row>
    <row r="1614" spans="1:3" x14ac:dyDescent="0.3">
      <c r="A1614" s="35">
        <v>46199</v>
      </c>
      <c r="B1614" s="847" t="s">
        <v>886</v>
      </c>
      <c r="C1614">
        <v>4.6909999999999998</v>
      </c>
    </row>
    <row r="1615" spans="1:3" x14ac:dyDescent="0.3">
      <c r="A1615" s="35">
        <v>46202</v>
      </c>
      <c r="B1615" s="847" t="s">
        <v>886</v>
      </c>
      <c r="C1615">
        <v>4.6909999999999998</v>
      </c>
    </row>
    <row r="1616" spans="1:3" x14ac:dyDescent="0.3">
      <c r="A1616" s="35">
        <v>46203</v>
      </c>
      <c r="B1616" s="847" t="s">
        <v>886</v>
      </c>
      <c r="C1616">
        <v>4.71</v>
      </c>
    </row>
    <row r="1617" spans="1:3" x14ac:dyDescent="0.3">
      <c r="A1617" s="35">
        <v>46204</v>
      </c>
      <c r="B1617" s="847" t="s">
        <v>886</v>
      </c>
      <c r="C1617">
        <v>4.7119999999999997</v>
      </c>
    </row>
    <row r="1618" spans="1:3" x14ac:dyDescent="0.3">
      <c r="A1618" s="35">
        <v>46205</v>
      </c>
      <c r="B1618" s="847" t="s">
        <v>886</v>
      </c>
      <c r="C1618">
        <v>4.7119999999999997</v>
      </c>
    </row>
    <row r="1619" spans="1:3" x14ac:dyDescent="0.3">
      <c r="A1619" s="35">
        <v>46206</v>
      </c>
      <c r="B1619" s="847" t="s">
        <v>886</v>
      </c>
      <c r="C1619">
        <v>4.7119999999999997</v>
      </c>
    </row>
    <row r="1620" spans="1:3" x14ac:dyDescent="0.3">
      <c r="A1620" s="35">
        <v>46209</v>
      </c>
      <c r="B1620" s="847" t="s">
        <v>886</v>
      </c>
      <c r="C1620">
        <v>4.7119999999999997</v>
      </c>
    </row>
    <row r="1621" spans="1:3" x14ac:dyDescent="0.3">
      <c r="A1621" s="35">
        <v>46210</v>
      </c>
      <c r="B1621" s="847" t="s">
        <v>886</v>
      </c>
      <c r="C1621">
        <v>4.7119999999999997</v>
      </c>
    </row>
    <row r="1622" spans="1:3" x14ac:dyDescent="0.3">
      <c r="A1622" s="35">
        <v>46211</v>
      </c>
      <c r="B1622" s="847" t="s">
        <v>886</v>
      </c>
      <c r="C1622">
        <v>4.7119999999999997</v>
      </c>
    </row>
    <row r="1623" spans="1:3" x14ac:dyDescent="0.3">
      <c r="A1623" s="35">
        <v>46212</v>
      </c>
      <c r="B1623" s="847" t="s">
        <v>886</v>
      </c>
      <c r="C1623">
        <v>4.6950000000000003</v>
      </c>
    </row>
    <row r="1624" spans="1:3" x14ac:dyDescent="0.3">
      <c r="A1624" s="35">
        <v>46213</v>
      </c>
      <c r="B1624" s="847" t="s">
        <v>886</v>
      </c>
      <c r="C1624">
        <v>4.7119999999999997</v>
      </c>
    </row>
    <row r="1625" spans="1:3" x14ac:dyDescent="0.3">
      <c r="A1625" s="35">
        <v>46216</v>
      </c>
      <c r="B1625" s="847" t="s">
        <v>886</v>
      </c>
      <c r="C1625">
        <v>4.7119999999999997</v>
      </c>
    </row>
    <row r="1626" spans="1:3" x14ac:dyDescent="0.3">
      <c r="A1626" s="35">
        <v>46217</v>
      </c>
      <c r="B1626" s="847" t="s">
        <v>886</v>
      </c>
      <c r="C1626">
        <v>4.7119999999999997</v>
      </c>
    </row>
    <row r="1627" spans="1:3" x14ac:dyDescent="0.3">
      <c r="A1627" s="35">
        <v>46218</v>
      </c>
      <c r="B1627" s="847" t="s">
        <v>886</v>
      </c>
      <c r="C1627">
        <v>4.7119999999999997</v>
      </c>
    </row>
    <row r="1628" spans="1:3" x14ac:dyDescent="0.3">
      <c r="A1628" s="35">
        <v>46219</v>
      </c>
      <c r="B1628" s="847" t="s">
        <v>886</v>
      </c>
      <c r="C1628">
        <v>4.7119999999999997</v>
      </c>
    </row>
    <row r="1629" spans="1:3" x14ac:dyDescent="0.3">
      <c r="A1629" s="35">
        <v>46220</v>
      </c>
      <c r="B1629" s="847" t="s">
        <v>886</v>
      </c>
      <c r="C1629">
        <v>4.7240000000000002</v>
      </c>
    </row>
    <row r="1630" spans="1:3" x14ac:dyDescent="0.3">
      <c r="A1630" s="35">
        <v>46223</v>
      </c>
      <c r="B1630" s="847" t="s">
        <v>886</v>
      </c>
      <c r="C1630">
        <v>4.7240000000000002</v>
      </c>
    </row>
    <row r="1631" spans="1:3" x14ac:dyDescent="0.3">
      <c r="A1631" s="35">
        <v>46224</v>
      </c>
      <c r="B1631" s="847" t="s">
        <v>886</v>
      </c>
      <c r="C1631">
        <v>4.7240000000000002</v>
      </c>
    </row>
    <row r="1632" spans="1:3" x14ac:dyDescent="0.3">
      <c r="A1632" s="35">
        <v>46225</v>
      </c>
      <c r="B1632" s="847" t="s">
        <v>886</v>
      </c>
      <c r="C1632">
        <v>4.7240000000000002</v>
      </c>
    </row>
    <row r="1633" spans="1:3" x14ac:dyDescent="0.3">
      <c r="A1633" s="35">
        <v>46226</v>
      </c>
      <c r="B1633" s="847" t="s">
        <v>886</v>
      </c>
      <c r="C1633">
        <v>4.7240000000000002</v>
      </c>
    </row>
    <row r="1634" spans="1:3" x14ac:dyDescent="0.3">
      <c r="A1634" s="35">
        <v>46227</v>
      </c>
      <c r="B1634" s="847" t="s">
        <v>886</v>
      </c>
      <c r="C1634">
        <v>4.7240000000000002</v>
      </c>
    </row>
    <row r="1635" spans="1:3" x14ac:dyDescent="0.3">
      <c r="A1635" s="35">
        <v>46230</v>
      </c>
      <c r="B1635" s="847" t="s">
        <v>886</v>
      </c>
      <c r="C1635">
        <v>4.7240000000000002</v>
      </c>
    </row>
    <row r="1636" spans="1:3" x14ac:dyDescent="0.3">
      <c r="A1636" s="35">
        <v>46231</v>
      </c>
      <c r="B1636" s="847" t="s">
        <v>886</v>
      </c>
      <c r="C1636">
        <v>4.7240000000000002</v>
      </c>
    </row>
    <row r="1637" spans="1:3" x14ac:dyDescent="0.3">
      <c r="A1637" s="35">
        <v>46232</v>
      </c>
      <c r="B1637" s="847" t="s">
        <v>886</v>
      </c>
      <c r="C1637">
        <v>4.7240000000000002</v>
      </c>
    </row>
    <row r="1638" spans="1:3" x14ac:dyDescent="0.3">
      <c r="A1638" s="35">
        <v>46233</v>
      </c>
      <c r="B1638" s="847" t="s">
        <v>886</v>
      </c>
      <c r="C1638">
        <v>4.7240000000000002</v>
      </c>
    </row>
    <row r="1639" spans="1:3" x14ac:dyDescent="0.3">
      <c r="A1639" s="35">
        <v>46234</v>
      </c>
      <c r="B1639" s="847" t="s">
        <v>886</v>
      </c>
      <c r="C1639">
        <v>4.7240000000000002</v>
      </c>
    </row>
    <row r="1640" spans="1:3" x14ac:dyDescent="0.3">
      <c r="A1640" s="35">
        <v>46237</v>
      </c>
      <c r="B1640" s="847" t="s">
        <v>886</v>
      </c>
      <c r="C1640">
        <v>4.7240000000000002</v>
      </c>
    </row>
    <row r="1641" spans="1:3" x14ac:dyDescent="0.3">
      <c r="A1641" s="35">
        <v>46238</v>
      </c>
      <c r="B1641" s="847" t="s">
        <v>886</v>
      </c>
      <c r="C1641">
        <v>4.7240000000000002</v>
      </c>
    </row>
    <row r="1642" spans="1:3" x14ac:dyDescent="0.3">
      <c r="A1642" s="35">
        <v>46239</v>
      </c>
      <c r="B1642" s="847" t="s">
        <v>886</v>
      </c>
      <c r="C1642">
        <v>4.7240000000000002</v>
      </c>
    </row>
    <row r="1643" spans="1:3" x14ac:dyDescent="0.3">
      <c r="A1643" s="35">
        <v>46240</v>
      </c>
      <c r="B1643" s="847" t="s">
        <v>886</v>
      </c>
      <c r="C1643">
        <v>4.7279999999999998</v>
      </c>
    </row>
    <row r="1644" spans="1:3" x14ac:dyDescent="0.3">
      <c r="A1644" s="35">
        <v>46241</v>
      </c>
      <c r="B1644" s="847" t="s">
        <v>886</v>
      </c>
      <c r="C1644">
        <v>4.7329999999999997</v>
      </c>
    </row>
    <row r="1645" spans="1:3" x14ac:dyDescent="0.3">
      <c r="A1645" s="35">
        <v>46244</v>
      </c>
      <c r="B1645" s="847" t="s">
        <v>886</v>
      </c>
      <c r="C1645">
        <v>4.7329999999999997</v>
      </c>
    </row>
    <row r="1646" spans="1:3" x14ac:dyDescent="0.3">
      <c r="A1646" s="35">
        <v>46245</v>
      </c>
      <c r="B1646" s="847" t="s">
        <v>886</v>
      </c>
      <c r="C1646">
        <v>4.7329999999999997</v>
      </c>
    </row>
    <row r="1647" spans="1:3" x14ac:dyDescent="0.3">
      <c r="A1647" s="35">
        <v>46246</v>
      </c>
      <c r="B1647" s="847" t="s">
        <v>886</v>
      </c>
      <c r="C1647">
        <v>4.7329999999999997</v>
      </c>
    </row>
    <row r="1648" spans="1:3" x14ac:dyDescent="0.3">
      <c r="A1648" s="35">
        <v>46247</v>
      </c>
      <c r="B1648" s="847" t="s">
        <v>886</v>
      </c>
      <c r="C1648">
        <v>4.7329999999999997</v>
      </c>
    </row>
    <row r="1649" spans="1:3" x14ac:dyDescent="0.3">
      <c r="A1649" s="35">
        <v>46248</v>
      </c>
      <c r="B1649" s="847" t="s">
        <v>886</v>
      </c>
      <c r="C1649">
        <v>4.7329999999999997</v>
      </c>
    </row>
    <row r="1650" spans="1:3" x14ac:dyDescent="0.3">
      <c r="A1650" s="35">
        <v>46251</v>
      </c>
      <c r="B1650" s="847" t="s">
        <v>886</v>
      </c>
      <c r="C1650">
        <v>4.7329999999999997</v>
      </c>
    </row>
    <row r="1651" spans="1:3" x14ac:dyDescent="0.3">
      <c r="A1651" s="35">
        <v>46252</v>
      </c>
      <c r="B1651" s="847" t="s">
        <v>886</v>
      </c>
      <c r="C1651">
        <v>4.7329999999999997</v>
      </c>
    </row>
    <row r="1652" spans="1:3" x14ac:dyDescent="0.3">
      <c r="A1652" s="35">
        <v>45852</v>
      </c>
      <c r="B1652" s="847" t="s">
        <v>879</v>
      </c>
      <c r="C1652">
        <v>2.3250000000000002</v>
      </c>
    </row>
    <row r="1653" spans="1:3" x14ac:dyDescent="0.3">
      <c r="A1653" s="35">
        <v>45853</v>
      </c>
      <c r="B1653" s="847" t="s">
        <v>879</v>
      </c>
      <c r="C1653">
        <v>2.3250000000000002</v>
      </c>
    </row>
    <row r="1654" spans="1:3" x14ac:dyDescent="0.3">
      <c r="A1654" s="35">
        <v>45854</v>
      </c>
      <c r="B1654" s="847" t="s">
        <v>879</v>
      </c>
      <c r="C1654">
        <v>2.327</v>
      </c>
    </row>
    <row r="1655" spans="1:3" x14ac:dyDescent="0.3">
      <c r="A1655" s="35">
        <v>45855</v>
      </c>
      <c r="B1655" s="847" t="s">
        <v>879</v>
      </c>
      <c r="C1655">
        <v>2.3690000000000002</v>
      </c>
    </row>
    <row r="1656" spans="1:3" x14ac:dyDescent="0.3">
      <c r="A1656" s="35">
        <v>45856</v>
      </c>
      <c r="B1656" s="847" t="s">
        <v>879</v>
      </c>
      <c r="C1656">
        <v>2.3690000000000002</v>
      </c>
    </row>
    <row r="1657" spans="1:3" x14ac:dyDescent="0.3">
      <c r="A1657" s="35">
        <v>45859</v>
      </c>
      <c r="B1657" s="847" t="s">
        <v>879</v>
      </c>
      <c r="C1657">
        <v>2.3690000000000002</v>
      </c>
    </row>
    <row r="1658" spans="1:3" x14ac:dyDescent="0.3">
      <c r="A1658" s="35">
        <v>45860</v>
      </c>
      <c r="B1658" s="847" t="s">
        <v>879</v>
      </c>
      <c r="C1658">
        <v>2.3690000000000002</v>
      </c>
    </row>
    <row r="1659" spans="1:3" x14ac:dyDescent="0.3">
      <c r="A1659" s="35">
        <v>45861</v>
      </c>
      <c r="B1659" s="847" t="s">
        <v>879</v>
      </c>
      <c r="C1659">
        <v>2.3730000000000002</v>
      </c>
    </row>
    <row r="1660" spans="1:3" x14ac:dyDescent="0.3">
      <c r="A1660" s="35">
        <v>45862</v>
      </c>
      <c r="B1660" s="847" t="s">
        <v>879</v>
      </c>
      <c r="C1660">
        <v>2.4249999999999998</v>
      </c>
    </row>
    <row r="1661" spans="1:3" x14ac:dyDescent="0.3">
      <c r="A1661" s="35">
        <v>45863</v>
      </c>
      <c r="B1661" s="847" t="s">
        <v>879</v>
      </c>
      <c r="C1661">
        <v>2.4329999999999998</v>
      </c>
    </row>
    <row r="1662" spans="1:3" x14ac:dyDescent="0.3">
      <c r="A1662" s="35">
        <v>45866</v>
      </c>
      <c r="B1662" s="847" t="s">
        <v>879</v>
      </c>
      <c r="C1662">
        <v>2.4329999999999998</v>
      </c>
    </row>
    <row r="1663" spans="1:3" x14ac:dyDescent="0.3">
      <c r="A1663" s="35">
        <v>45867</v>
      </c>
      <c r="B1663" s="847" t="s">
        <v>879</v>
      </c>
      <c r="C1663">
        <v>2.4540000000000002</v>
      </c>
    </row>
    <row r="1664" spans="1:3" x14ac:dyDescent="0.3">
      <c r="A1664" s="35">
        <v>45868</v>
      </c>
      <c r="B1664" s="847" t="s">
        <v>879</v>
      </c>
      <c r="C1664">
        <v>2.4540000000000002</v>
      </c>
    </row>
    <row r="1665" spans="1:3" x14ac:dyDescent="0.3">
      <c r="A1665" s="35">
        <v>45869</v>
      </c>
      <c r="B1665" s="847" t="s">
        <v>879</v>
      </c>
      <c r="C1665">
        <v>2.4540000000000002</v>
      </c>
    </row>
    <row r="1666" spans="1:3" x14ac:dyDescent="0.3">
      <c r="A1666" s="35">
        <v>45870</v>
      </c>
      <c r="B1666" s="847" t="s">
        <v>879</v>
      </c>
      <c r="C1666">
        <v>2.4630000000000001</v>
      </c>
    </row>
    <row r="1667" spans="1:3" x14ac:dyDescent="0.3">
      <c r="A1667" s="35">
        <v>45873</v>
      </c>
      <c r="B1667" s="847" t="s">
        <v>879</v>
      </c>
      <c r="C1667">
        <v>2.4630000000000001</v>
      </c>
    </row>
    <row r="1668" spans="1:3" x14ac:dyDescent="0.3">
      <c r="A1668" s="35">
        <v>45874</v>
      </c>
      <c r="B1668" s="847" t="s">
        <v>879</v>
      </c>
      <c r="C1668">
        <v>2.4710000000000001</v>
      </c>
    </row>
    <row r="1669" spans="1:3" x14ac:dyDescent="0.3">
      <c r="A1669" s="35">
        <v>45875</v>
      </c>
      <c r="B1669" s="847" t="s">
        <v>879</v>
      </c>
      <c r="C1669">
        <v>2.4710000000000001</v>
      </c>
    </row>
    <row r="1670" spans="1:3" x14ac:dyDescent="0.3">
      <c r="A1670" s="35">
        <v>45876</v>
      </c>
      <c r="B1670" s="847" t="s">
        <v>879</v>
      </c>
      <c r="C1670">
        <v>2.5249999999999999</v>
      </c>
    </row>
    <row r="1671" spans="1:3" x14ac:dyDescent="0.3">
      <c r="A1671" s="35">
        <v>45877</v>
      </c>
      <c r="B1671" s="847" t="s">
        <v>879</v>
      </c>
      <c r="C1671">
        <v>2.5329999999999999</v>
      </c>
    </row>
    <row r="1672" spans="1:3" x14ac:dyDescent="0.3">
      <c r="A1672" s="35">
        <v>45880</v>
      </c>
      <c r="B1672" s="847" t="s">
        <v>879</v>
      </c>
      <c r="C1672">
        <v>2.5249999999999999</v>
      </c>
    </row>
    <row r="1673" spans="1:3" x14ac:dyDescent="0.3">
      <c r="A1673" s="35">
        <v>45881</v>
      </c>
      <c r="B1673" s="847" t="s">
        <v>879</v>
      </c>
      <c r="C1673">
        <v>2.5419999999999998</v>
      </c>
    </row>
    <row r="1674" spans="1:3" x14ac:dyDescent="0.3">
      <c r="A1674" s="35">
        <v>45882</v>
      </c>
      <c r="B1674" s="847" t="s">
        <v>879</v>
      </c>
      <c r="C1674">
        <v>2.5459999999999998</v>
      </c>
    </row>
    <row r="1675" spans="1:3" x14ac:dyDescent="0.3">
      <c r="A1675" s="35">
        <v>45883</v>
      </c>
      <c r="B1675" s="847" t="s">
        <v>879</v>
      </c>
      <c r="C1675">
        <v>2.5710000000000002</v>
      </c>
    </row>
    <row r="1676" spans="1:3" x14ac:dyDescent="0.3">
      <c r="A1676" s="35">
        <v>45884</v>
      </c>
      <c r="B1676" s="847" t="s">
        <v>879</v>
      </c>
      <c r="C1676">
        <v>2.5920000000000001</v>
      </c>
    </row>
    <row r="1677" spans="1:3" x14ac:dyDescent="0.3">
      <c r="A1677" s="35">
        <v>45887</v>
      </c>
      <c r="B1677" s="847" t="s">
        <v>879</v>
      </c>
      <c r="C1677">
        <v>2.6</v>
      </c>
    </row>
    <row r="1678" spans="1:3" x14ac:dyDescent="0.3">
      <c r="A1678" s="35">
        <v>45888</v>
      </c>
      <c r="B1678" s="847" t="s">
        <v>879</v>
      </c>
      <c r="C1678">
        <v>2.6080000000000001</v>
      </c>
    </row>
    <row r="1679" spans="1:3" x14ac:dyDescent="0.3">
      <c r="A1679" s="35">
        <v>45889</v>
      </c>
      <c r="B1679" s="847" t="s">
        <v>879</v>
      </c>
      <c r="C1679">
        <v>2.613</v>
      </c>
    </row>
    <row r="1680" spans="1:3" x14ac:dyDescent="0.3">
      <c r="A1680" s="35">
        <v>45890</v>
      </c>
      <c r="B1680" s="847" t="s">
        <v>879</v>
      </c>
      <c r="C1680">
        <v>2.6419999999999999</v>
      </c>
    </row>
    <row r="1681" spans="1:3" x14ac:dyDescent="0.3">
      <c r="A1681" s="35">
        <v>45891</v>
      </c>
      <c r="B1681" s="847" t="s">
        <v>879</v>
      </c>
      <c r="C1681">
        <v>2.6419999999999999</v>
      </c>
    </row>
    <row r="1682" spans="1:3" x14ac:dyDescent="0.3">
      <c r="A1682" s="35">
        <v>45894</v>
      </c>
      <c r="B1682" s="847" t="s">
        <v>879</v>
      </c>
      <c r="C1682">
        <v>2.6829999999999998</v>
      </c>
    </row>
    <row r="1683" spans="1:3" x14ac:dyDescent="0.3">
      <c r="A1683" s="35">
        <v>45895</v>
      </c>
      <c r="B1683" s="847" t="s">
        <v>879</v>
      </c>
      <c r="C1683">
        <v>2.7080000000000002</v>
      </c>
    </row>
    <row r="1684" spans="1:3" x14ac:dyDescent="0.3">
      <c r="A1684" s="35">
        <v>45896</v>
      </c>
      <c r="B1684" s="847" t="s">
        <v>879</v>
      </c>
      <c r="C1684">
        <v>2.7170000000000001</v>
      </c>
    </row>
    <row r="1685" spans="1:3" x14ac:dyDescent="0.3">
      <c r="A1685" s="35">
        <v>45897</v>
      </c>
      <c r="B1685" s="847" t="s">
        <v>879</v>
      </c>
      <c r="C1685">
        <v>2.7250000000000001</v>
      </c>
    </row>
    <row r="1686" spans="1:3" x14ac:dyDescent="0.3">
      <c r="A1686" s="35">
        <v>45898</v>
      </c>
      <c r="B1686" s="847" t="s">
        <v>879</v>
      </c>
      <c r="C1686">
        <v>2.7349999999999999</v>
      </c>
    </row>
    <row r="1687" spans="1:3" x14ac:dyDescent="0.3">
      <c r="A1687" s="35">
        <v>45903</v>
      </c>
      <c r="B1687" s="847" t="s">
        <v>879</v>
      </c>
      <c r="C1687">
        <v>2.7349999999999999</v>
      </c>
    </row>
    <row r="1688" spans="1:3" x14ac:dyDescent="0.3">
      <c r="A1688" s="35">
        <v>45904</v>
      </c>
      <c r="B1688" s="847" t="s">
        <v>879</v>
      </c>
      <c r="C1688">
        <v>2.7519999999999998</v>
      </c>
    </row>
    <row r="1689" spans="1:3" x14ac:dyDescent="0.3">
      <c r="A1689" s="35">
        <v>45905</v>
      </c>
      <c r="B1689" s="847" t="s">
        <v>879</v>
      </c>
      <c r="C1689">
        <v>2.7519999999999998</v>
      </c>
    </row>
    <row r="1690" spans="1:3" x14ac:dyDescent="0.3">
      <c r="A1690" s="35">
        <v>45908</v>
      </c>
      <c r="B1690" s="847" t="s">
        <v>879</v>
      </c>
      <c r="C1690">
        <v>2.7519999999999998</v>
      </c>
    </row>
    <row r="1691" spans="1:3" x14ac:dyDescent="0.3">
      <c r="A1691" s="35">
        <v>45909</v>
      </c>
      <c r="B1691" s="847" t="s">
        <v>879</v>
      </c>
      <c r="C1691">
        <v>2.76</v>
      </c>
    </row>
    <row r="1692" spans="1:3" x14ac:dyDescent="0.3">
      <c r="A1692" s="35">
        <v>45910</v>
      </c>
      <c r="B1692" s="847" t="s">
        <v>879</v>
      </c>
      <c r="C1692">
        <v>2.76</v>
      </c>
    </row>
    <row r="1693" spans="1:3" x14ac:dyDescent="0.3">
      <c r="A1693" s="35">
        <v>45911</v>
      </c>
      <c r="B1693" s="847" t="s">
        <v>879</v>
      </c>
      <c r="C1693">
        <v>2.7650000000000001</v>
      </c>
    </row>
    <row r="1694" spans="1:3" x14ac:dyDescent="0.3">
      <c r="A1694" s="35">
        <v>45912</v>
      </c>
      <c r="B1694" s="847" t="s">
        <v>879</v>
      </c>
      <c r="C1694">
        <v>2.7650000000000001</v>
      </c>
    </row>
    <row r="1695" spans="1:3" x14ac:dyDescent="0.3">
      <c r="A1695" s="35">
        <v>45915</v>
      </c>
      <c r="B1695" s="847" t="s">
        <v>879</v>
      </c>
      <c r="C1695">
        <v>2.7679999999999998</v>
      </c>
    </row>
    <row r="1696" spans="1:3" x14ac:dyDescent="0.3">
      <c r="A1696" s="35">
        <v>45916</v>
      </c>
      <c r="B1696" s="847" t="s">
        <v>879</v>
      </c>
      <c r="C1696">
        <v>2.7669999999999999</v>
      </c>
    </row>
    <row r="1697" spans="1:3" x14ac:dyDescent="0.3">
      <c r="A1697" s="35">
        <v>45917</v>
      </c>
      <c r="B1697" s="847" t="s">
        <v>879</v>
      </c>
      <c r="C1697">
        <v>2.7669999999999999</v>
      </c>
    </row>
    <row r="1698" spans="1:3" x14ac:dyDescent="0.3">
      <c r="A1698" s="35">
        <v>45918</v>
      </c>
      <c r="B1698" s="847" t="s">
        <v>879</v>
      </c>
      <c r="C1698">
        <v>2.7730000000000001</v>
      </c>
    </row>
    <row r="1699" spans="1:3" x14ac:dyDescent="0.3">
      <c r="A1699" s="35">
        <v>45919</v>
      </c>
      <c r="B1699" s="847" t="s">
        <v>879</v>
      </c>
      <c r="C1699">
        <v>2.7730000000000001</v>
      </c>
    </row>
    <row r="1700" spans="1:3" x14ac:dyDescent="0.3">
      <c r="A1700" s="35">
        <v>45922</v>
      </c>
      <c r="B1700" s="847" t="s">
        <v>879</v>
      </c>
      <c r="C1700">
        <v>2.7850000000000001</v>
      </c>
    </row>
    <row r="1701" spans="1:3" x14ac:dyDescent="0.3">
      <c r="A1701" s="35">
        <v>45923</v>
      </c>
      <c r="B1701" s="847" t="s">
        <v>879</v>
      </c>
      <c r="C1701">
        <v>2.7850000000000001</v>
      </c>
    </row>
    <row r="1702" spans="1:3" x14ac:dyDescent="0.3">
      <c r="A1702" s="35">
        <v>45924</v>
      </c>
      <c r="B1702" s="847" t="s">
        <v>879</v>
      </c>
      <c r="C1702">
        <v>2.7850000000000001</v>
      </c>
    </row>
    <row r="1703" spans="1:3" x14ac:dyDescent="0.3">
      <c r="A1703" s="35">
        <v>45925</v>
      </c>
      <c r="B1703" s="847" t="s">
        <v>879</v>
      </c>
      <c r="C1703">
        <v>2.794</v>
      </c>
    </row>
    <row r="1704" spans="1:3" x14ac:dyDescent="0.3">
      <c r="A1704" s="35">
        <v>45926</v>
      </c>
      <c r="B1704" s="847" t="s">
        <v>879</v>
      </c>
      <c r="C1704">
        <v>2.794</v>
      </c>
    </row>
    <row r="1705" spans="1:3" x14ac:dyDescent="0.3">
      <c r="A1705" s="35">
        <v>45929</v>
      </c>
      <c r="B1705" s="847" t="s">
        <v>879</v>
      </c>
      <c r="C1705">
        <v>2.794</v>
      </c>
    </row>
    <row r="1706" spans="1:3" x14ac:dyDescent="0.3">
      <c r="A1706" s="35">
        <v>45930</v>
      </c>
      <c r="B1706" s="847" t="s">
        <v>879</v>
      </c>
      <c r="C1706">
        <v>2.794</v>
      </c>
    </row>
    <row r="1707" spans="1:3" x14ac:dyDescent="0.3">
      <c r="A1707" s="35">
        <v>45931</v>
      </c>
      <c r="B1707" s="847" t="s">
        <v>879</v>
      </c>
      <c r="C1707">
        <v>2.794</v>
      </c>
    </row>
    <row r="1708" spans="1:3" x14ac:dyDescent="0.3">
      <c r="A1708" s="35">
        <v>45932</v>
      </c>
      <c r="B1708" s="847" t="s">
        <v>879</v>
      </c>
      <c r="C1708">
        <v>2.8210000000000002</v>
      </c>
    </row>
    <row r="1709" spans="1:3" x14ac:dyDescent="0.3">
      <c r="A1709" s="35">
        <v>45933</v>
      </c>
      <c r="B1709" s="847" t="s">
        <v>879</v>
      </c>
      <c r="C1709">
        <v>2.8210000000000002</v>
      </c>
    </row>
    <row r="1710" spans="1:3" x14ac:dyDescent="0.3">
      <c r="A1710" s="35">
        <v>45936</v>
      </c>
      <c r="B1710" s="847" t="s">
        <v>879</v>
      </c>
      <c r="C1710">
        <v>2.8210000000000002</v>
      </c>
    </row>
    <row r="1711" spans="1:3" x14ac:dyDescent="0.3">
      <c r="A1711" s="35">
        <v>45937</v>
      </c>
      <c r="B1711" s="847" t="s">
        <v>879</v>
      </c>
      <c r="C1711">
        <v>2.8210000000000002</v>
      </c>
    </row>
    <row r="1712" spans="1:3" x14ac:dyDescent="0.3">
      <c r="A1712" s="35">
        <v>45938</v>
      </c>
      <c r="B1712" s="847" t="s">
        <v>879</v>
      </c>
      <c r="C1712">
        <v>2.8210000000000002</v>
      </c>
    </row>
    <row r="1713" spans="1:3" x14ac:dyDescent="0.3">
      <c r="A1713" s="35">
        <v>45939</v>
      </c>
      <c r="B1713" s="847" t="s">
        <v>879</v>
      </c>
      <c r="C1713">
        <v>2.835</v>
      </c>
    </row>
    <row r="1714" spans="1:3" x14ac:dyDescent="0.3">
      <c r="A1714" s="35">
        <v>45940</v>
      </c>
      <c r="B1714" s="847" t="s">
        <v>879</v>
      </c>
      <c r="C1714">
        <v>2.835</v>
      </c>
    </row>
    <row r="1715" spans="1:3" x14ac:dyDescent="0.3">
      <c r="A1715" s="35">
        <v>45943</v>
      </c>
      <c r="B1715" s="847" t="s">
        <v>879</v>
      </c>
      <c r="C1715">
        <v>2.835</v>
      </c>
    </row>
    <row r="1716" spans="1:3" x14ac:dyDescent="0.3">
      <c r="A1716" s="35">
        <v>45944</v>
      </c>
      <c r="B1716" s="847" t="s">
        <v>879</v>
      </c>
      <c r="C1716">
        <v>2.835</v>
      </c>
    </row>
    <row r="1717" spans="1:3" x14ac:dyDescent="0.3">
      <c r="A1717" s="35">
        <v>45945</v>
      </c>
      <c r="B1717" s="847" t="s">
        <v>879</v>
      </c>
      <c r="C1717">
        <v>2.835</v>
      </c>
    </row>
    <row r="1718" spans="1:3" x14ac:dyDescent="0.3">
      <c r="A1718" s="35">
        <v>45946</v>
      </c>
      <c r="B1718" s="847" t="s">
        <v>879</v>
      </c>
      <c r="C1718">
        <v>2.86</v>
      </c>
    </row>
    <row r="1719" spans="1:3" x14ac:dyDescent="0.3">
      <c r="A1719" s="35">
        <v>45947</v>
      </c>
      <c r="B1719" s="847" t="s">
        <v>879</v>
      </c>
      <c r="C1719">
        <v>2.867</v>
      </c>
    </row>
    <row r="1720" spans="1:3" x14ac:dyDescent="0.3">
      <c r="A1720" s="35">
        <v>45950</v>
      </c>
      <c r="B1720" s="847" t="s">
        <v>879</v>
      </c>
      <c r="C1720">
        <v>2.883</v>
      </c>
    </row>
    <row r="1721" spans="1:3" x14ac:dyDescent="0.3">
      <c r="A1721" s="35">
        <v>45951</v>
      </c>
      <c r="B1721" s="847" t="s">
        <v>879</v>
      </c>
      <c r="C1721">
        <v>2.883</v>
      </c>
    </row>
    <row r="1722" spans="1:3" x14ac:dyDescent="0.3">
      <c r="A1722" s="35">
        <v>45952</v>
      </c>
      <c r="B1722" s="847" t="s">
        <v>879</v>
      </c>
      <c r="C1722">
        <v>2.9</v>
      </c>
    </row>
    <row r="1723" spans="1:3" x14ac:dyDescent="0.3">
      <c r="A1723" s="35">
        <v>45953</v>
      </c>
      <c r="B1723" s="847" t="s">
        <v>879</v>
      </c>
      <c r="C1723">
        <v>2.9</v>
      </c>
    </row>
    <row r="1724" spans="1:3" x14ac:dyDescent="0.3">
      <c r="A1724" s="35">
        <v>45954</v>
      </c>
      <c r="B1724" s="847" t="s">
        <v>879</v>
      </c>
      <c r="C1724">
        <v>2.9079999999999999</v>
      </c>
    </row>
    <row r="1725" spans="1:3" x14ac:dyDescent="0.3">
      <c r="A1725" s="35">
        <v>45957</v>
      </c>
      <c r="B1725" s="847" t="s">
        <v>879</v>
      </c>
      <c r="C1725">
        <v>2.9079999999999999</v>
      </c>
    </row>
    <row r="1726" spans="1:3" x14ac:dyDescent="0.3">
      <c r="A1726" s="35">
        <v>45958</v>
      </c>
      <c r="B1726" s="847" t="s">
        <v>879</v>
      </c>
      <c r="C1726">
        <v>2.9079999999999999</v>
      </c>
    </row>
    <row r="1727" spans="1:3" x14ac:dyDescent="0.3">
      <c r="A1727" s="35">
        <v>45959</v>
      </c>
      <c r="B1727" s="847" t="s">
        <v>879</v>
      </c>
      <c r="C1727">
        <v>2.9079999999999999</v>
      </c>
    </row>
    <row r="1728" spans="1:3" x14ac:dyDescent="0.3">
      <c r="A1728" s="35">
        <v>45960</v>
      </c>
      <c r="B1728" s="847" t="s">
        <v>879</v>
      </c>
      <c r="C1728">
        <v>2.9079999999999999</v>
      </c>
    </row>
    <row r="1729" spans="1:3" x14ac:dyDescent="0.3">
      <c r="A1729" s="35">
        <v>45961</v>
      </c>
      <c r="B1729" s="847" t="s">
        <v>879</v>
      </c>
      <c r="C1729">
        <v>2.9079999999999999</v>
      </c>
    </row>
    <row r="1730" spans="1:3" x14ac:dyDescent="0.3">
      <c r="A1730" s="35">
        <v>45964</v>
      </c>
      <c r="B1730" s="847" t="s">
        <v>879</v>
      </c>
      <c r="C1730">
        <v>2.9079999999999999</v>
      </c>
    </row>
    <row r="1731" spans="1:3" x14ac:dyDescent="0.3">
      <c r="A1731" s="35">
        <v>45965</v>
      </c>
      <c r="B1731" s="847" t="s">
        <v>879</v>
      </c>
      <c r="C1731">
        <v>2.9079999999999999</v>
      </c>
    </row>
    <row r="1732" spans="1:3" x14ac:dyDescent="0.3">
      <c r="A1732" s="35">
        <v>45966</v>
      </c>
      <c r="B1732" s="847" t="s">
        <v>879</v>
      </c>
      <c r="C1732">
        <v>2.9079999999999999</v>
      </c>
    </row>
    <row r="1733" spans="1:3" x14ac:dyDescent="0.3">
      <c r="A1733" s="35">
        <v>45967</v>
      </c>
      <c r="B1733" s="847" t="s">
        <v>879</v>
      </c>
      <c r="C1733">
        <v>2.9079999999999999</v>
      </c>
    </row>
    <row r="1734" spans="1:3" x14ac:dyDescent="0.3">
      <c r="A1734" s="35">
        <v>45968</v>
      </c>
      <c r="B1734" s="847" t="s">
        <v>879</v>
      </c>
      <c r="C1734">
        <v>2.91</v>
      </c>
    </row>
    <row r="1735" spans="1:3" x14ac:dyDescent="0.3">
      <c r="A1735" s="35">
        <v>45971</v>
      </c>
      <c r="B1735" s="847" t="s">
        <v>879</v>
      </c>
      <c r="C1735">
        <v>2.931</v>
      </c>
    </row>
    <row r="1736" spans="1:3" x14ac:dyDescent="0.3">
      <c r="A1736" s="35">
        <v>45972</v>
      </c>
      <c r="B1736" s="847" t="s">
        <v>879</v>
      </c>
      <c r="C1736">
        <v>2.931</v>
      </c>
    </row>
    <row r="1737" spans="1:3" x14ac:dyDescent="0.3">
      <c r="A1737" s="35">
        <v>45973</v>
      </c>
      <c r="B1737" s="847" t="s">
        <v>879</v>
      </c>
      <c r="C1737">
        <v>2.931</v>
      </c>
    </row>
    <row r="1738" spans="1:3" x14ac:dyDescent="0.3">
      <c r="A1738" s="35">
        <v>45974</v>
      </c>
      <c r="B1738" s="847" t="s">
        <v>879</v>
      </c>
      <c r="C1738">
        <v>2.9329999999999998</v>
      </c>
    </row>
    <row r="1739" spans="1:3" x14ac:dyDescent="0.3">
      <c r="A1739" s="35">
        <v>45975</v>
      </c>
      <c r="B1739" s="847" t="s">
        <v>879</v>
      </c>
      <c r="C1739">
        <v>2.9329999999999998</v>
      </c>
    </row>
    <row r="1740" spans="1:3" x14ac:dyDescent="0.3">
      <c r="A1740" s="35">
        <v>45978</v>
      </c>
      <c r="B1740" s="847" t="s">
        <v>879</v>
      </c>
      <c r="C1740">
        <v>2.9329999999999998</v>
      </c>
    </row>
    <row r="1741" spans="1:3" x14ac:dyDescent="0.3">
      <c r="A1741" s="35">
        <v>45979</v>
      </c>
      <c r="B1741" s="847" t="s">
        <v>879</v>
      </c>
      <c r="C1741">
        <v>2.9329999999999998</v>
      </c>
    </row>
    <row r="1742" spans="1:3" x14ac:dyDescent="0.3">
      <c r="A1742" s="35">
        <v>45980</v>
      </c>
      <c r="B1742" s="847" t="s">
        <v>879</v>
      </c>
      <c r="C1742">
        <v>2.9329999999999998</v>
      </c>
    </row>
    <row r="1743" spans="1:3" x14ac:dyDescent="0.3">
      <c r="A1743" s="35">
        <v>45981</v>
      </c>
      <c r="B1743" s="847" t="s">
        <v>879</v>
      </c>
      <c r="C1743">
        <v>2.9670000000000001</v>
      </c>
    </row>
    <row r="1744" spans="1:3" x14ac:dyDescent="0.3">
      <c r="A1744" s="35">
        <v>45982</v>
      </c>
      <c r="B1744" s="847" t="s">
        <v>879</v>
      </c>
      <c r="C1744">
        <v>2.9710000000000001</v>
      </c>
    </row>
    <row r="1745" spans="1:3" x14ac:dyDescent="0.3">
      <c r="A1745" s="35">
        <v>45985</v>
      </c>
      <c r="B1745" s="847" t="s">
        <v>879</v>
      </c>
      <c r="C1745">
        <v>2.9710000000000001</v>
      </c>
    </row>
    <row r="1746" spans="1:3" x14ac:dyDescent="0.3">
      <c r="A1746" s="35">
        <v>45986</v>
      </c>
      <c r="B1746" s="847" t="s">
        <v>879</v>
      </c>
      <c r="C1746">
        <v>2.9710000000000001</v>
      </c>
    </row>
    <row r="1747" spans="1:3" x14ac:dyDescent="0.3">
      <c r="A1747" s="35">
        <v>45987</v>
      </c>
      <c r="B1747" s="847" t="s">
        <v>879</v>
      </c>
      <c r="C1747">
        <v>2.9710000000000001</v>
      </c>
    </row>
    <row r="1748" spans="1:3" x14ac:dyDescent="0.3">
      <c r="A1748" s="35">
        <v>45988</v>
      </c>
      <c r="B1748" s="847" t="s">
        <v>879</v>
      </c>
      <c r="C1748">
        <v>2.9710000000000001</v>
      </c>
    </row>
    <row r="1749" spans="1:3" x14ac:dyDescent="0.3">
      <c r="A1749" s="35">
        <v>45989</v>
      </c>
      <c r="B1749" s="847" t="s">
        <v>879</v>
      </c>
      <c r="C1749">
        <v>2.9710000000000001</v>
      </c>
    </row>
    <row r="1750" spans="1:3" x14ac:dyDescent="0.3">
      <c r="A1750" s="35">
        <v>45992</v>
      </c>
      <c r="B1750" s="847" t="s">
        <v>879</v>
      </c>
      <c r="C1750">
        <v>2.9750000000000001</v>
      </c>
    </row>
    <row r="1751" spans="1:3" x14ac:dyDescent="0.3">
      <c r="A1751" s="35">
        <v>45993</v>
      </c>
      <c r="B1751" s="847" t="s">
        <v>879</v>
      </c>
      <c r="C1751">
        <v>2.9830000000000001</v>
      </c>
    </row>
    <row r="1752" spans="1:3" x14ac:dyDescent="0.3">
      <c r="A1752" s="35">
        <v>45994</v>
      </c>
      <c r="B1752" s="847" t="s">
        <v>879</v>
      </c>
      <c r="C1752">
        <v>2.988</v>
      </c>
    </row>
    <row r="1753" spans="1:3" x14ac:dyDescent="0.3">
      <c r="A1753" s="35">
        <v>45995</v>
      </c>
      <c r="B1753" s="847" t="s">
        <v>879</v>
      </c>
      <c r="C1753">
        <v>2.996</v>
      </c>
    </row>
    <row r="1754" spans="1:3" x14ac:dyDescent="0.3">
      <c r="A1754" s="35">
        <v>45996</v>
      </c>
      <c r="B1754" s="847" t="s">
        <v>879</v>
      </c>
      <c r="C1754">
        <v>3.0129999999999999</v>
      </c>
    </row>
    <row r="1755" spans="1:3" x14ac:dyDescent="0.3">
      <c r="A1755" s="35">
        <v>45999</v>
      </c>
      <c r="B1755" s="847" t="s">
        <v>879</v>
      </c>
      <c r="C1755">
        <v>3.0230000000000001</v>
      </c>
    </row>
    <row r="1756" spans="1:3" x14ac:dyDescent="0.3">
      <c r="A1756" s="35">
        <v>46000</v>
      </c>
      <c r="B1756" s="847" t="s">
        <v>879</v>
      </c>
      <c r="C1756">
        <v>3.0230000000000001</v>
      </c>
    </row>
    <row r="1757" spans="1:3" x14ac:dyDescent="0.3">
      <c r="A1757" s="35">
        <v>46001</v>
      </c>
      <c r="B1757" s="847" t="s">
        <v>879</v>
      </c>
      <c r="C1757">
        <v>3.0230000000000001</v>
      </c>
    </row>
    <row r="1758" spans="1:3" x14ac:dyDescent="0.3">
      <c r="A1758" s="35">
        <v>46002</v>
      </c>
      <c r="B1758" s="847" t="s">
        <v>879</v>
      </c>
      <c r="C1758">
        <v>3.0230000000000001</v>
      </c>
    </row>
    <row r="1759" spans="1:3" x14ac:dyDescent="0.3">
      <c r="A1759" s="35">
        <v>46003</v>
      </c>
      <c r="B1759" s="847" t="s">
        <v>879</v>
      </c>
      <c r="C1759">
        <v>3.0230000000000001</v>
      </c>
    </row>
    <row r="1760" spans="1:3" x14ac:dyDescent="0.3">
      <c r="A1760" s="35">
        <v>46006</v>
      </c>
      <c r="B1760" s="847" t="s">
        <v>879</v>
      </c>
      <c r="C1760">
        <v>3.0150000000000001</v>
      </c>
    </row>
    <row r="1761" spans="1:3" x14ac:dyDescent="0.3">
      <c r="A1761" s="35">
        <v>46007</v>
      </c>
      <c r="B1761" s="847" t="s">
        <v>879</v>
      </c>
      <c r="C1761">
        <v>3.0150000000000001</v>
      </c>
    </row>
    <row r="1762" spans="1:3" x14ac:dyDescent="0.3">
      <c r="A1762" s="35">
        <v>46008</v>
      </c>
      <c r="B1762" s="847" t="s">
        <v>879</v>
      </c>
      <c r="C1762">
        <v>3.0150000000000001</v>
      </c>
    </row>
    <row r="1763" spans="1:3" x14ac:dyDescent="0.3">
      <c r="A1763" s="35">
        <v>46009</v>
      </c>
      <c r="B1763" s="847" t="s">
        <v>879</v>
      </c>
      <c r="C1763">
        <v>3.0230000000000001</v>
      </c>
    </row>
    <row r="1764" spans="1:3" x14ac:dyDescent="0.3">
      <c r="A1764" s="35">
        <v>46010</v>
      </c>
      <c r="B1764" s="847" t="s">
        <v>879</v>
      </c>
      <c r="C1764">
        <v>3.0270000000000001</v>
      </c>
    </row>
    <row r="1765" spans="1:3" x14ac:dyDescent="0.3">
      <c r="A1765" s="35">
        <v>46013</v>
      </c>
      <c r="B1765" s="847" t="s">
        <v>879</v>
      </c>
      <c r="C1765">
        <v>3.0270000000000001</v>
      </c>
    </row>
    <row r="1766" spans="1:3" x14ac:dyDescent="0.3">
      <c r="A1766" s="35">
        <v>46014</v>
      </c>
      <c r="B1766" s="847" t="s">
        <v>879</v>
      </c>
      <c r="C1766">
        <v>3.0270000000000001</v>
      </c>
    </row>
    <row r="1767" spans="1:3" x14ac:dyDescent="0.3">
      <c r="A1767" s="35">
        <v>46015</v>
      </c>
      <c r="B1767" s="847" t="s">
        <v>879</v>
      </c>
      <c r="C1767">
        <v>3.0270000000000001</v>
      </c>
    </row>
    <row r="1768" spans="1:3" x14ac:dyDescent="0.3">
      <c r="A1768" s="35">
        <v>46016</v>
      </c>
      <c r="B1768" s="847" t="s">
        <v>879</v>
      </c>
      <c r="C1768">
        <v>3.0270000000000001</v>
      </c>
    </row>
    <row r="1769" spans="1:3" x14ac:dyDescent="0.3">
      <c r="A1769" s="35">
        <v>46017</v>
      </c>
      <c r="B1769" s="847" t="s">
        <v>879</v>
      </c>
      <c r="C1769">
        <v>3.0230000000000001</v>
      </c>
    </row>
    <row r="1770" spans="1:3" x14ac:dyDescent="0.3">
      <c r="A1770" s="35">
        <v>46020</v>
      </c>
      <c r="B1770" s="847" t="s">
        <v>879</v>
      </c>
      <c r="C1770">
        <v>3.0270000000000001</v>
      </c>
    </row>
    <row r="1771" spans="1:3" x14ac:dyDescent="0.3">
      <c r="A1771" s="35">
        <v>46021</v>
      </c>
      <c r="B1771" s="847" t="s">
        <v>879</v>
      </c>
      <c r="C1771">
        <v>3.0270000000000001</v>
      </c>
    </row>
    <row r="1772" spans="1:3" x14ac:dyDescent="0.3">
      <c r="A1772" s="35">
        <v>46022</v>
      </c>
      <c r="B1772" s="847" t="s">
        <v>879</v>
      </c>
      <c r="C1772">
        <v>3.0270000000000001</v>
      </c>
    </row>
    <row r="1773" spans="1:3" x14ac:dyDescent="0.3">
      <c r="A1773" s="35">
        <v>46027</v>
      </c>
      <c r="B1773" s="847" t="s">
        <v>879</v>
      </c>
      <c r="C1773">
        <v>3.056</v>
      </c>
    </row>
    <row r="1774" spans="1:3" x14ac:dyDescent="0.3">
      <c r="A1774" s="35">
        <v>46028</v>
      </c>
      <c r="B1774" s="847" t="s">
        <v>879</v>
      </c>
      <c r="C1774">
        <v>3.056</v>
      </c>
    </row>
    <row r="1775" spans="1:3" x14ac:dyDescent="0.3">
      <c r="A1775" s="35">
        <v>46029</v>
      </c>
      <c r="B1775" s="847" t="s">
        <v>879</v>
      </c>
      <c r="C1775">
        <v>3.0649999999999999</v>
      </c>
    </row>
    <row r="1776" spans="1:3" x14ac:dyDescent="0.3">
      <c r="A1776" s="35">
        <v>46030</v>
      </c>
      <c r="B1776" s="847" t="s">
        <v>879</v>
      </c>
      <c r="C1776">
        <v>3.113</v>
      </c>
    </row>
    <row r="1777" spans="1:3" x14ac:dyDescent="0.3">
      <c r="A1777" s="35">
        <v>46031</v>
      </c>
      <c r="B1777" s="847" t="s">
        <v>879</v>
      </c>
      <c r="C1777">
        <v>3.1480000000000001</v>
      </c>
    </row>
    <row r="1778" spans="1:3" x14ac:dyDescent="0.3">
      <c r="A1778" s="35">
        <v>46034</v>
      </c>
      <c r="B1778" s="847" t="s">
        <v>879</v>
      </c>
      <c r="C1778">
        <v>3.1230000000000002</v>
      </c>
    </row>
    <row r="1779" spans="1:3" x14ac:dyDescent="0.3">
      <c r="A1779" s="35">
        <v>46035</v>
      </c>
      <c r="B1779" s="847" t="s">
        <v>879</v>
      </c>
      <c r="C1779">
        <v>3.1230000000000002</v>
      </c>
    </row>
    <row r="1780" spans="1:3" x14ac:dyDescent="0.3">
      <c r="A1780" s="35">
        <v>46036</v>
      </c>
      <c r="B1780" s="847" t="s">
        <v>879</v>
      </c>
      <c r="C1780">
        <v>3.1419999999999999</v>
      </c>
    </row>
    <row r="1781" spans="1:3" x14ac:dyDescent="0.3">
      <c r="A1781" s="35">
        <v>46037</v>
      </c>
      <c r="B1781" s="847" t="s">
        <v>879</v>
      </c>
      <c r="C1781">
        <v>3.1709999999999998</v>
      </c>
    </row>
    <row r="1782" spans="1:3" x14ac:dyDescent="0.3">
      <c r="A1782" s="35">
        <v>46038</v>
      </c>
      <c r="B1782" s="847" t="s">
        <v>879</v>
      </c>
      <c r="C1782">
        <v>3.15</v>
      </c>
    </row>
    <row r="1783" spans="1:3" x14ac:dyDescent="0.3">
      <c r="A1783" s="35">
        <v>46041</v>
      </c>
      <c r="B1783" s="847" t="s">
        <v>879</v>
      </c>
      <c r="C1783">
        <v>3.15</v>
      </c>
    </row>
    <row r="1784" spans="1:3" x14ac:dyDescent="0.3">
      <c r="A1784" s="35">
        <v>46042</v>
      </c>
      <c r="B1784" s="847" t="s">
        <v>879</v>
      </c>
      <c r="C1784">
        <v>3.1560000000000001</v>
      </c>
    </row>
    <row r="1785" spans="1:3" x14ac:dyDescent="0.3">
      <c r="A1785" s="35">
        <v>46043</v>
      </c>
      <c r="B1785" s="847" t="s">
        <v>879</v>
      </c>
      <c r="C1785">
        <v>3.1560000000000001</v>
      </c>
    </row>
    <row r="1786" spans="1:3" x14ac:dyDescent="0.3">
      <c r="A1786" s="35">
        <v>46044</v>
      </c>
      <c r="B1786" s="847" t="s">
        <v>879</v>
      </c>
      <c r="C1786">
        <v>3.1560000000000001</v>
      </c>
    </row>
    <row r="1787" spans="1:3" x14ac:dyDescent="0.3">
      <c r="A1787" s="35">
        <v>46045</v>
      </c>
      <c r="B1787" s="847" t="s">
        <v>879</v>
      </c>
      <c r="C1787">
        <v>3.1560000000000001</v>
      </c>
    </row>
    <row r="1788" spans="1:3" x14ac:dyDescent="0.3">
      <c r="A1788" s="35">
        <v>46048</v>
      </c>
      <c r="B1788" s="847" t="s">
        <v>879</v>
      </c>
      <c r="C1788">
        <v>3.1560000000000001</v>
      </c>
    </row>
    <row r="1789" spans="1:3" x14ac:dyDescent="0.3">
      <c r="A1789" s="35">
        <v>46049</v>
      </c>
      <c r="B1789" s="847" t="s">
        <v>879</v>
      </c>
      <c r="C1789">
        <v>3.1560000000000001</v>
      </c>
    </row>
    <row r="1790" spans="1:3" x14ac:dyDescent="0.3">
      <c r="A1790" s="35">
        <v>46050</v>
      </c>
      <c r="B1790" s="847" t="s">
        <v>879</v>
      </c>
      <c r="C1790">
        <v>3.165</v>
      </c>
    </row>
    <row r="1791" spans="1:3" x14ac:dyDescent="0.3">
      <c r="A1791" s="35">
        <v>46051</v>
      </c>
      <c r="B1791" s="847" t="s">
        <v>879</v>
      </c>
      <c r="C1791">
        <v>3.165</v>
      </c>
    </row>
    <row r="1792" spans="1:3" x14ac:dyDescent="0.3">
      <c r="A1792" s="35">
        <v>46052</v>
      </c>
      <c r="B1792" s="847" t="s">
        <v>879</v>
      </c>
      <c r="C1792">
        <v>3.165</v>
      </c>
    </row>
    <row r="1793" spans="1:3" x14ac:dyDescent="0.3">
      <c r="A1793" s="35">
        <v>46055</v>
      </c>
      <c r="B1793" s="847" t="s">
        <v>879</v>
      </c>
      <c r="C1793">
        <v>3.1749999999999998</v>
      </c>
    </row>
    <row r="1794" spans="1:3" x14ac:dyDescent="0.3">
      <c r="A1794" s="35">
        <v>46056</v>
      </c>
      <c r="B1794" s="847" t="s">
        <v>879</v>
      </c>
      <c r="C1794">
        <v>3.165</v>
      </c>
    </row>
    <row r="1795" spans="1:3" x14ac:dyDescent="0.3">
      <c r="A1795" s="35">
        <v>46057</v>
      </c>
      <c r="B1795" s="847" t="s">
        <v>879</v>
      </c>
      <c r="C1795">
        <v>3.1840000000000002</v>
      </c>
    </row>
    <row r="1796" spans="1:3" x14ac:dyDescent="0.3">
      <c r="A1796" s="35">
        <v>46058</v>
      </c>
      <c r="B1796" s="847" t="s">
        <v>879</v>
      </c>
      <c r="C1796">
        <v>3.173</v>
      </c>
    </row>
    <row r="1797" spans="1:3" x14ac:dyDescent="0.3">
      <c r="A1797" s="35">
        <v>46059</v>
      </c>
      <c r="B1797" s="847" t="s">
        <v>879</v>
      </c>
      <c r="C1797">
        <v>3.173</v>
      </c>
    </row>
    <row r="1798" spans="1:3" x14ac:dyDescent="0.3">
      <c r="A1798" s="35">
        <v>46062</v>
      </c>
      <c r="B1798" s="847" t="s">
        <v>879</v>
      </c>
      <c r="C1798">
        <v>3.173</v>
      </c>
    </row>
    <row r="1799" spans="1:3" x14ac:dyDescent="0.3">
      <c r="A1799" s="35">
        <v>46063</v>
      </c>
      <c r="B1799" s="847" t="s">
        <v>879</v>
      </c>
      <c r="C1799">
        <v>3.198</v>
      </c>
    </row>
    <row r="1800" spans="1:3" x14ac:dyDescent="0.3">
      <c r="A1800" s="35">
        <v>46064</v>
      </c>
      <c r="B1800" s="847" t="s">
        <v>879</v>
      </c>
      <c r="C1800">
        <v>3.202</v>
      </c>
    </row>
    <row r="1801" spans="1:3" x14ac:dyDescent="0.3">
      <c r="A1801" s="35">
        <v>46065</v>
      </c>
      <c r="B1801" s="847" t="s">
        <v>879</v>
      </c>
      <c r="C1801">
        <v>3.202</v>
      </c>
    </row>
    <row r="1802" spans="1:3" x14ac:dyDescent="0.3">
      <c r="A1802" s="35">
        <v>46066</v>
      </c>
      <c r="B1802" s="847" t="s">
        <v>879</v>
      </c>
      <c r="C1802">
        <v>3.202</v>
      </c>
    </row>
    <row r="1803" spans="1:3" x14ac:dyDescent="0.3">
      <c r="A1803" s="35">
        <v>46076</v>
      </c>
      <c r="B1803" s="847" t="s">
        <v>879</v>
      </c>
      <c r="C1803">
        <v>3.202</v>
      </c>
    </row>
    <row r="1804" spans="1:3" x14ac:dyDescent="0.3">
      <c r="A1804" s="35">
        <v>46077</v>
      </c>
      <c r="B1804" s="847" t="s">
        <v>879</v>
      </c>
      <c r="C1804">
        <v>3.2040000000000002</v>
      </c>
    </row>
    <row r="1805" spans="1:3" x14ac:dyDescent="0.3">
      <c r="A1805" s="35">
        <v>46078</v>
      </c>
      <c r="B1805" s="847" t="s">
        <v>879</v>
      </c>
      <c r="C1805">
        <v>3.2040000000000002</v>
      </c>
    </row>
    <row r="1806" spans="1:3" x14ac:dyDescent="0.3">
      <c r="A1806" s="35">
        <v>46079</v>
      </c>
      <c r="B1806" s="847" t="s">
        <v>879</v>
      </c>
      <c r="C1806">
        <v>3.2040000000000002</v>
      </c>
    </row>
    <row r="1807" spans="1:3" x14ac:dyDescent="0.3">
      <c r="A1807" s="35">
        <v>46080</v>
      </c>
      <c r="B1807" s="847" t="s">
        <v>879</v>
      </c>
      <c r="C1807">
        <v>3.2040000000000002</v>
      </c>
    </row>
    <row r="1808" spans="1:3" x14ac:dyDescent="0.3">
      <c r="A1808" s="35">
        <v>46083</v>
      </c>
      <c r="B1808" s="847" t="s">
        <v>879</v>
      </c>
      <c r="C1808">
        <v>3.2130000000000001</v>
      </c>
    </row>
    <row r="1809" spans="1:3" x14ac:dyDescent="0.3">
      <c r="A1809" s="35">
        <v>46084</v>
      </c>
      <c r="B1809" s="847" t="s">
        <v>879</v>
      </c>
      <c r="C1809">
        <v>3.2290000000000001</v>
      </c>
    </row>
    <row r="1810" spans="1:3" x14ac:dyDescent="0.3">
      <c r="A1810" s="35">
        <v>46085</v>
      </c>
      <c r="B1810" s="847" t="s">
        <v>879</v>
      </c>
      <c r="C1810">
        <v>3.2290000000000001</v>
      </c>
    </row>
    <row r="1811" spans="1:3" x14ac:dyDescent="0.3">
      <c r="A1811" s="35">
        <v>46086</v>
      </c>
      <c r="B1811" s="847" t="s">
        <v>879</v>
      </c>
      <c r="C1811">
        <v>3.2290000000000001</v>
      </c>
    </row>
    <row r="1812" spans="1:3" x14ac:dyDescent="0.3">
      <c r="A1812" s="35">
        <v>46087</v>
      </c>
      <c r="B1812" s="847" t="s">
        <v>879</v>
      </c>
      <c r="C1812">
        <v>3.2290000000000001</v>
      </c>
    </row>
    <row r="1813" spans="1:3" x14ac:dyDescent="0.3">
      <c r="A1813" s="35">
        <v>46090</v>
      </c>
      <c r="B1813" s="847" t="s">
        <v>879</v>
      </c>
      <c r="C1813">
        <v>3.246</v>
      </c>
    </row>
    <row r="1814" spans="1:3" x14ac:dyDescent="0.3">
      <c r="A1814" s="35">
        <v>46091</v>
      </c>
      <c r="B1814" s="847" t="s">
        <v>879</v>
      </c>
      <c r="C1814">
        <v>3.2669999999999999</v>
      </c>
    </row>
    <row r="1815" spans="1:3" x14ac:dyDescent="0.3">
      <c r="A1815" s="35">
        <v>46092</v>
      </c>
      <c r="B1815" s="847" t="s">
        <v>879</v>
      </c>
      <c r="C1815">
        <v>3.2669999999999999</v>
      </c>
    </row>
    <row r="1816" spans="1:3" x14ac:dyDescent="0.3">
      <c r="A1816" s="35">
        <v>46093</v>
      </c>
      <c r="B1816" s="847" t="s">
        <v>879</v>
      </c>
      <c r="C1816">
        <v>3.3</v>
      </c>
    </row>
    <row r="1817" spans="1:3" x14ac:dyDescent="0.3">
      <c r="A1817" s="35">
        <v>46094</v>
      </c>
      <c r="B1817" s="847" t="s">
        <v>879</v>
      </c>
      <c r="C1817">
        <v>3.3250000000000002</v>
      </c>
    </row>
    <row r="1818" spans="1:3" x14ac:dyDescent="0.3">
      <c r="A1818" s="35">
        <v>46097</v>
      </c>
      <c r="B1818" s="847" t="s">
        <v>879</v>
      </c>
      <c r="C1818">
        <v>3.3250000000000002</v>
      </c>
    </row>
    <row r="1819" spans="1:3" x14ac:dyDescent="0.3">
      <c r="A1819" s="35">
        <v>46098</v>
      </c>
      <c r="B1819" s="847" t="s">
        <v>879</v>
      </c>
      <c r="C1819">
        <v>3.367</v>
      </c>
    </row>
    <row r="1820" spans="1:3" x14ac:dyDescent="0.3">
      <c r="A1820" s="35">
        <v>46099</v>
      </c>
      <c r="B1820" s="847" t="s">
        <v>879</v>
      </c>
      <c r="C1820">
        <v>3.367</v>
      </c>
    </row>
    <row r="1821" spans="1:3" x14ac:dyDescent="0.3">
      <c r="A1821" s="35">
        <v>46100</v>
      </c>
      <c r="B1821" s="847" t="s">
        <v>879</v>
      </c>
      <c r="C1821">
        <v>3.367</v>
      </c>
    </row>
    <row r="1822" spans="1:3" x14ac:dyDescent="0.3">
      <c r="A1822" s="35">
        <v>46101</v>
      </c>
      <c r="B1822" s="847" t="s">
        <v>879</v>
      </c>
      <c r="C1822">
        <v>3.367</v>
      </c>
    </row>
    <row r="1823" spans="1:3" x14ac:dyDescent="0.3">
      <c r="A1823" s="35">
        <v>46104</v>
      </c>
      <c r="B1823" s="847" t="s">
        <v>879</v>
      </c>
      <c r="C1823">
        <v>3.3690000000000002</v>
      </c>
    </row>
    <row r="1824" spans="1:3" x14ac:dyDescent="0.3">
      <c r="A1824" s="35">
        <v>46105</v>
      </c>
      <c r="B1824" s="847" t="s">
        <v>879</v>
      </c>
      <c r="C1824">
        <v>3.3849999999999998</v>
      </c>
    </row>
    <row r="1825" spans="1:3" x14ac:dyDescent="0.3">
      <c r="A1825" s="35">
        <v>46106</v>
      </c>
      <c r="B1825" s="847" t="s">
        <v>879</v>
      </c>
      <c r="C1825">
        <v>3.3879999999999999</v>
      </c>
    </row>
    <row r="1826" spans="1:3" x14ac:dyDescent="0.3">
      <c r="A1826" s="35">
        <v>46107</v>
      </c>
      <c r="B1826" s="847" t="s">
        <v>879</v>
      </c>
      <c r="C1826">
        <v>3.3879999999999999</v>
      </c>
    </row>
    <row r="1827" spans="1:3" x14ac:dyDescent="0.3">
      <c r="A1827" s="35">
        <v>46108</v>
      </c>
      <c r="B1827" s="847" t="s">
        <v>879</v>
      </c>
      <c r="C1827">
        <v>3.3879999999999999</v>
      </c>
    </row>
    <row r="1828" spans="1:3" x14ac:dyDescent="0.3">
      <c r="A1828" s="35">
        <v>46111</v>
      </c>
      <c r="B1828" s="847" t="s">
        <v>879</v>
      </c>
      <c r="C1828">
        <v>3.3879999999999999</v>
      </c>
    </row>
    <row r="1829" spans="1:3" x14ac:dyDescent="0.3">
      <c r="A1829" s="35">
        <v>46112</v>
      </c>
      <c r="B1829" s="847" t="s">
        <v>879</v>
      </c>
      <c r="C1829">
        <v>3.3879999999999999</v>
      </c>
    </row>
    <row r="1830" spans="1:3" x14ac:dyDescent="0.3">
      <c r="A1830" s="35">
        <v>46113</v>
      </c>
      <c r="B1830" s="847" t="s">
        <v>879</v>
      </c>
      <c r="C1830">
        <v>3.3879999999999999</v>
      </c>
    </row>
    <row r="1831" spans="1:3" x14ac:dyDescent="0.3">
      <c r="A1831" s="35">
        <v>46114</v>
      </c>
      <c r="B1831" s="847" t="s">
        <v>879</v>
      </c>
      <c r="C1831">
        <v>3.3879999999999999</v>
      </c>
    </row>
    <row r="1832" spans="1:3" x14ac:dyDescent="0.3">
      <c r="A1832" s="35">
        <v>46115</v>
      </c>
      <c r="B1832" s="847" t="s">
        <v>879</v>
      </c>
      <c r="C1832">
        <v>3.3879999999999999</v>
      </c>
    </row>
    <row r="1833" spans="1:3" x14ac:dyDescent="0.3">
      <c r="A1833" s="35">
        <v>46118</v>
      </c>
      <c r="B1833" s="847" t="s">
        <v>879</v>
      </c>
      <c r="C1833">
        <v>3.3959999999999999</v>
      </c>
    </row>
    <row r="1834" spans="1:3" x14ac:dyDescent="0.3">
      <c r="A1834" s="35">
        <v>46119</v>
      </c>
      <c r="B1834" s="847" t="s">
        <v>879</v>
      </c>
      <c r="C1834">
        <v>3.3959999999999999</v>
      </c>
    </row>
    <row r="1835" spans="1:3" x14ac:dyDescent="0.3">
      <c r="A1835" s="35">
        <v>46120</v>
      </c>
      <c r="B1835" s="847" t="s">
        <v>879</v>
      </c>
      <c r="C1835">
        <v>3.3959999999999999</v>
      </c>
    </row>
    <row r="1836" spans="1:3" x14ac:dyDescent="0.3">
      <c r="A1836" s="35">
        <v>46121</v>
      </c>
      <c r="B1836" s="847" t="s">
        <v>879</v>
      </c>
      <c r="C1836">
        <v>3.3959999999999999</v>
      </c>
    </row>
    <row r="1837" spans="1:3" x14ac:dyDescent="0.3">
      <c r="A1837" s="35">
        <v>46122</v>
      </c>
      <c r="B1837" s="847" t="s">
        <v>879</v>
      </c>
      <c r="C1837">
        <v>3.3959999999999999</v>
      </c>
    </row>
    <row r="1838" spans="1:3" x14ac:dyDescent="0.3">
      <c r="A1838" s="35">
        <v>46125</v>
      </c>
      <c r="B1838" s="847" t="s">
        <v>879</v>
      </c>
      <c r="C1838">
        <v>3.3959999999999999</v>
      </c>
    </row>
    <row r="1839" spans="1:3" x14ac:dyDescent="0.3">
      <c r="A1839" s="35">
        <v>46126</v>
      </c>
      <c r="B1839" s="847" t="s">
        <v>879</v>
      </c>
      <c r="C1839">
        <v>3.3959999999999999</v>
      </c>
    </row>
    <row r="1840" spans="1:3" x14ac:dyDescent="0.3">
      <c r="A1840" s="35">
        <v>46127</v>
      </c>
      <c r="B1840" s="847" t="s">
        <v>879</v>
      </c>
      <c r="C1840">
        <v>3.3959999999999999</v>
      </c>
    </row>
    <row r="1841" spans="1:3" x14ac:dyDescent="0.3">
      <c r="A1841" s="35">
        <v>46128</v>
      </c>
      <c r="B1841" s="847" t="s">
        <v>879</v>
      </c>
      <c r="C1841">
        <v>3.3959999999999999</v>
      </c>
    </row>
    <row r="1842" spans="1:3" x14ac:dyDescent="0.3">
      <c r="A1842" s="35">
        <v>46129</v>
      </c>
      <c r="B1842" s="847" t="s">
        <v>879</v>
      </c>
      <c r="C1842">
        <v>3.3959999999999999</v>
      </c>
    </row>
    <row r="1843" spans="1:3" x14ac:dyDescent="0.3">
      <c r="A1843" s="35">
        <v>46132</v>
      </c>
      <c r="B1843" s="847" t="s">
        <v>879</v>
      </c>
      <c r="C1843">
        <v>3.4380000000000002</v>
      </c>
    </row>
    <row r="1844" spans="1:3" x14ac:dyDescent="0.3">
      <c r="A1844" s="35">
        <v>46133</v>
      </c>
      <c r="B1844" s="847" t="s">
        <v>879</v>
      </c>
      <c r="C1844">
        <v>3.3959999999999999</v>
      </c>
    </row>
    <row r="1845" spans="1:3" x14ac:dyDescent="0.3">
      <c r="A1845" s="35">
        <v>46134</v>
      </c>
      <c r="B1845" s="847" t="s">
        <v>879</v>
      </c>
      <c r="C1845">
        <v>3.4380000000000002</v>
      </c>
    </row>
    <row r="1846" spans="1:3" x14ac:dyDescent="0.3">
      <c r="A1846" s="35">
        <v>46135</v>
      </c>
      <c r="B1846" s="847" t="s">
        <v>879</v>
      </c>
      <c r="C1846">
        <v>3.4420000000000002</v>
      </c>
    </row>
    <row r="1847" spans="1:3" x14ac:dyDescent="0.3">
      <c r="A1847" s="35">
        <v>46136</v>
      </c>
      <c r="B1847" s="847" t="s">
        <v>879</v>
      </c>
      <c r="C1847">
        <v>3.4420000000000002</v>
      </c>
    </row>
    <row r="1848" spans="1:3" x14ac:dyDescent="0.3">
      <c r="A1848" s="35">
        <v>46140</v>
      </c>
      <c r="B1848" s="847" t="s">
        <v>879</v>
      </c>
      <c r="C1848">
        <v>3.4420000000000002</v>
      </c>
    </row>
    <row r="1849" spans="1:3" x14ac:dyDescent="0.3">
      <c r="A1849" s="35">
        <v>46141</v>
      </c>
      <c r="B1849" s="847" t="s">
        <v>879</v>
      </c>
      <c r="C1849">
        <v>3.4670000000000001</v>
      </c>
    </row>
    <row r="1850" spans="1:3" x14ac:dyDescent="0.3">
      <c r="A1850" s="35">
        <v>46146</v>
      </c>
      <c r="B1850" s="847" t="s">
        <v>879</v>
      </c>
      <c r="C1850">
        <v>3.4670000000000001</v>
      </c>
    </row>
    <row r="1851" spans="1:3" x14ac:dyDescent="0.3">
      <c r="A1851" s="35">
        <v>46147</v>
      </c>
      <c r="B1851" s="847" t="s">
        <v>879</v>
      </c>
      <c r="C1851">
        <v>3.45</v>
      </c>
    </row>
    <row r="1852" spans="1:3" x14ac:dyDescent="0.3">
      <c r="A1852" s="35">
        <v>46148</v>
      </c>
      <c r="B1852" s="847" t="s">
        <v>879</v>
      </c>
      <c r="C1852">
        <v>3.45</v>
      </c>
    </row>
    <row r="1853" spans="1:3" x14ac:dyDescent="0.3">
      <c r="A1853" s="35">
        <v>46149</v>
      </c>
      <c r="B1853" s="847" t="s">
        <v>879</v>
      </c>
      <c r="C1853">
        <v>3.45</v>
      </c>
    </row>
    <row r="1854" spans="1:3" x14ac:dyDescent="0.3">
      <c r="A1854" s="35">
        <v>46150</v>
      </c>
      <c r="B1854" s="847" t="s">
        <v>879</v>
      </c>
      <c r="C1854">
        <v>3.45</v>
      </c>
    </row>
    <row r="1855" spans="1:3" x14ac:dyDescent="0.3">
      <c r="A1855" s="35">
        <v>46153</v>
      </c>
      <c r="B1855" s="847" t="s">
        <v>879</v>
      </c>
      <c r="C1855">
        <v>3.45</v>
      </c>
    </row>
    <row r="1856" spans="1:3" x14ac:dyDescent="0.3">
      <c r="A1856" s="35">
        <v>46154</v>
      </c>
      <c r="B1856" s="847" t="s">
        <v>879</v>
      </c>
      <c r="C1856">
        <v>3.45</v>
      </c>
    </row>
    <row r="1857" spans="1:3" x14ac:dyDescent="0.3">
      <c r="A1857" s="35">
        <v>46155</v>
      </c>
      <c r="B1857" s="847" t="s">
        <v>879</v>
      </c>
      <c r="C1857">
        <v>3.45</v>
      </c>
    </row>
    <row r="1858" spans="1:3" x14ac:dyDescent="0.3">
      <c r="A1858" s="35">
        <v>46156</v>
      </c>
      <c r="B1858" s="847" t="s">
        <v>879</v>
      </c>
      <c r="C1858">
        <v>3.45</v>
      </c>
    </row>
    <row r="1859" spans="1:3" x14ac:dyDescent="0.3">
      <c r="A1859" s="35">
        <v>46157</v>
      </c>
      <c r="B1859" s="847" t="s">
        <v>879</v>
      </c>
      <c r="C1859">
        <v>3.45</v>
      </c>
    </row>
    <row r="1860" spans="1:3" x14ac:dyDescent="0.3">
      <c r="A1860" s="35">
        <v>46160</v>
      </c>
      <c r="B1860" s="847" t="s">
        <v>879</v>
      </c>
      <c r="C1860">
        <v>3.45</v>
      </c>
    </row>
    <row r="1861" spans="1:3" x14ac:dyDescent="0.3">
      <c r="A1861" s="35">
        <v>46161</v>
      </c>
      <c r="B1861" s="847" t="s">
        <v>879</v>
      </c>
      <c r="C1861">
        <v>3.45</v>
      </c>
    </row>
    <row r="1862" spans="1:3" x14ac:dyDescent="0.3">
      <c r="A1862" s="35">
        <v>46162</v>
      </c>
      <c r="B1862" s="847" t="s">
        <v>879</v>
      </c>
      <c r="C1862">
        <v>3.45</v>
      </c>
    </row>
    <row r="1863" spans="1:3" x14ac:dyDescent="0.3">
      <c r="A1863" s="35">
        <v>46163</v>
      </c>
      <c r="B1863" s="847" t="s">
        <v>879</v>
      </c>
      <c r="C1863">
        <v>3.45</v>
      </c>
    </row>
    <row r="1864" spans="1:3" x14ac:dyDescent="0.3">
      <c r="A1864" s="35">
        <v>46164</v>
      </c>
      <c r="B1864" s="847" t="s">
        <v>879</v>
      </c>
      <c r="C1864">
        <v>3.45</v>
      </c>
    </row>
    <row r="1865" spans="1:3" x14ac:dyDescent="0.3">
      <c r="A1865" s="35">
        <v>46167</v>
      </c>
      <c r="B1865" s="847" t="s">
        <v>879</v>
      </c>
      <c r="C1865">
        <v>3.45</v>
      </c>
    </row>
    <row r="1866" spans="1:3" x14ac:dyDescent="0.3">
      <c r="A1866" s="35">
        <v>46168</v>
      </c>
      <c r="B1866" s="847" t="s">
        <v>879</v>
      </c>
      <c r="C1866">
        <v>3.45</v>
      </c>
    </row>
    <row r="1867" spans="1:3" x14ac:dyDescent="0.3">
      <c r="A1867" s="35">
        <v>46169</v>
      </c>
      <c r="B1867" s="847" t="s">
        <v>879</v>
      </c>
      <c r="C1867">
        <v>3.45</v>
      </c>
    </row>
    <row r="1868" spans="1:3" x14ac:dyDescent="0.3">
      <c r="A1868" s="35">
        <v>46170</v>
      </c>
      <c r="B1868" s="847" t="s">
        <v>879</v>
      </c>
      <c r="C1868">
        <v>3.4580000000000002</v>
      </c>
    </row>
    <row r="1869" spans="1:3" x14ac:dyDescent="0.3">
      <c r="A1869" s="35">
        <v>46171</v>
      </c>
      <c r="B1869" s="847" t="s">
        <v>879</v>
      </c>
      <c r="C1869">
        <v>3.4689999999999999</v>
      </c>
    </row>
    <row r="1870" spans="1:3" x14ac:dyDescent="0.3">
      <c r="A1870" s="35">
        <v>46174</v>
      </c>
      <c r="B1870" s="847" t="s">
        <v>879</v>
      </c>
      <c r="C1870">
        <v>3.4689999999999999</v>
      </c>
    </row>
    <row r="1871" spans="1:3" x14ac:dyDescent="0.3">
      <c r="A1871" s="35">
        <v>46175</v>
      </c>
      <c r="B1871" s="847" t="s">
        <v>879</v>
      </c>
      <c r="C1871">
        <v>3.49</v>
      </c>
    </row>
    <row r="1872" spans="1:3" x14ac:dyDescent="0.3">
      <c r="A1872" s="35">
        <v>46176</v>
      </c>
      <c r="B1872" s="847" t="s">
        <v>879</v>
      </c>
      <c r="C1872">
        <v>3.5059999999999998</v>
      </c>
    </row>
    <row r="1873" spans="1:3" x14ac:dyDescent="0.3">
      <c r="A1873" s="35">
        <v>46177</v>
      </c>
      <c r="B1873" s="847" t="s">
        <v>879</v>
      </c>
      <c r="C1873">
        <v>3.5150000000000001</v>
      </c>
    </row>
    <row r="1874" spans="1:3" x14ac:dyDescent="0.3">
      <c r="A1874" s="35">
        <v>46178</v>
      </c>
      <c r="B1874" s="847" t="s">
        <v>879</v>
      </c>
      <c r="C1874">
        <v>3.5190000000000001</v>
      </c>
    </row>
    <row r="1875" spans="1:3" x14ac:dyDescent="0.3">
      <c r="A1875" s="35">
        <v>46181</v>
      </c>
      <c r="B1875" s="847" t="s">
        <v>879</v>
      </c>
      <c r="C1875">
        <v>3.5230000000000001</v>
      </c>
    </row>
    <row r="1876" spans="1:3" x14ac:dyDescent="0.3">
      <c r="A1876" s="35">
        <v>46182</v>
      </c>
      <c r="B1876" s="847" t="s">
        <v>879</v>
      </c>
      <c r="C1876">
        <v>3.5230000000000001</v>
      </c>
    </row>
    <row r="1877" spans="1:3" x14ac:dyDescent="0.3">
      <c r="A1877" s="35">
        <v>46183</v>
      </c>
      <c r="B1877" s="847" t="s">
        <v>879</v>
      </c>
      <c r="C1877">
        <v>3.5249999999999999</v>
      </c>
    </row>
    <row r="1878" spans="1:3" x14ac:dyDescent="0.3">
      <c r="A1878" s="35">
        <v>46184</v>
      </c>
      <c r="B1878" s="847" t="s">
        <v>879</v>
      </c>
      <c r="C1878">
        <v>3.5379999999999998</v>
      </c>
    </row>
    <row r="1879" spans="1:3" x14ac:dyDescent="0.3">
      <c r="A1879" s="35">
        <v>46185</v>
      </c>
      <c r="B1879" s="847" t="s">
        <v>879</v>
      </c>
      <c r="C1879">
        <v>3.5419999999999998</v>
      </c>
    </row>
    <row r="1880" spans="1:3" x14ac:dyDescent="0.3">
      <c r="A1880" s="35">
        <v>46188</v>
      </c>
      <c r="B1880" s="847" t="s">
        <v>879</v>
      </c>
      <c r="C1880">
        <v>3.5419999999999998</v>
      </c>
    </row>
    <row r="1881" spans="1:3" x14ac:dyDescent="0.3">
      <c r="A1881" s="35">
        <v>46189</v>
      </c>
      <c r="B1881" s="847" t="s">
        <v>879</v>
      </c>
      <c r="C1881">
        <v>3.5419999999999998</v>
      </c>
    </row>
    <row r="1882" spans="1:3" x14ac:dyDescent="0.3">
      <c r="A1882" s="35">
        <v>46190</v>
      </c>
      <c r="B1882" s="847" t="s">
        <v>879</v>
      </c>
      <c r="C1882">
        <v>3.5419999999999998</v>
      </c>
    </row>
    <row r="1883" spans="1:3" x14ac:dyDescent="0.3">
      <c r="A1883" s="35">
        <v>46191</v>
      </c>
      <c r="B1883" s="847" t="s">
        <v>879</v>
      </c>
      <c r="C1883">
        <v>3.55</v>
      </c>
    </row>
    <row r="1884" spans="1:3" x14ac:dyDescent="0.3">
      <c r="A1884" s="35">
        <v>46192</v>
      </c>
      <c r="B1884" s="847" t="s">
        <v>879</v>
      </c>
      <c r="C1884">
        <v>3.5539999999999998</v>
      </c>
    </row>
    <row r="1885" spans="1:3" x14ac:dyDescent="0.3">
      <c r="A1885" s="35">
        <v>46195</v>
      </c>
      <c r="B1885" s="847" t="s">
        <v>879</v>
      </c>
      <c r="C1885">
        <v>3.5539999999999998</v>
      </c>
    </row>
    <row r="1886" spans="1:3" x14ac:dyDescent="0.3">
      <c r="A1886" s="35">
        <v>46196</v>
      </c>
      <c r="B1886" s="847" t="s">
        <v>879</v>
      </c>
      <c r="C1886">
        <v>3.5539999999999998</v>
      </c>
    </row>
    <row r="1887" spans="1:3" x14ac:dyDescent="0.3">
      <c r="A1887" s="35">
        <v>46197</v>
      </c>
      <c r="B1887" s="847" t="s">
        <v>879</v>
      </c>
      <c r="C1887">
        <v>3.5539999999999998</v>
      </c>
    </row>
    <row r="1888" spans="1:3" x14ac:dyDescent="0.3">
      <c r="A1888" s="35">
        <v>46198</v>
      </c>
      <c r="B1888" s="847" t="s">
        <v>879</v>
      </c>
      <c r="C1888">
        <v>3.5539999999999998</v>
      </c>
    </row>
    <row r="1889" spans="1:3" x14ac:dyDescent="0.3">
      <c r="A1889" s="35">
        <v>46199</v>
      </c>
      <c r="B1889" s="847" t="s">
        <v>879</v>
      </c>
      <c r="C1889">
        <v>3.5670000000000002</v>
      </c>
    </row>
    <row r="1890" spans="1:3" x14ac:dyDescent="0.3">
      <c r="A1890" s="35">
        <v>46202</v>
      </c>
      <c r="B1890" s="847" t="s">
        <v>879</v>
      </c>
      <c r="C1890">
        <v>3.5670000000000002</v>
      </c>
    </row>
    <row r="1891" spans="1:3" x14ac:dyDescent="0.3">
      <c r="A1891" s="35">
        <v>46203</v>
      </c>
      <c r="B1891" s="847" t="s">
        <v>879</v>
      </c>
      <c r="C1891">
        <v>3.5710000000000002</v>
      </c>
    </row>
    <row r="1892" spans="1:3" x14ac:dyDescent="0.3">
      <c r="A1892" s="35">
        <v>46204</v>
      </c>
      <c r="B1892" s="847" t="s">
        <v>879</v>
      </c>
      <c r="C1892">
        <v>3.5710000000000002</v>
      </c>
    </row>
    <row r="1893" spans="1:3" x14ac:dyDescent="0.3">
      <c r="A1893" s="35">
        <v>46205</v>
      </c>
      <c r="B1893" s="847" t="s">
        <v>879</v>
      </c>
      <c r="C1893">
        <v>3.5710000000000002</v>
      </c>
    </row>
    <row r="1894" spans="1:3" x14ac:dyDescent="0.3">
      <c r="A1894" s="35">
        <v>46206</v>
      </c>
      <c r="B1894" s="847" t="s">
        <v>879</v>
      </c>
      <c r="C1894">
        <v>3.5710000000000002</v>
      </c>
    </row>
    <row r="1895" spans="1:3" x14ac:dyDescent="0.3">
      <c r="A1895" s="35">
        <v>46209</v>
      </c>
      <c r="B1895" s="847" t="s">
        <v>879</v>
      </c>
      <c r="C1895">
        <v>3.5710000000000002</v>
      </c>
    </row>
    <row r="1896" spans="1:3" x14ac:dyDescent="0.3">
      <c r="A1896" s="35">
        <v>46210</v>
      </c>
      <c r="B1896" s="847" t="s">
        <v>879</v>
      </c>
      <c r="C1896">
        <v>3.5710000000000002</v>
      </c>
    </row>
    <row r="1897" spans="1:3" x14ac:dyDescent="0.3">
      <c r="A1897" s="35">
        <v>46211</v>
      </c>
      <c r="B1897" s="847" t="s">
        <v>879</v>
      </c>
      <c r="C1897">
        <v>3.5710000000000002</v>
      </c>
    </row>
    <row r="1898" spans="1:3" x14ac:dyDescent="0.3">
      <c r="A1898" s="35">
        <v>46212</v>
      </c>
      <c r="B1898" s="847" t="s">
        <v>879</v>
      </c>
      <c r="C1898">
        <v>3.5710000000000002</v>
      </c>
    </row>
    <row r="1899" spans="1:3" x14ac:dyDescent="0.3">
      <c r="A1899" s="35">
        <v>46213</v>
      </c>
      <c r="B1899" s="847" t="s">
        <v>879</v>
      </c>
      <c r="C1899">
        <v>3.5710000000000002</v>
      </c>
    </row>
    <row r="1900" spans="1:3" x14ac:dyDescent="0.3">
      <c r="A1900" s="35">
        <v>46216</v>
      </c>
      <c r="B1900" s="847" t="s">
        <v>879</v>
      </c>
      <c r="C1900">
        <v>3.5710000000000002</v>
      </c>
    </row>
    <row r="1901" spans="1:3" x14ac:dyDescent="0.3">
      <c r="A1901" s="35">
        <v>46217</v>
      </c>
      <c r="B1901" s="847" t="s">
        <v>879</v>
      </c>
      <c r="C1901">
        <v>3.5710000000000002</v>
      </c>
    </row>
    <row r="1902" spans="1:3" x14ac:dyDescent="0.3">
      <c r="A1902" s="35">
        <v>46218</v>
      </c>
      <c r="B1902" s="847" t="s">
        <v>879</v>
      </c>
      <c r="C1902">
        <v>3.5710000000000002</v>
      </c>
    </row>
    <row r="1903" spans="1:3" x14ac:dyDescent="0.3">
      <c r="A1903" s="35">
        <v>46219</v>
      </c>
      <c r="B1903" s="847" t="s">
        <v>879</v>
      </c>
      <c r="C1903">
        <v>3.5710000000000002</v>
      </c>
    </row>
    <row r="1904" spans="1:3" x14ac:dyDescent="0.3">
      <c r="A1904" s="35">
        <v>46220</v>
      </c>
      <c r="B1904" s="847" t="s">
        <v>879</v>
      </c>
      <c r="C1904">
        <v>3.5790000000000002</v>
      </c>
    </row>
    <row r="1905" spans="1:3" x14ac:dyDescent="0.3">
      <c r="A1905" s="35">
        <v>46223</v>
      </c>
      <c r="B1905" s="847" t="s">
        <v>879</v>
      </c>
      <c r="C1905">
        <v>3.5790000000000002</v>
      </c>
    </row>
    <row r="1906" spans="1:3" x14ac:dyDescent="0.3">
      <c r="A1906" s="35">
        <v>46224</v>
      </c>
      <c r="B1906" s="847" t="s">
        <v>879</v>
      </c>
      <c r="C1906">
        <v>3.5920000000000001</v>
      </c>
    </row>
    <row r="1907" spans="1:3" x14ac:dyDescent="0.3">
      <c r="A1907" s="35">
        <v>46225</v>
      </c>
      <c r="B1907" s="847" t="s">
        <v>879</v>
      </c>
      <c r="C1907">
        <v>3.625</v>
      </c>
    </row>
    <row r="1908" spans="1:3" x14ac:dyDescent="0.3">
      <c r="A1908" s="35">
        <v>46226</v>
      </c>
      <c r="B1908" s="847" t="s">
        <v>879</v>
      </c>
      <c r="C1908">
        <v>3.625</v>
      </c>
    </row>
    <row r="1909" spans="1:3" x14ac:dyDescent="0.3">
      <c r="A1909" s="35">
        <v>46227</v>
      </c>
      <c r="B1909" s="847" t="s">
        <v>879</v>
      </c>
      <c r="C1909">
        <v>3.625</v>
      </c>
    </row>
    <row r="1910" spans="1:3" x14ac:dyDescent="0.3">
      <c r="A1910" s="35">
        <v>46230</v>
      </c>
      <c r="B1910" s="847" t="s">
        <v>879</v>
      </c>
      <c r="C1910">
        <v>3.6419999999999999</v>
      </c>
    </row>
    <row r="1911" spans="1:3" x14ac:dyDescent="0.3">
      <c r="A1911" s="35">
        <v>46231</v>
      </c>
      <c r="B1911" s="847" t="s">
        <v>879</v>
      </c>
      <c r="C1911">
        <v>3.6419999999999999</v>
      </c>
    </row>
    <row r="1912" spans="1:3" x14ac:dyDescent="0.3">
      <c r="A1912" s="35">
        <v>46232</v>
      </c>
      <c r="B1912" s="847" t="s">
        <v>879</v>
      </c>
      <c r="C1912">
        <v>3.6419999999999999</v>
      </c>
    </row>
    <row r="1913" spans="1:3" x14ac:dyDescent="0.3">
      <c r="A1913" s="35">
        <v>46233</v>
      </c>
      <c r="B1913" s="847" t="s">
        <v>879</v>
      </c>
      <c r="C1913">
        <v>3.6419999999999999</v>
      </c>
    </row>
    <row r="1914" spans="1:3" x14ac:dyDescent="0.3">
      <c r="A1914" s="35">
        <v>46234</v>
      </c>
      <c r="B1914" s="847" t="s">
        <v>879</v>
      </c>
      <c r="C1914">
        <v>3.6419999999999999</v>
      </c>
    </row>
    <row r="1915" spans="1:3" x14ac:dyDescent="0.3">
      <c r="A1915" s="35">
        <v>46237</v>
      </c>
      <c r="B1915" s="847" t="s">
        <v>879</v>
      </c>
      <c r="C1915">
        <v>3.6829999999999998</v>
      </c>
    </row>
    <row r="1916" spans="1:3" x14ac:dyDescent="0.3">
      <c r="A1916" s="35">
        <v>46238</v>
      </c>
      <c r="B1916" s="847" t="s">
        <v>879</v>
      </c>
      <c r="C1916">
        <v>3.6829999999999998</v>
      </c>
    </row>
    <row r="1917" spans="1:3" x14ac:dyDescent="0.3">
      <c r="A1917" s="35">
        <v>46239</v>
      </c>
      <c r="B1917" s="847" t="s">
        <v>879</v>
      </c>
      <c r="C1917">
        <v>3.6829999999999998</v>
      </c>
    </row>
    <row r="1918" spans="1:3" x14ac:dyDescent="0.3">
      <c r="A1918" s="35">
        <v>46240</v>
      </c>
      <c r="B1918" s="847" t="s">
        <v>879</v>
      </c>
      <c r="C1918">
        <v>3.6920000000000002</v>
      </c>
    </row>
    <row r="1919" spans="1:3" x14ac:dyDescent="0.3">
      <c r="A1919" s="35">
        <v>46241</v>
      </c>
      <c r="B1919" s="847" t="s">
        <v>879</v>
      </c>
      <c r="C1919">
        <v>3.6920000000000002</v>
      </c>
    </row>
    <row r="1920" spans="1:3" x14ac:dyDescent="0.3">
      <c r="A1920" s="35">
        <v>46244</v>
      </c>
      <c r="B1920" s="847" t="s">
        <v>879</v>
      </c>
      <c r="C1920">
        <v>3.6920000000000002</v>
      </c>
    </row>
    <row r="1921" spans="1:3" x14ac:dyDescent="0.3">
      <c r="A1921" s="35">
        <v>46245</v>
      </c>
      <c r="B1921" s="847" t="s">
        <v>879</v>
      </c>
      <c r="C1921">
        <v>3.6920000000000002</v>
      </c>
    </row>
    <row r="1922" spans="1:3" x14ac:dyDescent="0.3">
      <c r="A1922" s="35">
        <v>46246</v>
      </c>
      <c r="B1922" s="847" t="s">
        <v>879</v>
      </c>
      <c r="C1922">
        <v>3.7040000000000002</v>
      </c>
    </row>
    <row r="1923" spans="1:3" x14ac:dyDescent="0.3">
      <c r="A1923" s="35">
        <v>46247</v>
      </c>
      <c r="B1923" s="847" t="s">
        <v>879</v>
      </c>
      <c r="C1923">
        <v>3.7040000000000002</v>
      </c>
    </row>
    <row r="1924" spans="1:3" x14ac:dyDescent="0.3">
      <c r="A1924" s="35">
        <v>46248</v>
      </c>
      <c r="B1924" s="847" t="s">
        <v>879</v>
      </c>
      <c r="C1924">
        <v>3.7040000000000002</v>
      </c>
    </row>
    <row r="1925" spans="1:3" x14ac:dyDescent="0.3">
      <c r="A1925" s="35">
        <v>46251</v>
      </c>
      <c r="B1925" s="847" t="s">
        <v>879</v>
      </c>
      <c r="C1925">
        <v>3.7040000000000002</v>
      </c>
    </row>
    <row r="1926" spans="1:3" x14ac:dyDescent="0.3">
      <c r="A1926" s="35">
        <v>46252</v>
      </c>
      <c r="B1926" s="847" t="s">
        <v>879</v>
      </c>
      <c r="C1926">
        <v>3.7040000000000002</v>
      </c>
    </row>
    <row r="1927" spans="1:3" x14ac:dyDescent="0.3">
      <c r="A1927" s="35">
        <v>45852</v>
      </c>
      <c r="B1927" s="847" t="s">
        <v>880</v>
      </c>
      <c r="C1927">
        <v>2.4969999999999999</v>
      </c>
    </row>
    <row r="1928" spans="1:3" x14ac:dyDescent="0.3">
      <c r="A1928" s="35">
        <v>45853</v>
      </c>
      <c r="B1928" s="847" t="s">
        <v>880</v>
      </c>
      <c r="C1928">
        <v>2.4969999999999999</v>
      </c>
    </row>
    <row r="1929" spans="1:3" x14ac:dyDescent="0.3">
      <c r="A1929" s="35">
        <v>45854</v>
      </c>
      <c r="B1929" s="847" t="s">
        <v>880</v>
      </c>
      <c r="C1929">
        <v>2.5</v>
      </c>
    </row>
    <row r="1930" spans="1:3" x14ac:dyDescent="0.3">
      <c r="A1930" s="35">
        <v>45855</v>
      </c>
      <c r="B1930" s="847" t="s">
        <v>880</v>
      </c>
      <c r="C1930">
        <v>2.5209999999999999</v>
      </c>
    </row>
    <row r="1931" spans="1:3" x14ac:dyDescent="0.3">
      <c r="A1931" s="35">
        <v>45856</v>
      </c>
      <c r="B1931" s="847" t="s">
        <v>880</v>
      </c>
      <c r="C1931">
        <v>2.5259999999999998</v>
      </c>
    </row>
    <row r="1932" spans="1:3" x14ac:dyDescent="0.3">
      <c r="A1932" s="35">
        <v>45859</v>
      </c>
      <c r="B1932" s="847" t="s">
        <v>880</v>
      </c>
      <c r="C1932">
        <v>2.5299999999999998</v>
      </c>
    </row>
    <row r="1933" spans="1:3" x14ac:dyDescent="0.3">
      <c r="A1933" s="35">
        <v>45860</v>
      </c>
      <c r="B1933" s="847" t="s">
        <v>880</v>
      </c>
      <c r="C1933">
        <v>2.5289999999999999</v>
      </c>
    </row>
    <row r="1934" spans="1:3" x14ac:dyDescent="0.3">
      <c r="A1934" s="35">
        <v>45861</v>
      </c>
      <c r="B1934" s="847" t="s">
        <v>880</v>
      </c>
      <c r="C1934">
        <v>2.5419999999999998</v>
      </c>
    </row>
    <row r="1935" spans="1:3" x14ac:dyDescent="0.3">
      <c r="A1935" s="35">
        <v>45862</v>
      </c>
      <c r="B1935" s="847" t="s">
        <v>880</v>
      </c>
      <c r="C1935">
        <v>2.5790000000000002</v>
      </c>
    </row>
    <row r="1936" spans="1:3" x14ac:dyDescent="0.3">
      <c r="A1936" s="35">
        <v>45863</v>
      </c>
      <c r="B1936" s="847" t="s">
        <v>880</v>
      </c>
      <c r="C1936">
        <v>2.5840000000000001</v>
      </c>
    </row>
    <row r="1937" spans="1:3" x14ac:dyDescent="0.3">
      <c r="A1937" s="35">
        <v>45866</v>
      </c>
      <c r="B1937" s="847" t="s">
        <v>880</v>
      </c>
      <c r="C1937">
        <v>2.5840000000000001</v>
      </c>
    </row>
    <row r="1938" spans="1:3" x14ac:dyDescent="0.3">
      <c r="A1938" s="35">
        <v>45867</v>
      </c>
      <c r="B1938" s="847" t="s">
        <v>880</v>
      </c>
      <c r="C1938">
        <v>2.5979999999999999</v>
      </c>
    </row>
    <row r="1939" spans="1:3" x14ac:dyDescent="0.3">
      <c r="A1939" s="35">
        <v>45868</v>
      </c>
      <c r="B1939" s="847" t="s">
        <v>880</v>
      </c>
      <c r="C1939">
        <v>2.5990000000000002</v>
      </c>
    </row>
    <row r="1940" spans="1:3" x14ac:dyDescent="0.3">
      <c r="A1940" s="35">
        <v>45869</v>
      </c>
      <c r="B1940" s="847" t="s">
        <v>880</v>
      </c>
      <c r="C1940">
        <v>2.6019999999999999</v>
      </c>
    </row>
    <row r="1941" spans="1:3" x14ac:dyDescent="0.3">
      <c r="A1941" s="35">
        <v>45870</v>
      </c>
      <c r="B1941" s="847" t="s">
        <v>880</v>
      </c>
      <c r="C1941">
        <v>2.6110000000000002</v>
      </c>
    </row>
    <row r="1942" spans="1:3" x14ac:dyDescent="0.3">
      <c r="A1942" s="35">
        <v>45873</v>
      </c>
      <c r="B1942" s="847" t="s">
        <v>880</v>
      </c>
      <c r="C1942">
        <v>2.6110000000000002</v>
      </c>
    </row>
    <row r="1943" spans="1:3" x14ac:dyDescent="0.3">
      <c r="A1943" s="35">
        <v>45874</v>
      </c>
      <c r="B1943" s="847" t="s">
        <v>880</v>
      </c>
      <c r="C1943">
        <v>2.617</v>
      </c>
    </row>
    <row r="1944" spans="1:3" x14ac:dyDescent="0.3">
      <c r="A1944" s="35">
        <v>45875</v>
      </c>
      <c r="B1944" s="847" t="s">
        <v>880</v>
      </c>
      <c r="C1944">
        <v>2.617</v>
      </c>
    </row>
    <row r="1945" spans="1:3" x14ac:dyDescent="0.3">
      <c r="A1945" s="35">
        <v>45876</v>
      </c>
      <c r="B1945" s="847" t="s">
        <v>880</v>
      </c>
      <c r="C1945">
        <v>2.6469999999999998</v>
      </c>
    </row>
    <row r="1946" spans="1:3" x14ac:dyDescent="0.3">
      <c r="A1946" s="35">
        <v>45877</v>
      </c>
      <c r="B1946" s="847" t="s">
        <v>880</v>
      </c>
      <c r="C1946">
        <v>2.653</v>
      </c>
    </row>
    <row r="1947" spans="1:3" x14ac:dyDescent="0.3">
      <c r="A1947" s="35">
        <v>45880</v>
      </c>
      <c r="B1947" s="847" t="s">
        <v>880</v>
      </c>
      <c r="C1947">
        <v>2.649</v>
      </c>
    </row>
    <row r="1948" spans="1:3" x14ac:dyDescent="0.3">
      <c r="A1948" s="35">
        <v>45881</v>
      </c>
      <c r="B1948" s="847" t="s">
        <v>880</v>
      </c>
      <c r="C1948">
        <v>2.6589999999999998</v>
      </c>
    </row>
    <row r="1949" spans="1:3" x14ac:dyDescent="0.3">
      <c r="A1949" s="35">
        <v>45882</v>
      </c>
      <c r="B1949" s="847" t="s">
        <v>880</v>
      </c>
      <c r="C1949">
        <v>2.6629999999999998</v>
      </c>
    </row>
    <row r="1950" spans="1:3" x14ac:dyDescent="0.3">
      <c r="A1950" s="35">
        <v>45883</v>
      </c>
      <c r="B1950" s="847" t="s">
        <v>880</v>
      </c>
      <c r="C1950">
        <v>2.6970000000000001</v>
      </c>
    </row>
    <row r="1951" spans="1:3" x14ac:dyDescent="0.3">
      <c r="A1951" s="35">
        <v>45884</v>
      </c>
      <c r="B1951" s="847" t="s">
        <v>880</v>
      </c>
      <c r="C1951">
        <v>2.714</v>
      </c>
    </row>
    <row r="1952" spans="1:3" x14ac:dyDescent="0.3">
      <c r="A1952" s="35">
        <v>45887</v>
      </c>
      <c r="B1952" s="847" t="s">
        <v>880</v>
      </c>
      <c r="C1952">
        <v>2.7149999999999999</v>
      </c>
    </row>
    <row r="1953" spans="1:3" x14ac:dyDescent="0.3">
      <c r="A1953" s="35">
        <v>45888</v>
      </c>
      <c r="B1953" s="847" t="s">
        <v>880</v>
      </c>
      <c r="C1953">
        <v>2.7160000000000002</v>
      </c>
    </row>
    <row r="1954" spans="1:3" x14ac:dyDescent="0.3">
      <c r="A1954" s="35">
        <v>45889</v>
      </c>
      <c r="B1954" s="847" t="s">
        <v>880</v>
      </c>
      <c r="C1954">
        <v>2.722</v>
      </c>
    </row>
    <row r="1955" spans="1:3" x14ac:dyDescent="0.3">
      <c r="A1955" s="35">
        <v>45890</v>
      </c>
      <c r="B1955" s="847" t="s">
        <v>880</v>
      </c>
      <c r="C1955">
        <v>2.7480000000000002</v>
      </c>
    </row>
    <row r="1956" spans="1:3" x14ac:dyDescent="0.3">
      <c r="A1956" s="35">
        <v>45891</v>
      </c>
      <c r="B1956" s="847" t="s">
        <v>880</v>
      </c>
      <c r="C1956">
        <v>2.7850000000000001</v>
      </c>
    </row>
    <row r="1957" spans="1:3" x14ac:dyDescent="0.3">
      <c r="A1957" s="35">
        <v>45894</v>
      </c>
      <c r="B1957" s="847" t="s">
        <v>880</v>
      </c>
      <c r="C1957">
        <v>2.84</v>
      </c>
    </row>
    <row r="1958" spans="1:3" x14ac:dyDescent="0.3">
      <c r="A1958" s="35">
        <v>45895</v>
      </c>
      <c r="B1958" s="847" t="s">
        <v>880</v>
      </c>
      <c r="C1958">
        <v>2.859</v>
      </c>
    </row>
    <row r="1959" spans="1:3" x14ac:dyDescent="0.3">
      <c r="A1959" s="35">
        <v>45896</v>
      </c>
      <c r="B1959" s="847" t="s">
        <v>880</v>
      </c>
      <c r="C1959">
        <v>2.8650000000000002</v>
      </c>
    </row>
    <row r="1960" spans="1:3" x14ac:dyDescent="0.3">
      <c r="A1960" s="35">
        <v>45897</v>
      </c>
      <c r="B1960" s="847" t="s">
        <v>880</v>
      </c>
      <c r="C1960">
        <v>2.8679999999999999</v>
      </c>
    </row>
    <row r="1961" spans="1:3" x14ac:dyDescent="0.3">
      <c r="A1961" s="35">
        <v>45898</v>
      </c>
      <c r="B1961" s="847" t="s">
        <v>880</v>
      </c>
      <c r="C1961">
        <v>2.8730000000000002</v>
      </c>
    </row>
    <row r="1962" spans="1:3" x14ac:dyDescent="0.3">
      <c r="A1962" s="35">
        <v>45903</v>
      </c>
      <c r="B1962" s="847" t="s">
        <v>880</v>
      </c>
      <c r="C1962">
        <v>2.871</v>
      </c>
    </row>
    <row r="1963" spans="1:3" x14ac:dyDescent="0.3">
      <c r="A1963" s="35">
        <v>45904</v>
      </c>
      <c r="B1963" s="847" t="s">
        <v>880</v>
      </c>
      <c r="C1963">
        <v>2.88</v>
      </c>
    </row>
    <row r="1964" spans="1:3" x14ac:dyDescent="0.3">
      <c r="A1964" s="35">
        <v>45905</v>
      </c>
      <c r="B1964" s="847" t="s">
        <v>880</v>
      </c>
      <c r="C1964">
        <v>2.88</v>
      </c>
    </row>
    <row r="1965" spans="1:3" x14ac:dyDescent="0.3">
      <c r="A1965" s="35">
        <v>45908</v>
      </c>
      <c r="B1965" s="847" t="s">
        <v>880</v>
      </c>
      <c r="C1965">
        <v>2.88</v>
      </c>
    </row>
    <row r="1966" spans="1:3" x14ac:dyDescent="0.3">
      <c r="A1966" s="35">
        <v>45909</v>
      </c>
      <c r="B1966" s="847" t="s">
        <v>880</v>
      </c>
      <c r="C1966">
        <v>2.8839999999999999</v>
      </c>
    </row>
    <row r="1967" spans="1:3" x14ac:dyDescent="0.3">
      <c r="A1967" s="35">
        <v>45910</v>
      </c>
      <c r="B1967" s="847" t="s">
        <v>880</v>
      </c>
      <c r="C1967">
        <v>2.8889999999999998</v>
      </c>
    </row>
    <row r="1968" spans="1:3" x14ac:dyDescent="0.3">
      <c r="A1968" s="35">
        <v>45911</v>
      </c>
      <c r="B1968" s="847" t="s">
        <v>880</v>
      </c>
      <c r="C1968">
        <v>2.887</v>
      </c>
    </row>
    <row r="1969" spans="1:3" x14ac:dyDescent="0.3">
      <c r="A1969" s="35">
        <v>45912</v>
      </c>
      <c r="B1969" s="847" t="s">
        <v>880</v>
      </c>
      <c r="C1969">
        <v>2.891</v>
      </c>
    </row>
    <row r="1970" spans="1:3" x14ac:dyDescent="0.3">
      <c r="A1970" s="35">
        <v>45915</v>
      </c>
      <c r="B1970" s="847" t="s">
        <v>880</v>
      </c>
      <c r="C1970">
        <v>2.8940000000000001</v>
      </c>
    </row>
    <row r="1971" spans="1:3" x14ac:dyDescent="0.3">
      <c r="A1971" s="35">
        <v>45916</v>
      </c>
      <c r="B1971" s="847" t="s">
        <v>880</v>
      </c>
      <c r="C1971">
        <v>2.887</v>
      </c>
    </row>
    <row r="1972" spans="1:3" x14ac:dyDescent="0.3">
      <c r="A1972" s="35">
        <v>45917</v>
      </c>
      <c r="B1972" s="847" t="s">
        <v>880</v>
      </c>
      <c r="C1972">
        <v>2.887</v>
      </c>
    </row>
    <row r="1973" spans="1:3" x14ac:dyDescent="0.3">
      <c r="A1973" s="35">
        <v>45918</v>
      </c>
      <c r="B1973" s="847" t="s">
        <v>880</v>
      </c>
      <c r="C1973">
        <v>2.895</v>
      </c>
    </row>
    <row r="1974" spans="1:3" x14ac:dyDescent="0.3">
      <c r="A1974" s="35">
        <v>45919</v>
      </c>
      <c r="B1974" s="847" t="s">
        <v>880</v>
      </c>
      <c r="C1974">
        <v>2.899</v>
      </c>
    </row>
    <row r="1975" spans="1:3" x14ac:dyDescent="0.3">
      <c r="A1975" s="35">
        <v>45922</v>
      </c>
      <c r="B1975" s="847" t="s">
        <v>880</v>
      </c>
      <c r="C1975">
        <v>2.9049999999999998</v>
      </c>
    </row>
    <row r="1976" spans="1:3" x14ac:dyDescent="0.3">
      <c r="A1976" s="35">
        <v>45923</v>
      </c>
      <c r="B1976" s="847" t="s">
        <v>880</v>
      </c>
      <c r="C1976">
        <v>2.9079999999999999</v>
      </c>
    </row>
    <row r="1977" spans="1:3" x14ac:dyDescent="0.3">
      <c r="A1977" s="35">
        <v>45924</v>
      </c>
      <c r="B1977" s="847" t="s">
        <v>880</v>
      </c>
      <c r="C1977">
        <v>2.9119999999999999</v>
      </c>
    </row>
    <row r="1978" spans="1:3" x14ac:dyDescent="0.3">
      <c r="A1978" s="35">
        <v>45925</v>
      </c>
      <c r="B1978" s="847" t="s">
        <v>880</v>
      </c>
      <c r="C1978">
        <v>2.915</v>
      </c>
    </row>
    <row r="1979" spans="1:3" x14ac:dyDescent="0.3">
      <c r="A1979" s="35">
        <v>45926</v>
      </c>
      <c r="B1979" s="847" t="s">
        <v>880</v>
      </c>
      <c r="C1979">
        <v>2.927</v>
      </c>
    </row>
    <row r="1980" spans="1:3" x14ac:dyDescent="0.3">
      <c r="A1980" s="35">
        <v>45929</v>
      </c>
      <c r="B1980" s="847" t="s">
        <v>880</v>
      </c>
      <c r="C1980">
        <v>2.927</v>
      </c>
    </row>
    <row r="1981" spans="1:3" x14ac:dyDescent="0.3">
      <c r="A1981" s="35">
        <v>45930</v>
      </c>
      <c r="B1981" s="847" t="s">
        <v>880</v>
      </c>
      <c r="C1981">
        <v>2.9249999999999998</v>
      </c>
    </row>
    <row r="1982" spans="1:3" x14ac:dyDescent="0.3">
      <c r="A1982" s="35">
        <v>45931</v>
      </c>
      <c r="B1982" s="847" t="s">
        <v>880</v>
      </c>
      <c r="C1982">
        <v>2.927</v>
      </c>
    </row>
    <row r="1983" spans="1:3" x14ac:dyDescent="0.3">
      <c r="A1983" s="35">
        <v>45932</v>
      </c>
      <c r="B1983" s="847" t="s">
        <v>880</v>
      </c>
      <c r="C1983">
        <v>2.9529999999999998</v>
      </c>
    </row>
    <row r="1984" spans="1:3" x14ac:dyDescent="0.3">
      <c r="A1984" s="35">
        <v>45933</v>
      </c>
      <c r="B1984" s="847" t="s">
        <v>880</v>
      </c>
      <c r="C1984">
        <v>2.9529999999999998</v>
      </c>
    </row>
    <row r="1985" spans="1:3" x14ac:dyDescent="0.3">
      <c r="A1985" s="35">
        <v>45936</v>
      </c>
      <c r="B1985" s="847" t="s">
        <v>880</v>
      </c>
      <c r="C1985">
        <v>2.9529999999999998</v>
      </c>
    </row>
    <row r="1986" spans="1:3" x14ac:dyDescent="0.3">
      <c r="A1986" s="35">
        <v>45937</v>
      </c>
      <c r="B1986" s="847" t="s">
        <v>880</v>
      </c>
      <c r="C1986">
        <v>2.9550000000000001</v>
      </c>
    </row>
    <row r="1987" spans="1:3" x14ac:dyDescent="0.3">
      <c r="A1987" s="35">
        <v>45938</v>
      </c>
      <c r="B1987" s="847" t="s">
        <v>880</v>
      </c>
      <c r="C1987">
        <v>2.9529999999999998</v>
      </c>
    </row>
    <row r="1988" spans="1:3" x14ac:dyDescent="0.3">
      <c r="A1988" s="35">
        <v>45939</v>
      </c>
      <c r="B1988" s="847" t="s">
        <v>880</v>
      </c>
      <c r="C1988">
        <v>2.98</v>
      </c>
    </row>
    <row r="1989" spans="1:3" x14ac:dyDescent="0.3">
      <c r="A1989" s="35">
        <v>45940</v>
      </c>
      <c r="B1989" s="847" t="s">
        <v>880</v>
      </c>
      <c r="C1989">
        <v>2.9820000000000002</v>
      </c>
    </row>
    <row r="1990" spans="1:3" x14ac:dyDescent="0.3">
      <c r="A1990" s="35">
        <v>45943</v>
      </c>
      <c r="B1990" s="847" t="s">
        <v>880</v>
      </c>
      <c r="C1990">
        <v>2.9820000000000002</v>
      </c>
    </row>
    <row r="1991" spans="1:3" x14ac:dyDescent="0.3">
      <c r="A1991" s="35">
        <v>45944</v>
      </c>
      <c r="B1991" s="847" t="s">
        <v>880</v>
      </c>
      <c r="C1991">
        <v>2.9820000000000002</v>
      </c>
    </row>
    <row r="1992" spans="1:3" x14ac:dyDescent="0.3">
      <c r="A1992" s="35">
        <v>45945</v>
      </c>
      <c r="B1992" s="847" t="s">
        <v>880</v>
      </c>
      <c r="C1992">
        <v>2.9820000000000002</v>
      </c>
    </row>
    <row r="1993" spans="1:3" x14ac:dyDescent="0.3">
      <c r="A1993" s="35">
        <v>45946</v>
      </c>
      <c r="B1993" s="847" t="s">
        <v>880</v>
      </c>
      <c r="C1993">
        <v>3.0059999999999998</v>
      </c>
    </row>
    <row r="1994" spans="1:3" x14ac:dyDescent="0.3">
      <c r="A1994" s="35">
        <v>45947</v>
      </c>
      <c r="B1994" s="847" t="s">
        <v>880</v>
      </c>
      <c r="C1994">
        <v>3.0089999999999999</v>
      </c>
    </row>
    <row r="1995" spans="1:3" x14ac:dyDescent="0.3">
      <c r="A1995" s="35">
        <v>45950</v>
      </c>
      <c r="B1995" s="847" t="s">
        <v>880</v>
      </c>
      <c r="C1995">
        <v>3.0169999999999999</v>
      </c>
    </row>
    <row r="1996" spans="1:3" x14ac:dyDescent="0.3">
      <c r="A1996" s="35">
        <v>45951</v>
      </c>
      <c r="B1996" s="847" t="s">
        <v>880</v>
      </c>
      <c r="C1996">
        <v>3.0169999999999999</v>
      </c>
    </row>
    <row r="1997" spans="1:3" x14ac:dyDescent="0.3">
      <c r="A1997" s="35">
        <v>45952</v>
      </c>
      <c r="B1997" s="847" t="s">
        <v>880</v>
      </c>
      <c r="C1997">
        <v>3.03</v>
      </c>
    </row>
    <row r="1998" spans="1:3" x14ac:dyDescent="0.3">
      <c r="A1998" s="35">
        <v>45953</v>
      </c>
      <c r="B1998" s="847" t="s">
        <v>880</v>
      </c>
      <c r="C1998">
        <v>3.03</v>
      </c>
    </row>
    <row r="1999" spans="1:3" x14ac:dyDescent="0.3">
      <c r="A1999" s="35">
        <v>45954</v>
      </c>
      <c r="B1999" s="847" t="s">
        <v>880</v>
      </c>
      <c r="C1999">
        <v>3.036</v>
      </c>
    </row>
    <row r="2000" spans="1:3" x14ac:dyDescent="0.3">
      <c r="A2000" s="35">
        <v>45957</v>
      </c>
      <c r="B2000" s="847" t="s">
        <v>880</v>
      </c>
      <c r="C2000">
        <v>3.036</v>
      </c>
    </row>
    <row r="2001" spans="1:3" x14ac:dyDescent="0.3">
      <c r="A2001" s="35">
        <v>45958</v>
      </c>
      <c r="B2001" s="847" t="s">
        <v>880</v>
      </c>
      <c r="C2001">
        <v>3.036</v>
      </c>
    </row>
    <row r="2002" spans="1:3" x14ac:dyDescent="0.3">
      <c r="A2002" s="35">
        <v>45959</v>
      </c>
      <c r="B2002" s="847" t="s">
        <v>880</v>
      </c>
      <c r="C2002">
        <v>3.036</v>
      </c>
    </row>
    <row r="2003" spans="1:3" x14ac:dyDescent="0.3">
      <c r="A2003" s="35">
        <v>45960</v>
      </c>
      <c r="B2003" s="847" t="s">
        <v>880</v>
      </c>
      <c r="C2003">
        <v>3.036</v>
      </c>
    </row>
    <row r="2004" spans="1:3" x14ac:dyDescent="0.3">
      <c r="A2004" s="35">
        <v>45961</v>
      </c>
      <c r="B2004" s="847" t="s">
        <v>880</v>
      </c>
      <c r="C2004">
        <v>3.036</v>
      </c>
    </row>
    <row r="2005" spans="1:3" x14ac:dyDescent="0.3">
      <c r="A2005" s="35">
        <v>45964</v>
      </c>
      <c r="B2005" s="847" t="s">
        <v>880</v>
      </c>
      <c r="C2005">
        <v>3.036</v>
      </c>
    </row>
    <row r="2006" spans="1:3" x14ac:dyDescent="0.3">
      <c r="A2006" s="35">
        <v>45965</v>
      </c>
      <c r="B2006" s="847" t="s">
        <v>880</v>
      </c>
      <c r="C2006">
        <v>3.036</v>
      </c>
    </row>
    <row r="2007" spans="1:3" x14ac:dyDescent="0.3">
      <c r="A2007" s="35">
        <v>45966</v>
      </c>
      <c r="B2007" s="847" t="s">
        <v>880</v>
      </c>
      <c r="C2007">
        <v>3.036</v>
      </c>
    </row>
    <row r="2008" spans="1:3" x14ac:dyDescent="0.3">
      <c r="A2008" s="35">
        <v>45967</v>
      </c>
      <c r="B2008" s="847" t="s">
        <v>880</v>
      </c>
      <c r="C2008">
        <v>3.0379999999999998</v>
      </c>
    </row>
    <row r="2009" spans="1:3" x14ac:dyDescent="0.3">
      <c r="A2009" s="35">
        <v>45968</v>
      </c>
      <c r="B2009" s="847" t="s">
        <v>880</v>
      </c>
      <c r="C2009">
        <v>3.0390000000000001</v>
      </c>
    </row>
    <row r="2010" spans="1:3" x14ac:dyDescent="0.3">
      <c r="A2010" s="35">
        <v>45971</v>
      </c>
      <c r="B2010" s="847" t="s">
        <v>880</v>
      </c>
      <c r="C2010">
        <v>3.052</v>
      </c>
    </row>
    <row r="2011" spans="1:3" x14ac:dyDescent="0.3">
      <c r="A2011" s="35">
        <v>45972</v>
      </c>
      <c r="B2011" s="847" t="s">
        <v>880</v>
      </c>
      <c r="C2011">
        <v>3.0539999999999998</v>
      </c>
    </row>
    <row r="2012" spans="1:3" x14ac:dyDescent="0.3">
      <c r="A2012" s="35">
        <v>45973</v>
      </c>
      <c r="B2012" s="847" t="s">
        <v>880</v>
      </c>
      <c r="C2012">
        <v>3.0539999999999998</v>
      </c>
    </row>
    <row r="2013" spans="1:3" x14ac:dyDescent="0.3">
      <c r="A2013" s="35">
        <v>45974</v>
      </c>
      <c r="B2013" s="847" t="s">
        <v>880</v>
      </c>
      <c r="C2013">
        <v>3.0569999999999999</v>
      </c>
    </row>
    <row r="2014" spans="1:3" x14ac:dyDescent="0.3">
      <c r="A2014" s="35">
        <v>45975</v>
      </c>
      <c r="B2014" s="847" t="s">
        <v>880</v>
      </c>
      <c r="C2014">
        <v>3.0569999999999999</v>
      </c>
    </row>
    <row r="2015" spans="1:3" x14ac:dyDescent="0.3">
      <c r="A2015" s="35">
        <v>45978</v>
      </c>
      <c r="B2015" s="847" t="s">
        <v>880</v>
      </c>
      <c r="C2015">
        <v>3.0579999999999998</v>
      </c>
    </row>
    <row r="2016" spans="1:3" x14ac:dyDescent="0.3">
      <c r="A2016" s="35">
        <v>45979</v>
      </c>
      <c r="B2016" s="847" t="s">
        <v>880</v>
      </c>
      <c r="C2016">
        <v>3.0579999999999998</v>
      </c>
    </row>
    <row r="2017" spans="1:3" x14ac:dyDescent="0.3">
      <c r="A2017" s="35">
        <v>45980</v>
      </c>
      <c r="B2017" s="847" t="s">
        <v>880</v>
      </c>
      <c r="C2017">
        <v>3.0579999999999998</v>
      </c>
    </row>
    <row r="2018" spans="1:3" x14ac:dyDescent="0.3">
      <c r="A2018" s="35">
        <v>45981</v>
      </c>
      <c r="B2018" s="847" t="s">
        <v>880</v>
      </c>
      <c r="C2018">
        <v>3.0760000000000001</v>
      </c>
    </row>
    <row r="2019" spans="1:3" x14ac:dyDescent="0.3">
      <c r="A2019" s="35">
        <v>45982</v>
      </c>
      <c r="B2019" s="847" t="s">
        <v>880</v>
      </c>
      <c r="C2019">
        <v>3.0779999999999998</v>
      </c>
    </row>
    <row r="2020" spans="1:3" x14ac:dyDescent="0.3">
      <c r="A2020" s="35">
        <v>45985</v>
      </c>
      <c r="B2020" s="847" t="s">
        <v>880</v>
      </c>
      <c r="C2020">
        <v>3.0779999999999998</v>
      </c>
    </row>
    <row r="2021" spans="1:3" x14ac:dyDescent="0.3">
      <c r="A2021" s="35">
        <v>45986</v>
      </c>
      <c r="B2021" s="847" t="s">
        <v>880</v>
      </c>
      <c r="C2021">
        <v>3.0779999999999998</v>
      </c>
    </row>
    <row r="2022" spans="1:3" x14ac:dyDescent="0.3">
      <c r="A2022" s="35">
        <v>45987</v>
      </c>
      <c r="B2022" s="847" t="s">
        <v>880</v>
      </c>
      <c r="C2022">
        <v>3.0779999999999998</v>
      </c>
    </row>
    <row r="2023" spans="1:3" x14ac:dyDescent="0.3">
      <c r="A2023" s="35">
        <v>45988</v>
      </c>
      <c r="B2023" s="847" t="s">
        <v>880</v>
      </c>
      <c r="C2023">
        <v>3.0779999999999998</v>
      </c>
    </row>
    <row r="2024" spans="1:3" x14ac:dyDescent="0.3">
      <c r="A2024" s="35">
        <v>45989</v>
      </c>
      <c r="B2024" s="847" t="s">
        <v>880</v>
      </c>
      <c r="C2024">
        <v>3.0779999999999998</v>
      </c>
    </row>
    <row r="2025" spans="1:3" x14ac:dyDescent="0.3">
      <c r="A2025" s="35">
        <v>45992</v>
      </c>
      <c r="B2025" s="847" t="s">
        <v>880</v>
      </c>
      <c r="C2025">
        <v>3.08</v>
      </c>
    </row>
    <row r="2026" spans="1:3" x14ac:dyDescent="0.3">
      <c r="A2026" s="35">
        <v>45993</v>
      </c>
      <c r="B2026" s="847" t="s">
        <v>880</v>
      </c>
      <c r="C2026">
        <v>3.0880000000000001</v>
      </c>
    </row>
    <row r="2027" spans="1:3" x14ac:dyDescent="0.3">
      <c r="A2027" s="35">
        <v>45994</v>
      </c>
      <c r="B2027" s="847" t="s">
        <v>880</v>
      </c>
      <c r="C2027">
        <v>3.09</v>
      </c>
    </row>
    <row r="2028" spans="1:3" x14ac:dyDescent="0.3">
      <c r="A2028" s="35">
        <v>45995</v>
      </c>
      <c r="B2028" s="847" t="s">
        <v>880</v>
      </c>
      <c r="C2028">
        <v>3.0979999999999999</v>
      </c>
    </row>
    <row r="2029" spans="1:3" x14ac:dyDescent="0.3">
      <c r="A2029" s="35">
        <v>45996</v>
      </c>
      <c r="B2029" s="847" t="s">
        <v>880</v>
      </c>
      <c r="C2029">
        <v>3.1059999999999999</v>
      </c>
    </row>
    <row r="2030" spans="1:3" x14ac:dyDescent="0.3">
      <c r="A2030" s="35">
        <v>45999</v>
      </c>
      <c r="B2030" s="847" t="s">
        <v>880</v>
      </c>
      <c r="C2030">
        <v>3.113</v>
      </c>
    </row>
    <row r="2031" spans="1:3" x14ac:dyDescent="0.3">
      <c r="A2031" s="35">
        <v>46000</v>
      </c>
      <c r="B2031" s="847" t="s">
        <v>880</v>
      </c>
      <c r="C2031">
        <v>3.113</v>
      </c>
    </row>
    <row r="2032" spans="1:3" x14ac:dyDescent="0.3">
      <c r="A2032" s="35">
        <v>46001</v>
      </c>
      <c r="B2032" s="847" t="s">
        <v>880</v>
      </c>
      <c r="C2032">
        <v>3.113</v>
      </c>
    </row>
    <row r="2033" spans="1:3" x14ac:dyDescent="0.3">
      <c r="A2033" s="35">
        <v>46002</v>
      </c>
      <c r="B2033" s="847" t="s">
        <v>880</v>
      </c>
      <c r="C2033">
        <v>3.1179999999999999</v>
      </c>
    </row>
    <row r="2034" spans="1:3" x14ac:dyDescent="0.3">
      <c r="A2034" s="35">
        <v>46003</v>
      </c>
      <c r="B2034" s="847" t="s">
        <v>880</v>
      </c>
      <c r="C2034">
        <v>3.1179999999999999</v>
      </c>
    </row>
    <row r="2035" spans="1:3" x14ac:dyDescent="0.3">
      <c r="A2035" s="35">
        <v>46006</v>
      </c>
      <c r="B2035" s="847" t="s">
        <v>880</v>
      </c>
      <c r="C2035">
        <v>3.1139999999999999</v>
      </c>
    </row>
    <row r="2036" spans="1:3" x14ac:dyDescent="0.3">
      <c r="A2036" s="35">
        <v>46007</v>
      </c>
      <c r="B2036" s="847" t="s">
        <v>880</v>
      </c>
      <c r="C2036">
        <v>3.121</v>
      </c>
    </row>
    <row r="2037" spans="1:3" x14ac:dyDescent="0.3">
      <c r="A2037" s="35">
        <v>46008</v>
      </c>
      <c r="B2037" s="847" t="s">
        <v>880</v>
      </c>
      <c r="C2037">
        <v>3.1179999999999999</v>
      </c>
    </row>
    <row r="2038" spans="1:3" x14ac:dyDescent="0.3">
      <c r="A2038" s="35">
        <v>46009</v>
      </c>
      <c r="B2038" s="847" t="s">
        <v>880</v>
      </c>
      <c r="C2038">
        <v>3.1219999999999999</v>
      </c>
    </row>
    <row r="2039" spans="1:3" x14ac:dyDescent="0.3">
      <c r="A2039" s="35">
        <v>46010</v>
      </c>
      <c r="B2039" s="847" t="s">
        <v>880</v>
      </c>
      <c r="C2039">
        <v>3.1269999999999998</v>
      </c>
    </row>
    <row r="2040" spans="1:3" x14ac:dyDescent="0.3">
      <c r="A2040" s="35">
        <v>46013</v>
      </c>
      <c r="B2040" s="847" t="s">
        <v>880</v>
      </c>
      <c r="C2040">
        <v>3.1269999999999998</v>
      </c>
    </row>
    <row r="2041" spans="1:3" x14ac:dyDescent="0.3">
      <c r="A2041" s="35">
        <v>46014</v>
      </c>
      <c r="B2041" s="847" t="s">
        <v>880</v>
      </c>
      <c r="C2041">
        <v>3.1309999999999998</v>
      </c>
    </row>
    <row r="2042" spans="1:3" x14ac:dyDescent="0.3">
      <c r="A2042" s="35">
        <v>46015</v>
      </c>
      <c r="B2042" s="847" t="s">
        <v>880</v>
      </c>
      <c r="C2042">
        <v>3.1309999999999998</v>
      </c>
    </row>
    <row r="2043" spans="1:3" x14ac:dyDescent="0.3">
      <c r="A2043" s="35">
        <v>46016</v>
      </c>
      <c r="B2043" s="847" t="s">
        <v>880</v>
      </c>
      <c r="C2043">
        <v>3.1309999999999998</v>
      </c>
    </row>
    <row r="2044" spans="1:3" x14ac:dyDescent="0.3">
      <c r="A2044" s="35">
        <v>46017</v>
      </c>
      <c r="B2044" s="847" t="s">
        <v>880</v>
      </c>
      <c r="C2044">
        <v>3.1309999999999998</v>
      </c>
    </row>
    <row r="2045" spans="1:3" x14ac:dyDescent="0.3">
      <c r="A2045" s="35">
        <v>46020</v>
      </c>
      <c r="B2045" s="847" t="s">
        <v>880</v>
      </c>
      <c r="C2045">
        <v>3.1360000000000001</v>
      </c>
    </row>
    <row r="2046" spans="1:3" x14ac:dyDescent="0.3">
      <c r="A2046" s="35">
        <v>46021</v>
      </c>
      <c r="B2046" s="847" t="s">
        <v>880</v>
      </c>
      <c r="C2046">
        <v>3.1360000000000001</v>
      </c>
    </row>
    <row r="2047" spans="1:3" x14ac:dyDescent="0.3">
      <c r="A2047" s="35">
        <v>46022</v>
      </c>
      <c r="B2047" s="847" t="s">
        <v>880</v>
      </c>
      <c r="C2047">
        <v>3.141</v>
      </c>
    </row>
    <row r="2048" spans="1:3" x14ac:dyDescent="0.3">
      <c r="A2048" s="35">
        <v>46027</v>
      </c>
      <c r="B2048" s="847" t="s">
        <v>880</v>
      </c>
      <c r="C2048">
        <v>3.153</v>
      </c>
    </row>
    <row r="2049" spans="1:3" x14ac:dyDescent="0.3">
      <c r="A2049" s="35">
        <v>46028</v>
      </c>
      <c r="B2049" s="847" t="s">
        <v>880</v>
      </c>
      <c r="C2049">
        <v>3.153</v>
      </c>
    </row>
    <row r="2050" spans="1:3" x14ac:dyDescent="0.3">
      <c r="A2050" s="35">
        <v>46029</v>
      </c>
      <c r="B2050" s="847" t="s">
        <v>880</v>
      </c>
      <c r="C2050">
        <v>3.1949999999999998</v>
      </c>
    </row>
    <row r="2051" spans="1:3" x14ac:dyDescent="0.3">
      <c r="A2051" s="35">
        <v>46030</v>
      </c>
      <c r="B2051" s="847" t="s">
        <v>880</v>
      </c>
      <c r="C2051">
        <v>3.29</v>
      </c>
    </row>
    <row r="2052" spans="1:3" x14ac:dyDescent="0.3">
      <c r="A2052" s="35">
        <v>46031</v>
      </c>
      <c r="B2052" s="847" t="s">
        <v>880</v>
      </c>
      <c r="C2052">
        <v>3.3420000000000001</v>
      </c>
    </row>
    <row r="2053" spans="1:3" x14ac:dyDescent="0.3">
      <c r="A2053" s="35">
        <v>46034</v>
      </c>
      <c r="B2053" s="847" t="s">
        <v>880</v>
      </c>
      <c r="C2053">
        <v>3.331</v>
      </c>
    </row>
    <row r="2054" spans="1:3" x14ac:dyDescent="0.3">
      <c r="A2054" s="35">
        <v>46035</v>
      </c>
      <c r="B2054" s="847" t="s">
        <v>880</v>
      </c>
      <c r="C2054">
        <v>3.335</v>
      </c>
    </row>
    <row r="2055" spans="1:3" x14ac:dyDescent="0.3">
      <c r="A2055" s="35">
        <v>46036</v>
      </c>
      <c r="B2055" s="847" t="s">
        <v>880</v>
      </c>
      <c r="C2055">
        <v>3.3740000000000001</v>
      </c>
    </row>
    <row r="2056" spans="1:3" x14ac:dyDescent="0.3">
      <c r="A2056" s="35">
        <v>46037</v>
      </c>
      <c r="B2056" s="847" t="s">
        <v>880</v>
      </c>
      <c r="C2056">
        <v>3.387</v>
      </c>
    </row>
    <row r="2057" spans="1:3" x14ac:dyDescent="0.3">
      <c r="A2057" s="35">
        <v>46038</v>
      </c>
      <c r="B2057" s="847" t="s">
        <v>880</v>
      </c>
      <c r="C2057">
        <v>3.375</v>
      </c>
    </row>
    <row r="2058" spans="1:3" x14ac:dyDescent="0.3">
      <c r="A2058" s="35">
        <v>46041</v>
      </c>
      <c r="B2058" s="847" t="s">
        <v>880</v>
      </c>
      <c r="C2058">
        <v>3.3959999999999999</v>
      </c>
    </row>
    <row r="2059" spans="1:3" x14ac:dyDescent="0.3">
      <c r="A2059" s="35">
        <v>46042</v>
      </c>
      <c r="B2059" s="847" t="s">
        <v>880</v>
      </c>
      <c r="C2059">
        <v>3.387</v>
      </c>
    </row>
    <row r="2060" spans="1:3" x14ac:dyDescent="0.3">
      <c r="A2060" s="35">
        <v>46043</v>
      </c>
      <c r="B2060" s="847" t="s">
        <v>880</v>
      </c>
      <c r="C2060">
        <v>3.3809999999999998</v>
      </c>
    </row>
    <row r="2061" spans="1:3" x14ac:dyDescent="0.3">
      <c r="A2061" s="35">
        <v>46044</v>
      </c>
      <c r="B2061" s="847" t="s">
        <v>880</v>
      </c>
      <c r="C2061">
        <v>3.383</v>
      </c>
    </row>
    <row r="2062" spans="1:3" x14ac:dyDescent="0.3">
      <c r="A2062" s="35">
        <v>46045</v>
      </c>
      <c r="B2062" s="847" t="s">
        <v>880</v>
      </c>
      <c r="C2062">
        <v>3.3849999999999998</v>
      </c>
    </row>
    <row r="2063" spans="1:3" x14ac:dyDescent="0.3">
      <c r="A2063" s="35">
        <v>46048</v>
      </c>
      <c r="B2063" s="847" t="s">
        <v>880</v>
      </c>
      <c r="C2063">
        <v>3.3879999999999999</v>
      </c>
    </row>
    <row r="2064" spans="1:3" x14ac:dyDescent="0.3">
      <c r="A2064" s="35">
        <v>46049</v>
      </c>
      <c r="B2064" s="847" t="s">
        <v>880</v>
      </c>
      <c r="C2064">
        <v>3.3860000000000001</v>
      </c>
    </row>
    <row r="2065" spans="1:3" x14ac:dyDescent="0.3">
      <c r="A2065" s="35">
        <v>46050</v>
      </c>
      <c r="B2065" s="847" t="s">
        <v>880</v>
      </c>
      <c r="C2065">
        <v>3.391</v>
      </c>
    </row>
    <row r="2066" spans="1:3" x14ac:dyDescent="0.3">
      <c r="A2066" s="35">
        <v>46051</v>
      </c>
      <c r="B2066" s="847" t="s">
        <v>880</v>
      </c>
      <c r="C2066">
        <v>3.3860000000000001</v>
      </c>
    </row>
    <row r="2067" spans="1:3" x14ac:dyDescent="0.3">
      <c r="A2067" s="35">
        <v>46052</v>
      </c>
      <c r="B2067" s="847" t="s">
        <v>880</v>
      </c>
      <c r="C2067">
        <v>3.3879999999999999</v>
      </c>
    </row>
    <row r="2068" spans="1:3" x14ac:dyDescent="0.3">
      <c r="A2068" s="35">
        <v>46055</v>
      </c>
      <c r="B2068" s="847" t="s">
        <v>880</v>
      </c>
      <c r="C2068">
        <v>3.4079999999999999</v>
      </c>
    </row>
    <row r="2069" spans="1:3" x14ac:dyDescent="0.3">
      <c r="A2069" s="35">
        <v>46056</v>
      </c>
      <c r="B2069" s="847" t="s">
        <v>880</v>
      </c>
      <c r="C2069">
        <v>3.4039999999999999</v>
      </c>
    </row>
    <row r="2070" spans="1:3" x14ac:dyDescent="0.3">
      <c r="A2070" s="35">
        <v>46057</v>
      </c>
      <c r="B2070" s="847" t="s">
        <v>880</v>
      </c>
      <c r="C2070">
        <v>3.4260000000000002</v>
      </c>
    </row>
    <row r="2071" spans="1:3" x14ac:dyDescent="0.3">
      <c r="A2071" s="35">
        <v>46058</v>
      </c>
      <c r="B2071" s="847" t="s">
        <v>880</v>
      </c>
      <c r="C2071">
        <v>3.419</v>
      </c>
    </row>
    <row r="2072" spans="1:3" x14ac:dyDescent="0.3">
      <c r="A2072" s="35">
        <v>46059</v>
      </c>
      <c r="B2072" s="847" t="s">
        <v>880</v>
      </c>
      <c r="C2072">
        <v>3.4209999999999998</v>
      </c>
    </row>
    <row r="2073" spans="1:3" x14ac:dyDescent="0.3">
      <c r="A2073" s="35">
        <v>46062</v>
      </c>
      <c r="B2073" s="847" t="s">
        <v>880</v>
      </c>
      <c r="C2073">
        <v>3.4449999999999998</v>
      </c>
    </row>
    <row r="2074" spans="1:3" x14ac:dyDescent="0.3">
      <c r="A2074" s="35">
        <v>46063</v>
      </c>
      <c r="B2074" s="847" t="s">
        <v>880</v>
      </c>
      <c r="C2074">
        <v>3.4729999999999999</v>
      </c>
    </row>
    <row r="2075" spans="1:3" x14ac:dyDescent="0.3">
      <c r="A2075" s="35">
        <v>46064</v>
      </c>
      <c r="B2075" s="847" t="s">
        <v>880</v>
      </c>
      <c r="C2075">
        <v>3.476</v>
      </c>
    </row>
    <row r="2076" spans="1:3" x14ac:dyDescent="0.3">
      <c r="A2076" s="35">
        <v>46065</v>
      </c>
      <c r="B2076" s="847" t="s">
        <v>880</v>
      </c>
      <c r="C2076">
        <v>3.48</v>
      </c>
    </row>
    <row r="2077" spans="1:3" x14ac:dyDescent="0.3">
      <c r="A2077" s="35">
        <v>46066</v>
      </c>
      <c r="B2077" s="847" t="s">
        <v>880</v>
      </c>
      <c r="C2077">
        <v>3.4780000000000002</v>
      </c>
    </row>
    <row r="2078" spans="1:3" x14ac:dyDescent="0.3">
      <c r="A2078" s="35">
        <v>46076</v>
      </c>
      <c r="B2078" s="847" t="s">
        <v>880</v>
      </c>
      <c r="C2078">
        <v>3.4780000000000002</v>
      </c>
    </row>
    <row r="2079" spans="1:3" x14ac:dyDescent="0.3">
      <c r="A2079" s="35">
        <v>46077</v>
      </c>
      <c r="B2079" s="847" t="s">
        <v>880</v>
      </c>
      <c r="C2079">
        <v>3.4769999999999999</v>
      </c>
    </row>
    <row r="2080" spans="1:3" x14ac:dyDescent="0.3">
      <c r="A2080" s="35">
        <v>46078</v>
      </c>
      <c r="B2080" s="847" t="s">
        <v>880</v>
      </c>
      <c r="C2080">
        <v>3.4750000000000001</v>
      </c>
    </row>
    <row r="2081" spans="1:3" x14ac:dyDescent="0.3">
      <c r="A2081" s="35">
        <v>46079</v>
      </c>
      <c r="B2081" s="847" t="s">
        <v>880</v>
      </c>
      <c r="C2081">
        <v>3.4790000000000001</v>
      </c>
    </row>
    <row r="2082" spans="1:3" x14ac:dyDescent="0.3">
      <c r="A2082" s="35">
        <v>46080</v>
      </c>
      <c r="B2082" s="847" t="s">
        <v>880</v>
      </c>
      <c r="C2082">
        <v>3.4790000000000001</v>
      </c>
    </row>
    <row r="2083" spans="1:3" x14ac:dyDescent="0.3">
      <c r="A2083" s="35">
        <v>46083</v>
      </c>
      <c r="B2083" s="847" t="s">
        <v>880</v>
      </c>
      <c r="C2083">
        <v>3.5169999999999999</v>
      </c>
    </row>
    <row r="2084" spans="1:3" x14ac:dyDescent="0.3">
      <c r="A2084" s="35">
        <v>46084</v>
      </c>
      <c r="B2084" s="847" t="s">
        <v>880</v>
      </c>
      <c r="C2084">
        <v>3.52</v>
      </c>
    </row>
    <row r="2085" spans="1:3" x14ac:dyDescent="0.3">
      <c r="A2085" s="35">
        <v>46085</v>
      </c>
      <c r="B2085" s="847" t="s">
        <v>880</v>
      </c>
      <c r="C2085">
        <v>3.52</v>
      </c>
    </row>
    <row r="2086" spans="1:3" x14ac:dyDescent="0.3">
      <c r="A2086" s="35">
        <v>46086</v>
      </c>
      <c r="B2086" s="847" t="s">
        <v>880</v>
      </c>
      <c r="C2086">
        <v>3.5259999999999998</v>
      </c>
    </row>
    <row r="2087" spans="1:3" x14ac:dyDescent="0.3">
      <c r="A2087" s="35">
        <v>46087</v>
      </c>
      <c r="B2087" s="847" t="s">
        <v>880</v>
      </c>
      <c r="C2087">
        <v>3.5259999999999998</v>
      </c>
    </row>
    <row r="2088" spans="1:3" x14ac:dyDescent="0.3">
      <c r="A2088" s="35">
        <v>46090</v>
      </c>
      <c r="B2088" s="847" t="s">
        <v>880</v>
      </c>
      <c r="C2088">
        <v>3.5390000000000001</v>
      </c>
    </row>
    <row r="2089" spans="1:3" x14ac:dyDescent="0.3">
      <c r="A2089" s="35">
        <v>46091</v>
      </c>
      <c r="B2089" s="847" t="s">
        <v>880</v>
      </c>
      <c r="C2089">
        <v>3.5579999999999998</v>
      </c>
    </row>
    <row r="2090" spans="1:3" x14ac:dyDescent="0.3">
      <c r="A2090" s="35">
        <v>46092</v>
      </c>
      <c r="B2090" s="847" t="s">
        <v>880</v>
      </c>
      <c r="C2090">
        <v>3.56</v>
      </c>
    </row>
    <row r="2091" spans="1:3" x14ac:dyDescent="0.3">
      <c r="A2091" s="35">
        <v>46093</v>
      </c>
      <c r="B2091" s="847" t="s">
        <v>880</v>
      </c>
      <c r="C2091">
        <v>3.6520000000000001</v>
      </c>
    </row>
    <row r="2092" spans="1:3" x14ac:dyDescent="0.3">
      <c r="A2092" s="35">
        <v>46094</v>
      </c>
      <c r="B2092" s="847" t="s">
        <v>880</v>
      </c>
      <c r="C2092">
        <v>3.677</v>
      </c>
    </row>
    <row r="2093" spans="1:3" x14ac:dyDescent="0.3">
      <c r="A2093" s="35">
        <v>46097</v>
      </c>
      <c r="B2093" s="847" t="s">
        <v>880</v>
      </c>
      <c r="C2093">
        <v>3.6840000000000002</v>
      </c>
    </row>
    <row r="2094" spans="1:3" x14ac:dyDescent="0.3">
      <c r="A2094" s="35">
        <v>46098</v>
      </c>
      <c r="B2094" s="847" t="s">
        <v>880</v>
      </c>
      <c r="C2094">
        <v>3.7080000000000002</v>
      </c>
    </row>
    <row r="2095" spans="1:3" x14ac:dyDescent="0.3">
      <c r="A2095" s="35">
        <v>46099</v>
      </c>
      <c r="B2095" s="847" t="s">
        <v>880</v>
      </c>
      <c r="C2095">
        <v>3.71</v>
      </c>
    </row>
    <row r="2096" spans="1:3" x14ac:dyDescent="0.3">
      <c r="A2096" s="35">
        <v>46100</v>
      </c>
      <c r="B2096" s="847" t="s">
        <v>880</v>
      </c>
      <c r="C2096">
        <v>3.7069999999999999</v>
      </c>
    </row>
    <row r="2097" spans="1:3" x14ac:dyDescent="0.3">
      <c r="A2097" s="35">
        <v>46101</v>
      </c>
      <c r="B2097" s="847" t="s">
        <v>880</v>
      </c>
      <c r="C2097">
        <v>3.7040000000000002</v>
      </c>
    </row>
    <row r="2098" spans="1:3" x14ac:dyDescent="0.3">
      <c r="A2098" s="35">
        <v>46104</v>
      </c>
      <c r="B2098" s="847" t="s">
        <v>880</v>
      </c>
      <c r="C2098">
        <v>3.7080000000000002</v>
      </c>
    </row>
    <row r="2099" spans="1:3" x14ac:dyDescent="0.3">
      <c r="A2099" s="35">
        <v>46105</v>
      </c>
      <c r="B2099" s="847" t="s">
        <v>880</v>
      </c>
      <c r="C2099">
        <v>3.7189999999999999</v>
      </c>
    </row>
    <row r="2100" spans="1:3" x14ac:dyDescent="0.3">
      <c r="A2100" s="35">
        <v>46106</v>
      </c>
      <c r="B2100" s="847" t="s">
        <v>880</v>
      </c>
      <c r="C2100">
        <v>3.7240000000000002</v>
      </c>
    </row>
    <row r="2101" spans="1:3" x14ac:dyDescent="0.3">
      <c r="A2101" s="35">
        <v>46107</v>
      </c>
      <c r="B2101" s="847" t="s">
        <v>880</v>
      </c>
      <c r="C2101">
        <v>3.7290000000000001</v>
      </c>
    </row>
    <row r="2102" spans="1:3" x14ac:dyDescent="0.3">
      <c r="A2102" s="35">
        <v>46108</v>
      </c>
      <c r="B2102" s="847" t="s">
        <v>880</v>
      </c>
      <c r="C2102">
        <v>3.726</v>
      </c>
    </row>
    <row r="2103" spans="1:3" x14ac:dyDescent="0.3">
      <c r="A2103" s="35">
        <v>46111</v>
      </c>
      <c r="B2103" s="847" t="s">
        <v>880</v>
      </c>
      <c r="C2103">
        <v>3.726</v>
      </c>
    </row>
    <row r="2104" spans="1:3" x14ac:dyDescent="0.3">
      <c r="A2104" s="35">
        <v>46112</v>
      </c>
      <c r="B2104" s="847" t="s">
        <v>880</v>
      </c>
      <c r="C2104">
        <v>3.7240000000000002</v>
      </c>
    </row>
    <row r="2105" spans="1:3" x14ac:dyDescent="0.3">
      <c r="A2105" s="35">
        <v>46113</v>
      </c>
      <c r="B2105" s="847" t="s">
        <v>880</v>
      </c>
      <c r="C2105">
        <v>3.722</v>
      </c>
    </row>
    <row r="2106" spans="1:3" x14ac:dyDescent="0.3">
      <c r="A2106" s="35">
        <v>46114</v>
      </c>
      <c r="B2106" s="847" t="s">
        <v>880</v>
      </c>
      <c r="C2106">
        <v>3.726</v>
      </c>
    </row>
    <row r="2107" spans="1:3" x14ac:dyDescent="0.3">
      <c r="A2107" s="35">
        <v>46115</v>
      </c>
      <c r="B2107" s="847" t="s">
        <v>880</v>
      </c>
      <c r="C2107">
        <v>3.726</v>
      </c>
    </row>
    <row r="2108" spans="1:3" x14ac:dyDescent="0.3">
      <c r="A2108" s="35">
        <v>46118</v>
      </c>
      <c r="B2108" s="847" t="s">
        <v>880</v>
      </c>
      <c r="C2108">
        <v>3.73</v>
      </c>
    </row>
    <row r="2109" spans="1:3" x14ac:dyDescent="0.3">
      <c r="A2109" s="35">
        <v>46119</v>
      </c>
      <c r="B2109" s="847" t="s">
        <v>880</v>
      </c>
      <c r="C2109">
        <v>3.7320000000000002</v>
      </c>
    </row>
    <row r="2110" spans="1:3" x14ac:dyDescent="0.3">
      <c r="A2110" s="35">
        <v>46120</v>
      </c>
      <c r="B2110" s="847" t="s">
        <v>880</v>
      </c>
      <c r="C2110">
        <v>3.73</v>
      </c>
    </row>
    <row r="2111" spans="1:3" x14ac:dyDescent="0.3">
      <c r="A2111" s="35">
        <v>46121</v>
      </c>
      <c r="B2111" s="847" t="s">
        <v>880</v>
      </c>
      <c r="C2111">
        <v>3.734</v>
      </c>
    </row>
    <row r="2112" spans="1:3" x14ac:dyDescent="0.3">
      <c r="A2112" s="35">
        <v>46122</v>
      </c>
      <c r="B2112" s="847" t="s">
        <v>880</v>
      </c>
      <c r="C2112">
        <v>3.7349999999999999</v>
      </c>
    </row>
    <row r="2113" spans="1:3" x14ac:dyDescent="0.3">
      <c r="A2113" s="35">
        <v>46125</v>
      </c>
      <c r="B2113" s="847" t="s">
        <v>880</v>
      </c>
      <c r="C2113">
        <v>3.7309999999999999</v>
      </c>
    </row>
    <row r="2114" spans="1:3" x14ac:dyDescent="0.3">
      <c r="A2114" s="35">
        <v>46126</v>
      </c>
      <c r="B2114" s="847" t="s">
        <v>880</v>
      </c>
      <c r="C2114">
        <v>3.7330000000000001</v>
      </c>
    </row>
    <row r="2115" spans="1:3" x14ac:dyDescent="0.3">
      <c r="A2115" s="35">
        <v>46127</v>
      </c>
      <c r="B2115" s="847" t="s">
        <v>880</v>
      </c>
      <c r="C2115">
        <v>3.7309999999999999</v>
      </c>
    </row>
    <row r="2116" spans="1:3" x14ac:dyDescent="0.3">
      <c r="A2116" s="35">
        <v>46128</v>
      </c>
      <c r="B2116" s="847" t="s">
        <v>880</v>
      </c>
      <c r="C2116">
        <v>3.726</v>
      </c>
    </row>
    <row r="2117" spans="1:3" x14ac:dyDescent="0.3">
      <c r="A2117" s="35">
        <v>46129</v>
      </c>
      <c r="B2117" s="847" t="s">
        <v>880</v>
      </c>
      <c r="C2117">
        <v>3.7330000000000001</v>
      </c>
    </row>
    <row r="2118" spans="1:3" x14ac:dyDescent="0.3">
      <c r="A2118" s="35">
        <v>46132</v>
      </c>
      <c r="B2118" s="847" t="s">
        <v>880</v>
      </c>
      <c r="C2118">
        <v>3.754</v>
      </c>
    </row>
    <row r="2119" spans="1:3" x14ac:dyDescent="0.3">
      <c r="A2119" s="35">
        <v>46133</v>
      </c>
      <c r="B2119" s="847" t="s">
        <v>880</v>
      </c>
      <c r="C2119">
        <v>3.73</v>
      </c>
    </row>
    <row r="2120" spans="1:3" x14ac:dyDescent="0.3">
      <c r="A2120" s="35">
        <v>46134</v>
      </c>
      <c r="B2120" s="847" t="s">
        <v>880</v>
      </c>
      <c r="C2120">
        <v>3.7480000000000002</v>
      </c>
    </row>
    <row r="2121" spans="1:3" x14ac:dyDescent="0.3">
      <c r="A2121" s="35">
        <v>46135</v>
      </c>
      <c r="B2121" s="847" t="s">
        <v>880</v>
      </c>
      <c r="C2121">
        <v>3.7509999999999999</v>
      </c>
    </row>
    <row r="2122" spans="1:3" x14ac:dyDescent="0.3">
      <c r="A2122" s="35">
        <v>46136</v>
      </c>
      <c r="B2122" s="847" t="s">
        <v>880</v>
      </c>
      <c r="C2122">
        <v>3.7490000000000001</v>
      </c>
    </row>
    <row r="2123" spans="1:3" x14ac:dyDescent="0.3">
      <c r="A2123" s="35">
        <v>46140</v>
      </c>
      <c r="B2123" s="847" t="s">
        <v>880</v>
      </c>
      <c r="C2123">
        <v>3.7490000000000001</v>
      </c>
    </row>
    <row r="2124" spans="1:3" x14ac:dyDescent="0.3">
      <c r="A2124" s="35">
        <v>46141</v>
      </c>
      <c r="B2124" s="847" t="s">
        <v>880</v>
      </c>
      <c r="C2124">
        <v>3.762</v>
      </c>
    </row>
    <row r="2125" spans="1:3" x14ac:dyDescent="0.3">
      <c r="A2125" s="35">
        <v>46146</v>
      </c>
      <c r="B2125" s="847" t="s">
        <v>880</v>
      </c>
      <c r="C2125">
        <v>3.76</v>
      </c>
    </row>
    <row r="2126" spans="1:3" x14ac:dyDescent="0.3">
      <c r="A2126" s="35">
        <v>46147</v>
      </c>
      <c r="B2126" s="847" t="s">
        <v>880</v>
      </c>
      <c r="C2126">
        <v>3.75</v>
      </c>
    </row>
    <row r="2127" spans="1:3" x14ac:dyDescent="0.3">
      <c r="A2127" s="35">
        <v>46148</v>
      </c>
      <c r="B2127" s="847" t="s">
        <v>880</v>
      </c>
      <c r="C2127">
        <v>3.754</v>
      </c>
    </row>
    <row r="2128" spans="1:3" x14ac:dyDescent="0.3">
      <c r="A2128" s="35">
        <v>46149</v>
      </c>
      <c r="B2128" s="847" t="s">
        <v>880</v>
      </c>
      <c r="C2128">
        <v>3.75</v>
      </c>
    </row>
    <row r="2129" spans="1:3" x14ac:dyDescent="0.3">
      <c r="A2129" s="35">
        <v>46150</v>
      </c>
      <c r="B2129" s="847" t="s">
        <v>880</v>
      </c>
      <c r="C2129">
        <v>3.75</v>
      </c>
    </row>
    <row r="2130" spans="1:3" x14ac:dyDescent="0.3">
      <c r="A2130" s="35">
        <v>46153</v>
      </c>
      <c r="B2130" s="847" t="s">
        <v>880</v>
      </c>
      <c r="C2130">
        <v>3.7480000000000002</v>
      </c>
    </row>
    <row r="2131" spans="1:3" x14ac:dyDescent="0.3">
      <c r="A2131" s="35">
        <v>46154</v>
      </c>
      <c r="B2131" s="847" t="s">
        <v>880</v>
      </c>
      <c r="C2131">
        <v>3.75</v>
      </c>
    </row>
    <row r="2132" spans="1:3" x14ac:dyDescent="0.3">
      <c r="A2132" s="35">
        <v>46155</v>
      </c>
      <c r="B2132" s="847" t="s">
        <v>880</v>
      </c>
      <c r="C2132">
        <v>3.746</v>
      </c>
    </row>
    <row r="2133" spans="1:3" x14ac:dyDescent="0.3">
      <c r="A2133" s="35">
        <v>46156</v>
      </c>
      <c r="B2133" s="847" t="s">
        <v>880</v>
      </c>
      <c r="C2133">
        <v>3.7469999999999999</v>
      </c>
    </row>
    <row r="2134" spans="1:3" x14ac:dyDescent="0.3">
      <c r="A2134" s="35">
        <v>46157</v>
      </c>
      <c r="B2134" s="847" t="s">
        <v>880</v>
      </c>
      <c r="C2134">
        <v>3.75</v>
      </c>
    </row>
    <row r="2135" spans="1:3" x14ac:dyDescent="0.3">
      <c r="A2135" s="35">
        <v>46160</v>
      </c>
      <c r="B2135" s="847" t="s">
        <v>880</v>
      </c>
      <c r="C2135">
        <v>3.7480000000000002</v>
      </c>
    </row>
    <row r="2136" spans="1:3" x14ac:dyDescent="0.3">
      <c r="A2136" s="35">
        <v>46161</v>
      </c>
      <c r="B2136" s="847" t="s">
        <v>880</v>
      </c>
      <c r="C2136">
        <v>3.75</v>
      </c>
    </row>
    <row r="2137" spans="1:3" x14ac:dyDescent="0.3">
      <c r="A2137" s="35">
        <v>46162</v>
      </c>
      <c r="B2137" s="847" t="s">
        <v>880</v>
      </c>
      <c r="C2137">
        <v>3.7549999999999999</v>
      </c>
    </row>
    <row r="2138" spans="1:3" x14ac:dyDescent="0.3">
      <c r="A2138" s="35">
        <v>46163</v>
      </c>
      <c r="B2138" s="847" t="s">
        <v>880</v>
      </c>
      <c r="C2138">
        <v>3.7559999999999998</v>
      </c>
    </row>
    <row r="2139" spans="1:3" x14ac:dyDescent="0.3">
      <c r="A2139" s="35">
        <v>46164</v>
      </c>
      <c r="B2139" s="847" t="s">
        <v>880</v>
      </c>
      <c r="C2139">
        <v>3.7559999999999998</v>
      </c>
    </row>
    <row r="2140" spans="1:3" x14ac:dyDescent="0.3">
      <c r="A2140" s="35">
        <v>46167</v>
      </c>
      <c r="B2140" s="847" t="s">
        <v>880</v>
      </c>
      <c r="C2140">
        <v>3.758</v>
      </c>
    </row>
    <row r="2141" spans="1:3" x14ac:dyDescent="0.3">
      <c r="A2141" s="35">
        <v>46168</v>
      </c>
      <c r="B2141" s="847" t="s">
        <v>880</v>
      </c>
      <c r="C2141">
        <v>3.758</v>
      </c>
    </row>
    <row r="2142" spans="1:3" x14ac:dyDescent="0.3">
      <c r="A2142" s="35">
        <v>46169</v>
      </c>
      <c r="B2142" s="847" t="s">
        <v>880</v>
      </c>
      <c r="C2142">
        <v>3.76</v>
      </c>
    </row>
    <row r="2143" spans="1:3" x14ac:dyDescent="0.3">
      <c r="A2143" s="35">
        <v>46170</v>
      </c>
      <c r="B2143" s="847" t="s">
        <v>880</v>
      </c>
      <c r="C2143">
        <v>3.7930000000000001</v>
      </c>
    </row>
    <row r="2144" spans="1:3" x14ac:dyDescent="0.3">
      <c r="A2144" s="35">
        <v>46171</v>
      </c>
      <c r="B2144" s="847" t="s">
        <v>880</v>
      </c>
      <c r="C2144">
        <v>3.7949999999999999</v>
      </c>
    </row>
    <row r="2145" spans="1:3" x14ac:dyDescent="0.3">
      <c r="A2145" s="35">
        <v>46174</v>
      </c>
      <c r="B2145" s="847" t="s">
        <v>880</v>
      </c>
      <c r="C2145">
        <v>3.7959999999999998</v>
      </c>
    </row>
    <row r="2146" spans="1:3" x14ac:dyDescent="0.3">
      <c r="A2146" s="35">
        <v>46175</v>
      </c>
      <c r="B2146" s="847" t="s">
        <v>880</v>
      </c>
      <c r="C2146">
        <v>3.8069999999999999</v>
      </c>
    </row>
    <row r="2147" spans="1:3" x14ac:dyDescent="0.3">
      <c r="A2147" s="35">
        <v>46176</v>
      </c>
      <c r="B2147" s="847" t="s">
        <v>880</v>
      </c>
      <c r="C2147">
        <v>3.8159999999999998</v>
      </c>
    </row>
    <row r="2148" spans="1:3" x14ac:dyDescent="0.3">
      <c r="A2148" s="35">
        <v>46177</v>
      </c>
      <c r="B2148" s="847" t="s">
        <v>880</v>
      </c>
      <c r="C2148">
        <v>3.8210000000000002</v>
      </c>
    </row>
    <row r="2149" spans="1:3" x14ac:dyDescent="0.3">
      <c r="A2149" s="35">
        <v>46178</v>
      </c>
      <c r="B2149" s="847" t="s">
        <v>880</v>
      </c>
      <c r="C2149">
        <v>3.823</v>
      </c>
    </row>
    <row r="2150" spans="1:3" x14ac:dyDescent="0.3">
      <c r="A2150" s="35">
        <v>46181</v>
      </c>
      <c r="B2150" s="847" t="s">
        <v>880</v>
      </c>
      <c r="C2150">
        <v>3.8260000000000001</v>
      </c>
    </row>
    <row r="2151" spans="1:3" x14ac:dyDescent="0.3">
      <c r="A2151" s="35">
        <v>46182</v>
      </c>
      <c r="B2151" s="847" t="s">
        <v>880</v>
      </c>
      <c r="C2151">
        <v>3.8260000000000001</v>
      </c>
    </row>
    <row r="2152" spans="1:3" x14ac:dyDescent="0.3">
      <c r="A2152" s="35">
        <v>46183</v>
      </c>
      <c r="B2152" s="847" t="s">
        <v>880</v>
      </c>
      <c r="C2152">
        <v>3.827</v>
      </c>
    </row>
    <row r="2153" spans="1:3" x14ac:dyDescent="0.3">
      <c r="A2153" s="35">
        <v>46184</v>
      </c>
      <c r="B2153" s="847" t="s">
        <v>880</v>
      </c>
      <c r="C2153">
        <v>3.8420000000000001</v>
      </c>
    </row>
    <row r="2154" spans="1:3" x14ac:dyDescent="0.3">
      <c r="A2154" s="35">
        <v>46185</v>
      </c>
      <c r="B2154" s="847" t="s">
        <v>880</v>
      </c>
      <c r="C2154">
        <v>3.8439999999999999</v>
      </c>
    </row>
    <row r="2155" spans="1:3" x14ac:dyDescent="0.3">
      <c r="A2155" s="35">
        <v>46188</v>
      </c>
      <c r="B2155" s="847" t="s">
        <v>880</v>
      </c>
      <c r="C2155">
        <v>3.8439999999999999</v>
      </c>
    </row>
    <row r="2156" spans="1:3" x14ac:dyDescent="0.3">
      <c r="A2156" s="35">
        <v>46189</v>
      </c>
      <c r="B2156" s="847" t="s">
        <v>880</v>
      </c>
      <c r="C2156">
        <v>3.8479999999999999</v>
      </c>
    </row>
    <row r="2157" spans="1:3" x14ac:dyDescent="0.3">
      <c r="A2157" s="35">
        <v>46190</v>
      </c>
      <c r="B2157" s="847" t="s">
        <v>880</v>
      </c>
      <c r="C2157">
        <v>3.8479999999999999</v>
      </c>
    </row>
    <row r="2158" spans="1:3" x14ac:dyDescent="0.3">
      <c r="A2158" s="35">
        <v>46191</v>
      </c>
      <c r="B2158" s="847" t="s">
        <v>880</v>
      </c>
      <c r="C2158">
        <v>3.8660000000000001</v>
      </c>
    </row>
    <row r="2159" spans="1:3" x14ac:dyDescent="0.3">
      <c r="A2159" s="35">
        <v>46192</v>
      </c>
      <c r="B2159" s="847" t="s">
        <v>880</v>
      </c>
      <c r="C2159">
        <v>3.871</v>
      </c>
    </row>
    <row r="2160" spans="1:3" x14ac:dyDescent="0.3">
      <c r="A2160" s="35">
        <v>46195</v>
      </c>
      <c r="B2160" s="847" t="s">
        <v>880</v>
      </c>
      <c r="C2160">
        <v>3.8660000000000001</v>
      </c>
    </row>
    <row r="2161" spans="1:3" x14ac:dyDescent="0.3">
      <c r="A2161" s="35">
        <v>46196</v>
      </c>
      <c r="B2161" s="847" t="s">
        <v>880</v>
      </c>
      <c r="C2161">
        <v>3.87</v>
      </c>
    </row>
    <row r="2162" spans="1:3" x14ac:dyDescent="0.3">
      <c r="A2162" s="35">
        <v>46197</v>
      </c>
      <c r="B2162" s="847" t="s">
        <v>880</v>
      </c>
      <c r="C2162">
        <v>3.87</v>
      </c>
    </row>
    <row r="2163" spans="1:3" x14ac:dyDescent="0.3">
      <c r="A2163" s="35">
        <v>46198</v>
      </c>
      <c r="B2163" s="847" t="s">
        <v>880</v>
      </c>
      <c r="C2163">
        <v>3.87</v>
      </c>
    </row>
    <row r="2164" spans="1:3" x14ac:dyDescent="0.3">
      <c r="A2164" s="35">
        <v>46199</v>
      </c>
      <c r="B2164" s="847" t="s">
        <v>880</v>
      </c>
      <c r="C2164">
        <v>3.879</v>
      </c>
    </row>
    <row r="2165" spans="1:3" x14ac:dyDescent="0.3">
      <c r="A2165" s="35">
        <v>46202</v>
      </c>
      <c r="B2165" s="847" t="s">
        <v>880</v>
      </c>
      <c r="C2165">
        <v>3.88</v>
      </c>
    </row>
    <row r="2166" spans="1:3" x14ac:dyDescent="0.3">
      <c r="A2166" s="35">
        <v>46203</v>
      </c>
      <c r="B2166" s="847" t="s">
        <v>880</v>
      </c>
      <c r="C2166">
        <v>3.8839999999999999</v>
      </c>
    </row>
    <row r="2167" spans="1:3" x14ac:dyDescent="0.3">
      <c r="A2167" s="35">
        <v>46204</v>
      </c>
      <c r="B2167" s="847" t="s">
        <v>880</v>
      </c>
      <c r="C2167">
        <v>3.8860000000000001</v>
      </c>
    </row>
    <row r="2168" spans="1:3" x14ac:dyDescent="0.3">
      <c r="A2168" s="35">
        <v>46205</v>
      </c>
      <c r="B2168" s="847" t="s">
        <v>880</v>
      </c>
      <c r="C2168">
        <v>3.8839999999999999</v>
      </c>
    </row>
    <row r="2169" spans="1:3" x14ac:dyDescent="0.3">
      <c r="A2169" s="35">
        <v>46206</v>
      </c>
      <c r="B2169" s="847" t="s">
        <v>880</v>
      </c>
      <c r="C2169">
        <v>3.8839999999999999</v>
      </c>
    </row>
    <row r="2170" spans="1:3" x14ac:dyDescent="0.3">
      <c r="A2170" s="35">
        <v>46209</v>
      </c>
      <c r="B2170" s="847" t="s">
        <v>880</v>
      </c>
      <c r="C2170">
        <v>3.8839999999999999</v>
      </c>
    </row>
    <row r="2171" spans="1:3" x14ac:dyDescent="0.3">
      <c r="A2171" s="35">
        <v>46210</v>
      </c>
      <c r="B2171" s="847" t="s">
        <v>880</v>
      </c>
      <c r="C2171">
        <v>3.8839999999999999</v>
      </c>
    </row>
    <row r="2172" spans="1:3" x14ac:dyDescent="0.3">
      <c r="A2172" s="35">
        <v>46211</v>
      </c>
      <c r="B2172" s="847" t="s">
        <v>880</v>
      </c>
      <c r="C2172">
        <v>3.8849999999999998</v>
      </c>
    </row>
    <row r="2173" spans="1:3" x14ac:dyDescent="0.3">
      <c r="A2173" s="35">
        <v>46212</v>
      </c>
      <c r="B2173" s="847" t="s">
        <v>880</v>
      </c>
      <c r="C2173">
        <v>3.8879999999999999</v>
      </c>
    </row>
    <row r="2174" spans="1:3" x14ac:dyDescent="0.3">
      <c r="A2174" s="35">
        <v>46213</v>
      </c>
      <c r="B2174" s="847" t="s">
        <v>880</v>
      </c>
      <c r="C2174">
        <v>3.8879999999999999</v>
      </c>
    </row>
    <row r="2175" spans="1:3" x14ac:dyDescent="0.3">
      <c r="A2175" s="35">
        <v>46216</v>
      </c>
      <c r="B2175" s="847" t="s">
        <v>880</v>
      </c>
      <c r="C2175">
        <v>3.8879999999999999</v>
      </c>
    </row>
    <row r="2176" spans="1:3" x14ac:dyDescent="0.3">
      <c r="A2176" s="35">
        <v>46217</v>
      </c>
      <c r="B2176" s="847" t="s">
        <v>880</v>
      </c>
      <c r="C2176">
        <v>3.8879999999999999</v>
      </c>
    </row>
    <row r="2177" spans="1:3" x14ac:dyDescent="0.3">
      <c r="A2177" s="35">
        <v>46218</v>
      </c>
      <c r="B2177" s="847" t="s">
        <v>880</v>
      </c>
      <c r="C2177">
        <v>3.89</v>
      </c>
    </row>
    <row r="2178" spans="1:3" x14ac:dyDescent="0.3">
      <c r="A2178" s="35">
        <v>46219</v>
      </c>
      <c r="B2178" s="847" t="s">
        <v>880</v>
      </c>
      <c r="C2178">
        <v>3.8929999999999998</v>
      </c>
    </row>
    <row r="2179" spans="1:3" x14ac:dyDescent="0.3">
      <c r="A2179" s="35">
        <v>46220</v>
      </c>
      <c r="B2179" s="847" t="s">
        <v>880</v>
      </c>
      <c r="C2179">
        <v>3.8929999999999998</v>
      </c>
    </row>
    <row r="2180" spans="1:3" x14ac:dyDescent="0.3">
      <c r="A2180" s="35">
        <v>46223</v>
      </c>
      <c r="B2180" s="847" t="s">
        <v>880</v>
      </c>
      <c r="C2180">
        <v>3.8940000000000001</v>
      </c>
    </row>
    <row r="2181" spans="1:3" x14ac:dyDescent="0.3">
      <c r="A2181" s="35">
        <v>46224</v>
      </c>
      <c r="B2181" s="847" t="s">
        <v>880</v>
      </c>
      <c r="C2181">
        <v>3.9009999999999998</v>
      </c>
    </row>
    <row r="2182" spans="1:3" x14ac:dyDescent="0.3">
      <c r="A2182" s="35">
        <v>46225</v>
      </c>
      <c r="B2182" s="847" t="s">
        <v>880</v>
      </c>
      <c r="C2182">
        <v>3.919</v>
      </c>
    </row>
    <row r="2183" spans="1:3" x14ac:dyDescent="0.3">
      <c r="A2183" s="35">
        <v>46226</v>
      </c>
      <c r="B2183" s="847" t="s">
        <v>880</v>
      </c>
      <c r="C2183">
        <v>3.9180000000000001</v>
      </c>
    </row>
    <row r="2184" spans="1:3" x14ac:dyDescent="0.3">
      <c r="A2184" s="35">
        <v>46227</v>
      </c>
      <c r="B2184" s="847" t="s">
        <v>880</v>
      </c>
      <c r="C2184">
        <v>3.9169999999999998</v>
      </c>
    </row>
    <row r="2185" spans="1:3" x14ac:dyDescent="0.3">
      <c r="A2185" s="35">
        <v>46230</v>
      </c>
      <c r="B2185" s="847" t="s">
        <v>880</v>
      </c>
      <c r="C2185">
        <v>3.927</v>
      </c>
    </row>
    <row r="2186" spans="1:3" x14ac:dyDescent="0.3">
      <c r="A2186" s="35">
        <v>46231</v>
      </c>
      <c r="B2186" s="847" t="s">
        <v>880</v>
      </c>
      <c r="C2186">
        <v>3.9260000000000002</v>
      </c>
    </row>
    <row r="2187" spans="1:3" x14ac:dyDescent="0.3">
      <c r="A2187" s="35">
        <v>46232</v>
      </c>
      <c r="B2187" s="847" t="s">
        <v>880</v>
      </c>
      <c r="C2187">
        <v>3.9279999999999999</v>
      </c>
    </row>
    <row r="2188" spans="1:3" x14ac:dyDescent="0.3">
      <c r="A2188" s="35">
        <v>46233</v>
      </c>
      <c r="B2188" s="847" t="s">
        <v>880</v>
      </c>
      <c r="C2188">
        <v>3.93</v>
      </c>
    </row>
    <row r="2189" spans="1:3" x14ac:dyDescent="0.3">
      <c r="A2189" s="35">
        <v>46234</v>
      </c>
      <c r="B2189" s="847" t="s">
        <v>880</v>
      </c>
      <c r="C2189">
        <v>3.9279999999999999</v>
      </c>
    </row>
    <row r="2190" spans="1:3" x14ac:dyDescent="0.3">
      <c r="A2190" s="35">
        <v>46237</v>
      </c>
      <c r="B2190" s="847" t="s">
        <v>880</v>
      </c>
      <c r="C2190">
        <v>3.95</v>
      </c>
    </row>
    <row r="2191" spans="1:3" x14ac:dyDescent="0.3">
      <c r="A2191" s="35">
        <v>46238</v>
      </c>
      <c r="B2191" s="847" t="s">
        <v>880</v>
      </c>
      <c r="C2191">
        <v>3.9529999999999998</v>
      </c>
    </row>
    <row r="2192" spans="1:3" x14ac:dyDescent="0.3">
      <c r="A2192" s="35">
        <v>46239</v>
      </c>
      <c r="B2192" s="847" t="s">
        <v>880</v>
      </c>
      <c r="C2192">
        <v>3.95</v>
      </c>
    </row>
    <row r="2193" spans="1:3" x14ac:dyDescent="0.3">
      <c r="A2193" s="35">
        <v>46240</v>
      </c>
      <c r="B2193" s="847" t="s">
        <v>880</v>
      </c>
      <c r="C2193">
        <v>3.956</v>
      </c>
    </row>
    <row r="2194" spans="1:3" x14ac:dyDescent="0.3">
      <c r="A2194" s="35">
        <v>46241</v>
      </c>
      <c r="B2194" s="847" t="s">
        <v>880</v>
      </c>
      <c r="C2194">
        <v>3.9569999999999999</v>
      </c>
    </row>
    <row r="2195" spans="1:3" x14ac:dyDescent="0.3">
      <c r="A2195" s="35">
        <v>46244</v>
      </c>
      <c r="B2195" s="847" t="s">
        <v>880</v>
      </c>
      <c r="C2195">
        <v>3.9620000000000002</v>
      </c>
    </row>
    <row r="2196" spans="1:3" x14ac:dyDescent="0.3">
      <c r="A2196" s="35">
        <v>46245</v>
      </c>
      <c r="B2196" s="847" t="s">
        <v>880</v>
      </c>
      <c r="C2196">
        <v>3.9620000000000002</v>
      </c>
    </row>
    <row r="2197" spans="1:3" x14ac:dyDescent="0.3">
      <c r="A2197" s="35">
        <v>46246</v>
      </c>
      <c r="B2197" s="847" t="s">
        <v>880</v>
      </c>
      <c r="C2197">
        <v>3.9689999999999999</v>
      </c>
    </row>
    <row r="2198" spans="1:3" x14ac:dyDescent="0.3">
      <c r="A2198" s="35">
        <v>46247</v>
      </c>
      <c r="B2198" s="847" t="s">
        <v>880</v>
      </c>
      <c r="C2198">
        <v>3.976</v>
      </c>
    </row>
    <row r="2199" spans="1:3" x14ac:dyDescent="0.3">
      <c r="A2199" s="35">
        <v>46248</v>
      </c>
      <c r="B2199" s="847" t="s">
        <v>880</v>
      </c>
      <c r="C2199">
        <v>3.9710000000000001</v>
      </c>
    </row>
    <row r="2200" spans="1:3" x14ac:dyDescent="0.3">
      <c r="A2200" s="35">
        <v>46251</v>
      </c>
      <c r="B2200" s="847" t="s">
        <v>880</v>
      </c>
      <c r="C2200">
        <v>3.976</v>
      </c>
    </row>
    <row r="2201" spans="1:3" x14ac:dyDescent="0.3">
      <c r="A2201" s="35">
        <v>46252</v>
      </c>
      <c r="B2201" s="847" t="s">
        <v>880</v>
      </c>
      <c r="C2201">
        <v>3.9710000000000001</v>
      </c>
    </row>
    <row r="2202" spans="1:3" x14ac:dyDescent="0.3">
      <c r="A2202" s="35">
        <v>45852</v>
      </c>
      <c r="B2202" s="847" t="s">
        <v>881</v>
      </c>
      <c r="C2202">
        <v>2.669</v>
      </c>
    </row>
    <row r="2203" spans="1:3" x14ac:dyDescent="0.3">
      <c r="A2203" s="35">
        <v>45853</v>
      </c>
      <c r="B2203" s="847" t="s">
        <v>881</v>
      </c>
      <c r="C2203">
        <v>2.669</v>
      </c>
    </row>
    <row r="2204" spans="1:3" x14ac:dyDescent="0.3">
      <c r="A2204" s="35">
        <v>45854</v>
      </c>
      <c r="B2204" s="847" t="s">
        <v>881</v>
      </c>
      <c r="C2204">
        <v>2.6739999999999999</v>
      </c>
    </row>
    <row r="2205" spans="1:3" x14ac:dyDescent="0.3">
      <c r="A2205" s="35">
        <v>45855</v>
      </c>
      <c r="B2205" s="847" t="s">
        <v>881</v>
      </c>
      <c r="C2205">
        <v>2.6739999999999999</v>
      </c>
    </row>
    <row r="2206" spans="1:3" x14ac:dyDescent="0.3">
      <c r="A2206" s="35">
        <v>45856</v>
      </c>
      <c r="B2206" s="847" t="s">
        <v>881</v>
      </c>
      <c r="C2206">
        <v>2.6840000000000002</v>
      </c>
    </row>
    <row r="2207" spans="1:3" x14ac:dyDescent="0.3">
      <c r="A2207" s="35">
        <v>45859</v>
      </c>
      <c r="B2207" s="847" t="s">
        <v>881</v>
      </c>
      <c r="C2207">
        <v>2.6909999999999998</v>
      </c>
    </row>
    <row r="2208" spans="1:3" x14ac:dyDescent="0.3">
      <c r="A2208" s="35">
        <v>45860</v>
      </c>
      <c r="B2208" s="847" t="s">
        <v>881</v>
      </c>
      <c r="C2208">
        <v>2.69</v>
      </c>
    </row>
    <row r="2209" spans="1:3" x14ac:dyDescent="0.3">
      <c r="A2209" s="35">
        <v>45861</v>
      </c>
      <c r="B2209" s="847" t="s">
        <v>881</v>
      </c>
      <c r="C2209">
        <v>2.7109999999999999</v>
      </c>
    </row>
    <row r="2210" spans="1:3" x14ac:dyDescent="0.3">
      <c r="A2210" s="35">
        <v>45862</v>
      </c>
      <c r="B2210" s="847" t="s">
        <v>881</v>
      </c>
      <c r="C2210">
        <v>2.7320000000000002</v>
      </c>
    </row>
    <row r="2211" spans="1:3" x14ac:dyDescent="0.3">
      <c r="A2211" s="35">
        <v>45863</v>
      </c>
      <c r="B2211" s="847" t="s">
        <v>881</v>
      </c>
      <c r="C2211">
        <v>2.734</v>
      </c>
    </row>
    <row r="2212" spans="1:3" x14ac:dyDescent="0.3">
      <c r="A2212" s="35">
        <v>45866</v>
      </c>
      <c r="B2212" s="847" t="s">
        <v>881</v>
      </c>
      <c r="C2212">
        <v>2.734</v>
      </c>
    </row>
    <row r="2213" spans="1:3" x14ac:dyDescent="0.3">
      <c r="A2213" s="35">
        <v>45867</v>
      </c>
      <c r="B2213" s="847" t="s">
        <v>881</v>
      </c>
      <c r="C2213">
        <v>2.7410000000000001</v>
      </c>
    </row>
    <row r="2214" spans="1:3" x14ac:dyDescent="0.3">
      <c r="A2214" s="35">
        <v>45868</v>
      </c>
      <c r="B2214" s="847" t="s">
        <v>881</v>
      </c>
      <c r="C2214">
        <v>2.7429999999999999</v>
      </c>
    </row>
    <row r="2215" spans="1:3" x14ac:dyDescent="0.3">
      <c r="A2215" s="35">
        <v>45869</v>
      </c>
      <c r="B2215" s="847" t="s">
        <v>881</v>
      </c>
      <c r="C2215">
        <v>2.7490000000000001</v>
      </c>
    </row>
    <row r="2216" spans="1:3" x14ac:dyDescent="0.3">
      <c r="A2216" s="35">
        <v>45870</v>
      </c>
      <c r="B2216" s="847" t="s">
        <v>881</v>
      </c>
      <c r="C2216">
        <v>2.7589999999999999</v>
      </c>
    </row>
    <row r="2217" spans="1:3" x14ac:dyDescent="0.3">
      <c r="A2217" s="35">
        <v>45873</v>
      </c>
      <c r="B2217" s="847" t="s">
        <v>881</v>
      </c>
      <c r="C2217">
        <v>2.7589999999999999</v>
      </c>
    </row>
    <row r="2218" spans="1:3" x14ac:dyDescent="0.3">
      <c r="A2218" s="35">
        <v>45874</v>
      </c>
      <c r="B2218" s="847" t="s">
        <v>881</v>
      </c>
      <c r="C2218">
        <v>2.7629999999999999</v>
      </c>
    </row>
    <row r="2219" spans="1:3" x14ac:dyDescent="0.3">
      <c r="A2219" s="35">
        <v>45875</v>
      </c>
      <c r="B2219" s="847" t="s">
        <v>881</v>
      </c>
      <c r="C2219">
        <v>2.7639999999999998</v>
      </c>
    </row>
    <row r="2220" spans="1:3" x14ac:dyDescent="0.3">
      <c r="A2220" s="35">
        <v>45876</v>
      </c>
      <c r="B2220" s="847" t="s">
        <v>881</v>
      </c>
      <c r="C2220">
        <v>2.7690000000000001</v>
      </c>
    </row>
    <row r="2221" spans="1:3" x14ac:dyDescent="0.3">
      <c r="A2221" s="35">
        <v>45877</v>
      </c>
      <c r="B2221" s="847" t="s">
        <v>881</v>
      </c>
      <c r="C2221">
        <v>2.7719999999999998</v>
      </c>
    </row>
    <row r="2222" spans="1:3" x14ac:dyDescent="0.3">
      <c r="A2222" s="35">
        <v>45880</v>
      </c>
      <c r="B2222" s="847" t="s">
        <v>881</v>
      </c>
      <c r="C2222">
        <v>2.7719999999999998</v>
      </c>
    </row>
    <row r="2223" spans="1:3" x14ac:dyDescent="0.3">
      <c r="A2223" s="35">
        <v>45881</v>
      </c>
      <c r="B2223" s="847" t="s">
        <v>881</v>
      </c>
      <c r="C2223">
        <v>2.7759999999999998</v>
      </c>
    </row>
    <row r="2224" spans="1:3" x14ac:dyDescent="0.3">
      <c r="A2224" s="35">
        <v>45882</v>
      </c>
      <c r="B2224" s="847" t="s">
        <v>881</v>
      </c>
      <c r="C2224">
        <v>2.7789999999999999</v>
      </c>
    </row>
    <row r="2225" spans="1:3" x14ac:dyDescent="0.3">
      <c r="A2225" s="35">
        <v>45883</v>
      </c>
      <c r="B2225" s="847" t="s">
        <v>881</v>
      </c>
      <c r="C2225">
        <v>2.823</v>
      </c>
    </row>
    <row r="2226" spans="1:3" x14ac:dyDescent="0.3">
      <c r="A2226" s="35">
        <v>45884</v>
      </c>
      <c r="B2226" s="847" t="s">
        <v>881</v>
      </c>
      <c r="C2226">
        <v>2.8370000000000002</v>
      </c>
    </row>
    <row r="2227" spans="1:3" x14ac:dyDescent="0.3">
      <c r="A2227" s="35">
        <v>45887</v>
      </c>
      <c r="B2227" s="847" t="s">
        <v>881</v>
      </c>
      <c r="C2227">
        <v>2.83</v>
      </c>
    </row>
    <row r="2228" spans="1:3" x14ac:dyDescent="0.3">
      <c r="A2228" s="35">
        <v>45888</v>
      </c>
      <c r="B2228" s="847" t="s">
        <v>881</v>
      </c>
      <c r="C2228">
        <v>2.823</v>
      </c>
    </row>
    <row r="2229" spans="1:3" x14ac:dyDescent="0.3">
      <c r="A2229" s="35">
        <v>45889</v>
      </c>
      <c r="B2229" s="847" t="s">
        <v>881</v>
      </c>
      <c r="C2229">
        <v>2.831</v>
      </c>
    </row>
    <row r="2230" spans="1:3" x14ac:dyDescent="0.3">
      <c r="A2230" s="35">
        <v>45890</v>
      </c>
      <c r="B2230" s="847" t="s">
        <v>881</v>
      </c>
      <c r="C2230">
        <v>2.855</v>
      </c>
    </row>
    <row r="2231" spans="1:3" x14ac:dyDescent="0.3">
      <c r="A2231" s="35">
        <v>45891</v>
      </c>
      <c r="B2231" s="847" t="s">
        <v>881</v>
      </c>
      <c r="C2231">
        <v>2.9289999999999998</v>
      </c>
    </row>
    <row r="2232" spans="1:3" x14ac:dyDescent="0.3">
      <c r="A2232" s="35">
        <v>45894</v>
      </c>
      <c r="B2232" s="847" t="s">
        <v>881</v>
      </c>
      <c r="C2232">
        <v>2.996</v>
      </c>
    </row>
    <row r="2233" spans="1:3" x14ac:dyDescent="0.3">
      <c r="A2233" s="35">
        <v>45895</v>
      </c>
      <c r="B2233" s="847" t="s">
        <v>881</v>
      </c>
      <c r="C2233">
        <v>3.01</v>
      </c>
    </row>
    <row r="2234" spans="1:3" x14ac:dyDescent="0.3">
      <c r="A2234" s="35">
        <v>45896</v>
      </c>
      <c r="B2234" s="847" t="s">
        <v>881</v>
      </c>
      <c r="C2234">
        <v>3.0139999999999998</v>
      </c>
    </row>
    <row r="2235" spans="1:3" x14ac:dyDescent="0.3">
      <c r="A2235" s="35">
        <v>45897</v>
      </c>
      <c r="B2235" s="847" t="s">
        <v>881</v>
      </c>
      <c r="C2235">
        <v>3.01</v>
      </c>
    </row>
    <row r="2236" spans="1:3" x14ac:dyDescent="0.3">
      <c r="A2236" s="35">
        <v>45898</v>
      </c>
      <c r="B2236" s="847" t="s">
        <v>881</v>
      </c>
      <c r="C2236">
        <v>3.01</v>
      </c>
    </row>
    <row r="2237" spans="1:3" x14ac:dyDescent="0.3">
      <c r="A2237" s="35">
        <v>45903</v>
      </c>
      <c r="B2237" s="847" t="s">
        <v>881</v>
      </c>
      <c r="C2237">
        <v>3.0070000000000001</v>
      </c>
    </row>
    <row r="2238" spans="1:3" x14ac:dyDescent="0.3">
      <c r="A2238" s="35">
        <v>45904</v>
      </c>
      <c r="B2238" s="847" t="s">
        <v>881</v>
      </c>
      <c r="C2238">
        <v>3.0070000000000001</v>
      </c>
    </row>
    <row r="2239" spans="1:3" x14ac:dyDescent="0.3">
      <c r="A2239" s="35">
        <v>45905</v>
      </c>
      <c r="B2239" s="847" t="s">
        <v>881</v>
      </c>
      <c r="C2239">
        <v>3.0070000000000001</v>
      </c>
    </row>
    <row r="2240" spans="1:3" x14ac:dyDescent="0.3">
      <c r="A2240" s="35">
        <v>45908</v>
      </c>
      <c r="B2240" s="847" t="s">
        <v>881</v>
      </c>
      <c r="C2240">
        <v>3.0070000000000001</v>
      </c>
    </row>
    <row r="2241" spans="1:3" x14ac:dyDescent="0.3">
      <c r="A2241" s="35">
        <v>45909</v>
      </c>
      <c r="B2241" s="847" t="s">
        <v>881</v>
      </c>
      <c r="C2241">
        <v>3.0070000000000001</v>
      </c>
    </row>
    <row r="2242" spans="1:3" x14ac:dyDescent="0.3">
      <c r="A2242" s="35">
        <v>45910</v>
      </c>
      <c r="B2242" s="847" t="s">
        <v>881</v>
      </c>
      <c r="C2242">
        <v>3.0179999999999998</v>
      </c>
    </row>
    <row r="2243" spans="1:3" x14ac:dyDescent="0.3">
      <c r="A2243" s="35">
        <v>45911</v>
      </c>
      <c r="B2243" s="847" t="s">
        <v>881</v>
      </c>
      <c r="C2243">
        <v>3.01</v>
      </c>
    </row>
    <row r="2244" spans="1:3" x14ac:dyDescent="0.3">
      <c r="A2244" s="35">
        <v>45912</v>
      </c>
      <c r="B2244" s="847" t="s">
        <v>881</v>
      </c>
      <c r="C2244">
        <v>3.0169999999999999</v>
      </c>
    </row>
    <row r="2245" spans="1:3" x14ac:dyDescent="0.3">
      <c r="A2245" s="35">
        <v>45915</v>
      </c>
      <c r="B2245" s="847" t="s">
        <v>881</v>
      </c>
      <c r="C2245">
        <v>3.0209999999999999</v>
      </c>
    </row>
    <row r="2246" spans="1:3" x14ac:dyDescent="0.3">
      <c r="A2246" s="35">
        <v>45916</v>
      </c>
      <c r="B2246" s="847" t="s">
        <v>881</v>
      </c>
      <c r="C2246">
        <v>3.0059999999999998</v>
      </c>
    </row>
    <row r="2247" spans="1:3" x14ac:dyDescent="0.3">
      <c r="A2247" s="35">
        <v>45917</v>
      </c>
      <c r="B2247" s="847" t="s">
        <v>881</v>
      </c>
      <c r="C2247">
        <v>3.0059999999999998</v>
      </c>
    </row>
    <row r="2248" spans="1:3" x14ac:dyDescent="0.3">
      <c r="A2248" s="35">
        <v>45918</v>
      </c>
      <c r="B2248" s="847" t="s">
        <v>881</v>
      </c>
      <c r="C2248">
        <v>3.0169999999999999</v>
      </c>
    </row>
    <row r="2249" spans="1:3" x14ac:dyDescent="0.3">
      <c r="A2249" s="35">
        <v>45919</v>
      </c>
      <c r="B2249" s="847" t="s">
        <v>881</v>
      </c>
      <c r="C2249">
        <v>3.024</v>
      </c>
    </row>
    <row r="2250" spans="1:3" x14ac:dyDescent="0.3">
      <c r="A2250" s="35">
        <v>45922</v>
      </c>
      <c r="B2250" s="847" t="s">
        <v>881</v>
      </c>
      <c r="C2250">
        <v>3.024</v>
      </c>
    </row>
    <row r="2251" spans="1:3" x14ac:dyDescent="0.3">
      <c r="A2251" s="35">
        <v>45923</v>
      </c>
      <c r="B2251" s="847" t="s">
        <v>881</v>
      </c>
      <c r="C2251">
        <v>3.0310000000000001</v>
      </c>
    </row>
    <row r="2252" spans="1:3" x14ac:dyDescent="0.3">
      <c r="A2252" s="35">
        <v>45924</v>
      </c>
      <c r="B2252" s="847" t="s">
        <v>881</v>
      </c>
      <c r="C2252">
        <v>3.0390000000000001</v>
      </c>
    </row>
    <row r="2253" spans="1:3" x14ac:dyDescent="0.3">
      <c r="A2253" s="35">
        <v>45925</v>
      </c>
      <c r="B2253" s="847" t="s">
        <v>881</v>
      </c>
      <c r="C2253">
        <v>3.036</v>
      </c>
    </row>
    <row r="2254" spans="1:3" x14ac:dyDescent="0.3">
      <c r="A2254" s="35">
        <v>45926</v>
      </c>
      <c r="B2254" s="847" t="s">
        <v>881</v>
      </c>
      <c r="C2254">
        <v>3.0590000000000002</v>
      </c>
    </row>
    <row r="2255" spans="1:3" x14ac:dyDescent="0.3">
      <c r="A2255" s="35">
        <v>45929</v>
      </c>
      <c r="B2255" s="847" t="s">
        <v>881</v>
      </c>
      <c r="C2255">
        <v>3.0590000000000002</v>
      </c>
    </row>
    <row r="2256" spans="1:3" x14ac:dyDescent="0.3">
      <c r="A2256" s="35">
        <v>45930</v>
      </c>
      <c r="B2256" s="847" t="s">
        <v>881</v>
      </c>
      <c r="C2256">
        <v>3.0569999999999999</v>
      </c>
    </row>
    <row r="2257" spans="1:3" x14ac:dyDescent="0.3">
      <c r="A2257" s="35">
        <v>45931</v>
      </c>
      <c r="B2257" s="847" t="s">
        <v>881</v>
      </c>
      <c r="C2257">
        <v>3.0609999999999999</v>
      </c>
    </row>
    <row r="2258" spans="1:3" x14ac:dyDescent="0.3">
      <c r="A2258" s="35">
        <v>45932</v>
      </c>
      <c r="B2258" s="847" t="s">
        <v>881</v>
      </c>
      <c r="C2258">
        <v>3.0859999999999999</v>
      </c>
    </row>
    <row r="2259" spans="1:3" x14ac:dyDescent="0.3">
      <c r="A2259" s="35">
        <v>45933</v>
      </c>
      <c r="B2259" s="847" t="s">
        <v>881</v>
      </c>
      <c r="C2259">
        <v>3.0859999999999999</v>
      </c>
    </row>
    <row r="2260" spans="1:3" x14ac:dyDescent="0.3">
      <c r="A2260" s="35">
        <v>45936</v>
      </c>
      <c r="B2260" s="847" t="s">
        <v>881</v>
      </c>
      <c r="C2260">
        <v>3.0859999999999999</v>
      </c>
    </row>
    <row r="2261" spans="1:3" x14ac:dyDescent="0.3">
      <c r="A2261" s="35">
        <v>45937</v>
      </c>
      <c r="B2261" s="847" t="s">
        <v>881</v>
      </c>
      <c r="C2261">
        <v>3.09</v>
      </c>
    </row>
    <row r="2262" spans="1:3" x14ac:dyDescent="0.3">
      <c r="A2262" s="35">
        <v>45938</v>
      </c>
      <c r="B2262" s="847" t="s">
        <v>881</v>
      </c>
      <c r="C2262">
        <v>3.0859999999999999</v>
      </c>
    </row>
    <row r="2263" spans="1:3" x14ac:dyDescent="0.3">
      <c r="A2263" s="35">
        <v>45939</v>
      </c>
      <c r="B2263" s="847" t="s">
        <v>881</v>
      </c>
      <c r="C2263">
        <v>3.1240000000000001</v>
      </c>
    </row>
    <row r="2264" spans="1:3" x14ac:dyDescent="0.3">
      <c r="A2264" s="35">
        <v>45940</v>
      </c>
      <c r="B2264" s="847" t="s">
        <v>881</v>
      </c>
      <c r="C2264">
        <v>3.129</v>
      </c>
    </row>
    <row r="2265" spans="1:3" x14ac:dyDescent="0.3">
      <c r="A2265" s="35">
        <v>45943</v>
      </c>
      <c r="B2265" s="847" t="s">
        <v>881</v>
      </c>
      <c r="C2265">
        <v>3.129</v>
      </c>
    </row>
    <row r="2266" spans="1:3" x14ac:dyDescent="0.3">
      <c r="A2266" s="35">
        <v>45944</v>
      </c>
      <c r="B2266" s="847" t="s">
        <v>881</v>
      </c>
      <c r="C2266">
        <v>3.129</v>
      </c>
    </row>
    <row r="2267" spans="1:3" x14ac:dyDescent="0.3">
      <c r="A2267" s="35">
        <v>45945</v>
      </c>
      <c r="B2267" s="847" t="s">
        <v>881</v>
      </c>
      <c r="C2267">
        <v>3.129</v>
      </c>
    </row>
    <row r="2268" spans="1:3" x14ac:dyDescent="0.3">
      <c r="A2268" s="35">
        <v>45946</v>
      </c>
      <c r="B2268" s="847" t="s">
        <v>881</v>
      </c>
      <c r="C2268">
        <v>3.1509999999999998</v>
      </c>
    </row>
    <row r="2269" spans="1:3" x14ac:dyDescent="0.3">
      <c r="A2269" s="35">
        <v>45947</v>
      </c>
      <c r="B2269" s="847" t="s">
        <v>881</v>
      </c>
      <c r="C2269">
        <v>3.1509999999999998</v>
      </c>
    </row>
    <row r="2270" spans="1:3" x14ac:dyDescent="0.3">
      <c r="A2270" s="35">
        <v>45950</v>
      </c>
      <c r="B2270" s="847" t="s">
        <v>881</v>
      </c>
      <c r="C2270">
        <v>3.1509999999999998</v>
      </c>
    </row>
    <row r="2271" spans="1:3" x14ac:dyDescent="0.3">
      <c r="A2271" s="35">
        <v>45951</v>
      </c>
      <c r="B2271" s="847" t="s">
        <v>881</v>
      </c>
      <c r="C2271">
        <v>3.1509999999999998</v>
      </c>
    </row>
    <row r="2272" spans="1:3" x14ac:dyDescent="0.3">
      <c r="A2272" s="35">
        <v>45952</v>
      </c>
      <c r="B2272" s="847" t="s">
        <v>881</v>
      </c>
      <c r="C2272">
        <v>3.16</v>
      </c>
    </row>
    <row r="2273" spans="1:3" x14ac:dyDescent="0.3">
      <c r="A2273" s="35">
        <v>45953</v>
      </c>
      <c r="B2273" s="847" t="s">
        <v>881</v>
      </c>
      <c r="C2273">
        <v>3.16</v>
      </c>
    </row>
    <row r="2274" spans="1:3" x14ac:dyDescent="0.3">
      <c r="A2274" s="35">
        <v>45954</v>
      </c>
      <c r="B2274" s="847" t="s">
        <v>881</v>
      </c>
      <c r="C2274">
        <v>3.1640000000000001</v>
      </c>
    </row>
    <row r="2275" spans="1:3" x14ac:dyDescent="0.3">
      <c r="A2275" s="35">
        <v>45957</v>
      </c>
      <c r="B2275" s="847" t="s">
        <v>881</v>
      </c>
      <c r="C2275">
        <v>3.1640000000000001</v>
      </c>
    </row>
    <row r="2276" spans="1:3" x14ac:dyDescent="0.3">
      <c r="A2276" s="35">
        <v>45958</v>
      </c>
      <c r="B2276" s="847" t="s">
        <v>881</v>
      </c>
      <c r="C2276">
        <v>3.1640000000000001</v>
      </c>
    </row>
    <row r="2277" spans="1:3" x14ac:dyDescent="0.3">
      <c r="A2277" s="35">
        <v>45959</v>
      </c>
      <c r="B2277" s="847" t="s">
        <v>881</v>
      </c>
      <c r="C2277">
        <v>3.1640000000000001</v>
      </c>
    </row>
    <row r="2278" spans="1:3" x14ac:dyDescent="0.3">
      <c r="A2278" s="35">
        <v>45960</v>
      </c>
      <c r="B2278" s="847" t="s">
        <v>881</v>
      </c>
      <c r="C2278">
        <v>3.1640000000000001</v>
      </c>
    </row>
    <row r="2279" spans="1:3" x14ac:dyDescent="0.3">
      <c r="A2279" s="35">
        <v>45961</v>
      </c>
      <c r="B2279" s="847" t="s">
        <v>881</v>
      </c>
      <c r="C2279">
        <v>3.1640000000000001</v>
      </c>
    </row>
    <row r="2280" spans="1:3" x14ac:dyDescent="0.3">
      <c r="A2280" s="35">
        <v>45964</v>
      </c>
      <c r="B2280" s="847" t="s">
        <v>881</v>
      </c>
      <c r="C2280">
        <v>3.1640000000000001</v>
      </c>
    </row>
    <row r="2281" spans="1:3" x14ac:dyDescent="0.3">
      <c r="A2281" s="35">
        <v>45965</v>
      </c>
      <c r="B2281" s="847" t="s">
        <v>881</v>
      </c>
      <c r="C2281">
        <v>3.1640000000000001</v>
      </c>
    </row>
    <row r="2282" spans="1:3" x14ac:dyDescent="0.3">
      <c r="A2282" s="35">
        <v>45966</v>
      </c>
      <c r="B2282" s="847" t="s">
        <v>881</v>
      </c>
      <c r="C2282">
        <v>3.1640000000000001</v>
      </c>
    </row>
    <row r="2283" spans="1:3" x14ac:dyDescent="0.3">
      <c r="A2283" s="35">
        <v>45967</v>
      </c>
      <c r="B2283" s="847" t="s">
        <v>881</v>
      </c>
      <c r="C2283">
        <v>3.1680000000000001</v>
      </c>
    </row>
    <row r="2284" spans="1:3" x14ac:dyDescent="0.3">
      <c r="A2284" s="35">
        <v>45968</v>
      </c>
      <c r="B2284" s="847" t="s">
        <v>881</v>
      </c>
      <c r="C2284">
        <v>3.1680000000000001</v>
      </c>
    </row>
    <row r="2285" spans="1:3" x14ac:dyDescent="0.3">
      <c r="A2285" s="35">
        <v>45971</v>
      </c>
      <c r="B2285" s="847" t="s">
        <v>881</v>
      </c>
      <c r="C2285">
        <v>3.1720000000000002</v>
      </c>
    </row>
    <row r="2286" spans="1:3" x14ac:dyDescent="0.3">
      <c r="A2286" s="35">
        <v>45972</v>
      </c>
      <c r="B2286" s="847" t="s">
        <v>881</v>
      </c>
      <c r="C2286">
        <v>3.1760000000000002</v>
      </c>
    </row>
    <row r="2287" spans="1:3" x14ac:dyDescent="0.3">
      <c r="A2287" s="35">
        <v>45973</v>
      </c>
      <c r="B2287" s="847" t="s">
        <v>881</v>
      </c>
      <c r="C2287">
        <v>3.1760000000000002</v>
      </c>
    </row>
    <row r="2288" spans="1:3" x14ac:dyDescent="0.3">
      <c r="A2288" s="35">
        <v>45974</v>
      </c>
      <c r="B2288" s="847" t="s">
        <v>881</v>
      </c>
      <c r="C2288">
        <v>3.18</v>
      </c>
    </row>
    <row r="2289" spans="1:3" x14ac:dyDescent="0.3">
      <c r="A2289" s="35">
        <v>45975</v>
      </c>
      <c r="B2289" s="847" t="s">
        <v>881</v>
      </c>
      <c r="C2289">
        <v>3.18</v>
      </c>
    </row>
    <row r="2290" spans="1:3" x14ac:dyDescent="0.3">
      <c r="A2290" s="35">
        <v>45978</v>
      </c>
      <c r="B2290" s="847" t="s">
        <v>881</v>
      </c>
      <c r="C2290">
        <v>3.1829999999999998</v>
      </c>
    </row>
    <row r="2291" spans="1:3" x14ac:dyDescent="0.3">
      <c r="A2291" s="35">
        <v>45979</v>
      </c>
      <c r="B2291" s="847" t="s">
        <v>881</v>
      </c>
      <c r="C2291">
        <v>3.1829999999999998</v>
      </c>
    </row>
    <row r="2292" spans="1:3" x14ac:dyDescent="0.3">
      <c r="A2292" s="35">
        <v>45980</v>
      </c>
      <c r="B2292" s="847" t="s">
        <v>881</v>
      </c>
      <c r="C2292">
        <v>3.1829999999999998</v>
      </c>
    </row>
    <row r="2293" spans="1:3" x14ac:dyDescent="0.3">
      <c r="A2293" s="35">
        <v>45981</v>
      </c>
      <c r="B2293" s="847" t="s">
        <v>881</v>
      </c>
      <c r="C2293">
        <v>3.1859999999999999</v>
      </c>
    </row>
    <row r="2294" spans="1:3" x14ac:dyDescent="0.3">
      <c r="A2294" s="35">
        <v>45982</v>
      </c>
      <c r="B2294" s="847" t="s">
        <v>881</v>
      </c>
      <c r="C2294">
        <v>3.1859999999999999</v>
      </c>
    </row>
    <row r="2295" spans="1:3" x14ac:dyDescent="0.3">
      <c r="A2295" s="35">
        <v>45985</v>
      </c>
      <c r="B2295" s="847" t="s">
        <v>881</v>
      </c>
      <c r="C2295">
        <v>3.1859999999999999</v>
      </c>
    </row>
    <row r="2296" spans="1:3" x14ac:dyDescent="0.3">
      <c r="A2296" s="35">
        <v>45986</v>
      </c>
      <c r="B2296" s="847" t="s">
        <v>881</v>
      </c>
      <c r="C2296">
        <v>3.1859999999999999</v>
      </c>
    </row>
    <row r="2297" spans="1:3" x14ac:dyDescent="0.3">
      <c r="A2297" s="35">
        <v>45987</v>
      </c>
      <c r="B2297" s="847" t="s">
        <v>881</v>
      </c>
      <c r="C2297">
        <v>3.1859999999999999</v>
      </c>
    </row>
    <row r="2298" spans="1:3" x14ac:dyDescent="0.3">
      <c r="A2298" s="35">
        <v>45988</v>
      </c>
      <c r="B2298" s="847" t="s">
        <v>881</v>
      </c>
      <c r="C2298">
        <v>3.1859999999999999</v>
      </c>
    </row>
    <row r="2299" spans="1:3" x14ac:dyDescent="0.3">
      <c r="A2299" s="35">
        <v>45989</v>
      </c>
      <c r="B2299" s="847" t="s">
        <v>881</v>
      </c>
      <c r="C2299">
        <v>3.1859999999999999</v>
      </c>
    </row>
    <row r="2300" spans="1:3" x14ac:dyDescent="0.3">
      <c r="A2300" s="35">
        <v>45992</v>
      </c>
      <c r="B2300" s="847" t="s">
        <v>881</v>
      </c>
      <c r="C2300">
        <v>3.1859999999999999</v>
      </c>
    </row>
    <row r="2301" spans="1:3" x14ac:dyDescent="0.3">
      <c r="A2301" s="35">
        <v>45993</v>
      </c>
      <c r="B2301" s="847" t="s">
        <v>881</v>
      </c>
      <c r="C2301">
        <v>3.1930000000000001</v>
      </c>
    </row>
    <row r="2302" spans="1:3" x14ac:dyDescent="0.3">
      <c r="A2302" s="35">
        <v>45994</v>
      </c>
      <c r="B2302" s="847" t="s">
        <v>881</v>
      </c>
      <c r="C2302">
        <v>3.1930000000000001</v>
      </c>
    </row>
    <row r="2303" spans="1:3" x14ac:dyDescent="0.3">
      <c r="A2303" s="35">
        <v>45995</v>
      </c>
      <c r="B2303" s="847" t="s">
        <v>881</v>
      </c>
      <c r="C2303">
        <v>3.2</v>
      </c>
    </row>
    <row r="2304" spans="1:3" x14ac:dyDescent="0.3">
      <c r="A2304" s="35">
        <v>45996</v>
      </c>
      <c r="B2304" s="847" t="s">
        <v>881</v>
      </c>
      <c r="C2304">
        <v>3.2</v>
      </c>
    </row>
    <row r="2305" spans="1:3" x14ac:dyDescent="0.3">
      <c r="A2305" s="35">
        <v>45999</v>
      </c>
      <c r="B2305" s="847" t="s">
        <v>881</v>
      </c>
      <c r="C2305">
        <v>3.2040000000000002</v>
      </c>
    </row>
    <row r="2306" spans="1:3" x14ac:dyDescent="0.3">
      <c r="A2306" s="35">
        <v>46000</v>
      </c>
      <c r="B2306" s="847" t="s">
        <v>881</v>
      </c>
      <c r="C2306">
        <v>3.2040000000000002</v>
      </c>
    </row>
    <row r="2307" spans="1:3" x14ac:dyDescent="0.3">
      <c r="A2307" s="35">
        <v>46001</v>
      </c>
      <c r="B2307" s="847" t="s">
        <v>881</v>
      </c>
      <c r="C2307">
        <v>3.2040000000000002</v>
      </c>
    </row>
    <row r="2308" spans="1:3" x14ac:dyDescent="0.3">
      <c r="A2308" s="35">
        <v>46002</v>
      </c>
      <c r="B2308" s="847" t="s">
        <v>881</v>
      </c>
      <c r="C2308">
        <v>3.214</v>
      </c>
    </row>
    <row r="2309" spans="1:3" x14ac:dyDescent="0.3">
      <c r="A2309" s="35">
        <v>46003</v>
      </c>
      <c r="B2309" s="847" t="s">
        <v>881</v>
      </c>
      <c r="C2309">
        <v>3.214</v>
      </c>
    </row>
    <row r="2310" spans="1:3" x14ac:dyDescent="0.3">
      <c r="A2310" s="35">
        <v>46006</v>
      </c>
      <c r="B2310" s="847" t="s">
        <v>881</v>
      </c>
      <c r="C2310">
        <v>3.214</v>
      </c>
    </row>
    <row r="2311" spans="1:3" x14ac:dyDescent="0.3">
      <c r="A2311" s="35">
        <v>46007</v>
      </c>
      <c r="B2311" s="847" t="s">
        <v>881</v>
      </c>
      <c r="C2311">
        <v>3.2280000000000002</v>
      </c>
    </row>
    <row r="2312" spans="1:3" x14ac:dyDescent="0.3">
      <c r="A2312" s="35">
        <v>46008</v>
      </c>
      <c r="B2312" s="847" t="s">
        <v>881</v>
      </c>
      <c r="C2312">
        <v>3.2210000000000001</v>
      </c>
    </row>
    <row r="2313" spans="1:3" x14ac:dyDescent="0.3">
      <c r="A2313" s="35">
        <v>46009</v>
      </c>
      <c r="B2313" s="847" t="s">
        <v>881</v>
      </c>
      <c r="C2313">
        <v>3.2210000000000001</v>
      </c>
    </row>
    <row r="2314" spans="1:3" x14ac:dyDescent="0.3">
      <c r="A2314" s="35">
        <v>46010</v>
      </c>
      <c r="B2314" s="847" t="s">
        <v>881</v>
      </c>
      <c r="C2314">
        <v>3.2280000000000002</v>
      </c>
    </row>
    <row r="2315" spans="1:3" x14ac:dyDescent="0.3">
      <c r="A2315" s="35">
        <v>46013</v>
      </c>
      <c r="B2315" s="847" t="s">
        <v>881</v>
      </c>
      <c r="C2315">
        <v>3.2280000000000002</v>
      </c>
    </row>
    <row r="2316" spans="1:3" x14ac:dyDescent="0.3">
      <c r="A2316" s="35">
        <v>46014</v>
      </c>
      <c r="B2316" s="847" t="s">
        <v>881</v>
      </c>
      <c r="C2316">
        <v>3.2349999999999999</v>
      </c>
    </row>
    <row r="2317" spans="1:3" x14ac:dyDescent="0.3">
      <c r="A2317" s="35">
        <v>46015</v>
      </c>
      <c r="B2317" s="847" t="s">
        <v>881</v>
      </c>
      <c r="C2317">
        <v>3.2349999999999999</v>
      </c>
    </row>
    <row r="2318" spans="1:3" x14ac:dyDescent="0.3">
      <c r="A2318" s="35">
        <v>46016</v>
      </c>
      <c r="B2318" s="847" t="s">
        <v>881</v>
      </c>
      <c r="C2318">
        <v>3.2349999999999999</v>
      </c>
    </row>
    <row r="2319" spans="1:3" x14ac:dyDescent="0.3">
      <c r="A2319" s="35">
        <v>46017</v>
      </c>
      <c r="B2319" s="847" t="s">
        <v>881</v>
      </c>
      <c r="C2319">
        <v>3.2389999999999999</v>
      </c>
    </row>
    <row r="2320" spans="1:3" x14ac:dyDescent="0.3">
      <c r="A2320" s="35">
        <v>46020</v>
      </c>
      <c r="B2320" s="847" t="s">
        <v>881</v>
      </c>
      <c r="C2320">
        <v>3.246</v>
      </c>
    </row>
    <row r="2321" spans="1:3" x14ac:dyDescent="0.3">
      <c r="A2321" s="35">
        <v>46021</v>
      </c>
      <c r="B2321" s="847" t="s">
        <v>881</v>
      </c>
      <c r="C2321">
        <v>3.246</v>
      </c>
    </row>
    <row r="2322" spans="1:3" x14ac:dyDescent="0.3">
      <c r="A2322" s="35">
        <v>46022</v>
      </c>
      <c r="B2322" s="847" t="s">
        <v>881</v>
      </c>
      <c r="C2322">
        <v>3.254</v>
      </c>
    </row>
    <row r="2323" spans="1:3" x14ac:dyDescent="0.3">
      <c r="A2323" s="35">
        <v>46027</v>
      </c>
      <c r="B2323" s="847" t="s">
        <v>881</v>
      </c>
      <c r="C2323">
        <v>3.2509999999999999</v>
      </c>
    </row>
    <row r="2324" spans="1:3" x14ac:dyDescent="0.3">
      <c r="A2324" s="35">
        <v>46028</v>
      </c>
      <c r="B2324" s="847" t="s">
        <v>881</v>
      </c>
      <c r="C2324">
        <v>3.2509999999999999</v>
      </c>
    </row>
    <row r="2325" spans="1:3" x14ac:dyDescent="0.3">
      <c r="A2325" s="35">
        <v>46029</v>
      </c>
      <c r="B2325" s="847" t="s">
        <v>881</v>
      </c>
      <c r="C2325">
        <v>3.3260000000000001</v>
      </c>
    </row>
    <row r="2326" spans="1:3" x14ac:dyDescent="0.3">
      <c r="A2326" s="35">
        <v>46030</v>
      </c>
      <c r="B2326" s="847" t="s">
        <v>881</v>
      </c>
      <c r="C2326">
        <v>3.468</v>
      </c>
    </row>
    <row r="2327" spans="1:3" x14ac:dyDescent="0.3">
      <c r="A2327" s="35">
        <v>46031</v>
      </c>
      <c r="B2327" s="847" t="s">
        <v>881</v>
      </c>
      <c r="C2327">
        <v>3.536</v>
      </c>
    </row>
    <row r="2328" spans="1:3" x14ac:dyDescent="0.3">
      <c r="A2328" s="35">
        <v>46034</v>
      </c>
      <c r="B2328" s="847" t="s">
        <v>881</v>
      </c>
      <c r="C2328">
        <v>3.5390000000000001</v>
      </c>
    </row>
    <row r="2329" spans="1:3" x14ac:dyDescent="0.3">
      <c r="A2329" s="35">
        <v>46035</v>
      </c>
      <c r="B2329" s="847" t="s">
        <v>881</v>
      </c>
      <c r="C2329">
        <v>3.5470000000000002</v>
      </c>
    </row>
    <row r="2330" spans="1:3" x14ac:dyDescent="0.3">
      <c r="A2330" s="35">
        <v>46036</v>
      </c>
      <c r="B2330" s="847" t="s">
        <v>881</v>
      </c>
      <c r="C2330">
        <v>3.6070000000000002</v>
      </c>
    </row>
    <row r="2331" spans="1:3" x14ac:dyDescent="0.3">
      <c r="A2331" s="35">
        <v>46037</v>
      </c>
      <c r="B2331" s="847" t="s">
        <v>881</v>
      </c>
      <c r="C2331">
        <v>3.6040000000000001</v>
      </c>
    </row>
    <row r="2332" spans="1:3" x14ac:dyDescent="0.3">
      <c r="A2332" s="35">
        <v>46038</v>
      </c>
      <c r="B2332" s="847" t="s">
        <v>881</v>
      </c>
      <c r="C2332">
        <v>3.6</v>
      </c>
    </row>
    <row r="2333" spans="1:3" x14ac:dyDescent="0.3">
      <c r="A2333" s="35">
        <v>46041</v>
      </c>
      <c r="B2333" s="847" t="s">
        <v>881</v>
      </c>
      <c r="C2333">
        <v>3.6429999999999998</v>
      </c>
    </row>
    <row r="2334" spans="1:3" x14ac:dyDescent="0.3">
      <c r="A2334" s="35">
        <v>46042</v>
      </c>
      <c r="B2334" s="847" t="s">
        <v>881</v>
      </c>
      <c r="C2334">
        <v>3.6179999999999999</v>
      </c>
    </row>
    <row r="2335" spans="1:3" x14ac:dyDescent="0.3">
      <c r="A2335" s="35">
        <v>46043</v>
      </c>
      <c r="B2335" s="847" t="s">
        <v>881</v>
      </c>
      <c r="C2335">
        <v>3.6059999999999999</v>
      </c>
    </row>
    <row r="2336" spans="1:3" x14ac:dyDescent="0.3">
      <c r="A2336" s="35">
        <v>46044</v>
      </c>
      <c r="B2336" s="847" t="s">
        <v>881</v>
      </c>
      <c r="C2336">
        <v>3.6110000000000002</v>
      </c>
    </row>
    <row r="2337" spans="1:3" x14ac:dyDescent="0.3">
      <c r="A2337" s="35">
        <v>46045</v>
      </c>
      <c r="B2337" s="847" t="s">
        <v>881</v>
      </c>
      <c r="C2337">
        <v>3.6139999999999999</v>
      </c>
    </row>
    <row r="2338" spans="1:3" x14ac:dyDescent="0.3">
      <c r="A2338" s="35">
        <v>46048</v>
      </c>
      <c r="B2338" s="847" t="s">
        <v>881</v>
      </c>
      <c r="C2338">
        <v>3.6190000000000002</v>
      </c>
    </row>
    <row r="2339" spans="1:3" x14ac:dyDescent="0.3">
      <c r="A2339" s="35">
        <v>46049</v>
      </c>
      <c r="B2339" s="847" t="s">
        <v>881</v>
      </c>
      <c r="C2339">
        <v>3.6160000000000001</v>
      </c>
    </row>
    <row r="2340" spans="1:3" x14ac:dyDescent="0.3">
      <c r="A2340" s="35">
        <v>46050</v>
      </c>
      <c r="B2340" s="847" t="s">
        <v>881</v>
      </c>
      <c r="C2340">
        <v>3.6179999999999999</v>
      </c>
    </row>
    <row r="2341" spans="1:3" x14ac:dyDescent="0.3">
      <c r="A2341" s="35">
        <v>46051</v>
      </c>
      <c r="B2341" s="847" t="s">
        <v>881</v>
      </c>
      <c r="C2341">
        <v>3.6070000000000002</v>
      </c>
    </row>
    <row r="2342" spans="1:3" x14ac:dyDescent="0.3">
      <c r="A2342" s="35">
        <v>46052</v>
      </c>
      <c r="B2342" s="847" t="s">
        <v>881</v>
      </c>
      <c r="C2342">
        <v>3.6110000000000002</v>
      </c>
    </row>
    <row r="2343" spans="1:3" x14ac:dyDescent="0.3">
      <c r="A2343" s="35">
        <v>46055</v>
      </c>
      <c r="B2343" s="847" t="s">
        <v>881</v>
      </c>
      <c r="C2343">
        <v>3.641</v>
      </c>
    </row>
    <row r="2344" spans="1:3" x14ac:dyDescent="0.3">
      <c r="A2344" s="35">
        <v>46056</v>
      </c>
      <c r="B2344" s="847" t="s">
        <v>881</v>
      </c>
      <c r="C2344">
        <v>3.6429999999999998</v>
      </c>
    </row>
    <row r="2345" spans="1:3" x14ac:dyDescent="0.3">
      <c r="A2345" s="35">
        <v>46057</v>
      </c>
      <c r="B2345" s="847" t="s">
        <v>881</v>
      </c>
      <c r="C2345">
        <v>3.6680000000000001</v>
      </c>
    </row>
    <row r="2346" spans="1:3" x14ac:dyDescent="0.3">
      <c r="A2346" s="35">
        <v>46058</v>
      </c>
      <c r="B2346" s="847" t="s">
        <v>881</v>
      </c>
      <c r="C2346">
        <v>3.665</v>
      </c>
    </row>
    <row r="2347" spans="1:3" x14ac:dyDescent="0.3">
      <c r="A2347" s="35">
        <v>46059</v>
      </c>
      <c r="B2347" s="847" t="s">
        <v>881</v>
      </c>
      <c r="C2347">
        <v>3.669</v>
      </c>
    </row>
    <row r="2348" spans="1:3" x14ac:dyDescent="0.3">
      <c r="A2348" s="35">
        <v>46062</v>
      </c>
      <c r="B2348" s="847" t="s">
        <v>881</v>
      </c>
      <c r="C2348">
        <v>3.718</v>
      </c>
    </row>
    <row r="2349" spans="1:3" x14ac:dyDescent="0.3">
      <c r="A2349" s="35">
        <v>46063</v>
      </c>
      <c r="B2349" s="847" t="s">
        <v>881</v>
      </c>
      <c r="C2349">
        <v>3.7469999999999999</v>
      </c>
    </row>
    <row r="2350" spans="1:3" x14ac:dyDescent="0.3">
      <c r="A2350" s="35">
        <v>46064</v>
      </c>
      <c r="B2350" s="847" t="s">
        <v>881</v>
      </c>
      <c r="C2350">
        <v>3.7509999999999999</v>
      </c>
    </row>
    <row r="2351" spans="1:3" x14ac:dyDescent="0.3">
      <c r="A2351" s="35">
        <v>46065</v>
      </c>
      <c r="B2351" s="847" t="s">
        <v>881</v>
      </c>
      <c r="C2351">
        <v>3.758</v>
      </c>
    </row>
    <row r="2352" spans="1:3" x14ac:dyDescent="0.3">
      <c r="A2352" s="35">
        <v>46066</v>
      </c>
      <c r="B2352" s="847" t="s">
        <v>881</v>
      </c>
      <c r="C2352">
        <v>3.754</v>
      </c>
    </row>
    <row r="2353" spans="1:3" x14ac:dyDescent="0.3">
      <c r="A2353" s="35">
        <v>46076</v>
      </c>
      <c r="B2353" s="847" t="s">
        <v>881</v>
      </c>
      <c r="C2353">
        <v>3.754</v>
      </c>
    </row>
    <row r="2354" spans="1:3" x14ac:dyDescent="0.3">
      <c r="A2354" s="35">
        <v>46077</v>
      </c>
      <c r="B2354" s="847" t="s">
        <v>881</v>
      </c>
      <c r="C2354">
        <v>3.75</v>
      </c>
    </row>
    <row r="2355" spans="1:3" x14ac:dyDescent="0.3">
      <c r="A2355" s="35">
        <v>46078</v>
      </c>
      <c r="B2355" s="847" t="s">
        <v>881</v>
      </c>
      <c r="C2355">
        <v>3.746</v>
      </c>
    </row>
    <row r="2356" spans="1:3" x14ac:dyDescent="0.3">
      <c r="A2356" s="35">
        <v>46079</v>
      </c>
      <c r="B2356" s="847" t="s">
        <v>881</v>
      </c>
      <c r="C2356">
        <v>3.754</v>
      </c>
    </row>
    <row r="2357" spans="1:3" x14ac:dyDescent="0.3">
      <c r="A2357" s="35">
        <v>46080</v>
      </c>
      <c r="B2357" s="847" t="s">
        <v>881</v>
      </c>
      <c r="C2357">
        <v>3.754</v>
      </c>
    </row>
    <row r="2358" spans="1:3" x14ac:dyDescent="0.3">
      <c r="A2358" s="35">
        <v>46083</v>
      </c>
      <c r="B2358" s="847" t="s">
        <v>881</v>
      </c>
      <c r="C2358">
        <v>3.8210000000000002</v>
      </c>
    </row>
    <row r="2359" spans="1:3" x14ac:dyDescent="0.3">
      <c r="A2359" s="35">
        <v>46084</v>
      </c>
      <c r="B2359" s="847" t="s">
        <v>881</v>
      </c>
      <c r="C2359">
        <v>3.8109999999999999</v>
      </c>
    </row>
    <row r="2360" spans="1:3" x14ac:dyDescent="0.3">
      <c r="A2360" s="35">
        <v>46085</v>
      </c>
      <c r="B2360" s="847" t="s">
        <v>881</v>
      </c>
      <c r="C2360">
        <v>3.8109999999999999</v>
      </c>
    </row>
    <row r="2361" spans="1:3" x14ac:dyDescent="0.3">
      <c r="A2361" s="35">
        <v>46086</v>
      </c>
      <c r="B2361" s="847" t="s">
        <v>881</v>
      </c>
      <c r="C2361">
        <v>3.8220000000000001</v>
      </c>
    </row>
    <row r="2362" spans="1:3" x14ac:dyDescent="0.3">
      <c r="A2362" s="35">
        <v>46087</v>
      </c>
      <c r="B2362" s="847" t="s">
        <v>881</v>
      </c>
      <c r="C2362">
        <v>3.8220000000000001</v>
      </c>
    </row>
    <row r="2363" spans="1:3" x14ac:dyDescent="0.3">
      <c r="A2363" s="35">
        <v>46090</v>
      </c>
      <c r="B2363" s="847" t="s">
        <v>881</v>
      </c>
      <c r="C2363">
        <v>3.8319999999999999</v>
      </c>
    </row>
    <row r="2364" spans="1:3" x14ac:dyDescent="0.3">
      <c r="A2364" s="35">
        <v>46091</v>
      </c>
      <c r="B2364" s="847" t="s">
        <v>881</v>
      </c>
      <c r="C2364">
        <v>3.85</v>
      </c>
    </row>
    <row r="2365" spans="1:3" x14ac:dyDescent="0.3">
      <c r="A2365" s="35">
        <v>46092</v>
      </c>
      <c r="B2365" s="847" t="s">
        <v>881</v>
      </c>
      <c r="C2365">
        <v>3.8540000000000001</v>
      </c>
    </row>
    <row r="2366" spans="1:3" x14ac:dyDescent="0.3">
      <c r="A2366" s="35">
        <v>46093</v>
      </c>
      <c r="B2366" s="847" t="s">
        <v>881</v>
      </c>
      <c r="C2366">
        <v>4.0039999999999996</v>
      </c>
    </row>
    <row r="2367" spans="1:3" x14ac:dyDescent="0.3">
      <c r="A2367" s="35">
        <v>46094</v>
      </c>
      <c r="B2367" s="847" t="s">
        <v>881</v>
      </c>
      <c r="C2367">
        <v>4.0289999999999999</v>
      </c>
    </row>
    <row r="2368" spans="1:3" x14ac:dyDescent="0.3">
      <c r="A2368" s="35">
        <v>46097</v>
      </c>
      <c r="B2368" s="847" t="s">
        <v>881</v>
      </c>
      <c r="C2368">
        <v>4.0430000000000001</v>
      </c>
    </row>
    <row r="2369" spans="1:3" x14ac:dyDescent="0.3">
      <c r="A2369" s="35">
        <v>46098</v>
      </c>
      <c r="B2369" s="847" t="s">
        <v>881</v>
      </c>
      <c r="C2369">
        <v>4.05</v>
      </c>
    </row>
    <row r="2370" spans="1:3" x14ac:dyDescent="0.3">
      <c r="A2370" s="35">
        <v>46099</v>
      </c>
      <c r="B2370" s="847" t="s">
        <v>881</v>
      </c>
      <c r="C2370">
        <v>4.0540000000000003</v>
      </c>
    </row>
    <row r="2371" spans="1:3" x14ac:dyDescent="0.3">
      <c r="A2371" s="35">
        <v>46100</v>
      </c>
      <c r="B2371" s="847" t="s">
        <v>881</v>
      </c>
      <c r="C2371">
        <v>4.0460000000000003</v>
      </c>
    </row>
    <row r="2372" spans="1:3" x14ac:dyDescent="0.3">
      <c r="A2372" s="35">
        <v>46101</v>
      </c>
      <c r="B2372" s="847" t="s">
        <v>881</v>
      </c>
      <c r="C2372">
        <v>4.0410000000000004</v>
      </c>
    </row>
    <row r="2373" spans="1:3" x14ac:dyDescent="0.3">
      <c r="A2373" s="35">
        <v>46104</v>
      </c>
      <c r="B2373" s="847" t="s">
        <v>881</v>
      </c>
      <c r="C2373">
        <v>4.0460000000000003</v>
      </c>
    </row>
    <row r="2374" spans="1:3" x14ac:dyDescent="0.3">
      <c r="A2374" s="35">
        <v>46105</v>
      </c>
      <c r="B2374" s="847" t="s">
        <v>881</v>
      </c>
      <c r="C2374">
        <v>4.0540000000000003</v>
      </c>
    </row>
    <row r="2375" spans="1:3" x14ac:dyDescent="0.3">
      <c r="A2375" s="35">
        <v>46106</v>
      </c>
      <c r="B2375" s="847" t="s">
        <v>881</v>
      </c>
      <c r="C2375">
        <v>4.0609999999999999</v>
      </c>
    </row>
    <row r="2376" spans="1:3" x14ac:dyDescent="0.3">
      <c r="A2376" s="35">
        <v>46107</v>
      </c>
      <c r="B2376" s="847" t="s">
        <v>881</v>
      </c>
      <c r="C2376">
        <v>4.0709999999999997</v>
      </c>
    </row>
    <row r="2377" spans="1:3" x14ac:dyDescent="0.3">
      <c r="A2377" s="35">
        <v>46108</v>
      </c>
      <c r="B2377" s="847" t="s">
        <v>881</v>
      </c>
      <c r="C2377">
        <v>4.0640000000000001</v>
      </c>
    </row>
    <row r="2378" spans="1:3" x14ac:dyDescent="0.3">
      <c r="A2378" s="35">
        <v>46111</v>
      </c>
      <c r="B2378" s="847" t="s">
        <v>881</v>
      </c>
      <c r="C2378">
        <v>4.0640000000000001</v>
      </c>
    </row>
    <row r="2379" spans="1:3" x14ac:dyDescent="0.3">
      <c r="A2379" s="35">
        <v>46112</v>
      </c>
      <c r="B2379" s="847" t="s">
        <v>881</v>
      </c>
      <c r="C2379">
        <v>4.0609999999999999</v>
      </c>
    </row>
    <row r="2380" spans="1:3" x14ac:dyDescent="0.3">
      <c r="A2380" s="35">
        <v>46113</v>
      </c>
      <c r="B2380" s="847" t="s">
        <v>881</v>
      </c>
      <c r="C2380">
        <v>4.0570000000000004</v>
      </c>
    </row>
    <row r="2381" spans="1:3" x14ac:dyDescent="0.3">
      <c r="A2381" s="35">
        <v>46114</v>
      </c>
      <c r="B2381" s="847" t="s">
        <v>881</v>
      </c>
      <c r="C2381">
        <v>4.0640000000000001</v>
      </c>
    </row>
    <row r="2382" spans="1:3" x14ac:dyDescent="0.3">
      <c r="A2382" s="35">
        <v>46115</v>
      </c>
      <c r="B2382" s="847" t="s">
        <v>881</v>
      </c>
      <c r="C2382">
        <v>4.0640000000000001</v>
      </c>
    </row>
    <row r="2383" spans="1:3" x14ac:dyDescent="0.3">
      <c r="A2383" s="35">
        <v>46118</v>
      </c>
      <c r="B2383" s="847" t="s">
        <v>881</v>
      </c>
      <c r="C2383">
        <v>4.0640000000000001</v>
      </c>
    </row>
    <row r="2384" spans="1:3" x14ac:dyDescent="0.3">
      <c r="A2384" s="35">
        <v>46119</v>
      </c>
      <c r="B2384" s="847" t="s">
        <v>881</v>
      </c>
      <c r="C2384">
        <v>4.0679999999999996</v>
      </c>
    </row>
    <row r="2385" spans="1:3" x14ac:dyDescent="0.3">
      <c r="A2385" s="35">
        <v>46120</v>
      </c>
      <c r="B2385" s="847" t="s">
        <v>881</v>
      </c>
      <c r="C2385">
        <v>4.0640000000000001</v>
      </c>
    </row>
    <row r="2386" spans="1:3" x14ac:dyDescent="0.3">
      <c r="A2386" s="35">
        <v>46121</v>
      </c>
      <c r="B2386" s="847" t="s">
        <v>881</v>
      </c>
      <c r="C2386">
        <v>4.0709999999999997</v>
      </c>
    </row>
    <row r="2387" spans="1:3" x14ac:dyDescent="0.3">
      <c r="A2387" s="35">
        <v>46122</v>
      </c>
      <c r="B2387" s="847" t="s">
        <v>881</v>
      </c>
      <c r="C2387">
        <v>4.0750000000000002</v>
      </c>
    </row>
    <row r="2388" spans="1:3" x14ac:dyDescent="0.3">
      <c r="A2388" s="35">
        <v>46125</v>
      </c>
      <c r="B2388" s="847" t="s">
        <v>881</v>
      </c>
      <c r="C2388">
        <v>4.0670000000000002</v>
      </c>
    </row>
    <row r="2389" spans="1:3" x14ac:dyDescent="0.3">
      <c r="A2389" s="35">
        <v>46126</v>
      </c>
      <c r="B2389" s="847" t="s">
        <v>881</v>
      </c>
      <c r="C2389">
        <v>4.069</v>
      </c>
    </row>
    <row r="2390" spans="1:3" x14ac:dyDescent="0.3">
      <c r="A2390" s="35">
        <v>46127</v>
      </c>
      <c r="B2390" s="847" t="s">
        <v>881</v>
      </c>
      <c r="C2390">
        <v>4.0670000000000002</v>
      </c>
    </row>
    <row r="2391" spans="1:3" x14ac:dyDescent="0.3">
      <c r="A2391" s="35">
        <v>46128</v>
      </c>
      <c r="B2391" s="847" t="s">
        <v>881</v>
      </c>
      <c r="C2391">
        <v>4.0570000000000004</v>
      </c>
    </row>
    <row r="2392" spans="1:3" x14ac:dyDescent="0.3">
      <c r="A2392" s="35">
        <v>46129</v>
      </c>
      <c r="B2392" s="847" t="s">
        <v>881</v>
      </c>
      <c r="C2392">
        <v>4.069</v>
      </c>
    </row>
    <row r="2393" spans="1:3" x14ac:dyDescent="0.3">
      <c r="A2393" s="35">
        <v>46132</v>
      </c>
      <c r="B2393" s="847" t="s">
        <v>881</v>
      </c>
      <c r="C2393">
        <v>4.0709999999999997</v>
      </c>
    </row>
    <row r="2394" spans="1:3" x14ac:dyDescent="0.3">
      <c r="A2394" s="35">
        <v>46133</v>
      </c>
      <c r="B2394" s="847" t="s">
        <v>881</v>
      </c>
      <c r="C2394">
        <v>4.0640000000000001</v>
      </c>
    </row>
    <row r="2395" spans="1:3" x14ac:dyDescent="0.3">
      <c r="A2395" s="35">
        <v>46134</v>
      </c>
      <c r="B2395" s="847" t="s">
        <v>881</v>
      </c>
      <c r="C2395">
        <v>4.0590000000000002</v>
      </c>
    </row>
    <row r="2396" spans="1:3" x14ac:dyDescent="0.3">
      <c r="A2396" s="35">
        <v>46135</v>
      </c>
      <c r="B2396" s="847" t="s">
        <v>881</v>
      </c>
      <c r="C2396">
        <v>4.0609999999999999</v>
      </c>
    </row>
    <row r="2397" spans="1:3" x14ac:dyDescent="0.3">
      <c r="A2397" s="35">
        <v>46136</v>
      </c>
      <c r="B2397" s="847" t="s">
        <v>881</v>
      </c>
      <c r="C2397">
        <v>4.0570000000000004</v>
      </c>
    </row>
    <row r="2398" spans="1:3" x14ac:dyDescent="0.3">
      <c r="A2398" s="35">
        <v>46140</v>
      </c>
      <c r="B2398" s="847" t="s">
        <v>881</v>
      </c>
      <c r="C2398">
        <v>4.0570000000000004</v>
      </c>
    </row>
    <row r="2399" spans="1:3" x14ac:dyDescent="0.3">
      <c r="A2399" s="35">
        <v>46141</v>
      </c>
      <c r="B2399" s="847" t="s">
        <v>881</v>
      </c>
      <c r="C2399">
        <v>4.0570000000000004</v>
      </c>
    </row>
    <row r="2400" spans="1:3" x14ac:dyDescent="0.3">
      <c r="A2400" s="35">
        <v>46146</v>
      </c>
      <c r="B2400" s="847" t="s">
        <v>881</v>
      </c>
      <c r="C2400">
        <v>4.0540000000000003</v>
      </c>
    </row>
    <row r="2401" spans="1:3" x14ac:dyDescent="0.3">
      <c r="A2401" s="35">
        <v>46147</v>
      </c>
      <c r="B2401" s="847" t="s">
        <v>881</v>
      </c>
      <c r="C2401">
        <v>4.05</v>
      </c>
    </row>
    <row r="2402" spans="1:3" x14ac:dyDescent="0.3">
      <c r="A2402" s="35">
        <v>46148</v>
      </c>
      <c r="B2402" s="847" t="s">
        <v>881</v>
      </c>
      <c r="C2402">
        <v>4.0570000000000004</v>
      </c>
    </row>
    <row r="2403" spans="1:3" x14ac:dyDescent="0.3">
      <c r="A2403" s="35">
        <v>46149</v>
      </c>
      <c r="B2403" s="847" t="s">
        <v>881</v>
      </c>
      <c r="C2403">
        <v>4.05</v>
      </c>
    </row>
    <row r="2404" spans="1:3" x14ac:dyDescent="0.3">
      <c r="A2404" s="35">
        <v>46150</v>
      </c>
      <c r="B2404" s="847" t="s">
        <v>881</v>
      </c>
      <c r="C2404">
        <v>4.05</v>
      </c>
    </row>
    <row r="2405" spans="1:3" x14ac:dyDescent="0.3">
      <c r="A2405" s="35">
        <v>46153</v>
      </c>
      <c r="B2405" s="847" t="s">
        <v>881</v>
      </c>
      <c r="C2405">
        <v>4.0460000000000003</v>
      </c>
    </row>
    <row r="2406" spans="1:3" x14ac:dyDescent="0.3">
      <c r="A2406" s="35">
        <v>46154</v>
      </c>
      <c r="B2406" s="847" t="s">
        <v>881</v>
      </c>
      <c r="C2406">
        <v>4.05</v>
      </c>
    </row>
    <row r="2407" spans="1:3" x14ac:dyDescent="0.3">
      <c r="A2407" s="35">
        <v>46155</v>
      </c>
      <c r="B2407" s="847" t="s">
        <v>881</v>
      </c>
      <c r="C2407">
        <v>4.0430000000000001</v>
      </c>
    </row>
    <row r="2408" spans="1:3" x14ac:dyDescent="0.3">
      <c r="A2408" s="35">
        <v>46156</v>
      </c>
      <c r="B2408" s="847" t="s">
        <v>881</v>
      </c>
      <c r="C2408">
        <v>4.0439999999999996</v>
      </c>
    </row>
    <row r="2409" spans="1:3" x14ac:dyDescent="0.3">
      <c r="A2409" s="35">
        <v>46157</v>
      </c>
      <c r="B2409" s="847" t="s">
        <v>881</v>
      </c>
      <c r="C2409">
        <v>4.05</v>
      </c>
    </row>
    <row r="2410" spans="1:3" x14ac:dyDescent="0.3">
      <c r="A2410" s="35">
        <v>46160</v>
      </c>
      <c r="B2410" s="847" t="s">
        <v>881</v>
      </c>
      <c r="C2410">
        <v>4.0460000000000003</v>
      </c>
    </row>
    <row r="2411" spans="1:3" x14ac:dyDescent="0.3">
      <c r="A2411" s="35">
        <v>46161</v>
      </c>
      <c r="B2411" s="847" t="s">
        <v>881</v>
      </c>
      <c r="C2411">
        <v>4.05</v>
      </c>
    </row>
    <row r="2412" spans="1:3" x14ac:dyDescent="0.3">
      <c r="A2412" s="35">
        <v>46162</v>
      </c>
      <c r="B2412" s="847" t="s">
        <v>881</v>
      </c>
      <c r="C2412">
        <v>4.0590000000000002</v>
      </c>
    </row>
    <row r="2413" spans="1:3" x14ac:dyDescent="0.3">
      <c r="A2413" s="35">
        <v>46163</v>
      </c>
      <c r="B2413" s="847" t="s">
        <v>881</v>
      </c>
      <c r="C2413">
        <v>4.0609999999999999</v>
      </c>
    </row>
    <row r="2414" spans="1:3" x14ac:dyDescent="0.3">
      <c r="A2414" s="35">
        <v>46164</v>
      </c>
      <c r="B2414" s="847" t="s">
        <v>881</v>
      </c>
      <c r="C2414">
        <v>4.0609999999999999</v>
      </c>
    </row>
    <row r="2415" spans="1:3" x14ac:dyDescent="0.3">
      <c r="A2415" s="35">
        <v>46167</v>
      </c>
      <c r="B2415" s="847" t="s">
        <v>881</v>
      </c>
      <c r="C2415">
        <v>4.0659999999999998</v>
      </c>
    </row>
    <row r="2416" spans="1:3" x14ac:dyDescent="0.3">
      <c r="A2416" s="35">
        <v>46168</v>
      </c>
      <c r="B2416" s="847" t="s">
        <v>881</v>
      </c>
      <c r="C2416">
        <v>4.0659999999999998</v>
      </c>
    </row>
    <row r="2417" spans="1:3" x14ac:dyDescent="0.3">
      <c r="A2417" s="35">
        <v>46169</v>
      </c>
      <c r="B2417" s="847" t="s">
        <v>881</v>
      </c>
      <c r="C2417">
        <v>4.07</v>
      </c>
    </row>
    <row r="2418" spans="1:3" x14ac:dyDescent="0.3">
      <c r="A2418" s="35">
        <v>46170</v>
      </c>
      <c r="B2418" s="847" t="s">
        <v>881</v>
      </c>
      <c r="C2418">
        <v>4.1280000000000001</v>
      </c>
    </row>
    <row r="2419" spans="1:3" x14ac:dyDescent="0.3">
      <c r="A2419" s="35">
        <v>46171</v>
      </c>
      <c r="B2419" s="847" t="s">
        <v>881</v>
      </c>
      <c r="C2419">
        <v>4.1219999999999999</v>
      </c>
    </row>
    <row r="2420" spans="1:3" x14ac:dyDescent="0.3">
      <c r="A2420" s="35">
        <v>46174</v>
      </c>
      <c r="B2420" s="847" t="s">
        <v>881</v>
      </c>
      <c r="C2420">
        <v>4.1239999999999997</v>
      </c>
    </row>
    <row r="2421" spans="1:3" x14ac:dyDescent="0.3">
      <c r="A2421" s="35">
        <v>46175</v>
      </c>
      <c r="B2421" s="847" t="s">
        <v>881</v>
      </c>
      <c r="C2421">
        <v>4.125</v>
      </c>
    </row>
    <row r="2422" spans="1:3" x14ac:dyDescent="0.3">
      <c r="A2422" s="35">
        <v>46176</v>
      </c>
      <c r="B2422" s="847" t="s">
        <v>881</v>
      </c>
      <c r="C2422">
        <v>4.125</v>
      </c>
    </row>
    <row r="2423" spans="1:3" x14ac:dyDescent="0.3">
      <c r="A2423" s="35">
        <v>46177</v>
      </c>
      <c r="B2423" s="847" t="s">
        <v>881</v>
      </c>
      <c r="C2423">
        <v>4.1280000000000001</v>
      </c>
    </row>
    <row r="2424" spans="1:3" x14ac:dyDescent="0.3">
      <c r="A2424" s="35">
        <v>46178</v>
      </c>
      <c r="B2424" s="847" t="s">
        <v>881</v>
      </c>
      <c r="C2424">
        <v>4.1280000000000001</v>
      </c>
    </row>
    <row r="2425" spans="1:3" x14ac:dyDescent="0.3">
      <c r="A2425" s="35">
        <v>46181</v>
      </c>
      <c r="B2425" s="847" t="s">
        <v>881</v>
      </c>
      <c r="C2425">
        <v>4.1289999999999996</v>
      </c>
    </row>
    <row r="2426" spans="1:3" x14ac:dyDescent="0.3">
      <c r="A2426" s="35">
        <v>46182</v>
      </c>
      <c r="B2426" s="847" t="s">
        <v>881</v>
      </c>
      <c r="C2426">
        <v>4.1289999999999996</v>
      </c>
    </row>
    <row r="2427" spans="1:3" x14ac:dyDescent="0.3">
      <c r="A2427" s="35">
        <v>46183</v>
      </c>
      <c r="B2427" s="847" t="s">
        <v>881</v>
      </c>
      <c r="C2427">
        <v>4.1289999999999996</v>
      </c>
    </row>
    <row r="2428" spans="1:3" x14ac:dyDescent="0.3">
      <c r="A2428" s="35">
        <v>46184</v>
      </c>
      <c r="B2428" s="847" t="s">
        <v>881</v>
      </c>
      <c r="C2428">
        <v>4.1459999999999999</v>
      </c>
    </row>
    <row r="2429" spans="1:3" x14ac:dyDescent="0.3">
      <c r="A2429" s="35">
        <v>46185</v>
      </c>
      <c r="B2429" s="847" t="s">
        <v>881</v>
      </c>
      <c r="C2429">
        <v>4.1459999999999999</v>
      </c>
    </row>
    <row r="2430" spans="1:3" x14ac:dyDescent="0.3">
      <c r="A2430" s="35">
        <v>46188</v>
      </c>
      <c r="B2430" s="847" t="s">
        <v>881</v>
      </c>
      <c r="C2430">
        <v>4.1459999999999999</v>
      </c>
    </row>
    <row r="2431" spans="1:3" x14ac:dyDescent="0.3">
      <c r="A2431" s="35">
        <v>46189</v>
      </c>
      <c r="B2431" s="847" t="s">
        <v>881</v>
      </c>
      <c r="C2431">
        <v>4.1539999999999999</v>
      </c>
    </row>
    <row r="2432" spans="1:3" x14ac:dyDescent="0.3">
      <c r="A2432" s="35">
        <v>46190</v>
      </c>
      <c r="B2432" s="847" t="s">
        <v>881</v>
      </c>
      <c r="C2432">
        <v>4.1539999999999999</v>
      </c>
    </row>
    <row r="2433" spans="1:3" x14ac:dyDescent="0.3">
      <c r="A2433" s="35">
        <v>46191</v>
      </c>
      <c r="B2433" s="847" t="s">
        <v>881</v>
      </c>
      <c r="C2433">
        <v>4.1820000000000004</v>
      </c>
    </row>
    <row r="2434" spans="1:3" x14ac:dyDescent="0.3">
      <c r="A2434" s="35">
        <v>46192</v>
      </c>
      <c r="B2434" s="847" t="s">
        <v>881</v>
      </c>
      <c r="C2434">
        <v>4.1890000000000001</v>
      </c>
    </row>
    <row r="2435" spans="1:3" x14ac:dyDescent="0.3">
      <c r="A2435" s="35">
        <v>46195</v>
      </c>
      <c r="B2435" s="847" t="s">
        <v>881</v>
      </c>
      <c r="C2435">
        <v>4.1779999999999999</v>
      </c>
    </row>
    <row r="2436" spans="1:3" x14ac:dyDescent="0.3">
      <c r="A2436" s="35">
        <v>46196</v>
      </c>
      <c r="B2436" s="847" t="s">
        <v>881</v>
      </c>
      <c r="C2436">
        <v>4.1849999999999996</v>
      </c>
    </row>
    <row r="2437" spans="1:3" x14ac:dyDescent="0.3">
      <c r="A2437" s="35">
        <v>46197</v>
      </c>
      <c r="B2437" s="847" t="s">
        <v>881</v>
      </c>
      <c r="C2437">
        <v>4.1849999999999996</v>
      </c>
    </row>
    <row r="2438" spans="1:3" x14ac:dyDescent="0.3">
      <c r="A2438" s="35">
        <v>46198</v>
      </c>
      <c r="B2438" s="847" t="s">
        <v>881</v>
      </c>
      <c r="C2438">
        <v>4.1849999999999996</v>
      </c>
    </row>
    <row r="2439" spans="1:3" x14ac:dyDescent="0.3">
      <c r="A2439" s="35">
        <v>46199</v>
      </c>
      <c r="B2439" s="847" t="s">
        <v>881</v>
      </c>
      <c r="C2439">
        <v>4.1920000000000002</v>
      </c>
    </row>
    <row r="2440" spans="1:3" x14ac:dyDescent="0.3">
      <c r="A2440" s="35">
        <v>46202</v>
      </c>
      <c r="B2440" s="847" t="s">
        <v>881</v>
      </c>
      <c r="C2440">
        <v>4.1929999999999996</v>
      </c>
    </row>
    <row r="2441" spans="1:3" x14ac:dyDescent="0.3">
      <c r="A2441" s="35">
        <v>46203</v>
      </c>
      <c r="B2441" s="847" t="s">
        <v>881</v>
      </c>
      <c r="C2441">
        <v>4.1980000000000004</v>
      </c>
    </row>
    <row r="2442" spans="1:3" x14ac:dyDescent="0.3">
      <c r="A2442" s="35">
        <v>46204</v>
      </c>
      <c r="B2442" s="847" t="s">
        <v>881</v>
      </c>
      <c r="C2442">
        <v>4.2009999999999996</v>
      </c>
    </row>
    <row r="2443" spans="1:3" x14ac:dyDescent="0.3">
      <c r="A2443" s="35">
        <v>46205</v>
      </c>
      <c r="B2443" s="847" t="s">
        <v>881</v>
      </c>
      <c r="C2443">
        <v>4.1970000000000001</v>
      </c>
    </row>
    <row r="2444" spans="1:3" x14ac:dyDescent="0.3">
      <c r="A2444" s="35">
        <v>46206</v>
      </c>
      <c r="B2444" s="847" t="s">
        <v>881</v>
      </c>
      <c r="C2444">
        <v>4.1970000000000001</v>
      </c>
    </row>
    <row r="2445" spans="1:3" x14ac:dyDescent="0.3">
      <c r="A2445" s="35">
        <v>46209</v>
      </c>
      <c r="B2445" s="847" t="s">
        <v>881</v>
      </c>
      <c r="C2445">
        <v>4.1970000000000001</v>
      </c>
    </row>
    <row r="2446" spans="1:3" x14ac:dyDescent="0.3">
      <c r="A2446" s="35">
        <v>46210</v>
      </c>
      <c r="B2446" s="847" t="s">
        <v>881</v>
      </c>
      <c r="C2446">
        <v>4.1970000000000001</v>
      </c>
    </row>
    <row r="2447" spans="1:3" x14ac:dyDescent="0.3">
      <c r="A2447" s="35">
        <v>46211</v>
      </c>
      <c r="B2447" s="847" t="s">
        <v>881</v>
      </c>
      <c r="C2447">
        <v>4.1989999999999998</v>
      </c>
    </row>
    <row r="2448" spans="1:3" x14ac:dyDescent="0.3">
      <c r="A2448" s="35">
        <v>46212</v>
      </c>
      <c r="B2448" s="847" t="s">
        <v>881</v>
      </c>
      <c r="C2448">
        <v>4.2060000000000004</v>
      </c>
    </row>
    <row r="2449" spans="1:3" x14ac:dyDescent="0.3">
      <c r="A2449" s="35">
        <v>46213</v>
      </c>
      <c r="B2449" s="847" t="s">
        <v>881</v>
      </c>
      <c r="C2449">
        <v>4.2060000000000004</v>
      </c>
    </row>
    <row r="2450" spans="1:3" x14ac:dyDescent="0.3">
      <c r="A2450" s="35">
        <v>46216</v>
      </c>
      <c r="B2450" s="847" t="s">
        <v>881</v>
      </c>
      <c r="C2450">
        <v>4.2060000000000004</v>
      </c>
    </row>
    <row r="2451" spans="1:3" x14ac:dyDescent="0.3">
      <c r="A2451" s="35">
        <v>46217</v>
      </c>
      <c r="B2451" s="847" t="s">
        <v>881</v>
      </c>
      <c r="C2451">
        <v>4.2060000000000004</v>
      </c>
    </row>
    <row r="2452" spans="1:3" x14ac:dyDescent="0.3">
      <c r="A2452" s="35">
        <v>46218</v>
      </c>
      <c r="B2452" s="847" t="s">
        <v>881</v>
      </c>
      <c r="C2452">
        <v>4.2089999999999996</v>
      </c>
    </row>
    <row r="2453" spans="1:3" x14ac:dyDescent="0.3">
      <c r="A2453" s="35">
        <v>46219</v>
      </c>
      <c r="B2453" s="847" t="s">
        <v>881</v>
      </c>
      <c r="C2453">
        <v>4.2149999999999999</v>
      </c>
    </row>
    <row r="2454" spans="1:3" x14ac:dyDescent="0.3">
      <c r="A2454" s="35">
        <v>46220</v>
      </c>
      <c r="B2454" s="847" t="s">
        <v>881</v>
      </c>
      <c r="C2454">
        <v>4.2069999999999999</v>
      </c>
    </row>
    <row r="2455" spans="1:3" x14ac:dyDescent="0.3">
      <c r="A2455" s="35">
        <v>46223</v>
      </c>
      <c r="B2455" s="847" t="s">
        <v>881</v>
      </c>
      <c r="C2455">
        <v>4.2089999999999996</v>
      </c>
    </row>
    <row r="2456" spans="1:3" x14ac:dyDescent="0.3">
      <c r="A2456" s="35">
        <v>46224</v>
      </c>
      <c r="B2456" s="847" t="s">
        <v>881</v>
      </c>
      <c r="C2456">
        <v>4.2110000000000003</v>
      </c>
    </row>
    <row r="2457" spans="1:3" x14ac:dyDescent="0.3">
      <c r="A2457" s="35">
        <v>46225</v>
      </c>
      <c r="B2457" s="847" t="s">
        <v>881</v>
      </c>
      <c r="C2457">
        <v>4.2140000000000004</v>
      </c>
    </row>
    <row r="2458" spans="1:3" x14ac:dyDescent="0.3">
      <c r="A2458" s="35">
        <v>46226</v>
      </c>
      <c r="B2458" s="847" t="s">
        <v>881</v>
      </c>
      <c r="C2458">
        <v>4.2110000000000003</v>
      </c>
    </row>
    <row r="2459" spans="1:3" x14ac:dyDescent="0.3">
      <c r="A2459" s="35">
        <v>46227</v>
      </c>
      <c r="B2459" s="847" t="s">
        <v>881</v>
      </c>
      <c r="C2459">
        <v>4.2089999999999996</v>
      </c>
    </row>
    <row r="2460" spans="1:3" x14ac:dyDescent="0.3">
      <c r="A2460" s="35">
        <v>46230</v>
      </c>
      <c r="B2460" s="847" t="s">
        <v>881</v>
      </c>
      <c r="C2460">
        <v>4.2130000000000001</v>
      </c>
    </row>
    <row r="2461" spans="1:3" x14ac:dyDescent="0.3">
      <c r="A2461" s="35">
        <v>46231</v>
      </c>
      <c r="B2461" s="847" t="s">
        <v>881</v>
      </c>
      <c r="C2461">
        <v>4.2110000000000003</v>
      </c>
    </row>
    <row r="2462" spans="1:3" x14ac:dyDescent="0.3">
      <c r="A2462" s="35">
        <v>46232</v>
      </c>
      <c r="B2462" s="847" t="s">
        <v>881</v>
      </c>
      <c r="C2462">
        <v>4.2140000000000004</v>
      </c>
    </row>
    <row r="2463" spans="1:3" x14ac:dyDescent="0.3">
      <c r="A2463" s="35">
        <v>46233</v>
      </c>
      <c r="B2463" s="847" t="s">
        <v>881</v>
      </c>
      <c r="C2463">
        <v>4.218</v>
      </c>
    </row>
    <row r="2464" spans="1:3" x14ac:dyDescent="0.3">
      <c r="A2464" s="35">
        <v>46234</v>
      </c>
      <c r="B2464" s="847" t="s">
        <v>881</v>
      </c>
      <c r="C2464">
        <v>4.2140000000000004</v>
      </c>
    </row>
    <row r="2465" spans="1:3" x14ac:dyDescent="0.3">
      <c r="A2465" s="35">
        <v>46237</v>
      </c>
      <c r="B2465" s="847" t="s">
        <v>881</v>
      </c>
      <c r="C2465">
        <v>4.2169999999999996</v>
      </c>
    </row>
    <row r="2466" spans="1:3" x14ac:dyDescent="0.3">
      <c r="A2466" s="35">
        <v>46238</v>
      </c>
      <c r="B2466" s="847" t="s">
        <v>881</v>
      </c>
      <c r="C2466">
        <v>4.2220000000000004</v>
      </c>
    </row>
    <row r="2467" spans="1:3" x14ac:dyDescent="0.3">
      <c r="A2467" s="35">
        <v>46239</v>
      </c>
      <c r="B2467" s="847" t="s">
        <v>881</v>
      </c>
      <c r="C2467">
        <v>4.218</v>
      </c>
    </row>
    <row r="2468" spans="1:3" x14ac:dyDescent="0.3">
      <c r="A2468" s="35">
        <v>46240</v>
      </c>
      <c r="B2468" s="847" t="s">
        <v>881</v>
      </c>
      <c r="C2468">
        <v>4.22</v>
      </c>
    </row>
    <row r="2469" spans="1:3" x14ac:dyDescent="0.3">
      <c r="A2469" s="35">
        <v>46241</v>
      </c>
      <c r="B2469" s="847" t="s">
        <v>881</v>
      </c>
      <c r="C2469">
        <v>4.2229999999999999</v>
      </c>
    </row>
    <row r="2470" spans="1:3" x14ac:dyDescent="0.3">
      <c r="A2470" s="35">
        <v>46244</v>
      </c>
      <c r="B2470" s="847" t="s">
        <v>881</v>
      </c>
      <c r="C2470">
        <v>4.2329999999999997</v>
      </c>
    </row>
    <row r="2471" spans="1:3" x14ac:dyDescent="0.3">
      <c r="A2471" s="35">
        <v>46245</v>
      </c>
      <c r="B2471" s="847" t="s">
        <v>881</v>
      </c>
      <c r="C2471">
        <v>4.2329999999999997</v>
      </c>
    </row>
    <row r="2472" spans="1:3" x14ac:dyDescent="0.3">
      <c r="A2472" s="35">
        <v>46246</v>
      </c>
      <c r="B2472" s="847" t="s">
        <v>881</v>
      </c>
      <c r="C2472">
        <v>4.234</v>
      </c>
    </row>
    <row r="2473" spans="1:3" x14ac:dyDescent="0.3">
      <c r="A2473" s="35">
        <v>46247</v>
      </c>
      <c r="B2473" s="847" t="s">
        <v>881</v>
      </c>
      <c r="C2473">
        <v>4.2480000000000002</v>
      </c>
    </row>
    <row r="2474" spans="1:3" x14ac:dyDescent="0.3">
      <c r="A2474" s="35">
        <v>46248</v>
      </c>
      <c r="B2474" s="847" t="s">
        <v>881</v>
      </c>
      <c r="C2474">
        <v>4.2370000000000001</v>
      </c>
    </row>
    <row r="2475" spans="1:3" x14ac:dyDescent="0.3">
      <c r="A2475" s="35">
        <v>46251</v>
      </c>
      <c r="B2475" s="847" t="s">
        <v>881</v>
      </c>
      <c r="C2475">
        <v>4.2480000000000002</v>
      </c>
    </row>
    <row r="2476" spans="1:3" x14ac:dyDescent="0.3">
      <c r="A2476" s="35">
        <v>46252</v>
      </c>
      <c r="B2476" s="847" t="s">
        <v>881</v>
      </c>
      <c r="C2476">
        <v>4.2380000000000004</v>
      </c>
    </row>
    <row r="2477" spans="1:3" x14ac:dyDescent="0.3">
      <c r="A2477" s="35">
        <v>45852</v>
      </c>
      <c r="B2477" s="847" t="s">
        <v>882</v>
      </c>
      <c r="C2477">
        <v>3.0110000000000001</v>
      </c>
    </row>
    <row r="2478" spans="1:3" x14ac:dyDescent="0.3">
      <c r="A2478" s="35">
        <v>45853</v>
      </c>
      <c r="B2478" s="847" t="s">
        <v>882</v>
      </c>
      <c r="C2478">
        <v>3.012</v>
      </c>
    </row>
    <row r="2479" spans="1:3" x14ac:dyDescent="0.3">
      <c r="A2479" s="35">
        <v>45854</v>
      </c>
      <c r="B2479" s="847" t="s">
        <v>882</v>
      </c>
      <c r="C2479">
        <v>3.0110000000000001</v>
      </c>
    </row>
    <row r="2480" spans="1:3" x14ac:dyDescent="0.3">
      <c r="A2480" s="35">
        <v>45855</v>
      </c>
      <c r="B2480" s="847" t="s">
        <v>882</v>
      </c>
      <c r="C2480">
        <v>3.0129999999999999</v>
      </c>
    </row>
    <row r="2481" spans="1:3" x14ac:dyDescent="0.3">
      <c r="A2481" s="35">
        <v>45856</v>
      </c>
      <c r="B2481" s="847" t="s">
        <v>882</v>
      </c>
      <c r="C2481">
        <v>3.0259999999999998</v>
      </c>
    </row>
    <row r="2482" spans="1:3" x14ac:dyDescent="0.3">
      <c r="A2482" s="35">
        <v>45859</v>
      </c>
      <c r="B2482" s="847" t="s">
        <v>882</v>
      </c>
      <c r="C2482">
        <v>3.028</v>
      </c>
    </row>
    <row r="2483" spans="1:3" x14ac:dyDescent="0.3">
      <c r="A2483" s="35">
        <v>45860</v>
      </c>
      <c r="B2483" s="847" t="s">
        <v>882</v>
      </c>
      <c r="C2483">
        <v>3.028</v>
      </c>
    </row>
    <row r="2484" spans="1:3" x14ac:dyDescent="0.3">
      <c r="A2484" s="35">
        <v>45861</v>
      </c>
      <c r="B2484" s="847" t="s">
        <v>882</v>
      </c>
      <c r="C2484">
        <v>3.0310000000000001</v>
      </c>
    </row>
    <row r="2485" spans="1:3" x14ac:dyDescent="0.3">
      <c r="A2485" s="35">
        <v>45862</v>
      </c>
      <c r="B2485" s="847" t="s">
        <v>882</v>
      </c>
      <c r="C2485">
        <v>3.0569999999999999</v>
      </c>
    </row>
    <row r="2486" spans="1:3" x14ac:dyDescent="0.3">
      <c r="A2486" s="35">
        <v>45863</v>
      </c>
      <c r="B2486" s="847" t="s">
        <v>882</v>
      </c>
      <c r="C2486">
        <v>3.0649999999999999</v>
      </c>
    </row>
    <row r="2487" spans="1:3" x14ac:dyDescent="0.3">
      <c r="A2487" s="35">
        <v>45866</v>
      </c>
      <c r="B2487" s="847" t="s">
        <v>882</v>
      </c>
      <c r="C2487">
        <v>3.0640000000000001</v>
      </c>
    </row>
    <row r="2488" spans="1:3" x14ac:dyDescent="0.3">
      <c r="A2488" s="35">
        <v>45867</v>
      </c>
      <c r="B2488" s="847" t="s">
        <v>882</v>
      </c>
      <c r="C2488">
        <v>3.0649999999999999</v>
      </c>
    </row>
    <row r="2489" spans="1:3" x14ac:dyDescent="0.3">
      <c r="A2489" s="35">
        <v>45868</v>
      </c>
      <c r="B2489" s="847" t="s">
        <v>882</v>
      </c>
      <c r="C2489">
        <v>3.0659999999999998</v>
      </c>
    </row>
    <row r="2490" spans="1:3" x14ac:dyDescent="0.3">
      <c r="A2490" s="35">
        <v>45869</v>
      </c>
      <c r="B2490" s="847" t="s">
        <v>882</v>
      </c>
      <c r="C2490">
        <v>3.0659999999999998</v>
      </c>
    </row>
    <row r="2491" spans="1:3" x14ac:dyDescent="0.3">
      <c r="A2491" s="35">
        <v>45870</v>
      </c>
      <c r="B2491" s="847" t="s">
        <v>882</v>
      </c>
      <c r="C2491">
        <v>3.0710000000000002</v>
      </c>
    </row>
    <row r="2492" spans="1:3" x14ac:dyDescent="0.3">
      <c r="A2492" s="35">
        <v>45873</v>
      </c>
      <c r="B2492" s="847" t="s">
        <v>882</v>
      </c>
      <c r="C2492">
        <v>3.0720000000000001</v>
      </c>
    </row>
    <row r="2493" spans="1:3" x14ac:dyDescent="0.3">
      <c r="A2493" s="35">
        <v>45874</v>
      </c>
      <c r="B2493" s="847" t="s">
        <v>882</v>
      </c>
      <c r="C2493">
        <v>3.073</v>
      </c>
    </row>
    <row r="2494" spans="1:3" x14ac:dyDescent="0.3">
      <c r="A2494" s="35">
        <v>45875</v>
      </c>
      <c r="B2494" s="847" t="s">
        <v>882</v>
      </c>
      <c r="C2494">
        <v>3.0760000000000001</v>
      </c>
    </row>
    <row r="2495" spans="1:3" x14ac:dyDescent="0.3">
      <c r="A2495" s="35">
        <v>45876</v>
      </c>
      <c r="B2495" s="847" t="s">
        <v>882</v>
      </c>
      <c r="C2495">
        <v>3.08</v>
      </c>
    </row>
    <row r="2496" spans="1:3" x14ac:dyDescent="0.3">
      <c r="A2496" s="35">
        <v>45877</v>
      </c>
      <c r="B2496" s="847" t="s">
        <v>882</v>
      </c>
      <c r="C2496">
        <v>3.0819999999999999</v>
      </c>
    </row>
    <row r="2497" spans="1:3" x14ac:dyDescent="0.3">
      <c r="A2497" s="35">
        <v>45880</v>
      </c>
      <c r="B2497" s="847" t="s">
        <v>882</v>
      </c>
      <c r="C2497">
        <v>3.0870000000000002</v>
      </c>
    </row>
    <row r="2498" spans="1:3" x14ac:dyDescent="0.3">
      <c r="A2498" s="35">
        <v>45881</v>
      </c>
      <c r="B2498" s="847" t="s">
        <v>882</v>
      </c>
      <c r="C2498">
        <v>3.08</v>
      </c>
    </row>
    <row r="2499" spans="1:3" x14ac:dyDescent="0.3">
      <c r="A2499" s="35">
        <v>45882</v>
      </c>
      <c r="B2499" s="847" t="s">
        <v>882</v>
      </c>
      <c r="C2499">
        <v>3.0910000000000002</v>
      </c>
    </row>
    <row r="2500" spans="1:3" x14ac:dyDescent="0.3">
      <c r="A2500" s="35">
        <v>45883</v>
      </c>
      <c r="B2500" s="847" t="s">
        <v>882</v>
      </c>
      <c r="C2500">
        <v>3.105</v>
      </c>
    </row>
    <row r="2501" spans="1:3" x14ac:dyDescent="0.3">
      <c r="A2501" s="35">
        <v>45884</v>
      </c>
      <c r="B2501" s="847" t="s">
        <v>882</v>
      </c>
      <c r="C2501">
        <v>3.1139999999999999</v>
      </c>
    </row>
    <row r="2502" spans="1:3" x14ac:dyDescent="0.3">
      <c r="A2502" s="35">
        <v>45887</v>
      </c>
      <c r="B2502" s="847" t="s">
        <v>882</v>
      </c>
      <c r="C2502">
        <v>3.11</v>
      </c>
    </row>
    <row r="2503" spans="1:3" x14ac:dyDescent="0.3">
      <c r="A2503" s="35">
        <v>45888</v>
      </c>
      <c r="B2503" s="847" t="s">
        <v>882</v>
      </c>
      <c r="C2503">
        <v>3.1030000000000002</v>
      </c>
    </row>
    <row r="2504" spans="1:3" x14ac:dyDescent="0.3">
      <c r="A2504" s="35">
        <v>45889</v>
      </c>
      <c r="B2504" s="847" t="s">
        <v>882</v>
      </c>
      <c r="C2504">
        <v>3.113</v>
      </c>
    </row>
    <row r="2505" spans="1:3" x14ac:dyDescent="0.3">
      <c r="A2505" s="35">
        <v>45890</v>
      </c>
      <c r="B2505" s="847" t="s">
        <v>882</v>
      </c>
      <c r="C2505">
        <v>3.1480000000000001</v>
      </c>
    </row>
    <row r="2506" spans="1:3" x14ac:dyDescent="0.3">
      <c r="A2506" s="35">
        <v>45891</v>
      </c>
      <c r="B2506" s="847" t="s">
        <v>882</v>
      </c>
      <c r="C2506">
        <v>3.2530000000000001</v>
      </c>
    </row>
    <row r="2507" spans="1:3" x14ac:dyDescent="0.3">
      <c r="A2507" s="35">
        <v>45894</v>
      </c>
      <c r="B2507" s="847" t="s">
        <v>882</v>
      </c>
      <c r="C2507">
        <v>3.3359999999999999</v>
      </c>
    </row>
    <row r="2508" spans="1:3" x14ac:dyDescent="0.3">
      <c r="A2508" s="35">
        <v>45895</v>
      </c>
      <c r="B2508" s="847" t="s">
        <v>882</v>
      </c>
      <c r="C2508">
        <v>3.3780000000000001</v>
      </c>
    </row>
    <row r="2509" spans="1:3" x14ac:dyDescent="0.3">
      <c r="A2509" s="35">
        <v>45896</v>
      </c>
      <c r="B2509" s="847" t="s">
        <v>882</v>
      </c>
      <c r="C2509">
        <v>3.383</v>
      </c>
    </row>
    <row r="2510" spans="1:3" x14ac:dyDescent="0.3">
      <c r="A2510" s="35">
        <v>45897</v>
      </c>
      <c r="B2510" s="847" t="s">
        <v>882</v>
      </c>
      <c r="C2510">
        <v>3.383</v>
      </c>
    </row>
    <row r="2511" spans="1:3" x14ac:dyDescent="0.3">
      <c r="A2511" s="35">
        <v>45898</v>
      </c>
      <c r="B2511" s="847" t="s">
        <v>882</v>
      </c>
      <c r="C2511">
        <v>3.3919999999999999</v>
      </c>
    </row>
    <row r="2512" spans="1:3" x14ac:dyDescent="0.3">
      <c r="A2512" s="35">
        <v>45903</v>
      </c>
      <c r="B2512" s="847" t="s">
        <v>882</v>
      </c>
      <c r="C2512">
        <v>3.3860000000000001</v>
      </c>
    </row>
    <row r="2513" spans="1:3" x14ac:dyDescent="0.3">
      <c r="A2513" s="35">
        <v>45904</v>
      </c>
      <c r="B2513" s="847" t="s">
        <v>882</v>
      </c>
      <c r="C2513">
        <v>3.3780000000000001</v>
      </c>
    </row>
    <row r="2514" spans="1:3" x14ac:dyDescent="0.3">
      <c r="A2514" s="35">
        <v>45905</v>
      </c>
      <c r="B2514" s="847" t="s">
        <v>882</v>
      </c>
      <c r="C2514">
        <v>3.3610000000000002</v>
      </c>
    </row>
    <row r="2515" spans="1:3" x14ac:dyDescent="0.3">
      <c r="A2515" s="35">
        <v>45908</v>
      </c>
      <c r="B2515" s="847" t="s">
        <v>882</v>
      </c>
      <c r="C2515">
        <v>3.3620000000000001</v>
      </c>
    </row>
    <row r="2516" spans="1:3" x14ac:dyDescent="0.3">
      <c r="A2516" s="35">
        <v>45909</v>
      </c>
      <c r="B2516" s="847" t="s">
        <v>882</v>
      </c>
      <c r="C2516">
        <v>3.3610000000000002</v>
      </c>
    </row>
    <row r="2517" spans="1:3" x14ac:dyDescent="0.3">
      <c r="A2517" s="35">
        <v>45910</v>
      </c>
      <c r="B2517" s="847" t="s">
        <v>882</v>
      </c>
      <c r="C2517">
        <v>3.3620000000000001</v>
      </c>
    </row>
    <row r="2518" spans="1:3" x14ac:dyDescent="0.3">
      <c r="A2518" s="35">
        <v>45911</v>
      </c>
      <c r="B2518" s="847" t="s">
        <v>882</v>
      </c>
      <c r="C2518">
        <v>3.3690000000000002</v>
      </c>
    </row>
    <row r="2519" spans="1:3" x14ac:dyDescent="0.3">
      <c r="A2519" s="35">
        <v>45912</v>
      </c>
      <c r="B2519" s="847" t="s">
        <v>882</v>
      </c>
      <c r="C2519">
        <v>3.3719999999999999</v>
      </c>
    </row>
    <row r="2520" spans="1:3" x14ac:dyDescent="0.3">
      <c r="A2520" s="35">
        <v>45915</v>
      </c>
      <c r="B2520" s="847" t="s">
        <v>882</v>
      </c>
      <c r="C2520">
        <v>3.3610000000000002</v>
      </c>
    </row>
    <row r="2521" spans="1:3" x14ac:dyDescent="0.3">
      <c r="A2521" s="35">
        <v>45916</v>
      </c>
      <c r="B2521" s="847" t="s">
        <v>882</v>
      </c>
      <c r="C2521">
        <v>3.3580000000000001</v>
      </c>
    </row>
    <row r="2522" spans="1:3" x14ac:dyDescent="0.3">
      <c r="A2522" s="35">
        <v>45917</v>
      </c>
      <c r="B2522" s="847" t="s">
        <v>882</v>
      </c>
      <c r="C2522">
        <v>3.3580000000000001</v>
      </c>
    </row>
    <row r="2523" spans="1:3" x14ac:dyDescent="0.3">
      <c r="A2523" s="35">
        <v>45918</v>
      </c>
      <c r="B2523" s="847" t="s">
        <v>882</v>
      </c>
      <c r="C2523">
        <v>3.367</v>
      </c>
    </row>
    <row r="2524" spans="1:3" x14ac:dyDescent="0.3">
      <c r="A2524" s="35">
        <v>45919</v>
      </c>
      <c r="B2524" s="847" t="s">
        <v>882</v>
      </c>
      <c r="C2524">
        <v>3.3639999999999999</v>
      </c>
    </row>
    <row r="2525" spans="1:3" x14ac:dyDescent="0.3">
      <c r="A2525" s="35">
        <v>45922</v>
      </c>
      <c r="B2525" s="847" t="s">
        <v>882</v>
      </c>
      <c r="C2525">
        <v>3.3690000000000002</v>
      </c>
    </row>
    <row r="2526" spans="1:3" x14ac:dyDescent="0.3">
      <c r="A2526" s="35">
        <v>45923</v>
      </c>
      <c r="B2526" s="847" t="s">
        <v>882</v>
      </c>
      <c r="C2526">
        <v>3.3690000000000002</v>
      </c>
    </row>
    <row r="2527" spans="1:3" x14ac:dyDescent="0.3">
      <c r="A2527" s="35">
        <v>45924</v>
      </c>
      <c r="B2527" s="847" t="s">
        <v>882</v>
      </c>
      <c r="C2527">
        <v>3.3690000000000002</v>
      </c>
    </row>
    <row r="2528" spans="1:3" x14ac:dyDescent="0.3">
      <c r="A2528" s="35">
        <v>45925</v>
      </c>
      <c r="B2528" s="847" t="s">
        <v>882</v>
      </c>
      <c r="C2528">
        <v>3.375</v>
      </c>
    </row>
    <row r="2529" spans="1:3" x14ac:dyDescent="0.3">
      <c r="A2529" s="35">
        <v>45926</v>
      </c>
      <c r="B2529" s="847" t="s">
        <v>882</v>
      </c>
      <c r="C2529">
        <v>3.3740000000000001</v>
      </c>
    </row>
    <row r="2530" spans="1:3" x14ac:dyDescent="0.3">
      <c r="A2530" s="35">
        <v>45929</v>
      </c>
      <c r="B2530" s="847" t="s">
        <v>882</v>
      </c>
      <c r="C2530">
        <v>3.3740000000000001</v>
      </c>
    </row>
    <row r="2531" spans="1:3" x14ac:dyDescent="0.3">
      <c r="A2531" s="35">
        <v>45930</v>
      </c>
      <c r="B2531" s="847" t="s">
        <v>882</v>
      </c>
      <c r="C2531">
        <v>3.3740000000000001</v>
      </c>
    </row>
    <row r="2532" spans="1:3" x14ac:dyDescent="0.3">
      <c r="A2532" s="35">
        <v>45931</v>
      </c>
      <c r="B2532" s="847" t="s">
        <v>882</v>
      </c>
      <c r="C2532">
        <v>3.379</v>
      </c>
    </row>
    <row r="2533" spans="1:3" x14ac:dyDescent="0.3">
      <c r="A2533" s="35">
        <v>45932</v>
      </c>
      <c r="B2533" s="847" t="s">
        <v>882</v>
      </c>
      <c r="C2533">
        <v>3.4</v>
      </c>
    </row>
    <row r="2534" spans="1:3" x14ac:dyDescent="0.3">
      <c r="A2534" s="35">
        <v>45933</v>
      </c>
      <c r="B2534" s="847" t="s">
        <v>882</v>
      </c>
      <c r="C2534">
        <v>3.4020000000000001</v>
      </c>
    </row>
    <row r="2535" spans="1:3" x14ac:dyDescent="0.3">
      <c r="A2535" s="35">
        <v>45936</v>
      </c>
      <c r="B2535" s="847" t="s">
        <v>882</v>
      </c>
      <c r="C2535">
        <v>3.395</v>
      </c>
    </row>
    <row r="2536" spans="1:3" x14ac:dyDescent="0.3">
      <c r="A2536" s="35">
        <v>45937</v>
      </c>
      <c r="B2536" s="847" t="s">
        <v>882</v>
      </c>
      <c r="C2536">
        <v>3.3929999999999998</v>
      </c>
    </row>
    <row r="2537" spans="1:3" x14ac:dyDescent="0.3">
      <c r="A2537" s="35">
        <v>45938</v>
      </c>
      <c r="B2537" s="847" t="s">
        <v>882</v>
      </c>
      <c r="C2537">
        <v>3.395</v>
      </c>
    </row>
    <row r="2538" spans="1:3" x14ac:dyDescent="0.3">
      <c r="A2538" s="35">
        <v>45939</v>
      </c>
      <c r="B2538" s="847" t="s">
        <v>882</v>
      </c>
      <c r="C2538">
        <v>3.4089999999999998</v>
      </c>
    </row>
    <row r="2539" spans="1:3" x14ac:dyDescent="0.3">
      <c r="A2539" s="35">
        <v>45940</v>
      </c>
      <c r="B2539" s="847" t="s">
        <v>882</v>
      </c>
      <c r="C2539">
        <v>3.4369999999999998</v>
      </c>
    </row>
    <row r="2540" spans="1:3" x14ac:dyDescent="0.3">
      <c r="A2540" s="35">
        <v>45943</v>
      </c>
      <c r="B2540" s="847" t="s">
        <v>882</v>
      </c>
      <c r="C2540">
        <v>3.4060000000000001</v>
      </c>
    </row>
    <row r="2541" spans="1:3" x14ac:dyDescent="0.3">
      <c r="A2541" s="35">
        <v>45944</v>
      </c>
      <c r="B2541" s="847" t="s">
        <v>882</v>
      </c>
      <c r="C2541">
        <v>3.4020000000000001</v>
      </c>
    </row>
    <row r="2542" spans="1:3" x14ac:dyDescent="0.3">
      <c r="A2542" s="35">
        <v>45945</v>
      </c>
      <c r="B2542" s="847" t="s">
        <v>882</v>
      </c>
      <c r="C2542">
        <v>3.403</v>
      </c>
    </row>
    <row r="2543" spans="1:3" x14ac:dyDescent="0.3">
      <c r="A2543" s="35">
        <v>45946</v>
      </c>
      <c r="B2543" s="847" t="s">
        <v>882</v>
      </c>
      <c r="C2543">
        <v>3.4279999999999999</v>
      </c>
    </row>
    <row r="2544" spans="1:3" x14ac:dyDescent="0.3">
      <c r="A2544" s="35">
        <v>45947</v>
      </c>
      <c r="B2544" s="847" t="s">
        <v>882</v>
      </c>
      <c r="C2544">
        <v>3.4249999999999998</v>
      </c>
    </row>
    <row r="2545" spans="1:3" x14ac:dyDescent="0.3">
      <c r="A2545" s="35">
        <v>45950</v>
      </c>
      <c r="B2545" s="847" t="s">
        <v>882</v>
      </c>
      <c r="C2545">
        <v>3.4279999999999999</v>
      </c>
    </row>
    <row r="2546" spans="1:3" x14ac:dyDescent="0.3">
      <c r="A2546" s="35">
        <v>45951</v>
      </c>
      <c r="B2546" s="847" t="s">
        <v>882</v>
      </c>
      <c r="C2546">
        <v>3.4249999999999998</v>
      </c>
    </row>
    <row r="2547" spans="1:3" x14ac:dyDescent="0.3">
      <c r="A2547" s="35">
        <v>45952</v>
      </c>
      <c r="B2547" s="847" t="s">
        <v>882</v>
      </c>
      <c r="C2547">
        <v>3.4260000000000002</v>
      </c>
    </row>
    <row r="2548" spans="1:3" x14ac:dyDescent="0.3">
      <c r="A2548" s="35">
        <v>45953</v>
      </c>
      <c r="B2548" s="847" t="s">
        <v>882</v>
      </c>
      <c r="C2548">
        <v>3.4239999999999999</v>
      </c>
    </row>
    <row r="2549" spans="1:3" x14ac:dyDescent="0.3">
      <c r="A2549" s="35">
        <v>45954</v>
      </c>
      <c r="B2549" s="847" t="s">
        <v>882</v>
      </c>
      <c r="C2549">
        <v>3.4220000000000002</v>
      </c>
    </row>
    <row r="2550" spans="1:3" x14ac:dyDescent="0.3">
      <c r="A2550" s="35">
        <v>45957</v>
      </c>
      <c r="B2550" s="847" t="s">
        <v>882</v>
      </c>
      <c r="C2550">
        <v>3.4249999999999998</v>
      </c>
    </row>
    <row r="2551" spans="1:3" x14ac:dyDescent="0.3">
      <c r="A2551" s="35">
        <v>45958</v>
      </c>
      <c r="B2551" s="847" t="s">
        <v>882</v>
      </c>
      <c r="C2551">
        <v>3.423</v>
      </c>
    </row>
    <row r="2552" spans="1:3" x14ac:dyDescent="0.3">
      <c r="A2552" s="35">
        <v>45959</v>
      </c>
      <c r="B2552" s="847" t="s">
        <v>882</v>
      </c>
      <c r="C2552">
        <v>3.423</v>
      </c>
    </row>
    <row r="2553" spans="1:3" x14ac:dyDescent="0.3">
      <c r="A2553" s="35">
        <v>45960</v>
      </c>
      <c r="B2553" s="847" t="s">
        <v>882</v>
      </c>
      <c r="C2553">
        <v>3.423</v>
      </c>
    </row>
    <row r="2554" spans="1:3" x14ac:dyDescent="0.3">
      <c r="A2554" s="35">
        <v>45961</v>
      </c>
      <c r="B2554" s="847" t="s">
        <v>882</v>
      </c>
      <c r="C2554">
        <v>3.423</v>
      </c>
    </row>
    <row r="2555" spans="1:3" x14ac:dyDescent="0.3">
      <c r="A2555" s="35">
        <v>45964</v>
      </c>
      <c r="B2555" s="847" t="s">
        <v>882</v>
      </c>
      <c r="C2555">
        <v>3.423</v>
      </c>
    </row>
    <row r="2556" spans="1:3" x14ac:dyDescent="0.3">
      <c r="A2556" s="35">
        <v>45965</v>
      </c>
      <c r="B2556" s="847" t="s">
        <v>882</v>
      </c>
      <c r="C2556">
        <v>3.423</v>
      </c>
    </row>
    <row r="2557" spans="1:3" x14ac:dyDescent="0.3">
      <c r="A2557" s="35">
        <v>45966</v>
      </c>
      <c r="B2557" s="847" t="s">
        <v>882</v>
      </c>
      <c r="C2557">
        <v>3.423</v>
      </c>
    </row>
    <row r="2558" spans="1:3" x14ac:dyDescent="0.3">
      <c r="A2558" s="35">
        <v>45967</v>
      </c>
      <c r="B2558" s="847" t="s">
        <v>882</v>
      </c>
      <c r="C2558">
        <v>3.4279999999999999</v>
      </c>
    </row>
    <row r="2559" spans="1:3" x14ac:dyDescent="0.3">
      <c r="A2559" s="35">
        <v>45968</v>
      </c>
      <c r="B2559" s="847" t="s">
        <v>882</v>
      </c>
      <c r="C2559">
        <v>3.4340000000000002</v>
      </c>
    </row>
    <row r="2560" spans="1:3" x14ac:dyDescent="0.3">
      <c r="A2560" s="35">
        <v>45971</v>
      </c>
      <c r="B2560" s="847" t="s">
        <v>882</v>
      </c>
      <c r="C2560">
        <v>3.4390000000000001</v>
      </c>
    </row>
    <row r="2561" spans="1:3" x14ac:dyDescent="0.3">
      <c r="A2561" s="35">
        <v>45972</v>
      </c>
      <c r="B2561" s="847" t="s">
        <v>882</v>
      </c>
      <c r="C2561">
        <v>3.4390000000000001</v>
      </c>
    </row>
    <row r="2562" spans="1:3" x14ac:dyDescent="0.3">
      <c r="A2562" s="35">
        <v>45973</v>
      </c>
      <c r="B2562" s="847" t="s">
        <v>882</v>
      </c>
      <c r="C2562">
        <v>3.4390000000000001</v>
      </c>
    </row>
    <row r="2563" spans="1:3" x14ac:dyDescent="0.3">
      <c r="A2563" s="35">
        <v>45974</v>
      </c>
      <c r="B2563" s="847" t="s">
        <v>882</v>
      </c>
      <c r="C2563">
        <v>3.4390000000000001</v>
      </c>
    </row>
    <row r="2564" spans="1:3" x14ac:dyDescent="0.3">
      <c r="A2564" s="35">
        <v>45975</v>
      </c>
      <c r="B2564" s="847" t="s">
        <v>882</v>
      </c>
      <c r="C2564">
        <v>3.4390000000000001</v>
      </c>
    </row>
    <row r="2565" spans="1:3" x14ac:dyDescent="0.3">
      <c r="A2565" s="35">
        <v>45978</v>
      </c>
      <c r="B2565" s="847" t="s">
        <v>882</v>
      </c>
      <c r="C2565">
        <v>3.4390000000000001</v>
      </c>
    </row>
    <row r="2566" spans="1:3" x14ac:dyDescent="0.3">
      <c r="A2566" s="35">
        <v>45979</v>
      </c>
      <c r="B2566" s="847" t="s">
        <v>882</v>
      </c>
      <c r="C2566">
        <v>3.4390000000000001</v>
      </c>
    </row>
    <row r="2567" spans="1:3" x14ac:dyDescent="0.3">
      <c r="A2567" s="35">
        <v>45980</v>
      </c>
      <c r="B2567" s="847" t="s">
        <v>882</v>
      </c>
      <c r="C2567">
        <v>3.4390000000000001</v>
      </c>
    </row>
    <row r="2568" spans="1:3" x14ac:dyDescent="0.3">
      <c r="A2568" s="35">
        <v>45981</v>
      </c>
      <c r="B2568" s="847" t="s">
        <v>882</v>
      </c>
      <c r="C2568">
        <v>3.4359999999999999</v>
      </c>
    </row>
    <row r="2569" spans="1:3" x14ac:dyDescent="0.3">
      <c r="A2569" s="35">
        <v>45982</v>
      </c>
      <c r="B2569" s="847" t="s">
        <v>882</v>
      </c>
      <c r="C2569">
        <v>3.4359999999999999</v>
      </c>
    </row>
    <row r="2570" spans="1:3" x14ac:dyDescent="0.3">
      <c r="A2570" s="35">
        <v>45985</v>
      </c>
      <c r="B2570" s="847" t="s">
        <v>882</v>
      </c>
      <c r="C2570">
        <v>3.4359999999999999</v>
      </c>
    </row>
    <row r="2571" spans="1:3" x14ac:dyDescent="0.3">
      <c r="A2571" s="35">
        <v>45986</v>
      </c>
      <c r="B2571" s="847" t="s">
        <v>882</v>
      </c>
      <c r="C2571">
        <v>3.4359999999999999</v>
      </c>
    </row>
    <row r="2572" spans="1:3" x14ac:dyDescent="0.3">
      <c r="A2572" s="35">
        <v>45987</v>
      </c>
      <c r="B2572" s="847" t="s">
        <v>882</v>
      </c>
      <c r="C2572">
        <v>3.4359999999999999</v>
      </c>
    </row>
    <row r="2573" spans="1:3" x14ac:dyDescent="0.3">
      <c r="A2573" s="35">
        <v>45988</v>
      </c>
      <c r="B2573" s="847" t="s">
        <v>882</v>
      </c>
      <c r="C2573">
        <v>3.4359999999999999</v>
      </c>
    </row>
    <row r="2574" spans="1:3" x14ac:dyDescent="0.3">
      <c r="A2574" s="35">
        <v>45989</v>
      </c>
      <c r="B2574" s="847" t="s">
        <v>882</v>
      </c>
      <c r="C2574">
        <v>3.4359999999999999</v>
      </c>
    </row>
    <row r="2575" spans="1:3" x14ac:dyDescent="0.3">
      <c r="A2575" s="35">
        <v>45992</v>
      </c>
      <c r="B2575" s="847" t="s">
        <v>882</v>
      </c>
      <c r="C2575">
        <v>3.4420000000000002</v>
      </c>
    </row>
    <row r="2576" spans="1:3" x14ac:dyDescent="0.3">
      <c r="A2576" s="35">
        <v>45993</v>
      </c>
      <c r="B2576" s="847" t="s">
        <v>882</v>
      </c>
      <c r="C2576">
        <v>3.4420000000000002</v>
      </c>
    </row>
    <row r="2577" spans="1:3" x14ac:dyDescent="0.3">
      <c r="A2577" s="35">
        <v>45994</v>
      </c>
      <c r="B2577" s="847" t="s">
        <v>882</v>
      </c>
      <c r="C2577">
        <v>3.4449999999999998</v>
      </c>
    </row>
    <row r="2578" spans="1:3" x14ac:dyDescent="0.3">
      <c r="A2578" s="35">
        <v>45995</v>
      </c>
      <c r="B2578" s="847" t="s">
        <v>882</v>
      </c>
      <c r="C2578">
        <v>3.4449999999999998</v>
      </c>
    </row>
    <row r="2579" spans="1:3" x14ac:dyDescent="0.3">
      <c r="A2579" s="35">
        <v>45996</v>
      </c>
      <c r="B2579" s="847" t="s">
        <v>882</v>
      </c>
      <c r="C2579">
        <v>3.464</v>
      </c>
    </row>
    <row r="2580" spans="1:3" x14ac:dyDescent="0.3">
      <c r="A2580" s="35">
        <v>45999</v>
      </c>
      <c r="B2580" s="847" t="s">
        <v>882</v>
      </c>
      <c r="C2580">
        <v>3.4660000000000002</v>
      </c>
    </row>
    <row r="2581" spans="1:3" x14ac:dyDescent="0.3">
      <c r="A2581" s="35">
        <v>46000</v>
      </c>
      <c r="B2581" s="847" t="s">
        <v>882</v>
      </c>
      <c r="C2581">
        <v>3.4660000000000002</v>
      </c>
    </row>
    <row r="2582" spans="1:3" x14ac:dyDescent="0.3">
      <c r="A2582" s="35">
        <v>46001</v>
      </c>
      <c r="B2582" s="847" t="s">
        <v>882</v>
      </c>
      <c r="C2582">
        <v>3.4660000000000002</v>
      </c>
    </row>
    <row r="2583" spans="1:3" x14ac:dyDescent="0.3">
      <c r="A2583" s="35">
        <v>46002</v>
      </c>
      <c r="B2583" s="847" t="s">
        <v>882</v>
      </c>
      <c r="C2583">
        <v>3.472</v>
      </c>
    </row>
    <row r="2584" spans="1:3" x14ac:dyDescent="0.3">
      <c r="A2584" s="35">
        <v>46003</v>
      </c>
      <c r="B2584" s="847" t="s">
        <v>882</v>
      </c>
      <c r="C2584">
        <v>3.4740000000000002</v>
      </c>
    </row>
    <row r="2585" spans="1:3" x14ac:dyDescent="0.3">
      <c r="A2585" s="35">
        <v>46006</v>
      </c>
      <c r="B2585" s="847" t="s">
        <v>882</v>
      </c>
      <c r="C2585">
        <v>3.4790000000000001</v>
      </c>
    </row>
    <row r="2586" spans="1:3" x14ac:dyDescent="0.3">
      <c r="A2586" s="35">
        <v>46007</v>
      </c>
      <c r="B2586" s="847" t="s">
        <v>882</v>
      </c>
      <c r="C2586">
        <v>3.4849999999999999</v>
      </c>
    </row>
    <row r="2587" spans="1:3" x14ac:dyDescent="0.3">
      <c r="A2587" s="35">
        <v>46008</v>
      </c>
      <c r="B2587" s="847" t="s">
        <v>882</v>
      </c>
      <c r="C2587">
        <v>3.4809999999999999</v>
      </c>
    </row>
    <row r="2588" spans="1:3" x14ac:dyDescent="0.3">
      <c r="A2588" s="35">
        <v>46009</v>
      </c>
      <c r="B2588" s="847" t="s">
        <v>882</v>
      </c>
      <c r="C2588">
        <v>3.4860000000000002</v>
      </c>
    </row>
    <row r="2589" spans="1:3" x14ac:dyDescent="0.3">
      <c r="A2589" s="35">
        <v>46010</v>
      </c>
      <c r="B2589" s="847" t="s">
        <v>882</v>
      </c>
      <c r="C2589">
        <v>3.492</v>
      </c>
    </row>
    <row r="2590" spans="1:3" x14ac:dyDescent="0.3">
      <c r="A2590" s="35">
        <v>46013</v>
      </c>
      <c r="B2590" s="847" t="s">
        <v>882</v>
      </c>
      <c r="C2590">
        <v>3.492</v>
      </c>
    </row>
    <row r="2591" spans="1:3" x14ac:dyDescent="0.3">
      <c r="A2591" s="35">
        <v>46014</v>
      </c>
      <c r="B2591" s="847" t="s">
        <v>882</v>
      </c>
      <c r="C2591">
        <v>3.492</v>
      </c>
    </row>
    <row r="2592" spans="1:3" x14ac:dyDescent="0.3">
      <c r="A2592" s="35">
        <v>46015</v>
      </c>
      <c r="B2592" s="847" t="s">
        <v>882</v>
      </c>
      <c r="C2592">
        <v>3.492</v>
      </c>
    </row>
    <row r="2593" spans="1:3" x14ac:dyDescent="0.3">
      <c r="A2593" s="35">
        <v>46016</v>
      </c>
      <c r="B2593" s="847" t="s">
        <v>882</v>
      </c>
      <c r="C2593">
        <v>3.4950000000000001</v>
      </c>
    </row>
    <row r="2594" spans="1:3" x14ac:dyDescent="0.3">
      <c r="A2594" s="35">
        <v>46017</v>
      </c>
      <c r="B2594" s="847" t="s">
        <v>882</v>
      </c>
      <c r="C2594">
        <v>3.4950000000000001</v>
      </c>
    </row>
    <row r="2595" spans="1:3" x14ac:dyDescent="0.3">
      <c r="A2595" s="35">
        <v>46020</v>
      </c>
      <c r="B2595" s="847" t="s">
        <v>882</v>
      </c>
      <c r="C2595">
        <v>3.4950000000000001</v>
      </c>
    </row>
    <row r="2596" spans="1:3" x14ac:dyDescent="0.3">
      <c r="A2596" s="35">
        <v>46021</v>
      </c>
      <c r="B2596" s="847" t="s">
        <v>882</v>
      </c>
      <c r="C2596">
        <v>3.4950000000000001</v>
      </c>
    </row>
    <row r="2597" spans="1:3" x14ac:dyDescent="0.3">
      <c r="A2597" s="35">
        <v>46022</v>
      </c>
      <c r="B2597" s="847" t="s">
        <v>882</v>
      </c>
      <c r="C2597">
        <v>3.4950000000000001</v>
      </c>
    </row>
    <row r="2598" spans="1:3" x14ac:dyDescent="0.3">
      <c r="A2598" s="35">
        <v>46027</v>
      </c>
      <c r="B2598" s="847" t="s">
        <v>882</v>
      </c>
      <c r="C2598">
        <v>3.492</v>
      </c>
    </row>
    <row r="2599" spans="1:3" x14ac:dyDescent="0.3">
      <c r="A2599" s="35">
        <v>46028</v>
      </c>
      <c r="B2599" s="847" t="s">
        <v>882</v>
      </c>
      <c r="C2599">
        <v>3.492</v>
      </c>
    </row>
    <row r="2600" spans="1:3" x14ac:dyDescent="0.3">
      <c r="A2600" s="35">
        <v>46029</v>
      </c>
      <c r="B2600" s="847" t="s">
        <v>882</v>
      </c>
      <c r="C2600">
        <v>3.5310000000000001</v>
      </c>
    </row>
    <row r="2601" spans="1:3" x14ac:dyDescent="0.3">
      <c r="A2601" s="35">
        <v>46030</v>
      </c>
      <c r="B2601" s="847" t="s">
        <v>882</v>
      </c>
      <c r="C2601">
        <v>3.6030000000000002</v>
      </c>
    </row>
    <row r="2602" spans="1:3" x14ac:dyDescent="0.3">
      <c r="A2602" s="35">
        <v>46031</v>
      </c>
      <c r="B2602" s="847" t="s">
        <v>882</v>
      </c>
      <c r="C2602">
        <v>3.6219999999999999</v>
      </c>
    </row>
    <row r="2603" spans="1:3" x14ac:dyDescent="0.3">
      <c r="A2603" s="35">
        <v>46034</v>
      </c>
      <c r="B2603" s="847" t="s">
        <v>882</v>
      </c>
      <c r="C2603">
        <v>3.6280000000000001</v>
      </c>
    </row>
    <row r="2604" spans="1:3" x14ac:dyDescent="0.3">
      <c r="A2604" s="35">
        <v>46035</v>
      </c>
      <c r="B2604" s="847" t="s">
        <v>882</v>
      </c>
      <c r="C2604">
        <v>3.6280000000000001</v>
      </c>
    </row>
    <row r="2605" spans="1:3" x14ac:dyDescent="0.3">
      <c r="A2605" s="35">
        <v>46036</v>
      </c>
      <c r="B2605" s="847" t="s">
        <v>882</v>
      </c>
      <c r="C2605">
        <v>3.65</v>
      </c>
    </row>
    <row r="2606" spans="1:3" x14ac:dyDescent="0.3">
      <c r="A2606" s="35">
        <v>46037</v>
      </c>
      <c r="B2606" s="847" t="s">
        <v>882</v>
      </c>
      <c r="C2606">
        <v>3.6669999999999998</v>
      </c>
    </row>
    <row r="2607" spans="1:3" x14ac:dyDescent="0.3">
      <c r="A2607" s="35">
        <v>46038</v>
      </c>
      <c r="B2607" s="847" t="s">
        <v>882</v>
      </c>
      <c r="C2607">
        <v>3.6749999999999998</v>
      </c>
    </row>
    <row r="2608" spans="1:3" x14ac:dyDescent="0.3">
      <c r="A2608" s="35">
        <v>46041</v>
      </c>
      <c r="B2608" s="847" t="s">
        <v>882</v>
      </c>
      <c r="C2608">
        <v>3.75</v>
      </c>
    </row>
    <row r="2609" spans="1:3" x14ac:dyDescent="0.3">
      <c r="A2609" s="35">
        <v>46042</v>
      </c>
      <c r="B2609" s="847" t="s">
        <v>882</v>
      </c>
      <c r="C2609">
        <v>3.669</v>
      </c>
    </row>
    <row r="2610" spans="1:3" x14ac:dyDescent="0.3">
      <c r="A2610" s="35">
        <v>46043</v>
      </c>
      <c r="B2610" s="847" t="s">
        <v>882</v>
      </c>
      <c r="C2610">
        <v>3.6920000000000002</v>
      </c>
    </row>
    <row r="2611" spans="1:3" x14ac:dyDescent="0.3">
      <c r="A2611" s="35">
        <v>46044</v>
      </c>
      <c r="B2611" s="847" t="s">
        <v>882</v>
      </c>
      <c r="C2611">
        <v>3.6970000000000001</v>
      </c>
    </row>
    <row r="2612" spans="1:3" x14ac:dyDescent="0.3">
      <c r="A2612" s="35">
        <v>46045</v>
      </c>
      <c r="B2612" s="847" t="s">
        <v>882</v>
      </c>
      <c r="C2612">
        <v>3.7080000000000002</v>
      </c>
    </row>
    <row r="2613" spans="1:3" x14ac:dyDescent="0.3">
      <c r="A2613" s="35">
        <v>46048</v>
      </c>
      <c r="B2613" s="847" t="s">
        <v>882</v>
      </c>
      <c r="C2613">
        <v>3.7029999999999998</v>
      </c>
    </row>
    <row r="2614" spans="1:3" x14ac:dyDescent="0.3">
      <c r="A2614" s="35">
        <v>46049</v>
      </c>
      <c r="B2614" s="847" t="s">
        <v>882</v>
      </c>
      <c r="C2614">
        <v>3.7029999999999998</v>
      </c>
    </row>
    <row r="2615" spans="1:3" x14ac:dyDescent="0.3">
      <c r="A2615" s="35">
        <v>46050</v>
      </c>
      <c r="B2615" s="847" t="s">
        <v>882</v>
      </c>
      <c r="C2615">
        <v>3.7029999999999998</v>
      </c>
    </row>
    <row r="2616" spans="1:3" x14ac:dyDescent="0.3">
      <c r="A2616" s="35">
        <v>46051</v>
      </c>
      <c r="B2616" s="847" t="s">
        <v>882</v>
      </c>
      <c r="C2616">
        <v>3.7029999999999998</v>
      </c>
    </row>
    <row r="2617" spans="1:3" x14ac:dyDescent="0.3">
      <c r="A2617" s="35">
        <v>46052</v>
      </c>
      <c r="B2617" s="847" t="s">
        <v>882</v>
      </c>
      <c r="C2617">
        <v>3.7029999999999998</v>
      </c>
    </row>
    <row r="2618" spans="1:3" x14ac:dyDescent="0.3">
      <c r="A2618" s="35">
        <v>46055</v>
      </c>
      <c r="B2618" s="847" t="s">
        <v>882</v>
      </c>
      <c r="C2618">
        <v>3.7469999999999999</v>
      </c>
    </row>
    <row r="2619" spans="1:3" x14ac:dyDescent="0.3">
      <c r="A2619" s="35">
        <v>46056</v>
      </c>
      <c r="B2619" s="847" t="s">
        <v>882</v>
      </c>
      <c r="C2619">
        <v>3.75</v>
      </c>
    </row>
    <row r="2620" spans="1:3" x14ac:dyDescent="0.3">
      <c r="A2620" s="35">
        <v>46057</v>
      </c>
      <c r="B2620" s="847" t="s">
        <v>882</v>
      </c>
      <c r="C2620">
        <v>3.75</v>
      </c>
    </row>
    <row r="2621" spans="1:3" x14ac:dyDescent="0.3">
      <c r="A2621" s="35">
        <v>46058</v>
      </c>
      <c r="B2621" s="847" t="s">
        <v>882</v>
      </c>
      <c r="C2621">
        <v>3.75</v>
      </c>
    </row>
    <row r="2622" spans="1:3" x14ac:dyDescent="0.3">
      <c r="A2622" s="35">
        <v>46059</v>
      </c>
      <c r="B2622" s="847" t="s">
        <v>882</v>
      </c>
      <c r="C2622">
        <v>3.75</v>
      </c>
    </row>
    <row r="2623" spans="1:3" x14ac:dyDescent="0.3">
      <c r="A2623" s="35">
        <v>46062</v>
      </c>
      <c r="B2623" s="847" t="s">
        <v>882</v>
      </c>
      <c r="C2623">
        <v>3.794</v>
      </c>
    </row>
    <row r="2624" spans="1:3" x14ac:dyDescent="0.3">
      <c r="A2624" s="35">
        <v>46063</v>
      </c>
      <c r="B2624" s="847" t="s">
        <v>882</v>
      </c>
      <c r="C2624">
        <v>3.7970000000000002</v>
      </c>
    </row>
    <row r="2625" spans="1:3" x14ac:dyDescent="0.3">
      <c r="A2625" s="35">
        <v>46064</v>
      </c>
      <c r="B2625" s="847" t="s">
        <v>882</v>
      </c>
      <c r="C2625">
        <v>3.8079999999999998</v>
      </c>
    </row>
    <row r="2626" spans="1:3" x14ac:dyDescent="0.3">
      <c r="A2626" s="35">
        <v>46065</v>
      </c>
      <c r="B2626" s="847" t="s">
        <v>882</v>
      </c>
      <c r="C2626">
        <v>3.8079999999999998</v>
      </c>
    </row>
    <row r="2627" spans="1:3" x14ac:dyDescent="0.3">
      <c r="A2627" s="35">
        <v>46066</v>
      </c>
      <c r="B2627" s="847" t="s">
        <v>882</v>
      </c>
      <c r="C2627">
        <v>3.8079999999999998</v>
      </c>
    </row>
    <row r="2628" spans="1:3" x14ac:dyDescent="0.3">
      <c r="A2628" s="35">
        <v>46076</v>
      </c>
      <c r="B2628" s="847" t="s">
        <v>882</v>
      </c>
      <c r="C2628">
        <v>3.8079999999999998</v>
      </c>
    </row>
    <row r="2629" spans="1:3" x14ac:dyDescent="0.3">
      <c r="A2629" s="35">
        <v>46077</v>
      </c>
      <c r="B2629" s="847" t="s">
        <v>882</v>
      </c>
      <c r="C2629">
        <v>3.8079999999999998</v>
      </c>
    </row>
    <row r="2630" spans="1:3" x14ac:dyDescent="0.3">
      <c r="A2630" s="35">
        <v>46078</v>
      </c>
      <c r="B2630" s="847" t="s">
        <v>882</v>
      </c>
      <c r="C2630">
        <v>3.8079999999999998</v>
      </c>
    </row>
    <row r="2631" spans="1:3" x14ac:dyDescent="0.3">
      <c r="A2631" s="35">
        <v>46079</v>
      </c>
      <c r="B2631" s="847" t="s">
        <v>882</v>
      </c>
      <c r="C2631">
        <v>3.8119999999999998</v>
      </c>
    </row>
    <row r="2632" spans="1:3" x14ac:dyDescent="0.3">
      <c r="A2632" s="35">
        <v>46080</v>
      </c>
      <c r="B2632" s="847" t="s">
        <v>882</v>
      </c>
      <c r="C2632">
        <v>3.8149999999999999</v>
      </c>
    </row>
    <row r="2633" spans="1:3" x14ac:dyDescent="0.3">
      <c r="A2633" s="35">
        <v>46083</v>
      </c>
      <c r="B2633" s="847" t="s">
        <v>882</v>
      </c>
      <c r="C2633">
        <v>3.8450000000000002</v>
      </c>
    </row>
    <row r="2634" spans="1:3" x14ac:dyDescent="0.3">
      <c r="A2634" s="35">
        <v>46084</v>
      </c>
      <c r="B2634" s="847" t="s">
        <v>882</v>
      </c>
      <c r="C2634">
        <v>3.8450000000000002</v>
      </c>
    </row>
    <row r="2635" spans="1:3" x14ac:dyDescent="0.3">
      <c r="A2635" s="35">
        <v>46085</v>
      </c>
      <c r="B2635" s="847" t="s">
        <v>882</v>
      </c>
      <c r="C2635">
        <v>3.8450000000000002</v>
      </c>
    </row>
    <row r="2636" spans="1:3" x14ac:dyDescent="0.3">
      <c r="A2636" s="35">
        <v>46086</v>
      </c>
      <c r="B2636" s="847" t="s">
        <v>882</v>
      </c>
      <c r="C2636">
        <v>3.847</v>
      </c>
    </row>
    <row r="2637" spans="1:3" x14ac:dyDescent="0.3">
      <c r="A2637" s="35">
        <v>46087</v>
      </c>
      <c r="B2637" s="847" t="s">
        <v>882</v>
      </c>
      <c r="C2637">
        <v>3.847</v>
      </c>
    </row>
    <row r="2638" spans="1:3" x14ac:dyDescent="0.3">
      <c r="A2638" s="35">
        <v>46090</v>
      </c>
      <c r="B2638" s="847" t="s">
        <v>882</v>
      </c>
      <c r="C2638">
        <v>3.8690000000000002</v>
      </c>
    </row>
    <row r="2639" spans="1:3" x14ac:dyDescent="0.3">
      <c r="A2639" s="35">
        <v>46091</v>
      </c>
      <c r="B2639" s="847" t="s">
        <v>882</v>
      </c>
      <c r="C2639">
        <v>3.8690000000000002</v>
      </c>
    </row>
    <row r="2640" spans="1:3" x14ac:dyDescent="0.3">
      <c r="A2640" s="35">
        <v>46092</v>
      </c>
      <c r="B2640" s="847" t="s">
        <v>882</v>
      </c>
      <c r="C2640">
        <v>3.9390000000000001</v>
      </c>
    </row>
    <row r="2641" spans="1:3" x14ac:dyDescent="0.3">
      <c r="A2641" s="35">
        <v>46093</v>
      </c>
      <c r="B2641" s="847" t="s">
        <v>882</v>
      </c>
      <c r="C2641">
        <v>4.0609999999999999</v>
      </c>
    </row>
    <row r="2642" spans="1:3" x14ac:dyDescent="0.3">
      <c r="A2642" s="35">
        <v>46094</v>
      </c>
      <c r="B2642" s="847" t="s">
        <v>882</v>
      </c>
      <c r="C2642">
        <v>4.0750000000000002</v>
      </c>
    </row>
    <row r="2643" spans="1:3" x14ac:dyDescent="0.3">
      <c r="A2643" s="35">
        <v>46097</v>
      </c>
      <c r="B2643" s="847" t="s">
        <v>882</v>
      </c>
      <c r="C2643">
        <v>4.0730000000000004</v>
      </c>
    </row>
    <row r="2644" spans="1:3" x14ac:dyDescent="0.3">
      <c r="A2644" s="35">
        <v>46098</v>
      </c>
      <c r="B2644" s="847" t="s">
        <v>882</v>
      </c>
      <c r="C2644">
        <v>4.0730000000000004</v>
      </c>
    </row>
    <row r="2645" spans="1:3" x14ac:dyDescent="0.3">
      <c r="A2645" s="35">
        <v>46099</v>
      </c>
      <c r="B2645" s="847" t="s">
        <v>882</v>
      </c>
      <c r="C2645">
        <v>4.0730000000000004</v>
      </c>
    </row>
    <row r="2646" spans="1:3" x14ac:dyDescent="0.3">
      <c r="A2646" s="35">
        <v>46100</v>
      </c>
      <c r="B2646" s="847" t="s">
        <v>882</v>
      </c>
      <c r="C2646">
        <v>4.0730000000000004</v>
      </c>
    </row>
    <row r="2647" spans="1:3" x14ac:dyDescent="0.3">
      <c r="A2647" s="35">
        <v>46101</v>
      </c>
      <c r="B2647" s="847" t="s">
        <v>882</v>
      </c>
      <c r="C2647">
        <v>4.0780000000000003</v>
      </c>
    </row>
    <row r="2648" spans="1:3" x14ac:dyDescent="0.3">
      <c r="A2648" s="35">
        <v>46104</v>
      </c>
      <c r="B2648" s="847" t="s">
        <v>882</v>
      </c>
      <c r="C2648">
        <v>4.0890000000000004</v>
      </c>
    </row>
    <row r="2649" spans="1:3" x14ac:dyDescent="0.3">
      <c r="A2649" s="35">
        <v>46105</v>
      </c>
      <c r="B2649" s="847" t="s">
        <v>882</v>
      </c>
      <c r="C2649">
        <v>4.0919999999999996</v>
      </c>
    </row>
    <row r="2650" spans="1:3" x14ac:dyDescent="0.3">
      <c r="A2650" s="35">
        <v>46106</v>
      </c>
      <c r="B2650" s="847" t="s">
        <v>882</v>
      </c>
      <c r="C2650">
        <v>4.0919999999999996</v>
      </c>
    </row>
    <row r="2651" spans="1:3" x14ac:dyDescent="0.3">
      <c r="A2651" s="35">
        <v>46107</v>
      </c>
      <c r="B2651" s="847" t="s">
        <v>882</v>
      </c>
      <c r="C2651">
        <v>4.117</v>
      </c>
    </row>
    <row r="2652" spans="1:3" x14ac:dyDescent="0.3">
      <c r="A2652" s="35">
        <v>46108</v>
      </c>
      <c r="B2652" s="847" t="s">
        <v>882</v>
      </c>
      <c r="C2652">
        <v>4.117</v>
      </c>
    </row>
    <row r="2653" spans="1:3" x14ac:dyDescent="0.3">
      <c r="A2653" s="35">
        <v>46111</v>
      </c>
      <c r="B2653" s="847" t="s">
        <v>882</v>
      </c>
      <c r="C2653">
        <v>4.117</v>
      </c>
    </row>
    <row r="2654" spans="1:3" x14ac:dyDescent="0.3">
      <c r="A2654" s="35">
        <v>46112</v>
      </c>
      <c r="B2654" s="847" t="s">
        <v>882</v>
      </c>
      <c r="C2654">
        <v>4.117</v>
      </c>
    </row>
    <row r="2655" spans="1:3" x14ac:dyDescent="0.3">
      <c r="A2655" s="35">
        <v>46113</v>
      </c>
      <c r="B2655" s="847" t="s">
        <v>882</v>
      </c>
      <c r="C2655">
        <v>4.117</v>
      </c>
    </row>
    <row r="2656" spans="1:3" x14ac:dyDescent="0.3">
      <c r="A2656" s="35">
        <v>46114</v>
      </c>
      <c r="B2656" s="847" t="s">
        <v>882</v>
      </c>
      <c r="C2656">
        <v>4.117</v>
      </c>
    </row>
    <row r="2657" spans="1:3" x14ac:dyDescent="0.3">
      <c r="A2657" s="35">
        <v>46115</v>
      </c>
      <c r="B2657" s="847" t="s">
        <v>882</v>
      </c>
      <c r="C2657">
        <v>4.1219999999999999</v>
      </c>
    </row>
    <row r="2658" spans="1:3" x14ac:dyDescent="0.3">
      <c r="A2658" s="35">
        <v>46118</v>
      </c>
      <c r="B2658" s="847" t="s">
        <v>882</v>
      </c>
      <c r="C2658">
        <v>4.1219999999999999</v>
      </c>
    </row>
    <row r="2659" spans="1:3" x14ac:dyDescent="0.3">
      <c r="A2659" s="35">
        <v>46119</v>
      </c>
      <c r="B2659" s="847" t="s">
        <v>882</v>
      </c>
      <c r="C2659">
        <v>4.1219999999999999</v>
      </c>
    </row>
    <row r="2660" spans="1:3" x14ac:dyDescent="0.3">
      <c r="A2660" s="35">
        <v>46120</v>
      </c>
      <c r="B2660" s="847" t="s">
        <v>882</v>
      </c>
      <c r="C2660">
        <v>4.1260000000000003</v>
      </c>
    </row>
    <row r="2661" spans="1:3" x14ac:dyDescent="0.3">
      <c r="A2661" s="35">
        <v>46121</v>
      </c>
      <c r="B2661" s="847" t="s">
        <v>882</v>
      </c>
      <c r="C2661">
        <v>4.1289999999999996</v>
      </c>
    </row>
    <row r="2662" spans="1:3" x14ac:dyDescent="0.3">
      <c r="A2662" s="35">
        <v>46122</v>
      </c>
      <c r="B2662" s="847" t="s">
        <v>882</v>
      </c>
      <c r="C2662">
        <v>4.1280000000000001</v>
      </c>
    </row>
    <row r="2663" spans="1:3" x14ac:dyDescent="0.3">
      <c r="A2663" s="35">
        <v>46125</v>
      </c>
      <c r="B2663" s="847" t="s">
        <v>882</v>
      </c>
      <c r="C2663">
        <v>4.1280000000000001</v>
      </c>
    </row>
    <row r="2664" spans="1:3" x14ac:dyDescent="0.3">
      <c r="A2664" s="35">
        <v>46126</v>
      </c>
      <c r="B2664" s="847" t="s">
        <v>882</v>
      </c>
      <c r="C2664">
        <v>4.125</v>
      </c>
    </row>
    <row r="2665" spans="1:3" x14ac:dyDescent="0.3">
      <c r="A2665" s="35">
        <v>46127</v>
      </c>
      <c r="B2665" s="847" t="s">
        <v>882</v>
      </c>
      <c r="C2665">
        <v>4.1219999999999999</v>
      </c>
    </row>
    <row r="2666" spans="1:3" x14ac:dyDescent="0.3">
      <c r="A2666" s="35">
        <v>46128</v>
      </c>
      <c r="B2666" s="847" t="s">
        <v>882</v>
      </c>
      <c r="C2666">
        <v>4.125</v>
      </c>
    </row>
    <row r="2667" spans="1:3" x14ac:dyDescent="0.3">
      <c r="A2667" s="35">
        <v>46129</v>
      </c>
      <c r="B2667" s="847" t="s">
        <v>882</v>
      </c>
      <c r="C2667">
        <v>4.125</v>
      </c>
    </row>
    <row r="2668" spans="1:3" x14ac:dyDescent="0.3">
      <c r="A2668" s="35">
        <v>46132</v>
      </c>
      <c r="B2668" s="847" t="s">
        <v>882</v>
      </c>
      <c r="C2668">
        <v>4.1310000000000002</v>
      </c>
    </row>
    <row r="2669" spans="1:3" x14ac:dyDescent="0.3">
      <c r="A2669" s="35">
        <v>46133</v>
      </c>
      <c r="B2669" s="847" t="s">
        <v>882</v>
      </c>
      <c r="C2669">
        <v>4.133</v>
      </c>
    </row>
    <row r="2670" spans="1:3" x14ac:dyDescent="0.3">
      <c r="A2670" s="35">
        <v>46134</v>
      </c>
      <c r="B2670" s="847" t="s">
        <v>882</v>
      </c>
      <c r="C2670">
        <v>4.133</v>
      </c>
    </row>
    <row r="2671" spans="1:3" x14ac:dyDescent="0.3">
      <c r="A2671" s="35">
        <v>46135</v>
      </c>
      <c r="B2671" s="847" t="s">
        <v>882</v>
      </c>
      <c r="C2671">
        <v>4.13</v>
      </c>
    </row>
    <row r="2672" spans="1:3" x14ac:dyDescent="0.3">
      <c r="A2672" s="35">
        <v>46136</v>
      </c>
      <c r="B2672" s="847" t="s">
        <v>882</v>
      </c>
      <c r="C2672">
        <v>4.13</v>
      </c>
    </row>
    <row r="2673" spans="1:3" x14ac:dyDescent="0.3">
      <c r="A2673" s="35">
        <v>46140</v>
      </c>
      <c r="B2673" s="847" t="s">
        <v>882</v>
      </c>
      <c r="C2673">
        <v>4.13</v>
      </c>
    </row>
    <row r="2674" spans="1:3" x14ac:dyDescent="0.3">
      <c r="A2674" s="35">
        <v>46141</v>
      </c>
      <c r="B2674" s="847" t="s">
        <v>882</v>
      </c>
      <c r="C2674">
        <v>4.13</v>
      </c>
    </row>
    <row r="2675" spans="1:3" x14ac:dyDescent="0.3">
      <c r="A2675" s="35">
        <v>46146</v>
      </c>
      <c r="B2675" s="847" t="s">
        <v>882</v>
      </c>
      <c r="C2675">
        <v>4.13</v>
      </c>
    </row>
    <row r="2676" spans="1:3" x14ac:dyDescent="0.3">
      <c r="A2676" s="35">
        <v>46147</v>
      </c>
      <c r="B2676" s="847" t="s">
        <v>882</v>
      </c>
      <c r="C2676">
        <v>4.1289999999999996</v>
      </c>
    </row>
    <row r="2677" spans="1:3" x14ac:dyDescent="0.3">
      <c r="A2677" s="35">
        <v>46148</v>
      </c>
      <c r="B2677" s="847" t="s">
        <v>882</v>
      </c>
      <c r="C2677">
        <v>4.1289999999999996</v>
      </c>
    </row>
    <row r="2678" spans="1:3" x14ac:dyDescent="0.3">
      <c r="A2678" s="35">
        <v>46149</v>
      </c>
      <c r="B2678" s="847" t="s">
        <v>882</v>
      </c>
      <c r="C2678">
        <v>4.1289999999999996</v>
      </c>
    </row>
    <row r="2679" spans="1:3" x14ac:dyDescent="0.3">
      <c r="A2679" s="35">
        <v>46150</v>
      </c>
      <c r="B2679" s="847" t="s">
        <v>882</v>
      </c>
      <c r="C2679">
        <v>4.1289999999999996</v>
      </c>
    </row>
    <row r="2680" spans="1:3" x14ac:dyDescent="0.3">
      <c r="A2680" s="35">
        <v>46153</v>
      </c>
      <c r="B2680" s="847" t="s">
        <v>882</v>
      </c>
      <c r="C2680">
        <v>4.1289999999999996</v>
      </c>
    </row>
    <row r="2681" spans="1:3" x14ac:dyDescent="0.3">
      <c r="A2681" s="35">
        <v>46154</v>
      </c>
      <c r="B2681" s="847" t="s">
        <v>882</v>
      </c>
      <c r="C2681">
        <v>4.1289999999999996</v>
      </c>
    </row>
    <row r="2682" spans="1:3" x14ac:dyDescent="0.3">
      <c r="A2682" s="35">
        <v>46155</v>
      </c>
      <c r="B2682" s="847" t="s">
        <v>882</v>
      </c>
      <c r="C2682">
        <v>4.1289999999999996</v>
      </c>
    </row>
    <row r="2683" spans="1:3" x14ac:dyDescent="0.3">
      <c r="A2683" s="35">
        <v>46156</v>
      </c>
      <c r="B2683" s="847" t="s">
        <v>882</v>
      </c>
      <c r="C2683">
        <v>4.1319999999999997</v>
      </c>
    </row>
    <row r="2684" spans="1:3" x14ac:dyDescent="0.3">
      <c r="A2684" s="35">
        <v>46157</v>
      </c>
      <c r="B2684" s="847" t="s">
        <v>882</v>
      </c>
      <c r="C2684">
        <v>4.1319999999999997</v>
      </c>
    </row>
    <row r="2685" spans="1:3" x14ac:dyDescent="0.3">
      <c r="A2685" s="35">
        <v>46160</v>
      </c>
      <c r="B2685" s="847" t="s">
        <v>882</v>
      </c>
      <c r="C2685">
        <v>4.1319999999999997</v>
      </c>
    </row>
    <row r="2686" spans="1:3" x14ac:dyDescent="0.3">
      <c r="A2686" s="35">
        <v>46161</v>
      </c>
      <c r="B2686" s="847" t="s">
        <v>882</v>
      </c>
      <c r="C2686">
        <v>4.1319999999999997</v>
      </c>
    </row>
    <row r="2687" spans="1:3" x14ac:dyDescent="0.3">
      <c r="A2687" s="35">
        <v>46162</v>
      </c>
      <c r="B2687" s="847" t="s">
        <v>882</v>
      </c>
      <c r="C2687">
        <v>4.133</v>
      </c>
    </row>
    <row r="2688" spans="1:3" x14ac:dyDescent="0.3">
      <c r="A2688" s="35">
        <v>46163</v>
      </c>
      <c r="B2688" s="847" t="s">
        <v>882</v>
      </c>
      <c r="C2688">
        <v>4.133</v>
      </c>
    </row>
    <row r="2689" spans="1:3" x14ac:dyDescent="0.3">
      <c r="A2689" s="35">
        <v>46164</v>
      </c>
      <c r="B2689" s="847" t="s">
        <v>882</v>
      </c>
      <c r="C2689">
        <v>4.133</v>
      </c>
    </row>
    <row r="2690" spans="1:3" x14ac:dyDescent="0.3">
      <c r="A2690" s="35">
        <v>46167</v>
      </c>
      <c r="B2690" s="847" t="s">
        <v>882</v>
      </c>
      <c r="C2690">
        <v>4.133</v>
      </c>
    </row>
    <row r="2691" spans="1:3" x14ac:dyDescent="0.3">
      <c r="A2691" s="35">
        <v>46168</v>
      </c>
      <c r="B2691" s="847" t="s">
        <v>882</v>
      </c>
      <c r="C2691">
        <v>4.133</v>
      </c>
    </row>
    <row r="2692" spans="1:3" x14ac:dyDescent="0.3">
      <c r="A2692" s="35">
        <v>46169</v>
      </c>
      <c r="B2692" s="847" t="s">
        <v>882</v>
      </c>
      <c r="C2692">
        <v>4.1360000000000001</v>
      </c>
    </row>
    <row r="2693" spans="1:3" x14ac:dyDescent="0.3">
      <c r="A2693" s="35">
        <v>46170</v>
      </c>
      <c r="B2693" s="847" t="s">
        <v>882</v>
      </c>
      <c r="C2693">
        <v>4.1580000000000004</v>
      </c>
    </row>
    <row r="2694" spans="1:3" x14ac:dyDescent="0.3">
      <c r="A2694" s="35">
        <v>46171</v>
      </c>
      <c r="B2694" s="847" t="s">
        <v>882</v>
      </c>
      <c r="C2694">
        <v>4.1719999999999997</v>
      </c>
    </row>
    <row r="2695" spans="1:3" x14ac:dyDescent="0.3">
      <c r="A2695" s="35">
        <v>46174</v>
      </c>
      <c r="B2695" s="847" t="s">
        <v>882</v>
      </c>
      <c r="C2695">
        <v>4.1719999999999997</v>
      </c>
    </row>
    <row r="2696" spans="1:3" x14ac:dyDescent="0.3">
      <c r="A2696" s="35">
        <v>46175</v>
      </c>
      <c r="B2696" s="847" t="s">
        <v>882</v>
      </c>
      <c r="C2696">
        <v>4.1719999999999997</v>
      </c>
    </row>
    <row r="2697" spans="1:3" x14ac:dyDescent="0.3">
      <c r="A2697" s="35">
        <v>46176</v>
      </c>
      <c r="B2697" s="847" t="s">
        <v>882</v>
      </c>
      <c r="C2697">
        <v>4.1719999999999997</v>
      </c>
    </row>
    <row r="2698" spans="1:3" x14ac:dyDescent="0.3">
      <c r="A2698" s="35">
        <v>46177</v>
      </c>
      <c r="B2698" s="847" t="s">
        <v>882</v>
      </c>
      <c r="C2698">
        <v>4.1740000000000004</v>
      </c>
    </row>
    <row r="2699" spans="1:3" x14ac:dyDescent="0.3">
      <c r="A2699" s="35">
        <v>46178</v>
      </c>
      <c r="B2699" s="847" t="s">
        <v>882</v>
      </c>
      <c r="C2699">
        <v>4.1740000000000004</v>
      </c>
    </row>
    <row r="2700" spans="1:3" x14ac:dyDescent="0.3">
      <c r="A2700" s="35">
        <v>46181</v>
      </c>
      <c r="B2700" s="847" t="s">
        <v>882</v>
      </c>
      <c r="C2700">
        <v>4.1740000000000004</v>
      </c>
    </row>
    <row r="2701" spans="1:3" x14ac:dyDescent="0.3">
      <c r="A2701" s="35">
        <v>46182</v>
      </c>
      <c r="B2701" s="847" t="s">
        <v>882</v>
      </c>
      <c r="C2701">
        <v>4.1740000000000004</v>
      </c>
    </row>
    <row r="2702" spans="1:3" x14ac:dyDescent="0.3">
      <c r="A2702" s="35">
        <v>46183</v>
      </c>
      <c r="B2702" s="847" t="s">
        <v>882</v>
      </c>
      <c r="C2702">
        <v>4.1790000000000003</v>
      </c>
    </row>
    <row r="2703" spans="1:3" x14ac:dyDescent="0.3">
      <c r="A2703" s="35">
        <v>46184</v>
      </c>
      <c r="B2703" s="847" t="s">
        <v>882</v>
      </c>
      <c r="C2703">
        <v>4.1929999999999996</v>
      </c>
    </row>
    <row r="2704" spans="1:3" x14ac:dyDescent="0.3">
      <c r="A2704" s="35">
        <v>46185</v>
      </c>
      <c r="B2704" s="847" t="s">
        <v>882</v>
      </c>
      <c r="C2704">
        <v>4.1929999999999996</v>
      </c>
    </row>
    <row r="2705" spans="1:3" x14ac:dyDescent="0.3">
      <c r="A2705" s="35">
        <v>46188</v>
      </c>
      <c r="B2705" s="847" t="s">
        <v>882</v>
      </c>
      <c r="C2705">
        <v>4.1929999999999996</v>
      </c>
    </row>
    <row r="2706" spans="1:3" x14ac:dyDescent="0.3">
      <c r="A2706" s="35">
        <v>46189</v>
      </c>
      <c r="B2706" s="847" t="s">
        <v>882</v>
      </c>
      <c r="C2706">
        <v>4.1989999999999998</v>
      </c>
    </row>
    <row r="2707" spans="1:3" x14ac:dyDescent="0.3">
      <c r="A2707" s="35">
        <v>46190</v>
      </c>
      <c r="B2707" s="847" t="s">
        <v>882</v>
      </c>
      <c r="C2707">
        <v>4.1989999999999998</v>
      </c>
    </row>
    <row r="2708" spans="1:3" x14ac:dyDescent="0.3">
      <c r="A2708" s="35">
        <v>46191</v>
      </c>
      <c r="B2708" s="847" t="s">
        <v>882</v>
      </c>
      <c r="C2708">
        <v>4.2350000000000003</v>
      </c>
    </row>
    <row r="2709" spans="1:3" x14ac:dyDescent="0.3">
      <c r="A2709" s="35">
        <v>46192</v>
      </c>
      <c r="B2709" s="847" t="s">
        <v>882</v>
      </c>
      <c r="C2709">
        <v>4.2460000000000004</v>
      </c>
    </row>
    <row r="2710" spans="1:3" x14ac:dyDescent="0.3">
      <c r="A2710" s="35">
        <v>46195</v>
      </c>
      <c r="B2710" s="847" t="s">
        <v>882</v>
      </c>
      <c r="C2710">
        <v>4.2460000000000004</v>
      </c>
    </row>
    <row r="2711" spans="1:3" x14ac:dyDescent="0.3">
      <c r="A2711" s="35">
        <v>46196</v>
      </c>
      <c r="B2711" s="847" t="s">
        <v>882</v>
      </c>
      <c r="C2711">
        <v>4.2460000000000004</v>
      </c>
    </row>
    <row r="2712" spans="1:3" x14ac:dyDescent="0.3">
      <c r="A2712" s="35">
        <v>46197</v>
      </c>
      <c r="B2712" s="847" t="s">
        <v>882</v>
      </c>
      <c r="C2712">
        <v>4.2460000000000004</v>
      </c>
    </row>
    <row r="2713" spans="1:3" x14ac:dyDescent="0.3">
      <c r="A2713" s="35">
        <v>46198</v>
      </c>
      <c r="B2713" s="847" t="s">
        <v>882</v>
      </c>
      <c r="C2713">
        <v>4.2460000000000004</v>
      </c>
    </row>
    <row r="2714" spans="1:3" x14ac:dyDescent="0.3">
      <c r="A2714" s="35">
        <v>46199</v>
      </c>
      <c r="B2714" s="847" t="s">
        <v>882</v>
      </c>
      <c r="C2714">
        <v>4.2469999999999999</v>
      </c>
    </row>
    <row r="2715" spans="1:3" x14ac:dyDescent="0.3">
      <c r="A2715" s="35">
        <v>46202</v>
      </c>
      <c r="B2715" s="847" t="s">
        <v>882</v>
      </c>
      <c r="C2715">
        <v>4.2469999999999999</v>
      </c>
    </row>
    <row r="2716" spans="1:3" x14ac:dyDescent="0.3">
      <c r="A2716" s="35">
        <v>46203</v>
      </c>
      <c r="B2716" s="847" t="s">
        <v>882</v>
      </c>
      <c r="C2716">
        <v>4.2560000000000002</v>
      </c>
    </row>
    <row r="2717" spans="1:3" x14ac:dyDescent="0.3">
      <c r="A2717" s="35">
        <v>46204</v>
      </c>
      <c r="B2717" s="847" t="s">
        <v>882</v>
      </c>
      <c r="C2717">
        <v>4.2610000000000001</v>
      </c>
    </row>
    <row r="2718" spans="1:3" x14ac:dyDescent="0.3">
      <c r="A2718" s="35">
        <v>46205</v>
      </c>
      <c r="B2718" s="847" t="s">
        <v>882</v>
      </c>
      <c r="C2718">
        <v>4.258</v>
      </c>
    </row>
    <row r="2719" spans="1:3" x14ac:dyDescent="0.3">
      <c r="A2719" s="35">
        <v>46206</v>
      </c>
      <c r="B2719" s="847" t="s">
        <v>882</v>
      </c>
      <c r="C2719">
        <v>4.258</v>
      </c>
    </row>
    <row r="2720" spans="1:3" x14ac:dyDescent="0.3">
      <c r="A2720" s="35">
        <v>46209</v>
      </c>
      <c r="B2720" s="847" t="s">
        <v>882</v>
      </c>
      <c r="C2720">
        <v>4.258</v>
      </c>
    </row>
    <row r="2721" spans="1:3" x14ac:dyDescent="0.3">
      <c r="A2721" s="35">
        <v>46210</v>
      </c>
      <c r="B2721" s="847" t="s">
        <v>882</v>
      </c>
      <c r="C2721">
        <v>4.258</v>
      </c>
    </row>
    <row r="2722" spans="1:3" x14ac:dyDescent="0.3">
      <c r="A2722" s="35">
        <v>46211</v>
      </c>
      <c r="B2722" s="847" t="s">
        <v>882</v>
      </c>
      <c r="C2722">
        <v>4.2590000000000003</v>
      </c>
    </row>
    <row r="2723" spans="1:3" x14ac:dyDescent="0.3">
      <c r="A2723" s="35">
        <v>46212</v>
      </c>
      <c r="B2723" s="847" t="s">
        <v>882</v>
      </c>
      <c r="C2723">
        <v>4.2640000000000002</v>
      </c>
    </row>
    <row r="2724" spans="1:3" x14ac:dyDescent="0.3">
      <c r="A2724" s="35">
        <v>46213</v>
      </c>
      <c r="B2724" s="847" t="s">
        <v>882</v>
      </c>
      <c r="C2724">
        <v>4.2640000000000002</v>
      </c>
    </row>
    <row r="2725" spans="1:3" x14ac:dyDescent="0.3">
      <c r="A2725" s="35">
        <v>46216</v>
      </c>
      <c r="B2725" s="847" t="s">
        <v>882</v>
      </c>
      <c r="C2725">
        <v>4.266</v>
      </c>
    </row>
    <row r="2726" spans="1:3" x14ac:dyDescent="0.3">
      <c r="A2726" s="35">
        <v>46217</v>
      </c>
      <c r="B2726" s="847" t="s">
        <v>882</v>
      </c>
      <c r="C2726">
        <v>4.266</v>
      </c>
    </row>
    <row r="2727" spans="1:3" x14ac:dyDescent="0.3">
      <c r="A2727" s="35">
        <v>46218</v>
      </c>
      <c r="B2727" s="847" t="s">
        <v>882</v>
      </c>
      <c r="C2727">
        <v>4.2640000000000002</v>
      </c>
    </row>
    <row r="2728" spans="1:3" x14ac:dyDescent="0.3">
      <c r="A2728" s="35">
        <v>46219</v>
      </c>
      <c r="B2728" s="847" t="s">
        <v>882</v>
      </c>
      <c r="C2728">
        <v>4.2679999999999998</v>
      </c>
    </row>
    <row r="2729" spans="1:3" x14ac:dyDescent="0.3">
      <c r="A2729" s="35">
        <v>46220</v>
      </c>
      <c r="B2729" s="847" t="s">
        <v>882</v>
      </c>
      <c r="C2729">
        <v>4.2670000000000003</v>
      </c>
    </row>
    <row r="2730" spans="1:3" x14ac:dyDescent="0.3">
      <c r="A2730" s="35">
        <v>46223</v>
      </c>
      <c r="B2730" s="847" t="s">
        <v>882</v>
      </c>
      <c r="C2730">
        <v>4.266</v>
      </c>
    </row>
    <row r="2731" spans="1:3" x14ac:dyDescent="0.3">
      <c r="A2731" s="35">
        <v>46224</v>
      </c>
      <c r="B2731" s="847" t="s">
        <v>882</v>
      </c>
      <c r="C2731">
        <v>4.2690000000000001</v>
      </c>
    </row>
    <row r="2732" spans="1:3" x14ac:dyDescent="0.3">
      <c r="A2732" s="35">
        <v>46225</v>
      </c>
      <c r="B2732" s="847" t="s">
        <v>882</v>
      </c>
      <c r="C2732">
        <v>4.2699999999999996</v>
      </c>
    </row>
    <row r="2733" spans="1:3" x14ac:dyDescent="0.3">
      <c r="A2733" s="35">
        <v>46226</v>
      </c>
      <c r="B2733" s="847" t="s">
        <v>882</v>
      </c>
      <c r="C2733">
        <v>4.2690000000000001</v>
      </c>
    </row>
    <row r="2734" spans="1:3" x14ac:dyDescent="0.3">
      <c r="A2734" s="35">
        <v>46227</v>
      </c>
      <c r="B2734" s="847" t="s">
        <v>882</v>
      </c>
      <c r="C2734">
        <v>4.2699999999999996</v>
      </c>
    </row>
    <row r="2735" spans="1:3" x14ac:dyDescent="0.3">
      <c r="A2735" s="35">
        <v>46230</v>
      </c>
      <c r="B2735" s="847" t="s">
        <v>882</v>
      </c>
      <c r="C2735">
        <v>4.2690000000000001</v>
      </c>
    </row>
    <row r="2736" spans="1:3" x14ac:dyDescent="0.3">
      <c r="A2736" s="35">
        <v>46231</v>
      </c>
      <c r="B2736" s="847" t="s">
        <v>882</v>
      </c>
      <c r="C2736">
        <v>4.2690000000000001</v>
      </c>
    </row>
    <row r="2737" spans="1:3" x14ac:dyDescent="0.3">
      <c r="A2737" s="35">
        <v>46232</v>
      </c>
      <c r="B2737" s="847" t="s">
        <v>882</v>
      </c>
      <c r="C2737">
        <v>4.2720000000000002</v>
      </c>
    </row>
    <row r="2738" spans="1:3" x14ac:dyDescent="0.3">
      <c r="A2738" s="35">
        <v>46233</v>
      </c>
      <c r="B2738" s="847" t="s">
        <v>882</v>
      </c>
      <c r="C2738">
        <v>4.2690000000000001</v>
      </c>
    </row>
    <row r="2739" spans="1:3" x14ac:dyDescent="0.3">
      <c r="A2739" s="35">
        <v>46234</v>
      </c>
      <c r="B2739" s="847" t="s">
        <v>882</v>
      </c>
      <c r="C2739">
        <v>4.2690000000000001</v>
      </c>
    </row>
    <row r="2740" spans="1:3" x14ac:dyDescent="0.3">
      <c r="A2740" s="35">
        <v>46237</v>
      </c>
      <c r="B2740" s="847" t="s">
        <v>882</v>
      </c>
      <c r="C2740">
        <v>4.2709999999999999</v>
      </c>
    </row>
    <row r="2741" spans="1:3" x14ac:dyDescent="0.3">
      <c r="A2741" s="35">
        <v>46238</v>
      </c>
      <c r="B2741" s="847" t="s">
        <v>882</v>
      </c>
      <c r="C2741">
        <v>4.2789999999999999</v>
      </c>
    </row>
    <row r="2742" spans="1:3" x14ac:dyDescent="0.3">
      <c r="A2742" s="35">
        <v>46239</v>
      </c>
      <c r="B2742" s="847" t="s">
        <v>882</v>
      </c>
      <c r="C2742">
        <v>4.2789999999999999</v>
      </c>
    </row>
    <row r="2743" spans="1:3" x14ac:dyDescent="0.3">
      <c r="A2743" s="35">
        <v>46240</v>
      </c>
      <c r="B2743" s="847" t="s">
        <v>882</v>
      </c>
      <c r="C2743">
        <v>4.2859999999999996</v>
      </c>
    </row>
    <row r="2744" spans="1:3" x14ac:dyDescent="0.3">
      <c r="A2744" s="35">
        <v>46241</v>
      </c>
      <c r="B2744" s="847" t="s">
        <v>882</v>
      </c>
      <c r="C2744">
        <v>4.2930000000000001</v>
      </c>
    </row>
    <row r="2745" spans="1:3" x14ac:dyDescent="0.3">
      <c r="A2745" s="35">
        <v>46244</v>
      </c>
      <c r="B2745" s="847" t="s">
        <v>882</v>
      </c>
      <c r="C2745">
        <v>4.2949999999999999</v>
      </c>
    </row>
    <row r="2746" spans="1:3" x14ac:dyDescent="0.3">
      <c r="A2746" s="35">
        <v>46245</v>
      </c>
      <c r="B2746" s="847" t="s">
        <v>882</v>
      </c>
      <c r="C2746">
        <v>4.298</v>
      </c>
    </row>
    <row r="2747" spans="1:3" x14ac:dyDescent="0.3">
      <c r="A2747" s="35">
        <v>46246</v>
      </c>
      <c r="B2747" s="847" t="s">
        <v>882</v>
      </c>
      <c r="C2747">
        <v>4.298</v>
      </c>
    </row>
    <row r="2748" spans="1:3" x14ac:dyDescent="0.3">
      <c r="A2748" s="35">
        <v>46247</v>
      </c>
      <c r="B2748" s="847" t="s">
        <v>882</v>
      </c>
      <c r="C2748">
        <v>4.306</v>
      </c>
    </row>
    <row r="2749" spans="1:3" x14ac:dyDescent="0.3">
      <c r="A2749" s="35">
        <v>46248</v>
      </c>
      <c r="B2749" s="847" t="s">
        <v>882</v>
      </c>
      <c r="C2749">
        <v>4.3029999999999999</v>
      </c>
    </row>
    <row r="2750" spans="1:3" x14ac:dyDescent="0.3">
      <c r="A2750" s="35">
        <v>46251</v>
      </c>
      <c r="B2750" s="847" t="s">
        <v>882</v>
      </c>
      <c r="C2750">
        <v>4.3109999999999999</v>
      </c>
    </row>
    <row r="2751" spans="1:3" x14ac:dyDescent="0.3">
      <c r="A2751" s="35">
        <v>46252</v>
      </c>
      <c r="B2751" s="847" t="s">
        <v>882</v>
      </c>
      <c r="C2751">
        <v>4.3090000000000002</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5A4A-1F49-44C4-B2BB-5EDABD1502F5}">
  <sheetPr codeName="Sheet15"/>
  <dimension ref="A1"/>
  <sheetViews>
    <sheetView workbookViewId="0">
      <selection activeCell="K22" sqref="K2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E241C-2F0B-41FE-949B-6717AF6C06B0}">
  <sheetPr codeName="Sheet34">
    <tabColor rgb="FFFFC000"/>
  </sheetPr>
  <dimension ref="A1:AQ59"/>
  <sheetViews>
    <sheetView topLeftCell="P1" zoomScaleNormal="100" workbookViewId="0">
      <pane ySplit="1" topLeftCell="A2" activePane="bottomLeft" state="frozen"/>
      <selection pane="bottomLeft" activeCell="V1" sqref="V1"/>
    </sheetView>
  </sheetViews>
  <sheetFormatPr defaultRowHeight="14.4" x14ac:dyDescent="0.3"/>
  <cols>
    <col min="2" max="2" width="10.69921875" style="35" bestFit="1" customWidth="1"/>
    <col min="3" max="3" width="10.8984375" bestFit="1" customWidth="1"/>
    <col min="4" max="4" width="10.296875" bestFit="1" customWidth="1"/>
    <col min="5" max="5" width="13.09765625" bestFit="1" customWidth="1"/>
    <col min="6" max="6" width="13.296875" style="37" bestFit="1" customWidth="1"/>
    <col min="7" max="7" width="9" style="268" bestFit="1" customWidth="1"/>
    <col min="8" max="8" width="13.296875" style="37" bestFit="1" customWidth="1"/>
    <col min="9" max="9" width="19" style="37" bestFit="1" customWidth="1"/>
    <col min="10" max="10" width="9.8984375" style="72" bestFit="1" customWidth="1"/>
    <col min="13" max="13" width="10.69921875" bestFit="1" customWidth="1"/>
    <col min="14" max="14" width="13.3984375" bestFit="1" customWidth="1"/>
    <col min="15" max="15" width="9.3984375" bestFit="1" customWidth="1"/>
    <col min="16" max="16" width="14.296875" style="49" bestFit="1" customWidth="1"/>
    <col min="17" max="18" width="19" style="37" bestFit="1" customWidth="1"/>
    <col min="19" max="19" width="14.69921875" style="35" bestFit="1" customWidth="1"/>
    <col min="22" max="22" width="6.296875" bestFit="1" customWidth="1"/>
    <col min="23" max="24" width="15.09765625" bestFit="1" customWidth="1"/>
    <col min="25" max="25" width="17" bestFit="1" customWidth="1"/>
    <col min="26" max="26" width="13.09765625" bestFit="1" customWidth="1"/>
    <col min="28" max="28" width="15.3984375" bestFit="1" customWidth="1"/>
    <col min="29" max="29" width="17.09765625" bestFit="1" customWidth="1"/>
    <col min="30" max="30" width="17.3984375" customWidth="1"/>
    <col min="31" max="31" width="17.3984375" style="37" customWidth="1"/>
    <col min="32" max="32" width="19" style="37" bestFit="1" customWidth="1"/>
    <col min="33" max="42" width="17.3984375" style="37" customWidth="1"/>
    <col min="43" max="43" width="9.09765625" style="509"/>
  </cols>
  <sheetData>
    <row r="1" spans="1:43" x14ac:dyDescent="0.3">
      <c r="A1" s="8" t="s">
        <v>2934</v>
      </c>
      <c r="B1" s="35" t="s">
        <v>2943</v>
      </c>
      <c r="C1" t="s">
        <v>2944</v>
      </c>
      <c r="D1" t="s">
        <v>2945</v>
      </c>
      <c r="E1" t="s">
        <v>2946</v>
      </c>
      <c r="F1" s="37" t="s">
        <v>1073</v>
      </c>
      <c r="G1" s="268" t="s">
        <v>807</v>
      </c>
      <c r="H1" s="37" t="s">
        <v>2947</v>
      </c>
      <c r="I1" s="37" t="s">
        <v>2948</v>
      </c>
      <c r="J1" s="72" t="s">
        <v>876</v>
      </c>
      <c r="L1" s="8" t="s">
        <v>2960</v>
      </c>
      <c r="M1" t="s">
        <v>2943</v>
      </c>
      <c r="N1" t="s">
        <v>2961</v>
      </c>
      <c r="O1" t="s">
        <v>2962</v>
      </c>
      <c r="P1" s="49" t="s">
        <v>2963</v>
      </c>
      <c r="Q1" s="37" t="s">
        <v>2948</v>
      </c>
      <c r="R1" s="37" t="s">
        <v>2964</v>
      </c>
      <c r="S1" s="35" t="s">
        <v>2965</v>
      </c>
      <c r="U1" s="8" t="s">
        <v>3571</v>
      </c>
      <c r="V1" t="s">
        <v>0</v>
      </c>
      <c r="W1" t="s">
        <v>2998</v>
      </c>
      <c r="X1" t="s">
        <v>1213</v>
      </c>
      <c r="Y1" t="s">
        <v>2981</v>
      </c>
      <c r="Z1" t="s">
        <v>2946</v>
      </c>
      <c r="AA1" t="s">
        <v>2982</v>
      </c>
      <c r="AB1" t="s">
        <v>2983</v>
      </c>
      <c r="AC1" t="s">
        <v>2984</v>
      </c>
      <c r="AD1" t="s">
        <v>2985</v>
      </c>
      <c r="AE1" s="37" t="s">
        <v>2986</v>
      </c>
      <c r="AF1" s="37" t="s">
        <v>2987</v>
      </c>
      <c r="AG1" s="37" t="s">
        <v>2988</v>
      </c>
      <c r="AH1" s="37" t="s">
        <v>2989</v>
      </c>
      <c r="AI1" s="37" t="s">
        <v>2990</v>
      </c>
      <c r="AJ1" s="37" t="s">
        <v>2991</v>
      </c>
      <c r="AK1" s="37" t="s">
        <v>2992</v>
      </c>
      <c r="AL1" s="37" t="s">
        <v>2993</v>
      </c>
      <c r="AM1" s="37" t="s">
        <v>2994</v>
      </c>
      <c r="AN1" s="37" t="s">
        <v>2995</v>
      </c>
      <c r="AO1" s="37" t="s">
        <v>2996</v>
      </c>
      <c r="AP1" s="37" t="s">
        <v>2997</v>
      </c>
      <c r="AQ1" s="509" t="s">
        <v>3314</v>
      </c>
    </row>
    <row r="2" spans="1:43" x14ac:dyDescent="0.3">
      <c r="B2" s="502">
        <v>46252</v>
      </c>
      <c r="C2" t="s">
        <v>2955</v>
      </c>
      <c r="D2" t="s">
        <v>625</v>
      </c>
      <c r="E2" t="s">
        <v>2935</v>
      </c>
      <c r="F2" s="37">
        <v>124082</v>
      </c>
      <c r="G2" s="268">
        <v>2.8014999999999999</v>
      </c>
      <c r="H2" s="37">
        <v>500000</v>
      </c>
      <c r="I2" s="37">
        <v>63977500000</v>
      </c>
      <c r="J2" s="72" t="str">
        <f>VLOOKUP(Outright[[#This Row],[KHCL]],Ref!AT:AU,2,0)</f>
        <v>5-7Y</v>
      </c>
      <c r="M2" s="502">
        <v>46252</v>
      </c>
      <c r="N2" t="s">
        <v>4532</v>
      </c>
      <c r="O2" t="s">
        <v>2935</v>
      </c>
      <c r="P2" s="49">
        <v>4.4000000000000004</v>
      </c>
      <c r="Q2" s="37">
        <v>550000000000</v>
      </c>
      <c r="R2" s="37">
        <v>717816000000</v>
      </c>
      <c r="S2" s="502">
        <v>46253</v>
      </c>
      <c r="AB2" s="35"/>
      <c r="AC2" s="35"/>
    </row>
    <row r="3" spans="1:43" x14ac:dyDescent="0.3">
      <c r="B3" s="502">
        <v>46252</v>
      </c>
      <c r="C3" t="s">
        <v>3002</v>
      </c>
      <c r="D3" t="s">
        <v>582</v>
      </c>
      <c r="E3" t="s">
        <v>2935</v>
      </c>
      <c r="F3" s="37">
        <v>111816</v>
      </c>
      <c r="G3" s="268">
        <v>2.2338</v>
      </c>
      <c r="H3" s="37">
        <v>703000</v>
      </c>
      <c r="I3" s="37">
        <v>79463605000</v>
      </c>
      <c r="J3" s="72" t="str">
        <f>VLOOKUP(Outright[[#This Row],[KHCL]],Ref!AT:AU,2,0)</f>
        <v>&lt;=5Y</v>
      </c>
      <c r="M3" s="502">
        <v>46252</v>
      </c>
      <c r="N3" t="s">
        <v>4532</v>
      </c>
      <c r="O3" t="s">
        <v>2935</v>
      </c>
      <c r="P3" s="49">
        <v>4.4000000000000004</v>
      </c>
      <c r="Q3" s="37">
        <v>600000000000</v>
      </c>
      <c r="R3" s="37">
        <v>783072000000</v>
      </c>
      <c r="S3" s="502">
        <v>46253</v>
      </c>
    </row>
    <row r="4" spans="1:43" x14ac:dyDescent="0.3">
      <c r="B4" s="502">
        <v>46252</v>
      </c>
      <c r="C4" t="s">
        <v>2949</v>
      </c>
      <c r="D4" t="s">
        <v>608</v>
      </c>
      <c r="E4" t="s">
        <v>2935</v>
      </c>
      <c r="F4" s="37">
        <v>111639</v>
      </c>
      <c r="G4" s="268">
        <v>3.8950999999999998</v>
      </c>
      <c r="H4" s="37">
        <v>500000</v>
      </c>
      <c r="I4" s="37">
        <v>57586500000</v>
      </c>
      <c r="J4" s="72" t="str">
        <f>VLOOKUP(Outright[[#This Row],[KHCL]],Ref!AT:AU,2,0)</f>
        <v>&lt;=5Y</v>
      </c>
      <c r="M4" s="502">
        <v>46252</v>
      </c>
      <c r="N4" t="s">
        <v>4078</v>
      </c>
      <c r="O4" t="s">
        <v>2935</v>
      </c>
      <c r="P4" s="49">
        <v>4.45</v>
      </c>
      <c r="Q4" s="37">
        <v>50000000000</v>
      </c>
      <c r="R4" s="37">
        <v>37387000000</v>
      </c>
      <c r="S4" s="502">
        <v>46253</v>
      </c>
    </row>
    <row r="5" spans="1:43" x14ac:dyDescent="0.3">
      <c r="B5" s="502">
        <v>46252</v>
      </c>
      <c r="C5" t="s">
        <v>2949</v>
      </c>
      <c r="D5" t="s">
        <v>609</v>
      </c>
      <c r="E5" t="s">
        <v>2935</v>
      </c>
      <c r="F5" s="37">
        <v>115973</v>
      </c>
      <c r="G5" s="268">
        <v>2.4645999999999999</v>
      </c>
      <c r="H5" s="37">
        <v>335000</v>
      </c>
      <c r="I5" s="37">
        <v>4167450000</v>
      </c>
      <c r="J5" s="72" t="str">
        <f>VLOOKUP(Outright[[#This Row],[KHCL]],Ref!AT:AU,2,0)</f>
        <v>&lt;=5Y</v>
      </c>
      <c r="M5" s="502">
        <v>46252</v>
      </c>
      <c r="N5" t="s">
        <v>4078</v>
      </c>
      <c r="O5" t="s">
        <v>2935</v>
      </c>
      <c r="P5" s="49">
        <v>4.45</v>
      </c>
      <c r="Q5" s="37">
        <v>500000000000</v>
      </c>
      <c r="R5" s="37">
        <v>468730000000</v>
      </c>
      <c r="S5" s="502">
        <v>46253</v>
      </c>
    </row>
    <row r="6" spans="1:43" x14ac:dyDescent="0.3">
      <c r="B6" s="502">
        <v>46252</v>
      </c>
      <c r="C6" t="s">
        <v>2949</v>
      </c>
      <c r="D6" t="s">
        <v>609</v>
      </c>
      <c r="E6" t="s">
        <v>2935</v>
      </c>
      <c r="F6" s="37">
        <v>115973</v>
      </c>
      <c r="G6" s="268">
        <v>2.4645999999999999</v>
      </c>
      <c r="H6" s="37">
        <v>842000</v>
      </c>
      <c r="I6" s="37">
        <v>100256940000</v>
      </c>
      <c r="J6" s="72" t="str">
        <f>VLOOKUP(Outright[[#This Row],[KHCL]],Ref!AT:AU,2,0)</f>
        <v>&lt;=5Y</v>
      </c>
      <c r="M6" s="502">
        <v>46252</v>
      </c>
      <c r="N6" t="s">
        <v>4078</v>
      </c>
      <c r="O6" t="s">
        <v>2935</v>
      </c>
      <c r="P6" s="49">
        <v>4.4400000000000004</v>
      </c>
      <c r="Q6" s="37">
        <v>500000000000</v>
      </c>
      <c r="R6" s="37">
        <v>496150000000</v>
      </c>
      <c r="S6" s="502">
        <v>46253</v>
      </c>
    </row>
    <row r="7" spans="1:43" x14ac:dyDescent="0.3">
      <c r="B7" s="502">
        <v>46252</v>
      </c>
      <c r="C7" t="s">
        <v>2949</v>
      </c>
      <c r="D7" t="s">
        <v>615</v>
      </c>
      <c r="E7" t="s">
        <v>2935</v>
      </c>
      <c r="F7" s="37">
        <v>114239</v>
      </c>
      <c r="G7" s="268">
        <v>3.9885000000000002</v>
      </c>
      <c r="H7" s="37">
        <v>850000</v>
      </c>
      <c r="I7" s="37">
        <v>101067550000</v>
      </c>
      <c r="J7" s="72" t="str">
        <f>VLOOKUP(Outright[[#This Row],[KHCL]],Ref!AT:AU,2,0)</f>
        <v>&lt;=5Y</v>
      </c>
      <c r="M7" s="502">
        <v>46252</v>
      </c>
      <c r="N7" t="s">
        <v>4533</v>
      </c>
      <c r="O7" t="s">
        <v>2935</v>
      </c>
      <c r="P7" s="49">
        <v>4.4000000000000004</v>
      </c>
      <c r="Q7" s="37">
        <v>200000000000</v>
      </c>
      <c r="R7" s="37">
        <v>190358000000</v>
      </c>
      <c r="S7" s="502">
        <v>46253</v>
      </c>
    </row>
    <row r="8" spans="1:43" x14ac:dyDescent="0.3">
      <c r="B8" s="502">
        <v>46252</v>
      </c>
      <c r="C8" t="s">
        <v>2949</v>
      </c>
      <c r="D8" t="s">
        <v>615</v>
      </c>
      <c r="E8" t="s">
        <v>2935</v>
      </c>
      <c r="F8" s="37">
        <v>114239</v>
      </c>
      <c r="G8" s="268">
        <v>3.9885000000000002</v>
      </c>
      <c r="H8" s="37">
        <v>150000</v>
      </c>
      <c r="I8" s="37">
        <v>17835450000</v>
      </c>
      <c r="J8" s="72" t="str">
        <f>VLOOKUP(Outright[[#This Row],[KHCL]],Ref!AT:AU,2,0)</f>
        <v>&lt;=5Y</v>
      </c>
      <c r="M8" s="502">
        <v>46252</v>
      </c>
      <c r="N8" t="s">
        <v>4533</v>
      </c>
      <c r="O8" t="s">
        <v>2935</v>
      </c>
      <c r="P8" s="49">
        <v>4.4000000000000004</v>
      </c>
      <c r="Q8" s="37">
        <v>250000000000</v>
      </c>
      <c r="R8" s="37">
        <v>200755000000</v>
      </c>
      <c r="S8" s="502">
        <v>46253</v>
      </c>
    </row>
    <row r="9" spans="1:43" x14ac:dyDescent="0.3">
      <c r="B9" s="502">
        <v>46252</v>
      </c>
      <c r="C9" t="s">
        <v>2955</v>
      </c>
      <c r="D9" t="s">
        <v>616</v>
      </c>
      <c r="E9" t="s">
        <v>2935</v>
      </c>
      <c r="F9" s="37">
        <v>113741</v>
      </c>
      <c r="G9" s="268">
        <v>4.4272</v>
      </c>
      <c r="H9" s="37">
        <v>1800000</v>
      </c>
      <c r="I9" s="37">
        <v>209493000000</v>
      </c>
      <c r="J9" s="72" t="str">
        <f>VLOOKUP(Outright[[#This Row],[KHCL]],Ref!AT:AU,2,0)</f>
        <v>5-7Y</v>
      </c>
      <c r="M9" s="502">
        <v>46252</v>
      </c>
      <c r="N9" t="s">
        <v>4533</v>
      </c>
      <c r="O9" t="s">
        <v>2935</v>
      </c>
      <c r="P9" s="49">
        <v>4.4000000000000004</v>
      </c>
      <c r="Q9" s="37">
        <v>360000000000</v>
      </c>
      <c r="R9" s="37">
        <v>349167600000</v>
      </c>
      <c r="S9" s="502">
        <v>46253</v>
      </c>
    </row>
    <row r="10" spans="1:43" x14ac:dyDescent="0.3">
      <c r="B10" s="502">
        <v>46252</v>
      </c>
      <c r="C10" t="s">
        <v>2955</v>
      </c>
      <c r="D10" t="s">
        <v>642</v>
      </c>
      <c r="E10" t="s">
        <v>2935</v>
      </c>
      <c r="F10" s="37">
        <v>119845</v>
      </c>
      <c r="G10" s="268">
        <v>3.11</v>
      </c>
      <c r="H10" s="37">
        <v>1000000</v>
      </c>
      <c r="I10" s="37">
        <v>126698000000</v>
      </c>
      <c r="J10" s="72" t="str">
        <f>VLOOKUP(Outright[[#This Row],[KHCL]],Ref!AT:AU,2,0)</f>
        <v>5-7Y</v>
      </c>
      <c r="M10" s="502">
        <v>46252</v>
      </c>
      <c r="N10" t="s">
        <v>4533</v>
      </c>
      <c r="O10" t="s">
        <v>2935</v>
      </c>
      <c r="P10" s="49">
        <v>4.4000000000000004</v>
      </c>
      <c r="Q10" s="37">
        <v>100000000000</v>
      </c>
      <c r="R10" s="37">
        <v>79628000000</v>
      </c>
      <c r="S10" s="502">
        <v>46253</v>
      </c>
    </row>
    <row r="11" spans="1:43" x14ac:dyDescent="0.3">
      <c r="B11" s="502">
        <v>46252</v>
      </c>
      <c r="C11" t="s">
        <v>2955</v>
      </c>
      <c r="D11" t="s">
        <v>642</v>
      </c>
      <c r="E11" t="s">
        <v>2935</v>
      </c>
      <c r="F11" s="37">
        <v>114106</v>
      </c>
      <c r="G11" s="268">
        <v>4.2485999999999997</v>
      </c>
      <c r="H11" s="37">
        <v>1000000</v>
      </c>
      <c r="I11" s="37">
        <v>120959000000</v>
      </c>
      <c r="J11" s="72" t="str">
        <f>VLOOKUP(Outright[[#This Row],[KHCL]],Ref!AT:AU,2,0)</f>
        <v>5-7Y</v>
      </c>
      <c r="M11" s="502">
        <v>46252</v>
      </c>
      <c r="N11" t="s">
        <v>4533</v>
      </c>
      <c r="O11" t="s">
        <v>2935</v>
      </c>
      <c r="P11" s="49">
        <v>4.4000000000000004</v>
      </c>
      <c r="Q11" s="37">
        <v>50000000000</v>
      </c>
      <c r="R11" s="37">
        <v>40217000000</v>
      </c>
      <c r="S11" s="502">
        <v>46253</v>
      </c>
    </row>
    <row r="12" spans="1:43" x14ac:dyDescent="0.3">
      <c r="B12" s="502">
        <v>46252</v>
      </c>
      <c r="C12" t="s">
        <v>3006</v>
      </c>
      <c r="D12" t="s">
        <v>722</v>
      </c>
      <c r="E12" t="s">
        <v>2935</v>
      </c>
      <c r="F12" s="37">
        <v>144248</v>
      </c>
      <c r="G12" s="268">
        <v>4.5416999999999996</v>
      </c>
      <c r="H12" s="37">
        <v>2700000</v>
      </c>
      <c r="I12" s="37">
        <v>401537280000</v>
      </c>
      <c r="J12" s="72" t="str">
        <f>VLOOKUP(Outright[[#This Row],[KHCL]],Ref!AT:AU,2,0)</f>
        <v>&gt;=20Y</v>
      </c>
      <c r="M12" s="502">
        <v>46252</v>
      </c>
      <c r="N12" t="s">
        <v>4533</v>
      </c>
      <c r="O12" t="s">
        <v>2935</v>
      </c>
      <c r="P12" s="49">
        <v>4.4000000000000004</v>
      </c>
      <c r="Q12" s="37">
        <v>40000000000</v>
      </c>
      <c r="R12" s="37">
        <v>32600800000</v>
      </c>
      <c r="S12" s="502">
        <v>46253</v>
      </c>
    </row>
    <row r="13" spans="1:43" x14ac:dyDescent="0.3">
      <c r="B13" s="502">
        <v>46252</v>
      </c>
      <c r="C13" t="s">
        <v>3006</v>
      </c>
      <c r="D13" t="s">
        <v>722</v>
      </c>
      <c r="E13" t="s">
        <v>2935</v>
      </c>
      <c r="F13" s="37">
        <v>144277</v>
      </c>
      <c r="G13" s="268">
        <v>4.54</v>
      </c>
      <c r="H13" s="37">
        <v>750000</v>
      </c>
      <c r="I13" s="37">
        <v>110739750000</v>
      </c>
      <c r="J13" s="72" t="str">
        <f>VLOOKUP(Outright[[#This Row],[KHCL]],Ref!AT:AU,2,0)</f>
        <v>&gt;=20Y</v>
      </c>
    </row>
    <row r="14" spans="1:43" x14ac:dyDescent="0.3">
      <c r="B14" s="502">
        <v>46252</v>
      </c>
      <c r="C14" t="s">
        <v>3006</v>
      </c>
      <c r="D14" t="s">
        <v>722</v>
      </c>
      <c r="E14" t="s">
        <v>2935</v>
      </c>
      <c r="F14" s="37">
        <v>144454</v>
      </c>
      <c r="G14" s="268">
        <v>4.5297000000000001</v>
      </c>
      <c r="H14" s="37">
        <v>910000</v>
      </c>
      <c r="I14" s="37">
        <v>134525300000</v>
      </c>
      <c r="J14" s="72" t="str">
        <f>VLOOKUP(Outright[[#This Row],[KHCL]],Ref!AT:AU,2,0)</f>
        <v>&gt;=20Y</v>
      </c>
    </row>
    <row r="15" spans="1:43" x14ac:dyDescent="0.3">
      <c r="B15" s="502">
        <v>46252</v>
      </c>
      <c r="C15" t="s">
        <v>3006</v>
      </c>
      <c r="D15" t="s">
        <v>722</v>
      </c>
      <c r="E15" t="s">
        <v>2935</v>
      </c>
      <c r="F15" s="37">
        <v>144277</v>
      </c>
      <c r="G15" s="268">
        <v>4.54</v>
      </c>
      <c r="H15" s="37">
        <v>5300000</v>
      </c>
      <c r="I15" s="37">
        <v>791420080000</v>
      </c>
      <c r="J15" s="72" t="str">
        <f>VLOOKUP(Outright[[#This Row],[KHCL]],Ref!AT:AU,2,0)</f>
        <v>&gt;=20Y</v>
      </c>
    </row>
    <row r="16" spans="1:43" x14ac:dyDescent="0.3">
      <c r="B16" s="502">
        <v>46252</v>
      </c>
      <c r="C16" t="s">
        <v>3006</v>
      </c>
      <c r="D16" t="s">
        <v>722</v>
      </c>
      <c r="E16" t="s">
        <v>2935</v>
      </c>
      <c r="F16" s="37">
        <v>144227</v>
      </c>
      <c r="G16" s="268">
        <v>4.4542999999999999</v>
      </c>
      <c r="H16" s="37">
        <v>1300000</v>
      </c>
      <c r="I16" s="37">
        <v>200740080000</v>
      </c>
      <c r="J16" s="72" t="str">
        <f>VLOOKUP(Outright[[#This Row],[KHCL]],Ref!AT:AU,2,0)</f>
        <v>&gt;=20Y</v>
      </c>
    </row>
    <row r="17" spans="2:10" x14ac:dyDescent="0.3">
      <c r="B17" s="502">
        <v>46252</v>
      </c>
      <c r="C17" t="s">
        <v>3006</v>
      </c>
      <c r="D17" t="s">
        <v>722</v>
      </c>
      <c r="E17" t="s">
        <v>2935</v>
      </c>
      <c r="F17" s="37">
        <v>144278</v>
      </c>
      <c r="G17" s="268">
        <v>4.54</v>
      </c>
      <c r="H17" s="37">
        <v>1300000</v>
      </c>
      <c r="I17" s="37">
        <v>200809440000</v>
      </c>
      <c r="J17" s="72" t="str">
        <f>VLOOKUP(Outright[[#This Row],[KHCL]],Ref!AT:AU,2,0)</f>
        <v>&gt;=20Y</v>
      </c>
    </row>
    <row r="18" spans="2:10" x14ac:dyDescent="0.3">
      <c r="B18" s="502">
        <v>46252</v>
      </c>
      <c r="C18" t="s">
        <v>3002</v>
      </c>
      <c r="D18" t="s">
        <v>590</v>
      </c>
      <c r="E18" t="s">
        <v>2935</v>
      </c>
      <c r="F18" s="37">
        <v>101199</v>
      </c>
      <c r="G18" s="268">
        <v>4.5438999999999998</v>
      </c>
      <c r="H18" s="37">
        <v>500000</v>
      </c>
      <c r="I18" s="37">
        <v>52192500000</v>
      </c>
      <c r="J18" s="72" t="str">
        <f>VLOOKUP(Outright[[#This Row],[KHCL]],Ref!AT:AU,2,0)</f>
        <v>&lt;=5Y</v>
      </c>
    </row>
    <row r="19" spans="2:10" x14ac:dyDescent="0.3">
      <c r="B19" s="502">
        <v>46252</v>
      </c>
      <c r="C19" t="s">
        <v>3001</v>
      </c>
      <c r="D19" t="s">
        <v>592</v>
      </c>
      <c r="E19" t="s">
        <v>2935</v>
      </c>
      <c r="F19" s="37">
        <v>101754</v>
      </c>
      <c r="G19" s="268">
        <v>3.9531999999999998</v>
      </c>
      <c r="H19" s="37">
        <v>2000000</v>
      </c>
      <c r="I19" s="37">
        <v>207758000000</v>
      </c>
      <c r="J19" s="72" t="str">
        <f>VLOOKUP(Outright[[#This Row],[KHCL]],Ref!AT:AU,2,0)</f>
        <v>&lt;=5Y</v>
      </c>
    </row>
    <row r="20" spans="2:10" x14ac:dyDescent="0.3">
      <c r="B20" s="502">
        <v>46252</v>
      </c>
      <c r="C20" t="s">
        <v>3001</v>
      </c>
      <c r="D20" t="s">
        <v>595</v>
      </c>
      <c r="E20" t="s">
        <v>2935</v>
      </c>
      <c r="F20" s="37">
        <v>101784</v>
      </c>
      <c r="G20" s="268">
        <v>3.7444000000000002</v>
      </c>
      <c r="H20" s="37">
        <v>500000</v>
      </c>
      <c r="I20" s="37">
        <v>51042500000</v>
      </c>
      <c r="J20" s="72" t="str">
        <f>VLOOKUP(Outright[[#This Row],[KHCL]],Ref!AT:AU,2,0)</f>
        <v>&lt;=5Y</v>
      </c>
    </row>
    <row r="21" spans="2:10" x14ac:dyDescent="0.3">
      <c r="B21" s="502">
        <v>46252</v>
      </c>
      <c r="C21" t="s">
        <v>2952</v>
      </c>
      <c r="D21" t="s">
        <v>728</v>
      </c>
      <c r="E21" t="s">
        <v>2935</v>
      </c>
      <c r="F21" s="37">
        <v>117316</v>
      </c>
      <c r="G21" s="268">
        <v>4.55</v>
      </c>
      <c r="H21" s="37">
        <v>1000000</v>
      </c>
      <c r="I21" s="37">
        <v>123017100000</v>
      </c>
      <c r="J21" s="72" t="str">
        <f>VLOOKUP(Outright[[#This Row],[KHCL]],Ref!AT:AU,2,0)</f>
        <v>&gt;=20Y</v>
      </c>
    </row>
    <row r="22" spans="2:10" x14ac:dyDescent="0.3">
      <c r="B22" s="502">
        <v>46252</v>
      </c>
      <c r="C22" t="s">
        <v>2952</v>
      </c>
      <c r="D22" t="s">
        <v>728</v>
      </c>
      <c r="E22" t="s">
        <v>2935</v>
      </c>
      <c r="F22" s="37">
        <v>117283</v>
      </c>
      <c r="G22" s="268">
        <v>4.5521000000000003</v>
      </c>
      <c r="H22" s="37">
        <v>830000</v>
      </c>
      <c r="I22" s="37">
        <v>100074760000</v>
      </c>
      <c r="J22" s="72" t="str">
        <f>VLOOKUP(Outright[[#This Row],[KHCL]],Ref!AT:AU,2,0)</f>
        <v>&gt;=20Y</v>
      </c>
    </row>
    <row r="23" spans="2:10" x14ac:dyDescent="0.3">
      <c r="B23" s="502">
        <v>46252</v>
      </c>
      <c r="C23" t="s">
        <v>2949</v>
      </c>
      <c r="D23" t="s">
        <v>635</v>
      </c>
      <c r="E23" t="s">
        <v>2935</v>
      </c>
      <c r="F23" s="37">
        <v>92532</v>
      </c>
      <c r="G23" s="268">
        <v>4.2209000000000003</v>
      </c>
      <c r="H23" s="37">
        <v>1000000</v>
      </c>
      <c r="I23" s="37">
        <v>94076000000</v>
      </c>
      <c r="J23" s="72" t="str">
        <f>VLOOKUP(Outright[[#This Row],[KHCL]],Ref!AT:AU,2,0)</f>
        <v>&lt;=5Y</v>
      </c>
    </row>
    <row r="24" spans="2:10" x14ac:dyDescent="0.3">
      <c r="B24" s="502">
        <v>46252</v>
      </c>
      <c r="C24" t="s">
        <v>2949</v>
      </c>
      <c r="D24" t="s">
        <v>635</v>
      </c>
      <c r="E24" t="s">
        <v>2935</v>
      </c>
      <c r="F24" s="37">
        <v>92981</v>
      </c>
      <c r="G24" s="268">
        <v>4.0998999999999999</v>
      </c>
      <c r="H24" s="37">
        <v>900000</v>
      </c>
      <c r="I24" s="37">
        <v>85072500000</v>
      </c>
      <c r="J24" s="72" t="str">
        <f>VLOOKUP(Outright[[#This Row],[KHCL]],Ref!AT:AU,2,0)</f>
        <v>&lt;=5Y</v>
      </c>
    </row>
    <row r="25" spans="2:10" x14ac:dyDescent="0.3">
      <c r="B25" s="502">
        <v>46252</v>
      </c>
      <c r="C25" t="s">
        <v>2949</v>
      </c>
      <c r="D25" t="s">
        <v>635</v>
      </c>
      <c r="E25" t="s">
        <v>2935</v>
      </c>
      <c r="F25" s="37">
        <v>92981</v>
      </c>
      <c r="G25" s="268">
        <v>4.0998999999999999</v>
      </c>
      <c r="H25" s="37">
        <v>1100000</v>
      </c>
      <c r="I25" s="37">
        <v>103977500000</v>
      </c>
      <c r="J25" s="72" t="str">
        <f>VLOOKUP(Outright[[#This Row],[KHCL]],Ref!AT:AU,2,0)</f>
        <v>&lt;=5Y</v>
      </c>
    </row>
    <row r="26" spans="2:10" x14ac:dyDescent="0.3">
      <c r="B26" s="502">
        <v>46252</v>
      </c>
      <c r="C26" t="s">
        <v>2949</v>
      </c>
      <c r="D26" t="s">
        <v>636</v>
      </c>
      <c r="E26" t="s">
        <v>2935</v>
      </c>
      <c r="F26" s="37">
        <v>92471</v>
      </c>
      <c r="G26" s="268">
        <v>4.0999999999999996</v>
      </c>
      <c r="H26" s="37">
        <v>1200000</v>
      </c>
      <c r="I26" s="37">
        <v>117223750000</v>
      </c>
      <c r="J26" s="72" t="str">
        <f>VLOOKUP(Outright[[#This Row],[KHCL]],Ref!AT:AU,2,0)</f>
        <v>&lt;=5Y</v>
      </c>
    </row>
    <row r="27" spans="2:10" x14ac:dyDescent="0.3">
      <c r="B27" s="502">
        <v>46252</v>
      </c>
      <c r="C27" t="s">
        <v>2949</v>
      </c>
      <c r="D27" t="s">
        <v>636</v>
      </c>
      <c r="E27" t="s">
        <v>2935</v>
      </c>
      <c r="F27" s="37">
        <v>92471</v>
      </c>
      <c r="G27" s="268">
        <v>4.0999999999999996</v>
      </c>
      <c r="H27" s="37">
        <v>2100000</v>
      </c>
      <c r="I27" s="37">
        <v>201624850000</v>
      </c>
      <c r="J27" s="72" t="str">
        <f>VLOOKUP(Outright[[#This Row],[KHCL]],Ref!AT:AU,2,0)</f>
        <v>&lt;=5Y</v>
      </c>
    </row>
    <row r="28" spans="2:10" x14ac:dyDescent="0.3">
      <c r="B28" s="502">
        <v>46252</v>
      </c>
      <c r="C28" t="s">
        <v>2955</v>
      </c>
      <c r="D28" t="s">
        <v>639</v>
      </c>
      <c r="E28" t="s">
        <v>2935</v>
      </c>
      <c r="F28" s="37">
        <v>92250</v>
      </c>
      <c r="G28" s="268">
        <v>4.0023</v>
      </c>
      <c r="H28" s="37">
        <v>500000</v>
      </c>
      <c r="I28" s="37">
        <v>46336000000</v>
      </c>
      <c r="J28" s="72" t="str">
        <f>VLOOKUP(Outright[[#This Row],[KHCL]],Ref!AT:AU,2,0)</f>
        <v>5-7Y</v>
      </c>
    </row>
    <row r="29" spans="2:10" x14ac:dyDescent="0.3">
      <c r="B29" s="502">
        <v>46252</v>
      </c>
      <c r="C29" t="s">
        <v>2955</v>
      </c>
      <c r="D29" t="s">
        <v>644</v>
      </c>
      <c r="E29" t="s">
        <v>2935</v>
      </c>
      <c r="F29" s="37">
        <v>95312</v>
      </c>
      <c r="G29" s="268">
        <v>3.1046999999999998</v>
      </c>
      <c r="H29" s="37">
        <v>1500000</v>
      </c>
      <c r="I29" s="37">
        <v>145755000000</v>
      </c>
      <c r="J29" s="72" t="str">
        <f>VLOOKUP(Outright[[#This Row],[KHCL]],Ref!AT:AU,2,0)</f>
        <v>5-7Y</v>
      </c>
    </row>
    <row r="30" spans="2:10" x14ac:dyDescent="0.3">
      <c r="B30" s="502">
        <v>46252</v>
      </c>
      <c r="C30" t="s">
        <v>2951</v>
      </c>
      <c r="D30" t="s">
        <v>2381</v>
      </c>
      <c r="E30" t="s">
        <v>2935</v>
      </c>
      <c r="F30" s="37">
        <v>101074</v>
      </c>
      <c r="G30" s="268">
        <v>4.2999000000000001</v>
      </c>
      <c r="H30" s="37">
        <v>1000000</v>
      </c>
      <c r="I30" s="37">
        <v>103860000000</v>
      </c>
      <c r="J30" s="72" t="str">
        <f>VLOOKUP(Outright[[#This Row],[KHCL]],Ref!AT:AU,2,0)</f>
        <v>5-7Y</v>
      </c>
    </row>
    <row r="31" spans="2:10" x14ac:dyDescent="0.3">
      <c r="B31" s="502">
        <v>46252</v>
      </c>
      <c r="C31" t="s">
        <v>2951</v>
      </c>
      <c r="D31" t="s">
        <v>2385</v>
      </c>
      <c r="E31" t="s">
        <v>2935</v>
      </c>
      <c r="F31" s="37">
        <v>99162</v>
      </c>
      <c r="G31" s="268">
        <v>4.3476999999999997</v>
      </c>
      <c r="H31" s="37">
        <v>1000000</v>
      </c>
      <c r="I31" s="37">
        <v>101440000000</v>
      </c>
      <c r="J31" s="72" t="str">
        <f>VLOOKUP(Outright[[#This Row],[KHCL]],Ref!AT:AU,2,0)</f>
        <v>5-7Y</v>
      </c>
    </row>
    <row r="32" spans="2:10" x14ac:dyDescent="0.3">
      <c r="B32" s="502">
        <v>46252</v>
      </c>
      <c r="C32" t="s">
        <v>2953</v>
      </c>
      <c r="D32" t="s">
        <v>2785</v>
      </c>
      <c r="E32" t="s">
        <v>2935</v>
      </c>
      <c r="F32" s="37">
        <v>87855</v>
      </c>
      <c r="G32" s="268">
        <v>4.33</v>
      </c>
      <c r="H32" s="37">
        <v>1000000</v>
      </c>
      <c r="I32" s="37">
        <v>89991000000</v>
      </c>
      <c r="J32" s="72" t="str">
        <f>VLOOKUP(Outright[[#This Row],[KHCL]],Ref!AT:AU,2,0)</f>
        <v>7-10Y</v>
      </c>
    </row>
    <row r="33" spans="2:10" x14ac:dyDescent="0.3">
      <c r="B33" s="502">
        <v>46252</v>
      </c>
      <c r="C33" t="s">
        <v>2958</v>
      </c>
      <c r="D33" t="s">
        <v>2497</v>
      </c>
      <c r="E33" t="s">
        <v>2935</v>
      </c>
      <c r="F33" s="37">
        <v>93840</v>
      </c>
      <c r="G33" s="268">
        <v>4.6048999999999998</v>
      </c>
      <c r="H33" s="37">
        <v>6500000</v>
      </c>
      <c r="I33" s="37">
        <v>621107500000</v>
      </c>
      <c r="J33" s="72" t="str">
        <f>VLOOKUP(Outright[[#This Row],[KHCL]],Ref!AT:AU,2,0)</f>
        <v>&gt;=20Y</v>
      </c>
    </row>
    <row r="34" spans="2:10" x14ac:dyDescent="0.3">
      <c r="B34" s="502">
        <v>46252</v>
      </c>
      <c r="C34" t="s">
        <v>2958</v>
      </c>
      <c r="D34" t="s">
        <v>2497</v>
      </c>
      <c r="E34" t="s">
        <v>2935</v>
      </c>
      <c r="F34" s="37">
        <v>93843</v>
      </c>
      <c r="G34" s="268">
        <v>4.6047000000000002</v>
      </c>
      <c r="H34" s="37">
        <v>6500000</v>
      </c>
      <c r="I34" s="37">
        <v>621127000000</v>
      </c>
      <c r="J34" s="72" t="str">
        <f>VLOOKUP(Outright[[#This Row],[KHCL]],Ref!AT:AU,2,0)</f>
        <v>&gt;=20Y</v>
      </c>
    </row>
    <row r="35" spans="2:10" x14ac:dyDescent="0.3">
      <c r="B35" s="502">
        <v>46252</v>
      </c>
      <c r="C35" t="s">
        <v>2954</v>
      </c>
      <c r="D35" t="s">
        <v>2831</v>
      </c>
      <c r="E35" t="s">
        <v>2935</v>
      </c>
      <c r="F35" s="37">
        <v>98471</v>
      </c>
      <c r="G35" s="268">
        <v>2.9203000000000001</v>
      </c>
      <c r="H35" s="37">
        <v>1000000</v>
      </c>
      <c r="I35" s="37">
        <v>98915000000</v>
      </c>
      <c r="J35" s="72" t="str">
        <f>VLOOKUP(Outright[[#This Row],[KHCL]],Ref!AT:AU,2,0)</f>
        <v>7-10Y</v>
      </c>
    </row>
    <row r="36" spans="2:10" x14ac:dyDescent="0.3">
      <c r="B36" s="502">
        <v>46252</v>
      </c>
      <c r="C36" t="s">
        <v>2954</v>
      </c>
      <c r="D36" t="s">
        <v>2834</v>
      </c>
      <c r="E36" t="s">
        <v>2935</v>
      </c>
      <c r="F36" s="37">
        <v>86582</v>
      </c>
      <c r="G36" s="268">
        <v>4.7840999999999996</v>
      </c>
      <c r="H36" s="37">
        <v>500000</v>
      </c>
      <c r="I36" s="37">
        <v>43461000000</v>
      </c>
      <c r="J36" s="72" t="str">
        <f>VLOOKUP(Outright[[#This Row],[KHCL]],Ref!AT:AU,2,0)</f>
        <v>7-10Y</v>
      </c>
    </row>
    <row r="37" spans="2:10" x14ac:dyDescent="0.3">
      <c r="B37" s="502">
        <v>46252</v>
      </c>
      <c r="C37" t="s">
        <v>2954</v>
      </c>
      <c r="D37" t="s">
        <v>2836</v>
      </c>
      <c r="E37" t="s">
        <v>2935</v>
      </c>
      <c r="F37" s="37">
        <v>97637</v>
      </c>
      <c r="G37" s="268">
        <v>3.04</v>
      </c>
      <c r="H37" s="37">
        <v>1200000</v>
      </c>
      <c r="I37" s="37">
        <v>124985098000</v>
      </c>
      <c r="J37" s="72" t="str">
        <f>VLOOKUP(Outright[[#This Row],[KHCL]],Ref!AT:AU,2,0)</f>
        <v>7-10Y</v>
      </c>
    </row>
    <row r="38" spans="2:10" x14ac:dyDescent="0.3">
      <c r="B38" s="502">
        <v>46252</v>
      </c>
      <c r="C38" t="s">
        <v>2954</v>
      </c>
      <c r="D38" t="s">
        <v>2836</v>
      </c>
      <c r="E38" t="s">
        <v>2935</v>
      </c>
      <c r="F38" s="37">
        <v>96752</v>
      </c>
      <c r="G38" s="268">
        <v>3.17</v>
      </c>
      <c r="H38" s="37">
        <v>1000000</v>
      </c>
      <c r="I38" s="37">
        <v>96989000000</v>
      </c>
      <c r="J38" s="72" t="str">
        <f>VLOOKUP(Outright[[#This Row],[KHCL]],Ref!AT:AU,2,0)</f>
        <v>7-10Y</v>
      </c>
    </row>
    <row r="39" spans="2:10" x14ac:dyDescent="0.3">
      <c r="B39" s="502">
        <v>46252</v>
      </c>
      <c r="C39" t="s">
        <v>2954</v>
      </c>
      <c r="D39" t="s">
        <v>2836</v>
      </c>
      <c r="E39" t="s">
        <v>2935</v>
      </c>
      <c r="F39" s="37">
        <v>97637</v>
      </c>
      <c r="G39" s="268">
        <v>3.04</v>
      </c>
      <c r="H39" s="37">
        <v>680000</v>
      </c>
      <c r="I39" s="37">
        <v>66554320000</v>
      </c>
      <c r="J39" s="72" t="str">
        <f>VLOOKUP(Outright[[#This Row],[KHCL]],Ref!AT:AU,2,0)</f>
        <v>7-10Y</v>
      </c>
    </row>
    <row r="40" spans="2:10" x14ac:dyDescent="0.3">
      <c r="B40" s="502">
        <v>46252</v>
      </c>
      <c r="C40" t="s">
        <v>2954</v>
      </c>
      <c r="D40" t="s">
        <v>2839</v>
      </c>
      <c r="E40" t="s">
        <v>2935</v>
      </c>
      <c r="F40" s="37">
        <v>96727</v>
      </c>
      <c r="G40" s="268">
        <v>3.1701000000000001</v>
      </c>
      <c r="H40" s="37">
        <v>1500000</v>
      </c>
      <c r="I40" s="37">
        <v>145135500000</v>
      </c>
      <c r="J40" s="72" t="str">
        <f>VLOOKUP(Outright[[#This Row],[KHCL]],Ref!AT:AU,2,0)</f>
        <v>7-10Y</v>
      </c>
    </row>
    <row r="41" spans="2:10" x14ac:dyDescent="0.3">
      <c r="B41" s="502">
        <v>46252</v>
      </c>
      <c r="C41" t="s">
        <v>2954</v>
      </c>
      <c r="D41" t="s">
        <v>2839</v>
      </c>
      <c r="E41" t="s">
        <v>2935</v>
      </c>
      <c r="F41" s="37">
        <v>96758</v>
      </c>
      <c r="G41" s="268">
        <v>3.1655000000000002</v>
      </c>
      <c r="H41" s="37">
        <v>2000000</v>
      </c>
      <c r="I41" s="37">
        <v>193576000000</v>
      </c>
      <c r="J41" s="72" t="str">
        <f>VLOOKUP(Outright[[#This Row],[KHCL]],Ref!AT:AU,2,0)</f>
        <v>7-10Y</v>
      </c>
    </row>
    <row r="42" spans="2:10" x14ac:dyDescent="0.3">
      <c r="B42" s="502">
        <v>46252</v>
      </c>
      <c r="C42" t="s">
        <v>2954</v>
      </c>
      <c r="D42" t="s">
        <v>2862</v>
      </c>
      <c r="E42" t="s">
        <v>2935</v>
      </c>
      <c r="F42" s="37">
        <v>95910</v>
      </c>
      <c r="G42" s="268">
        <v>3.1798999999999999</v>
      </c>
      <c r="H42" s="37">
        <v>3000000</v>
      </c>
      <c r="I42" s="37">
        <v>294717000000</v>
      </c>
      <c r="J42" s="72" t="str">
        <f>VLOOKUP(Outright[[#This Row],[KHCL]],Ref!AT:AU,2,0)</f>
        <v>7-10Y</v>
      </c>
    </row>
    <row r="43" spans="2:10" x14ac:dyDescent="0.3">
      <c r="B43" s="502">
        <v>46252</v>
      </c>
      <c r="C43" t="s">
        <v>2954</v>
      </c>
      <c r="D43" t="s">
        <v>2862</v>
      </c>
      <c r="E43" t="s">
        <v>2935</v>
      </c>
      <c r="F43" s="37">
        <v>95910</v>
      </c>
      <c r="G43" s="268">
        <v>3.1798999999999999</v>
      </c>
      <c r="H43" s="37">
        <v>500000</v>
      </c>
      <c r="I43" s="37">
        <v>49119500000</v>
      </c>
      <c r="J43" s="72" t="str">
        <f>VLOOKUP(Outright[[#This Row],[KHCL]],Ref!AT:AU,2,0)</f>
        <v>7-10Y</v>
      </c>
    </row>
    <row r="44" spans="2:10" x14ac:dyDescent="0.3">
      <c r="B44" s="502">
        <v>46252</v>
      </c>
      <c r="C44" t="s">
        <v>2954</v>
      </c>
      <c r="D44" t="s">
        <v>2862</v>
      </c>
      <c r="E44" t="s">
        <v>2935</v>
      </c>
      <c r="F44" s="37">
        <v>95910</v>
      </c>
      <c r="G44" s="268">
        <v>3.1798999999999999</v>
      </c>
      <c r="H44" s="37">
        <v>500000</v>
      </c>
      <c r="I44" s="37">
        <v>49119500000</v>
      </c>
      <c r="J44" s="72" t="str">
        <f>VLOOKUP(Outright[[#This Row],[KHCL]],Ref!AT:AU,2,0)</f>
        <v>7-10Y</v>
      </c>
    </row>
    <row r="45" spans="2:10" x14ac:dyDescent="0.3">
      <c r="B45" s="502">
        <v>46252</v>
      </c>
      <c r="C45" t="s">
        <v>2954</v>
      </c>
      <c r="D45" t="s">
        <v>2862</v>
      </c>
      <c r="E45" t="s">
        <v>2935</v>
      </c>
      <c r="F45" s="37">
        <v>95910</v>
      </c>
      <c r="G45" s="268">
        <v>3.1798999999999999</v>
      </c>
      <c r="H45" s="37">
        <v>3000000</v>
      </c>
      <c r="I45" s="37">
        <v>294717000000</v>
      </c>
      <c r="J45" s="72" t="str">
        <f>VLOOKUP(Outright[[#This Row],[KHCL]],Ref!AT:AU,2,0)</f>
        <v>7-10Y</v>
      </c>
    </row>
    <row r="46" spans="2:10" x14ac:dyDescent="0.3">
      <c r="B46" s="502">
        <v>46252</v>
      </c>
      <c r="C46" t="s">
        <v>2954</v>
      </c>
      <c r="D46" t="s">
        <v>2862</v>
      </c>
      <c r="E46" t="s">
        <v>2935</v>
      </c>
      <c r="F46" s="37">
        <v>95910</v>
      </c>
      <c r="G46" s="268">
        <v>3.1798999999999999</v>
      </c>
      <c r="H46" s="37">
        <v>1000000</v>
      </c>
      <c r="I46" s="37">
        <v>98239000000</v>
      </c>
      <c r="J46" s="72" t="str">
        <f>VLOOKUP(Outright[[#This Row],[KHCL]],Ref!AT:AU,2,0)</f>
        <v>7-10Y</v>
      </c>
    </row>
    <row r="47" spans="2:10" x14ac:dyDescent="0.3">
      <c r="B47" s="502">
        <v>46252</v>
      </c>
      <c r="C47" t="s">
        <v>2954</v>
      </c>
      <c r="D47" t="s">
        <v>2862</v>
      </c>
      <c r="E47" t="s">
        <v>2935</v>
      </c>
      <c r="F47" s="37">
        <v>95910</v>
      </c>
      <c r="G47" s="268">
        <v>3.1798999999999999</v>
      </c>
      <c r="H47" s="37">
        <v>1000000</v>
      </c>
      <c r="I47" s="37">
        <v>98239000000</v>
      </c>
      <c r="J47" s="72" t="str">
        <f>VLOOKUP(Outright[[#This Row],[KHCL]],Ref!AT:AU,2,0)</f>
        <v>7-10Y</v>
      </c>
    </row>
    <row r="48" spans="2:10" x14ac:dyDescent="0.3">
      <c r="B48" s="502">
        <v>46252</v>
      </c>
      <c r="C48" t="s">
        <v>2954</v>
      </c>
      <c r="D48" t="s">
        <v>2862</v>
      </c>
      <c r="E48" t="s">
        <v>2935</v>
      </c>
      <c r="F48" s="37">
        <v>96808</v>
      </c>
      <c r="G48" s="268">
        <v>3.05</v>
      </c>
      <c r="H48" s="37">
        <v>1300000</v>
      </c>
      <c r="I48" s="37">
        <v>132843580000</v>
      </c>
      <c r="J48" s="72" t="str">
        <f>VLOOKUP(Outright[[#This Row],[KHCL]],Ref!AT:AU,2,0)</f>
        <v>7-10Y</v>
      </c>
    </row>
    <row r="49" spans="2:10" x14ac:dyDescent="0.3">
      <c r="B49" s="502">
        <v>46252</v>
      </c>
      <c r="C49" t="s">
        <v>2958</v>
      </c>
      <c r="D49" t="s">
        <v>3306</v>
      </c>
      <c r="E49" t="s">
        <v>2935</v>
      </c>
      <c r="F49" s="37">
        <v>75174</v>
      </c>
      <c r="G49" s="268">
        <v>4.7206999999999999</v>
      </c>
      <c r="H49" s="37">
        <v>3800000</v>
      </c>
      <c r="I49" s="37">
        <v>287823400000</v>
      </c>
      <c r="J49" s="72" t="str">
        <f>VLOOKUP(Outright[[#This Row],[KHCL]],Ref!AT:AU,2,0)</f>
        <v>&gt;=20Y</v>
      </c>
    </row>
    <row r="50" spans="2:10" x14ac:dyDescent="0.3">
      <c r="B50" s="502">
        <v>46252</v>
      </c>
      <c r="C50" t="s">
        <v>2949</v>
      </c>
      <c r="D50" t="s">
        <v>3517</v>
      </c>
      <c r="E50" t="s">
        <v>2935</v>
      </c>
      <c r="F50" s="37">
        <v>98330</v>
      </c>
      <c r="G50" s="268">
        <v>3.3157999999999999</v>
      </c>
      <c r="H50" s="37">
        <v>2000000</v>
      </c>
      <c r="I50" s="37">
        <v>197044000000</v>
      </c>
      <c r="J50" s="72" t="str">
        <f>VLOOKUP(Outright[[#This Row],[KHCL]],Ref!AT:AU,2,0)</f>
        <v>&lt;=5Y</v>
      </c>
    </row>
    <row r="51" spans="2:10" x14ac:dyDescent="0.3">
      <c r="B51" s="502">
        <v>46252</v>
      </c>
      <c r="C51" t="s">
        <v>2954</v>
      </c>
      <c r="D51" t="s">
        <v>3051</v>
      </c>
      <c r="E51" t="s">
        <v>2935</v>
      </c>
      <c r="F51" s="37">
        <v>93885</v>
      </c>
      <c r="G51" s="268">
        <v>3.7492999999999999</v>
      </c>
      <c r="H51" s="37">
        <v>1600000</v>
      </c>
      <c r="I51" s="37">
        <v>152416000000</v>
      </c>
      <c r="J51" s="72" t="str">
        <f>VLOOKUP(Outright[[#This Row],[KHCL]],Ref!AT:AU,2,0)</f>
        <v>7-10Y</v>
      </c>
    </row>
    <row r="52" spans="2:10" x14ac:dyDescent="0.3">
      <c r="B52" s="502">
        <v>46252</v>
      </c>
      <c r="C52" t="s">
        <v>2949</v>
      </c>
      <c r="D52" t="s">
        <v>4077</v>
      </c>
      <c r="E52" t="s">
        <v>2935</v>
      </c>
      <c r="F52" s="37">
        <v>96929</v>
      </c>
      <c r="G52" s="268">
        <v>4.0678000000000001</v>
      </c>
      <c r="H52" s="37">
        <v>8200000</v>
      </c>
      <c r="I52" s="37">
        <v>810315800000</v>
      </c>
      <c r="J52" s="72" t="str">
        <f>VLOOKUP(Outright[[#This Row],[KHCL]],Ref!AT:AU,2,0)</f>
        <v>&lt;=5Y</v>
      </c>
    </row>
    <row r="53" spans="2:10" x14ac:dyDescent="0.3">
      <c r="B53" s="502">
        <v>46252</v>
      </c>
      <c r="C53" t="s">
        <v>2955</v>
      </c>
      <c r="D53" t="s">
        <v>4053</v>
      </c>
      <c r="E53" t="s">
        <v>2935</v>
      </c>
      <c r="F53" s="37">
        <v>99471</v>
      </c>
      <c r="G53" s="268">
        <v>4.22</v>
      </c>
      <c r="H53" s="37">
        <v>2000000</v>
      </c>
      <c r="I53" s="37">
        <v>199864000000</v>
      </c>
      <c r="J53" s="72" t="str">
        <f>VLOOKUP(Outright[[#This Row],[KHCL]],Ref!AT:AU,2,0)</f>
        <v>5-7Y</v>
      </c>
    </row>
    <row r="54" spans="2:10" x14ac:dyDescent="0.3">
      <c r="B54" s="502">
        <v>46252</v>
      </c>
      <c r="C54" t="s">
        <v>2959</v>
      </c>
      <c r="D54" t="s">
        <v>3645</v>
      </c>
      <c r="E54" t="s">
        <v>2935</v>
      </c>
      <c r="F54" s="37">
        <v>104941</v>
      </c>
      <c r="G54" s="268">
        <v>3.3752</v>
      </c>
      <c r="H54" s="37">
        <v>1000000</v>
      </c>
      <c r="I54" s="37">
        <v>107385000000</v>
      </c>
      <c r="J54" s="72" t="str">
        <f>VLOOKUP(Outright[[#This Row],[KHCL]],Ref!AT:AU,2,0)</f>
        <v>10-20Y</v>
      </c>
    </row>
    <row r="55" spans="2:10" x14ac:dyDescent="0.3">
      <c r="B55" s="502">
        <v>46252</v>
      </c>
      <c r="C55" t="s">
        <v>2959</v>
      </c>
      <c r="D55" t="s">
        <v>3865</v>
      </c>
      <c r="E55" t="s">
        <v>2935</v>
      </c>
      <c r="F55" s="37">
        <v>100507</v>
      </c>
      <c r="G55" s="268">
        <v>4.0335000000000001</v>
      </c>
      <c r="H55" s="37">
        <v>2000000</v>
      </c>
      <c r="I55" s="37">
        <v>203664000000</v>
      </c>
      <c r="J55" s="72" t="str">
        <f>VLOOKUP(Outright[[#This Row],[KHCL]],Ref!AT:AU,2,0)</f>
        <v>10-20Y</v>
      </c>
    </row>
    <row r="56" spans="2:10" x14ac:dyDescent="0.3">
      <c r="B56" s="502">
        <v>46252</v>
      </c>
      <c r="C56" t="s">
        <v>2959</v>
      </c>
      <c r="D56" t="s">
        <v>1210</v>
      </c>
      <c r="E56" t="s">
        <v>2935</v>
      </c>
      <c r="F56" s="37">
        <v>124482</v>
      </c>
      <c r="G56" s="268">
        <v>4.4447999999999999</v>
      </c>
      <c r="H56" s="37">
        <v>1000000</v>
      </c>
      <c r="I56" s="37">
        <v>130724000000</v>
      </c>
      <c r="J56" s="72" t="str">
        <f>VLOOKUP(Outright[[#This Row],[KHCL]],Ref!AT:AU,2,0)</f>
        <v>10-20Y</v>
      </c>
    </row>
    <row r="57" spans="2:10" x14ac:dyDescent="0.3">
      <c r="B57" s="502">
        <v>46252</v>
      </c>
      <c r="C57" t="s">
        <v>2959</v>
      </c>
      <c r="D57" t="s">
        <v>1210</v>
      </c>
      <c r="E57" t="s">
        <v>2935</v>
      </c>
      <c r="F57" s="37">
        <v>124523</v>
      </c>
      <c r="G57" s="268">
        <v>4.4400000000000004</v>
      </c>
      <c r="H57" s="37">
        <v>900000</v>
      </c>
      <c r="I57" s="37">
        <v>117688500000</v>
      </c>
      <c r="J57" s="72" t="str">
        <f>VLOOKUP(Outright[[#This Row],[KHCL]],Ref!AT:AU,2,0)</f>
        <v>10-20Y</v>
      </c>
    </row>
    <row r="58" spans="2:10" x14ac:dyDescent="0.3">
      <c r="B58" s="502">
        <v>46252</v>
      </c>
      <c r="C58" t="s">
        <v>2959</v>
      </c>
      <c r="D58" t="s">
        <v>1210</v>
      </c>
      <c r="E58" t="s">
        <v>2935</v>
      </c>
      <c r="F58" s="37">
        <v>124523</v>
      </c>
      <c r="G58" s="268">
        <v>4.4400000000000004</v>
      </c>
      <c r="H58" s="37">
        <v>1400000</v>
      </c>
      <c r="I58" s="37">
        <v>183071000000</v>
      </c>
      <c r="J58" s="72" t="str">
        <f>VLOOKUP(Outright[[#This Row],[KHCL]],Ref!AT:AU,2,0)</f>
        <v>10-20Y</v>
      </c>
    </row>
    <row r="59" spans="2:10" x14ac:dyDescent="0.3">
      <c r="B59" s="502">
        <v>46252</v>
      </c>
      <c r="C59" t="s">
        <v>2959</v>
      </c>
      <c r="D59" t="s">
        <v>1210</v>
      </c>
      <c r="E59" t="s">
        <v>2935</v>
      </c>
      <c r="F59" s="37">
        <v>124482</v>
      </c>
      <c r="G59" s="268">
        <v>4.4447999999999999</v>
      </c>
      <c r="H59" s="37">
        <v>1100000</v>
      </c>
      <c r="I59" s="37">
        <v>143796400000</v>
      </c>
      <c r="J59" s="72" t="str">
        <f>VLOOKUP(Outright[[#This Row],[KHCL]],Ref!AT:AU,2,0)</f>
        <v>10-20Y</v>
      </c>
    </row>
  </sheetData>
  <pageMargins left="0.7" right="0.7" top="0.75" bottom="0.75" header="0.3" footer="0.3"/>
  <tableParts count="3">
    <tablePart r:id="rId1"/>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C000"/>
  </sheetPr>
  <dimension ref="A1:CN35"/>
  <sheetViews>
    <sheetView tabSelected="1" zoomScale="85" zoomScaleNormal="85" workbookViewId="0">
      <pane ySplit="1" topLeftCell="A2" activePane="bottomLeft" state="frozen"/>
      <selection pane="bottomLeft" activeCell="AM12" activeCellId="1" sqref="AM4:AM7 AM12:AM15"/>
    </sheetView>
  </sheetViews>
  <sheetFormatPr defaultRowHeight="14.4" outlineLevelCol="1" x14ac:dyDescent="0.3"/>
  <cols>
    <col min="1" max="1" width="10.69921875" customWidth="1"/>
    <col min="2" max="2" width="12.3984375" style="35" bestFit="1" customWidth="1"/>
    <col min="3" max="3" width="11.8984375" style="35" customWidth="1"/>
    <col min="4" max="4" width="9.296875" bestFit="1" customWidth="1"/>
    <col min="5" max="5" width="16.59765625" bestFit="1" customWidth="1"/>
    <col min="6" max="6" width="18.3984375" bestFit="1" customWidth="1"/>
    <col min="7" max="7" width="18.69921875" bestFit="1" customWidth="1"/>
    <col min="8" max="8" width="11.8984375" customWidth="1"/>
    <col min="9" max="9" width="7" customWidth="1"/>
    <col min="10" max="10" width="12" style="35" hidden="1" customWidth="1"/>
    <col min="11" max="11" width="13" style="35" hidden="1" customWidth="1"/>
    <col min="12" max="12" width="13.296875" style="114" bestFit="1" customWidth="1" collapsed="1"/>
    <col min="13" max="13" width="15.09765625" style="501" hidden="1" customWidth="1" outlineLevel="1"/>
    <col min="14" max="14" width="9.59765625" style="501" hidden="1" customWidth="1" outlineLevel="1"/>
    <col min="15" max="15" width="16.296875" style="501" hidden="1" customWidth="1" outlineLevel="1"/>
    <col min="16" max="16" width="19" style="501" hidden="1" customWidth="1" outlineLevel="1"/>
    <col min="17" max="17" width="8.296875" hidden="1" customWidth="1" outlineLevel="1"/>
    <col min="18" max="18" width="10" hidden="1" customWidth="1" outlineLevel="1"/>
    <col min="19" max="19" width="9.8984375" hidden="1" customWidth="1" outlineLevel="1"/>
    <col min="20" max="20" width="12.09765625" hidden="1" customWidth="1" outlineLevel="1"/>
    <col min="21" max="21" width="11.8984375" style="35" hidden="1" customWidth="1" outlineLevel="1"/>
    <col min="22" max="22" width="18.8984375" hidden="1" customWidth="1" outlineLevel="1" collapsed="1"/>
    <col min="23" max="23" width="14.8984375" style="522" hidden="1" customWidth="1" outlineLevel="1"/>
    <col min="24" max="24" width="16.09765625" style="35" hidden="1" customWidth="1" outlineLevel="1" collapsed="1"/>
    <col min="25" max="25" width="18" hidden="1" customWidth="1" outlineLevel="1"/>
    <col min="26" max="26" width="21.3984375" style="612" customWidth="1" collapsed="1"/>
    <col min="27" max="27" width="6.59765625" style="37" bestFit="1" customWidth="1"/>
    <col min="28" max="28" width="11.3984375" style="114" bestFit="1" customWidth="1"/>
    <col min="29" max="29" width="8" style="49" bestFit="1" customWidth="1"/>
    <col min="30" max="30" width="11.296875" style="32" customWidth="1"/>
    <col min="31" max="31" width="10.69921875" style="32" customWidth="1"/>
    <col min="32" max="32" width="17.69921875" customWidth="1"/>
    <col min="33" max="33" width="8.59765625" style="10" customWidth="1"/>
    <col min="34" max="34" width="11.8984375" style="10" customWidth="1"/>
    <col min="35" max="35" width="16.296875" style="520" customWidth="1"/>
    <col min="36" max="36" width="14.59765625" style="505" bestFit="1" customWidth="1"/>
    <col min="37" max="37" width="10.69921875" style="10" customWidth="1"/>
    <col min="38" max="38" width="9.3984375" customWidth="1"/>
    <col min="39" max="39" width="20.3984375" style="38" bestFit="1" customWidth="1"/>
    <col min="40" max="40" width="18" style="38" bestFit="1" customWidth="1"/>
    <col min="41" max="41" width="11.09765625" style="38" hidden="1" customWidth="1"/>
    <col min="42" max="42" width="8.8984375" bestFit="1" customWidth="1" collapsed="1"/>
    <col min="43" max="43" width="11.8984375" style="35" bestFit="1" customWidth="1"/>
    <col min="44" max="44" width="10.8984375" style="35" bestFit="1" customWidth="1"/>
    <col min="45" max="45" width="8.09765625" bestFit="1" customWidth="1"/>
    <col min="46" max="46" width="11.8984375" bestFit="1" customWidth="1"/>
    <col min="47" max="47" width="10.296875" bestFit="1" customWidth="1"/>
    <col min="48" max="48" width="9.69921875" bestFit="1" customWidth="1"/>
    <col min="49" max="49" width="14.296875" bestFit="1" customWidth="1"/>
    <col min="50" max="50" width="6.5" style="32" bestFit="1" customWidth="1"/>
    <col min="51" max="51" width="12.796875" style="32" bestFit="1" customWidth="1"/>
    <col min="52" max="52" width="8.8984375" bestFit="1" customWidth="1"/>
    <col min="53" max="53" width="11.8984375" style="35" bestFit="1" customWidth="1"/>
    <col min="54" max="54" width="10.8984375" style="35" bestFit="1" customWidth="1"/>
    <col min="55" max="55" width="8.09765625" bestFit="1" customWidth="1"/>
    <col min="56" max="56" width="11.8984375" bestFit="1" customWidth="1"/>
    <col min="57" max="57" width="15.59765625" hidden="1" customWidth="1"/>
    <col min="58" max="58" width="14.69921875" hidden="1" customWidth="1"/>
    <col min="59" max="59" width="10.296875" bestFit="1" customWidth="1"/>
    <col min="60" max="60" width="16.19921875" style="35" bestFit="1" customWidth="1"/>
    <col min="61" max="61" width="22.69921875" style="35" bestFit="1" customWidth="1"/>
    <col min="62" max="62" width="9.8984375" bestFit="1" customWidth="1"/>
    <col min="63" max="63" width="16.296875" bestFit="1" customWidth="1"/>
    <col min="64" max="64" width="14.296875" style="500" bestFit="1" customWidth="1"/>
    <col min="65" max="65" width="20.796875" style="500" bestFit="1" customWidth="1"/>
    <col min="66" max="66" width="5.296875" style="32" bestFit="1" customWidth="1"/>
    <col min="67" max="67" width="11.59765625" style="32" bestFit="1" customWidth="1"/>
    <col min="68" max="68" width="8.8984375" bestFit="1" customWidth="1"/>
    <col min="69" max="69" width="13.296875" bestFit="1" customWidth="1"/>
    <col min="70" max="70" width="11.09765625" bestFit="1" customWidth="1"/>
    <col min="71" max="71" width="13.09765625" bestFit="1" customWidth="1"/>
    <col min="72" max="72" width="19.09765625" style="37" bestFit="1" customWidth="1"/>
    <col min="73" max="73" width="23.69921875" bestFit="1" customWidth="1"/>
    <col min="74" max="74" width="13.296875" bestFit="1" customWidth="1"/>
    <col min="75" max="76" width="17" customWidth="1"/>
    <col min="77" max="77" width="21.69921875" bestFit="1" customWidth="1"/>
    <col min="78" max="78" width="21" bestFit="1" customWidth="1"/>
    <col min="79" max="79" width="21.8984375" bestFit="1" customWidth="1"/>
    <col min="80" max="117" width="21.8984375" customWidth="1"/>
  </cols>
  <sheetData>
    <row r="1" spans="1:92" x14ac:dyDescent="0.3">
      <c r="A1" t="s">
        <v>826</v>
      </c>
      <c r="B1" s="35" t="s">
        <v>2387</v>
      </c>
      <c r="C1" s="35" t="s">
        <v>2388</v>
      </c>
      <c r="D1" t="s">
        <v>2389</v>
      </c>
      <c r="E1" s="156" t="s">
        <v>827</v>
      </c>
      <c r="F1" t="s">
        <v>2390</v>
      </c>
      <c r="G1" t="s">
        <v>2391</v>
      </c>
      <c r="H1" t="s">
        <v>2392</v>
      </c>
      <c r="I1" t="s">
        <v>828</v>
      </c>
      <c r="J1" s="35" t="s">
        <v>2393</v>
      </c>
      <c r="K1" s="35" t="s">
        <v>2394</v>
      </c>
      <c r="L1" s="114" t="s">
        <v>820</v>
      </c>
      <c r="M1" s="501" t="s">
        <v>829</v>
      </c>
      <c r="N1" s="501" t="s">
        <v>740</v>
      </c>
      <c r="O1" s="501" t="s">
        <v>830</v>
      </c>
      <c r="P1" s="501" t="s">
        <v>831</v>
      </c>
      <c r="Q1" t="s">
        <v>832</v>
      </c>
      <c r="R1" t="s">
        <v>833</v>
      </c>
      <c r="S1" t="s">
        <v>3318</v>
      </c>
      <c r="T1" t="s">
        <v>3319</v>
      </c>
      <c r="U1" s="35" t="s">
        <v>834</v>
      </c>
      <c r="V1" t="s">
        <v>835</v>
      </c>
      <c r="W1" s="522" t="s">
        <v>836</v>
      </c>
      <c r="X1" s="35" t="s">
        <v>837</v>
      </c>
      <c r="Y1" t="s">
        <v>838</v>
      </c>
      <c r="Z1" s="752" t="s">
        <v>3873</v>
      </c>
      <c r="AA1" s="169" t="s">
        <v>2171</v>
      </c>
      <c r="AB1" s="169" t="s">
        <v>950</v>
      </c>
      <c r="AC1" s="168" t="s">
        <v>839</v>
      </c>
      <c r="AD1" s="168" t="s">
        <v>840</v>
      </c>
      <c r="AE1" s="168" t="s">
        <v>841</v>
      </c>
      <c r="AF1" s="168" t="s">
        <v>2823</v>
      </c>
      <c r="AG1" s="168" t="s">
        <v>842</v>
      </c>
      <c r="AH1" s="168" t="s">
        <v>2824</v>
      </c>
      <c r="AI1" s="519" t="s">
        <v>2825</v>
      </c>
      <c r="AJ1" s="504" t="s">
        <v>2826</v>
      </c>
      <c r="AK1" s="168" t="s">
        <v>2827</v>
      </c>
      <c r="AL1" s="168" t="s">
        <v>2828</v>
      </c>
      <c r="AM1" s="169" t="s">
        <v>3681</v>
      </c>
      <c r="AN1" s="169" t="s">
        <v>3521</v>
      </c>
      <c r="AO1" s="423" t="s">
        <v>3213</v>
      </c>
      <c r="AP1" s="405"/>
      <c r="AQ1" s="403" t="s">
        <v>2941</v>
      </c>
      <c r="AR1" s="404" t="s">
        <v>2814</v>
      </c>
      <c r="AS1" s="405" t="s">
        <v>2906</v>
      </c>
      <c r="AT1" s="405" t="s">
        <v>2815</v>
      </c>
      <c r="AU1" s="405" t="s">
        <v>2907</v>
      </c>
      <c r="AV1" s="405" t="s">
        <v>761</v>
      </c>
      <c r="AW1" s="405" t="s">
        <v>3036</v>
      </c>
      <c r="AX1" s="263" t="s">
        <v>816</v>
      </c>
      <c r="AY1" s="263" t="s">
        <v>3512</v>
      </c>
      <c r="AZ1" s="405" t="s">
        <v>3320</v>
      </c>
      <c r="BA1" s="403" t="s">
        <v>3140</v>
      </c>
      <c r="BB1" s="35" t="s">
        <v>2814</v>
      </c>
      <c r="BC1" t="s">
        <v>2906</v>
      </c>
      <c r="BD1" t="s">
        <v>2815</v>
      </c>
      <c r="BE1" t="s">
        <v>3069</v>
      </c>
      <c r="BF1" t="s">
        <v>3036</v>
      </c>
      <c r="BG1" t="s">
        <v>2907</v>
      </c>
      <c r="BH1" s="35" t="s">
        <v>3141</v>
      </c>
      <c r="BI1" s="35" t="s">
        <v>3142</v>
      </c>
      <c r="BJ1" t="s">
        <v>3143</v>
      </c>
      <c r="BK1" t="s">
        <v>3144</v>
      </c>
      <c r="BL1" s="500" t="s">
        <v>3145</v>
      </c>
      <c r="BM1" s="500" t="s">
        <v>3146</v>
      </c>
      <c r="BN1" s="32" t="s">
        <v>816</v>
      </c>
      <c r="BO1" s="32" t="s">
        <v>3512</v>
      </c>
      <c r="BP1" s="405"/>
      <c r="BQ1" s="8" t="s">
        <v>3093</v>
      </c>
      <c r="BR1" t="s">
        <v>3083</v>
      </c>
      <c r="BS1" t="s">
        <v>3084</v>
      </c>
      <c r="BT1" s="37" t="s">
        <v>3085</v>
      </c>
      <c r="BU1" s="35" t="s">
        <v>3086</v>
      </c>
      <c r="BV1" t="s">
        <v>3087</v>
      </c>
      <c r="BW1" s="37" t="s">
        <v>3088</v>
      </c>
      <c r="BX1" s="37" t="s">
        <v>3089</v>
      </c>
      <c r="BY1" s="35" t="s">
        <v>3090</v>
      </c>
      <c r="BZ1" s="35" t="s">
        <v>3091</v>
      </c>
      <c r="CA1" t="s">
        <v>3092</v>
      </c>
      <c r="CC1" s="91" t="s">
        <v>3942</v>
      </c>
      <c r="CD1" s="91" t="s">
        <v>3943</v>
      </c>
      <c r="CE1" s="91" t="s">
        <v>3944</v>
      </c>
      <c r="CF1" s="91" t="s">
        <v>794</v>
      </c>
      <c r="CG1" s="91" t="s">
        <v>3945</v>
      </c>
      <c r="CH1" s="91" t="s">
        <v>3946</v>
      </c>
      <c r="CI1" s="91" t="s">
        <v>1032</v>
      </c>
      <c r="CJ1" s="91" t="s">
        <v>828</v>
      </c>
      <c r="CK1" s="91" t="s">
        <v>3947</v>
      </c>
      <c r="CL1" s="91" t="s">
        <v>3948</v>
      </c>
      <c r="CM1" s="91" t="s">
        <v>3949</v>
      </c>
      <c r="CN1" s="91" t="s">
        <v>3950</v>
      </c>
    </row>
    <row r="2" spans="1:92" x14ac:dyDescent="0.3">
      <c r="A2">
        <v>50459</v>
      </c>
      <c r="B2" s="35">
        <v>46252</v>
      </c>
      <c r="C2" s="35">
        <v>46252</v>
      </c>
      <c r="D2" t="s">
        <v>822</v>
      </c>
      <c r="E2" t="s">
        <v>695</v>
      </c>
      <c r="F2" t="s">
        <v>2180</v>
      </c>
      <c r="G2" t="s">
        <v>907</v>
      </c>
      <c r="H2">
        <v>2.9</v>
      </c>
      <c r="I2">
        <v>2.92</v>
      </c>
      <c r="J2" s="35">
        <v>44162</v>
      </c>
      <c r="K2" s="35">
        <v>49640</v>
      </c>
      <c r="L2" s="114">
        <v>1000000</v>
      </c>
      <c r="M2">
        <v>100000</v>
      </c>
      <c r="N2">
        <v>99831</v>
      </c>
      <c r="O2">
        <v>2098000000</v>
      </c>
      <c r="P2">
        <v>101929000000</v>
      </c>
      <c r="Q2" t="s">
        <v>2935</v>
      </c>
      <c r="R2" t="s">
        <v>4535</v>
      </c>
      <c r="S2" t="s">
        <v>4080</v>
      </c>
      <c r="T2" t="s">
        <v>7</v>
      </c>
      <c r="U2">
        <v>46252</v>
      </c>
      <c r="V2" t="s">
        <v>4054</v>
      </c>
      <c r="W2"/>
      <c r="X2">
        <v>64257</v>
      </c>
      <c r="Y2">
        <v>2</v>
      </c>
      <c r="Z2"/>
      <c r="AA2" s="32">
        <f>Newdeals[[#This Row],[MaturityDate]]-RPT</f>
        <v>3388</v>
      </c>
      <c r="AB2" s="816">
        <f>IF(Newdeals[[#This Row],[Days]]&lt;=0,0,YEARFRAC(RPT,Newdeals[[#This Row],[MaturityDate]],1))</f>
        <v>9.2771084337349397</v>
      </c>
      <c r="AC2" s="32" t="str">
        <f>INDEX(Ref!$K$1:$K$13,MATCH(Newdeals[[#This Row],[Days (year)]],Ref!$I$1:$I$13,1))</f>
        <v>10Y</v>
      </c>
      <c r="AD2" s="32" t="str">
        <f>IFERROR(VLOOKUP(Newdeals[[#This Row],[Folders_ShortName]],Ref!AC:AD,2,0),"")</f>
        <v>Trading</v>
      </c>
      <c r="AE2" s="32" t="str">
        <f>IFERROR(VLOOKUP(Newdeals[[#This Row],[Folders_ShortName]],Ref!AC:AE,3,0),"")</f>
        <v>Banking</v>
      </c>
      <c r="AF2" s="32" t="str">
        <f>IF(Newdeals[[#This Row],[Cpty_ShortName]]="","",IF(OR(F2="KBNN-HN",F2="KBNN",F2="VDB",F2="VBS",F2="CSXH",F2="NHPT",F2="HIFU",F2="DNGTP"),"Primary_Market", "Secondary_Market"))</f>
        <v>Secondary_Market</v>
      </c>
      <c r="AG2" s="32" t="str">
        <f>IFERROR(VLOOKUP(Newdeals[[#This Row],[Issuer Counterparty]],Ref!$A$1:$B$30,2,0),"")</f>
        <v>TPCPBL</v>
      </c>
      <c r="AH2" s="817">
        <f>IFERROR(VLOOKUP(Newdeals[[#This Row],[Bonds_ShortName]],Tradingbook_MSB[[#All],[Security Name]:[Yield Mat]],16,0),"")</f>
        <v>4.9143728690000001</v>
      </c>
      <c r="AI2" s="817">
        <f>Newdeals[[#This Row],[Yield]]</f>
        <v>2.92</v>
      </c>
      <c r="AJ2" s="805">
        <f>IF(Newdeals[[#This Row],[Yield MtM]]="","",(Newdeals[[#This Row],[yield done deal]]-Newdeals[[#This Row],[Yield MtM]])*100)</f>
        <v>-199.43728690000003</v>
      </c>
      <c r="AK2" s="32" t="str">
        <f>IF(Newdeals[[#This Row],[Chênh (points)]]="","",IF(ABS(Newdeals[[#This Row],[Chênh (points)]])&gt;=Ref!$AG$2,"check","OK"))</f>
        <v>check</v>
      </c>
      <c r="AL2" s="32" t="str">
        <f t="shared" ref="AL2" si="0">IF(AC2="7Y","7Y",IF(AC2="10Y","10Y",IF(AC2="15Y","15Y",IF(OR(AC2="20Y",AC2="30Y"),"&gt;=20Y","&lt;=5Y"))))</f>
        <v>10Y</v>
      </c>
      <c r="AM2"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-14569000000</v>
      </c>
      <c r="AN2" s="805">
        <f>IF(Newdeals[[#This Row],[Book MSB]]="",0,IF(Newdeals[[#This Row],[DealType]]="B",Newdeals[[#This Row],[Value chênh với MtM]],-SUMIFS('Giam sat'!R:R,'Giam sat'!E:E,Newdeals[[#This Row],[BondsDeals_Id]])))</f>
        <v>-14569000000</v>
      </c>
      <c r="AO2"/>
      <c r="AP2" t="s">
        <v>7</v>
      </c>
      <c r="AQ2" s="124">
        <f t="shared" ref="AQ2:AQ21" si="1">RPT</f>
        <v>46252</v>
      </c>
      <c r="AV2" s="499"/>
      <c r="AX2" s="120"/>
      <c r="AY2" s="120"/>
      <c r="BA2" s="124">
        <f t="shared" ref="BA2:BA21" si="2">RPT</f>
        <v>46252</v>
      </c>
      <c r="BB2" s="502"/>
      <c r="BH2" s="502"/>
      <c r="BI2" s="502"/>
      <c r="BN2" s="32" t="str">
        <f>_xlfn.IFNA(VLOOKUP(Deal_fix[[#This Row],[FOLDERS_CODE]],Ref!AC:AD,2,0),"")</f>
        <v/>
      </c>
      <c r="BO2" s="72">
        <f>IF(Deal_fix[[#This Row],[DEAL_TYPE]]="B",Deal_fix[[#This Row],[AMOUNT_RPT]]-Deal_fix[[#This Row],[AMOUNT_YESTERDAY]],-(Deal_fix[[#This Row],[AMOUNT_RPT]]-Deal_fix[[#This Row],[AMOUNT_YESTERDAY]]))/10^9</f>
        <v>0</v>
      </c>
      <c r="BR2" t="s">
        <v>2497</v>
      </c>
      <c r="BS2">
        <v>50443</v>
      </c>
      <c r="BT2" s="37">
        <v>800000</v>
      </c>
      <c r="BU2" s="502">
        <v>46261</v>
      </c>
      <c r="BV2">
        <v>50404</v>
      </c>
      <c r="BW2" s="37">
        <v>800000</v>
      </c>
      <c r="BX2" s="37">
        <v>0</v>
      </c>
      <c r="BY2" s="502">
        <v>46259</v>
      </c>
      <c r="BZ2" s="502">
        <v>46252</v>
      </c>
      <c r="CA2" t="s">
        <v>4082</v>
      </c>
    </row>
    <row r="3" spans="1:92" s="204" customFormat="1" x14ac:dyDescent="0.3">
      <c r="A3">
        <v>50458</v>
      </c>
      <c r="B3" s="35">
        <v>46252</v>
      </c>
      <c r="C3" s="35">
        <v>46252</v>
      </c>
      <c r="D3" t="s">
        <v>2728</v>
      </c>
      <c r="E3" t="s">
        <v>695</v>
      </c>
      <c r="F3" t="s">
        <v>4054</v>
      </c>
      <c r="G3" t="s">
        <v>907</v>
      </c>
      <c r="H3">
        <v>2.9</v>
      </c>
      <c r="I3">
        <v>2.92</v>
      </c>
      <c r="J3" s="35">
        <v>44162</v>
      </c>
      <c r="K3" s="35">
        <v>49640</v>
      </c>
      <c r="L3">
        <v>1000000</v>
      </c>
      <c r="M3">
        <v>100000</v>
      </c>
      <c r="N3">
        <v>99831</v>
      </c>
      <c r="O3">
        <v>2098000000</v>
      </c>
      <c r="P3">
        <v>101929000000</v>
      </c>
      <c r="Q3" t="s">
        <v>2935</v>
      </c>
      <c r="R3" t="s">
        <v>4535</v>
      </c>
      <c r="S3" t="s">
        <v>4080</v>
      </c>
      <c r="T3" t="s">
        <v>4080</v>
      </c>
      <c r="U3">
        <v>46252</v>
      </c>
      <c r="V3" t="s">
        <v>2180</v>
      </c>
      <c r="W3"/>
      <c r="X3">
        <v>64257</v>
      </c>
      <c r="Y3">
        <v>2</v>
      </c>
      <c r="Z3"/>
      <c r="AA3" s="32">
        <f>Newdeals[[#This Row],[MaturityDate]]-RPT</f>
        <v>3388</v>
      </c>
      <c r="AB3" s="816">
        <f>IF(Newdeals[[#This Row],[Days]]&lt;=0,0,YEARFRAC(RPT,Newdeals[[#This Row],[MaturityDate]],1))</f>
        <v>9.2771084337349397</v>
      </c>
      <c r="AC3" s="32" t="str">
        <f>INDEX(Ref!$K$1:$K$13,MATCH(Newdeals[[#This Row],[Days (year)]],Ref!$I$1:$I$13,1))</f>
        <v>10Y</v>
      </c>
      <c r="AD3" s="32" t="str">
        <f>IFERROR(VLOOKUP(Newdeals[[#This Row],[Folders_ShortName]],Ref!AC:AD,2,0),"")</f>
        <v>Banking</v>
      </c>
      <c r="AE3" s="32" t="str">
        <f>IFERROR(VLOOKUP(Newdeals[[#This Row],[Folders_ShortName]],Ref!AC:AE,3,0),"")</f>
        <v>Banking</v>
      </c>
      <c r="AF3" s="32" t="str">
        <f>IF(Newdeals[[#This Row],[Cpty_ShortName]]="","",IF(OR(F3="KBNN-HN",F3="KBNN",F3="VDB",F3="VBS",F3="CSXH",F3="NHPT",F3="HIFU",F3="DNGTP"),"Primary_Market", "Secondary_Market"))</f>
        <v>Secondary_Market</v>
      </c>
      <c r="AG3" s="32" t="str">
        <f>IFERROR(VLOOKUP(Newdeals[[#This Row],[Issuer Counterparty]],Ref!$A$1:$B$30,2,0),"")</f>
        <v>TPCPBL</v>
      </c>
      <c r="AH3" s="817">
        <f>IFERROR(VLOOKUP(Newdeals[[#This Row],[Bonds_ShortName]],Tradingbook_MSB[[#All],[Security Name]:[Yield Mat]],16,0),"")</f>
        <v>4.9143728690000001</v>
      </c>
      <c r="AI3" s="817">
        <f>Newdeals[[#This Row],[Yield]]</f>
        <v>2.92</v>
      </c>
      <c r="AJ3" s="805">
        <f>IF(Newdeals[[#This Row],[Yield MtM]]="","",(Newdeals[[#This Row],[yield done deal]]-Newdeals[[#This Row],[Yield MtM]])*100)</f>
        <v>-199.43728690000003</v>
      </c>
      <c r="AK3" s="32" t="str">
        <f>IF(Newdeals[[#This Row],[Chênh (points)]]="","",IF(ABS(Newdeals[[#This Row],[Chênh (points)]])&gt;=Ref!$AG$2,"check","OK"))</f>
        <v>check</v>
      </c>
      <c r="AL3" s="32" t="str">
        <f t="shared" ref="AL3:AL15" si="3">IF(AC3="7Y","7Y",IF(AC3="10Y","10Y",IF(AC3="15Y","15Y",IF(OR(AC3="20Y",AC3="30Y"),"&gt;=20Y","&lt;=5Y"))))</f>
        <v>10Y</v>
      </c>
      <c r="AM3"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14569000000</v>
      </c>
      <c r="AN3" s="805">
        <f>IF(Newdeals[[#This Row],[Book MSB]]="",0,IF(Newdeals[[#This Row],[DealType]]="B",Newdeals[[#This Row],[Value chênh với MtM]],-SUMIFS('Giam sat'!R:R,'Giam sat'!E:E,Newdeals[[#This Row],[BondsDeals_Id]])))</f>
        <v>0</v>
      </c>
      <c r="AO3"/>
      <c r="AP3" t="s">
        <v>7</v>
      </c>
      <c r="AQ3" s="124">
        <f t="shared" si="1"/>
        <v>46252</v>
      </c>
      <c r="AR3"/>
      <c r="AS3"/>
      <c r="AT3"/>
      <c r="AU3"/>
      <c r="AV3"/>
      <c r="AW3"/>
      <c r="AX3" s="32"/>
      <c r="AY3" s="32"/>
      <c r="BA3" s="124">
        <f t="shared" si="2"/>
        <v>46252</v>
      </c>
      <c r="BB3" s="506"/>
      <c r="BH3" s="506"/>
      <c r="BI3" s="506"/>
      <c r="BL3" s="507"/>
      <c r="BM3" s="507"/>
      <c r="BN3" s="32"/>
      <c r="BO3" s="32"/>
      <c r="BR3" t="s">
        <v>3051</v>
      </c>
      <c r="BS3">
        <v>50439</v>
      </c>
      <c r="BT3" s="37">
        <v>1600000</v>
      </c>
      <c r="BU3" s="502">
        <v>46261</v>
      </c>
      <c r="BV3">
        <v>50309</v>
      </c>
      <c r="BW3" s="37">
        <v>1600000</v>
      </c>
      <c r="BX3" s="37">
        <v>0</v>
      </c>
      <c r="BY3" s="502">
        <v>46260</v>
      </c>
      <c r="BZ3" s="502">
        <v>46252</v>
      </c>
      <c r="CA3" t="s">
        <v>4081</v>
      </c>
      <c r="CB3"/>
      <c r="CC3"/>
      <c r="CD3"/>
      <c r="CE3"/>
      <c r="CF3"/>
      <c r="CG3"/>
      <c r="CH3"/>
      <c r="CI3"/>
      <c r="CJ3"/>
      <c r="CK3"/>
      <c r="CL3"/>
      <c r="CM3"/>
      <c r="CN3"/>
    </row>
    <row r="4" spans="1:92" x14ac:dyDescent="0.3">
      <c r="A4">
        <v>50444</v>
      </c>
      <c r="B4" s="35">
        <v>46261</v>
      </c>
      <c r="C4" s="35">
        <v>46262</v>
      </c>
      <c r="D4" t="s">
        <v>822</v>
      </c>
      <c r="E4" t="s">
        <v>2497</v>
      </c>
      <c r="F4" t="s">
        <v>4536</v>
      </c>
      <c r="G4" t="s">
        <v>823</v>
      </c>
      <c r="H4">
        <v>4.2</v>
      </c>
      <c r="I4">
        <v>4.4931999999999999</v>
      </c>
      <c r="J4" s="35">
        <v>45008</v>
      </c>
      <c r="K4" s="35">
        <v>55966</v>
      </c>
      <c r="L4">
        <v>800000</v>
      </c>
      <c r="M4">
        <v>100000</v>
      </c>
      <c r="N4">
        <v>95482</v>
      </c>
      <c r="O4">
        <v>1454400000</v>
      </c>
      <c r="P4">
        <v>77840000000</v>
      </c>
      <c r="Q4" t="s">
        <v>2935</v>
      </c>
      <c r="R4" t="s">
        <v>4079</v>
      </c>
      <c r="S4" t="s">
        <v>4080</v>
      </c>
      <c r="T4" t="s">
        <v>4080</v>
      </c>
      <c r="U4">
        <v>46252</v>
      </c>
      <c r="V4" t="s">
        <v>824</v>
      </c>
      <c r="W4">
        <v>46252</v>
      </c>
      <c r="X4">
        <v>64257</v>
      </c>
      <c r="Y4">
        <v>3</v>
      </c>
      <c r="Z4" t="s">
        <v>4083</v>
      </c>
      <c r="AA4" s="32">
        <f>Newdeals[[#This Row],[MaturityDate]]-RPT</f>
        <v>9714</v>
      </c>
      <c r="AB4" s="816">
        <f>IF(Newdeals[[#This Row],[Days]]&lt;=0,0,YEARFRAC(RPT,Newdeals[[#This Row],[MaturityDate]],1))</f>
        <v>26.595482546201232</v>
      </c>
      <c r="AC4" s="32" t="str">
        <f>INDEX(Ref!$K$1:$K$13,MATCH(Newdeals[[#This Row],[Days (year)]],Ref!$I$1:$I$13,1))</f>
        <v>30Y</v>
      </c>
      <c r="AD4" s="32" t="str">
        <f>IFERROR(VLOOKUP(Newdeals[[#This Row],[Folders_ShortName]],Ref!AC:AD,2,0),"")</f>
        <v>Trading</v>
      </c>
      <c r="AE4" s="32" t="str">
        <f>IFERROR(VLOOKUP(Newdeals[[#This Row],[Folders_ShortName]],Ref!AC:AE,3,0),"")</f>
        <v>Banking</v>
      </c>
      <c r="AF4" s="32" t="str">
        <f>IF(Newdeals[[#This Row],[Cpty_ShortName]]="","",IF(OR(F4="KBNN-HN",F4="KBNN",F4="VDB",F4="VBS",F4="CSXH",F4="NHPT",F4="HIFU",F4="DNGTP"),"Primary_Market", "Secondary_Market"))</f>
        <v>Secondary_Market</v>
      </c>
      <c r="AG4" s="32" t="str">
        <f>IFERROR(VLOOKUP(Newdeals[[#This Row],[Issuer Counterparty]],Ref!$A$1:$B$30,2,0),"")</f>
        <v>TPCP</v>
      </c>
      <c r="AH4" s="817">
        <f>IFERROR(VLOOKUP(Newdeals[[#This Row],[Bonds_ShortName]],Tradingbook_MSB[[#All],[Security Name]:[Yield Mat]],16,0),"")</f>
        <v>4.7101924540000004</v>
      </c>
      <c r="AI4" s="817">
        <f>Newdeals[[#This Row],[Yield]]</f>
        <v>4.4931999999999999</v>
      </c>
      <c r="AJ4" s="805">
        <f>IF(Newdeals[[#This Row],[Yield MtM]]="","",(Newdeals[[#This Row],[yield done deal]]-Newdeals[[#This Row],[Yield MtM]])*100)</f>
        <v>-21.699245400000056</v>
      </c>
      <c r="AK4" s="32" t="str">
        <f>IF(Newdeals[[#This Row],[Chênh (points)]]="","",IF(ABS(Newdeals[[#This Row],[Chênh (points)]])&gt;=Ref!$AG$2,"check","OK"))</f>
        <v>OK</v>
      </c>
      <c r="AL4" s="32" t="str">
        <f t="shared" si="3"/>
        <v>&gt;=20Y</v>
      </c>
      <c r="AM4"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-2521600000</v>
      </c>
      <c r="AN4" s="805">
        <f>IF(Newdeals[[#This Row],[Book MSB]]="",0,IF(Newdeals[[#This Row],[DealType]]="B",Newdeals[[#This Row],[Value chênh với MtM]],-SUMIFS('Giam sat'!R:R,'Giam sat'!E:E,Newdeals[[#This Row],[BondsDeals_Id]])))</f>
        <v>-2521600000</v>
      </c>
      <c r="AO4"/>
      <c r="AP4" t="s">
        <v>7</v>
      </c>
      <c r="AQ4" s="124">
        <f t="shared" si="1"/>
        <v>46252</v>
      </c>
      <c r="AR4"/>
      <c r="AV4" s="503"/>
      <c r="BA4" s="124">
        <f t="shared" si="2"/>
        <v>46252</v>
      </c>
      <c r="BR4" t="s">
        <v>2497</v>
      </c>
      <c r="BS4">
        <v>50445</v>
      </c>
      <c r="BT4" s="37">
        <v>800000</v>
      </c>
      <c r="BU4" s="502">
        <v>46268</v>
      </c>
      <c r="BV4">
        <v>50430</v>
      </c>
      <c r="BW4" s="37">
        <v>800000</v>
      </c>
      <c r="BX4" s="37">
        <v>0</v>
      </c>
      <c r="BY4" s="502">
        <v>46262</v>
      </c>
      <c r="BZ4" s="502">
        <v>46252</v>
      </c>
      <c r="CA4" t="s">
        <v>4082</v>
      </c>
    </row>
    <row r="5" spans="1:92" s="204" customFormat="1" x14ac:dyDescent="0.3">
      <c r="A5">
        <v>50443</v>
      </c>
      <c r="B5" s="35">
        <v>46260</v>
      </c>
      <c r="C5" s="35">
        <v>46261</v>
      </c>
      <c r="D5" t="s">
        <v>2728</v>
      </c>
      <c r="E5" t="s">
        <v>2497</v>
      </c>
      <c r="F5" t="s">
        <v>4536</v>
      </c>
      <c r="G5" t="s">
        <v>823</v>
      </c>
      <c r="H5">
        <v>4.2</v>
      </c>
      <c r="I5">
        <v>4.49</v>
      </c>
      <c r="J5" s="35">
        <v>45008</v>
      </c>
      <c r="K5" s="35">
        <v>55966</v>
      </c>
      <c r="L5">
        <v>800000</v>
      </c>
      <c r="M5">
        <v>100000</v>
      </c>
      <c r="N5">
        <v>95529</v>
      </c>
      <c r="O5">
        <v>1445600000</v>
      </c>
      <c r="P5">
        <v>77868800000</v>
      </c>
      <c r="Q5" t="s">
        <v>2935</v>
      </c>
      <c r="R5" t="s">
        <v>4079</v>
      </c>
      <c r="S5" t="s">
        <v>4080</v>
      </c>
      <c r="T5" t="s">
        <v>4080</v>
      </c>
      <c r="U5">
        <v>46252</v>
      </c>
      <c r="V5" t="s">
        <v>824</v>
      </c>
      <c r="W5">
        <v>46252</v>
      </c>
      <c r="X5">
        <v>64257</v>
      </c>
      <c r="Y5">
        <v>3</v>
      </c>
      <c r="Z5" t="s">
        <v>4083</v>
      </c>
      <c r="AA5" s="32">
        <f>Newdeals[[#This Row],[MaturityDate]]-RPT</f>
        <v>9714</v>
      </c>
      <c r="AB5" s="816">
        <f>IF(Newdeals[[#This Row],[Days]]&lt;=0,0,YEARFRAC(RPT,Newdeals[[#This Row],[MaturityDate]],1))</f>
        <v>26.595482546201232</v>
      </c>
      <c r="AC5" s="32" t="str">
        <f>INDEX(Ref!$K$1:$K$13,MATCH(Newdeals[[#This Row],[Days (year)]],Ref!$I$1:$I$13,1))</f>
        <v>30Y</v>
      </c>
      <c r="AD5" s="32" t="str">
        <f>IFERROR(VLOOKUP(Newdeals[[#This Row],[Folders_ShortName]],Ref!AC:AD,2,0),"")</f>
        <v>Trading</v>
      </c>
      <c r="AE5" s="32" t="str">
        <f>IFERROR(VLOOKUP(Newdeals[[#This Row],[Folders_ShortName]],Ref!AC:AE,3,0),"")</f>
        <v>Banking</v>
      </c>
      <c r="AF5" s="32" t="str">
        <f>IF(Newdeals[[#This Row],[Cpty_ShortName]]="","",IF(OR(F5="KBNN-HN",F5="KBNN",F5="VDB",F5="VBS",F5="CSXH",F5="NHPT",F5="HIFU",F5="DNGTP"),"Primary_Market", "Secondary_Market"))</f>
        <v>Secondary_Market</v>
      </c>
      <c r="AG5" s="32" t="str">
        <f>IFERROR(VLOOKUP(Newdeals[[#This Row],[Issuer Counterparty]],Ref!$A$1:$B$30,2,0),"")</f>
        <v>TPCP</v>
      </c>
      <c r="AH5" s="817">
        <f>IFERROR(VLOOKUP(Newdeals[[#This Row],[Bonds_ShortName]],Tradingbook_MSB[[#All],[Security Name]:[Yield Mat]],16,0),"")</f>
        <v>4.7101924540000004</v>
      </c>
      <c r="AI5" s="817">
        <f>Newdeals[[#This Row],[Yield]]</f>
        <v>4.49</v>
      </c>
      <c r="AJ5" s="805">
        <f>IF(Newdeals[[#This Row],[Yield MtM]]="","",(Newdeals[[#This Row],[yield done deal]]-Newdeals[[#This Row],[Yield MtM]])*100)</f>
        <v>-22.01924540000002</v>
      </c>
      <c r="AK5" s="32" t="str">
        <f>IF(Newdeals[[#This Row],[Chênh (points)]]="","",IF(ABS(Newdeals[[#This Row],[Chênh (points)]])&gt;=Ref!$AG$2,"check","OK"))</f>
        <v>OK</v>
      </c>
      <c r="AL5" s="32" t="str">
        <f t="shared" si="3"/>
        <v>&gt;=20Y</v>
      </c>
      <c r="AM5"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2559200000</v>
      </c>
      <c r="AN5" s="805">
        <f>IF(Newdeals[[#This Row],[Book MSB]]="",0,IF(Newdeals[[#This Row],[DealType]]="B",Newdeals[[#This Row],[Value chênh với MtM]],-SUMIFS('Giam sat'!R:R,'Giam sat'!E:E,Newdeals[[#This Row],[BondsDeals_Id]])))</f>
        <v>566136000000</v>
      </c>
      <c r="AO5"/>
      <c r="AP5" t="s">
        <v>7</v>
      </c>
      <c r="AQ5" s="124">
        <f t="shared" si="1"/>
        <v>46252</v>
      </c>
      <c r="AR5"/>
      <c r="AS5"/>
      <c r="AT5"/>
      <c r="AU5"/>
      <c r="AV5"/>
      <c r="AW5"/>
      <c r="AX5" s="32"/>
      <c r="AY5" s="32"/>
      <c r="AZ5"/>
      <c r="BA5" s="124">
        <f t="shared" si="2"/>
        <v>46252</v>
      </c>
      <c r="BB5" s="506"/>
      <c r="BH5" s="507"/>
      <c r="BI5" s="507"/>
      <c r="BJ5"/>
      <c r="BL5" s="507"/>
      <c r="BM5" s="507"/>
      <c r="BN5" s="32"/>
      <c r="BO5" s="32"/>
      <c r="BP5"/>
      <c r="BR5" t="s">
        <v>1209</v>
      </c>
      <c r="BS5">
        <v>50447</v>
      </c>
      <c r="BT5" s="37">
        <v>560000</v>
      </c>
      <c r="BU5" s="502">
        <v>46268</v>
      </c>
      <c r="BV5">
        <v>50400</v>
      </c>
      <c r="BW5" s="37">
        <v>560000</v>
      </c>
      <c r="BX5" s="37">
        <v>0</v>
      </c>
      <c r="BY5" s="502">
        <v>46261</v>
      </c>
      <c r="BZ5" s="502">
        <v>46252</v>
      </c>
      <c r="CA5" t="s">
        <v>4082</v>
      </c>
      <c r="CB5"/>
      <c r="CC5"/>
      <c r="CD5"/>
      <c r="CE5"/>
      <c r="CF5"/>
      <c r="CG5"/>
      <c r="CH5"/>
      <c r="CI5"/>
      <c r="CJ5"/>
      <c r="CK5"/>
      <c r="CL5"/>
      <c r="CM5"/>
      <c r="CN5"/>
    </row>
    <row r="6" spans="1:92" x14ac:dyDescent="0.3">
      <c r="A6">
        <v>50446</v>
      </c>
      <c r="B6" s="35">
        <v>46268</v>
      </c>
      <c r="C6" s="35">
        <v>46269</v>
      </c>
      <c r="D6" t="s">
        <v>822</v>
      </c>
      <c r="E6" t="s">
        <v>2497</v>
      </c>
      <c r="F6" t="s">
        <v>4537</v>
      </c>
      <c r="G6" t="s">
        <v>823</v>
      </c>
      <c r="H6">
        <v>4.2</v>
      </c>
      <c r="I6">
        <v>4.2039999999999997</v>
      </c>
      <c r="J6" s="35">
        <v>45008</v>
      </c>
      <c r="K6" s="35">
        <v>55966</v>
      </c>
      <c r="L6">
        <v>800000</v>
      </c>
      <c r="M6">
        <v>100000</v>
      </c>
      <c r="N6">
        <v>99915</v>
      </c>
      <c r="O6">
        <v>1519200000</v>
      </c>
      <c r="P6">
        <v>81451200000</v>
      </c>
      <c r="Q6" t="s">
        <v>2935</v>
      </c>
      <c r="R6" t="s">
        <v>4079</v>
      </c>
      <c r="S6" t="s">
        <v>4080</v>
      </c>
      <c r="T6" t="s">
        <v>4080</v>
      </c>
      <c r="U6">
        <v>46252</v>
      </c>
      <c r="V6" t="s">
        <v>824</v>
      </c>
      <c r="W6">
        <v>46252</v>
      </c>
      <c r="X6">
        <v>64257</v>
      </c>
      <c r="Y6">
        <v>3</v>
      </c>
      <c r="Z6" t="s">
        <v>4083</v>
      </c>
      <c r="AA6" s="32">
        <f>Newdeals[[#This Row],[MaturityDate]]-RPT</f>
        <v>9714</v>
      </c>
      <c r="AB6" s="816">
        <f>IF(Newdeals[[#This Row],[Days]]&lt;=0,0,YEARFRAC(RPT,Newdeals[[#This Row],[MaturityDate]],1))</f>
        <v>26.595482546201232</v>
      </c>
      <c r="AC6" s="32" t="str">
        <f>INDEX(Ref!$K$1:$K$13,MATCH(Newdeals[[#This Row],[Days (year)]],Ref!$I$1:$I$13,1))</f>
        <v>30Y</v>
      </c>
      <c r="AD6" s="32" t="str">
        <f>IFERROR(VLOOKUP(Newdeals[[#This Row],[Folders_ShortName]],Ref!AC:AD,2,0),"")</f>
        <v>Trading</v>
      </c>
      <c r="AE6" s="32" t="str">
        <f>IFERROR(VLOOKUP(Newdeals[[#This Row],[Folders_ShortName]],Ref!AC:AE,3,0),"")</f>
        <v>Banking</v>
      </c>
      <c r="AF6" s="32" t="str">
        <f>IF(Newdeals[[#This Row],[Cpty_ShortName]]="","",IF(OR(F6="KBNN-HN",F6="KBNN",F6="VDB",F6="VBS",F6="CSXH",F6="NHPT",F6="HIFU",F6="DNGTP"),"Primary_Market", "Secondary_Market"))</f>
        <v>Secondary_Market</v>
      </c>
      <c r="AG6" s="32" t="str">
        <f>IFERROR(VLOOKUP(Newdeals[[#This Row],[Issuer Counterparty]],Ref!$A$1:$B$30,2,0),"")</f>
        <v>TPCP</v>
      </c>
      <c r="AH6" s="817">
        <f>IFERROR(VLOOKUP(Newdeals[[#This Row],[Bonds_ShortName]],Tradingbook_MSB[[#All],[Security Name]:[Yield Mat]],16,0),"")</f>
        <v>4.7101924540000004</v>
      </c>
      <c r="AI6" s="817">
        <f>Newdeals[[#This Row],[Yield]]</f>
        <v>4.2039999999999997</v>
      </c>
      <c r="AJ6" s="805">
        <f>IF(Newdeals[[#This Row],[Yield MtM]]="","",(Newdeals[[#This Row],[yield done deal]]-Newdeals[[#This Row],[Yield MtM]])*100)</f>
        <v>-50.619245400000068</v>
      </c>
      <c r="AK6" s="32" t="str">
        <f>IF(Newdeals[[#This Row],[Chênh (points)]]="","",IF(ABS(Newdeals[[#This Row],[Chênh (points)]])&gt;=Ref!$AG$2,"check","OK"))</f>
        <v>check</v>
      </c>
      <c r="AL6" s="32" t="str">
        <f t="shared" si="3"/>
        <v>&gt;=20Y</v>
      </c>
      <c r="AM6"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-6068000000</v>
      </c>
      <c r="AN6" s="805">
        <f>IF(Newdeals[[#This Row],[Book MSB]]="",0,IF(Newdeals[[#This Row],[DealType]]="B",Newdeals[[#This Row],[Value chênh với MtM]],-SUMIFS('Giam sat'!R:R,'Giam sat'!E:E,Newdeals[[#This Row],[BondsDeals_Id]])))</f>
        <v>-6068000000</v>
      </c>
      <c r="AO6"/>
      <c r="AP6" t="s">
        <v>7</v>
      </c>
      <c r="AQ6" s="124">
        <f t="shared" si="1"/>
        <v>46252</v>
      </c>
      <c r="AR6"/>
      <c r="BA6" s="124">
        <f t="shared" si="2"/>
        <v>46252</v>
      </c>
      <c r="BH6" s="507"/>
      <c r="BK6" s="204"/>
    </row>
    <row r="7" spans="1:92" x14ac:dyDescent="0.3">
      <c r="A7">
        <v>50445</v>
      </c>
      <c r="B7" s="35">
        <v>46262</v>
      </c>
      <c r="C7" s="35">
        <v>46268</v>
      </c>
      <c r="D7" t="s">
        <v>2728</v>
      </c>
      <c r="E7" t="s">
        <v>2497</v>
      </c>
      <c r="F7" t="s">
        <v>4537</v>
      </c>
      <c r="G7" t="s">
        <v>823</v>
      </c>
      <c r="H7">
        <v>4.2</v>
      </c>
      <c r="I7">
        <v>4.2</v>
      </c>
      <c r="J7" s="35">
        <v>45008</v>
      </c>
      <c r="K7" s="35">
        <v>55966</v>
      </c>
      <c r="L7">
        <v>800000</v>
      </c>
      <c r="M7">
        <v>100000</v>
      </c>
      <c r="N7">
        <v>99979</v>
      </c>
      <c r="O7">
        <v>1509600000</v>
      </c>
      <c r="P7">
        <v>81492800000</v>
      </c>
      <c r="Q7" t="s">
        <v>2935</v>
      </c>
      <c r="R7" t="s">
        <v>4079</v>
      </c>
      <c r="S7" t="s">
        <v>4080</v>
      </c>
      <c r="T7" t="s">
        <v>4080</v>
      </c>
      <c r="U7">
        <v>46252</v>
      </c>
      <c r="V7" t="s">
        <v>824</v>
      </c>
      <c r="W7">
        <v>46252</v>
      </c>
      <c r="X7">
        <v>64257</v>
      </c>
      <c r="Y7">
        <v>3</v>
      </c>
      <c r="Z7" t="s">
        <v>4083</v>
      </c>
      <c r="AA7" s="32">
        <f>Newdeals[[#This Row],[MaturityDate]]-RPT</f>
        <v>9714</v>
      </c>
      <c r="AB7" s="816">
        <f>IF(Newdeals[[#This Row],[Days]]&lt;=0,0,YEARFRAC(RPT,Newdeals[[#This Row],[MaturityDate]],1))</f>
        <v>26.595482546201232</v>
      </c>
      <c r="AC7" s="32" t="str">
        <f>INDEX(Ref!$K$1:$K$13,MATCH(Newdeals[[#This Row],[Days (year)]],Ref!$I$1:$I$13,1))</f>
        <v>30Y</v>
      </c>
      <c r="AD7" s="32" t="str">
        <f>IFERROR(VLOOKUP(Newdeals[[#This Row],[Folders_ShortName]],Ref!AC:AD,2,0),"")</f>
        <v>Trading</v>
      </c>
      <c r="AE7" s="32" t="str">
        <f>IFERROR(VLOOKUP(Newdeals[[#This Row],[Folders_ShortName]],Ref!AC:AE,3,0),"")</f>
        <v>Banking</v>
      </c>
      <c r="AF7" s="32" t="str">
        <f>IF(Newdeals[[#This Row],[Cpty_ShortName]]="","",IF(OR(F7="KBNN-HN",F7="KBNN",F7="VDB",F7="VBS",F7="CSXH",F7="NHPT",F7="HIFU",F7="DNGTP"),"Primary_Market", "Secondary_Market"))</f>
        <v>Secondary_Market</v>
      </c>
      <c r="AG7" s="32" t="str">
        <f>IFERROR(VLOOKUP(Newdeals[[#This Row],[Issuer Counterparty]],Ref!$A$1:$B$30,2,0),"")</f>
        <v>TPCP</v>
      </c>
      <c r="AH7" s="817">
        <f>IFERROR(VLOOKUP(Newdeals[[#This Row],[Bonds_ShortName]],Tradingbook_MSB[[#All],[Security Name]:[Yield Mat]],16,0),"")</f>
        <v>4.7101924540000004</v>
      </c>
      <c r="AI7" s="817">
        <f>Newdeals[[#This Row],[Yield]]</f>
        <v>4.2</v>
      </c>
      <c r="AJ7" s="805">
        <f>IF(Newdeals[[#This Row],[Yield MtM]]="","",(Newdeals[[#This Row],[yield done deal]]-Newdeals[[#This Row],[Yield MtM]])*100)</f>
        <v>-51.019245400000024</v>
      </c>
      <c r="AK7" s="32" t="str">
        <f>IF(Newdeals[[#This Row],[Chênh (points)]]="","",IF(ABS(Newdeals[[#This Row],[Chênh (points)]])&gt;=Ref!$AG$2,"check","OK"))</f>
        <v>check</v>
      </c>
      <c r="AL7" s="32" t="str">
        <f t="shared" si="3"/>
        <v>&gt;=20Y</v>
      </c>
      <c r="AM7"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6119200000</v>
      </c>
      <c r="AN7" s="805">
        <f>IF(Newdeals[[#This Row],[Book MSB]]="",0,IF(Newdeals[[#This Row],[DealType]]="B",Newdeals[[#This Row],[Value chênh với MtM]],-SUMIFS('Giam sat'!R:R,'Giam sat'!E:E,Newdeals[[#This Row],[BondsDeals_Id]])))</f>
        <v>566136000000</v>
      </c>
      <c r="AO7"/>
      <c r="AP7" t="s">
        <v>7</v>
      </c>
      <c r="AQ7" s="124">
        <f t="shared" si="1"/>
        <v>46252</v>
      </c>
      <c r="AR7"/>
      <c r="BA7" s="124">
        <f t="shared" si="2"/>
        <v>46252</v>
      </c>
      <c r="BH7" s="507"/>
      <c r="BK7" s="204"/>
      <c r="BT7" s="114"/>
    </row>
    <row r="8" spans="1:92" x14ac:dyDescent="0.3">
      <c r="A8">
        <v>50457</v>
      </c>
      <c r="B8" s="35">
        <v>46252</v>
      </c>
      <c r="C8" s="35">
        <v>46252</v>
      </c>
      <c r="D8" t="s">
        <v>822</v>
      </c>
      <c r="E8" t="s">
        <v>2839</v>
      </c>
      <c r="F8" t="s">
        <v>2180</v>
      </c>
      <c r="G8" t="s">
        <v>823</v>
      </c>
      <c r="H8">
        <v>2.7</v>
      </c>
      <c r="I8">
        <v>2.75</v>
      </c>
      <c r="J8" s="35">
        <v>45519</v>
      </c>
      <c r="K8" s="35">
        <v>49171</v>
      </c>
      <c r="L8">
        <v>2000000</v>
      </c>
      <c r="M8">
        <v>100000</v>
      </c>
      <c r="N8">
        <v>99646</v>
      </c>
      <c r="O8">
        <v>44000000</v>
      </c>
      <c r="P8">
        <v>199336000000</v>
      </c>
      <c r="Q8" t="s">
        <v>2935</v>
      </c>
      <c r="R8" t="s">
        <v>4535</v>
      </c>
      <c r="S8" t="s">
        <v>4080</v>
      </c>
      <c r="T8" t="s">
        <v>7</v>
      </c>
      <c r="U8">
        <v>46252</v>
      </c>
      <c r="V8" t="s">
        <v>4054</v>
      </c>
      <c r="W8"/>
      <c r="X8">
        <v>64257</v>
      </c>
      <c r="Y8">
        <v>3</v>
      </c>
      <c r="Z8"/>
      <c r="AA8" s="32">
        <f>Newdeals[[#This Row],[MaturityDate]]-RPT</f>
        <v>2919</v>
      </c>
      <c r="AB8" s="816">
        <f>IF(Newdeals[[#This Row],[Days]]&lt;=0,0,YEARFRAC(RPT,Newdeals[[#This Row],[MaturityDate]],1))</f>
        <v>7.9923942804989352</v>
      </c>
      <c r="AC8" s="32" t="str">
        <f>INDEX(Ref!$K$1:$K$13,MATCH(Newdeals[[#This Row],[Days (year)]],Ref!$I$1:$I$13,1))</f>
        <v>10Y</v>
      </c>
      <c r="AD8" s="32" t="str">
        <f>IFERROR(VLOOKUP(Newdeals[[#This Row],[Folders_ShortName]],Ref!AC:AD,2,0),"")</f>
        <v>Trading</v>
      </c>
      <c r="AE8" s="32" t="str">
        <f>IFERROR(VLOOKUP(Newdeals[[#This Row],[Folders_ShortName]],Ref!AC:AE,3,0),"")</f>
        <v>Banking</v>
      </c>
      <c r="AF8" s="32" t="str">
        <f>IF(Newdeals[[#This Row],[Cpty_ShortName]]="","",IF(OR(F8="KBNN-HN",F8="KBNN",F8="VDB",F8="VBS",F8="CSXH",F8="NHPT",F8="HIFU",F8="DNGTP"),"Primary_Market", "Secondary_Market"))</f>
        <v>Secondary_Market</v>
      </c>
      <c r="AG8" s="32" t="str">
        <f>IFERROR(VLOOKUP(Newdeals[[#This Row],[Issuer Counterparty]],Ref!$A$1:$B$30,2,0),"")</f>
        <v>TPCP</v>
      </c>
      <c r="AH8" s="817">
        <f>IFERROR(VLOOKUP(Newdeals[[#This Row],[Bonds_ShortName]],Tradingbook_MSB[[#All],[Security Name]:[Yield Mat]],16,0),"")</f>
        <v>4.3548451960000003</v>
      </c>
      <c r="AI8" s="817">
        <f>Newdeals[[#This Row],[Yield]]</f>
        <v>2.75</v>
      </c>
      <c r="AJ8" s="805">
        <f>IF(Newdeals[[#This Row],[Yield MtM]]="","",(Newdeals[[#This Row],[yield done deal]]-Newdeals[[#This Row],[Yield MtM]])*100)</f>
        <v>-160.48451960000003</v>
      </c>
      <c r="AK8" s="32" t="str">
        <f>IF(Newdeals[[#This Row],[Chênh (points)]]="","",IF(ABS(Newdeals[[#This Row],[Chênh (points)]])&gt;=Ref!$AG$2,"check","OK"))</f>
        <v>check</v>
      </c>
      <c r="AL8" s="32" t="str">
        <f t="shared" si="3"/>
        <v>10Y</v>
      </c>
      <c r="AM8"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-21234000000</v>
      </c>
      <c r="AN8" s="805">
        <f>IF(Newdeals[[#This Row],[Book MSB]]="",0,IF(Newdeals[[#This Row],[DealType]]="B",Newdeals[[#This Row],[Value chênh với MtM]],-SUMIFS('Giam sat'!R:R,'Giam sat'!E:E,Newdeals[[#This Row],[BondsDeals_Id]])))</f>
        <v>-21234000000</v>
      </c>
      <c r="AO8"/>
      <c r="AP8" t="s">
        <v>7</v>
      </c>
      <c r="AQ8" s="124">
        <f t="shared" si="1"/>
        <v>46252</v>
      </c>
      <c r="AR8"/>
      <c r="AV8" s="37"/>
      <c r="BA8" s="124">
        <f t="shared" si="2"/>
        <v>46252</v>
      </c>
      <c r="BH8" s="507"/>
      <c r="BT8"/>
    </row>
    <row r="9" spans="1:92" x14ac:dyDescent="0.3">
      <c r="A9">
        <v>50456</v>
      </c>
      <c r="B9" s="35">
        <v>46252</v>
      </c>
      <c r="C9" s="35">
        <v>46252</v>
      </c>
      <c r="D9" t="s">
        <v>2728</v>
      </c>
      <c r="E9" t="s">
        <v>2839</v>
      </c>
      <c r="F9" t="s">
        <v>4054</v>
      </c>
      <c r="G9" t="s">
        <v>823</v>
      </c>
      <c r="H9">
        <v>2.7</v>
      </c>
      <c r="I9">
        <v>2.75</v>
      </c>
      <c r="J9" s="35">
        <v>45519</v>
      </c>
      <c r="K9" s="35">
        <v>49171</v>
      </c>
      <c r="L9">
        <v>2000000</v>
      </c>
      <c r="M9">
        <v>100000</v>
      </c>
      <c r="N9">
        <v>99646</v>
      </c>
      <c r="O9">
        <v>44000000</v>
      </c>
      <c r="P9">
        <v>199336000000</v>
      </c>
      <c r="Q9" t="s">
        <v>2935</v>
      </c>
      <c r="R9" t="s">
        <v>4535</v>
      </c>
      <c r="S9" t="s">
        <v>4080</v>
      </c>
      <c r="T9" t="s">
        <v>4080</v>
      </c>
      <c r="U9">
        <v>46252</v>
      </c>
      <c r="V9" t="s">
        <v>2180</v>
      </c>
      <c r="W9"/>
      <c r="X9">
        <v>64257</v>
      </c>
      <c r="Y9">
        <v>3</v>
      </c>
      <c r="Z9"/>
      <c r="AA9" s="32">
        <f>Newdeals[[#This Row],[MaturityDate]]-RPT</f>
        <v>2919</v>
      </c>
      <c r="AB9" s="816">
        <f>IF(Newdeals[[#This Row],[Days]]&lt;=0,0,YEARFRAC(RPT,Newdeals[[#This Row],[MaturityDate]],1))</f>
        <v>7.9923942804989352</v>
      </c>
      <c r="AC9" s="32" t="str">
        <f>INDEX(Ref!$K$1:$K$13,MATCH(Newdeals[[#This Row],[Days (year)]],Ref!$I$1:$I$13,1))</f>
        <v>10Y</v>
      </c>
      <c r="AD9" s="32" t="str">
        <f>IFERROR(VLOOKUP(Newdeals[[#This Row],[Folders_ShortName]],Ref!AC:AD,2,0),"")</f>
        <v>Banking</v>
      </c>
      <c r="AE9" s="32" t="str">
        <f>IFERROR(VLOOKUP(Newdeals[[#This Row],[Folders_ShortName]],Ref!AC:AE,3,0),"")</f>
        <v>Banking</v>
      </c>
      <c r="AF9" s="32" t="str">
        <f>IF(Newdeals[[#This Row],[Cpty_ShortName]]="","",IF(OR(F9="KBNN-HN",F9="KBNN",F9="VDB",F9="VBS",F9="CSXH",F9="NHPT",F9="HIFU",F9="DNGTP"),"Primary_Market", "Secondary_Market"))</f>
        <v>Secondary_Market</v>
      </c>
      <c r="AG9" s="32" t="str">
        <f>IFERROR(VLOOKUP(Newdeals[[#This Row],[Issuer Counterparty]],Ref!$A$1:$B$30,2,0),"")</f>
        <v>TPCP</v>
      </c>
      <c r="AH9" s="817">
        <f>IFERROR(VLOOKUP(Newdeals[[#This Row],[Bonds_ShortName]],Tradingbook_MSB[[#All],[Security Name]:[Yield Mat]],16,0),"")</f>
        <v>4.3548451960000003</v>
      </c>
      <c r="AI9" s="817">
        <f>Newdeals[[#This Row],[Yield]]</f>
        <v>2.75</v>
      </c>
      <c r="AJ9" s="805">
        <f>IF(Newdeals[[#This Row],[Yield MtM]]="","",(Newdeals[[#This Row],[yield done deal]]-Newdeals[[#This Row],[Yield MtM]])*100)</f>
        <v>-160.48451960000003</v>
      </c>
      <c r="AK9" s="32" t="str">
        <f>IF(Newdeals[[#This Row],[Chênh (points)]]="","",IF(ABS(Newdeals[[#This Row],[Chênh (points)]])&gt;=Ref!$AG$2,"check","OK"))</f>
        <v>check</v>
      </c>
      <c r="AL9" s="32" t="str">
        <f t="shared" si="3"/>
        <v>10Y</v>
      </c>
      <c r="AM9"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21234000000</v>
      </c>
      <c r="AN9" s="805">
        <f>IF(Newdeals[[#This Row],[Book MSB]]="",0,IF(Newdeals[[#This Row],[DealType]]="B",Newdeals[[#This Row],[Value chênh với MtM]],-SUMIFS('Giam sat'!R:R,'Giam sat'!E:E,Newdeals[[#This Row],[BondsDeals_Id]])))</f>
        <v>0</v>
      </c>
      <c r="AO9"/>
      <c r="AP9" t="s">
        <v>7</v>
      </c>
      <c r="AQ9" s="124">
        <f t="shared" si="1"/>
        <v>46252</v>
      </c>
      <c r="AR9"/>
      <c r="BA9" s="124">
        <f t="shared" si="2"/>
        <v>46252</v>
      </c>
      <c r="BT9"/>
    </row>
    <row r="10" spans="1:92" x14ac:dyDescent="0.3">
      <c r="A10">
        <v>50461</v>
      </c>
      <c r="B10" s="35">
        <v>46252</v>
      </c>
      <c r="C10" s="35">
        <v>46252</v>
      </c>
      <c r="D10" t="s">
        <v>822</v>
      </c>
      <c r="E10" t="s">
        <v>2835</v>
      </c>
      <c r="F10" t="s">
        <v>2180</v>
      </c>
      <c r="G10" t="s">
        <v>823</v>
      </c>
      <c r="H10">
        <v>2.7</v>
      </c>
      <c r="I10">
        <v>2.93</v>
      </c>
      <c r="J10" s="35">
        <v>45421</v>
      </c>
      <c r="K10" s="35">
        <v>50899</v>
      </c>
      <c r="L10">
        <v>4000000</v>
      </c>
      <c r="M10">
        <v>100000</v>
      </c>
      <c r="N10">
        <v>97579</v>
      </c>
      <c r="O10">
        <v>2988000000</v>
      </c>
      <c r="P10">
        <v>393304000000</v>
      </c>
      <c r="Q10" t="s">
        <v>2935</v>
      </c>
      <c r="R10" t="s">
        <v>4535</v>
      </c>
      <c r="S10" t="s">
        <v>4080</v>
      </c>
      <c r="T10" t="s">
        <v>7</v>
      </c>
      <c r="U10">
        <v>46252</v>
      </c>
      <c r="V10" t="s">
        <v>4054</v>
      </c>
      <c r="W10"/>
      <c r="X10">
        <v>64257</v>
      </c>
      <c r="Y10">
        <v>3</v>
      </c>
      <c r="Z10"/>
      <c r="AA10" s="32">
        <f>Newdeals[[#This Row],[MaturityDate]]-RPT</f>
        <v>4647</v>
      </c>
      <c r="AB10" s="816">
        <f>IF(Newdeals[[#This Row],[Days]]&lt;=0,0,YEARFRAC(RPT,Newdeals[[#This Row],[MaturityDate]],1))</f>
        <v>12.724036769020145</v>
      </c>
      <c r="AC10" s="32" t="str">
        <f>INDEX(Ref!$K$1:$K$13,MATCH(Newdeals[[#This Row],[Days (year)]],Ref!$I$1:$I$13,1))</f>
        <v>15Y</v>
      </c>
      <c r="AD10" s="32" t="str">
        <f>IFERROR(VLOOKUP(Newdeals[[#This Row],[Folders_ShortName]],Ref!AC:AD,2,0),"")</f>
        <v>Trading</v>
      </c>
      <c r="AE10" s="32" t="str">
        <f>IFERROR(VLOOKUP(Newdeals[[#This Row],[Folders_ShortName]],Ref!AC:AE,3,0),"")</f>
        <v>Banking</v>
      </c>
      <c r="AF10" s="32" t="str">
        <f>IF(Newdeals[[#This Row],[Cpty_ShortName]]="","",IF(OR(F10="KBNN-HN",F10="KBNN",F10="VDB",F10="VBS",F10="CSXH",F10="NHPT",F10="HIFU",F10="DNGTP"),"Primary_Market", "Secondary_Market"))</f>
        <v>Secondary_Market</v>
      </c>
      <c r="AG10" s="32" t="str">
        <f>IFERROR(VLOOKUP(Newdeals[[#This Row],[Issuer Counterparty]],Ref!$A$1:$B$30,2,0),"")</f>
        <v>TPCP</v>
      </c>
      <c r="AH10" s="817">
        <f>IFERROR(VLOOKUP(Newdeals[[#This Row],[Bonds_ShortName]],Tradingbook_MSB[[#All],[Security Name]:[Yield Mat]],16,0),"")</f>
        <v>4.5186916220000004</v>
      </c>
      <c r="AI10" s="817">
        <f>Newdeals[[#This Row],[Yield]]</f>
        <v>2.93</v>
      </c>
      <c r="AJ10" s="805">
        <f>IF(Newdeals[[#This Row],[Yield MtM]]="","",(Newdeals[[#This Row],[yield done deal]]-Newdeals[[#This Row],[Yield MtM]])*100)</f>
        <v>-158.86916220000003</v>
      </c>
      <c r="AK10" s="32" t="str">
        <f>IF(Newdeals[[#This Row],[Chênh (points)]]="","",IF(ABS(Newdeals[[#This Row],[Chênh (points)]])&gt;=Ref!$AG$2,"check","OK"))</f>
        <v>check</v>
      </c>
      <c r="AL10" s="32" t="str">
        <f t="shared" si="3"/>
        <v>15Y</v>
      </c>
      <c r="AM10"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-59608000000</v>
      </c>
      <c r="AN10" s="805">
        <f>IF(Newdeals[[#This Row],[Book MSB]]="",0,IF(Newdeals[[#This Row],[DealType]]="B",Newdeals[[#This Row],[Value chênh với MtM]],-SUMIFS('Giam sat'!R:R,'Giam sat'!E:E,Newdeals[[#This Row],[BondsDeals_Id]])))</f>
        <v>-59608000000</v>
      </c>
      <c r="AO10"/>
      <c r="AP10" t="s">
        <v>7</v>
      </c>
      <c r="AQ10" s="124">
        <f t="shared" si="1"/>
        <v>46252</v>
      </c>
      <c r="AR10"/>
      <c r="BA10" s="124">
        <f t="shared" si="2"/>
        <v>46252</v>
      </c>
      <c r="BT10"/>
    </row>
    <row r="11" spans="1:92" x14ac:dyDescent="0.3">
      <c r="A11">
        <v>50460</v>
      </c>
      <c r="B11" s="35">
        <v>46252</v>
      </c>
      <c r="C11" s="35">
        <v>46252</v>
      </c>
      <c r="D11" t="s">
        <v>2728</v>
      </c>
      <c r="E11" t="s">
        <v>2835</v>
      </c>
      <c r="F11" t="s">
        <v>4054</v>
      </c>
      <c r="G11" t="s">
        <v>823</v>
      </c>
      <c r="H11">
        <v>2.7</v>
      </c>
      <c r="I11">
        <v>2.93</v>
      </c>
      <c r="J11" s="35">
        <v>45421</v>
      </c>
      <c r="K11" s="35">
        <v>50899</v>
      </c>
      <c r="L11">
        <v>4000000</v>
      </c>
      <c r="M11">
        <v>100000</v>
      </c>
      <c r="N11">
        <v>97579</v>
      </c>
      <c r="O11">
        <v>2988000000</v>
      </c>
      <c r="P11">
        <v>393304000000</v>
      </c>
      <c r="Q11" t="s">
        <v>2935</v>
      </c>
      <c r="R11" t="s">
        <v>4535</v>
      </c>
      <c r="S11" t="s">
        <v>4080</v>
      </c>
      <c r="T11" t="s">
        <v>4080</v>
      </c>
      <c r="U11">
        <v>46252</v>
      </c>
      <c r="V11" t="s">
        <v>2180</v>
      </c>
      <c r="W11"/>
      <c r="X11">
        <v>64257</v>
      </c>
      <c r="Y11">
        <v>3</v>
      </c>
      <c r="Z11"/>
      <c r="AA11" s="32">
        <f>Newdeals[[#This Row],[MaturityDate]]-RPT</f>
        <v>4647</v>
      </c>
      <c r="AB11" s="816">
        <f>IF(Newdeals[[#This Row],[Days]]&lt;=0,0,YEARFRAC(RPT,Newdeals[[#This Row],[MaturityDate]],1))</f>
        <v>12.724036769020145</v>
      </c>
      <c r="AC11" s="32" t="str">
        <f>INDEX(Ref!$K$1:$K$13,MATCH(Newdeals[[#This Row],[Days (year)]],Ref!$I$1:$I$13,1))</f>
        <v>15Y</v>
      </c>
      <c r="AD11" s="32" t="str">
        <f>IFERROR(VLOOKUP(Newdeals[[#This Row],[Folders_ShortName]],Ref!AC:AD,2,0),"")</f>
        <v>Banking</v>
      </c>
      <c r="AE11" s="32" t="str">
        <f>IFERROR(VLOOKUP(Newdeals[[#This Row],[Folders_ShortName]],Ref!AC:AE,3,0),"")</f>
        <v>Banking</v>
      </c>
      <c r="AF11" s="32" t="str">
        <f>IF(Newdeals[[#This Row],[Cpty_ShortName]]="","",IF(OR(F11="KBNN-HN",F11="KBNN",F11="VDB",F11="VBS",F11="CSXH",F11="NHPT",F11="HIFU",F11="DNGTP"),"Primary_Market", "Secondary_Market"))</f>
        <v>Secondary_Market</v>
      </c>
      <c r="AG11" s="32" t="str">
        <f>IFERROR(VLOOKUP(Newdeals[[#This Row],[Issuer Counterparty]],Ref!$A$1:$B$30,2,0),"")</f>
        <v>TPCP</v>
      </c>
      <c r="AH11" s="817">
        <f>IFERROR(VLOOKUP(Newdeals[[#This Row],[Bonds_ShortName]],Tradingbook_MSB[[#All],[Security Name]:[Yield Mat]],16,0),"")</f>
        <v>4.5186916220000004</v>
      </c>
      <c r="AI11" s="817">
        <f>Newdeals[[#This Row],[Yield]]</f>
        <v>2.93</v>
      </c>
      <c r="AJ11" s="805">
        <f>IF(Newdeals[[#This Row],[Yield MtM]]="","",(Newdeals[[#This Row],[yield done deal]]-Newdeals[[#This Row],[Yield MtM]])*100)</f>
        <v>-158.86916220000003</v>
      </c>
      <c r="AK11" s="32" t="str">
        <f>IF(Newdeals[[#This Row],[Chênh (points)]]="","",IF(ABS(Newdeals[[#This Row],[Chênh (points)]])&gt;=Ref!$AG$2,"check","OK"))</f>
        <v>check</v>
      </c>
      <c r="AL11" s="32" t="str">
        <f t="shared" si="3"/>
        <v>15Y</v>
      </c>
      <c r="AM11"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59608000000</v>
      </c>
      <c r="AN11" s="805">
        <f>IF(Newdeals[[#This Row],[Book MSB]]="",0,IF(Newdeals[[#This Row],[DealType]]="B",Newdeals[[#This Row],[Value chênh với MtM]],-SUMIFS('Giam sat'!R:R,'Giam sat'!E:E,Newdeals[[#This Row],[BondsDeals_Id]])))</f>
        <v>0</v>
      </c>
      <c r="AO11"/>
      <c r="AP11" t="s">
        <v>7</v>
      </c>
      <c r="AQ11" s="124">
        <f t="shared" si="1"/>
        <v>46252</v>
      </c>
      <c r="AR11"/>
      <c r="BA11" s="124">
        <f t="shared" si="2"/>
        <v>46252</v>
      </c>
      <c r="BT11"/>
    </row>
    <row r="12" spans="1:92" x14ac:dyDescent="0.3">
      <c r="A12">
        <v>50440</v>
      </c>
      <c r="B12" s="35">
        <v>46261</v>
      </c>
      <c r="C12" s="35">
        <v>46262</v>
      </c>
      <c r="D12" t="s">
        <v>822</v>
      </c>
      <c r="E12" t="s">
        <v>3051</v>
      </c>
      <c r="F12" t="s">
        <v>4536</v>
      </c>
      <c r="G12" t="s">
        <v>823</v>
      </c>
      <c r="H12">
        <v>2.9</v>
      </c>
      <c r="I12">
        <v>3.7530000000000001</v>
      </c>
      <c r="J12" s="35">
        <v>45715</v>
      </c>
      <c r="K12" s="35">
        <v>49367</v>
      </c>
      <c r="L12">
        <v>1600000</v>
      </c>
      <c r="M12">
        <v>100000</v>
      </c>
      <c r="N12">
        <v>93875</v>
      </c>
      <c r="O12">
        <v>2313600000</v>
      </c>
      <c r="P12">
        <v>152513600000</v>
      </c>
      <c r="Q12" t="s">
        <v>2935</v>
      </c>
      <c r="R12" t="s">
        <v>4079</v>
      </c>
      <c r="S12" t="s">
        <v>4080</v>
      </c>
      <c r="T12" t="s">
        <v>4080</v>
      </c>
      <c r="U12">
        <v>46252</v>
      </c>
      <c r="V12" t="s">
        <v>824</v>
      </c>
      <c r="W12">
        <v>46252</v>
      </c>
      <c r="X12">
        <v>64257</v>
      </c>
      <c r="Y12">
        <v>3</v>
      </c>
      <c r="Z12" t="s">
        <v>4083</v>
      </c>
      <c r="AA12" s="32">
        <f>Newdeals[[#This Row],[MaturityDate]]-RPT</f>
        <v>3115</v>
      </c>
      <c r="AB12" s="816">
        <f>IF(Newdeals[[#This Row],[Days]]&lt;=0,0,YEARFRAC(RPT,Newdeals[[#This Row],[MaturityDate]],1))</f>
        <v>8.5295728368017532</v>
      </c>
      <c r="AC12" s="32" t="str">
        <f>INDEX(Ref!$K$1:$K$13,MATCH(Newdeals[[#This Row],[Days (year)]],Ref!$I$1:$I$13,1))</f>
        <v>10Y</v>
      </c>
      <c r="AD12" s="32" t="str">
        <f>IFERROR(VLOOKUP(Newdeals[[#This Row],[Folders_ShortName]],Ref!AC:AD,2,0),"")</f>
        <v>Trading</v>
      </c>
      <c r="AE12" s="32" t="str">
        <f>IFERROR(VLOOKUP(Newdeals[[#This Row],[Folders_ShortName]],Ref!AC:AE,3,0),"")</f>
        <v>Banking</v>
      </c>
      <c r="AF12" s="32" t="str">
        <f>IF(Newdeals[[#This Row],[Cpty_ShortName]]="","",IF(OR(F12="KBNN-HN",F12="KBNN",F12="VDB",F12="VBS",F12="CSXH",F12="NHPT",F12="HIFU",F12="DNGTP"),"Primary_Market", "Secondary_Market"))</f>
        <v>Secondary_Market</v>
      </c>
      <c r="AG12" s="32" t="str">
        <f>IFERROR(VLOOKUP(Newdeals[[#This Row],[Issuer Counterparty]],Ref!$A$1:$B$30,2,0),"")</f>
        <v>TPCP</v>
      </c>
      <c r="AH12" s="817">
        <f>IFERROR(VLOOKUP(Newdeals[[#This Row],[Bonds_ShortName]],Tradingbook_MSB[[#All],[Security Name]:[Yield Mat]],16,0),"")</f>
        <v>4.3798015689999996</v>
      </c>
      <c r="AI12" s="817">
        <f>Newdeals[[#This Row],[Yield]]</f>
        <v>3.7530000000000001</v>
      </c>
      <c r="AJ12" s="805">
        <f>IF(Newdeals[[#This Row],[Yield MtM]]="","",(Newdeals[[#This Row],[yield done deal]]-Newdeals[[#This Row],[Yield MtM]])*100)</f>
        <v>-62.68015689999995</v>
      </c>
      <c r="AK12" s="32" t="str">
        <f>IF(Newdeals[[#This Row],[Chênh (points)]]="","",IF(ABS(Newdeals[[#This Row],[Chênh (points)]])&gt;=Ref!$AG$2,"check","OK"))</f>
        <v>check</v>
      </c>
      <c r="AL12" s="32" t="str">
        <f t="shared" si="3"/>
        <v>10Y</v>
      </c>
      <c r="AM12"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-6779200000</v>
      </c>
      <c r="AN12" s="805">
        <f>IF(Newdeals[[#This Row],[Book MSB]]="",0,IF(Newdeals[[#This Row],[DealType]]="B",Newdeals[[#This Row],[Value chênh với MtM]],-SUMIFS('Giam sat'!R:R,'Giam sat'!E:E,Newdeals[[#This Row],[BondsDeals_Id]])))</f>
        <v>-6779200000</v>
      </c>
      <c r="AO12"/>
      <c r="AP12" t="s">
        <v>7</v>
      </c>
      <c r="AQ12" s="124">
        <f t="shared" si="1"/>
        <v>46252</v>
      </c>
      <c r="AR12"/>
      <c r="BA12" s="124">
        <f t="shared" si="2"/>
        <v>46252</v>
      </c>
      <c r="BT12" s="114"/>
    </row>
    <row r="13" spans="1:92" x14ac:dyDescent="0.3">
      <c r="A13">
        <v>50439</v>
      </c>
      <c r="B13" s="35">
        <v>46260</v>
      </c>
      <c r="C13" s="35">
        <v>46261</v>
      </c>
      <c r="D13" t="s">
        <v>2728</v>
      </c>
      <c r="E13" t="s">
        <v>3051</v>
      </c>
      <c r="F13" t="s">
        <v>4536</v>
      </c>
      <c r="G13" t="s">
        <v>823</v>
      </c>
      <c r="H13">
        <v>2.9</v>
      </c>
      <c r="I13">
        <v>3.75</v>
      </c>
      <c r="J13" s="35">
        <v>45715</v>
      </c>
      <c r="K13" s="35">
        <v>49367</v>
      </c>
      <c r="L13">
        <v>1600000</v>
      </c>
      <c r="M13">
        <v>100000</v>
      </c>
      <c r="N13">
        <v>93894</v>
      </c>
      <c r="O13">
        <v>2300800000</v>
      </c>
      <c r="P13">
        <v>152531200000</v>
      </c>
      <c r="Q13" t="s">
        <v>2935</v>
      </c>
      <c r="R13" t="s">
        <v>4079</v>
      </c>
      <c r="S13" t="s">
        <v>4080</v>
      </c>
      <c r="T13" t="s">
        <v>4080</v>
      </c>
      <c r="U13">
        <v>46252</v>
      </c>
      <c r="V13" t="s">
        <v>824</v>
      </c>
      <c r="W13">
        <v>46252</v>
      </c>
      <c r="X13">
        <v>64257</v>
      </c>
      <c r="Y13">
        <v>3</v>
      </c>
      <c r="Z13" t="s">
        <v>4083</v>
      </c>
      <c r="AA13" s="32">
        <f>Newdeals[[#This Row],[MaturityDate]]-RPT</f>
        <v>3115</v>
      </c>
      <c r="AB13" s="816">
        <f>IF(Newdeals[[#This Row],[Days]]&lt;=0,0,YEARFRAC(RPT,Newdeals[[#This Row],[MaturityDate]],1))</f>
        <v>8.5295728368017532</v>
      </c>
      <c r="AC13" s="32" t="str">
        <f>INDEX(Ref!$K$1:$K$13,MATCH(Newdeals[[#This Row],[Days (year)]],Ref!$I$1:$I$13,1))</f>
        <v>10Y</v>
      </c>
      <c r="AD13" s="32" t="str">
        <f>IFERROR(VLOOKUP(Newdeals[[#This Row],[Folders_ShortName]],Ref!AC:AD,2,0),"")</f>
        <v>Trading</v>
      </c>
      <c r="AE13" s="32" t="str">
        <f>IFERROR(VLOOKUP(Newdeals[[#This Row],[Folders_ShortName]],Ref!AC:AE,3,0),"")</f>
        <v>Banking</v>
      </c>
      <c r="AF13" s="32" t="str">
        <f>IF(Newdeals[[#This Row],[Cpty_ShortName]]="","",IF(OR(F13="KBNN-HN",F13="KBNN",F13="VDB",F13="VBS",F13="CSXH",F13="NHPT",F13="HIFU",F13="DNGTP"),"Primary_Market", "Secondary_Market"))</f>
        <v>Secondary_Market</v>
      </c>
      <c r="AG13" s="32" t="str">
        <f>IFERROR(VLOOKUP(Newdeals[[#This Row],[Issuer Counterparty]],Ref!$A$1:$B$30,2,0),"")</f>
        <v>TPCP</v>
      </c>
      <c r="AH13" s="817">
        <f>IFERROR(VLOOKUP(Newdeals[[#This Row],[Bonds_ShortName]],Tradingbook_MSB[[#All],[Security Name]:[Yield Mat]],16,0),"")</f>
        <v>4.3798015689999996</v>
      </c>
      <c r="AI13" s="817">
        <f>Newdeals[[#This Row],[Yield]]</f>
        <v>3.75</v>
      </c>
      <c r="AJ13" s="805">
        <f>IF(Newdeals[[#This Row],[Yield MtM]]="","",(Newdeals[[#This Row],[yield done deal]]-Newdeals[[#This Row],[Yield MtM]])*100)</f>
        <v>-62.980156899999962</v>
      </c>
      <c r="AK13" s="32" t="str">
        <f>IF(Newdeals[[#This Row],[Chênh (points)]]="","",IF(ABS(Newdeals[[#This Row],[Chênh (points)]])&gt;=Ref!$AG$2,"check","OK"))</f>
        <v>check</v>
      </c>
      <c r="AL13" s="32" t="str">
        <f t="shared" si="3"/>
        <v>10Y</v>
      </c>
      <c r="AM13"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6809600000</v>
      </c>
      <c r="AN13" s="805">
        <f>IF(Newdeals[[#This Row],[Book MSB]]="",0,IF(Newdeals[[#This Row],[DealType]]="B",Newdeals[[#This Row],[Value chênh với MtM]],-SUMIFS('Giam sat'!R:R,'Giam sat'!E:E,Newdeals[[#This Row],[BondsDeals_Id]])))</f>
        <v>2416579200000</v>
      </c>
      <c r="AO13"/>
      <c r="AP13" t="s">
        <v>7</v>
      </c>
      <c r="AQ13" s="124">
        <f t="shared" si="1"/>
        <v>46252</v>
      </c>
      <c r="AR13"/>
      <c r="BA13" s="124">
        <f t="shared" si="2"/>
        <v>46252</v>
      </c>
      <c r="BT13" s="114"/>
    </row>
    <row r="14" spans="1:92" x14ac:dyDescent="0.3">
      <c r="A14">
        <v>50448</v>
      </c>
      <c r="B14" s="35">
        <v>46268</v>
      </c>
      <c r="C14" s="35">
        <v>46269</v>
      </c>
      <c r="D14" t="s">
        <v>822</v>
      </c>
      <c r="E14" t="s">
        <v>1209</v>
      </c>
      <c r="F14" t="s">
        <v>4537</v>
      </c>
      <c r="G14" t="s">
        <v>823</v>
      </c>
      <c r="H14">
        <v>7.75</v>
      </c>
      <c r="I14">
        <v>4.4550000000000001</v>
      </c>
      <c r="J14" s="35">
        <v>42223</v>
      </c>
      <c r="K14" s="35">
        <v>49528</v>
      </c>
      <c r="L14">
        <v>560000</v>
      </c>
      <c r="M14">
        <v>100000</v>
      </c>
      <c r="N14">
        <v>123820</v>
      </c>
      <c r="O14">
        <v>333200000</v>
      </c>
      <c r="P14">
        <v>69672400000</v>
      </c>
      <c r="Q14" t="s">
        <v>2935</v>
      </c>
      <c r="R14" t="s">
        <v>4079</v>
      </c>
      <c r="S14" t="s">
        <v>4080</v>
      </c>
      <c r="T14" t="s">
        <v>4080</v>
      </c>
      <c r="U14">
        <v>46252</v>
      </c>
      <c r="V14" t="s">
        <v>824</v>
      </c>
      <c r="W14">
        <v>46252</v>
      </c>
      <c r="X14">
        <v>64257</v>
      </c>
      <c r="Y14">
        <v>3</v>
      </c>
      <c r="Z14" t="s">
        <v>4083</v>
      </c>
      <c r="AA14" s="32">
        <f>Newdeals[[#This Row],[MaturityDate]]-RPT</f>
        <v>3276</v>
      </c>
      <c r="AB14" s="816">
        <f>IF(Newdeals[[#This Row],[Days]]&lt;=0,0,YEARFRAC(RPT,Newdeals[[#This Row],[MaturityDate]],1))</f>
        <v>8.9704271631982486</v>
      </c>
      <c r="AC14" s="32" t="str">
        <f>INDEX(Ref!$K$1:$K$13,MATCH(Newdeals[[#This Row],[Days (year)]],Ref!$I$1:$I$13,1))</f>
        <v>10Y</v>
      </c>
      <c r="AD14" s="32" t="str">
        <f>IFERROR(VLOOKUP(Newdeals[[#This Row],[Folders_ShortName]],Ref!AC:AD,2,0),"")</f>
        <v>Trading</v>
      </c>
      <c r="AE14" s="32" t="str">
        <f>IFERROR(VLOOKUP(Newdeals[[#This Row],[Folders_ShortName]],Ref!AC:AE,3,0),"")</f>
        <v>Banking</v>
      </c>
      <c r="AF14" s="32" t="str">
        <f>IF(Newdeals[[#This Row],[Cpty_ShortName]]="","",IF(OR(F14="KBNN-HN",F14="KBNN",F14="VDB",F14="VBS",F14="CSXH",F14="NHPT",F14="HIFU",F14="DNGTP"),"Primary_Market", "Secondary_Market"))</f>
        <v>Secondary_Market</v>
      </c>
      <c r="AG14" s="32" t="str">
        <f>IFERROR(VLOOKUP(Newdeals[[#This Row],[Issuer Counterparty]],Ref!$A$1:$B$30,2,0),"")</f>
        <v>TPCP</v>
      </c>
      <c r="AH14" s="817">
        <f>IFERROR(VLOOKUP(Newdeals[[#This Row],[Bonds_ShortName]],Tradingbook_MSB[[#All],[Security Name]:[Yield Mat]],16,0),"")</f>
        <v>4.4001344930000004</v>
      </c>
      <c r="AI14" s="817">
        <f>Newdeals[[#This Row],[Yield]]</f>
        <v>4.4550000000000001</v>
      </c>
      <c r="AJ14" s="805">
        <f>IF(Newdeals[[#This Row],[Yield MtM]]="","",(Newdeals[[#This Row],[yield done deal]]-Newdeals[[#This Row],[Yield MtM]])*100)</f>
        <v>5.4865506999999702</v>
      </c>
      <c r="AK14" s="32" t="str">
        <f>IF(Newdeals[[#This Row],[Chênh (points)]]="","",IF(ABS(Newdeals[[#This Row],[Chênh (points)]])&gt;=Ref!$AG$2,"check","OK"))</f>
        <v>OK</v>
      </c>
      <c r="AL14" s="32" t="str">
        <f t="shared" si="3"/>
        <v>10Y</v>
      </c>
      <c r="AM14"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317520000</v>
      </c>
      <c r="AN14" s="805">
        <f>IF(Newdeals[[#This Row],[Book MSB]]="",0,IF(Newdeals[[#This Row],[DealType]]="B",Newdeals[[#This Row],[Value chênh với MtM]],-SUMIFS('Giam sat'!R:R,'Giam sat'!E:E,Newdeals[[#This Row],[BondsDeals_Id]])))</f>
        <v>317520000</v>
      </c>
      <c r="AO14"/>
      <c r="AP14" t="s">
        <v>7</v>
      </c>
      <c r="AQ14" s="124">
        <f t="shared" si="1"/>
        <v>46252</v>
      </c>
      <c r="AR14"/>
      <c r="BA14" s="124">
        <f t="shared" si="2"/>
        <v>46252</v>
      </c>
      <c r="BT14" s="114"/>
    </row>
    <row r="15" spans="1:92" x14ac:dyDescent="0.3">
      <c r="A15">
        <v>50447</v>
      </c>
      <c r="B15" s="35">
        <v>46262</v>
      </c>
      <c r="C15" s="35">
        <v>46268</v>
      </c>
      <c r="D15" t="s">
        <v>2728</v>
      </c>
      <c r="E15" t="s">
        <v>1209</v>
      </c>
      <c r="F15" t="s">
        <v>4537</v>
      </c>
      <c r="G15" t="s">
        <v>823</v>
      </c>
      <c r="H15">
        <v>7.75</v>
      </c>
      <c r="I15">
        <v>4.4550000000000001</v>
      </c>
      <c r="J15" s="35">
        <v>42223</v>
      </c>
      <c r="K15" s="35">
        <v>49528</v>
      </c>
      <c r="L15">
        <v>560000</v>
      </c>
      <c r="M15">
        <v>100000</v>
      </c>
      <c r="N15">
        <v>123827</v>
      </c>
      <c r="O15">
        <v>320880000</v>
      </c>
      <c r="P15">
        <v>69664000000</v>
      </c>
      <c r="Q15" t="s">
        <v>2935</v>
      </c>
      <c r="R15" t="s">
        <v>4079</v>
      </c>
      <c r="S15" t="s">
        <v>4080</v>
      </c>
      <c r="T15" t="s">
        <v>4080</v>
      </c>
      <c r="U15">
        <v>46252</v>
      </c>
      <c r="V15" t="s">
        <v>824</v>
      </c>
      <c r="W15">
        <v>46252</v>
      </c>
      <c r="X15">
        <v>64257</v>
      </c>
      <c r="Y15">
        <v>3</v>
      </c>
      <c r="Z15" t="s">
        <v>4083</v>
      </c>
      <c r="AA15" s="32">
        <f>Newdeals[[#This Row],[MaturityDate]]-RPT</f>
        <v>3276</v>
      </c>
      <c r="AB15" s="816">
        <f>IF(Newdeals[[#This Row],[Days]]&lt;=0,0,YEARFRAC(RPT,Newdeals[[#This Row],[MaturityDate]],1))</f>
        <v>8.9704271631982486</v>
      </c>
      <c r="AC15" s="32" t="str">
        <f>INDEX(Ref!$K$1:$K$13,MATCH(Newdeals[[#This Row],[Days (year)]],Ref!$I$1:$I$13,1))</f>
        <v>10Y</v>
      </c>
      <c r="AD15" s="32" t="str">
        <f>IFERROR(VLOOKUP(Newdeals[[#This Row],[Folders_ShortName]],Ref!AC:AD,2,0),"")</f>
        <v>Trading</v>
      </c>
      <c r="AE15" s="32" t="str">
        <f>IFERROR(VLOOKUP(Newdeals[[#This Row],[Folders_ShortName]],Ref!AC:AE,3,0),"")</f>
        <v>Banking</v>
      </c>
      <c r="AF15" s="32" t="str">
        <f>IF(Newdeals[[#This Row],[Cpty_ShortName]]="","",IF(OR(F15="KBNN-HN",F15="KBNN",F15="VDB",F15="VBS",F15="CSXH",F15="NHPT",F15="HIFU",F15="DNGTP"),"Primary_Market", "Secondary_Market"))</f>
        <v>Secondary_Market</v>
      </c>
      <c r="AG15" s="32" t="str">
        <f>IFERROR(VLOOKUP(Newdeals[[#This Row],[Issuer Counterparty]],Ref!$A$1:$B$30,2,0),"")</f>
        <v>TPCP</v>
      </c>
      <c r="AH15" s="817">
        <f>IFERROR(VLOOKUP(Newdeals[[#This Row],[Bonds_ShortName]],Tradingbook_MSB[[#All],[Security Name]:[Yield Mat]],16,0),"")</f>
        <v>4.4001344930000004</v>
      </c>
      <c r="AI15" s="817">
        <f>Newdeals[[#This Row],[Yield]]</f>
        <v>4.4550000000000001</v>
      </c>
      <c r="AJ15" s="805">
        <f>IF(Newdeals[[#This Row],[Yield MtM]]="","",(Newdeals[[#This Row],[yield done deal]]-Newdeals[[#This Row],[Yield MtM]])*100)</f>
        <v>5.4865506999999702</v>
      </c>
      <c r="AK15" s="32" t="str">
        <f>IF(Newdeals[[#This Row],[Chênh (points)]]="","",IF(ABS(Newdeals[[#This Row],[Chênh (points)]])&gt;=Ref!$AG$2,"check","OK"))</f>
        <v>OK</v>
      </c>
      <c r="AL15" s="32" t="str">
        <f t="shared" si="3"/>
        <v>10Y</v>
      </c>
      <c r="AM15" s="805">
        <f>_xlfn.IFNA(IF(Newdeals[[#This Row],[DealType]]="B",Newdeals[[#This Row],[Quantity]]*(IFERROR(VLOOKUP(Newdeals[[#This Row],[Bonds_ShortName]],FNRP!D:H,5,0),VLOOKUP(Newdeals[[#This Row],[Bonds_ShortName]],FNRP!AV:AZ,5,0))-Newdeals[[#This Row],[Price]]),-Newdeals[[#This Row],[Quantity]]*(IFERROR(VLOOKUP(Newdeals[[#This Row],[Bonds_ShortName]],FNRP!D:H,5,0),VLOOKUP(Newdeals[[#This Row],[Bonds_ShortName]],FNRP!AV:AZ,5,0))-Newdeals[[#This Row],[Price]])),0)</f>
        <v>-313600000</v>
      </c>
      <c r="AN15" s="805">
        <f>IF(Newdeals[[#This Row],[Book MSB]]="",0,IF(Newdeals[[#This Row],[DealType]]="B",Newdeals[[#This Row],[Value chênh với MtM]],-SUMIFS('Giam sat'!R:R,'Giam sat'!E:E,Newdeals[[#This Row],[BondsDeals_Id]])))</f>
        <v>383943280000</v>
      </c>
      <c r="AO15"/>
      <c r="AP15" t="s">
        <v>7</v>
      </c>
      <c r="AQ15" s="124">
        <f t="shared" si="1"/>
        <v>46252</v>
      </c>
      <c r="AR15"/>
      <c r="BA15" s="124">
        <f t="shared" si="2"/>
        <v>46252</v>
      </c>
      <c r="BT15" s="114"/>
    </row>
    <row r="16" spans="1:92" x14ac:dyDescent="0.3">
      <c r="AP16" t="s">
        <v>7</v>
      </c>
      <c r="AQ16" s="124">
        <f t="shared" si="1"/>
        <v>46252</v>
      </c>
      <c r="AR16"/>
      <c r="BA16" s="124">
        <f t="shared" si="2"/>
        <v>46252</v>
      </c>
      <c r="BT16" s="114"/>
    </row>
    <row r="17" spans="1:72" x14ac:dyDescent="0.3">
      <c r="Z17" s="612" t="s">
        <v>3871</v>
      </c>
      <c r="AP17" t="s">
        <v>7</v>
      </c>
      <c r="AQ17" s="124">
        <f t="shared" si="1"/>
        <v>46252</v>
      </c>
      <c r="AR17"/>
      <c r="BA17" s="124">
        <f t="shared" si="2"/>
        <v>46252</v>
      </c>
      <c r="BT17" s="114"/>
    </row>
    <row r="18" spans="1:72" x14ac:dyDescent="0.3">
      <c r="A18" s="435"/>
      <c r="AP18" t="s">
        <v>7</v>
      </c>
      <c r="AQ18" s="124">
        <f t="shared" si="1"/>
        <v>46252</v>
      </c>
      <c r="AR18"/>
      <c r="BA18" s="124">
        <f t="shared" si="2"/>
        <v>46252</v>
      </c>
    </row>
    <row r="19" spans="1:72" x14ac:dyDescent="0.3">
      <c r="A19" s="435"/>
      <c r="B19" s="701"/>
      <c r="AP19" t="s">
        <v>7</v>
      </c>
      <c r="AQ19" s="124">
        <f t="shared" si="1"/>
        <v>46252</v>
      </c>
      <c r="BA19" s="124">
        <f t="shared" si="2"/>
        <v>46252</v>
      </c>
    </row>
    <row r="20" spans="1:72" x14ac:dyDescent="0.3">
      <c r="A20" s="435"/>
      <c r="AP20" t="s">
        <v>7</v>
      </c>
      <c r="AQ20" s="124">
        <f t="shared" si="1"/>
        <v>46252</v>
      </c>
      <c r="BA20" s="124">
        <f t="shared" si="2"/>
        <v>46252</v>
      </c>
    </row>
    <row r="21" spans="1:72" x14ac:dyDescent="0.3">
      <c r="A21" s="435"/>
      <c r="AP21" t="s">
        <v>7</v>
      </c>
      <c r="AQ21" s="124">
        <f t="shared" si="1"/>
        <v>46252</v>
      </c>
      <c r="BA21" s="124">
        <f t="shared" si="2"/>
        <v>46252</v>
      </c>
    </row>
    <row r="22" spans="1:72" x14ac:dyDescent="0.3">
      <c r="A22" s="435"/>
    </row>
    <row r="23" spans="1:72" x14ac:dyDescent="0.3">
      <c r="A23" s="435"/>
    </row>
    <row r="24" spans="1:72" x14ac:dyDescent="0.3">
      <c r="A24" s="435"/>
    </row>
    <row r="25" spans="1:72" x14ac:dyDescent="0.3">
      <c r="A25" s="435"/>
    </row>
    <row r="26" spans="1:72" x14ac:dyDescent="0.3">
      <c r="A26" s="435"/>
    </row>
    <row r="27" spans="1:72" x14ac:dyDescent="0.3">
      <c r="A27" s="435"/>
    </row>
    <row r="28" spans="1:72" x14ac:dyDescent="0.3">
      <c r="A28" s="435"/>
    </row>
    <row r="29" spans="1:72" x14ac:dyDescent="0.3">
      <c r="A29" s="435"/>
    </row>
    <row r="30" spans="1:72" x14ac:dyDescent="0.3">
      <c r="A30" s="435"/>
    </row>
    <row r="31" spans="1:72" x14ac:dyDescent="0.3">
      <c r="A31" s="435"/>
    </row>
    <row r="32" spans="1:72" x14ac:dyDescent="0.3">
      <c r="A32" s="435"/>
    </row>
    <row r="33" spans="1:1" x14ac:dyDescent="0.3">
      <c r="A33" s="435"/>
    </row>
    <row r="34" spans="1:1" x14ac:dyDescent="0.3">
      <c r="A34" s="435"/>
    </row>
    <row r="35" spans="1:1" x14ac:dyDescent="0.3">
      <c r="A35" s="435"/>
    </row>
  </sheetData>
  <phoneticPr fontId="91" type="noConversion"/>
  <conditionalFormatting sqref="AD1:AE1048576">
    <cfRule type="cellIs" dxfId="9" priority="27" operator="equal">
      <formula>"Banking"</formula>
    </cfRule>
  </conditionalFormatting>
  <conditionalFormatting sqref="A18:A35">
    <cfRule type="notContainsBlanks" dxfId="8" priority="17">
      <formula>LEN(TRIM(A18))&gt;0</formula>
    </cfRule>
  </conditionalFormatting>
  <conditionalFormatting sqref="A18:A35">
    <cfRule type="duplicateValues" dxfId="7" priority="16"/>
  </conditionalFormatting>
  <conditionalFormatting sqref="A18">
    <cfRule type="duplicateValues" dxfId="6" priority="15"/>
  </conditionalFormatting>
  <conditionalFormatting sqref="A19:A35">
    <cfRule type="duplicateValues" dxfId="5" priority="18"/>
  </conditionalFormatting>
  <pageMargins left="0.7" right="0.7" top="0.75" bottom="0.75" header="0.3" footer="0.3"/>
  <pageSetup orientation="portrait" r:id="rId1"/>
  <tableParts count="4">
    <tablePart r:id="rId2"/>
    <tablePart r:id="rId3"/>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C000"/>
  </sheetPr>
  <dimension ref="A1:LS614"/>
  <sheetViews>
    <sheetView topLeftCell="HP1" zoomScale="70" zoomScaleNormal="70" workbookViewId="0">
      <pane ySplit="1" topLeftCell="A2" activePane="bottomLeft" state="frozen"/>
      <selection activeCell="CR1" sqref="CR1"/>
      <selection pane="bottomLeft" activeCell="IC2" sqref="IC2:IF2"/>
    </sheetView>
  </sheetViews>
  <sheetFormatPr defaultRowHeight="14.4" outlineLevelCol="1" x14ac:dyDescent="0.3"/>
  <cols>
    <col min="1" max="1" width="18.296875" bestFit="1" customWidth="1"/>
    <col min="2" max="2" width="17.5" bestFit="1" customWidth="1" outlineLevel="1"/>
    <col min="3" max="3" width="22.296875" bestFit="1" customWidth="1" outlineLevel="1"/>
    <col min="4" max="4" width="14.3984375" bestFit="1" customWidth="1" outlineLevel="1"/>
    <col min="5" max="5" width="13.5" bestFit="1" customWidth="1" outlineLevel="1"/>
    <col min="6" max="6" width="10.5" bestFit="1" customWidth="1" outlineLevel="1"/>
    <col min="7" max="7" width="10.19921875" bestFit="1" customWidth="1" outlineLevel="1"/>
    <col min="8" max="8" width="7" style="500" bestFit="1" customWidth="1" outlineLevel="1"/>
    <col min="9" max="9" width="11.3984375" style="500" bestFit="1" customWidth="1" outlineLevel="1"/>
    <col min="10" max="10" width="11.19921875" style="500" bestFit="1" customWidth="1" outlineLevel="1"/>
    <col min="11" max="11" width="12.5" style="500" bestFit="1" customWidth="1" outlineLevel="1"/>
    <col min="12" max="12" width="11" style="500" bestFit="1" customWidth="1" outlineLevel="1"/>
    <col min="13" max="13" width="17.69921875" style="49" bestFit="1" customWidth="1" outlineLevel="1"/>
    <col min="14" max="14" width="9.69921875" bestFit="1" customWidth="1" outlineLevel="1"/>
    <col min="15" max="15" width="8.5" bestFit="1" customWidth="1" outlineLevel="1"/>
    <col min="16" max="17" width="16" style="37" bestFit="1" customWidth="1" outlineLevel="1"/>
    <col min="18" max="18" width="16.5" style="37" bestFit="1" customWidth="1" outlineLevel="1"/>
    <col min="19" max="19" width="12" bestFit="1" customWidth="1" outlineLevel="1"/>
    <col min="20" max="20" width="9.69921875" style="49" bestFit="1" customWidth="1" outlineLevel="1"/>
    <col min="21" max="23" width="12" bestFit="1" customWidth="1" outlineLevel="1"/>
    <col min="24" max="24" width="9.19921875" style="37" bestFit="1" customWidth="1" outlineLevel="1"/>
    <col min="25" max="25" width="11" bestFit="1" customWidth="1" outlineLevel="1"/>
    <col min="26" max="26" width="19.19921875" style="49" bestFit="1" customWidth="1" outlineLevel="1"/>
    <col min="27" max="27" width="18.19921875" style="49" bestFit="1" customWidth="1" outlineLevel="1"/>
    <col min="28" max="31" width="19.19921875" style="49" bestFit="1" customWidth="1" outlineLevel="1"/>
    <col min="32" max="32" width="12" style="49" bestFit="1" customWidth="1" outlineLevel="1"/>
    <col min="33" max="33" width="7.69921875" style="72" bestFit="1" customWidth="1" outlineLevel="1"/>
    <col min="34" max="34" width="11.5" style="71" bestFit="1" customWidth="1" outlineLevel="1"/>
    <col min="35" max="35" width="7.09765625" style="71" bestFit="1" customWidth="1" outlineLevel="1"/>
    <col min="36" max="36" width="8.69921875" style="32" bestFit="1" customWidth="1" outlineLevel="1"/>
    <col min="37" max="37" width="11.69921875" style="32" bestFit="1" customWidth="1" outlineLevel="1"/>
    <col min="38" max="38" width="16.19921875" style="72" bestFit="1" customWidth="1" outlineLevel="1"/>
    <col min="39" max="39" width="16.19921875" style="32" bestFit="1" customWidth="1" outlineLevel="1"/>
    <col min="40" max="40" width="18" style="71" bestFit="1" customWidth="1" outlineLevel="1"/>
    <col min="41" max="41" width="7.69921875" style="71" bestFit="1" customWidth="1" outlineLevel="1"/>
    <col min="42" max="43" width="15.5" style="72" bestFit="1" customWidth="1" outlineLevel="1"/>
    <col min="44" max="44" width="11.09765625" customWidth="1"/>
    <col min="45" max="45" width="18.69921875" bestFit="1" customWidth="1"/>
    <col min="46" max="46" width="17.5" bestFit="1" customWidth="1" outlineLevel="1"/>
    <col min="47" max="47" width="22.296875" bestFit="1" customWidth="1" outlineLevel="1"/>
    <col min="48" max="48" width="13.19921875" bestFit="1" customWidth="1" outlineLevel="1"/>
    <col min="49" max="49" width="12.19921875" bestFit="1" customWidth="1" outlineLevel="1"/>
    <col min="50" max="50" width="10.5" bestFit="1" customWidth="1" outlineLevel="1"/>
    <col min="51" max="51" width="9" bestFit="1" customWidth="1" outlineLevel="1"/>
    <col min="52" max="52" width="7" bestFit="1" customWidth="1" outlineLevel="1"/>
    <col min="53" max="53" width="10.19921875" bestFit="1" customWidth="1" outlineLevel="1"/>
    <col min="54" max="54" width="12.796875" style="49" bestFit="1" customWidth="1" outlineLevel="1"/>
    <col min="55" max="55" width="12.5" bestFit="1" customWidth="1" outlineLevel="1"/>
    <col min="56" max="56" width="11" bestFit="1" customWidth="1" outlineLevel="1"/>
    <col min="57" max="57" width="16" bestFit="1" customWidth="1" outlineLevel="1"/>
    <col min="58" max="58" width="8.5" bestFit="1" customWidth="1" outlineLevel="1"/>
    <col min="59" max="59" width="7.3984375" bestFit="1" customWidth="1" outlineLevel="1"/>
    <col min="60" max="60" width="17.69921875" bestFit="1" customWidth="1" outlineLevel="1"/>
    <col min="61" max="61" width="14.19921875" bestFit="1" customWidth="1" outlineLevel="1"/>
    <col min="62" max="62" width="12.5" bestFit="1" customWidth="1" outlineLevel="1"/>
    <col min="63" max="67" width="12" bestFit="1" customWidth="1" outlineLevel="1"/>
    <col min="68" max="68" width="12.5" bestFit="1" customWidth="1" outlineLevel="1"/>
    <col min="69" max="69" width="11" bestFit="1" customWidth="1" outlineLevel="1"/>
    <col min="70" max="70" width="13.5" bestFit="1" customWidth="1" outlineLevel="1"/>
    <col min="71" max="71" width="16.09765625" bestFit="1" customWidth="1" outlineLevel="1"/>
    <col min="72" max="72" width="13.59765625" bestFit="1" customWidth="1" outlineLevel="1"/>
    <col min="73" max="75" width="12.5" bestFit="1" customWidth="1" outlineLevel="1"/>
    <col min="76" max="76" width="12" bestFit="1" customWidth="1" outlineLevel="1"/>
    <col min="77" max="77" width="6.19921875" bestFit="1" customWidth="1" outlineLevel="1"/>
    <col min="78" max="78" width="11.5" style="49" bestFit="1" customWidth="1" outlineLevel="1"/>
    <col min="79" max="79" width="7.09765625" style="49" bestFit="1" customWidth="1" outlineLevel="1"/>
    <col min="80" max="80" width="8.09765625" bestFit="1" customWidth="1" outlineLevel="1"/>
    <col min="81" max="81" width="6.796875" bestFit="1" customWidth="1" outlineLevel="1"/>
    <col min="82" max="83" width="16.19921875" style="49" bestFit="1" customWidth="1" outlineLevel="1"/>
    <col min="84" max="84" width="18" style="49" bestFit="1" customWidth="1" outlineLevel="1"/>
    <col min="85" max="85" width="7.69921875" style="49" bestFit="1" customWidth="1" outlineLevel="1"/>
    <col min="86" max="86" width="15.5" style="49" bestFit="1" customWidth="1" outlineLevel="1"/>
    <col min="87" max="87" width="18.19921875" style="49" bestFit="1" customWidth="1" outlineLevel="1"/>
    <col min="88" max="88" width="9.8984375" customWidth="1"/>
    <col min="89" max="89" width="17.69921875" bestFit="1" customWidth="1"/>
    <col min="90" max="90" width="17.5" bestFit="1" customWidth="1" outlineLevel="1"/>
    <col min="91" max="91" width="22.296875" bestFit="1" customWidth="1" outlineLevel="1"/>
    <col min="92" max="92" width="13.19921875" bestFit="1" customWidth="1" outlineLevel="1"/>
    <col min="93" max="93" width="12.19921875" bestFit="1" customWidth="1" outlineLevel="1"/>
    <col min="94" max="94" width="10.5" style="35" bestFit="1" customWidth="1" outlineLevel="1"/>
    <col min="95" max="95" width="9" bestFit="1" customWidth="1" outlineLevel="1"/>
    <col min="96" max="96" width="22" bestFit="1" customWidth="1" outlineLevel="1"/>
    <col min="97" max="97" width="20.796875" bestFit="1" customWidth="1" outlineLevel="1"/>
    <col min="98" max="98" width="13.5" style="49" bestFit="1" customWidth="1" outlineLevel="1"/>
    <col min="99" max="99" width="12.5" bestFit="1" customWidth="1" outlineLevel="1"/>
    <col min="100" max="100" width="11" bestFit="1" customWidth="1" outlineLevel="1"/>
    <col min="101" max="101" width="14.69921875" bestFit="1" customWidth="1" outlineLevel="1"/>
    <col min="102" max="102" width="8.5" bestFit="1" customWidth="1" outlineLevel="1"/>
    <col min="103" max="103" width="7.3984375" bestFit="1" customWidth="1" outlineLevel="1"/>
    <col min="104" max="104" width="12.5" bestFit="1" customWidth="1" outlineLevel="1"/>
    <col min="105" max="105" width="14.19921875" bestFit="1" customWidth="1" outlineLevel="1"/>
    <col min="106" max="106" width="12.5" bestFit="1" customWidth="1" outlineLevel="1"/>
    <col min="107" max="107" width="12" bestFit="1" customWidth="1" outlineLevel="1"/>
    <col min="108" max="108" width="8.5" bestFit="1" customWidth="1" outlineLevel="1"/>
    <col min="109" max="109" width="10" bestFit="1" customWidth="1" outlineLevel="1"/>
    <col min="110" max="110" width="5.5" bestFit="1" customWidth="1" outlineLevel="1"/>
    <col min="111" max="111" width="10.69921875" bestFit="1" customWidth="1" outlineLevel="1"/>
    <col min="112" max="112" width="7.5" bestFit="1" customWidth="1" outlineLevel="1"/>
    <col min="113" max="113" width="8.5" bestFit="1" customWidth="1" outlineLevel="1"/>
    <col min="114" max="114" width="16" style="500" bestFit="1" customWidth="1" outlineLevel="1"/>
    <col min="115" max="115" width="17.3984375" style="500" bestFit="1" customWidth="1" outlineLevel="1"/>
    <col min="116" max="119" width="16" style="37" bestFit="1" customWidth="1" outlineLevel="1"/>
    <col min="120" max="120" width="5.5" bestFit="1" customWidth="1" outlineLevel="1"/>
    <col min="121" max="121" width="12" bestFit="1" customWidth="1" outlineLevel="1"/>
    <col min="122" max="122" width="6" bestFit="1" customWidth="1" outlineLevel="1"/>
    <col min="123" max="123" width="7.5" bestFit="1" customWidth="1" outlineLevel="1"/>
    <col min="124" max="124" width="6.796875" bestFit="1" customWidth="1" outlineLevel="1"/>
    <col min="125" max="126" width="16.19921875" style="49" bestFit="1" customWidth="1" outlineLevel="1"/>
    <col min="127" max="127" width="18" style="49" bestFit="1" customWidth="1" outlineLevel="1"/>
    <col min="128" max="128" width="7.69921875" style="49" bestFit="1" customWidth="1" outlineLevel="1"/>
    <col min="129" max="129" width="15.5" style="49" bestFit="1" customWidth="1" outlineLevel="1"/>
    <col min="130" max="130" width="18.19921875" style="49" bestFit="1" customWidth="1" outlineLevel="1"/>
    <col min="131" max="131" width="9.8984375" customWidth="1"/>
    <col min="132" max="132" width="18.09765625" bestFit="1" customWidth="1"/>
    <col min="133" max="133" width="17.5" bestFit="1" customWidth="1" outlineLevel="1"/>
    <col min="134" max="134" width="22.296875" bestFit="1" customWidth="1" outlineLevel="1"/>
    <col min="135" max="135" width="13.19921875" bestFit="1" customWidth="1" outlineLevel="1"/>
    <col min="136" max="136" width="12.19921875" bestFit="1" customWidth="1" outlineLevel="1"/>
    <col min="137" max="137" width="10.5" style="35" bestFit="1" customWidth="1" outlineLevel="1"/>
    <col min="138" max="138" width="9" bestFit="1" customWidth="1" outlineLevel="1"/>
    <col min="139" max="139" width="8.69921875" style="500" bestFit="1" customWidth="1" outlineLevel="1"/>
    <col min="140" max="140" width="11.3984375" style="500" bestFit="1" customWidth="1" outlineLevel="1"/>
    <col min="141" max="141" width="11.19921875" style="500" bestFit="1" customWidth="1" outlineLevel="1"/>
    <col min="142" max="142" width="17.69921875" style="500" bestFit="1" customWidth="1" outlineLevel="1"/>
    <col min="143" max="143" width="9.69921875" style="500" bestFit="1" customWidth="1" outlineLevel="1"/>
    <col min="144" max="144" width="17.69921875" style="500" bestFit="1" customWidth="1" outlineLevel="1"/>
    <col min="145" max="145" width="8.5" bestFit="1" customWidth="1" outlineLevel="1"/>
    <col min="146" max="146" width="7.3984375" bestFit="1" customWidth="1" outlineLevel="1"/>
    <col min="147" max="147" width="12" bestFit="1" customWidth="1" outlineLevel="1"/>
    <col min="148" max="148" width="14.19921875" bestFit="1" customWidth="1" outlineLevel="1"/>
    <col min="149" max="149" width="12.5" bestFit="1" customWidth="1" outlineLevel="1"/>
    <col min="150" max="154" width="12" bestFit="1" customWidth="1" outlineLevel="1"/>
    <col min="155" max="155" width="12.5" bestFit="1" customWidth="1" outlineLevel="1"/>
    <col min="156" max="156" width="11" bestFit="1" customWidth="1" outlineLevel="1"/>
    <col min="157" max="157" width="13.5" bestFit="1" customWidth="1" outlineLevel="1"/>
    <col min="158" max="158" width="16.09765625" bestFit="1" customWidth="1" outlineLevel="1"/>
    <col min="159" max="159" width="13.59765625" bestFit="1" customWidth="1" outlineLevel="1"/>
    <col min="160" max="162" width="12.5" bestFit="1" customWidth="1" outlineLevel="1"/>
    <col min="163" max="163" width="6" bestFit="1" customWidth="1" outlineLevel="1"/>
    <col min="164" max="164" width="12" bestFit="1" customWidth="1" outlineLevel="1"/>
    <col min="165" max="165" width="6" bestFit="1" customWidth="1" outlineLevel="1"/>
    <col min="166" max="166" width="8.09765625" bestFit="1" customWidth="1" outlineLevel="1"/>
    <col min="167" max="167" width="10.5" bestFit="1" customWidth="1" outlineLevel="1"/>
    <col min="168" max="168" width="16.19921875" style="37" bestFit="1" customWidth="1" outlineLevel="1"/>
    <col min="169" max="169" width="15.09765625" bestFit="1" customWidth="1" outlineLevel="1"/>
    <col min="170" max="170" width="16.69921875" bestFit="1" customWidth="1" outlineLevel="1"/>
    <col min="171" max="171" width="12" bestFit="1" customWidth="1" outlineLevel="1"/>
    <col min="172" max="173" width="12.5" bestFit="1" customWidth="1" outlineLevel="1"/>
    <col min="174" max="174" width="8.8984375" customWidth="1"/>
    <col min="175" max="175" width="11.09765625" bestFit="1" customWidth="1"/>
    <col min="176" max="176" width="17.5" bestFit="1" customWidth="1" outlineLevel="1"/>
    <col min="177" max="177" width="6.3984375" bestFit="1" customWidth="1" outlineLevel="1"/>
    <col min="178" max="178" width="18.19921875" bestFit="1" customWidth="1" outlineLevel="1"/>
    <col min="179" max="179" width="12.796875" bestFit="1" customWidth="1" outlineLevel="1"/>
    <col min="180" max="180" width="10.19921875" bestFit="1" customWidth="1" outlineLevel="1"/>
    <col min="181" max="181" width="10.8984375" bestFit="1" customWidth="1" outlineLevel="1"/>
    <col min="182" max="182" width="5.69921875" bestFit="1" customWidth="1" outlineLevel="1"/>
    <col min="183" max="183" width="18.19921875" bestFit="1" customWidth="1" outlineLevel="1"/>
    <col min="184" max="184" width="12.19921875" bestFit="1" customWidth="1" outlineLevel="1"/>
    <col min="185" max="185" width="13.19921875" bestFit="1" customWidth="1" outlineLevel="1"/>
    <col min="186" max="186" width="18.19921875" style="500" bestFit="1" customWidth="1" outlineLevel="1"/>
    <col min="187" max="187" width="10" bestFit="1" customWidth="1" outlineLevel="1"/>
    <col min="188" max="188" width="10.19921875" bestFit="1" customWidth="1" outlineLevel="1"/>
    <col min="189" max="189" width="10.5" bestFit="1" customWidth="1" outlineLevel="1"/>
    <col min="190" max="190" width="5" bestFit="1" customWidth="1" outlineLevel="1"/>
    <col min="191" max="191" width="9.19921875" bestFit="1" customWidth="1" outlineLevel="1"/>
    <col min="192" max="192" width="10.09765625" bestFit="1" customWidth="1" outlineLevel="1"/>
    <col min="193" max="193" width="14.19921875" bestFit="1" customWidth="1" outlineLevel="1"/>
    <col min="194" max="194" width="12" bestFit="1" customWidth="1" outlineLevel="1"/>
    <col min="195" max="195" width="12.5" bestFit="1" customWidth="1" outlineLevel="1"/>
    <col min="196" max="196" width="12" bestFit="1" customWidth="1" outlineLevel="1"/>
    <col min="197" max="197" width="14.09765625" bestFit="1" customWidth="1" outlineLevel="1"/>
    <col min="198" max="198" width="5" bestFit="1" customWidth="1" outlineLevel="1"/>
    <col min="199" max="199" width="6" bestFit="1" customWidth="1" outlineLevel="1"/>
    <col min="200" max="200" width="9" bestFit="1" customWidth="1" outlineLevel="1"/>
    <col min="201" max="202" width="12.5" bestFit="1" customWidth="1" outlineLevel="1"/>
    <col min="203" max="204" width="14.19921875" bestFit="1" customWidth="1" outlineLevel="1"/>
    <col min="205" max="205" width="6.19921875" style="177" bestFit="1" customWidth="1" outlineLevel="1"/>
    <col min="206" max="206" width="5.19921875" style="401" bestFit="1" customWidth="1" outlineLevel="1"/>
    <col min="207" max="207" width="6" style="400" bestFit="1" customWidth="1" outlineLevel="1"/>
    <col min="208" max="208" width="8.8984375" customWidth="1"/>
    <col min="209" max="209" width="16.8984375" bestFit="1" customWidth="1"/>
    <col min="210" max="210" width="11" bestFit="1" customWidth="1" outlineLevel="1"/>
    <col min="211" max="211" width="20.19921875" bestFit="1" customWidth="1" outlineLevel="1"/>
    <col min="212" max="212" width="9.5" bestFit="1" customWidth="1" outlineLevel="1"/>
    <col min="213" max="213" width="9" bestFit="1" customWidth="1" outlineLevel="1"/>
    <col min="214" max="214" width="8" bestFit="1" customWidth="1" outlineLevel="1"/>
    <col min="215" max="215" width="10" bestFit="1" customWidth="1" outlineLevel="1"/>
    <col min="216" max="216" width="13.09765625" bestFit="1" customWidth="1" outlineLevel="1"/>
    <col min="217" max="218" width="12" bestFit="1" customWidth="1" outlineLevel="1"/>
    <col min="219" max="219" width="5" bestFit="1" customWidth="1" outlineLevel="1"/>
    <col min="220" max="220" width="11" bestFit="1" customWidth="1" outlineLevel="1"/>
    <col min="221" max="221" width="8.5" bestFit="1" customWidth="1" outlineLevel="1"/>
    <col min="222" max="222" width="11.69921875" bestFit="1" customWidth="1" outlineLevel="1"/>
    <col min="223" max="224" width="8.5" bestFit="1" customWidth="1" outlineLevel="1"/>
    <col min="225" max="225" width="4.69921875" bestFit="1" customWidth="1" outlineLevel="1"/>
    <col min="226" max="226" width="5" bestFit="1" customWidth="1" outlineLevel="1"/>
    <col min="227" max="227" width="7.09765625" bestFit="1" customWidth="1" outlineLevel="1"/>
    <col min="228" max="228" width="12.19921875" bestFit="1" customWidth="1" outlineLevel="1"/>
    <col min="229" max="229" width="10.69921875" bestFit="1" customWidth="1" outlineLevel="1"/>
    <col min="230" max="230" width="9.09765625" bestFit="1" customWidth="1" outlineLevel="1"/>
    <col min="231" max="231" width="12" bestFit="1" customWidth="1" outlineLevel="1"/>
    <col min="232" max="232" width="13.3984375" bestFit="1" customWidth="1" outlineLevel="1"/>
    <col min="233" max="233" width="9.69921875" bestFit="1" customWidth="1" outlineLevel="1"/>
    <col min="234" max="236" width="12" bestFit="1" customWidth="1" outlineLevel="1"/>
    <col min="237" max="237" width="5.69921875" bestFit="1" customWidth="1" outlineLevel="1"/>
    <col min="238" max="238" width="5.19921875" bestFit="1" customWidth="1" outlineLevel="1"/>
    <col min="239" max="240" width="11.19921875" bestFit="1" customWidth="1" outlineLevel="1"/>
    <col min="241" max="241" width="8.8984375" customWidth="1"/>
    <col min="242" max="242" width="12.59765625" bestFit="1" customWidth="1"/>
    <col min="243" max="243" width="16.09765625" bestFit="1" customWidth="1" outlineLevel="1"/>
    <col min="244" max="244" width="20.3984375" customWidth="1" outlineLevel="1"/>
    <col min="245" max="245" width="13.09765625" bestFit="1" customWidth="1" outlineLevel="1"/>
    <col min="246" max="246" width="12.09765625" bestFit="1" customWidth="1" outlineLevel="1"/>
    <col min="247" max="247" width="11.09765625" bestFit="1" customWidth="1" outlineLevel="1"/>
    <col min="248" max="248" width="9" bestFit="1" customWidth="1" outlineLevel="1"/>
    <col min="249" max="249" width="5.09765625" bestFit="1" customWidth="1" outlineLevel="1"/>
    <col min="250" max="250" width="10.09765625" bestFit="1" customWidth="1" outlineLevel="1"/>
    <col min="251" max="251" width="9.69921875" bestFit="1" customWidth="1" outlineLevel="1"/>
    <col min="252" max="252" width="10.59765625" bestFit="1" customWidth="1" outlineLevel="1"/>
    <col min="253" max="253" width="8.69921875" bestFit="1" customWidth="1" outlineLevel="1"/>
    <col min="254" max="254" width="14.59765625" bestFit="1" customWidth="1" outlineLevel="1"/>
    <col min="255" max="255" width="8.59765625" bestFit="1" customWidth="1" outlineLevel="1"/>
    <col min="256" max="256" width="7.3984375" bestFit="1" customWidth="1" outlineLevel="1"/>
    <col min="257" max="257" width="10.09765625" bestFit="1" customWidth="1" outlineLevel="1"/>
    <col min="258" max="258" width="14.09765625" bestFit="1" customWidth="1" outlineLevel="1"/>
    <col min="259" max="259" width="11.69921875" bestFit="1" customWidth="1" outlineLevel="1"/>
    <col min="260" max="260" width="9" bestFit="1" customWidth="1" outlineLevel="1"/>
    <col min="261" max="261" width="8.3984375" bestFit="1" customWidth="1" outlineLevel="1"/>
    <col min="262" max="262" width="10.09765625" bestFit="1" customWidth="1" outlineLevel="1"/>
    <col min="263" max="263" width="5.59765625" bestFit="1" customWidth="1" outlineLevel="1"/>
    <col min="264" max="264" width="12.69921875" bestFit="1" customWidth="1" outlineLevel="1"/>
    <col min="265" max="265" width="13.296875" bestFit="1" customWidth="1" outlineLevel="1"/>
    <col min="266" max="266" width="8.3984375" bestFit="1" customWidth="1" outlineLevel="1"/>
    <col min="267" max="267" width="13.3984375" bestFit="1" customWidth="1" outlineLevel="1"/>
    <col min="268" max="268" width="16.09765625" bestFit="1" customWidth="1" outlineLevel="1"/>
    <col min="269" max="269" width="13.59765625" bestFit="1" customWidth="1" outlineLevel="1"/>
    <col min="270" max="270" width="13.296875" bestFit="1" customWidth="1" outlineLevel="1"/>
    <col min="271" max="272" width="12" bestFit="1" customWidth="1" outlineLevel="1"/>
    <col min="273" max="273" width="8.296875" bestFit="1" customWidth="1" outlineLevel="1"/>
    <col min="274" max="274" width="6.09765625" bestFit="1" customWidth="1" outlineLevel="1"/>
    <col min="275" max="275" width="11.3984375" bestFit="1" customWidth="1" outlineLevel="1"/>
    <col min="276" max="276" width="7" bestFit="1" customWidth="1" outlineLevel="1"/>
    <col min="277" max="277" width="5.296875" bestFit="1" customWidth="1" outlineLevel="1"/>
    <col min="278" max="278" width="6.09765625" bestFit="1" customWidth="1" outlineLevel="1"/>
    <col min="279" max="279" width="16" bestFit="1" customWidth="1" outlineLevel="1"/>
    <col min="280" max="280" width="16.09765625" bestFit="1" customWidth="1" outlineLevel="1"/>
    <col min="281" max="281" width="17.8984375" bestFit="1" customWidth="1" outlineLevel="1"/>
    <col min="282" max="282" width="6.296875" bestFit="1" customWidth="1" outlineLevel="1"/>
    <col min="283" max="283" width="12" bestFit="1" customWidth="1" outlineLevel="1"/>
    <col min="284" max="284" width="7.59765625" bestFit="1" customWidth="1" outlineLevel="1"/>
    <col min="285" max="285" width="8.8984375" customWidth="1"/>
    <col min="286" max="286" width="12" bestFit="1" customWidth="1"/>
    <col min="287" max="287" width="16.09765625" bestFit="1" customWidth="1" outlineLevel="1"/>
    <col min="288" max="288" width="20.3984375" customWidth="1" outlineLevel="1"/>
    <col min="289" max="289" width="13.09765625" bestFit="1" customWidth="1" outlineLevel="1"/>
    <col min="290" max="290" width="12.09765625" bestFit="1" customWidth="1" outlineLevel="1"/>
    <col min="291" max="291" width="11.09765625" bestFit="1" customWidth="1" outlineLevel="1"/>
    <col min="292" max="292" width="9" bestFit="1" customWidth="1" outlineLevel="1"/>
    <col min="293" max="293" width="5.09765625" bestFit="1" customWidth="1" outlineLevel="1"/>
    <col min="294" max="294" width="10.09765625" bestFit="1" customWidth="1" outlineLevel="1"/>
    <col min="295" max="295" width="9.69921875" bestFit="1" customWidth="1" outlineLevel="1"/>
    <col min="296" max="296" width="10.59765625" bestFit="1" customWidth="1" outlineLevel="1"/>
    <col min="297" max="297" width="8.69921875" bestFit="1" customWidth="1" outlineLevel="1"/>
    <col min="298" max="298" width="14.59765625" bestFit="1" customWidth="1" outlineLevel="1"/>
    <col min="299" max="299" width="8.59765625" bestFit="1" customWidth="1" outlineLevel="1"/>
    <col min="300" max="300" width="7.3984375" bestFit="1" customWidth="1" outlineLevel="1"/>
    <col min="301" max="301" width="10.09765625" bestFit="1" customWidth="1" outlineLevel="1"/>
    <col min="302" max="302" width="14.09765625" bestFit="1" customWidth="1" outlineLevel="1"/>
    <col min="303" max="303" width="11.69921875" bestFit="1" customWidth="1" outlineLevel="1"/>
    <col min="304" max="304" width="9" bestFit="1" customWidth="1" outlineLevel="1"/>
    <col min="305" max="305" width="8.3984375" bestFit="1" customWidth="1" outlineLevel="1"/>
    <col min="306" max="306" width="10.09765625" bestFit="1" customWidth="1" outlineLevel="1"/>
    <col min="307" max="307" width="5.59765625" bestFit="1" customWidth="1" outlineLevel="1"/>
    <col min="308" max="308" width="12.69921875" bestFit="1" customWidth="1" outlineLevel="1"/>
    <col min="309" max="309" width="13.296875" bestFit="1" customWidth="1" outlineLevel="1"/>
    <col min="310" max="310" width="8.3984375" bestFit="1" customWidth="1" outlineLevel="1"/>
    <col min="311" max="311" width="13.3984375" bestFit="1" customWidth="1" outlineLevel="1"/>
    <col min="312" max="312" width="16.09765625" bestFit="1" customWidth="1" outlineLevel="1"/>
    <col min="313" max="313" width="13.59765625" bestFit="1" customWidth="1" outlineLevel="1"/>
    <col min="314" max="314" width="13.296875" bestFit="1" customWidth="1" outlineLevel="1"/>
    <col min="315" max="316" width="12" bestFit="1" customWidth="1" outlineLevel="1"/>
    <col min="317" max="317" width="6.09765625" bestFit="1" customWidth="1" outlineLevel="1"/>
    <col min="318" max="318" width="11.3984375" bestFit="1" customWidth="1" outlineLevel="1"/>
    <col min="319" max="319" width="7" bestFit="1" customWidth="1" outlineLevel="1"/>
    <col min="320" max="320" width="5.296875" bestFit="1" customWidth="1" outlineLevel="1"/>
    <col min="321" max="321" width="6.09765625" bestFit="1" customWidth="1" outlineLevel="1"/>
    <col min="322" max="322" width="16" bestFit="1" customWidth="1" outlineLevel="1"/>
    <col min="323" max="323" width="16.09765625" bestFit="1" customWidth="1" outlineLevel="1"/>
    <col min="324" max="324" width="17.8984375" bestFit="1" customWidth="1" outlineLevel="1"/>
    <col min="325" max="325" width="6.296875" bestFit="1" customWidth="1" outlineLevel="1"/>
    <col min="326" max="326" width="12" bestFit="1" customWidth="1" outlineLevel="1"/>
    <col min="327" max="327" width="7.59765625" bestFit="1" customWidth="1" outlineLevel="1"/>
    <col min="328" max="328" width="12.09765625" customWidth="1"/>
    <col min="329" max="345" width="9.8984375" customWidth="1"/>
  </cols>
  <sheetData>
    <row r="1" spans="1:331" x14ac:dyDescent="0.3">
      <c r="A1" s="8" t="s">
        <v>2271</v>
      </c>
      <c r="B1" s="49" t="s">
        <v>734</v>
      </c>
      <c r="C1" s="49" t="s">
        <v>788</v>
      </c>
      <c r="D1" s="49" t="s">
        <v>736</v>
      </c>
      <c r="E1" s="49" t="s">
        <v>737</v>
      </c>
      <c r="F1" s="49" t="s">
        <v>738</v>
      </c>
      <c r="G1" s="49" t="s">
        <v>739</v>
      </c>
      <c r="H1" s="500" t="s">
        <v>740</v>
      </c>
      <c r="I1" s="500" t="s">
        <v>741</v>
      </c>
      <c r="J1" s="500" t="s">
        <v>761</v>
      </c>
      <c r="K1" s="500" t="s">
        <v>762</v>
      </c>
      <c r="L1" s="500" t="s">
        <v>763</v>
      </c>
      <c r="M1" s="49" t="s">
        <v>742</v>
      </c>
      <c r="N1" s="49" t="s">
        <v>743</v>
      </c>
      <c r="O1" s="49" t="s">
        <v>744</v>
      </c>
      <c r="P1" s="49" t="s">
        <v>745</v>
      </c>
      <c r="Q1" s="49" t="s">
        <v>746</v>
      </c>
      <c r="R1" s="49" t="s">
        <v>747</v>
      </c>
      <c r="S1" s="49" t="s">
        <v>748</v>
      </c>
      <c r="T1" s="49" t="s">
        <v>749</v>
      </c>
      <c r="U1" s="49" t="s">
        <v>750</v>
      </c>
      <c r="V1" s="49" t="s">
        <v>751</v>
      </c>
      <c r="W1" s="49" t="s">
        <v>752</v>
      </c>
      <c r="X1" s="49" t="s">
        <v>764</v>
      </c>
      <c r="Y1" s="49" t="s">
        <v>753</v>
      </c>
      <c r="Z1" s="49" t="s">
        <v>765</v>
      </c>
      <c r="AA1" s="49" t="s">
        <v>766</v>
      </c>
      <c r="AB1" s="49" t="s">
        <v>767</v>
      </c>
      <c r="AC1" s="49" t="s">
        <v>754</v>
      </c>
      <c r="AD1" s="49" t="s">
        <v>755</v>
      </c>
      <c r="AE1" s="49" t="s">
        <v>756</v>
      </c>
      <c r="AF1" s="49" t="s">
        <v>2368</v>
      </c>
      <c r="AG1" s="329" t="s">
        <v>2171</v>
      </c>
      <c r="AH1" s="328" t="s">
        <v>950</v>
      </c>
      <c r="AI1" s="328" t="s">
        <v>876</v>
      </c>
      <c r="AJ1" s="328" t="s">
        <v>10</v>
      </c>
      <c r="AK1" s="328" t="s">
        <v>843</v>
      </c>
      <c r="AL1" s="328" t="s">
        <v>2118</v>
      </c>
      <c r="AM1" s="328" t="s">
        <v>2116</v>
      </c>
      <c r="AN1" s="328" t="s">
        <v>2114</v>
      </c>
      <c r="AO1" s="328" t="s">
        <v>2115</v>
      </c>
      <c r="AP1" s="328" t="s">
        <v>2117</v>
      </c>
      <c r="AQ1" s="329" t="s">
        <v>1072</v>
      </c>
      <c r="AR1" s="49"/>
      <c r="AS1" s="8" t="s">
        <v>2272</v>
      </c>
      <c r="AT1" t="s">
        <v>734</v>
      </c>
      <c r="AU1" t="s">
        <v>788</v>
      </c>
      <c r="AV1" t="s">
        <v>736</v>
      </c>
      <c r="AW1" t="s">
        <v>737</v>
      </c>
      <c r="AX1" t="s">
        <v>738</v>
      </c>
      <c r="AY1" t="s">
        <v>739</v>
      </c>
      <c r="AZ1" t="s">
        <v>740</v>
      </c>
      <c r="BA1" t="s">
        <v>741</v>
      </c>
      <c r="BB1" s="49" t="s">
        <v>761</v>
      </c>
      <c r="BC1" t="s">
        <v>762</v>
      </c>
      <c r="BD1" t="s">
        <v>763</v>
      </c>
      <c r="BE1" s="37" t="s">
        <v>742</v>
      </c>
      <c r="BF1" t="s">
        <v>743</v>
      </c>
      <c r="BG1" t="s">
        <v>744</v>
      </c>
      <c r="BH1" s="34" t="s">
        <v>745</v>
      </c>
      <c r="BI1" t="s">
        <v>746</v>
      </c>
      <c r="BJ1" t="s">
        <v>747</v>
      </c>
      <c r="BK1" t="s">
        <v>748</v>
      </c>
      <c r="BL1" t="s">
        <v>749</v>
      </c>
      <c r="BM1" t="s">
        <v>750</v>
      </c>
      <c r="BN1" t="s">
        <v>751</v>
      </c>
      <c r="BO1" t="s">
        <v>752</v>
      </c>
      <c r="BP1" t="s">
        <v>764</v>
      </c>
      <c r="BQ1" t="s">
        <v>753</v>
      </c>
      <c r="BR1" t="s">
        <v>765</v>
      </c>
      <c r="BS1" t="s">
        <v>766</v>
      </c>
      <c r="BT1" t="s">
        <v>767</v>
      </c>
      <c r="BU1" t="s">
        <v>754</v>
      </c>
      <c r="BV1" t="s">
        <v>755</v>
      </c>
      <c r="BW1" t="s">
        <v>756</v>
      </c>
      <c r="BX1" t="s">
        <v>2368</v>
      </c>
      <c r="BY1" s="116" t="s">
        <v>2171</v>
      </c>
      <c r="BZ1" s="117" t="s">
        <v>950</v>
      </c>
      <c r="CA1" s="117" t="s">
        <v>876</v>
      </c>
      <c r="CB1" s="118" t="s">
        <v>10</v>
      </c>
      <c r="CC1" s="118" t="s">
        <v>843</v>
      </c>
      <c r="CD1" s="116" t="s">
        <v>2118</v>
      </c>
      <c r="CE1" s="117" t="s">
        <v>2116</v>
      </c>
      <c r="CF1" s="117" t="s">
        <v>2114</v>
      </c>
      <c r="CG1" s="117" t="s">
        <v>2115</v>
      </c>
      <c r="CH1" s="117" t="s">
        <v>2117</v>
      </c>
      <c r="CI1" s="264" t="s">
        <v>1072</v>
      </c>
      <c r="CJ1" s="107"/>
      <c r="CK1" s="8" t="s">
        <v>2273</v>
      </c>
      <c r="CL1" t="s">
        <v>734</v>
      </c>
      <c r="CM1" t="s">
        <v>788</v>
      </c>
      <c r="CN1" t="s">
        <v>736</v>
      </c>
      <c r="CO1" t="s">
        <v>737</v>
      </c>
      <c r="CP1" s="35" t="s">
        <v>738</v>
      </c>
      <c r="CQ1" t="s">
        <v>739</v>
      </c>
      <c r="CR1" t="s">
        <v>740</v>
      </c>
      <c r="CS1" t="s">
        <v>741</v>
      </c>
      <c r="CT1" s="49" t="s">
        <v>761</v>
      </c>
      <c r="CU1" t="s">
        <v>762</v>
      </c>
      <c r="CV1" t="s">
        <v>763</v>
      </c>
      <c r="CW1" t="s">
        <v>742</v>
      </c>
      <c r="CX1" t="s">
        <v>743</v>
      </c>
      <c r="CY1" t="s">
        <v>744</v>
      </c>
      <c r="CZ1" t="s">
        <v>745</v>
      </c>
      <c r="DA1" t="s">
        <v>746</v>
      </c>
      <c r="DB1" t="s">
        <v>747</v>
      </c>
      <c r="DC1" t="s">
        <v>748</v>
      </c>
      <c r="DD1" t="s">
        <v>749</v>
      </c>
      <c r="DE1" t="s">
        <v>750</v>
      </c>
      <c r="DF1" t="s">
        <v>751</v>
      </c>
      <c r="DG1" t="s">
        <v>752</v>
      </c>
      <c r="DH1" t="s">
        <v>764</v>
      </c>
      <c r="DI1" t="s">
        <v>753</v>
      </c>
      <c r="DJ1" s="500" t="s">
        <v>765</v>
      </c>
      <c r="DK1" s="500" t="s">
        <v>766</v>
      </c>
      <c r="DL1" s="37" t="s">
        <v>767</v>
      </c>
      <c r="DM1" s="37" t="s">
        <v>754</v>
      </c>
      <c r="DN1" s="37" t="s">
        <v>755</v>
      </c>
      <c r="DO1" s="37" t="s">
        <v>756</v>
      </c>
      <c r="DP1" s="106" t="s">
        <v>2171</v>
      </c>
      <c r="DQ1" s="106" t="s">
        <v>950</v>
      </c>
      <c r="DR1" s="106" t="s">
        <v>876</v>
      </c>
      <c r="DS1" s="68" t="s">
        <v>10</v>
      </c>
      <c r="DT1" s="68" t="s">
        <v>843</v>
      </c>
      <c r="DU1" s="67" t="s">
        <v>2118</v>
      </c>
      <c r="DV1" s="67" t="s">
        <v>2116</v>
      </c>
      <c r="DW1" s="67" t="s">
        <v>2114</v>
      </c>
      <c r="DX1" s="67" t="s">
        <v>2115</v>
      </c>
      <c r="DY1" s="67" t="s">
        <v>2117</v>
      </c>
      <c r="DZ1" s="67" t="s">
        <v>1072</v>
      </c>
      <c r="EB1" s="8" t="s">
        <v>2274</v>
      </c>
      <c r="EC1" t="s">
        <v>734</v>
      </c>
      <c r="ED1" t="s">
        <v>788</v>
      </c>
      <c r="EE1" t="s">
        <v>736</v>
      </c>
      <c r="EF1" t="s">
        <v>737</v>
      </c>
      <c r="EG1" s="35" t="s">
        <v>738</v>
      </c>
      <c r="EH1" t="s">
        <v>739</v>
      </c>
      <c r="EI1" s="500" t="s">
        <v>740</v>
      </c>
      <c r="EJ1" s="500" t="s">
        <v>741</v>
      </c>
      <c r="EK1" s="500" t="s">
        <v>761</v>
      </c>
      <c r="EL1" s="500" t="s">
        <v>762</v>
      </c>
      <c r="EM1" s="500" t="s">
        <v>763</v>
      </c>
      <c r="EN1" s="500" t="s">
        <v>742</v>
      </c>
      <c r="EO1" t="s">
        <v>743</v>
      </c>
      <c r="EP1" t="s">
        <v>744</v>
      </c>
      <c r="EQ1" t="s">
        <v>745</v>
      </c>
      <c r="ER1" t="s">
        <v>746</v>
      </c>
      <c r="ES1" t="s">
        <v>747</v>
      </c>
      <c r="ET1" t="s">
        <v>748</v>
      </c>
      <c r="EU1" t="s">
        <v>749</v>
      </c>
      <c r="EV1" t="s">
        <v>750</v>
      </c>
      <c r="EW1" t="s">
        <v>751</v>
      </c>
      <c r="EX1" t="s">
        <v>752</v>
      </c>
      <c r="EY1" t="s">
        <v>764</v>
      </c>
      <c r="EZ1" t="s">
        <v>753</v>
      </c>
      <c r="FA1" t="s">
        <v>765</v>
      </c>
      <c r="FB1" t="s">
        <v>766</v>
      </c>
      <c r="FC1" t="s">
        <v>767</v>
      </c>
      <c r="FD1" t="s">
        <v>754</v>
      </c>
      <c r="FE1" t="s">
        <v>755</v>
      </c>
      <c r="FF1" t="s">
        <v>756</v>
      </c>
      <c r="FG1" s="106" t="s">
        <v>2171</v>
      </c>
      <c r="FH1" s="106" t="s">
        <v>950</v>
      </c>
      <c r="FI1" s="68" t="s">
        <v>876</v>
      </c>
      <c r="FJ1" s="68" t="s">
        <v>10</v>
      </c>
      <c r="FK1" s="68" t="s">
        <v>843</v>
      </c>
      <c r="FL1" s="69" t="s">
        <v>2118</v>
      </c>
      <c r="FM1" s="106" t="s">
        <v>2116</v>
      </c>
      <c r="FN1" s="106" t="s">
        <v>2114</v>
      </c>
      <c r="FO1" s="68" t="s">
        <v>2115</v>
      </c>
      <c r="FP1" s="106" t="s">
        <v>2117</v>
      </c>
      <c r="FQ1" s="106" t="s">
        <v>1072</v>
      </c>
      <c r="FS1" s="8" t="s">
        <v>789</v>
      </c>
      <c r="FT1" s="50" t="s">
        <v>734</v>
      </c>
      <c r="FU1" s="50" t="s">
        <v>790</v>
      </c>
      <c r="FV1" s="50" t="s">
        <v>791</v>
      </c>
      <c r="FW1" s="50" t="s">
        <v>792</v>
      </c>
      <c r="FX1" s="50" t="s">
        <v>793</v>
      </c>
      <c r="FY1" s="50" t="s">
        <v>794</v>
      </c>
      <c r="FZ1" s="50" t="s">
        <v>795</v>
      </c>
      <c r="GA1" s="50" t="s">
        <v>796</v>
      </c>
      <c r="GB1" s="50" t="s">
        <v>737</v>
      </c>
      <c r="GC1" s="50" t="s">
        <v>736</v>
      </c>
      <c r="GD1" s="512" t="s">
        <v>798</v>
      </c>
      <c r="GE1" s="50" t="s">
        <v>799</v>
      </c>
      <c r="GF1" s="50" t="s">
        <v>800</v>
      </c>
      <c r="GG1" s="50" t="s">
        <v>738</v>
      </c>
      <c r="GH1" s="50" t="s">
        <v>801</v>
      </c>
      <c r="GI1" s="50" t="s">
        <v>802</v>
      </c>
      <c r="GJ1" s="50" t="s">
        <v>745</v>
      </c>
      <c r="GK1" s="50" t="s">
        <v>746</v>
      </c>
      <c r="GL1" s="50" t="s">
        <v>747</v>
      </c>
      <c r="GM1" s="50" t="s">
        <v>803</v>
      </c>
      <c r="GN1" s="50" t="s">
        <v>804</v>
      </c>
      <c r="GO1" s="50" t="s">
        <v>805</v>
      </c>
      <c r="GP1" s="50" t="s">
        <v>806</v>
      </c>
      <c r="GQ1" s="50" t="s">
        <v>751</v>
      </c>
      <c r="GR1" s="50" t="s">
        <v>807</v>
      </c>
      <c r="GS1" s="50" t="s">
        <v>808</v>
      </c>
      <c r="GT1" s="50" t="s">
        <v>754</v>
      </c>
      <c r="GU1" s="50" t="s">
        <v>755</v>
      </c>
      <c r="GV1" s="50" t="s">
        <v>756</v>
      </c>
      <c r="GW1" s="413" t="s">
        <v>2171</v>
      </c>
      <c r="GX1" s="414" t="s">
        <v>839</v>
      </c>
      <c r="GY1" s="415" t="s">
        <v>3129</v>
      </c>
      <c r="HA1" s="8" t="s">
        <v>2209</v>
      </c>
      <c r="HB1" t="s">
        <v>797</v>
      </c>
      <c r="HC1" t="s">
        <v>736</v>
      </c>
      <c r="HD1" t="s">
        <v>2218</v>
      </c>
      <c r="HE1" t="s">
        <v>739</v>
      </c>
      <c r="HF1" t="s">
        <v>740</v>
      </c>
      <c r="HG1" t="s">
        <v>2219</v>
      </c>
      <c r="HH1" t="s">
        <v>2220</v>
      </c>
      <c r="HI1" t="s">
        <v>2221</v>
      </c>
      <c r="HJ1" t="s">
        <v>763</v>
      </c>
      <c r="HK1" t="s">
        <v>828</v>
      </c>
      <c r="HL1" t="s">
        <v>2222</v>
      </c>
      <c r="HM1" t="s">
        <v>757</v>
      </c>
      <c r="HN1" t="s">
        <v>747</v>
      </c>
      <c r="HO1" t="s">
        <v>820</v>
      </c>
      <c r="HP1" t="s">
        <v>749</v>
      </c>
      <c r="HQ1" t="s">
        <v>806</v>
      </c>
      <c r="HR1" t="s">
        <v>2223</v>
      </c>
      <c r="HS1" t="s">
        <v>764</v>
      </c>
      <c r="HT1" t="s">
        <v>759</v>
      </c>
      <c r="HU1" t="s">
        <v>752</v>
      </c>
      <c r="HV1" t="s">
        <v>760</v>
      </c>
      <c r="HW1" t="s">
        <v>818</v>
      </c>
      <c r="HX1" t="s">
        <v>819</v>
      </c>
      <c r="HY1" t="s">
        <v>758</v>
      </c>
      <c r="HZ1" t="s">
        <v>754</v>
      </c>
      <c r="IA1" t="s">
        <v>2224</v>
      </c>
      <c r="IB1" t="s">
        <v>756</v>
      </c>
      <c r="IC1" s="86" t="s">
        <v>2225</v>
      </c>
      <c r="ID1" s="86" t="s">
        <v>839</v>
      </c>
      <c r="IE1" s="86" t="s">
        <v>2227</v>
      </c>
      <c r="IF1" s="86" t="s">
        <v>2226</v>
      </c>
      <c r="IH1" s="8" t="s">
        <v>4010</v>
      </c>
      <c r="II1" t="s">
        <v>734</v>
      </c>
      <c r="IJ1" t="s">
        <v>788</v>
      </c>
      <c r="IK1" t="s">
        <v>736</v>
      </c>
      <c r="IL1" t="s">
        <v>737</v>
      </c>
      <c r="IM1" t="s">
        <v>738</v>
      </c>
      <c r="IN1" t="s">
        <v>739</v>
      </c>
      <c r="IO1" t="s">
        <v>740</v>
      </c>
      <c r="IP1" t="s">
        <v>741</v>
      </c>
      <c r="IQ1" t="s">
        <v>761</v>
      </c>
      <c r="IR1" t="s">
        <v>762</v>
      </c>
      <c r="IS1" t="s">
        <v>763</v>
      </c>
      <c r="IT1" t="s">
        <v>742</v>
      </c>
      <c r="IU1" t="s">
        <v>743</v>
      </c>
      <c r="IV1" t="s">
        <v>744</v>
      </c>
      <c r="IW1" t="s">
        <v>745</v>
      </c>
      <c r="IX1" t="s">
        <v>746</v>
      </c>
      <c r="IY1" t="s">
        <v>747</v>
      </c>
      <c r="IZ1" t="s">
        <v>748</v>
      </c>
      <c r="JA1" t="s">
        <v>749</v>
      </c>
      <c r="JB1" t="s">
        <v>750</v>
      </c>
      <c r="JC1" t="s">
        <v>751</v>
      </c>
      <c r="JD1" t="s">
        <v>752</v>
      </c>
      <c r="JE1" t="s">
        <v>764</v>
      </c>
      <c r="JF1" t="s">
        <v>753</v>
      </c>
      <c r="JG1" t="s">
        <v>765</v>
      </c>
      <c r="JH1" t="s">
        <v>766</v>
      </c>
      <c r="JI1" t="s">
        <v>767</v>
      </c>
      <c r="JJ1" t="s">
        <v>754</v>
      </c>
      <c r="JK1" t="s">
        <v>755</v>
      </c>
      <c r="JL1" t="s">
        <v>756</v>
      </c>
      <c r="JM1" t="s">
        <v>2368</v>
      </c>
      <c r="JN1" s="116" t="s">
        <v>2171</v>
      </c>
      <c r="JO1" s="117" t="s">
        <v>950</v>
      </c>
      <c r="JP1" s="117" t="s">
        <v>876</v>
      </c>
      <c r="JQ1" s="118" t="s">
        <v>10</v>
      </c>
      <c r="JR1" s="118" t="s">
        <v>843</v>
      </c>
      <c r="JS1" s="116" t="s">
        <v>2118</v>
      </c>
      <c r="JT1" s="117" t="s">
        <v>2116</v>
      </c>
      <c r="JU1" s="117" t="s">
        <v>2114</v>
      </c>
      <c r="JV1" s="117" t="s">
        <v>2115</v>
      </c>
      <c r="JW1" s="117" t="s">
        <v>2117</v>
      </c>
      <c r="JX1" s="264" t="s">
        <v>1072</v>
      </c>
      <c r="JZ1" s="8" t="s">
        <v>4009</v>
      </c>
      <c r="KA1" t="s">
        <v>734</v>
      </c>
      <c r="KB1" t="s">
        <v>788</v>
      </c>
      <c r="KC1" t="s">
        <v>736</v>
      </c>
      <c r="KD1" t="s">
        <v>737</v>
      </c>
      <c r="KE1" t="s">
        <v>738</v>
      </c>
      <c r="KF1" t="s">
        <v>739</v>
      </c>
      <c r="KG1" t="s">
        <v>740</v>
      </c>
      <c r="KH1" t="s">
        <v>741</v>
      </c>
      <c r="KI1" t="s">
        <v>761</v>
      </c>
      <c r="KJ1" t="s">
        <v>762</v>
      </c>
      <c r="KK1" t="s">
        <v>763</v>
      </c>
      <c r="KL1" t="s">
        <v>742</v>
      </c>
      <c r="KM1" t="s">
        <v>743</v>
      </c>
      <c r="KN1" t="s">
        <v>744</v>
      </c>
      <c r="KO1" t="s">
        <v>745</v>
      </c>
      <c r="KP1" t="s">
        <v>746</v>
      </c>
      <c r="KQ1" t="s">
        <v>747</v>
      </c>
      <c r="KR1" t="s">
        <v>748</v>
      </c>
      <c r="KS1" t="s">
        <v>749</v>
      </c>
      <c r="KT1" t="s">
        <v>750</v>
      </c>
      <c r="KU1" t="s">
        <v>751</v>
      </c>
      <c r="KV1" t="s">
        <v>752</v>
      </c>
      <c r="KW1" t="s">
        <v>764</v>
      </c>
      <c r="KX1" t="s">
        <v>753</v>
      </c>
      <c r="KY1" t="s">
        <v>765</v>
      </c>
      <c r="KZ1" t="s">
        <v>766</v>
      </c>
      <c r="LA1" t="s">
        <v>767</v>
      </c>
      <c r="LB1" t="s">
        <v>754</v>
      </c>
      <c r="LC1" t="s">
        <v>755</v>
      </c>
      <c r="LD1" t="s">
        <v>756</v>
      </c>
      <c r="LE1" s="116" t="s">
        <v>2171</v>
      </c>
      <c r="LF1" s="117" t="s">
        <v>950</v>
      </c>
      <c r="LG1" s="117" t="s">
        <v>876</v>
      </c>
      <c r="LH1" s="118" t="s">
        <v>10</v>
      </c>
      <c r="LI1" s="118" t="s">
        <v>843</v>
      </c>
      <c r="LJ1" s="116" t="s">
        <v>2118</v>
      </c>
      <c r="LK1" s="117" t="s">
        <v>2116</v>
      </c>
      <c r="LL1" s="117" t="s">
        <v>2114</v>
      </c>
      <c r="LM1" s="117" t="s">
        <v>2115</v>
      </c>
      <c r="LN1" s="117" t="s">
        <v>2117</v>
      </c>
      <c r="LO1" s="264" t="s">
        <v>1072</v>
      </c>
      <c r="LQ1" s="122" t="s">
        <v>2395</v>
      </c>
      <c r="LR1" s="122" t="s">
        <v>2396</v>
      </c>
      <c r="LS1" s="122" t="s">
        <v>876</v>
      </c>
    </row>
    <row r="2" spans="1:331" x14ac:dyDescent="0.3">
      <c r="B2" t="s">
        <v>166</v>
      </c>
      <c r="C2" t="s">
        <v>167</v>
      </c>
      <c r="D2" t="s">
        <v>168</v>
      </c>
      <c r="E2" t="s">
        <v>169</v>
      </c>
      <c r="F2" s="502">
        <v>41300</v>
      </c>
      <c r="G2" t="s">
        <v>170</v>
      </c>
      <c r="H2"/>
      <c r="I2"/>
      <c r="J2" s="38">
        <v>8300000</v>
      </c>
      <c r="K2">
        <v>830000000000</v>
      </c>
      <c r="L2">
        <v>100308.624</v>
      </c>
      <c r="M2" s="38">
        <v>0</v>
      </c>
      <c r="N2">
        <v>11.2</v>
      </c>
      <c r="O2">
        <v>0</v>
      </c>
      <c r="P2" s="37">
        <v>171808000000</v>
      </c>
      <c r="Q2" s="37">
        <v>175505587911.11115</v>
      </c>
      <c r="R2" s="37">
        <v>-120650029835.86119</v>
      </c>
      <c r="S2">
        <v>11.2</v>
      </c>
      <c r="T2" s="70">
        <v>0</v>
      </c>
      <c r="U2">
        <v>0</v>
      </c>
      <c r="V2">
        <v>0</v>
      </c>
      <c r="W2">
        <v>0</v>
      </c>
      <c r="X2" s="38">
        <v>0</v>
      </c>
      <c r="Y2">
        <v>0</v>
      </c>
      <c r="Z2" s="70">
        <v>-2561579999.9999652</v>
      </c>
      <c r="AA2" s="70">
        <v>0</v>
      </c>
      <c r="AB2" s="70">
        <v>-2561579999.9999652</v>
      </c>
      <c r="AC2" s="70">
        <v>-2561579999.9999652</v>
      </c>
      <c r="AD2" s="70">
        <v>-2561580000</v>
      </c>
      <c r="AE2" s="70">
        <v>-2561579999.9999652</v>
      </c>
      <c r="AF2">
        <v>10.7604139</v>
      </c>
      <c r="AG2" s="72">
        <f>Tradingbook_MSB[[#This Row],[Mat. Date]]-RPT</f>
        <v>-4952</v>
      </c>
      <c r="AH2" s="71">
        <f>IF(Tradingbook_MSB[[#This Row],[Days]]&lt;=0,0,YEARFRAC(RPT,Tradingbook_MSB[[#This Row],[Mat. Date]],3))</f>
        <v>0</v>
      </c>
      <c r="AI2" s="71">
        <f>IF(Tradingbook_MSB[[#This Row],[Days (year)]]=0,0,INDEX(Ref!$K$2:$K$13,MATCH(Tradingbook_MSB[[#This Row],[Days (year)]],Ref!$I$2:$I$13,1)))</f>
        <v>0</v>
      </c>
      <c r="AJ2" s="120" t="str">
        <f>VLOOKUP(Tradingbook_MSB[[#This Row],[Security Name]],Ref!X:Z,3,0)</f>
        <v>TPCPBL</v>
      </c>
      <c r="AK2" s="120" t="str">
        <f>VLOOKUP(Tradingbook_MSB[[#This Row],[Security Name]],Ref!X:Y,2,0)</f>
        <v>VDB</v>
      </c>
      <c r="AL2" s="71">
        <f>IF((Tradingbook_MSB[[#This Row],[Mat. Date]]-RPT)&lt;=0,0,Tradingbook_MSB[[#This Row],[QUANTITY]])</f>
        <v>0</v>
      </c>
      <c r="AM2" s="71">
        <f>IF(Tradingbook_MSB[[#This Row],[Quantity_edited]]=0,0,Tradingbook_MSB[[#This Row],[DURATION]])</f>
        <v>0</v>
      </c>
      <c r="AN2" s="71">
        <f>IF(Tradingbook_MSB[[#This Row],[Quantity_edited]]=0,0,Tradingbook_MSB[[#This Row],[Mod Dur]])</f>
        <v>0</v>
      </c>
      <c r="AO2" s="71">
        <f>IF(Tradingbook_MSB[[#This Row],[Quantity_edited]]=0,0,Tradingbook_MSB[[#This Row],[Cnvx.]])</f>
        <v>0</v>
      </c>
      <c r="AP2" s="71">
        <f>(Tradingbook_MSB[[#This Row],[MARKET_VALUE]]+Tradingbook_MSB[[#This Row],[Accr Int]]*Tradingbook_MSB[[#This Row],[Quantity_edited]])*(-Tradingbook_MSB[[#This Row],[Modified Duration]]*0.0001+0.5*Tradingbook_MSB[[#This Row],[Conv]]*(0.0001^2))</f>
        <v>0</v>
      </c>
      <c r="AQ2" s="72">
        <f>(Tradingbook_MSB[[#This Row],[MARKET_VALUE]]+Tradingbook_MSB[[#This Row],[Accr Int]]*Tradingbook_MSB[[#This Row],[Quantity_edited]])*(-Tradingbook_MSB[[#This Row],[Modified Duration]]*0.01+0.5*Tradingbook_MSB[[#This Row],[Conv]]*(0.01^2))</f>
        <v>0</v>
      </c>
      <c r="AR2" s="71"/>
      <c r="AT2" t="s">
        <v>166</v>
      </c>
      <c r="AU2" t="s">
        <v>167</v>
      </c>
      <c r="AV2" t="s">
        <v>168</v>
      </c>
      <c r="AW2" t="s">
        <v>169</v>
      </c>
      <c r="AX2" t="s">
        <v>3323</v>
      </c>
      <c r="AY2" t="s">
        <v>170</v>
      </c>
      <c r="BB2" s="49">
        <v>2700000</v>
      </c>
      <c r="BC2">
        <v>270000000000</v>
      </c>
      <c r="BD2">
        <v>101280.037</v>
      </c>
      <c r="BE2" s="37">
        <v>0</v>
      </c>
      <c r="BF2">
        <v>11.2</v>
      </c>
      <c r="BG2">
        <v>0</v>
      </c>
      <c r="BH2" s="34">
        <v>41440000000</v>
      </c>
      <c r="BI2">
        <v>41965225555.555557</v>
      </c>
      <c r="BJ2">
        <v>-21674732009.583344</v>
      </c>
      <c r="BK2">
        <v>11.2</v>
      </c>
      <c r="BL2">
        <v>0</v>
      </c>
      <c r="BM2">
        <v>0</v>
      </c>
      <c r="BN2">
        <v>0</v>
      </c>
      <c r="BO2">
        <v>0</v>
      </c>
      <c r="BP2">
        <v>0</v>
      </c>
      <c r="BQ2">
        <v>0</v>
      </c>
      <c r="BR2">
        <v>-3456099999.9999986</v>
      </c>
      <c r="BS2">
        <v>0</v>
      </c>
      <c r="BT2">
        <v>-3456099999.9999986</v>
      </c>
      <c r="BU2">
        <v>-3456099999.9999986</v>
      </c>
      <c r="BV2">
        <v>-3456100000</v>
      </c>
      <c r="BW2">
        <v>-3456099999.9999986</v>
      </c>
      <c r="BX2">
        <v>9.3767901600000005</v>
      </c>
      <c r="BY2" s="32">
        <f>Bankingbook_MSB[[#This Row],[Mat. Date]]-RPT</f>
        <v>-4952</v>
      </c>
      <c r="BZ2" s="71">
        <f>IF(Bankingbook_MSB[[#This Row],[Days]]&lt;=0,0,YEARFRAC(RPT,Bankingbook_MSB[[#This Row],[Mat. Date]],3))</f>
        <v>0</v>
      </c>
      <c r="CA2" s="71">
        <f>IF(Bankingbook_MSB[[#This Row],[Days (year)]]=0,0,INDEX(Ref!$K$2:$K$13,MATCH(Bankingbook_MSB[[#This Row],[Days (year)]],Ref!$I$2:$I$13,1)))</f>
        <v>0</v>
      </c>
      <c r="CB2" s="32" t="str">
        <f>VLOOKUP(Bankingbook_MSB[[#This Row],[Security Name]],Ref!X:Z,3,0)</f>
        <v>TPCPBL</v>
      </c>
      <c r="CC2" s="32" t="str">
        <f>VLOOKUP(Bankingbook_MSB[[#This Row],[Security Name]],Ref!X:Y,2,0)</f>
        <v>VDB</v>
      </c>
      <c r="CD2" s="72">
        <f>IF((Bankingbook_MSB[[#This Row],[Mat. Date]]-RPT)&lt;=0,0,Bankingbook_MSB[[#This Row],[QUANTITY]])</f>
        <v>0</v>
      </c>
      <c r="CE2" s="71">
        <f>IF(Bankingbook_MSB[[#This Row],[Quantity_edited]]=0,0,Bankingbook_MSB[[#This Row],[DURATION]])</f>
        <v>0</v>
      </c>
      <c r="CF2" s="71">
        <f>IF(Bankingbook_MSB[[#This Row],[Quantity_edited]]=0,0,Bankingbook_MSB[[#This Row],[Mod Dur]])</f>
        <v>0</v>
      </c>
      <c r="CG2" s="71">
        <f>IF(Bankingbook_MSB[[#This Row],[Quantity_edited]]=0,0,Bankingbook_MSB[[#This Row],[Cnvx.]])</f>
        <v>0</v>
      </c>
      <c r="CH2" s="71">
        <f>(Bankingbook_MSB[[#This Row],[MARKET_VALUE]]+Bankingbook_MSB[[#This Row],[Accr Int]]*Bankingbook_MSB[[#This Row],[Quantity_edited]])*(-Bankingbook_MSB[[#This Row],[Modified Duration]]*0.0001+0.5*Bankingbook_MSB[[#This Row],[Conv]]*(0.0001^2))</f>
        <v>0</v>
      </c>
      <c r="CI2" s="71">
        <f>(Bankingbook_MSB[[#This Row],[MARKET_VALUE]]+Bankingbook_MSB[[#This Row],[Accr Int]]*Bankingbook_MSB[[#This Row],[Quantity_edited]])*(-Bankingbook_MSB[[#This Row],[Modified Duration]]*0.01+0.5*Bankingbook_MSB[[#This Row],[Conv]]*(0.01^2))</f>
        <v>0</v>
      </c>
      <c r="CJ2" s="32"/>
      <c r="CL2" t="s">
        <v>166</v>
      </c>
      <c r="CM2" t="s">
        <v>167</v>
      </c>
      <c r="CN2" t="s">
        <v>168</v>
      </c>
      <c r="CO2" t="s">
        <v>169</v>
      </c>
      <c r="CP2" s="35">
        <v>41300</v>
      </c>
      <c r="CQ2" t="s">
        <v>170</v>
      </c>
      <c r="CR2" t="s">
        <v>174</v>
      </c>
      <c r="CS2" t="s">
        <v>174</v>
      </c>
      <c r="CT2" s="49">
        <v>8300000</v>
      </c>
      <c r="CU2">
        <v>830000000000</v>
      </c>
      <c r="CV2">
        <v>100308.624</v>
      </c>
      <c r="CW2" s="70">
        <v>0</v>
      </c>
      <c r="CX2">
        <v>11.2</v>
      </c>
      <c r="CY2">
        <v>0</v>
      </c>
      <c r="CZ2">
        <v>171808000000</v>
      </c>
      <c r="DA2">
        <v>175505587911.11115</v>
      </c>
      <c r="DB2">
        <v>-120650029835.86119</v>
      </c>
      <c r="DC2">
        <v>11.2</v>
      </c>
      <c r="DD2">
        <v>0</v>
      </c>
      <c r="DE2">
        <v>0</v>
      </c>
      <c r="DF2">
        <v>0</v>
      </c>
      <c r="DG2">
        <v>0</v>
      </c>
      <c r="DH2">
        <v>0</v>
      </c>
      <c r="DI2">
        <v>0</v>
      </c>
      <c r="DJ2" s="500">
        <v>-2561579999.9999652</v>
      </c>
      <c r="DK2" s="500">
        <v>0</v>
      </c>
      <c r="DL2" s="37">
        <v>-2561579999.9999652</v>
      </c>
      <c r="DM2" s="37">
        <v>-2561579999.9999652</v>
      </c>
      <c r="DN2" s="37">
        <v>-2561580000</v>
      </c>
      <c r="DO2" s="37">
        <v>-2561579999.9999652</v>
      </c>
      <c r="DP2" s="32">
        <f>Tradingbook_SBV[[#This Row],[Mat. Date]]-RPT</f>
        <v>-4952</v>
      </c>
      <c r="DQ2" s="32">
        <f>IF(Tradingbook_SBV[[#This Row],[Days]]&lt;=0,0,YEARFRAC(RPT,Tradingbook_SBV[[#This Row],[Mat. Date]],3))</f>
        <v>0</v>
      </c>
      <c r="DR2" s="32">
        <f>IF(Tradingbook_SBV[[#This Row],[Days (year)]]=0,0,INDEX(Ref!$K$2:$K$13,MATCH(Tradingbook_SBV[[#This Row],[Days (year)]],Ref!$I$2:$I$13,1)))</f>
        <v>0</v>
      </c>
      <c r="DS2" s="32" t="str">
        <f>VLOOKUP(Tradingbook_SBV[[#This Row],[Security Name]],Ref!X:Z,3,0)</f>
        <v>TPCPBL</v>
      </c>
      <c r="DT2" s="32" t="str">
        <f>VLOOKUP(Tradingbook_SBV[[#This Row],[Security Name]],Ref!X:Y,2,0)</f>
        <v>VDB</v>
      </c>
      <c r="DU2" s="71">
        <f>IF((Tradingbook_SBV[[#This Row],[Mat. Date]]-RPT)&lt;=0,0,Tradingbook_SBV[[#This Row],[QUANTITY]])</f>
        <v>0</v>
      </c>
      <c r="DV2" s="71">
        <f>IF(Tradingbook_SBV[[#This Row],[Quantity_edited]]=0,0,Tradingbook_SBV[[#This Row],[DURATION]])</f>
        <v>0</v>
      </c>
      <c r="DW2" s="71">
        <f>IF(Tradingbook_SBV[[#This Row],[Quantity_edited]]=0,0,Tradingbook_SBV[[#This Row],[Mod Dur]])</f>
        <v>0</v>
      </c>
      <c r="DX2" s="71">
        <f>IF(Tradingbook_SBV[[#This Row],[Quantity_edited]]=0,0,Tradingbook_SBV[[#This Row],[Cnvx.]])</f>
        <v>0</v>
      </c>
      <c r="DY2" s="71">
        <f>(Tradingbook_SBV[[#This Row],[MARKET_VALUE]]+Tradingbook_SBV[[#This Row],[Accr Int]]*Tradingbook_SBV[[#This Row],[Quantity_edited]])*(-Tradingbook_SBV[[#This Row],[Modified Duration]]*0.0001+0.5*Tradingbook_SBV[[#This Row],[Conv]]*(0.0001^2))</f>
        <v>0</v>
      </c>
      <c r="DZ2" s="71">
        <f>(Tradingbook_SBV[[#This Row],[MARKET_VALUE]]+Tradingbook_SBV[[#This Row],[Accr Int]]*Tradingbook_SBV[[#This Row],[Quantity_edited]])*(-Tradingbook_SBV[[#This Row],[Modified Duration]]*0.01+0.5*Tradingbook_SBV[[#This Row],[Conv]]*(0.01^2))</f>
        <v>0</v>
      </c>
      <c r="EC2" t="s">
        <v>166</v>
      </c>
      <c r="ED2" t="s">
        <v>167</v>
      </c>
      <c r="EE2" t="s">
        <v>168</v>
      </c>
      <c r="EF2" t="s">
        <v>169</v>
      </c>
      <c r="EG2" s="35" t="s">
        <v>3323</v>
      </c>
      <c r="EH2" t="s">
        <v>170</v>
      </c>
      <c r="EK2" s="500">
        <v>2700000</v>
      </c>
      <c r="EL2" s="500">
        <v>270000000000</v>
      </c>
      <c r="EM2" s="500">
        <v>101280.037</v>
      </c>
      <c r="EN2" s="500">
        <v>0</v>
      </c>
      <c r="EO2">
        <v>11.2</v>
      </c>
      <c r="EP2">
        <v>0</v>
      </c>
      <c r="EQ2">
        <v>41440000000</v>
      </c>
      <c r="ER2">
        <v>41965225555.555557</v>
      </c>
      <c r="ES2">
        <v>-21674732009.583344</v>
      </c>
      <c r="ET2">
        <v>11.2</v>
      </c>
      <c r="EU2">
        <v>0</v>
      </c>
      <c r="EV2">
        <v>0</v>
      </c>
      <c r="EW2">
        <v>0</v>
      </c>
      <c r="EX2">
        <v>0</v>
      </c>
      <c r="EY2">
        <v>0</v>
      </c>
      <c r="EZ2">
        <v>0</v>
      </c>
      <c r="FA2">
        <v>-3456099999.9999986</v>
      </c>
      <c r="FB2">
        <v>0</v>
      </c>
      <c r="FC2">
        <v>-3456099999.9999986</v>
      </c>
      <c r="FD2">
        <v>-3456099999.9999986</v>
      </c>
      <c r="FE2">
        <v>-3456100000</v>
      </c>
      <c r="FF2">
        <v>-3456099999.9999986</v>
      </c>
      <c r="FG2" s="32">
        <f>Bankingbook_SBV[[#This Row],[Mat. Date]]-RPT</f>
        <v>-4952</v>
      </c>
      <c r="FH2" s="32">
        <f>IF(Bankingbook_SBV[[#This Row],[Days]]&lt;=0,0,YEARFRAC(RPT,Bankingbook_SBV[[#This Row],[Mat. Date]],3))</f>
        <v>0</v>
      </c>
      <c r="FI2" s="32">
        <f>IF(Bankingbook_SBV[[#This Row],[Days (year)]]=0,0,INDEX(Ref!$K$2:$K$13,MATCH(Bankingbook_SBV[[#This Row],[Days (year)]],Ref!$I$2:$I$13,1)))</f>
        <v>0</v>
      </c>
      <c r="FJ2" s="32" t="str">
        <f>VLOOKUP(Bankingbook_SBV[[#This Row],[Security Name]],Ref!X:Z,3,0)</f>
        <v>TPCPBL</v>
      </c>
      <c r="FK2" s="32" t="str">
        <f>VLOOKUP(Bankingbook_SBV[[#This Row],[Security Name]],Ref!X:Y,2,0)</f>
        <v>VDB</v>
      </c>
      <c r="FL2" s="72">
        <f>IF((Bankingbook_SBV[[#This Row],[Mat. Date]]-RPT)&lt;=0,0,Bankingbook_SBV[[#This Row],[QUANTITY]])</f>
        <v>0</v>
      </c>
      <c r="FM2" s="32">
        <f>IF(Bankingbook_SBV[[#This Row],[Quantity_edited]]=0,0,Bankingbook_SBV[[#This Row],[DURATION]])</f>
        <v>0</v>
      </c>
      <c r="FN2" s="32">
        <f>IF(Bankingbook_SBV[[#This Row],[Quantity_edited]]=0,0,Bankingbook_SBV[[#This Row],[Mod Dur]])</f>
        <v>0</v>
      </c>
      <c r="FO2" s="32">
        <f>IF(Bankingbook_SBV[[#This Row],[Quantity_edited]]=0,0,Bankingbook_SBV[[#This Row],[Cnvx.]])</f>
        <v>0</v>
      </c>
      <c r="FP2" s="32">
        <f>(Bankingbook_SBV[[#This Row],[MARKET_VALUE]]+Bankingbook_SBV[[#This Row],[Accr Int]]*Bankingbook_SBV[[#This Row],[Quantity_edited]])*(-Bankingbook_SBV[[#This Row],[Modified Duration]]*0.0001+0.5*Bankingbook_SBV[[#This Row],[Conv]]*(0.0001^2))</f>
        <v>0</v>
      </c>
      <c r="FQ2" s="32">
        <f>(Bankingbook_SBV[[#This Row],[MARKET_VALUE]]+Bankingbook_SBV[[#This Row],[Accr Int]]*Bankingbook_SBV[[#This Row],[Quantity_edited]])*(-Bankingbook_SBV[[#This Row],[Modified Duration]]*0.01+0.5*Bankingbook_SBV[[#This Row],[Conv]]*(0.01^2))</f>
        <v>0</v>
      </c>
      <c r="FT2" t="s">
        <v>166</v>
      </c>
      <c r="FU2" t="s">
        <v>790</v>
      </c>
      <c r="FV2" t="s">
        <v>4019</v>
      </c>
      <c r="FW2">
        <v>3310648</v>
      </c>
      <c r="FX2" s="502">
        <v>46219</v>
      </c>
      <c r="FY2" t="s">
        <v>2176</v>
      </c>
      <c r="FZ2" t="s">
        <v>812</v>
      </c>
      <c r="GA2" t="s">
        <v>3585</v>
      </c>
      <c r="GB2" t="s">
        <v>810</v>
      </c>
      <c r="GC2" t="s">
        <v>667</v>
      </c>
      <c r="GD2" s="500">
        <v>-49356500000</v>
      </c>
      <c r="GE2">
        <v>6.9999909999999996</v>
      </c>
      <c r="GF2" s="502">
        <v>46223</v>
      </c>
      <c r="GG2" s="502">
        <v>46254</v>
      </c>
      <c r="GH2">
        <v>4.45</v>
      </c>
      <c r="GI2" t="s">
        <v>811</v>
      </c>
      <c r="GJ2" t="s">
        <v>3321</v>
      </c>
      <c r="GK2" t="s">
        <v>3321</v>
      </c>
      <c r="GL2">
        <v>192490350</v>
      </c>
      <c r="GM2">
        <v>-174505652.74000001</v>
      </c>
      <c r="GN2">
        <v>53307000000</v>
      </c>
      <c r="GO2">
        <v>7.41</v>
      </c>
      <c r="GP2">
        <v>0</v>
      </c>
      <c r="GQ2">
        <v>0</v>
      </c>
      <c r="GR2">
        <v>0</v>
      </c>
      <c r="GS2">
        <v>-49529741236.089996</v>
      </c>
      <c r="GT2">
        <v>-173241236.09</v>
      </c>
      <c r="GU2" t="s">
        <v>4100</v>
      </c>
      <c r="GV2" t="s">
        <v>4100</v>
      </c>
      <c r="GW2" s="416">
        <f>FNRP_Repo[[#This Row],[Mat. Date]]-RPT</f>
        <v>2</v>
      </c>
      <c r="GX2" s="819" t="str">
        <f>IF(FNRP_Repo[[#This Row],[Days]]&lt;=0,"Mat",INDEX(Ref!U:U,MATCH(FNRP_Repo[[#This Row],[Days]],Ref!S:S,1)))</f>
        <v>1W</v>
      </c>
      <c r="GY2" s="417">
        <f>RIGHT(FNRP_Repo[[#This Row],[Deal Id]],5)+0</f>
        <v>18040</v>
      </c>
      <c r="HB2" t="s">
        <v>2210</v>
      </c>
      <c r="HC2" t="s">
        <v>2842</v>
      </c>
      <c r="HD2" s="35">
        <v>43709</v>
      </c>
      <c r="HE2" t="s">
        <v>271</v>
      </c>
      <c r="HF2">
        <v>105.8</v>
      </c>
      <c r="HG2" t="s">
        <v>174</v>
      </c>
      <c r="HH2" t="s">
        <v>174</v>
      </c>
      <c r="HI2">
        <v>97156.186612580001</v>
      </c>
      <c r="HJ2">
        <v>105.64842856999999</v>
      </c>
      <c r="HK2" t="s">
        <v>174</v>
      </c>
      <c r="HL2" t="s">
        <v>174</v>
      </c>
      <c r="HM2">
        <v>0</v>
      </c>
      <c r="HN2">
        <v>-1694171.39</v>
      </c>
      <c r="HO2">
        <v>-140</v>
      </c>
      <c r="HP2">
        <v>0</v>
      </c>
      <c r="HQ2">
        <v>0</v>
      </c>
      <c r="HR2">
        <v>0</v>
      </c>
      <c r="HS2">
        <v>0</v>
      </c>
      <c r="HT2">
        <v>0</v>
      </c>
      <c r="HU2">
        <v>0</v>
      </c>
      <c r="HV2">
        <v>0</v>
      </c>
      <c r="HW2">
        <v>-215500002</v>
      </c>
      <c r="HX2">
        <v>0</v>
      </c>
      <c r="HY2">
        <v>335000</v>
      </c>
      <c r="HZ2">
        <v>-215500002</v>
      </c>
      <c r="IA2">
        <v>-215500002</v>
      </c>
      <c r="IB2">
        <v>-215500002</v>
      </c>
      <c r="IC2" s="71">
        <f>IF(FNRP_Future[[#This Row],[Maturity]]&lt;RPT,0,YEARFRAC(RPT,FNRP_Future[[#This Row],[Maturity]],3))</f>
        <v>0</v>
      </c>
      <c r="ID2" s="87">
        <f>IF(FNRP_Future[[#This Row],[tenor]]=0,0,INDEX(Ref!$K$1:$K$13,MATCH(FNRP_Future[[#This Row],[tenor]],Ref!$I$1:$I$13,1)))</f>
        <v>0</v>
      </c>
      <c r="IE2" s="72"/>
      <c r="IF2" s="32"/>
      <c r="II2" t="s">
        <v>4007</v>
      </c>
      <c r="IJ2" t="s">
        <v>167</v>
      </c>
      <c r="IK2" t="s">
        <v>3991</v>
      </c>
      <c r="IL2" t="s">
        <v>169</v>
      </c>
      <c r="IM2" t="s">
        <v>4008</v>
      </c>
      <c r="IN2" t="s">
        <v>170</v>
      </c>
      <c r="IO2">
        <v>0</v>
      </c>
      <c r="IP2">
        <v>0</v>
      </c>
      <c r="IQ2">
        <v>6372854</v>
      </c>
      <c r="IR2">
        <v>637285400</v>
      </c>
      <c r="IS2">
        <v>68.569999999999993</v>
      </c>
      <c r="IT2">
        <v>0</v>
      </c>
      <c r="IU2">
        <v>6</v>
      </c>
      <c r="IV2">
        <v>0</v>
      </c>
      <c r="IW2">
        <v>0</v>
      </c>
      <c r="IX2">
        <v>0</v>
      </c>
      <c r="IY2">
        <v>0</v>
      </c>
      <c r="IZ2">
        <v>0</v>
      </c>
      <c r="JA2">
        <v>0</v>
      </c>
      <c r="JB2">
        <v>0</v>
      </c>
      <c r="JC2">
        <v>0</v>
      </c>
      <c r="JD2">
        <v>196.2839032</v>
      </c>
      <c r="JE2">
        <v>-371.21874550000001</v>
      </c>
      <c r="JF2">
        <v>0</v>
      </c>
      <c r="JG2">
        <v>0</v>
      </c>
      <c r="JH2">
        <v>-436986598.77999997</v>
      </c>
      <c r="JI2">
        <v>-436986598.77999997</v>
      </c>
      <c r="JJ2">
        <v>-436986598.77999997</v>
      </c>
      <c r="JK2">
        <v>-131180186951.58501</v>
      </c>
      <c r="JL2">
        <v>-131180186951.5849</v>
      </c>
      <c r="JM2">
        <v>15.2</v>
      </c>
      <c r="JN2" s="790">
        <f>BB_MSB_ITB[[#This Row],[Mat. Date]]-RPT</f>
        <v>1790</v>
      </c>
      <c r="JO2" s="791">
        <f>IF(BB_MSB_ITB[[#This Row],[Days]]&lt;=0,0,YEARFRAC(RPT,BB_MSB_ITB[[#This Row],[Mat. Date]],3))</f>
        <v>4.904109589041096</v>
      </c>
      <c r="JP2" s="791" t="str">
        <f>IF(BB_MSB_ITB[[#This Row],[Days (year)]]=0,0,INDEX(Ref!$K$2:$K$13,MATCH(BB_MSB_ITB[[#This Row],[Days (year)]],Ref!$I$2:$I$13,1)))</f>
        <v>5Y</v>
      </c>
      <c r="JQ2" s="790" t="e">
        <f>VLOOKUP(BB_MSB_ITB[[#This Row],[Security Name]],Ref!HM:HO,3,0)</f>
        <v>#N/A</v>
      </c>
      <c r="JR2" s="790" t="e">
        <f>VLOOKUP(BB_MSB_ITB[[#This Row],[Security Name]],Ref!HM:HN,2,0)</f>
        <v>#N/A</v>
      </c>
      <c r="JS2" s="792">
        <f>IF((BB_MSB_ITB[[#This Row],[Mat. Date]]-RPT)&lt;=0,0,BB_MSB_ITB[[#This Row],[QUANTITY]])</f>
        <v>6372854</v>
      </c>
      <c r="JT2" s="791">
        <f>IF(BB_MSB_ITB[[#This Row],[Quantity_edited]]=0,0,BB_MSB_ITB[[#This Row],[DURATION]])</f>
        <v>0</v>
      </c>
      <c r="JU2" s="791">
        <f>IF(BB_MSB_ITB[[#This Row],[Quantity_edited]]=0,0,BB_MSB_ITB[[#This Row],[Mod Dur]])</f>
        <v>0</v>
      </c>
      <c r="JV2" s="791">
        <f>IF(BB_MSB_ITB[[#This Row],[Quantity_edited]]=0,0,BB_MSB_ITB[[#This Row],[Cnvx.]])</f>
        <v>0</v>
      </c>
      <c r="JW2" s="791">
        <f>(BB_MSB_ITB[[#This Row],[MARKET_VALUE]]+BB_MSB_ITB[[#This Row],[Accr Int]]*BB_MSB_ITB[[#This Row],[Quantity_edited]])*(-BB_MSB_ITB[[#This Row],[Modified Duration]]*0.0001+0.5*BB_MSB_ITB[[#This Row],[Conv]]*(0.0001^2))</f>
        <v>0</v>
      </c>
      <c r="JX2" s="793">
        <f>(BB_MSB_ITB[[#This Row],[MARKET_VALUE]]+BB_MSB_ITB[[#This Row],[Accr Int]]*BB_MSB_ITB[[#This Row],[Quantity_edited]])*(-BB_MSB_ITB[[#This Row],[Modified Duration]]*0.01+0.5*BB_MSB_ITB[[#This Row],[Conv]]*(0.01^2))</f>
        <v>0</v>
      </c>
      <c r="KA2" t="s">
        <v>4007</v>
      </c>
      <c r="KB2" t="s">
        <v>167</v>
      </c>
      <c r="KC2" t="s">
        <v>3991</v>
      </c>
      <c r="KD2" t="s">
        <v>169</v>
      </c>
      <c r="KE2" t="s">
        <v>4008</v>
      </c>
      <c r="KF2" t="s">
        <v>170</v>
      </c>
      <c r="KG2">
        <v>0</v>
      </c>
      <c r="KH2">
        <v>0</v>
      </c>
      <c r="KI2">
        <v>6372854</v>
      </c>
      <c r="KJ2">
        <v>637285400</v>
      </c>
      <c r="KK2">
        <v>68.569999999999993</v>
      </c>
      <c r="KL2">
        <v>0</v>
      </c>
      <c r="KM2">
        <v>6</v>
      </c>
      <c r="KN2">
        <v>0</v>
      </c>
      <c r="KO2">
        <v>0</v>
      </c>
      <c r="KP2">
        <v>0</v>
      </c>
      <c r="KQ2">
        <v>0</v>
      </c>
      <c r="KR2">
        <v>0</v>
      </c>
      <c r="KS2">
        <v>0</v>
      </c>
      <c r="KT2">
        <v>0</v>
      </c>
      <c r="KU2">
        <v>0</v>
      </c>
      <c r="KV2">
        <v>196.2839032</v>
      </c>
      <c r="KW2">
        <v>-371.21874550000001</v>
      </c>
      <c r="KX2">
        <v>0</v>
      </c>
      <c r="KY2">
        <v>0</v>
      </c>
      <c r="KZ2">
        <v>-436986598.77999997</v>
      </c>
      <c r="LA2">
        <v>-436986598.77999997</v>
      </c>
      <c r="LB2">
        <v>-436986598.77999997</v>
      </c>
      <c r="LC2">
        <v>-131180186951.58501</v>
      </c>
      <c r="LD2">
        <v>-131180186951.5849</v>
      </c>
      <c r="LE2" s="790">
        <f>BB_SBV_ITB[[#This Row],[Mat. Date]]-RPT</f>
        <v>1790</v>
      </c>
      <c r="LF2" s="791">
        <f>IF(BB_SBV_ITB[[#This Row],[Days]]&lt;=0,0,YEARFRAC(RPT,BB_SBV_ITB[[#This Row],[Mat. Date]],3))</f>
        <v>4.904109589041096</v>
      </c>
      <c r="LG2" s="791" t="str">
        <f>IF(BB_SBV_ITB[[#This Row],[Days (year)]]=0,0,INDEX(Ref!$K$2:$K$13,MATCH(BB_SBV_ITB[[#This Row],[Days (year)]],Ref!$I$2:$I$13,1)))</f>
        <v>5Y</v>
      </c>
      <c r="LH2" s="790" t="e">
        <f>VLOOKUP(BB_SBV_ITB[[#This Row],[Security Name]],Ref!JD:JF,3,0)</f>
        <v>#N/A</v>
      </c>
      <c r="LI2" s="790" t="e">
        <f>VLOOKUP(BB_SBV_ITB[[#This Row],[Security Name]],Ref!JD:JE,2,0)</f>
        <v>#N/A</v>
      </c>
      <c r="LJ2" s="792">
        <f>IF((BB_SBV_ITB[[#This Row],[Mat. Date]]-RPT)&lt;=0,0,BB_SBV_ITB[[#This Row],[QUANTITY]])</f>
        <v>6372854</v>
      </c>
      <c r="LK2" s="791">
        <f>IF(BB_SBV_ITB[[#This Row],[Quantity_edited]]=0,0,BB_SBV_ITB[[#This Row],[DURATION]])</f>
        <v>0</v>
      </c>
      <c r="LL2" s="791">
        <f>IF(BB_SBV_ITB[[#This Row],[Quantity_edited]]=0,0,BB_SBV_ITB[[#This Row],[Mod Dur]])</f>
        <v>0</v>
      </c>
      <c r="LM2" s="791">
        <f>IF(BB_SBV_ITB[[#This Row],[Quantity_edited]]=0,0,BB_SBV_ITB[[#This Row],[Cnvx.]])</f>
        <v>0</v>
      </c>
      <c r="LN2" s="791">
        <f>(BB_SBV_ITB[[#This Row],[MARKET_VALUE]]+BB_SBV_ITB[[#This Row],[Accr Int]]*BB_SBV_ITB[[#This Row],[Quantity_edited]])*(-BB_SBV_ITB[[#This Row],[Modified Duration]]*0.0001+0.5*BB_SBV_ITB[[#This Row],[Conv]]*(0.0001^2))</f>
        <v>0</v>
      </c>
      <c r="LO2" s="793">
        <f>(BB_SBV_ITB[[#This Row],[MARKET_VALUE]]+BB_SBV_ITB[[#This Row],[Accr Int]]*BB_SBV_ITB[[#This Row],[Quantity_edited]])*(-BB_SBV_ITB[[#This Row],[Modified Duration]]*0.01+0.5*BB_SBV_ITB[[#This Row],[Conv]]*(0.01^2))</f>
        <v>0</v>
      </c>
      <c r="LQ2" s="123">
        <v>0</v>
      </c>
      <c r="LR2" s="123">
        <v>1.5</v>
      </c>
      <c r="LS2" s="44" t="s">
        <v>877</v>
      </c>
    </row>
    <row r="3" spans="1:331" x14ac:dyDescent="0.3">
      <c r="B3" t="s">
        <v>166</v>
      </c>
      <c r="C3" t="s">
        <v>167</v>
      </c>
      <c r="D3" t="s">
        <v>171</v>
      </c>
      <c r="E3" t="s">
        <v>169</v>
      </c>
      <c r="F3" s="502">
        <v>41302</v>
      </c>
      <c r="G3" t="s">
        <v>170</v>
      </c>
      <c r="H3"/>
      <c r="I3"/>
      <c r="J3" s="38">
        <v>122940</v>
      </c>
      <c r="K3">
        <v>12294000000</v>
      </c>
      <c r="L3">
        <v>100000</v>
      </c>
      <c r="M3" s="38">
        <v>0</v>
      </c>
      <c r="N3">
        <v>11</v>
      </c>
      <c r="O3">
        <v>0</v>
      </c>
      <c r="P3" s="37">
        <v>2704680000</v>
      </c>
      <c r="Q3" s="37">
        <v>2767328089.625</v>
      </c>
      <c r="R3" s="37">
        <v>-2034798722.500001</v>
      </c>
      <c r="S3">
        <v>11</v>
      </c>
      <c r="T3" s="70">
        <v>0</v>
      </c>
      <c r="U3">
        <v>0</v>
      </c>
      <c r="V3">
        <v>0</v>
      </c>
      <c r="W3">
        <v>0</v>
      </c>
      <c r="X3" s="38">
        <v>0</v>
      </c>
      <c r="Y3">
        <v>0</v>
      </c>
      <c r="Z3" s="70">
        <v>0</v>
      </c>
      <c r="AA3" s="70">
        <v>0</v>
      </c>
      <c r="AB3" s="70">
        <v>0</v>
      </c>
      <c r="AC3" s="70">
        <v>0</v>
      </c>
      <c r="AD3" s="70">
        <v>0</v>
      </c>
      <c r="AE3" s="70">
        <v>0</v>
      </c>
      <c r="AF3">
        <v>11</v>
      </c>
      <c r="AG3" s="72">
        <f>Tradingbook_MSB[[#This Row],[Mat. Date]]-RPT</f>
        <v>-4950</v>
      </c>
      <c r="AH3" s="71">
        <f>IF(Tradingbook_MSB[[#This Row],[Days]]&lt;=0,0,YEARFRAC(RPT,Tradingbook_MSB[[#This Row],[Mat. Date]],3))</f>
        <v>0</v>
      </c>
      <c r="AI3" s="71">
        <f>IF(Tradingbook_MSB[[#This Row],[Days (year)]]=0,0,INDEX(Ref!$K$2:$K$13,MATCH(Tradingbook_MSB[[#This Row],[Days (year)]],Ref!$I$2:$I$13,1)))</f>
        <v>0</v>
      </c>
      <c r="AJ3" s="120" t="str">
        <f>VLOOKUP(Tradingbook_MSB[[#This Row],[Security Name]],Ref!X:Z,3,0)</f>
        <v>TPCP</v>
      </c>
      <c r="AK3" s="120" t="str">
        <f>VLOOKUP(Tradingbook_MSB[[#This Row],[Security Name]],Ref!X:Y,2,0)</f>
        <v>KBNN</v>
      </c>
      <c r="AL3" s="71">
        <f>IF((Tradingbook_MSB[[#This Row],[Mat. Date]]-RPT)&lt;=0,0,Tradingbook_MSB[[#This Row],[QUANTITY]])</f>
        <v>0</v>
      </c>
      <c r="AM3" s="71">
        <f>IF(Tradingbook_MSB[[#This Row],[Quantity_edited]]=0,0,Tradingbook_MSB[[#This Row],[DURATION]])</f>
        <v>0</v>
      </c>
      <c r="AN3" s="71">
        <f>IF(Tradingbook_MSB[[#This Row],[Quantity_edited]]=0,0,Tradingbook_MSB[[#This Row],[Mod Dur]])</f>
        <v>0</v>
      </c>
      <c r="AO3" s="71">
        <f>IF(Tradingbook_MSB[[#This Row],[Quantity_edited]]=0,0,Tradingbook_MSB[[#This Row],[Cnvx.]])</f>
        <v>0</v>
      </c>
      <c r="AP3" s="71">
        <f>(Tradingbook_MSB[[#This Row],[MARKET_VALUE]]+Tradingbook_MSB[[#This Row],[Accr Int]]*Tradingbook_MSB[[#This Row],[Quantity_edited]])*(-Tradingbook_MSB[[#This Row],[Modified Duration]]*0.0001+0.5*Tradingbook_MSB[[#This Row],[Conv]]*(0.0001^2))</f>
        <v>0</v>
      </c>
      <c r="AQ3" s="72">
        <f>(Tradingbook_MSB[[#This Row],[MARKET_VALUE]]+Tradingbook_MSB[[#This Row],[Accr Int]]*Tradingbook_MSB[[#This Row],[Quantity_edited]])*(-Tradingbook_MSB[[#This Row],[Modified Duration]]*0.01+0.5*Tradingbook_MSB[[#This Row],[Conv]]*(0.01^2))</f>
        <v>0</v>
      </c>
      <c r="AR3" s="71"/>
      <c r="AT3" t="s">
        <v>166</v>
      </c>
      <c r="AU3" t="s">
        <v>167</v>
      </c>
      <c r="AV3" t="s">
        <v>768</v>
      </c>
      <c r="AW3" t="s">
        <v>169</v>
      </c>
      <c r="AX3" t="s">
        <v>3324</v>
      </c>
      <c r="AY3" t="s">
        <v>170</v>
      </c>
      <c r="BB3" s="49">
        <v>1000000</v>
      </c>
      <c r="BC3">
        <v>100000000000</v>
      </c>
      <c r="BD3">
        <v>101783</v>
      </c>
      <c r="BE3" s="37">
        <v>0</v>
      </c>
      <c r="BF3">
        <v>11.7</v>
      </c>
      <c r="BG3">
        <v>0</v>
      </c>
      <c r="BH3" s="34">
        <v>23400000000</v>
      </c>
      <c r="BI3">
        <v>23804998750</v>
      </c>
      <c r="BJ3">
        <v>-4847909644.4444466</v>
      </c>
      <c r="BK3">
        <v>11.7</v>
      </c>
      <c r="BL3">
        <v>0</v>
      </c>
      <c r="BM3">
        <v>0</v>
      </c>
      <c r="BN3">
        <v>0</v>
      </c>
      <c r="BO3">
        <v>0</v>
      </c>
      <c r="BP3">
        <v>0</v>
      </c>
      <c r="BQ3">
        <v>0</v>
      </c>
      <c r="BR3">
        <v>-1783000000</v>
      </c>
      <c r="BS3">
        <v>0</v>
      </c>
      <c r="BT3">
        <v>-1783000000</v>
      </c>
      <c r="BU3">
        <v>-1783000000</v>
      </c>
      <c r="BV3">
        <v>-1783000000</v>
      </c>
      <c r="BW3">
        <v>-1783000000</v>
      </c>
      <c r="BX3">
        <v>9.8834973759999993</v>
      </c>
      <c r="BY3" s="32">
        <f>Bankingbook_MSB[[#This Row],[Mat. Date]]-RPT</f>
        <v>-4868</v>
      </c>
      <c r="BZ3" s="71">
        <f>IF(Bankingbook_MSB[[#This Row],[Days]]&lt;=0,0,YEARFRAC(RPT,Bankingbook_MSB[[#This Row],[Mat. Date]],3))</f>
        <v>0</v>
      </c>
      <c r="CA3" s="71">
        <f>IF(Bankingbook_MSB[[#This Row],[Days (year)]]=0,0,INDEX(Ref!$K$2:$K$13,MATCH(Bankingbook_MSB[[#This Row],[Days (year)]],Ref!$I$2:$I$13,1)))</f>
        <v>0</v>
      </c>
      <c r="CB3" s="32" t="str">
        <f>VLOOKUP(Bankingbook_MSB[[#This Row],[Security Name]],Ref!X:Z,3,0)</f>
        <v>TPCPBL</v>
      </c>
      <c r="CC3" s="32" t="str">
        <f>VLOOKUP(Bankingbook_MSB[[#This Row],[Security Name]],Ref!X:Y,2,0)</f>
        <v>VDB</v>
      </c>
      <c r="CD3" s="72">
        <f>IF((Bankingbook_MSB[[#This Row],[Mat. Date]]-RPT)&lt;=0,0,Bankingbook_MSB[[#This Row],[QUANTITY]])</f>
        <v>0</v>
      </c>
      <c r="CE3" s="71">
        <f>IF(Bankingbook_MSB[[#This Row],[Quantity_edited]]=0,0,Bankingbook_MSB[[#This Row],[DURATION]])</f>
        <v>0</v>
      </c>
      <c r="CF3" s="71">
        <f>IF(Bankingbook_MSB[[#This Row],[Quantity_edited]]=0,0,Bankingbook_MSB[[#This Row],[Mod Dur]])</f>
        <v>0</v>
      </c>
      <c r="CG3" s="71">
        <f>IF(Bankingbook_MSB[[#This Row],[Quantity_edited]]=0,0,Bankingbook_MSB[[#This Row],[Cnvx.]])</f>
        <v>0</v>
      </c>
      <c r="CH3" s="71">
        <f>(Bankingbook_MSB[[#This Row],[MARKET_VALUE]]+Bankingbook_MSB[[#This Row],[Accr Int]]*Bankingbook_MSB[[#This Row],[Quantity_edited]])*(-Bankingbook_MSB[[#This Row],[Modified Duration]]*0.0001+0.5*Bankingbook_MSB[[#This Row],[Conv]]*(0.0001^2))</f>
        <v>0</v>
      </c>
      <c r="CI3" s="71">
        <f>(Bankingbook_MSB[[#This Row],[MARKET_VALUE]]+Bankingbook_MSB[[#This Row],[Accr Int]]*Bankingbook_MSB[[#This Row],[Quantity_edited]])*(-Bankingbook_MSB[[#This Row],[Modified Duration]]*0.01+0.5*Bankingbook_MSB[[#This Row],[Conv]]*(0.01^2))</f>
        <v>0</v>
      </c>
      <c r="CJ3" s="32"/>
      <c r="CL3" t="s">
        <v>166</v>
      </c>
      <c r="CM3" t="s">
        <v>167</v>
      </c>
      <c r="CN3" t="s">
        <v>171</v>
      </c>
      <c r="CO3" t="s">
        <v>169</v>
      </c>
      <c r="CP3" s="35">
        <v>41302</v>
      </c>
      <c r="CQ3" t="s">
        <v>170</v>
      </c>
      <c r="CR3" t="s">
        <v>174</v>
      </c>
      <c r="CS3" t="s">
        <v>174</v>
      </c>
      <c r="CT3" s="49">
        <v>122940</v>
      </c>
      <c r="CU3">
        <v>12294000000</v>
      </c>
      <c r="CV3">
        <v>100000</v>
      </c>
      <c r="CW3" s="70">
        <v>0</v>
      </c>
      <c r="CX3">
        <v>11</v>
      </c>
      <c r="CY3">
        <v>0</v>
      </c>
      <c r="CZ3">
        <v>2704680000</v>
      </c>
      <c r="DA3">
        <v>2767328089.625</v>
      </c>
      <c r="DB3">
        <v>-2034798722.500001</v>
      </c>
      <c r="DC3">
        <v>11</v>
      </c>
      <c r="DD3">
        <v>0</v>
      </c>
      <c r="DE3">
        <v>0</v>
      </c>
      <c r="DF3">
        <v>0</v>
      </c>
      <c r="DG3">
        <v>0</v>
      </c>
      <c r="DH3">
        <v>0</v>
      </c>
      <c r="DI3">
        <v>0</v>
      </c>
      <c r="DJ3" s="500">
        <v>0</v>
      </c>
      <c r="DK3" s="500">
        <v>0</v>
      </c>
      <c r="DL3" s="37">
        <v>0</v>
      </c>
      <c r="DM3" s="37">
        <v>0</v>
      </c>
      <c r="DN3" s="37">
        <v>0</v>
      </c>
      <c r="DO3" s="37">
        <v>0</v>
      </c>
      <c r="DP3" s="32">
        <f>Tradingbook_SBV[[#This Row],[Mat. Date]]-RPT</f>
        <v>-4950</v>
      </c>
      <c r="DQ3" s="32">
        <f>IF(Tradingbook_SBV[[#This Row],[Days]]&lt;=0,0,YEARFRAC(RPT,Tradingbook_SBV[[#This Row],[Mat. Date]],3))</f>
        <v>0</v>
      </c>
      <c r="DR3" s="32">
        <f>IF(Tradingbook_SBV[[#This Row],[Days (year)]]=0,0,INDEX(Ref!$K$2:$K$13,MATCH(Tradingbook_SBV[[#This Row],[Days (year)]],Ref!$I$2:$I$13,1)))</f>
        <v>0</v>
      </c>
      <c r="DS3" s="32" t="str">
        <f>VLOOKUP(Tradingbook_SBV[[#This Row],[Security Name]],Ref!X:Z,3,0)</f>
        <v>TPCP</v>
      </c>
      <c r="DT3" s="32" t="str">
        <f>VLOOKUP(Tradingbook_SBV[[#This Row],[Security Name]],Ref!X:Y,2,0)</f>
        <v>KBNN</v>
      </c>
      <c r="DU3" s="71">
        <f>IF((Tradingbook_SBV[[#This Row],[Mat. Date]]-RPT)&lt;=0,0,Tradingbook_SBV[[#This Row],[QUANTITY]])</f>
        <v>0</v>
      </c>
      <c r="DV3" s="71">
        <f>IF(Tradingbook_SBV[[#This Row],[Quantity_edited]]=0,0,Tradingbook_SBV[[#This Row],[DURATION]])</f>
        <v>0</v>
      </c>
      <c r="DW3" s="71">
        <f>IF(Tradingbook_SBV[[#This Row],[Quantity_edited]]=0,0,Tradingbook_SBV[[#This Row],[Mod Dur]])</f>
        <v>0</v>
      </c>
      <c r="DX3" s="71">
        <f>IF(Tradingbook_SBV[[#This Row],[Quantity_edited]]=0,0,Tradingbook_SBV[[#This Row],[Cnvx.]])</f>
        <v>0</v>
      </c>
      <c r="DY3" s="71">
        <f>(Tradingbook_SBV[[#This Row],[MARKET_VALUE]]+Tradingbook_SBV[[#This Row],[Accr Int]]*Tradingbook_SBV[[#This Row],[Quantity_edited]])*(-Tradingbook_SBV[[#This Row],[Modified Duration]]*0.0001+0.5*Tradingbook_SBV[[#This Row],[Conv]]*(0.0001^2))</f>
        <v>0</v>
      </c>
      <c r="DZ3" s="71">
        <f>(Tradingbook_SBV[[#This Row],[MARKET_VALUE]]+Tradingbook_SBV[[#This Row],[Accr Int]]*Tradingbook_SBV[[#This Row],[Quantity_edited]])*(-Tradingbook_SBV[[#This Row],[Modified Duration]]*0.01+0.5*Tradingbook_SBV[[#This Row],[Conv]]*(0.01^2))</f>
        <v>0</v>
      </c>
      <c r="EC3" t="s">
        <v>166</v>
      </c>
      <c r="ED3" t="s">
        <v>167</v>
      </c>
      <c r="EE3" t="s">
        <v>768</v>
      </c>
      <c r="EF3" t="s">
        <v>169</v>
      </c>
      <c r="EG3" s="35" t="s">
        <v>3324</v>
      </c>
      <c r="EH3" t="s">
        <v>170</v>
      </c>
      <c r="EK3" s="500">
        <v>1000000</v>
      </c>
      <c r="EL3" s="500">
        <v>100000000000</v>
      </c>
      <c r="EM3" s="500">
        <v>101783</v>
      </c>
      <c r="EN3" s="500">
        <v>0</v>
      </c>
      <c r="EO3">
        <v>11.7</v>
      </c>
      <c r="EP3">
        <v>0</v>
      </c>
      <c r="EQ3">
        <v>23400000000</v>
      </c>
      <c r="ER3">
        <v>23804998750</v>
      </c>
      <c r="ES3">
        <v>-4847909644.4444466</v>
      </c>
      <c r="ET3">
        <v>11.7</v>
      </c>
      <c r="EU3">
        <v>0</v>
      </c>
      <c r="EV3">
        <v>0</v>
      </c>
      <c r="EW3">
        <v>0</v>
      </c>
      <c r="EX3">
        <v>0</v>
      </c>
      <c r="EY3">
        <v>0</v>
      </c>
      <c r="EZ3">
        <v>0</v>
      </c>
      <c r="FA3">
        <v>-1783000000</v>
      </c>
      <c r="FB3">
        <v>0</v>
      </c>
      <c r="FC3">
        <v>-1783000000</v>
      </c>
      <c r="FD3">
        <v>-1783000000</v>
      </c>
      <c r="FE3">
        <v>-1783000000</v>
      </c>
      <c r="FF3">
        <v>-1783000000</v>
      </c>
      <c r="FG3" s="32">
        <f>Bankingbook_SBV[[#This Row],[Mat. Date]]-RPT</f>
        <v>-4868</v>
      </c>
      <c r="FH3" s="32">
        <f>IF(Bankingbook_SBV[[#This Row],[Days]]&lt;=0,0,YEARFRAC(RPT,Bankingbook_SBV[[#This Row],[Mat. Date]],3))</f>
        <v>0</v>
      </c>
      <c r="FI3" s="32">
        <f>IF(Bankingbook_SBV[[#This Row],[Days (year)]]=0,0,INDEX(Ref!$K$2:$K$13,MATCH(Bankingbook_SBV[[#This Row],[Days (year)]],Ref!$I$2:$I$13,1)))</f>
        <v>0</v>
      </c>
      <c r="FJ3" s="32" t="str">
        <f>VLOOKUP(Bankingbook_SBV[[#This Row],[Security Name]],Ref!X:Z,3,0)</f>
        <v>TPCPBL</v>
      </c>
      <c r="FK3" s="32" t="str">
        <f>VLOOKUP(Bankingbook_SBV[[#This Row],[Security Name]],Ref!X:Y,2,0)</f>
        <v>VDB</v>
      </c>
      <c r="FL3" s="72">
        <f>IF((Bankingbook_SBV[[#This Row],[Mat. Date]]-RPT)&lt;=0,0,Bankingbook_SBV[[#This Row],[QUANTITY]])</f>
        <v>0</v>
      </c>
      <c r="FM3" s="32">
        <f>IF(Bankingbook_SBV[[#This Row],[Quantity_edited]]=0,0,Bankingbook_SBV[[#This Row],[DURATION]])</f>
        <v>0</v>
      </c>
      <c r="FN3" s="32">
        <f>IF(Bankingbook_SBV[[#This Row],[Quantity_edited]]=0,0,Bankingbook_SBV[[#This Row],[Mod Dur]])</f>
        <v>0</v>
      </c>
      <c r="FO3" s="32">
        <f>IF(Bankingbook_SBV[[#This Row],[Quantity_edited]]=0,0,Bankingbook_SBV[[#This Row],[Cnvx.]])</f>
        <v>0</v>
      </c>
      <c r="FP3" s="32">
        <f>(Bankingbook_SBV[[#This Row],[MARKET_VALUE]]+Bankingbook_SBV[[#This Row],[Accr Int]]*Bankingbook_SBV[[#This Row],[Quantity_edited]])*(-Bankingbook_SBV[[#This Row],[Modified Duration]]*0.0001+0.5*Bankingbook_SBV[[#This Row],[Conv]]*(0.0001^2))</f>
        <v>0</v>
      </c>
      <c r="FQ3" s="32">
        <f>(Bankingbook_SBV[[#This Row],[MARKET_VALUE]]+Bankingbook_SBV[[#This Row],[Accr Int]]*Bankingbook_SBV[[#This Row],[Quantity_edited]])*(-Bankingbook_SBV[[#This Row],[Modified Duration]]*0.01+0.5*Bankingbook_SBV[[#This Row],[Conv]]*(0.01^2))</f>
        <v>0</v>
      </c>
      <c r="FT3" t="s">
        <v>166</v>
      </c>
      <c r="FU3" t="s">
        <v>790</v>
      </c>
      <c r="FV3" t="s">
        <v>4020</v>
      </c>
      <c r="FW3">
        <v>3310647</v>
      </c>
      <c r="FX3" s="502">
        <v>46219</v>
      </c>
      <c r="FY3" t="s">
        <v>2176</v>
      </c>
      <c r="FZ3" t="s">
        <v>812</v>
      </c>
      <c r="GA3" t="s">
        <v>3585</v>
      </c>
      <c r="GB3" t="s">
        <v>810</v>
      </c>
      <c r="GC3" t="s">
        <v>636</v>
      </c>
      <c r="GD3" s="500">
        <v>-88797000000</v>
      </c>
      <c r="GE3">
        <v>4.9994649999999998</v>
      </c>
      <c r="GF3" s="502">
        <v>46223</v>
      </c>
      <c r="GG3" s="502">
        <v>46254</v>
      </c>
      <c r="GH3">
        <v>4.45</v>
      </c>
      <c r="GI3" t="s">
        <v>811</v>
      </c>
      <c r="GJ3" t="s">
        <v>3321</v>
      </c>
      <c r="GK3" t="s">
        <v>3321</v>
      </c>
      <c r="GL3">
        <v>346308300</v>
      </c>
      <c r="GM3">
        <v>-313952132.88</v>
      </c>
      <c r="GN3">
        <v>93846000000</v>
      </c>
      <c r="GO3">
        <v>5.38</v>
      </c>
      <c r="GP3">
        <v>0</v>
      </c>
      <c r="GQ3">
        <v>0</v>
      </c>
      <c r="GR3">
        <v>0</v>
      </c>
      <c r="GS3">
        <v>-89108677328.539993</v>
      </c>
      <c r="GT3">
        <v>-311677328.54000002</v>
      </c>
      <c r="GU3" t="s">
        <v>4107</v>
      </c>
      <c r="GV3" t="s">
        <v>4107</v>
      </c>
      <c r="GW3" s="416">
        <f>FNRP_Repo[[#This Row],[Mat. Date]]-RPT</f>
        <v>2</v>
      </c>
      <c r="GX3" s="819" t="str">
        <f>IF(FNRP_Repo[[#This Row],[Days]]&lt;=0,"Mat",INDEX(Ref!U:U,MATCH(FNRP_Repo[[#This Row],[Days]],Ref!S:S,1)))</f>
        <v>1W</v>
      </c>
      <c r="GY3" s="417">
        <f>RIGHT(FNRP_Repo[[#This Row],[Deal Id]],5)+0</f>
        <v>18039</v>
      </c>
      <c r="HB3" t="s">
        <v>2211</v>
      </c>
      <c r="HC3" t="s">
        <v>3264</v>
      </c>
      <c r="HD3" s="35">
        <v>43800</v>
      </c>
      <c r="HE3" t="s">
        <v>170</v>
      </c>
      <c r="HF3">
        <v>108</v>
      </c>
      <c r="HG3" t="s">
        <v>174</v>
      </c>
      <c r="HH3" t="s">
        <v>174</v>
      </c>
      <c r="HI3">
        <v>82464.144854790007</v>
      </c>
      <c r="HJ3">
        <v>106.91818182</v>
      </c>
      <c r="HK3" t="s">
        <v>174</v>
      </c>
      <c r="HL3" t="s">
        <v>174</v>
      </c>
      <c r="HM3">
        <v>0</v>
      </c>
      <c r="HN3">
        <v>1719691.29</v>
      </c>
      <c r="HO3">
        <v>11</v>
      </c>
      <c r="HP3">
        <v>0</v>
      </c>
      <c r="HQ3">
        <v>0</v>
      </c>
      <c r="HR3">
        <v>0</v>
      </c>
      <c r="HS3">
        <v>0</v>
      </c>
      <c r="HT3">
        <v>0</v>
      </c>
      <c r="HU3">
        <v>0</v>
      </c>
      <c r="HV3">
        <v>0</v>
      </c>
      <c r="HW3">
        <v>218999999.80000001</v>
      </c>
      <c r="HX3">
        <v>0</v>
      </c>
      <c r="HY3">
        <v>20000</v>
      </c>
      <c r="HZ3">
        <v>218999999.80000001</v>
      </c>
      <c r="IA3">
        <v>218999999.80000001</v>
      </c>
      <c r="IB3">
        <v>218999999.80000001</v>
      </c>
      <c r="IC3" s="71">
        <f>IF(FNRP_Future[[#This Row],[Maturity]]&lt;RPT,0,YEARFRAC(RPT,FNRP_Future[[#This Row],[Maturity]],3))</f>
        <v>0</v>
      </c>
      <c r="ID3" s="87">
        <f>IF(FNRP_Future[[#This Row],[tenor]]=0,0,INDEX(Ref!$K$1:$K$13,MATCH(FNRP_Future[[#This Row],[tenor]],Ref!$I$1:$I$13,1)))</f>
        <v>0</v>
      </c>
      <c r="IE3" s="72"/>
      <c r="IF3" s="32"/>
      <c r="LQ3" s="123">
        <f t="shared" ref="LQ3:LQ9" si="0">LR2</f>
        <v>1.5</v>
      </c>
      <c r="LR3" s="123">
        <f t="shared" ref="LR3:LR9" si="1">LR2+1</f>
        <v>2.5</v>
      </c>
      <c r="LS3" s="44" t="s">
        <v>878</v>
      </c>
    </row>
    <row r="4" spans="1:331" x14ac:dyDescent="0.3">
      <c r="B4" t="s">
        <v>166</v>
      </c>
      <c r="C4" t="s">
        <v>167</v>
      </c>
      <c r="D4" t="s">
        <v>172</v>
      </c>
      <c r="E4" t="s">
        <v>169</v>
      </c>
      <c r="F4" s="502">
        <v>41343</v>
      </c>
      <c r="G4" t="s">
        <v>170</v>
      </c>
      <c r="H4"/>
      <c r="I4"/>
      <c r="J4" s="38">
        <v>500000</v>
      </c>
      <c r="K4">
        <v>50000000000</v>
      </c>
      <c r="L4">
        <v>100567</v>
      </c>
      <c r="M4" s="38">
        <v>0</v>
      </c>
      <c r="N4">
        <v>12</v>
      </c>
      <c r="O4">
        <v>0</v>
      </c>
      <c r="P4" s="37">
        <v>6000000000</v>
      </c>
      <c r="Q4" s="37">
        <v>6000000000</v>
      </c>
      <c r="R4" s="37">
        <v>-1334099594.7916667</v>
      </c>
      <c r="S4">
        <v>12</v>
      </c>
      <c r="T4" s="70">
        <v>0</v>
      </c>
      <c r="U4">
        <v>0</v>
      </c>
      <c r="V4">
        <v>0</v>
      </c>
      <c r="W4">
        <v>0</v>
      </c>
      <c r="X4" s="38">
        <v>0</v>
      </c>
      <c r="Y4">
        <v>0</v>
      </c>
      <c r="Z4" s="70">
        <v>-283500000</v>
      </c>
      <c r="AA4" s="70">
        <v>0</v>
      </c>
      <c r="AB4" s="70">
        <v>-283500000</v>
      </c>
      <c r="AC4" s="70">
        <v>-283500000</v>
      </c>
      <c r="AD4" s="70">
        <v>-283500000</v>
      </c>
      <c r="AE4" s="70">
        <v>-283500000</v>
      </c>
      <c r="AF4">
        <v>10.784215239</v>
      </c>
      <c r="AG4" s="72">
        <f>Tradingbook_MSB[[#This Row],[Mat. Date]]-RPT</f>
        <v>-4909</v>
      </c>
      <c r="AH4" s="71">
        <f>IF(Tradingbook_MSB[[#This Row],[Days]]&lt;=0,0,YEARFRAC(RPT,Tradingbook_MSB[[#This Row],[Mat. Date]],3))</f>
        <v>0</v>
      </c>
      <c r="AI4" s="71">
        <f>IF(Tradingbook_MSB[[#This Row],[Days (year)]]=0,0,INDEX(Ref!$K$2:$K$13,MATCH(Tradingbook_MSB[[#This Row],[Days (year)]],Ref!$I$2:$I$13,1)))</f>
        <v>0</v>
      </c>
      <c r="AJ4" s="120" t="str">
        <f>VLOOKUP(Tradingbook_MSB[[#This Row],[Security Name]],Ref!X:Z,3,0)</f>
        <v>TPCP</v>
      </c>
      <c r="AK4" s="120" t="str">
        <f>VLOOKUP(Tradingbook_MSB[[#This Row],[Security Name]],Ref!X:Y,2,0)</f>
        <v>KBNN</v>
      </c>
      <c r="AL4" s="71">
        <f>IF((Tradingbook_MSB[[#This Row],[Mat. Date]]-RPT)&lt;=0,0,Tradingbook_MSB[[#This Row],[QUANTITY]])</f>
        <v>0</v>
      </c>
      <c r="AM4" s="71">
        <f>IF(Tradingbook_MSB[[#This Row],[Quantity_edited]]=0,0,Tradingbook_MSB[[#This Row],[DURATION]])</f>
        <v>0</v>
      </c>
      <c r="AN4" s="71">
        <f>IF(Tradingbook_MSB[[#This Row],[Quantity_edited]]=0,0,Tradingbook_MSB[[#This Row],[Mod Dur]])</f>
        <v>0</v>
      </c>
      <c r="AO4" s="71">
        <f>IF(Tradingbook_MSB[[#This Row],[Quantity_edited]]=0,0,Tradingbook_MSB[[#This Row],[Cnvx.]])</f>
        <v>0</v>
      </c>
      <c r="AP4" s="71">
        <f>(Tradingbook_MSB[[#This Row],[MARKET_VALUE]]+Tradingbook_MSB[[#This Row],[Accr Int]]*Tradingbook_MSB[[#This Row],[Quantity_edited]])*(-Tradingbook_MSB[[#This Row],[Modified Duration]]*0.0001+0.5*Tradingbook_MSB[[#This Row],[Conv]]*(0.0001^2))</f>
        <v>0</v>
      </c>
      <c r="AQ4" s="72">
        <f>(Tradingbook_MSB[[#This Row],[MARKET_VALUE]]+Tradingbook_MSB[[#This Row],[Accr Int]]*Tradingbook_MSB[[#This Row],[Quantity_edited]])*(-Tradingbook_MSB[[#This Row],[Modified Duration]]*0.01+0.5*Tradingbook_MSB[[#This Row],[Conv]]*(0.01^2))</f>
        <v>0</v>
      </c>
      <c r="AR4" s="71"/>
      <c r="AT4" t="s">
        <v>166</v>
      </c>
      <c r="AU4" t="s">
        <v>167</v>
      </c>
      <c r="AV4" t="s">
        <v>769</v>
      </c>
      <c r="AW4" t="s">
        <v>169</v>
      </c>
      <c r="AX4" t="s">
        <v>3325</v>
      </c>
      <c r="AY4" t="s">
        <v>170</v>
      </c>
      <c r="BB4" s="49">
        <v>3000000</v>
      </c>
      <c r="BC4">
        <v>300000000000</v>
      </c>
      <c r="BD4">
        <v>96094.862999999998</v>
      </c>
      <c r="BE4" s="37">
        <v>0</v>
      </c>
      <c r="BF4">
        <v>0</v>
      </c>
      <c r="BG4">
        <v>0</v>
      </c>
      <c r="BH4" s="34">
        <v>0</v>
      </c>
      <c r="BI4">
        <v>0</v>
      </c>
      <c r="BJ4">
        <v>-4562103608.692277</v>
      </c>
      <c r="BK4">
        <v>0</v>
      </c>
      <c r="BL4">
        <v>0</v>
      </c>
      <c r="BM4">
        <v>0</v>
      </c>
      <c r="BN4">
        <v>0</v>
      </c>
      <c r="BO4">
        <v>0</v>
      </c>
      <c r="BP4">
        <v>0</v>
      </c>
      <c r="BQ4">
        <v>0</v>
      </c>
      <c r="BR4">
        <v>11715411773.070009</v>
      </c>
      <c r="BS4">
        <v>0</v>
      </c>
      <c r="BT4">
        <v>11715411773.070009</v>
      </c>
      <c r="BU4">
        <v>11715411773.070009</v>
      </c>
      <c r="BV4">
        <v>11715411773.07</v>
      </c>
      <c r="BW4">
        <v>11715411773.070009</v>
      </c>
      <c r="BX4">
        <v>8.15</v>
      </c>
      <c r="BY4" s="32">
        <f>Bankingbook_MSB[[#This Row],[Mat. Date]]-RPT</f>
        <v>-4830</v>
      </c>
      <c r="BZ4" s="71">
        <f>IF(Bankingbook_MSB[[#This Row],[Days]]&lt;=0,0,YEARFRAC(RPT,Bankingbook_MSB[[#This Row],[Mat. Date]],3))</f>
        <v>0</v>
      </c>
      <c r="CA4" s="71">
        <f>IF(Bankingbook_MSB[[#This Row],[Days (year)]]=0,0,INDEX(Ref!$K$2:$K$13,MATCH(Bankingbook_MSB[[#This Row],[Days (year)]],Ref!$I$2:$I$13,1)))</f>
        <v>0</v>
      </c>
      <c r="CB4" s="32" t="str">
        <f>VLOOKUP(Bankingbook_MSB[[#This Row],[Security Name]],Ref!X:Z,3,0)</f>
        <v>TPCP</v>
      </c>
      <c r="CC4" s="32" t="str">
        <f>VLOOKUP(Bankingbook_MSB[[#This Row],[Security Name]],Ref!X:Y,2,0)</f>
        <v>KBNN</v>
      </c>
      <c r="CD4" s="72">
        <f>IF((Bankingbook_MSB[[#This Row],[Mat. Date]]-RPT)&lt;=0,0,Bankingbook_MSB[[#This Row],[QUANTITY]])</f>
        <v>0</v>
      </c>
      <c r="CE4" s="71">
        <f>IF(Bankingbook_MSB[[#This Row],[Quantity_edited]]=0,0,Bankingbook_MSB[[#This Row],[DURATION]])</f>
        <v>0</v>
      </c>
      <c r="CF4" s="71">
        <f>IF(Bankingbook_MSB[[#This Row],[Quantity_edited]]=0,0,Bankingbook_MSB[[#This Row],[Mod Dur]])</f>
        <v>0</v>
      </c>
      <c r="CG4" s="71">
        <f>IF(Bankingbook_MSB[[#This Row],[Quantity_edited]]=0,0,Bankingbook_MSB[[#This Row],[Cnvx.]])</f>
        <v>0</v>
      </c>
      <c r="CH4" s="71">
        <f>(Bankingbook_MSB[[#This Row],[MARKET_VALUE]]+Bankingbook_MSB[[#This Row],[Accr Int]]*Bankingbook_MSB[[#This Row],[Quantity_edited]])*(-Bankingbook_MSB[[#This Row],[Modified Duration]]*0.0001+0.5*Bankingbook_MSB[[#This Row],[Conv]]*(0.0001^2))</f>
        <v>0</v>
      </c>
      <c r="CI4" s="71">
        <f>(Bankingbook_MSB[[#This Row],[MARKET_VALUE]]+Bankingbook_MSB[[#This Row],[Accr Int]]*Bankingbook_MSB[[#This Row],[Quantity_edited]])*(-Bankingbook_MSB[[#This Row],[Modified Duration]]*0.01+0.5*Bankingbook_MSB[[#This Row],[Conv]]*(0.01^2))</f>
        <v>0</v>
      </c>
      <c r="CJ4" s="32"/>
      <c r="CL4" t="s">
        <v>166</v>
      </c>
      <c r="CM4" t="s">
        <v>167</v>
      </c>
      <c r="CN4" t="s">
        <v>172</v>
      </c>
      <c r="CO4" t="s">
        <v>169</v>
      </c>
      <c r="CP4" s="35">
        <v>41343</v>
      </c>
      <c r="CQ4" t="s">
        <v>170</v>
      </c>
      <c r="CR4" t="s">
        <v>174</v>
      </c>
      <c r="CS4" t="s">
        <v>174</v>
      </c>
      <c r="CT4" s="49">
        <v>500000</v>
      </c>
      <c r="CU4">
        <v>50000000000</v>
      </c>
      <c r="CV4">
        <v>100567</v>
      </c>
      <c r="CW4" s="70">
        <v>0</v>
      </c>
      <c r="CX4">
        <v>12</v>
      </c>
      <c r="CY4">
        <v>0</v>
      </c>
      <c r="CZ4">
        <v>6000000000</v>
      </c>
      <c r="DA4">
        <v>6000000000</v>
      </c>
      <c r="DB4">
        <v>-1334099594.7916667</v>
      </c>
      <c r="DC4">
        <v>12</v>
      </c>
      <c r="DD4">
        <v>0</v>
      </c>
      <c r="DE4">
        <v>0</v>
      </c>
      <c r="DF4">
        <v>0</v>
      </c>
      <c r="DG4">
        <v>0</v>
      </c>
      <c r="DH4">
        <v>0</v>
      </c>
      <c r="DI4">
        <v>0</v>
      </c>
      <c r="DJ4" s="500">
        <v>-283500000</v>
      </c>
      <c r="DK4" s="500">
        <v>0</v>
      </c>
      <c r="DL4" s="37">
        <v>-283500000</v>
      </c>
      <c r="DM4" s="37">
        <v>-283500000</v>
      </c>
      <c r="DN4" s="37">
        <v>-283500000</v>
      </c>
      <c r="DO4" s="37">
        <v>-283500000</v>
      </c>
      <c r="DP4" s="32">
        <f>Tradingbook_SBV[[#This Row],[Mat. Date]]-RPT</f>
        <v>-4909</v>
      </c>
      <c r="DQ4" s="32">
        <f>IF(Tradingbook_SBV[[#This Row],[Days]]&lt;=0,0,YEARFRAC(RPT,Tradingbook_SBV[[#This Row],[Mat. Date]],3))</f>
        <v>0</v>
      </c>
      <c r="DR4" s="32">
        <f>IF(Tradingbook_SBV[[#This Row],[Days (year)]]=0,0,INDEX(Ref!$K$2:$K$13,MATCH(Tradingbook_SBV[[#This Row],[Days (year)]],Ref!$I$2:$I$13,1)))</f>
        <v>0</v>
      </c>
      <c r="DS4" s="32" t="str">
        <f>VLOOKUP(Tradingbook_SBV[[#This Row],[Security Name]],Ref!X:Z,3,0)</f>
        <v>TPCP</v>
      </c>
      <c r="DT4" s="32" t="str">
        <f>VLOOKUP(Tradingbook_SBV[[#This Row],[Security Name]],Ref!X:Y,2,0)</f>
        <v>KBNN</v>
      </c>
      <c r="DU4" s="71">
        <f>IF((Tradingbook_SBV[[#This Row],[Mat. Date]]-RPT)&lt;=0,0,Tradingbook_SBV[[#This Row],[QUANTITY]])</f>
        <v>0</v>
      </c>
      <c r="DV4" s="71">
        <f>IF(Tradingbook_SBV[[#This Row],[Quantity_edited]]=0,0,Tradingbook_SBV[[#This Row],[DURATION]])</f>
        <v>0</v>
      </c>
      <c r="DW4" s="71">
        <f>IF(Tradingbook_SBV[[#This Row],[Quantity_edited]]=0,0,Tradingbook_SBV[[#This Row],[Mod Dur]])</f>
        <v>0</v>
      </c>
      <c r="DX4" s="71">
        <f>IF(Tradingbook_SBV[[#This Row],[Quantity_edited]]=0,0,Tradingbook_SBV[[#This Row],[Cnvx.]])</f>
        <v>0</v>
      </c>
      <c r="DY4" s="71">
        <f>(Tradingbook_SBV[[#This Row],[MARKET_VALUE]]+Tradingbook_SBV[[#This Row],[Accr Int]]*Tradingbook_SBV[[#This Row],[Quantity_edited]])*(-Tradingbook_SBV[[#This Row],[Modified Duration]]*0.0001+0.5*Tradingbook_SBV[[#This Row],[Conv]]*(0.0001^2))</f>
        <v>0</v>
      </c>
      <c r="DZ4" s="71">
        <f>(Tradingbook_SBV[[#This Row],[MARKET_VALUE]]+Tradingbook_SBV[[#This Row],[Accr Int]]*Tradingbook_SBV[[#This Row],[Quantity_edited]])*(-Tradingbook_SBV[[#This Row],[Modified Duration]]*0.01+0.5*Tradingbook_SBV[[#This Row],[Conv]]*(0.01^2))</f>
        <v>0</v>
      </c>
      <c r="EC4" t="s">
        <v>166</v>
      </c>
      <c r="ED4" t="s">
        <v>167</v>
      </c>
      <c r="EE4" t="s">
        <v>769</v>
      </c>
      <c r="EF4" t="s">
        <v>169</v>
      </c>
      <c r="EG4" s="35" t="s">
        <v>3325</v>
      </c>
      <c r="EH4" t="s">
        <v>170</v>
      </c>
      <c r="EK4" s="500">
        <v>3000000</v>
      </c>
      <c r="EL4" s="500">
        <v>300000000000</v>
      </c>
      <c r="EM4" s="500">
        <v>96094.862999999998</v>
      </c>
      <c r="EN4" s="500">
        <v>0</v>
      </c>
      <c r="EO4">
        <v>0</v>
      </c>
      <c r="EP4">
        <v>0</v>
      </c>
      <c r="EQ4">
        <v>0</v>
      </c>
      <c r="ER4">
        <v>0</v>
      </c>
      <c r="ES4">
        <v>-4562103608.692277</v>
      </c>
      <c r="ET4">
        <v>0</v>
      </c>
      <c r="EU4">
        <v>0</v>
      </c>
      <c r="EV4">
        <v>0</v>
      </c>
      <c r="EW4">
        <v>0</v>
      </c>
      <c r="EX4">
        <v>0</v>
      </c>
      <c r="EY4">
        <v>0</v>
      </c>
      <c r="EZ4">
        <v>0</v>
      </c>
      <c r="FA4">
        <v>11715411773.070009</v>
      </c>
      <c r="FB4">
        <v>0</v>
      </c>
      <c r="FC4">
        <v>11715411773.070009</v>
      </c>
      <c r="FD4">
        <v>11715411773.070009</v>
      </c>
      <c r="FE4">
        <v>11715411773.07</v>
      </c>
      <c r="FF4">
        <v>11715411773.070009</v>
      </c>
      <c r="FG4" s="32">
        <f>Bankingbook_SBV[[#This Row],[Mat. Date]]-RPT</f>
        <v>-4830</v>
      </c>
      <c r="FH4" s="32">
        <f>IF(Bankingbook_SBV[[#This Row],[Days]]&lt;=0,0,YEARFRAC(RPT,Bankingbook_SBV[[#This Row],[Mat. Date]],3))</f>
        <v>0</v>
      </c>
      <c r="FI4" s="32">
        <f>IF(Bankingbook_SBV[[#This Row],[Days (year)]]=0,0,INDEX(Ref!$K$2:$K$13,MATCH(Bankingbook_SBV[[#This Row],[Days (year)]],Ref!$I$2:$I$13,1)))</f>
        <v>0</v>
      </c>
      <c r="FJ4" s="32" t="str">
        <f>VLOOKUP(Bankingbook_SBV[[#This Row],[Security Name]],Ref!X:Z,3,0)</f>
        <v>TPCP</v>
      </c>
      <c r="FK4" s="32" t="str">
        <f>VLOOKUP(Bankingbook_SBV[[#This Row],[Security Name]],Ref!X:Y,2,0)</f>
        <v>KBNN</v>
      </c>
      <c r="FL4" s="72">
        <f>IF((Bankingbook_SBV[[#This Row],[Mat. Date]]-RPT)&lt;=0,0,Bankingbook_SBV[[#This Row],[QUANTITY]])</f>
        <v>0</v>
      </c>
      <c r="FM4" s="32">
        <f>IF(Bankingbook_SBV[[#This Row],[Quantity_edited]]=0,0,Bankingbook_SBV[[#This Row],[DURATION]])</f>
        <v>0</v>
      </c>
      <c r="FN4" s="32">
        <f>IF(Bankingbook_SBV[[#This Row],[Quantity_edited]]=0,0,Bankingbook_SBV[[#This Row],[Mod Dur]])</f>
        <v>0</v>
      </c>
      <c r="FO4" s="32">
        <f>IF(Bankingbook_SBV[[#This Row],[Quantity_edited]]=0,0,Bankingbook_SBV[[#This Row],[Cnvx.]])</f>
        <v>0</v>
      </c>
      <c r="FP4" s="32">
        <f>(Bankingbook_SBV[[#This Row],[MARKET_VALUE]]+Bankingbook_SBV[[#This Row],[Accr Int]]*Bankingbook_SBV[[#This Row],[Quantity_edited]])*(-Bankingbook_SBV[[#This Row],[Modified Duration]]*0.0001+0.5*Bankingbook_SBV[[#This Row],[Conv]]*(0.0001^2))</f>
        <v>0</v>
      </c>
      <c r="FQ4" s="32">
        <f>(Bankingbook_SBV[[#This Row],[MARKET_VALUE]]+Bankingbook_SBV[[#This Row],[Accr Int]]*Bankingbook_SBV[[#This Row],[Quantity_edited]])*(-Bankingbook_SBV[[#This Row],[Modified Duration]]*0.01+0.5*Bankingbook_SBV[[#This Row],[Conv]]*(0.01^2))</f>
        <v>0</v>
      </c>
      <c r="FT4" t="s">
        <v>166</v>
      </c>
      <c r="FU4" t="s">
        <v>790</v>
      </c>
      <c r="FV4" t="s">
        <v>4021</v>
      </c>
      <c r="FW4">
        <v>3310683</v>
      </c>
      <c r="FX4" s="502">
        <v>46219</v>
      </c>
      <c r="FY4" t="s">
        <v>2176</v>
      </c>
      <c r="FZ4" t="s">
        <v>812</v>
      </c>
      <c r="GA4" t="s">
        <v>3585</v>
      </c>
      <c r="GB4" t="s">
        <v>810</v>
      </c>
      <c r="GC4" t="s">
        <v>2497</v>
      </c>
      <c r="GD4" s="500">
        <v>-204092500000</v>
      </c>
      <c r="GE4">
        <v>12.999414</v>
      </c>
      <c r="GF4" s="502">
        <v>46223</v>
      </c>
      <c r="GG4" s="502">
        <v>46254</v>
      </c>
      <c r="GH4">
        <v>4.45</v>
      </c>
      <c r="GI4" t="s">
        <v>811</v>
      </c>
      <c r="GJ4" t="s">
        <v>3321</v>
      </c>
      <c r="GK4" t="s">
        <v>3321</v>
      </c>
      <c r="GL4">
        <v>795960750</v>
      </c>
      <c r="GM4">
        <v>-721592797.95000005</v>
      </c>
      <c r="GN4">
        <v>235082500000</v>
      </c>
      <c r="GO4">
        <v>13.18</v>
      </c>
      <c r="GP4">
        <v>0</v>
      </c>
      <c r="GQ4">
        <v>0</v>
      </c>
      <c r="GR4">
        <v>0</v>
      </c>
      <c r="GS4">
        <v>-204808864349.63</v>
      </c>
      <c r="GT4">
        <v>-716364349.63</v>
      </c>
      <c r="GU4" t="s">
        <v>4128</v>
      </c>
      <c r="GV4" t="s">
        <v>4128</v>
      </c>
      <c r="GW4" s="416">
        <f>FNRP_Repo[[#This Row],[Mat. Date]]-RPT</f>
        <v>2</v>
      </c>
      <c r="GX4" s="819" t="str">
        <f>IF(FNRP_Repo[[#This Row],[Days]]&lt;=0,"Mat",INDEX(Ref!U:U,MATCH(FNRP_Repo[[#This Row],[Days]],Ref!S:S,1)))</f>
        <v>1W</v>
      </c>
      <c r="GY4" s="417">
        <f>RIGHT(FNRP_Repo[[#This Row],[Deal Id]],5)+0</f>
        <v>18044</v>
      </c>
      <c r="HB4" t="s">
        <v>2212</v>
      </c>
      <c r="HC4" t="s">
        <v>3265</v>
      </c>
      <c r="HD4" s="35">
        <v>43891</v>
      </c>
      <c r="HE4" t="s">
        <v>3322</v>
      </c>
      <c r="HF4">
        <v>112.167</v>
      </c>
      <c r="HG4" t="s">
        <v>174</v>
      </c>
      <c r="HH4" t="s">
        <v>174</v>
      </c>
      <c r="HI4">
        <v>91093.287501190003</v>
      </c>
      <c r="HJ4">
        <v>0</v>
      </c>
      <c r="HK4" t="s">
        <v>174</v>
      </c>
      <c r="HL4" t="s">
        <v>174</v>
      </c>
      <c r="HM4">
        <v>0</v>
      </c>
      <c r="HN4">
        <v>157.41999999999999</v>
      </c>
      <c r="HO4">
        <v>0</v>
      </c>
      <c r="HP4">
        <v>0</v>
      </c>
      <c r="HQ4">
        <v>0</v>
      </c>
      <c r="HR4">
        <v>0</v>
      </c>
      <c r="HS4">
        <v>0</v>
      </c>
      <c r="HT4">
        <v>0</v>
      </c>
      <c r="HU4">
        <v>0</v>
      </c>
      <c r="HV4">
        <v>0</v>
      </c>
      <c r="HW4">
        <v>20000</v>
      </c>
      <c r="HX4">
        <v>0</v>
      </c>
      <c r="HY4">
        <v>135000</v>
      </c>
      <c r="HZ4">
        <v>20000</v>
      </c>
      <c r="IA4">
        <v>20000</v>
      </c>
      <c r="IB4">
        <v>20000</v>
      </c>
      <c r="IC4" s="71">
        <f>IF(FNRP_Future[[#This Row],[Maturity]]&lt;RPT,0,YEARFRAC(RPT,FNRP_Future[[#This Row],[Maturity]],3))</f>
        <v>0</v>
      </c>
      <c r="ID4" s="87">
        <f>IF(FNRP_Future[[#This Row],[tenor]]=0,0,INDEX(Ref!$K$1:$K$13,MATCH(FNRP_Future[[#This Row],[tenor]],Ref!$I$1:$I$13,1)))</f>
        <v>0</v>
      </c>
      <c r="IE4" s="72"/>
      <c r="IF4" s="32"/>
      <c r="LQ4" s="123">
        <f t="shared" si="0"/>
        <v>2.5</v>
      </c>
      <c r="LR4" s="123">
        <f t="shared" si="1"/>
        <v>3.5</v>
      </c>
      <c r="LS4" s="44" t="s">
        <v>879</v>
      </c>
    </row>
    <row r="5" spans="1:331" x14ac:dyDescent="0.3">
      <c r="B5" t="s">
        <v>166</v>
      </c>
      <c r="C5" t="s">
        <v>167</v>
      </c>
      <c r="D5" t="s">
        <v>175</v>
      </c>
      <c r="E5" t="s">
        <v>169</v>
      </c>
      <c r="F5" s="502">
        <v>41379</v>
      </c>
      <c r="G5" t="s">
        <v>3322</v>
      </c>
      <c r="H5"/>
      <c r="I5"/>
      <c r="J5" s="38">
        <v>0</v>
      </c>
      <c r="K5">
        <v>0</v>
      </c>
      <c r="L5">
        <v>0</v>
      </c>
      <c r="M5" s="38">
        <v>0</v>
      </c>
      <c r="N5">
        <v>11.9</v>
      </c>
      <c r="O5">
        <v>0</v>
      </c>
      <c r="P5" s="37">
        <v>0</v>
      </c>
      <c r="Q5" s="37">
        <v>0</v>
      </c>
      <c r="R5" s="37">
        <v>-4948373610.416666</v>
      </c>
      <c r="S5">
        <v>11.9</v>
      </c>
      <c r="T5" s="70">
        <v>0</v>
      </c>
      <c r="U5">
        <v>0</v>
      </c>
      <c r="V5">
        <v>0</v>
      </c>
      <c r="W5">
        <v>0</v>
      </c>
      <c r="X5" s="38">
        <v>0</v>
      </c>
      <c r="Y5">
        <v>0</v>
      </c>
      <c r="Z5" s="70">
        <v>558000000</v>
      </c>
      <c r="AA5" s="70">
        <v>0</v>
      </c>
      <c r="AB5" s="70">
        <v>558000000</v>
      </c>
      <c r="AC5" s="70">
        <v>558000000</v>
      </c>
      <c r="AD5" s="70">
        <v>558000000</v>
      </c>
      <c r="AE5" s="70">
        <v>558000000</v>
      </c>
      <c r="AF5">
        <v>0</v>
      </c>
      <c r="AG5" s="72">
        <f>Tradingbook_MSB[[#This Row],[Mat. Date]]-RPT</f>
        <v>-4873</v>
      </c>
      <c r="AH5" s="71">
        <f>IF(Tradingbook_MSB[[#This Row],[Days]]&lt;=0,0,YEARFRAC(RPT,Tradingbook_MSB[[#This Row],[Mat. Date]],3))</f>
        <v>0</v>
      </c>
      <c r="AI5" s="71">
        <f>IF(Tradingbook_MSB[[#This Row],[Days (year)]]=0,0,INDEX(Ref!$K$2:$K$13,MATCH(Tradingbook_MSB[[#This Row],[Days (year)]],Ref!$I$2:$I$13,1)))</f>
        <v>0</v>
      </c>
      <c r="AJ5" s="120" t="str">
        <f>VLOOKUP(Tradingbook_MSB[[#This Row],[Security Name]],Ref!X:Z,3,0)</f>
        <v>TPCPBL</v>
      </c>
      <c r="AK5" s="120" t="str">
        <f>VLOOKUP(Tradingbook_MSB[[#This Row],[Security Name]],Ref!X:Y,2,0)</f>
        <v>VDB</v>
      </c>
      <c r="AL5" s="71">
        <f>IF((Tradingbook_MSB[[#This Row],[Mat. Date]]-RPT)&lt;=0,0,Tradingbook_MSB[[#This Row],[QUANTITY]])</f>
        <v>0</v>
      </c>
      <c r="AM5" s="71">
        <f>IF(Tradingbook_MSB[[#This Row],[Quantity_edited]]=0,0,Tradingbook_MSB[[#This Row],[DURATION]])</f>
        <v>0</v>
      </c>
      <c r="AN5" s="71">
        <f>IF(Tradingbook_MSB[[#This Row],[Quantity_edited]]=0,0,Tradingbook_MSB[[#This Row],[Mod Dur]])</f>
        <v>0</v>
      </c>
      <c r="AO5" s="71">
        <f>IF(Tradingbook_MSB[[#This Row],[Quantity_edited]]=0,0,Tradingbook_MSB[[#This Row],[Cnvx.]])</f>
        <v>0</v>
      </c>
      <c r="AP5" s="71">
        <f>(Tradingbook_MSB[[#This Row],[MARKET_VALUE]]+Tradingbook_MSB[[#This Row],[Accr Int]]*Tradingbook_MSB[[#This Row],[Quantity_edited]])*(-Tradingbook_MSB[[#This Row],[Modified Duration]]*0.0001+0.5*Tradingbook_MSB[[#This Row],[Conv]]*(0.0001^2))</f>
        <v>0</v>
      </c>
      <c r="AQ5" s="72">
        <f>(Tradingbook_MSB[[#This Row],[MARKET_VALUE]]+Tradingbook_MSB[[#This Row],[Accr Int]]*Tradingbook_MSB[[#This Row],[Quantity_edited]])*(-Tradingbook_MSB[[#This Row],[Modified Duration]]*0.01+0.5*Tradingbook_MSB[[#This Row],[Conv]]*(0.01^2))</f>
        <v>0</v>
      </c>
      <c r="AR5" s="71"/>
      <c r="AT5" t="s">
        <v>166</v>
      </c>
      <c r="AU5" t="s">
        <v>167</v>
      </c>
      <c r="AV5" t="s">
        <v>770</v>
      </c>
      <c r="AW5" t="s">
        <v>169</v>
      </c>
      <c r="AX5" t="s">
        <v>3326</v>
      </c>
      <c r="AY5" t="s">
        <v>170</v>
      </c>
      <c r="BB5" s="49">
        <v>5000000</v>
      </c>
      <c r="BC5">
        <v>500000000000</v>
      </c>
      <c r="BD5">
        <v>100000</v>
      </c>
      <c r="BE5" s="37">
        <v>0</v>
      </c>
      <c r="BF5">
        <v>13.2</v>
      </c>
      <c r="BG5">
        <v>0</v>
      </c>
      <c r="BH5" s="34">
        <v>132000000000</v>
      </c>
      <c r="BI5">
        <v>134201925000.00002</v>
      </c>
      <c r="BJ5">
        <v>-64593055555.555656</v>
      </c>
      <c r="BK5">
        <v>13.2</v>
      </c>
      <c r="BL5">
        <v>0</v>
      </c>
      <c r="BM5">
        <v>0</v>
      </c>
      <c r="BN5">
        <v>0</v>
      </c>
      <c r="BO5">
        <v>0</v>
      </c>
      <c r="BP5">
        <v>0</v>
      </c>
      <c r="BQ5">
        <v>0</v>
      </c>
      <c r="BR5">
        <v>0</v>
      </c>
      <c r="BS5">
        <v>0</v>
      </c>
      <c r="BT5">
        <v>0</v>
      </c>
      <c r="BU5">
        <v>0</v>
      </c>
      <c r="BV5">
        <v>0</v>
      </c>
      <c r="BW5">
        <v>0</v>
      </c>
      <c r="BX5">
        <v>13.2</v>
      </c>
      <c r="BY5" s="32">
        <f>Bankingbook_MSB[[#This Row],[Mat. Date]]-RPT</f>
        <v>-4813</v>
      </c>
      <c r="BZ5" s="71">
        <f>IF(Bankingbook_MSB[[#This Row],[Days]]&lt;=0,0,YEARFRAC(RPT,Bankingbook_MSB[[#This Row],[Mat. Date]],3))</f>
        <v>0</v>
      </c>
      <c r="CA5" s="71">
        <f>IF(Bankingbook_MSB[[#This Row],[Days (year)]]=0,0,INDEX(Ref!$K$2:$K$13,MATCH(Bankingbook_MSB[[#This Row],[Days (year)]],Ref!$I$2:$I$13,1)))</f>
        <v>0</v>
      </c>
      <c r="CB5" s="32" t="str">
        <f>VLOOKUP(Bankingbook_MSB[[#This Row],[Security Name]],Ref!X:Z,3,0)</f>
        <v>TPCPBL</v>
      </c>
      <c r="CC5" s="32" t="str">
        <f>VLOOKUP(Bankingbook_MSB[[#This Row],[Security Name]],Ref!X:Y,2,0)</f>
        <v>VBS</v>
      </c>
      <c r="CD5" s="72">
        <f>IF((Bankingbook_MSB[[#This Row],[Mat. Date]]-RPT)&lt;=0,0,Bankingbook_MSB[[#This Row],[QUANTITY]])</f>
        <v>0</v>
      </c>
      <c r="CE5" s="71">
        <f>IF(Bankingbook_MSB[[#This Row],[Quantity_edited]]=0,0,Bankingbook_MSB[[#This Row],[DURATION]])</f>
        <v>0</v>
      </c>
      <c r="CF5" s="71">
        <f>IF(Bankingbook_MSB[[#This Row],[Quantity_edited]]=0,0,Bankingbook_MSB[[#This Row],[Mod Dur]])</f>
        <v>0</v>
      </c>
      <c r="CG5" s="71">
        <f>IF(Bankingbook_MSB[[#This Row],[Quantity_edited]]=0,0,Bankingbook_MSB[[#This Row],[Cnvx.]])</f>
        <v>0</v>
      </c>
      <c r="CH5" s="71">
        <f>(Bankingbook_MSB[[#This Row],[MARKET_VALUE]]+Bankingbook_MSB[[#This Row],[Accr Int]]*Bankingbook_MSB[[#This Row],[Quantity_edited]])*(-Bankingbook_MSB[[#This Row],[Modified Duration]]*0.0001+0.5*Bankingbook_MSB[[#This Row],[Conv]]*(0.0001^2))</f>
        <v>0</v>
      </c>
      <c r="CI5" s="71">
        <f>(Bankingbook_MSB[[#This Row],[MARKET_VALUE]]+Bankingbook_MSB[[#This Row],[Accr Int]]*Bankingbook_MSB[[#This Row],[Quantity_edited]])*(-Bankingbook_MSB[[#This Row],[Modified Duration]]*0.01+0.5*Bankingbook_MSB[[#This Row],[Conv]]*(0.01^2))</f>
        <v>0</v>
      </c>
      <c r="CJ5" s="32"/>
      <c r="CL5" t="s">
        <v>166</v>
      </c>
      <c r="CM5" t="s">
        <v>167</v>
      </c>
      <c r="CN5" t="s">
        <v>175</v>
      </c>
      <c r="CO5" t="s">
        <v>169</v>
      </c>
      <c r="CP5" s="35">
        <v>41379</v>
      </c>
      <c r="CQ5" t="s">
        <v>3322</v>
      </c>
      <c r="CR5" t="s">
        <v>174</v>
      </c>
      <c r="CS5" t="s">
        <v>174</v>
      </c>
      <c r="CT5" s="49">
        <v>0</v>
      </c>
      <c r="CU5">
        <v>0</v>
      </c>
      <c r="CV5">
        <v>0</v>
      </c>
      <c r="CW5" s="70">
        <v>0</v>
      </c>
      <c r="CX5">
        <v>11.9</v>
      </c>
      <c r="CY5">
        <v>0</v>
      </c>
      <c r="CZ5">
        <v>0</v>
      </c>
      <c r="DA5">
        <v>0</v>
      </c>
      <c r="DB5">
        <v>-4948373610.416666</v>
      </c>
      <c r="DC5">
        <v>11.9</v>
      </c>
      <c r="DD5">
        <v>0</v>
      </c>
      <c r="DE5">
        <v>0</v>
      </c>
      <c r="DF5">
        <v>0</v>
      </c>
      <c r="DG5">
        <v>0</v>
      </c>
      <c r="DH5">
        <v>0</v>
      </c>
      <c r="DI5">
        <v>0</v>
      </c>
      <c r="DJ5" s="500">
        <v>558000000</v>
      </c>
      <c r="DK5" s="500">
        <v>0</v>
      </c>
      <c r="DL5" s="37">
        <v>558000000</v>
      </c>
      <c r="DM5" s="37">
        <v>558000000</v>
      </c>
      <c r="DN5" s="37">
        <v>558000000</v>
      </c>
      <c r="DO5" s="37">
        <v>558000000</v>
      </c>
      <c r="DP5" s="32">
        <f>Tradingbook_SBV[[#This Row],[Mat. Date]]-RPT</f>
        <v>-4873</v>
      </c>
      <c r="DQ5" s="32">
        <f>IF(Tradingbook_SBV[[#This Row],[Days]]&lt;=0,0,YEARFRAC(RPT,Tradingbook_SBV[[#This Row],[Mat. Date]],3))</f>
        <v>0</v>
      </c>
      <c r="DR5" s="32">
        <f>IF(Tradingbook_SBV[[#This Row],[Days (year)]]=0,0,INDEX(Ref!$K$2:$K$13,MATCH(Tradingbook_SBV[[#This Row],[Days (year)]],Ref!$I$2:$I$13,1)))</f>
        <v>0</v>
      </c>
      <c r="DS5" s="32" t="str">
        <f>VLOOKUP(Tradingbook_SBV[[#This Row],[Security Name]],Ref!X:Z,3,0)</f>
        <v>TPCPBL</v>
      </c>
      <c r="DT5" s="32" t="str">
        <f>VLOOKUP(Tradingbook_SBV[[#This Row],[Security Name]],Ref!X:Y,2,0)</f>
        <v>VDB</v>
      </c>
      <c r="DU5" s="71">
        <f>IF((Tradingbook_SBV[[#This Row],[Mat. Date]]-RPT)&lt;=0,0,Tradingbook_SBV[[#This Row],[QUANTITY]])</f>
        <v>0</v>
      </c>
      <c r="DV5" s="71">
        <f>IF(Tradingbook_SBV[[#This Row],[Quantity_edited]]=0,0,Tradingbook_SBV[[#This Row],[DURATION]])</f>
        <v>0</v>
      </c>
      <c r="DW5" s="71">
        <f>IF(Tradingbook_SBV[[#This Row],[Quantity_edited]]=0,0,Tradingbook_SBV[[#This Row],[Mod Dur]])</f>
        <v>0</v>
      </c>
      <c r="DX5" s="71">
        <f>IF(Tradingbook_SBV[[#This Row],[Quantity_edited]]=0,0,Tradingbook_SBV[[#This Row],[Cnvx.]])</f>
        <v>0</v>
      </c>
      <c r="DY5" s="71">
        <f>(Tradingbook_SBV[[#This Row],[MARKET_VALUE]]+Tradingbook_SBV[[#This Row],[Accr Int]]*Tradingbook_SBV[[#This Row],[Quantity_edited]])*(-Tradingbook_SBV[[#This Row],[Modified Duration]]*0.0001+0.5*Tradingbook_SBV[[#This Row],[Conv]]*(0.0001^2))</f>
        <v>0</v>
      </c>
      <c r="DZ5" s="71">
        <f>(Tradingbook_SBV[[#This Row],[MARKET_VALUE]]+Tradingbook_SBV[[#This Row],[Accr Int]]*Tradingbook_SBV[[#This Row],[Quantity_edited]])*(-Tradingbook_SBV[[#This Row],[Modified Duration]]*0.01+0.5*Tradingbook_SBV[[#This Row],[Conv]]*(0.01^2))</f>
        <v>0</v>
      </c>
      <c r="EC5" t="s">
        <v>166</v>
      </c>
      <c r="ED5" t="s">
        <v>167</v>
      </c>
      <c r="EE5" t="s">
        <v>770</v>
      </c>
      <c r="EF5" t="s">
        <v>169</v>
      </c>
      <c r="EG5" s="35" t="s">
        <v>3326</v>
      </c>
      <c r="EH5" t="s">
        <v>170</v>
      </c>
      <c r="EK5" s="500">
        <v>5000000</v>
      </c>
      <c r="EL5" s="500">
        <v>500000000000</v>
      </c>
      <c r="EM5" s="500">
        <v>100000</v>
      </c>
      <c r="EN5" s="500">
        <v>0</v>
      </c>
      <c r="EO5">
        <v>13.2</v>
      </c>
      <c r="EP5">
        <v>0</v>
      </c>
      <c r="EQ5">
        <v>132000000000</v>
      </c>
      <c r="ER5">
        <v>134201925000.00002</v>
      </c>
      <c r="ES5">
        <v>-64593055555.555656</v>
      </c>
      <c r="ET5">
        <v>13.2</v>
      </c>
      <c r="EU5">
        <v>0</v>
      </c>
      <c r="EV5">
        <v>0</v>
      </c>
      <c r="EW5">
        <v>0</v>
      </c>
      <c r="EX5">
        <v>0</v>
      </c>
      <c r="EY5">
        <v>0</v>
      </c>
      <c r="EZ5">
        <v>0</v>
      </c>
      <c r="FA5">
        <v>0</v>
      </c>
      <c r="FB5">
        <v>0</v>
      </c>
      <c r="FC5">
        <v>0</v>
      </c>
      <c r="FD5">
        <v>0</v>
      </c>
      <c r="FE5">
        <v>0</v>
      </c>
      <c r="FF5">
        <v>0</v>
      </c>
      <c r="FG5" s="32">
        <f>Bankingbook_SBV[[#This Row],[Mat. Date]]-RPT</f>
        <v>-4813</v>
      </c>
      <c r="FH5" s="32">
        <f>IF(Bankingbook_SBV[[#This Row],[Days]]&lt;=0,0,YEARFRAC(RPT,Bankingbook_SBV[[#This Row],[Mat. Date]],3))</f>
        <v>0</v>
      </c>
      <c r="FI5" s="32">
        <f>IF(Bankingbook_SBV[[#This Row],[Days (year)]]=0,0,INDEX(Ref!$K$2:$K$13,MATCH(Bankingbook_SBV[[#This Row],[Days (year)]],Ref!$I$2:$I$13,1)))</f>
        <v>0</v>
      </c>
      <c r="FJ5" s="32" t="str">
        <f>VLOOKUP(Bankingbook_SBV[[#This Row],[Security Name]],Ref!X:Z,3,0)</f>
        <v>TPCPBL</v>
      </c>
      <c r="FK5" s="32" t="str">
        <f>VLOOKUP(Bankingbook_SBV[[#This Row],[Security Name]],Ref!X:Y,2,0)</f>
        <v>VBS</v>
      </c>
      <c r="FL5" s="72">
        <f>IF((Bankingbook_SBV[[#This Row],[Mat. Date]]-RPT)&lt;=0,0,Bankingbook_SBV[[#This Row],[QUANTITY]])</f>
        <v>0</v>
      </c>
      <c r="FM5" s="32">
        <f>IF(Bankingbook_SBV[[#This Row],[Quantity_edited]]=0,0,Bankingbook_SBV[[#This Row],[DURATION]])</f>
        <v>0</v>
      </c>
      <c r="FN5" s="32">
        <f>IF(Bankingbook_SBV[[#This Row],[Quantity_edited]]=0,0,Bankingbook_SBV[[#This Row],[Mod Dur]])</f>
        <v>0</v>
      </c>
      <c r="FO5" s="32">
        <f>IF(Bankingbook_SBV[[#This Row],[Quantity_edited]]=0,0,Bankingbook_SBV[[#This Row],[Cnvx.]])</f>
        <v>0</v>
      </c>
      <c r="FP5" s="32">
        <f>(Bankingbook_SBV[[#This Row],[MARKET_VALUE]]+Bankingbook_SBV[[#This Row],[Accr Int]]*Bankingbook_SBV[[#This Row],[Quantity_edited]])*(-Bankingbook_SBV[[#This Row],[Modified Duration]]*0.0001+0.5*Bankingbook_SBV[[#This Row],[Conv]]*(0.0001^2))</f>
        <v>0</v>
      </c>
      <c r="FQ5" s="32">
        <f>(Bankingbook_SBV[[#This Row],[MARKET_VALUE]]+Bankingbook_SBV[[#This Row],[Accr Int]]*Bankingbook_SBV[[#This Row],[Quantity_edited]])*(-Bankingbook_SBV[[#This Row],[Modified Duration]]*0.01+0.5*Bankingbook_SBV[[#This Row],[Conv]]*(0.01^2))</f>
        <v>0</v>
      </c>
      <c r="FT5" t="s">
        <v>166</v>
      </c>
      <c r="FU5" t="s">
        <v>790</v>
      </c>
      <c r="FV5" t="s">
        <v>4022</v>
      </c>
      <c r="FW5">
        <v>3310676</v>
      </c>
      <c r="FX5" s="502">
        <v>46219</v>
      </c>
      <c r="FY5" t="s">
        <v>2176</v>
      </c>
      <c r="FZ5" t="s">
        <v>812</v>
      </c>
      <c r="GA5" t="s">
        <v>3585</v>
      </c>
      <c r="GB5" t="s">
        <v>810</v>
      </c>
      <c r="GC5" t="s">
        <v>2503</v>
      </c>
      <c r="GD5" s="500">
        <v>-327464000000</v>
      </c>
      <c r="GE5">
        <v>9.9997799999999994</v>
      </c>
      <c r="GF5" s="502">
        <v>46223</v>
      </c>
      <c r="GG5" s="502">
        <v>46254</v>
      </c>
      <c r="GH5">
        <v>4.45</v>
      </c>
      <c r="GI5" t="s">
        <v>811</v>
      </c>
      <c r="GJ5" t="s">
        <v>3321</v>
      </c>
      <c r="GK5" t="s">
        <v>3321</v>
      </c>
      <c r="GL5">
        <v>1277109600</v>
      </c>
      <c r="GM5">
        <v>-1157787101.3699999</v>
      </c>
      <c r="GN5">
        <v>365412000000</v>
      </c>
      <c r="GO5">
        <v>10.38</v>
      </c>
      <c r="GP5">
        <v>0</v>
      </c>
      <c r="GQ5">
        <v>0</v>
      </c>
      <c r="GR5">
        <v>0</v>
      </c>
      <c r="GS5">
        <v>-328613398119.06</v>
      </c>
      <c r="GT5">
        <v>-1149398119.0599999</v>
      </c>
      <c r="GU5" t="s">
        <v>4131</v>
      </c>
      <c r="GV5" t="s">
        <v>4131</v>
      </c>
      <c r="GW5" s="416">
        <f>FNRP_Repo[[#This Row],[Mat. Date]]-RPT</f>
        <v>2</v>
      </c>
      <c r="GX5" s="819" t="str">
        <f>IF(FNRP_Repo[[#This Row],[Days]]&lt;=0,"Mat",INDEX(Ref!U:U,MATCH(FNRP_Repo[[#This Row],[Days]],Ref!S:S,1)))</f>
        <v>1W</v>
      </c>
      <c r="GY5" s="417">
        <f>RIGHT(FNRP_Repo[[#This Row],[Deal Id]],5)+0</f>
        <v>18042</v>
      </c>
      <c r="HB5" t="s">
        <v>2213</v>
      </c>
      <c r="HC5" t="s">
        <v>2214</v>
      </c>
      <c r="HD5" s="35">
        <v>44075</v>
      </c>
      <c r="HE5" t="s">
        <v>3322</v>
      </c>
      <c r="HF5">
        <v>111.337</v>
      </c>
      <c r="HG5" t="s">
        <v>174</v>
      </c>
      <c r="HH5" t="s">
        <v>174</v>
      </c>
      <c r="HJ5">
        <v>0</v>
      </c>
      <c r="HK5" t="s">
        <v>174</v>
      </c>
      <c r="HL5" t="s">
        <v>174</v>
      </c>
      <c r="HM5">
        <v>0</v>
      </c>
      <c r="HN5">
        <v>-4473.62</v>
      </c>
      <c r="HO5">
        <v>0</v>
      </c>
      <c r="HP5">
        <v>0</v>
      </c>
      <c r="HQ5">
        <v>0</v>
      </c>
      <c r="HR5">
        <v>0</v>
      </c>
      <c r="HS5">
        <v>0</v>
      </c>
      <c r="HT5">
        <v>0</v>
      </c>
      <c r="HU5">
        <v>0</v>
      </c>
      <c r="HV5">
        <v>0</v>
      </c>
      <c r="HW5">
        <v>0</v>
      </c>
      <c r="HX5">
        <v>0</v>
      </c>
      <c r="HY5">
        <v>10000</v>
      </c>
      <c r="HZ5">
        <v>0</v>
      </c>
      <c r="IA5">
        <v>0</v>
      </c>
      <c r="IB5">
        <v>0</v>
      </c>
      <c r="IC5" s="71">
        <f>IF(FNRP_Future[[#This Row],[Maturity]]&lt;RPT,0,YEARFRAC(RPT,FNRP_Future[[#This Row],[Maturity]],3))</f>
        <v>0</v>
      </c>
      <c r="ID5" s="87">
        <f>IF(FNRP_Future[[#This Row],[tenor]]=0,0,INDEX(Ref!$K$1:$K$13,MATCH(FNRP_Future[[#This Row],[tenor]],Ref!$I$1:$I$13,1)))</f>
        <v>0</v>
      </c>
      <c r="IE5" s="72"/>
      <c r="IF5" s="32"/>
      <c r="LQ5" s="123">
        <f t="shared" si="0"/>
        <v>3.5</v>
      </c>
      <c r="LR5" s="123">
        <f t="shared" si="1"/>
        <v>4.5</v>
      </c>
      <c r="LS5" s="44" t="s">
        <v>880</v>
      </c>
    </row>
    <row r="6" spans="1:331" x14ac:dyDescent="0.3">
      <c r="B6" t="s">
        <v>166</v>
      </c>
      <c r="C6" t="s">
        <v>167</v>
      </c>
      <c r="D6" t="s">
        <v>176</v>
      </c>
      <c r="E6" t="s">
        <v>169</v>
      </c>
      <c r="F6" s="502">
        <v>41380</v>
      </c>
      <c r="G6" t="s">
        <v>3322</v>
      </c>
      <c r="H6"/>
      <c r="I6"/>
      <c r="J6" s="38">
        <v>0</v>
      </c>
      <c r="K6">
        <v>0</v>
      </c>
      <c r="L6">
        <v>0</v>
      </c>
      <c r="M6" s="38">
        <v>0</v>
      </c>
      <c r="N6">
        <v>0</v>
      </c>
      <c r="O6">
        <v>0</v>
      </c>
      <c r="P6" s="37">
        <v>0</v>
      </c>
      <c r="Q6" s="37">
        <v>0</v>
      </c>
      <c r="R6" s="37">
        <v>-16033110.555555701</v>
      </c>
      <c r="S6">
        <v>0</v>
      </c>
      <c r="T6" s="70">
        <v>0</v>
      </c>
      <c r="U6">
        <v>0</v>
      </c>
      <c r="V6">
        <v>0</v>
      </c>
      <c r="W6">
        <v>0</v>
      </c>
      <c r="X6" s="38">
        <v>0</v>
      </c>
      <c r="Y6">
        <v>0</v>
      </c>
      <c r="Z6" s="70">
        <v>162400000</v>
      </c>
      <c r="AA6" s="70">
        <v>0</v>
      </c>
      <c r="AB6" s="70">
        <v>162400000</v>
      </c>
      <c r="AC6" s="70">
        <v>162400000</v>
      </c>
      <c r="AD6" s="70">
        <v>162400000</v>
      </c>
      <c r="AE6" s="70">
        <v>162400000</v>
      </c>
      <c r="AF6">
        <v>0</v>
      </c>
      <c r="AG6" s="72">
        <f>Tradingbook_MSB[[#This Row],[Mat. Date]]-RPT</f>
        <v>-4872</v>
      </c>
      <c r="AH6" s="71">
        <f>IF(Tradingbook_MSB[[#This Row],[Days]]&lt;=0,0,YEARFRAC(RPT,Tradingbook_MSB[[#This Row],[Mat. Date]],3))</f>
        <v>0</v>
      </c>
      <c r="AI6" s="71">
        <f>IF(Tradingbook_MSB[[#This Row],[Days (year)]]=0,0,INDEX(Ref!$K$2:$K$13,MATCH(Tradingbook_MSB[[#This Row],[Days (year)]],Ref!$I$2:$I$13,1)))</f>
        <v>0</v>
      </c>
      <c r="AJ6" s="120" t="str">
        <f>VLOOKUP(Tradingbook_MSB[[#This Row],[Security Name]],Ref!X:Z,3,0)</f>
        <v>TPCP</v>
      </c>
      <c r="AK6" s="120" t="str">
        <f>VLOOKUP(Tradingbook_MSB[[#This Row],[Security Name]],Ref!X:Y,2,0)</f>
        <v>KBNN</v>
      </c>
      <c r="AL6" s="71">
        <f>IF((Tradingbook_MSB[[#This Row],[Mat. Date]]-RPT)&lt;=0,0,Tradingbook_MSB[[#This Row],[QUANTITY]])</f>
        <v>0</v>
      </c>
      <c r="AM6" s="71">
        <f>IF(Tradingbook_MSB[[#This Row],[Quantity_edited]]=0,0,Tradingbook_MSB[[#This Row],[DURATION]])</f>
        <v>0</v>
      </c>
      <c r="AN6" s="71">
        <f>IF(Tradingbook_MSB[[#This Row],[Quantity_edited]]=0,0,Tradingbook_MSB[[#This Row],[Mod Dur]])</f>
        <v>0</v>
      </c>
      <c r="AO6" s="71">
        <f>IF(Tradingbook_MSB[[#This Row],[Quantity_edited]]=0,0,Tradingbook_MSB[[#This Row],[Cnvx.]])</f>
        <v>0</v>
      </c>
      <c r="AP6" s="71">
        <f>(Tradingbook_MSB[[#This Row],[MARKET_VALUE]]+Tradingbook_MSB[[#This Row],[Accr Int]]*Tradingbook_MSB[[#This Row],[Quantity_edited]])*(-Tradingbook_MSB[[#This Row],[Modified Duration]]*0.0001+0.5*Tradingbook_MSB[[#This Row],[Conv]]*(0.0001^2))</f>
        <v>0</v>
      </c>
      <c r="AQ6" s="72">
        <f>(Tradingbook_MSB[[#This Row],[MARKET_VALUE]]+Tradingbook_MSB[[#This Row],[Accr Int]]*Tradingbook_MSB[[#This Row],[Quantity_edited]])*(-Tradingbook_MSB[[#This Row],[Modified Duration]]*0.01+0.5*Tradingbook_MSB[[#This Row],[Conv]]*(0.01^2))</f>
        <v>0</v>
      </c>
      <c r="AR6" s="71"/>
      <c r="AT6" t="s">
        <v>166</v>
      </c>
      <c r="AU6" t="s">
        <v>167</v>
      </c>
      <c r="AV6" t="s">
        <v>183</v>
      </c>
      <c r="AW6" t="s">
        <v>169</v>
      </c>
      <c r="AX6" t="s">
        <v>3327</v>
      </c>
      <c r="AY6" t="s">
        <v>170</v>
      </c>
      <c r="BB6" s="49">
        <v>2300000</v>
      </c>
      <c r="BC6">
        <v>230000000000</v>
      </c>
      <c r="BD6">
        <v>100971.087</v>
      </c>
      <c r="BE6" s="37">
        <v>0</v>
      </c>
      <c r="BF6">
        <v>11.3</v>
      </c>
      <c r="BG6">
        <v>0</v>
      </c>
      <c r="BH6" s="34">
        <v>44070000000</v>
      </c>
      <c r="BI6">
        <v>45053721500.000008</v>
      </c>
      <c r="BJ6">
        <v>-19948168709.722244</v>
      </c>
      <c r="BK6">
        <v>11.3</v>
      </c>
      <c r="BL6">
        <v>0</v>
      </c>
      <c r="BM6">
        <v>0</v>
      </c>
      <c r="BN6">
        <v>0</v>
      </c>
      <c r="BO6">
        <v>0</v>
      </c>
      <c r="BP6">
        <v>0</v>
      </c>
      <c r="BQ6">
        <v>0</v>
      </c>
      <c r="BR6">
        <v>-2233500000.00001</v>
      </c>
      <c r="BS6">
        <v>0</v>
      </c>
      <c r="BT6">
        <v>-2233500000.00001</v>
      </c>
      <c r="BU6">
        <v>-2233500000.00001</v>
      </c>
      <c r="BV6">
        <v>-2233500000</v>
      </c>
      <c r="BW6">
        <v>-2233500000.00001</v>
      </c>
      <c r="BX6">
        <v>9.9956521739999999</v>
      </c>
      <c r="BY6" s="32">
        <f>Bankingbook_MSB[[#This Row],[Mat. Date]]-RPT</f>
        <v>-4571</v>
      </c>
      <c r="BZ6" s="71">
        <f>IF(Bankingbook_MSB[[#This Row],[Days]]&lt;=0,0,YEARFRAC(RPT,Bankingbook_MSB[[#This Row],[Mat. Date]],3))</f>
        <v>0</v>
      </c>
      <c r="CA6" s="71">
        <f>IF(Bankingbook_MSB[[#This Row],[Days (year)]]=0,0,INDEX(Ref!$K$2:$K$13,MATCH(Bankingbook_MSB[[#This Row],[Days (year)]],Ref!$I$2:$I$13,1)))</f>
        <v>0</v>
      </c>
      <c r="CB6" s="32" t="str">
        <f>VLOOKUP(Bankingbook_MSB[[#This Row],[Security Name]],Ref!X:Z,3,0)</f>
        <v>TPCPBL</v>
      </c>
      <c r="CC6" s="32" t="str">
        <f>VLOOKUP(Bankingbook_MSB[[#This Row],[Security Name]],Ref!X:Y,2,0)</f>
        <v>VDB</v>
      </c>
      <c r="CD6" s="72">
        <f>IF((Bankingbook_MSB[[#This Row],[Mat. Date]]-RPT)&lt;=0,0,Bankingbook_MSB[[#This Row],[QUANTITY]])</f>
        <v>0</v>
      </c>
      <c r="CE6" s="71">
        <f>IF(Bankingbook_MSB[[#This Row],[Quantity_edited]]=0,0,Bankingbook_MSB[[#This Row],[DURATION]])</f>
        <v>0</v>
      </c>
      <c r="CF6" s="71">
        <f>IF(Bankingbook_MSB[[#This Row],[Quantity_edited]]=0,0,Bankingbook_MSB[[#This Row],[Mod Dur]])</f>
        <v>0</v>
      </c>
      <c r="CG6" s="71">
        <f>IF(Bankingbook_MSB[[#This Row],[Quantity_edited]]=0,0,Bankingbook_MSB[[#This Row],[Cnvx.]])</f>
        <v>0</v>
      </c>
      <c r="CH6" s="71">
        <f>(Bankingbook_MSB[[#This Row],[MARKET_VALUE]]+Bankingbook_MSB[[#This Row],[Accr Int]]*Bankingbook_MSB[[#This Row],[Quantity_edited]])*(-Bankingbook_MSB[[#This Row],[Modified Duration]]*0.0001+0.5*Bankingbook_MSB[[#This Row],[Conv]]*(0.0001^2))</f>
        <v>0</v>
      </c>
      <c r="CI6" s="71">
        <f>(Bankingbook_MSB[[#This Row],[MARKET_VALUE]]+Bankingbook_MSB[[#This Row],[Accr Int]]*Bankingbook_MSB[[#This Row],[Quantity_edited]])*(-Bankingbook_MSB[[#This Row],[Modified Duration]]*0.01+0.5*Bankingbook_MSB[[#This Row],[Conv]]*(0.01^2))</f>
        <v>0</v>
      </c>
      <c r="CJ6" s="32"/>
      <c r="CL6" t="s">
        <v>166</v>
      </c>
      <c r="CM6" t="s">
        <v>167</v>
      </c>
      <c r="CN6" t="s">
        <v>176</v>
      </c>
      <c r="CO6" t="s">
        <v>169</v>
      </c>
      <c r="CP6" s="35">
        <v>41380</v>
      </c>
      <c r="CQ6" t="s">
        <v>3322</v>
      </c>
      <c r="CR6" t="s">
        <v>174</v>
      </c>
      <c r="CS6" t="s">
        <v>174</v>
      </c>
      <c r="CT6" s="49">
        <v>0</v>
      </c>
      <c r="CU6">
        <v>0</v>
      </c>
      <c r="CV6">
        <v>0</v>
      </c>
      <c r="CW6" s="70">
        <v>0</v>
      </c>
      <c r="CX6">
        <v>0</v>
      </c>
      <c r="CY6">
        <v>0</v>
      </c>
      <c r="CZ6">
        <v>0</v>
      </c>
      <c r="DA6">
        <v>0</v>
      </c>
      <c r="DB6">
        <v>-16033110.555555701</v>
      </c>
      <c r="DC6">
        <v>0</v>
      </c>
      <c r="DD6">
        <v>0</v>
      </c>
      <c r="DE6">
        <v>0</v>
      </c>
      <c r="DF6">
        <v>0</v>
      </c>
      <c r="DG6">
        <v>0</v>
      </c>
      <c r="DH6">
        <v>0</v>
      </c>
      <c r="DI6">
        <v>0</v>
      </c>
      <c r="DJ6" s="500">
        <v>162400000</v>
      </c>
      <c r="DK6" s="500">
        <v>0</v>
      </c>
      <c r="DL6" s="37">
        <v>162400000</v>
      </c>
      <c r="DM6" s="37">
        <v>162400000</v>
      </c>
      <c r="DN6" s="37">
        <v>162400000</v>
      </c>
      <c r="DO6" s="37">
        <v>162400000</v>
      </c>
      <c r="DP6" s="32">
        <f>Tradingbook_SBV[[#This Row],[Mat. Date]]-RPT</f>
        <v>-4872</v>
      </c>
      <c r="DQ6" s="32">
        <f>IF(Tradingbook_SBV[[#This Row],[Days]]&lt;=0,0,YEARFRAC(RPT,Tradingbook_SBV[[#This Row],[Mat. Date]],3))</f>
        <v>0</v>
      </c>
      <c r="DR6" s="32">
        <f>IF(Tradingbook_SBV[[#This Row],[Days (year)]]=0,0,INDEX(Ref!$K$2:$K$13,MATCH(Tradingbook_SBV[[#This Row],[Days (year)]],Ref!$I$2:$I$13,1)))</f>
        <v>0</v>
      </c>
      <c r="DS6" s="32" t="str">
        <f>VLOOKUP(Tradingbook_SBV[[#This Row],[Security Name]],Ref!X:Z,3,0)</f>
        <v>TPCP</v>
      </c>
      <c r="DT6" s="32" t="str">
        <f>VLOOKUP(Tradingbook_SBV[[#This Row],[Security Name]],Ref!X:Y,2,0)</f>
        <v>KBNN</v>
      </c>
      <c r="DU6" s="71">
        <f>IF((Tradingbook_SBV[[#This Row],[Mat. Date]]-RPT)&lt;=0,0,Tradingbook_SBV[[#This Row],[QUANTITY]])</f>
        <v>0</v>
      </c>
      <c r="DV6" s="71">
        <f>IF(Tradingbook_SBV[[#This Row],[Quantity_edited]]=0,0,Tradingbook_SBV[[#This Row],[DURATION]])</f>
        <v>0</v>
      </c>
      <c r="DW6" s="71">
        <f>IF(Tradingbook_SBV[[#This Row],[Quantity_edited]]=0,0,Tradingbook_SBV[[#This Row],[Mod Dur]])</f>
        <v>0</v>
      </c>
      <c r="DX6" s="71">
        <f>IF(Tradingbook_SBV[[#This Row],[Quantity_edited]]=0,0,Tradingbook_SBV[[#This Row],[Cnvx.]])</f>
        <v>0</v>
      </c>
      <c r="DY6" s="71">
        <f>(Tradingbook_SBV[[#This Row],[MARKET_VALUE]]+Tradingbook_SBV[[#This Row],[Accr Int]]*Tradingbook_SBV[[#This Row],[Quantity_edited]])*(-Tradingbook_SBV[[#This Row],[Modified Duration]]*0.0001+0.5*Tradingbook_SBV[[#This Row],[Conv]]*(0.0001^2))</f>
        <v>0</v>
      </c>
      <c r="DZ6" s="71">
        <f>(Tradingbook_SBV[[#This Row],[MARKET_VALUE]]+Tradingbook_SBV[[#This Row],[Accr Int]]*Tradingbook_SBV[[#This Row],[Quantity_edited]])*(-Tradingbook_SBV[[#This Row],[Modified Duration]]*0.01+0.5*Tradingbook_SBV[[#This Row],[Conv]]*(0.01^2))</f>
        <v>0</v>
      </c>
      <c r="EC6" t="s">
        <v>166</v>
      </c>
      <c r="ED6" t="s">
        <v>167</v>
      </c>
      <c r="EE6" t="s">
        <v>183</v>
      </c>
      <c r="EF6" t="s">
        <v>169</v>
      </c>
      <c r="EG6" s="35" t="s">
        <v>3327</v>
      </c>
      <c r="EH6" t="s">
        <v>170</v>
      </c>
      <c r="EK6" s="500">
        <v>2300000</v>
      </c>
      <c r="EL6" s="500">
        <v>230000000000</v>
      </c>
      <c r="EM6" s="500">
        <v>100971.087</v>
      </c>
      <c r="EN6" s="500">
        <v>0</v>
      </c>
      <c r="EO6">
        <v>11.3</v>
      </c>
      <c r="EP6">
        <v>0</v>
      </c>
      <c r="EQ6">
        <v>44070000000</v>
      </c>
      <c r="ER6">
        <v>45053721500.000008</v>
      </c>
      <c r="ES6">
        <v>-19948168709.722244</v>
      </c>
      <c r="ET6">
        <v>11.3</v>
      </c>
      <c r="EU6">
        <v>0</v>
      </c>
      <c r="EV6">
        <v>0</v>
      </c>
      <c r="EW6">
        <v>0</v>
      </c>
      <c r="EX6">
        <v>0</v>
      </c>
      <c r="EY6">
        <v>0</v>
      </c>
      <c r="EZ6">
        <v>0</v>
      </c>
      <c r="FA6">
        <v>-2233500000.00001</v>
      </c>
      <c r="FB6">
        <v>0</v>
      </c>
      <c r="FC6">
        <v>-2233500000.00001</v>
      </c>
      <c r="FD6">
        <v>-2233500000.00001</v>
      </c>
      <c r="FE6">
        <v>-2233500000</v>
      </c>
      <c r="FF6">
        <v>-2233500000.00001</v>
      </c>
      <c r="FG6" s="32">
        <f>Bankingbook_SBV[[#This Row],[Mat. Date]]-RPT</f>
        <v>-4571</v>
      </c>
      <c r="FH6" s="32">
        <f>IF(Bankingbook_SBV[[#This Row],[Days]]&lt;=0,0,YEARFRAC(RPT,Bankingbook_SBV[[#This Row],[Mat. Date]],3))</f>
        <v>0</v>
      </c>
      <c r="FI6" s="32">
        <f>IF(Bankingbook_SBV[[#This Row],[Days (year)]]=0,0,INDEX(Ref!$K$2:$K$13,MATCH(Bankingbook_SBV[[#This Row],[Days (year)]],Ref!$I$2:$I$13,1)))</f>
        <v>0</v>
      </c>
      <c r="FJ6" s="32" t="str">
        <f>VLOOKUP(Bankingbook_SBV[[#This Row],[Security Name]],Ref!X:Z,3,0)</f>
        <v>TPCPBL</v>
      </c>
      <c r="FK6" s="32" t="str">
        <f>VLOOKUP(Bankingbook_SBV[[#This Row],[Security Name]],Ref!X:Y,2,0)</f>
        <v>VDB</v>
      </c>
      <c r="FL6" s="72">
        <f>IF((Bankingbook_SBV[[#This Row],[Mat. Date]]-RPT)&lt;=0,0,Bankingbook_SBV[[#This Row],[QUANTITY]])</f>
        <v>0</v>
      </c>
      <c r="FM6" s="32">
        <f>IF(Bankingbook_SBV[[#This Row],[Quantity_edited]]=0,0,Bankingbook_SBV[[#This Row],[DURATION]])</f>
        <v>0</v>
      </c>
      <c r="FN6" s="32">
        <f>IF(Bankingbook_SBV[[#This Row],[Quantity_edited]]=0,0,Bankingbook_SBV[[#This Row],[Mod Dur]])</f>
        <v>0</v>
      </c>
      <c r="FO6" s="32">
        <f>IF(Bankingbook_SBV[[#This Row],[Quantity_edited]]=0,0,Bankingbook_SBV[[#This Row],[Cnvx.]])</f>
        <v>0</v>
      </c>
      <c r="FP6" s="32">
        <f>(Bankingbook_SBV[[#This Row],[MARKET_VALUE]]+Bankingbook_SBV[[#This Row],[Accr Int]]*Bankingbook_SBV[[#This Row],[Quantity_edited]])*(-Bankingbook_SBV[[#This Row],[Modified Duration]]*0.0001+0.5*Bankingbook_SBV[[#This Row],[Conv]]*(0.0001^2))</f>
        <v>0</v>
      </c>
      <c r="FQ6" s="32">
        <f>(Bankingbook_SBV[[#This Row],[MARKET_VALUE]]+Bankingbook_SBV[[#This Row],[Accr Int]]*Bankingbook_SBV[[#This Row],[Quantity_edited]])*(-Bankingbook_SBV[[#This Row],[Modified Duration]]*0.01+0.5*Bankingbook_SBV[[#This Row],[Conv]]*(0.01^2))</f>
        <v>0</v>
      </c>
      <c r="FT6" t="s">
        <v>166</v>
      </c>
      <c r="FU6" t="s">
        <v>790</v>
      </c>
      <c r="FV6" t="s">
        <v>4023</v>
      </c>
      <c r="FW6">
        <v>3310679</v>
      </c>
      <c r="FX6" s="502">
        <v>46219</v>
      </c>
      <c r="FY6" t="s">
        <v>2176</v>
      </c>
      <c r="FZ6" t="s">
        <v>812</v>
      </c>
      <c r="GA6" t="s">
        <v>3585</v>
      </c>
      <c r="GB6" t="s">
        <v>810</v>
      </c>
      <c r="GC6" t="s">
        <v>2741</v>
      </c>
      <c r="GD6" s="500">
        <v>-457830000000</v>
      </c>
      <c r="GE6">
        <v>10.000707999999999</v>
      </c>
      <c r="GF6" s="502">
        <v>46223</v>
      </c>
      <c r="GG6" s="502">
        <v>46254</v>
      </c>
      <c r="GH6">
        <v>4.45</v>
      </c>
      <c r="GI6" t="s">
        <v>811</v>
      </c>
      <c r="GJ6" t="s">
        <v>3321</v>
      </c>
      <c r="GK6" t="s">
        <v>3321</v>
      </c>
      <c r="GL6">
        <v>1785537000</v>
      </c>
      <c r="GM6">
        <v>-1618711273.97</v>
      </c>
      <c r="GN6">
        <v>510690000000</v>
      </c>
      <c r="GO6">
        <v>10.35</v>
      </c>
      <c r="GP6">
        <v>0</v>
      </c>
      <c r="GQ6">
        <v>0</v>
      </c>
      <c r="GR6">
        <v>0</v>
      </c>
      <c r="GS6">
        <v>-459436982570.96997</v>
      </c>
      <c r="GT6">
        <v>-1606982570.97</v>
      </c>
      <c r="GU6" t="s">
        <v>4134</v>
      </c>
      <c r="GV6" t="s">
        <v>4134</v>
      </c>
      <c r="GW6" s="416">
        <f>FNRP_Repo[[#This Row],[Mat. Date]]-RPT</f>
        <v>2</v>
      </c>
      <c r="GX6" s="819" t="str">
        <f>IF(FNRP_Repo[[#This Row],[Days]]&lt;=0,"Mat",INDEX(Ref!U:U,MATCH(FNRP_Repo[[#This Row],[Days]],Ref!S:S,1)))</f>
        <v>1W</v>
      </c>
      <c r="GY6" s="417">
        <f>RIGHT(FNRP_Repo[[#This Row],[Deal Id]],5)+0</f>
        <v>18043</v>
      </c>
      <c r="HB6" t="s">
        <v>2215</v>
      </c>
      <c r="HC6" t="s">
        <v>2216</v>
      </c>
      <c r="HD6" s="35">
        <v>44440</v>
      </c>
      <c r="HE6" t="s">
        <v>170</v>
      </c>
      <c r="HF6">
        <v>128.00800000000001</v>
      </c>
      <c r="HG6" t="s">
        <v>174</v>
      </c>
      <c r="HH6" t="s">
        <v>174</v>
      </c>
      <c r="HI6">
        <v>101882.3330801</v>
      </c>
      <c r="HJ6">
        <v>122</v>
      </c>
      <c r="HK6" t="s">
        <v>174</v>
      </c>
      <c r="HL6" t="s">
        <v>174</v>
      </c>
      <c r="HM6">
        <v>0</v>
      </c>
      <c r="HN6">
        <v>4727840.3899999997</v>
      </c>
      <c r="HO6">
        <v>100</v>
      </c>
      <c r="HP6">
        <v>0</v>
      </c>
      <c r="HQ6">
        <v>0</v>
      </c>
      <c r="HR6">
        <v>0</v>
      </c>
      <c r="HS6">
        <v>0</v>
      </c>
      <c r="HT6">
        <v>0</v>
      </c>
      <c r="HU6">
        <v>0</v>
      </c>
      <c r="HV6">
        <v>0</v>
      </c>
      <c r="HW6">
        <v>5108000000</v>
      </c>
      <c r="HX6">
        <v>0</v>
      </c>
      <c r="HY6">
        <v>0</v>
      </c>
      <c r="HZ6">
        <v>5108000000</v>
      </c>
      <c r="IA6">
        <v>5108000000</v>
      </c>
      <c r="IB6">
        <v>5108000000</v>
      </c>
      <c r="IC6" s="71">
        <f>IF(FNRP_Future[[#This Row],[Maturity]]&lt;RPT,0,YEARFRAC(RPT,FNRP_Future[[#This Row],[Maturity]],3))</f>
        <v>0</v>
      </c>
      <c r="ID6" s="87">
        <f>IF(FNRP_Future[[#This Row],[tenor]]=0,0,INDEX(Ref!$K$1:$K$13,MATCH(FNRP_Future[[#This Row],[tenor]],Ref!$I$1:$I$13,1)))</f>
        <v>0</v>
      </c>
      <c r="IE6" s="72"/>
      <c r="IF6" s="32"/>
      <c r="LQ6" s="123">
        <f t="shared" si="0"/>
        <v>4.5</v>
      </c>
      <c r="LR6" s="123">
        <f t="shared" si="1"/>
        <v>5.5</v>
      </c>
      <c r="LS6" s="44" t="s">
        <v>881</v>
      </c>
    </row>
    <row r="7" spans="1:331" x14ac:dyDescent="0.3">
      <c r="B7" t="s">
        <v>166</v>
      </c>
      <c r="C7" t="s">
        <v>167</v>
      </c>
      <c r="D7" t="s">
        <v>177</v>
      </c>
      <c r="E7" t="s">
        <v>169</v>
      </c>
      <c r="F7" s="502">
        <v>41387</v>
      </c>
      <c r="G7" t="s">
        <v>3322</v>
      </c>
      <c r="H7"/>
      <c r="I7"/>
      <c r="J7" s="38">
        <v>0</v>
      </c>
      <c r="K7">
        <v>0</v>
      </c>
      <c r="L7">
        <v>0</v>
      </c>
      <c r="M7" s="38">
        <v>0</v>
      </c>
      <c r="N7">
        <v>0</v>
      </c>
      <c r="O7">
        <v>0</v>
      </c>
      <c r="P7" s="37">
        <v>0</v>
      </c>
      <c r="Q7" s="37">
        <v>0</v>
      </c>
      <c r="R7" s="37">
        <v>-9859774.3658332825</v>
      </c>
      <c r="S7">
        <v>0</v>
      </c>
      <c r="T7" s="70">
        <v>0</v>
      </c>
      <c r="U7">
        <v>0</v>
      </c>
      <c r="V7">
        <v>0</v>
      </c>
      <c r="W7">
        <v>0</v>
      </c>
      <c r="X7" s="38">
        <v>0</v>
      </c>
      <c r="Y7">
        <v>0</v>
      </c>
      <c r="Z7" s="70">
        <v>103956600</v>
      </c>
      <c r="AA7" s="70">
        <v>0</v>
      </c>
      <c r="AB7" s="70">
        <v>103956600</v>
      </c>
      <c r="AC7" s="70">
        <v>103956600</v>
      </c>
      <c r="AD7" s="70">
        <v>103956600</v>
      </c>
      <c r="AE7" s="70">
        <v>103956600</v>
      </c>
      <c r="AF7">
        <v>0</v>
      </c>
      <c r="AG7" s="72">
        <f>Tradingbook_MSB[[#This Row],[Mat. Date]]-RPT</f>
        <v>-4865</v>
      </c>
      <c r="AH7" s="71">
        <f>IF(Tradingbook_MSB[[#This Row],[Days]]&lt;=0,0,YEARFRAC(RPT,Tradingbook_MSB[[#This Row],[Mat. Date]],3))</f>
        <v>0</v>
      </c>
      <c r="AI7" s="71">
        <f>IF(Tradingbook_MSB[[#This Row],[Days (year)]]=0,0,INDEX(Ref!$K$2:$K$13,MATCH(Tradingbook_MSB[[#This Row],[Days (year)]],Ref!$I$2:$I$13,1)))</f>
        <v>0</v>
      </c>
      <c r="AJ7" s="120" t="str">
        <f>VLOOKUP(Tradingbook_MSB[[#This Row],[Security Name]],Ref!X:Z,3,0)</f>
        <v>TPCP</v>
      </c>
      <c r="AK7" s="120" t="str">
        <f>VLOOKUP(Tradingbook_MSB[[#This Row],[Security Name]],Ref!X:Y,2,0)</f>
        <v>KBNN</v>
      </c>
      <c r="AL7" s="71">
        <f>IF((Tradingbook_MSB[[#This Row],[Mat. Date]]-RPT)&lt;=0,0,Tradingbook_MSB[[#This Row],[QUANTITY]])</f>
        <v>0</v>
      </c>
      <c r="AM7" s="71">
        <f>IF(Tradingbook_MSB[[#This Row],[Quantity_edited]]=0,0,Tradingbook_MSB[[#This Row],[DURATION]])</f>
        <v>0</v>
      </c>
      <c r="AN7" s="71">
        <f>IF(Tradingbook_MSB[[#This Row],[Quantity_edited]]=0,0,Tradingbook_MSB[[#This Row],[Mod Dur]])</f>
        <v>0</v>
      </c>
      <c r="AO7" s="71">
        <f>IF(Tradingbook_MSB[[#This Row],[Quantity_edited]]=0,0,Tradingbook_MSB[[#This Row],[Cnvx.]])</f>
        <v>0</v>
      </c>
      <c r="AP7" s="71">
        <f>(Tradingbook_MSB[[#This Row],[MARKET_VALUE]]+Tradingbook_MSB[[#This Row],[Accr Int]]*Tradingbook_MSB[[#This Row],[Quantity_edited]])*(-Tradingbook_MSB[[#This Row],[Modified Duration]]*0.0001+0.5*Tradingbook_MSB[[#This Row],[Conv]]*(0.0001^2))</f>
        <v>0</v>
      </c>
      <c r="AQ7" s="72">
        <f>(Tradingbook_MSB[[#This Row],[MARKET_VALUE]]+Tradingbook_MSB[[#This Row],[Accr Int]]*Tradingbook_MSB[[#This Row],[Quantity_edited]])*(-Tradingbook_MSB[[#This Row],[Modified Duration]]*0.01+0.5*Tradingbook_MSB[[#This Row],[Conv]]*(0.01^2))</f>
        <v>0</v>
      </c>
      <c r="AR7" s="71"/>
      <c r="AT7" t="s">
        <v>166</v>
      </c>
      <c r="AU7" t="s">
        <v>167</v>
      </c>
      <c r="AV7" t="s">
        <v>186</v>
      </c>
      <c r="AW7" t="s">
        <v>169</v>
      </c>
      <c r="AX7" t="s">
        <v>3328</v>
      </c>
      <c r="AY7" t="s">
        <v>170</v>
      </c>
      <c r="BB7" s="49">
        <v>90570</v>
      </c>
      <c r="BC7">
        <v>9057000000</v>
      </c>
      <c r="BD7">
        <v>98510</v>
      </c>
      <c r="BE7" s="37">
        <v>0</v>
      </c>
      <c r="BF7">
        <v>11</v>
      </c>
      <c r="BG7">
        <v>0</v>
      </c>
      <c r="BH7" s="34">
        <v>996270000</v>
      </c>
      <c r="BI7">
        <v>996270000</v>
      </c>
      <c r="BJ7">
        <v>-261021185.21500012</v>
      </c>
      <c r="BK7">
        <v>11</v>
      </c>
      <c r="BL7">
        <v>0</v>
      </c>
      <c r="BM7">
        <v>0</v>
      </c>
      <c r="BN7">
        <v>0</v>
      </c>
      <c r="BO7">
        <v>0</v>
      </c>
      <c r="BP7">
        <v>0</v>
      </c>
      <c r="BQ7">
        <v>0</v>
      </c>
      <c r="BR7">
        <v>134949300</v>
      </c>
      <c r="BS7">
        <v>0</v>
      </c>
      <c r="BT7">
        <v>134949300</v>
      </c>
      <c r="BU7">
        <v>134949300</v>
      </c>
      <c r="BV7">
        <v>134949300</v>
      </c>
      <c r="BW7">
        <v>134949300</v>
      </c>
      <c r="BX7">
        <v>12.7</v>
      </c>
      <c r="BY7" s="32">
        <f>Bankingbook_MSB[[#This Row],[Mat. Date]]-RPT</f>
        <v>-4554</v>
      </c>
      <c r="BZ7" s="71">
        <f>IF(Bankingbook_MSB[[#This Row],[Days]]&lt;=0,0,YEARFRAC(RPT,Bankingbook_MSB[[#This Row],[Mat. Date]],3))</f>
        <v>0</v>
      </c>
      <c r="CA7" s="71">
        <f>IF(Bankingbook_MSB[[#This Row],[Days (year)]]=0,0,INDEX(Ref!$K$2:$K$13,MATCH(Bankingbook_MSB[[#This Row],[Days (year)]],Ref!$I$2:$I$13,1)))</f>
        <v>0</v>
      </c>
      <c r="CB7" s="32" t="str">
        <f>VLOOKUP(Bankingbook_MSB[[#This Row],[Security Name]],Ref!X:Z,3,0)</f>
        <v>TPCP</v>
      </c>
      <c r="CC7" s="32" t="str">
        <f>VLOOKUP(Bankingbook_MSB[[#This Row],[Security Name]],Ref!X:Y,2,0)</f>
        <v>KBNN</v>
      </c>
      <c r="CD7" s="72">
        <f>IF((Bankingbook_MSB[[#This Row],[Mat. Date]]-RPT)&lt;=0,0,Bankingbook_MSB[[#This Row],[QUANTITY]])</f>
        <v>0</v>
      </c>
      <c r="CE7" s="71">
        <f>IF(Bankingbook_MSB[[#This Row],[Quantity_edited]]=0,0,Bankingbook_MSB[[#This Row],[DURATION]])</f>
        <v>0</v>
      </c>
      <c r="CF7" s="71">
        <f>IF(Bankingbook_MSB[[#This Row],[Quantity_edited]]=0,0,Bankingbook_MSB[[#This Row],[Mod Dur]])</f>
        <v>0</v>
      </c>
      <c r="CG7" s="71">
        <f>IF(Bankingbook_MSB[[#This Row],[Quantity_edited]]=0,0,Bankingbook_MSB[[#This Row],[Cnvx.]])</f>
        <v>0</v>
      </c>
      <c r="CH7" s="71">
        <f>(Bankingbook_MSB[[#This Row],[MARKET_VALUE]]+Bankingbook_MSB[[#This Row],[Accr Int]]*Bankingbook_MSB[[#This Row],[Quantity_edited]])*(-Bankingbook_MSB[[#This Row],[Modified Duration]]*0.0001+0.5*Bankingbook_MSB[[#This Row],[Conv]]*(0.0001^2))</f>
        <v>0</v>
      </c>
      <c r="CI7" s="71">
        <f>(Bankingbook_MSB[[#This Row],[MARKET_VALUE]]+Bankingbook_MSB[[#This Row],[Accr Int]]*Bankingbook_MSB[[#This Row],[Quantity_edited]])*(-Bankingbook_MSB[[#This Row],[Modified Duration]]*0.01+0.5*Bankingbook_MSB[[#This Row],[Conv]]*(0.01^2))</f>
        <v>0</v>
      </c>
      <c r="CJ7" s="32"/>
      <c r="CL7" t="s">
        <v>166</v>
      </c>
      <c r="CM7" t="s">
        <v>167</v>
      </c>
      <c r="CN7" t="s">
        <v>177</v>
      </c>
      <c r="CO7" t="s">
        <v>169</v>
      </c>
      <c r="CP7" s="35">
        <v>41387</v>
      </c>
      <c r="CQ7" t="s">
        <v>3322</v>
      </c>
      <c r="CR7" t="s">
        <v>174</v>
      </c>
      <c r="CS7" t="s">
        <v>174</v>
      </c>
      <c r="CT7" s="49">
        <v>0</v>
      </c>
      <c r="CU7">
        <v>0</v>
      </c>
      <c r="CV7">
        <v>0</v>
      </c>
      <c r="CW7" s="70">
        <v>0</v>
      </c>
      <c r="CX7">
        <v>0</v>
      </c>
      <c r="CY7">
        <v>0</v>
      </c>
      <c r="CZ7">
        <v>0</v>
      </c>
      <c r="DA7">
        <v>0</v>
      </c>
      <c r="DB7">
        <v>-9859774.3658332825</v>
      </c>
      <c r="DC7">
        <v>0</v>
      </c>
      <c r="DD7">
        <v>0</v>
      </c>
      <c r="DE7">
        <v>0</v>
      </c>
      <c r="DF7">
        <v>0</v>
      </c>
      <c r="DG7">
        <v>0</v>
      </c>
      <c r="DH7">
        <v>0</v>
      </c>
      <c r="DI7">
        <v>0</v>
      </c>
      <c r="DJ7" s="500">
        <v>103956600</v>
      </c>
      <c r="DK7" s="500">
        <v>0</v>
      </c>
      <c r="DL7" s="37">
        <v>103956600</v>
      </c>
      <c r="DM7" s="37">
        <v>103956600</v>
      </c>
      <c r="DN7" s="37">
        <v>103956600</v>
      </c>
      <c r="DO7" s="37">
        <v>103956600</v>
      </c>
      <c r="DP7" s="32">
        <f>Tradingbook_SBV[[#This Row],[Mat. Date]]-RPT</f>
        <v>-4865</v>
      </c>
      <c r="DQ7" s="32">
        <f>IF(Tradingbook_SBV[[#This Row],[Days]]&lt;=0,0,YEARFRAC(RPT,Tradingbook_SBV[[#This Row],[Mat. Date]],3))</f>
        <v>0</v>
      </c>
      <c r="DR7" s="32">
        <f>IF(Tradingbook_SBV[[#This Row],[Days (year)]]=0,0,INDEX(Ref!$K$2:$K$13,MATCH(Tradingbook_SBV[[#This Row],[Days (year)]],Ref!$I$2:$I$13,1)))</f>
        <v>0</v>
      </c>
      <c r="DS7" s="32" t="str">
        <f>VLOOKUP(Tradingbook_SBV[[#This Row],[Security Name]],Ref!X:Z,3,0)</f>
        <v>TPCP</v>
      </c>
      <c r="DT7" s="32" t="str">
        <f>VLOOKUP(Tradingbook_SBV[[#This Row],[Security Name]],Ref!X:Y,2,0)</f>
        <v>KBNN</v>
      </c>
      <c r="DU7" s="71">
        <f>IF((Tradingbook_SBV[[#This Row],[Mat. Date]]-RPT)&lt;=0,0,Tradingbook_SBV[[#This Row],[QUANTITY]])</f>
        <v>0</v>
      </c>
      <c r="DV7" s="71">
        <f>IF(Tradingbook_SBV[[#This Row],[Quantity_edited]]=0,0,Tradingbook_SBV[[#This Row],[DURATION]])</f>
        <v>0</v>
      </c>
      <c r="DW7" s="71">
        <f>IF(Tradingbook_SBV[[#This Row],[Quantity_edited]]=0,0,Tradingbook_SBV[[#This Row],[Mod Dur]])</f>
        <v>0</v>
      </c>
      <c r="DX7" s="71">
        <f>IF(Tradingbook_SBV[[#This Row],[Quantity_edited]]=0,0,Tradingbook_SBV[[#This Row],[Cnvx.]])</f>
        <v>0</v>
      </c>
      <c r="DY7" s="71">
        <f>(Tradingbook_SBV[[#This Row],[MARKET_VALUE]]+Tradingbook_SBV[[#This Row],[Accr Int]]*Tradingbook_SBV[[#This Row],[Quantity_edited]])*(-Tradingbook_SBV[[#This Row],[Modified Duration]]*0.0001+0.5*Tradingbook_SBV[[#This Row],[Conv]]*(0.0001^2))</f>
        <v>0</v>
      </c>
      <c r="DZ7" s="71">
        <f>(Tradingbook_SBV[[#This Row],[MARKET_VALUE]]+Tradingbook_SBV[[#This Row],[Accr Int]]*Tradingbook_SBV[[#This Row],[Quantity_edited]])*(-Tradingbook_SBV[[#This Row],[Modified Duration]]*0.01+0.5*Tradingbook_SBV[[#This Row],[Conv]]*(0.01^2))</f>
        <v>0</v>
      </c>
      <c r="EC7" t="s">
        <v>166</v>
      </c>
      <c r="ED7" t="s">
        <v>167</v>
      </c>
      <c r="EE7" t="s">
        <v>186</v>
      </c>
      <c r="EF7" t="s">
        <v>169</v>
      </c>
      <c r="EG7" s="35" t="s">
        <v>3328</v>
      </c>
      <c r="EH7" t="s">
        <v>170</v>
      </c>
      <c r="EK7" s="500">
        <v>90570</v>
      </c>
      <c r="EL7" s="500">
        <v>9057000000</v>
      </c>
      <c r="EM7" s="500">
        <v>98510</v>
      </c>
      <c r="EN7" s="500">
        <v>0</v>
      </c>
      <c r="EO7">
        <v>11</v>
      </c>
      <c r="EP7">
        <v>0</v>
      </c>
      <c r="EQ7">
        <v>996270000</v>
      </c>
      <c r="ER7">
        <v>996270000</v>
      </c>
      <c r="ES7">
        <v>-261021185.21500012</v>
      </c>
      <c r="ET7">
        <v>11</v>
      </c>
      <c r="EU7">
        <v>0</v>
      </c>
      <c r="EV7">
        <v>0</v>
      </c>
      <c r="EW7">
        <v>0</v>
      </c>
      <c r="EX7">
        <v>0</v>
      </c>
      <c r="EY7">
        <v>0</v>
      </c>
      <c r="EZ7">
        <v>0</v>
      </c>
      <c r="FA7">
        <v>134949300</v>
      </c>
      <c r="FB7">
        <v>0</v>
      </c>
      <c r="FC7">
        <v>134949300</v>
      </c>
      <c r="FD7">
        <v>134949300</v>
      </c>
      <c r="FE7">
        <v>134949300</v>
      </c>
      <c r="FF7">
        <v>134949300</v>
      </c>
      <c r="FG7" s="32">
        <f>Bankingbook_SBV[[#This Row],[Mat. Date]]-RPT</f>
        <v>-4554</v>
      </c>
      <c r="FH7" s="32">
        <f>IF(Bankingbook_SBV[[#This Row],[Days]]&lt;=0,0,YEARFRAC(RPT,Bankingbook_SBV[[#This Row],[Mat. Date]],3))</f>
        <v>0</v>
      </c>
      <c r="FI7" s="32">
        <f>IF(Bankingbook_SBV[[#This Row],[Days (year)]]=0,0,INDEX(Ref!$K$2:$K$13,MATCH(Bankingbook_SBV[[#This Row],[Days (year)]],Ref!$I$2:$I$13,1)))</f>
        <v>0</v>
      </c>
      <c r="FJ7" s="32" t="str">
        <f>VLOOKUP(Bankingbook_SBV[[#This Row],[Security Name]],Ref!X:Z,3,0)</f>
        <v>TPCP</v>
      </c>
      <c r="FK7" s="32" t="str">
        <f>VLOOKUP(Bankingbook_SBV[[#This Row],[Security Name]],Ref!X:Y,2,0)</f>
        <v>KBNN</v>
      </c>
      <c r="FL7" s="72">
        <f>IF((Bankingbook_SBV[[#This Row],[Mat. Date]]-RPT)&lt;=0,0,Bankingbook_SBV[[#This Row],[QUANTITY]])</f>
        <v>0</v>
      </c>
      <c r="FM7" s="32">
        <f>IF(Bankingbook_SBV[[#This Row],[Quantity_edited]]=0,0,Bankingbook_SBV[[#This Row],[DURATION]])</f>
        <v>0</v>
      </c>
      <c r="FN7" s="32">
        <f>IF(Bankingbook_SBV[[#This Row],[Quantity_edited]]=0,0,Bankingbook_SBV[[#This Row],[Mod Dur]])</f>
        <v>0</v>
      </c>
      <c r="FO7" s="32">
        <f>IF(Bankingbook_SBV[[#This Row],[Quantity_edited]]=0,0,Bankingbook_SBV[[#This Row],[Cnvx.]])</f>
        <v>0</v>
      </c>
      <c r="FP7" s="32">
        <f>(Bankingbook_SBV[[#This Row],[MARKET_VALUE]]+Bankingbook_SBV[[#This Row],[Accr Int]]*Bankingbook_SBV[[#This Row],[Quantity_edited]])*(-Bankingbook_SBV[[#This Row],[Modified Duration]]*0.0001+0.5*Bankingbook_SBV[[#This Row],[Conv]]*(0.0001^2))</f>
        <v>0</v>
      </c>
      <c r="FQ7" s="32">
        <f>(Bankingbook_SBV[[#This Row],[MARKET_VALUE]]+Bankingbook_SBV[[#This Row],[Accr Int]]*Bankingbook_SBV[[#This Row],[Quantity_edited]])*(-Bankingbook_SBV[[#This Row],[Modified Duration]]*0.01+0.5*Bankingbook_SBV[[#This Row],[Conv]]*(0.01^2))</f>
        <v>0</v>
      </c>
      <c r="FT7" t="s">
        <v>166</v>
      </c>
      <c r="FU7" t="s">
        <v>790</v>
      </c>
      <c r="FV7" t="s">
        <v>4024</v>
      </c>
      <c r="FW7">
        <v>3310649</v>
      </c>
      <c r="FX7" s="502">
        <v>46219</v>
      </c>
      <c r="FY7" t="s">
        <v>2176</v>
      </c>
      <c r="FZ7" t="s">
        <v>812</v>
      </c>
      <c r="GA7" t="s">
        <v>3585</v>
      </c>
      <c r="GB7" t="s">
        <v>810</v>
      </c>
      <c r="GC7" t="s">
        <v>2831</v>
      </c>
      <c r="GD7" s="500">
        <v>-246639000000</v>
      </c>
      <c r="GE7">
        <v>8.0000450000000001</v>
      </c>
      <c r="GF7" s="502">
        <v>46223</v>
      </c>
      <c r="GG7" s="502">
        <v>46254</v>
      </c>
      <c r="GH7">
        <v>4.45</v>
      </c>
      <c r="GI7" t="s">
        <v>811</v>
      </c>
      <c r="GJ7" t="s">
        <v>3321</v>
      </c>
      <c r="GK7" t="s">
        <v>3321</v>
      </c>
      <c r="GL7">
        <v>961892100</v>
      </c>
      <c r="GM7">
        <v>-872020902.74000001</v>
      </c>
      <c r="GN7">
        <v>269034000000</v>
      </c>
      <c r="GO7">
        <v>8.32</v>
      </c>
      <c r="GP7">
        <v>0</v>
      </c>
      <c r="GQ7">
        <v>0</v>
      </c>
      <c r="GR7">
        <v>0</v>
      </c>
      <c r="GS7">
        <v>-247504702497.04999</v>
      </c>
      <c r="GT7">
        <v>-865702497.04999995</v>
      </c>
      <c r="GU7" t="s">
        <v>4141</v>
      </c>
      <c r="GV7" t="s">
        <v>4141</v>
      </c>
      <c r="GW7" s="416">
        <f>FNRP_Repo[[#This Row],[Mat. Date]]-RPT</f>
        <v>2</v>
      </c>
      <c r="GX7" s="819" t="str">
        <f>IF(FNRP_Repo[[#This Row],[Days]]&lt;=0,"Mat",INDEX(Ref!U:U,MATCH(FNRP_Repo[[#This Row],[Days]],Ref!S:S,1)))</f>
        <v>1W</v>
      </c>
      <c r="GY7" s="417">
        <f>RIGHT(FNRP_Repo[[#This Row],[Deal Id]],5)+0</f>
        <v>18041</v>
      </c>
      <c r="HB7" t="s">
        <v>2217</v>
      </c>
      <c r="HC7" t="s">
        <v>3266</v>
      </c>
      <c r="HD7" s="35">
        <v>44713</v>
      </c>
      <c r="HE7" t="s">
        <v>3322</v>
      </c>
      <c r="HF7">
        <v>116.443</v>
      </c>
      <c r="HG7" t="s">
        <v>174</v>
      </c>
      <c r="HH7" t="s">
        <v>174</v>
      </c>
      <c r="HI7">
        <v>91193.390976800001</v>
      </c>
      <c r="HJ7">
        <v>0</v>
      </c>
      <c r="HK7" t="s">
        <v>174</v>
      </c>
      <c r="HL7" t="s">
        <v>174</v>
      </c>
      <c r="HM7">
        <v>0</v>
      </c>
      <c r="HN7">
        <v>-616180.56000000006</v>
      </c>
      <c r="HO7">
        <v>0</v>
      </c>
      <c r="HP7">
        <v>0</v>
      </c>
      <c r="HQ7">
        <v>0</v>
      </c>
      <c r="HR7">
        <v>0</v>
      </c>
      <c r="HS7">
        <v>0</v>
      </c>
      <c r="HT7">
        <v>0</v>
      </c>
      <c r="HU7">
        <v>0</v>
      </c>
      <c r="HV7">
        <v>0</v>
      </c>
      <c r="HW7">
        <v>-100000000</v>
      </c>
      <c r="HX7">
        <v>0</v>
      </c>
      <c r="HY7">
        <v>0</v>
      </c>
      <c r="HZ7">
        <v>-100000000</v>
      </c>
      <c r="IA7">
        <v>-100000000</v>
      </c>
      <c r="IB7">
        <v>-100000000</v>
      </c>
      <c r="IC7" s="71">
        <f>IF(FNRP_Future[[#This Row],[Maturity]]&lt;RPT,0,YEARFRAC(RPT,FNRP_Future[[#This Row],[Maturity]],3))</f>
        <v>0</v>
      </c>
      <c r="ID7" s="87">
        <f>IF(FNRP_Future[[#This Row],[tenor]]=0,0,INDEX(Ref!$K$1:$K$13,MATCH(FNRP_Future[[#This Row],[tenor]],Ref!$I$1:$I$13,1)))</f>
        <v>0</v>
      </c>
      <c r="IE7" s="72"/>
      <c r="IF7" s="32"/>
      <c r="LQ7" s="123">
        <f t="shared" si="0"/>
        <v>5.5</v>
      </c>
      <c r="LR7" s="123">
        <f t="shared" si="1"/>
        <v>6.5</v>
      </c>
      <c r="LS7" s="44" t="s">
        <v>884</v>
      </c>
    </row>
    <row r="8" spans="1:331" x14ac:dyDescent="0.3">
      <c r="B8" t="s">
        <v>166</v>
      </c>
      <c r="C8" t="s">
        <v>167</v>
      </c>
      <c r="D8" t="s">
        <v>178</v>
      </c>
      <c r="E8" t="s">
        <v>169</v>
      </c>
      <c r="F8" s="502">
        <v>41407</v>
      </c>
      <c r="G8" t="s">
        <v>170</v>
      </c>
      <c r="H8"/>
      <c r="I8"/>
      <c r="J8" s="38">
        <v>500000</v>
      </c>
      <c r="K8">
        <v>50000000000</v>
      </c>
      <c r="L8">
        <v>100936</v>
      </c>
      <c r="M8" s="38">
        <v>0</v>
      </c>
      <c r="N8">
        <v>11.25</v>
      </c>
      <c r="O8">
        <v>0</v>
      </c>
      <c r="P8" s="37">
        <v>5625000000</v>
      </c>
      <c r="Q8" s="37">
        <v>5625000000</v>
      </c>
      <c r="R8" s="37">
        <v>-1011642577.0833337</v>
      </c>
      <c r="S8">
        <v>11.25</v>
      </c>
      <c r="T8" s="70">
        <v>0</v>
      </c>
      <c r="U8">
        <v>0</v>
      </c>
      <c r="V8">
        <v>0</v>
      </c>
      <c r="W8">
        <v>0</v>
      </c>
      <c r="X8" s="38">
        <v>0</v>
      </c>
      <c r="Y8">
        <v>0</v>
      </c>
      <c r="Z8" s="70">
        <v>-690000000</v>
      </c>
      <c r="AA8" s="70">
        <v>0</v>
      </c>
      <c r="AB8" s="70">
        <v>-690000000</v>
      </c>
      <c r="AC8" s="70">
        <v>-690000000</v>
      </c>
      <c r="AD8" s="70">
        <v>-690000000</v>
      </c>
      <c r="AE8" s="70">
        <v>-690000000</v>
      </c>
      <c r="AF8">
        <v>9.2649825000000003</v>
      </c>
      <c r="AG8" s="72">
        <f>Tradingbook_MSB[[#This Row],[Mat. Date]]-RPT</f>
        <v>-4845</v>
      </c>
      <c r="AH8" s="71">
        <f>IF(Tradingbook_MSB[[#This Row],[Days]]&lt;=0,0,YEARFRAC(RPT,Tradingbook_MSB[[#This Row],[Mat. Date]],3))</f>
        <v>0</v>
      </c>
      <c r="AI8" s="71">
        <f>IF(Tradingbook_MSB[[#This Row],[Days (year)]]=0,0,INDEX(Ref!$K$2:$K$13,MATCH(Tradingbook_MSB[[#This Row],[Days (year)]],Ref!$I$2:$I$13,1)))</f>
        <v>0</v>
      </c>
      <c r="AJ8" s="120" t="str">
        <f>VLOOKUP(Tradingbook_MSB[[#This Row],[Security Name]],Ref!X:Z,3,0)</f>
        <v>TPCP</v>
      </c>
      <c r="AK8" s="120" t="str">
        <f>VLOOKUP(Tradingbook_MSB[[#This Row],[Security Name]],Ref!X:Y,2,0)</f>
        <v>KBNN</v>
      </c>
      <c r="AL8" s="71">
        <f>IF((Tradingbook_MSB[[#This Row],[Mat. Date]]-RPT)&lt;=0,0,Tradingbook_MSB[[#This Row],[QUANTITY]])</f>
        <v>0</v>
      </c>
      <c r="AM8" s="71">
        <f>IF(Tradingbook_MSB[[#This Row],[Quantity_edited]]=0,0,Tradingbook_MSB[[#This Row],[DURATION]])</f>
        <v>0</v>
      </c>
      <c r="AN8" s="71">
        <f>IF(Tradingbook_MSB[[#This Row],[Quantity_edited]]=0,0,Tradingbook_MSB[[#This Row],[Mod Dur]])</f>
        <v>0</v>
      </c>
      <c r="AO8" s="71">
        <f>IF(Tradingbook_MSB[[#This Row],[Quantity_edited]]=0,0,Tradingbook_MSB[[#This Row],[Cnvx.]])</f>
        <v>0</v>
      </c>
      <c r="AP8" s="71">
        <f>(Tradingbook_MSB[[#This Row],[MARKET_VALUE]]+Tradingbook_MSB[[#This Row],[Accr Int]]*Tradingbook_MSB[[#This Row],[Quantity_edited]])*(-Tradingbook_MSB[[#This Row],[Modified Duration]]*0.0001+0.5*Tradingbook_MSB[[#This Row],[Conv]]*(0.0001^2))</f>
        <v>0</v>
      </c>
      <c r="AQ8" s="72">
        <f>(Tradingbook_MSB[[#This Row],[MARKET_VALUE]]+Tradingbook_MSB[[#This Row],[Accr Int]]*Tradingbook_MSB[[#This Row],[Quantity_edited]])*(-Tradingbook_MSB[[#This Row],[Modified Duration]]*0.01+0.5*Tradingbook_MSB[[#This Row],[Conv]]*(0.01^2))</f>
        <v>0</v>
      </c>
      <c r="AR8" s="71"/>
      <c r="AT8" t="s">
        <v>166</v>
      </c>
      <c r="AU8" t="s">
        <v>167</v>
      </c>
      <c r="AV8" t="s">
        <v>771</v>
      </c>
      <c r="AW8" t="s">
        <v>169</v>
      </c>
      <c r="AX8" t="s">
        <v>3329</v>
      </c>
      <c r="AY8" t="s">
        <v>170</v>
      </c>
      <c r="BB8" s="49">
        <v>3000000</v>
      </c>
      <c r="BC8">
        <v>300000000000</v>
      </c>
      <c r="BD8">
        <v>100000</v>
      </c>
      <c r="BE8" s="37">
        <v>0</v>
      </c>
      <c r="BF8">
        <v>13.1</v>
      </c>
      <c r="BG8">
        <v>0</v>
      </c>
      <c r="BH8" s="34">
        <v>117900000000</v>
      </c>
      <c r="BI8">
        <v>121650202500.00002</v>
      </c>
      <c r="BJ8">
        <v>-48065208333.333389</v>
      </c>
      <c r="BK8">
        <v>13.1</v>
      </c>
      <c r="BL8">
        <v>0</v>
      </c>
      <c r="BM8">
        <v>0</v>
      </c>
      <c r="BN8">
        <v>0</v>
      </c>
      <c r="BO8">
        <v>0</v>
      </c>
      <c r="BP8">
        <v>0</v>
      </c>
      <c r="BQ8">
        <v>0</v>
      </c>
      <c r="BR8">
        <v>0</v>
      </c>
      <c r="BS8">
        <v>0</v>
      </c>
      <c r="BT8">
        <v>0</v>
      </c>
      <c r="BU8">
        <v>0</v>
      </c>
      <c r="BV8">
        <v>0</v>
      </c>
      <c r="BW8">
        <v>0</v>
      </c>
      <c r="BX8">
        <v>13.1</v>
      </c>
      <c r="BY8" s="32">
        <f>Bankingbook_MSB[[#This Row],[Mat. Date]]-RPT</f>
        <v>-4448</v>
      </c>
      <c r="BZ8" s="71">
        <f>IF(Bankingbook_MSB[[#This Row],[Days]]&lt;=0,0,YEARFRAC(RPT,Bankingbook_MSB[[#This Row],[Mat. Date]],3))</f>
        <v>0</v>
      </c>
      <c r="CA8" s="71">
        <f>IF(Bankingbook_MSB[[#This Row],[Days (year)]]=0,0,INDEX(Ref!$K$2:$K$13,MATCH(Bankingbook_MSB[[#This Row],[Days (year)]],Ref!$I$2:$I$13,1)))</f>
        <v>0</v>
      </c>
      <c r="CB8" s="32" t="str">
        <f>VLOOKUP(Bankingbook_MSB[[#This Row],[Security Name]],Ref!X:Z,3,0)</f>
        <v>TPCPBL</v>
      </c>
      <c r="CC8" s="32" t="str">
        <f>VLOOKUP(Bankingbook_MSB[[#This Row],[Security Name]],Ref!X:Y,2,0)</f>
        <v>VBS</v>
      </c>
      <c r="CD8" s="72">
        <f>IF((Bankingbook_MSB[[#This Row],[Mat. Date]]-RPT)&lt;=0,0,Bankingbook_MSB[[#This Row],[QUANTITY]])</f>
        <v>0</v>
      </c>
      <c r="CE8" s="71">
        <f>IF(Bankingbook_MSB[[#This Row],[Quantity_edited]]=0,0,Bankingbook_MSB[[#This Row],[DURATION]])</f>
        <v>0</v>
      </c>
      <c r="CF8" s="71">
        <f>IF(Bankingbook_MSB[[#This Row],[Quantity_edited]]=0,0,Bankingbook_MSB[[#This Row],[Mod Dur]])</f>
        <v>0</v>
      </c>
      <c r="CG8" s="71">
        <f>IF(Bankingbook_MSB[[#This Row],[Quantity_edited]]=0,0,Bankingbook_MSB[[#This Row],[Cnvx.]])</f>
        <v>0</v>
      </c>
      <c r="CH8" s="71">
        <f>(Bankingbook_MSB[[#This Row],[MARKET_VALUE]]+Bankingbook_MSB[[#This Row],[Accr Int]]*Bankingbook_MSB[[#This Row],[Quantity_edited]])*(-Bankingbook_MSB[[#This Row],[Modified Duration]]*0.0001+0.5*Bankingbook_MSB[[#This Row],[Conv]]*(0.0001^2))</f>
        <v>0</v>
      </c>
      <c r="CI8" s="71">
        <f>(Bankingbook_MSB[[#This Row],[MARKET_VALUE]]+Bankingbook_MSB[[#This Row],[Accr Int]]*Bankingbook_MSB[[#This Row],[Quantity_edited]])*(-Bankingbook_MSB[[#This Row],[Modified Duration]]*0.01+0.5*Bankingbook_MSB[[#This Row],[Conv]]*(0.01^2))</f>
        <v>0</v>
      </c>
      <c r="CJ8" s="32"/>
      <c r="CL8" t="s">
        <v>166</v>
      </c>
      <c r="CM8" t="s">
        <v>167</v>
      </c>
      <c r="CN8" t="s">
        <v>178</v>
      </c>
      <c r="CO8" t="s">
        <v>169</v>
      </c>
      <c r="CP8" s="35">
        <v>41407</v>
      </c>
      <c r="CQ8" t="s">
        <v>170</v>
      </c>
      <c r="CR8" t="s">
        <v>174</v>
      </c>
      <c r="CS8" t="s">
        <v>174</v>
      </c>
      <c r="CT8" s="49">
        <v>500000</v>
      </c>
      <c r="CU8">
        <v>50000000000</v>
      </c>
      <c r="CV8">
        <v>100936</v>
      </c>
      <c r="CW8" s="70">
        <v>0</v>
      </c>
      <c r="CX8">
        <v>11.25</v>
      </c>
      <c r="CY8">
        <v>0</v>
      </c>
      <c r="CZ8">
        <v>5625000000</v>
      </c>
      <c r="DA8">
        <v>5625000000</v>
      </c>
      <c r="DB8">
        <v>-1011642577.0833337</v>
      </c>
      <c r="DC8">
        <v>11.25</v>
      </c>
      <c r="DD8">
        <v>0</v>
      </c>
      <c r="DE8">
        <v>0</v>
      </c>
      <c r="DF8">
        <v>0</v>
      </c>
      <c r="DG8">
        <v>0</v>
      </c>
      <c r="DH8">
        <v>0</v>
      </c>
      <c r="DI8">
        <v>0</v>
      </c>
      <c r="DJ8" s="500">
        <v>-690000000</v>
      </c>
      <c r="DK8" s="500">
        <v>0</v>
      </c>
      <c r="DL8" s="37">
        <v>-690000000</v>
      </c>
      <c r="DM8" s="37">
        <v>-690000000</v>
      </c>
      <c r="DN8" s="37">
        <v>-690000000</v>
      </c>
      <c r="DO8" s="37">
        <v>-690000000</v>
      </c>
      <c r="DP8" s="32">
        <f>Tradingbook_SBV[[#This Row],[Mat. Date]]-RPT</f>
        <v>-4845</v>
      </c>
      <c r="DQ8" s="32">
        <f>IF(Tradingbook_SBV[[#This Row],[Days]]&lt;=0,0,YEARFRAC(RPT,Tradingbook_SBV[[#This Row],[Mat. Date]],3))</f>
        <v>0</v>
      </c>
      <c r="DR8" s="32">
        <f>IF(Tradingbook_SBV[[#This Row],[Days (year)]]=0,0,INDEX(Ref!$K$2:$K$13,MATCH(Tradingbook_SBV[[#This Row],[Days (year)]],Ref!$I$2:$I$13,1)))</f>
        <v>0</v>
      </c>
      <c r="DS8" s="32" t="str">
        <f>VLOOKUP(Tradingbook_SBV[[#This Row],[Security Name]],Ref!X:Z,3,0)</f>
        <v>TPCP</v>
      </c>
      <c r="DT8" s="32" t="str">
        <f>VLOOKUP(Tradingbook_SBV[[#This Row],[Security Name]],Ref!X:Y,2,0)</f>
        <v>KBNN</v>
      </c>
      <c r="DU8" s="71">
        <f>IF((Tradingbook_SBV[[#This Row],[Mat. Date]]-RPT)&lt;=0,0,Tradingbook_SBV[[#This Row],[QUANTITY]])</f>
        <v>0</v>
      </c>
      <c r="DV8" s="71">
        <f>IF(Tradingbook_SBV[[#This Row],[Quantity_edited]]=0,0,Tradingbook_SBV[[#This Row],[DURATION]])</f>
        <v>0</v>
      </c>
      <c r="DW8" s="71">
        <f>IF(Tradingbook_SBV[[#This Row],[Quantity_edited]]=0,0,Tradingbook_SBV[[#This Row],[Mod Dur]])</f>
        <v>0</v>
      </c>
      <c r="DX8" s="71">
        <f>IF(Tradingbook_SBV[[#This Row],[Quantity_edited]]=0,0,Tradingbook_SBV[[#This Row],[Cnvx.]])</f>
        <v>0</v>
      </c>
      <c r="DY8" s="71">
        <f>(Tradingbook_SBV[[#This Row],[MARKET_VALUE]]+Tradingbook_SBV[[#This Row],[Accr Int]]*Tradingbook_SBV[[#This Row],[Quantity_edited]])*(-Tradingbook_SBV[[#This Row],[Modified Duration]]*0.0001+0.5*Tradingbook_SBV[[#This Row],[Conv]]*(0.0001^2))</f>
        <v>0</v>
      </c>
      <c r="DZ8" s="71">
        <f>(Tradingbook_SBV[[#This Row],[MARKET_VALUE]]+Tradingbook_SBV[[#This Row],[Accr Int]]*Tradingbook_SBV[[#This Row],[Quantity_edited]])*(-Tradingbook_SBV[[#This Row],[Modified Duration]]*0.01+0.5*Tradingbook_SBV[[#This Row],[Conv]]*(0.01^2))</f>
        <v>0</v>
      </c>
      <c r="EC8" t="s">
        <v>166</v>
      </c>
      <c r="ED8" t="s">
        <v>167</v>
      </c>
      <c r="EE8" t="s">
        <v>771</v>
      </c>
      <c r="EF8" t="s">
        <v>169</v>
      </c>
      <c r="EG8" s="35" t="s">
        <v>3329</v>
      </c>
      <c r="EH8" t="s">
        <v>170</v>
      </c>
      <c r="EK8" s="500">
        <v>3000000</v>
      </c>
      <c r="EL8" s="500">
        <v>300000000000</v>
      </c>
      <c r="EM8" s="500">
        <v>100000</v>
      </c>
      <c r="EN8" s="500">
        <v>0</v>
      </c>
      <c r="EO8">
        <v>13.1</v>
      </c>
      <c r="EP8">
        <v>0</v>
      </c>
      <c r="EQ8">
        <v>117900000000</v>
      </c>
      <c r="ER8">
        <v>121650202500.00002</v>
      </c>
      <c r="ES8">
        <v>-48065208333.333389</v>
      </c>
      <c r="ET8">
        <v>13.1</v>
      </c>
      <c r="EU8">
        <v>0</v>
      </c>
      <c r="EV8">
        <v>0</v>
      </c>
      <c r="EW8">
        <v>0</v>
      </c>
      <c r="EX8">
        <v>0</v>
      </c>
      <c r="EY8">
        <v>0</v>
      </c>
      <c r="EZ8">
        <v>0</v>
      </c>
      <c r="FA8">
        <v>0</v>
      </c>
      <c r="FB8">
        <v>0</v>
      </c>
      <c r="FC8">
        <v>0</v>
      </c>
      <c r="FD8">
        <v>0</v>
      </c>
      <c r="FE8">
        <v>0</v>
      </c>
      <c r="FF8">
        <v>0</v>
      </c>
      <c r="FG8" s="32">
        <f>Bankingbook_SBV[[#This Row],[Mat. Date]]-RPT</f>
        <v>-4448</v>
      </c>
      <c r="FH8" s="32">
        <f>IF(Bankingbook_SBV[[#This Row],[Days]]&lt;=0,0,YEARFRAC(RPT,Bankingbook_SBV[[#This Row],[Mat. Date]],3))</f>
        <v>0</v>
      </c>
      <c r="FI8" s="32">
        <f>IF(Bankingbook_SBV[[#This Row],[Days (year)]]=0,0,INDEX(Ref!$K$2:$K$13,MATCH(Bankingbook_SBV[[#This Row],[Days (year)]],Ref!$I$2:$I$13,1)))</f>
        <v>0</v>
      </c>
      <c r="FJ8" s="32" t="str">
        <f>VLOOKUP(Bankingbook_SBV[[#This Row],[Security Name]],Ref!X:Z,3,0)</f>
        <v>TPCPBL</v>
      </c>
      <c r="FK8" s="32" t="str">
        <f>VLOOKUP(Bankingbook_SBV[[#This Row],[Security Name]],Ref!X:Y,2,0)</f>
        <v>VBS</v>
      </c>
      <c r="FL8" s="72">
        <f>IF((Bankingbook_SBV[[#This Row],[Mat. Date]]-RPT)&lt;=0,0,Bankingbook_SBV[[#This Row],[QUANTITY]])</f>
        <v>0</v>
      </c>
      <c r="FM8" s="32">
        <f>IF(Bankingbook_SBV[[#This Row],[Quantity_edited]]=0,0,Bankingbook_SBV[[#This Row],[DURATION]])</f>
        <v>0</v>
      </c>
      <c r="FN8" s="32">
        <f>IF(Bankingbook_SBV[[#This Row],[Quantity_edited]]=0,0,Bankingbook_SBV[[#This Row],[Mod Dur]])</f>
        <v>0</v>
      </c>
      <c r="FO8" s="32">
        <f>IF(Bankingbook_SBV[[#This Row],[Quantity_edited]]=0,0,Bankingbook_SBV[[#This Row],[Cnvx.]])</f>
        <v>0</v>
      </c>
      <c r="FP8" s="32">
        <f>(Bankingbook_SBV[[#This Row],[MARKET_VALUE]]+Bankingbook_SBV[[#This Row],[Accr Int]]*Bankingbook_SBV[[#This Row],[Quantity_edited]])*(-Bankingbook_SBV[[#This Row],[Modified Duration]]*0.0001+0.5*Bankingbook_SBV[[#This Row],[Conv]]*(0.0001^2))</f>
        <v>0</v>
      </c>
      <c r="FQ8" s="32">
        <f>(Bankingbook_SBV[[#This Row],[MARKET_VALUE]]+Bankingbook_SBV[[#This Row],[Accr Int]]*Bankingbook_SBV[[#This Row],[Quantity_edited]])*(-Bankingbook_SBV[[#This Row],[Modified Duration]]*0.01+0.5*Bankingbook_SBV[[#This Row],[Conv]]*(0.01^2))</f>
        <v>0</v>
      </c>
      <c r="FT8" t="s">
        <v>166</v>
      </c>
      <c r="FU8" t="s">
        <v>790</v>
      </c>
      <c r="FV8" t="s">
        <v>3964</v>
      </c>
      <c r="FW8">
        <v>3288747</v>
      </c>
      <c r="FX8" s="502">
        <v>46197</v>
      </c>
      <c r="FY8" t="s">
        <v>2176</v>
      </c>
      <c r="FZ8" t="s">
        <v>823</v>
      </c>
      <c r="GA8" t="s">
        <v>2829</v>
      </c>
      <c r="GB8" t="s">
        <v>810</v>
      </c>
      <c r="GC8" t="s">
        <v>667</v>
      </c>
      <c r="GD8" s="500">
        <v>-47867500000</v>
      </c>
      <c r="GE8">
        <v>9.9998120000000004</v>
      </c>
      <c r="GF8" s="502">
        <v>46199</v>
      </c>
      <c r="GG8" s="502">
        <v>46259</v>
      </c>
      <c r="GH8">
        <v>4.5999999999999996</v>
      </c>
      <c r="GI8" t="s">
        <v>811</v>
      </c>
      <c r="GJ8" t="s">
        <v>3321</v>
      </c>
      <c r="GK8" t="s">
        <v>3321</v>
      </c>
      <c r="GL8">
        <v>364657274.31</v>
      </c>
      <c r="GM8">
        <v>-319728671.23000002</v>
      </c>
      <c r="GN8">
        <v>53307000000</v>
      </c>
      <c r="GO8">
        <v>10.199999999999999</v>
      </c>
      <c r="GP8">
        <v>0.01</v>
      </c>
      <c r="GQ8">
        <v>0.01</v>
      </c>
      <c r="GR8">
        <v>6.7785019999999996</v>
      </c>
      <c r="GS8">
        <v>-48171779832.269997</v>
      </c>
      <c r="GT8">
        <v>-304279832.26999998</v>
      </c>
      <c r="GU8" t="s">
        <v>4099</v>
      </c>
      <c r="GV8" t="s">
        <v>4099</v>
      </c>
      <c r="GW8" s="416">
        <f>FNRP_Repo[[#This Row],[Mat. Date]]-RPT</f>
        <v>7</v>
      </c>
      <c r="GX8" s="819" t="str">
        <f>IF(FNRP_Repo[[#This Row],[Days]]&lt;=0,"Mat",INDEX(Ref!U:U,MATCH(FNRP_Repo[[#This Row],[Days]],Ref!S:S,1)))</f>
        <v>1W</v>
      </c>
      <c r="GY8" s="417">
        <f>RIGHT(FNRP_Repo[[#This Row],[Deal Id]],5)+0</f>
        <v>17909</v>
      </c>
      <c r="LQ8" s="123">
        <f t="shared" si="0"/>
        <v>6.5</v>
      </c>
      <c r="LR8" s="123">
        <f t="shared" si="1"/>
        <v>7.5</v>
      </c>
      <c r="LS8" s="44" t="s">
        <v>885</v>
      </c>
    </row>
    <row r="9" spans="1:331" x14ac:dyDescent="0.3">
      <c r="B9" t="s">
        <v>166</v>
      </c>
      <c r="C9" t="s">
        <v>167</v>
      </c>
      <c r="D9" t="s">
        <v>179</v>
      </c>
      <c r="E9" t="s">
        <v>169</v>
      </c>
      <c r="F9" s="502">
        <v>41506</v>
      </c>
      <c r="G9" t="s">
        <v>170</v>
      </c>
      <c r="H9"/>
      <c r="I9"/>
      <c r="J9" s="38">
        <v>820000</v>
      </c>
      <c r="K9">
        <v>82000000000</v>
      </c>
      <c r="L9">
        <v>94142.5</v>
      </c>
      <c r="M9" s="38">
        <v>0</v>
      </c>
      <c r="N9">
        <v>0</v>
      </c>
      <c r="O9">
        <v>0</v>
      </c>
      <c r="P9" s="37">
        <v>0</v>
      </c>
      <c r="Q9" s="37">
        <v>0</v>
      </c>
      <c r="R9" s="37">
        <v>-1700294893.7854447</v>
      </c>
      <c r="S9">
        <v>0</v>
      </c>
      <c r="T9" s="70">
        <v>0</v>
      </c>
      <c r="U9">
        <v>0</v>
      </c>
      <c r="V9">
        <v>0</v>
      </c>
      <c r="W9">
        <v>0</v>
      </c>
      <c r="X9" s="38">
        <v>0</v>
      </c>
      <c r="Y9">
        <v>0</v>
      </c>
      <c r="Z9" s="70">
        <v>4862600000</v>
      </c>
      <c r="AA9" s="70">
        <v>0</v>
      </c>
      <c r="AB9" s="70">
        <v>4862600000</v>
      </c>
      <c r="AC9" s="70">
        <v>4862600000</v>
      </c>
      <c r="AD9" s="70">
        <v>4862600000</v>
      </c>
      <c r="AE9" s="70">
        <v>4862600000</v>
      </c>
      <c r="AF9">
        <v>8.9089500000000008</v>
      </c>
      <c r="AG9" s="72">
        <f>Tradingbook_MSB[[#This Row],[Mat. Date]]-RPT</f>
        <v>-4746</v>
      </c>
      <c r="AH9" s="71">
        <f>IF(Tradingbook_MSB[[#This Row],[Days]]&lt;=0,0,YEARFRAC(RPT,Tradingbook_MSB[[#This Row],[Mat. Date]],3))</f>
        <v>0</v>
      </c>
      <c r="AI9" s="71">
        <f>IF(Tradingbook_MSB[[#This Row],[Days (year)]]=0,0,INDEX(Ref!$K$2:$K$13,MATCH(Tradingbook_MSB[[#This Row],[Days (year)]],Ref!$I$2:$I$13,1)))</f>
        <v>0</v>
      </c>
      <c r="AJ9" s="120" t="str">
        <f>VLOOKUP(Tradingbook_MSB[[#This Row],[Security Name]],Ref!X:Z,3,0)</f>
        <v>TPCP</v>
      </c>
      <c r="AK9" s="120" t="str">
        <f>VLOOKUP(Tradingbook_MSB[[#This Row],[Security Name]],Ref!X:Y,2,0)</f>
        <v>KBNN</v>
      </c>
      <c r="AL9" s="71">
        <f>IF((Tradingbook_MSB[[#This Row],[Mat. Date]]-RPT)&lt;=0,0,Tradingbook_MSB[[#This Row],[QUANTITY]])</f>
        <v>0</v>
      </c>
      <c r="AM9" s="71">
        <f>IF(Tradingbook_MSB[[#This Row],[Quantity_edited]]=0,0,Tradingbook_MSB[[#This Row],[DURATION]])</f>
        <v>0</v>
      </c>
      <c r="AN9" s="71">
        <f>IF(Tradingbook_MSB[[#This Row],[Quantity_edited]]=0,0,Tradingbook_MSB[[#This Row],[Mod Dur]])</f>
        <v>0</v>
      </c>
      <c r="AO9" s="71">
        <f>IF(Tradingbook_MSB[[#This Row],[Quantity_edited]]=0,0,Tradingbook_MSB[[#This Row],[Cnvx.]])</f>
        <v>0</v>
      </c>
      <c r="AP9" s="71">
        <f>(Tradingbook_MSB[[#This Row],[MARKET_VALUE]]+Tradingbook_MSB[[#This Row],[Accr Int]]*Tradingbook_MSB[[#This Row],[Quantity_edited]])*(-Tradingbook_MSB[[#This Row],[Modified Duration]]*0.0001+0.5*Tradingbook_MSB[[#This Row],[Conv]]*(0.0001^2))</f>
        <v>0</v>
      </c>
      <c r="AQ9" s="72">
        <f>(Tradingbook_MSB[[#This Row],[MARKET_VALUE]]+Tradingbook_MSB[[#This Row],[Accr Int]]*Tradingbook_MSB[[#This Row],[Quantity_edited]])*(-Tradingbook_MSB[[#This Row],[Modified Duration]]*0.01+0.5*Tradingbook_MSB[[#This Row],[Conv]]*(0.01^2))</f>
        <v>0</v>
      </c>
      <c r="AR9" s="71"/>
      <c r="AT9" t="s">
        <v>166</v>
      </c>
      <c r="AU9" t="s">
        <v>167</v>
      </c>
      <c r="AV9" t="s">
        <v>772</v>
      </c>
      <c r="AW9" t="s">
        <v>169</v>
      </c>
      <c r="AX9" t="s">
        <v>3330</v>
      </c>
      <c r="AY9" t="s">
        <v>170</v>
      </c>
      <c r="BB9" s="49">
        <v>1000000</v>
      </c>
      <c r="BC9">
        <v>100000000000</v>
      </c>
      <c r="BD9">
        <v>100000</v>
      </c>
      <c r="BE9" s="37">
        <v>0</v>
      </c>
      <c r="BF9">
        <v>12.7</v>
      </c>
      <c r="BG9">
        <v>0</v>
      </c>
      <c r="BH9" s="34">
        <v>38100000000</v>
      </c>
      <c r="BI9">
        <v>39300299930.555557</v>
      </c>
      <c r="BJ9">
        <v>-15672291666.666683</v>
      </c>
      <c r="BK9">
        <v>12.7</v>
      </c>
      <c r="BL9">
        <v>0</v>
      </c>
      <c r="BM9">
        <v>0</v>
      </c>
      <c r="BN9">
        <v>0</v>
      </c>
      <c r="BO9">
        <v>0</v>
      </c>
      <c r="BP9">
        <v>0</v>
      </c>
      <c r="BQ9">
        <v>0</v>
      </c>
      <c r="BR9">
        <v>0</v>
      </c>
      <c r="BS9">
        <v>0</v>
      </c>
      <c r="BT9">
        <v>0</v>
      </c>
      <c r="BU9">
        <v>0</v>
      </c>
      <c r="BV9">
        <v>0</v>
      </c>
      <c r="BW9">
        <v>0</v>
      </c>
      <c r="BX9">
        <v>12.7</v>
      </c>
      <c r="BY9" s="32">
        <f>Bankingbook_MSB[[#This Row],[Mat. Date]]-RPT</f>
        <v>-4434</v>
      </c>
      <c r="BZ9" s="71">
        <f>IF(Bankingbook_MSB[[#This Row],[Days]]&lt;=0,0,YEARFRAC(RPT,Bankingbook_MSB[[#This Row],[Mat. Date]],3))</f>
        <v>0</v>
      </c>
      <c r="CA9" s="71">
        <f>IF(Bankingbook_MSB[[#This Row],[Days (year)]]=0,0,INDEX(Ref!$K$2:$K$13,MATCH(Bankingbook_MSB[[#This Row],[Days (year)]],Ref!$I$2:$I$13,1)))</f>
        <v>0</v>
      </c>
      <c r="CB9" s="32" t="str">
        <f>VLOOKUP(Bankingbook_MSB[[#This Row],[Security Name]],Ref!X:Z,3,0)</f>
        <v>TPCPBL</v>
      </c>
      <c r="CC9" s="32" t="str">
        <f>VLOOKUP(Bankingbook_MSB[[#This Row],[Security Name]],Ref!X:Y,2,0)</f>
        <v>VBS</v>
      </c>
      <c r="CD9" s="72">
        <f>IF((Bankingbook_MSB[[#This Row],[Mat. Date]]-RPT)&lt;=0,0,Bankingbook_MSB[[#This Row],[QUANTITY]])</f>
        <v>0</v>
      </c>
      <c r="CE9" s="71">
        <f>IF(Bankingbook_MSB[[#This Row],[Quantity_edited]]=0,0,Bankingbook_MSB[[#This Row],[DURATION]])</f>
        <v>0</v>
      </c>
      <c r="CF9" s="71">
        <f>IF(Bankingbook_MSB[[#This Row],[Quantity_edited]]=0,0,Bankingbook_MSB[[#This Row],[Mod Dur]])</f>
        <v>0</v>
      </c>
      <c r="CG9" s="71">
        <f>IF(Bankingbook_MSB[[#This Row],[Quantity_edited]]=0,0,Bankingbook_MSB[[#This Row],[Cnvx.]])</f>
        <v>0</v>
      </c>
      <c r="CH9" s="71">
        <f>(Bankingbook_MSB[[#This Row],[MARKET_VALUE]]+Bankingbook_MSB[[#This Row],[Accr Int]]*Bankingbook_MSB[[#This Row],[Quantity_edited]])*(-Bankingbook_MSB[[#This Row],[Modified Duration]]*0.0001+0.5*Bankingbook_MSB[[#This Row],[Conv]]*(0.0001^2))</f>
        <v>0</v>
      </c>
      <c r="CI9" s="71">
        <f>(Bankingbook_MSB[[#This Row],[MARKET_VALUE]]+Bankingbook_MSB[[#This Row],[Accr Int]]*Bankingbook_MSB[[#This Row],[Quantity_edited]])*(-Bankingbook_MSB[[#This Row],[Modified Duration]]*0.01+0.5*Bankingbook_MSB[[#This Row],[Conv]]*(0.01^2))</f>
        <v>0</v>
      </c>
      <c r="CJ9" s="32"/>
      <c r="CL9" t="s">
        <v>166</v>
      </c>
      <c r="CM9" t="s">
        <v>167</v>
      </c>
      <c r="CN9" t="s">
        <v>179</v>
      </c>
      <c r="CO9" t="s">
        <v>169</v>
      </c>
      <c r="CP9" s="35">
        <v>41506</v>
      </c>
      <c r="CQ9" t="s">
        <v>170</v>
      </c>
      <c r="CR9" t="s">
        <v>174</v>
      </c>
      <c r="CS9" t="s">
        <v>174</v>
      </c>
      <c r="CT9" s="49">
        <v>820000</v>
      </c>
      <c r="CU9">
        <v>82000000000</v>
      </c>
      <c r="CV9">
        <v>94142.5</v>
      </c>
      <c r="CW9" s="70">
        <v>0</v>
      </c>
      <c r="CX9">
        <v>0</v>
      </c>
      <c r="CY9">
        <v>0</v>
      </c>
      <c r="CZ9">
        <v>0</v>
      </c>
      <c r="DA9">
        <v>0</v>
      </c>
      <c r="DB9">
        <v>-1700294893.7854447</v>
      </c>
      <c r="DC9">
        <v>0</v>
      </c>
      <c r="DD9">
        <v>0</v>
      </c>
      <c r="DE9">
        <v>0</v>
      </c>
      <c r="DF9">
        <v>0</v>
      </c>
      <c r="DG9">
        <v>0</v>
      </c>
      <c r="DH9">
        <v>0</v>
      </c>
      <c r="DI9">
        <v>0</v>
      </c>
      <c r="DJ9" s="500">
        <v>4862600000</v>
      </c>
      <c r="DK9" s="500">
        <v>0</v>
      </c>
      <c r="DL9" s="37">
        <v>4862600000</v>
      </c>
      <c r="DM9" s="37">
        <v>4862600000</v>
      </c>
      <c r="DN9" s="37">
        <v>4862600000</v>
      </c>
      <c r="DO9" s="37">
        <v>4862600000</v>
      </c>
      <c r="DP9" s="32">
        <f>Tradingbook_SBV[[#This Row],[Mat. Date]]-RPT</f>
        <v>-4746</v>
      </c>
      <c r="DQ9" s="32">
        <f>IF(Tradingbook_SBV[[#This Row],[Days]]&lt;=0,0,YEARFRAC(RPT,Tradingbook_SBV[[#This Row],[Mat. Date]],3))</f>
        <v>0</v>
      </c>
      <c r="DR9" s="32">
        <f>IF(Tradingbook_SBV[[#This Row],[Days (year)]]=0,0,INDEX(Ref!$K$2:$K$13,MATCH(Tradingbook_SBV[[#This Row],[Days (year)]],Ref!$I$2:$I$13,1)))</f>
        <v>0</v>
      </c>
      <c r="DS9" s="32" t="str">
        <f>VLOOKUP(Tradingbook_SBV[[#This Row],[Security Name]],Ref!X:Z,3,0)</f>
        <v>TPCP</v>
      </c>
      <c r="DT9" s="32" t="str">
        <f>VLOOKUP(Tradingbook_SBV[[#This Row],[Security Name]],Ref!X:Y,2,0)</f>
        <v>KBNN</v>
      </c>
      <c r="DU9" s="71">
        <f>IF((Tradingbook_SBV[[#This Row],[Mat. Date]]-RPT)&lt;=0,0,Tradingbook_SBV[[#This Row],[QUANTITY]])</f>
        <v>0</v>
      </c>
      <c r="DV9" s="71">
        <f>IF(Tradingbook_SBV[[#This Row],[Quantity_edited]]=0,0,Tradingbook_SBV[[#This Row],[DURATION]])</f>
        <v>0</v>
      </c>
      <c r="DW9" s="71">
        <f>IF(Tradingbook_SBV[[#This Row],[Quantity_edited]]=0,0,Tradingbook_SBV[[#This Row],[Mod Dur]])</f>
        <v>0</v>
      </c>
      <c r="DX9" s="71">
        <f>IF(Tradingbook_SBV[[#This Row],[Quantity_edited]]=0,0,Tradingbook_SBV[[#This Row],[Cnvx.]])</f>
        <v>0</v>
      </c>
      <c r="DY9" s="71">
        <f>(Tradingbook_SBV[[#This Row],[MARKET_VALUE]]+Tradingbook_SBV[[#This Row],[Accr Int]]*Tradingbook_SBV[[#This Row],[Quantity_edited]])*(-Tradingbook_SBV[[#This Row],[Modified Duration]]*0.0001+0.5*Tradingbook_SBV[[#This Row],[Conv]]*(0.0001^2))</f>
        <v>0</v>
      </c>
      <c r="DZ9" s="71">
        <f>(Tradingbook_SBV[[#This Row],[MARKET_VALUE]]+Tradingbook_SBV[[#This Row],[Accr Int]]*Tradingbook_SBV[[#This Row],[Quantity_edited]])*(-Tradingbook_SBV[[#This Row],[Modified Duration]]*0.01+0.5*Tradingbook_SBV[[#This Row],[Conv]]*(0.01^2))</f>
        <v>0</v>
      </c>
      <c r="EC9" t="s">
        <v>166</v>
      </c>
      <c r="ED9" t="s">
        <v>167</v>
      </c>
      <c r="EE9" t="s">
        <v>772</v>
      </c>
      <c r="EF9" t="s">
        <v>169</v>
      </c>
      <c r="EG9" s="35" t="s">
        <v>3330</v>
      </c>
      <c r="EH9" t="s">
        <v>170</v>
      </c>
      <c r="EK9" s="500">
        <v>1000000</v>
      </c>
      <c r="EL9" s="500">
        <v>100000000000</v>
      </c>
      <c r="EM9" s="500">
        <v>100000</v>
      </c>
      <c r="EN9" s="500">
        <v>0</v>
      </c>
      <c r="EO9">
        <v>12.7</v>
      </c>
      <c r="EP9">
        <v>0</v>
      </c>
      <c r="EQ9">
        <v>38100000000</v>
      </c>
      <c r="ER9">
        <v>39300299930.555557</v>
      </c>
      <c r="ES9">
        <v>-15672291666.666683</v>
      </c>
      <c r="ET9">
        <v>12.7</v>
      </c>
      <c r="EU9">
        <v>0</v>
      </c>
      <c r="EV9">
        <v>0</v>
      </c>
      <c r="EW9">
        <v>0</v>
      </c>
      <c r="EX9">
        <v>0</v>
      </c>
      <c r="EY9">
        <v>0</v>
      </c>
      <c r="EZ9">
        <v>0</v>
      </c>
      <c r="FA9">
        <v>0</v>
      </c>
      <c r="FB9">
        <v>0</v>
      </c>
      <c r="FC9">
        <v>0</v>
      </c>
      <c r="FD9">
        <v>0</v>
      </c>
      <c r="FE9">
        <v>0</v>
      </c>
      <c r="FF9">
        <v>0</v>
      </c>
      <c r="FG9" s="32">
        <f>Bankingbook_SBV[[#This Row],[Mat. Date]]-RPT</f>
        <v>-4434</v>
      </c>
      <c r="FH9" s="32">
        <f>IF(Bankingbook_SBV[[#This Row],[Days]]&lt;=0,0,YEARFRAC(RPT,Bankingbook_SBV[[#This Row],[Mat. Date]],3))</f>
        <v>0</v>
      </c>
      <c r="FI9" s="32">
        <f>IF(Bankingbook_SBV[[#This Row],[Days (year)]]=0,0,INDEX(Ref!$K$2:$K$13,MATCH(Bankingbook_SBV[[#This Row],[Days (year)]],Ref!$I$2:$I$13,1)))</f>
        <v>0</v>
      </c>
      <c r="FJ9" s="32" t="str">
        <f>VLOOKUP(Bankingbook_SBV[[#This Row],[Security Name]],Ref!X:Z,3,0)</f>
        <v>TPCPBL</v>
      </c>
      <c r="FK9" s="32" t="str">
        <f>VLOOKUP(Bankingbook_SBV[[#This Row],[Security Name]],Ref!X:Y,2,0)</f>
        <v>VBS</v>
      </c>
      <c r="FL9" s="72">
        <f>IF((Bankingbook_SBV[[#This Row],[Mat. Date]]-RPT)&lt;=0,0,Bankingbook_SBV[[#This Row],[QUANTITY]])</f>
        <v>0</v>
      </c>
      <c r="FM9" s="32">
        <f>IF(Bankingbook_SBV[[#This Row],[Quantity_edited]]=0,0,Bankingbook_SBV[[#This Row],[DURATION]])</f>
        <v>0</v>
      </c>
      <c r="FN9" s="32">
        <f>IF(Bankingbook_SBV[[#This Row],[Quantity_edited]]=0,0,Bankingbook_SBV[[#This Row],[Mod Dur]])</f>
        <v>0</v>
      </c>
      <c r="FO9" s="32">
        <f>IF(Bankingbook_SBV[[#This Row],[Quantity_edited]]=0,0,Bankingbook_SBV[[#This Row],[Cnvx.]])</f>
        <v>0</v>
      </c>
      <c r="FP9" s="32">
        <f>(Bankingbook_SBV[[#This Row],[MARKET_VALUE]]+Bankingbook_SBV[[#This Row],[Accr Int]]*Bankingbook_SBV[[#This Row],[Quantity_edited]])*(-Bankingbook_SBV[[#This Row],[Modified Duration]]*0.0001+0.5*Bankingbook_SBV[[#This Row],[Conv]]*(0.0001^2))</f>
        <v>0</v>
      </c>
      <c r="FQ9" s="32">
        <f>(Bankingbook_SBV[[#This Row],[MARKET_VALUE]]+Bankingbook_SBV[[#This Row],[Accr Int]]*Bankingbook_SBV[[#This Row],[Quantity_edited]])*(-Bankingbook_SBV[[#This Row],[Modified Duration]]*0.01+0.5*Bankingbook_SBV[[#This Row],[Conv]]*(0.01^2))</f>
        <v>0</v>
      </c>
      <c r="FT9" t="s">
        <v>166</v>
      </c>
      <c r="FU9" t="s">
        <v>790</v>
      </c>
      <c r="FV9" t="s">
        <v>3965</v>
      </c>
      <c r="FW9">
        <v>3288748</v>
      </c>
      <c r="FX9" s="502">
        <v>46197</v>
      </c>
      <c r="FY9" t="s">
        <v>2176</v>
      </c>
      <c r="FZ9" t="s">
        <v>823</v>
      </c>
      <c r="GA9" t="s">
        <v>2829</v>
      </c>
      <c r="GB9" t="s">
        <v>810</v>
      </c>
      <c r="GC9" t="s">
        <v>2385</v>
      </c>
      <c r="GD9" s="500">
        <v>-91426000000</v>
      </c>
      <c r="GE9">
        <v>10.000491999999999</v>
      </c>
      <c r="GF9" s="502">
        <v>46199</v>
      </c>
      <c r="GG9" s="502">
        <v>46259</v>
      </c>
      <c r="GH9">
        <v>4.5999999999999996</v>
      </c>
      <c r="GI9" t="s">
        <v>811</v>
      </c>
      <c r="GJ9" t="s">
        <v>3321</v>
      </c>
      <c r="GK9" t="s">
        <v>3321</v>
      </c>
      <c r="GL9">
        <v>696488347.22000003</v>
      </c>
      <c r="GM9">
        <v>-610675583.55999994</v>
      </c>
      <c r="GN9">
        <v>101747000000</v>
      </c>
      <c r="GO9">
        <v>10.14</v>
      </c>
      <c r="GP9">
        <v>0.01</v>
      </c>
      <c r="GQ9">
        <v>0.01</v>
      </c>
      <c r="GR9">
        <v>6.7785019999999996</v>
      </c>
      <c r="GS9">
        <v>-92007168599.940002</v>
      </c>
      <c r="GT9">
        <v>-581168599.94000006</v>
      </c>
      <c r="GU9" t="s">
        <v>4135</v>
      </c>
      <c r="GV9" t="s">
        <v>4135</v>
      </c>
      <c r="GW9" s="416">
        <f>FNRP_Repo[[#This Row],[Mat. Date]]-RPT</f>
        <v>7</v>
      </c>
      <c r="GX9" s="819" t="str">
        <f>IF(FNRP_Repo[[#This Row],[Days]]&lt;=0,"Mat",INDEX(Ref!U:U,MATCH(FNRP_Repo[[#This Row],[Days]],Ref!S:S,1)))</f>
        <v>1W</v>
      </c>
      <c r="GY9" s="417">
        <f>RIGHT(FNRP_Repo[[#This Row],[Deal Id]],5)+0</f>
        <v>17910</v>
      </c>
      <c r="LQ9" s="123">
        <f t="shared" si="0"/>
        <v>7.5</v>
      </c>
      <c r="LR9" s="123">
        <f t="shared" si="1"/>
        <v>8.5</v>
      </c>
      <c r="LS9" s="44" t="s">
        <v>886</v>
      </c>
    </row>
    <row r="10" spans="1:331" x14ac:dyDescent="0.3">
      <c r="B10" t="s">
        <v>166</v>
      </c>
      <c r="C10" t="s">
        <v>167</v>
      </c>
      <c r="D10" t="s">
        <v>180</v>
      </c>
      <c r="E10" t="s">
        <v>169</v>
      </c>
      <c r="F10" s="502">
        <v>41520</v>
      </c>
      <c r="G10" t="s">
        <v>170</v>
      </c>
      <c r="H10"/>
      <c r="I10"/>
      <c r="J10" s="38">
        <v>1000000</v>
      </c>
      <c r="K10">
        <v>100000000000</v>
      </c>
      <c r="L10">
        <v>95398.667000000001</v>
      </c>
      <c r="M10" s="38">
        <v>0</v>
      </c>
      <c r="N10">
        <v>0</v>
      </c>
      <c r="O10">
        <v>0</v>
      </c>
      <c r="P10" s="37">
        <v>0</v>
      </c>
      <c r="Q10" s="37">
        <v>0</v>
      </c>
      <c r="R10" s="37">
        <v>-1449721080.9502761</v>
      </c>
      <c r="S10">
        <v>0</v>
      </c>
      <c r="T10" s="70">
        <v>0</v>
      </c>
      <c r="U10">
        <v>0</v>
      </c>
      <c r="V10">
        <v>0</v>
      </c>
      <c r="W10">
        <v>0</v>
      </c>
      <c r="X10" s="38">
        <v>0</v>
      </c>
      <c r="Y10">
        <v>0</v>
      </c>
      <c r="Z10" s="70">
        <v>4574999999.9999847</v>
      </c>
      <c r="AA10" s="70">
        <v>0</v>
      </c>
      <c r="AB10" s="70">
        <v>4574999999.9999847</v>
      </c>
      <c r="AC10" s="70">
        <v>4574999999.9999847</v>
      </c>
      <c r="AD10" s="70">
        <v>4575000000</v>
      </c>
      <c r="AE10" s="70">
        <v>4574999999.9999847</v>
      </c>
      <c r="AF10">
        <v>8.7856333329999998</v>
      </c>
      <c r="AG10" s="72">
        <f>Tradingbook_MSB[[#This Row],[Mat. Date]]-RPT</f>
        <v>-4732</v>
      </c>
      <c r="AH10" s="71">
        <f>IF(Tradingbook_MSB[[#This Row],[Days]]&lt;=0,0,YEARFRAC(RPT,Tradingbook_MSB[[#This Row],[Mat. Date]],3))</f>
        <v>0</v>
      </c>
      <c r="AI10" s="71">
        <f>IF(Tradingbook_MSB[[#This Row],[Days (year)]]=0,0,INDEX(Ref!$K$2:$K$13,MATCH(Tradingbook_MSB[[#This Row],[Days (year)]],Ref!$I$2:$I$13,1)))</f>
        <v>0</v>
      </c>
      <c r="AJ10" s="120" t="str">
        <f>VLOOKUP(Tradingbook_MSB[[#This Row],[Security Name]],Ref!X:Z,3,0)</f>
        <v>TPCP</v>
      </c>
      <c r="AK10" s="120" t="str">
        <f>VLOOKUP(Tradingbook_MSB[[#This Row],[Security Name]],Ref!X:Y,2,0)</f>
        <v>KBNN</v>
      </c>
      <c r="AL10" s="71">
        <f>IF((Tradingbook_MSB[[#This Row],[Mat. Date]]-RPT)&lt;=0,0,Tradingbook_MSB[[#This Row],[QUANTITY]])</f>
        <v>0</v>
      </c>
      <c r="AM10" s="71">
        <f>IF(Tradingbook_MSB[[#This Row],[Quantity_edited]]=0,0,Tradingbook_MSB[[#This Row],[DURATION]])</f>
        <v>0</v>
      </c>
      <c r="AN10" s="71">
        <f>IF(Tradingbook_MSB[[#This Row],[Quantity_edited]]=0,0,Tradingbook_MSB[[#This Row],[Mod Dur]])</f>
        <v>0</v>
      </c>
      <c r="AO10" s="71">
        <f>IF(Tradingbook_MSB[[#This Row],[Quantity_edited]]=0,0,Tradingbook_MSB[[#This Row],[Cnvx.]])</f>
        <v>0</v>
      </c>
      <c r="AP10" s="71">
        <f>(Tradingbook_MSB[[#This Row],[MARKET_VALUE]]+Tradingbook_MSB[[#This Row],[Accr Int]]*Tradingbook_MSB[[#This Row],[Quantity_edited]])*(-Tradingbook_MSB[[#This Row],[Modified Duration]]*0.0001+0.5*Tradingbook_MSB[[#This Row],[Conv]]*(0.0001^2))</f>
        <v>0</v>
      </c>
      <c r="AQ10" s="72">
        <f>(Tradingbook_MSB[[#This Row],[MARKET_VALUE]]+Tradingbook_MSB[[#This Row],[Accr Int]]*Tradingbook_MSB[[#This Row],[Quantity_edited]])*(-Tradingbook_MSB[[#This Row],[Modified Duration]]*0.01+0.5*Tradingbook_MSB[[#This Row],[Conv]]*(0.01^2))</f>
        <v>0</v>
      </c>
      <c r="AR10" s="71"/>
      <c r="AT10" t="s">
        <v>166</v>
      </c>
      <c r="AU10" t="s">
        <v>167</v>
      </c>
      <c r="AV10" t="s">
        <v>192</v>
      </c>
      <c r="AW10" t="s">
        <v>169</v>
      </c>
      <c r="AX10" t="s">
        <v>3331</v>
      </c>
      <c r="AY10" t="s">
        <v>170</v>
      </c>
      <c r="BB10" s="49">
        <v>500000</v>
      </c>
      <c r="BC10">
        <v>50000000000</v>
      </c>
      <c r="BD10">
        <v>99528</v>
      </c>
      <c r="BE10" s="37">
        <v>0</v>
      </c>
      <c r="BF10">
        <v>9.4</v>
      </c>
      <c r="BG10">
        <v>0</v>
      </c>
      <c r="BH10" s="34">
        <v>9400000000</v>
      </c>
      <c r="BI10">
        <v>9549897361.1111107</v>
      </c>
      <c r="BJ10">
        <v>-2007781133.3333349</v>
      </c>
      <c r="BK10">
        <v>9.4</v>
      </c>
      <c r="BL10">
        <v>0</v>
      </c>
      <c r="BM10">
        <v>0</v>
      </c>
      <c r="BN10">
        <v>0</v>
      </c>
      <c r="BO10">
        <v>0</v>
      </c>
      <c r="BP10">
        <v>0</v>
      </c>
      <c r="BQ10">
        <v>0</v>
      </c>
      <c r="BR10">
        <v>236000000</v>
      </c>
      <c r="BS10">
        <v>0</v>
      </c>
      <c r="BT10">
        <v>236000000</v>
      </c>
      <c r="BU10">
        <v>236000000</v>
      </c>
      <c r="BV10">
        <v>236000000</v>
      </c>
      <c r="BW10">
        <v>236000000</v>
      </c>
      <c r="BX10">
        <v>9.73</v>
      </c>
      <c r="BY10" s="32">
        <f>Bankingbook_MSB[[#This Row],[Mat. Date]]-RPT</f>
        <v>-4417</v>
      </c>
      <c r="BZ10" s="71">
        <f>IF(Bankingbook_MSB[[#This Row],[Days]]&lt;=0,0,YEARFRAC(RPT,Bankingbook_MSB[[#This Row],[Mat. Date]],3))</f>
        <v>0</v>
      </c>
      <c r="CA10" s="71">
        <f>IF(Bankingbook_MSB[[#This Row],[Days (year)]]=0,0,INDEX(Ref!$K$2:$K$13,MATCH(Bankingbook_MSB[[#This Row],[Days (year)]],Ref!$I$2:$I$13,1)))</f>
        <v>0</v>
      </c>
      <c r="CB10" s="32" t="str">
        <f>VLOOKUP(Bankingbook_MSB[[#This Row],[Security Name]],Ref!X:Z,3,0)</f>
        <v>TPCP</v>
      </c>
      <c r="CC10" s="32" t="str">
        <f>VLOOKUP(Bankingbook_MSB[[#This Row],[Security Name]],Ref!X:Y,2,0)</f>
        <v>KBNN</v>
      </c>
      <c r="CD10" s="72">
        <f>IF((Bankingbook_MSB[[#This Row],[Mat. Date]]-RPT)&lt;=0,0,Bankingbook_MSB[[#This Row],[QUANTITY]])</f>
        <v>0</v>
      </c>
      <c r="CE10" s="71">
        <f>IF(Bankingbook_MSB[[#This Row],[Quantity_edited]]=0,0,Bankingbook_MSB[[#This Row],[DURATION]])</f>
        <v>0</v>
      </c>
      <c r="CF10" s="71">
        <f>IF(Bankingbook_MSB[[#This Row],[Quantity_edited]]=0,0,Bankingbook_MSB[[#This Row],[Mod Dur]])</f>
        <v>0</v>
      </c>
      <c r="CG10" s="71">
        <f>IF(Bankingbook_MSB[[#This Row],[Quantity_edited]]=0,0,Bankingbook_MSB[[#This Row],[Cnvx.]])</f>
        <v>0</v>
      </c>
      <c r="CH10" s="71">
        <f>(Bankingbook_MSB[[#This Row],[MARKET_VALUE]]+Bankingbook_MSB[[#This Row],[Accr Int]]*Bankingbook_MSB[[#This Row],[Quantity_edited]])*(-Bankingbook_MSB[[#This Row],[Modified Duration]]*0.0001+0.5*Bankingbook_MSB[[#This Row],[Conv]]*(0.0001^2))</f>
        <v>0</v>
      </c>
      <c r="CI10" s="71">
        <f>(Bankingbook_MSB[[#This Row],[MARKET_VALUE]]+Bankingbook_MSB[[#This Row],[Accr Int]]*Bankingbook_MSB[[#This Row],[Quantity_edited]])*(-Bankingbook_MSB[[#This Row],[Modified Duration]]*0.01+0.5*Bankingbook_MSB[[#This Row],[Conv]]*(0.01^2))</f>
        <v>0</v>
      </c>
      <c r="CJ10" s="32"/>
      <c r="CL10" t="s">
        <v>166</v>
      </c>
      <c r="CM10" t="s">
        <v>167</v>
      </c>
      <c r="CN10" t="s">
        <v>180</v>
      </c>
      <c r="CO10" t="s">
        <v>169</v>
      </c>
      <c r="CP10" s="35">
        <v>41520</v>
      </c>
      <c r="CQ10" t="s">
        <v>170</v>
      </c>
      <c r="CR10" t="s">
        <v>174</v>
      </c>
      <c r="CS10" t="s">
        <v>174</v>
      </c>
      <c r="CT10" s="49">
        <v>1000000</v>
      </c>
      <c r="CU10">
        <v>100000000000</v>
      </c>
      <c r="CV10">
        <v>95398.667000000001</v>
      </c>
      <c r="CW10" s="70">
        <v>0</v>
      </c>
      <c r="CX10">
        <v>0</v>
      </c>
      <c r="CY10">
        <v>0</v>
      </c>
      <c r="CZ10">
        <v>0</v>
      </c>
      <c r="DA10">
        <v>0</v>
      </c>
      <c r="DB10">
        <v>-1449721080.9502761</v>
      </c>
      <c r="DC10">
        <v>0</v>
      </c>
      <c r="DD10">
        <v>0</v>
      </c>
      <c r="DE10">
        <v>0</v>
      </c>
      <c r="DF10">
        <v>0</v>
      </c>
      <c r="DG10">
        <v>0</v>
      </c>
      <c r="DH10">
        <v>0</v>
      </c>
      <c r="DI10">
        <v>0</v>
      </c>
      <c r="DJ10" s="500">
        <v>4574999999.9999847</v>
      </c>
      <c r="DK10" s="500">
        <v>0</v>
      </c>
      <c r="DL10" s="37">
        <v>4574999999.9999847</v>
      </c>
      <c r="DM10" s="37">
        <v>4574999999.9999847</v>
      </c>
      <c r="DN10" s="37">
        <v>4575000000</v>
      </c>
      <c r="DO10" s="37">
        <v>4574999999.9999847</v>
      </c>
      <c r="DP10" s="32">
        <f>Tradingbook_SBV[[#This Row],[Mat. Date]]-RPT</f>
        <v>-4732</v>
      </c>
      <c r="DQ10" s="32">
        <f>IF(Tradingbook_SBV[[#This Row],[Days]]&lt;=0,0,YEARFRAC(RPT,Tradingbook_SBV[[#This Row],[Mat. Date]],3))</f>
        <v>0</v>
      </c>
      <c r="DR10" s="32">
        <f>IF(Tradingbook_SBV[[#This Row],[Days (year)]]=0,0,INDEX(Ref!$K$2:$K$13,MATCH(Tradingbook_SBV[[#This Row],[Days (year)]],Ref!$I$2:$I$13,1)))</f>
        <v>0</v>
      </c>
      <c r="DS10" s="32" t="str">
        <f>VLOOKUP(Tradingbook_SBV[[#This Row],[Security Name]],Ref!X:Z,3,0)</f>
        <v>TPCP</v>
      </c>
      <c r="DT10" s="32" t="str">
        <f>VLOOKUP(Tradingbook_SBV[[#This Row],[Security Name]],Ref!X:Y,2,0)</f>
        <v>KBNN</v>
      </c>
      <c r="DU10" s="71">
        <f>IF((Tradingbook_SBV[[#This Row],[Mat. Date]]-RPT)&lt;=0,0,Tradingbook_SBV[[#This Row],[QUANTITY]])</f>
        <v>0</v>
      </c>
      <c r="DV10" s="71">
        <f>IF(Tradingbook_SBV[[#This Row],[Quantity_edited]]=0,0,Tradingbook_SBV[[#This Row],[DURATION]])</f>
        <v>0</v>
      </c>
      <c r="DW10" s="71">
        <f>IF(Tradingbook_SBV[[#This Row],[Quantity_edited]]=0,0,Tradingbook_SBV[[#This Row],[Mod Dur]])</f>
        <v>0</v>
      </c>
      <c r="DX10" s="71">
        <f>IF(Tradingbook_SBV[[#This Row],[Quantity_edited]]=0,0,Tradingbook_SBV[[#This Row],[Cnvx.]])</f>
        <v>0</v>
      </c>
      <c r="DY10" s="71">
        <f>(Tradingbook_SBV[[#This Row],[MARKET_VALUE]]+Tradingbook_SBV[[#This Row],[Accr Int]]*Tradingbook_SBV[[#This Row],[Quantity_edited]])*(-Tradingbook_SBV[[#This Row],[Modified Duration]]*0.0001+0.5*Tradingbook_SBV[[#This Row],[Conv]]*(0.0001^2))</f>
        <v>0</v>
      </c>
      <c r="DZ10" s="71">
        <f>(Tradingbook_SBV[[#This Row],[MARKET_VALUE]]+Tradingbook_SBV[[#This Row],[Accr Int]]*Tradingbook_SBV[[#This Row],[Quantity_edited]])*(-Tradingbook_SBV[[#This Row],[Modified Duration]]*0.01+0.5*Tradingbook_SBV[[#This Row],[Conv]]*(0.01^2))</f>
        <v>0</v>
      </c>
      <c r="EC10" t="s">
        <v>166</v>
      </c>
      <c r="ED10" t="s">
        <v>167</v>
      </c>
      <c r="EE10" t="s">
        <v>192</v>
      </c>
      <c r="EF10" t="s">
        <v>169</v>
      </c>
      <c r="EG10" s="35" t="s">
        <v>3331</v>
      </c>
      <c r="EH10" t="s">
        <v>170</v>
      </c>
      <c r="EK10" s="500">
        <v>500000</v>
      </c>
      <c r="EL10" s="500">
        <v>50000000000</v>
      </c>
      <c r="EM10" s="500">
        <v>99528</v>
      </c>
      <c r="EN10" s="500">
        <v>0</v>
      </c>
      <c r="EO10">
        <v>9.4</v>
      </c>
      <c r="EP10">
        <v>0</v>
      </c>
      <c r="EQ10">
        <v>9400000000</v>
      </c>
      <c r="ER10">
        <v>9549897361.1111107</v>
      </c>
      <c r="ES10">
        <v>-2007781133.3333349</v>
      </c>
      <c r="ET10">
        <v>9.4</v>
      </c>
      <c r="EU10">
        <v>0</v>
      </c>
      <c r="EV10">
        <v>0</v>
      </c>
      <c r="EW10">
        <v>0</v>
      </c>
      <c r="EX10">
        <v>0</v>
      </c>
      <c r="EY10">
        <v>0</v>
      </c>
      <c r="EZ10">
        <v>0</v>
      </c>
      <c r="FA10">
        <v>236000000</v>
      </c>
      <c r="FB10">
        <v>0</v>
      </c>
      <c r="FC10">
        <v>236000000</v>
      </c>
      <c r="FD10">
        <v>236000000</v>
      </c>
      <c r="FE10">
        <v>236000000</v>
      </c>
      <c r="FF10">
        <v>236000000</v>
      </c>
      <c r="FG10" s="32">
        <f>Bankingbook_SBV[[#This Row],[Mat. Date]]-RPT</f>
        <v>-4417</v>
      </c>
      <c r="FH10" s="32">
        <f>IF(Bankingbook_SBV[[#This Row],[Days]]&lt;=0,0,YEARFRAC(RPT,Bankingbook_SBV[[#This Row],[Mat. Date]],3))</f>
        <v>0</v>
      </c>
      <c r="FI10" s="32">
        <f>IF(Bankingbook_SBV[[#This Row],[Days (year)]]=0,0,INDEX(Ref!$K$2:$K$13,MATCH(Bankingbook_SBV[[#This Row],[Days (year)]],Ref!$I$2:$I$13,1)))</f>
        <v>0</v>
      </c>
      <c r="FJ10" s="32" t="str">
        <f>VLOOKUP(Bankingbook_SBV[[#This Row],[Security Name]],Ref!X:Z,3,0)</f>
        <v>TPCP</v>
      </c>
      <c r="FK10" s="32" t="str">
        <f>VLOOKUP(Bankingbook_SBV[[#This Row],[Security Name]],Ref!X:Y,2,0)</f>
        <v>KBNN</v>
      </c>
      <c r="FL10" s="72">
        <f>IF((Bankingbook_SBV[[#This Row],[Mat. Date]]-RPT)&lt;=0,0,Bankingbook_SBV[[#This Row],[QUANTITY]])</f>
        <v>0</v>
      </c>
      <c r="FM10" s="32">
        <f>IF(Bankingbook_SBV[[#This Row],[Quantity_edited]]=0,0,Bankingbook_SBV[[#This Row],[DURATION]])</f>
        <v>0</v>
      </c>
      <c r="FN10" s="32">
        <f>IF(Bankingbook_SBV[[#This Row],[Quantity_edited]]=0,0,Bankingbook_SBV[[#This Row],[Mod Dur]])</f>
        <v>0</v>
      </c>
      <c r="FO10" s="32">
        <f>IF(Bankingbook_SBV[[#This Row],[Quantity_edited]]=0,0,Bankingbook_SBV[[#This Row],[Cnvx.]])</f>
        <v>0</v>
      </c>
      <c r="FP10" s="32">
        <f>(Bankingbook_SBV[[#This Row],[MARKET_VALUE]]+Bankingbook_SBV[[#This Row],[Accr Int]]*Bankingbook_SBV[[#This Row],[Quantity_edited]])*(-Bankingbook_SBV[[#This Row],[Modified Duration]]*0.0001+0.5*Bankingbook_SBV[[#This Row],[Conv]]*(0.0001^2))</f>
        <v>0</v>
      </c>
      <c r="FQ10" s="32">
        <f>(Bankingbook_SBV[[#This Row],[MARKET_VALUE]]+Bankingbook_SBV[[#This Row],[Accr Int]]*Bankingbook_SBV[[#This Row],[Quantity_edited]])*(-Bankingbook_SBV[[#This Row],[Modified Duration]]*0.01+0.5*Bankingbook_SBV[[#This Row],[Conv]]*(0.01^2))</f>
        <v>0</v>
      </c>
      <c r="FT10" t="s">
        <v>166</v>
      </c>
      <c r="FU10" t="s">
        <v>790</v>
      </c>
      <c r="FV10" t="s">
        <v>3966</v>
      </c>
      <c r="FW10">
        <v>3288753</v>
      </c>
      <c r="FX10" s="502">
        <v>46197</v>
      </c>
      <c r="FY10" t="s">
        <v>2176</v>
      </c>
      <c r="FZ10" t="s">
        <v>823</v>
      </c>
      <c r="GA10" t="s">
        <v>2829</v>
      </c>
      <c r="GB10" t="s">
        <v>810</v>
      </c>
      <c r="GC10" t="s">
        <v>2742</v>
      </c>
      <c r="GD10" s="500">
        <v>-164354000000</v>
      </c>
      <c r="GE10">
        <v>10.000219</v>
      </c>
      <c r="GF10" s="502">
        <v>46199</v>
      </c>
      <c r="GG10" s="502">
        <v>46259</v>
      </c>
      <c r="GH10">
        <v>4.5999999999999996</v>
      </c>
      <c r="GI10" t="s">
        <v>811</v>
      </c>
      <c r="GJ10" t="s">
        <v>3321</v>
      </c>
      <c r="GK10" t="s">
        <v>3321</v>
      </c>
      <c r="GL10">
        <v>1252057902.78</v>
      </c>
      <c r="GM10">
        <v>-1097794663.01</v>
      </c>
      <c r="GN10">
        <v>178272000000</v>
      </c>
      <c r="GO10">
        <v>7.81</v>
      </c>
      <c r="GP10">
        <v>0.01</v>
      </c>
      <c r="GQ10">
        <v>0.01</v>
      </c>
      <c r="GR10">
        <v>6.7785019999999996</v>
      </c>
      <c r="GS10">
        <v>-165398750772.53</v>
      </c>
      <c r="GT10">
        <v>-1044750772.53</v>
      </c>
      <c r="GU10" t="s">
        <v>4136</v>
      </c>
      <c r="GV10" t="s">
        <v>4136</v>
      </c>
      <c r="GW10" s="416">
        <f>FNRP_Repo[[#This Row],[Mat. Date]]-RPT</f>
        <v>7</v>
      </c>
      <c r="GX10" s="819" t="str">
        <f>IF(FNRP_Repo[[#This Row],[Days]]&lt;=0,"Mat",INDEX(Ref!U:U,MATCH(FNRP_Repo[[#This Row],[Days]],Ref!S:S,1)))</f>
        <v>1W</v>
      </c>
      <c r="GY10" s="417">
        <f>RIGHT(FNRP_Repo[[#This Row],[Deal Id]],5)+0</f>
        <v>17911</v>
      </c>
    </row>
    <row r="11" spans="1:331" x14ac:dyDescent="0.3">
      <c r="B11" t="s">
        <v>166</v>
      </c>
      <c r="C11" t="s">
        <v>167</v>
      </c>
      <c r="D11" t="s">
        <v>181</v>
      </c>
      <c r="E11" t="s">
        <v>169</v>
      </c>
      <c r="F11" s="502">
        <v>41646</v>
      </c>
      <c r="G11" t="s">
        <v>3322</v>
      </c>
      <c r="H11"/>
      <c r="I11"/>
      <c r="J11" s="38">
        <v>0</v>
      </c>
      <c r="K11">
        <v>0</v>
      </c>
      <c r="L11">
        <v>0</v>
      </c>
      <c r="M11" s="38">
        <v>0</v>
      </c>
      <c r="N11">
        <v>0</v>
      </c>
      <c r="O11">
        <v>0</v>
      </c>
      <c r="P11" s="37">
        <v>0</v>
      </c>
      <c r="Q11" s="37">
        <v>0</v>
      </c>
      <c r="R11" s="37">
        <v>-314235236.11111164</v>
      </c>
      <c r="S11">
        <v>0</v>
      </c>
      <c r="T11" s="70">
        <v>0</v>
      </c>
      <c r="U11">
        <v>0</v>
      </c>
      <c r="V11">
        <v>0</v>
      </c>
      <c r="W11">
        <v>0</v>
      </c>
      <c r="X11" s="38">
        <v>0</v>
      </c>
      <c r="Y11">
        <v>0</v>
      </c>
      <c r="Z11" s="70">
        <v>655000000</v>
      </c>
      <c r="AA11" s="70">
        <v>0</v>
      </c>
      <c r="AB11" s="70">
        <v>655000000</v>
      </c>
      <c r="AC11" s="70">
        <v>655000000</v>
      </c>
      <c r="AD11" s="70">
        <v>655000000</v>
      </c>
      <c r="AE11" s="70">
        <v>655000000</v>
      </c>
      <c r="AF11">
        <v>0</v>
      </c>
      <c r="AG11" s="72">
        <f>Tradingbook_MSB[[#This Row],[Mat. Date]]-RPT</f>
        <v>-4606</v>
      </c>
      <c r="AH11" s="71">
        <f>IF(Tradingbook_MSB[[#This Row],[Days]]&lt;=0,0,YEARFRAC(RPT,Tradingbook_MSB[[#This Row],[Mat. Date]],3))</f>
        <v>0</v>
      </c>
      <c r="AI11" s="71">
        <f>IF(Tradingbook_MSB[[#This Row],[Days (year)]]=0,0,INDEX(Ref!$K$2:$K$13,MATCH(Tradingbook_MSB[[#This Row],[Days (year)]],Ref!$I$2:$I$13,1)))</f>
        <v>0</v>
      </c>
      <c r="AJ11" s="120" t="str">
        <f>VLOOKUP(Tradingbook_MSB[[#This Row],[Security Name]],Ref!X:Z,3,0)</f>
        <v>TPCP</v>
      </c>
      <c r="AK11" s="120" t="str">
        <f>VLOOKUP(Tradingbook_MSB[[#This Row],[Security Name]],Ref!X:Y,2,0)</f>
        <v>KBNN</v>
      </c>
      <c r="AL11" s="71">
        <f>IF((Tradingbook_MSB[[#This Row],[Mat. Date]]-RPT)&lt;=0,0,Tradingbook_MSB[[#This Row],[QUANTITY]])</f>
        <v>0</v>
      </c>
      <c r="AM11" s="71">
        <f>IF(Tradingbook_MSB[[#This Row],[Quantity_edited]]=0,0,Tradingbook_MSB[[#This Row],[DURATION]])</f>
        <v>0</v>
      </c>
      <c r="AN11" s="71">
        <f>IF(Tradingbook_MSB[[#This Row],[Quantity_edited]]=0,0,Tradingbook_MSB[[#This Row],[Mod Dur]])</f>
        <v>0</v>
      </c>
      <c r="AO11" s="71">
        <f>IF(Tradingbook_MSB[[#This Row],[Quantity_edited]]=0,0,Tradingbook_MSB[[#This Row],[Cnvx.]])</f>
        <v>0</v>
      </c>
      <c r="AP11" s="71">
        <f>(Tradingbook_MSB[[#This Row],[MARKET_VALUE]]+Tradingbook_MSB[[#This Row],[Accr Int]]*Tradingbook_MSB[[#This Row],[Quantity_edited]])*(-Tradingbook_MSB[[#This Row],[Modified Duration]]*0.0001+0.5*Tradingbook_MSB[[#This Row],[Conv]]*(0.0001^2))</f>
        <v>0</v>
      </c>
      <c r="AQ11" s="72">
        <f>(Tradingbook_MSB[[#This Row],[MARKET_VALUE]]+Tradingbook_MSB[[#This Row],[Accr Int]]*Tradingbook_MSB[[#This Row],[Quantity_edited]])*(-Tradingbook_MSB[[#This Row],[Modified Duration]]*0.01+0.5*Tradingbook_MSB[[#This Row],[Conv]]*(0.01^2))</f>
        <v>0</v>
      </c>
      <c r="AR11" s="71"/>
      <c r="AT11" t="s">
        <v>166</v>
      </c>
      <c r="AU11" t="s">
        <v>167</v>
      </c>
      <c r="AV11" t="s">
        <v>773</v>
      </c>
      <c r="AW11" t="s">
        <v>169</v>
      </c>
      <c r="AX11" t="s">
        <v>3332</v>
      </c>
      <c r="AY11" t="s">
        <v>3322</v>
      </c>
      <c r="BB11" s="49">
        <v>0</v>
      </c>
      <c r="BC11">
        <v>0</v>
      </c>
      <c r="BD11">
        <v>0</v>
      </c>
      <c r="BE11" s="37">
        <v>0</v>
      </c>
      <c r="BF11">
        <v>10</v>
      </c>
      <c r="BG11">
        <v>0</v>
      </c>
      <c r="BH11" s="34">
        <v>0</v>
      </c>
      <c r="BI11">
        <v>0</v>
      </c>
      <c r="BJ11">
        <v>-3313425937.4999981</v>
      </c>
      <c r="BK11">
        <v>10</v>
      </c>
      <c r="BL11">
        <v>0</v>
      </c>
      <c r="BM11">
        <v>0</v>
      </c>
      <c r="BN11">
        <v>0</v>
      </c>
      <c r="BO11">
        <v>0</v>
      </c>
      <c r="BP11">
        <v>0</v>
      </c>
      <c r="BQ11">
        <v>0</v>
      </c>
      <c r="BR11">
        <v>3340000000</v>
      </c>
      <c r="BS11">
        <v>0</v>
      </c>
      <c r="BT11">
        <v>3340000000</v>
      </c>
      <c r="BU11">
        <v>3340000000</v>
      </c>
      <c r="BV11">
        <v>3340000000</v>
      </c>
      <c r="BW11">
        <v>3340000000</v>
      </c>
      <c r="BX11">
        <v>0</v>
      </c>
      <c r="BY11" s="32">
        <f>Bankingbook_MSB[[#This Row],[Mat. Date]]-RPT</f>
        <v>-4357</v>
      </c>
      <c r="BZ11" s="71">
        <f>IF(Bankingbook_MSB[[#This Row],[Days]]&lt;=0,0,YEARFRAC(RPT,Bankingbook_MSB[[#This Row],[Mat. Date]],3))</f>
        <v>0</v>
      </c>
      <c r="CA11" s="71">
        <f>IF(Bankingbook_MSB[[#This Row],[Days (year)]]=0,0,INDEX(Ref!$K$2:$K$13,MATCH(Bankingbook_MSB[[#This Row],[Days (year)]],Ref!$I$2:$I$13,1)))</f>
        <v>0</v>
      </c>
      <c r="CB11" s="32" t="str">
        <f>VLOOKUP(Bankingbook_MSB[[#This Row],[Security Name]],Ref!X:Z,3,0)</f>
        <v>TPCPBL</v>
      </c>
      <c r="CC11" s="32" t="str">
        <f>VLOOKUP(Bankingbook_MSB[[#This Row],[Security Name]],Ref!X:Y,2,0)</f>
        <v>VDB</v>
      </c>
      <c r="CD11" s="72">
        <f>IF((Bankingbook_MSB[[#This Row],[Mat. Date]]-RPT)&lt;=0,0,Bankingbook_MSB[[#This Row],[QUANTITY]])</f>
        <v>0</v>
      </c>
      <c r="CE11" s="71">
        <f>IF(Bankingbook_MSB[[#This Row],[Quantity_edited]]=0,0,Bankingbook_MSB[[#This Row],[DURATION]])</f>
        <v>0</v>
      </c>
      <c r="CF11" s="71">
        <f>IF(Bankingbook_MSB[[#This Row],[Quantity_edited]]=0,0,Bankingbook_MSB[[#This Row],[Mod Dur]])</f>
        <v>0</v>
      </c>
      <c r="CG11" s="71">
        <f>IF(Bankingbook_MSB[[#This Row],[Quantity_edited]]=0,0,Bankingbook_MSB[[#This Row],[Cnvx.]])</f>
        <v>0</v>
      </c>
      <c r="CH11" s="71">
        <f>(Bankingbook_MSB[[#This Row],[MARKET_VALUE]]+Bankingbook_MSB[[#This Row],[Accr Int]]*Bankingbook_MSB[[#This Row],[Quantity_edited]])*(-Bankingbook_MSB[[#This Row],[Modified Duration]]*0.0001+0.5*Bankingbook_MSB[[#This Row],[Conv]]*(0.0001^2))</f>
        <v>0</v>
      </c>
      <c r="CI11" s="71">
        <f>(Bankingbook_MSB[[#This Row],[MARKET_VALUE]]+Bankingbook_MSB[[#This Row],[Accr Int]]*Bankingbook_MSB[[#This Row],[Quantity_edited]])*(-Bankingbook_MSB[[#This Row],[Modified Duration]]*0.01+0.5*Bankingbook_MSB[[#This Row],[Conv]]*(0.01^2))</f>
        <v>0</v>
      </c>
      <c r="CJ11" s="32"/>
      <c r="CL11" t="s">
        <v>166</v>
      </c>
      <c r="CM11" t="s">
        <v>167</v>
      </c>
      <c r="CN11" t="s">
        <v>181</v>
      </c>
      <c r="CO11" t="s">
        <v>169</v>
      </c>
      <c r="CP11" s="35">
        <v>41646</v>
      </c>
      <c r="CQ11" t="s">
        <v>3322</v>
      </c>
      <c r="CR11" t="s">
        <v>174</v>
      </c>
      <c r="CS11" t="s">
        <v>174</v>
      </c>
      <c r="CT11" s="49">
        <v>0</v>
      </c>
      <c r="CU11">
        <v>0</v>
      </c>
      <c r="CV11">
        <v>0</v>
      </c>
      <c r="CW11" s="70">
        <v>0</v>
      </c>
      <c r="CX11">
        <v>0</v>
      </c>
      <c r="CY11">
        <v>0</v>
      </c>
      <c r="CZ11">
        <v>0</v>
      </c>
      <c r="DA11">
        <v>0</v>
      </c>
      <c r="DB11">
        <v>-314235236.11111164</v>
      </c>
      <c r="DC11">
        <v>0</v>
      </c>
      <c r="DD11">
        <v>0</v>
      </c>
      <c r="DE11">
        <v>0</v>
      </c>
      <c r="DF11">
        <v>0</v>
      </c>
      <c r="DG11">
        <v>0</v>
      </c>
      <c r="DH11">
        <v>0</v>
      </c>
      <c r="DI11">
        <v>0</v>
      </c>
      <c r="DJ11" s="500">
        <v>655000000</v>
      </c>
      <c r="DK11" s="500">
        <v>0</v>
      </c>
      <c r="DL11" s="37">
        <v>655000000</v>
      </c>
      <c r="DM11" s="37">
        <v>655000000</v>
      </c>
      <c r="DN11" s="37">
        <v>655000000</v>
      </c>
      <c r="DO11" s="37">
        <v>655000000</v>
      </c>
      <c r="DP11" s="32">
        <f>Tradingbook_SBV[[#This Row],[Mat. Date]]-RPT</f>
        <v>-4606</v>
      </c>
      <c r="DQ11" s="32">
        <f>IF(Tradingbook_SBV[[#This Row],[Days]]&lt;=0,0,YEARFRAC(RPT,Tradingbook_SBV[[#This Row],[Mat. Date]],3))</f>
        <v>0</v>
      </c>
      <c r="DR11" s="32">
        <f>IF(Tradingbook_SBV[[#This Row],[Days (year)]]=0,0,INDEX(Ref!$K$2:$K$13,MATCH(Tradingbook_SBV[[#This Row],[Days (year)]],Ref!$I$2:$I$13,1)))</f>
        <v>0</v>
      </c>
      <c r="DS11" s="32" t="str">
        <f>VLOOKUP(Tradingbook_SBV[[#This Row],[Security Name]],Ref!X:Z,3,0)</f>
        <v>TPCP</v>
      </c>
      <c r="DT11" s="32" t="str">
        <f>VLOOKUP(Tradingbook_SBV[[#This Row],[Security Name]],Ref!X:Y,2,0)</f>
        <v>KBNN</v>
      </c>
      <c r="DU11" s="71">
        <f>IF((Tradingbook_SBV[[#This Row],[Mat. Date]]-RPT)&lt;=0,0,Tradingbook_SBV[[#This Row],[QUANTITY]])</f>
        <v>0</v>
      </c>
      <c r="DV11" s="71">
        <f>IF(Tradingbook_SBV[[#This Row],[Quantity_edited]]=0,0,Tradingbook_SBV[[#This Row],[DURATION]])</f>
        <v>0</v>
      </c>
      <c r="DW11" s="71">
        <f>IF(Tradingbook_SBV[[#This Row],[Quantity_edited]]=0,0,Tradingbook_SBV[[#This Row],[Mod Dur]])</f>
        <v>0</v>
      </c>
      <c r="DX11" s="71">
        <f>IF(Tradingbook_SBV[[#This Row],[Quantity_edited]]=0,0,Tradingbook_SBV[[#This Row],[Cnvx.]])</f>
        <v>0</v>
      </c>
      <c r="DY11" s="71">
        <f>(Tradingbook_SBV[[#This Row],[MARKET_VALUE]]+Tradingbook_SBV[[#This Row],[Accr Int]]*Tradingbook_SBV[[#This Row],[Quantity_edited]])*(-Tradingbook_SBV[[#This Row],[Modified Duration]]*0.0001+0.5*Tradingbook_SBV[[#This Row],[Conv]]*(0.0001^2))</f>
        <v>0</v>
      </c>
      <c r="DZ11" s="71">
        <f>(Tradingbook_SBV[[#This Row],[MARKET_VALUE]]+Tradingbook_SBV[[#This Row],[Accr Int]]*Tradingbook_SBV[[#This Row],[Quantity_edited]])*(-Tradingbook_SBV[[#This Row],[Modified Duration]]*0.01+0.5*Tradingbook_SBV[[#This Row],[Conv]]*(0.01^2))</f>
        <v>0</v>
      </c>
      <c r="EC11" t="s">
        <v>166</v>
      </c>
      <c r="ED11" t="s">
        <v>167</v>
      </c>
      <c r="EE11" t="s">
        <v>773</v>
      </c>
      <c r="EF11" t="s">
        <v>169</v>
      </c>
      <c r="EG11" s="35" t="s">
        <v>3332</v>
      </c>
      <c r="EH11" t="s">
        <v>3322</v>
      </c>
      <c r="EK11" s="500">
        <v>0</v>
      </c>
      <c r="EL11" s="500">
        <v>0</v>
      </c>
      <c r="EM11" s="500">
        <v>0</v>
      </c>
      <c r="EN11" s="500">
        <v>0</v>
      </c>
      <c r="EO11">
        <v>10</v>
      </c>
      <c r="EP11">
        <v>0</v>
      </c>
      <c r="EQ11">
        <v>0</v>
      </c>
      <c r="ER11">
        <v>0</v>
      </c>
      <c r="ES11">
        <v>-3313425937.4999981</v>
      </c>
      <c r="ET11">
        <v>10</v>
      </c>
      <c r="EU11">
        <v>0</v>
      </c>
      <c r="EV11">
        <v>0</v>
      </c>
      <c r="EW11">
        <v>0</v>
      </c>
      <c r="EX11">
        <v>0</v>
      </c>
      <c r="EY11">
        <v>0</v>
      </c>
      <c r="EZ11">
        <v>0</v>
      </c>
      <c r="FA11">
        <v>3340000000</v>
      </c>
      <c r="FB11">
        <v>0</v>
      </c>
      <c r="FC11">
        <v>3340000000</v>
      </c>
      <c r="FD11">
        <v>3340000000</v>
      </c>
      <c r="FE11">
        <v>3340000000</v>
      </c>
      <c r="FF11">
        <v>3340000000</v>
      </c>
      <c r="FG11" s="32">
        <f>Bankingbook_SBV[[#This Row],[Mat. Date]]-RPT</f>
        <v>-4357</v>
      </c>
      <c r="FH11" s="32">
        <f>IF(Bankingbook_SBV[[#This Row],[Days]]&lt;=0,0,YEARFRAC(RPT,Bankingbook_SBV[[#This Row],[Mat. Date]],3))</f>
        <v>0</v>
      </c>
      <c r="FI11" s="32">
        <f>IF(Bankingbook_SBV[[#This Row],[Days (year)]]=0,0,INDEX(Ref!$K$2:$K$13,MATCH(Bankingbook_SBV[[#This Row],[Days (year)]],Ref!$I$2:$I$13,1)))</f>
        <v>0</v>
      </c>
      <c r="FJ11" s="32" t="str">
        <f>VLOOKUP(Bankingbook_SBV[[#This Row],[Security Name]],Ref!X:Z,3,0)</f>
        <v>TPCPBL</v>
      </c>
      <c r="FK11" s="32" t="str">
        <f>VLOOKUP(Bankingbook_SBV[[#This Row],[Security Name]],Ref!X:Y,2,0)</f>
        <v>VDB</v>
      </c>
      <c r="FL11" s="72">
        <f>IF((Bankingbook_SBV[[#This Row],[Mat. Date]]-RPT)&lt;=0,0,Bankingbook_SBV[[#This Row],[QUANTITY]])</f>
        <v>0</v>
      </c>
      <c r="FM11" s="32">
        <f>IF(Bankingbook_SBV[[#This Row],[Quantity_edited]]=0,0,Bankingbook_SBV[[#This Row],[DURATION]])</f>
        <v>0</v>
      </c>
      <c r="FN11" s="32">
        <f>IF(Bankingbook_SBV[[#This Row],[Quantity_edited]]=0,0,Bankingbook_SBV[[#This Row],[Mod Dur]])</f>
        <v>0</v>
      </c>
      <c r="FO11" s="32">
        <f>IF(Bankingbook_SBV[[#This Row],[Quantity_edited]]=0,0,Bankingbook_SBV[[#This Row],[Cnvx.]])</f>
        <v>0</v>
      </c>
      <c r="FP11" s="32">
        <f>(Bankingbook_SBV[[#This Row],[MARKET_VALUE]]+Bankingbook_SBV[[#This Row],[Accr Int]]*Bankingbook_SBV[[#This Row],[Quantity_edited]])*(-Bankingbook_SBV[[#This Row],[Modified Duration]]*0.0001+0.5*Bankingbook_SBV[[#This Row],[Conv]]*(0.0001^2))</f>
        <v>0</v>
      </c>
      <c r="FQ11" s="32">
        <f>(Bankingbook_SBV[[#This Row],[MARKET_VALUE]]+Bankingbook_SBV[[#This Row],[Accr Int]]*Bankingbook_SBV[[#This Row],[Quantity_edited]])*(-Bankingbook_SBV[[#This Row],[Modified Duration]]*0.01+0.5*Bankingbook_SBV[[#This Row],[Conv]]*(0.01^2))</f>
        <v>0</v>
      </c>
      <c r="FT11" t="s">
        <v>166</v>
      </c>
      <c r="FU11" t="s">
        <v>790</v>
      </c>
      <c r="FV11" t="s">
        <v>4069</v>
      </c>
      <c r="FW11">
        <v>3336495</v>
      </c>
      <c r="FX11" s="502">
        <v>46248</v>
      </c>
      <c r="FY11" t="s">
        <v>2176</v>
      </c>
      <c r="FZ11" t="s">
        <v>812</v>
      </c>
      <c r="GA11" t="s">
        <v>3585</v>
      </c>
      <c r="GB11" t="s">
        <v>810</v>
      </c>
      <c r="GC11" t="s">
        <v>1193</v>
      </c>
      <c r="GD11" s="500">
        <v>-783072000000</v>
      </c>
      <c r="GE11">
        <v>11.999946</v>
      </c>
      <c r="GF11" s="502">
        <v>46253</v>
      </c>
      <c r="GG11" s="502">
        <v>46268</v>
      </c>
      <c r="GH11">
        <v>4.4000000000000004</v>
      </c>
      <c r="GI11" t="s">
        <v>811</v>
      </c>
      <c r="GJ11" t="s">
        <v>3321</v>
      </c>
      <c r="GK11" t="s">
        <v>3321</v>
      </c>
      <c r="GL11">
        <v>0</v>
      </c>
      <c r="GM11">
        <v>0</v>
      </c>
      <c r="GN11">
        <v>893040000000</v>
      </c>
      <c r="GO11">
        <v>12.31</v>
      </c>
      <c r="GP11">
        <v>0.04</v>
      </c>
      <c r="GQ11">
        <v>3.5000000000000003E-2</v>
      </c>
      <c r="GR11">
        <v>6</v>
      </c>
      <c r="GS11">
        <v>490278897.11000001</v>
      </c>
      <c r="GT11">
        <v>490278897.11000001</v>
      </c>
      <c r="GU11" t="s">
        <v>4111</v>
      </c>
      <c r="GV11" t="s">
        <v>4111</v>
      </c>
      <c r="GW11" s="416">
        <f>FNRP_Repo[[#This Row],[Mat. Date]]-RPT</f>
        <v>16</v>
      </c>
      <c r="GX11" s="819" t="str">
        <f>IF(FNRP_Repo[[#This Row],[Days]]&lt;=0,"Mat",INDEX(Ref!U:U,MATCH(FNRP_Repo[[#This Row],[Days]],Ref!S:S,1)))</f>
        <v>3W</v>
      </c>
      <c r="GY11" s="417">
        <f>RIGHT(FNRP_Repo[[#This Row],[Deal Id]],5)+0</f>
        <v>18133</v>
      </c>
    </row>
    <row r="12" spans="1:331" x14ac:dyDescent="0.3">
      <c r="B12" t="s">
        <v>166</v>
      </c>
      <c r="C12" t="s">
        <v>167</v>
      </c>
      <c r="D12" t="s">
        <v>182</v>
      </c>
      <c r="E12" t="s">
        <v>169</v>
      </c>
      <c r="F12" s="502">
        <v>41667</v>
      </c>
      <c r="G12" t="s">
        <v>3322</v>
      </c>
      <c r="H12"/>
      <c r="I12"/>
      <c r="J12" s="38">
        <v>0</v>
      </c>
      <c r="K12">
        <v>0</v>
      </c>
      <c r="L12">
        <v>0</v>
      </c>
      <c r="M12" s="38">
        <v>0</v>
      </c>
      <c r="N12">
        <v>11.1</v>
      </c>
      <c r="O12">
        <v>0</v>
      </c>
      <c r="P12" s="37">
        <v>16650000000</v>
      </c>
      <c r="Q12" s="37">
        <v>17191263750</v>
      </c>
      <c r="R12" s="37">
        <v>-1275454268.0555601</v>
      </c>
      <c r="S12">
        <v>11.1</v>
      </c>
      <c r="T12" s="70">
        <v>0</v>
      </c>
      <c r="U12">
        <v>0</v>
      </c>
      <c r="V12">
        <v>0</v>
      </c>
      <c r="W12">
        <v>0</v>
      </c>
      <c r="X12" s="38">
        <v>0</v>
      </c>
      <c r="Y12">
        <v>0</v>
      </c>
      <c r="Z12" s="70">
        <v>4260500000</v>
      </c>
      <c r="AA12" s="70">
        <v>0</v>
      </c>
      <c r="AB12" s="70">
        <v>4260500000</v>
      </c>
      <c r="AC12" s="70">
        <v>4260500000</v>
      </c>
      <c r="AD12" s="70">
        <v>4260500000</v>
      </c>
      <c r="AE12" s="70">
        <v>4260500000</v>
      </c>
      <c r="AF12">
        <v>0</v>
      </c>
      <c r="AG12" s="72">
        <f>Tradingbook_MSB[[#This Row],[Mat. Date]]-RPT</f>
        <v>-4585</v>
      </c>
      <c r="AH12" s="71">
        <f>IF(Tradingbook_MSB[[#This Row],[Days]]&lt;=0,0,YEARFRAC(RPT,Tradingbook_MSB[[#This Row],[Mat. Date]],3))</f>
        <v>0</v>
      </c>
      <c r="AI12" s="71">
        <f>IF(Tradingbook_MSB[[#This Row],[Days (year)]]=0,0,INDEX(Ref!$K$2:$K$13,MATCH(Tradingbook_MSB[[#This Row],[Days (year)]],Ref!$I$2:$I$13,1)))</f>
        <v>0</v>
      </c>
      <c r="AJ12" s="120" t="str">
        <f>VLOOKUP(Tradingbook_MSB[[#This Row],[Security Name]],Ref!X:Z,3,0)</f>
        <v>TPCP</v>
      </c>
      <c r="AK12" s="120" t="str">
        <f>VLOOKUP(Tradingbook_MSB[[#This Row],[Security Name]],Ref!X:Y,2,0)</f>
        <v>KBNN</v>
      </c>
      <c r="AL12" s="71">
        <f>IF((Tradingbook_MSB[[#This Row],[Mat. Date]]-RPT)&lt;=0,0,Tradingbook_MSB[[#This Row],[QUANTITY]])</f>
        <v>0</v>
      </c>
      <c r="AM12" s="71">
        <f>IF(Tradingbook_MSB[[#This Row],[Quantity_edited]]=0,0,Tradingbook_MSB[[#This Row],[DURATION]])</f>
        <v>0</v>
      </c>
      <c r="AN12" s="71">
        <f>IF(Tradingbook_MSB[[#This Row],[Quantity_edited]]=0,0,Tradingbook_MSB[[#This Row],[Mod Dur]])</f>
        <v>0</v>
      </c>
      <c r="AO12" s="71">
        <f>IF(Tradingbook_MSB[[#This Row],[Quantity_edited]]=0,0,Tradingbook_MSB[[#This Row],[Cnvx.]])</f>
        <v>0</v>
      </c>
      <c r="AP12" s="71">
        <f>(Tradingbook_MSB[[#This Row],[MARKET_VALUE]]+Tradingbook_MSB[[#This Row],[Accr Int]]*Tradingbook_MSB[[#This Row],[Quantity_edited]])*(-Tradingbook_MSB[[#This Row],[Modified Duration]]*0.0001+0.5*Tradingbook_MSB[[#This Row],[Conv]]*(0.0001^2))</f>
        <v>0</v>
      </c>
      <c r="AQ12" s="72">
        <f>(Tradingbook_MSB[[#This Row],[MARKET_VALUE]]+Tradingbook_MSB[[#This Row],[Accr Int]]*Tradingbook_MSB[[#This Row],[Quantity_edited]])*(-Tradingbook_MSB[[#This Row],[Modified Duration]]*0.01+0.5*Tradingbook_MSB[[#This Row],[Conv]]*(0.01^2))</f>
        <v>0</v>
      </c>
      <c r="AR12" s="71"/>
      <c r="AT12" t="s">
        <v>166</v>
      </c>
      <c r="AU12" t="s">
        <v>167</v>
      </c>
      <c r="AV12" t="s">
        <v>198</v>
      </c>
      <c r="AW12" t="s">
        <v>169</v>
      </c>
      <c r="AX12" t="s">
        <v>199</v>
      </c>
      <c r="AY12" t="s">
        <v>3322</v>
      </c>
      <c r="BB12" s="49">
        <v>0</v>
      </c>
      <c r="BC12">
        <v>0</v>
      </c>
      <c r="BD12">
        <v>0</v>
      </c>
      <c r="BE12" s="37">
        <v>0</v>
      </c>
      <c r="BF12">
        <v>10.5</v>
      </c>
      <c r="BG12">
        <v>0</v>
      </c>
      <c r="BH12" s="34">
        <v>0</v>
      </c>
      <c r="BI12">
        <v>0</v>
      </c>
      <c r="BJ12">
        <v>-4251555782.6388617</v>
      </c>
      <c r="BK12">
        <v>10.5</v>
      </c>
      <c r="BL12">
        <v>0</v>
      </c>
      <c r="BM12">
        <v>0</v>
      </c>
      <c r="BN12">
        <v>0</v>
      </c>
      <c r="BO12">
        <v>0</v>
      </c>
      <c r="BP12">
        <v>0</v>
      </c>
      <c r="BQ12">
        <v>0</v>
      </c>
      <c r="BR12">
        <v>9011000000</v>
      </c>
      <c r="BS12">
        <v>0</v>
      </c>
      <c r="BT12">
        <v>9011000000</v>
      </c>
      <c r="BU12">
        <v>9011000000</v>
      </c>
      <c r="BV12">
        <v>9011000000</v>
      </c>
      <c r="BW12">
        <v>9011000000</v>
      </c>
      <c r="BX12">
        <v>0</v>
      </c>
      <c r="BY12" s="32">
        <f>Bankingbook_MSB[[#This Row],[Mat. Date]]-RPT</f>
        <v>-4283</v>
      </c>
      <c r="BZ12" s="71">
        <f>IF(Bankingbook_MSB[[#This Row],[Days]]&lt;=0,0,YEARFRAC(RPT,Bankingbook_MSB[[#This Row],[Mat. Date]],3))</f>
        <v>0</v>
      </c>
      <c r="CA12" s="71">
        <f>IF(Bankingbook_MSB[[#This Row],[Days (year)]]=0,0,INDEX(Ref!$K$2:$K$13,MATCH(Bankingbook_MSB[[#This Row],[Days (year)]],Ref!$I$2:$I$13,1)))</f>
        <v>0</v>
      </c>
      <c r="CB12" s="32" t="str">
        <f>VLOOKUP(Bankingbook_MSB[[#This Row],[Security Name]],Ref!X:Z,3,0)</f>
        <v>TPCPBL</v>
      </c>
      <c r="CC12" s="32" t="str">
        <f>VLOOKUP(Bankingbook_MSB[[#This Row],[Security Name]],Ref!X:Y,2,0)</f>
        <v>VDB</v>
      </c>
      <c r="CD12" s="72">
        <f>IF((Bankingbook_MSB[[#This Row],[Mat. Date]]-RPT)&lt;=0,0,Bankingbook_MSB[[#This Row],[QUANTITY]])</f>
        <v>0</v>
      </c>
      <c r="CE12" s="71">
        <f>IF(Bankingbook_MSB[[#This Row],[Quantity_edited]]=0,0,Bankingbook_MSB[[#This Row],[DURATION]])</f>
        <v>0</v>
      </c>
      <c r="CF12" s="71">
        <f>IF(Bankingbook_MSB[[#This Row],[Quantity_edited]]=0,0,Bankingbook_MSB[[#This Row],[Mod Dur]])</f>
        <v>0</v>
      </c>
      <c r="CG12" s="71">
        <f>IF(Bankingbook_MSB[[#This Row],[Quantity_edited]]=0,0,Bankingbook_MSB[[#This Row],[Cnvx.]])</f>
        <v>0</v>
      </c>
      <c r="CH12" s="71">
        <f>(Bankingbook_MSB[[#This Row],[MARKET_VALUE]]+Bankingbook_MSB[[#This Row],[Accr Int]]*Bankingbook_MSB[[#This Row],[Quantity_edited]])*(-Bankingbook_MSB[[#This Row],[Modified Duration]]*0.0001+0.5*Bankingbook_MSB[[#This Row],[Conv]]*(0.0001^2))</f>
        <v>0</v>
      </c>
      <c r="CI12" s="71">
        <f>(Bankingbook_MSB[[#This Row],[MARKET_VALUE]]+Bankingbook_MSB[[#This Row],[Accr Int]]*Bankingbook_MSB[[#This Row],[Quantity_edited]])*(-Bankingbook_MSB[[#This Row],[Modified Duration]]*0.01+0.5*Bankingbook_MSB[[#This Row],[Conv]]*(0.01^2))</f>
        <v>0</v>
      </c>
      <c r="CJ12" s="32"/>
      <c r="CL12" t="s">
        <v>166</v>
      </c>
      <c r="CM12" t="s">
        <v>167</v>
      </c>
      <c r="CN12" t="s">
        <v>182</v>
      </c>
      <c r="CO12" t="s">
        <v>169</v>
      </c>
      <c r="CP12" s="35">
        <v>41667</v>
      </c>
      <c r="CQ12" t="s">
        <v>3322</v>
      </c>
      <c r="CR12" t="s">
        <v>174</v>
      </c>
      <c r="CS12" t="s">
        <v>174</v>
      </c>
      <c r="CT12" s="49">
        <v>0</v>
      </c>
      <c r="CU12">
        <v>0</v>
      </c>
      <c r="CV12">
        <v>0</v>
      </c>
      <c r="CW12" s="70">
        <v>0</v>
      </c>
      <c r="CX12">
        <v>11.1</v>
      </c>
      <c r="CY12">
        <v>0</v>
      </c>
      <c r="CZ12">
        <v>16650000000</v>
      </c>
      <c r="DA12">
        <v>17191263750</v>
      </c>
      <c r="DB12">
        <v>-1275454268.0555601</v>
      </c>
      <c r="DC12">
        <v>11.1</v>
      </c>
      <c r="DD12">
        <v>0</v>
      </c>
      <c r="DE12">
        <v>0</v>
      </c>
      <c r="DF12">
        <v>0</v>
      </c>
      <c r="DG12">
        <v>0</v>
      </c>
      <c r="DH12">
        <v>0</v>
      </c>
      <c r="DI12">
        <v>0</v>
      </c>
      <c r="DJ12" s="500">
        <v>4260500000</v>
      </c>
      <c r="DK12" s="500">
        <v>0</v>
      </c>
      <c r="DL12" s="37">
        <v>4260500000</v>
      </c>
      <c r="DM12" s="37">
        <v>4260500000</v>
      </c>
      <c r="DN12" s="37">
        <v>4260500000</v>
      </c>
      <c r="DO12" s="37">
        <v>4260500000</v>
      </c>
      <c r="DP12" s="32">
        <f>Tradingbook_SBV[[#This Row],[Mat. Date]]-RPT</f>
        <v>-4585</v>
      </c>
      <c r="DQ12" s="32">
        <f>IF(Tradingbook_SBV[[#This Row],[Days]]&lt;=0,0,YEARFRAC(RPT,Tradingbook_SBV[[#This Row],[Mat. Date]],3))</f>
        <v>0</v>
      </c>
      <c r="DR12" s="32">
        <f>IF(Tradingbook_SBV[[#This Row],[Days (year)]]=0,0,INDEX(Ref!$K$2:$K$13,MATCH(Tradingbook_SBV[[#This Row],[Days (year)]],Ref!$I$2:$I$13,1)))</f>
        <v>0</v>
      </c>
      <c r="DS12" s="32" t="str">
        <f>VLOOKUP(Tradingbook_SBV[[#This Row],[Security Name]],Ref!X:Z,3,0)</f>
        <v>TPCP</v>
      </c>
      <c r="DT12" s="32" t="str">
        <f>VLOOKUP(Tradingbook_SBV[[#This Row],[Security Name]],Ref!X:Y,2,0)</f>
        <v>KBNN</v>
      </c>
      <c r="DU12" s="71">
        <f>IF((Tradingbook_SBV[[#This Row],[Mat. Date]]-RPT)&lt;=0,0,Tradingbook_SBV[[#This Row],[QUANTITY]])</f>
        <v>0</v>
      </c>
      <c r="DV12" s="71">
        <f>IF(Tradingbook_SBV[[#This Row],[Quantity_edited]]=0,0,Tradingbook_SBV[[#This Row],[DURATION]])</f>
        <v>0</v>
      </c>
      <c r="DW12" s="71">
        <f>IF(Tradingbook_SBV[[#This Row],[Quantity_edited]]=0,0,Tradingbook_SBV[[#This Row],[Mod Dur]])</f>
        <v>0</v>
      </c>
      <c r="DX12" s="71">
        <f>IF(Tradingbook_SBV[[#This Row],[Quantity_edited]]=0,0,Tradingbook_SBV[[#This Row],[Cnvx.]])</f>
        <v>0</v>
      </c>
      <c r="DY12" s="71">
        <f>(Tradingbook_SBV[[#This Row],[MARKET_VALUE]]+Tradingbook_SBV[[#This Row],[Accr Int]]*Tradingbook_SBV[[#This Row],[Quantity_edited]])*(-Tradingbook_SBV[[#This Row],[Modified Duration]]*0.0001+0.5*Tradingbook_SBV[[#This Row],[Conv]]*(0.0001^2))</f>
        <v>0</v>
      </c>
      <c r="DZ12" s="71">
        <f>(Tradingbook_SBV[[#This Row],[MARKET_VALUE]]+Tradingbook_SBV[[#This Row],[Accr Int]]*Tradingbook_SBV[[#This Row],[Quantity_edited]])*(-Tradingbook_SBV[[#This Row],[Modified Duration]]*0.01+0.5*Tradingbook_SBV[[#This Row],[Conv]]*(0.01^2))</f>
        <v>0</v>
      </c>
      <c r="EC12" t="s">
        <v>166</v>
      </c>
      <c r="ED12" t="s">
        <v>167</v>
      </c>
      <c r="EE12" t="s">
        <v>198</v>
      </c>
      <c r="EF12" t="s">
        <v>169</v>
      </c>
      <c r="EG12" s="35" t="s">
        <v>199</v>
      </c>
      <c r="EH12" t="s">
        <v>3322</v>
      </c>
      <c r="EK12" s="500">
        <v>0</v>
      </c>
      <c r="EL12" s="500">
        <v>0</v>
      </c>
      <c r="EM12" s="500">
        <v>0</v>
      </c>
      <c r="EN12" s="500">
        <v>0</v>
      </c>
      <c r="EO12">
        <v>10.5</v>
      </c>
      <c r="EP12">
        <v>0</v>
      </c>
      <c r="EQ12">
        <v>0</v>
      </c>
      <c r="ER12">
        <v>0</v>
      </c>
      <c r="ES12">
        <v>-4251555782.6388617</v>
      </c>
      <c r="ET12">
        <v>10.5</v>
      </c>
      <c r="EU12">
        <v>0</v>
      </c>
      <c r="EV12">
        <v>0</v>
      </c>
      <c r="EW12">
        <v>0</v>
      </c>
      <c r="EX12">
        <v>0</v>
      </c>
      <c r="EY12">
        <v>0</v>
      </c>
      <c r="EZ12">
        <v>0</v>
      </c>
      <c r="FA12">
        <v>9011000000</v>
      </c>
      <c r="FB12">
        <v>0</v>
      </c>
      <c r="FC12">
        <v>9011000000</v>
      </c>
      <c r="FD12">
        <v>9011000000</v>
      </c>
      <c r="FE12">
        <v>9011000000</v>
      </c>
      <c r="FF12">
        <v>9011000000</v>
      </c>
      <c r="FG12" s="32">
        <f>Bankingbook_SBV[[#This Row],[Mat. Date]]-RPT</f>
        <v>-4283</v>
      </c>
      <c r="FH12" s="32">
        <f>IF(Bankingbook_SBV[[#This Row],[Days]]&lt;=0,0,YEARFRAC(RPT,Bankingbook_SBV[[#This Row],[Mat. Date]],3))</f>
        <v>0</v>
      </c>
      <c r="FI12" s="32">
        <f>IF(Bankingbook_SBV[[#This Row],[Days (year)]]=0,0,INDEX(Ref!$K$2:$K$13,MATCH(Bankingbook_SBV[[#This Row],[Days (year)]],Ref!$I$2:$I$13,1)))</f>
        <v>0</v>
      </c>
      <c r="FJ12" s="32" t="str">
        <f>VLOOKUP(Bankingbook_SBV[[#This Row],[Security Name]],Ref!X:Z,3,0)</f>
        <v>TPCPBL</v>
      </c>
      <c r="FK12" s="32" t="str">
        <f>VLOOKUP(Bankingbook_SBV[[#This Row],[Security Name]],Ref!X:Y,2,0)</f>
        <v>VDB</v>
      </c>
      <c r="FL12" s="72">
        <f>IF((Bankingbook_SBV[[#This Row],[Mat. Date]]-RPT)&lt;=0,0,Bankingbook_SBV[[#This Row],[QUANTITY]])</f>
        <v>0</v>
      </c>
      <c r="FM12" s="32">
        <f>IF(Bankingbook_SBV[[#This Row],[Quantity_edited]]=0,0,Bankingbook_SBV[[#This Row],[DURATION]])</f>
        <v>0</v>
      </c>
      <c r="FN12" s="32">
        <f>IF(Bankingbook_SBV[[#This Row],[Quantity_edited]]=0,0,Bankingbook_SBV[[#This Row],[Mod Dur]])</f>
        <v>0</v>
      </c>
      <c r="FO12" s="32">
        <f>IF(Bankingbook_SBV[[#This Row],[Quantity_edited]]=0,0,Bankingbook_SBV[[#This Row],[Cnvx.]])</f>
        <v>0</v>
      </c>
      <c r="FP12" s="32">
        <f>(Bankingbook_SBV[[#This Row],[MARKET_VALUE]]+Bankingbook_SBV[[#This Row],[Accr Int]]*Bankingbook_SBV[[#This Row],[Quantity_edited]])*(-Bankingbook_SBV[[#This Row],[Modified Duration]]*0.0001+0.5*Bankingbook_SBV[[#This Row],[Conv]]*(0.0001^2))</f>
        <v>0</v>
      </c>
      <c r="FQ12" s="32">
        <f>(Bankingbook_SBV[[#This Row],[MARKET_VALUE]]+Bankingbook_SBV[[#This Row],[Accr Int]]*Bankingbook_SBV[[#This Row],[Quantity_edited]])*(-Bankingbook_SBV[[#This Row],[Modified Duration]]*0.01+0.5*Bankingbook_SBV[[#This Row],[Conv]]*(0.01^2))</f>
        <v>0</v>
      </c>
      <c r="FT12" t="s">
        <v>166</v>
      </c>
      <c r="FU12" t="s">
        <v>790</v>
      </c>
      <c r="FV12" t="s">
        <v>4070</v>
      </c>
      <c r="FW12">
        <v>3336496</v>
      </c>
      <c r="FX12" s="502">
        <v>46248</v>
      </c>
      <c r="FY12" t="s">
        <v>2176</v>
      </c>
      <c r="FZ12" t="s">
        <v>812</v>
      </c>
      <c r="GA12" t="s">
        <v>3585</v>
      </c>
      <c r="GB12" t="s">
        <v>810</v>
      </c>
      <c r="GC12" t="s">
        <v>1193</v>
      </c>
      <c r="GD12" s="500">
        <v>-717816000000</v>
      </c>
      <c r="GE12">
        <v>11.999946</v>
      </c>
      <c r="GF12" s="502">
        <v>46253</v>
      </c>
      <c r="GG12" s="502">
        <v>46268</v>
      </c>
      <c r="GH12">
        <v>4.4000000000000004</v>
      </c>
      <c r="GI12" t="s">
        <v>811</v>
      </c>
      <c r="GJ12" t="s">
        <v>3321</v>
      </c>
      <c r="GK12" t="s">
        <v>3321</v>
      </c>
      <c r="GL12">
        <v>0</v>
      </c>
      <c r="GM12">
        <v>0</v>
      </c>
      <c r="GN12">
        <v>818620000000</v>
      </c>
      <c r="GO12">
        <v>12.31</v>
      </c>
      <c r="GP12">
        <v>0.04</v>
      </c>
      <c r="GQ12">
        <v>3.5000000000000003E-2</v>
      </c>
      <c r="GR12">
        <v>6</v>
      </c>
      <c r="GS12">
        <v>449422321.68000001</v>
      </c>
      <c r="GT12">
        <v>449422321.68000001</v>
      </c>
      <c r="GU12" t="s">
        <v>4112</v>
      </c>
      <c r="GV12" t="s">
        <v>4112</v>
      </c>
      <c r="GW12" s="416">
        <f>FNRP_Repo[[#This Row],[Mat. Date]]-RPT</f>
        <v>16</v>
      </c>
      <c r="GX12" s="819" t="str">
        <f>IF(FNRP_Repo[[#This Row],[Days]]&lt;=0,"Mat",INDEX(Ref!U:U,MATCH(FNRP_Repo[[#This Row],[Days]],Ref!S:S,1)))</f>
        <v>3W</v>
      </c>
      <c r="GY12" s="417">
        <f>RIGHT(FNRP_Repo[[#This Row],[Deal Id]],5)+0</f>
        <v>18134</v>
      </c>
    </row>
    <row r="13" spans="1:331" x14ac:dyDescent="0.3">
      <c r="B13" t="s">
        <v>166</v>
      </c>
      <c r="C13" t="s">
        <v>167</v>
      </c>
      <c r="D13" t="s">
        <v>183</v>
      </c>
      <c r="E13" t="s">
        <v>169</v>
      </c>
      <c r="F13" s="502">
        <v>41681</v>
      </c>
      <c r="G13" t="s">
        <v>3322</v>
      </c>
      <c r="H13"/>
      <c r="I13"/>
      <c r="J13" s="38">
        <v>0</v>
      </c>
      <c r="K13">
        <v>0</v>
      </c>
      <c r="L13">
        <v>0</v>
      </c>
      <c r="M13" s="38">
        <v>0</v>
      </c>
      <c r="N13">
        <v>11.3</v>
      </c>
      <c r="O13">
        <v>0</v>
      </c>
      <c r="P13" s="37">
        <v>0</v>
      </c>
      <c r="Q13" s="37">
        <v>0</v>
      </c>
      <c r="R13" s="37">
        <v>-804450762.5</v>
      </c>
      <c r="S13">
        <v>11.3</v>
      </c>
      <c r="T13" s="70">
        <v>0</v>
      </c>
      <c r="U13">
        <v>0</v>
      </c>
      <c r="V13">
        <v>0</v>
      </c>
      <c r="W13">
        <v>0</v>
      </c>
      <c r="X13" s="38">
        <v>0</v>
      </c>
      <c r="Y13">
        <v>0</v>
      </c>
      <c r="Z13" s="70">
        <v>-565500000</v>
      </c>
      <c r="AA13" s="70">
        <v>0</v>
      </c>
      <c r="AB13" s="70">
        <v>-565500000</v>
      </c>
      <c r="AC13" s="70">
        <v>-565500000</v>
      </c>
      <c r="AD13" s="70">
        <v>-565500000</v>
      </c>
      <c r="AE13" s="70">
        <v>-565500000</v>
      </c>
      <c r="AF13">
        <v>0</v>
      </c>
      <c r="AG13" s="72">
        <f>Tradingbook_MSB[[#This Row],[Mat. Date]]-RPT</f>
        <v>-4571</v>
      </c>
      <c r="AH13" s="71">
        <f>IF(Tradingbook_MSB[[#This Row],[Days]]&lt;=0,0,YEARFRAC(RPT,Tradingbook_MSB[[#This Row],[Mat. Date]],3))</f>
        <v>0</v>
      </c>
      <c r="AI13" s="71">
        <f>IF(Tradingbook_MSB[[#This Row],[Days (year)]]=0,0,INDEX(Ref!$K$2:$K$13,MATCH(Tradingbook_MSB[[#This Row],[Days (year)]],Ref!$I$2:$I$13,1)))</f>
        <v>0</v>
      </c>
      <c r="AJ13" s="120" t="str">
        <f>VLOOKUP(Tradingbook_MSB[[#This Row],[Security Name]],Ref!X:Z,3,0)</f>
        <v>TPCPBL</v>
      </c>
      <c r="AK13" s="120" t="str">
        <f>VLOOKUP(Tradingbook_MSB[[#This Row],[Security Name]],Ref!X:Y,2,0)</f>
        <v>VDB</v>
      </c>
      <c r="AL13" s="71">
        <f>IF((Tradingbook_MSB[[#This Row],[Mat. Date]]-RPT)&lt;=0,0,Tradingbook_MSB[[#This Row],[QUANTITY]])</f>
        <v>0</v>
      </c>
      <c r="AM13" s="71">
        <f>IF(Tradingbook_MSB[[#This Row],[Quantity_edited]]=0,0,Tradingbook_MSB[[#This Row],[DURATION]])</f>
        <v>0</v>
      </c>
      <c r="AN13" s="71">
        <f>IF(Tradingbook_MSB[[#This Row],[Quantity_edited]]=0,0,Tradingbook_MSB[[#This Row],[Mod Dur]])</f>
        <v>0</v>
      </c>
      <c r="AO13" s="71">
        <f>IF(Tradingbook_MSB[[#This Row],[Quantity_edited]]=0,0,Tradingbook_MSB[[#This Row],[Cnvx.]])</f>
        <v>0</v>
      </c>
      <c r="AP13" s="71">
        <f>(Tradingbook_MSB[[#This Row],[MARKET_VALUE]]+Tradingbook_MSB[[#This Row],[Accr Int]]*Tradingbook_MSB[[#This Row],[Quantity_edited]])*(-Tradingbook_MSB[[#This Row],[Modified Duration]]*0.0001+0.5*Tradingbook_MSB[[#This Row],[Conv]]*(0.0001^2))</f>
        <v>0</v>
      </c>
      <c r="AQ13" s="72">
        <f>(Tradingbook_MSB[[#This Row],[MARKET_VALUE]]+Tradingbook_MSB[[#This Row],[Accr Int]]*Tradingbook_MSB[[#This Row],[Quantity_edited]])*(-Tradingbook_MSB[[#This Row],[Modified Duration]]*0.01+0.5*Tradingbook_MSB[[#This Row],[Conv]]*(0.01^2))</f>
        <v>0</v>
      </c>
      <c r="AR13" s="71"/>
      <c r="AT13" t="s">
        <v>166</v>
      </c>
      <c r="AU13" t="s">
        <v>167</v>
      </c>
      <c r="AV13" t="s">
        <v>204</v>
      </c>
      <c r="AW13" t="s">
        <v>169</v>
      </c>
      <c r="AX13" t="s">
        <v>205</v>
      </c>
      <c r="AY13" t="s">
        <v>170</v>
      </c>
      <c r="BB13" s="49">
        <v>2000000</v>
      </c>
      <c r="BC13">
        <v>200000000000</v>
      </c>
      <c r="BD13">
        <v>99792</v>
      </c>
      <c r="BE13" s="37">
        <v>0</v>
      </c>
      <c r="BF13">
        <v>10.4</v>
      </c>
      <c r="BG13">
        <v>0</v>
      </c>
      <c r="BH13" s="34">
        <v>41600000000</v>
      </c>
      <c r="BI13">
        <v>42207232180.555557</v>
      </c>
      <c r="BJ13">
        <v>-10353413916.666676</v>
      </c>
      <c r="BK13">
        <v>10.4</v>
      </c>
      <c r="BL13">
        <v>0</v>
      </c>
      <c r="BM13">
        <v>0</v>
      </c>
      <c r="BN13">
        <v>0</v>
      </c>
      <c r="BO13">
        <v>0</v>
      </c>
      <c r="BP13">
        <v>0</v>
      </c>
      <c r="BQ13">
        <v>0</v>
      </c>
      <c r="BR13">
        <v>416000000</v>
      </c>
      <c r="BS13">
        <v>0</v>
      </c>
      <c r="BT13">
        <v>416000000</v>
      </c>
      <c r="BU13">
        <v>416000000</v>
      </c>
      <c r="BV13">
        <v>416000000</v>
      </c>
      <c r="BW13">
        <v>416000000</v>
      </c>
      <c r="BX13">
        <v>10.47</v>
      </c>
      <c r="BY13" s="32">
        <f>Bankingbook_MSB[[#This Row],[Mat. Date]]-RPT</f>
        <v>-4258</v>
      </c>
      <c r="BZ13" s="71">
        <f>IF(Bankingbook_MSB[[#This Row],[Days]]&lt;=0,0,YEARFRAC(RPT,Bankingbook_MSB[[#This Row],[Mat. Date]],3))</f>
        <v>0</v>
      </c>
      <c r="CA13" s="71">
        <f>IF(Bankingbook_MSB[[#This Row],[Days (year)]]=0,0,INDEX(Ref!$K$2:$K$13,MATCH(Bankingbook_MSB[[#This Row],[Days (year)]],Ref!$I$2:$I$13,1)))</f>
        <v>0</v>
      </c>
      <c r="CB13" s="32" t="str">
        <f>VLOOKUP(Bankingbook_MSB[[#This Row],[Security Name]],Ref!X:Z,3,0)</f>
        <v>TPCPBL</v>
      </c>
      <c r="CC13" s="32" t="str">
        <f>VLOOKUP(Bankingbook_MSB[[#This Row],[Security Name]],Ref!X:Y,2,0)</f>
        <v>VDB</v>
      </c>
      <c r="CD13" s="72">
        <f>IF((Bankingbook_MSB[[#This Row],[Mat. Date]]-RPT)&lt;=0,0,Bankingbook_MSB[[#This Row],[QUANTITY]])</f>
        <v>0</v>
      </c>
      <c r="CE13" s="71">
        <f>IF(Bankingbook_MSB[[#This Row],[Quantity_edited]]=0,0,Bankingbook_MSB[[#This Row],[DURATION]])</f>
        <v>0</v>
      </c>
      <c r="CF13" s="71">
        <f>IF(Bankingbook_MSB[[#This Row],[Quantity_edited]]=0,0,Bankingbook_MSB[[#This Row],[Mod Dur]])</f>
        <v>0</v>
      </c>
      <c r="CG13" s="71">
        <f>IF(Bankingbook_MSB[[#This Row],[Quantity_edited]]=0,0,Bankingbook_MSB[[#This Row],[Cnvx.]])</f>
        <v>0</v>
      </c>
      <c r="CH13" s="71">
        <f>(Bankingbook_MSB[[#This Row],[MARKET_VALUE]]+Bankingbook_MSB[[#This Row],[Accr Int]]*Bankingbook_MSB[[#This Row],[Quantity_edited]])*(-Bankingbook_MSB[[#This Row],[Modified Duration]]*0.0001+0.5*Bankingbook_MSB[[#This Row],[Conv]]*(0.0001^2))</f>
        <v>0</v>
      </c>
      <c r="CI13" s="71">
        <f>(Bankingbook_MSB[[#This Row],[MARKET_VALUE]]+Bankingbook_MSB[[#This Row],[Accr Int]]*Bankingbook_MSB[[#This Row],[Quantity_edited]])*(-Bankingbook_MSB[[#This Row],[Modified Duration]]*0.01+0.5*Bankingbook_MSB[[#This Row],[Conv]]*(0.01^2))</f>
        <v>0</v>
      </c>
      <c r="CJ13" s="32"/>
      <c r="CL13" t="s">
        <v>166</v>
      </c>
      <c r="CM13" t="s">
        <v>167</v>
      </c>
      <c r="CN13" t="s">
        <v>183</v>
      </c>
      <c r="CO13" t="s">
        <v>169</v>
      </c>
      <c r="CP13" s="35">
        <v>41681</v>
      </c>
      <c r="CQ13" t="s">
        <v>3322</v>
      </c>
      <c r="CR13" t="s">
        <v>174</v>
      </c>
      <c r="CS13" t="s">
        <v>174</v>
      </c>
      <c r="CT13" s="49">
        <v>0</v>
      </c>
      <c r="CU13">
        <v>0</v>
      </c>
      <c r="CV13">
        <v>0</v>
      </c>
      <c r="CW13" s="70">
        <v>0</v>
      </c>
      <c r="CX13">
        <v>11.3</v>
      </c>
      <c r="CY13">
        <v>0</v>
      </c>
      <c r="CZ13">
        <v>0</v>
      </c>
      <c r="DA13">
        <v>0</v>
      </c>
      <c r="DB13">
        <v>-804450762.5</v>
      </c>
      <c r="DC13">
        <v>11.3</v>
      </c>
      <c r="DD13">
        <v>0</v>
      </c>
      <c r="DE13">
        <v>0</v>
      </c>
      <c r="DF13">
        <v>0</v>
      </c>
      <c r="DG13">
        <v>0</v>
      </c>
      <c r="DH13">
        <v>0</v>
      </c>
      <c r="DI13">
        <v>0</v>
      </c>
      <c r="DJ13" s="500">
        <v>-565500000</v>
      </c>
      <c r="DK13" s="500">
        <v>0</v>
      </c>
      <c r="DL13" s="37">
        <v>-565500000</v>
      </c>
      <c r="DM13" s="37">
        <v>-565500000</v>
      </c>
      <c r="DN13" s="37">
        <v>-565500000</v>
      </c>
      <c r="DO13" s="37">
        <v>-565500000</v>
      </c>
      <c r="DP13" s="32">
        <f>Tradingbook_SBV[[#This Row],[Mat. Date]]-RPT</f>
        <v>-4571</v>
      </c>
      <c r="DQ13" s="32">
        <f>IF(Tradingbook_SBV[[#This Row],[Days]]&lt;=0,0,YEARFRAC(RPT,Tradingbook_SBV[[#This Row],[Mat. Date]],3))</f>
        <v>0</v>
      </c>
      <c r="DR13" s="32">
        <f>IF(Tradingbook_SBV[[#This Row],[Days (year)]]=0,0,INDEX(Ref!$K$2:$K$13,MATCH(Tradingbook_SBV[[#This Row],[Days (year)]],Ref!$I$2:$I$13,1)))</f>
        <v>0</v>
      </c>
      <c r="DS13" s="32" t="str">
        <f>VLOOKUP(Tradingbook_SBV[[#This Row],[Security Name]],Ref!X:Z,3,0)</f>
        <v>TPCPBL</v>
      </c>
      <c r="DT13" s="32" t="str">
        <f>VLOOKUP(Tradingbook_SBV[[#This Row],[Security Name]],Ref!X:Y,2,0)</f>
        <v>VDB</v>
      </c>
      <c r="DU13" s="71">
        <f>IF((Tradingbook_SBV[[#This Row],[Mat. Date]]-RPT)&lt;=0,0,Tradingbook_SBV[[#This Row],[QUANTITY]])</f>
        <v>0</v>
      </c>
      <c r="DV13" s="71">
        <f>IF(Tradingbook_SBV[[#This Row],[Quantity_edited]]=0,0,Tradingbook_SBV[[#This Row],[DURATION]])</f>
        <v>0</v>
      </c>
      <c r="DW13" s="71">
        <f>IF(Tradingbook_SBV[[#This Row],[Quantity_edited]]=0,0,Tradingbook_SBV[[#This Row],[Mod Dur]])</f>
        <v>0</v>
      </c>
      <c r="DX13" s="71">
        <f>IF(Tradingbook_SBV[[#This Row],[Quantity_edited]]=0,0,Tradingbook_SBV[[#This Row],[Cnvx.]])</f>
        <v>0</v>
      </c>
      <c r="DY13" s="71">
        <f>(Tradingbook_SBV[[#This Row],[MARKET_VALUE]]+Tradingbook_SBV[[#This Row],[Accr Int]]*Tradingbook_SBV[[#This Row],[Quantity_edited]])*(-Tradingbook_SBV[[#This Row],[Modified Duration]]*0.0001+0.5*Tradingbook_SBV[[#This Row],[Conv]]*(0.0001^2))</f>
        <v>0</v>
      </c>
      <c r="DZ13" s="71">
        <f>(Tradingbook_SBV[[#This Row],[MARKET_VALUE]]+Tradingbook_SBV[[#This Row],[Accr Int]]*Tradingbook_SBV[[#This Row],[Quantity_edited]])*(-Tradingbook_SBV[[#This Row],[Modified Duration]]*0.01+0.5*Tradingbook_SBV[[#This Row],[Conv]]*(0.01^2))</f>
        <v>0</v>
      </c>
      <c r="EC13" t="s">
        <v>166</v>
      </c>
      <c r="ED13" t="s">
        <v>167</v>
      </c>
      <c r="EE13" t="s">
        <v>204</v>
      </c>
      <c r="EF13" t="s">
        <v>169</v>
      </c>
      <c r="EG13" s="35" t="s">
        <v>205</v>
      </c>
      <c r="EH13" t="s">
        <v>170</v>
      </c>
      <c r="EK13" s="500">
        <v>2000000</v>
      </c>
      <c r="EL13" s="500">
        <v>200000000000</v>
      </c>
      <c r="EM13" s="500">
        <v>99792</v>
      </c>
      <c r="EN13" s="500">
        <v>0</v>
      </c>
      <c r="EO13">
        <v>10.4</v>
      </c>
      <c r="EP13">
        <v>0</v>
      </c>
      <c r="EQ13">
        <v>41600000000</v>
      </c>
      <c r="ER13">
        <v>42207232180.555557</v>
      </c>
      <c r="ES13">
        <v>-10353413916.666676</v>
      </c>
      <c r="ET13">
        <v>10.4</v>
      </c>
      <c r="EU13">
        <v>0</v>
      </c>
      <c r="EV13">
        <v>0</v>
      </c>
      <c r="EW13">
        <v>0</v>
      </c>
      <c r="EX13">
        <v>0</v>
      </c>
      <c r="EY13">
        <v>0</v>
      </c>
      <c r="EZ13">
        <v>0</v>
      </c>
      <c r="FA13">
        <v>416000000</v>
      </c>
      <c r="FB13">
        <v>0</v>
      </c>
      <c r="FC13">
        <v>416000000</v>
      </c>
      <c r="FD13">
        <v>416000000</v>
      </c>
      <c r="FE13">
        <v>416000000</v>
      </c>
      <c r="FF13">
        <v>416000000</v>
      </c>
      <c r="FG13" s="32">
        <f>Bankingbook_SBV[[#This Row],[Mat. Date]]-RPT</f>
        <v>-4258</v>
      </c>
      <c r="FH13" s="32">
        <f>IF(Bankingbook_SBV[[#This Row],[Days]]&lt;=0,0,YEARFRAC(RPT,Bankingbook_SBV[[#This Row],[Mat. Date]],3))</f>
        <v>0</v>
      </c>
      <c r="FI13" s="32">
        <f>IF(Bankingbook_SBV[[#This Row],[Days (year)]]=0,0,INDEX(Ref!$K$2:$K$13,MATCH(Bankingbook_SBV[[#This Row],[Days (year)]],Ref!$I$2:$I$13,1)))</f>
        <v>0</v>
      </c>
      <c r="FJ13" s="32" t="str">
        <f>VLOOKUP(Bankingbook_SBV[[#This Row],[Security Name]],Ref!X:Z,3,0)</f>
        <v>TPCPBL</v>
      </c>
      <c r="FK13" s="32" t="str">
        <f>VLOOKUP(Bankingbook_SBV[[#This Row],[Security Name]],Ref!X:Y,2,0)</f>
        <v>VDB</v>
      </c>
      <c r="FL13" s="72">
        <f>IF((Bankingbook_SBV[[#This Row],[Mat. Date]]-RPT)&lt;=0,0,Bankingbook_SBV[[#This Row],[QUANTITY]])</f>
        <v>0</v>
      </c>
      <c r="FM13" s="32">
        <f>IF(Bankingbook_SBV[[#This Row],[Quantity_edited]]=0,0,Bankingbook_SBV[[#This Row],[DURATION]])</f>
        <v>0</v>
      </c>
      <c r="FN13" s="32">
        <f>IF(Bankingbook_SBV[[#This Row],[Quantity_edited]]=0,0,Bankingbook_SBV[[#This Row],[Mod Dur]])</f>
        <v>0</v>
      </c>
      <c r="FO13" s="32">
        <f>IF(Bankingbook_SBV[[#This Row],[Quantity_edited]]=0,0,Bankingbook_SBV[[#This Row],[Cnvx.]])</f>
        <v>0</v>
      </c>
      <c r="FP13" s="32">
        <f>(Bankingbook_SBV[[#This Row],[MARKET_VALUE]]+Bankingbook_SBV[[#This Row],[Accr Int]]*Bankingbook_SBV[[#This Row],[Quantity_edited]])*(-Bankingbook_SBV[[#This Row],[Modified Duration]]*0.0001+0.5*Bankingbook_SBV[[#This Row],[Conv]]*(0.0001^2))</f>
        <v>0</v>
      </c>
      <c r="FQ13" s="32">
        <f>(Bankingbook_SBV[[#This Row],[MARKET_VALUE]]+Bankingbook_SBV[[#This Row],[Accr Int]]*Bankingbook_SBV[[#This Row],[Quantity_edited]])*(-Bankingbook_SBV[[#This Row],[Modified Duration]]*0.01+0.5*Bankingbook_SBV[[#This Row],[Conv]]*(0.01^2))</f>
        <v>0</v>
      </c>
      <c r="FT13" t="s">
        <v>166</v>
      </c>
      <c r="FU13" t="s">
        <v>790</v>
      </c>
      <c r="FV13" t="s">
        <v>3973</v>
      </c>
      <c r="FW13">
        <v>3296349</v>
      </c>
      <c r="FX13" s="502">
        <v>46204</v>
      </c>
      <c r="FY13" t="s">
        <v>2176</v>
      </c>
      <c r="FZ13" t="s">
        <v>823</v>
      </c>
      <c r="GA13" t="s">
        <v>2829</v>
      </c>
      <c r="GB13" t="s">
        <v>810</v>
      </c>
      <c r="GC13" t="s">
        <v>2497</v>
      </c>
      <c r="GD13" s="500">
        <v>-661588020000</v>
      </c>
      <c r="GE13">
        <v>9.9997869999999995</v>
      </c>
      <c r="GF13" s="502">
        <v>46206</v>
      </c>
      <c r="GG13" s="502">
        <v>46268</v>
      </c>
      <c r="GH13">
        <v>4.6100000000000003</v>
      </c>
      <c r="GI13" t="s">
        <v>811</v>
      </c>
      <c r="GJ13" t="s">
        <v>3321</v>
      </c>
      <c r="GK13" t="s">
        <v>3321</v>
      </c>
      <c r="GL13">
        <v>4186381971</v>
      </c>
      <c r="GM13">
        <v>-3843735767.6999998</v>
      </c>
      <c r="GN13">
        <v>736278390000</v>
      </c>
      <c r="GO13">
        <v>10.14</v>
      </c>
      <c r="GP13">
        <v>0.04</v>
      </c>
      <c r="GQ13">
        <v>3.5000000000000003E-2</v>
      </c>
      <c r="GR13">
        <v>6</v>
      </c>
      <c r="GS13">
        <v>-665059173412.53003</v>
      </c>
      <c r="GT13">
        <v>-3471153412.5300002</v>
      </c>
      <c r="GU13" t="s">
        <v>4120</v>
      </c>
      <c r="GV13" t="s">
        <v>4120</v>
      </c>
      <c r="GW13" s="416">
        <f>FNRP_Repo[[#This Row],[Mat. Date]]-RPT</f>
        <v>16</v>
      </c>
      <c r="GX13" s="819" t="str">
        <f>IF(FNRP_Repo[[#This Row],[Days]]&lt;=0,"Mat",INDEX(Ref!U:U,MATCH(FNRP_Repo[[#This Row],[Days]],Ref!S:S,1)))</f>
        <v>3W</v>
      </c>
      <c r="GY13" s="417">
        <f>RIGHT(FNRP_Repo[[#This Row],[Deal Id]],5)+0</f>
        <v>17977</v>
      </c>
    </row>
    <row r="14" spans="1:331" x14ac:dyDescent="0.3">
      <c r="B14" t="s">
        <v>166</v>
      </c>
      <c r="C14" t="s">
        <v>167</v>
      </c>
      <c r="D14" t="s">
        <v>184</v>
      </c>
      <c r="E14" t="s">
        <v>169</v>
      </c>
      <c r="F14" s="502">
        <v>41690</v>
      </c>
      <c r="G14" t="s">
        <v>3322</v>
      </c>
      <c r="H14"/>
      <c r="I14"/>
      <c r="J14" s="38">
        <v>0</v>
      </c>
      <c r="K14">
        <v>0</v>
      </c>
      <c r="L14">
        <v>0</v>
      </c>
      <c r="M14" s="38">
        <v>0</v>
      </c>
      <c r="N14">
        <v>11.59</v>
      </c>
      <c r="O14">
        <v>0</v>
      </c>
      <c r="P14" s="37">
        <v>0</v>
      </c>
      <c r="Q14" s="37">
        <v>0</v>
      </c>
      <c r="R14" s="37">
        <v>-74917405.69444412</v>
      </c>
      <c r="S14">
        <v>11.59</v>
      </c>
      <c r="T14" s="70">
        <v>0</v>
      </c>
      <c r="U14">
        <v>0</v>
      </c>
      <c r="V14">
        <v>0</v>
      </c>
      <c r="W14">
        <v>0</v>
      </c>
      <c r="X14" s="38">
        <v>0</v>
      </c>
      <c r="Y14">
        <v>0</v>
      </c>
      <c r="Z14" s="70">
        <v>83300000</v>
      </c>
      <c r="AA14" s="70">
        <v>0</v>
      </c>
      <c r="AB14" s="70">
        <v>83300000</v>
      </c>
      <c r="AC14" s="70">
        <v>83300000</v>
      </c>
      <c r="AD14" s="70">
        <v>83300000</v>
      </c>
      <c r="AE14" s="70">
        <v>83300000</v>
      </c>
      <c r="AF14">
        <v>0</v>
      </c>
      <c r="AG14" s="72">
        <f>Tradingbook_MSB[[#This Row],[Mat. Date]]-RPT</f>
        <v>-4562</v>
      </c>
      <c r="AH14" s="71">
        <f>IF(Tradingbook_MSB[[#This Row],[Days]]&lt;=0,0,YEARFRAC(RPT,Tradingbook_MSB[[#This Row],[Mat. Date]],3))</f>
        <v>0</v>
      </c>
      <c r="AI14" s="71">
        <f>IF(Tradingbook_MSB[[#This Row],[Days (year)]]=0,0,INDEX(Ref!$K$2:$K$13,MATCH(Tradingbook_MSB[[#This Row],[Days (year)]],Ref!$I$2:$I$13,1)))</f>
        <v>0</v>
      </c>
      <c r="AJ14" s="120" t="str">
        <f>VLOOKUP(Tradingbook_MSB[[#This Row],[Security Name]],Ref!X:Z,3,0)</f>
        <v>TPCP</v>
      </c>
      <c r="AK14" s="120" t="str">
        <f>VLOOKUP(Tradingbook_MSB[[#This Row],[Security Name]],Ref!X:Y,2,0)</f>
        <v>KBNN</v>
      </c>
      <c r="AL14" s="71">
        <f>IF((Tradingbook_MSB[[#This Row],[Mat. Date]]-RPT)&lt;=0,0,Tradingbook_MSB[[#This Row],[QUANTITY]])</f>
        <v>0</v>
      </c>
      <c r="AM14" s="71">
        <f>IF(Tradingbook_MSB[[#This Row],[Quantity_edited]]=0,0,Tradingbook_MSB[[#This Row],[DURATION]])</f>
        <v>0</v>
      </c>
      <c r="AN14" s="71">
        <f>IF(Tradingbook_MSB[[#This Row],[Quantity_edited]]=0,0,Tradingbook_MSB[[#This Row],[Mod Dur]])</f>
        <v>0</v>
      </c>
      <c r="AO14" s="71">
        <f>IF(Tradingbook_MSB[[#This Row],[Quantity_edited]]=0,0,Tradingbook_MSB[[#This Row],[Cnvx.]])</f>
        <v>0</v>
      </c>
      <c r="AP14" s="71">
        <f>(Tradingbook_MSB[[#This Row],[MARKET_VALUE]]+Tradingbook_MSB[[#This Row],[Accr Int]]*Tradingbook_MSB[[#This Row],[Quantity_edited]])*(-Tradingbook_MSB[[#This Row],[Modified Duration]]*0.0001+0.5*Tradingbook_MSB[[#This Row],[Conv]]*(0.0001^2))</f>
        <v>0</v>
      </c>
      <c r="AQ14" s="72">
        <f>(Tradingbook_MSB[[#This Row],[MARKET_VALUE]]+Tradingbook_MSB[[#This Row],[Accr Int]]*Tradingbook_MSB[[#This Row],[Quantity_edited]])*(-Tradingbook_MSB[[#This Row],[Modified Duration]]*0.01+0.5*Tradingbook_MSB[[#This Row],[Conv]]*(0.01^2))</f>
        <v>0</v>
      </c>
      <c r="AR14" s="71"/>
      <c r="AT14" t="s">
        <v>166</v>
      </c>
      <c r="AU14" t="s">
        <v>167</v>
      </c>
      <c r="AV14" t="s">
        <v>208</v>
      </c>
      <c r="AW14" t="s">
        <v>169</v>
      </c>
      <c r="AX14" t="s">
        <v>3333</v>
      </c>
      <c r="AY14" t="s">
        <v>170</v>
      </c>
      <c r="BB14" s="49">
        <v>25000</v>
      </c>
      <c r="BC14">
        <v>2500000000</v>
      </c>
      <c r="BD14">
        <v>100182</v>
      </c>
      <c r="BE14" s="37">
        <v>0</v>
      </c>
      <c r="BF14">
        <v>12.1</v>
      </c>
      <c r="BG14">
        <v>0</v>
      </c>
      <c r="BH14" s="34">
        <v>605000000</v>
      </c>
      <c r="BI14">
        <v>613569572.91666698</v>
      </c>
      <c r="BJ14">
        <v>-136127786.38888907</v>
      </c>
      <c r="BK14">
        <v>12.1</v>
      </c>
      <c r="BL14">
        <v>0</v>
      </c>
      <c r="BM14">
        <v>0</v>
      </c>
      <c r="BN14">
        <v>0</v>
      </c>
      <c r="BO14">
        <v>0</v>
      </c>
      <c r="BP14">
        <v>0</v>
      </c>
      <c r="BQ14">
        <v>0</v>
      </c>
      <c r="BR14">
        <v>-4550000</v>
      </c>
      <c r="BS14">
        <v>0</v>
      </c>
      <c r="BT14">
        <v>-4550000</v>
      </c>
      <c r="BU14">
        <v>-4550000</v>
      </c>
      <c r="BV14">
        <v>-4550000</v>
      </c>
      <c r="BW14">
        <v>-4550000</v>
      </c>
      <c r="BX14">
        <v>11.91</v>
      </c>
      <c r="BY14" s="32">
        <f>Bankingbook_MSB[[#This Row],[Mat. Date]]-RPT</f>
        <v>-4232</v>
      </c>
      <c r="BZ14" s="71">
        <f>IF(Bankingbook_MSB[[#This Row],[Days]]&lt;=0,0,YEARFRAC(RPT,Bankingbook_MSB[[#This Row],[Mat. Date]],3))</f>
        <v>0</v>
      </c>
      <c r="CA14" s="71">
        <f>IF(Bankingbook_MSB[[#This Row],[Days (year)]]=0,0,INDEX(Ref!$K$2:$K$13,MATCH(Bankingbook_MSB[[#This Row],[Days (year)]],Ref!$I$2:$I$13,1)))</f>
        <v>0</v>
      </c>
      <c r="CB14" s="32" t="str">
        <f>VLOOKUP(Bankingbook_MSB[[#This Row],[Security Name]],Ref!X:Z,3,0)</f>
        <v>TPCP</v>
      </c>
      <c r="CC14" s="32" t="str">
        <f>VLOOKUP(Bankingbook_MSB[[#This Row],[Security Name]],Ref!X:Y,2,0)</f>
        <v>KBNN</v>
      </c>
      <c r="CD14" s="72">
        <f>IF((Bankingbook_MSB[[#This Row],[Mat. Date]]-RPT)&lt;=0,0,Bankingbook_MSB[[#This Row],[QUANTITY]])</f>
        <v>0</v>
      </c>
      <c r="CE14" s="71">
        <f>IF(Bankingbook_MSB[[#This Row],[Quantity_edited]]=0,0,Bankingbook_MSB[[#This Row],[DURATION]])</f>
        <v>0</v>
      </c>
      <c r="CF14" s="71">
        <f>IF(Bankingbook_MSB[[#This Row],[Quantity_edited]]=0,0,Bankingbook_MSB[[#This Row],[Mod Dur]])</f>
        <v>0</v>
      </c>
      <c r="CG14" s="71">
        <f>IF(Bankingbook_MSB[[#This Row],[Quantity_edited]]=0,0,Bankingbook_MSB[[#This Row],[Cnvx.]])</f>
        <v>0</v>
      </c>
      <c r="CH14" s="71">
        <f>(Bankingbook_MSB[[#This Row],[MARKET_VALUE]]+Bankingbook_MSB[[#This Row],[Accr Int]]*Bankingbook_MSB[[#This Row],[Quantity_edited]])*(-Bankingbook_MSB[[#This Row],[Modified Duration]]*0.0001+0.5*Bankingbook_MSB[[#This Row],[Conv]]*(0.0001^2))</f>
        <v>0</v>
      </c>
      <c r="CI14" s="71">
        <f>(Bankingbook_MSB[[#This Row],[MARKET_VALUE]]+Bankingbook_MSB[[#This Row],[Accr Int]]*Bankingbook_MSB[[#This Row],[Quantity_edited]])*(-Bankingbook_MSB[[#This Row],[Modified Duration]]*0.01+0.5*Bankingbook_MSB[[#This Row],[Conv]]*(0.01^2))</f>
        <v>0</v>
      </c>
      <c r="CJ14" s="32"/>
      <c r="CL14" t="s">
        <v>166</v>
      </c>
      <c r="CM14" t="s">
        <v>167</v>
      </c>
      <c r="CN14" t="s">
        <v>184</v>
      </c>
      <c r="CO14" t="s">
        <v>169</v>
      </c>
      <c r="CP14" s="35">
        <v>41690</v>
      </c>
      <c r="CQ14" t="s">
        <v>3322</v>
      </c>
      <c r="CR14" t="s">
        <v>174</v>
      </c>
      <c r="CS14" t="s">
        <v>174</v>
      </c>
      <c r="CT14" s="49">
        <v>0</v>
      </c>
      <c r="CU14">
        <v>0</v>
      </c>
      <c r="CV14">
        <v>0</v>
      </c>
      <c r="CW14" s="70">
        <v>0</v>
      </c>
      <c r="CX14">
        <v>11.59</v>
      </c>
      <c r="CY14">
        <v>0</v>
      </c>
      <c r="CZ14">
        <v>0</v>
      </c>
      <c r="DA14">
        <v>0</v>
      </c>
      <c r="DB14">
        <v>-74917405.69444412</v>
      </c>
      <c r="DC14">
        <v>11.59</v>
      </c>
      <c r="DD14">
        <v>0</v>
      </c>
      <c r="DE14">
        <v>0</v>
      </c>
      <c r="DF14">
        <v>0</v>
      </c>
      <c r="DG14">
        <v>0</v>
      </c>
      <c r="DH14">
        <v>0</v>
      </c>
      <c r="DI14">
        <v>0</v>
      </c>
      <c r="DJ14" s="500">
        <v>83300000</v>
      </c>
      <c r="DK14" s="500">
        <v>0</v>
      </c>
      <c r="DL14" s="37">
        <v>83300000</v>
      </c>
      <c r="DM14" s="37">
        <v>83300000</v>
      </c>
      <c r="DN14" s="37">
        <v>83300000</v>
      </c>
      <c r="DO14" s="37">
        <v>83300000</v>
      </c>
      <c r="DP14" s="32">
        <f>Tradingbook_SBV[[#This Row],[Mat. Date]]-RPT</f>
        <v>-4562</v>
      </c>
      <c r="DQ14" s="32">
        <f>IF(Tradingbook_SBV[[#This Row],[Days]]&lt;=0,0,YEARFRAC(RPT,Tradingbook_SBV[[#This Row],[Mat. Date]],3))</f>
        <v>0</v>
      </c>
      <c r="DR14" s="32">
        <f>IF(Tradingbook_SBV[[#This Row],[Days (year)]]=0,0,INDEX(Ref!$K$2:$K$13,MATCH(Tradingbook_SBV[[#This Row],[Days (year)]],Ref!$I$2:$I$13,1)))</f>
        <v>0</v>
      </c>
      <c r="DS14" s="32" t="str">
        <f>VLOOKUP(Tradingbook_SBV[[#This Row],[Security Name]],Ref!X:Z,3,0)</f>
        <v>TPCP</v>
      </c>
      <c r="DT14" s="32" t="str">
        <f>VLOOKUP(Tradingbook_SBV[[#This Row],[Security Name]],Ref!X:Y,2,0)</f>
        <v>KBNN</v>
      </c>
      <c r="DU14" s="71">
        <f>IF((Tradingbook_SBV[[#This Row],[Mat. Date]]-RPT)&lt;=0,0,Tradingbook_SBV[[#This Row],[QUANTITY]])</f>
        <v>0</v>
      </c>
      <c r="DV14" s="71">
        <f>IF(Tradingbook_SBV[[#This Row],[Quantity_edited]]=0,0,Tradingbook_SBV[[#This Row],[DURATION]])</f>
        <v>0</v>
      </c>
      <c r="DW14" s="71">
        <f>IF(Tradingbook_SBV[[#This Row],[Quantity_edited]]=0,0,Tradingbook_SBV[[#This Row],[Mod Dur]])</f>
        <v>0</v>
      </c>
      <c r="DX14" s="71">
        <f>IF(Tradingbook_SBV[[#This Row],[Quantity_edited]]=0,0,Tradingbook_SBV[[#This Row],[Cnvx.]])</f>
        <v>0</v>
      </c>
      <c r="DY14" s="71">
        <f>(Tradingbook_SBV[[#This Row],[MARKET_VALUE]]+Tradingbook_SBV[[#This Row],[Accr Int]]*Tradingbook_SBV[[#This Row],[Quantity_edited]])*(-Tradingbook_SBV[[#This Row],[Modified Duration]]*0.0001+0.5*Tradingbook_SBV[[#This Row],[Conv]]*(0.0001^2))</f>
        <v>0</v>
      </c>
      <c r="DZ14" s="71">
        <f>(Tradingbook_SBV[[#This Row],[MARKET_VALUE]]+Tradingbook_SBV[[#This Row],[Accr Int]]*Tradingbook_SBV[[#This Row],[Quantity_edited]])*(-Tradingbook_SBV[[#This Row],[Modified Duration]]*0.01+0.5*Tradingbook_SBV[[#This Row],[Conv]]*(0.01^2))</f>
        <v>0</v>
      </c>
      <c r="EC14" t="s">
        <v>166</v>
      </c>
      <c r="ED14" t="s">
        <v>167</v>
      </c>
      <c r="EE14" t="s">
        <v>208</v>
      </c>
      <c r="EF14" t="s">
        <v>169</v>
      </c>
      <c r="EG14" s="35" t="s">
        <v>3333</v>
      </c>
      <c r="EH14" t="s">
        <v>170</v>
      </c>
      <c r="EK14" s="500">
        <v>25000</v>
      </c>
      <c r="EL14" s="500">
        <v>2500000000</v>
      </c>
      <c r="EM14" s="500">
        <v>100182</v>
      </c>
      <c r="EN14" s="500">
        <v>0</v>
      </c>
      <c r="EO14">
        <v>12.1</v>
      </c>
      <c r="EP14">
        <v>0</v>
      </c>
      <c r="EQ14">
        <v>605000000</v>
      </c>
      <c r="ER14">
        <v>613569572.91666698</v>
      </c>
      <c r="ES14">
        <v>-136127786.38888907</v>
      </c>
      <c r="ET14">
        <v>12.1</v>
      </c>
      <c r="EU14">
        <v>0</v>
      </c>
      <c r="EV14">
        <v>0</v>
      </c>
      <c r="EW14">
        <v>0</v>
      </c>
      <c r="EX14">
        <v>0</v>
      </c>
      <c r="EY14">
        <v>0</v>
      </c>
      <c r="EZ14">
        <v>0</v>
      </c>
      <c r="FA14">
        <v>-4550000</v>
      </c>
      <c r="FB14">
        <v>0</v>
      </c>
      <c r="FC14">
        <v>-4550000</v>
      </c>
      <c r="FD14">
        <v>-4550000</v>
      </c>
      <c r="FE14">
        <v>-4550000</v>
      </c>
      <c r="FF14">
        <v>-4550000</v>
      </c>
      <c r="FG14" s="32">
        <f>Bankingbook_SBV[[#This Row],[Mat. Date]]-RPT</f>
        <v>-4232</v>
      </c>
      <c r="FH14" s="32">
        <f>IF(Bankingbook_SBV[[#This Row],[Days]]&lt;=0,0,YEARFRAC(RPT,Bankingbook_SBV[[#This Row],[Mat. Date]],3))</f>
        <v>0</v>
      </c>
      <c r="FI14" s="32">
        <f>IF(Bankingbook_SBV[[#This Row],[Days (year)]]=0,0,INDEX(Ref!$K$2:$K$13,MATCH(Bankingbook_SBV[[#This Row],[Days (year)]],Ref!$I$2:$I$13,1)))</f>
        <v>0</v>
      </c>
      <c r="FJ14" s="32" t="str">
        <f>VLOOKUP(Bankingbook_SBV[[#This Row],[Security Name]],Ref!X:Z,3,0)</f>
        <v>TPCP</v>
      </c>
      <c r="FK14" s="32" t="str">
        <f>VLOOKUP(Bankingbook_SBV[[#This Row],[Security Name]],Ref!X:Y,2,0)</f>
        <v>KBNN</v>
      </c>
      <c r="FL14" s="72">
        <f>IF((Bankingbook_SBV[[#This Row],[Mat. Date]]-RPT)&lt;=0,0,Bankingbook_SBV[[#This Row],[QUANTITY]])</f>
        <v>0</v>
      </c>
      <c r="FM14" s="32">
        <f>IF(Bankingbook_SBV[[#This Row],[Quantity_edited]]=0,0,Bankingbook_SBV[[#This Row],[DURATION]])</f>
        <v>0</v>
      </c>
      <c r="FN14" s="32">
        <f>IF(Bankingbook_SBV[[#This Row],[Quantity_edited]]=0,0,Bankingbook_SBV[[#This Row],[Mod Dur]])</f>
        <v>0</v>
      </c>
      <c r="FO14" s="32">
        <f>IF(Bankingbook_SBV[[#This Row],[Quantity_edited]]=0,0,Bankingbook_SBV[[#This Row],[Cnvx.]])</f>
        <v>0</v>
      </c>
      <c r="FP14" s="32">
        <f>(Bankingbook_SBV[[#This Row],[MARKET_VALUE]]+Bankingbook_SBV[[#This Row],[Accr Int]]*Bankingbook_SBV[[#This Row],[Quantity_edited]])*(-Bankingbook_SBV[[#This Row],[Modified Duration]]*0.0001+0.5*Bankingbook_SBV[[#This Row],[Conv]]*(0.0001^2))</f>
        <v>0</v>
      </c>
      <c r="FQ14" s="32">
        <f>(Bankingbook_SBV[[#This Row],[MARKET_VALUE]]+Bankingbook_SBV[[#This Row],[Accr Int]]*Bankingbook_SBV[[#This Row],[Quantity_edited]])*(-Bankingbook_SBV[[#This Row],[Modified Duration]]*0.01+0.5*Bankingbook_SBV[[#This Row],[Conv]]*(0.01^2))</f>
        <v>0</v>
      </c>
      <c r="FT14" t="s">
        <v>166</v>
      </c>
      <c r="FU14" t="s">
        <v>790</v>
      </c>
      <c r="FV14" t="s">
        <v>4047</v>
      </c>
      <c r="FW14">
        <v>3323809</v>
      </c>
      <c r="FX14" s="502">
        <v>46234</v>
      </c>
      <c r="FY14" t="s">
        <v>2176</v>
      </c>
      <c r="FZ14" t="s">
        <v>812</v>
      </c>
      <c r="GA14" t="s">
        <v>3585</v>
      </c>
      <c r="GB14" t="s">
        <v>810</v>
      </c>
      <c r="GC14" t="s">
        <v>2786</v>
      </c>
      <c r="GD14" s="500">
        <v>-38023500000</v>
      </c>
      <c r="GE14">
        <v>10.000355000000001</v>
      </c>
      <c r="GF14" s="502">
        <v>46238</v>
      </c>
      <c r="GG14" s="502">
        <v>46269</v>
      </c>
      <c r="GH14">
        <v>4.4000000000000004</v>
      </c>
      <c r="GI14" t="s">
        <v>811</v>
      </c>
      <c r="GJ14" t="s">
        <v>3321</v>
      </c>
      <c r="GK14" t="s">
        <v>3321</v>
      </c>
      <c r="GL14">
        <v>76733535.420000002</v>
      </c>
      <c r="GM14">
        <v>-64171167.119999997</v>
      </c>
      <c r="GN14">
        <v>42302000000</v>
      </c>
      <c r="GO14">
        <v>10.11</v>
      </c>
      <c r="GP14">
        <v>0.04</v>
      </c>
      <c r="GQ14">
        <v>3.7999999999999999E-2</v>
      </c>
      <c r="GR14">
        <v>6.0565579999999999</v>
      </c>
      <c r="GS14">
        <v>-38060615433.010002</v>
      </c>
      <c r="GT14">
        <v>-37115433.009999998</v>
      </c>
      <c r="GU14" t="s">
        <v>4137</v>
      </c>
      <c r="GV14" t="s">
        <v>4137</v>
      </c>
      <c r="GW14" s="416">
        <f>FNRP_Repo[[#This Row],[Mat. Date]]-RPT</f>
        <v>17</v>
      </c>
      <c r="GX14" s="819" t="str">
        <f>IF(FNRP_Repo[[#This Row],[Days]]&lt;=0,"Mat",INDEX(Ref!U:U,MATCH(FNRP_Repo[[#This Row],[Days]],Ref!S:S,1)))</f>
        <v>3W</v>
      </c>
      <c r="GY14" s="417">
        <f>RIGHT(FNRP_Repo[[#This Row],[Deal Id]],5)+0</f>
        <v>18094</v>
      </c>
    </row>
    <row r="15" spans="1:331" x14ac:dyDescent="0.3">
      <c r="B15" t="s">
        <v>166</v>
      </c>
      <c r="C15" t="s">
        <v>167</v>
      </c>
      <c r="D15" t="s">
        <v>185</v>
      </c>
      <c r="E15" t="s">
        <v>169</v>
      </c>
      <c r="F15" s="502">
        <v>41695</v>
      </c>
      <c r="G15" t="s">
        <v>3322</v>
      </c>
      <c r="H15"/>
      <c r="I15"/>
      <c r="J15" s="38">
        <v>0</v>
      </c>
      <c r="K15">
        <v>0</v>
      </c>
      <c r="L15">
        <v>0</v>
      </c>
      <c r="M15" s="38">
        <v>0</v>
      </c>
      <c r="N15">
        <v>0</v>
      </c>
      <c r="O15">
        <v>0</v>
      </c>
      <c r="P15" s="37">
        <v>0</v>
      </c>
      <c r="Q15" s="37">
        <v>0</v>
      </c>
      <c r="R15" s="37">
        <v>-149075833.33333278</v>
      </c>
      <c r="S15">
        <v>0</v>
      </c>
      <c r="T15" s="70">
        <v>0</v>
      </c>
      <c r="U15">
        <v>0</v>
      </c>
      <c r="V15">
        <v>0</v>
      </c>
      <c r="W15">
        <v>0</v>
      </c>
      <c r="X15" s="38">
        <v>0</v>
      </c>
      <c r="Y15">
        <v>0</v>
      </c>
      <c r="Z15" s="70">
        <v>536600000</v>
      </c>
      <c r="AA15" s="70">
        <v>0</v>
      </c>
      <c r="AB15" s="70">
        <v>536600000</v>
      </c>
      <c r="AC15" s="70">
        <v>536600000</v>
      </c>
      <c r="AD15" s="70">
        <v>536600000</v>
      </c>
      <c r="AE15" s="70">
        <v>536600000</v>
      </c>
      <c r="AF15">
        <v>0</v>
      </c>
      <c r="AG15" s="72">
        <f>Tradingbook_MSB[[#This Row],[Mat. Date]]-RPT</f>
        <v>-4557</v>
      </c>
      <c r="AH15" s="71">
        <f>IF(Tradingbook_MSB[[#This Row],[Days]]&lt;=0,0,YEARFRAC(RPT,Tradingbook_MSB[[#This Row],[Mat. Date]],3))</f>
        <v>0</v>
      </c>
      <c r="AI15" s="71">
        <f>IF(Tradingbook_MSB[[#This Row],[Days (year)]]=0,0,INDEX(Ref!$K$2:$K$13,MATCH(Tradingbook_MSB[[#This Row],[Days (year)]],Ref!$I$2:$I$13,1)))</f>
        <v>0</v>
      </c>
      <c r="AJ15" s="120" t="str">
        <f>VLOOKUP(Tradingbook_MSB[[#This Row],[Security Name]],Ref!X:Z,3,0)</f>
        <v>TPCP</v>
      </c>
      <c r="AK15" s="120" t="str">
        <f>VLOOKUP(Tradingbook_MSB[[#This Row],[Security Name]],Ref!X:Y,2,0)</f>
        <v>KBNN</v>
      </c>
      <c r="AL15" s="71">
        <f>IF((Tradingbook_MSB[[#This Row],[Mat. Date]]-RPT)&lt;=0,0,Tradingbook_MSB[[#This Row],[QUANTITY]])</f>
        <v>0</v>
      </c>
      <c r="AM15" s="71">
        <f>IF(Tradingbook_MSB[[#This Row],[Quantity_edited]]=0,0,Tradingbook_MSB[[#This Row],[DURATION]])</f>
        <v>0</v>
      </c>
      <c r="AN15" s="71">
        <f>IF(Tradingbook_MSB[[#This Row],[Quantity_edited]]=0,0,Tradingbook_MSB[[#This Row],[Mod Dur]])</f>
        <v>0</v>
      </c>
      <c r="AO15" s="71">
        <f>IF(Tradingbook_MSB[[#This Row],[Quantity_edited]]=0,0,Tradingbook_MSB[[#This Row],[Cnvx.]])</f>
        <v>0</v>
      </c>
      <c r="AP15" s="71">
        <f>(Tradingbook_MSB[[#This Row],[MARKET_VALUE]]+Tradingbook_MSB[[#This Row],[Accr Int]]*Tradingbook_MSB[[#This Row],[Quantity_edited]])*(-Tradingbook_MSB[[#This Row],[Modified Duration]]*0.0001+0.5*Tradingbook_MSB[[#This Row],[Conv]]*(0.0001^2))</f>
        <v>0</v>
      </c>
      <c r="AQ15" s="72">
        <f>(Tradingbook_MSB[[#This Row],[MARKET_VALUE]]+Tradingbook_MSB[[#This Row],[Accr Int]]*Tradingbook_MSB[[#This Row],[Quantity_edited]])*(-Tradingbook_MSB[[#This Row],[Modified Duration]]*0.01+0.5*Tradingbook_MSB[[#This Row],[Conv]]*(0.01^2))</f>
        <v>0</v>
      </c>
      <c r="AR15" s="71"/>
      <c r="AT15" t="s">
        <v>166</v>
      </c>
      <c r="AU15" t="s">
        <v>167</v>
      </c>
      <c r="AV15" t="s">
        <v>774</v>
      </c>
      <c r="AW15" t="s">
        <v>169</v>
      </c>
      <c r="AX15" t="s">
        <v>3334</v>
      </c>
      <c r="AY15" t="s">
        <v>170</v>
      </c>
      <c r="BB15" s="49">
        <v>5000000</v>
      </c>
      <c r="BC15">
        <v>500000000000</v>
      </c>
      <c r="BD15">
        <v>100000</v>
      </c>
      <c r="BE15" s="37">
        <v>0</v>
      </c>
      <c r="BF15">
        <v>13.3</v>
      </c>
      <c r="BG15">
        <v>0</v>
      </c>
      <c r="BH15" s="34">
        <v>332500000000</v>
      </c>
      <c r="BI15">
        <v>359939174583.3335</v>
      </c>
      <c r="BJ15">
        <v>-152008194444.44479</v>
      </c>
      <c r="BK15">
        <v>13.3</v>
      </c>
      <c r="BL15">
        <v>0</v>
      </c>
      <c r="BM15">
        <v>0</v>
      </c>
      <c r="BN15">
        <v>0</v>
      </c>
      <c r="BO15">
        <v>0</v>
      </c>
      <c r="BP15">
        <v>0</v>
      </c>
      <c r="BQ15">
        <v>0</v>
      </c>
      <c r="BR15">
        <v>0</v>
      </c>
      <c r="BS15">
        <v>0</v>
      </c>
      <c r="BT15">
        <v>0</v>
      </c>
      <c r="BU15">
        <v>0</v>
      </c>
      <c r="BV15">
        <v>0</v>
      </c>
      <c r="BW15">
        <v>0</v>
      </c>
      <c r="BX15">
        <v>13.3</v>
      </c>
      <c r="BY15" s="32">
        <f>Bankingbook_MSB[[#This Row],[Mat. Date]]-RPT</f>
        <v>-4193</v>
      </c>
      <c r="BZ15" s="71">
        <f>IF(Bankingbook_MSB[[#This Row],[Days]]&lt;=0,0,YEARFRAC(RPT,Bankingbook_MSB[[#This Row],[Mat. Date]],3))</f>
        <v>0</v>
      </c>
      <c r="CA15" s="71">
        <f>IF(Bankingbook_MSB[[#This Row],[Days (year)]]=0,0,INDEX(Ref!$K$2:$K$13,MATCH(Bankingbook_MSB[[#This Row],[Days (year)]],Ref!$I$2:$I$13,1)))</f>
        <v>0</v>
      </c>
      <c r="CB15" s="32" t="str">
        <f>VLOOKUP(Bankingbook_MSB[[#This Row],[Security Name]],Ref!X:Z,3,0)</f>
        <v>TPCPBL</v>
      </c>
      <c r="CC15" s="32" t="str">
        <f>VLOOKUP(Bankingbook_MSB[[#This Row],[Security Name]],Ref!X:Y,2,0)</f>
        <v>VEC</v>
      </c>
      <c r="CD15" s="72">
        <f>IF((Bankingbook_MSB[[#This Row],[Mat. Date]]-RPT)&lt;=0,0,Bankingbook_MSB[[#This Row],[QUANTITY]])</f>
        <v>0</v>
      </c>
      <c r="CE15" s="71">
        <f>IF(Bankingbook_MSB[[#This Row],[Quantity_edited]]=0,0,Bankingbook_MSB[[#This Row],[DURATION]])</f>
        <v>0</v>
      </c>
      <c r="CF15" s="71">
        <f>IF(Bankingbook_MSB[[#This Row],[Quantity_edited]]=0,0,Bankingbook_MSB[[#This Row],[Mod Dur]])</f>
        <v>0</v>
      </c>
      <c r="CG15" s="71">
        <f>IF(Bankingbook_MSB[[#This Row],[Quantity_edited]]=0,0,Bankingbook_MSB[[#This Row],[Cnvx.]])</f>
        <v>0</v>
      </c>
      <c r="CH15" s="71">
        <f>(Bankingbook_MSB[[#This Row],[MARKET_VALUE]]+Bankingbook_MSB[[#This Row],[Accr Int]]*Bankingbook_MSB[[#This Row],[Quantity_edited]])*(-Bankingbook_MSB[[#This Row],[Modified Duration]]*0.0001+0.5*Bankingbook_MSB[[#This Row],[Conv]]*(0.0001^2))</f>
        <v>0</v>
      </c>
      <c r="CI15" s="71">
        <f>(Bankingbook_MSB[[#This Row],[MARKET_VALUE]]+Bankingbook_MSB[[#This Row],[Accr Int]]*Bankingbook_MSB[[#This Row],[Quantity_edited]])*(-Bankingbook_MSB[[#This Row],[Modified Duration]]*0.01+0.5*Bankingbook_MSB[[#This Row],[Conv]]*(0.01^2))</f>
        <v>0</v>
      </c>
      <c r="CJ15" s="32"/>
      <c r="CL15" t="s">
        <v>166</v>
      </c>
      <c r="CM15" t="s">
        <v>167</v>
      </c>
      <c r="CN15" t="s">
        <v>185</v>
      </c>
      <c r="CO15" t="s">
        <v>169</v>
      </c>
      <c r="CP15" s="35">
        <v>41695</v>
      </c>
      <c r="CQ15" t="s">
        <v>3322</v>
      </c>
      <c r="CR15" t="s">
        <v>174</v>
      </c>
      <c r="CS15" t="s">
        <v>174</v>
      </c>
      <c r="CT15" s="49">
        <v>0</v>
      </c>
      <c r="CU15">
        <v>0</v>
      </c>
      <c r="CV15">
        <v>0</v>
      </c>
      <c r="CW15" s="70">
        <v>0</v>
      </c>
      <c r="CX15">
        <v>0</v>
      </c>
      <c r="CY15">
        <v>0</v>
      </c>
      <c r="CZ15">
        <v>0</v>
      </c>
      <c r="DA15">
        <v>0</v>
      </c>
      <c r="DB15">
        <v>-149075833.33333278</v>
      </c>
      <c r="DC15">
        <v>0</v>
      </c>
      <c r="DD15">
        <v>0</v>
      </c>
      <c r="DE15">
        <v>0</v>
      </c>
      <c r="DF15">
        <v>0</v>
      </c>
      <c r="DG15">
        <v>0</v>
      </c>
      <c r="DH15">
        <v>0</v>
      </c>
      <c r="DI15">
        <v>0</v>
      </c>
      <c r="DJ15" s="500">
        <v>536600000</v>
      </c>
      <c r="DK15" s="500">
        <v>0</v>
      </c>
      <c r="DL15" s="37">
        <v>536600000</v>
      </c>
      <c r="DM15" s="37">
        <v>536600000</v>
      </c>
      <c r="DN15" s="37">
        <v>536600000</v>
      </c>
      <c r="DO15" s="37">
        <v>536600000</v>
      </c>
      <c r="DP15" s="32">
        <f>Tradingbook_SBV[[#This Row],[Mat. Date]]-RPT</f>
        <v>-4557</v>
      </c>
      <c r="DQ15" s="32">
        <f>IF(Tradingbook_SBV[[#This Row],[Days]]&lt;=0,0,YEARFRAC(RPT,Tradingbook_SBV[[#This Row],[Mat. Date]],3))</f>
        <v>0</v>
      </c>
      <c r="DR15" s="32">
        <f>IF(Tradingbook_SBV[[#This Row],[Days (year)]]=0,0,INDEX(Ref!$K$2:$K$13,MATCH(Tradingbook_SBV[[#This Row],[Days (year)]],Ref!$I$2:$I$13,1)))</f>
        <v>0</v>
      </c>
      <c r="DS15" s="32" t="str">
        <f>VLOOKUP(Tradingbook_SBV[[#This Row],[Security Name]],Ref!X:Z,3,0)</f>
        <v>TPCP</v>
      </c>
      <c r="DT15" s="32" t="str">
        <f>VLOOKUP(Tradingbook_SBV[[#This Row],[Security Name]],Ref!X:Y,2,0)</f>
        <v>KBNN</v>
      </c>
      <c r="DU15" s="71">
        <f>IF((Tradingbook_SBV[[#This Row],[Mat. Date]]-RPT)&lt;=0,0,Tradingbook_SBV[[#This Row],[QUANTITY]])</f>
        <v>0</v>
      </c>
      <c r="DV15" s="71">
        <f>IF(Tradingbook_SBV[[#This Row],[Quantity_edited]]=0,0,Tradingbook_SBV[[#This Row],[DURATION]])</f>
        <v>0</v>
      </c>
      <c r="DW15" s="71">
        <f>IF(Tradingbook_SBV[[#This Row],[Quantity_edited]]=0,0,Tradingbook_SBV[[#This Row],[Mod Dur]])</f>
        <v>0</v>
      </c>
      <c r="DX15" s="71">
        <f>IF(Tradingbook_SBV[[#This Row],[Quantity_edited]]=0,0,Tradingbook_SBV[[#This Row],[Cnvx.]])</f>
        <v>0</v>
      </c>
      <c r="DY15" s="71">
        <f>(Tradingbook_SBV[[#This Row],[MARKET_VALUE]]+Tradingbook_SBV[[#This Row],[Accr Int]]*Tradingbook_SBV[[#This Row],[Quantity_edited]])*(-Tradingbook_SBV[[#This Row],[Modified Duration]]*0.0001+0.5*Tradingbook_SBV[[#This Row],[Conv]]*(0.0001^2))</f>
        <v>0</v>
      </c>
      <c r="DZ15" s="71">
        <f>(Tradingbook_SBV[[#This Row],[MARKET_VALUE]]+Tradingbook_SBV[[#This Row],[Accr Int]]*Tradingbook_SBV[[#This Row],[Quantity_edited]])*(-Tradingbook_SBV[[#This Row],[Modified Duration]]*0.01+0.5*Tradingbook_SBV[[#This Row],[Conv]]*(0.01^2))</f>
        <v>0</v>
      </c>
      <c r="EC15" t="s">
        <v>166</v>
      </c>
      <c r="ED15" t="s">
        <v>167</v>
      </c>
      <c r="EE15" t="s">
        <v>774</v>
      </c>
      <c r="EF15" t="s">
        <v>169</v>
      </c>
      <c r="EG15" s="35" t="s">
        <v>3334</v>
      </c>
      <c r="EH15" t="s">
        <v>170</v>
      </c>
      <c r="EK15" s="500">
        <v>5000000</v>
      </c>
      <c r="EL15" s="500">
        <v>500000000000</v>
      </c>
      <c r="EM15" s="500">
        <v>100000</v>
      </c>
      <c r="EN15" s="500">
        <v>0</v>
      </c>
      <c r="EO15">
        <v>13.3</v>
      </c>
      <c r="EP15">
        <v>0</v>
      </c>
      <c r="EQ15">
        <v>332500000000</v>
      </c>
      <c r="ER15">
        <v>359939174583.3335</v>
      </c>
      <c r="ES15">
        <v>-152008194444.44479</v>
      </c>
      <c r="ET15">
        <v>13.3</v>
      </c>
      <c r="EU15">
        <v>0</v>
      </c>
      <c r="EV15">
        <v>0</v>
      </c>
      <c r="EW15">
        <v>0</v>
      </c>
      <c r="EX15">
        <v>0</v>
      </c>
      <c r="EY15">
        <v>0</v>
      </c>
      <c r="EZ15">
        <v>0</v>
      </c>
      <c r="FA15">
        <v>0</v>
      </c>
      <c r="FB15">
        <v>0</v>
      </c>
      <c r="FC15">
        <v>0</v>
      </c>
      <c r="FD15">
        <v>0</v>
      </c>
      <c r="FE15">
        <v>0</v>
      </c>
      <c r="FF15">
        <v>0</v>
      </c>
      <c r="FG15" s="32">
        <f>Bankingbook_SBV[[#This Row],[Mat. Date]]-RPT</f>
        <v>-4193</v>
      </c>
      <c r="FH15" s="32">
        <f>IF(Bankingbook_SBV[[#This Row],[Days]]&lt;=0,0,YEARFRAC(RPT,Bankingbook_SBV[[#This Row],[Mat. Date]],3))</f>
        <v>0</v>
      </c>
      <c r="FI15" s="32">
        <f>IF(Bankingbook_SBV[[#This Row],[Days (year)]]=0,0,INDEX(Ref!$K$2:$K$13,MATCH(Bankingbook_SBV[[#This Row],[Days (year)]],Ref!$I$2:$I$13,1)))</f>
        <v>0</v>
      </c>
      <c r="FJ15" s="32" t="str">
        <f>VLOOKUP(Bankingbook_SBV[[#This Row],[Security Name]],Ref!X:Z,3,0)</f>
        <v>TPCPBL</v>
      </c>
      <c r="FK15" s="32" t="str">
        <f>VLOOKUP(Bankingbook_SBV[[#This Row],[Security Name]],Ref!X:Y,2,0)</f>
        <v>VEC</v>
      </c>
      <c r="FL15" s="72">
        <f>IF((Bankingbook_SBV[[#This Row],[Mat. Date]]-RPT)&lt;=0,0,Bankingbook_SBV[[#This Row],[QUANTITY]])</f>
        <v>0</v>
      </c>
      <c r="FM15" s="32">
        <f>IF(Bankingbook_SBV[[#This Row],[Quantity_edited]]=0,0,Bankingbook_SBV[[#This Row],[DURATION]])</f>
        <v>0</v>
      </c>
      <c r="FN15" s="32">
        <f>IF(Bankingbook_SBV[[#This Row],[Quantity_edited]]=0,0,Bankingbook_SBV[[#This Row],[Mod Dur]])</f>
        <v>0</v>
      </c>
      <c r="FO15" s="32">
        <f>IF(Bankingbook_SBV[[#This Row],[Quantity_edited]]=0,0,Bankingbook_SBV[[#This Row],[Cnvx.]])</f>
        <v>0</v>
      </c>
      <c r="FP15" s="32">
        <f>(Bankingbook_SBV[[#This Row],[MARKET_VALUE]]+Bankingbook_SBV[[#This Row],[Accr Int]]*Bankingbook_SBV[[#This Row],[Quantity_edited]])*(-Bankingbook_SBV[[#This Row],[Modified Duration]]*0.0001+0.5*Bankingbook_SBV[[#This Row],[Conv]]*(0.0001^2))</f>
        <v>0</v>
      </c>
      <c r="FQ15" s="32">
        <f>(Bankingbook_SBV[[#This Row],[MARKET_VALUE]]+Bankingbook_SBV[[#This Row],[Accr Int]]*Bankingbook_SBV[[#This Row],[Quantity_edited]])*(-Bankingbook_SBV[[#This Row],[Modified Duration]]*0.01+0.5*Bankingbook_SBV[[#This Row],[Conv]]*(0.01^2))</f>
        <v>0</v>
      </c>
      <c r="FT15" t="s">
        <v>166</v>
      </c>
      <c r="FU15" t="s">
        <v>790</v>
      </c>
      <c r="FV15" t="s">
        <v>4048</v>
      </c>
      <c r="FW15">
        <v>3323788</v>
      </c>
      <c r="FX15" s="502">
        <v>46234</v>
      </c>
      <c r="FY15" t="s">
        <v>2176</v>
      </c>
      <c r="FZ15" t="s">
        <v>812</v>
      </c>
      <c r="GA15" t="s">
        <v>3585</v>
      </c>
      <c r="GB15" t="s">
        <v>810</v>
      </c>
      <c r="GC15" t="s">
        <v>2785</v>
      </c>
      <c r="GD15" s="500">
        <v>-251103000000</v>
      </c>
      <c r="GE15">
        <v>6.9999219999999998</v>
      </c>
      <c r="GF15" s="502">
        <v>46238</v>
      </c>
      <c r="GG15" s="502">
        <v>46269</v>
      </c>
      <c r="GH15">
        <v>4.4000000000000004</v>
      </c>
      <c r="GI15" t="s">
        <v>811</v>
      </c>
      <c r="GJ15" t="s">
        <v>3321</v>
      </c>
      <c r="GK15" t="s">
        <v>3321</v>
      </c>
      <c r="GL15">
        <v>506739804.17000002</v>
      </c>
      <c r="GM15">
        <v>-423779309.58999997</v>
      </c>
      <c r="GN15">
        <v>270234000000</v>
      </c>
      <c r="GO15">
        <v>7.08</v>
      </c>
      <c r="GP15">
        <v>0.04</v>
      </c>
      <c r="GQ15">
        <v>3.7999999999999999E-2</v>
      </c>
      <c r="GR15">
        <v>6.0565579999999999</v>
      </c>
      <c r="GS15">
        <v>-251348106223.12</v>
      </c>
      <c r="GT15">
        <v>-245106223.12</v>
      </c>
      <c r="GU15" t="s">
        <v>4139</v>
      </c>
      <c r="GV15" t="s">
        <v>4139</v>
      </c>
      <c r="GW15" s="416">
        <f>FNRP_Repo[[#This Row],[Mat. Date]]-RPT</f>
        <v>17</v>
      </c>
      <c r="GX15" s="819" t="str">
        <f>IF(FNRP_Repo[[#This Row],[Days]]&lt;=0,"Mat",INDEX(Ref!U:U,MATCH(FNRP_Repo[[#This Row],[Days]],Ref!S:S,1)))</f>
        <v>3W</v>
      </c>
      <c r="GY15" s="417">
        <f>RIGHT(FNRP_Repo[[#This Row],[Deal Id]],5)+0</f>
        <v>18090</v>
      </c>
    </row>
    <row r="16" spans="1:331" x14ac:dyDescent="0.3">
      <c r="B16" t="s">
        <v>166</v>
      </c>
      <c r="C16" t="s">
        <v>167</v>
      </c>
      <c r="D16" t="s">
        <v>186</v>
      </c>
      <c r="E16" t="s">
        <v>169</v>
      </c>
      <c r="F16" s="502">
        <v>41698</v>
      </c>
      <c r="G16" t="s">
        <v>3322</v>
      </c>
      <c r="H16"/>
      <c r="I16"/>
      <c r="J16" s="38">
        <v>0</v>
      </c>
      <c r="K16">
        <v>0</v>
      </c>
      <c r="L16">
        <v>0</v>
      </c>
      <c r="M16" s="38">
        <v>0</v>
      </c>
      <c r="N16">
        <v>11</v>
      </c>
      <c r="O16">
        <v>0</v>
      </c>
      <c r="P16" s="37">
        <v>1992540000</v>
      </c>
      <c r="Q16" s="37">
        <v>2095943831.8958361</v>
      </c>
      <c r="R16" s="37">
        <v>-1452025231.7458429</v>
      </c>
      <c r="S16">
        <v>11</v>
      </c>
      <c r="T16" s="70">
        <v>0</v>
      </c>
      <c r="U16">
        <v>0</v>
      </c>
      <c r="V16">
        <v>0</v>
      </c>
      <c r="W16">
        <v>0</v>
      </c>
      <c r="X16" s="38">
        <v>0</v>
      </c>
      <c r="Y16">
        <v>0</v>
      </c>
      <c r="Z16" s="70">
        <v>2047916340.2548828</v>
      </c>
      <c r="AA16" s="70">
        <v>0</v>
      </c>
      <c r="AB16" s="70">
        <v>2047916340.2548828</v>
      </c>
      <c r="AC16" s="70">
        <v>2047916340.2548828</v>
      </c>
      <c r="AD16" s="70">
        <v>2047916340.2550001</v>
      </c>
      <c r="AE16" s="70">
        <v>2047916340.2548828</v>
      </c>
      <c r="AF16">
        <v>0</v>
      </c>
      <c r="AG16" s="72">
        <f>Tradingbook_MSB[[#This Row],[Mat. Date]]-RPT</f>
        <v>-4554</v>
      </c>
      <c r="AH16" s="71">
        <f>IF(Tradingbook_MSB[[#This Row],[Days]]&lt;=0,0,YEARFRAC(RPT,Tradingbook_MSB[[#This Row],[Mat. Date]],3))</f>
        <v>0</v>
      </c>
      <c r="AI16" s="71">
        <f>IF(Tradingbook_MSB[[#This Row],[Days (year)]]=0,0,INDEX(Ref!$K$2:$K$13,MATCH(Tradingbook_MSB[[#This Row],[Days (year)]],Ref!$I$2:$I$13,1)))</f>
        <v>0</v>
      </c>
      <c r="AJ16" s="120" t="str">
        <f>VLOOKUP(Tradingbook_MSB[[#This Row],[Security Name]],Ref!X:Z,3,0)</f>
        <v>TPCP</v>
      </c>
      <c r="AK16" s="120" t="str">
        <f>VLOOKUP(Tradingbook_MSB[[#This Row],[Security Name]],Ref!X:Y,2,0)</f>
        <v>KBNN</v>
      </c>
      <c r="AL16" s="71">
        <f>IF((Tradingbook_MSB[[#This Row],[Mat. Date]]-RPT)&lt;=0,0,Tradingbook_MSB[[#This Row],[QUANTITY]])</f>
        <v>0</v>
      </c>
      <c r="AM16" s="71">
        <f>IF(Tradingbook_MSB[[#This Row],[Quantity_edited]]=0,0,Tradingbook_MSB[[#This Row],[DURATION]])</f>
        <v>0</v>
      </c>
      <c r="AN16" s="71">
        <f>IF(Tradingbook_MSB[[#This Row],[Quantity_edited]]=0,0,Tradingbook_MSB[[#This Row],[Mod Dur]])</f>
        <v>0</v>
      </c>
      <c r="AO16" s="71">
        <f>IF(Tradingbook_MSB[[#This Row],[Quantity_edited]]=0,0,Tradingbook_MSB[[#This Row],[Cnvx.]])</f>
        <v>0</v>
      </c>
      <c r="AP16" s="71">
        <f>(Tradingbook_MSB[[#This Row],[MARKET_VALUE]]+Tradingbook_MSB[[#This Row],[Accr Int]]*Tradingbook_MSB[[#This Row],[Quantity_edited]])*(-Tradingbook_MSB[[#This Row],[Modified Duration]]*0.0001+0.5*Tradingbook_MSB[[#This Row],[Conv]]*(0.0001^2))</f>
        <v>0</v>
      </c>
      <c r="AQ16" s="72">
        <f>(Tradingbook_MSB[[#This Row],[MARKET_VALUE]]+Tradingbook_MSB[[#This Row],[Accr Int]]*Tradingbook_MSB[[#This Row],[Quantity_edited]])*(-Tradingbook_MSB[[#This Row],[Modified Duration]]*0.01+0.5*Tradingbook_MSB[[#This Row],[Conv]]*(0.01^2))</f>
        <v>0</v>
      </c>
      <c r="AR16" s="71"/>
      <c r="AT16" t="s">
        <v>166</v>
      </c>
      <c r="AU16" t="s">
        <v>167</v>
      </c>
      <c r="AV16" t="s">
        <v>217</v>
      </c>
      <c r="AW16" t="s">
        <v>169</v>
      </c>
      <c r="AX16" t="s">
        <v>3335</v>
      </c>
      <c r="AY16" t="s">
        <v>3322</v>
      </c>
      <c r="BB16" s="49">
        <v>0</v>
      </c>
      <c r="BC16">
        <v>0</v>
      </c>
      <c r="BD16">
        <v>0</v>
      </c>
      <c r="BE16" s="37">
        <v>0</v>
      </c>
      <c r="BF16">
        <v>8.6999999999999993</v>
      </c>
      <c r="BG16">
        <v>0</v>
      </c>
      <c r="BH16" s="34">
        <v>0</v>
      </c>
      <c r="BI16">
        <v>0</v>
      </c>
      <c r="BJ16">
        <v>-2709649190.277782</v>
      </c>
      <c r="BK16">
        <v>8.6999999999999993</v>
      </c>
      <c r="BL16">
        <v>0</v>
      </c>
      <c r="BM16">
        <v>0</v>
      </c>
      <c r="BN16">
        <v>0</v>
      </c>
      <c r="BO16">
        <v>0</v>
      </c>
      <c r="BP16">
        <v>0</v>
      </c>
      <c r="BQ16">
        <v>0</v>
      </c>
      <c r="BR16">
        <v>-11000000</v>
      </c>
      <c r="BS16">
        <v>0</v>
      </c>
      <c r="BT16">
        <v>-11000000</v>
      </c>
      <c r="BU16">
        <v>-11000000</v>
      </c>
      <c r="BV16">
        <v>-11000000</v>
      </c>
      <c r="BW16">
        <v>-11000000</v>
      </c>
      <c r="BX16">
        <v>0</v>
      </c>
      <c r="BY16" s="32">
        <f>Bankingbook_MSB[[#This Row],[Mat. Date]]-RPT</f>
        <v>-4160</v>
      </c>
      <c r="BZ16" s="71">
        <f>IF(Bankingbook_MSB[[#This Row],[Days]]&lt;=0,0,YEARFRAC(RPT,Bankingbook_MSB[[#This Row],[Mat. Date]],3))</f>
        <v>0</v>
      </c>
      <c r="CA16" s="71">
        <f>IF(Bankingbook_MSB[[#This Row],[Days (year)]]=0,0,INDEX(Ref!$K$2:$K$13,MATCH(Bankingbook_MSB[[#This Row],[Days (year)]],Ref!$I$2:$I$13,1)))</f>
        <v>0</v>
      </c>
      <c r="CB16" s="32" t="str">
        <f>VLOOKUP(Bankingbook_MSB[[#This Row],[Security Name]],Ref!X:Z,3,0)</f>
        <v>TPCPBL</v>
      </c>
      <c r="CC16" s="32" t="str">
        <f>VLOOKUP(Bankingbook_MSB[[#This Row],[Security Name]],Ref!X:Y,2,0)</f>
        <v>VDB</v>
      </c>
      <c r="CD16" s="72">
        <f>IF((Bankingbook_MSB[[#This Row],[Mat. Date]]-RPT)&lt;=0,0,Bankingbook_MSB[[#This Row],[QUANTITY]])</f>
        <v>0</v>
      </c>
      <c r="CE16" s="71">
        <f>IF(Bankingbook_MSB[[#This Row],[Quantity_edited]]=0,0,Bankingbook_MSB[[#This Row],[DURATION]])</f>
        <v>0</v>
      </c>
      <c r="CF16" s="71">
        <f>IF(Bankingbook_MSB[[#This Row],[Quantity_edited]]=0,0,Bankingbook_MSB[[#This Row],[Mod Dur]])</f>
        <v>0</v>
      </c>
      <c r="CG16" s="71">
        <f>IF(Bankingbook_MSB[[#This Row],[Quantity_edited]]=0,0,Bankingbook_MSB[[#This Row],[Cnvx.]])</f>
        <v>0</v>
      </c>
      <c r="CH16" s="71">
        <f>(Bankingbook_MSB[[#This Row],[MARKET_VALUE]]+Bankingbook_MSB[[#This Row],[Accr Int]]*Bankingbook_MSB[[#This Row],[Quantity_edited]])*(-Bankingbook_MSB[[#This Row],[Modified Duration]]*0.0001+0.5*Bankingbook_MSB[[#This Row],[Conv]]*(0.0001^2))</f>
        <v>0</v>
      </c>
      <c r="CI16" s="71">
        <f>(Bankingbook_MSB[[#This Row],[MARKET_VALUE]]+Bankingbook_MSB[[#This Row],[Accr Int]]*Bankingbook_MSB[[#This Row],[Quantity_edited]])*(-Bankingbook_MSB[[#This Row],[Modified Duration]]*0.01+0.5*Bankingbook_MSB[[#This Row],[Conv]]*(0.01^2))</f>
        <v>0</v>
      </c>
      <c r="CJ16" s="32"/>
      <c r="CL16" t="s">
        <v>166</v>
      </c>
      <c r="CM16" t="s">
        <v>167</v>
      </c>
      <c r="CN16" t="s">
        <v>186</v>
      </c>
      <c r="CO16" t="s">
        <v>169</v>
      </c>
      <c r="CP16" s="35">
        <v>41698</v>
      </c>
      <c r="CQ16" t="s">
        <v>3322</v>
      </c>
      <c r="CR16" t="s">
        <v>174</v>
      </c>
      <c r="CS16" t="s">
        <v>174</v>
      </c>
      <c r="CT16" s="49">
        <v>0</v>
      </c>
      <c r="CU16">
        <v>0</v>
      </c>
      <c r="CV16">
        <v>0</v>
      </c>
      <c r="CW16" s="70">
        <v>0</v>
      </c>
      <c r="CX16">
        <v>11</v>
      </c>
      <c r="CY16">
        <v>0</v>
      </c>
      <c r="CZ16">
        <v>1992540000</v>
      </c>
      <c r="DA16">
        <v>2095943831.8958361</v>
      </c>
      <c r="DB16">
        <v>-1452025231.7458429</v>
      </c>
      <c r="DC16">
        <v>11</v>
      </c>
      <c r="DD16">
        <v>0</v>
      </c>
      <c r="DE16">
        <v>0</v>
      </c>
      <c r="DF16">
        <v>0</v>
      </c>
      <c r="DG16">
        <v>0</v>
      </c>
      <c r="DH16">
        <v>0</v>
      </c>
      <c r="DI16">
        <v>0</v>
      </c>
      <c r="DJ16" s="500">
        <v>2047916340.2548828</v>
      </c>
      <c r="DK16" s="500">
        <v>0</v>
      </c>
      <c r="DL16" s="37">
        <v>2047916340.2548828</v>
      </c>
      <c r="DM16" s="37">
        <v>2047916340.2548828</v>
      </c>
      <c r="DN16" s="37">
        <v>2047916340.2550001</v>
      </c>
      <c r="DO16" s="37">
        <v>2047916340.2548828</v>
      </c>
      <c r="DP16" s="32">
        <f>Tradingbook_SBV[[#This Row],[Mat. Date]]-RPT</f>
        <v>-4554</v>
      </c>
      <c r="DQ16" s="32">
        <f>IF(Tradingbook_SBV[[#This Row],[Days]]&lt;=0,0,YEARFRAC(RPT,Tradingbook_SBV[[#This Row],[Mat. Date]],3))</f>
        <v>0</v>
      </c>
      <c r="DR16" s="32">
        <f>IF(Tradingbook_SBV[[#This Row],[Days (year)]]=0,0,INDEX(Ref!$K$2:$K$13,MATCH(Tradingbook_SBV[[#This Row],[Days (year)]],Ref!$I$2:$I$13,1)))</f>
        <v>0</v>
      </c>
      <c r="DS16" s="32" t="str">
        <f>VLOOKUP(Tradingbook_SBV[[#This Row],[Security Name]],Ref!X:Z,3,0)</f>
        <v>TPCP</v>
      </c>
      <c r="DT16" s="32" t="str">
        <f>VLOOKUP(Tradingbook_SBV[[#This Row],[Security Name]],Ref!X:Y,2,0)</f>
        <v>KBNN</v>
      </c>
      <c r="DU16" s="71">
        <f>IF((Tradingbook_SBV[[#This Row],[Mat. Date]]-RPT)&lt;=0,0,Tradingbook_SBV[[#This Row],[QUANTITY]])</f>
        <v>0</v>
      </c>
      <c r="DV16" s="71">
        <f>IF(Tradingbook_SBV[[#This Row],[Quantity_edited]]=0,0,Tradingbook_SBV[[#This Row],[DURATION]])</f>
        <v>0</v>
      </c>
      <c r="DW16" s="71">
        <f>IF(Tradingbook_SBV[[#This Row],[Quantity_edited]]=0,0,Tradingbook_SBV[[#This Row],[Mod Dur]])</f>
        <v>0</v>
      </c>
      <c r="DX16" s="71">
        <f>IF(Tradingbook_SBV[[#This Row],[Quantity_edited]]=0,0,Tradingbook_SBV[[#This Row],[Cnvx.]])</f>
        <v>0</v>
      </c>
      <c r="DY16" s="71">
        <f>(Tradingbook_SBV[[#This Row],[MARKET_VALUE]]+Tradingbook_SBV[[#This Row],[Accr Int]]*Tradingbook_SBV[[#This Row],[Quantity_edited]])*(-Tradingbook_SBV[[#This Row],[Modified Duration]]*0.0001+0.5*Tradingbook_SBV[[#This Row],[Conv]]*(0.0001^2))</f>
        <v>0</v>
      </c>
      <c r="DZ16" s="71">
        <f>(Tradingbook_SBV[[#This Row],[MARKET_VALUE]]+Tradingbook_SBV[[#This Row],[Accr Int]]*Tradingbook_SBV[[#This Row],[Quantity_edited]])*(-Tradingbook_SBV[[#This Row],[Modified Duration]]*0.01+0.5*Tradingbook_SBV[[#This Row],[Conv]]*(0.01^2))</f>
        <v>0</v>
      </c>
      <c r="EC16" t="s">
        <v>166</v>
      </c>
      <c r="ED16" t="s">
        <v>167</v>
      </c>
      <c r="EE16" t="s">
        <v>217</v>
      </c>
      <c r="EF16" t="s">
        <v>169</v>
      </c>
      <c r="EG16" s="35" t="s">
        <v>3335</v>
      </c>
      <c r="EH16" t="s">
        <v>3322</v>
      </c>
      <c r="EK16" s="500">
        <v>0</v>
      </c>
      <c r="EL16" s="500">
        <v>0</v>
      </c>
      <c r="EM16" s="500">
        <v>0</v>
      </c>
      <c r="EN16" s="500">
        <v>0</v>
      </c>
      <c r="EO16">
        <v>8.6999999999999993</v>
      </c>
      <c r="EP16">
        <v>0</v>
      </c>
      <c r="EQ16">
        <v>0</v>
      </c>
      <c r="ER16">
        <v>0</v>
      </c>
      <c r="ES16">
        <v>-2709649190.277782</v>
      </c>
      <c r="ET16">
        <v>8.6999999999999993</v>
      </c>
      <c r="EU16">
        <v>0</v>
      </c>
      <c r="EV16">
        <v>0</v>
      </c>
      <c r="EW16">
        <v>0</v>
      </c>
      <c r="EX16">
        <v>0</v>
      </c>
      <c r="EY16">
        <v>0</v>
      </c>
      <c r="EZ16">
        <v>0</v>
      </c>
      <c r="FA16">
        <v>-11000000</v>
      </c>
      <c r="FB16">
        <v>0</v>
      </c>
      <c r="FC16">
        <v>-11000000</v>
      </c>
      <c r="FD16">
        <v>-11000000</v>
      </c>
      <c r="FE16">
        <v>-11000000</v>
      </c>
      <c r="FF16">
        <v>-11000000</v>
      </c>
      <c r="FG16" s="32">
        <f>Bankingbook_SBV[[#This Row],[Mat. Date]]-RPT</f>
        <v>-4160</v>
      </c>
      <c r="FH16" s="32">
        <f>IF(Bankingbook_SBV[[#This Row],[Days]]&lt;=0,0,YEARFRAC(RPT,Bankingbook_SBV[[#This Row],[Mat. Date]],3))</f>
        <v>0</v>
      </c>
      <c r="FI16" s="32">
        <f>IF(Bankingbook_SBV[[#This Row],[Days (year)]]=0,0,INDEX(Ref!$K$2:$K$13,MATCH(Bankingbook_SBV[[#This Row],[Days (year)]],Ref!$I$2:$I$13,1)))</f>
        <v>0</v>
      </c>
      <c r="FJ16" s="32" t="str">
        <f>VLOOKUP(Bankingbook_SBV[[#This Row],[Security Name]],Ref!X:Z,3,0)</f>
        <v>TPCPBL</v>
      </c>
      <c r="FK16" s="32" t="str">
        <f>VLOOKUP(Bankingbook_SBV[[#This Row],[Security Name]],Ref!X:Y,2,0)</f>
        <v>VDB</v>
      </c>
      <c r="FL16" s="72">
        <f>IF((Bankingbook_SBV[[#This Row],[Mat. Date]]-RPT)&lt;=0,0,Bankingbook_SBV[[#This Row],[QUANTITY]])</f>
        <v>0</v>
      </c>
      <c r="FM16" s="32">
        <f>IF(Bankingbook_SBV[[#This Row],[Quantity_edited]]=0,0,Bankingbook_SBV[[#This Row],[DURATION]])</f>
        <v>0</v>
      </c>
      <c r="FN16" s="32">
        <f>IF(Bankingbook_SBV[[#This Row],[Quantity_edited]]=0,0,Bankingbook_SBV[[#This Row],[Mod Dur]])</f>
        <v>0</v>
      </c>
      <c r="FO16" s="32">
        <f>IF(Bankingbook_SBV[[#This Row],[Quantity_edited]]=0,0,Bankingbook_SBV[[#This Row],[Cnvx.]])</f>
        <v>0</v>
      </c>
      <c r="FP16" s="32">
        <f>(Bankingbook_SBV[[#This Row],[MARKET_VALUE]]+Bankingbook_SBV[[#This Row],[Accr Int]]*Bankingbook_SBV[[#This Row],[Quantity_edited]])*(-Bankingbook_SBV[[#This Row],[Modified Duration]]*0.0001+0.5*Bankingbook_SBV[[#This Row],[Conv]]*(0.0001^2))</f>
        <v>0</v>
      </c>
      <c r="FQ16" s="32">
        <f>(Bankingbook_SBV[[#This Row],[MARKET_VALUE]]+Bankingbook_SBV[[#This Row],[Accr Int]]*Bankingbook_SBV[[#This Row],[Quantity_edited]])*(-Bankingbook_SBV[[#This Row],[Modified Duration]]*0.01+0.5*Bankingbook_SBV[[#This Row],[Conv]]*(0.01^2))</f>
        <v>0</v>
      </c>
      <c r="FT16" t="s">
        <v>166</v>
      </c>
      <c r="FU16" t="s">
        <v>790</v>
      </c>
      <c r="FV16" t="s">
        <v>4049</v>
      </c>
      <c r="FW16">
        <v>3323801</v>
      </c>
      <c r="FX16" s="502">
        <v>46234</v>
      </c>
      <c r="FY16" t="s">
        <v>2176</v>
      </c>
      <c r="FZ16" t="s">
        <v>812</v>
      </c>
      <c r="GA16" t="s">
        <v>3585</v>
      </c>
      <c r="GB16" t="s">
        <v>810</v>
      </c>
      <c r="GC16" t="s">
        <v>2852</v>
      </c>
      <c r="GD16" s="500">
        <v>-82334000000</v>
      </c>
      <c r="GE16">
        <v>6.9998079999999998</v>
      </c>
      <c r="GF16" s="502">
        <v>46238</v>
      </c>
      <c r="GG16" s="502">
        <v>46269</v>
      </c>
      <c r="GH16">
        <v>4.4000000000000004</v>
      </c>
      <c r="GI16" t="s">
        <v>811</v>
      </c>
      <c r="GJ16" t="s">
        <v>3321</v>
      </c>
      <c r="GK16" t="s">
        <v>3321</v>
      </c>
      <c r="GL16">
        <v>166154586.11000001</v>
      </c>
      <c r="GM16">
        <v>-138952723.28999999</v>
      </c>
      <c r="GN16">
        <v>88444000000</v>
      </c>
      <c r="GO16">
        <v>6.91</v>
      </c>
      <c r="GP16">
        <v>0.04</v>
      </c>
      <c r="GQ16">
        <v>3.7999999999999999E-2</v>
      </c>
      <c r="GR16">
        <v>6.0565579999999999</v>
      </c>
      <c r="GS16">
        <v>-82414367720.649994</v>
      </c>
      <c r="GT16">
        <v>-80367720.650000006</v>
      </c>
      <c r="GU16" t="s">
        <v>4151</v>
      </c>
      <c r="GV16" t="s">
        <v>4151</v>
      </c>
      <c r="GW16" s="416">
        <f>FNRP_Repo[[#This Row],[Mat. Date]]-RPT</f>
        <v>17</v>
      </c>
      <c r="GX16" s="819" t="str">
        <f>IF(FNRP_Repo[[#This Row],[Days]]&lt;=0,"Mat",INDEX(Ref!U:U,MATCH(FNRP_Repo[[#This Row],[Days]],Ref!S:S,1)))</f>
        <v>3W</v>
      </c>
      <c r="GY16" s="417">
        <f>RIGHT(FNRP_Repo[[#This Row],[Deal Id]],5)+0</f>
        <v>18091</v>
      </c>
    </row>
    <row r="17" spans="2:207" x14ac:dyDescent="0.3">
      <c r="B17" t="s">
        <v>166</v>
      </c>
      <c r="C17" t="s">
        <v>167</v>
      </c>
      <c r="D17" t="s">
        <v>187</v>
      </c>
      <c r="E17" t="s">
        <v>169</v>
      </c>
      <c r="F17" s="502">
        <v>41702</v>
      </c>
      <c r="G17" t="s">
        <v>3322</v>
      </c>
      <c r="H17"/>
      <c r="I17"/>
      <c r="J17" s="38">
        <v>0</v>
      </c>
      <c r="K17">
        <v>0</v>
      </c>
      <c r="L17">
        <v>0</v>
      </c>
      <c r="M17" s="38">
        <v>0</v>
      </c>
      <c r="N17">
        <v>0</v>
      </c>
      <c r="O17">
        <v>0</v>
      </c>
      <c r="P17" s="37">
        <v>0</v>
      </c>
      <c r="Q17" s="37">
        <v>0</v>
      </c>
      <c r="R17" s="37">
        <v>-72953373.611111164</v>
      </c>
      <c r="S17">
        <v>0</v>
      </c>
      <c r="T17" s="70">
        <v>0</v>
      </c>
      <c r="U17">
        <v>0</v>
      </c>
      <c r="V17">
        <v>0</v>
      </c>
      <c r="W17">
        <v>0</v>
      </c>
      <c r="X17" s="38">
        <v>0</v>
      </c>
      <c r="Y17">
        <v>0</v>
      </c>
      <c r="Z17" s="70">
        <v>129000000</v>
      </c>
      <c r="AA17" s="70">
        <v>0</v>
      </c>
      <c r="AB17" s="70">
        <v>129000000</v>
      </c>
      <c r="AC17" s="70">
        <v>129000000</v>
      </c>
      <c r="AD17" s="70">
        <v>129000000</v>
      </c>
      <c r="AE17" s="70">
        <v>129000000</v>
      </c>
      <c r="AF17">
        <v>0</v>
      </c>
      <c r="AG17" s="72">
        <f>Tradingbook_MSB[[#This Row],[Mat. Date]]-RPT</f>
        <v>-4550</v>
      </c>
      <c r="AH17" s="71">
        <f>IF(Tradingbook_MSB[[#This Row],[Days]]&lt;=0,0,YEARFRAC(RPT,Tradingbook_MSB[[#This Row],[Mat. Date]],3))</f>
        <v>0</v>
      </c>
      <c r="AI17" s="71">
        <f>IF(Tradingbook_MSB[[#This Row],[Days (year)]]=0,0,INDEX(Ref!$K$2:$K$13,MATCH(Tradingbook_MSB[[#This Row],[Days (year)]],Ref!$I$2:$I$13,1)))</f>
        <v>0</v>
      </c>
      <c r="AJ17" s="120" t="str">
        <f>VLOOKUP(Tradingbook_MSB[[#This Row],[Security Name]],Ref!X:Z,3,0)</f>
        <v>TPCP</v>
      </c>
      <c r="AK17" s="120" t="str">
        <f>VLOOKUP(Tradingbook_MSB[[#This Row],[Security Name]],Ref!X:Y,2,0)</f>
        <v>KBNN</v>
      </c>
      <c r="AL17" s="71">
        <f>IF((Tradingbook_MSB[[#This Row],[Mat. Date]]-RPT)&lt;=0,0,Tradingbook_MSB[[#This Row],[QUANTITY]])</f>
        <v>0</v>
      </c>
      <c r="AM17" s="71">
        <f>IF(Tradingbook_MSB[[#This Row],[Quantity_edited]]=0,0,Tradingbook_MSB[[#This Row],[DURATION]])</f>
        <v>0</v>
      </c>
      <c r="AN17" s="71">
        <f>IF(Tradingbook_MSB[[#This Row],[Quantity_edited]]=0,0,Tradingbook_MSB[[#This Row],[Mod Dur]])</f>
        <v>0</v>
      </c>
      <c r="AO17" s="71">
        <f>IF(Tradingbook_MSB[[#This Row],[Quantity_edited]]=0,0,Tradingbook_MSB[[#This Row],[Cnvx.]])</f>
        <v>0</v>
      </c>
      <c r="AP17" s="71">
        <f>(Tradingbook_MSB[[#This Row],[MARKET_VALUE]]+Tradingbook_MSB[[#This Row],[Accr Int]]*Tradingbook_MSB[[#This Row],[Quantity_edited]])*(-Tradingbook_MSB[[#This Row],[Modified Duration]]*0.0001+0.5*Tradingbook_MSB[[#This Row],[Conv]]*(0.0001^2))</f>
        <v>0</v>
      </c>
      <c r="AQ17" s="72">
        <f>(Tradingbook_MSB[[#This Row],[MARKET_VALUE]]+Tradingbook_MSB[[#This Row],[Accr Int]]*Tradingbook_MSB[[#This Row],[Quantity_edited]])*(-Tradingbook_MSB[[#This Row],[Modified Duration]]*0.01+0.5*Tradingbook_MSB[[#This Row],[Conv]]*(0.01^2))</f>
        <v>0</v>
      </c>
      <c r="AR17" s="71"/>
      <c r="AT17" t="s">
        <v>166</v>
      </c>
      <c r="AU17" t="s">
        <v>167</v>
      </c>
      <c r="AV17" t="s">
        <v>220</v>
      </c>
      <c r="AW17" t="s">
        <v>169</v>
      </c>
      <c r="AX17" t="s">
        <v>3336</v>
      </c>
      <c r="AY17" t="s">
        <v>3322</v>
      </c>
      <c r="BB17" s="49">
        <v>0</v>
      </c>
      <c r="BC17">
        <v>0</v>
      </c>
      <c r="BD17">
        <v>0</v>
      </c>
      <c r="BE17" s="37">
        <v>0</v>
      </c>
      <c r="BF17">
        <v>8.8000000000000007</v>
      </c>
      <c r="BG17">
        <v>0</v>
      </c>
      <c r="BH17" s="34">
        <v>0</v>
      </c>
      <c r="BI17">
        <v>0</v>
      </c>
      <c r="BJ17">
        <v>-4582267984.7222328</v>
      </c>
      <c r="BK17">
        <v>8.8000000000000007</v>
      </c>
      <c r="BL17">
        <v>0</v>
      </c>
      <c r="BM17">
        <v>0</v>
      </c>
      <c r="BN17">
        <v>0</v>
      </c>
      <c r="BO17">
        <v>0</v>
      </c>
      <c r="BP17">
        <v>0</v>
      </c>
      <c r="BQ17">
        <v>0</v>
      </c>
      <c r="BR17">
        <v>4700000000</v>
      </c>
      <c r="BS17">
        <v>0</v>
      </c>
      <c r="BT17">
        <v>4700000000</v>
      </c>
      <c r="BU17">
        <v>4700000000</v>
      </c>
      <c r="BV17">
        <v>4700000000</v>
      </c>
      <c r="BW17">
        <v>4700000000</v>
      </c>
      <c r="BX17">
        <v>0</v>
      </c>
      <c r="BY17" s="32">
        <f>Bankingbook_MSB[[#This Row],[Mat. Date]]-RPT</f>
        <v>-4142</v>
      </c>
      <c r="BZ17" s="71">
        <f>IF(Bankingbook_MSB[[#This Row],[Days]]&lt;=0,0,YEARFRAC(RPT,Bankingbook_MSB[[#This Row],[Mat. Date]],3))</f>
        <v>0</v>
      </c>
      <c r="CA17" s="71">
        <f>IF(Bankingbook_MSB[[#This Row],[Days (year)]]=0,0,INDEX(Ref!$K$2:$K$13,MATCH(Bankingbook_MSB[[#This Row],[Days (year)]],Ref!$I$2:$I$13,1)))</f>
        <v>0</v>
      </c>
      <c r="CB17" s="32" t="str">
        <f>VLOOKUP(Bankingbook_MSB[[#This Row],[Security Name]],Ref!X:Z,3,0)</f>
        <v>TPCPBL</v>
      </c>
      <c r="CC17" s="32" t="str">
        <f>VLOOKUP(Bankingbook_MSB[[#This Row],[Security Name]],Ref!X:Y,2,0)</f>
        <v>VDB</v>
      </c>
      <c r="CD17" s="72">
        <f>IF((Bankingbook_MSB[[#This Row],[Mat. Date]]-RPT)&lt;=0,0,Bankingbook_MSB[[#This Row],[QUANTITY]])</f>
        <v>0</v>
      </c>
      <c r="CE17" s="71">
        <f>IF(Bankingbook_MSB[[#This Row],[Quantity_edited]]=0,0,Bankingbook_MSB[[#This Row],[DURATION]])</f>
        <v>0</v>
      </c>
      <c r="CF17" s="71">
        <f>IF(Bankingbook_MSB[[#This Row],[Quantity_edited]]=0,0,Bankingbook_MSB[[#This Row],[Mod Dur]])</f>
        <v>0</v>
      </c>
      <c r="CG17" s="71">
        <f>IF(Bankingbook_MSB[[#This Row],[Quantity_edited]]=0,0,Bankingbook_MSB[[#This Row],[Cnvx.]])</f>
        <v>0</v>
      </c>
      <c r="CH17" s="71">
        <f>(Bankingbook_MSB[[#This Row],[MARKET_VALUE]]+Bankingbook_MSB[[#This Row],[Accr Int]]*Bankingbook_MSB[[#This Row],[Quantity_edited]])*(-Bankingbook_MSB[[#This Row],[Modified Duration]]*0.0001+0.5*Bankingbook_MSB[[#This Row],[Conv]]*(0.0001^2))</f>
        <v>0</v>
      </c>
      <c r="CI17" s="71">
        <f>(Bankingbook_MSB[[#This Row],[MARKET_VALUE]]+Bankingbook_MSB[[#This Row],[Accr Int]]*Bankingbook_MSB[[#This Row],[Quantity_edited]])*(-Bankingbook_MSB[[#This Row],[Modified Duration]]*0.01+0.5*Bankingbook_MSB[[#This Row],[Conv]]*(0.01^2))</f>
        <v>0</v>
      </c>
      <c r="CJ17" s="32"/>
      <c r="CL17" t="s">
        <v>166</v>
      </c>
      <c r="CM17" t="s">
        <v>167</v>
      </c>
      <c r="CN17" t="s">
        <v>187</v>
      </c>
      <c r="CO17" t="s">
        <v>169</v>
      </c>
      <c r="CP17" s="35">
        <v>41702</v>
      </c>
      <c r="CQ17" t="s">
        <v>3322</v>
      </c>
      <c r="CR17" t="s">
        <v>174</v>
      </c>
      <c r="CS17" t="s">
        <v>174</v>
      </c>
      <c r="CT17" s="49">
        <v>0</v>
      </c>
      <c r="CU17">
        <v>0</v>
      </c>
      <c r="CV17">
        <v>0</v>
      </c>
      <c r="CW17" s="70">
        <v>0</v>
      </c>
      <c r="CX17">
        <v>0</v>
      </c>
      <c r="CY17">
        <v>0</v>
      </c>
      <c r="CZ17">
        <v>0</v>
      </c>
      <c r="DA17">
        <v>0</v>
      </c>
      <c r="DB17">
        <v>-72953373.611111164</v>
      </c>
      <c r="DC17">
        <v>0</v>
      </c>
      <c r="DD17">
        <v>0</v>
      </c>
      <c r="DE17">
        <v>0</v>
      </c>
      <c r="DF17">
        <v>0</v>
      </c>
      <c r="DG17">
        <v>0</v>
      </c>
      <c r="DH17">
        <v>0</v>
      </c>
      <c r="DI17">
        <v>0</v>
      </c>
      <c r="DJ17" s="500">
        <v>129000000</v>
      </c>
      <c r="DK17" s="500">
        <v>0</v>
      </c>
      <c r="DL17" s="37">
        <v>129000000</v>
      </c>
      <c r="DM17" s="37">
        <v>129000000</v>
      </c>
      <c r="DN17" s="37">
        <v>129000000</v>
      </c>
      <c r="DO17" s="37">
        <v>129000000</v>
      </c>
      <c r="DP17" s="32">
        <f>Tradingbook_SBV[[#This Row],[Mat. Date]]-RPT</f>
        <v>-4550</v>
      </c>
      <c r="DQ17" s="32">
        <f>IF(Tradingbook_SBV[[#This Row],[Days]]&lt;=0,0,YEARFRAC(RPT,Tradingbook_SBV[[#This Row],[Mat. Date]],3))</f>
        <v>0</v>
      </c>
      <c r="DR17" s="32">
        <f>IF(Tradingbook_SBV[[#This Row],[Days (year)]]=0,0,INDEX(Ref!$K$2:$K$13,MATCH(Tradingbook_SBV[[#This Row],[Days (year)]],Ref!$I$2:$I$13,1)))</f>
        <v>0</v>
      </c>
      <c r="DS17" s="32" t="str">
        <f>VLOOKUP(Tradingbook_SBV[[#This Row],[Security Name]],Ref!X:Z,3,0)</f>
        <v>TPCP</v>
      </c>
      <c r="DT17" s="32" t="str">
        <f>VLOOKUP(Tradingbook_SBV[[#This Row],[Security Name]],Ref!X:Y,2,0)</f>
        <v>KBNN</v>
      </c>
      <c r="DU17" s="71">
        <f>IF((Tradingbook_SBV[[#This Row],[Mat. Date]]-RPT)&lt;=0,0,Tradingbook_SBV[[#This Row],[QUANTITY]])</f>
        <v>0</v>
      </c>
      <c r="DV17" s="71">
        <f>IF(Tradingbook_SBV[[#This Row],[Quantity_edited]]=0,0,Tradingbook_SBV[[#This Row],[DURATION]])</f>
        <v>0</v>
      </c>
      <c r="DW17" s="71">
        <f>IF(Tradingbook_SBV[[#This Row],[Quantity_edited]]=0,0,Tradingbook_SBV[[#This Row],[Mod Dur]])</f>
        <v>0</v>
      </c>
      <c r="DX17" s="71">
        <f>IF(Tradingbook_SBV[[#This Row],[Quantity_edited]]=0,0,Tradingbook_SBV[[#This Row],[Cnvx.]])</f>
        <v>0</v>
      </c>
      <c r="DY17" s="71">
        <f>(Tradingbook_SBV[[#This Row],[MARKET_VALUE]]+Tradingbook_SBV[[#This Row],[Accr Int]]*Tradingbook_SBV[[#This Row],[Quantity_edited]])*(-Tradingbook_SBV[[#This Row],[Modified Duration]]*0.0001+0.5*Tradingbook_SBV[[#This Row],[Conv]]*(0.0001^2))</f>
        <v>0</v>
      </c>
      <c r="DZ17" s="71">
        <f>(Tradingbook_SBV[[#This Row],[MARKET_VALUE]]+Tradingbook_SBV[[#This Row],[Accr Int]]*Tradingbook_SBV[[#This Row],[Quantity_edited]])*(-Tradingbook_SBV[[#This Row],[Modified Duration]]*0.01+0.5*Tradingbook_SBV[[#This Row],[Conv]]*(0.01^2))</f>
        <v>0</v>
      </c>
      <c r="EC17" t="s">
        <v>166</v>
      </c>
      <c r="ED17" t="s">
        <v>167</v>
      </c>
      <c r="EE17" t="s">
        <v>220</v>
      </c>
      <c r="EF17" t="s">
        <v>169</v>
      </c>
      <c r="EG17" s="35" t="s">
        <v>3336</v>
      </c>
      <c r="EH17" t="s">
        <v>3322</v>
      </c>
      <c r="EK17" s="500">
        <v>0</v>
      </c>
      <c r="EL17" s="500">
        <v>0</v>
      </c>
      <c r="EM17" s="500">
        <v>0</v>
      </c>
      <c r="EN17" s="500">
        <v>0</v>
      </c>
      <c r="EO17">
        <v>8.8000000000000007</v>
      </c>
      <c r="EP17">
        <v>0</v>
      </c>
      <c r="EQ17">
        <v>0</v>
      </c>
      <c r="ER17">
        <v>0</v>
      </c>
      <c r="ES17">
        <v>-4582267984.7222328</v>
      </c>
      <c r="ET17">
        <v>8.8000000000000007</v>
      </c>
      <c r="EU17">
        <v>0</v>
      </c>
      <c r="EV17">
        <v>0</v>
      </c>
      <c r="EW17">
        <v>0</v>
      </c>
      <c r="EX17">
        <v>0</v>
      </c>
      <c r="EY17">
        <v>0</v>
      </c>
      <c r="EZ17">
        <v>0</v>
      </c>
      <c r="FA17">
        <v>4700000000</v>
      </c>
      <c r="FB17">
        <v>0</v>
      </c>
      <c r="FC17">
        <v>4700000000</v>
      </c>
      <c r="FD17">
        <v>4700000000</v>
      </c>
      <c r="FE17">
        <v>4700000000</v>
      </c>
      <c r="FF17">
        <v>4700000000</v>
      </c>
      <c r="FG17" s="32">
        <f>Bankingbook_SBV[[#This Row],[Mat. Date]]-RPT</f>
        <v>-4142</v>
      </c>
      <c r="FH17" s="32">
        <f>IF(Bankingbook_SBV[[#This Row],[Days]]&lt;=0,0,YEARFRAC(RPT,Bankingbook_SBV[[#This Row],[Mat. Date]],3))</f>
        <v>0</v>
      </c>
      <c r="FI17" s="32">
        <f>IF(Bankingbook_SBV[[#This Row],[Days (year)]]=0,0,INDEX(Ref!$K$2:$K$13,MATCH(Bankingbook_SBV[[#This Row],[Days (year)]],Ref!$I$2:$I$13,1)))</f>
        <v>0</v>
      </c>
      <c r="FJ17" s="32" t="str">
        <f>VLOOKUP(Bankingbook_SBV[[#This Row],[Security Name]],Ref!X:Z,3,0)</f>
        <v>TPCPBL</v>
      </c>
      <c r="FK17" s="32" t="str">
        <f>VLOOKUP(Bankingbook_SBV[[#This Row],[Security Name]],Ref!X:Y,2,0)</f>
        <v>VDB</v>
      </c>
      <c r="FL17" s="72">
        <f>IF((Bankingbook_SBV[[#This Row],[Mat. Date]]-RPT)&lt;=0,0,Bankingbook_SBV[[#This Row],[QUANTITY]])</f>
        <v>0</v>
      </c>
      <c r="FM17" s="32">
        <f>IF(Bankingbook_SBV[[#This Row],[Quantity_edited]]=0,0,Bankingbook_SBV[[#This Row],[DURATION]])</f>
        <v>0</v>
      </c>
      <c r="FN17" s="32">
        <f>IF(Bankingbook_SBV[[#This Row],[Quantity_edited]]=0,0,Bankingbook_SBV[[#This Row],[Mod Dur]])</f>
        <v>0</v>
      </c>
      <c r="FO17" s="32">
        <f>IF(Bankingbook_SBV[[#This Row],[Quantity_edited]]=0,0,Bankingbook_SBV[[#This Row],[Cnvx.]])</f>
        <v>0</v>
      </c>
      <c r="FP17" s="32">
        <f>(Bankingbook_SBV[[#This Row],[MARKET_VALUE]]+Bankingbook_SBV[[#This Row],[Accr Int]]*Bankingbook_SBV[[#This Row],[Quantity_edited]])*(-Bankingbook_SBV[[#This Row],[Modified Duration]]*0.0001+0.5*Bankingbook_SBV[[#This Row],[Conv]]*(0.0001^2))</f>
        <v>0</v>
      </c>
      <c r="FQ17" s="32">
        <f>(Bankingbook_SBV[[#This Row],[MARKET_VALUE]]+Bankingbook_SBV[[#This Row],[Accr Int]]*Bankingbook_SBV[[#This Row],[Quantity_edited]])*(-Bankingbook_SBV[[#This Row],[Modified Duration]]*0.01+0.5*Bankingbook_SBV[[#This Row],[Conv]]*(0.01^2))</f>
        <v>0</v>
      </c>
      <c r="FT17" t="s">
        <v>166</v>
      </c>
      <c r="FU17" t="s">
        <v>790</v>
      </c>
      <c r="FV17" t="s">
        <v>4050</v>
      </c>
      <c r="FW17">
        <v>3323802</v>
      </c>
      <c r="FX17" s="502">
        <v>46234</v>
      </c>
      <c r="FY17" t="s">
        <v>2176</v>
      </c>
      <c r="FZ17" t="s">
        <v>812</v>
      </c>
      <c r="GA17" t="s">
        <v>3585</v>
      </c>
      <c r="GB17" t="s">
        <v>810</v>
      </c>
      <c r="GC17" t="s">
        <v>3051</v>
      </c>
      <c r="GD17" s="500">
        <v>-125652000000</v>
      </c>
      <c r="GE17">
        <v>7.9998240000000003</v>
      </c>
      <c r="GF17" s="502">
        <v>46238</v>
      </c>
      <c r="GG17" s="502">
        <v>46269</v>
      </c>
      <c r="GH17">
        <v>4.4000000000000004</v>
      </c>
      <c r="GI17" t="s">
        <v>811</v>
      </c>
      <c r="GJ17" t="s">
        <v>3321</v>
      </c>
      <c r="GK17" t="s">
        <v>3321</v>
      </c>
      <c r="GL17">
        <v>253572716.66999999</v>
      </c>
      <c r="GM17">
        <v>-212059265.75</v>
      </c>
      <c r="GN17">
        <v>136507500000</v>
      </c>
      <c r="GO17">
        <v>7.95</v>
      </c>
      <c r="GP17">
        <v>0.04</v>
      </c>
      <c r="GQ17">
        <v>3.7999999999999999E-2</v>
      </c>
      <c r="GR17">
        <v>6.0565579999999999</v>
      </c>
      <c r="GS17">
        <v>-125774651211.82001</v>
      </c>
      <c r="GT17">
        <v>-122651211.81999999</v>
      </c>
      <c r="GU17" t="s">
        <v>4155</v>
      </c>
      <c r="GV17" t="s">
        <v>4155</v>
      </c>
      <c r="GW17" s="416">
        <f>FNRP_Repo[[#This Row],[Mat. Date]]-RPT</f>
        <v>17</v>
      </c>
      <c r="GX17" s="819" t="str">
        <f>IF(FNRP_Repo[[#This Row],[Days]]&lt;=0,"Mat",INDEX(Ref!U:U,MATCH(FNRP_Repo[[#This Row],[Days]],Ref!S:S,1)))</f>
        <v>3W</v>
      </c>
      <c r="GY17" s="417">
        <f>RIGHT(FNRP_Repo[[#This Row],[Deal Id]],5)+0</f>
        <v>18092</v>
      </c>
    </row>
    <row r="18" spans="2:207" x14ac:dyDescent="0.3">
      <c r="B18" t="s">
        <v>166</v>
      </c>
      <c r="C18" t="s">
        <v>167</v>
      </c>
      <c r="D18" t="s">
        <v>188</v>
      </c>
      <c r="E18" t="s">
        <v>169</v>
      </c>
      <c r="F18" s="502">
        <v>41744</v>
      </c>
      <c r="G18" t="s">
        <v>3322</v>
      </c>
      <c r="H18"/>
      <c r="I18"/>
      <c r="J18" s="38">
        <v>0</v>
      </c>
      <c r="K18">
        <v>0</v>
      </c>
      <c r="L18">
        <v>0</v>
      </c>
      <c r="M18" s="38">
        <v>0</v>
      </c>
      <c r="N18">
        <v>11</v>
      </c>
      <c r="O18">
        <v>0</v>
      </c>
      <c r="P18" s="37">
        <v>33000000000</v>
      </c>
      <c r="Q18" s="37">
        <v>33995018749.999992</v>
      </c>
      <c r="R18" s="37">
        <v>-1396843569.4444468</v>
      </c>
      <c r="S18">
        <v>11</v>
      </c>
      <c r="T18" s="70">
        <v>0</v>
      </c>
      <c r="U18">
        <v>0</v>
      </c>
      <c r="V18">
        <v>0</v>
      </c>
      <c r="W18">
        <v>0</v>
      </c>
      <c r="X18" s="38">
        <v>0</v>
      </c>
      <c r="Y18">
        <v>0</v>
      </c>
      <c r="Z18" s="70">
        <v>1316500000</v>
      </c>
      <c r="AA18" s="70">
        <v>0</v>
      </c>
      <c r="AB18" s="70">
        <v>1316500000</v>
      </c>
      <c r="AC18" s="70">
        <v>1316500000</v>
      </c>
      <c r="AD18" s="70">
        <v>1316500000</v>
      </c>
      <c r="AE18" s="70">
        <v>1316500000</v>
      </c>
      <c r="AF18">
        <v>0</v>
      </c>
      <c r="AG18" s="72">
        <f>Tradingbook_MSB[[#This Row],[Mat. Date]]-RPT</f>
        <v>-4508</v>
      </c>
      <c r="AH18" s="71">
        <f>IF(Tradingbook_MSB[[#This Row],[Days]]&lt;=0,0,YEARFRAC(RPT,Tradingbook_MSB[[#This Row],[Mat. Date]],3))</f>
        <v>0</v>
      </c>
      <c r="AI18" s="71">
        <f>IF(Tradingbook_MSB[[#This Row],[Days (year)]]=0,0,INDEX(Ref!$K$2:$K$13,MATCH(Tradingbook_MSB[[#This Row],[Days (year)]],Ref!$I$2:$I$13,1)))</f>
        <v>0</v>
      </c>
      <c r="AJ18" s="120" t="str">
        <f>VLOOKUP(Tradingbook_MSB[[#This Row],[Security Name]],Ref!X:Z,3,0)</f>
        <v>TPCP</v>
      </c>
      <c r="AK18" s="120" t="str">
        <f>VLOOKUP(Tradingbook_MSB[[#This Row],[Security Name]],Ref!X:Y,2,0)</f>
        <v>KBNN</v>
      </c>
      <c r="AL18" s="71">
        <f>IF((Tradingbook_MSB[[#This Row],[Mat. Date]]-RPT)&lt;=0,0,Tradingbook_MSB[[#This Row],[QUANTITY]])</f>
        <v>0</v>
      </c>
      <c r="AM18" s="71">
        <f>IF(Tradingbook_MSB[[#This Row],[Quantity_edited]]=0,0,Tradingbook_MSB[[#This Row],[DURATION]])</f>
        <v>0</v>
      </c>
      <c r="AN18" s="71">
        <f>IF(Tradingbook_MSB[[#This Row],[Quantity_edited]]=0,0,Tradingbook_MSB[[#This Row],[Mod Dur]])</f>
        <v>0</v>
      </c>
      <c r="AO18" s="71">
        <f>IF(Tradingbook_MSB[[#This Row],[Quantity_edited]]=0,0,Tradingbook_MSB[[#This Row],[Cnvx.]])</f>
        <v>0</v>
      </c>
      <c r="AP18" s="71">
        <f>(Tradingbook_MSB[[#This Row],[MARKET_VALUE]]+Tradingbook_MSB[[#This Row],[Accr Int]]*Tradingbook_MSB[[#This Row],[Quantity_edited]])*(-Tradingbook_MSB[[#This Row],[Modified Duration]]*0.0001+0.5*Tradingbook_MSB[[#This Row],[Conv]]*(0.0001^2))</f>
        <v>0</v>
      </c>
      <c r="AQ18" s="72">
        <f>(Tradingbook_MSB[[#This Row],[MARKET_VALUE]]+Tradingbook_MSB[[#This Row],[Accr Int]]*Tradingbook_MSB[[#This Row],[Quantity_edited]])*(-Tradingbook_MSB[[#This Row],[Modified Duration]]*0.01+0.5*Tradingbook_MSB[[#This Row],[Conv]]*(0.01^2))</f>
        <v>0</v>
      </c>
      <c r="AR18" s="71"/>
      <c r="AT18" t="s">
        <v>166</v>
      </c>
      <c r="AU18" t="s">
        <v>167</v>
      </c>
      <c r="AV18" t="s">
        <v>221</v>
      </c>
      <c r="AW18" t="s">
        <v>169</v>
      </c>
      <c r="AX18" t="s">
        <v>3337</v>
      </c>
      <c r="AY18" t="s">
        <v>3322</v>
      </c>
      <c r="BB18" s="49">
        <v>0</v>
      </c>
      <c r="BC18">
        <v>0</v>
      </c>
      <c r="BD18">
        <v>0</v>
      </c>
      <c r="BE18" s="37">
        <v>0</v>
      </c>
      <c r="BF18">
        <v>8.8000000000000007</v>
      </c>
      <c r="BG18">
        <v>0</v>
      </c>
      <c r="BH18" s="34">
        <v>0</v>
      </c>
      <c r="BI18">
        <v>0</v>
      </c>
      <c r="BJ18">
        <v>-4537781790.2777843</v>
      </c>
      <c r="BK18">
        <v>8.8000000000000007</v>
      </c>
      <c r="BL18">
        <v>0</v>
      </c>
      <c r="BM18">
        <v>0</v>
      </c>
      <c r="BN18">
        <v>0</v>
      </c>
      <c r="BO18">
        <v>0</v>
      </c>
      <c r="BP18">
        <v>0</v>
      </c>
      <c r="BQ18">
        <v>0</v>
      </c>
      <c r="BR18">
        <v>4692000000</v>
      </c>
      <c r="BS18">
        <v>0</v>
      </c>
      <c r="BT18">
        <v>4692000000</v>
      </c>
      <c r="BU18">
        <v>4692000000</v>
      </c>
      <c r="BV18">
        <v>4692000000</v>
      </c>
      <c r="BW18">
        <v>4692000000</v>
      </c>
      <c r="BX18">
        <v>0</v>
      </c>
      <c r="BY18" s="32">
        <f>Bankingbook_MSB[[#This Row],[Mat. Date]]-RPT</f>
        <v>-4134</v>
      </c>
      <c r="BZ18" s="71">
        <f>IF(Bankingbook_MSB[[#This Row],[Days]]&lt;=0,0,YEARFRAC(RPT,Bankingbook_MSB[[#This Row],[Mat. Date]],3))</f>
        <v>0</v>
      </c>
      <c r="CA18" s="71">
        <f>IF(Bankingbook_MSB[[#This Row],[Days (year)]]=0,0,INDEX(Ref!$K$2:$K$13,MATCH(Bankingbook_MSB[[#This Row],[Days (year)]],Ref!$I$2:$I$13,1)))</f>
        <v>0</v>
      </c>
      <c r="CB18" s="32" t="str">
        <f>VLOOKUP(Bankingbook_MSB[[#This Row],[Security Name]],Ref!X:Z,3,0)</f>
        <v>TPCPBL</v>
      </c>
      <c r="CC18" s="32" t="str">
        <f>VLOOKUP(Bankingbook_MSB[[#This Row],[Security Name]],Ref!X:Y,2,0)</f>
        <v>VDB</v>
      </c>
      <c r="CD18" s="72">
        <f>IF((Bankingbook_MSB[[#This Row],[Mat. Date]]-RPT)&lt;=0,0,Bankingbook_MSB[[#This Row],[QUANTITY]])</f>
        <v>0</v>
      </c>
      <c r="CE18" s="71">
        <f>IF(Bankingbook_MSB[[#This Row],[Quantity_edited]]=0,0,Bankingbook_MSB[[#This Row],[DURATION]])</f>
        <v>0</v>
      </c>
      <c r="CF18" s="71">
        <f>IF(Bankingbook_MSB[[#This Row],[Quantity_edited]]=0,0,Bankingbook_MSB[[#This Row],[Mod Dur]])</f>
        <v>0</v>
      </c>
      <c r="CG18" s="71">
        <f>IF(Bankingbook_MSB[[#This Row],[Quantity_edited]]=0,0,Bankingbook_MSB[[#This Row],[Cnvx.]])</f>
        <v>0</v>
      </c>
      <c r="CH18" s="71">
        <f>(Bankingbook_MSB[[#This Row],[MARKET_VALUE]]+Bankingbook_MSB[[#This Row],[Accr Int]]*Bankingbook_MSB[[#This Row],[Quantity_edited]])*(-Bankingbook_MSB[[#This Row],[Modified Duration]]*0.0001+0.5*Bankingbook_MSB[[#This Row],[Conv]]*(0.0001^2))</f>
        <v>0</v>
      </c>
      <c r="CI18" s="71">
        <f>(Bankingbook_MSB[[#This Row],[MARKET_VALUE]]+Bankingbook_MSB[[#This Row],[Accr Int]]*Bankingbook_MSB[[#This Row],[Quantity_edited]])*(-Bankingbook_MSB[[#This Row],[Modified Duration]]*0.01+0.5*Bankingbook_MSB[[#This Row],[Conv]]*(0.01^2))</f>
        <v>0</v>
      </c>
      <c r="CJ18" s="32"/>
      <c r="CL18" t="s">
        <v>166</v>
      </c>
      <c r="CM18" t="s">
        <v>167</v>
      </c>
      <c r="CN18" t="s">
        <v>188</v>
      </c>
      <c r="CO18" t="s">
        <v>169</v>
      </c>
      <c r="CP18" s="35">
        <v>41744</v>
      </c>
      <c r="CQ18" t="s">
        <v>3322</v>
      </c>
      <c r="CR18" t="s">
        <v>174</v>
      </c>
      <c r="CS18" t="s">
        <v>174</v>
      </c>
      <c r="CT18" s="49">
        <v>0</v>
      </c>
      <c r="CU18">
        <v>0</v>
      </c>
      <c r="CV18">
        <v>0</v>
      </c>
      <c r="CW18" s="70">
        <v>0</v>
      </c>
      <c r="CX18">
        <v>11</v>
      </c>
      <c r="CY18">
        <v>0</v>
      </c>
      <c r="CZ18">
        <v>33000000000</v>
      </c>
      <c r="DA18">
        <v>33995018749.999992</v>
      </c>
      <c r="DB18">
        <v>-1396843569.4444468</v>
      </c>
      <c r="DC18">
        <v>11</v>
      </c>
      <c r="DD18">
        <v>0</v>
      </c>
      <c r="DE18">
        <v>0</v>
      </c>
      <c r="DF18">
        <v>0</v>
      </c>
      <c r="DG18">
        <v>0</v>
      </c>
      <c r="DH18">
        <v>0</v>
      </c>
      <c r="DI18">
        <v>0</v>
      </c>
      <c r="DJ18" s="500">
        <v>1316500000</v>
      </c>
      <c r="DK18" s="500">
        <v>0</v>
      </c>
      <c r="DL18" s="37">
        <v>1316500000</v>
      </c>
      <c r="DM18" s="37">
        <v>1316500000</v>
      </c>
      <c r="DN18" s="37">
        <v>1316500000</v>
      </c>
      <c r="DO18" s="37">
        <v>1316500000</v>
      </c>
      <c r="DP18" s="32">
        <f>Tradingbook_SBV[[#This Row],[Mat. Date]]-RPT</f>
        <v>-4508</v>
      </c>
      <c r="DQ18" s="32">
        <f>IF(Tradingbook_SBV[[#This Row],[Days]]&lt;=0,0,YEARFRAC(RPT,Tradingbook_SBV[[#This Row],[Mat. Date]],3))</f>
        <v>0</v>
      </c>
      <c r="DR18" s="32">
        <f>IF(Tradingbook_SBV[[#This Row],[Days (year)]]=0,0,INDEX(Ref!$K$2:$K$13,MATCH(Tradingbook_SBV[[#This Row],[Days (year)]],Ref!$I$2:$I$13,1)))</f>
        <v>0</v>
      </c>
      <c r="DS18" s="32" t="str">
        <f>VLOOKUP(Tradingbook_SBV[[#This Row],[Security Name]],Ref!X:Z,3,0)</f>
        <v>TPCP</v>
      </c>
      <c r="DT18" s="32" t="str">
        <f>VLOOKUP(Tradingbook_SBV[[#This Row],[Security Name]],Ref!X:Y,2,0)</f>
        <v>KBNN</v>
      </c>
      <c r="DU18" s="71">
        <f>IF((Tradingbook_SBV[[#This Row],[Mat. Date]]-RPT)&lt;=0,0,Tradingbook_SBV[[#This Row],[QUANTITY]])</f>
        <v>0</v>
      </c>
      <c r="DV18" s="71">
        <f>IF(Tradingbook_SBV[[#This Row],[Quantity_edited]]=0,0,Tradingbook_SBV[[#This Row],[DURATION]])</f>
        <v>0</v>
      </c>
      <c r="DW18" s="71">
        <f>IF(Tradingbook_SBV[[#This Row],[Quantity_edited]]=0,0,Tradingbook_SBV[[#This Row],[Mod Dur]])</f>
        <v>0</v>
      </c>
      <c r="DX18" s="71">
        <f>IF(Tradingbook_SBV[[#This Row],[Quantity_edited]]=0,0,Tradingbook_SBV[[#This Row],[Cnvx.]])</f>
        <v>0</v>
      </c>
      <c r="DY18" s="71">
        <f>(Tradingbook_SBV[[#This Row],[MARKET_VALUE]]+Tradingbook_SBV[[#This Row],[Accr Int]]*Tradingbook_SBV[[#This Row],[Quantity_edited]])*(-Tradingbook_SBV[[#This Row],[Modified Duration]]*0.0001+0.5*Tradingbook_SBV[[#This Row],[Conv]]*(0.0001^2))</f>
        <v>0</v>
      </c>
      <c r="DZ18" s="71">
        <f>(Tradingbook_SBV[[#This Row],[MARKET_VALUE]]+Tradingbook_SBV[[#This Row],[Accr Int]]*Tradingbook_SBV[[#This Row],[Quantity_edited]])*(-Tradingbook_SBV[[#This Row],[Modified Duration]]*0.01+0.5*Tradingbook_SBV[[#This Row],[Conv]]*(0.01^2))</f>
        <v>0</v>
      </c>
      <c r="EC18" t="s">
        <v>166</v>
      </c>
      <c r="ED18" t="s">
        <v>167</v>
      </c>
      <c r="EE18" t="s">
        <v>221</v>
      </c>
      <c r="EF18" t="s">
        <v>169</v>
      </c>
      <c r="EG18" s="35" t="s">
        <v>3337</v>
      </c>
      <c r="EH18" t="s">
        <v>3322</v>
      </c>
      <c r="EK18" s="500">
        <v>0</v>
      </c>
      <c r="EL18" s="500">
        <v>0</v>
      </c>
      <c r="EM18" s="500">
        <v>0</v>
      </c>
      <c r="EN18" s="500">
        <v>0</v>
      </c>
      <c r="EO18">
        <v>8.8000000000000007</v>
      </c>
      <c r="EP18">
        <v>0</v>
      </c>
      <c r="EQ18">
        <v>0</v>
      </c>
      <c r="ER18">
        <v>0</v>
      </c>
      <c r="ES18">
        <v>-4537781790.2777843</v>
      </c>
      <c r="ET18">
        <v>8.8000000000000007</v>
      </c>
      <c r="EU18">
        <v>0</v>
      </c>
      <c r="EV18">
        <v>0</v>
      </c>
      <c r="EW18">
        <v>0</v>
      </c>
      <c r="EX18">
        <v>0</v>
      </c>
      <c r="EY18">
        <v>0</v>
      </c>
      <c r="EZ18">
        <v>0</v>
      </c>
      <c r="FA18">
        <v>4692000000</v>
      </c>
      <c r="FB18">
        <v>0</v>
      </c>
      <c r="FC18">
        <v>4692000000</v>
      </c>
      <c r="FD18">
        <v>4692000000</v>
      </c>
      <c r="FE18">
        <v>4692000000</v>
      </c>
      <c r="FF18">
        <v>4692000000</v>
      </c>
      <c r="FG18" s="32">
        <f>Bankingbook_SBV[[#This Row],[Mat. Date]]-RPT</f>
        <v>-4134</v>
      </c>
      <c r="FH18" s="32">
        <f>IF(Bankingbook_SBV[[#This Row],[Days]]&lt;=0,0,YEARFRAC(RPT,Bankingbook_SBV[[#This Row],[Mat. Date]],3))</f>
        <v>0</v>
      </c>
      <c r="FI18" s="32">
        <f>IF(Bankingbook_SBV[[#This Row],[Days (year)]]=0,0,INDEX(Ref!$K$2:$K$13,MATCH(Bankingbook_SBV[[#This Row],[Days (year)]],Ref!$I$2:$I$13,1)))</f>
        <v>0</v>
      </c>
      <c r="FJ18" s="32" t="str">
        <f>VLOOKUP(Bankingbook_SBV[[#This Row],[Security Name]],Ref!X:Z,3,0)</f>
        <v>TPCPBL</v>
      </c>
      <c r="FK18" s="32" t="str">
        <f>VLOOKUP(Bankingbook_SBV[[#This Row],[Security Name]],Ref!X:Y,2,0)</f>
        <v>VDB</v>
      </c>
      <c r="FL18" s="72">
        <f>IF((Bankingbook_SBV[[#This Row],[Mat. Date]]-RPT)&lt;=0,0,Bankingbook_SBV[[#This Row],[QUANTITY]])</f>
        <v>0</v>
      </c>
      <c r="FM18" s="32">
        <f>IF(Bankingbook_SBV[[#This Row],[Quantity_edited]]=0,0,Bankingbook_SBV[[#This Row],[DURATION]])</f>
        <v>0</v>
      </c>
      <c r="FN18" s="32">
        <f>IF(Bankingbook_SBV[[#This Row],[Quantity_edited]]=0,0,Bankingbook_SBV[[#This Row],[Mod Dur]])</f>
        <v>0</v>
      </c>
      <c r="FO18" s="32">
        <f>IF(Bankingbook_SBV[[#This Row],[Quantity_edited]]=0,0,Bankingbook_SBV[[#This Row],[Cnvx.]])</f>
        <v>0</v>
      </c>
      <c r="FP18" s="32">
        <f>(Bankingbook_SBV[[#This Row],[MARKET_VALUE]]+Bankingbook_SBV[[#This Row],[Accr Int]]*Bankingbook_SBV[[#This Row],[Quantity_edited]])*(-Bankingbook_SBV[[#This Row],[Modified Duration]]*0.0001+0.5*Bankingbook_SBV[[#This Row],[Conv]]*(0.0001^2))</f>
        <v>0</v>
      </c>
      <c r="FQ18" s="32">
        <f>(Bankingbook_SBV[[#This Row],[MARKET_VALUE]]+Bankingbook_SBV[[#This Row],[Accr Int]]*Bankingbook_SBV[[#This Row],[Quantity_edited]])*(-Bankingbook_SBV[[#This Row],[Modified Duration]]*0.01+0.5*Bankingbook_SBV[[#This Row],[Conv]]*(0.01^2))</f>
        <v>0</v>
      </c>
      <c r="FT18" t="s">
        <v>166</v>
      </c>
      <c r="FU18" t="s">
        <v>790</v>
      </c>
      <c r="FV18" t="s">
        <v>3974</v>
      </c>
      <c r="FW18">
        <v>3297774</v>
      </c>
      <c r="FX18" s="502">
        <v>46205</v>
      </c>
      <c r="FY18" t="s">
        <v>2176</v>
      </c>
      <c r="FZ18" t="s">
        <v>812</v>
      </c>
      <c r="GA18" t="s">
        <v>3585</v>
      </c>
      <c r="GB18" t="s">
        <v>810</v>
      </c>
      <c r="GC18" t="s">
        <v>2497</v>
      </c>
      <c r="GD18" s="500">
        <v>-581435268000</v>
      </c>
      <c r="GE18">
        <v>13.000501999999999</v>
      </c>
      <c r="GF18" s="502">
        <v>46210</v>
      </c>
      <c r="GG18" s="502">
        <v>46272</v>
      </c>
      <c r="GH18">
        <v>4.5999999999999996</v>
      </c>
      <c r="GI18" t="s">
        <v>811</v>
      </c>
      <c r="GJ18" t="s">
        <v>3321</v>
      </c>
      <c r="GK18" t="s">
        <v>3321</v>
      </c>
      <c r="GL18">
        <v>3289954558.0999999</v>
      </c>
      <c r="GM18">
        <v>-3077624487.0599999</v>
      </c>
      <c r="GN18">
        <v>670831422000</v>
      </c>
      <c r="GO18">
        <v>13.33</v>
      </c>
      <c r="GP18">
        <v>0.05</v>
      </c>
      <c r="GQ18">
        <v>4.4999999999999998E-2</v>
      </c>
      <c r="GR18">
        <v>6.2271070000000002</v>
      </c>
      <c r="GS18">
        <v>-584027636650.35999</v>
      </c>
      <c r="GT18">
        <v>-2592368650.3600001</v>
      </c>
      <c r="GU18" t="s">
        <v>4121</v>
      </c>
      <c r="GV18" t="s">
        <v>4121</v>
      </c>
      <c r="GW18" s="416">
        <f>FNRP_Repo[[#This Row],[Mat. Date]]-RPT</f>
        <v>20</v>
      </c>
      <c r="GX18" s="819" t="str">
        <f>IF(FNRP_Repo[[#This Row],[Days]]&lt;=0,"Mat",INDEX(Ref!U:U,MATCH(FNRP_Repo[[#This Row],[Days]],Ref!S:S,1)))</f>
        <v>3W</v>
      </c>
      <c r="GY18" s="417">
        <f>RIGHT(FNRP_Repo[[#This Row],[Deal Id]],5)+0</f>
        <v>17980</v>
      </c>
    </row>
    <row r="19" spans="2:207" x14ac:dyDescent="0.3">
      <c r="B19" t="s">
        <v>166</v>
      </c>
      <c r="C19" t="s">
        <v>167</v>
      </c>
      <c r="D19" t="s">
        <v>189</v>
      </c>
      <c r="E19" t="s">
        <v>169</v>
      </c>
      <c r="F19" s="502">
        <v>41805</v>
      </c>
      <c r="G19" t="s">
        <v>3322</v>
      </c>
      <c r="H19"/>
      <c r="I19"/>
      <c r="J19" s="38">
        <v>0</v>
      </c>
      <c r="K19">
        <v>0</v>
      </c>
      <c r="L19">
        <v>0</v>
      </c>
      <c r="M19" s="38">
        <v>0</v>
      </c>
      <c r="N19">
        <v>8.8000000000000007</v>
      </c>
      <c r="O19">
        <v>0</v>
      </c>
      <c r="P19" s="37">
        <v>8800000000</v>
      </c>
      <c r="Q19" s="37">
        <v>9073417222.2222214</v>
      </c>
      <c r="R19" s="37">
        <v>-742327486.94021082</v>
      </c>
      <c r="S19">
        <v>8.8000000000000007</v>
      </c>
      <c r="T19" s="70">
        <v>0</v>
      </c>
      <c r="U19">
        <v>0</v>
      </c>
      <c r="V19">
        <v>0</v>
      </c>
      <c r="W19">
        <v>0</v>
      </c>
      <c r="X19" s="38">
        <v>0</v>
      </c>
      <c r="Y19">
        <v>0</v>
      </c>
      <c r="Z19" s="70">
        <v>1140899934</v>
      </c>
      <c r="AA19" s="70">
        <v>0</v>
      </c>
      <c r="AB19" s="70">
        <v>1140899934</v>
      </c>
      <c r="AC19" s="70">
        <v>1140899934</v>
      </c>
      <c r="AD19" s="70">
        <v>1140899934</v>
      </c>
      <c r="AE19" s="70">
        <v>1140899934</v>
      </c>
      <c r="AF19">
        <v>0</v>
      </c>
      <c r="AG19" s="72">
        <f>Tradingbook_MSB[[#This Row],[Mat. Date]]-RPT</f>
        <v>-4447</v>
      </c>
      <c r="AH19" s="71">
        <f>IF(Tradingbook_MSB[[#This Row],[Days]]&lt;=0,0,YEARFRAC(RPT,Tradingbook_MSB[[#This Row],[Mat. Date]],3))</f>
        <v>0</v>
      </c>
      <c r="AI19" s="71">
        <f>IF(Tradingbook_MSB[[#This Row],[Days (year)]]=0,0,INDEX(Ref!$K$2:$K$13,MATCH(Tradingbook_MSB[[#This Row],[Days (year)]],Ref!$I$2:$I$13,1)))</f>
        <v>0</v>
      </c>
      <c r="AJ19" s="120" t="str">
        <f>VLOOKUP(Tradingbook_MSB[[#This Row],[Security Name]],Ref!X:Z,3,0)</f>
        <v>TPCP</v>
      </c>
      <c r="AK19" s="120" t="str">
        <f>VLOOKUP(Tradingbook_MSB[[#This Row],[Security Name]],Ref!X:Y,2,0)</f>
        <v>KBNN</v>
      </c>
      <c r="AL19" s="71">
        <f>IF((Tradingbook_MSB[[#This Row],[Mat. Date]]-RPT)&lt;=0,0,Tradingbook_MSB[[#This Row],[QUANTITY]])</f>
        <v>0</v>
      </c>
      <c r="AM19" s="71">
        <f>IF(Tradingbook_MSB[[#This Row],[Quantity_edited]]=0,0,Tradingbook_MSB[[#This Row],[DURATION]])</f>
        <v>0</v>
      </c>
      <c r="AN19" s="71">
        <f>IF(Tradingbook_MSB[[#This Row],[Quantity_edited]]=0,0,Tradingbook_MSB[[#This Row],[Mod Dur]])</f>
        <v>0</v>
      </c>
      <c r="AO19" s="71">
        <f>IF(Tradingbook_MSB[[#This Row],[Quantity_edited]]=0,0,Tradingbook_MSB[[#This Row],[Cnvx.]])</f>
        <v>0</v>
      </c>
      <c r="AP19" s="71">
        <f>(Tradingbook_MSB[[#This Row],[MARKET_VALUE]]+Tradingbook_MSB[[#This Row],[Accr Int]]*Tradingbook_MSB[[#This Row],[Quantity_edited]])*(-Tradingbook_MSB[[#This Row],[Modified Duration]]*0.0001+0.5*Tradingbook_MSB[[#This Row],[Conv]]*(0.0001^2))</f>
        <v>0</v>
      </c>
      <c r="AQ19" s="72">
        <f>(Tradingbook_MSB[[#This Row],[MARKET_VALUE]]+Tradingbook_MSB[[#This Row],[Accr Int]]*Tradingbook_MSB[[#This Row],[Quantity_edited]])*(-Tradingbook_MSB[[#This Row],[Modified Duration]]*0.01+0.5*Tradingbook_MSB[[#This Row],[Conv]]*(0.01^2))</f>
        <v>0</v>
      </c>
      <c r="AR19" s="71"/>
      <c r="AT19" t="s">
        <v>166</v>
      </c>
      <c r="AU19" t="s">
        <v>167</v>
      </c>
      <c r="AV19" t="s">
        <v>228</v>
      </c>
      <c r="AW19" t="s">
        <v>169</v>
      </c>
      <c r="AX19" t="s">
        <v>3338</v>
      </c>
      <c r="AY19" t="s">
        <v>3322</v>
      </c>
      <c r="BB19" s="49">
        <v>0</v>
      </c>
      <c r="BC19">
        <v>0</v>
      </c>
      <c r="BD19">
        <v>0</v>
      </c>
      <c r="BE19" s="37">
        <v>0</v>
      </c>
      <c r="BF19">
        <v>8.6</v>
      </c>
      <c r="BG19">
        <v>0</v>
      </c>
      <c r="BH19" s="34">
        <v>2687500000</v>
      </c>
      <c r="BI19">
        <v>2777292361.1111112</v>
      </c>
      <c r="BJ19">
        <v>-978026386.71875107</v>
      </c>
      <c r="BK19">
        <v>8.6</v>
      </c>
      <c r="BL19">
        <v>0</v>
      </c>
      <c r="BM19">
        <v>0</v>
      </c>
      <c r="BN19">
        <v>0</v>
      </c>
      <c r="BO19">
        <v>0</v>
      </c>
      <c r="BP19">
        <v>0</v>
      </c>
      <c r="BQ19">
        <v>0</v>
      </c>
      <c r="BR19">
        <v>738750000</v>
      </c>
      <c r="BS19">
        <v>0</v>
      </c>
      <c r="BT19">
        <v>738750000</v>
      </c>
      <c r="BU19">
        <v>738750000</v>
      </c>
      <c r="BV19">
        <v>738750000</v>
      </c>
      <c r="BW19">
        <v>738750000</v>
      </c>
      <c r="BX19">
        <v>0</v>
      </c>
      <c r="BY19" s="32">
        <f>Bankingbook_MSB[[#This Row],[Mat. Date]]-RPT</f>
        <v>-4111</v>
      </c>
      <c r="BZ19" s="71">
        <f>IF(Bankingbook_MSB[[#This Row],[Days]]&lt;=0,0,YEARFRAC(RPT,Bankingbook_MSB[[#This Row],[Mat. Date]],3))</f>
        <v>0</v>
      </c>
      <c r="CA19" s="71">
        <f>IF(Bankingbook_MSB[[#This Row],[Days (year)]]=0,0,INDEX(Ref!$K$2:$K$13,MATCH(Bankingbook_MSB[[#This Row],[Days (year)]],Ref!$I$2:$I$13,1)))</f>
        <v>0</v>
      </c>
      <c r="CB19" s="32" t="str">
        <f>VLOOKUP(Bankingbook_MSB[[#This Row],[Security Name]],Ref!X:Z,3,0)</f>
        <v>TPCPBL</v>
      </c>
      <c r="CC19" s="32" t="str">
        <f>VLOOKUP(Bankingbook_MSB[[#This Row],[Security Name]],Ref!X:Y,2,0)</f>
        <v>VDB</v>
      </c>
      <c r="CD19" s="72">
        <f>IF((Bankingbook_MSB[[#This Row],[Mat. Date]]-RPT)&lt;=0,0,Bankingbook_MSB[[#This Row],[QUANTITY]])</f>
        <v>0</v>
      </c>
      <c r="CE19" s="71">
        <f>IF(Bankingbook_MSB[[#This Row],[Quantity_edited]]=0,0,Bankingbook_MSB[[#This Row],[DURATION]])</f>
        <v>0</v>
      </c>
      <c r="CF19" s="71">
        <f>IF(Bankingbook_MSB[[#This Row],[Quantity_edited]]=0,0,Bankingbook_MSB[[#This Row],[Mod Dur]])</f>
        <v>0</v>
      </c>
      <c r="CG19" s="71">
        <f>IF(Bankingbook_MSB[[#This Row],[Quantity_edited]]=0,0,Bankingbook_MSB[[#This Row],[Cnvx.]])</f>
        <v>0</v>
      </c>
      <c r="CH19" s="71">
        <f>(Bankingbook_MSB[[#This Row],[MARKET_VALUE]]+Bankingbook_MSB[[#This Row],[Accr Int]]*Bankingbook_MSB[[#This Row],[Quantity_edited]])*(-Bankingbook_MSB[[#This Row],[Modified Duration]]*0.0001+0.5*Bankingbook_MSB[[#This Row],[Conv]]*(0.0001^2))</f>
        <v>0</v>
      </c>
      <c r="CI19" s="71">
        <f>(Bankingbook_MSB[[#This Row],[MARKET_VALUE]]+Bankingbook_MSB[[#This Row],[Accr Int]]*Bankingbook_MSB[[#This Row],[Quantity_edited]])*(-Bankingbook_MSB[[#This Row],[Modified Duration]]*0.01+0.5*Bankingbook_MSB[[#This Row],[Conv]]*(0.01^2))</f>
        <v>0</v>
      </c>
      <c r="CJ19" s="32"/>
      <c r="CL19" t="s">
        <v>166</v>
      </c>
      <c r="CM19" t="s">
        <v>167</v>
      </c>
      <c r="CN19" t="s">
        <v>189</v>
      </c>
      <c r="CO19" t="s">
        <v>169</v>
      </c>
      <c r="CP19" s="35">
        <v>41805</v>
      </c>
      <c r="CQ19" t="s">
        <v>3322</v>
      </c>
      <c r="CR19" t="s">
        <v>174</v>
      </c>
      <c r="CS19" t="s">
        <v>174</v>
      </c>
      <c r="CT19" s="49">
        <v>0</v>
      </c>
      <c r="CU19">
        <v>0</v>
      </c>
      <c r="CV19">
        <v>0</v>
      </c>
      <c r="CW19" s="70">
        <v>0</v>
      </c>
      <c r="CX19">
        <v>8.8000000000000007</v>
      </c>
      <c r="CY19">
        <v>0</v>
      </c>
      <c r="CZ19">
        <v>8800000000</v>
      </c>
      <c r="DA19">
        <v>9073417222.2222214</v>
      </c>
      <c r="DB19">
        <v>-742327486.94021082</v>
      </c>
      <c r="DC19">
        <v>8.8000000000000007</v>
      </c>
      <c r="DD19">
        <v>0</v>
      </c>
      <c r="DE19">
        <v>0</v>
      </c>
      <c r="DF19">
        <v>0</v>
      </c>
      <c r="DG19">
        <v>0</v>
      </c>
      <c r="DH19">
        <v>0</v>
      </c>
      <c r="DI19">
        <v>0</v>
      </c>
      <c r="DJ19" s="500">
        <v>1140899934</v>
      </c>
      <c r="DK19" s="500">
        <v>0</v>
      </c>
      <c r="DL19" s="37">
        <v>1140899934</v>
      </c>
      <c r="DM19" s="37">
        <v>1140899934</v>
      </c>
      <c r="DN19" s="37">
        <v>1140899934</v>
      </c>
      <c r="DO19" s="37">
        <v>1140899934</v>
      </c>
      <c r="DP19" s="32">
        <f>Tradingbook_SBV[[#This Row],[Mat. Date]]-RPT</f>
        <v>-4447</v>
      </c>
      <c r="DQ19" s="32">
        <f>IF(Tradingbook_SBV[[#This Row],[Days]]&lt;=0,0,YEARFRAC(RPT,Tradingbook_SBV[[#This Row],[Mat. Date]],3))</f>
        <v>0</v>
      </c>
      <c r="DR19" s="32">
        <f>IF(Tradingbook_SBV[[#This Row],[Days (year)]]=0,0,INDEX(Ref!$K$2:$K$13,MATCH(Tradingbook_SBV[[#This Row],[Days (year)]],Ref!$I$2:$I$13,1)))</f>
        <v>0</v>
      </c>
      <c r="DS19" s="32" t="str">
        <f>VLOOKUP(Tradingbook_SBV[[#This Row],[Security Name]],Ref!X:Z,3,0)</f>
        <v>TPCP</v>
      </c>
      <c r="DT19" s="32" t="str">
        <f>VLOOKUP(Tradingbook_SBV[[#This Row],[Security Name]],Ref!X:Y,2,0)</f>
        <v>KBNN</v>
      </c>
      <c r="DU19" s="71">
        <f>IF((Tradingbook_SBV[[#This Row],[Mat. Date]]-RPT)&lt;=0,0,Tradingbook_SBV[[#This Row],[QUANTITY]])</f>
        <v>0</v>
      </c>
      <c r="DV19" s="71">
        <f>IF(Tradingbook_SBV[[#This Row],[Quantity_edited]]=0,0,Tradingbook_SBV[[#This Row],[DURATION]])</f>
        <v>0</v>
      </c>
      <c r="DW19" s="71">
        <f>IF(Tradingbook_SBV[[#This Row],[Quantity_edited]]=0,0,Tradingbook_SBV[[#This Row],[Mod Dur]])</f>
        <v>0</v>
      </c>
      <c r="DX19" s="71">
        <f>IF(Tradingbook_SBV[[#This Row],[Quantity_edited]]=0,0,Tradingbook_SBV[[#This Row],[Cnvx.]])</f>
        <v>0</v>
      </c>
      <c r="DY19" s="71">
        <f>(Tradingbook_SBV[[#This Row],[MARKET_VALUE]]+Tradingbook_SBV[[#This Row],[Accr Int]]*Tradingbook_SBV[[#This Row],[Quantity_edited]])*(-Tradingbook_SBV[[#This Row],[Modified Duration]]*0.0001+0.5*Tradingbook_SBV[[#This Row],[Conv]]*(0.0001^2))</f>
        <v>0</v>
      </c>
      <c r="DZ19" s="71">
        <f>(Tradingbook_SBV[[#This Row],[MARKET_VALUE]]+Tradingbook_SBV[[#This Row],[Accr Int]]*Tradingbook_SBV[[#This Row],[Quantity_edited]])*(-Tradingbook_SBV[[#This Row],[Modified Duration]]*0.01+0.5*Tradingbook_SBV[[#This Row],[Conv]]*(0.01^2))</f>
        <v>0</v>
      </c>
      <c r="EC19" t="s">
        <v>166</v>
      </c>
      <c r="ED19" t="s">
        <v>167</v>
      </c>
      <c r="EE19" t="s">
        <v>228</v>
      </c>
      <c r="EF19" t="s">
        <v>169</v>
      </c>
      <c r="EG19" s="35" t="s">
        <v>3338</v>
      </c>
      <c r="EH19" t="s">
        <v>3322</v>
      </c>
      <c r="EK19" s="500">
        <v>0</v>
      </c>
      <c r="EL19" s="500">
        <v>0</v>
      </c>
      <c r="EM19" s="500">
        <v>0</v>
      </c>
      <c r="EN19" s="500">
        <v>0</v>
      </c>
      <c r="EO19">
        <v>8.6</v>
      </c>
      <c r="EP19">
        <v>0</v>
      </c>
      <c r="EQ19">
        <v>2687500000</v>
      </c>
      <c r="ER19">
        <v>2777292361.1111112</v>
      </c>
      <c r="ES19">
        <v>-978026386.71875107</v>
      </c>
      <c r="ET19">
        <v>8.6</v>
      </c>
      <c r="EU19">
        <v>0</v>
      </c>
      <c r="EV19">
        <v>0</v>
      </c>
      <c r="EW19">
        <v>0</v>
      </c>
      <c r="EX19">
        <v>0</v>
      </c>
      <c r="EY19">
        <v>0</v>
      </c>
      <c r="EZ19">
        <v>0</v>
      </c>
      <c r="FA19">
        <v>738750000</v>
      </c>
      <c r="FB19">
        <v>0</v>
      </c>
      <c r="FC19">
        <v>738750000</v>
      </c>
      <c r="FD19">
        <v>738750000</v>
      </c>
      <c r="FE19">
        <v>738750000</v>
      </c>
      <c r="FF19">
        <v>738750000</v>
      </c>
      <c r="FG19" s="32">
        <f>Bankingbook_SBV[[#This Row],[Mat. Date]]-RPT</f>
        <v>-4111</v>
      </c>
      <c r="FH19" s="32">
        <f>IF(Bankingbook_SBV[[#This Row],[Days]]&lt;=0,0,YEARFRAC(RPT,Bankingbook_SBV[[#This Row],[Mat. Date]],3))</f>
        <v>0</v>
      </c>
      <c r="FI19" s="32">
        <f>IF(Bankingbook_SBV[[#This Row],[Days (year)]]=0,0,INDEX(Ref!$K$2:$K$13,MATCH(Bankingbook_SBV[[#This Row],[Days (year)]],Ref!$I$2:$I$13,1)))</f>
        <v>0</v>
      </c>
      <c r="FJ19" s="32" t="str">
        <f>VLOOKUP(Bankingbook_SBV[[#This Row],[Security Name]],Ref!X:Z,3,0)</f>
        <v>TPCPBL</v>
      </c>
      <c r="FK19" s="32" t="str">
        <f>VLOOKUP(Bankingbook_SBV[[#This Row],[Security Name]],Ref!X:Y,2,0)</f>
        <v>VDB</v>
      </c>
      <c r="FL19" s="72">
        <f>IF((Bankingbook_SBV[[#This Row],[Mat. Date]]-RPT)&lt;=0,0,Bankingbook_SBV[[#This Row],[QUANTITY]])</f>
        <v>0</v>
      </c>
      <c r="FM19" s="32">
        <f>IF(Bankingbook_SBV[[#This Row],[Quantity_edited]]=0,0,Bankingbook_SBV[[#This Row],[DURATION]])</f>
        <v>0</v>
      </c>
      <c r="FN19" s="32">
        <f>IF(Bankingbook_SBV[[#This Row],[Quantity_edited]]=0,0,Bankingbook_SBV[[#This Row],[Mod Dur]])</f>
        <v>0</v>
      </c>
      <c r="FO19" s="32">
        <f>IF(Bankingbook_SBV[[#This Row],[Quantity_edited]]=0,0,Bankingbook_SBV[[#This Row],[Cnvx.]])</f>
        <v>0</v>
      </c>
      <c r="FP19" s="32">
        <f>(Bankingbook_SBV[[#This Row],[MARKET_VALUE]]+Bankingbook_SBV[[#This Row],[Accr Int]]*Bankingbook_SBV[[#This Row],[Quantity_edited]])*(-Bankingbook_SBV[[#This Row],[Modified Duration]]*0.0001+0.5*Bankingbook_SBV[[#This Row],[Conv]]*(0.0001^2))</f>
        <v>0</v>
      </c>
      <c r="FQ19" s="32">
        <f>(Bankingbook_SBV[[#This Row],[MARKET_VALUE]]+Bankingbook_SBV[[#This Row],[Accr Int]]*Bankingbook_SBV[[#This Row],[Quantity_edited]])*(-Bankingbook_SBV[[#This Row],[Modified Duration]]*0.01+0.5*Bankingbook_SBV[[#This Row],[Conv]]*(0.01^2))</f>
        <v>0</v>
      </c>
      <c r="FT19" t="s">
        <v>166</v>
      </c>
      <c r="FU19" t="s">
        <v>790</v>
      </c>
      <c r="FV19" t="s">
        <v>3975</v>
      </c>
      <c r="FW19">
        <v>3297775</v>
      </c>
      <c r="FX19" s="502">
        <v>46205</v>
      </c>
      <c r="FY19" t="s">
        <v>2176</v>
      </c>
      <c r="FZ19" t="s">
        <v>812</v>
      </c>
      <c r="GA19" t="s">
        <v>3585</v>
      </c>
      <c r="GB19" t="s">
        <v>810</v>
      </c>
      <c r="GC19" t="s">
        <v>2497</v>
      </c>
      <c r="GD19" s="500">
        <v>-407510000000</v>
      </c>
      <c r="GE19">
        <v>13.000501999999999</v>
      </c>
      <c r="GF19" s="502">
        <v>46210</v>
      </c>
      <c r="GG19" s="502">
        <v>46272</v>
      </c>
      <c r="GH19">
        <v>4.5999999999999996</v>
      </c>
      <c r="GI19" t="s">
        <v>811</v>
      </c>
      <c r="GJ19" t="s">
        <v>3321</v>
      </c>
      <c r="GK19" t="s">
        <v>3321</v>
      </c>
      <c r="GL19">
        <v>2305827416.6700001</v>
      </c>
      <c r="GM19">
        <v>-2157011835.6199999</v>
      </c>
      <c r="GN19">
        <v>470165000000</v>
      </c>
      <c r="GO19">
        <v>13.33</v>
      </c>
      <c r="GP19">
        <v>0.05</v>
      </c>
      <c r="GQ19">
        <v>4.4999999999999998E-2</v>
      </c>
      <c r="GR19">
        <v>6.2271070000000002</v>
      </c>
      <c r="GS19">
        <v>-409326911025.21002</v>
      </c>
      <c r="GT19">
        <v>-1816911025.21</v>
      </c>
      <c r="GU19" t="s">
        <v>4122</v>
      </c>
      <c r="GV19" t="s">
        <v>4122</v>
      </c>
      <c r="GW19" s="416">
        <f>FNRP_Repo[[#This Row],[Mat. Date]]-RPT</f>
        <v>20</v>
      </c>
      <c r="GX19" s="819" t="str">
        <f>IF(FNRP_Repo[[#This Row],[Days]]&lt;=0,"Mat",INDEX(Ref!U:U,MATCH(FNRP_Repo[[#This Row],[Days]],Ref!S:S,1)))</f>
        <v>3W</v>
      </c>
      <c r="GY19" s="417">
        <f>RIGHT(FNRP_Repo[[#This Row],[Deal Id]],5)+0</f>
        <v>17981</v>
      </c>
    </row>
    <row r="20" spans="2:207" x14ac:dyDescent="0.3">
      <c r="B20" t="s">
        <v>166</v>
      </c>
      <c r="C20" t="s">
        <v>167</v>
      </c>
      <c r="D20" t="s">
        <v>190</v>
      </c>
      <c r="E20" t="s">
        <v>169</v>
      </c>
      <c r="F20" s="502">
        <v>41810</v>
      </c>
      <c r="G20" t="s">
        <v>3322</v>
      </c>
      <c r="H20"/>
      <c r="I20"/>
      <c r="J20" s="38">
        <v>0</v>
      </c>
      <c r="K20">
        <v>0</v>
      </c>
      <c r="L20">
        <v>0</v>
      </c>
      <c r="M20" s="38">
        <v>0</v>
      </c>
      <c r="N20">
        <v>12.3</v>
      </c>
      <c r="O20">
        <v>0</v>
      </c>
      <c r="P20" s="37">
        <v>36900000000</v>
      </c>
      <c r="Q20" s="37">
        <v>38050818750</v>
      </c>
      <c r="R20" s="37">
        <v>-5138134826.3888874</v>
      </c>
      <c r="S20">
        <v>12.3</v>
      </c>
      <c r="T20" s="70">
        <v>0</v>
      </c>
      <c r="U20">
        <v>0</v>
      </c>
      <c r="V20">
        <v>0</v>
      </c>
      <c r="W20">
        <v>0</v>
      </c>
      <c r="X20" s="38">
        <v>0</v>
      </c>
      <c r="Y20">
        <v>0</v>
      </c>
      <c r="Z20" s="70">
        <v>-4476500000</v>
      </c>
      <c r="AA20" s="70">
        <v>0</v>
      </c>
      <c r="AB20" s="70">
        <v>-4476500000</v>
      </c>
      <c r="AC20" s="70">
        <v>-4476500000</v>
      </c>
      <c r="AD20" s="70">
        <v>-4476500000</v>
      </c>
      <c r="AE20" s="70">
        <v>-4476500000</v>
      </c>
      <c r="AF20">
        <v>0</v>
      </c>
      <c r="AG20" s="72">
        <f>Tradingbook_MSB[[#This Row],[Mat. Date]]-RPT</f>
        <v>-4442</v>
      </c>
      <c r="AH20" s="71">
        <f>IF(Tradingbook_MSB[[#This Row],[Days]]&lt;=0,0,YEARFRAC(RPT,Tradingbook_MSB[[#This Row],[Mat. Date]],3))</f>
        <v>0</v>
      </c>
      <c r="AI20" s="71">
        <f>IF(Tradingbook_MSB[[#This Row],[Days (year)]]=0,0,INDEX(Ref!$K$2:$K$13,MATCH(Tradingbook_MSB[[#This Row],[Days (year)]],Ref!$I$2:$I$13,1)))</f>
        <v>0</v>
      </c>
      <c r="AJ20" s="120" t="str">
        <f>VLOOKUP(Tradingbook_MSB[[#This Row],[Security Name]],Ref!X:Z,3,0)</f>
        <v>TPCP</v>
      </c>
      <c r="AK20" s="120" t="str">
        <f>VLOOKUP(Tradingbook_MSB[[#This Row],[Security Name]],Ref!X:Y,2,0)</f>
        <v>KBNN</v>
      </c>
      <c r="AL20" s="71">
        <f>IF((Tradingbook_MSB[[#This Row],[Mat. Date]]-RPT)&lt;=0,0,Tradingbook_MSB[[#This Row],[QUANTITY]])</f>
        <v>0</v>
      </c>
      <c r="AM20" s="71">
        <f>IF(Tradingbook_MSB[[#This Row],[Quantity_edited]]=0,0,Tradingbook_MSB[[#This Row],[DURATION]])</f>
        <v>0</v>
      </c>
      <c r="AN20" s="71">
        <f>IF(Tradingbook_MSB[[#This Row],[Quantity_edited]]=0,0,Tradingbook_MSB[[#This Row],[Mod Dur]])</f>
        <v>0</v>
      </c>
      <c r="AO20" s="71">
        <f>IF(Tradingbook_MSB[[#This Row],[Quantity_edited]]=0,0,Tradingbook_MSB[[#This Row],[Cnvx.]])</f>
        <v>0</v>
      </c>
      <c r="AP20" s="71">
        <f>(Tradingbook_MSB[[#This Row],[MARKET_VALUE]]+Tradingbook_MSB[[#This Row],[Accr Int]]*Tradingbook_MSB[[#This Row],[Quantity_edited]])*(-Tradingbook_MSB[[#This Row],[Modified Duration]]*0.0001+0.5*Tradingbook_MSB[[#This Row],[Conv]]*(0.0001^2))</f>
        <v>0</v>
      </c>
      <c r="AQ20" s="72">
        <f>(Tradingbook_MSB[[#This Row],[MARKET_VALUE]]+Tradingbook_MSB[[#This Row],[Accr Int]]*Tradingbook_MSB[[#This Row],[Quantity_edited]])*(-Tradingbook_MSB[[#This Row],[Modified Duration]]*0.01+0.5*Tradingbook_MSB[[#This Row],[Conv]]*(0.01^2))</f>
        <v>0</v>
      </c>
      <c r="AR20" s="71"/>
      <c r="AT20" t="s">
        <v>166</v>
      </c>
      <c r="AU20" t="s">
        <v>167</v>
      </c>
      <c r="AV20" t="s">
        <v>230</v>
      </c>
      <c r="AW20" t="s">
        <v>169</v>
      </c>
      <c r="AX20" t="s">
        <v>3339</v>
      </c>
      <c r="AY20" t="s">
        <v>3322</v>
      </c>
      <c r="BB20" s="49">
        <v>0</v>
      </c>
      <c r="BC20">
        <v>0</v>
      </c>
      <c r="BD20">
        <v>0</v>
      </c>
      <c r="BE20" s="37">
        <v>0</v>
      </c>
      <c r="BF20">
        <v>11.4</v>
      </c>
      <c r="BG20">
        <v>0</v>
      </c>
      <c r="BH20" s="34">
        <v>114000000000</v>
      </c>
      <c r="BI20">
        <v>125235669791.66678</v>
      </c>
      <c r="BJ20">
        <v>-66442651635.833557</v>
      </c>
      <c r="BK20">
        <v>11.4</v>
      </c>
      <c r="BL20">
        <v>0</v>
      </c>
      <c r="BM20">
        <v>0</v>
      </c>
      <c r="BN20">
        <v>0</v>
      </c>
      <c r="BO20">
        <v>0</v>
      </c>
      <c r="BP20">
        <v>0</v>
      </c>
      <c r="BQ20">
        <v>0</v>
      </c>
      <c r="BR20">
        <v>-1689000000</v>
      </c>
      <c r="BS20">
        <v>0</v>
      </c>
      <c r="BT20">
        <v>-1689000000</v>
      </c>
      <c r="BU20">
        <v>-1689000000</v>
      </c>
      <c r="BV20">
        <v>-1689000000</v>
      </c>
      <c r="BW20">
        <v>-1689000000</v>
      </c>
      <c r="BX20">
        <v>0</v>
      </c>
      <c r="BY20" s="32">
        <f>Bankingbook_MSB[[#This Row],[Mat. Date]]-RPT</f>
        <v>-4107</v>
      </c>
      <c r="BZ20" s="71">
        <f>IF(Bankingbook_MSB[[#This Row],[Days]]&lt;=0,0,YEARFRAC(RPT,Bankingbook_MSB[[#This Row],[Mat. Date]],3))</f>
        <v>0</v>
      </c>
      <c r="CA20" s="71">
        <f>IF(Bankingbook_MSB[[#This Row],[Days (year)]]=0,0,INDEX(Ref!$K$2:$K$13,MATCH(Bankingbook_MSB[[#This Row],[Days (year)]],Ref!$I$2:$I$13,1)))</f>
        <v>0</v>
      </c>
      <c r="CB20" s="32" t="str">
        <f>VLOOKUP(Bankingbook_MSB[[#This Row],[Security Name]],Ref!X:Z,3,0)</f>
        <v>TPCPBL</v>
      </c>
      <c r="CC20" s="32" t="str">
        <f>VLOOKUP(Bankingbook_MSB[[#This Row],[Security Name]],Ref!X:Y,2,0)</f>
        <v>VDB</v>
      </c>
      <c r="CD20" s="72">
        <f>IF((Bankingbook_MSB[[#This Row],[Mat. Date]]-RPT)&lt;=0,0,Bankingbook_MSB[[#This Row],[QUANTITY]])</f>
        <v>0</v>
      </c>
      <c r="CE20" s="71">
        <f>IF(Bankingbook_MSB[[#This Row],[Quantity_edited]]=0,0,Bankingbook_MSB[[#This Row],[DURATION]])</f>
        <v>0</v>
      </c>
      <c r="CF20" s="71">
        <f>IF(Bankingbook_MSB[[#This Row],[Quantity_edited]]=0,0,Bankingbook_MSB[[#This Row],[Mod Dur]])</f>
        <v>0</v>
      </c>
      <c r="CG20" s="71">
        <f>IF(Bankingbook_MSB[[#This Row],[Quantity_edited]]=0,0,Bankingbook_MSB[[#This Row],[Cnvx.]])</f>
        <v>0</v>
      </c>
      <c r="CH20" s="71">
        <f>(Bankingbook_MSB[[#This Row],[MARKET_VALUE]]+Bankingbook_MSB[[#This Row],[Accr Int]]*Bankingbook_MSB[[#This Row],[Quantity_edited]])*(-Bankingbook_MSB[[#This Row],[Modified Duration]]*0.0001+0.5*Bankingbook_MSB[[#This Row],[Conv]]*(0.0001^2))</f>
        <v>0</v>
      </c>
      <c r="CI20" s="71">
        <f>(Bankingbook_MSB[[#This Row],[MARKET_VALUE]]+Bankingbook_MSB[[#This Row],[Accr Int]]*Bankingbook_MSB[[#This Row],[Quantity_edited]])*(-Bankingbook_MSB[[#This Row],[Modified Duration]]*0.01+0.5*Bankingbook_MSB[[#This Row],[Conv]]*(0.01^2))</f>
        <v>0</v>
      </c>
      <c r="CJ20" s="32"/>
      <c r="CL20" t="s">
        <v>166</v>
      </c>
      <c r="CM20" t="s">
        <v>167</v>
      </c>
      <c r="CN20" t="s">
        <v>190</v>
      </c>
      <c r="CO20" t="s">
        <v>169</v>
      </c>
      <c r="CP20" s="35">
        <v>41810</v>
      </c>
      <c r="CQ20" t="s">
        <v>3322</v>
      </c>
      <c r="CR20" t="s">
        <v>174</v>
      </c>
      <c r="CS20" t="s">
        <v>174</v>
      </c>
      <c r="CT20" s="49">
        <v>0</v>
      </c>
      <c r="CU20">
        <v>0</v>
      </c>
      <c r="CV20">
        <v>0</v>
      </c>
      <c r="CW20" s="70">
        <v>0</v>
      </c>
      <c r="CX20">
        <v>12.3</v>
      </c>
      <c r="CY20">
        <v>0</v>
      </c>
      <c r="CZ20">
        <v>36900000000</v>
      </c>
      <c r="DA20">
        <v>38050818750</v>
      </c>
      <c r="DB20">
        <v>-5138134826.3888874</v>
      </c>
      <c r="DC20">
        <v>12.3</v>
      </c>
      <c r="DD20">
        <v>0</v>
      </c>
      <c r="DE20">
        <v>0</v>
      </c>
      <c r="DF20">
        <v>0</v>
      </c>
      <c r="DG20">
        <v>0</v>
      </c>
      <c r="DH20">
        <v>0</v>
      </c>
      <c r="DI20">
        <v>0</v>
      </c>
      <c r="DJ20" s="500">
        <v>-4476500000</v>
      </c>
      <c r="DK20" s="500">
        <v>0</v>
      </c>
      <c r="DL20" s="37">
        <v>-4476500000</v>
      </c>
      <c r="DM20" s="37">
        <v>-4476500000</v>
      </c>
      <c r="DN20" s="37">
        <v>-4476500000</v>
      </c>
      <c r="DO20" s="37">
        <v>-4476500000</v>
      </c>
      <c r="DP20" s="32">
        <f>Tradingbook_SBV[[#This Row],[Mat. Date]]-RPT</f>
        <v>-4442</v>
      </c>
      <c r="DQ20" s="32">
        <f>IF(Tradingbook_SBV[[#This Row],[Days]]&lt;=0,0,YEARFRAC(RPT,Tradingbook_SBV[[#This Row],[Mat. Date]],3))</f>
        <v>0</v>
      </c>
      <c r="DR20" s="32">
        <f>IF(Tradingbook_SBV[[#This Row],[Days (year)]]=0,0,INDEX(Ref!$K$2:$K$13,MATCH(Tradingbook_SBV[[#This Row],[Days (year)]],Ref!$I$2:$I$13,1)))</f>
        <v>0</v>
      </c>
      <c r="DS20" s="32" t="str">
        <f>VLOOKUP(Tradingbook_SBV[[#This Row],[Security Name]],Ref!X:Z,3,0)</f>
        <v>TPCP</v>
      </c>
      <c r="DT20" s="32" t="str">
        <f>VLOOKUP(Tradingbook_SBV[[#This Row],[Security Name]],Ref!X:Y,2,0)</f>
        <v>KBNN</v>
      </c>
      <c r="DU20" s="71">
        <f>IF((Tradingbook_SBV[[#This Row],[Mat. Date]]-RPT)&lt;=0,0,Tradingbook_SBV[[#This Row],[QUANTITY]])</f>
        <v>0</v>
      </c>
      <c r="DV20" s="71">
        <f>IF(Tradingbook_SBV[[#This Row],[Quantity_edited]]=0,0,Tradingbook_SBV[[#This Row],[DURATION]])</f>
        <v>0</v>
      </c>
      <c r="DW20" s="71">
        <f>IF(Tradingbook_SBV[[#This Row],[Quantity_edited]]=0,0,Tradingbook_SBV[[#This Row],[Mod Dur]])</f>
        <v>0</v>
      </c>
      <c r="DX20" s="71">
        <f>IF(Tradingbook_SBV[[#This Row],[Quantity_edited]]=0,0,Tradingbook_SBV[[#This Row],[Cnvx.]])</f>
        <v>0</v>
      </c>
      <c r="DY20" s="71">
        <f>(Tradingbook_SBV[[#This Row],[MARKET_VALUE]]+Tradingbook_SBV[[#This Row],[Accr Int]]*Tradingbook_SBV[[#This Row],[Quantity_edited]])*(-Tradingbook_SBV[[#This Row],[Modified Duration]]*0.0001+0.5*Tradingbook_SBV[[#This Row],[Conv]]*(0.0001^2))</f>
        <v>0</v>
      </c>
      <c r="DZ20" s="71">
        <f>(Tradingbook_SBV[[#This Row],[MARKET_VALUE]]+Tradingbook_SBV[[#This Row],[Accr Int]]*Tradingbook_SBV[[#This Row],[Quantity_edited]])*(-Tradingbook_SBV[[#This Row],[Modified Duration]]*0.01+0.5*Tradingbook_SBV[[#This Row],[Conv]]*(0.01^2))</f>
        <v>0</v>
      </c>
      <c r="EC20" t="s">
        <v>166</v>
      </c>
      <c r="ED20" t="s">
        <v>167</v>
      </c>
      <c r="EE20" t="s">
        <v>230</v>
      </c>
      <c r="EF20" t="s">
        <v>169</v>
      </c>
      <c r="EG20" s="35" t="s">
        <v>3339</v>
      </c>
      <c r="EH20" t="s">
        <v>3322</v>
      </c>
      <c r="EK20" s="500">
        <v>0</v>
      </c>
      <c r="EL20" s="500">
        <v>0</v>
      </c>
      <c r="EM20" s="500">
        <v>0</v>
      </c>
      <c r="EN20" s="500">
        <v>0</v>
      </c>
      <c r="EO20">
        <v>11.4</v>
      </c>
      <c r="EP20">
        <v>0</v>
      </c>
      <c r="EQ20">
        <v>114000000000</v>
      </c>
      <c r="ER20">
        <v>125235669791.66678</v>
      </c>
      <c r="ES20">
        <v>-66442651635.833557</v>
      </c>
      <c r="ET20">
        <v>11.4</v>
      </c>
      <c r="EU20">
        <v>0</v>
      </c>
      <c r="EV20">
        <v>0</v>
      </c>
      <c r="EW20">
        <v>0</v>
      </c>
      <c r="EX20">
        <v>0</v>
      </c>
      <c r="EY20">
        <v>0</v>
      </c>
      <c r="EZ20">
        <v>0</v>
      </c>
      <c r="FA20">
        <v>-1689000000</v>
      </c>
      <c r="FB20">
        <v>0</v>
      </c>
      <c r="FC20">
        <v>-1689000000</v>
      </c>
      <c r="FD20">
        <v>-1689000000</v>
      </c>
      <c r="FE20">
        <v>-1689000000</v>
      </c>
      <c r="FF20">
        <v>-1689000000</v>
      </c>
      <c r="FG20" s="32">
        <f>Bankingbook_SBV[[#This Row],[Mat. Date]]-RPT</f>
        <v>-4107</v>
      </c>
      <c r="FH20" s="32">
        <f>IF(Bankingbook_SBV[[#This Row],[Days]]&lt;=0,0,YEARFRAC(RPT,Bankingbook_SBV[[#This Row],[Mat. Date]],3))</f>
        <v>0</v>
      </c>
      <c r="FI20" s="32">
        <f>IF(Bankingbook_SBV[[#This Row],[Days (year)]]=0,0,INDEX(Ref!$K$2:$K$13,MATCH(Bankingbook_SBV[[#This Row],[Days (year)]],Ref!$I$2:$I$13,1)))</f>
        <v>0</v>
      </c>
      <c r="FJ20" s="32" t="str">
        <f>VLOOKUP(Bankingbook_SBV[[#This Row],[Security Name]],Ref!X:Z,3,0)</f>
        <v>TPCPBL</v>
      </c>
      <c r="FK20" s="32" t="str">
        <f>VLOOKUP(Bankingbook_SBV[[#This Row],[Security Name]],Ref!X:Y,2,0)</f>
        <v>VDB</v>
      </c>
      <c r="FL20" s="72">
        <f>IF((Bankingbook_SBV[[#This Row],[Mat. Date]]-RPT)&lt;=0,0,Bankingbook_SBV[[#This Row],[QUANTITY]])</f>
        <v>0</v>
      </c>
      <c r="FM20" s="32">
        <f>IF(Bankingbook_SBV[[#This Row],[Quantity_edited]]=0,0,Bankingbook_SBV[[#This Row],[DURATION]])</f>
        <v>0</v>
      </c>
      <c r="FN20" s="32">
        <f>IF(Bankingbook_SBV[[#This Row],[Quantity_edited]]=0,0,Bankingbook_SBV[[#This Row],[Mod Dur]])</f>
        <v>0</v>
      </c>
      <c r="FO20" s="32">
        <f>IF(Bankingbook_SBV[[#This Row],[Quantity_edited]]=0,0,Bankingbook_SBV[[#This Row],[Cnvx.]])</f>
        <v>0</v>
      </c>
      <c r="FP20" s="32">
        <f>(Bankingbook_SBV[[#This Row],[MARKET_VALUE]]+Bankingbook_SBV[[#This Row],[Accr Int]]*Bankingbook_SBV[[#This Row],[Quantity_edited]])*(-Bankingbook_SBV[[#This Row],[Modified Duration]]*0.0001+0.5*Bankingbook_SBV[[#This Row],[Conv]]*(0.0001^2))</f>
        <v>0</v>
      </c>
      <c r="FQ20" s="32">
        <f>(Bankingbook_SBV[[#This Row],[MARKET_VALUE]]+Bankingbook_SBV[[#This Row],[Accr Int]]*Bankingbook_SBV[[#This Row],[Quantity_edited]])*(-Bankingbook_SBV[[#This Row],[Modified Duration]]*0.01+0.5*Bankingbook_SBV[[#This Row],[Conv]]*(0.01^2))</f>
        <v>0</v>
      </c>
      <c r="FT20" t="s">
        <v>166</v>
      </c>
      <c r="FU20" t="s">
        <v>790</v>
      </c>
      <c r="FV20" t="s">
        <v>3976</v>
      </c>
      <c r="FW20">
        <v>3298987</v>
      </c>
      <c r="FX20" s="502">
        <v>46206</v>
      </c>
      <c r="FY20" t="s">
        <v>2176</v>
      </c>
      <c r="FZ20" t="s">
        <v>823</v>
      </c>
      <c r="GA20" t="s">
        <v>2829</v>
      </c>
      <c r="GB20" t="s">
        <v>810</v>
      </c>
      <c r="GC20" t="s">
        <v>2497</v>
      </c>
      <c r="GD20" s="500">
        <v>-547982500000</v>
      </c>
      <c r="GE20">
        <v>10.000747</v>
      </c>
      <c r="GF20" s="502">
        <v>46210</v>
      </c>
      <c r="GG20" s="502">
        <v>46272</v>
      </c>
      <c r="GH20">
        <v>4.58</v>
      </c>
      <c r="GI20" t="s">
        <v>811</v>
      </c>
      <c r="GJ20" t="s">
        <v>3321</v>
      </c>
      <c r="GK20" t="s">
        <v>3321</v>
      </c>
      <c r="GL20">
        <v>3100667645.8299999</v>
      </c>
      <c r="GM20">
        <v>-2887942841.0999999</v>
      </c>
      <c r="GN20">
        <v>611214500000</v>
      </c>
      <c r="GO20">
        <v>10.35</v>
      </c>
      <c r="GP20">
        <v>0.05</v>
      </c>
      <c r="GQ20">
        <v>4.4999999999999998E-2</v>
      </c>
      <c r="GR20">
        <v>6.2271070000000002</v>
      </c>
      <c r="GS20">
        <v>-550407162795.80005</v>
      </c>
      <c r="GT20">
        <v>-2424662795.8000002</v>
      </c>
      <c r="GU20" t="s">
        <v>4123</v>
      </c>
      <c r="GV20" t="s">
        <v>4123</v>
      </c>
      <c r="GW20" s="416">
        <f>FNRP_Repo[[#This Row],[Mat. Date]]-RPT</f>
        <v>20</v>
      </c>
      <c r="GX20" s="819" t="str">
        <f>IF(FNRP_Repo[[#This Row],[Days]]&lt;=0,"Mat",INDEX(Ref!U:U,MATCH(FNRP_Repo[[#This Row],[Days]],Ref!S:S,1)))</f>
        <v>3W</v>
      </c>
      <c r="GY20" s="417">
        <f>RIGHT(FNRP_Repo[[#This Row],[Deal Id]],5)+0</f>
        <v>17991</v>
      </c>
    </row>
    <row r="21" spans="2:207" x14ac:dyDescent="0.3">
      <c r="B21" t="s">
        <v>166</v>
      </c>
      <c r="C21" t="s">
        <v>167</v>
      </c>
      <c r="D21" t="s">
        <v>191</v>
      </c>
      <c r="E21" t="s">
        <v>169</v>
      </c>
      <c r="F21" s="502">
        <v>41824</v>
      </c>
      <c r="G21" t="s">
        <v>3322</v>
      </c>
      <c r="H21"/>
      <c r="I21"/>
      <c r="J21" s="38">
        <v>0</v>
      </c>
      <c r="K21">
        <v>0</v>
      </c>
      <c r="L21">
        <v>0</v>
      </c>
      <c r="M21" s="38">
        <v>0</v>
      </c>
      <c r="N21">
        <v>12.3</v>
      </c>
      <c r="O21">
        <v>0</v>
      </c>
      <c r="P21" s="37">
        <v>25830000000</v>
      </c>
      <c r="Q21" s="37">
        <v>26647770624.999954</v>
      </c>
      <c r="R21" s="37">
        <v>-6989584252.8472195</v>
      </c>
      <c r="S21">
        <v>12.3</v>
      </c>
      <c r="T21" s="70">
        <v>0</v>
      </c>
      <c r="U21">
        <v>0</v>
      </c>
      <c r="V21">
        <v>0</v>
      </c>
      <c r="W21">
        <v>0</v>
      </c>
      <c r="X21" s="38">
        <v>0</v>
      </c>
      <c r="Y21">
        <v>0</v>
      </c>
      <c r="Z21" s="70">
        <v>-4731300000</v>
      </c>
      <c r="AA21" s="70">
        <v>0</v>
      </c>
      <c r="AB21" s="70">
        <v>-4731300000</v>
      </c>
      <c r="AC21" s="70">
        <v>-4731300000</v>
      </c>
      <c r="AD21" s="70">
        <v>-4731300000</v>
      </c>
      <c r="AE21" s="70">
        <v>-4731300000</v>
      </c>
      <c r="AF21">
        <v>0</v>
      </c>
      <c r="AG21" s="72">
        <f>Tradingbook_MSB[[#This Row],[Mat. Date]]-RPT</f>
        <v>-4428</v>
      </c>
      <c r="AH21" s="71">
        <f>IF(Tradingbook_MSB[[#This Row],[Days]]&lt;=0,0,YEARFRAC(RPT,Tradingbook_MSB[[#This Row],[Mat. Date]],3))</f>
        <v>0</v>
      </c>
      <c r="AI21" s="71">
        <f>IF(Tradingbook_MSB[[#This Row],[Days (year)]]=0,0,INDEX(Ref!$K$2:$K$13,MATCH(Tradingbook_MSB[[#This Row],[Days (year)]],Ref!$I$2:$I$13,1)))</f>
        <v>0</v>
      </c>
      <c r="AJ21" s="120" t="str">
        <f>VLOOKUP(Tradingbook_MSB[[#This Row],[Security Name]],Ref!X:Z,3,0)</f>
        <v>TPCP</v>
      </c>
      <c r="AK21" s="120" t="str">
        <f>VLOOKUP(Tradingbook_MSB[[#This Row],[Security Name]],Ref!X:Y,2,0)</f>
        <v>KBNN</v>
      </c>
      <c r="AL21" s="71">
        <f>IF((Tradingbook_MSB[[#This Row],[Mat. Date]]-RPT)&lt;=0,0,Tradingbook_MSB[[#This Row],[QUANTITY]])</f>
        <v>0</v>
      </c>
      <c r="AM21" s="71">
        <f>IF(Tradingbook_MSB[[#This Row],[Quantity_edited]]=0,0,Tradingbook_MSB[[#This Row],[DURATION]])</f>
        <v>0</v>
      </c>
      <c r="AN21" s="71">
        <f>IF(Tradingbook_MSB[[#This Row],[Quantity_edited]]=0,0,Tradingbook_MSB[[#This Row],[Mod Dur]])</f>
        <v>0</v>
      </c>
      <c r="AO21" s="71">
        <f>IF(Tradingbook_MSB[[#This Row],[Quantity_edited]]=0,0,Tradingbook_MSB[[#This Row],[Cnvx.]])</f>
        <v>0</v>
      </c>
      <c r="AP21" s="71">
        <f>(Tradingbook_MSB[[#This Row],[MARKET_VALUE]]+Tradingbook_MSB[[#This Row],[Accr Int]]*Tradingbook_MSB[[#This Row],[Quantity_edited]])*(-Tradingbook_MSB[[#This Row],[Modified Duration]]*0.0001+0.5*Tradingbook_MSB[[#This Row],[Conv]]*(0.0001^2))</f>
        <v>0</v>
      </c>
      <c r="AQ21" s="72">
        <f>(Tradingbook_MSB[[#This Row],[MARKET_VALUE]]+Tradingbook_MSB[[#This Row],[Accr Int]]*Tradingbook_MSB[[#This Row],[Quantity_edited]])*(-Tradingbook_MSB[[#This Row],[Modified Duration]]*0.01+0.5*Tradingbook_MSB[[#This Row],[Conv]]*(0.01^2))</f>
        <v>0</v>
      </c>
      <c r="AR21" s="71"/>
      <c r="AT21" t="s">
        <v>166</v>
      </c>
      <c r="AU21" t="s">
        <v>167</v>
      </c>
      <c r="AV21" t="s">
        <v>232</v>
      </c>
      <c r="AW21" t="s">
        <v>169</v>
      </c>
      <c r="AX21" t="s">
        <v>3340</v>
      </c>
      <c r="AY21" t="s">
        <v>3322</v>
      </c>
      <c r="BB21" s="49">
        <v>0</v>
      </c>
      <c r="BC21">
        <v>0</v>
      </c>
      <c r="BD21">
        <v>0</v>
      </c>
      <c r="BE21" s="37">
        <v>0</v>
      </c>
      <c r="BF21">
        <v>11.4</v>
      </c>
      <c r="BG21">
        <v>0</v>
      </c>
      <c r="BH21" s="34">
        <v>90972000000</v>
      </c>
      <c r="BI21">
        <v>99860698275.000092</v>
      </c>
      <c r="BJ21">
        <v>-51159446199.727966</v>
      </c>
      <c r="BK21">
        <v>11.4</v>
      </c>
      <c r="BL21">
        <v>0</v>
      </c>
      <c r="BM21">
        <v>0</v>
      </c>
      <c r="BN21">
        <v>0</v>
      </c>
      <c r="BO21">
        <v>0</v>
      </c>
      <c r="BP21">
        <v>0</v>
      </c>
      <c r="BQ21">
        <v>0</v>
      </c>
      <c r="BR21">
        <v>2340300000</v>
      </c>
      <c r="BS21">
        <v>0</v>
      </c>
      <c r="BT21">
        <v>2340300000</v>
      </c>
      <c r="BU21">
        <v>2340300000</v>
      </c>
      <c r="BV21">
        <v>2340300000</v>
      </c>
      <c r="BW21">
        <v>2340300000</v>
      </c>
      <c r="BX21">
        <v>0</v>
      </c>
      <c r="BY21" s="32">
        <f>Bankingbook_MSB[[#This Row],[Mat. Date]]-RPT</f>
        <v>-4100</v>
      </c>
      <c r="BZ21" s="71">
        <f>IF(Bankingbook_MSB[[#This Row],[Days]]&lt;=0,0,YEARFRAC(RPT,Bankingbook_MSB[[#This Row],[Mat. Date]],3))</f>
        <v>0</v>
      </c>
      <c r="CA21" s="71">
        <f>IF(Bankingbook_MSB[[#This Row],[Days (year)]]=0,0,INDEX(Ref!$K$2:$K$13,MATCH(Bankingbook_MSB[[#This Row],[Days (year)]],Ref!$I$2:$I$13,1)))</f>
        <v>0</v>
      </c>
      <c r="CB21" s="32" t="str">
        <f>VLOOKUP(Bankingbook_MSB[[#This Row],[Security Name]],Ref!X:Z,3,0)</f>
        <v>TPCPBL</v>
      </c>
      <c r="CC21" s="32" t="str">
        <f>VLOOKUP(Bankingbook_MSB[[#This Row],[Security Name]],Ref!X:Y,2,0)</f>
        <v>VDB</v>
      </c>
      <c r="CD21" s="72">
        <f>IF((Bankingbook_MSB[[#This Row],[Mat. Date]]-RPT)&lt;=0,0,Bankingbook_MSB[[#This Row],[QUANTITY]])</f>
        <v>0</v>
      </c>
      <c r="CE21" s="71">
        <f>IF(Bankingbook_MSB[[#This Row],[Quantity_edited]]=0,0,Bankingbook_MSB[[#This Row],[DURATION]])</f>
        <v>0</v>
      </c>
      <c r="CF21" s="71">
        <f>IF(Bankingbook_MSB[[#This Row],[Quantity_edited]]=0,0,Bankingbook_MSB[[#This Row],[Mod Dur]])</f>
        <v>0</v>
      </c>
      <c r="CG21" s="71">
        <f>IF(Bankingbook_MSB[[#This Row],[Quantity_edited]]=0,0,Bankingbook_MSB[[#This Row],[Cnvx.]])</f>
        <v>0</v>
      </c>
      <c r="CH21" s="71">
        <f>(Bankingbook_MSB[[#This Row],[MARKET_VALUE]]+Bankingbook_MSB[[#This Row],[Accr Int]]*Bankingbook_MSB[[#This Row],[Quantity_edited]])*(-Bankingbook_MSB[[#This Row],[Modified Duration]]*0.0001+0.5*Bankingbook_MSB[[#This Row],[Conv]]*(0.0001^2))</f>
        <v>0</v>
      </c>
      <c r="CI21" s="71">
        <f>(Bankingbook_MSB[[#This Row],[MARKET_VALUE]]+Bankingbook_MSB[[#This Row],[Accr Int]]*Bankingbook_MSB[[#This Row],[Quantity_edited]])*(-Bankingbook_MSB[[#This Row],[Modified Duration]]*0.01+0.5*Bankingbook_MSB[[#This Row],[Conv]]*(0.01^2))</f>
        <v>0</v>
      </c>
      <c r="CJ21" s="32"/>
      <c r="CL21" t="s">
        <v>166</v>
      </c>
      <c r="CM21" t="s">
        <v>167</v>
      </c>
      <c r="CN21" t="s">
        <v>191</v>
      </c>
      <c r="CO21" t="s">
        <v>169</v>
      </c>
      <c r="CP21" s="35">
        <v>41824</v>
      </c>
      <c r="CQ21" t="s">
        <v>3322</v>
      </c>
      <c r="CR21" t="s">
        <v>174</v>
      </c>
      <c r="CS21" t="s">
        <v>174</v>
      </c>
      <c r="CT21" s="49">
        <v>0</v>
      </c>
      <c r="CU21">
        <v>0</v>
      </c>
      <c r="CV21">
        <v>0</v>
      </c>
      <c r="CW21" s="70">
        <v>0</v>
      </c>
      <c r="CX21">
        <v>12.3</v>
      </c>
      <c r="CY21">
        <v>0</v>
      </c>
      <c r="CZ21">
        <v>25830000000</v>
      </c>
      <c r="DA21">
        <v>26647770624.999954</v>
      </c>
      <c r="DB21">
        <v>-6989584252.8472195</v>
      </c>
      <c r="DC21">
        <v>12.3</v>
      </c>
      <c r="DD21">
        <v>0</v>
      </c>
      <c r="DE21">
        <v>0</v>
      </c>
      <c r="DF21">
        <v>0</v>
      </c>
      <c r="DG21">
        <v>0</v>
      </c>
      <c r="DH21">
        <v>0</v>
      </c>
      <c r="DI21">
        <v>0</v>
      </c>
      <c r="DJ21" s="500">
        <v>-4731300000</v>
      </c>
      <c r="DK21" s="500">
        <v>0</v>
      </c>
      <c r="DL21" s="37">
        <v>-4731300000</v>
      </c>
      <c r="DM21" s="37">
        <v>-4731300000</v>
      </c>
      <c r="DN21" s="37">
        <v>-4731300000</v>
      </c>
      <c r="DO21" s="37">
        <v>-4731300000</v>
      </c>
      <c r="DP21" s="32">
        <f>Tradingbook_SBV[[#This Row],[Mat. Date]]-RPT</f>
        <v>-4428</v>
      </c>
      <c r="DQ21" s="32">
        <f>IF(Tradingbook_SBV[[#This Row],[Days]]&lt;=0,0,YEARFRAC(RPT,Tradingbook_SBV[[#This Row],[Mat. Date]],3))</f>
        <v>0</v>
      </c>
      <c r="DR21" s="32">
        <f>IF(Tradingbook_SBV[[#This Row],[Days (year)]]=0,0,INDEX(Ref!$K$2:$K$13,MATCH(Tradingbook_SBV[[#This Row],[Days (year)]],Ref!$I$2:$I$13,1)))</f>
        <v>0</v>
      </c>
      <c r="DS21" s="32" t="str">
        <f>VLOOKUP(Tradingbook_SBV[[#This Row],[Security Name]],Ref!X:Z,3,0)</f>
        <v>TPCP</v>
      </c>
      <c r="DT21" s="32" t="str">
        <f>VLOOKUP(Tradingbook_SBV[[#This Row],[Security Name]],Ref!X:Y,2,0)</f>
        <v>KBNN</v>
      </c>
      <c r="DU21" s="71">
        <f>IF((Tradingbook_SBV[[#This Row],[Mat. Date]]-RPT)&lt;=0,0,Tradingbook_SBV[[#This Row],[QUANTITY]])</f>
        <v>0</v>
      </c>
      <c r="DV21" s="71">
        <f>IF(Tradingbook_SBV[[#This Row],[Quantity_edited]]=0,0,Tradingbook_SBV[[#This Row],[DURATION]])</f>
        <v>0</v>
      </c>
      <c r="DW21" s="71">
        <f>IF(Tradingbook_SBV[[#This Row],[Quantity_edited]]=0,0,Tradingbook_SBV[[#This Row],[Mod Dur]])</f>
        <v>0</v>
      </c>
      <c r="DX21" s="71">
        <f>IF(Tradingbook_SBV[[#This Row],[Quantity_edited]]=0,0,Tradingbook_SBV[[#This Row],[Cnvx.]])</f>
        <v>0</v>
      </c>
      <c r="DY21" s="71">
        <f>(Tradingbook_SBV[[#This Row],[MARKET_VALUE]]+Tradingbook_SBV[[#This Row],[Accr Int]]*Tradingbook_SBV[[#This Row],[Quantity_edited]])*(-Tradingbook_SBV[[#This Row],[Modified Duration]]*0.0001+0.5*Tradingbook_SBV[[#This Row],[Conv]]*(0.0001^2))</f>
        <v>0</v>
      </c>
      <c r="DZ21" s="71">
        <f>(Tradingbook_SBV[[#This Row],[MARKET_VALUE]]+Tradingbook_SBV[[#This Row],[Accr Int]]*Tradingbook_SBV[[#This Row],[Quantity_edited]])*(-Tradingbook_SBV[[#This Row],[Modified Duration]]*0.01+0.5*Tradingbook_SBV[[#This Row],[Conv]]*(0.01^2))</f>
        <v>0</v>
      </c>
      <c r="EC21" t="s">
        <v>166</v>
      </c>
      <c r="ED21" t="s">
        <v>167</v>
      </c>
      <c r="EE21" t="s">
        <v>232</v>
      </c>
      <c r="EF21" t="s">
        <v>169</v>
      </c>
      <c r="EG21" s="35" t="s">
        <v>3340</v>
      </c>
      <c r="EH21" t="s">
        <v>3322</v>
      </c>
      <c r="EK21" s="500">
        <v>0</v>
      </c>
      <c r="EL21" s="500">
        <v>0</v>
      </c>
      <c r="EM21" s="500">
        <v>0</v>
      </c>
      <c r="EN21" s="500">
        <v>0</v>
      </c>
      <c r="EO21">
        <v>11.4</v>
      </c>
      <c r="EP21">
        <v>0</v>
      </c>
      <c r="EQ21">
        <v>90972000000</v>
      </c>
      <c r="ER21">
        <v>99860698275.000092</v>
      </c>
      <c r="ES21">
        <v>-51159446199.727966</v>
      </c>
      <c r="ET21">
        <v>11.4</v>
      </c>
      <c r="EU21">
        <v>0</v>
      </c>
      <c r="EV21">
        <v>0</v>
      </c>
      <c r="EW21">
        <v>0</v>
      </c>
      <c r="EX21">
        <v>0</v>
      </c>
      <c r="EY21">
        <v>0</v>
      </c>
      <c r="EZ21">
        <v>0</v>
      </c>
      <c r="FA21">
        <v>2340300000</v>
      </c>
      <c r="FB21">
        <v>0</v>
      </c>
      <c r="FC21">
        <v>2340300000</v>
      </c>
      <c r="FD21">
        <v>2340300000</v>
      </c>
      <c r="FE21">
        <v>2340300000</v>
      </c>
      <c r="FF21">
        <v>2340300000</v>
      </c>
      <c r="FG21" s="32">
        <f>Bankingbook_SBV[[#This Row],[Mat. Date]]-RPT</f>
        <v>-4100</v>
      </c>
      <c r="FH21" s="32">
        <f>IF(Bankingbook_SBV[[#This Row],[Days]]&lt;=0,0,YEARFRAC(RPT,Bankingbook_SBV[[#This Row],[Mat. Date]],3))</f>
        <v>0</v>
      </c>
      <c r="FI21" s="32">
        <f>IF(Bankingbook_SBV[[#This Row],[Days (year)]]=0,0,INDEX(Ref!$K$2:$K$13,MATCH(Bankingbook_SBV[[#This Row],[Days (year)]],Ref!$I$2:$I$13,1)))</f>
        <v>0</v>
      </c>
      <c r="FJ21" s="32" t="str">
        <f>VLOOKUP(Bankingbook_SBV[[#This Row],[Security Name]],Ref!X:Z,3,0)</f>
        <v>TPCPBL</v>
      </c>
      <c r="FK21" s="32" t="str">
        <f>VLOOKUP(Bankingbook_SBV[[#This Row],[Security Name]],Ref!X:Y,2,0)</f>
        <v>VDB</v>
      </c>
      <c r="FL21" s="72">
        <f>IF((Bankingbook_SBV[[#This Row],[Mat. Date]]-RPT)&lt;=0,0,Bankingbook_SBV[[#This Row],[QUANTITY]])</f>
        <v>0</v>
      </c>
      <c r="FM21" s="32">
        <f>IF(Bankingbook_SBV[[#This Row],[Quantity_edited]]=0,0,Bankingbook_SBV[[#This Row],[DURATION]])</f>
        <v>0</v>
      </c>
      <c r="FN21" s="32">
        <f>IF(Bankingbook_SBV[[#This Row],[Quantity_edited]]=0,0,Bankingbook_SBV[[#This Row],[Mod Dur]])</f>
        <v>0</v>
      </c>
      <c r="FO21" s="32">
        <f>IF(Bankingbook_SBV[[#This Row],[Quantity_edited]]=0,0,Bankingbook_SBV[[#This Row],[Cnvx.]])</f>
        <v>0</v>
      </c>
      <c r="FP21" s="32">
        <f>(Bankingbook_SBV[[#This Row],[MARKET_VALUE]]+Bankingbook_SBV[[#This Row],[Accr Int]]*Bankingbook_SBV[[#This Row],[Quantity_edited]])*(-Bankingbook_SBV[[#This Row],[Modified Duration]]*0.0001+0.5*Bankingbook_SBV[[#This Row],[Conv]]*(0.0001^2))</f>
        <v>0</v>
      </c>
      <c r="FQ21" s="32">
        <f>(Bankingbook_SBV[[#This Row],[MARKET_VALUE]]+Bankingbook_SBV[[#This Row],[Accr Int]]*Bankingbook_SBV[[#This Row],[Quantity_edited]])*(-Bankingbook_SBV[[#This Row],[Modified Duration]]*0.01+0.5*Bankingbook_SBV[[#This Row],[Conv]]*(0.01^2))</f>
        <v>0</v>
      </c>
      <c r="FT21" t="s">
        <v>166</v>
      </c>
      <c r="FU21" t="s">
        <v>790</v>
      </c>
      <c r="FV21" t="s">
        <v>3981</v>
      </c>
      <c r="FW21">
        <v>3301691</v>
      </c>
      <c r="FX21" s="502">
        <v>46210</v>
      </c>
      <c r="FY21" t="s">
        <v>2176</v>
      </c>
      <c r="FZ21" t="s">
        <v>823</v>
      </c>
      <c r="GA21" t="s">
        <v>2829</v>
      </c>
      <c r="GB21" t="s">
        <v>810</v>
      </c>
      <c r="GC21" t="s">
        <v>2799</v>
      </c>
      <c r="GD21" s="500">
        <v>-195950000000</v>
      </c>
      <c r="GE21">
        <v>10.000114999999999</v>
      </c>
      <c r="GF21" s="502">
        <v>46212</v>
      </c>
      <c r="GG21" s="502">
        <v>46272</v>
      </c>
      <c r="GH21">
        <v>4.58</v>
      </c>
      <c r="GI21" t="s">
        <v>811</v>
      </c>
      <c r="GJ21" t="s">
        <v>3321</v>
      </c>
      <c r="GK21" t="s">
        <v>3321</v>
      </c>
      <c r="GL21">
        <v>1047788194.4400001</v>
      </c>
      <c r="GM21">
        <v>-983507945.21000004</v>
      </c>
      <c r="GN21">
        <v>218492500000</v>
      </c>
      <c r="GO21">
        <v>10.32</v>
      </c>
      <c r="GP21">
        <v>0.05</v>
      </c>
      <c r="GQ21">
        <v>4.4999999999999998E-2</v>
      </c>
      <c r="GR21">
        <v>6.2271070000000002</v>
      </c>
      <c r="GS21">
        <v>-196768009933.48001</v>
      </c>
      <c r="GT21">
        <v>-818009933.48000002</v>
      </c>
      <c r="GU21" t="s">
        <v>4140</v>
      </c>
      <c r="GV21" t="s">
        <v>4140</v>
      </c>
      <c r="GW21" s="416">
        <f>FNRP_Repo[[#This Row],[Mat. Date]]-RPT</f>
        <v>20</v>
      </c>
      <c r="GX21" s="819" t="str">
        <f>IF(FNRP_Repo[[#This Row],[Days]]&lt;=0,"Mat",INDEX(Ref!U:U,MATCH(FNRP_Repo[[#This Row],[Days]],Ref!S:S,1)))</f>
        <v>3W</v>
      </c>
      <c r="GY21" s="417">
        <f>RIGHT(FNRP_Repo[[#This Row],[Deal Id]],5)+0</f>
        <v>17995</v>
      </c>
    </row>
    <row r="22" spans="2:207" x14ac:dyDescent="0.3">
      <c r="B22" t="s">
        <v>166</v>
      </c>
      <c r="C22" t="s">
        <v>167</v>
      </c>
      <c r="D22" t="s">
        <v>192</v>
      </c>
      <c r="E22" t="s">
        <v>169</v>
      </c>
      <c r="F22" s="502">
        <v>41835</v>
      </c>
      <c r="G22" t="s">
        <v>3322</v>
      </c>
      <c r="H22"/>
      <c r="I22"/>
      <c r="J22" s="38">
        <v>0</v>
      </c>
      <c r="K22">
        <v>0</v>
      </c>
      <c r="L22">
        <v>0</v>
      </c>
      <c r="M22" s="38">
        <v>0</v>
      </c>
      <c r="N22">
        <v>9.4</v>
      </c>
      <c r="O22">
        <v>0</v>
      </c>
      <c r="P22" s="37">
        <v>0</v>
      </c>
      <c r="Q22" s="37">
        <v>0</v>
      </c>
      <c r="R22" s="37">
        <v>-356500307.29166222</v>
      </c>
      <c r="S22">
        <v>9.4</v>
      </c>
      <c r="T22" s="70">
        <v>0</v>
      </c>
      <c r="U22">
        <v>0</v>
      </c>
      <c r="V22">
        <v>0</v>
      </c>
      <c r="W22">
        <v>0</v>
      </c>
      <c r="X22" s="38">
        <v>0</v>
      </c>
      <c r="Y22">
        <v>0</v>
      </c>
      <c r="Z22" s="70">
        <v>357500000</v>
      </c>
      <c r="AA22" s="70">
        <v>0</v>
      </c>
      <c r="AB22" s="70">
        <v>357500000</v>
      </c>
      <c r="AC22" s="70">
        <v>357500000</v>
      </c>
      <c r="AD22" s="70">
        <v>357500000</v>
      </c>
      <c r="AE22" s="70">
        <v>357500000</v>
      </c>
      <c r="AF22">
        <v>0</v>
      </c>
      <c r="AG22" s="72">
        <f>Tradingbook_MSB[[#This Row],[Mat. Date]]-RPT</f>
        <v>-4417</v>
      </c>
      <c r="AH22" s="71">
        <f>IF(Tradingbook_MSB[[#This Row],[Days]]&lt;=0,0,YEARFRAC(RPT,Tradingbook_MSB[[#This Row],[Mat. Date]],3))</f>
        <v>0</v>
      </c>
      <c r="AI22" s="71">
        <f>IF(Tradingbook_MSB[[#This Row],[Days (year)]]=0,0,INDEX(Ref!$K$2:$K$13,MATCH(Tradingbook_MSB[[#This Row],[Days (year)]],Ref!$I$2:$I$13,1)))</f>
        <v>0</v>
      </c>
      <c r="AJ22" s="120" t="str">
        <f>VLOOKUP(Tradingbook_MSB[[#This Row],[Security Name]],Ref!X:Z,3,0)</f>
        <v>TPCP</v>
      </c>
      <c r="AK22" s="120" t="str">
        <f>VLOOKUP(Tradingbook_MSB[[#This Row],[Security Name]],Ref!X:Y,2,0)</f>
        <v>KBNN</v>
      </c>
      <c r="AL22" s="71">
        <f>IF((Tradingbook_MSB[[#This Row],[Mat. Date]]-RPT)&lt;=0,0,Tradingbook_MSB[[#This Row],[QUANTITY]])</f>
        <v>0</v>
      </c>
      <c r="AM22" s="71">
        <f>IF(Tradingbook_MSB[[#This Row],[Quantity_edited]]=0,0,Tradingbook_MSB[[#This Row],[DURATION]])</f>
        <v>0</v>
      </c>
      <c r="AN22" s="71">
        <f>IF(Tradingbook_MSB[[#This Row],[Quantity_edited]]=0,0,Tradingbook_MSB[[#This Row],[Mod Dur]])</f>
        <v>0</v>
      </c>
      <c r="AO22" s="71">
        <f>IF(Tradingbook_MSB[[#This Row],[Quantity_edited]]=0,0,Tradingbook_MSB[[#This Row],[Cnvx.]])</f>
        <v>0</v>
      </c>
      <c r="AP22" s="71">
        <f>(Tradingbook_MSB[[#This Row],[MARKET_VALUE]]+Tradingbook_MSB[[#This Row],[Accr Int]]*Tradingbook_MSB[[#This Row],[Quantity_edited]])*(-Tradingbook_MSB[[#This Row],[Modified Duration]]*0.0001+0.5*Tradingbook_MSB[[#This Row],[Conv]]*(0.0001^2))</f>
        <v>0</v>
      </c>
      <c r="AQ22" s="72">
        <f>(Tradingbook_MSB[[#This Row],[MARKET_VALUE]]+Tradingbook_MSB[[#This Row],[Accr Int]]*Tradingbook_MSB[[#This Row],[Quantity_edited]])*(-Tradingbook_MSB[[#This Row],[Modified Duration]]*0.01+0.5*Tradingbook_MSB[[#This Row],[Conv]]*(0.01^2))</f>
        <v>0</v>
      </c>
      <c r="AR22" s="71"/>
      <c r="AT22" t="s">
        <v>166</v>
      </c>
      <c r="AU22" t="s">
        <v>167</v>
      </c>
      <c r="AV22" t="s">
        <v>233</v>
      </c>
      <c r="AW22" t="s">
        <v>169</v>
      </c>
      <c r="AX22" t="s">
        <v>3341</v>
      </c>
      <c r="AY22" t="s">
        <v>3322</v>
      </c>
      <c r="BB22" s="49">
        <v>0</v>
      </c>
      <c r="BC22">
        <v>0</v>
      </c>
      <c r="BD22">
        <v>0</v>
      </c>
      <c r="BE22" s="37">
        <v>0</v>
      </c>
      <c r="BF22">
        <v>9.5</v>
      </c>
      <c r="BG22">
        <v>0</v>
      </c>
      <c r="BH22" s="34">
        <v>104500000000</v>
      </c>
      <c r="BI22">
        <v>111159480208.33331</v>
      </c>
      <c r="BJ22">
        <v>-66693741193.228882</v>
      </c>
      <c r="BK22">
        <v>9.5</v>
      </c>
      <c r="BL22">
        <v>0</v>
      </c>
      <c r="BM22">
        <v>0</v>
      </c>
      <c r="BN22">
        <v>0</v>
      </c>
      <c r="BO22">
        <v>0</v>
      </c>
      <c r="BP22">
        <v>0</v>
      </c>
      <c r="BQ22">
        <v>0</v>
      </c>
      <c r="BR22">
        <v>28984600000</v>
      </c>
      <c r="BS22">
        <v>0</v>
      </c>
      <c r="BT22">
        <v>28984600000</v>
      </c>
      <c r="BU22">
        <v>28984600000</v>
      </c>
      <c r="BV22">
        <v>28984600000</v>
      </c>
      <c r="BW22">
        <v>28984600000</v>
      </c>
      <c r="BX22">
        <v>0</v>
      </c>
      <c r="BY22" s="32">
        <f>Bankingbook_MSB[[#This Row],[Mat. Date]]-RPT</f>
        <v>-4099</v>
      </c>
      <c r="BZ22" s="71">
        <f>IF(Bankingbook_MSB[[#This Row],[Days]]&lt;=0,0,YEARFRAC(RPT,Bankingbook_MSB[[#This Row],[Mat. Date]],3))</f>
        <v>0</v>
      </c>
      <c r="CA22" s="71">
        <f>IF(Bankingbook_MSB[[#This Row],[Days (year)]]=0,0,INDEX(Ref!$K$2:$K$13,MATCH(Bankingbook_MSB[[#This Row],[Days (year)]],Ref!$I$2:$I$13,1)))</f>
        <v>0</v>
      </c>
      <c r="CB22" s="32" t="str">
        <f>VLOOKUP(Bankingbook_MSB[[#This Row],[Security Name]],Ref!X:Z,3,0)</f>
        <v>TPCPBL</v>
      </c>
      <c r="CC22" s="32" t="str">
        <f>VLOOKUP(Bankingbook_MSB[[#This Row],[Security Name]],Ref!X:Y,2,0)</f>
        <v>VDB</v>
      </c>
      <c r="CD22" s="72">
        <f>IF((Bankingbook_MSB[[#This Row],[Mat. Date]]-RPT)&lt;=0,0,Bankingbook_MSB[[#This Row],[QUANTITY]])</f>
        <v>0</v>
      </c>
      <c r="CE22" s="71">
        <f>IF(Bankingbook_MSB[[#This Row],[Quantity_edited]]=0,0,Bankingbook_MSB[[#This Row],[DURATION]])</f>
        <v>0</v>
      </c>
      <c r="CF22" s="71">
        <f>IF(Bankingbook_MSB[[#This Row],[Quantity_edited]]=0,0,Bankingbook_MSB[[#This Row],[Mod Dur]])</f>
        <v>0</v>
      </c>
      <c r="CG22" s="71">
        <f>IF(Bankingbook_MSB[[#This Row],[Quantity_edited]]=0,0,Bankingbook_MSB[[#This Row],[Cnvx.]])</f>
        <v>0</v>
      </c>
      <c r="CH22" s="71">
        <f>(Bankingbook_MSB[[#This Row],[MARKET_VALUE]]+Bankingbook_MSB[[#This Row],[Accr Int]]*Bankingbook_MSB[[#This Row],[Quantity_edited]])*(-Bankingbook_MSB[[#This Row],[Modified Duration]]*0.0001+0.5*Bankingbook_MSB[[#This Row],[Conv]]*(0.0001^2))</f>
        <v>0</v>
      </c>
      <c r="CI22" s="71">
        <f>(Bankingbook_MSB[[#This Row],[MARKET_VALUE]]+Bankingbook_MSB[[#This Row],[Accr Int]]*Bankingbook_MSB[[#This Row],[Quantity_edited]])*(-Bankingbook_MSB[[#This Row],[Modified Duration]]*0.01+0.5*Bankingbook_MSB[[#This Row],[Conv]]*(0.01^2))</f>
        <v>0</v>
      </c>
      <c r="CJ22" s="32"/>
      <c r="CL22" t="s">
        <v>166</v>
      </c>
      <c r="CM22" t="s">
        <v>167</v>
      </c>
      <c r="CN22" t="s">
        <v>192</v>
      </c>
      <c r="CO22" t="s">
        <v>169</v>
      </c>
      <c r="CP22" s="35">
        <v>41835</v>
      </c>
      <c r="CQ22" t="s">
        <v>3322</v>
      </c>
      <c r="CR22" t="s">
        <v>174</v>
      </c>
      <c r="CS22" t="s">
        <v>174</v>
      </c>
      <c r="CT22" s="49">
        <v>0</v>
      </c>
      <c r="CU22">
        <v>0</v>
      </c>
      <c r="CV22">
        <v>0</v>
      </c>
      <c r="CW22" s="70">
        <v>0</v>
      </c>
      <c r="CX22">
        <v>9.4</v>
      </c>
      <c r="CY22">
        <v>0</v>
      </c>
      <c r="CZ22">
        <v>0</v>
      </c>
      <c r="DA22">
        <v>0</v>
      </c>
      <c r="DB22">
        <v>-356500307.29166222</v>
      </c>
      <c r="DC22">
        <v>9.4</v>
      </c>
      <c r="DD22">
        <v>0</v>
      </c>
      <c r="DE22">
        <v>0</v>
      </c>
      <c r="DF22">
        <v>0</v>
      </c>
      <c r="DG22">
        <v>0</v>
      </c>
      <c r="DH22">
        <v>0</v>
      </c>
      <c r="DI22">
        <v>0</v>
      </c>
      <c r="DJ22" s="500">
        <v>357500000</v>
      </c>
      <c r="DK22" s="500">
        <v>0</v>
      </c>
      <c r="DL22" s="37">
        <v>357500000</v>
      </c>
      <c r="DM22" s="37">
        <v>357500000</v>
      </c>
      <c r="DN22" s="37">
        <v>357500000</v>
      </c>
      <c r="DO22" s="37">
        <v>357500000</v>
      </c>
      <c r="DP22" s="32">
        <f>Tradingbook_SBV[[#This Row],[Mat. Date]]-RPT</f>
        <v>-4417</v>
      </c>
      <c r="DQ22" s="32">
        <f>IF(Tradingbook_SBV[[#This Row],[Days]]&lt;=0,0,YEARFRAC(RPT,Tradingbook_SBV[[#This Row],[Mat. Date]],3))</f>
        <v>0</v>
      </c>
      <c r="DR22" s="32">
        <f>IF(Tradingbook_SBV[[#This Row],[Days (year)]]=0,0,INDEX(Ref!$K$2:$K$13,MATCH(Tradingbook_SBV[[#This Row],[Days (year)]],Ref!$I$2:$I$13,1)))</f>
        <v>0</v>
      </c>
      <c r="DS22" s="32" t="str">
        <f>VLOOKUP(Tradingbook_SBV[[#This Row],[Security Name]],Ref!X:Z,3,0)</f>
        <v>TPCP</v>
      </c>
      <c r="DT22" s="32" t="str">
        <f>VLOOKUP(Tradingbook_SBV[[#This Row],[Security Name]],Ref!X:Y,2,0)</f>
        <v>KBNN</v>
      </c>
      <c r="DU22" s="71">
        <f>IF((Tradingbook_SBV[[#This Row],[Mat. Date]]-RPT)&lt;=0,0,Tradingbook_SBV[[#This Row],[QUANTITY]])</f>
        <v>0</v>
      </c>
      <c r="DV22" s="71">
        <f>IF(Tradingbook_SBV[[#This Row],[Quantity_edited]]=0,0,Tradingbook_SBV[[#This Row],[DURATION]])</f>
        <v>0</v>
      </c>
      <c r="DW22" s="71">
        <f>IF(Tradingbook_SBV[[#This Row],[Quantity_edited]]=0,0,Tradingbook_SBV[[#This Row],[Mod Dur]])</f>
        <v>0</v>
      </c>
      <c r="DX22" s="71">
        <f>IF(Tradingbook_SBV[[#This Row],[Quantity_edited]]=0,0,Tradingbook_SBV[[#This Row],[Cnvx.]])</f>
        <v>0</v>
      </c>
      <c r="DY22" s="71">
        <f>(Tradingbook_SBV[[#This Row],[MARKET_VALUE]]+Tradingbook_SBV[[#This Row],[Accr Int]]*Tradingbook_SBV[[#This Row],[Quantity_edited]])*(-Tradingbook_SBV[[#This Row],[Modified Duration]]*0.0001+0.5*Tradingbook_SBV[[#This Row],[Conv]]*(0.0001^2))</f>
        <v>0</v>
      </c>
      <c r="DZ22" s="71">
        <f>(Tradingbook_SBV[[#This Row],[MARKET_VALUE]]+Tradingbook_SBV[[#This Row],[Accr Int]]*Tradingbook_SBV[[#This Row],[Quantity_edited]])*(-Tradingbook_SBV[[#This Row],[Modified Duration]]*0.01+0.5*Tradingbook_SBV[[#This Row],[Conv]]*(0.01^2))</f>
        <v>0</v>
      </c>
      <c r="EC22" t="s">
        <v>166</v>
      </c>
      <c r="ED22" t="s">
        <v>167</v>
      </c>
      <c r="EE22" t="s">
        <v>233</v>
      </c>
      <c r="EF22" t="s">
        <v>169</v>
      </c>
      <c r="EG22" s="35" t="s">
        <v>3341</v>
      </c>
      <c r="EH22" t="s">
        <v>3322</v>
      </c>
      <c r="EK22" s="500">
        <v>0</v>
      </c>
      <c r="EL22" s="500">
        <v>0</v>
      </c>
      <c r="EM22" s="500">
        <v>0</v>
      </c>
      <c r="EN22" s="500">
        <v>0</v>
      </c>
      <c r="EO22">
        <v>9.5</v>
      </c>
      <c r="EP22">
        <v>0</v>
      </c>
      <c r="EQ22">
        <v>104500000000</v>
      </c>
      <c r="ER22">
        <v>111159480208.33331</v>
      </c>
      <c r="ES22">
        <v>-66693741193.228882</v>
      </c>
      <c r="ET22">
        <v>9.5</v>
      </c>
      <c r="EU22">
        <v>0</v>
      </c>
      <c r="EV22">
        <v>0</v>
      </c>
      <c r="EW22">
        <v>0</v>
      </c>
      <c r="EX22">
        <v>0</v>
      </c>
      <c r="EY22">
        <v>0</v>
      </c>
      <c r="EZ22">
        <v>0</v>
      </c>
      <c r="FA22">
        <v>28984600000</v>
      </c>
      <c r="FB22">
        <v>0</v>
      </c>
      <c r="FC22">
        <v>28984600000</v>
      </c>
      <c r="FD22">
        <v>28984600000</v>
      </c>
      <c r="FE22">
        <v>28984600000</v>
      </c>
      <c r="FF22">
        <v>28984600000</v>
      </c>
      <c r="FG22" s="32">
        <f>Bankingbook_SBV[[#This Row],[Mat. Date]]-RPT</f>
        <v>-4099</v>
      </c>
      <c r="FH22" s="32">
        <f>IF(Bankingbook_SBV[[#This Row],[Days]]&lt;=0,0,YEARFRAC(RPT,Bankingbook_SBV[[#This Row],[Mat. Date]],3))</f>
        <v>0</v>
      </c>
      <c r="FI22" s="32">
        <f>IF(Bankingbook_SBV[[#This Row],[Days (year)]]=0,0,INDEX(Ref!$K$2:$K$13,MATCH(Bankingbook_SBV[[#This Row],[Days (year)]],Ref!$I$2:$I$13,1)))</f>
        <v>0</v>
      </c>
      <c r="FJ22" s="32" t="str">
        <f>VLOOKUP(Bankingbook_SBV[[#This Row],[Security Name]],Ref!X:Z,3,0)</f>
        <v>TPCPBL</v>
      </c>
      <c r="FK22" s="32" t="str">
        <f>VLOOKUP(Bankingbook_SBV[[#This Row],[Security Name]],Ref!X:Y,2,0)</f>
        <v>VDB</v>
      </c>
      <c r="FL22" s="72">
        <f>IF((Bankingbook_SBV[[#This Row],[Mat. Date]]-RPT)&lt;=0,0,Bankingbook_SBV[[#This Row],[QUANTITY]])</f>
        <v>0</v>
      </c>
      <c r="FM22" s="32">
        <f>IF(Bankingbook_SBV[[#This Row],[Quantity_edited]]=0,0,Bankingbook_SBV[[#This Row],[DURATION]])</f>
        <v>0</v>
      </c>
      <c r="FN22" s="32">
        <f>IF(Bankingbook_SBV[[#This Row],[Quantity_edited]]=0,0,Bankingbook_SBV[[#This Row],[Mod Dur]])</f>
        <v>0</v>
      </c>
      <c r="FO22" s="32">
        <f>IF(Bankingbook_SBV[[#This Row],[Quantity_edited]]=0,0,Bankingbook_SBV[[#This Row],[Cnvx.]])</f>
        <v>0</v>
      </c>
      <c r="FP22" s="32">
        <f>(Bankingbook_SBV[[#This Row],[MARKET_VALUE]]+Bankingbook_SBV[[#This Row],[Accr Int]]*Bankingbook_SBV[[#This Row],[Quantity_edited]])*(-Bankingbook_SBV[[#This Row],[Modified Duration]]*0.0001+0.5*Bankingbook_SBV[[#This Row],[Conv]]*(0.0001^2))</f>
        <v>0</v>
      </c>
      <c r="FQ22" s="32">
        <f>(Bankingbook_SBV[[#This Row],[MARKET_VALUE]]+Bankingbook_SBV[[#This Row],[Accr Int]]*Bankingbook_SBV[[#This Row],[Quantity_edited]])*(-Bankingbook_SBV[[#This Row],[Modified Duration]]*0.01+0.5*Bankingbook_SBV[[#This Row],[Conv]]*(0.01^2))</f>
        <v>0</v>
      </c>
      <c r="FT22" t="s">
        <v>166</v>
      </c>
      <c r="FU22" t="s">
        <v>790</v>
      </c>
      <c r="FV22" t="s">
        <v>3897</v>
      </c>
      <c r="FW22">
        <v>3273714</v>
      </c>
      <c r="FX22" s="502">
        <v>46181</v>
      </c>
      <c r="FY22" t="s">
        <v>2176</v>
      </c>
      <c r="FZ22" t="s">
        <v>823</v>
      </c>
      <c r="GA22" t="s">
        <v>2829</v>
      </c>
      <c r="GB22" t="s">
        <v>810</v>
      </c>
      <c r="GC22" t="s">
        <v>2834</v>
      </c>
      <c r="GD22" s="500">
        <v>-82871000000</v>
      </c>
      <c r="GE22">
        <v>9.9991310000000002</v>
      </c>
      <c r="GF22" s="502">
        <v>46183</v>
      </c>
      <c r="GG22" s="502">
        <v>46273</v>
      </c>
      <c r="GH22">
        <v>4.5999999999999996</v>
      </c>
      <c r="GI22" t="s">
        <v>811</v>
      </c>
      <c r="GJ22" t="s">
        <v>3321</v>
      </c>
      <c r="GK22" t="s">
        <v>3321</v>
      </c>
      <c r="GL22">
        <v>838723579.16999996</v>
      </c>
      <c r="GM22">
        <v>-720637134.25</v>
      </c>
      <c r="GN22">
        <v>89521000000</v>
      </c>
      <c r="GO22">
        <v>7.43</v>
      </c>
      <c r="GP22">
        <v>0.05</v>
      </c>
      <c r="GQ22">
        <v>4.8000000000000001E-2</v>
      </c>
      <c r="GR22">
        <v>6.2841670000000001</v>
      </c>
      <c r="GS22">
        <v>-83515267333.690002</v>
      </c>
      <c r="GT22">
        <v>-644267333.69000006</v>
      </c>
      <c r="GU22" t="s">
        <v>4143</v>
      </c>
      <c r="GV22" t="s">
        <v>4143</v>
      </c>
      <c r="GW22" s="416">
        <f>FNRP_Repo[[#This Row],[Mat. Date]]-RPT</f>
        <v>21</v>
      </c>
      <c r="GX22" s="819" t="str">
        <f>IF(FNRP_Repo[[#This Row],[Days]]&lt;=0,"Mat",INDEX(Ref!U:U,MATCH(FNRP_Repo[[#This Row],[Days]],Ref!S:S,1)))</f>
        <v>3W</v>
      </c>
      <c r="GY22" s="417">
        <f>RIGHT(FNRP_Repo[[#This Row],[Deal Id]],5)+0</f>
        <v>17741</v>
      </c>
    </row>
    <row r="23" spans="2:207" x14ac:dyDescent="0.3">
      <c r="B23" t="s">
        <v>166</v>
      </c>
      <c r="C23" t="s">
        <v>167</v>
      </c>
      <c r="D23" t="s">
        <v>193</v>
      </c>
      <c r="E23" t="s">
        <v>169</v>
      </c>
      <c r="F23" s="502">
        <v>41888</v>
      </c>
      <c r="G23" t="s">
        <v>3322</v>
      </c>
      <c r="H23"/>
      <c r="I23"/>
      <c r="J23" s="38">
        <v>0</v>
      </c>
      <c r="K23">
        <v>0</v>
      </c>
      <c r="L23">
        <v>0</v>
      </c>
      <c r="M23" s="38">
        <v>0</v>
      </c>
      <c r="N23">
        <v>12.28</v>
      </c>
      <c r="O23">
        <v>0</v>
      </c>
      <c r="P23" s="37">
        <v>0</v>
      </c>
      <c r="Q23" s="37">
        <v>0</v>
      </c>
      <c r="R23" s="37">
        <v>-996937465.97222471</v>
      </c>
      <c r="S23">
        <v>12.28</v>
      </c>
      <c r="T23" s="70">
        <v>0</v>
      </c>
      <c r="U23">
        <v>0</v>
      </c>
      <c r="V23">
        <v>0</v>
      </c>
      <c r="W23">
        <v>0</v>
      </c>
      <c r="X23" s="38">
        <v>0</v>
      </c>
      <c r="Y23">
        <v>0</v>
      </c>
      <c r="Z23" s="70">
        <v>-72000000</v>
      </c>
      <c r="AA23" s="70">
        <v>0</v>
      </c>
      <c r="AB23" s="70">
        <v>-72000000</v>
      </c>
      <c r="AC23" s="70">
        <v>-72000000</v>
      </c>
      <c r="AD23" s="70">
        <v>-72000000</v>
      </c>
      <c r="AE23" s="70">
        <v>-72000000</v>
      </c>
      <c r="AF23">
        <v>0</v>
      </c>
      <c r="AG23" s="72">
        <f>Tradingbook_MSB[[#This Row],[Mat. Date]]-RPT</f>
        <v>-4364</v>
      </c>
      <c r="AH23" s="71">
        <f>IF(Tradingbook_MSB[[#This Row],[Days]]&lt;=0,0,YEARFRAC(RPT,Tradingbook_MSB[[#This Row],[Mat. Date]],3))</f>
        <v>0</v>
      </c>
      <c r="AI23" s="71">
        <f>IF(Tradingbook_MSB[[#This Row],[Days (year)]]=0,0,INDEX(Ref!$K$2:$K$13,MATCH(Tradingbook_MSB[[#This Row],[Days (year)]],Ref!$I$2:$I$13,1)))</f>
        <v>0</v>
      </c>
      <c r="AJ23" s="120" t="str">
        <f>VLOOKUP(Tradingbook_MSB[[#This Row],[Security Name]],Ref!X:Z,3,0)</f>
        <v>TPCP</v>
      </c>
      <c r="AK23" s="120" t="str">
        <f>VLOOKUP(Tradingbook_MSB[[#This Row],[Security Name]],Ref!X:Y,2,0)</f>
        <v>KBNN</v>
      </c>
      <c r="AL23" s="71">
        <f>IF((Tradingbook_MSB[[#This Row],[Mat. Date]]-RPT)&lt;=0,0,Tradingbook_MSB[[#This Row],[QUANTITY]])</f>
        <v>0</v>
      </c>
      <c r="AM23" s="71">
        <f>IF(Tradingbook_MSB[[#This Row],[Quantity_edited]]=0,0,Tradingbook_MSB[[#This Row],[DURATION]])</f>
        <v>0</v>
      </c>
      <c r="AN23" s="71">
        <f>IF(Tradingbook_MSB[[#This Row],[Quantity_edited]]=0,0,Tradingbook_MSB[[#This Row],[Mod Dur]])</f>
        <v>0</v>
      </c>
      <c r="AO23" s="71">
        <f>IF(Tradingbook_MSB[[#This Row],[Quantity_edited]]=0,0,Tradingbook_MSB[[#This Row],[Cnvx.]])</f>
        <v>0</v>
      </c>
      <c r="AP23" s="71">
        <f>(Tradingbook_MSB[[#This Row],[MARKET_VALUE]]+Tradingbook_MSB[[#This Row],[Accr Int]]*Tradingbook_MSB[[#This Row],[Quantity_edited]])*(-Tradingbook_MSB[[#This Row],[Modified Duration]]*0.0001+0.5*Tradingbook_MSB[[#This Row],[Conv]]*(0.0001^2))</f>
        <v>0</v>
      </c>
      <c r="AQ23" s="72">
        <f>(Tradingbook_MSB[[#This Row],[MARKET_VALUE]]+Tradingbook_MSB[[#This Row],[Accr Int]]*Tradingbook_MSB[[#This Row],[Quantity_edited]])*(-Tradingbook_MSB[[#This Row],[Modified Duration]]*0.01+0.5*Tradingbook_MSB[[#This Row],[Conv]]*(0.01^2))</f>
        <v>0</v>
      </c>
      <c r="AR23" s="71"/>
      <c r="AT23" t="s">
        <v>166</v>
      </c>
      <c r="AU23" t="s">
        <v>167</v>
      </c>
      <c r="AV23" t="s">
        <v>236</v>
      </c>
      <c r="AW23" t="s">
        <v>169</v>
      </c>
      <c r="AX23" t="s">
        <v>3342</v>
      </c>
      <c r="AY23" t="s">
        <v>3322</v>
      </c>
      <c r="BB23" s="49">
        <v>0</v>
      </c>
      <c r="BC23">
        <v>0</v>
      </c>
      <c r="BD23">
        <v>0</v>
      </c>
      <c r="BE23" s="37">
        <v>0</v>
      </c>
      <c r="BF23">
        <v>9.5</v>
      </c>
      <c r="BG23">
        <v>0</v>
      </c>
      <c r="BH23" s="34">
        <v>28500000000</v>
      </c>
      <c r="BI23">
        <v>30327879166.66666</v>
      </c>
      <c r="BJ23">
        <v>-16492157566.666592</v>
      </c>
      <c r="BK23">
        <v>9.5</v>
      </c>
      <c r="BL23">
        <v>0</v>
      </c>
      <c r="BM23">
        <v>0</v>
      </c>
      <c r="BN23">
        <v>0</v>
      </c>
      <c r="BO23">
        <v>0</v>
      </c>
      <c r="BP23">
        <v>0</v>
      </c>
      <c r="BQ23">
        <v>0</v>
      </c>
      <c r="BR23">
        <v>8379000000</v>
      </c>
      <c r="BS23">
        <v>0</v>
      </c>
      <c r="BT23">
        <v>8379000000</v>
      </c>
      <c r="BU23">
        <v>8379000000</v>
      </c>
      <c r="BV23">
        <v>8379000000</v>
      </c>
      <c r="BW23">
        <v>8379000000</v>
      </c>
      <c r="BX23">
        <v>0</v>
      </c>
      <c r="BY23" s="32">
        <f>Bankingbook_MSB[[#This Row],[Mat. Date]]-RPT</f>
        <v>-4086</v>
      </c>
      <c r="BZ23" s="71">
        <f>IF(Bankingbook_MSB[[#This Row],[Days]]&lt;=0,0,YEARFRAC(RPT,Bankingbook_MSB[[#This Row],[Mat. Date]],3))</f>
        <v>0</v>
      </c>
      <c r="CA23" s="71">
        <f>IF(Bankingbook_MSB[[#This Row],[Days (year)]]=0,0,INDEX(Ref!$K$2:$K$13,MATCH(Bankingbook_MSB[[#This Row],[Days (year)]],Ref!$I$2:$I$13,1)))</f>
        <v>0</v>
      </c>
      <c r="CB23" s="32" t="str">
        <f>VLOOKUP(Bankingbook_MSB[[#This Row],[Security Name]],Ref!X:Z,3,0)</f>
        <v>TPCPBL</v>
      </c>
      <c r="CC23" s="32" t="str">
        <f>VLOOKUP(Bankingbook_MSB[[#This Row],[Security Name]],Ref!X:Y,2,0)</f>
        <v>VDB</v>
      </c>
      <c r="CD23" s="72">
        <f>IF((Bankingbook_MSB[[#This Row],[Mat. Date]]-RPT)&lt;=0,0,Bankingbook_MSB[[#This Row],[QUANTITY]])</f>
        <v>0</v>
      </c>
      <c r="CE23" s="71">
        <f>IF(Bankingbook_MSB[[#This Row],[Quantity_edited]]=0,0,Bankingbook_MSB[[#This Row],[DURATION]])</f>
        <v>0</v>
      </c>
      <c r="CF23" s="71">
        <f>IF(Bankingbook_MSB[[#This Row],[Quantity_edited]]=0,0,Bankingbook_MSB[[#This Row],[Mod Dur]])</f>
        <v>0</v>
      </c>
      <c r="CG23" s="71">
        <f>IF(Bankingbook_MSB[[#This Row],[Quantity_edited]]=0,0,Bankingbook_MSB[[#This Row],[Cnvx.]])</f>
        <v>0</v>
      </c>
      <c r="CH23" s="71">
        <f>(Bankingbook_MSB[[#This Row],[MARKET_VALUE]]+Bankingbook_MSB[[#This Row],[Accr Int]]*Bankingbook_MSB[[#This Row],[Quantity_edited]])*(-Bankingbook_MSB[[#This Row],[Modified Duration]]*0.0001+0.5*Bankingbook_MSB[[#This Row],[Conv]]*(0.0001^2))</f>
        <v>0</v>
      </c>
      <c r="CI23" s="71">
        <f>(Bankingbook_MSB[[#This Row],[MARKET_VALUE]]+Bankingbook_MSB[[#This Row],[Accr Int]]*Bankingbook_MSB[[#This Row],[Quantity_edited]])*(-Bankingbook_MSB[[#This Row],[Modified Duration]]*0.01+0.5*Bankingbook_MSB[[#This Row],[Conv]]*(0.01^2))</f>
        <v>0</v>
      </c>
      <c r="CJ23" s="32"/>
      <c r="CL23" t="s">
        <v>166</v>
      </c>
      <c r="CM23" t="s">
        <v>167</v>
      </c>
      <c r="CN23" t="s">
        <v>193</v>
      </c>
      <c r="CO23" t="s">
        <v>169</v>
      </c>
      <c r="CP23" s="35">
        <v>41888</v>
      </c>
      <c r="CQ23" t="s">
        <v>3322</v>
      </c>
      <c r="CR23" t="s">
        <v>174</v>
      </c>
      <c r="CS23" t="s">
        <v>174</v>
      </c>
      <c r="CT23" s="49">
        <v>0</v>
      </c>
      <c r="CU23">
        <v>0</v>
      </c>
      <c r="CV23">
        <v>0</v>
      </c>
      <c r="CW23" s="70">
        <v>0</v>
      </c>
      <c r="CX23">
        <v>12.28</v>
      </c>
      <c r="CY23">
        <v>0</v>
      </c>
      <c r="CZ23">
        <v>0</v>
      </c>
      <c r="DA23">
        <v>0</v>
      </c>
      <c r="DB23">
        <v>-996937465.97222471</v>
      </c>
      <c r="DC23">
        <v>12.28</v>
      </c>
      <c r="DD23">
        <v>0</v>
      </c>
      <c r="DE23">
        <v>0</v>
      </c>
      <c r="DF23">
        <v>0</v>
      </c>
      <c r="DG23">
        <v>0</v>
      </c>
      <c r="DH23">
        <v>0</v>
      </c>
      <c r="DI23">
        <v>0</v>
      </c>
      <c r="DJ23" s="500">
        <v>-72000000</v>
      </c>
      <c r="DK23" s="500">
        <v>0</v>
      </c>
      <c r="DL23" s="37">
        <v>-72000000</v>
      </c>
      <c r="DM23" s="37">
        <v>-72000000</v>
      </c>
      <c r="DN23" s="37">
        <v>-72000000</v>
      </c>
      <c r="DO23" s="37">
        <v>-72000000</v>
      </c>
      <c r="DP23" s="32">
        <f>Tradingbook_SBV[[#This Row],[Mat. Date]]-RPT</f>
        <v>-4364</v>
      </c>
      <c r="DQ23" s="32">
        <f>IF(Tradingbook_SBV[[#This Row],[Days]]&lt;=0,0,YEARFRAC(RPT,Tradingbook_SBV[[#This Row],[Mat. Date]],3))</f>
        <v>0</v>
      </c>
      <c r="DR23" s="32">
        <f>IF(Tradingbook_SBV[[#This Row],[Days (year)]]=0,0,INDEX(Ref!$K$2:$K$13,MATCH(Tradingbook_SBV[[#This Row],[Days (year)]],Ref!$I$2:$I$13,1)))</f>
        <v>0</v>
      </c>
      <c r="DS23" s="32" t="str">
        <f>VLOOKUP(Tradingbook_SBV[[#This Row],[Security Name]],Ref!X:Z,3,0)</f>
        <v>TPCP</v>
      </c>
      <c r="DT23" s="32" t="str">
        <f>VLOOKUP(Tradingbook_SBV[[#This Row],[Security Name]],Ref!X:Y,2,0)</f>
        <v>KBNN</v>
      </c>
      <c r="DU23" s="71">
        <f>IF((Tradingbook_SBV[[#This Row],[Mat. Date]]-RPT)&lt;=0,0,Tradingbook_SBV[[#This Row],[QUANTITY]])</f>
        <v>0</v>
      </c>
      <c r="DV23" s="71">
        <f>IF(Tradingbook_SBV[[#This Row],[Quantity_edited]]=0,0,Tradingbook_SBV[[#This Row],[DURATION]])</f>
        <v>0</v>
      </c>
      <c r="DW23" s="71">
        <f>IF(Tradingbook_SBV[[#This Row],[Quantity_edited]]=0,0,Tradingbook_SBV[[#This Row],[Mod Dur]])</f>
        <v>0</v>
      </c>
      <c r="DX23" s="71">
        <f>IF(Tradingbook_SBV[[#This Row],[Quantity_edited]]=0,0,Tradingbook_SBV[[#This Row],[Cnvx.]])</f>
        <v>0</v>
      </c>
      <c r="DY23" s="71">
        <f>(Tradingbook_SBV[[#This Row],[MARKET_VALUE]]+Tradingbook_SBV[[#This Row],[Accr Int]]*Tradingbook_SBV[[#This Row],[Quantity_edited]])*(-Tradingbook_SBV[[#This Row],[Modified Duration]]*0.0001+0.5*Tradingbook_SBV[[#This Row],[Conv]]*(0.0001^2))</f>
        <v>0</v>
      </c>
      <c r="DZ23" s="71">
        <f>(Tradingbook_SBV[[#This Row],[MARKET_VALUE]]+Tradingbook_SBV[[#This Row],[Accr Int]]*Tradingbook_SBV[[#This Row],[Quantity_edited]])*(-Tradingbook_SBV[[#This Row],[Modified Duration]]*0.01+0.5*Tradingbook_SBV[[#This Row],[Conv]]*(0.01^2))</f>
        <v>0</v>
      </c>
      <c r="EC23" t="s">
        <v>166</v>
      </c>
      <c r="ED23" t="s">
        <v>167</v>
      </c>
      <c r="EE23" t="s">
        <v>236</v>
      </c>
      <c r="EF23" t="s">
        <v>169</v>
      </c>
      <c r="EG23" s="35" t="s">
        <v>3342</v>
      </c>
      <c r="EH23" t="s">
        <v>3322</v>
      </c>
      <c r="EK23" s="500">
        <v>0</v>
      </c>
      <c r="EL23" s="500">
        <v>0</v>
      </c>
      <c r="EM23" s="500">
        <v>0</v>
      </c>
      <c r="EN23" s="500">
        <v>0</v>
      </c>
      <c r="EO23">
        <v>9.5</v>
      </c>
      <c r="EP23">
        <v>0</v>
      </c>
      <c r="EQ23">
        <v>28500000000</v>
      </c>
      <c r="ER23">
        <v>30327879166.66666</v>
      </c>
      <c r="ES23">
        <v>-16492157566.666592</v>
      </c>
      <c r="ET23">
        <v>9.5</v>
      </c>
      <c r="EU23">
        <v>0</v>
      </c>
      <c r="EV23">
        <v>0</v>
      </c>
      <c r="EW23">
        <v>0</v>
      </c>
      <c r="EX23">
        <v>0</v>
      </c>
      <c r="EY23">
        <v>0</v>
      </c>
      <c r="EZ23">
        <v>0</v>
      </c>
      <c r="FA23">
        <v>8379000000</v>
      </c>
      <c r="FB23">
        <v>0</v>
      </c>
      <c r="FC23">
        <v>8379000000</v>
      </c>
      <c r="FD23">
        <v>8379000000</v>
      </c>
      <c r="FE23">
        <v>8379000000</v>
      </c>
      <c r="FF23">
        <v>8379000000</v>
      </c>
      <c r="FG23" s="32">
        <f>Bankingbook_SBV[[#This Row],[Mat. Date]]-RPT</f>
        <v>-4086</v>
      </c>
      <c r="FH23" s="32">
        <f>IF(Bankingbook_SBV[[#This Row],[Days]]&lt;=0,0,YEARFRAC(RPT,Bankingbook_SBV[[#This Row],[Mat. Date]],3))</f>
        <v>0</v>
      </c>
      <c r="FI23" s="32">
        <f>IF(Bankingbook_SBV[[#This Row],[Days (year)]]=0,0,INDEX(Ref!$K$2:$K$13,MATCH(Bankingbook_SBV[[#This Row],[Days (year)]],Ref!$I$2:$I$13,1)))</f>
        <v>0</v>
      </c>
      <c r="FJ23" s="32" t="str">
        <f>VLOOKUP(Bankingbook_SBV[[#This Row],[Security Name]],Ref!X:Z,3,0)</f>
        <v>TPCPBL</v>
      </c>
      <c r="FK23" s="32" t="str">
        <f>VLOOKUP(Bankingbook_SBV[[#This Row],[Security Name]],Ref!X:Y,2,0)</f>
        <v>VDB</v>
      </c>
      <c r="FL23" s="72">
        <f>IF((Bankingbook_SBV[[#This Row],[Mat. Date]]-RPT)&lt;=0,0,Bankingbook_SBV[[#This Row],[QUANTITY]])</f>
        <v>0</v>
      </c>
      <c r="FM23" s="32">
        <f>IF(Bankingbook_SBV[[#This Row],[Quantity_edited]]=0,0,Bankingbook_SBV[[#This Row],[DURATION]])</f>
        <v>0</v>
      </c>
      <c r="FN23" s="32">
        <f>IF(Bankingbook_SBV[[#This Row],[Quantity_edited]]=0,0,Bankingbook_SBV[[#This Row],[Mod Dur]])</f>
        <v>0</v>
      </c>
      <c r="FO23" s="32">
        <f>IF(Bankingbook_SBV[[#This Row],[Quantity_edited]]=0,0,Bankingbook_SBV[[#This Row],[Cnvx.]])</f>
        <v>0</v>
      </c>
      <c r="FP23" s="32">
        <f>(Bankingbook_SBV[[#This Row],[MARKET_VALUE]]+Bankingbook_SBV[[#This Row],[Accr Int]]*Bankingbook_SBV[[#This Row],[Quantity_edited]])*(-Bankingbook_SBV[[#This Row],[Modified Duration]]*0.0001+0.5*Bankingbook_SBV[[#This Row],[Conv]]*(0.0001^2))</f>
        <v>0</v>
      </c>
      <c r="FQ23" s="32">
        <f>(Bankingbook_SBV[[#This Row],[MARKET_VALUE]]+Bankingbook_SBV[[#This Row],[Accr Int]]*Bankingbook_SBV[[#This Row],[Quantity_edited]])*(-Bankingbook_SBV[[#This Row],[Modified Duration]]*0.01+0.5*Bankingbook_SBV[[#This Row],[Conv]]*(0.01^2))</f>
        <v>0</v>
      </c>
      <c r="FT23" t="s">
        <v>166</v>
      </c>
      <c r="FU23" t="s">
        <v>790</v>
      </c>
      <c r="FV23" t="s">
        <v>3977</v>
      </c>
      <c r="FW23">
        <v>3301895</v>
      </c>
      <c r="FX23" s="502">
        <v>46210</v>
      </c>
      <c r="FY23" t="s">
        <v>2176</v>
      </c>
      <c r="FZ23" t="s">
        <v>812</v>
      </c>
      <c r="GA23" t="s">
        <v>3585</v>
      </c>
      <c r="GB23" t="s">
        <v>810</v>
      </c>
      <c r="GC23" t="s">
        <v>616</v>
      </c>
      <c r="GD23" s="500">
        <v>-728680950000</v>
      </c>
      <c r="GE23">
        <v>4.9998290000000001</v>
      </c>
      <c r="GF23" s="502">
        <v>46212</v>
      </c>
      <c r="GG23" s="502">
        <v>46274</v>
      </c>
      <c r="GH23">
        <v>4.5999999999999996</v>
      </c>
      <c r="GI23" t="s">
        <v>811</v>
      </c>
      <c r="GJ23" t="s">
        <v>3321</v>
      </c>
      <c r="GK23" t="s">
        <v>3321</v>
      </c>
      <c r="GL23">
        <v>3896418968.75</v>
      </c>
      <c r="GM23">
        <v>-3673350542.4699998</v>
      </c>
      <c r="GN23">
        <v>765983200000</v>
      </c>
      <c r="GO23">
        <v>4.87</v>
      </c>
      <c r="GP23">
        <v>0.05</v>
      </c>
      <c r="GQ23">
        <v>0.05</v>
      </c>
      <c r="GR23">
        <v>6.3413029999999999</v>
      </c>
      <c r="GS23">
        <v>-731635304949.81006</v>
      </c>
      <c r="GT23">
        <v>-2954354949.8099999</v>
      </c>
      <c r="GU23" t="s">
        <v>4088</v>
      </c>
      <c r="GV23" t="s">
        <v>4088</v>
      </c>
      <c r="GW23" s="416">
        <f>FNRP_Repo[[#This Row],[Mat. Date]]-RPT</f>
        <v>22</v>
      </c>
      <c r="GX23" s="819" t="str">
        <f>IF(FNRP_Repo[[#This Row],[Days]]&lt;=0,"Mat",INDEX(Ref!U:U,MATCH(FNRP_Repo[[#This Row],[Days]],Ref!S:S,1)))</f>
        <v>1M</v>
      </c>
      <c r="GY23" s="417">
        <f>RIGHT(FNRP_Repo[[#This Row],[Deal Id]],5)+0</f>
        <v>17999</v>
      </c>
    </row>
    <row r="24" spans="2:207" x14ac:dyDescent="0.3">
      <c r="B24" t="s">
        <v>166</v>
      </c>
      <c r="C24" t="s">
        <v>167</v>
      </c>
      <c r="D24" t="s">
        <v>194</v>
      </c>
      <c r="E24" t="s">
        <v>169</v>
      </c>
      <c r="F24" s="502">
        <v>41912</v>
      </c>
      <c r="G24" t="s">
        <v>3322</v>
      </c>
      <c r="H24"/>
      <c r="I24"/>
      <c r="J24" s="38">
        <v>0</v>
      </c>
      <c r="K24">
        <v>0</v>
      </c>
      <c r="L24">
        <v>0</v>
      </c>
      <c r="M24" s="38">
        <v>0</v>
      </c>
      <c r="N24">
        <v>9.6</v>
      </c>
      <c r="O24">
        <v>0</v>
      </c>
      <c r="P24" s="37">
        <v>9600000000</v>
      </c>
      <c r="Q24" s="37">
        <v>9887813333.3333511</v>
      </c>
      <c r="R24" s="37">
        <v>-3522979436.4583368</v>
      </c>
      <c r="S24">
        <v>9.6</v>
      </c>
      <c r="T24" s="70">
        <v>0</v>
      </c>
      <c r="U24">
        <v>0</v>
      </c>
      <c r="V24">
        <v>0</v>
      </c>
      <c r="W24">
        <v>0</v>
      </c>
      <c r="X24" s="38">
        <v>0</v>
      </c>
      <c r="Y24">
        <v>0</v>
      </c>
      <c r="Z24" s="70">
        <v>8125850000</v>
      </c>
      <c r="AA24" s="70">
        <v>0</v>
      </c>
      <c r="AB24" s="70">
        <v>8125850000</v>
      </c>
      <c r="AC24" s="70">
        <v>8125850000</v>
      </c>
      <c r="AD24" s="70">
        <v>8125850000</v>
      </c>
      <c r="AE24" s="70">
        <v>8125850000</v>
      </c>
      <c r="AF24">
        <v>0</v>
      </c>
      <c r="AG24" s="72">
        <f>Tradingbook_MSB[[#This Row],[Mat. Date]]-RPT</f>
        <v>-4340</v>
      </c>
      <c r="AH24" s="71">
        <f>IF(Tradingbook_MSB[[#This Row],[Days]]&lt;=0,0,YEARFRAC(RPT,Tradingbook_MSB[[#This Row],[Mat. Date]],3))</f>
        <v>0</v>
      </c>
      <c r="AI24" s="71">
        <f>IF(Tradingbook_MSB[[#This Row],[Days (year)]]=0,0,INDEX(Ref!$K$2:$K$13,MATCH(Tradingbook_MSB[[#This Row],[Days (year)]],Ref!$I$2:$I$13,1)))</f>
        <v>0</v>
      </c>
      <c r="AJ24" s="120" t="str">
        <f>VLOOKUP(Tradingbook_MSB[[#This Row],[Security Name]],Ref!X:Z,3,0)</f>
        <v>TPCP</v>
      </c>
      <c r="AK24" s="120" t="str">
        <f>VLOOKUP(Tradingbook_MSB[[#This Row],[Security Name]],Ref!X:Y,2,0)</f>
        <v>KBNN</v>
      </c>
      <c r="AL24" s="71">
        <f>IF((Tradingbook_MSB[[#This Row],[Mat. Date]]-RPT)&lt;=0,0,Tradingbook_MSB[[#This Row],[QUANTITY]])</f>
        <v>0</v>
      </c>
      <c r="AM24" s="71">
        <f>IF(Tradingbook_MSB[[#This Row],[Quantity_edited]]=0,0,Tradingbook_MSB[[#This Row],[DURATION]])</f>
        <v>0</v>
      </c>
      <c r="AN24" s="71">
        <f>IF(Tradingbook_MSB[[#This Row],[Quantity_edited]]=0,0,Tradingbook_MSB[[#This Row],[Mod Dur]])</f>
        <v>0</v>
      </c>
      <c r="AO24" s="71">
        <f>IF(Tradingbook_MSB[[#This Row],[Quantity_edited]]=0,0,Tradingbook_MSB[[#This Row],[Cnvx.]])</f>
        <v>0</v>
      </c>
      <c r="AP24" s="71">
        <f>(Tradingbook_MSB[[#This Row],[MARKET_VALUE]]+Tradingbook_MSB[[#This Row],[Accr Int]]*Tradingbook_MSB[[#This Row],[Quantity_edited]])*(-Tradingbook_MSB[[#This Row],[Modified Duration]]*0.0001+0.5*Tradingbook_MSB[[#This Row],[Conv]]*(0.0001^2))</f>
        <v>0</v>
      </c>
      <c r="AQ24" s="72">
        <f>(Tradingbook_MSB[[#This Row],[MARKET_VALUE]]+Tradingbook_MSB[[#This Row],[Accr Int]]*Tradingbook_MSB[[#This Row],[Quantity_edited]])*(-Tradingbook_MSB[[#This Row],[Modified Duration]]*0.01+0.5*Tradingbook_MSB[[#This Row],[Conv]]*(0.01^2))</f>
        <v>0</v>
      </c>
      <c r="AR24" s="71"/>
      <c r="AT24" t="s">
        <v>166</v>
      </c>
      <c r="AU24" t="s">
        <v>167</v>
      </c>
      <c r="AV24" t="s">
        <v>246</v>
      </c>
      <c r="AW24" t="s">
        <v>169</v>
      </c>
      <c r="AX24" t="s">
        <v>3343</v>
      </c>
      <c r="AY24" t="s">
        <v>170</v>
      </c>
      <c r="BB24" s="49">
        <v>4600</v>
      </c>
      <c r="BC24">
        <v>460000000</v>
      </c>
      <c r="BD24">
        <v>100584</v>
      </c>
      <c r="BE24" s="37">
        <v>0</v>
      </c>
      <c r="BF24">
        <v>10.4</v>
      </c>
      <c r="BG24">
        <v>0</v>
      </c>
      <c r="BH24" s="34">
        <v>143520000</v>
      </c>
      <c r="BI24">
        <v>148273023.59999999</v>
      </c>
      <c r="BJ24">
        <v>-36463338.724750027</v>
      </c>
      <c r="BK24">
        <v>10.4</v>
      </c>
      <c r="BL24">
        <v>0</v>
      </c>
      <c r="BM24">
        <v>0</v>
      </c>
      <c r="BN24">
        <v>0</v>
      </c>
      <c r="BO24">
        <v>0</v>
      </c>
      <c r="BP24">
        <v>0</v>
      </c>
      <c r="BQ24">
        <v>0</v>
      </c>
      <c r="BR24">
        <v>-2686400</v>
      </c>
      <c r="BS24">
        <v>0</v>
      </c>
      <c r="BT24">
        <v>-2686400</v>
      </c>
      <c r="BU24">
        <v>-2686400</v>
      </c>
      <c r="BV24">
        <v>-2686400</v>
      </c>
      <c r="BW24">
        <v>-2686400</v>
      </c>
      <c r="BX24">
        <v>10.050000000000001</v>
      </c>
      <c r="BY24" s="32">
        <f>Bankingbook_MSB[[#This Row],[Mat. Date]]-RPT</f>
        <v>-3996</v>
      </c>
      <c r="BZ24" s="71">
        <f>IF(Bankingbook_MSB[[#This Row],[Days]]&lt;=0,0,YEARFRAC(RPT,Bankingbook_MSB[[#This Row],[Mat. Date]],3))</f>
        <v>0</v>
      </c>
      <c r="CA24" s="71">
        <f>IF(Bankingbook_MSB[[#This Row],[Days (year)]]=0,0,INDEX(Ref!$K$2:$K$13,MATCH(Bankingbook_MSB[[#This Row],[Days (year)]],Ref!$I$2:$I$13,1)))</f>
        <v>0</v>
      </c>
      <c r="CB24" s="32" t="str">
        <f>VLOOKUP(Bankingbook_MSB[[#This Row],[Security Name]],Ref!X:Z,3,0)</f>
        <v>TPCP</v>
      </c>
      <c r="CC24" s="32" t="str">
        <f>VLOOKUP(Bankingbook_MSB[[#This Row],[Security Name]],Ref!X:Y,2,0)</f>
        <v>KBNN</v>
      </c>
      <c r="CD24" s="72">
        <f>IF((Bankingbook_MSB[[#This Row],[Mat. Date]]-RPT)&lt;=0,0,Bankingbook_MSB[[#This Row],[QUANTITY]])</f>
        <v>0</v>
      </c>
      <c r="CE24" s="71">
        <f>IF(Bankingbook_MSB[[#This Row],[Quantity_edited]]=0,0,Bankingbook_MSB[[#This Row],[DURATION]])</f>
        <v>0</v>
      </c>
      <c r="CF24" s="71">
        <f>IF(Bankingbook_MSB[[#This Row],[Quantity_edited]]=0,0,Bankingbook_MSB[[#This Row],[Mod Dur]])</f>
        <v>0</v>
      </c>
      <c r="CG24" s="71">
        <f>IF(Bankingbook_MSB[[#This Row],[Quantity_edited]]=0,0,Bankingbook_MSB[[#This Row],[Cnvx.]])</f>
        <v>0</v>
      </c>
      <c r="CH24" s="71">
        <f>(Bankingbook_MSB[[#This Row],[MARKET_VALUE]]+Bankingbook_MSB[[#This Row],[Accr Int]]*Bankingbook_MSB[[#This Row],[Quantity_edited]])*(-Bankingbook_MSB[[#This Row],[Modified Duration]]*0.0001+0.5*Bankingbook_MSB[[#This Row],[Conv]]*(0.0001^2))</f>
        <v>0</v>
      </c>
      <c r="CI24" s="71">
        <f>(Bankingbook_MSB[[#This Row],[MARKET_VALUE]]+Bankingbook_MSB[[#This Row],[Accr Int]]*Bankingbook_MSB[[#This Row],[Quantity_edited]])*(-Bankingbook_MSB[[#This Row],[Modified Duration]]*0.01+0.5*Bankingbook_MSB[[#This Row],[Conv]]*(0.01^2))</f>
        <v>0</v>
      </c>
      <c r="CJ24" s="32"/>
      <c r="CL24" t="s">
        <v>166</v>
      </c>
      <c r="CM24" t="s">
        <v>167</v>
      </c>
      <c r="CN24" t="s">
        <v>194</v>
      </c>
      <c r="CO24" t="s">
        <v>169</v>
      </c>
      <c r="CP24" s="35">
        <v>41912</v>
      </c>
      <c r="CQ24" t="s">
        <v>3322</v>
      </c>
      <c r="CR24" t="s">
        <v>174</v>
      </c>
      <c r="CS24" t="s">
        <v>174</v>
      </c>
      <c r="CT24" s="49">
        <v>0</v>
      </c>
      <c r="CU24">
        <v>0</v>
      </c>
      <c r="CV24">
        <v>0</v>
      </c>
      <c r="CW24" s="70">
        <v>0</v>
      </c>
      <c r="CX24">
        <v>9.6</v>
      </c>
      <c r="CY24">
        <v>0</v>
      </c>
      <c r="CZ24">
        <v>9600000000</v>
      </c>
      <c r="DA24">
        <v>9887813333.3333511</v>
      </c>
      <c r="DB24">
        <v>-3522979436.4583368</v>
      </c>
      <c r="DC24">
        <v>9.6</v>
      </c>
      <c r="DD24">
        <v>0</v>
      </c>
      <c r="DE24">
        <v>0</v>
      </c>
      <c r="DF24">
        <v>0</v>
      </c>
      <c r="DG24">
        <v>0</v>
      </c>
      <c r="DH24">
        <v>0</v>
      </c>
      <c r="DI24">
        <v>0</v>
      </c>
      <c r="DJ24" s="500">
        <v>8125850000</v>
      </c>
      <c r="DK24" s="500">
        <v>0</v>
      </c>
      <c r="DL24" s="37">
        <v>8125850000</v>
      </c>
      <c r="DM24" s="37">
        <v>8125850000</v>
      </c>
      <c r="DN24" s="37">
        <v>8125850000</v>
      </c>
      <c r="DO24" s="37">
        <v>8125850000</v>
      </c>
      <c r="DP24" s="32">
        <f>Tradingbook_SBV[[#This Row],[Mat. Date]]-RPT</f>
        <v>-4340</v>
      </c>
      <c r="DQ24" s="32">
        <f>IF(Tradingbook_SBV[[#This Row],[Days]]&lt;=0,0,YEARFRAC(RPT,Tradingbook_SBV[[#This Row],[Mat. Date]],3))</f>
        <v>0</v>
      </c>
      <c r="DR24" s="32">
        <f>IF(Tradingbook_SBV[[#This Row],[Days (year)]]=0,0,INDEX(Ref!$K$2:$K$13,MATCH(Tradingbook_SBV[[#This Row],[Days (year)]],Ref!$I$2:$I$13,1)))</f>
        <v>0</v>
      </c>
      <c r="DS24" s="32" t="str">
        <f>VLOOKUP(Tradingbook_SBV[[#This Row],[Security Name]],Ref!X:Z,3,0)</f>
        <v>TPCP</v>
      </c>
      <c r="DT24" s="32" t="str">
        <f>VLOOKUP(Tradingbook_SBV[[#This Row],[Security Name]],Ref!X:Y,2,0)</f>
        <v>KBNN</v>
      </c>
      <c r="DU24" s="71">
        <f>IF((Tradingbook_SBV[[#This Row],[Mat. Date]]-RPT)&lt;=0,0,Tradingbook_SBV[[#This Row],[QUANTITY]])</f>
        <v>0</v>
      </c>
      <c r="DV24" s="71">
        <f>IF(Tradingbook_SBV[[#This Row],[Quantity_edited]]=0,0,Tradingbook_SBV[[#This Row],[DURATION]])</f>
        <v>0</v>
      </c>
      <c r="DW24" s="71">
        <f>IF(Tradingbook_SBV[[#This Row],[Quantity_edited]]=0,0,Tradingbook_SBV[[#This Row],[Mod Dur]])</f>
        <v>0</v>
      </c>
      <c r="DX24" s="71">
        <f>IF(Tradingbook_SBV[[#This Row],[Quantity_edited]]=0,0,Tradingbook_SBV[[#This Row],[Cnvx.]])</f>
        <v>0</v>
      </c>
      <c r="DY24" s="71">
        <f>(Tradingbook_SBV[[#This Row],[MARKET_VALUE]]+Tradingbook_SBV[[#This Row],[Accr Int]]*Tradingbook_SBV[[#This Row],[Quantity_edited]])*(-Tradingbook_SBV[[#This Row],[Modified Duration]]*0.0001+0.5*Tradingbook_SBV[[#This Row],[Conv]]*(0.0001^2))</f>
        <v>0</v>
      </c>
      <c r="DZ24" s="71">
        <f>(Tradingbook_SBV[[#This Row],[MARKET_VALUE]]+Tradingbook_SBV[[#This Row],[Accr Int]]*Tradingbook_SBV[[#This Row],[Quantity_edited]])*(-Tradingbook_SBV[[#This Row],[Modified Duration]]*0.01+0.5*Tradingbook_SBV[[#This Row],[Conv]]*(0.01^2))</f>
        <v>0</v>
      </c>
      <c r="EC24" t="s">
        <v>166</v>
      </c>
      <c r="ED24" t="s">
        <v>167</v>
      </c>
      <c r="EE24" t="s">
        <v>246</v>
      </c>
      <c r="EF24" t="s">
        <v>169</v>
      </c>
      <c r="EG24" s="35" t="s">
        <v>3343</v>
      </c>
      <c r="EH24" t="s">
        <v>170</v>
      </c>
      <c r="EK24" s="500">
        <v>4600</v>
      </c>
      <c r="EL24" s="500">
        <v>460000000</v>
      </c>
      <c r="EM24" s="500">
        <v>100584</v>
      </c>
      <c r="EN24" s="500">
        <v>0</v>
      </c>
      <c r="EO24">
        <v>10.4</v>
      </c>
      <c r="EP24">
        <v>0</v>
      </c>
      <c r="EQ24">
        <v>143520000</v>
      </c>
      <c r="ER24">
        <v>148273023.59999999</v>
      </c>
      <c r="ES24">
        <v>-36463338.724750027</v>
      </c>
      <c r="ET24">
        <v>10.4</v>
      </c>
      <c r="EU24">
        <v>0</v>
      </c>
      <c r="EV24">
        <v>0</v>
      </c>
      <c r="EW24">
        <v>0</v>
      </c>
      <c r="EX24">
        <v>0</v>
      </c>
      <c r="EY24">
        <v>0</v>
      </c>
      <c r="EZ24">
        <v>0</v>
      </c>
      <c r="FA24">
        <v>-2686400</v>
      </c>
      <c r="FB24">
        <v>0</v>
      </c>
      <c r="FC24">
        <v>-2686400</v>
      </c>
      <c r="FD24">
        <v>-2686400</v>
      </c>
      <c r="FE24">
        <v>-2686400</v>
      </c>
      <c r="FF24">
        <v>-2686400</v>
      </c>
      <c r="FG24" s="32">
        <f>Bankingbook_SBV[[#This Row],[Mat. Date]]-RPT</f>
        <v>-3996</v>
      </c>
      <c r="FH24" s="32">
        <f>IF(Bankingbook_SBV[[#This Row],[Days]]&lt;=0,0,YEARFRAC(RPT,Bankingbook_SBV[[#This Row],[Mat. Date]],3))</f>
        <v>0</v>
      </c>
      <c r="FI24" s="32">
        <f>IF(Bankingbook_SBV[[#This Row],[Days (year)]]=0,0,INDEX(Ref!$K$2:$K$13,MATCH(Bankingbook_SBV[[#This Row],[Days (year)]],Ref!$I$2:$I$13,1)))</f>
        <v>0</v>
      </c>
      <c r="FJ24" s="32" t="str">
        <f>VLOOKUP(Bankingbook_SBV[[#This Row],[Security Name]],Ref!X:Z,3,0)</f>
        <v>TPCP</v>
      </c>
      <c r="FK24" s="32" t="str">
        <f>VLOOKUP(Bankingbook_SBV[[#This Row],[Security Name]],Ref!X:Y,2,0)</f>
        <v>KBNN</v>
      </c>
      <c r="FL24" s="72">
        <f>IF((Bankingbook_SBV[[#This Row],[Mat. Date]]-RPT)&lt;=0,0,Bankingbook_SBV[[#This Row],[QUANTITY]])</f>
        <v>0</v>
      </c>
      <c r="FM24" s="32">
        <f>IF(Bankingbook_SBV[[#This Row],[Quantity_edited]]=0,0,Bankingbook_SBV[[#This Row],[DURATION]])</f>
        <v>0</v>
      </c>
      <c r="FN24" s="32">
        <f>IF(Bankingbook_SBV[[#This Row],[Quantity_edited]]=0,0,Bankingbook_SBV[[#This Row],[Mod Dur]])</f>
        <v>0</v>
      </c>
      <c r="FO24" s="32">
        <f>IF(Bankingbook_SBV[[#This Row],[Quantity_edited]]=0,0,Bankingbook_SBV[[#This Row],[Cnvx.]])</f>
        <v>0</v>
      </c>
      <c r="FP24" s="32">
        <f>(Bankingbook_SBV[[#This Row],[MARKET_VALUE]]+Bankingbook_SBV[[#This Row],[Accr Int]]*Bankingbook_SBV[[#This Row],[Quantity_edited]])*(-Bankingbook_SBV[[#This Row],[Modified Duration]]*0.0001+0.5*Bankingbook_SBV[[#This Row],[Conv]]*(0.0001^2))</f>
        <v>0</v>
      </c>
      <c r="FQ24" s="32">
        <f>(Bankingbook_SBV[[#This Row],[MARKET_VALUE]]+Bankingbook_SBV[[#This Row],[Accr Int]]*Bankingbook_SBV[[#This Row],[Quantity_edited]])*(-Bankingbook_SBV[[#This Row],[Modified Duration]]*0.01+0.5*Bankingbook_SBV[[#This Row],[Conv]]*(0.01^2))</f>
        <v>0</v>
      </c>
      <c r="FT24" t="s">
        <v>166</v>
      </c>
      <c r="FU24" t="s">
        <v>790</v>
      </c>
      <c r="FV24" t="s">
        <v>3978</v>
      </c>
      <c r="FW24">
        <v>3301890</v>
      </c>
      <c r="FX24" s="502">
        <v>46210</v>
      </c>
      <c r="FY24" t="s">
        <v>2176</v>
      </c>
      <c r="FZ24" t="s">
        <v>812</v>
      </c>
      <c r="GA24" t="s">
        <v>3585</v>
      </c>
      <c r="GB24" t="s">
        <v>810</v>
      </c>
      <c r="GC24" t="s">
        <v>724</v>
      </c>
      <c r="GD24" s="500">
        <v>-246534000000</v>
      </c>
      <c r="GE24">
        <v>11.999914</v>
      </c>
      <c r="GF24" s="502">
        <v>46212</v>
      </c>
      <c r="GG24" s="502">
        <v>46274</v>
      </c>
      <c r="GH24">
        <v>4.5999999999999996</v>
      </c>
      <c r="GI24" t="s">
        <v>811</v>
      </c>
      <c r="GJ24" t="s">
        <v>3321</v>
      </c>
      <c r="GK24" t="s">
        <v>3321</v>
      </c>
      <c r="GL24">
        <v>1318272083.3299999</v>
      </c>
      <c r="GM24">
        <v>-1242801534.25</v>
      </c>
      <c r="GN24">
        <v>281542000000</v>
      </c>
      <c r="GO24">
        <v>12.43</v>
      </c>
      <c r="GP24">
        <v>0.05</v>
      </c>
      <c r="GQ24">
        <v>0.05</v>
      </c>
      <c r="GR24">
        <v>6.3413029999999999</v>
      </c>
      <c r="GS24">
        <v>-247533544372.73999</v>
      </c>
      <c r="GT24">
        <v>-999544372.74000001</v>
      </c>
      <c r="GU24" t="s">
        <v>4089</v>
      </c>
      <c r="GV24" t="s">
        <v>4089</v>
      </c>
      <c r="GW24" s="416">
        <f>FNRP_Repo[[#This Row],[Mat. Date]]-RPT</f>
        <v>22</v>
      </c>
      <c r="GX24" s="819" t="str">
        <f>IF(FNRP_Repo[[#This Row],[Days]]&lt;=0,"Mat",INDEX(Ref!U:U,MATCH(FNRP_Repo[[#This Row],[Days]],Ref!S:S,1)))</f>
        <v>1M</v>
      </c>
      <c r="GY24" s="417">
        <f>RIGHT(FNRP_Repo[[#This Row],[Deal Id]],5)+0</f>
        <v>17997</v>
      </c>
    </row>
    <row r="25" spans="2:207" x14ac:dyDescent="0.3">
      <c r="B25" t="s">
        <v>166</v>
      </c>
      <c r="C25" t="s">
        <v>167</v>
      </c>
      <c r="D25" t="s">
        <v>195</v>
      </c>
      <c r="E25" t="s">
        <v>169</v>
      </c>
      <c r="F25" s="502">
        <v>41950</v>
      </c>
      <c r="G25" t="s">
        <v>3322</v>
      </c>
      <c r="H25"/>
      <c r="I25"/>
      <c r="J25" s="38">
        <v>0</v>
      </c>
      <c r="K25">
        <v>0</v>
      </c>
      <c r="L25">
        <v>0</v>
      </c>
      <c r="M25" s="38">
        <v>0</v>
      </c>
      <c r="N25">
        <v>12.1</v>
      </c>
      <c r="O25">
        <v>0</v>
      </c>
      <c r="P25" s="37">
        <v>0</v>
      </c>
      <c r="Q25" s="37">
        <v>0</v>
      </c>
      <c r="R25" s="37">
        <v>-364711503.47222376</v>
      </c>
      <c r="S25">
        <v>12.1</v>
      </c>
      <c r="T25" s="70">
        <v>0</v>
      </c>
      <c r="U25">
        <v>0</v>
      </c>
      <c r="V25">
        <v>0</v>
      </c>
      <c r="W25">
        <v>0</v>
      </c>
      <c r="X25" s="38">
        <v>0</v>
      </c>
      <c r="Y25">
        <v>0</v>
      </c>
      <c r="Z25" s="70">
        <v>-73300000</v>
      </c>
      <c r="AA25" s="70">
        <v>0</v>
      </c>
      <c r="AB25" s="70">
        <v>-73300000</v>
      </c>
      <c r="AC25" s="70">
        <v>-73300000</v>
      </c>
      <c r="AD25" s="70">
        <v>-73300000</v>
      </c>
      <c r="AE25" s="70">
        <v>-73300000</v>
      </c>
      <c r="AF25">
        <v>0</v>
      </c>
      <c r="AG25" s="72">
        <f>Tradingbook_MSB[[#This Row],[Mat. Date]]-RPT</f>
        <v>-4302</v>
      </c>
      <c r="AH25" s="71">
        <f>IF(Tradingbook_MSB[[#This Row],[Days]]&lt;=0,0,YEARFRAC(RPT,Tradingbook_MSB[[#This Row],[Mat. Date]],3))</f>
        <v>0</v>
      </c>
      <c r="AI25" s="71">
        <f>IF(Tradingbook_MSB[[#This Row],[Days (year)]]=0,0,INDEX(Ref!$K$2:$K$13,MATCH(Tradingbook_MSB[[#This Row],[Days (year)]],Ref!$I$2:$I$13,1)))</f>
        <v>0</v>
      </c>
      <c r="AJ25" s="120" t="str">
        <f>VLOOKUP(Tradingbook_MSB[[#This Row],[Security Name]],Ref!X:Z,3,0)</f>
        <v>TPCP</v>
      </c>
      <c r="AK25" s="120" t="str">
        <f>VLOOKUP(Tradingbook_MSB[[#This Row],[Security Name]],Ref!X:Y,2,0)</f>
        <v>KBNN</v>
      </c>
      <c r="AL25" s="71">
        <f>IF((Tradingbook_MSB[[#This Row],[Mat. Date]]-RPT)&lt;=0,0,Tradingbook_MSB[[#This Row],[QUANTITY]])</f>
        <v>0</v>
      </c>
      <c r="AM25" s="71">
        <f>IF(Tradingbook_MSB[[#This Row],[Quantity_edited]]=0,0,Tradingbook_MSB[[#This Row],[DURATION]])</f>
        <v>0</v>
      </c>
      <c r="AN25" s="71">
        <f>IF(Tradingbook_MSB[[#This Row],[Quantity_edited]]=0,0,Tradingbook_MSB[[#This Row],[Mod Dur]])</f>
        <v>0</v>
      </c>
      <c r="AO25" s="71">
        <f>IF(Tradingbook_MSB[[#This Row],[Quantity_edited]]=0,0,Tradingbook_MSB[[#This Row],[Cnvx.]])</f>
        <v>0</v>
      </c>
      <c r="AP25" s="71">
        <f>(Tradingbook_MSB[[#This Row],[MARKET_VALUE]]+Tradingbook_MSB[[#This Row],[Accr Int]]*Tradingbook_MSB[[#This Row],[Quantity_edited]])*(-Tradingbook_MSB[[#This Row],[Modified Duration]]*0.0001+0.5*Tradingbook_MSB[[#This Row],[Conv]]*(0.0001^2))</f>
        <v>0</v>
      </c>
      <c r="AQ25" s="72">
        <f>(Tradingbook_MSB[[#This Row],[MARKET_VALUE]]+Tradingbook_MSB[[#This Row],[Accr Int]]*Tradingbook_MSB[[#This Row],[Quantity_edited]])*(-Tradingbook_MSB[[#This Row],[Modified Duration]]*0.01+0.5*Tradingbook_MSB[[#This Row],[Conv]]*(0.01^2))</f>
        <v>0</v>
      </c>
      <c r="AR25" s="71"/>
      <c r="AT25" t="s">
        <v>166</v>
      </c>
      <c r="AU25" t="s">
        <v>167</v>
      </c>
      <c r="AV25" t="s">
        <v>247</v>
      </c>
      <c r="AW25" t="s">
        <v>169</v>
      </c>
      <c r="AX25" t="s">
        <v>3344</v>
      </c>
      <c r="AY25" t="s">
        <v>3322</v>
      </c>
      <c r="BB25" s="49">
        <v>0</v>
      </c>
      <c r="BC25">
        <v>0</v>
      </c>
      <c r="BD25">
        <v>0</v>
      </c>
      <c r="BE25" s="37">
        <v>0</v>
      </c>
      <c r="BF25">
        <v>10.1</v>
      </c>
      <c r="BG25">
        <v>0</v>
      </c>
      <c r="BH25" s="34">
        <v>60600000000</v>
      </c>
      <c r="BI25">
        <v>63622963666.666656</v>
      </c>
      <c r="BJ25">
        <v>-19577876771.666611</v>
      </c>
      <c r="BK25">
        <v>10.1</v>
      </c>
      <c r="BL25">
        <v>0</v>
      </c>
      <c r="BM25">
        <v>0</v>
      </c>
      <c r="BN25">
        <v>0</v>
      </c>
      <c r="BO25">
        <v>0</v>
      </c>
      <c r="BP25">
        <v>0</v>
      </c>
      <c r="BQ25">
        <v>0</v>
      </c>
      <c r="BR25">
        <v>-468000000</v>
      </c>
      <c r="BS25">
        <v>0</v>
      </c>
      <c r="BT25">
        <v>-468000000</v>
      </c>
      <c r="BU25">
        <v>-468000000</v>
      </c>
      <c r="BV25">
        <v>-468000000</v>
      </c>
      <c r="BW25">
        <v>-468000000</v>
      </c>
      <c r="BX25">
        <v>0</v>
      </c>
      <c r="BY25" s="32">
        <f>Bankingbook_MSB[[#This Row],[Mat. Date]]-RPT</f>
        <v>-3992</v>
      </c>
      <c r="BZ25" s="71">
        <f>IF(Bankingbook_MSB[[#This Row],[Days]]&lt;=0,0,YEARFRAC(RPT,Bankingbook_MSB[[#This Row],[Mat. Date]],3))</f>
        <v>0</v>
      </c>
      <c r="CA25" s="71">
        <f>IF(Bankingbook_MSB[[#This Row],[Days (year)]]=0,0,INDEX(Ref!$K$2:$K$13,MATCH(Bankingbook_MSB[[#This Row],[Days (year)]],Ref!$I$2:$I$13,1)))</f>
        <v>0</v>
      </c>
      <c r="CB25" s="32" t="str">
        <f>VLOOKUP(Bankingbook_MSB[[#This Row],[Security Name]],Ref!X:Z,3,0)</f>
        <v>TPCPBL</v>
      </c>
      <c r="CC25" s="32" t="str">
        <f>VLOOKUP(Bankingbook_MSB[[#This Row],[Security Name]],Ref!X:Y,2,0)</f>
        <v>VDB</v>
      </c>
      <c r="CD25" s="72">
        <f>IF((Bankingbook_MSB[[#This Row],[Mat. Date]]-RPT)&lt;=0,0,Bankingbook_MSB[[#This Row],[QUANTITY]])</f>
        <v>0</v>
      </c>
      <c r="CE25" s="71">
        <f>IF(Bankingbook_MSB[[#This Row],[Quantity_edited]]=0,0,Bankingbook_MSB[[#This Row],[DURATION]])</f>
        <v>0</v>
      </c>
      <c r="CF25" s="71">
        <f>IF(Bankingbook_MSB[[#This Row],[Quantity_edited]]=0,0,Bankingbook_MSB[[#This Row],[Mod Dur]])</f>
        <v>0</v>
      </c>
      <c r="CG25" s="71">
        <f>IF(Bankingbook_MSB[[#This Row],[Quantity_edited]]=0,0,Bankingbook_MSB[[#This Row],[Cnvx.]])</f>
        <v>0</v>
      </c>
      <c r="CH25" s="71">
        <f>(Bankingbook_MSB[[#This Row],[MARKET_VALUE]]+Bankingbook_MSB[[#This Row],[Accr Int]]*Bankingbook_MSB[[#This Row],[Quantity_edited]])*(-Bankingbook_MSB[[#This Row],[Modified Duration]]*0.0001+0.5*Bankingbook_MSB[[#This Row],[Conv]]*(0.0001^2))</f>
        <v>0</v>
      </c>
      <c r="CI25" s="71">
        <f>(Bankingbook_MSB[[#This Row],[MARKET_VALUE]]+Bankingbook_MSB[[#This Row],[Accr Int]]*Bankingbook_MSB[[#This Row],[Quantity_edited]])*(-Bankingbook_MSB[[#This Row],[Modified Duration]]*0.01+0.5*Bankingbook_MSB[[#This Row],[Conv]]*(0.01^2))</f>
        <v>0</v>
      </c>
      <c r="CJ25" s="32"/>
      <c r="CL25" t="s">
        <v>166</v>
      </c>
      <c r="CM25" t="s">
        <v>167</v>
      </c>
      <c r="CN25" t="s">
        <v>195</v>
      </c>
      <c r="CO25" t="s">
        <v>169</v>
      </c>
      <c r="CP25" s="35">
        <v>41950</v>
      </c>
      <c r="CQ25" t="s">
        <v>3322</v>
      </c>
      <c r="CR25" t="s">
        <v>174</v>
      </c>
      <c r="CS25" t="s">
        <v>174</v>
      </c>
      <c r="CT25" s="49">
        <v>0</v>
      </c>
      <c r="CU25">
        <v>0</v>
      </c>
      <c r="CV25">
        <v>0</v>
      </c>
      <c r="CW25" s="70">
        <v>0</v>
      </c>
      <c r="CX25">
        <v>12.1</v>
      </c>
      <c r="CY25">
        <v>0</v>
      </c>
      <c r="CZ25">
        <v>0</v>
      </c>
      <c r="DA25">
        <v>0</v>
      </c>
      <c r="DB25">
        <v>-364711503.47222376</v>
      </c>
      <c r="DC25">
        <v>12.1</v>
      </c>
      <c r="DD25">
        <v>0</v>
      </c>
      <c r="DE25">
        <v>0</v>
      </c>
      <c r="DF25">
        <v>0</v>
      </c>
      <c r="DG25">
        <v>0</v>
      </c>
      <c r="DH25">
        <v>0</v>
      </c>
      <c r="DI25">
        <v>0</v>
      </c>
      <c r="DJ25" s="500">
        <v>-73300000</v>
      </c>
      <c r="DK25" s="500">
        <v>0</v>
      </c>
      <c r="DL25" s="37">
        <v>-73300000</v>
      </c>
      <c r="DM25" s="37">
        <v>-73300000</v>
      </c>
      <c r="DN25" s="37">
        <v>-73300000</v>
      </c>
      <c r="DO25" s="37">
        <v>-73300000</v>
      </c>
      <c r="DP25" s="32">
        <f>Tradingbook_SBV[[#This Row],[Mat. Date]]-RPT</f>
        <v>-4302</v>
      </c>
      <c r="DQ25" s="32">
        <f>IF(Tradingbook_SBV[[#This Row],[Days]]&lt;=0,0,YEARFRAC(RPT,Tradingbook_SBV[[#This Row],[Mat. Date]],3))</f>
        <v>0</v>
      </c>
      <c r="DR25" s="32">
        <f>IF(Tradingbook_SBV[[#This Row],[Days (year)]]=0,0,INDEX(Ref!$K$2:$K$13,MATCH(Tradingbook_SBV[[#This Row],[Days (year)]],Ref!$I$2:$I$13,1)))</f>
        <v>0</v>
      </c>
      <c r="DS25" s="32" t="str">
        <f>VLOOKUP(Tradingbook_SBV[[#This Row],[Security Name]],Ref!X:Z,3,0)</f>
        <v>TPCP</v>
      </c>
      <c r="DT25" s="32" t="str">
        <f>VLOOKUP(Tradingbook_SBV[[#This Row],[Security Name]],Ref!X:Y,2,0)</f>
        <v>KBNN</v>
      </c>
      <c r="DU25" s="71">
        <f>IF((Tradingbook_SBV[[#This Row],[Mat. Date]]-RPT)&lt;=0,0,Tradingbook_SBV[[#This Row],[QUANTITY]])</f>
        <v>0</v>
      </c>
      <c r="DV25" s="71">
        <f>IF(Tradingbook_SBV[[#This Row],[Quantity_edited]]=0,0,Tradingbook_SBV[[#This Row],[DURATION]])</f>
        <v>0</v>
      </c>
      <c r="DW25" s="71">
        <f>IF(Tradingbook_SBV[[#This Row],[Quantity_edited]]=0,0,Tradingbook_SBV[[#This Row],[Mod Dur]])</f>
        <v>0</v>
      </c>
      <c r="DX25" s="71">
        <f>IF(Tradingbook_SBV[[#This Row],[Quantity_edited]]=0,0,Tradingbook_SBV[[#This Row],[Cnvx.]])</f>
        <v>0</v>
      </c>
      <c r="DY25" s="71">
        <f>(Tradingbook_SBV[[#This Row],[MARKET_VALUE]]+Tradingbook_SBV[[#This Row],[Accr Int]]*Tradingbook_SBV[[#This Row],[Quantity_edited]])*(-Tradingbook_SBV[[#This Row],[Modified Duration]]*0.0001+0.5*Tradingbook_SBV[[#This Row],[Conv]]*(0.0001^2))</f>
        <v>0</v>
      </c>
      <c r="DZ25" s="71">
        <f>(Tradingbook_SBV[[#This Row],[MARKET_VALUE]]+Tradingbook_SBV[[#This Row],[Accr Int]]*Tradingbook_SBV[[#This Row],[Quantity_edited]])*(-Tradingbook_SBV[[#This Row],[Modified Duration]]*0.01+0.5*Tradingbook_SBV[[#This Row],[Conv]]*(0.01^2))</f>
        <v>0</v>
      </c>
      <c r="EC25" t="s">
        <v>166</v>
      </c>
      <c r="ED25" t="s">
        <v>167</v>
      </c>
      <c r="EE25" t="s">
        <v>247</v>
      </c>
      <c r="EF25" t="s">
        <v>169</v>
      </c>
      <c r="EG25" s="35" t="s">
        <v>3344</v>
      </c>
      <c r="EH25" t="s">
        <v>3322</v>
      </c>
      <c r="EK25" s="500">
        <v>0</v>
      </c>
      <c r="EL25" s="500">
        <v>0</v>
      </c>
      <c r="EM25" s="500">
        <v>0</v>
      </c>
      <c r="EN25" s="500">
        <v>0</v>
      </c>
      <c r="EO25">
        <v>10.1</v>
      </c>
      <c r="EP25">
        <v>0</v>
      </c>
      <c r="EQ25">
        <v>60600000000</v>
      </c>
      <c r="ER25">
        <v>63622963666.666656</v>
      </c>
      <c r="ES25">
        <v>-19577876771.666611</v>
      </c>
      <c r="ET25">
        <v>10.1</v>
      </c>
      <c r="EU25">
        <v>0</v>
      </c>
      <c r="EV25">
        <v>0</v>
      </c>
      <c r="EW25">
        <v>0</v>
      </c>
      <c r="EX25">
        <v>0</v>
      </c>
      <c r="EY25">
        <v>0</v>
      </c>
      <c r="EZ25">
        <v>0</v>
      </c>
      <c r="FA25">
        <v>-468000000</v>
      </c>
      <c r="FB25">
        <v>0</v>
      </c>
      <c r="FC25">
        <v>-468000000</v>
      </c>
      <c r="FD25">
        <v>-468000000</v>
      </c>
      <c r="FE25">
        <v>-468000000</v>
      </c>
      <c r="FF25">
        <v>-468000000</v>
      </c>
      <c r="FG25" s="32">
        <f>Bankingbook_SBV[[#This Row],[Mat. Date]]-RPT</f>
        <v>-3992</v>
      </c>
      <c r="FH25" s="32">
        <f>IF(Bankingbook_SBV[[#This Row],[Days]]&lt;=0,0,YEARFRAC(RPT,Bankingbook_SBV[[#This Row],[Mat. Date]],3))</f>
        <v>0</v>
      </c>
      <c r="FI25" s="32">
        <f>IF(Bankingbook_SBV[[#This Row],[Days (year)]]=0,0,INDEX(Ref!$K$2:$K$13,MATCH(Bankingbook_SBV[[#This Row],[Days (year)]],Ref!$I$2:$I$13,1)))</f>
        <v>0</v>
      </c>
      <c r="FJ25" s="32" t="str">
        <f>VLOOKUP(Bankingbook_SBV[[#This Row],[Security Name]],Ref!X:Z,3,0)</f>
        <v>TPCPBL</v>
      </c>
      <c r="FK25" s="32" t="str">
        <f>VLOOKUP(Bankingbook_SBV[[#This Row],[Security Name]],Ref!X:Y,2,0)</f>
        <v>VDB</v>
      </c>
      <c r="FL25" s="72">
        <f>IF((Bankingbook_SBV[[#This Row],[Mat. Date]]-RPT)&lt;=0,0,Bankingbook_SBV[[#This Row],[QUANTITY]])</f>
        <v>0</v>
      </c>
      <c r="FM25" s="32">
        <f>IF(Bankingbook_SBV[[#This Row],[Quantity_edited]]=0,0,Bankingbook_SBV[[#This Row],[DURATION]])</f>
        <v>0</v>
      </c>
      <c r="FN25" s="32">
        <f>IF(Bankingbook_SBV[[#This Row],[Quantity_edited]]=0,0,Bankingbook_SBV[[#This Row],[Mod Dur]])</f>
        <v>0</v>
      </c>
      <c r="FO25" s="32">
        <f>IF(Bankingbook_SBV[[#This Row],[Quantity_edited]]=0,0,Bankingbook_SBV[[#This Row],[Cnvx.]])</f>
        <v>0</v>
      </c>
      <c r="FP25" s="32">
        <f>(Bankingbook_SBV[[#This Row],[MARKET_VALUE]]+Bankingbook_SBV[[#This Row],[Accr Int]]*Bankingbook_SBV[[#This Row],[Quantity_edited]])*(-Bankingbook_SBV[[#This Row],[Modified Duration]]*0.0001+0.5*Bankingbook_SBV[[#This Row],[Conv]]*(0.0001^2))</f>
        <v>0</v>
      </c>
      <c r="FQ25" s="32">
        <f>(Bankingbook_SBV[[#This Row],[MARKET_VALUE]]+Bankingbook_SBV[[#This Row],[Accr Int]]*Bankingbook_SBV[[#This Row],[Quantity_edited]])*(-Bankingbook_SBV[[#This Row],[Modified Duration]]*0.01+0.5*Bankingbook_SBV[[#This Row],[Conv]]*(0.01^2))</f>
        <v>0</v>
      </c>
      <c r="FT25" t="s">
        <v>166</v>
      </c>
      <c r="FU25" t="s">
        <v>790</v>
      </c>
      <c r="FV25" t="s">
        <v>3979</v>
      </c>
      <c r="FW25">
        <v>3301894</v>
      </c>
      <c r="FX25" s="502">
        <v>46210</v>
      </c>
      <c r="FY25" t="s">
        <v>2176</v>
      </c>
      <c r="FZ25" t="s">
        <v>812</v>
      </c>
      <c r="GA25" t="s">
        <v>3585</v>
      </c>
      <c r="GB25" t="s">
        <v>810</v>
      </c>
      <c r="GC25" t="s">
        <v>684</v>
      </c>
      <c r="GD25" s="500">
        <v>-340908000000</v>
      </c>
      <c r="GE25">
        <v>9.9998419999999992</v>
      </c>
      <c r="GF25" s="502">
        <v>46212</v>
      </c>
      <c r="GG25" s="502">
        <v>46274</v>
      </c>
      <c r="GH25">
        <v>4.5999999999999996</v>
      </c>
      <c r="GI25" t="s">
        <v>811</v>
      </c>
      <c r="GJ25" t="s">
        <v>3321</v>
      </c>
      <c r="GK25" t="s">
        <v>3321</v>
      </c>
      <c r="GL25">
        <v>1822910833.3299999</v>
      </c>
      <c r="GM25">
        <v>-1718549917.8099999</v>
      </c>
      <c r="GN25">
        <v>381654000000</v>
      </c>
      <c r="GO25">
        <v>10.68</v>
      </c>
      <c r="GP25">
        <v>0.05</v>
      </c>
      <c r="GQ25">
        <v>0.05</v>
      </c>
      <c r="GR25">
        <v>6.3413029999999999</v>
      </c>
      <c r="GS25">
        <v>-342290173141.01001</v>
      </c>
      <c r="GT25">
        <v>-1382173141.01</v>
      </c>
      <c r="GU25" t="s">
        <v>4090</v>
      </c>
      <c r="GV25" t="s">
        <v>4090</v>
      </c>
      <c r="GW25" s="416">
        <f>FNRP_Repo[[#This Row],[Mat. Date]]-RPT</f>
        <v>22</v>
      </c>
      <c r="GX25" s="819" t="str">
        <f>IF(FNRP_Repo[[#This Row],[Days]]&lt;=0,"Mat",INDEX(Ref!U:U,MATCH(FNRP_Repo[[#This Row],[Days]],Ref!S:S,1)))</f>
        <v>1M</v>
      </c>
      <c r="GY25" s="417">
        <f>RIGHT(FNRP_Repo[[#This Row],[Deal Id]],5)+0</f>
        <v>17998</v>
      </c>
    </row>
    <row r="26" spans="2:207" x14ac:dyDescent="0.3">
      <c r="B26" t="s">
        <v>166</v>
      </c>
      <c r="C26" t="s">
        <v>167</v>
      </c>
      <c r="D26" t="s">
        <v>196</v>
      </c>
      <c r="E26" t="s">
        <v>169</v>
      </c>
      <c r="F26" s="502">
        <v>41958</v>
      </c>
      <c r="G26" t="s">
        <v>3322</v>
      </c>
      <c r="H26"/>
      <c r="I26"/>
      <c r="J26" s="38">
        <v>0</v>
      </c>
      <c r="K26">
        <v>0</v>
      </c>
      <c r="L26">
        <v>0</v>
      </c>
      <c r="M26" s="38">
        <v>0</v>
      </c>
      <c r="N26">
        <v>9.3000000000000007</v>
      </c>
      <c r="O26">
        <v>0</v>
      </c>
      <c r="P26" s="37">
        <v>0</v>
      </c>
      <c r="Q26" s="37">
        <v>0</v>
      </c>
      <c r="R26" s="37">
        <v>-1070273710.7300372</v>
      </c>
      <c r="S26">
        <v>9.3000000000000007</v>
      </c>
      <c r="T26" s="70">
        <v>0</v>
      </c>
      <c r="U26">
        <v>0</v>
      </c>
      <c r="V26">
        <v>0</v>
      </c>
      <c r="W26">
        <v>0</v>
      </c>
      <c r="X26" s="38">
        <v>0</v>
      </c>
      <c r="Y26">
        <v>0</v>
      </c>
      <c r="Z26" s="70">
        <v>1222199520</v>
      </c>
      <c r="AA26" s="70">
        <v>0</v>
      </c>
      <c r="AB26" s="70">
        <v>1222199520</v>
      </c>
      <c r="AC26" s="70">
        <v>1222199520</v>
      </c>
      <c r="AD26" s="70">
        <v>1222199520</v>
      </c>
      <c r="AE26" s="70">
        <v>1222199520</v>
      </c>
      <c r="AF26">
        <v>0</v>
      </c>
      <c r="AG26" s="72">
        <f>Tradingbook_MSB[[#This Row],[Mat. Date]]-RPT</f>
        <v>-4294</v>
      </c>
      <c r="AH26" s="71">
        <f>IF(Tradingbook_MSB[[#This Row],[Days]]&lt;=0,0,YEARFRAC(RPT,Tradingbook_MSB[[#This Row],[Mat. Date]],3))</f>
        <v>0</v>
      </c>
      <c r="AI26" s="71">
        <f>IF(Tradingbook_MSB[[#This Row],[Days (year)]]=0,0,INDEX(Ref!$K$2:$K$13,MATCH(Tradingbook_MSB[[#This Row],[Days (year)]],Ref!$I$2:$I$13,1)))</f>
        <v>0</v>
      </c>
      <c r="AJ26" s="120" t="str">
        <f>VLOOKUP(Tradingbook_MSB[[#This Row],[Security Name]],Ref!X:Z,3,0)</f>
        <v>TPCP</v>
      </c>
      <c r="AK26" s="120" t="str">
        <f>VLOOKUP(Tradingbook_MSB[[#This Row],[Security Name]],Ref!X:Y,2,0)</f>
        <v>KBNN</v>
      </c>
      <c r="AL26" s="71">
        <f>IF((Tradingbook_MSB[[#This Row],[Mat. Date]]-RPT)&lt;=0,0,Tradingbook_MSB[[#This Row],[QUANTITY]])</f>
        <v>0</v>
      </c>
      <c r="AM26" s="71">
        <f>IF(Tradingbook_MSB[[#This Row],[Quantity_edited]]=0,0,Tradingbook_MSB[[#This Row],[DURATION]])</f>
        <v>0</v>
      </c>
      <c r="AN26" s="71">
        <f>IF(Tradingbook_MSB[[#This Row],[Quantity_edited]]=0,0,Tradingbook_MSB[[#This Row],[Mod Dur]])</f>
        <v>0</v>
      </c>
      <c r="AO26" s="71">
        <f>IF(Tradingbook_MSB[[#This Row],[Quantity_edited]]=0,0,Tradingbook_MSB[[#This Row],[Cnvx.]])</f>
        <v>0</v>
      </c>
      <c r="AP26" s="71">
        <f>(Tradingbook_MSB[[#This Row],[MARKET_VALUE]]+Tradingbook_MSB[[#This Row],[Accr Int]]*Tradingbook_MSB[[#This Row],[Quantity_edited]])*(-Tradingbook_MSB[[#This Row],[Modified Duration]]*0.0001+0.5*Tradingbook_MSB[[#This Row],[Conv]]*(0.0001^2))</f>
        <v>0</v>
      </c>
      <c r="AQ26" s="72">
        <f>(Tradingbook_MSB[[#This Row],[MARKET_VALUE]]+Tradingbook_MSB[[#This Row],[Accr Int]]*Tradingbook_MSB[[#This Row],[Quantity_edited]])*(-Tradingbook_MSB[[#This Row],[Modified Duration]]*0.01+0.5*Tradingbook_MSB[[#This Row],[Conv]]*(0.01^2))</f>
        <v>0</v>
      </c>
      <c r="AR26" s="71"/>
      <c r="AT26" t="s">
        <v>166</v>
      </c>
      <c r="AU26" t="s">
        <v>167</v>
      </c>
      <c r="AV26" t="s">
        <v>257</v>
      </c>
      <c r="AW26" t="s">
        <v>169</v>
      </c>
      <c r="AX26" t="s">
        <v>258</v>
      </c>
      <c r="AY26" t="s">
        <v>3322</v>
      </c>
      <c r="BB26" s="49">
        <v>0</v>
      </c>
      <c r="BC26">
        <v>0</v>
      </c>
      <c r="BD26">
        <v>0</v>
      </c>
      <c r="BE26" s="37">
        <v>0</v>
      </c>
      <c r="BF26">
        <v>10.7</v>
      </c>
      <c r="BG26">
        <v>0</v>
      </c>
      <c r="BH26" s="34">
        <v>32100000000</v>
      </c>
      <c r="BI26">
        <v>33712173458.333328</v>
      </c>
      <c r="BJ26">
        <v>-9053100348.3332996</v>
      </c>
      <c r="BK26">
        <v>10.7</v>
      </c>
      <c r="BL26">
        <v>0</v>
      </c>
      <c r="BM26">
        <v>0</v>
      </c>
      <c r="BN26">
        <v>0</v>
      </c>
      <c r="BO26">
        <v>0</v>
      </c>
      <c r="BP26">
        <v>0</v>
      </c>
      <c r="BQ26">
        <v>0</v>
      </c>
      <c r="BR26">
        <v>-57000000</v>
      </c>
      <c r="BS26">
        <v>0</v>
      </c>
      <c r="BT26">
        <v>-57000000</v>
      </c>
      <c r="BU26">
        <v>-57000000</v>
      </c>
      <c r="BV26">
        <v>-57000000</v>
      </c>
      <c r="BW26">
        <v>-57000000</v>
      </c>
      <c r="BX26">
        <v>0</v>
      </c>
      <c r="BY26" s="32">
        <f>Bankingbook_MSB[[#This Row],[Mat. Date]]-RPT</f>
        <v>-3930</v>
      </c>
      <c r="BZ26" s="71">
        <f>IF(Bankingbook_MSB[[#This Row],[Days]]&lt;=0,0,YEARFRAC(RPT,Bankingbook_MSB[[#This Row],[Mat. Date]],3))</f>
        <v>0</v>
      </c>
      <c r="CA26" s="71">
        <f>IF(Bankingbook_MSB[[#This Row],[Days (year)]]=0,0,INDEX(Ref!$K$2:$K$13,MATCH(Bankingbook_MSB[[#This Row],[Days (year)]],Ref!$I$2:$I$13,1)))</f>
        <v>0</v>
      </c>
      <c r="CB26" s="32" t="str">
        <f>VLOOKUP(Bankingbook_MSB[[#This Row],[Security Name]],Ref!X:Z,3,0)</f>
        <v>TPCQĐP</v>
      </c>
      <c r="CC26" s="32" t="str">
        <f>VLOOKUP(Bankingbook_MSB[[#This Row],[Security Name]],Ref!X:Y,2,0)</f>
        <v>HIFU</v>
      </c>
      <c r="CD26" s="72">
        <f>IF((Bankingbook_MSB[[#This Row],[Mat. Date]]-RPT)&lt;=0,0,Bankingbook_MSB[[#This Row],[QUANTITY]])</f>
        <v>0</v>
      </c>
      <c r="CE26" s="71">
        <f>IF(Bankingbook_MSB[[#This Row],[Quantity_edited]]=0,0,Bankingbook_MSB[[#This Row],[DURATION]])</f>
        <v>0</v>
      </c>
      <c r="CF26" s="71">
        <f>IF(Bankingbook_MSB[[#This Row],[Quantity_edited]]=0,0,Bankingbook_MSB[[#This Row],[Mod Dur]])</f>
        <v>0</v>
      </c>
      <c r="CG26" s="71">
        <f>IF(Bankingbook_MSB[[#This Row],[Quantity_edited]]=0,0,Bankingbook_MSB[[#This Row],[Cnvx.]])</f>
        <v>0</v>
      </c>
      <c r="CH26" s="71">
        <f>(Bankingbook_MSB[[#This Row],[MARKET_VALUE]]+Bankingbook_MSB[[#This Row],[Accr Int]]*Bankingbook_MSB[[#This Row],[Quantity_edited]])*(-Bankingbook_MSB[[#This Row],[Modified Duration]]*0.0001+0.5*Bankingbook_MSB[[#This Row],[Conv]]*(0.0001^2))</f>
        <v>0</v>
      </c>
      <c r="CI26" s="71">
        <f>(Bankingbook_MSB[[#This Row],[MARKET_VALUE]]+Bankingbook_MSB[[#This Row],[Accr Int]]*Bankingbook_MSB[[#This Row],[Quantity_edited]])*(-Bankingbook_MSB[[#This Row],[Modified Duration]]*0.01+0.5*Bankingbook_MSB[[#This Row],[Conv]]*(0.01^2))</f>
        <v>0</v>
      </c>
      <c r="CJ26" s="32"/>
      <c r="CL26" t="s">
        <v>166</v>
      </c>
      <c r="CM26" t="s">
        <v>167</v>
      </c>
      <c r="CN26" t="s">
        <v>196</v>
      </c>
      <c r="CO26" t="s">
        <v>169</v>
      </c>
      <c r="CP26" s="35">
        <v>41958</v>
      </c>
      <c r="CQ26" t="s">
        <v>3322</v>
      </c>
      <c r="CR26" t="s">
        <v>174</v>
      </c>
      <c r="CS26" t="s">
        <v>174</v>
      </c>
      <c r="CT26" s="49">
        <v>0</v>
      </c>
      <c r="CU26">
        <v>0</v>
      </c>
      <c r="CV26">
        <v>0</v>
      </c>
      <c r="CW26" s="70">
        <v>0</v>
      </c>
      <c r="CX26">
        <v>9.3000000000000007</v>
      </c>
      <c r="CY26">
        <v>0</v>
      </c>
      <c r="CZ26">
        <v>0</v>
      </c>
      <c r="DA26">
        <v>0</v>
      </c>
      <c r="DB26">
        <v>-1070273710.7300372</v>
      </c>
      <c r="DC26">
        <v>9.3000000000000007</v>
      </c>
      <c r="DD26">
        <v>0</v>
      </c>
      <c r="DE26">
        <v>0</v>
      </c>
      <c r="DF26">
        <v>0</v>
      </c>
      <c r="DG26">
        <v>0</v>
      </c>
      <c r="DH26">
        <v>0</v>
      </c>
      <c r="DI26">
        <v>0</v>
      </c>
      <c r="DJ26" s="500">
        <v>1222199520</v>
      </c>
      <c r="DK26" s="500">
        <v>0</v>
      </c>
      <c r="DL26" s="37">
        <v>1222199520</v>
      </c>
      <c r="DM26" s="37">
        <v>1222199520</v>
      </c>
      <c r="DN26" s="37">
        <v>1222199520</v>
      </c>
      <c r="DO26" s="37">
        <v>1222199520</v>
      </c>
      <c r="DP26" s="32">
        <f>Tradingbook_SBV[[#This Row],[Mat. Date]]-RPT</f>
        <v>-4294</v>
      </c>
      <c r="DQ26" s="32">
        <f>IF(Tradingbook_SBV[[#This Row],[Days]]&lt;=0,0,YEARFRAC(RPT,Tradingbook_SBV[[#This Row],[Mat. Date]],3))</f>
        <v>0</v>
      </c>
      <c r="DR26" s="32">
        <f>IF(Tradingbook_SBV[[#This Row],[Days (year)]]=0,0,INDEX(Ref!$K$2:$K$13,MATCH(Tradingbook_SBV[[#This Row],[Days (year)]],Ref!$I$2:$I$13,1)))</f>
        <v>0</v>
      </c>
      <c r="DS26" s="32" t="str">
        <f>VLOOKUP(Tradingbook_SBV[[#This Row],[Security Name]],Ref!X:Z,3,0)</f>
        <v>TPCP</v>
      </c>
      <c r="DT26" s="32" t="str">
        <f>VLOOKUP(Tradingbook_SBV[[#This Row],[Security Name]],Ref!X:Y,2,0)</f>
        <v>KBNN</v>
      </c>
      <c r="DU26" s="71">
        <f>IF((Tradingbook_SBV[[#This Row],[Mat. Date]]-RPT)&lt;=0,0,Tradingbook_SBV[[#This Row],[QUANTITY]])</f>
        <v>0</v>
      </c>
      <c r="DV26" s="71">
        <f>IF(Tradingbook_SBV[[#This Row],[Quantity_edited]]=0,0,Tradingbook_SBV[[#This Row],[DURATION]])</f>
        <v>0</v>
      </c>
      <c r="DW26" s="71">
        <f>IF(Tradingbook_SBV[[#This Row],[Quantity_edited]]=0,0,Tradingbook_SBV[[#This Row],[Mod Dur]])</f>
        <v>0</v>
      </c>
      <c r="DX26" s="71">
        <f>IF(Tradingbook_SBV[[#This Row],[Quantity_edited]]=0,0,Tradingbook_SBV[[#This Row],[Cnvx.]])</f>
        <v>0</v>
      </c>
      <c r="DY26" s="71">
        <f>(Tradingbook_SBV[[#This Row],[MARKET_VALUE]]+Tradingbook_SBV[[#This Row],[Accr Int]]*Tradingbook_SBV[[#This Row],[Quantity_edited]])*(-Tradingbook_SBV[[#This Row],[Modified Duration]]*0.0001+0.5*Tradingbook_SBV[[#This Row],[Conv]]*(0.0001^2))</f>
        <v>0</v>
      </c>
      <c r="DZ26" s="71">
        <f>(Tradingbook_SBV[[#This Row],[MARKET_VALUE]]+Tradingbook_SBV[[#This Row],[Accr Int]]*Tradingbook_SBV[[#This Row],[Quantity_edited]])*(-Tradingbook_SBV[[#This Row],[Modified Duration]]*0.01+0.5*Tradingbook_SBV[[#This Row],[Conv]]*(0.01^2))</f>
        <v>0</v>
      </c>
      <c r="EC26" t="s">
        <v>166</v>
      </c>
      <c r="ED26" t="s">
        <v>167</v>
      </c>
      <c r="EE26" t="s">
        <v>257</v>
      </c>
      <c r="EF26" t="s">
        <v>169</v>
      </c>
      <c r="EG26" s="35" t="s">
        <v>258</v>
      </c>
      <c r="EH26" t="s">
        <v>3322</v>
      </c>
      <c r="EK26" s="500">
        <v>0</v>
      </c>
      <c r="EL26" s="500">
        <v>0</v>
      </c>
      <c r="EM26" s="500">
        <v>0</v>
      </c>
      <c r="EN26" s="500">
        <v>0</v>
      </c>
      <c r="EO26">
        <v>10.7</v>
      </c>
      <c r="EP26">
        <v>0</v>
      </c>
      <c r="EQ26">
        <v>32100000000</v>
      </c>
      <c r="ER26">
        <v>33712173458.333328</v>
      </c>
      <c r="ES26">
        <v>-9053100348.3332996</v>
      </c>
      <c r="ET26">
        <v>10.7</v>
      </c>
      <c r="EU26">
        <v>0</v>
      </c>
      <c r="EV26">
        <v>0</v>
      </c>
      <c r="EW26">
        <v>0</v>
      </c>
      <c r="EX26">
        <v>0</v>
      </c>
      <c r="EY26">
        <v>0</v>
      </c>
      <c r="EZ26">
        <v>0</v>
      </c>
      <c r="FA26">
        <v>-57000000</v>
      </c>
      <c r="FB26">
        <v>0</v>
      </c>
      <c r="FC26">
        <v>-57000000</v>
      </c>
      <c r="FD26">
        <v>-57000000</v>
      </c>
      <c r="FE26">
        <v>-57000000</v>
      </c>
      <c r="FF26">
        <v>-57000000</v>
      </c>
      <c r="FG26" s="32">
        <f>Bankingbook_SBV[[#This Row],[Mat. Date]]-RPT</f>
        <v>-3930</v>
      </c>
      <c r="FH26" s="32">
        <f>IF(Bankingbook_SBV[[#This Row],[Days]]&lt;=0,0,YEARFRAC(RPT,Bankingbook_SBV[[#This Row],[Mat. Date]],3))</f>
        <v>0</v>
      </c>
      <c r="FI26" s="32">
        <f>IF(Bankingbook_SBV[[#This Row],[Days (year)]]=0,0,INDEX(Ref!$K$2:$K$13,MATCH(Bankingbook_SBV[[#This Row],[Days (year)]],Ref!$I$2:$I$13,1)))</f>
        <v>0</v>
      </c>
      <c r="FJ26" s="32" t="str">
        <f>VLOOKUP(Bankingbook_SBV[[#This Row],[Security Name]],Ref!X:Z,3,0)</f>
        <v>TPCQĐP</v>
      </c>
      <c r="FK26" s="32" t="str">
        <f>VLOOKUP(Bankingbook_SBV[[#This Row],[Security Name]],Ref!X:Y,2,0)</f>
        <v>HIFU</v>
      </c>
      <c r="FL26" s="72">
        <f>IF((Bankingbook_SBV[[#This Row],[Mat. Date]]-RPT)&lt;=0,0,Bankingbook_SBV[[#This Row],[QUANTITY]])</f>
        <v>0</v>
      </c>
      <c r="FM26" s="32">
        <f>IF(Bankingbook_SBV[[#This Row],[Quantity_edited]]=0,0,Bankingbook_SBV[[#This Row],[DURATION]])</f>
        <v>0</v>
      </c>
      <c r="FN26" s="32">
        <f>IF(Bankingbook_SBV[[#This Row],[Quantity_edited]]=0,0,Bankingbook_SBV[[#This Row],[Mod Dur]])</f>
        <v>0</v>
      </c>
      <c r="FO26" s="32">
        <f>IF(Bankingbook_SBV[[#This Row],[Quantity_edited]]=0,0,Bankingbook_SBV[[#This Row],[Cnvx.]])</f>
        <v>0</v>
      </c>
      <c r="FP26" s="32">
        <f>(Bankingbook_SBV[[#This Row],[MARKET_VALUE]]+Bankingbook_SBV[[#This Row],[Accr Int]]*Bankingbook_SBV[[#This Row],[Quantity_edited]])*(-Bankingbook_SBV[[#This Row],[Modified Duration]]*0.0001+0.5*Bankingbook_SBV[[#This Row],[Conv]]*(0.0001^2))</f>
        <v>0</v>
      </c>
      <c r="FQ26" s="32">
        <f>(Bankingbook_SBV[[#This Row],[MARKET_VALUE]]+Bankingbook_SBV[[#This Row],[Accr Int]]*Bankingbook_SBV[[#This Row],[Quantity_edited]])*(-Bankingbook_SBV[[#This Row],[Modified Duration]]*0.01+0.5*Bankingbook_SBV[[#This Row],[Conv]]*(0.01^2))</f>
        <v>0</v>
      </c>
      <c r="FT26" t="s">
        <v>166</v>
      </c>
      <c r="FU26" t="s">
        <v>790</v>
      </c>
      <c r="FV26" t="s">
        <v>3980</v>
      </c>
      <c r="FW26">
        <v>3301888</v>
      </c>
      <c r="FX26" s="502">
        <v>46210</v>
      </c>
      <c r="FY26" t="s">
        <v>2176</v>
      </c>
      <c r="FZ26" t="s">
        <v>812</v>
      </c>
      <c r="GA26" t="s">
        <v>3585</v>
      </c>
      <c r="GB26" t="s">
        <v>810</v>
      </c>
      <c r="GC26" t="s">
        <v>2497</v>
      </c>
      <c r="GD26" s="500">
        <v>-249460380000</v>
      </c>
      <c r="GE26">
        <v>13.000374000000001</v>
      </c>
      <c r="GF26" s="502">
        <v>46212</v>
      </c>
      <c r="GG26" s="502">
        <v>46274</v>
      </c>
      <c r="GH26">
        <v>4.5999999999999996</v>
      </c>
      <c r="GI26" t="s">
        <v>811</v>
      </c>
      <c r="GJ26" t="s">
        <v>3321</v>
      </c>
      <c r="GK26" t="s">
        <v>3321</v>
      </c>
      <c r="GL26">
        <v>1333920087.5</v>
      </c>
      <c r="GM26">
        <v>-1257553696.4400001</v>
      </c>
      <c r="GN26">
        <v>287740980000</v>
      </c>
      <c r="GO26">
        <v>13.3</v>
      </c>
      <c r="GP26">
        <v>0.05</v>
      </c>
      <c r="GQ26">
        <v>0.05</v>
      </c>
      <c r="GR26">
        <v>6.3413029999999999</v>
      </c>
      <c r="GS26">
        <v>-250471789050.89001</v>
      </c>
      <c r="GT26">
        <v>-1011409050.89</v>
      </c>
      <c r="GU26" t="s">
        <v>4126</v>
      </c>
      <c r="GV26" t="s">
        <v>4126</v>
      </c>
      <c r="GW26" s="416">
        <f>FNRP_Repo[[#This Row],[Mat. Date]]-RPT</f>
        <v>22</v>
      </c>
      <c r="GX26" s="819" t="str">
        <f>IF(FNRP_Repo[[#This Row],[Days]]&lt;=0,"Mat",INDEX(Ref!U:U,MATCH(FNRP_Repo[[#This Row],[Days]],Ref!S:S,1)))</f>
        <v>1M</v>
      </c>
      <c r="GY26" s="417">
        <f>RIGHT(FNRP_Repo[[#This Row],[Deal Id]],5)+0</f>
        <v>17996</v>
      </c>
    </row>
    <row r="27" spans="2:207" x14ac:dyDescent="0.3">
      <c r="B27" t="s">
        <v>166</v>
      </c>
      <c r="C27" t="s">
        <v>167</v>
      </c>
      <c r="D27" t="s">
        <v>197</v>
      </c>
      <c r="E27" t="s">
        <v>169</v>
      </c>
      <c r="F27" s="502">
        <v>41963</v>
      </c>
      <c r="G27" t="s">
        <v>3322</v>
      </c>
      <c r="H27"/>
      <c r="I27"/>
      <c r="J27" s="38">
        <v>0</v>
      </c>
      <c r="K27">
        <v>0</v>
      </c>
      <c r="L27">
        <v>0</v>
      </c>
      <c r="M27" s="38">
        <v>0</v>
      </c>
      <c r="N27">
        <v>10.5</v>
      </c>
      <c r="O27">
        <v>0</v>
      </c>
      <c r="P27" s="37">
        <v>0</v>
      </c>
      <c r="Q27" s="37">
        <v>0</v>
      </c>
      <c r="R27" s="37">
        <v>-974570715.27777386</v>
      </c>
      <c r="S27">
        <v>10.5</v>
      </c>
      <c r="T27" s="70">
        <v>0</v>
      </c>
      <c r="U27">
        <v>0</v>
      </c>
      <c r="V27">
        <v>0</v>
      </c>
      <c r="W27">
        <v>0</v>
      </c>
      <c r="X27" s="38">
        <v>0</v>
      </c>
      <c r="Y27">
        <v>0</v>
      </c>
      <c r="Z27" s="70">
        <v>-133400000</v>
      </c>
      <c r="AA27" s="70">
        <v>0</v>
      </c>
      <c r="AB27" s="70">
        <v>-133400000</v>
      </c>
      <c r="AC27" s="70">
        <v>-133400000</v>
      </c>
      <c r="AD27" s="70">
        <v>-133400000</v>
      </c>
      <c r="AE27" s="70">
        <v>-133400000</v>
      </c>
      <c r="AF27">
        <v>0</v>
      </c>
      <c r="AG27" s="72">
        <f>Tradingbook_MSB[[#This Row],[Mat. Date]]-RPT</f>
        <v>-4289</v>
      </c>
      <c r="AH27" s="71">
        <f>IF(Tradingbook_MSB[[#This Row],[Days]]&lt;=0,0,YEARFRAC(RPT,Tradingbook_MSB[[#This Row],[Mat. Date]],3))</f>
        <v>0</v>
      </c>
      <c r="AI27" s="71">
        <f>IF(Tradingbook_MSB[[#This Row],[Days (year)]]=0,0,INDEX(Ref!$K$2:$K$13,MATCH(Tradingbook_MSB[[#This Row],[Days (year)]],Ref!$I$2:$I$13,1)))</f>
        <v>0</v>
      </c>
      <c r="AJ27" s="120" t="str">
        <f>VLOOKUP(Tradingbook_MSB[[#This Row],[Security Name]],Ref!X:Z,3,0)</f>
        <v>TPCPBL</v>
      </c>
      <c r="AK27" s="120" t="str">
        <f>VLOOKUP(Tradingbook_MSB[[#This Row],[Security Name]],Ref!X:Y,2,0)</f>
        <v>VDB</v>
      </c>
      <c r="AL27" s="71">
        <f>IF((Tradingbook_MSB[[#This Row],[Mat. Date]]-RPT)&lt;=0,0,Tradingbook_MSB[[#This Row],[QUANTITY]])</f>
        <v>0</v>
      </c>
      <c r="AM27" s="71">
        <f>IF(Tradingbook_MSB[[#This Row],[Quantity_edited]]=0,0,Tradingbook_MSB[[#This Row],[DURATION]])</f>
        <v>0</v>
      </c>
      <c r="AN27" s="71">
        <f>IF(Tradingbook_MSB[[#This Row],[Quantity_edited]]=0,0,Tradingbook_MSB[[#This Row],[Mod Dur]])</f>
        <v>0</v>
      </c>
      <c r="AO27" s="71">
        <f>IF(Tradingbook_MSB[[#This Row],[Quantity_edited]]=0,0,Tradingbook_MSB[[#This Row],[Cnvx.]])</f>
        <v>0</v>
      </c>
      <c r="AP27" s="71">
        <f>(Tradingbook_MSB[[#This Row],[MARKET_VALUE]]+Tradingbook_MSB[[#This Row],[Accr Int]]*Tradingbook_MSB[[#This Row],[Quantity_edited]])*(-Tradingbook_MSB[[#This Row],[Modified Duration]]*0.0001+0.5*Tradingbook_MSB[[#This Row],[Conv]]*(0.0001^2))</f>
        <v>0</v>
      </c>
      <c r="AQ27" s="72">
        <f>(Tradingbook_MSB[[#This Row],[MARKET_VALUE]]+Tradingbook_MSB[[#This Row],[Accr Int]]*Tradingbook_MSB[[#This Row],[Quantity_edited]])*(-Tradingbook_MSB[[#This Row],[Modified Duration]]*0.01+0.5*Tradingbook_MSB[[#This Row],[Conv]]*(0.01^2))</f>
        <v>0</v>
      </c>
      <c r="AR27" s="71"/>
      <c r="AT27" t="s">
        <v>166</v>
      </c>
      <c r="AU27" t="s">
        <v>167</v>
      </c>
      <c r="AV27" t="s">
        <v>260</v>
      </c>
      <c r="AW27" t="s">
        <v>169</v>
      </c>
      <c r="AX27" t="s">
        <v>261</v>
      </c>
      <c r="AY27" t="s">
        <v>3322</v>
      </c>
      <c r="BB27" s="49">
        <v>0</v>
      </c>
      <c r="BC27">
        <v>0</v>
      </c>
      <c r="BD27">
        <v>0</v>
      </c>
      <c r="BE27" s="37">
        <v>0</v>
      </c>
      <c r="BF27">
        <v>10.6</v>
      </c>
      <c r="BG27">
        <v>0</v>
      </c>
      <c r="BH27" s="34">
        <v>0</v>
      </c>
      <c r="BI27">
        <v>-7.9999999999999996E-6</v>
      </c>
      <c r="BJ27">
        <v>-2323508901.6665955</v>
      </c>
      <c r="BK27">
        <v>10.6</v>
      </c>
      <c r="BL27">
        <v>0</v>
      </c>
      <c r="BM27">
        <v>0</v>
      </c>
      <c r="BN27">
        <v>0</v>
      </c>
      <c r="BO27">
        <v>0</v>
      </c>
      <c r="BP27">
        <v>0</v>
      </c>
      <c r="BQ27">
        <v>0</v>
      </c>
      <c r="BR27">
        <v>8880000000</v>
      </c>
      <c r="BS27">
        <v>0</v>
      </c>
      <c r="BT27">
        <v>8880000000</v>
      </c>
      <c r="BU27">
        <v>8880000000</v>
      </c>
      <c r="BV27">
        <v>8880000000</v>
      </c>
      <c r="BW27">
        <v>8880000000</v>
      </c>
      <c r="BX27">
        <v>0</v>
      </c>
      <c r="BY27" s="32">
        <f>Bankingbook_MSB[[#This Row],[Mat. Date]]-RPT</f>
        <v>-3918</v>
      </c>
      <c r="BZ27" s="71">
        <f>IF(Bankingbook_MSB[[#This Row],[Days]]&lt;=0,0,YEARFRAC(RPT,Bankingbook_MSB[[#This Row],[Mat. Date]],3))</f>
        <v>0</v>
      </c>
      <c r="CA27" s="71">
        <f>IF(Bankingbook_MSB[[#This Row],[Days (year)]]=0,0,INDEX(Ref!$K$2:$K$13,MATCH(Bankingbook_MSB[[#This Row],[Days (year)]],Ref!$I$2:$I$13,1)))</f>
        <v>0</v>
      </c>
      <c r="CB27" s="32" t="str">
        <f>VLOOKUP(Bankingbook_MSB[[#This Row],[Security Name]],Ref!X:Z,3,0)</f>
        <v>TPCPBL</v>
      </c>
      <c r="CC27" s="32" t="str">
        <f>VLOOKUP(Bankingbook_MSB[[#This Row],[Security Name]],Ref!X:Y,2,0)</f>
        <v>VDB</v>
      </c>
      <c r="CD27" s="72">
        <f>IF((Bankingbook_MSB[[#This Row],[Mat. Date]]-RPT)&lt;=0,0,Bankingbook_MSB[[#This Row],[QUANTITY]])</f>
        <v>0</v>
      </c>
      <c r="CE27" s="71">
        <f>IF(Bankingbook_MSB[[#This Row],[Quantity_edited]]=0,0,Bankingbook_MSB[[#This Row],[DURATION]])</f>
        <v>0</v>
      </c>
      <c r="CF27" s="71">
        <f>IF(Bankingbook_MSB[[#This Row],[Quantity_edited]]=0,0,Bankingbook_MSB[[#This Row],[Mod Dur]])</f>
        <v>0</v>
      </c>
      <c r="CG27" s="71">
        <f>IF(Bankingbook_MSB[[#This Row],[Quantity_edited]]=0,0,Bankingbook_MSB[[#This Row],[Cnvx.]])</f>
        <v>0</v>
      </c>
      <c r="CH27" s="71">
        <f>(Bankingbook_MSB[[#This Row],[MARKET_VALUE]]+Bankingbook_MSB[[#This Row],[Accr Int]]*Bankingbook_MSB[[#This Row],[Quantity_edited]])*(-Bankingbook_MSB[[#This Row],[Modified Duration]]*0.0001+0.5*Bankingbook_MSB[[#This Row],[Conv]]*(0.0001^2))</f>
        <v>0</v>
      </c>
      <c r="CI27" s="71">
        <f>(Bankingbook_MSB[[#This Row],[MARKET_VALUE]]+Bankingbook_MSB[[#This Row],[Accr Int]]*Bankingbook_MSB[[#This Row],[Quantity_edited]])*(-Bankingbook_MSB[[#This Row],[Modified Duration]]*0.01+0.5*Bankingbook_MSB[[#This Row],[Conv]]*(0.01^2))</f>
        <v>0</v>
      </c>
      <c r="CJ27" s="32"/>
      <c r="CL27" t="s">
        <v>166</v>
      </c>
      <c r="CM27" t="s">
        <v>167</v>
      </c>
      <c r="CN27" t="s">
        <v>197</v>
      </c>
      <c r="CO27" t="s">
        <v>169</v>
      </c>
      <c r="CP27" s="35">
        <v>41963</v>
      </c>
      <c r="CQ27" t="s">
        <v>3322</v>
      </c>
      <c r="CR27" t="s">
        <v>174</v>
      </c>
      <c r="CS27" t="s">
        <v>174</v>
      </c>
      <c r="CT27" s="49">
        <v>0</v>
      </c>
      <c r="CU27">
        <v>0</v>
      </c>
      <c r="CV27">
        <v>0</v>
      </c>
      <c r="CW27" s="70">
        <v>0</v>
      </c>
      <c r="CX27">
        <v>10.5</v>
      </c>
      <c r="CY27">
        <v>0</v>
      </c>
      <c r="CZ27">
        <v>0</v>
      </c>
      <c r="DA27">
        <v>0</v>
      </c>
      <c r="DB27">
        <v>-974570715.27777386</v>
      </c>
      <c r="DC27">
        <v>10.5</v>
      </c>
      <c r="DD27">
        <v>0</v>
      </c>
      <c r="DE27">
        <v>0</v>
      </c>
      <c r="DF27">
        <v>0</v>
      </c>
      <c r="DG27">
        <v>0</v>
      </c>
      <c r="DH27">
        <v>0</v>
      </c>
      <c r="DI27">
        <v>0</v>
      </c>
      <c r="DJ27" s="500">
        <v>-133400000</v>
      </c>
      <c r="DK27" s="500">
        <v>0</v>
      </c>
      <c r="DL27" s="37">
        <v>-133400000</v>
      </c>
      <c r="DM27" s="37">
        <v>-133400000</v>
      </c>
      <c r="DN27" s="37">
        <v>-133400000</v>
      </c>
      <c r="DO27" s="37">
        <v>-133400000</v>
      </c>
      <c r="DP27" s="32">
        <f>Tradingbook_SBV[[#This Row],[Mat. Date]]-RPT</f>
        <v>-4289</v>
      </c>
      <c r="DQ27" s="32">
        <f>IF(Tradingbook_SBV[[#This Row],[Days]]&lt;=0,0,YEARFRAC(RPT,Tradingbook_SBV[[#This Row],[Mat. Date]],3))</f>
        <v>0</v>
      </c>
      <c r="DR27" s="32">
        <f>IF(Tradingbook_SBV[[#This Row],[Days (year)]]=0,0,INDEX(Ref!$K$2:$K$13,MATCH(Tradingbook_SBV[[#This Row],[Days (year)]],Ref!$I$2:$I$13,1)))</f>
        <v>0</v>
      </c>
      <c r="DS27" s="32" t="str">
        <f>VLOOKUP(Tradingbook_SBV[[#This Row],[Security Name]],Ref!X:Z,3,0)</f>
        <v>TPCPBL</v>
      </c>
      <c r="DT27" s="32" t="str">
        <f>VLOOKUP(Tradingbook_SBV[[#This Row],[Security Name]],Ref!X:Y,2,0)</f>
        <v>VDB</v>
      </c>
      <c r="DU27" s="71">
        <f>IF((Tradingbook_SBV[[#This Row],[Mat. Date]]-RPT)&lt;=0,0,Tradingbook_SBV[[#This Row],[QUANTITY]])</f>
        <v>0</v>
      </c>
      <c r="DV27" s="71">
        <f>IF(Tradingbook_SBV[[#This Row],[Quantity_edited]]=0,0,Tradingbook_SBV[[#This Row],[DURATION]])</f>
        <v>0</v>
      </c>
      <c r="DW27" s="71">
        <f>IF(Tradingbook_SBV[[#This Row],[Quantity_edited]]=0,0,Tradingbook_SBV[[#This Row],[Mod Dur]])</f>
        <v>0</v>
      </c>
      <c r="DX27" s="71">
        <f>IF(Tradingbook_SBV[[#This Row],[Quantity_edited]]=0,0,Tradingbook_SBV[[#This Row],[Cnvx.]])</f>
        <v>0</v>
      </c>
      <c r="DY27" s="71">
        <f>(Tradingbook_SBV[[#This Row],[MARKET_VALUE]]+Tradingbook_SBV[[#This Row],[Accr Int]]*Tradingbook_SBV[[#This Row],[Quantity_edited]])*(-Tradingbook_SBV[[#This Row],[Modified Duration]]*0.0001+0.5*Tradingbook_SBV[[#This Row],[Conv]]*(0.0001^2))</f>
        <v>0</v>
      </c>
      <c r="DZ27" s="71">
        <f>(Tradingbook_SBV[[#This Row],[MARKET_VALUE]]+Tradingbook_SBV[[#This Row],[Accr Int]]*Tradingbook_SBV[[#This Row],[Quantity_edited]])*(-Tradingbook_SBV[[#This Row],[Modified Duration]]*0.01+0.5*Tradingbook_SBV[[#This Row],[Conv]]*(0.01^2))</f>
        <v>0</v>
      </c>
      <c r="EC27" t="s">
        <v>166</v>
      </c>
      <c r="ED27" t="s">
        <v>167</v>
      </c>
      <c r="EE27" t="s">
        <v>260</v>
      </c>
      <c r="EF27" t="s">
        <v>169</v>
      </c>
      <c r="EG27" s="35" t="s">
        <v>261</v>
      </c>
      <c r="EH27" t="s">
        <v>3322</v>
      </c>
      <c r="EK27" s="500">
        <v>0</v>
      </c>
      <c r="EL27" s="500">
        <v>0</v>
      </c>
      <c r="EM27" s="500">
        <v>0</v>
      </c>
      <c r="EN27" s="500">
        <v>0</v>
      </c>
      <c r="EO27">
        <v>10.6</v>
      </c>
      <c r="EP27">
        <v>0</v>
      </c>
      <c r="EQ27">
        <v>0</v>
      </c>
      <c r="ER27">
        <v>-7.9999999999999996E-6</v>
      </c>
      <c r="ES27">
        <v>-2323508901.6665955</v>
      </c>
      <c r="ET27">
        <v>10.6</v>
      </c>
      <c r="EU27">
        <v>0</v>
      </c>
      <c r="EV27">
        <v>0</v>
      </c>
      <c r="EW27">
        <v>0</v>
      </c>
      <c r="EX27">
        <v>0</v>
      </c>
      <c r="EY27">
        <v>0</v>
      </c>
      <c r="EZ27">
        <v>0</v>
      </c>
      <c r="FA27">
        <v>8880000000</v>
      </c>
      <c r="FB27">
        <v>0</v>
      </c>
      <c r="FC27">
        <v>8880000000</v>
      </c>
      <c r="FD27">
        <v>8880000000</v>
      </c>
      <c r="FE27">
        <v>8880000000</v>
      </c>
      <c r="FF27">
        <v>8880000000</v>
      </c>
      <c r="FG27" s="32">
        <f>Bankingbook_SBV[[#This Row],[Mat. Date]]-RPT</f>
        <v>-3918</v>
      </c>
      <c r="FH27" s="32">
        <f>IF(Bankingbook_SBV[[#This Row],[Days]]&lt;=0,0,YEARFRAC(RPT,Bankingbook_SBV[[#This Row],[Mat. Date]],3))</f>
        <v>0</v>
      </c>
      <c r="FI27" s="32">
        <f>IF(Bankingbook_SBV[[#This Row],[Days (year)]]=0,0,INDEX(Ref!$K$2:$K$13,MATCH(Bankingbook_SBV[[#This Row],[Days (year)]],Ref!$I$2:$I$13,1)))</f>
        <v>0</v>
      </c>
      <c r="FJ27" s="32" t="str">
        <f>VLOOKUP(Bankingbook_SBV[[#This Row],[Security Name]],Ref!X:Z,3,0)</f>
        <v>TPCPBL</v>
      </c>
      <c r="FK27" s="32" t="str">
        <f>VLOOKUP(Bankingbook_SBV[[#This Row],[Security Name]],Ref!X:Y,2,0)</f>
        <v>VDB</v>
      </c>
      <c r="FL27" s="72">
        <f>IF((Bankingbook_SBV[[#This Row],[Mat. Date]]-RPT)&lt;=0,0,Bankingbook_SBV[[#This Row],[QUANTITY]])</f>
        <v>0</v>
      </c>
      <c r="FM27" s="32">
        <f>IF(Bankingbook_SBV[[#This Row],[Quantity_edited]]=0,0,Bankingbook_SBV[[#This Row],[DURATION]])</f>
        <v>0</v>
      </c>
      <c r="FN27" s="32">
        <f>IF(Bankingbook_SBV[[#This Row],[Quantity_edited]]=0,0,Bankingbook_SBV[[#This Row],[Mod Dur]])</f>
        <v>0</v>
      </c>
      <c r="FO27" s="32">
        <f>IF(Bankingbook_SBV[[#This Row],[Quantity_edited]]=0,0,Bankingbook_SBV[[#This Row],[Cnvx.]])</f>
        <v>0</v>
      </c>
      <c r="FP27" s="32">
        <f>(Bankingbook_SBV[[#This Row],[MARKET_VALUE]]+Bankingbook_SBV[[#This Row],[Accr Int]]*Bankingbook_SBV[[#This Row],[Quantity_edited]])*(-Bankingbook_SBV[[#This Row],[Modified Duration]]*0.0001+0.5*Bankingbook_SBV[[#This Row],[Conv]]*(0.0001^2))</f>
        <v>0</v>
      </c>
      <c r="FQ27" s="32">
        <f>(Bankingbook_SBV[[#This Row],[MARKET_VALUE]]+Bankingbook_SBV[[#This Row],[Accr Int]]*Bankingbook_SBV[[#This Row],[Quantity_edited]])*(-Bankingbook_SBV[[#This Row],[Modified Duration]]*0.01+0.5*Bankingbook_SBV[[#This Row],[Conv]]*(0.01^2))</f>
        <v>0</v>
      </c>
      <c r="FT27" t="s">
        <v>166</v>
      </c>
      <c r="FU27" t="s">
        <v>790</v>
      </c>
      <c r="FV27" t="s">
        <v>4001</v>
      </c>
      <c r="FW27">
        <v>3306841</v>
      </c>
      <c r="FX27" s="502">
        <v>46216</v>
      </c>
      <c r="FY27" t="s">
        <v>2176</v>
      </c>
      <c r="FZ27" t="s">
        <v>823</v>
      </c>
      <c r="GA27" t="s">
        <v>2829</v>
      </c>
      <c r="GB27" t="s">
        <v>810</v>
      </c>
      <c r="GC27" t="s">
        <v>2497</v>
      </c>
      <c r="GD27" s="500">
        <v>-126933000000</v>
      </c>
      <c r="GE27">
        <v>10.000532</v>
      </c>
      <c r="GF27" s="502">
        <v>46218</v>
      </c>
      <c r="GG27" s="502">
        <v>46279</v>
      </c>
      <c r="GH27">
        <v>4.55</v>
      </c>
      <c r="GI27" t="s">
        <v>811</v>
      </c>
      <c r="GJ27" t="s">
        <v>3321</v>
      </c>
      <c r="GK27" t="s">
        <v>3321</v>
      </c>
      <c r="GL27">
        <v>577897741.66999996</v>
      </c>
      <c r="GM27">
        <v>-537987263.00999999</v>
      </c>
      <c r="GN27">
        <v>141049500000</v>
      </c>
      <c r="GO27">
        <v>10.01</v>
      </c>
      <c r="GP27">
        <v>7.0000000000000007E-2</v>
      </c>
      <c r="GQ27">
        <v>6.3E-2</v>
      </c>
      <c r="GR27">
        <v>6.6277699999999999</v>
      </c>
      <c r="GS27">
        <v>-127286055796.42999</v>
      </c>
      <c r="GT27">
        <v>-353055796.43000001</v>
      </c>
      <c r="GU27" t="s">
        <v>4127</v>
      </c>
      <c r="GV27" t="s">
        <v>4127</v>
      </c>
      <c r="GW27" s="416">
        <f>FNRP_Repo[[#This Row],[Mat. Date]]-RPT</f>
        <v>27</v>
      </c>
      <c r="GX27" s="819" t="str">
        <f>IF(FNRP_Repo[[#This Row],[Days]]&lt;=0,"Mat",INDEX(Ref!U:U,MATCH(FNRP_Repo[[#This Row],[Days]],Ref!S:S,1)))</f>
        <v>1M</v>
      </c>
      <c r="GY27" s="417">
        <f>RIGHT(FNRP_Repo[[#This Row],[Deal Id]],5)+0</f>
        <v>18015</v>
      </c>
    </row>
    <row r="28" spans="2:207" x14ac:dyDescent="0.3">
      <c r="B28" t="s">
        <v>166</v>
      </c>
      <c r="C28" t="s">
        <v>167</v>
      </c>
      <c r="D28" t="s">
        <v>198</v>
      </c>
      <c r="E28" t="s">
        <v>169</v>
      </c>
      <c r="F28" s="502">
        <v>41969</v>
      </c>
      <c r="G28" t="s">
        <v>3322</v>
      </c>
      <c r="H28"/>
      <c r="I28"/>
      <c r="J28" s="38">
        <v>0</v>
      </c>
      <c r="K28">
        <v>0</v>
      </c>
      <c r="L28">
        <v>0</v>
      </c>
      <c r="M28" s="38">
        <v>0</v>
      </c>
      <c r="N28">
        <v>10.5</v>
      </c>
      <c r="O28">
        <v>0</v>
      </c>
      <c r="P28" s="37">
        <v>0</v>
      </c>
      <c r="Q28" s="37">
        <v>0</v>
      </c>
      <c r="R28" s="37">
        <v>0</v>
      </c>
      <c r="S28">
        <v>10.5</v>
      </c>
      <c r="T28" s="70">
        <v>0</v>
      </c>
      <c r="U28">
        <v>0</v>
      </c>
      <c r="V28">
        <v>0</v>
      </c>
      <c r="W28">
        <v>0</v>
      </c>
      <c r="X28" s="38">
        <v>0</v>
      </c>
      <c r="Y28">
        <v>0</v>
      </c>
      <c r="Z28" s="70">
        <v>0</v>
      </c>
      <c r="AA28" s="70">
        <v>0</v>
      </c>
      <c r="AB28" s="70">
        <v>0</v>
      </c>
      <c r="AC28" s="70">
        <v>0</v>
      </c>
      <c r="AD28" s="70">
        <v>0</v>
      </c>
      <c r="AE28" s="70">
        <v>0</v>
      </c>
      <c r="AF28">
        <v>0</v>
      </c>
      <c r="AG28" s="72">
        <f>Tradingbook_MSB[[#This Row],[Mat. Date]]-RPT</f>
        <v>-4283</v>
      </c>
      <c r="AH28" s="71">
        <f>IF(Tradingbook_MSB[[#This Row],[Days]]&lt;=0,0,YEARFRAC(RPT,Tradingbook_MSB[[#This Row],[Mat. Date]],3))</f>
        <v>0</v>
      </c>
      <c r="AI28" s="71">
        <f>IF(Tradingbook_MSB[[#This Row],[Days (year)]]=0,0,INDEX(Ref!$K$2:$K$13,MATCH(Tradingbook_MSB[[#This Row],[Days (year)]],Ref!$I$2:$I$13,1)))</f>
        <v>0</v>
      </c>
      <c r="AJ28" s="120" t="str">
        <f>VLOOKUP(Tradingbook_MSB[[#This Row],[Security Name]],Ref!X:Z,3,0)</f>
        <v>TPCPBL</v>
      </c>
      <c r="AK28" s="120" t="str">
        <f>VLOOKUP(Tradingbook_MSB[[#This Row],[Security Name]],Ref!X:Y,2,0)</f>
        <v>VDB</v>
      </c>
      <c r="AL28" s="71">
        <f>IF((Tradingbook_MSB[[#This Row],[Mat. Date]]-RPT)&lt;=0,0,Tradingbook_MSB[[#This Row],[QUANTITY]])</f>
        <v>0</v>
      </c>
      <c r="AM28" s="71">
        <f>IF(Tradingbook_MSB[[#This Row],[Quantity_edited]]=0,0,Tradingbook_MSB[[#This Row],[DURATION]])</f>
        <v>0</v>
      </c>
      <c r="AN28" s="71">
        <f>IF(Tradingbook_MSB[[#This Row],[Quantity_edited]]=0,0,Tradingbook_MSB[[#This Row],[Mod Dur]])</f>
        <v>0</v>
      </c>
      <c r="AO28" s="71">
        <f>IF(Tradingbook_MSB[[#This Row],[Quantity_edited]]=0,0,Tradingbook_MSB[[#This Row],[Cnvx.]])</f>
        <v>0</v>
      </c>
      <c r="AP28" s="71">
        <f>(Tradingbook_MSB[[#This Row],[MARKET_VALUE]]+Tradingbook_MSB[[#This Row],[Accr Int]]*Tradingbook_MSB[[#This Row],[Quantity_edited]])*(-Tradingbook_MSB[[#This Row],[Modified Duration]]*0.0001+0.5*Tradingbook_MSB[[#This Row],[Conv]]*(0.0001^2))</f>
        <v>0</v>
      </c>
      <c r="AQ28" s="72">
        <f>(Tradingbook_MSB[[#This Row],[MARKET_VALUE]]+Tradingbook_MSB[[#This Row],[Accr Int]]*Tradingbook_MSB[[#This Row],[Quantity_edited]])*(-Tradingbook_MSB[[#This Row],[Modified Duration]]*0.01+0.5*Tradingbook_MSB[[#This Row],[Conv]]*(0.01^2))</f>
        <v>0</v>
      </c>
      <c r="AR28" s="71"/>
      <c r="AT28" t="s">
        <v>166</v>
      </c>
      <c r="AU28" t="s">
        <v>167</v>
      </c>
      <c r="AV28" t="s">
        <v>263</v>
      </c>
      <c r="AW28" t="s">
        <v>169</v>
      </c>
      <c r="AX28" t="s">
        <v>264</v>
      </c>
      <c r="AY28" t="s">
        <v>170</v>
      </c>
      <c r="BB28" s="49">
        <v>86184</v>
      </c>
      <c r="BC28">
        <v>8618400000</v>
      </c>
      <c r="BD28">
        <v>99790</v>
      </c>
      <c r="BE28" s="37">
        <v>0</v>
      </c>
      <c r="BF28">
        <v>9.1999999999999993</v>
      </c>
      <c r="BG28">
        <v>0</v>
      </c>
      <c r="BH28" s="34">
        <v>2378678400</v>
      </c>
      <c r="BI28">
        <v>2457591936.9120002</v>
      </c>
      <c r="BJ28">
        <v>-719383927.56300092</v>
      </c>
      <c r="BK28">
        <v>9.1999999999999993</v>
      </c>
      <c r="BL28">
        <v>0</v>
      </c>
      <c r="BM28">
        <v>0</v>
      </c>
      <c r="BN28">
        <v>0</v>
      </c>
      <c r="BO28">
        <v>0</v>
      </c>
      <c r="BP28">
        <v>0</v>
      </c>
      <c r="BQ28">
        <v>0</v>
      </c>
      <c r="BR28">
        <v>18098640</v>
      </c>
      <c r="BS28">
        <v>0</v>
      </c>
      <c r="BT28">
        <v>18098640</v>
      </c>
      <c r="BU28">
        <v>18098640</v>
      </c>
      <c r="BV28">
        <v>18098640</v>
      </c>
      <c r="BW28">
        <v>18098640</v>
      </c>
      <c r="BX28">
        <v>9.25</v>
      </c>
      <c r="BY28" s="32">
        <f>Bankingbook_MSB[[#This Row],[Mat. Date]]-RPT</f>
        <v>-3914</v>
      </c>
      <c r="BZ28" s="71">
        <f>IF(Bankingbook_MSB[[#This Row],[Days]]&lt;=0,0,YEARFRAC(RPT,Bankingbook_MSB[[#This Row],[Mat. Date]],3))</f>
        <v>0</v>
      </c>
      <c r="CA28" s="71">
        <f>IF(Bankingbook_MSB[[#This Row],[Days (year)]]=0,0,INDEX(Ref!$K$2:$K$13,MATCH(Bankingbook_MSB[[#This Row],[Days (year)]],Ref!$I$2:$I$13,1)))</f>
        <v>0</v>
      </c>
      <c r="CB28" s="32" t="str">
        <f>VLOOKUP(Bankingbook_MSB[[#This Row],[Security Name]],Ref!X:Z,3,0)</f>
        <v>TPCP</v>
      </c>
      <c r="CC28" s="32" t="str">
        <f>VLOOKUP(Bankingbook_MSB[[#This Row],[Security Name]],Ref!X:Y,2,0)</f>
        <v>KBNN</v>
      </c>
      <c r="CD28" s="72">
        <f>IF((Bankingbook_MSB[[#This Row],[Mat. Date]]-RPT)&lt;=0,0,Bankingbook_MSB[[#This Row],[QUANTITY]])</f>
        <v>0</v>
      </c>
      <c r="CE28" s="71">
        <f>IF(Bankingbook_MSB[[#This Row],[Quantity_edited]]=0,0,Bankingbook_MSB[[#This Row],[DURATION]])</f>
        <v>0</v>
      </c>
      <c r="CF28" s="71">
        <f>IF(Bankingbook_MSB[[#This Row],[Quantity_edited]]=0,0,Bankingbook_MSB[[#This Row],[Mod Dur]])</f>
        <v>0</v>
      </c>
      <c r="CG28" s="71">
        <f>IF(Bankingbook_MSB[[#This Row],[Quantity_edited]]=0,0,Bankingbook_MSB[[#This Row],[Cnvx.]])</f>
        <v>0</v>
      </c>
      <c r="CH28" s="71">
        <f>(Bankingbook_MSB[[#This Row],[MARKET_VALUE]]+Bankingbook_MSB[[#This Row],[Accr Int]]*Bankingbook_MSB[[#This Row],[Quantity_edited]])*(-Bankingbook_MSB[[#This Row],[Modified Duration]]*0.0001+0.5*Bankingbook_MSB[[#This Row],[Conv]]*(0.0001^2))</f>
        <v>0</v>
      </c>
      <c r="CI28" s="71">
        <f>(Bankingbook_MSB[[#This Row],[MARKET_VALUE]]+Bankingbook_MSB[[#This Row],[Accr Int]]*Bankingbook_MSB[[#This Row],[Quantity_edited]])*(-Bankingbook_MSB[[#This Row],[Modified Duration]]*0.01+0.5*Bankingbook_MSB[[#This Row],[Conv]]*(0.01^2))</f>
        <v>0</v>
      </c>
      <c r="CJ28" s="32"/>
      <c r="CL28" t="s">
        <v>166</v>
      </c>
      <c r="CM28" t="s">
        <v>167</v>
      </c>
      <c r="CN28" t="s">
        <v>198</v>
      </c>
      <c r="CO28" t="s">
        <v>169</v>
      </c>
      <c r="CP28" s="35">
        <v>41969</v>
      </c>
      <c r="CQ28" t="s">
        <v>3322</v>
      </c>
      <c r="CR28" t="s">
        <v>174</v>
      </c>
      <c r="CS28" t="s">
        <v>174</v>
      </c>
      <c r="CT28" s="49">
        <v>0</v>
      </c>
      <c r="CU28">
        <v>0</v>
      </c>
      <c r="CV28">
        <v>0</v>
      </c>
      <c r="CW28" s="70">
        <v>0</v>
      </c>
      <c r="CX28">
        <v>10.5</v>
      </c>
      <c r="CY28">
        <v>0</v>
      </c>
      <c r="CZ28">
        <v>0</v>
      </c>
      <c r="DA28">
        <v>0</v>
      </c>
      <c r="DB28">
        <v>0</v>
      </c>
      <c r="DC28">
        <v>10.5</v>
      </c>
      <c r="DD28">
        <v>0</v>
      </c>
      <c r="DE28">
        <v>0</v>
      </c>
      <c r="DF28">
        <v>0</v>
      </c>
      <c r="DG28">
        <v>0</v>
      </c>
      <c r="DH28">
        <v>0</v>
      </c>
      <c r="DI28">
        <v>0</v>
      </c>
      <c r="DJ28" s="500">
        <v>0</v>
      </c>
      <c r="DK28" s="500">
        <v>0</v>
      </c>
      <c r="DL28" s="37">
        <v>0</v>
      </c>
      <c r="DM28" s="37">
        <v>0</v>
      </c>
      <c r="DN28" s="37">
        <v>0</v>
      </c>
      <c r="DO28" s="37">
        <v>0</v>
      </c>
      <c r="DP28" s="32">
        <f>Tradingbook_SBV[[#This Row],[Mat. Date]]-RPT</f>
        <v>-4283</v>
      </c>
      <c r="DQ28" s="32">
        <f>IF(Tradingbook_SBV[[#This Row],[Days]]&lt;=0,0,YEARFRAC(RPT,Tradingbook_SBV[[#This Row],[Mat. Date]],3))</f>
        <v>0</v>
      </c>
      <c r="DR28" s="32">
        <f>IF(Tradingbook_SBV[[#This Row],[Days (year)]]=0,0,INDEX(Ref!$K$2:$K$13,MATCH(Tradingbook_SBV[[#This Row],[Days (year)]],Ref!$I$2:$I$13,1)))</f>
        <v>0</v>
      </c>
      <c r="DS28" s="32" t="str">
        <f>VLOOKUP(Tradingbook_SBV[[#This Row],[Security Name]],Ref!X:Z,3,0)</f>
        <v>TPCPBL</v>
      </c>
      <c r="DT28" s="32" t="str">
        <f>VLOOKUP(Tradingbook_SBV[[#This Row],[Security Name]],Ref!X:Y,2,0)</f>
        <v>VDB</v>
      </c>
      <c r="DU28" s="71">
        <f>IF((Tradingbook_SBV[[#This Row],[Mat. Date]]-RPT)&lt;=0,0,Tradingbook_SBV[[#This Row],[QUANTITY]])</f>
        <v>0</v>
      </c>
      <c r="DV28" s="71">
        <f>IF(Tradingbook_SBV[[#This Row],[Quantity_edited]]=0,0,Tradingbook_SBV[[#This Row],[DURATION]])</f>
        <v>0</v>
      </c>
      <c r="DW28" s="71">
        <f>IF(Tradingbook_SBV[[#This Row],[Quantity_edited]]=0,0,Tradingbook_SBV[[#This Row],[Mod Dur]])</f>
        <v>0</v>
      </c>
      <c r="DX28" s="71">
        <f>IF(Tradingbook_SBV[[#This Row],[Quantity_edited]]=0,0,Tradingbook_SBV[[#This Row],[Cnvx.]])</f>
        <v>0</v>
      </c>
      <c r="DY28" s="71">
        <f>(Tradingbook_SBV[[#This Row],[MARKET_VALUE]]+Tradingbook_SBV[[#This Row],[Accr Int]]*Tradingbook_SBV[[#This Row],[Quantity_edited]])*(-Tradingbook_SBV[[#This Row],[Modified Duration]]*0.0001+0.5*Tradingbook_SBV[[#This Row],[Conv]]*(0.0001^2))</f>
        <v>0</v>
      </c>
      <c r="DZ28" s="71">
        <f>(Tradingbook_SBV[[#This Row],[MARKET_VALUE]]+Tradingbook_SBV[[#This Row],[Accr Int]]*Tradingbook_SBV[[#This Row],[Quantity_edited]])*(-Tradingbook_SBV[[#This Row],[Modified Duration]]*0.01+0.5*Tradingbook_SBV[[#This Row],[Conv]]*(0.01^2))</f>
        <v>0</v>
      </c>
      <c r="EC28" t="s">
        <v>166</v>
      </c>
      <c r="ED28" t="s">
        <v>167</v>
      </c>
      <c r="EE28" t="s">
        <v>263</v>
      </c>
      <c r="EF28" t="s">
        <v>169</v>
      </c>
      <c r="EG28" s="35" t="s">
        <v>264</v>
      </c>
      <c r="EH28" t="s">
        <v>170</v>
      </c>
      <c r="EK28" s="500">
        <v>86184</v>
      </c>
      <c r="EL28" s="500">
        <v>8618400000</v>
      </c>
      <c r="EM28" s="500">
        <v>99790</v>
      </c>
      <c r="EN28" s="500">
        <v>0</v>
      </c>
      <c r="EO28">
        <v>9.1999999999999993</v>
      </c>
      <c r="EP28">
        <v>0</v>
      </c>
      <c r="EQ28">
        <v>2378678400</v>
      </c>
      <c r="ER28">
        <v>2457591936.9120002</v>
      </c>
      <c r="ES28">
        <v>-719383927.56300092</v>
      </c>
      <c r="ET28">
        <v>9.1999999999999993</v>
      </c>
      <c r="EU28">
        <v>0</v>
      </c>
      <c r="EV28">
        <v>0</v>
      </c>
      <c r="EW28">
        <v>0</v>
      </c>
      <c r="EX28">
        <v>0</v>
      </c>
      <c r="EY28">
        <v>0</v>
      </c>
      <c r="EZ28">
        <v>0</v>
      </c>
      <c r="FA28">
        <v>18098640</v>
      </c>
      <c r="FB28">
        <v>0</v>
      </c>
      <c r="FC28">
        <v>18098640</v>
      </c>
      <c r="FD28">
        <v>18098640</v>
      </c>
      <c r="FE28">
        <v>18098640</v>
      </c>
      <c r="FF28">
        <v>18098640</v>
      </c>
      <c r="FG28" s="32">
        <f>Bankingbook_SBV[[#This Row],[Mat. Date]]-RPT</f>
        <v>-3914</v>
      </c>
      <c r="FH28" s="32">
        <f>IF(Bankingbook_SBV[[#This Row],[Days]]&lt;=0,0,YEARFRAC(RPT,Bankingbook_SBV[[#This Row],[Mat. Date]],3))</f>
        <v>0</v>
      </c>
      <c r="FI28" s="32">
        <f>IF(Bankingbook_SBV[[#This Row],[Days (year)]]=0,0,INDEX(Ref!$K$2:$K$13,MATCH(Bankingbook_SBV[[#This Row],[Days (year)]],Ref!$I$2:$I$13,1)))</f>
        <v>0</v>
      </c>
      <c r="FJ28" s="32" t="str">
        <f>VLOOKUP(Bankingbook_SBV[[#This Row],[Security Name]],Ref!X:Z,3,0)</f>
        <v>TPCP</v>
      </c>
      <c r="FK28" s="32" t="str">
        <f>VLOOKUP(Bankingbook_SBV[[#This Row],[Security Name]],Ref!X:Y,2,0)</f>
        <v>KBNN</v>
      </c>
      <c r="FL28" s="72">
        <f>IF((Bankingbook_SBV[[#This Row],[Mat. Date]]-RPT)&lt;=0,0,Bankingbook_SBV[[#This Row],[QUANTITY]])</f>
        <v>0</v>
      </c>
      <c r="FM28" s="32">
        <f>IF(Bankingbook_SBV[[#This Row],[Quantity_edited]]=0,0,Bankingbook_SBV[[#This Row],[DURATION]])</f>
        <v>0</v>
      </c>
      <c r="FN28" s="32">
        <f>IF(Bankingbook_SBV[[#This Row],[Quantity_edited]]=0,0,Bankingbook_SBV[[#This Row],[Mod Dur]])</f>
        <v>0</v>
      </c>
      <c r="FO28" s="32">
        <f>IF(Bankingbook_SBV[[#This Row],[Quantity_edited]]=0,0,Bankingbook_SBV[[#This Row],[Cnvx.]])</f>
        <v>0</v>
      </c>
      <c r="FP28" s="32">
        <f>(Bankingbook_SBV[[#This Row],[MARKET_VALUE]]+Bankingbook_SBV[[#This Row],[Accr Int]]*Bankingbook_SBV[[#This Row],[Quantity_edited]])*(-Bankingbook_SBV[[#This Row],[Modified Duration]]*0.0001+0.5*Bankingbook_SBV[[#This Row],[Conv]]*(0.0001^2))</f>
        <v>0</v>
      </c>
      <c r="FQ28" s="32">
        <f>(Bankingbook_SBV[[#This Row],[MARKET_VALUE]]+Bankingbook_SBV[[#This Row],[Accr Int]]*Bankingbook_SBV[[#This Row],[Quantity_edited]])*(-Bankingbook_SBV[[#This Row],[Modified Duration]]*0.01+0.5*Bankingbook_SBV[[#This Row],[Conv]]*(0.01^2))</f>
        <v>0</v>
      </c>
      <c r="FT28" t="s">
        <v>166</v>
      </c>
      <c r="FU28" t="s">
        <v>790</v>
      </c>
      <c r="FV28" t="s">
        <v>3951</v>
      </c>
      <c r="FW28">
        <v>3280892</v>
      </c>
      <c r="FX28" s="502">
        <v>46189</v>
      </c>
      <c r="FY28" t="s">
        <v>2176</v>
      </c>
      <c r="FZ28" t="s">
        <v>823</v>
      </c>
      <c r="GA28" t="s">
        <v>2829</v>
      </c>
      <c r="GB28" t="s">
        <v>810</v>
      </c>
      <c r="GC28" t="s">
        <v>2303</v>
      </c>
      <c r="GD28" s="500">
        <v>-866232000000</v>
      </c>
      <c r="GE28">
        <v>9.9998129999999996</v>
      </c>
      <c r="GF28" s="502">
        <v>46191</v>
      </c>
      <c r="GG28" s="502">
        <v>46281</v>
      </c>
      <c r="GH28">
        <v>4.5999999999999996</v>
      </c>
      <c r="GI28" t="s">
        <v>811</v>
      </c>
      <c r="GJ28" t="s">
        <v>3321</v>
      </c>
      <c r="GK28" t="s">
        <v>3321</v>
      </c>
      <c r="GL28">
        <v>7549452500</v>
      </c>
      <c r="GM28">
        <v>-6659306827.3999996</v>
      </c>
      <c r="GN28">
        <v>965727000000</v>
      </c>
      <c r="GO28">
        <v>10.3</v>
      </c>
      <c r="GP28">
        <v>7.0000000000000007E-2</v>
      </c>
      <c r="GQ28">
        <v>6.9000000000000006E-2</v>
      </c>
      <c r="GR28">
        <v>6.7425980000000001</v>
      </c>
      <c r="GS28">
        <v>-871475402568.67004</v>
      </c>
      <c r="GT28">
        <v>-5243402568.6700001</v>
      </c>
      <c r="GU28" t="s">
        <v>4114</v>
      </c>
      <c r="GV28" t="s">
        <v>4114</v>
      </c>
      <c r="GW28" s="416">
        <f>FNRP_Repo[[#This Row],[Mat. Date]]-RPT</f>
        <v>29</v>
      </c>
      <c r="GX28" s="819" t="str">
        <f>IF(FNRP_Repo[[#This Row],[Days]]&lt;=0,"Mat",INDEX(Ref!U:U,MATCH(FNRP_Repo[[#This Row],[Days]],Ref!S:S,1)))</f>
        <v>1M</v>
      </c>
      <c r="GY28" s="417">
        <f>RIGHT(FNRP_Repo[[#This Row],[Deal Id]],5)+0</f>
        <v>17828</v>
      </c>
    </row>
    <row r="29" spans="2:207" x14ac:dyDescent="0.3">
      <c r="B29" t="s">
        <v>166</v>
      </c>
      <c r="C29" t="s">
        <v>167</v>
      </c>
      <c r="D29" t="s">
        <v>200</v>
      </c>
      <c r="E29" t="s">
        <v>169</v>
      </c>
      <c r="F29" s="502">
        <v>41976</v>
      </c>
      <c r="G29" t="s">
        <v>3322</v>
      </c>
      <c r="H29"/>
      <c r="I29"/>
      <c r="J29" s="38">
        <v>0</v>
      </c>
      <c r="K29">
        <v>0</v>
      </c>
      <c r="L29">
        <v>0</v>
      </c>
      <c r="M29" s="38">
        <v>0</v>
      </c>
      <c r="N29">
        <v>10.5</v>
      </c>
      <c r="O29">
        <v>0</v>
      </c>
      <c r="P29" s="37">
        <v>0</v>
      </c>
      <c r="Q29" s="37">
        <v>0</v>
      </c>
      <c r="R29" s="37">
        <v>-1330634088.888885</v>
      </c>
      <c r="S29">
        <v>10.5</v>
      </c>
      <c r="T29" s="70">
        <v>0</v>
      </c>
      <c r="U29">
        <v>0</v>
      </c>
      <c r="V29">
        <v>0</v>
      </c>
      <c r="W29">
        <v>0</v>
      </c>
      <c r="X29" s="38">
        <v>0</v>
      </c>
      <c r="Y29">
        <v>0</v>
      </c>
      <c r="Z29" s="70">
        <v>-391000000</v>
      </c>
      <c r="AA29" s="70">
        <v>0</v>
      </c>
      <c r="AB29" s="70">
        <v>-391000000</v>
      </c>
      <c r="AC29" s="70">
        <v>-391000000</v>
      </c>
      <c r="AD29" s="70">
        <v>-391000000</v>
      </c>
      <c r="AE29" s="70">
        <v>-391000000</v>
      </c>
      <c r="AF29">
        <v>0</v>
      </c>
      <c r="AG29" s="72">
        <f>Tradingbook_MSB[[#This Row],[Mat. Date]]-RPT</f>
        <v>-4276</v>
      </c>
      <c r="AH29" s="71">
        <f>IF(Tradingbook_MSB[[#This Row],[Days]]&lt;=0,0,YEARFRAC(RPT,Tradingbook_MSB[[#This Row],[Mat. Date]],3))</f>
        <v>0</v>
      </c>
      <c r="AI29" s="71">
        <f>IF(Tradingbook_MSB[[#This Row],[Days (year)]]=0,0,INDEX(Ref!$K$2:$K$13,MATCH(Tradingbook_MSB[[#This Row],[Days (year)]],Ref!$I$2:$I$13,1)))</f>
        <v>0</v>
      </c>
      <c r="AJ29" s="120" t="str">
        <f>VLOOKUP(Tradingbook_MSB[[#This Row],[Security Name]],Ref!X:Z,3,0)</f>
        <v>TPCPBL</v>
      </c>
      <c r="AK29" s="120" t="str">
        <f>VLOOKUP(Tradingbook_MSB[[#This Row],[Security Name]],Ref!X:Y,2,0)</f>
        <v>VDB</v>
      </c>
      <c r="AL29" s="71">
        <f>IF((Tradingbook_MSB[[#This Row],[Mat. Date]]-RPT)&lt;=0,0,Tradingbook_MSB[[#This Row],[QUANTITY]])</f>
        <v>0</v>
      </c>
      <c r="AM29" s="71">
        <f>IF(Tradingbook_MSB[[#This Row],[Quantity_edited]]=0,0,Tradingbook_MSB[[#This Row],[DURATION]])</f>
        <v>0</v>
      </c>
      <c r="AN29" s="71">
        <f>IF(Tradingbook_MSB[[#This Row],[Quantity_edited]]=0,0,Tradingbook_MSB[[#This Row],[Mod Dur]])</f>
        <v>0</v>
      </c>
      <c r="AO29" s="71">
        <f>IF(Tradingbook_MSB[[#This Row],[Quantity_edited]]=0,0,Tradingbook_MSB[[#This Row],[Cnvx.]])</f>
        <v>0</v>
      </c>
      <c r="AP29" s="71">
        <f>(Tradingbook_MSB[[#This Row],[MARKET_VALUE]]+Tradingbook_MSB[[#This Row],[Accr Int]]*Tradingbook_MSB[[#This Row],[Quantity_edited]])*(-Tradingbook_MSB[[#This Row],[Modified Duration]]*0.0001+0.5*Tradingbook_MSB[[#This Row],[Conv]]*(0.0001^2))</f>
        <v>0</v>
      </c>
      <c r="AQ29" s="72">
        <f>(Tradingbook_MSB[[#This Row],[MARKET_VALUE]]+Tradingbook_MSB[[#This Row],[Accr Int]]*Tradingbook_MSB[[#This Row],[Quantity_edited]])*(-Tradingbook_MSB[[#This Row],[Modified Duration]]*0.01+0.5*Tradingbook_MSB[[#This Row],[Conv]]*(0.01^2))</f>
        <v>0</v>
      </c>
      <c r="AR29" s="71"/>
      <c r="AT29" t="s">
        <v>166</v>
      </c>
      <c r="AU29" t="s">
        <v>167</v>
      </c>
      <c r="AV29" t="s">
        <v>278</v>
      </c>
      <c r="AW29" t="s">
        <v>169</v>
      </c>
      <c r="AX29" t="s">
        <v>3345</v>
      </c>
      <c r="AY29" t="s">
        <v>3322</v>
      </c>
      <c r="BB29" s="49">
        <v>0</v>
      </c>
      <c r="BC29">
        <v>0</v>
      </c>
      <c r="BD29">
        <v>0</v>
      </c>
      <c r="BE29" s="37">
        <v>0</v>
      </c>
      <c r="BF29">
        <v>11.5</v>
      </c>
      <c r="BG29">
        <v>0</v>
      </c>
      <c r="BH29" s="34">
        <v>258750000000</v>
      </c>
      <c r="BI29">
        <v>287642397077.4306</v>
      </c>
      <c r="BJ29">
        <v>-169690571219.11136</v>
      </c>
      <c r="BK29">
        <v>11.5</v>
      </c>
      <c r="BL29">
        <v>0</v>
      </c>
      <c r="BM29">
        <v>0</v>
      </c>
      <c r="BN29">
        <v>0</v>
      </c>
      <c r="BO29">
        <v>0</v>
      </c>
      <c r="BP29">
        <v>0</v>
      </c>
      <c r="BQ29">
        <v>0</v>
      </c>
      <c r="BR29">
        <v>36507000000.000122</v>
      </c>
      <c r="BS29">
        <v>0</v>
      </c>
      <c r="BT29">
        <v>36507000000.000122</v>
      </c>
      <c r="BU29">
        <v>36507000000.000122</v>
      </c>
      <c r="BV29">
        <v>36507000000</v>
      </c>
      <c r="BW29">
        <v>36507000000.000122</v>
      </c>
      <c r="BX29">
        <v>0</v>
      </c>
      <c r="BY29" s="32">
        <f>Bankingbook_MSB[[#This Row],[Mat. Date]]-RPT</f>
        <v>-3841</v>
      </c>
      <c r="BZ29" s="71">
        <f>IF(Bankingbook_MSB[[#This Row],[Days]]&lt;=0,0,YEARFRAC(RPT,Bankingbook_MSB[[#This Row],[Mat. Date]],3))</f>
        <v>0</v>
      </c>
      <c r="CA29" s="71">
        <f>IF(Bankingbook_MSB[[#This Row],[Days (year)]]=0,0,INDEX(Ref!$K$2:$K$13,MATCH(Bankingbook_MSB[[#This Row],[Days (year)]],Ref!$I$2:$I$13,1)))</f>
        <v>0</v>
      </c>
      <c r="CB29" s="32" t="str">
        <f>VLOOKUP(Bankingbook_MSB[[#This Row],[Security Name]],Ref!X:Z,3,0)</f>
        <v>TPCPBL</v>
      </c>
      <c r="CC29" s="32" t="str">
        <f>VLOOKUP(Bankingbook_MSB[[#This Row],[Security Name]],Ref!X:Y,2,0)</f>
        <v>VDB</v>
      </c>
      <c r="CD29" s="72">
        <f>IF((Bankingbook_MSB[[#This Row],[Mat. Date]]-RPT)&lt;=0,0,Bankingbook_MSB[[#This Row],[QUANTITY]])</f>
        <v>0</v>
      </c>
      <c r="CE29" s="71">
        <f>IF(Bankingbook_MSB[[#This Row],[Quantity_edited]]=0,0,Bankingbook_MSB[[#This Row],[DURATION]])</f>
        <v>0</v>
      </c>
      <c r="CF29" s="71">
        <f>IF(Bankingbook_MSB[[#This Row],[Quantity_edited]]=0,0,Bankingbook_MSB[[#This Row],[Mod Dur]])</f>
        <v>0</v>
      </c>
      <c r="CG29" s="71">
        <f>IF(Bankingbook_MSB[[#This Row],[Quantity_edited]]=0,0,Bankingbook_MSB[[#This Row],[Cnvx.]])</f>
        <v>0</v>
      </c>
      <c r="CH29" s="71">
        <f>(Bankingbook_MSB[[#This Row],[MARKET_VALUE]]+Bankingbook_MSB[[#This Row],[Accr Int]]*Bankingbook_MSB[[#This Row],[Quantity_edited]])*(-Bankingbook_MSB[[#This Row],[Modified Duration]]*0.0001+0.5*Bankingbook_MSB[[#This Row],[Conv]]*(0.0001^2))</f>
        <v>0</v>
      </c>
      <c r="CI29" s="71">
        <f>(Bankingbook_MSB[[#This Row],[MARKET_VALUE]]+Bankingbook_MSB[[#This Row],[Accr Int]]*Bankingbook_MSB[[#This Row],[Quantity_edited]])*(-Bankingbook_MSB[[#This Row],[Modified Duration]]*0.01+0.5*Bankingbook_MSB[[#This Row],[Conv]]*(0.01^2))</f>
        <v>0</v>
      </c>
      <c r="CJ29" s="32"/>
      <c r="CL29" t="s">
        <v>166</v>
      </c>
      <c r="CM29" t="s">
        <v>167</v>
      </c>
      <c r="CN29" t="s">
        <v>200</v>
      </c>
      <c r="CO29" t="s">
        <v>169</v>
      </c>
      <c r="CP29" s="35">
        <v>41976</v>
      </c>
      <c r="CQ29" t="s">
        <v>3322</v>
      </c>
      <c r="CR29" t="s">
        <v>174</v>
      </c>
      <c r="CS29" t="s">
        <v>174</v>
      </c>
      <c r="CT29" s="49">
        <v>0</v>
      </c>
      <c r="CU29">
        <v>0</v>
      </c>
      <c r="CV29">
        <v>0</v>
      </c>
      <c r="CW29" s="70">
        <v>0</v>
      </c>
      <c r="CX29">
        <v>10.5</v>
      </c>
      <c r="CY29">
        <v>0</v>
      </c>
      <c r="CZ29">
        <v>0</v>
      </c>
      <c r="DA29">
        <v>0</v>
      </c>
      <c r="DB29">
        <v>-1330634088.888885</v>
      </c>
      <c r="DC29">
        <v>10.5</v>
      </c>
      <c r="DD29">
        <v>0</v>
      </c>
      <c r="DE29">
        <v>0</v>
      </c>
      <c r="DF29">
        <v>0</v>
      </c>
      <c r="DG29">
        <v>0</v>
      </c>
      <c r="DH29">
        <v>0</v>
      </c>
      <c r="DI29">
        <v>0</v>
      </c>
      <c r="DJ29" s="500">
        <v>-391000000</v>
      </c>
      <c r="DK29" s="500">
        <v>0</v>
      </c>
      <c r="DL29" s="37">
        <v>-391000000</v>
      </c>
      <c r="DM29" s="37">
        <v>-391000000</v>
      </c>
      <c r="DN29" s="37">
        <v>-391000000</v>
      </c>
      <c r="DO29" s="37">
        <v>-391000000</v>
      </c>
      <c r="DP29" s="32">
        <f>Tradingbook_SBV[[#This Row],[Mat. Date]]-RPT</f>
        <v>-4276</v>
      </c>
      <c r="DQ29" s="32">
        <f>IF(Tradingbook_SBV[[#This Row],[Days]]&lt;=0,0,YEARFRAC(RPT,Tradingbook_SBV[[#This Row],[Mat. Date]],3))</f>
        <v>0</v>
      </c>
      <c r="DR29" s="32">
        <f>IF(Tradingbook_SBV[[#This Row],[Days (year)]]=0,0,INDEX(Ref!$K$2:$K$13,MATCH(Tradingbook_SBV[[#This Row],[Days (year)]],Ref!$I$2:$I$13,1)))</f>
        <v>0</v>
      </c>
      <c r="DS29" s="32" t="str">
        <f>VLOOKUP(Tradingbook_SBV[[#This Row],[Security Name]],Ref!X:Z,3,0)</f>
        <v>TPCPBL</v>
      </c>
      <c r="DT29" s="32" t="str">
        <f>VLOOKUP(Tradingbook_SBV[[#This Row],[Security Name]],Ref!X:Y,2,0)</f>
        <v>VDB</v>
      </c>
      <c r="DU29" s="71">
        <f>IF((Tradingbook_SBV[[#This Row],[Mat. Date]]-RPT)&lt;=0,0,Tradingbook_SBV[[#This Row],[QUANTITY]])</f>
        <v>0</v>
      </c>
      <c r="DV29" s="71">
        <f>IF(Tradingbook_SBV[[#This Row],[Quantity_edited]]=0,0,Tradingbook_SBV[[#This Row],[DURATION]])</f>
        <v>0</v>
      </c>
      <c r="DW29" s="71">
        <f>IF(Tradingbook_SBV[[#This Row],[Quantity_edited]]=0,0,Tradingbook_SBV[[#This Row],[Mod Dur]])</f>
        <v>0</v>
      </c>
      <c r="DX29" s="71">
        <f>IF(Tradingbook_SBV[[#This Row],[Quantity_edited]]=0,0,Tradingbook_SBV[[#This Row],[Cnvx.]])</f>
        <v>0</v>
      </c>
      <c r="DY29" s="71">
        <f>(Tradingbook_SBV[[#This Row],[MARKET_VALUE]]+Tradingbook_SBV[[#This Row],[Accr Int]]*Tradingbook_SBV[[#This Row],[Quantity_edited]])*(-Tradingbook_SBV[[#This Row],[Modified Duration]]*0.0001+0.5*Tradingbook_SBV[[#This Row],[Conv]]*(0.0001^2))</f>
        <v>0</v>
      </c>
      <c r="DZ29" s="71">
        <f>(Tradingbook_SBV[[#This Row],[MARKET_VALUE]]+Tradingbook_SBV[[#This Row],[Accr Int]]*Tradingbook_SBV[[#This Row],[Quantity_edited]])*(-Tradingbook_SBV[[#This Row],[Modified Duration]]*0.01+0.5*Tradingbook_SBV[[#This Row],[Conv]]*(0.01^2))</f>
        <v>0</v>
      </c>
      <c r="EC29" t="s">
        <v>166</v>
      </c>
      <c r="ED29" t="s">
        <v>167</v>
      </c>
      <c r="EE29" t="s">
        <v>278</v>
      </c>
      <c r="EF29" t="s">
        <v>169</v>
      </c>
      <c r="EG29" s="35" t="s">
        <v>3345</v>
      </c>
      <c r="EH29" t="s">
        <v>3322</v>
      </c>
      <c r="EK29" s="500">
        <v>0</v>
      </c>
      <c r="EL29" s="500">
        <v>0</v>
      </c>
      <c r="EM29" s="500">
        <v>0</v>
      </c>
      <c r="EN29" s="500">
        <v>0</v>
      </c>
      <c r="EO29">
        <v>11.5</v>
      </c>
      <c r="EP29">
        <v>0</v>
      </c>
      <c r="EQ29">
        <v>258750000000</v>
      </c>
      <c r="ER29">
        <v>287642397077.4306</v>
      </c>
      <c r="ES29">
        <v>-169690571219.11136</v>
      </c>
      <c r="ET29">
        <v>11.5</v>
      </c>
      <c r="EU29">
        <v>0</v>
      </c>
      <c r="EV29">
        <v>0</v>
      </c>
      <c r="EW29">
        <v>0</v>
      </c>
      <c r="EX29">
        <v>0</v>
      </c>
      <c r="EY29">
        <v>0</v>
      </c>
      <c r="EZ29">
        <v>0</v>
      </c>
      <c r="FA29">
        <v>36507000000.000122</v>
      </c>
      <c r="FB29">
        <v>0</v>
      </c>
      <c r="FC29">
        <v>36507000000.000122</v>
      </c>
      <c r="FD29">
        <v>36507000000.000122</v>
      </c>
      <c r="FE29">
        <v>36507000000</v>
      </c>
      <c r="FF29">
        <v>36507000000.000122</v>
      </c>
      <c r="FG29" s="32">
        <f>Bankingbook_SBV[[#This Row],[Mat. Date]]-RPT</f>
        <v>-3841</v>
      </c>
      <c r="FH29" s="32">
        <f>IF(Bankingbook_SBV[[#This Row],[Days]]&lt;=0,0,YEARFRAC(RPT,Bankingbook_SBV[[#This Row],[Mat. Date]],3))</f>
        <v>0</v>
      </c>
      <c r="FI29" s="32">
        <f>IF(Bankingbook_SBV[[#This Row],[Days (year)]]=0,0,INDEX(Ref!$K$2:$K$13,MATCH(Bankingbook_SBV[[#This Row],[Days (year)]],Ref!$I$2:$I$13,1)))</f>
        <v>0</v>
      </c>
      <c r="FJ29" s="32" t="str">
        <f>VLOOKUP(Bankingbook_SBV[[#This Row],[Security Name]],Ref!X:Z,3,0)</f>
        <v>TPCPBL</v>
      </c>
      <c r="FK29" s="32" t="str">
        <f>VLOOKUP(Bankingbook_SBV[[#This Row],[Security Name]],Ref!X:Y,2,0)</f>
        <v>VDB</v>
      </c>
      <c r="FL29" s="72">
        <f>IF((Bankingbook_SBV[[#This Row],[Mat. Date]]-RPT)&lt;=0,0,Bankingbook_SBV[[#This Row],[QUANTITY]])</f>
        <v>0</v>
      </c>
      <c r="FM29" s="32">
        <f>IF(Bankingbook_SBV[[#This Row],[Quantity_edited]]=0,0,Bankingbook_SBV[[#This Row],[DURATION]])</f>
        <v>0</v>
      </c>
      <c r="FN29" s="32">
        <f>IF(Bankingbook_SBV[[#This Row],[Quantity_edited]]=0,0,Bankingbook_SBV[[#This Row],[Mod Dur]])</f>
        <v>0</v>
      </c>
      <c r="FO29" s="32">
        <f>IF(Bankingbook_SBV[[#This Row],[Quantity_edited]]=0,0,Bankingbook_SBV[[#This Row],[Cnvx.]])</f>
        <v>0</v>
      </c>
      <c r="FP29" s="32">
        <f>(Bankingbook_SBV[[#This Row],[MARKET_VALUE]]+Bankingbook_SBV[[#This Row],[Accr Int]]*Bankingbook_SBV[[#This Row],[Quantity_edited]])*(-Bankingbook_SBV[[#This Row],[Modified Duration]]*0.0001+0.5*Bankingbook_SBV[[#This Row],[Conv]]*(0.0001^2))</f>
        <v>0</v>
      </c>
      <c r="FQ29" s="32">
        <f>(Bankingbook_SBV[[#This Row],[MARKET_VALUE]]+Bankingbook_SBV[[#This Row],[Accr Int]]*Bankingbook_SBV[[#This Row],[Quantity_edited]])*(-Bankingbook_SBV[[#This Row],[Modified Duration]]*0.01+0.5*Bankingbook_SBV[[#This Row],[Conv]]*(0.01^2))</f>
        <v>0</v>
      </c>
      <c r="FT29" t="s">
        <v>166</v>
      </c>
      <c r="FU29" t="s">
        <v>790</v>
      </c>
      <c r="FV29" t="s">
        <v>3952</v>
      </c>
      <c r="FW29">
        <v>3280897</v>
      </c>
      <c r="FX29" s="502">
        <v>46189</v>
      </c>
      <c r="FY29" t="s">
        <v>2176</v>
      </c>
      <c r="FZ29" t="s">
        <v>823</v>
      </c>
      <c r="GA29" t="s">
        <v>2829</v>
      </c>
      <c r="GB29" t="s">
        <v>810</v>
      </c>
      <c r="GC29" t="s">
        <v>2303</v>
      </c>
      <c r="GD29" s="500">
        <v>-927830720000</v>
      </c>
      <c r="GE29">
        <v>9.9998129999999996</v>
      </c>
      <c r="GF29" s="502">
        <v>46191</v>
      </c>
      <c r="GG29" s="502">
        <v>46281</v>
      </c>
      <c r="GH29">
        <v>4.5999999999999996</v>
      </c>
      <c r="GI29" t="s">
        <v>811</v>
      </c>
      <c r="GJ29" t="s">
        <v>3321</v>
      </c>
      <c r="GK29" t="s">
        <v>3321</v>
      </c>
      <c r="GL29">
        <v>8086302455.5600004</v>
      </c>
      <c r="GM29">
        <v>-7132857535.1199999</v>
      </c>
      <c r="GN29">
        <v>1034400920000</v>
      </c>
      <c r="GO29">
        <v>10.3</v>
      </c>
      <c r="GP29">
        <v>7.0000000000000007E-2</v>
      </c>
      <c r="GQ29">
        <v>6.9000000000000006E-2</v>
      </c>
      <c r="GR29">
        <v>6.7425980000000001</v>
      </c>
      <c r="GS29">
        <v>-933446986751.23999</v>
      </c>
      <c r="GT29">
        <v>-5616266751.2399998</v>
      </c>
      <c r="GU29" t="s">
        <v>4115</v>
      </c>
      <c r="GV29" t="s">
        <v>4115</v>
      </c>
      <c r="GW29" s="416">
        <f>FNRP_Repo[[#This Row],[Mat. Date]]-RPT</f>
        <v>29</v>
      </c>
      <c r="GX29" s="819" t="str">
        <f>IF(FNRP_Repo[[#This Row],[Days]]&lt;=0,"Mat",INDEX(Ref!U:U,MATCH(FNRP_Repo[[#This Row],[Days]],Ref!S:S,1)))</f>
        <v>1M</v>
      </c>
      <c r="GY29" s="417">
        <f>RIGHT(FNRP_Repo[[#This Row],[Deal Id]],5)+0</f>
        <v>17829</v>
      </c>
    </row>
    <row r="30" spans="2:207" x14ac:dyDescent="0.3">
      <c r="B30" t="s">
        <v>166</v>
      </c>
      <c r="C30" t="s">
        <v>167</v>
      </c>
      <c r="D30" t="s">
        <v>201</v>
      </c>
      <c r="E30" t="s">
        <v>169</v>
      </c>
      <c r="F30" s="502">
        <v>41986</v>
      </c>
      <c r="G30" t="s">
        <v>3322</v>
      </c>
      <c r="H30"/>
      <c r="I30"/>
      <c r="J30" s="38">
        <v>0</v>
      </c>
      <c r="K30">
        <v>0</v>
      </c>
      <c r="L30">
        <v>0</v>
      </c>
      <c r="M30" s="38">
        <v>0</v>
      </c>
      <c r="N30">
        <v>10.5</v>
      </c>
      <c r="O30">
        <v>0</v>
      </c>
      <c r="P30" s="37">
        <v>0</v>
      </c>
      <c r="Q30" s="37">
        <v>0</v>
      </c>
      <c r="R30" s="37">
        <v>-556846464.58333015</v>
      </c>
      <c r="S30">
        <v>10.5</v>
      </c>
      <c r="T30" s="70">
        <v>0</v>
      </c>
      <c r="U30">
        <v>0</v>
      </c>
      <c r="V30">
        <v>0</v>
      </c>
      <c r="W30">
        <v>0</v>
      </c>
      <c r="X30" s="38">
        <v>0</v>
      </c>
      <c r="Y30">
        <v>0</v>
      </c>
      <c r="Z30" s="70">
        <v>-170500000</v>
      </c>
      <c r="AA30" s="70">
        <v>0</v>
      </c>
      <c r="AB30" s="70">
        <v>-170500000</v>
      </c>
      <c r="AC30" s="70">
        <v>-170500000</v>
      </c>
      <c r="AD30" s="70">
        <v>-170500000</v>
      </c>
      <c r="AE30" s="70">
        <v>-170500000</v>
      </c>
      <c r="AF30">
        <v>0</v>
      </c>
      <c r="AG30" s="72">
        <f>Tradingbook_MSB[[#This Row],[Mat. Date]]-RPT</f>
        <v>-4266</v>
      </c>
      <c r="AH30" s="71">
        <f>IF(Tradingbook_MSB[[#This Row],[Days]]&lt;=0,0,YEARFRAC(RPT,Tradingbook_MSB[[#This Row],[Mat. Date]],3))</f>
        <v>0</v>
      </c>
      <c r="AI30" s="71">
        <f>IF(Tradingbook_MSB[[#This Row],[Days (year)]]=0,0,INDEX(Ref!$K$2:$K$13,MATCH(Tradingbook_MSB[[#This Row],[Days (year)]],Ref!$I$2:$I$13,1)))</f>
        <v>0</v>
      </c>
      <c r="AJ30" s="120" t="str">
        <f>VLOOKUP(Tradingbook_MSB[[#This Row],[Security Name]],Ref!X:Z,3,0)</f>
        <v>TPCPBL</v>
      </c>
      <c r="AK30" s="120" t="str">
        <f>VLOOKUP(Tradingbook_MSB[[#This Row],[Security Name]],Ref!X:Y,2,0)</f>
        <v>VDB</v>
      </c>
      <c r="AL30" s="71">
        <f>IF((Tradingbook_MSB[[#This Row],[Mat. Date]]-RPT)&lt;=0,0,Tradingbook_MSB[[#This Row],[QUANTITY]])</f>
        <v>0</v>
      </c>
      <c r="AM30" s="71">
        <f>IF(Tradingbook_MSB[[#This Row],[Quantity_edited]]=0,0,Tradingbook_MSB[[#This Row],[DURATION]])</f>
        <v>0</v>
      </c>
      <c r="AN30" s="71">
        <f>IF(Tradingbook_MSB[[#This Row],[Quantity_edited]]=0,0,Tradingbook_MSB[[#This Row],[Mod Dur]])</f>
        <v>0</v>
      </c>
      <c r="AO30" s="71">
        <f>IF(Tradingbook_MSB[[#This Row],[Quantity_edited]]=0,0,Tradingbook_MSB[[#This Row],[Cnvx.]])</f>
        <v>0</v>
      </c>
      <c r="AP30" s="71">
        <f>(Tradingbook_MSB[[#This Row],[MARKET_VALUE]]+Tradingbook_MSB[[#This Row],[Accr Int]]*Tradingbook_MSB[[#This Row],[Quantity_edited]])*(-Tradingbook_MSB[[#This Row],[Modified Duration]]*0.0001+0.5*Tradingbook_MSB[[#This Row],[Conv]]*(0.0001^2))</f>
        <v>0</v>
      </c>
      <c r="AQ30" s="72">
        <f>(Tradingbook_MSB[[#This Row],[MARKET_VALUE]]+Tradingbook_MSB[[#This Row],[Accr Int]]*Tradingbook_MSB[[#This Row],[Quantity_edited]])*(-Tradingbook_MSB[[#This Row],[Modified Duration]]*0.01+0.5*Tradingbook_MSB[[#This Row],[Conv]]*(0.01^2))</f>
        <v>0</v>
      </c>
      <c r="AR30" s="71"/>
      <c r="AT30" t="s">
        <v>166</v>
      </c>
      <c r="AU30" t="s">
        <v>167</v>
      </c>
      <c r="AV30" t="s">
        <v>775</v>
      </c>
      <c r="AW30" t="s">
        <v>169</v>
      </c>
      <c r="AX30" t="s">
        <v>3346</v>
      </c>
      <c r="AY30" t="s">
        <v>3322</v>
      </c>
      <c r="BB30" s="49">
        <v>0</v>
      </c>
      <c r="BC30">
        <v>0</v>
      </c>
      <c r="BD30">
        <v>0</v>
      </c>
      <c r="BE30" s="37">
        <v>0</v>
      </c>
      <c r="BF30">
        <v>11.5</v>
      </c>
      <c r="BG30">
        <v>0</v>
      </c>
      <c r="BH30" s="34">
        <v>69000000000</v>
      </c>
      <c r="BI30">
        <v>77213026875.000076</v>
      </c>
      <c r="BJ30">
        <v>-47130549810.833427</v>
      </c>
      <c r="BK30">
        <v>11.5</v>
      </c>
      <c r="BL30">
        <v>0</v>
      </c>
      <c r="BM30">
        <v>0</v>
      </c>
      <c r="BN30">
        <v>0</v>
      </c>
      <c r="BO30">
        <v>0</v>
      </c>
      <c r="BP30">
        <v>0</v>
      </c>
      <c r="BQ30">
        <v>0</v>
      </c>
      <c r="BR30">
        <v>13509000000</v>
      </c>
      <c r="BS30">
        <v>0</v>
      </c>
      <c r="BT30">
        <v>13509000000</v>
      </c>
      <c r="BU30">
        <v>13509000000</v>
      </c>
      <c r="BV30">
        <v>13509000000</v>
      </c>
      <c r="BW30">
        <v>13509000000</v>
      </c>
      <c r="BX30">
        <v>0</v>
      </c>
      <c r="BY30" s="32">
        <f>Bankingbook_MSB[[#This Row],[Mat. Date]]-RPT</f>
        <v>-3829</v>
      </c>
      <c r="BZ30" s="71">
        <f>IF(Bankingbook_MSB[[#This Row],[Days]]&lt;=0,0,YEARFRAC(RPT,Bankingbook_MSB[[#This Row],[Mat. Date]],3))</f>
        <v>0</v>
      </c>
      <c r="CA30" s="71">
        <f>IF(Bankingbook_MSB[[#This Row],[Days (year)]]=0,0,INDEX(Ref!$K$2:$K$13,MATCH(Bankingbook_MSB[[#This Row],[Days (year)]],Ref!$I$2:$I$13,1)))</f>
        <v>0</v>
      </c>
      <c r="CB30" s="32" t="str">
        <f>VLOOKUP(Bankingbook_MSB[[#This Row],[Security Name]],Ref!X:Z,3,0)</f>
        <v>TPCPBL</v>
      </c>
      <c r="CC30" s="32" t="str">
        <f>VLOOKUP(Bankingbook_MSB[[#This Row],[Security Name]],Ref!X:Y,2,0)</f>
        <v>VBS</v>
      </c>
      <c r="CD30" s="72">
        <f>IF((Bankingbook_MSB[[#This Row],[Mat. Date]]-RPT)&lt;=0,0,Bankingbook_MSB[[#This Row],[QUANTITY]])</f>
        <v>0</v>
      </c>
      <c r="CE30" s="71">
        <f>IF(Bankingbook_MSB[[#This Row],[Quantity_edited]]=0,0,Bankingbook_MSB[[#This Row],[DURATION]])</f>
        <v>0</v>
      </c>
      <c r="CF30" s="71">
        <f>IF(Bankingbook_MSB[[#This Row],[Quantity_edited]]=0,0,Bankingbook_MSB[[#This Row],[Mod Dur]])</f>
        <v>0</v>
      </c>
      <c r="CG30" s="71">
        <f>IF(Bankingbook_MSB[[#This Row],[Quantity_edited]]=0,0,Bankingbook_MSB[[#This Row],[Cnvx.]])</f>
        <v>0</v>
      </c>
      <c r="CH30" s="71">
        <f>(Bankingbook_MSB[[#This Row],[MARKET_VALUE]]+Bankingbook_MSB[[#This Row],[Accr Int]]*Bankingbook_MSB[[#This Row],[Quantity_edited]])*(-Bankingbook_MSB[[#This Row],[Modified Duration]]*0.0001+0.5*Bankingbook_MSB[[#This Row],[Conv]]*(0.0001^2))</f>
        <v>0</v>
      </c>
      <c r="CI30" s="71">
        <f>(Bankingbook_MSB[[#This Row],[MARKET_VALUE]]+Bankingbook_MSB[[#This Row],[Accr Int]]*Bankingbook_MSB[[#This Row],[Quantity_edited]])*(-Bankingbook_MSB[[#This Row],[Modified Duration]]*0.01+0.5*Bankingbook_MSB[[#This Row],[Conv]]*(0.01^2))</f>
        <v>0</v>
      </c>
      <c r="CJ30" s="32"/>
      <c r="CL30" t="s">
        <v>166</v>
      </c>
      <c r="CM30" t="s">
        <v>167</v>
      </c>
      <c r="CN30" t="s">
        <v>201</v>
      </c>
      <c r="CO30" t="s">
        <v>169</v>
      </c>
      <c r="CP30" s="35">
        <v>41986</v>
      </c>
      <c r="CQ30" t="s">
        <v>3322</v>
      </c>
      <c r="CR30" t="s">
        <v>174</v>
      </c>
      <c r="CS30" t="s">
        <v>174</v>
      </c>
      <c r="CT30" s="49">
        <v>0</v>
      </c>
      <c r="CU30">
        <v>0</v>
      </c>
      <c r="CV30">
        <v>0</v>
      </c>
      <c r="CW30" s="70">
        <v>0</v>
      </c>
      <c r="CX30">
        <v>10.5</v>
      </c>
      <c r="CY30">
        <v>0</v>
      </c>
      <c r="CZ30">
        <v>0</v>
      </c>
      <c r="DA30">
        <v>0</v>
      </c>
      <c r="DB30">
        <v>-556846464.58333015</v>
      </c>
      <c r="DC30">
        <v>10.5</v>
      </c>
      <c r="DD30">
        <v>0</v>
      </c>
      <c r="DE30">
        <v>0</v>
      </c>
      <c r="DF30">
        <v>0</v>
      </c>
      <c r="DG30">
        <v>0</v>
      </c>
      <c r="DH30">
        <v>0</v>
      </c>
      <c r="DI30">
        <v>0</v>
      </c>
      <c r="DJ30" s="500">
        <v>-170500000</v>
      </c>
      <c r="DK30" s="500">
        <v>0</v>
      </c>
      <c r="DL30" s="37">
        <v>-170500000</v>
      </c>
      <c r="DM30" s="37">
        <v>-170500000</v>
      </c>
      <c r="DN30" s="37">
        <v>-170500000</v>
      </c>
      <c r="DO30" s="37">
        <v>-170500000</v>
      </c>
      <c r="DP30" s="32">
        <f>Tradingbook_SBV[[#This Row],[Mat. Date]]-RPT</f>
        <v>-4266</v>
      </c>
      <c r="DQ30" s="32">
        <f>IF(Tradingbook_SBV[[#This Row],[Days]]&lt;=0,0,YEARFRAC(RPT,Tradingbook_SBV[[#This Row],[Mat. Date]],3))</f>
        <v>0</v>
      </c>
      <c r="DR30" s="32">
        <f>IF(Tradingbook_SBV[[#This Row],[Days (year)]]=0,0,INDEX(Ref!$K$2:$K$13,MATCH(Tradingbook_SBV[[#This Row],[Days (year)]],Ref!$I$2:$I$13,1)))</f>
        <v>0</v>
      </c>
      <c r="DS30" s="32" t="str">
        <f>VLOOKUP(Tradingbook_SBV[[#This Row],[Security Name]],Ref!X:Z,3,0)</f>
        <v>TPCPBL</v>
      </c>
      <c r="DT30" s="32" t="str">
        <f>VLOOKUP(Tradingbook_SBV[[#This Row],[Security Name]],Ref!X:Y,2,0)</f>
        <v>VDB</v>
      </c>
      <c r="DU30" s="71">
        <f>IF((Tradingbook_SBV[[#This Row],[Mat. Date]]-RPT)&lt;=0,0,Tradingbook_SBV[[#This Row],[QUANTITY]])</f>
        <v>0</v>
      </c>
      <c r="DV30" s="71">
        <f>IF(Tradingbook_SBV[[#This Row],[Quantity_edited]]=0,0,Tradingbook_SBV[[#This Row],[DURATION]])</f>
        <v>0</v>
      </c>
      <c r="DW30" s="71">
        <f>IF(Tradingbook_SBV[[#This Row],[Quantity_edited]]=0,0,Tradingbook_SBV[[#This Row],[Mod Dur]])</f>
        <v>0</v>
      </c>
      <c r="DX30" s="71">
        <f>IF(Tradingbook_SBV[[#This Row],[Quantity_edited]]=0,0,Tradingbook_SBV[[#This Row],[Cnvx.]])</f>
        <v>0</v>
      </c>
      <c r="DY30" s="71">
        <f>(Tradingbook_SBV[[#This Row],[MARKET_VALUE]]+Tradingbook_SBV[[#This Row],[Accr Int]]*Tradingbook_SBV[[#This Row],[Quantity_edited]])*(-Tradingbook_SBV[[#This Row],[Modified Duration]]*0.0001+0.5*Tradingbook_SBV[[#This Row],[Conv]]*(0.0001^2))</f>
        <v>0</v>
      </c>
      <c r="DZ30" s="71">
        <f>(Tradingbook_SBV[[#This Row],[MARKET_VALUE]]+Tradingbook_SBV[[#This Row],[Accr Int]]*Tradingbook_SBV[[#This Row],[Quantity_edited]])*(-Tradingbook_SBV[[#This Row],[Modified Duration]]*0.01+0.5*Tradingbook_SBV[[#This Row],[Conv]]*(0.01^2))</f>
        <v>0</v>
      </c>
      <c r="EC30" t="s">
        <v>166</v>
      </c>
      <c r="ED30" t="s">
        <v>167</v>
      </c>
      <c r="EE30" t="s">
        <v>775</v>
      </c>
      <c r="EF30" t="s">
        <v>169</v>
      </c>
      <c r="EG30" s="35" t="s">
        <v>3346</v>
      </c>
      <c r="EH30" t="s">
        <v>3322</v>
      </c>
      <c r="EK30" s="500">
        <v>0</v>
      </c>
      <c r="EL30" s="500">
        <v>0</v>
      </c>
      <c r="EM30" s="500">
        <v>0</v>
      </c>
      <c r="EN30" s="500">
        <v>0</v>
      </c>
      <c r="EO30">
        <v>11.5</v>
      </c>
      <c r="EP30">
        <v>0</v>
      </c>
      <c r="EQ30">
        <v>69000000000</v>
      </c>
      <c r="ER30">
        <v>77213026875.000076</v>
      </c>
      <c r="ES30">
        <v>-47130549810.833427</v>
      </c>
      <c r="ET30">
        <v>11.5</v>
      </c>
      <c r="EU30">
        <v>0</v>
      </c>
      <c r="EV30">
        <v>0</v>
      </c>
      <c r="EW30">
        <v>0</v>
      </c>
      <c r="EX30">
        <v>0</v>
      </c>
      <c r="EY30">
        <v>0</v>
      </c>
      <c r="EZ30">
        <v>0</v>
      </c>
      <c r="FA30">
        <v>13509000000</v>
      </c>
      <c r="FB30">
        <v>0</v>
      </c>
      <c r="FC30">
        <v>13509000000</v>
      </c>
      <c r="FD30">
        <v>13509000000</v>
      </c>
      <c r="FE30">
        <v>13509000000</v>
      </c>
      <c r="FF30">
        <v>13509000000</v>
      </c>
      <c r="FG30" s="32">
        <f>Bankingbook_SBV[[#This Row],[Mat. Date]]-RPT</f>
        <v>-3829</v>
      </c>
      <c r="FH30" s="32">
        <f>IF(Bankingbook_SBV[[#This Row],[Days]]&lt;=0,0,YEARFRAC(RPT,Bankingbook_SBV[[#This Row],[Mat. Date]],3))</f>
        <v>0</v>
      </c>
      <c r="FI30" s="32">
        <f>IF(Bankingbook_SBV[[#This Row],[Days (year)]]=0,0,INDEX(Ref!$K$2:$K$13,MATCH(Bankingbook_SBV[[#This Row],[Days (year)]],Ref!$I$2:$I$13,1)))</f>
        <v>0</v>
      </c>
      <c r="FJ30" s="32" t="str">
        <f>VLOOKUP(Bankingbook_SBV[[#This Row],[Security Name]],Ref!X:Z,3,0)</f>
        <v>TPCPBL</v>
      </c>
      <c r="FK30" s="32" t="str">
        <f>VLOOKUP(Bankingbook_SBV[[#This Row],[Security Name]],Ref!X:Y,2,0)</f>
        <v>VBS</v>
      </c>
      <c r="FL30" s="72">
        <f>IF((Bankingbook_SBV[[#This Row],[Mat. Date]]-RPT)&lt;=0,0,Bankingbook_SBV[[#This Row],[QUANTITY]])</f>
        <v>0</v>
      </c>
      <c r="FM30" s="32">
        <f>IF(Bankingbook_SBV[[#This Row],[Quantity_edited]]=0,0,Bankingbook_SBV[[#This Row],[DURATION]])</f>
        <v>0</v>
      </c>
      <c r="FN30" s="32">
        <f>IF(Bankingbook_SBV[[#This Row],[Quantity_edited]]=0,0,Bankingbook_SBV[[#This Row],[Mod Dur]])</f>
        <v>0</v>
      </c>
      <c r="FO30" s="32">
        <f>IF(Bankingbook_SBV[[#This Row],[Quantity_edited]]=0,0,Bankingbook_SBV[[#This Row],[Cnvx.]])</f>
        <v>0</v>
      </c>
      <c r="FP30" s="32">
        <f>(Bankingbook_SBV[[#This Row],[MARKET_VALUE]]+Bankingbook_SBV[[#This Row],[Accr Int]]*Bankingbook_SBV[[#This Row],[Quantity_edited]])*(-Bankingbook_SBV[[#This Row],[Modified Duration]]*0.0001+0.5*Bankingbook_SBV[[#This Row],[Conv]]*(0.0001^2))</f>
        <v>0</v>
      </c>
      <c r="FQ30" s="32">
        <f>(Bankingbook_SBV[[#This Row],[MARKET_VALUE]]+Bankingbook_SBV[[#This Row],[Accr Int]]*Bankingbook_SBV[[#This Row],[Quantity_edited]])*(-Bankingbook_SBV[[#This Row],[Modified Duration]]*0.01+0.5*Bankingbook_SBV[[#This Row],[Conv]]*(0.01^2))</f>
        <v>0</v>
      </c>
      <c r="FT30" t="s">
        <v>166</v>
      </c>
      <c r="FU30" t="s">
        <v>790</v>
      </c>
      <c r="FV30" t="s">
        <v>3999</v>
      </c>
      <c r="FW30">
        <v>3306983</v>
      </c>
      <c r="FX30" s="502">
        <v>46216</v>
      </c>
      <c r="FY30" t="s">
        <v>2176</v>
      </c>
      <c r="FZ30" t="s">
        <v>812</v>
      </c>
      <c r="GA30" t="s">
        <v>3585</v>
      </c>
      <c r="GB30" t="s">
        <v>810</v>
      </c>
      <c r="GC30" t="s">
        <v>598</v>
      </c>
      <c r="GD30" s="500">
        <v>-98179200000</v>
      </c>
      <c r="GE30">
        <v>5.0004350000000004</v>
      </c>
      <c r="GF30" s="502">
        <v>46218</v>
      </c>
      <c r="GG30" s="502">
        <v>46283</v>
      </c>
      <c r="GH30">
        <v>4.5999999999999996</v>
      </c>
      <c r="GI30" t="s">
        <v>811</v>
      </c>
      <c r="GJ30" t="s">
        <v>3321</v>
      </c>
      <c r="GK30" t="s">
        <v>3321</v>
      </c>
      <c r="GL30">
        <v>446988080</v>
      </c>
      <c r="GM30">
        <v>-420691147.39999998</v>
      </c>
      <c r="GN30">
        <v>103860000000</v>
      </c>
      <c r="GO30">
        <v>5.47</v>
      </c>
      <c r="GP30">
        <v>0.08</v>
      </c>
      <c r="GQ30">
        <v>7.3999999999999996E-2</v>
      </c>
      <c r="GR30">
        <v>6.8575119999999998</v>
      </c>
      <c r="GS30">
        <v>-98420652996.729996</v>
      </c>
      <c r="GT30">
        <v>-241452996.72999999</v>
      </c>
      <c r="GU30" t="s">
        <v>4084</v>
      </c>
      <c r="GV30" t="s">
        <v>4084</v>
      </c>
      <c r="GW30" s="416">
        <f>FNRP_Repo[[#This Row],[Mat. Date]]-RPT</f>
        <v>31</v>
      </c>
      <c r="GX30" s="819" t="str">
        <f>IF(FNRP_Repo[[#This Row],[Days]]&lt;=0,"Mat",INDEX(Ref!U:U,MATCH(FNRP_Repo[[#This Row],[Days]],Ref!S:S,1)))</f>
        <v>2M</v>
      </c>
      <c r="GY30" s="417">
        <f>RIGHT(FNRP_Repo[[#This Row],[Deal Id]],5)+0</f>
        <v>18022</v>
      </c>
    </row>
    <row r="31" spans="2:207" x14ac:dyDescent="0.3">
      <c r="B31" t="s">
        <v>166</v>
      </c>
      <c r="C31" t="s">
        <v>167</v>
      </c>
      <c r="D31" t="s">
        <v>202</v>
      </c>
      <c r="E31" t="s">
        <v>169</v>
      </c>
      <c r="F31" s="502">
        <v>41988</v>
      </c>
      <c r="G31" t="s">
        <v>3322</v>
      </c>
      <c r="H31"/>
      <c r="I31"/>
      <c r="J31" s="38">
        <v>0</v>
      </c>
      <c r="K31">
        <v>0</v>
      </c>
      <c r="L31">
        <v>0</v>
      </c>
      <c r="M31" s="38">
        <v>0</v>
      </c>
      <c r="N31">
        <v>9.1</v>
      </c>
      <c r="O31">
        <v>0</v>
      </c>
      <c r="P31" s="37">
        <v>0</v>
      </c>
      <c r="Q31" s="37">
        <v>3.9999999999999998E-6</v>
      </c>
      <c r="R31" s="37">
        <v>-832062505.90277696</v>
      </c>
      <c r="S31">
        <v>9.1</v>
      </c>
      <c r="T31" s="70">
        <v>0</v>
      </c>
      <c r="U31">
        <v>0</v>
      </c>
      <c r="V31">
        <v>0</v>
      </c>
      <c r="W31">
        <v>0</v>
      </c>
      <c r="X31" s="38">
        <v>0</v>
      </c>
      <c r="Y31">
        <v>0</v>
      </c>
      <c r="Z31" s="70">
        <v>1642500000</v>
      </c>
      <c r="AA31" s="70">
        <v>0</v>
      </c>
      <c r="AB31" s="70">
        <v>1642500000</v>
      </c>
      <c r="AC31" s="70">
        <v>1642500000</v>
      </c>
      <c r="AD31" s="70">
        <v>1642500000</v>
      </c>
      <c r="AE31" s="70">
        <v>1642500000</v>
      </c>
      <c r="AF31">
        <v>0</v>
      </c>
      <c r="AG31" s="72">
        <f>Tradingbook_MSB[[#This Row],[Mat. Date]]-RPT</f>
        <v>-4264</v>
      </c>
      <c r="AH31" s="71">
        <f>IF(Tradingbook_MSB[[#This Row],[Days]]&lt;=0,0,YEARFRAC(RPT,Tradingbook_MSB[[#This Row],[Mat. Date]],3))</f>
        <v>0</v>
      </c>
      <c r="AI31" s="71">
        <f>IF(Tradingbook_MSB[[#This Row],[Days (year)]]=0,0,INDEX(Ref!$K$2:$K$13,MATCH(Tradingbook_MSB[[#This Row],[Days (year)]],Ref!$I$2:$I$13,1)))</f>
        <v>0</v>
      </c>
      <c r="AJ31" s="120" t="str">
        <f>VLOOKUP(Tradingbook_MSB[[#This Row],[Security Name]],Ref!X:Z,3,0)</f>
        <v>TPCP</v>
      </c>
      <c r="AK31" s="120" t="str">
        <f>VLOOKUP(Tradingbook_MSB[[#This Row],[Security Name]],Ref!X:Y,2,0)</f>
        <v>KBNN</v>
      </c>
      <c r="AL31" s="71">
        <f>IF((Tradingbook_MSB[[#This Row],[Mat. Date]]-RPT)&lt;=0,0,Tradingbook_MSB[[#This Row],[QUANTITY]])</f>
        <v>0</v>
      </c>
      <c r="AM31" s="71">
        <f>IF(Tradingbook_MSB[[#This Row],[Quantity_edited]]=0,0,Tradingbook_MSB[[#This Row],[DURATION]])</f>
        <v>0</v>
      </c>
      <c r="AN31" s="71">
        <f>IF(Tradingbook_MSB[[#This Row],[Quantity_edited]]=0,0,Tradingbook_MSB[[#This Row],[Mod Dur]])</f>
        <v>0</v>
      </c>
      <c r="AO31" s="71">
        <f>IF(Tradingbook_MSB[[#This Row],[Quantity_edited]]=0,0,Tradingbook_MSB[[#This Row],[Cnvx.]])</f>
        <v>0</v>
      </c>
      <c r="AP31" s="71">
        <f>(Tradingbook_MSB[[#This Row],[MARKET_VALUE]]+Tradingbook_MSB[[#This Row],[Accr Int]]*Tradingbook_MSB[[#This Row],[Quantity_edited]])*(-Tradingbook_MSB[[#This Row],[Modified Duration]]*0.0001+0.5*Tradingbook_MSB[[#This Row],[Conv]]*(0.0001^2))</f>
        <v>0</v>
      </c>
      <c r="AQ31" s="72">
        <f>(Tradingbook_MSB[[#This Row],[MARKET_VALUE]]+Tradingbook_MSB[[#This Row],[Accr Int]]*Tradingbook_MSB[[#This Row],[Quantity_edited]])*(-Tradingbook_MSB[[#This Row],[Modified Duration]]*0.01+0.5*Tradingbook_MSB[[#This Row],[Conv]]*(0.01^2))</f>
        <v>0</v>
      </c>
      <c r="AR31" s="71"/>
      <c r="AT31" t="s">
        <v>166</v>
      </c>
      <c r="AU31" t="s">
        <v>167</v>
      </c>
      <c r="AV31" t="s">
        <v>776</v>
      </c>
      <c r="AW31" t="s">
        <v>169</v>
      </c>
      <c r="AX31" t="s">
        <v>3347</v>
      </c>
      <c r="AY31" t="s">
        <v>170</v>
      </c>
      <c r="BB31" s="49">
        <v>5000000</v>
      </c>
      <c r="BC31">
        <v>500000000000</v>
      </c>
      <c r="BD31">
        <v>100000</v>
      </c>
      <c r="BE31" s="37">
        <v>0</v>
      </c>
      <c r="BF31">
        <v>12.1</v>
      </c>
      <c r="BG31">
        <v>0</v>
      </c>
      <c r="BH31" s="34">
        <v>302500000000</v>
      </c>
      <c r="BI31">
        <v>323070848680.55566</v>
      </c>
      <c r="BJ31">
        <v>-124542291666.66692</v>
      </c>
      <c r="BK31">
        <v>12.1</v>
      </c>
      <c r="BL31">
        <v>0</v>
      </c>
      <c r="BM31">
        <v>0</v>
      </c>
      <c r="BN31">
        <v>0</v>
      </c>
      <c r="BO31">
        <v>0</v>
      </c>
      <c r="BP31">
        <v>0</v>
      </c>
      <c r="BQ31">
        <v>0</v>
      </c>
      <c r="BR31">
        <v>0</v>
      </c>
      <c r="BS31">
        <v>0</v>
      </c>
      <c r="BT31">
        <v>0</v>
      </c>
      <c r="BU31">
        <v>0</v>
      </c>
      <c r="BV31">
        <v>0</v>
      </c>
      <c r="BW31">
        <v>0</v>
      </c>
      <c r="BX31">
        <v>12.1</v>
      </c>
      <c r="BY31" s="32">
        <f>Bankingbook_MSB[[#This Row],[Mat. Date]]-RPT</f>
        <v>-3788</v>
      </c>
      <c r="BZ31" s="71">
        <f>IF(Bankingbook_MSB[[#This Row],[Days]]&lt;=0,0,YEARFRAC(RPT,Bankingbook_MSB[[#This Row],[Mat. Date]],3))</f>
        <v>0</v>
      </c>
      <c r="CA31" s="71">
        <f>IF(Bankingbook_MSB[[#This Row],[Days (year)]]=0,0,INDEX(Ref!$K$2:$K$13,MATCH(Bankingbook_MSB[[#This Row],[Days (year)]],Ref!$I$2:$I$13,1)))</f>
        <v>0</v>
      </c>
      <c r="CB31" s="32" t="str">
        <f>VLOOKUP(Bankingbook_MSB[[#This Row],[Security Name]],Ref!X:Z,3,0)</f>
        <v>TPCPBL</v>
      </c>
      <c r="CC31" s="32" t="str">
        <f>VLOOKUP(Bankingbook_MSB[[#This Row],[Security Name]],Ref!X:Y,2,0)</f>
        <v>VEC</v>
      </c>
      <c r="CD31" s="72">
        <f>IF((Bankingbook_MSB[[#This Row],[Mat. Date]]-RPT)&lt;=0,0,Bankingbook_MSB[[#This Row],[QUANTITY]])</f>
        <v>0</v>
      </c>
      <c r="CE31" s="71">
        <f>IF(Bankingbook_MSB[[#This Row],[Quantity_edited]]=0,0,Bankingbook_MSB[[#This Row],[DURATION]])</f>
        <v>0</v>
      </c>
      <c r="CF31" s="71">
        <f>IF(Bankingbook_MSB[[#This Row],[Quantity_edited]]=0,0,Bankingbook_MSB[[#This Row],[Mod Dur]])</f>
        <v>0</v>
      </c>
      <c r="CG31" s="71">
        <f>IF(Bankingbook_MSB[[#This Row],[Quantity_edited]]=0,0,Bankingbook_MSB[[#This Row],[Cnvx.]])</f>
        <v>0</v>
      </c>
      <c r="CH31" s="71">
        <f>(Bankingbook_MSB[[#This Row],[MARKET_VALUE]]+Bankingbook_MSB[[#This Row],[Accr Int]]*Bankingbook_MSB[[#This Row],[Quantity_edited]])*(-Bankingbook_MSB[[#This Row],[Modified Duration]]*0.0001+0.5*Bankingbook_MSB[[#This Row],[Conv]]*(0.0001^2))</f>
        <v>0</v>
      </c>
      <c r="CI31" s="71">
        <f>(Bankingbook_MSB[[#This Row],[MARKET_VALUE]]+Bankingbook_MSB[[#This Row],[Accr Int]]*Bankingbook_MSB[[#This Row],[Quantity_edited]])*(-Bankingbook_MSB[[#This Row],[Modified Duration]]*0.01+0.5*Bankingbook_MSB[[#This Row],[Conv]]*(0.01^2))</f>
        <v>0</v>
      </c>
      <c r="CJ31" s="32"/>
      <c r="CL31" t="s">
        <v>166</v>
      </c>
      <c r="CM31" t="s">
        <v>167</v>
      </c>
      <c r="CN31" t="s">
        <v>202</v>
      </c>
      <c r="CO31" t="s">
        <v>169</v>
      </c>
      <c r="CP31" s="35">
        <v>41988</v>
      </c>
      <c r="CQ31" t="s">
        <v>3322</v>
      </c>
      <c r="CR31" t="s">
        <v>174</v>
      </c>
      <c r="CS31" t="s">
        <v>174</v>
      </c>
      <c r="CT31" s="49">
        <v>0</v>
      </c>
      <c r="CU31">
        <v>0</v>
      </c>
      <c r="CV31">
        <v>0</v>
      </c>
      <c r="CW31" s="70">
        <v>0</v>
      </c>
      <c r="CX31">
        <v>9.1</v>
      </c>
      <c r="CY31">
        <v>0</v>
      </c>
      <c r="CZ31">
        <v>0</v>
      </c>
      <c r="DA31">
        <v>3.9999999999999998E-6</v>
      </c>
      <c r="DB31">
        <v>-832062505.90277696</v>
      </c>
      <c r="DC31">
        <v>9.1</v>
      </c>
      <c r="DD31">
        <v>0</v>
      </c>
      <c r="DE31">
        <v>0</v>
      </c>
      <c r="DF31">
        <v>0</v>
      </c>
      <c r="DG31">
        <v>0</v>
      </c>
      <c r="DH31">
        <v>0</v>
      </c>
      <c r="DI31">
        <v>0</v>
      </c>
      <c r="DJ31" s="500">
        <v>1642500000</v>
      </c>
      <c r="DK31" s="500">
        <v>0</v>
      </c>
      <c r="DL31" s="37">
        <v>1642500000</v>
      </c>
      <c r="DM31" s="37">
        <v>1642500000</v>
      </c>
      <c r="DN31" s="37">
        <v>1642500000</v>
      </c>
      <c r="DO31" s="37">
        <v>1642500000</v>
      </c>
      <c r="DP31" s="32">
        <f>Tradingbook_SBV[[#This Row],[Mat. Date]]-RPT</f>
        <v>-4264</v>
      </c>
      <c r="DQ31" s="32">
        <f>IF(Tradingbook_SBV[[#This Row],[Days]]&lt;=0,0,YEARFRAC(RPT,Tradingbook_SBV[[#This Row],[Mat. Date]],3))</f>
        <v>0</v>
      </c>
      <c r="DR31" s="32">
        <f>IF(Tradingbook_SBV[[#This Row],[Days (year)]]=0,0,INDEX(Ref!$K$2:$K$13,MATCH(Tradingbook_SBV[[#This Row],[Days (year)]],Ref!$I$2:$I$13,1)))</f>
        <v>0</v>
      </c>
      <c r="DS31" s="32" t="str">
        <f>VLOOKUP(Tradingbook_SBV[[#This Row],[Security Name]],Ref!X:Z,3,0)</f>
        <v>TPCP</v>
      </c>
      <c r="DT31" s="32" t="str">
        <f>VLOOKUP(Tradingbook_SBV[[#This Row],[Security Name]],Ref!X:Y,2,0)</f>
        <v>KBNN</v>
      </c>
      <c r="DU31" s="71">
        <f>IF((Tradingbook_SBV[[#This Row],[Mat. Date]]-RPT)&lt;=0,0,Tradingbook_SBV[[#This Row],[QUANTITY]])</f>
        <v>0</v>
      </c>
      <c r="DV31" s="71">
        <f>IF(Tradingbook_SBV[[#This Row],[Quantity_edited]]=0,0,Tradingbook_SBV[[#This Row],[DURATION]])</f>
        <v>0</v>
      </c>
      <c r="DW31" s="71">
        <f>IF(Tradingbook_SBV[[#This Row],[Quantity_edited]]=0,0,Tradingbook_SBV[[#This Row],[Mod Dur]])</f>
        <v>0</v>
      </c>
      <c r="DX31" s="71">
        <f>IF(Tradingbook_SBV[[#This Row],[Quantity_edited]]=0,0,Tradingbook_SBV[[#This Row],[Cnvx.]])</f>
        <v>0</v>
      </c>
      <c r="DY31" s="71">
        <f>(Tradingbook_SBV[[#This Row],[MARKET_VALUE]]+Tradingbook_SBV[[#This Row],[Accr Int]]*Tradingbook_SBV[[#This Row],[Quantity_edited]])*(-Tradingbook_SBV[[#This Row],[Modified Duration]]*0.0001+0.5*Tradingbook_SBV[[#This Row],[Conv]]*(0.0001^2))</f>
        <v>0</v>
      </c>
      <c r="DZ31" s="71">
        <f>(Tradingbook_SBV[[#This Row],[MARKET_VALUE]]+Tradingbook_SBV[[#This Row],[Accr Int]]*Tradingbook_SBV[[#This Row],[Quantity_edited]])*(-Tradingbook_SBV[[#This Row],[Modified Duration]]*0.01+0.5*Tradingbook_SBV[[#This Row],[Conv]]*(0.01^2))</f>
        <v>0</v>
      </c>
      <c r="EC31" t="s">
        <v>166</v>
      </c>
      <c r="ED31" t="s">
        <v>167</v>
      </c>
      <c r="EE31" t="s">
        <v>776</v>
      </c>
      <c r="EF31" t="s">
        <v>169</v>
      </c>
      <c r="EG31" s="35" t="s">
        <v>3347</v>
      </c>
      <c r="EH31" t="s">
        <v>170</v>
      </c>
      <c r="EK31" s="500">
        <v>5000000</v>
      </c>
      <c r="EL31" s="500">
        <v>500000000000</v>
      </c>
      <c r="EM31" s="500">
        <v>100000</v>
      </c>
      <c r="EN31" s="500">
        <v>0</v>
      </c>
      <c r="EO31">
        <v>12.1</v>
      </c>
      <c r="EP31">
        <v>0</v>
      </c>
      <c r="EQ31">
        <v>302500000000</v>
      </c>
      <c r="ER31">
        <v>323070848680.55566</v>
      </c>
      <c r="ES31">
        <v>-124542291666.66692</v>
      </c>
      <c r="ET31">
        <v>12.1</v>
      </c>
      <c r="EU31">
        <v>0</v>
      </c>
      <c r="EV31">
        <v>0</v>
      </c>
      <c r="EW31">
        <v>0</v>
      </c>
      <c r="EX31">
        <v>0</v>
      </c>
      <c r="EY31">
        <v>0</v>
      </c>
      <c r="EZ31">
        <v>0</v>
      </c>
      <c r="FA31">
        <v>0</v>
      </c>
      <c r="FB31">
        <v>0</v>
      </c>
      <c r="FC31">
        <v>0</v>
      </c>
      <c r="FD31">
        <v>0</v>
      </c>
      <c r="FE31">
        <v>0</v>
      </c>
      <c r="FF31">
        <v>0</v>
      </c>
      <c r="FG31" s="32">
        <f>Bankingbook_SBV[[#This Row],[Mat. Date]]-RPT</f>
        <v>-3788</v>
      </c>
      <c r="FH31" s="32">
        <f>IF(Bankingbook_SBV[[#This Row],[Days]]&lt;=0,0,YEARFRAC(RPT,Bankingbook_SBV[[#This Row],[Mat. Date]],3))</f>
        <v>0</v>
      </c>
      <c r="FI31" s="32">
        <f>IF(Bankingbook_SBV[[#This Row],[Days (year)]]=0,0,INDEX(Ref!$K$2:$K$13,MATCH(Bankingbook_SBV[[#This Row],[Days (year)]],Ref!$I$2:$I$13,1)))</f>
        <v>0</v>
      </c>
      <c r="FJ31" s="32" t="str">
        <f>VLOOKUP(Bankingbook_SBV[[#This Row],[Security Name]],Ref!X:Z,3,0)</f>
        <v>TPCPBL</v>
      </c>
      <c r="FK31" s="32" t="str">
        <f>VLOOKUP(Bankingbook_SBV[[#This Row],[Security Name]],Ref!X:Y,2,0)</f>
        <v>VEC</v>
      </c>
      <c r="FL31" s="72">
        <f>IF((Bankingbook_SBV[[#This Row],[Mat. Date]]-RPT)&lt;=0,0,Bankingbook_SBV[[#This Row],[QUANTITY]])</f>
        <v>0</v>
      </c>
      <c r="FM31" s="32">
        <f>IF(Bankingbook_SBV[[#This Row],[Quantity_edited]]=0,0,Bankingbook_SBV[[#This Row],[DURATION]])</f>
        <v>0</v>
      </c>
      <c r="FN31" s="32">
        <f>IF(Bankingbook_SBV[[#This Row],[Quantity_edited]]=0,0,Bankingbook_SBV[[#This Row],[Mod Dur]])</f>
        <v>0</v>
      </c>
      <c r="FO31" s="32">
        <f>IF(Bankingbook_SBV[[#This Row],[Quantity_edited]]=0,0,Bankingbook_SBV[[#This Row],[Cnvx.]])</f>
        <v>0</v>
      </c>
      <c r="FP31" s="32">
        <f>(Bankingbook_SBV[[#This Row],[MARKET_VALUE]]+Bankingbook_SBV[[#This Row],[Accr Int]]*Bankingbook_SBV[[#This Row],[Quantity_edited]])*(-Bankingbook_SBV[[#This Row],[Modified Duration]]*0.0001+0.5*Bankingbook_SBV[[#This Row],[Conv]]*(0.0001^2))</f>
        <v>0</v>
      </c>
      <c r="FQ31" s="32">
        <f>(Bankingbook_SBV[[#This Row],[MARKET_VALUE]]+Bankingbook_SBV[[#This Row],[Accr Int]]*Bankingbook_SBV[[#This Row],[Quantity_edited]])*(-Bankingbook_SBV[[#This Row],[Modified Duration]]*0.01+0.5*Bankingbook_SBV[[#This Row],[Conv]]*(0.01^2))</f>
        <v>0</v>
      </c>
      <c r="FT31" t="s">
        <v>166</v>
      </c>
      <c r="FU31" t="s">
        <v>790</v>
      </c>
      <c r="FV31" t="s">
        <v>4018</v>
      </c>
      <c r="FW31">
        <v>3309482</v>
      </c>
      <c r="FX31" s="502">
        <v>46218</v>
      </c>
      <c r="FY31" t="s">
        <v>2176</v>
      </c>
      <c r="FZ31" t="s">
        <v>812</v>
      </c>
      <c r="GA31" t="s">
        <v>3585</v>
      </c>
      <c r="GB31" t="s">
        <v>810</v>
      </c>
      <c r="GC31" t="s">
        <v>598</v>
      </c>
      <c r="GD31" s="500">
        <v>-229131000000</v>
      </c>
      <c r="GE31">
        <v>5.000305</v>
      </c>
      <c r="GF31" s="502">
        <v>46220</v>
      </c>
      <c r="GG31" s="502">
        <v>46283</v>
      </c>
      <c r="GH31">
        <v>4.5999999999999996</v>
      </c>
      <c r="GI31" t="s">
        <v>811</v>
      </c>
      <c r="GJ31" t="s">
        <v>3321</v>
      </c>
      <c r="GK31" t="s">
        <v>3321</v>
      </c>
      <c r="GL31">
        <v>983353875</v>
      </c>
      <c r="GM31">
        <v>-924057073.97000003</v>
      </c>
      <c r="GN31">
        <v>242340000000</v>
      </c>
      <c r="GO31">
        <v>5.45</v>
      </c>
      <c r="GP31">
        <v>0.08</v>
      </c>
      <c r="GQ31">
        <v>7.3999999999999996E-2</v>
      </c>
      <c r="GR31">
        <v>6.8575119999999998</v>
      </c>
      <c r="GS31">
        <v>-229637078758.19</v>
      </c>
      <c r="GT31">
        <v>-506078758.19</v>
      </c>
      <c r="GU31" t="s">
        <v>4085</v>
      </c>
      <c r="GV31" t="s">
        <v>4085</v>
      </c>
      <c r="GW31" s="416">
        <f>FNRP_Repo[[#This Row],[Mat. Date]]-RPT</f>
        <v>31</v>
      </c>
      <c r="GX31" s="819" t="str">
        <f>IF(FNRP_Repo[[#This Row],[Days]]&lt;=0,"Mat",INDEX(Ref!U:U,MATCH(FNRP_Repo[[#This Row],[Days]],Ref!S:S,1)))</f>
        <v>2M</v>
      </c>
      <c r="GY31" s="417">
        <f>RIGHT(FNRP_Repo[[#This Row],[Deal Id]],5)+0</f>
        <v>18036</v>
      </c>
    </row>
    <row r="32" spans="2:207" x14ac:dyDescent="0.3">
      <c r="B32" t="s">
        <v>166</v>
      </c>
      <c r="C32" t="s">
        <v>167</v>
      </c>
      <c r="D32" t="s">
        <v>203</v>
      </c>
      <c r="E32" t="s">
        <v>169</v>
      </c>
      <c r="F32" s="502">
        <v>41993</v>
      </c>
      <c r="G32" t="s">
        <v>3322</v>
      </c>
      <c r="H32"/>
      <c r="I32"/>
      <c r="J32" s="38">
        <v>0</v>
      </c>
      <c r="K32">
        <v>0</v>
      </c>
      <c r="L32">
        <v>0</v>
      </c>
      <c r="M32" s="38">
        <v>0</v>
      </c>
      <c r="N32">
        <v>12.19</v>
      </c>
      <c r="O32">
        <v>0</v>
      </c>
      <c r="P32" s="37">
        <v>42665000000</v>
      </c>
      <c r="Q32" s="37">
        <v>45243417795.13887</v>
      </c>
      <c r="R32" s="37">
        <v>-21622831227.777687</v>
      </c>
      <c r="S32">
        <v>12.19</v>
      </c>
      <c r="T32" s="70">
        <v>0</v>
      </c>
      <c r="U32">
        <v>0</v>
      </c>
      <c r="V32">
        <v>0</v>
      </c>
      <c r="W32">
        <v>0</v>
      </c>
      <c r="X32" s="38">
        <v>0</v>
      </c>
      <c r="Y32">
        <v>0</v>
      </c>
      <c r="Z32" s="70">
        <v>18679000000</v>
      </c>
      <c r="AA32" s="70">
        <v>0</v>
      </c>
      <c r="AB32" s="70">
        <v>18679000000</v>
      </c>
      <c r="AC32" s="70">
        <v>18679000000</v>
      </c>
      <c r="AD32" s="70">
        <v>18679000000</v>
      </c>
      <c r="AE32" s="70">
        <v>18679000000</v>
      </c>
      <c r="AF32">
        <v>0</v>
      </c>
      <c r="AG32" s="72">
        <f>Tradingbook_MSB[[#This Row],[Mat. Date]]-RPT</f>
        <v>-4259</v>
      </c>
      <c r="AH32" s="71">
        <f>IF(Tradingbook_MSB[[#This Row],[Days]]&lt;=0,0,YEARFRAC(RPT,Tradingbook_MSB[[#This Row],[Mat. Date]],3))</f>
        <v>0</v>
      </c>
      <c r="AI32" s="71">
        <f>IF(Tradingbook_MSB[[#This Row],[Days (year)]]=0,0,INDEX(Ref!$K$2:$K$13,MATCH(Tradingbook_MSB[[#This Row],[Days (year)]],Ref!$I$2:$I$13,1)))</f>
        <v>0</v>
      </c>
      <c r="AJ32" s="120" t="str">
        <f>VLOOKUP(Tradingbook_MSB[[#This Row],[Security Name]],Ref!X:Z,3,0)</f>
        <v>TPCPBL</v>
      </c>
      <c r="AK32" s="120" t="str">
        <f>VLOOKUP(Tradingbook_MSB[[#This Row],[Security Name]],Ref!X:Y,2,0)</f>
        <v>VDB</v>
      </c>
      <c r="AL32" s="71">
        <f>IF((Tradingbook_MSB[[#This Row],[Mat. Date]]-RPT)&lt;=0,0,Tradingbook_MSB[[#This Row],[QUANTITY]])</f>
        <v>0</v>
      </c>
      <c r="AM32" s="71">
        <f>IF(Tradingbook_MSB[[#This Row],[Quantity_edited]]=0,0,Tradingbook_MSB[[#This Row],[DURATION]])</f>
        <v>0</v>
      </c>
      <c r="AN32" s="71">
        <f>IF(Tradingbook_MSB[[#This Row],[Quantity_edited]]=0,0,Tradingbook_MSB[[#This Row],[Mod Dur]])</f>
        <v>0</v>
      </c>
      <c r="AO32" s="71">
        <f>IF(Tradingbook_MSB[[#This Row],[Quantity_edited]]=0,0,Tradingbook_MSB[[#This Row],[Cnvx.]])</f>
        <v>0</v>
      </c>
      <c r="AP32" s="71">
        <f>(Tradingbook_MSB[[#This Row],[MARKET_VALUE]]+Tradingbook_MSB[[#This Row],[Accr Int]]*Tradingbook_MSB[[#This Row],[Quantity_edited]])*(-Tradingbook_MSB[[#This Row],[Modified Duration]]*0.0001+0.5*Tradingbook_MSB[[#This Row],[Conv]]*(0.0001^2))</f>
        <v>0</v>
      </c>
      <c r="AQ32" s="72">
        <f>(Tradingbook_MSB[[#This Row],[MARKET_VALUE]]+Tradingbook_MSB[[#This Row],[Accr Int]]*Tradingbook_MSB[[#This Row],[Quantity_edited]])*(-Tradingbook_MSB[[#This Row],[Modified Duration]]*0.01+0.5*Tradingbook_MSB[[#This Row],[Conv]]*(0.01^2))</f>
        <v>0</v>
      </c>
      <c r="AR32" s="71"/>
      <c r="AT32" t="s">
        <v>166</v>
      </c>
      <c r="AU32" t="s">
        <v>167</v>
      </c>
      <c r="AV32" t="s">
        <v>777</v>
      </c>
      <c r="AW32" t="s">
        <v>169</v>
      </c>
      <c r="AX32" t="s">
        <v>3348</v>
      </c>
      <c r="AY32" t="s">
        <v>3322</v>
      </c>
      <c r="BB32" s="49">
        <v>0</v>
      </c>
      <c r="BC32">
        <v>0</v>
      </c>
      <c r="BD32">
        <v>0</v>
      </c>
      <c r="BE32" s="37">
        <v>0</v>
      </c>
      <c r="BF32">
        <v>12.6</v>
      </c>
      <c r="BG32">
        <v>0</v>
      </c>
      <c r="BH32" s="34">
        <v>18900000000</v>
      </c>
      <c r="BI32">
        <v>21409549874.999969</v>
      </c>
      <c r="BJ32">
        <v>-15119593586.666615</v>
      </c>
      <c r="BK32">
        <v>12.6</v>
      </c>
      <c r="BL32">
        <v>0</v>
      </c>
      <c r="BM32">
        <v>0</v>
      </c>
      <c r="BN32">
        <v>0</v>
      </c>
      <c r="BO32">
        <v>0</v>
      </c>
      <c r="BP32">
        <v>0</v>
      </c>
      <c r="BQ32">
        <v>0</v>
      </c>
      <c r="BR32">
        <v>11764500000</v>
      </c>
      <c r="BS32">
        <v>0</v>
      </c>
      <c r="BT32">
        <v>11764500000</v>
      </c>
      <c r="BU32">
        <v>11764500000</v>
      </c>
      <c r="BV32">
        <v>11764500000</v>
      </c>
      <c r="BW32">
        <v>11764500000</v>
      </c>
      <c r="BX32">
        <v>0</v>
      </c>
      <c r="BY32" s="32">
        <f>Bankingbook_MSB[[#This Row],[Mat. Date]]-RPT</f>
        <v>-3703</v>
      </c>
      <c r="BZ32" s="71">
        <f>IF(Bankingbook_MSB[[#This Row],[Days]]&lt;=0,0,YEARFRAC(RPT,Bankingbook_MSB[[#This Row],[Mat. Date]],3))</f>
        <v>0</v>
      </c>
      <c r="CA32" s="71">
        <f>IF(Bankingbook_MSB[[#This Row],[Days (year)]]=0,0,INDEX(Ref!$K$2:$K$13,MATCH(Bankingbook_MSB[[#This Row],[Days (year)]],Ref!$I$2:$I$13,1)))</f>
        <v>0</v>
      </c>
      <c r="CB32" s="32" t="str">
        <f>VLOOKUP(Bankingbook_MSB[[#This Row],[Security Name]],Ref!X:Z,3,0)</f>
        <v>TPCPBL</v>
      </c>
      <c r="CC32" s="32" t="str">
        <f>VLOOKUP(Bankingbook_MSB[[#This Row],[Security Name]],Ref!X:Y,2,0)</f>
        <v>VBS</v>
      </c>
      <c r="CD32" s="72">
        <f>IF((Bankingbook_MSB[[#This Row],[Mat. Date]]-RPT)&lt;=0,0,Bankingbook_MSB[[#This Row],[QUANTITY]])</f>
        <v>0</v>
      </c>
      <c r="CE32" s="71">
        <f>IF(Bankingbook_MSB[[#This Row],[Quantity_edited]]=0,0,Bankingbook_MSB[[#This Row],[DURATION]])</f>
        <v>0</v>
      </c>
      <c r="CF32" s="71">
        <f>IF(Bankingbook_MSB[[#This Row],[Quantity_edited]]=0,0,Bankingbook_MSB[[#This Row],[Mod Dur]])</f>
        <v>0</v>
      </c>
      <c r="CG32" s="71">
        <f>IF(Bankingbook_MSB[[#This Row],[Quantity_edited]]=0,0,Bankingbook_MSB[[#This Row],[Cnvx.]])</f>
        <v>0</v>
      </c>
      <c r="CH32" s="71">
        <f>(Bankingbook_MSB[[#This Row],[MARKET_VALUE]]+Bankingbook_MSB[[#This Row],[Accr Int]]*Bankingbook_MSB[[#This Row],[Quantity_edited]])*(-Bankingbook_MSB[[#This Row],[Modified Duration]]*0.0001+0.5*Bankingbook_MSB[[#This Row],[Conv]]*(0.0001^2))</f>
        <v>0</v>
      </c>
      <c r="CI32" s="71">
        <f>(Bankingbook_MSB[[#This Row],[MARKET_VALUE]]+Bankingbook_MSB[[#This Row],[Accr Int]]*Bankingbook_MSB[[#This Row],[Quantity_edited]])*(-Bankingbook_MSB[[#This Row],[Modified Duration]]*0.01+0.5*Bankingbook_MSB[[#This Row],[Conv]]*(0.01^2))</f>
        <v>0</v>
      </c>
      <c r="CJ32" s="32"/>
      <c r="CL32" t="s">
        <v>166</v>
      </c>
      <c r="CM32" t="s">
        <v>167</v>
      </c>
      <c r="CN32" t="s">
        <v>203</v>
      </c>
      <c r="CO32" t="s">
        <v>169</v>
      </c>
      <c r="CP32" s="35">
        <v>41993</v>
      </c>
      <c r="CQ32" t="s">
        <v>3322</v>
      </c>
      <c r="CR32" t="s">
        <v>174</v>
      </c>
      <c r="CS32" t="s">
        <v>174</v>
      </c>
      <c r="CT32" s="49">
        <v>0</v>
      </c>
      <c r="CU32">
        <v>0</v>
      </c>
      <c r="CV32">
        <v>0</v>
      </c>
      <c r="CW32" s="70">
        <v>0</v>
      </c>
      <c r="CX32">
        <v>12.19</v>
      </c>
      <c r="CY32">
        <v>0</v>
      </c>
      <c r="CZ32">
        <v>42665000000</v>
      </c>
      <c r="DA32">
        <v>45243417795.13887</v>
      </c>
      <c r="DB32">
        <v>-21622831227.777687</v>
      </c>
      <c r="DC32">
        <v>12.19</v>
      </c>
      <c r="DD32">
        <v>0</v>
      </c>
      <c r="DE32">
        <v>0</v>
      </c>
      <c r="DF32">
        <v>0</v>
      </c>
      <c r="DG32">
        <v>0</v>
      </c>
      <c r="DH32">
        <v>0</v>
      </c>
      <c r="DI32">
        <v>0</v>
      </c>
      <c r="DJ32" s="500">
        <v>18679000000</v>
      </c>
      <c r="DK32" s="500">
        <v>0</v>
      </c>
      <c r="DL32" s="37">
        <v>18679000000</v>
      </c>
      <c r="DM32" s="37">
        <v>18679000000</v>
      </c>
      <c r="DN32" s="37">
        <v>18679000000</v>
      </c>
      <c r="DO32" s="37">
        <v>18679000000</v>
      </c>
      <c r="DP32" s="32">
        <f>Tradingbook_SBV[[#This Row],[Mat. Date]]-RPT</f>
        <v>-4259</v>
      </c>
      <c r="DQ32" s="32">
        <f>IF(Tradingbook_SBV[[#This Row],[Days]]&lt;=0,0,YEARFRAC(RPT,Tradingbook_SBV[[#This Row],[Mat. Date]],3))</f>
        <v>0</v>
      </c>
      <c r="DR32" s="32">
        <f>IF(Tradingbook_SBV[[#This Row],[Days (year)]]=0,0,INDEX(Ref!$K$2:$K$13,MATCH(Tradingbook_SBV[[#This Row],[Days (year)]],Ref!$I$2:$I$13,1)))</f>
        <v>0</v>
      </c>
      <c r="DS32" s="32" t="str">
        <f>VLOOKUP(Tradingbook_SBV[[#This Row],[Security Name]],Ref!X:Z,3,0)</f>
        <v>TPCPBL</v>
      </c>
      <c r="DT32" s="32" t="str">
        <f>VLOOKUP(Tradingbook_SBV[[#This Row],[Security Name]],Ref!X:Y,2,0)</f>
        <v>VDB</v>
      </c>
      <c r="DU32" s="71">
        <f>IF((Tradingbook_SBV[[#This Row],[Mat. Date]]-RPT)&lt;=0,0,Tradingbook_SBV[[#This Row],[QUANTITY]])</f>
        <v>0</v>
      </c>
      <c r="DV32" s="71">
        <f>IF(Tradingbook_SBV[[#This Row],[Quantity_edited]]=0,0,Tradingbook_SBV[[#This Row],[DURATION]])</f>
        <v>0</v>
      </c>
      <c r="DW32" s="71">
        <f>IF(Tradingbook_SBV[[#This Row],[Quantity_edited]]=0,0,Tradingbook_SBV[[#This Row],[Mod Dur]])</f>
        <v>0</v>
      </c>
      <c r="DX32" s="71">
        <f>IF(Tradingbook_SBV[[#This Row],[Quantity_edited]]=0,0,Tradingbook_SBV[[#This Row],[Cnvx.]])</f>
        <v>0</v>
      </c>
      <c r="DY32" s="71">
        <f>(Tradingbook_SBV[[#This Row],[MARKET_VALUE]]+Tradingbook_SBV[[#This Row],[Accr Int]]*Tradingbook_SBV[[#This Row],[Quantity_edited]])*(-Tradingbook_SBV[[#This Row],[Modified Duration]]*0.0001+0.5*Tradingbook_SBV[[#This Row],[Conv]]*(0.0001^2))</f>
        <v>0</v>
      </c>
      <c r="DZ32" s="71">
        <f>(Tradingbook_SBV[[#This Row],[MARKET_VALUE]]+Tradingbook_SBV[[#This Row],[Accr Int]]*Tradingbook_SBV[[#This Row],[Quantity_edited]])*(-Tradingbook_SBV[[#This Row],[Modified Duration]]*0.01+0.5*Tradingbook_SBV[[#This Row],[Conv]]*(0.01^2))</f>
        <v>0</v>
      </c>
      <c r="EC32" t="s">
        <v>166</v>
      </c>
      <c r="ED32" t="s">
        <v>167</v>
      </c>
      <c r="EE32" t="s">
        <v>777</v>
      </c>
      <c r="EF32" t="s">
        <v>169</v>
      </c>
      <c r="EG32" s="35" t="s">
        <v>3348</v>
      </c>
      <c r="EH32" t="s">
        <v>3322</v>
      </c>
      <c r="EK32" s="500">
        <v>0</v>
      </c>
      <c r="EL32" s="500">
        <v>0</v>
      </c>
      <c r="EM32" s="500">
        <v>0</v>
      </c>
      <c r="EN32" s="500">
        <v>0</v>
      </c>
      <c r="EO32">
        <v>12.6</v>
      </c>
      <c r="EP32">
        <v>0</v>
      </c>
      <c r="EQ32">
        <v>18900000000</v>
      </c>
      <c r="ER32">
        <v>21409549874.999969</v>
      </c>
      <c r="ES32">
        <v>-15119593586.666615</v>
      </c>
      <c r="ET32">
        <v>12.6</v>
      </c>
      <c r="EU32">
        <v>0</v>
      </c>
      <c r="EV32">
        <v>0</v>
      </c>
      <c r="EW32">
        <v>0</v>
      </c>
      <c r="EX32">
        <v>0</v>
      </c>
      <c r="EY32">
        <v>0</v>
      </c>
      <c r="EZ32">
        <v>0</v>
      </c>
      <c r="FA32">
        <v>11764500000</v>
      </c>
      <c r="FB32">
        <v>0</v>
      </c>
      <c r="FC32">
        <v>11764500000</v>
      </c>
      <c r="FD32">
        <v>11764500000</v>
      </c>
      <c r="FE32">
        <v>11764500000</v>
      </c>
      <c r="FF32">
        <v>11764500000</v>
      </c>
      <c r="FG32" s="32">
        <f>Bankingbook_SBV[[#This Row],[Mat. Date]]-RPT</f>
        <v>-3703</v>
      </c>
      <c r="FH32" s="32">
        <f>IF(Bankingbook_SBV[[#This Row],[Days]]&lt;=0,0,YEARFRAC(RPT,Bankingbook_SBV[[#This Row],[Mat. Date]],3))</f>
        <v>0</v>
      </c>
      <c r="FI32" s="32">
        <f>IF(Bankingbook_SBV[[#This Row],[Days (year)]]=0,0,INDEX(Ref!$K$2:$K$13,MATCH(Bankingbook_SBV[[#This Row],[Days (year)]],Ref!$I$2:$I$13,1)))</f>
        <v>0</v>
      </c>
      <c r="FJ32" s="32" t="str">
        <f>VLOOKUP(Bankingbook_SBV[[#This Row],[Security Name]],Ref!X:Z,3,0)</f>
        <v>TPCPBL</v>
      </c>
      <c r="FK32" s="32" t="str">
        <f>VLOOKUP(Bankingbook_SBV[[#This Row],[Security Name]],Ref!X:Y,2,0)</f>
        <v>VBS</v>
      </c>
      <c r="FL32" s="72">
        <f>IF((Bankingbook_SBV[[#This Row],[Mat. Date]]-RPT)&lt;=0,0,Bankingbook_SBV[[#This Row],[QUANTITY]])</f>
        <v>0</v>
      </c>
      <c r="FM32" s="32">
        <f>IF(Bankingbook_SBV[[#This Row],[Quantity_edited]]=0,0,Bankingbook_SBV[[#This Row],[DURATION]])</f>
        <v>0</v>
      </c>
      <c r="FN32" s="32">
        <f>IF(Bankingbook_SBV[[#This Row],[Quantity_edited]]=0,0,Bankingbook_SBV[[#This Row],[Mod Dur]])</f>
        <v>0</v>
      </c>
      <c r="FO32" s="32">
        <f>IF(Bankingbook_SBV[[#This Row],[Quantity_edited]]=0,0,Bankingbook_SBV[[#This Row],[Cnvx.]])</f>
        <v>0</v>
      </c>
      <c r="FP32" s="32">
        <f>(Bankingbook_SBV[[#This Row],[MARKET_VALUE]]+Bankingbook_SBV[[#This Row],[Accr Int]]*Bankingbook_SBV[[#This Row],[Quantity_edited]])*(-Bankingbook_SBV[[#This Row],[Modified Duration]]*0.0001+0.5*Bankingbook_SBV[[#This Row],[Conv]]*(0.0001^2))</f>
        <v>0</v>
      </c>
      <c r="FQ32" s="32">
        <f>(Bankingbook_SBV[[#This Row],[MARKET_VALUE]]+Bankingbook_SBV[[#This Row],[Accr Int]]*Bankingbook_SBV[[#This Row],[Quantity_edited]])*(-Bankingbook_SBV[[#This Row],[Modified Duration]]*0.01+0.5*Bankingbook_SBV[[#This Row],[Conv]]*(0.01^2))</f>
        <v>0</v>
      </c>
      <c r="FT32" t="s">
        <v>166</v>
      </c>
      <c r="FU32" t="s">
        <v>790</v>
      </c>
      <c r="FV32" t="s">
        <v>4011</v>
      </c>
      <c r="FW32">
        <v>3307845</v>
      </c>
      <c r="FX32" s="502">
        <v>46217</v>
      </c>
      <c r="FY32" t="s">
        <v>2176</v>
      </c>
      <c r="FZ32" t="s">
        <v>812</v>
      </c>
      <c r="GA32" t="s">
        <v>3585</v>
      </c>
      <c r="GB32" t="s">
        <v>810</v>
      </c>
      <c r="GC32" t="s">
        <v>608</v>
      </c>
      <c r="GD32" s="500">
        <v>-1091790000000</v>
      </c>
      <c r="GE32">
        <v>5.0006089999999999</v>
      </c>
      <c r="GF32" s="502">
        <v>46219</v>
      </c>
      <c r="GG32" s="502">
        <v>46283</v>
      </c>
      <c r="GH32">
        <v>4.5999999999999996</v>
      </c>
      <c r="GI32" t="s">
        <v>811</v>
      </c>
      <c r="GJ32" t="s">
        <v>3321</v>
      </c>
      <c r="GK32" t="s">
        <v>3321</v>
      </c>
      <c r="GL32">
        <v>4828138000</v>
      </c>
      <c r="GM32">
        <v>-4540649917.8100004</v>
      </c>
      <c r="GN32">
        <v>1153450000000</v>
      </c>
      <c r="GO32">
        <v>5.35</v>
      </c>
      <c r="GP32">
        <v>0.08</v>
      </c>
      <c r="GQ32">
        <v>7.3999999999999996E-2</v>
      </c>
      <c r="GR32">
        <v>6.8575119999999998</v>
      </c>
      <c r="GS32">
        <v>-1094338235944.01</v>
      </c>
      <c r="GT32">
        <v>-2548235944.0100002</v>
      </c>
      <c r="GU32" t="s">
        <v>4086</v>
      </c>
      <c r="GV32" t="s">
        <v>4086</v>
      </c>
      <c r="GW32" s="416">
        <f>FNRP_Repo[[#This Row],[Mat. Date]]-RPT</f>
        <v>31</v>
      </c>
      <c r="GX32" s="819" t="str">
        <f>IF(FNRP_Repo[[#This Row],[Days]]&lt;=0,"Mat",INDEX(Ref!U:U,MATCH(FNRP_Repo[[#This Row],[Days]],Ref!S:S,1)))</f>
        <v>2M</v>
      </c>
      <c r="GY32" s="417">
        <f>RIGHT(FNRP_Repo[[#This Row],[Deal Id]],5)+0</f>
        <v>18024</v>
      </c>
    </row>
    <row r="33" spans="2:207" x14ac:dyDescent="0.3">
      <c r="B33" t="s">
        <v>166</v>
      </c>
      <c r="C33" t="s">
        <v>167</v>
      </c>
      <c r="D33" t="s">
        <v>204</v>
      </c>
      <c r="E33" t="s">
        <v>169</v>
      </c>
      <c r="F33" s="502">
        <v>41994</v>
      </c>
      <c r="G33" t="s">
        <v>3322</v>
      </c>
      <c r="H33"/>
      <c r="I33"/>
      <c r="J33" s="38">
        <v>0</v>
      </c>
      <c r="K33">
        <v>0</v>
      </c>
      <c r="L33">
        <v>0</v>
      </c>
      <c r="M33" s="38">
        <v>0</v>
      </c>
      <c r="N33">
        <v>10.4</v>
      </c>
      <c r="O33">
        <v>0</v>
      </c>
      <c r="P33" s="37">
        <v>0</v>
      </c>
      <c r="Q33" s="37">
        <v>0</v>
      </c>
      <c r="R33" s="37">
        <v>-4233149270.8333106</v>
      </c>
      <c r="S33">
        <v>10.4</v>
      </c>
      <c r="T33" s="70">
        <v>0</v>
      </c>
      <c r="U33">
        <v>0</v>
      </c>
      <c r="V33">
        <v>0</v>
      </c>
      <c r="W33">
        <v>0</v>
      </c>
      <c r="X33" s="38">
        <v>0</v>
      </c>
      <c r="Y33">
        <v>0</v>
      </c>
      <c r="Z33" s="70">
        <v>-862000000</v>
      </c>
      <c r="AA33" s="70">
        <v>0</v>
      </c>
      <c r="AB33" s="70">
        <v>-862000000</v>
      </c>
      <c r="AC33" s="70">
        <v>-862000000</v>
      </c>
      <c r="AD33" s="70">
        <v>-862000000</v>
      </c>
      <c r="AE33" s="70">
        <v>-862000000</v>
      </c>
      <c r="AF33">
        <v>0</v>
      </c>
      <c r="AG33" s="72">
        <f>Tradingbook_MSB[[#This Row],[Mat. Date]]-RPT</f>
        <v>-4258</v>
      </c>
      <c r="AH33" s="71">
        <f>IF(Tradingbook_MSB[[#This Row],[Days]]&lt;=0,0,YEARFRAC(RPT,Tradingbook_MSB[[#This Row],[Mat. Date]],3))</f>
        <v>0</v>
      </c>
      <c r="AI33" s="71">
        <f>IF(Tradingbook_MSB[[#This Row],[Days (year)]]=0,0,INDEX(Ref!$K$2:$K$13,MATCH(Tradingbook_MSB[[#This Row],[Days (year)]],Ref!$I$2:$I$13,1)))</f>
        <v>0</v>
      </c>
      <c r="AJ33" s="120" t="str">
        <f>VLOOKUP(Tradingbook_MSB[[#This Row],[Security Name]],Ref!X:Z,3,0)</f>
        <v>TPCPBL</v>
      </c>
      <c r="AK33" s="120" t="str">
        <f>VLOOKUP(Tradingbook_MSB[[#This Row],[Security Name]],Ref!X:Y,2,0)</f>
        <v>VDB</v>
      </c>
      <c r="AL33" s="71">
        <f>IF((Tradingbook_MSB[[#This Row],[Mat. Date]]-RPT)&lt;=0,0,Tradingbook_MSB[[#This Row],[QUANTITY]])</f>
        <v>0</v>
      </c>
      <c r="AM33" s="71">
        <f>IF(Tradingbook_MSB[[#This Row],[Quantity_edited]]=0,0,Tradingbook_MSB[[#This Row],[DURATION]])</f>
        <v>0</v>
      </c>
      <c r="AN33" s="71">
        <f>IF(Tradingbook_MSB[[#This Row],[Quantity_edited]]=0,0,Tradingbook_MSB[[#This Row],[Mod Dur]])</f>
        <v>0</v>
      </c>
      <c r="AO33" s="71">
        <f>IF(Tradingbook_MSB[[#This Row],[Quantity_edited]]=0,0,Tradingbook_MSB[[#This Row],[Cnvx.]])</f>
        <v>0</v>
      </c>
      <c r="AP33" s="71">
        <f>(Tradingbook_MSB[[#This Row],[MARKET_VALUE]]+Tradingbook_MSB[[#This Row],[Accr Int]]*Tradingbook_MSB[[#This Row],[Quantity_edited]])*(-Tradingbook_MSB[[#This Row],[Modified Duration]]*0.0001+0.5*Tradingbook_MSB[[#This Row],[Conv]]*(0.0001^2))</f>
        <v>0</v>
      </c>
      <c r="AQ33" s="72">
        <f>(Tradingbook_MSB[[#This Row],[MARKET_VALUE]]+Tradingbook_MSB[[#This Row],[Accr Int]]*Tradingbook_MSB[[#This Row],[Quantity_edited]])*(-Tradingbook_MSB[[#This Row],[Modified Duration]]*0.01+0.5*Tradingbook_MSB[[#This Row],[Conv]]*(0.01^2))</f>
        <v>0</v>
      </c>
      <c r="AR33" s="71"/>
      <c r="AT33" t="s">
        <v>166</v>
      </c>
      <c r="AU33" t="s">
        <v>167</v>
      </c>
      <c r="AV33" t="s">
        <v>311</v>
      </c>
      <c r="AW33" t="s">
        <v>169</v>
      </c>
      <c r="AX33" t="s">
        <v>312</v>
      </c>
      <c r="AY33" t="s">
        <v>3322</v>
      </c>
      <c r="BB33" s="49">
        <v>0</v>
      </c>
      <c r="BC33">
        <v>0</v>
      </c>
      <c r="BD33">
        <v>0</v>
      </c>
      <c r="BE33" s="37">
        <v>0</v>
      </c>
      <c r="BF33">
        <v>0</v>
      </c>
      <c r="BG33">
        <v>0</v>
      </c>
      <c r="BH33" s="34">
        <v>0</v>
      </c>
      <c r="BI33">
        <v>0</v>
      </c>
      <c r="BJ33">
        <v>0</v>
      </c>
      <c r="BK33">
        <v>0</v>
      </c>
      <c r="BL33">
        <v>0</v>
      </c>
      <c r="BM33">
        <v>0</v>
      </c>
      <c r="BN33">
        <v>0</v>
      </c>
      <c r="BO33">
        <v>0</v>
      </c>
      <c r="BP33">
        <v>0</v>
      </c>
      <c r="BQ33">
        <v>0</v>
      </c>
      <c r="BR33">
        <v>0</v>
      </c>
      <c r="BS33">
        <v>0</v>
      </c>
      <c r="BT33">
        <v>0</v>
      </c>
      <c r="BU33">
        <v>0</v>
      </c>
      <c r="BV33">
        <v>0</v>
      </c>
      <c r="BW33">
        <v>0</v>
      </c>
      <c r="BX33">
        <v>0</v>
      </c>
      <c r="BY33" s="32">
        <f>Bankingbook_MSB[[#This Row],[Mat. Date]]-RPT</f>
        <v>-3563</v>
      </c>
      <c r="BZ33" s="71">
        <f>IF(Bankingbook_MSB[[#This Row],[Days]]&lt;=0,0,YEARFRAC(RPT,Bankingbook_MSB[[#This Row],[Mat. Date]],3))</f>
        <v>0</v>
      </c>
      <c r="CA33" s="71">
        <f>IF(Bankingbook_MSB[[#This Row],[Days (year)]]=0,0,INDEX(Ref!$K$2:$K$13,MATCH(Bankingbook_MSB[[#This Row],[Days (year)]],Ref!$I$2:$I$13,1)))</f>
        <v>0</v>
      </c>
      <c r="CB33" s="32" t="str">
        <f>VLOOKUP(Bankingbook_MSB[[#This Row],[Security Name]],Ref!X:Z,3,0)</f>
        <v>TPCP</v>
      </c>
      <c r="CC33" s="32" t="str">
        <f>VLOOKUP(Bankingbook_MSB[[#This Row],[Security Name]],Ref!X:Y,2,0)</f>
        <v>KBNN</v>
      </c>
      <c r="CD33" s="72">
        <f>IF((Bankingbook_MSB[[#This Row],[Mat. Date]]-RPT)&lt;=0,0,Bankingbook_MSB[[#This Row],[QUANTITY]])</f>
        <v>0</v>
      </c>
      <c r="CE33" s="71">
        <f>IF(Bankingbook_MSB[[#This Row],[Quantity_edited]]=0,0,Bankingbook_MSB[[#This Row],[DURATION]])</f>
        <v>0</v>
      </c>
      <c r="CF33" s="71">
        <f>IF(Bankingbook_MSB[[#This Row],[Quantity_edited]]=0,0,Bankingbook_MSB[[#This Row],[Mod Dur]])</f>
        <v>0</v>
      </c>
      <c r="CG33" s="71">
        <f>IF(Bankingbook_MSB[[#This Row],[Quantity_edited]]=0,0,Bankingbook_MSB[[#This Row],[Cnvx.]])</f>
        <v>0</v>
      </c>
      <c r="CH33" s="71">
        <f>(Bankingbook_MSB[[#This Row],[MARKET_VALUE]]+Bankingbook_MSB[[#This Row],[Accr Int]]*Bankingbook_MSB[[#This Row],[Quantity_edited]])*(-Bankingbook_MSB[[#This Row],[Modified Duration]]*0.0001+0.5*Bankingbook_MSB[[#This Row],[Conv]]*(0.0001^2))</f>
        <v>0</v>
      </c>
      <c r="CI33" s="71">
        <f>(Bankingbook_MSB[[#This Row],[MARKET_VALUE]]+Bankingbook_MSB[[#This Row],[Accr Int]]*Bankingbook_MSB[[#This Row],[Quantity_edited]])*(-Bankingbook_MSB[[#This Row],[Modified Duration]]*0.01+0.5*Bankingbook_MSB[[#This Row],[Conv]]*(0.01^2))</f>
        <v>0</v>
      </c>
      <c r="CJ33" s="32"/>
      <c r="CL33" t="s">
        <v>166</v>
      </c>
      <c r="CM33" t="s">
        <v>167</v>
      </c>
      <c r="CN33" t="s">
        <v>204</v>
      </c>
      <c r="CO33" t="s">
        <v>169</v>
      </c>
      <c r="CP33" s="35">
        <v>41994</v>
      </c>
      <c r="CQ33" t="s">
        <v>3322</v>
      </c>
      <c r="CR33" t="s">
        <v>174</v>
      </c>
      <c r="CS33" t="s">
        <v>174</v>
      </c>
      <c r="CT33" s="49">
        <v>0</v>
      </c>
      <c r="CU33">
        <v>0</v>
      </c>
      <c r="CV33">
        <v>0</v>
      </c>
      <c r="CW33" s="70">
        <v>0</v>
      </c>
      <c r="CX33">
        <v>10.4</v>
      </c>
      <c r="CY33">
        <v>0</v>
      </c>
      <c r="CZ33">
        <v>0</v>
      </c>
      <c r="DA33">
        <v>0</v>
      </c>
      <c r="DB33">
        <v>-4233149270.8333106</v>
      </c>
      <c r="DC33">
        <v>10.4</v>
      </c>
      <c r="DD33">
        <v>0</v>
      </c>
      <c r="DE33">
        <v>0</v>
      </c>
      <c r="DF33">
        <v>0</v>
      </c>
      <c r="DG33">
        <v>0</v>
      </c>
      <c r="DH33">
        <v>0</v>
      </c>
      <c r="DI33">
        <v>0</v>
      </c>
      <c r="DJ33" s="500">
        <v>-862000000</v>
      </c>
      <c r="DK33" s="500">
        <v>0</v>
      </c>
      <c r="DL33" s="37">
        <v>-862000000</v>
      </c>
      <c r="DM33" s="37">
        <v>-862000000</v>
      </c>
      <c r="DN33" s="37">
        <v>-862000000</v>
      </c>
      <c r="DO33" s="37">
        <v>-862000000</v>
      </c>
      <c r="DP33" s="32">
        <f>Tradingbook_SBV[[#This Row],[Mat. Date]]-RPT</f>
        <v>-4258</v>
      </c>
      <c r="DQ33" s="32">
        <f>IF(Tradingbook_SBV[[#This Row],[Days]]&lt;=0,0,YEARFRAC(RPT,Tradingbook_SBV[[#This Row],[Mat. Date]],3))</f>
        <v>0</v>
      </c>
      <c r="DR33" s="32">
        <f>IF(Tradingbook_SBV[[#This Row],[Days (year)]]=0,0,INDEX(Ref!$K$2:$K$13,MATCH(Tradingbook_SBV[[#This Row],[Days (year)]],Ref!$I$2:$I$13,1)))</f>
        <v>0</v>
      </c>
      <c r="DS33" s="32" t="str">
        <f>VLOOKUP(Tradingbook_SBV[[#This Row],[Security Name]],Ref!X:Z,3,0)</f>
        <v>TPCPBL</v>
      </c>
      <c r="DT33" s="32" t="str">
        <f>VLOOKUP(Tradingbook_SBV[[#This Row],[Security Name]],Ref!X:Y,2,0)</f>
        <v>VDB</v>
      </c>
      <c r="DU33" s="71">
        <f>IF((Tradingbook_SBV[[#This Row],[Mat. Date]]-RPT)&lt;=0,0,Tradingbook_SBV[[#This Row],[QUANTITY]])</f>
        <v>0</v>
      </c>
      <c r="DV33" s="71">
        <f>IF(Tradingbook_SBV[[#This Row],[Quantity_edited]]=0,0,Tradingbook_SBV[[#This Row],[DURATION]])</f>
        <v>0</v>
      </c>
      <c r="DW33" s="71">
        <f>IF(Tradingbook_SBV[[#This Row],[Quantity_edited]]=0,0,Tradingbook_SBV[[#This Row],[Mod Dur]])</f>
        <v>0</v>
      </c>
      <c r="DX33" s="71">
        <f>IF(Tradingbook_SBV[[#This Row],[Quantity_edited]]=0,0,Tradingbook_SBV[[#This Row],[Cnvx.]])</f>
        <v>0</v>
      </c>
      <c r="DY33" s="71">
        <f>(Tradingbook_SBV[[#This Row],[MARKET_VALUE]]+Tradingbook_SBV[[#This Row],[Accr Int]]*Tradingbook_SBV[[#This Row],[Quantity_edited]])*(-Tradingbook_SBV[[#This Row],[Modified Duration]]*0.0001+0.5*Tradingbook_SBV[[#This Row],[Conv]]*(0.0001^2))</f>
        <v>0</v>
      </c>
      <c r="DZ33" s="71">
        <f>(Tradingbook_SBV[[#This Row],[MARKET_VALUE]]+Tradingbook_SBV[[#This Row],[Accr Int]]*Tradingbook_SBV[[#This Row],[Quantity_edited]])*(-Tradingbook_SBV[[#This Row],[Modified Duration]]*0.01+0.5*Tradingbook_SBV[[#This Row],[Conv]]*(0.01^2))</f>
        <v>0</v>
      </c>
      <c r="EC33" t="s">
        <v>166</v>
      </c>
      <c r="ED33" t="s">
        <v>167</v>
      </c>
      <c r="EE33" t="s">
        <v>311</v>
      </c>
      <c r="EF33" t="s">
        <v>169</v>
      </c>
      <c r="EG33" s="35" t="s">
        <v>312</v>
      </c>
      <c r="EH33" t="s">
        <v>3322</v>
      </c>
      <c r="EK33" s="500">
        <v>0</v>
      </c>
      <c r="EL33" s="500">
        <v>0</v>
      </c>
      <c r="EM33" s="500">
        <v>0</v>
      </c>
      <c r="EN33" s="500">
        <v>0</v>
      </c>
      <c r="EO33">
        <v>0</v>
      </c>
      <c r="EP33">
        <v>0</v>
      </c>
      <c r="EQ33">
        <v>0</v>
      </c>
      <c r="ER33">
        <v>0</v>
      </c>
      <c r="ES33">
        <v>0</v>
      </c>
      <c r="ET33">
        <v>0</v>
      </c>
      <c r="EU33">
        <v>0</v>
      </c>
      <c r="EV33">
        <v>0</v>
      </c>
      <c r="EW33">
        <v>0</v>
      </c>
      <c r="EX33">
        <v>0</v>
      </c>
      <c r="EY33">
        <v>0</v>
      </c>
      <c r="EZ33">
        <v>0</v>
      </c>
      <c r="FA33">
        <v>0</v>
      </c>
      <c r="FB33">
        <v>0</v>
      </c>
      <c r="FC33">
        <v>0</v>
      </c>
      <c r="FD33">
        <v>0</v>
      </c>
      <c r="FE33">
        <v>0</v>
      </c>
      <c r="FF33">
        <v>0</v>
      </c>
      <c r="FG33" s="32">
        <f>Bankingbook_SBV[[#This Row],[Mat. Date]]-RPT</f>
        <v>-3563</v>
      </c>
      <c r="FH33" s="32">
        <f>IF(Bankingbook_SBV[[#This Row],[Days]]&lt;=0,0,YEARFRAC(RPT,Bankingbook_SBV[[#This Row],[Mat. Date]],3))</f>
        <v>0</v>
      </c>
      <c r="FI33" s="32">
        <f>IF(Bankingbook_SBV[[#This Row],[Days (year)]]=0,0,INDEX(Ref!$K$2:$K$13,MATCH(Bankingbook_SBV[[#This Row],[Days (year)]],Ref!$I$2:$I$13,1)))</f>
        <v>0</v>
      </c>
      <c r="FJ33" s="32" t="str">
        <f>VLOOKUP(Bankingbook_SBV[[#This Row],[Security Name]],Ref!X:Z,3,0)</f>
        <v>TPCP</v>
      </c>
      <c r="FK33" s="32" t="str">
        <f>VLOOKUP(Bankingbook_SBV[[#This Row],[Security Name]],Ref!X:Y,2,0)</f>
        <v>KBNN</v>
      </c>
      <c r="FL33" s="72">
        <f>IF((Bankingbook_SBV[[#This Row],[Mat. Date]]-RPT)&lt;=0,0,Bankingbook_SBV[[#This Row],[QUANTITY]])</f>
        <v>0</v>
      </c>
      <c r="FM33" s="32">
        <f>IF(Bankingbook_SBV[[#This Row],[Quantity_edited]]=0,0,Bankingbook_SBV[[#This Row],[DURATION]])</f>
        <v>0</v>
      </c>
      <c r="FN33" s="32">
        <f>IF(Bankingbook_SBV[[#This Row],[Quantity_edited]]=0,0,Bankingbook_SBV[[#This Row],[Mod Dur]])</f>
        <v>0</v>
      </c>
      <c r="FO33" s="32">
        <f>IF(Bankingbook_SBV[[#This Row],[Quantity_edited]]=0,0,Bankingbook_SBV[[#This Row],[Cnvx.]])</f>
        <v>0</v>
      </c>
      <c r="FP33" s="32">
        <f>(Bankingbook_SBV[[#This Row],[MARKET_VALUE]]+Bankingbook_SBV[[#This Row],[Accr Int]]*Bankingbook_SBV[[#This Row],[Quantity_edited]])*(-Bankingbook_SBV[[#This Row],[Modified Duration]]*0.0001+0.5*Bankingbook_SBV[[#This Row],[Conv]]*(0.0001^2))</f>
        <v>0</v>
      </c>
      <c r="FQ33" s="32">
        <f>(Bankingbook_SBV[[#This Row],[MARKET_VALUE]]+Bankingbook_SBV[[#This Row],[Accr Int]]*Bankingbook_SBV[[#This Row],[Quantity_edited]])*(-Bankingbook_SBV[[#This Row],[Modified Duration]]*0.01+0.5*Bankingbook_SBV[[#This Row],[Conv]]*(0.01^2))</f>
        <v>0</v>
      </c>
      <c r="FT33" t="s">
        <v>166</v>
      </c>
      <c r="FU33" t="s">
        <v>790</v>
      </c>
      <c r="FV33" t="s">
        <v>4000</v>
      </c>
      <c r="FW33">
        <v>3306969</v>
      </c>
      <c r="FX33" s="502">
        <v>46216</v>
      </c>
      <c r="FY33" t="s">
        <v>2176</v>
      </c>
      <c r="FZ33" t="s">
        <v>812</v>
      </c>
      <c r="GA33" t="s">
        <v>3585</v>
      </c>
      <c r="GB33" t="s">
        <v>810</v>
      </c>
      <c r="GC33" t="s">
        <v>2381</v>
      </c>
      <c r="GD33" s="500">
        <v>-292494000000</v>
      </c>
      <c r="GE33">
        <v>5.9997490000000004</v>
      </c>
      <c r="GF33" s="502">
        <v>46218</v>
      </c>
      <c r="GG33" s="502">
        <v>46283</v>
      </c>
      <c r="GH33">
        <v>4.5999999999999996</v>
      </c>
      <c r="GI33" t="s">
        <v>811</v>
      </c>
      <c r="GJ33" t="s">
        <v>3321</v>
      </c>
      <c r="GK33" t="s">
        <v>3321</v>
      </c>
      <c r="GL33">
        <v>1331660183.3299999</v>
      </c>
      <c r="GM33">
        <v>-1253316756.1600001</v>
      </c>
      <c r="GN33">
        <v>311757000000</v>
      </c>
      <c r="GO33">
        <v>6.18</v>
      </c>
      <c r="GP33">
        <v>0.08</v>
      </c>
      <c r="GQ33">
        <v>7.3999999999999996E-2</v>
      </c>
      <c r="GR33">
        <v>6.8575119999999998</v>
      </c>
      <c r="GS33">
        <v>-293213333145.47998</v>
      </c>
      <c r="GT33">
        <v>-719333145.48000002</v>
      </c>
      <c r="GU33" t="s">
        <v>4118</v>
      </c>
      <c r="GV33" t="s">
        <v>4118</v>
      </c>
      <c r="GW33" s="416">
        <f>FNRP_Repo[[#This Row],[Mat. Date]]-RPT</f>
        <v>31</v>
      </c>
      <c r="GX33" s="819" t="str">
        <f>IF(FNRP_Repo[[#This Row],[Days]]&lt;=0,"Mat",INDEX(Ref!U:U,MATCH(FNRP_Repo[[#This Row],[Days]],Ref!S:S,1)))</f>
        <v>2M</v>
      </c>
      <c r="GY33" s="417">
        <f>RIGHT(FNRP_Repo[[#This Row],[Deal Id]],5)+0</f>
        <v>18016</v>
      </c>
    </row>
    <row r="34" spans="2:207" x14ac:dyDescent="0.3">
      <c r="B34" t="s">
        <v>166</v>
      </c>
      <c r="C34" t="s">
        <v>167</v>
      </c>
      <c r="D34" t="s">
        <v>206</v>
      </c>
      <c r="E34" t="s">
        <v>169</v>
      </c>
      <c r="F34" s="502">
        <v>42010</v>
      </c>
      <c r="G34" t="s">
        <v>3322</v>
      </c>
      <c r="H34"/>
      <c r="I34"/>
      <c r="J34" s="38">
        <v>0</v>
      </c>
      <c r="K34">
        <v>0</v>
      </c>
      <c r="L34">
        <v>0</v>
      </c>
      <c r="M34" s="38">
        <v>0</v>
      </c>
      <c r="N34">
        <v>0</v>
      </c>
      <c r="O34">
        <v>0</v>
      </c>
      <c r="P34" s="37">
        <v>0</v>
      </c>
      <c r="Q34" s="37">
        <v>0</v>
      </c>
      <c r="R34" s="37">
        <v>-69542996.046562672</v>
      </c>
      <c r="S34">
        <v>0</v>
      </c>
      <c r="T34" s="70">
        <v>0</v>
      </c>
      <c r="U34">
        <v>0</v>
      </c>
      <c r="V34">
        <v>0</v>
      </c>
      <c r="W34">
        <v>0</v>
      </c>
      <c r="X34" s="38">
        <v>0</v>
      </c>
      <c r="Y34">
        <v>0</v>
      </c>
      <c r="Z34" s="70">
        <v>133978161.2519989</v>
      </c>
      <c r="AA34" s="70">
        <v>0</v>
      </c>
      <c r="AB34" s="70">
        <v>133978161.2519989</v>
      </c>
      <c r="AC34" s="70">
        <v>133978161.2519989</v>
      </c>
      <c r="AD34" s="70">
        <v>133978161.252</v>
      </c>
      <c r="AE34" s="70">
        <v>133978161.2519989</v>
      </c>
      <c r="AF34">
        <v>0</v>
      </c>
      <c r="AG34" s="72">
        <f>Tradingbook_MSB[[#This Row],[Mat. Date]]-RPT</f>
        <v>-4242</v>
      </c>
      <c r="AH34" s="71">
        <f>IF(Tradingbook_MSB[[#This Row],[Days]]&lt;=0,0,YEARFRAC(RPT,Tradingbook_MSB[[#This Row],[Mat. Date]],3))</f>
        <v>0</v>
      </c>
      <c r="AI34" s="71">
        <f>IF(Tradingbook_MSB[[#This Row],[Days (year)]]=0,0,INDEX(Ref!$K$2:$K$13,MATCH(Tradingbook_MSB[[#This Row],[Days (year)]],Ref!$I$2:$I$13,1)))</f>
        <v>0</v>
      </c>
      <c r="AJ34" s="120" t="str">
        <f>VLOOKUP(Tradingbook_MSB[[#This Row],[Security Name]],Ref!X:Z,3,0)</f>
        <v>TPCP</v>
      </c>
      <c r="AK34" s="120" t="str">
        <f>VLOOKUP(Tradingbook_MSB[[#This Row],[Security Name]],Ref!X:Y,2,0)</f>
        <v>KBNN</v>
      </c>
      <c r="AL34" s="71">
        <f>IF((Tradingbook_MSB[[#This Row],[Mat. Date]]-RPT)&lt;=0,0,Tradingbook_MSB[[#This Row],[QUANTITY]])</f>
        <v>0</v>
      </c>
      <c r="AM34" s="71">
        <f>IF(Tradingbook_MSB[[#This Row],[Quantity_edited]]=0,0,Tradingbook_MSB[[#This Row],[DURATION]])</f>
        <v>0</v>
      </c>
      <c r="AN34" s="71">
        <f>IF(Tradingbook_MSB[[#This Row],[Quantity_edited]]=0,0,Tradingbook_MSB[[#This Row],[Mod Dur]])</f>
        <v>0</v>
      </c>
      <c r="AO34" s="71">
        <f>IF(Tradingbook_MSB[[#This Row],[Quantity_edited]]=0,0,Tradingbook_MSB[[#This Row],[Cnvx.]])</f>
        <v>0</v>
      </c>
      <c r="AP34" s="71">
        <f>(Tradingbook_MSB[[#This Row],[MARKET_VALUE]]+Tradingbook_MSB[[#This Row],[Accr Int]]*Tradingbook_MSB[[#This Row],[Quantity_edited]])*(-Tradingbook_MSB[[#This Row],[Modified Duration]]*0.0001+0.5*Tradingbook_MSB[[#This Row],[Conv]]*(0.0001^2))</f>
        <v>0</v>
      </c>
      <c r="AQ34" s="72">
        <f>(Tradingbook_MSB[[#This Row],[MARKET_VALUE]]+Tradingbook_MSB[[#This Row],[Accr Int]]*Tradingbook_MSB[[#This Row],[Quantity_edited]])*(-Tradingbook_MSB[[#This Row],[Modified Duration]]*0.01+0.5*Tradingbook_MSB[[#This Row],[Conv]]*(0.01^2))</f>
        <v>0</v>
      </c>
      <c r="AR34" s="71"/>
      <c r="AT34" t="s">
        <v>166</v>
      </c>
      <c r="AU34" t="s">
        <v>167</v>
      </c>
      <c r="AV34" t="s">
        <v>313</v>
      </c>
      <c r="AW34" t="s">
        <v>169</v>
      </c>
      <c r="AX34" t="s">
        <v>3349</v>
      </c>
      <c r="AY34" t="s">
        <v>3322</v>
      </c>
      <c r="BB34" s="49">
        <v>0</v>
      </c>
      <c r="BC34">
        <v>0</v>
      </c>
      <c r="BD34">
        <v>0</v>
      </c>
      <c r="BE34" s="37">
        <v>0</v>
      </c>
      <c r="BF34">
        <v>12.25</v>
      </c>
      <c r="BG34">
        <v>0</v>
      </c>
      <c r="BH34" s="34">
        <v>73500000000</v>
      </c>
      <c r="BI34">
        <v>79108448124.999969</v>
      </c>
      <c r="BJ34">
        <v>-15454207293.333286</v>
      </c>
      <c r="BK34">
        <v>12.25</v>
      </c>
      <c r="BL34">
        <v>0</v>
      </c>
      <c r="BM34">
        <v>0</v>
      </c>
      <c r="BN34">
        <v>0</v>
      </c>
      <c r="BO34">
        <v>0</v>
      </c>
      <c r="BP34">
        <v>0</v>
      </c>
      <c r="BQ34">
        <v>0</v>
      </c>
      <c r="BR34">
        <v>477000000</v>
      </c>
      <c r="BS34">
        <v>0</v>
      </c>
      <c r="BT34">
        <v>477000000</v>
      </c>
      <c r="BU34">
        <v>477000000</v>
      </c>
      <c r="BV34">
        <v>477000000</v>
      </c>
      <c r="BW34">
        <v>477000000</v>
      </c>
      <c r="BX34">
        <v>0</v>
      </c>
      <c r="BY34" s="32">
        <f>Bankingbook_MSB[[#This Row],[Mat. Date]]-RPT</f>
        <v>-3546</v>
      </c>
      <c r="BZ34" s="71">
        <f>IF(Bankingbook_MSB[[#This Row],[Days]]&lt;=0,0,YEARFRAC(RPT,Bankingbook_MSB[[#This Row],[Mat. Date]],3))</f>
        <v>0</v>
      </c>
      <c r="CA34" s="71">
        <f>IF(Bankingbook_MSB[[#This Row],[Days (year)]]=0,0,INDEX(Ref!$K$2:$K$13,MATCH(Bankingbook_MSB[[#This Row],[Days (year)]],Ref!$I$2:$I$13,1)))</f>
        <v>0</v>
      </c>
      <c r="CB34" s="32" t="str">
        <f>VLOOKUP(Bankingbook_MSB[[#This Row],[Security Name]],Ref!X:Z,3,0)</f>
        <v>TPCPBL</v>
      </c>
      <c r="CC34" s="32" t="str">
        <f>VLOOKUP(Bankingbook_MSB[[#This Row],[Security Name]],Ref!X:Y,2,0)</f>
        <v>VDB</v>
      </c>
      <c r="CD34" s="72">
        <f>IF((Bankingbook_MSB[[#This Row],[Mat. Date]]-RPT)&lt;=0,0,Bankingbook_MSB[[#This Row],[QUANTITY]])</f>
        <v>0</v>
      </c>
      <c r="CE34" s="71">
        <f>IF(Bankingbook_MSB[[#This Row],[Quantity_edited]]=0,0,Bankingbook_MSB[[#This Row],[DURATION]])</f>
        <v>0</v>
      </c>
      <c r="CF34" s="71">
        <f>IF(Bankingbook_MSB[[#This Row],[Quantity_edited]]=0,0,Bankingbook_MSB[[#This Row],[Mod Dur]])</f>
        <v>0</v>
      </c>
      <c r="CG34" s="71">
        <f>IF(Bankingbook_MSB[[#This Row],[Quantity_edited]]=0,0,Bankingbook_MSB[[#This Row],[Cnvx.]])</f>
        <v>0</v>
      </c>
      <c r="CH34" s="71">
        <f>(Bankingbook_MSB[[#This Row],[MARKET_VALUE]]+Bankingbook_MSB[[#This Row],[Accr Int]]*Bankingbook_MSB[[#This Row],[Quantity_edited]])*(-Bankingbook_MSB[[#This Row],[Modified Duration]]*0.0001+0.5*Bankingbook_MSB[[#This Row],[Conv]]*(0.0001^2))</f>
        <v>0</v>
      </c>
      <c r="CI34" s="71">
        <f>(Bankingbook_MSB[[#This Row],[MARKET_VALUE]]+Bankingbook_MSB[[#This Row],[Accr Int]]*Bankingbook_MSB[[#This Row],[Quantity_edited]])*(-Bankingbook_MSB[[#This Row],[Modified Duration]]*0.01+0.5*Bankingbook_MSB[[#This Row],[Conv]]*(0.01^2))</f>
        <v>0</v>
      </c>
      <c r="CJ34" s="32"/>
      <c r="CL34" t="s">
        <v>166</v>
      </c>
      <c r="CM34" t="s">
        <v>167</v>
      </c>
      <c r="CN34" t="s">
        <v>206</v>
      </c>
      <c r="CO34" t="s">
        <v>169</v>
      </c>
      <c r="CP34" s="35">
        <v>42010</v>
      </c>
      <c r="CQ34" t="s">
        <v>3322</v>
      </c>
      <c r="CR34" t="s">
        <v>174</v>
      </c>
      <c r="CS34" t="s">
        <v>174</v>
      </c>
      <c r="CT34" s="49">
        <v>0</v>
      </c>
      <c r="CU34">
        <v>0</v>
      </c>
      <c r="CV34">
        <v>0</v>
      </c>
      <c r="CW34" s="70">
        <v>0</v>
      </c>
      <c r="CX34">
        <v>0</v>
      </c>
      <c r="CY34">
        <v>0</v>
      </c>
      <c r="CZ34">
        <v>0</v>
      </c>
      <c r="DA34">
        <v>0</v>
      </c>
      <c r="DB34">
        <v>-69542996.046562672</v>
      </c>
      <c r="DC34">
        <v>0</v>
      </c>
      <c r="DD34">
        <v>0</v>
      </c>
      <c r="DE34">
        <v>0</v>
      </c>
      <c r="DF34">
        <v>0</v>
      </c>
      <c r="DG34">
        <v>0</v>
      </c>
      <c r="DH34">
        <v>0</v>
      </c>
      <c r="DI34">
        <v>0</v>
      </c>
      <c r="DJ34" s="500">
        <v>133978161.2519989</v>
      </c>
      <c r="DK34" s="500">
        <v>0</v>
      </c>
      <c r="DL34" s="37">
        <v>133978161.2519989</v>
      </c>
      <c r="DM34" s="37">
        <v>133978161.2519989</v>
      </c>
      <c r="DN34" s="37">
        <v>133978161.252</v>
      </c>
      <c r="DO34" s="37">
        <v>133978161.2519989</v>
      </c>
      <c r="DP34" s="32">
        <f>Tradingbook_SBV[[#This Row],[Mat. Date]]-RPT</f>
        <v>-4242</v>
      </c>
      <c r="DQ34" s="32">
        <f>IF(Tradingbook_SBV[[#This Row],[Days]]&lt;=0,0,YEARFRAC(RPT,Tradingbook_SBV[[#This Row],[Mat. Date]],3))</f>
        <v>0</v>
      </c>
      <c r="DR34" s="32">
        <f>IF(Tradingbook_SBV[[#This Row],[Days (year)]]=0,0,INDEX(Ref!$K$2:$K$13,MATCH(Tradingbook_SBV[[#This Row],[Days (year)]],Ref!$I$2:$I$13,1)))</f>
        <v>0</v>
      </c>
      <c r="DS34" s="32" t="str">
        <f>VLOOKUP(Tradingbook_SBV[[#This Row],[Security Name]],Ref!X:Z,3,0)</f>
        <v>TPCP</v>
      </c>
      <c r="DT34" s="32" t="str">
        <f>VLOOKUP(Tradingbook_SBV[[#This Row],[Security Name]],Ref!X:Y,2,0)</f>
        <v>KBNN</v>
      </c>
      <c r="DU34" s="71">
        <f>IF((Tradingbook_SBV[[#This Row],[Mat. Date]]-RPT)&lt;=0,0,Tradingbook_SBV[[#This Row],[QUANTITY]])</f>
        <v>0</v>
      </c>
      <c r="DV34" s="71">
        <f>IF(Tradingbook_SBV[[#This Row],[Quantity_edited]]=0,0,Tradingbook_SBV[[#This Row],[DURATION]])</f>
        <v>0</v>
      </c>
      <c r="DW34" s="71">
        <f>IF(Tradingbook_SBV[[#This Row],[Quantity_edited]]=0,0,Tradingbook_SBV[[#This Row],[Mod Dur]])</f>
        <v>0</v>
      </c>
      <c r="DX34" s="71">
        <f>IF(Tradingbook_SBV[[#This Row],[Quantity_edited]]=0,0,Tradingbook_SBV[[#This Row],[Cnvx.]])</f>
        <v>0</v>
      </c>
      <c r="DY34" s="71">
        <f>(Tradingbook_SBV[[#This Row],[MARKET_VALUE]]+Tradingbook_SBV[[#This Row],[Accr Int]]*Tradingbook_SBV[[#This Row],[Quantity_edited]])*(-Tradingbook_SBV[[#This Row],[Modified Duration]]*0.0001+0.5*Tradingbook_SBV[[#This Row],[Conv]]*(0.0001^2))</f>
        <v>0</v>
      </c>
      <c r="DZ34" s="71">
        <f>(Tradingbook_SBV[[#This Row],[MARKET_VALUE]]+Tradingbook_SBV[[#This Row],[Accr Int]]*Tradingbook_SBV[[#This Row],[Quantity_edited]])*(-Tradingbook_SBV[[#This Row],[Modified Duration]]*0.01+0.5*Tradingbook_SBV[[#This Row],[Conv]]*(0.01^2))</f>
        <v>0</v>
      </c>
      <c r="EC34" t="s">
        <v>166</v>
      </c>
      <c r="ED34" t="s">
        <v>167</v>
      </c>
      <c r="EE34" t="s">
        <v>313</v>
      </c>
      <c r="EF34" t="s">
        <v>169</v>
      </c>
      <c r="EG34" s="35" t="s">
        <v>3349</v>
      </c>
      <c r="EH34" t="s">
        <v>3322</v>
      </c>
      <c r="EK34" s="500">
        <v>0</v>
      </c>
      <c r="EL34" s="500">
        <v>0</v>
      </c>
      <c r="EM34" s="500">
        <v>0</v>
      </c>
      <c r="EN34" s="500">
        <v>0</v>
      </c>
      <c r="EO34">
        <v>12.25</v>
      </c>
      <c r="EP34">
        <v>0</v>
      </c>
      <c r="EQ34">
        <v>73500000000</v>
      </c>
      <c r="ER34">
        <v>79108448124.999969</v>
      </c>
      <c r="ES34">
        <v>-15454207293.333286</v>
      </c>
      <c r="ET34">
        <v>12.25</v>
      </c>
      <c r="EU34">
        <v>0</v>
      </c>
      <c r="EV34">
        <v>0</v>
      </c>
      <c r="EW34">
        <v>0</v>
      </c>
      <c r="EX34">
        <v>0</v>
      </c>
      <c r="EY34">
        <v>0</v>
      </c>
      <c r="EZ34">
        <v>0</v>
      </c>
      <c r="FA34">
        <v>477000000</v>
      </c>
      <c r="FB34">
        <v>0</v>
      </c>
      <c r="FC34">
        <v>477000000</v>
      </c>
      <c r="FD34">
        <v>477000000</v>
      </c>
      <c r="FE34">
        <v>477000000</v>
      </c>
      <c r="FF34">
        <v>477000000</v>
      </c>
      <c r="FG34" s="32">
        <f>Bankingbook_SBV[[#This Row],[Mat. Date]]-RPT</f>
        <v>-3546</v>
      </c>
      <c r="FH34" s="32">
        <f>IF(Bankingbook_SBV[[#This Row],[Days]]&lt;=0,0,YEARFRAC(RPT,Bankingbook_SBV[[#This Row],[Mat. Date]],3))</f>
        <v>0</v>
      </c>
      <c r="FI34" s="32">
        <f>IF(Bankingbook_SBV[[#This Row],[Days (year)]]=0,0,INDEX(Ref!$K$2:$K$13,MATCH(Bankingbook_SBV[[#This Row],[Days (year)]],Ref!$I$2:$I$13,1)))</f>
        <v>0</v>
      </c>
      <c r="FJ34" s="32" t="str">
        <f>VLOOKUP(Bankingbook_SBV[[#This Row],[Security Name]],Ref!X:Z,3,0)</f>
        <v>TPCPBL</v>
      </c>
      <c r="FK34" s="32" t="str">
        <f>VLOOKUP(Bankingbook_SBV[[#This Row],[Security Name]],Ref!X:Y,2,0)</f>
        <v>VDB</v>
      </c>
      <c r="FL34" s="72">
        <f>IF((Bankingbook_SBV[[#This Row],[Mat. Date]]-RPT)&lt;=0,0,Bankingbook_SBV[[#This Row],[QUANTITY]])</f>
        <v>0</v>
      </c>
      <c r="FM34" s="32">
        <f>IF(Bankingbook_SBV[[#This Row],[Quantity_edited]]=0,0,Bankingbook_SBV[[#This Row],[DURATION]])</f>
        <v>0</v>
      </c>
      <c r="FN34" s="32">
        <f>IF(Bankingbook_SBV[[#This Row],[Quantity_edited]]=0,0,Bankingbook_SBV[[#This Row],[Mod Dur]])</f>
        <v>0</v>
      </c>
      <c r="FO34" s="32">
        <f>IF(Bankingbook_SBV[[#This Row],[Quantity_edited]]=0,0,Bankingbook_SBV[[#This Row],[Cnvx.]])</f>
        <v>0</v>
      </c>
      <c r="FP34" s="32">
        <f>(Bankingbook_SBV[[#This Row],[MARKET_VALUE]]+Bankingbook_SBV[[#This Row],[Accr Int]]*Bankingbook_SBV[[#This Row],[Quantity_edited]])*(-Bankingbook_SBV[[#This Row],[Modified Duration]]*0.0001+0.5*Bankingbook_SBV[[#This Row],[Conv]]*(0.0001^2))</f>
        <v>0</v>
      </c>
      <c r="FQ34" s="32">
        <f>(Bankingbook_SBV[[#This Row],[MARKET_VALUE]]+Bankingbook_SBV[[#This Row],[Accr Int]]*Bankingbook_SBV[[#This Row],[Quantity_edited]])*(-Bankingbook_SBV[[#This Row],[Modified Duration]]*0.01+0.5*Bankingbook_SBV[[#This Row],[Conv]]*(0.01^2))</f>
        <v>0</v>
      </c>
      <c r="FT34" t="s">
        <v>166</v>
      </c>
      <c r="FU34" t="s">
        <v>790</v>
      </c>
      <c r="FV34" t="s">
        <v>4012</v>
      </c>
      <c r="FW34">
        <v>3307846</v>
      </c>
      <c r="FX34" s="502">
        <v>46217</v>
      </c>
      <c r="FY34" t="s">
        <v>2176</v>
      </c>
      <c r="FZ34" t="s">
        <v>812</v>
      </c>
      <c r="GA34" t="s">
        <v>3585</v>
      </c>
      <c r="GB34" t="s">
        <v>810</v>
      </c>
      <c r="GC34" t="s">
        <v>2496</v>
      </c>
      <c r="GD34" s="500">
        <v>-299012000000</v>
      </c>
      <c r="GE34">
        <v>9.9995790000000007</v>
      </c>
      <c r="GF34" s="502">
        <v>46219</v>
      </c>
      <c r="GG34" s="502">
        <v>46283</v>
      </c>
      <c r="GH34">
        <v>4.5999999999999996</v>
      </c>
      <c r="GI34" t="s">
        <v>811</v>
      </c>
      <c r="GJ34" t="s">
        <v>3321</v>
      </c>
      <c r="GK34" t="s">
        <v>3321</v>
      </c>
      <c r="GL34">
        <v>1322297511.1099999</v>
      </c>
      <c r="GM34">
        <v>-1243562235.6199999</v>
      </c>
      <c r="GN34">
        <v>333875500000</v>
      </c>
      <c r="GO34">
        <v>10.44</v>
      </c>
      <c r="GP34">
        <v>0.08</v>
      </c>
      <c r="GQ34">
        <v>7.3999999999999996E-2</v>
      </c>
      <c r="GR34">
        <v>6.8575119999999998</v>
      </c>
      <c r="GS34">
        <v>-299709893483.10999</v>
      </c>
      <c r="GT34">
        <v>-697893483.11000001</v>
      </c>
      <c r="GU34" t="s">
        <v>4119</v>
      </c>
      <c r="GV34" t="s">
        <v>4119</v>
      </c>
      <c r="GW34" s="416">
        <f>FNRP_Repo[[#This Row],[Mat. Date]]-RPT</f>
        <v>31</v>
      </c>
      <c r="GX34" s="819" t="str">
        <f>IF(FNRP_Repo[[#This Row],[Days]]&lt;=0,"Mat",INDEX(Ref!U:U,MATCH(FNRP_Repo[[#This Row],[Days]],Ref!S:S,1)))</f>
        <v>2M</v>
      </c>
      <c r="GY34" s="417">
        <f>RIGHT(FNRP_Repo[[#This Row],[Deal Id]],5)+0</f>
        <v>18025</v>
      </c>
    </row>
    <row r="35" spans="2:207" x14ac:dyDescent="0.3">
      <c r="B35" t="s">
        <v>166</v>
      </c>
      <c r="C35" t="s">
        <v>167</v>
      </c>
      <c r="D35" t="s">
        <v>207</v>
      </c>
      <c r="E35" t="s">
        <v>169</v>
      </c>
      <c r="F35" s="502">
        <v>42019</v>
      </c>
      <c r="G35" t="s">
        <v>3322</v>
      </c>
      <c r="H35"/>
      <c r="I35"/>
      <c r="J35" s="38">
        <v>0</v>
      </c>
      <c r="K35">
        <v>0</v>
      </c>
      <c r="L35">
        <v>0</v>
      </c>
      <c r="M35" s="38">
        <v>0</v>
      </c>
      <c r="N35">
        <v>8.4</v>
      </c>
      <c r="O35">
        <v>0</v>
      </c>
      <c r="P35" s="37">
        <v>0</v>
      </c>
      <c r="Q35" s="37">
        <v>0</v>
      </c>
      <c r="R35" s="37">
        <v>-2190326282.9860964</v>
      </c>
      <c r="S35">
        <v>8.4</v>
      </c>
      <c r="T35" s="70">
        <v>0</v>
      </c>
      <c r="U35">
        <v>0</v>
      </c>
      <c r="V35">
        <v>0</v>
      </c>
      <c r="W35">
        <v>0</v>
      </c>
      <c r="X35" s="38">
        <v>0</v>
      </c>
      <c r="Y35">
        <v>0</v>
      </c>
      <c r="Z35" s="70">
        <v>1894500000</v>
      </c>
      <c r="AA35" s="70">
        <v>0</v>
      </c>
      <c r="AB35" s="70">
        <v>1894500000</v>
      </c>
      <c r="AC35" s="70">
        <v>1894500000</v>
      </c>
      <c r="AD35" s="70">
        <v>1894500000</v>
      </c>
      <c r="AE35" s="70">
        <v>1894500000</v>
      </c>
      <c r="AF35">
        <v>0</v>
      </c>
      <c r="AG35" s="72">
        <f>Tradingbook_MSB[[#This Row],[Mat. Date]]-RPT</f>
        <v>-4233</v>
      </c>
      <c r="AH35" s="71">
        <f>IF(Tradingbook_MSB[[#This Row],[Days]]&lt;=0,0,YEARFRAC(RPT,Tradingbook_MSB[[#This Row],[Mat. Date]],3))</f>
        <v>0</v>
      </c>
      <c r="AI35" s="71">
        <f>IF(Tradingbook_MSB[[#This Row],[Days (year)]]=0,0,INDEX(Ref!$K$2:$K$13,MATCH(Tradingbook_MSB[[#This Row],[Days (year)]],Ref!$I$2:$I$13,1)))</f>
        <v>0</v>
      </c>
      <c r="AJ35" s="120" t="str">
        <f>VLOOKUP(Tradingbook_MSB[[#This Row],[Security Name]],Ref!X:Z,3,0)</f>
        <v>TPCP</v>
      </c>
      <c r="AK35" s="120" t="str">
        <f>VLOOKUP(Tradingbook_MSB[[#This Row],[Security Name]],Ref!X:Y,2,0)</f>
        <v>KBNN</v>
      </c>
      <c r="AL35" s="71">
        <f>IF((Tradingbook_MSB[[#This Row],[Mat. Date]]-RPT)&lt;=0,0,Tradingbook_MSB[[#This Row],[QUANTITY]])</f>
        <v>0</v>
      </c>
      <c r="AM35" s="71">
        <f>IF(Tradingbook_MSB[[#This Row],[Quantity_edited]]=0,0,Tradingbook_MSB[[#This Row],[DURATION]])</f>
        <v>0</v>
      </c>
      <c r="AN35" s="71">
        <f>IF(Tradingbook_MSB[[#This Row],[Quantity_edited]]=0,0,Tradingbook_MSB[[#This Row],[Mod Dur]])</f>
        <v>0</v>
      </c>
      <c r="AO35" s="71">
        <f>IF(Tradingbook_MSB[[#This Row],[Quantity_edited]]=0,0,Tradingbook_MSB[[#This Row],[Cnvx.]])</f>
        <v>0</v>
      </c>
      <c r="AP35" s="71">
        <f>(Tradingbook_MSB[[#This Row],[MARKET_VALUE]]+Tradingbook_MSB[[#This Row],[Accr Int]]*Tradingbook_MSB[[#This Row],[Quantity_edited]])*(-Tradingbook_MSB[[#This Row],[Modified Duration]]*0.0001+0.5*Tradingbook_MSB[[#This Row],[Conv]]*(0.0001^2))</f>
        <v>0</v>
      </c>
      <c r="AQ35" s="72">
        <f>(Tradingbook_MSB[[#This Row],[MARKET_VALUE]]+Tradingbook_MSB[[#This Row],[Accr Int]]*Tradingbook_MSB[[#This Row],[Quantity_edited]])*(-Tradingbook_MSB[[#This Row],[Modified Duration]]*0.01+0.5*Tradingbook_MSB[[#This Row],[Conv]]*(0.01^2))</f>
        <v>0</v>
      </c>
      <c r="AR35" s="71"/>
      <c r="AT35" t="s">
        <v>166</v>
      </c>
      <c r="AU35" t="s">
        <v>167</v>
      </c>
      <c r="AV35" t="s">
        <v>315</v>
      </c>
      <c r="AW35" t="s">
        <v>169</v>
      </c>
      <c r="AX35" t="s">
        <v>3350</v>
      </c>
      <c r="AY35" t="s">
        <v>3322</v>
      </c>
      <c r="BB35" s="49">
        <v>0</v>
      </c>
      <c r="BC35">
        <v>0</v>
      </c>
      <c r="BD35">
        <v>0</v>
      </c>
      <c r="BE35" s="37">
        <v>0</v>
      </c>
      <c r="BF35">
        <v>7.2</v>
      </c>
      <c r="BG35">
        <v>0</v>
      </c>
      <c r="BH35" s="34">
        <v>0</v>
      </c>
      <c r="BI35">
        <v>-7.9999999999999996E-6</v>
      </c>
      <c r="BJ35">
        <v>-2392026190.1388569</v>
      </c>
      <c r="BK35">
        <v>7.2</v>
      </c>
      <c r="BL35">
        <v>0</v>
      </c>
      <c r="BM35">
        <v>0</v>
      </c>
      <c r="BN35">
        <v>0</v>
      </c>
      <c r="BO35">
        <v>0</v>
      </c>
      <c r="BP35">
        <v>0</v>
      </c>
      <c r="BQ35">
        <v>0</v>
      </c>
      <c r="BR35">
        <v>4211000000</v>
      </c>
      <c r="BS35">
        <v>0</v>
      </c>
      <c r="BT35">
        <v>4211000000</v>
      </c>
      <c r="BU35">
        <v>4211000000</v>
      </c>
      <c r="BV35">
        <v>4211000000</v>
      </c>
      <c r="BW35">
        <v>4211000000</v>
      </c>
      <c r="BX35">
        <v>0</v>
      </c>
      <c r="BY35" s="32">
        <f>Bankingbook_MSB[[#This Row],[Mat. Date]]-RPT</f>
        <v>-3502</v>
      </c>
      <c r="BZ35" s="71">
        <f>IF(Bankingbook_MSB[[#This Row],[Days]]&lt;=0,0,YEARFRAC(RPT,Bankingbook_MSB[[#This Row],[Mat. Date]],3))</f>
        <v>0</v>
      </c>
      <c r="CA35" s="71">
        <f>IF(Bankingbook_MSB[[#This Row],[Days (year)]]=0,0,INDEX(Ref!$K$2:$K$13,MATCH(Bankingbook_MSB[[#This Row],[Days (year)]],Ref!$I$2:$I$13,1)))</f>
        <v>0</v>
      </c>
      <c r="CB35" s="32" t="str">
        <f>VLOOKUP(Bankingbook_MSB[[#This Row],[Security Name]],Ref!X:Z,3,0)</f>
        <v>TPCP</v>
      </c>
      <c r="CC35" s="32" t="str">
        <f>VLOOKUP(Bankingbook_MSB[[#This Row],[Security Name]],Ref!X:Y,2,0)</f>
        <v>KBNN</v>
      </c>
      <c r="CD35" s="72">
        <f>IF((Bankingbook_MSB[[#This Row],[Mat. Date]]-RPT)&lt;=0,0,Bankingbook_MSB[[#This Row],[QUANTITY]])</f>
        <v>0</v>
      </c>
      <c r="CE35" s="71">
        <f>IF(Bankingbook_MSB[[#This Row],[Quantity_edited]]=0,0,Bankingbook_MSB[[#This Row],[DURATION]])</f>
        <v>0</v>
      </c>
      <c r="CF35" s="71">
        <f>IF(Bankingbook_MSB[[#This Row],[Quantity_edited]]=0,0,Bankingbook_MSB[[#This Row],[Mod Dur]])</f>
        <v>0</v>
      </c>
      <c r="CG35" s="71">
        <f>IF(Bankingbook_MSB[[#This Row],[Quantity_edited]]=0,0,Bankingbook_MSB[[#This Row],[Cnvx.]])</f>
        <v>0</v>
      </c>
      <c r="CH35" s="71">
        <f>(Bankingbook_MSB[[#This Row],[MARKET_VALUE]]+Bankingbook_MSB[[#This Row],[Accr Int]]*Bankingbook_MSB[[#This Row],[Quantity_edited]])*(-Bankingbook_MSB[[#This Row],[Modified Duration]]*0.0001+0.5*Bankingbook_MSB[[#This Row],[Conv]]*(0.0001^2))</f>
        <v>0</v>
      </c>
      <c r="CI35" s="71">
        <f>(Bankingbook_MSB[[#This Row],[MARKET_VALUE]]+Bankingbook_MSB[[#This Row],[Accr Int]]*Bankingbook_MSB[[#This Row],[Quantity_edited]])*(-Bankingbook_MSB[[#This Row],[Modified Duration]]*0.01+0.5*Bankingbook_MSB[[#This Row],[Conv]]*(0.01^2))</f>
        <v>0</v>
      </c>
      <c r="CJ35" s="32"/>
      <c r="CL35" t="s">
        <v>166</v>
      </c>
      <c r="CM35" t="s">
        <v>167</v>
      </c>
      <c r="CN35" t="s">
        <v>207</v>
      </c>
      <c r="CO35" t="s">
        <v>169</v>
      </c>
      <c r="CP35" s="35">
        <v>42019</v>
      </c>
      <c r="CQ35" t="s">
        <v>3322</v>
      </c>
      <c r="CR35" t="s">
        <v>174</v>
      </c>
      <c r="CS35" t="s">
        <v>174</v>
      </c>
      <c r="CT35" s="49">
        <v>0</v>
      </c>
      <c r="CU35">
        <v>0</v>
      </c>
      <c r="CV35">
        <v>0</v>
      </c>
      <c r="CW35" s="70">
        <v>0</v>
      </c>
      <c r="CX35">
        <v>8.4</v>
      </c>
      <c r="CY35">
        <v>0</v>
      </c>
      <c r="CZ35">
        <v>0</v>
      </c>
      <c r="DA35">
        <v>0</v>
      </c>
      <c r="DB35">
        <v>-2190326282.9860964</v>
      </c>
      <c r="DC35">
        <v>8.4</v>
      </c>
      <c r="DD35">
        <v>0</v>
      </c>
      <c r="DE35">
        <v>0</v>
      </c>
      <c r="DF35">
        <v>0</v>
      </c>
      <c r="DG35">
        <v>0</v>
      </c>
      <c r="DH35">
        <v>0</v>
      </c>
      <c r="DI35">
        <v>0</v>
      </c>
      <c r="DJ35" s="500">
        <v>1894500000</v>
      </c>
      <c r="DK35" s="500">
        <v>0</v>
      </c>
      <c r="DL35" s="37">
        <v>1894500000</v>
      </c>
      <c r="DM35" s="37">
        <v>1894500000</v>
      </c>
      <c r="DN35" s="37">
        <v>1894500000</v>
      </c>
      <c r="DO35" s="37">
        <v>1894500000</v>
      </c>
      <c r="DP35" s="32">
        <f>Tradingbook_SBV[[#This Row],[Mat. Date]]-RPT</f>
        <v>-4233</v>
      </c>
      <c r="DQ35" s="32">
        <f>IF(Tradingbook_SBV[[#This Row],[Days]]&lt;=0,0,YEARFRAC(RPT,Tradingbook_SBV[[#This Row],[Mat. Date]],3))</f>
        <v>0</v>
      </c>
      <c r="DR35" s="32">
        <f>IF(Tradingbook_SBV[[#This Row],[Days (year)]]=0,0,INDEX(Ref!$K$2:$K$13,MATCH(Tradingbook_SBV[[#This Row],[Days (year)]],Ref!$I$2:$I$13,1)))</f>
        <v>0</v>
      </c>
      <c r="DS35" s="32" t="str">
        <f>VLOOKUP(Tradingbook_SBV[[#This Row],[Security Name]],Ref!X:Z,3,0)</f>
        <v>TPCP</v>
      </c>
      <c r="DT35" s="32" t="str">
        <f>VLOOKUP(Tradingbook_SBV[[#This Row],[Security Name]],Ref!X:Y,2,0)</f>
        <v>KBNN</v>
      </c>
      <c r="DU35" s="71">
        <f>IF((Tradingbook_SBV[[#This Row],[Mat. Date]]-RPT)&lt;=0,0,Tradingbook_SBV[[#This Row],[QUANTITY]])</f>
        <v>0</v>
      </c>
      <c r="DV35" s="71">
        <f>IF(Tradingbook_SBV[[#This Row],[Quantity_edited]]=0,0,Tradingbook_SBV[[#This Row],[DURATION]])</f>
        <v>0</v>
      </c>
      <c r="DW35" s="71">
        <f>IF(Tradingbook_SBV[[#This Row],[Quantity_edited]]=0,0,Tradingbook_SBV[[#This Row],[Mod Dur]])</f>
        <v>0</v>
      </c>
      <c r="DX35" s="71">
        <f>IF(Tradingbook_SBV[[#This Row],[Quantity_edited]]=0,0,Tradingbook_SBV[[#This Row],[Cnvx.]])</f>
        <v>0</v>
      </c>
      <c r="DY35" s="71">
        <f>(Tradingbook_SBV[[#This Row],[MARKET_VALUE]]+Tradingbook_SBV[[#This Row],[Accr Int]]*Tradingbook_SBV[[#This Row],[Quantity_edited]])*(-Tradingbook_SBV[[#This Row],[Modified Duration]]*0.0001+0.5*Tradingbook_SBV[[#This Row],[Conv]]*(0.0001^2))</f>
        <v>0</v>
      </c>
      <c r="DZ35" s="71">
        <f>(Tradingbook_SBV[[#This Row],[MARKET_VALUE]]+Tradingbook_SBV[[#This Row],[Accr Int]]*Tradingbook_SBV[[#This Row],[Quantity_edited]])*(-Tradingbook_SBV[[#This Row],[Modified Duration]]*0.01+0.5*Tradingbook_SBV[[#This Row],[Conv]]*(0.01^2))</f>
        <v>0</v>
      </c>
      <c r="EC35" t="s">
        <v>166</v>
      </c>
      <c r="ED35" t="s">
        <v>167</v>
      </c>
      <c r="EE35" t="s">
        <v>315</v>
      </c>
      <c r="EF35" t="s">
        <v>169</v>
      </c>
      <c r="EG35" s="35" t="s">
        <v>3350</v>
      </c>
      <c r="EH35" t="s">
        <v>3322</v>
      </c>
      <c r="EK35" s="500">
        <v>0</v>
      </c>
      <c r="EL35" s="500">
        <v>0</v>
      </c>
      <c r="EM35" s="500">
        <v>0</v>
      </c>
      <c r="EN35" s="500">
        <v>0</v>
      </c>
      <c r="EO35">
        <v>7.2</v>
      </c>
      <c r="EP35">
        <v>0</v>
      </c>
      <c r="EQ35">
        <v>0</v>
      </c>
      <c r="ER35">
        <v>-7.9999999999999996E-6</v>
      </c>
      <c r="ES35">
        <v>-2392026190.1388569</v>
      </c>
      <c r="ET35">
        <v>7.2</v>
      </c>
      <c r="EU35">
        <v>0</v>
      </c>
      <c r="EV35">
        <v>0</v>
      </c>
      <c r="EW35">
        <v>0</v>
      </c>
      <c r="EX35">
        <v>0</v>
      </c>
      <c r="EY35">
        <v>0</v>
      </c>
      <c r="EZ35">
        <v>0</v>
      </c>
      <c r="FA35">
        <v>4211000000</v>
      </c>
      <c r="FB35">
        <v>0</v>
      </c>
      <c r="FC35">
        <v>4211000000</v>
      </c>
      <c r="FD35">
        <v>4211000000</v>
      </c>
      <c r="FE35">
        <v>4211000000</v>
      </c>
      <c r="FF35">
        <v>4211000000</v>
      </c>
      <c r="FG35" s="32">
        <f>Bankingbook_SBV[[#This Row],[Mat. Date]]-RPT</f>
        <v>-3502</v>
      </c>
      <c r="FH35" s="32">
        <f>IF(Bankingbook_SBV[[#This Row],[Days]]&lt;=0,0,YEARFRAC(RPT,Bankingbook_SBV[[#This Row],[Mat. Date]],3))</f>
        <v>0</v>
      </c>
      <c r="FI35" s="32">
        <f>IF(Bankingbook_SBV[[#This Row],[Days (year)]]=0,0,INDEX(Ref!$K$2:$K$13,MATCH(Bankingbook_SBV[[#This Row],[Days (year)]],Ref!$I$2:$I$13,1)))</f>
        <v>0</v>
      </c>
      <c r="FJ35" s="32" t="str">
        <f>VLOOKUP(Bankingbook_SBV[[#This Row],[Security Name]],Ref!X:Z,3,0)</f>
        <v>TPCP</v>
      </c>
      <c r="FK35" s="32" t="str">
        <f>VLOOKUP(Bankingbook_SBV[[#This Row],[Security Name]],Ref!X:Y,2,0)</f>
        <v>KBNN</v>
      </c>
      <c r="FL35" s="72">
        <f>IF((Bankingbook_SBV[[#This Row],[Mat. Date]]-RPT)&lt;=0,0,Bankingbook_SBV[[#This Row],[QUANTITY]])</f>
        <v>0</v>
      </c>
      <c r="FM35" s="32">
        <f>IF(Bankingbook_SBV[[#This Row],[Quantity_edited]]=0,0,Bankingbook_SBV[[#This Row],[DURATION]])</f>
        <v>0</v>
      </c>
      <c r="FN35" s="32">
        <f>IF(Bankingbook_SBV[[#This Row],[Quantity_edited]]=0,0,Bankingbook_SBV[[#This Row],[Mod Dur]])</f>
        <v>0</v>
      </c>
      <c r="FO35" s="32">
        <f>IF(Bankingbook_SBV[[#This Row],[Quantity_edited]]=0,0,Bankingbook_SBV[[#This Row],[Cnvx.]])</f>
        <v>0</v>
      </c>
      <c r="FP35" s="32">
        <f>(Bankingbook_SBV[[#This Row],[MARKET_VALUE]]+Bankingbook_SBV[[#This Row],[Accr Int]]*Bankingbook_SBV[[#This Row],[Quantity_edited]])*(-Bankingbook_SBV[[#This Row],[Modified Duration]]*0.0001+0.5*Bankingbook_SBV[[#This Row],[Conv]]*(0.0001^2))</f>
        <v>0</v>
      </c>
      <c r="FQ35" s="32">
        <f>(Bankingbook_SBV[[#This Row],[MARKET_VALUE]]+Bankingbook_SBV[[#This Row],[Accr Int]]*Bankingbook_SBV[[#This Row],[Quantity_edited]])*(-Bankingbook_SBV[[#This Row],[Modified Duration]]*0.01+0.5*Bankingbook_SBV[[#This Row],[Conv]]*(0.01^2))</f>
        <v>0</v>
      </c>
      <c r="FT35" t="s">
        <v>166</v>
      </c>
      <c r="FU35" t="s">
        <v>790</v>
      </c>
      <c r="FV35" t="s">
        <v>4065</v>
      </c>
      <c r="FW35">
        <v>3335666</v>
      </c>
      <c r="FX35" s="502">
        <v>46247</v>
      </c>
      <c r="FY35" t="s">
        <v>2176</v>
      </c>
      <c r="FZ35" t="s">
        <v>812</v>
      </c>
      <c r="GA35" t="s">
        <v>3585</v>
      </c>
      <c r="GB35" t="s">
        <v>810</v>
      </c>
      <c r="GC35" t="s">
        <v>2503</v>
      </c>
      <c r="GD35" s="500">
        <v>-287535500000</v>
      </c>
      <c r="GE35">
        <v>9.9998900000000006</v>
      </c>
      <c r="GF35" s="502">
        <v>46252</v>
      </c>
      <c r="GG35" s="502">
        <v>46283</v>
      </c>
      <c r="GH35">
        <v>4.4000000000000004</v>
      </c>
      <c r="GI35" t="s">
        <v>811</v>
      </c>
      <c r="GJ35" t="s">
        <v>3321</v>
      </c>
      <c r="GK35" t="s">
        <v>3321</v>
      </c>
      <c r="GL35">
        <v>0</v>
      </c>
      <c r="GM35">
        <v>0</v>
      </c>
      <c r="GN35">
        <v>319735500000</v>
      </c>
      <c r="GO35">
        <v>10.07</v>
      </c>
      <c r="GP35">
        <v>0.08</v>
      </c>
      <c r="GQ35">
        <v>7.3999999999999996E-2</v>
      </c>
      <c r="GR35">
        <v>6.8575119999999998</v>
      </c>
      <c r="GS35">
        <v>-286969010219.31</v>
      </c>
      <c r="GT35">
        <v>566489780.69000006</v>
      </c>
      <c r="GU35" t="s">
        <v>4132</v>
      </c>
      <c r="GV35" t="s">
        <v>4132</v>
      </c>
      <c r="GW35" s="416">
        <f>FNRP_Repo[[#This Row],[Mat. Date]]-RPT</f>
        <v>31</v>
      </c>
      <c r="GX35" s="819" t="str">
        <f>IF(FNRP_Repo[[#This Row],[Days]]&lt;=0,"Mat",INDEX(Ref!U:U,MATCH(FNRP_Repo[[#This Row],[Days]],Ref!S:S,1)))</f>
        <v>2M</v>
      </c>
      <c r="GY35" s="417">
        <f>RIGHT(FNRP_Repo[[#This Row],[Deal Id]],5)+0</f>
        <v>18119</v>
      </c>
    </row>
    <row r="36" spans="2:207" x14ac:dyDescent="0.3">
      <c r="B36" t="s">
        <v>166</v>
      </c>
      <c r="C36" t="s">
        <v>167</v>
      </c>
      <c r="D36" t="s">
        <v>208</v>
      </c>
      <c r="E36" t="s">
        <v>169</v>
      </c>
      <c r="F36" s="502">
        <v>42020</v>
      </c>
      <c r="G36" t="s">
        <v>3322</v>
      </c>
      <c r="H36"/>
      <c r="I36"/>
      <c r="J36" s="38">
        <v>0</v>
      </c>
      <c r="K36">
        <v>0</v>
      </c>
      <c r="L36">
        <v>0</v>
      </c>
      <c r="M36" s="38">
        <v>0</v>
      </c>
      <c r="N36">
        <v>12.1</v>
      </c>
      <c r="O36">
        <v>0</v>
      </c>
      <c r="P36" s="37">
        <v>7562500000</v>
      </c>
      <c r="Q36" s="37">
        <v>8018109114.5833263</v>
      </c>
      <c r="R36" s="37">
        <v>-4240681568.1533489</v>
      </c>
      <c r="S36">
        <v>12.1</v>
      </c>
      <c r="T36" s="70">
        <v>0</v>
      </c>
      <c r="U36">
        <v>0</v>
      </c>
      <c r="V36">
        <v>0</v>
      </c>
      <c r="W36">
        <v>0</v>
      </c>
      <c r="X36" s="38">
        <v>0</v>
      </c>
      <c r="Y36">
        <v>0</v>
      </c>
      <c r="Z36" s="70">
        <v>3974175000</v>
      </c>
      <c r="AA36" s="70">
        <v>0</v>
      </c>
      <c r="AB36" s="70">
        <v>3974175000</v>
      </c>
      <c r="AC36" s="70">
        <v>3974175000</v>
      </c>
      <c r="AD36" s="70">
        <v>3974175000</v>
      </c>
      <c r="AE36" s="70">
        <v>3974175000</v>
      </c>
      <c r="AF36">
        <v>0</v>
      </c>
      <c r="AG36" s="72">
        <f>Tradingbook_MSB[[#This Row],[Mat. Date]]-RPT</f>
        <v>-4232</v>
      </c>
      <c r="AH36" s="71">
        <f>IF(Tradingbook_MSB[[#This Row],[Days]]&lt;=0,0,YEARFRAC(RPT,Tradingbook_MSB[[#This Row],[Mat. Date]],3))</f>
        <v>0</v>
      </c>
      <c r="AI36" s="71">
        <f>IF(Tradingbook_MSB[[#This Row],[Days (year)]]=0,0,INDEX(Ref!$K$2:$K$13,MATCH(Tradingbook_MSB[[#This Row],[Days (year)]],Ref!$I$2:$I$13,1)))</f>
        <v>0</v>
      </c>
      <c r="AJ36" s="120" t="str">
        <f>VLOOKUP(Tradingbook_MSB[[#This Row],[Security Name]],Ref!X:Z,3,0)</f>
        <v>TPCP</v>
      </c>
      <c r="AK36" s="120" t="str">
        <f>VLOOKUP(Tradingbook_MSB[[#This Row],[Security Name]],Ref!X:Y,2,0)</f>
        <v>KBNN</v>
      </c>
      <c r="AL36" s="71">
        <f>IF((Tradingbook_MSB[[#This Row],[Mat. Date]]-RPT)&lt;=0,0,Tradingbook_MSB[[#This Row],[QUANTITY]])</f>
        <v>0</v>
      </c>
      <c r="AM36" s="71">
        <f>IF(Tradingbook_MSB[[#This Row],[Quantity_edited]]=0,0,Tradingbook_MSB[[#This Row],[DURATION]])</f>
        <v>0</v>
      </c>
      <c r="AN36" s="71">
        <f>IF(Tradingbook_MSB[[#This Row],[Quantity_edited]]=0,0,Tradingbook_MSB[[#This Row],[Mod Dur]])</f>
        <v>0</v>
      </c>
      <c r="AO36" s="71">
        <f>IF(Tradingbook_MSB[[#This Row],[Quantity_edited]]=0,0,Tradingbook_MSB[[#This Row],[Cnvx.]])</f>
        <v>0</v>
      </c>
      <c r="AP36" s="71">
        <f>(Tradingbook_MSB[[#This Row],[MARKET_VALUE]]+Tradingbook_MSB[[#This Row],[Accr Int]]*Tradingbook_MSB[[#This Row],[Quantity_edited]])*(-Tradingbook_MSB[[#This Row],[Modified Duration]]*0.0001+0.5*Tradingbook_MSB[[#This Row],[Conv]]*(0.0001^2))</f>
        <v>0</v>
      </c>
      <c r="AQ36" s="72">
        <f>(Tradingbook_MSB[[#This Row],[MARKET_VALUE]]+Tradingbook_MSB[[#This Row],[Accr Int]]*Tradingbook_MSB[[#This Row],[Quantity_edited]])*(-Tradingbook_MSB[[#This Row],[Modified Duration]]*0.01+0.5*Tradingbook_MSB[[#This Row],[Conv]]*(0.01^2))</f>
        <v>0</v>
      </c>
      <c r="AR36" s="71"/>
      <c r="AT36" t="s">
        <v>166</v>
      </c>
      <c r="AU36" t="s">
        <v>167</v>
      </c>
      <c r="AV36" t="s">
        <v>318</v>
      </c>
      <c r="AW36" t="s">
        <v>169</v>
      </c>
      <c r="AX36" t="s">
        <v>3351</v>
      </c>
      <c r="AY36" t="s">
        <v>3322</v>
      </c>
      <c r="BB36" s="49">
        <v>0</v>
      </c>
      <c r="BC36">
        <v>0</v>
      </c>
      <c r="BD36">
        <v>0</v>
      </c>
      <c r="BE36" s="37">
        <v>0</v>
      </c>
      <c r="BF36">
        <v>12.25</v>
      </c>
      <c r="BG36">
        <v>0</v>
      </c>
      <c r="BH36" s="34">
        <v>20614300000</v>
      </c>
      <c r="BI36">
        <v>22382009012.805531</v>
      </c>
      <c r="BJ36">
        <v>-6798809875.8651657</v>
      </c>
      <c r="BK36">
        <v>12.25</v>
      </c>
      <c r="BL36">
        <v>0</v>
      </c>
      <c r="BM36">
        <v>0</v>
      </c>
      <c r="BN36">
        <v>0</v>
      </c>
      <c r="BO36">
        <v>0</v>
      </c>
      <c r="BP36">
        <v>0</v>
      </c>
      <c r="BQ36">
        <v>0</v>
      </c>
      <c r="BR36">
        <v>-56067399.999984741</v>
      </c>
      <c r="BS36">
        <v>0</v>
      </c>
      <c r="BT36">
        <v>-56067399.999984697</v>
      </c>
      <c r="BU36">
        <v>-56067399.999984697</v>
      </c>
      <c r="BV36">
        <v>-56067400</v>
      </c>
      <c r="BW36">
        <v>-56067399.999984697</v>
      </c>
      <c r="BX36">
        <v>0</v>
      </c>
      <c r="BY36" s="32">
        <f>Bankingbook_MSB[[#This Row],[Mat. Date]]-RPT</f>
        <v>-3476</v>
      </c>
      <c r="BZ36" s="71">
        <f>IF(Bankingbook_MSB[[#This Row],[Days]]&lt;=0,0,YEARFRAC(RPT,Bankingbook_MSB[[#This Row],[Mat. Date]],3))</f>
        <v>0</v>
      </c>
      <c r="CA36" s="71">
        <f>IF(Bankingbook_MSB[[#This Row],[Days (year)]]=0,0,INDEX(Ref!$K$2:$K$13,MATCH(Bankingbook_MSB[[#This Row],[Days (year)]],Ref!$I$2:$I$13,1)))</f>
        <v>0</v>
      </c>
      <c r="CB36" s="32" t="str">
        <f>VLOOKUP(Bankingbook_MSB[[#This Row],[Security Name]],Ref!X:Z,3,0)</f>
        <v>TPCPBL</v>
      </c>
      <c r="CC36" s="32" t="str">
        <f>VLOOKUP(Bankingbook_MSB[[#This Row],[Security Name]],Ref!X:Y,2,0)</f>
        <v>VDB</v>
      </c>
      <c r="CD36" s="72">
        <f>IF((Bankingbook_MSB[[#This Row],[Mat. Date]]-RPT)&lt;=0,0,Bankingbook_MSB[[#This Row],[QUANTITY]])</f>
        <v>0</v>
      </c>
      <c r="CE36" s="71">
        <f>IF(Bankingbook_MSB[[#This Row],[Quantity_edited]]=0,0,Bankingbook_MSB[[#This Row],[DURATION]])</f>
        <v>0</v>
      </c>
      <c r="CF36" s="71">
        <f>IF(Bankingbook_MSB[[#This Row],[Quantity_edited]]=0,0,Bankingbook_MSB[[#This Row],[Mod Dur]])</f>
        <v>0</v>
      </c>
      <c r="CG36" s="71">
        <f>IF(Bankingbook_MSB[[#This Row],[Quantity_edited]]=0,0,Bankingbook_MSB[[#This Row],[Cnvx.]])</f>
        <v>0</v>
      </c>
      <c r="CH36" s="71">
        <f>(Bankingbook_MSB[[#This Row],[MARKET_VALUE]]+Bankingbook_MSB[[#This Row],[Accr Int]]*Bankingbook_MSB[[#This Row],[Quantity_edited]])*(-Bankingbook_MSB[[#This Row],[Modified Duration]]*0.0001+0.5*Bankingbook_MSB[[#This Row],[Conv]]*(0.0001^2))</f>
        <v>0</v>
      </c>
      <c r="CI36" s="71">
        <f>(Bankingbook_MSB[[#This Row],[MARKET_VALUE]]+Bankingbook_MSB[[#This Row],[Accr Int]]*Bankingbook_MSB[[#This Row],[Quantity_edited]])*(-Bankingbook_MSB[[#This Row],[Modified Duration]]*0.01+0.5*Bankingbook_MSB[[#This Row],[Conv]]*(0.01^2))</f>
        <v>0</v>
      </c>
      <c r="CJ36" s="32"/>
      <c r="CL36" t="s">
        <v>166</v>
      </c>
      <c r="CM36" t="s">
        <v>167</v>
      </c>
      <c r="CN36" t="s">
        <v>208</v>
      </c>
      <c r="CO36" t="s">
        <v>169</v>
      </c>
      <c r="CP36" s="35">
        <v>42020</v>
      </c>
      <c r="CQ36" t="s">
        <v>3322</v>
      </c>
      <c r="CR36" t="s">
        <v>174</v>
      </c>
      <c r="CS36" t="s">
        <v>174</v>
      </c>
      <c r="CT36" s="49">
        <v>0</v>
      </c>
      <c r="CU36">
        <v>0</v>
      </c>
      <c r="CV36">
        <v>0</v>
      </c>
      <c r="CW36" s="70">
        <v>0</v>
      </c>
      <c r="CX36">
        <v>12.1</v>
      </c>
      <c r="CY36">
        <v>0</v>
      </c>
      <c r="CZ36">
        <v>7562500000</v>
      </c>
      <c r="DA36">
        <v>8018109114.5833263</v>
      </c>
      <c r="DB36">
        <v>-4240681568.1533489</v>
      </c>
      <c r="DC36">
        <v>12.1</v>
      </c>
      <c r="DD36">
        <v>0</v>
      </c>
      <c r="DE36">
        <v>0</v>
      </c>
      <c r="DF36">
        <v>0</v>
      </c>
      <c r="DG36">
        <v>0</v>
      </c>
      <c r="DH36">
        <v>0</v>
      </c>
      <c r="DI36">
        <v>0</v>
      </c>
      <c r="DJ36" s="500">
        <v>3974175000</v>
      </c>
      <c r="DK36" s="500">
        <v>0</v>
      </c>
      <c r="DL36" s="37">
        <v>3974175000</v>
      </c>
      <c r="DM36" s="37">
        <v>3974175000</v>
      </c>
      <c r="DN36" s="37">
        <v>3974175000</v>
      </c>
      <c r="DO36" s="37">
        <v>3974175000</v>
      </c>
      <c r="DP36" s="32">
        <f>Tradingbook_SBV[[#This Row],[Mat. Date]]-RPT</f>
        <v>-4232</v>
      </c>
      <c r="DQ36" s="32">
        <f>IF(Tradingbook_SBV[[#This Row],[Days]]&lt;=0,0,YEARFRAC(RPT,Tradingbook_SBV[[#This Row],[Mat. Date]],3))</f>
        <v>0</v>
      </c>
      <c r="DR36" s="32">
        <f>IF(Tradingbook_SBV[[#This Row],[Days (year)]]=0,0,INDEX(Ref!$K$2:$K$13,MATCH(Tradingbook_SBV[[#This Row],[Days (year)]],Ref!$I$2:$I$13,1)))</f>
        <v>0</v>
      </c>
      <c r="DS36" s="32" t="str">
        <f>VLOOKUP(Tradingbook_SBV[[#This Row],[Security Name]],Ref!X:Z,3,0)</f>
        <v>TPCP</v>
      </c>
      <c r="DT36" s="32" t="str">
        <f>VLOOKUP(Tradingbook_SBV[[#This Row],[Security Name]],Ref!X:Y,2,0)</f>
        <v>KBNN</v>
      </c>
      <c r="DU36" s="71">
        <f>IF((Tradingbook_SBV[[#This Row],[Mat. Date]]-RPT)&lt;=0,0,Tradingbook_SBV[[#This Row],[QUANTITY]])</f>
        <v>0</v>
      </c>
      <c r="DV36" s="71">
        <f>IF(Tradingbook_SBV[[#This Row],[Quantity_edited]]=0,0,Tradingbook_SBV[[#This Row],[DURATION]])</f>
        <v>0</v>
      </c>
      <c r="DW36" s="71">
        <f>IF(Tradingbook_SBV[[#This Row],[Quantity_edited]]=0,0,Tradingbook_SBV[[#This Row],[Mod Dur]])</f>
        <v>0</v>
      </c>
      <c r="DX36" s="71">
        <f>IF(Tradingbook_SBV[[#This Row],[Quantity_edited]]=0,0,Tradingbook_SBV[[#This Row],[Cnvx.]])</f>
        <v>0</v>
      </c>
      <c r="DY36" s="71">
        <f>(Tradingbook_SBV[[#This Row],[MARKET_VALUE]]+Tradingbook_SBV[[#This Row],[Accr Int]]*Tradingbook_SBV[[#This Row],[Quantity_edited]])*(-Tradingbook_SBV[[#This Row],[Modified Duration]]*0.0001+0.5*Tradingbook_SBV[[#This Row],[Conv]]*(0.0001^2))</f>
        <v>0</v>
      </c>
      <c r="DZ36" s="71">
        <f>(Tradingbook_SBV[[#This Row],[MARKET_VALUE]]+Tradingbook_SBV[[#This Row],[Accr Int]]*Tradingbook_SBV[[#This Row],[Quantity_edited]])*(-Tradingbook_SBV[[#This Row],[Modified Duration]]*0.01+0.5*Tradingbook_SBV[[#This Row],[Conv]]*(0.01^2))</f>
        <v>0</v>
      </c>
      <c r="EC36" t="s">
        <v>166</v>
      </c>
      <c r="ED36" t="s">
        <v>167</v>
      </c>
      <c r="EE36" t="s">
        <v>318</v>
      </c>
      <c r="EF36" t="s">
        <v>169</v>
      </c>
      <c r="EG36" s="35" t="s">
        <v>3351</v>
      </c>
      <c r="EH36" t="s">
        <v>3322</v>
      </c>
      <c r="EK36" s="500">
        <v>0</v>
      </c>
      <c r="EL36" s="500">
        <v>0</v>
      </c>
      <c r="EM36" s="500">
        <v>0</v>
      </c>
      <c r="EN36" s="500">
        <v>0</v>
      </c>
      <c r="EO36">
        <v>12.25</v>
      </c>
      <c r="EP36">
        <v>0</v>
      </c>
      <c r="EQ36">
        <v>20614300000</v>
      </c>
      <c r="ER36">
        <v>22382009012.805531</v>
      </c>
      <c r="ES36">
        <v>-6798809875.8651657</v>
      </c>
      <c r="ET36">
        <v>12.25</v>
      </c>
      <c r="EU36">
        <v>0</v>
      </c>
      <c r="EV36">
        <v>0</v>
      </c>
      <c r="EW36">
        <v>0</v>
      </c>
      <c r="EX36">
        <v>0</v>
      </c>
      <c r="EY36">
        <v>0</v>
      </c>
      <c r="EZ36">
        <v>0</v>
      </c>
      <c r="FA36">
        <v>-56067399.999984741</v>
      </c>
      <c r="FB36">
        <v>0</v>
      </c>
      <c r="FC36">
        <v>-56067399.999984697</v>
      </c>
      <c r="FD36">
        <v>-56067399.999984697</v>
      </c>
      <c r="FE36">
        <v>-56067400</v>
      </c>
      <c r="FF36">
        <v>-56067399.999984697</v>
      </c>
      <c r="FG36" s="32">
        <f>Bankingbook_SBV[[#This Row],[Mat. Date]]-RPT</f>
        <v>-3476</v>
      </c>
      <c r="FH36" s="32">
        <f>IF(Bankingbook_SBV[[#This Row],[Days]]&lt;=0,0,YEARFRAC(RPT,Bankingbook_SBV[[#This Row],[Mat. Date]],3))</f>
        <v>0</v>
      </c>
      <c r="FI36" s="32">
        <f>IF(Bankingbook_SBV[[#This Row],[Days (year)]]=0,0,INDEX(Ref!$K$2:$K$13,MATCH(Bankingbook_SBV[[#This Row],[Days (year)]],Ref!$I$2:$I$13,1)))</f>
        <v>0</v>
      </c>
      <c r="FJ36" s="32" t="str">
        <f>VLOOKUP(Bankingbook_SBV[[#This Row],[Security Name]],Ref!X:Z,3,0)</f>
        <v>TPCPBL</v>
      </c>
      <c r="FK36" s="32" t="str">
        <f>VLOOKUP(Bankingbook_SBV[[#This Row],[Security Name]],Ref!X:Y,2,0)</f>
        <v>VDB</v>
      </c>
      <c r="FL36" s="72">
        <f>IF((Bankingbook_SBV[[#This Row],[Mat. Date]]-RPT)&lt;=0,0,Bankingbook_SBV[[#This Row],[QUANTITY]])</f>
        <v>0</v>
      </c>
      <c r="FM36" s="32">
        <f>IF(Bankingbook_SBV[[#This Row],[Quantity_edited]]=0,0,Bankingbook_SBV[[#This Row],[DURATION]])</f>
        <v>0</v>
      </c>
      <c r="FN36" s="32">
        <f>IF(Bankingbook_SBV[[#This Row],[Quantity_edited]]=0,0,Bankingbook_SBV[[#This Row],[Mod Dur]])</f>
        <v>0</v>
      </c>
      <c r="FO36" s="32">
        <f>IF(Bankingbook_SBV[[#This Row],[Quantity_edited]]=0,0,Bankingbook_SBV[[#This Row],[Cnvx.]])</f>
        <v>0</v>
      </c>
      <c r="FP36" s="32">
        <f>(Bankingbook_SBV[[#This Row],[MARKET_VALUE]]+Bankingbook_SBV[[#This Row],[Accr Int]]*Bankingbook_SBV[[#This Row],[Quantity_edited]])*(-Bankingbook_SBV[[#This Row],[Modified Duration]]*0.0001+0.5*Bankingbook_SBV[[#This Row],[Conv]]*(0.0001^2))</f>
        <v>0</v>
      </c>
      <c r="FQ36" s="32">
        <f>(Bankingbook_SBV[[#This Row],[MARKET_VALUE]]+Bankingbook_SBV[[#This Row],[Accr Int]]*Bankingbook_SBV[[#This Row],[Quantity_edited]])*(-Bankingbook_SBV[[#This Row],[Modified Duration]]*0.01+0.5*Bankingbook_SBV[[#This Row],[Conv]]*(0.01^2))</f>
        <v>0</v>
      </c>
      <c r="FT36" t="s">
        <v>166</v>
      </c>
      <c r="FU36" t="s">
        <v>790</v>
      </c>
      <c r="FV36" t="s">
        <v>4013</v>
      </c>
      <c r="FW36">
        <v>3307851</v>
      </c>
      <c r="FX36" s="502">
        <v>46217</v>
      </c>
      <c r="FY36" t="s">
        <v>2176</v>
      </c>
      <c r="FZ36" t="s">
        <v>812</v>
      </c>
      <c r="GA36" t="s">
        <v>3585</v>
      </c>
      <c r="GB36" t="s">
        <v>810</v>
      </c>
      <c r="GC36" t="s">
        <v>2741</v>
      </c>
      <c r="GD36" s="500">
        <v>-152538000000</v>
      </c>
      <c r="GE36">
        <v>9.9996460000000003</v>
      </c>
      <c r="GF36" s="502">
        <v>46219</v>
      </c>
      <c r="GG36" s="502">
        <v>46283</v>
      </c>
      <c r="GH36">
        <v>4.5999999999999996</v>
      </c>
      <c r="GI36" t="s">
        <v>811</v>
      </c>
      <c r="GJ36" t="s">
        <v>3321</v>
      </c>
      <c r="GK36" t="s">
        <v>3321</v>
      </c>
      <c r="GL36">
        <v>674556933.33000004</v>
      </c>
      <c r="GM36">
        <v>-634390915.07000005</v>
      </c>
      <c r="GN36">
        <v>170230000000</v>
      </c>
      <c r="GO36">
        <v>10.39</v>
      </c>
      <c r="GP36">
        <v>0.08</v>
      </c>
      <c r="GQ36">
        <v>7.3999999999999996E-2</v>
      </c>
      <c r="GR36">
        <v>6.8575119999999998</v>
      </c>
      <c r="GS36">
        <v>-152894023424.35001</v>
      </c>
      <c r="GT36">
        <v>-356023424.35000002</v>
      </c>
      <c r="GU36" t="s">
        <v>4133</v>
      </c>
      <c r="GV36" t="s">
        <v>4133</v>
      </c>
      <c r="GW36" s="416">
        <f>FNRP_Repo[[#This Row],[Mat. Date]]-RPT</f>
        <v>31</v>
      </c>
      <c r="GX36" s="819" t="str">
        <f>IF(FNRP_Repo[[#This Row],[Days]]&lt;=0,"Mat",INDEX(Ref!U:U,MATCH(FNRP_Repo[[#This Row],[Days]],Ref!S:S,1)))</f>
        <v>2M</v>
      </c>
      <c r="GY36" s="417">
        <f>RIGHT(FNRP_Repo[[#This Row],[Deal Id]],5)+0</f>
        <v>18026</v>
      </c>
    </row>
    <row r="37" spans="2:207" x14ac:dyDescent="0.3">
      <c r="B37" t="s">
        <v>166</v>
      </c>
      <c r="C37" t="s">
        <v>167</v>
      </c>
      <c r="D37" t="s">
        <v>209</v>
      </c>
      <c r="E37" t="s">
        <v>169</v>
      </c>
      <c r="F37" s="502">
        <v>42029</v>
      </c>
      <c r="G37" t="s">
        <v>3322</v>
      </c>
      <c r="H37"/>
      <c r="I37"/>
      <c r="J37" s="38">
        <v>0</v>
      </c>
      <c r="K37">
        <v>0</v>
      </c>
      <c r="L37">
        <v>0</v>
      </c>
      <c r="M37" s="38">
        <v>0</v>
      </c>
      <c r="N37">
        <v>8.6999999999999993</v>
      </c>
      <c r="O37">
        <v>0</v>
      </c>
      <c r="P37" s="37">
        <v>3480000000</v>
      </c>
      <c r="Q37" s="37">
        <v>3578237500</v>
      </c>
      <c r="R37" s="37">
        <v>-727835798.88888884</v>
      </c>
      <c r="S37">
        <v>8.6999999999999993</v>
      </c>
      <c r="T37" s="70">
        <v>0</v>
      </c>
      <c r="U37">
        <v>0</v>
      </c>
      <c r="V37">
        <v>0</v>
      </c>
      <c r="W37">
        <v>0</v>
      </c>
      <c r="X37" s="38">
        <v>0</v>
      </c>
      <c r="Y37">
        <v>0</v>
      </c>
      <c r="Z37" s="70">
        <v>462400000</v>
      </c>
      <c r="AA37" s="70">
        <v>0</v>
      </c>
      <c r="AB37" s="70">
        <v>462400000</v>
      </c>
      <c r="AC37" s="70">
        <v>462400000</v>
      </c>
      <c r="AD37" s="70">
        <v>462400000</v>
      </c>
      <c r="AE37" s="70">
        <v>462400000</v>
      </c>
      <c r="AF37">
        <v>0</v>
      </c>
      <c r="AG37" s="72">
        <f>Tradingbook_MSB[[#This Row],[Mat. Date]]-RPT</f>
        <v>-4223</v>
      </c>
      <c r="AH37" s="71">
        <f>IF(Tradingbook_MSB[[#This Row],[Days]]&lt;=0,0,YEARFRAC(RPT,Tradingbook_MSB[[#This Row],[Mat. Date]],3))</f>
        <v>0</v>
      </c>
      <c r="AI37" s="71">
        <f>IF(Tradingbook_MSB[[#This Row],[Days (year)]]=0,0,INDEX(Ref!$K$2:$K$13,MATCH(Tradingbook_MSB[[#This Row],[Days (year)]],Ref!$I$2:$I$13,1)))</f>
        <v>0</v>
      </c>
      <c r="AJ37" s="120" t="str">
        <f>VLOOKUP(Tradingbook_MSB[[#This Row],[Security Name]],Ref!X:Z,3,0)</f>
        <v>TPCP</v>
      </c>
      <c r="AK37" s="120" t="str">
        <f>VLOOKUP(Tradingbook_MSB[[#This Row],[Security Name]],Ref!X:Y,2,0)</f>
        <v>VDB</v>
      </c>
      <c r="AL37" s="71">
        <f>IF((Tradingbook_MSB[[#This Row],[Mat. Date]]-RPT)&lt;=0,0,Tradingbook_MSB[[#This Row],[QUANTITY]])</f>
        <v>0</v>
      </c>
      <c r="AM37" s="71">
        <f>IF(Tradingbook_MSB[[#This Row],[Quantity_edited]]=0,0,Tradingbook_MSB[[#This Row],[DURATION]])</f>
        <v>0</v>
      </c>
      <c r="AN37" s="71">
        <f>IF(Tradingbook_MSB[[#This Row],[Quantity_edited]]=0,0,Tradingbook_MSB[[#This Row],[Mod Dur]])</f>
        <v>0</v>
      </c>
      <c r="AO37" s="71">
        <f>IF(Tradingbook_MSB[[#This Row],[Quantity_edited]]=0,0,Tradingbook_MSB[[#This Row],[Cnvx.]])</f>
        <v>0</v>
      </c>
      <c r="AP37" s="71">
        <f>(Tradingbook_MSB[[#This Row],[MARKET_VALUE]]+Tradingbook_MSB[[#This Row],[Accr Int]]*Tradingbook_MSB[[#This Row],[Quantity_edited]])*(-Tradingbook_MSB[[#This Row],[Modified Duration]]*0.0001+0.5*Tradingbook_MSB[[#This Row],[Conv]]*(0.0001^2))</f>
        <v>0</v>
      </c>
      <c r="AQ37" s="72">
        <f>(Tradingbook_MSB[[#This Row],[MARKET_VALUE]]+Tradingbook_MSB[[#This Row],[Accr Int]]*Tradingbook_MSB[[#This Row],[Quantity_edited]])*(-Tradingbook_MSB[[#This Row],[Modified Duration]]*0.01+0.5*Tradingbook_MSB[[#This Row],[Conv]]*(0.01^2))</f>
        <v>0</v>
      </c>
      <c r="AR37" s="71"/>
      <c r="AT37" t="s">
        <v>166</v>
      </c>
      <c r="AU37" t="s">
        <v>167</v>
      </c>
      <c r="AV37" t="s">
        <v>319</v>
      </c>
      <c r="AW37" t="s">
        <v>169</v>
      </c>
      <c r="AX37" t="s">
        <v>3352</v>
      </c>
      <c r="AY37" t="s">
        <v>170</v>
      </c>
      <c r="BB37" s="49">
        <v>1500000</v>
      </c>
      <c r="BC37">
        <v>150000000000</v>
      </c>
      <c r="BD37">
        <v>102163.667</v>
      </c>
      <c r="BE37" s="37">
        <v>0</v>
      </c>
      <c r="BF37">
        <v>6.9</v>
      </c>
      <c r="BG37">
        <v>0</v>
      </c>
      <c r="BH37" s="34">
        <v>31050000000</v>
      </c>
      <c r="BI37">
        <v>31963364500</v>
      </c>
      <c r="BJ37">
        <v>-14807573144.108898</v>
      </c>
      <c r="BK37">
        <v>6.9</v>
      </c>
      <c r="BL37">
        <v>0</v>
      </c>
      <c r="BM37">
        <v>0</v>
      </c>
      <c r="BN37">
        <v>0</v>
      </c>
      <c r="BO37">
        <v>0</v>
      </c>
      <c r="BP37">
        <v>0</v>
      </c>
      <c r="BQ37">
        <v>0</v>
      </c>
      <c r="BR37">
        <v>-3103000000.0000072</v>
      </c>
      <c r="BS37">
        <v>0</v>
      </c>
      <c r="BT37">
        <v>-3103000000.0000072</v>
      </c>
      <c r="BU37">
        <v>-3103000000.0000072</v>
      </c>
      <c r="BV37">
        <v>-3103000000</v>
      </c>
      <c r="BW37">
        <v>-3103000000.0000072</v>
      </c>
      <c r="BX37">
        <v>5.9766666669999999</v>
      </c>
      <c r="BY37" s="32">
        <f>Bankingbook_MSB[[#This Row],[Mat. Date]]-RPT</f>
        <v>-3471</v>
      </c>
      <c r="BZ37" s="71">
        <f>IF(Bankingbook_MSB[[#This Row],[Days]]&lt;=0,0,YEARFRAC(RPT,Bankingbook_MSB[[#This Row],[Mat. Date]],3))</f>
        <v>0</v>
      </c>
      <c r="CA37" s="71">
        <f>IF(Bankingbook_MSB[[#This Row],[Days (year)]]=0,0,INDEX(Ref!$K$2:$K$13,MATCH(Bankingbook_MSB[[#This Row],[Days (year)]],Ref!$I$2:$I$13,1)))</f>
        <v>0</v>
      </c>
      <c r="CB37" s="32" t="str">
        <f>VLOOKUP(Bankingbook_MSB[[#This Row],[Security Name]],Ref!X:Z,3,0)</f>
        <v>TPCP</v>
      </c>
      <c r="CC37" s="32" t="str">
        <f>VLOOKUP(Bankingbook_MSB[[#This Row],[Security Name]],Ref!X:Y,2,0)</f>
        <v>KBNN</v>
      </c>
      <c r="CD37" s="72">
        <f>IF((Bankingbook_MSB[[#This Row],[Mat. Date]]-RPT)&lt;=0,0,Bankingbook_MSB[[#This Row],[QUANTITY]])</f>
        <v>0</v>
      </c>
      <c r="CE37" s="71">
        <f>IF(Bankingbook_MSB[[#This Row],[Quantity_edited]]=0,0,Bankingbook_MSB[[#This Row],[DURATION]])</f>
        <v>0</v>
      </c>
      <c r="CF37" s="71">
        <f>IF(Bankingbook_MSB[[#This Row],[Quantity_edited]]=0,0,Bankingbook_MSB[[#This Row],[Mod Dur]])</f>
        <v>0</v>
      </c>
      <c r="CG37" s="71">
        <f>IF(Bankingbook_MSB[[#This Row],[Quantity_edited]]=0,0,Bankingbook_MSB[[#This Row],[Cnvx.]])</f>
        <v>0</v>
      </c>
      <c r="CH37" s="71">
        <f>(Bankingbook_MSB[[#This Row],[MARKET_VALUE]]+Bankingbook_MSB[[#This Row],[Accr Int]]*Bankingbook_MSB[[#This Row],[Quantity_edited]])*(-Bankingbook_MSB[[#This Row],[Modified Duration]]*0.0001+0.5*Bankingbook_MSB[[#This Row],[Conv]]*(0.0001^2))</f>
        <v>0</v>
      </c>
      <c r="CI37" s="71">
        <f>(Bankingbook_MSB[[#This Row],[MARKET_VALUE]]+Bankingbook_MSB[[#This Row],[Accr Int]]*Bankingbook_MSB[[#This Row],[Quantity_edited]])*(-Bankingbook_MSB[[#This Row],[Modified Duration]]*0.01+0.5*Bankingbook_MSB[[#This Row],[Conv]]*(0.01^2))</f>
        <v>0</v>
      </c>
      <c r="CJ37" s="32"/>
      <c r="CL37" t="s">
        <v>166</v>
      </c>
      <c r="CM37" t="s">
        <v>167</v>
      </c>
      <c r="CN37" t="s">
        <v>209</v>
      </c>
      <c r="CO37" t="s">
        <v>169</v>
      </c>
      <c r="CP37" s="35">
        <v>42029</v>
      </c>
      <c r="CQ37" t="s">
        <v>3322</v>
      </c>
      <c r="CR37" t="s">
        <v>174</v>
      </c>
      <c r="CS37" t="s">
        <v>174</v>
      </c>
      <c r="CT37" s="49">
        <v>0</v>
      </c>
      <c r="CU37">
        <v>0</v>
      </c>
      <c r="CV37">
        <v>0</v>
      </c>
      <c r="CW37" s="70">
        <v>0</v>
      </c>
      <c r="CX37">
        <v>8.6999999999999993</v>
      </c>
      <c r="CY37">
        <v>0</v>
      </c>
      <c r="CZ37">
        <v>3480000000</v>
      </c>
      <c r="DA37">
        <v>3578237500</v>
      </c>
      <c r="DB37">
        <v>-727835798.88888884</v>
      </c>
      <c r="DC37">
        <v>8.6999999999999993</v>
      </c>
      <c r="DD37">
        <v>0</v>
      </c>
      <c r="DE37">
        <v>0</v>
      </c>
      <c r="DF37">
        <v>0</v>
      </c>
      <c r="DG37">
        <v>0</v>
      </c>
      <c r="DH37">
        <v>0</v>
      </c>
      <c r="DI37">
        <v>0</v>
      </c>
      <c r="DJ37" s="500">
        <v>462400000</v>
      </c>
      <c r="DK37" s="500">
        <v>0</v>
      </c>
      <c r="DL37" s="37">
        <v>462400000</v>
      </c>
      <c r="DM37" s="37">
        <v>462400000</v>
      </c>
      <c r="DN37" s="37">
        <v>462400000</v>
      </c>
      <c r="DO37" s="37">
        <v>462400000</v>
      </c>
      <c r="DP37" s="32">
        <f>Tradingbook_SBV[[#This Row],[Mat. Date]]-RPT</f>
        <v>-4223</v>
      </c>
      <c r="DQ37" s="32">
        <f>IF(Tradingbook_SBV[[#This Row],[Days]]&lt;=0,0,YEARFRAC(RPT,Tradingbook_SBV[[#This Row],[Mat. Date]],3))</f>
        <v>0</v>
      </c>
      <c r="DR37" s="32">
        <f>IF(Tradingbook_SBV[[#This Row],[Days (year)]]=0,0,INDEX(Ref!$K$2:$K$13,MATCH(Tradingbook_SBV[[#This Row],[Days (year)]],Ref!$I$2:$I$13,1)))</f>
        <v>0</v>
      </c>
      <c r="DS37" s="32" t="str">
        <f>VLOOKUP(Tradingbook_SBV[[#This Row],[Security Name]],Ref!X:Z,3,0)</f>
        <v>TPCP</v>
      </c>
      <c r="DT37" s="32" t="str">
        <f>VLOOKUP(Tradingbook_SBV[[#This Row],[Security Name]],Ref!X:Y,2,0)</f>
        <v>VDB</v>
      </c>
      <c r="DU37" s="71">
        <f>IF((Tradingbook_SBV[[#This Row],[Mat. Date]]-RPT)&lt;=0,0,Tradingbook_SBV[[#This Row],[QUANTITY]])</f>
        <v>0</v>
      </c>
      <c r="DV37" s="71">
        <f>IF(Tradingbook_SBV[[#This Row],[Quantity_edited]]=0,0,Tradingbook_SBV[[#This Row],[DURATION]])</f>
        <v>0</v>
      </c>
      <c r="DW37" s="71">
        <f>IF(Tradingbook_SBV[[#This Row],[Quantity_edited]]=0,0,Tradingbook_SBV[[#This Row],[Mod Dur]])</f>
        <v>0</v>
      </c>
      <c r="DX37" s="71">
        <f>IF(Tradingbook_SBV[[#This Row],[Quantity_edited]]=0,0,Tradingbook_SBV[[#This Row],[Cnvx.]])</f>
        <v>0</v>
      </c>
      <c r="DY37" s="71">
        <f>(Tradingbook_SBV[[#This Row],[MARKET_VALUE]]+Tradingbook_SBV[[#This Row],[Accr Int]]*Tradingbook_SBV[[#This Row],[Quantity_edited]])*(-Tradingbook_SBV[[#This Row],[Modified Duration]]*0.0001+0.5*Tradingbook_SBV[[#This Row],[Conv]]*(0.0001^2))</f>
        <v>0</v>
      </c>
      <c r="DZ37" s="71">
        <f>(Tradingbook_SBV[[#This Row],[MARKET_VALUE]]+Tradingbook_SBV[[#This Row],[Accr Int]]*Tradingbook_SBV[[#This Row],[Quantity_edited]])*(-Tradingbook_SBV[[#This Row],[Modified Duration]]*0.01+0.5*Tradingbook_SBV[[#This Row],[Conv]]*(0.01^2))</f>
        <v>0</v>
      </c>
      <c r="EC37" t="s">
        <v>166</v>
      </c>
      <c r="ED37" t="s">
        <v>167</v>
      </c>
      <c r="EE37" t="s">
        <v>319</v>
      </c>
      <c r="EF37" t="s">
        <v>169</v>
      </c>
      <c r="EG37" s="35" t="s">
        <v>3352</v>
      </c>
      <c r="EH37" t="s">
        <v>170</v>
      </c>
      <c r="EK37" s="500">
        <v>1500000</v>
      </c>
      <c r="EL37" s="500">
        <v>150000000000</v>
      </c>
      <c r="EM37" s="500">
        <v>102163.667</v>
      </c>
      <c r="EN37" s="500">
        <v>0</v>
      </c>
      <c r="EO37">
        <v>6.9</v>
      </c>
      <c r="EP37">
        <v>0</v>
      </c>
      <c r="EQ37">
        <v>31050000000</v>
      </c>
      <c r="ER37">
        <v>31963364500</v>
      </c>
      <c r="ES37">
        <v>-14807573144.108898</v>
      </c>
      <c r="ET37">
        <v>6.9</v>
      </c>
      <c r="EU37">
        <v>0</v>
      </c>
      <c r="EV37">
        <v>0</v>
      </c>
      <c r="EW37">
        <v>0</v>
      </c>
      <c r="EX37">
        <v>0</v>
      </c>
      <c r="EY37">
        <v>0</v>
      </c>
      <c r="EZ37">
        <v>0</v>
      </c>
      <c r="FA37">
        <v>-3103000000.0000072</v>
      </c>
      <c r="FB37">
        <v>0</v>
      </c>
      <c r="FC37">
        <v>-3103000000.0000072</v>
      </c>
      <c r="FD37">
        <v>-3103000000.0000072</v>
      </c>
      <c r="FE37">
        <v>-3103000000</v>
      </c>
      <c r="FF37">
        <v>-3103000000.0000072</v>
      </c>
      <c r="FG37" s="32">
        <f>Bankingbook_SBV[[#This Row],[Mat. Date]]-RPT</f>
        <v>-3471</v>
      </c>
      <c r="FH37" s="32">
        <f>IF(Bankingbook_SBV[[#This Row],[Days]]&lt;=0,0,YEARFRAC(RPT,Bankingbook_SBV[[#This Row],[Mat. Date]],3))</f>
        <v>0</v>
      </c>
      <c r="FI37" s="32">
        <f>IF(Bankingbook_SBV[[#This Row],[Days (year)]]=0,0,INDEX(Ref!$K$2:$K$13,MATCH(Bankingbook_SBV[[#This Row],[Days (year)]],Ref!$I$2:$I$13,1)))</f>
        <v>0</v>
      </c>
      <c r="FJ37" s="32" t="str">
        <f>VLOOKUP(Bankingbook_SBV[[#This Row],[Security Name]],Ref!X:Z,3,0)</f>
        <v>TPCP</v>
      </c>
      <c r="FK37" s="32" t="str">
        <f>VLOOKUP(Bankingbook_SBV[[#This Row],[Security Name]],Ref!X:Y,2,0)</f>
        <v>KBNN</v>
      </c>
      <c r="FL37" s="72">
        <f>IF((Bankingbook_SBV[[#This Row],[Mat. Date]]-RPT)&lt;=0,0,Bankingbook_SBV[[#This Row],[QUANTITY]])</f>
        <v>0</v>
      </c>
      <c r="FM37" s="32">
        <f>IF(Bankingbook_SBV[[#This Row],[Quantity_edited]]=0,0,Bankingbook_SBV[[#This Row],[DURATION]])</f>
        <v>0</v>
      </c>
      <c r="FN37" s="32">
        <f>IF(Bankingbook_SBV[[#This Row],[Quantity_edited]]=0,0,Bankingbook_SBV[[#This Row],[Mod Dur]])</f>
        <v>0</v>
      </c>
      <c r="FO37" s="32">
        <f>IF(Bankingbook_SBV[[#This Row],[Quantity_edited]]=0,0,Bankingbook_SBV[[#This Row],[Cnvx.]])</f>
        <v>0</v>
      </c>
      <c r="FP37" s="32">
        <f>(Bankingbook_SBV[[#This Row],[MARKET_VALUE]]+Bankingbook_SBV[[#This Row],[Accr Int]]*Bankingbook_SBV[[#This Row],[Quantity_edited]])*(-Bankingbook_SBV[[#This Row],[Modified Duration]]*0.0001+0.5*Bankingbook_SBV[[#This Row],[Conv]]*(0.0001^2))</f>
        <v>0</v>
      </c>
      <c r="FQ37" s="32">
        <f>(Bankingbook_SBV[[#This Row],[MARKET_VALUE]]+Bankingbook_SBV[[#This Row],[Accr Int]]*Bankingbook_SBV[[#This Row],[Quantity_edited]])*(-Bankingbook_SBV[[#This Row],[Modified Duration]]*0.01+0.5*Bankingbook_SBV[[#This Row],[Conv]]*(0.01^2))</f>
        <v>0</v>
      </c>
      <c r="FT37" t="s">
        <v>166</v>
      </c>
      <c r="FU37" t="s">
        <v>790</v>
      </c>
      <c r="FV37" t="s">
        <v>4002</v>
      </c>
      <c r="FW37">
        <v>3306971</v>
      </c>
      <c r="FX37" s="502">
        <v>46216</v>
      </c>
      <c r="FY37" t="s">
        <v>2176</v>
      </c>
      <c r="FZ37" t="s">
        <v>812</v>
      </c>
      <c r="GA37" t="s">
        <v>3585</v>
      </c>
      <c r="GB37" t="s">
        <v>810</v>
      </c>
      <c r="GC37" t="s">
        <v>2836</v>
      </c>
      <c r="GD37" s="500">
        <v>-162014000000</v>
      </c>
      <c r="GE37">
        <v>9.0003259999999994</v>
      </c>
      <c r="GF37" s="502">
        <v>46218</v>
      </c>
      <c r="GG37" s="502">
        <v>46283</v>
      </c>
      <c r="GH37">
        <v>4.5999999999999996</v>
      </c>
      <c r="GI37" t="s">
        <v>811</v>
      </c>
      <c r="GJ37" t="s">
        <v>3321</v>
      </c>
      <c r="GK37" t="s">
        <v>3321</v>
      </c>
      <c r="GL37">
        <v>737613738.88999999</v>
      </c>
      <c r="GM37">
        <v>-694218893.14999998</v>
      </c>
      <c r="GN37">
        <v>178728000000</v>
      </c>
      <c r="GO37">
        <v>9.35</v>
      </c>
      <c r="GP37">
        <v>0.08</v>
      </c>
      <c r="GQ37">
        <v>7.3999999999999996E-2</v>
      </c>
      <c r="GR37">
        <v>6.8575119999999998</v>
      </c>
      <c r="GS37">
        <v>-162412442498.53</v>
      </c>
      <c r="GT37">
        <v>-398442498.52999997</v>
      </c>
      <c r="GU37" t="s">
        <v>4147</v>
      </c>
      <c r="GV37" t="s">
        <v>4147</v>
      </c>
      <c r="GW37" s="416">
        <f>FNRP_Repo[[#This Row],[Mat. Date]]-RPT</f>
        <v>31</v>
      </c>
      <c r="GX37" s="819" t="str">
        <f>IF(FNRP_Repo[[#This Row],[Days]]&lt;=0,"Mat",INDEX(Ref!U:U,MATCH(FNRP_Repo[[#This Row],[Days]],Ref!S:S,1)))</f>
        <v>2M</v>
      </c>
      <c r="GY37" s="417">
        <f>RIGHT(FNRP_Repo[[#This Row],[Deal Id]],5)+0</f>
        <v>18017</v>
      </c>
    </row>
    <row r="38" spans="2:207" x14ac:dyDescent="0.3">
      <c r="B38" t="s">
        <v>166</v>
      </c>
      <c r="C38" t="s">
        <v>167</v>
      </c>
      <c r="D38" t="s">
        <v>210</v>
      </c>
      <c r="E38" t="s">
        <v>169</v>
      </c>
      <c r="F38" s="502">
        <v>42035</v>
      </c>
      <c r="G38" t="s">
        <v>3322</v>
      </c>
      <c r="H38"/>
      <c r="I38"/>
      <c r="J38" s="38">
        <v>0</v>
      </c>
      <c r="K38">
        <v>0</v>
      </c>
      <c r="L38">
        <v>0</v>
      </c>
      <c r="M38" s="38">
        <v>0</v>
      </c>
      <c r="N38">
        <v>8.6999999999999993</v>
      </c>
      <c r="O38">
        <v>0</v>
      </c>
      <c r="P38" s="37">
        <v>0</v>
      </c>
      <c r="Q38" s="37">
        <v>0</v>
      </c>
      <c r="R38" s="37">
        <v>-819580877.77777863</v>
      </c>
      <c r="S38">
        <v>8.6999999999999993</v>
      </c>
      <c r="T38" s="70">
        <v>0</v>
      </c>
      <c r="U38">
        <v>0</v>
      </c>
      <c r="V38">
        <v>0</v>
      </c>
      <c r="W38">
        <v>0</v>
      </c>
      <c r="X38" s="38">
        <v>0</v>
      </c>
      <c r="Y38">
        <v>0</v>
      </c>
      <c r="Z38" s="70">
        <v>831000000</v>
      </c>
      <c r="AA38" s="70">
        <v>0</v>
      </c>
      <c r="AB38" s="70">
        <v>831000000</v>
      </c>
      <c r="AC38" s="70">
        <v>831000000</v>
      </c>
      <c r="AD38" s="70">
        <v>831000000</v>
      </c>
      <c r="AE38" s="70">
        <v>831000000</v>
      </c>
      <c r="AF38">
        <v>0</v>
      </c>
      <c r="AG38" s="72">
        <f>Tradingbook_MSB[[#This Row],[Mat. Date]]-RPT</f>
        <v>-4217</v>
      </c>
      <c r="AH38" s="71">
        <f>IF(Tradingbook_MSB[[#This Row],[Days]]&lt;=0,0,YEARFRAC(RPT,Tradingbook_MSB[[#This Row],[Mat. Date]],3))</f>
        <v>0</v>
      </c>
      <c r="AI38" s="71">
        <f>IF(Tradingbook_MSB[[#This Row],[Days (year)]]=0,0,INDEX(Ref!$K$2:$K$13,MATCH(Tradingbook_MSB[[#This Row],[Days (year)]],Ref!$I$2:$I$13,1)))</f>
        <v>0</v>
      </c>
      <c r="AJ38" s="120" t="str">
        <f>VLOOKUP(Tradingbook_MSB[[#This Row],[Security Name]],Ref!X:Z,3,0)</f>
        <v>TPCP</v>
      </c>
      <c r="AK38" s="120" t="str">
        <f>VLOOKUP(Tradingbook_MSB[[#This Row],[Security Name]],Ref!X:Y,2,0)</f>
        <v>VDB</v>
      </c>
      <c r="AL38" s="71">
        <f>IF((Tradingbook_MSB[[#This Row],[Mat. Date]]-RPT)&lt;=0,0,Tradingbook_MSB[[#This Row],[QUANTITY]])</f>
        <v>0</v>
      </c>
      <c r="AM38" s="71">
        <f>IF(Tradingbook_MSB[[#This Row],[Quantity_edited]]=0,0,Tradingbook_MSB[[#This Row],[DURATION]])</f>
        <v>0</v>
      </c>
      <c r="AN38" s="71">
        <f>IF(Tradingbook_MSB[[#This Row],[Quantity_edited]]=0,0,Tradingbook_MSB[[#This Row],[Mod Dur]])</f>
        <v>0</v>
      </c>
      <c r="AO38" s="71">
        <f>IF(Tradingbook_MSB[[#This Row],[Quantity_edited]]=0,0,Tradingbook_MSB[[#This Row],[Cnvx.]])</f>
        <v>0</v>
      </c>
      <c r="AP38" s="71">
        <f>(Tradingbook_MSB[[#This Row],[MARKET_VALUE]]+Tradingbook_MSB[[#This Row],[Accr Int]]*Tradingbook_MSB[[#This Row],[Quantity_edited]])*(-Tradingbook_MSB[[#This Row],[Modified Duration]]*0.0001+0.5*Tradingbook_MSB[[#This Row],[Conv]]*(0.0001^2))</f>
        <v>0</v>
      </c>
      <c r="AQ38" s="72">
        <f>(Tradingbook_MSB[[#This Row],[MARKET_VALUE]]+Tradingbook_MSB[[#This Row],[Accr Int]]*Tradingbook_MSB[[#This Row],[Quantity_edited]])*(-Tradingbook_MSB[[#This Row],[Modified Duration]]*0.01+0.5*Tradingbook_MSB[[#This Row],[Conv]]*(0.01^2))</f>
        <v>0</v>
      </c>
      <c r="AR38" s="71"/>
      <c r="AT38" t="s">
        <v>166</v>
      </c>
      <c r="AU38" t="s">
        <v>167</v>
      </c>
      <c r="AV38" t="s">
        <v>320</v>
      </c>
      <c r="AW38" t="s">
        <v>169</v>
      </c>
      <c r="AX38" t="s">
        <v>3353</v>
      </c>
      <c r="AY38" t="s">
        <v>3322</v>
      </c>
      <c r="BB38" s="49">
        <v>0</v>
      </c>
      <c r="BC38">
        <v>0</v>
      </c>
      <c r="BD38">
        <v>0</v>
      </c>
      <c r="BE38" s="37">
        <v>0</v>
      </c>
      <c r="BF38">
        <v>12.2</v>
      </c>
      <c r="BG38">
        <v>0</v>
      </c>
      <c r="BH38" s="34">
        <v>13380716000</v>
      </c>
      <c r="BI38">
        <v>14414606756.664433</v>
      </c>
      <c r="BJ38">
        <v>-4124912816.1392813</v>
      </c>
      <c r="BK38">
        <v>12.2</v>
      </c>
      <c r="BL38">
        <v>0</v>
      </c>
      <c r="BM38">
        <v>0</v>
      </c>
      <c r="BN38">
        <v>0</v>
      </c>
      <c r="BO38">
        <v>0</v>
      </c>
      <c r="BP38">
        <v>0</v>
      </c>
      <c r="BQ38">
        <v>0</v>
      </c>
      <c r="BR38">
        <v>-1979139510</v>
      </c>
      <c r="BS38">
        <v>0</v>
      </c>
      <c r="BT38">
        <v>-1979139510</v>
      </c>
      <c r="BU38">
        <v>-1979139510</v>
      </c>
      <c r="BV38">
        <v>-1979139510</v>
      </c>
      <c r="BW38">
        <v>-1979139510</v>
      </c>
      <c r="BX38">
        <v>0</v>
      </c>
      <c r="BY38" s="32">
        <f>Bankingbook_MSB[[#This Row],[Mat. Date]]-RPT</f>
        <v>-3469</v>
      </c>
      <c r="BZ38" s="71">
        <f>IF(Bankingbook_MSB[[#This Row],[Days]]&lt;=0,0,YEARFRAC(RPT,Bankingbook_MSB[[#This Row],[Mat. Date]],3))</f>
        <v>0</v>
      </c>
      <c r="CA38" s="71">
        <f>IF(Bankingbook_MSB[[#This Row],[Days (year)]]=0,0,INDEX(Ref!$K$2:$K$13,MATCH(Bankingbook_MSB[[#This Row],[Days (year)]],Ref!$I$2:$I$13,1)))</f>
        <v>0</v>
      </c>
      <c r="CB38" s="32" t="str">
        <f>VLOOKUP(Bankingbook_MSB[[#This Row],[Security Name]],Ref!X:Z,3,0)</f>
        <v>TPCPBL</v>
      </c>
      <c r="CC38" s="32" t="str">
        <f>VLOOKUP(Bankingbook_MSB[[#This Row],[Security Name]],Ref!X:Y,2,0)</f>
        <v>VDB</v>
      </c>
      <c r="CD38" s="72">
        <f>IF((Bankingbook_MSB[[#This Row],[Mat. Date]]-RPT)&lt;=0,0,Bankingbook_MSB[[#This Row],[QUANTITY]])</f>
        <v>0</v>
      </c>
      <c r="CE38" s="71">
        <f>IF(Bankingbook_MSB[[#This Row],[Quantity_edited]]=0,0,Bankingbook_MSB[[#This Row],[DURATION]])</f>
        <v>0</v>
      </c>
      <c r="CF38" s="71">
        <f>IF(Bankingbook_MSB[[#This Row],[Quantity_edited]]=0,0,Bankingbook_MSB[[#This Row],[Mod Dur]])</f>
        <v>0</v>
      </c>
      <c r="CG38" s="71">
        <f>IF(Bankingbook_MSB[[#This Row],[Quantity_edited]]=0,0,Bankingbook_MSB[[#This Row],[Cnvx.]])</f>
        <v>0</v>
      </c>
      <c r="CH38" s="71">
        <f>(Bankingbook_MSB[[#This Row],[MARKET_VALUE]]+Bankingbook_MSB[[#This Row],[Accr Int]]*Bankingbook_MSB[[#This Row],[Quantity_edited]])*(-Bankingbook_MSB[[#This Row],[Modified Duration]]*0.0001+0.5*Bankingbook_MSB[[#This Row],[Conv]]*(0.0001^2))</f>
        <v>0</v>
      </c>
      <c r="CI38" s="71">
        <f>(Bankingbook_MSB[[#This Row],[MARKET_VALUE]]+Bankingbook_MSB[[#This Row],[Accr Int]]*Bankingbook_MSB[[#This Row],[Quantity_edited]])*(-Bankingbook_MSB[[#This Row],[Modified Duration]]*0.01+0.5*Bankingbook_MSB[[#This Row],[Conv]]*(0.01^2))</f>
        <v>0</v>
      </c>
      <c r="CJ38" s="32"/>
      <c r="CL38" t="s">
        <v>166</v>
      </c>
      <c r="CM38" t="s">
        <v>167</v>
      </c>
      <c r="CN38" t="s">
        <v>210</v>
      </c>
      <c r="CO38" t="s">
        <v>169</v>
      </c>
      <c r="CP38" s="35">
        <v>42035</v>
      </c>
      <c r="CQ38" t="s">
        <v>3322</v>
      </c>
      <c r="CR38" t="s">
        <v>174</v>
      </c>
      <c r="CS38" t="s">
        <v>174</v>
      </c>
      <c r="CT38" s="49">
        <v>0</v>
      </c>
      <c r="CU38">
        <v>0</v>
      </c>
      <c r="CV38">
        <v>0</v>
      </c>
      <c r="CW38" s="70">
        <v>0</v>
      </c>
      <c r="CX38">
        <v>8.6999999999999993</v>
      </c>
      <c r="CY38">
        <v>0</v>
      </c>
      <c r="CZ38">
        <v>0</v>
      </c>
      <c r="DA38">
        <v>0</v>
      </c>
      <c r="DB38">
        <v>-819580877.77777863</v>
      </c>
      <c r="DC38">
        <v>8.6999999999999993</v>
      </c>
      <c r="DD38">
        <v>0</v>
      </c>
      <c r="DE38">
        <v>0</v>
      </c>
      <c r="DF38">
        <v>0</v>
      </c>
      <c r="DG38">
        <v>0</v>
      </c>
      <c r="DH38">
        <v>0</v>
      </c>
      <c r="DI38">
        <v>0</v>
      </c>
      <c r="DJ38" s="500">
        <v>831000000</v>
      </c>
      <c r="DK38" s="500">
        <v>0</v>
      </c>
      <c r="DL38" s="37">
        <v>831000000</v>
      </c>
      <c r="DM38" s="37">
        <v>831000000</v>
      </c>
      <c r="DN38" s="37">
        <v>831000000</v>
      </c>
      <c r="DO38" s="37">
        <v>831000000</v>
      </c>
      <c r="DP38" s="32">
        <f>Tradingbook_SBV[[#This Row],[Mat. Date]]-RPT</f>
        <v>-4217</v>
      </c>
      <c r="DQ38" s="32">
        <f>IF(Tradingbook_SBV[[#This Row],[Days]]&lt;=0,0,YEARFRAC(RPT,Tradingbook_SBV[[#This Row],[Mat. Date]],3))</f>
        <v>0</v>
      </c>
      <c r="DR38" s="32">
        <f>IF(Tradingbook_SBV[[#This Row],[Days (year)]]=0,0,INDEX(Ref!$K$2:$K$13,MATCH(Tradingbook_SBV[[#This Row],[Days (year)]],Ref!$I$2:$I$13,1)))</f>
        <v>0</v>
      </c>
      <c r="DS38" s="32" t="str">
        <f>VLOOKUP(Tradingbook_SBV[[#This Row],[Security Name]],Ref!X:Z,3,0)</f>
        <v>TPCP</v>
      </c>
      <c r="DT38" s="32" t="str">
        <f>VLOOKUP(Tradingbook_SBV[[#This Row],[Security Name]],Ref!X:Y,2,0)</f>
        <v>VDB</v>
      </c>
      <c r="DU38" s="71">
        <f>IF((Tradingbook_SBV[[#This Row],[Mat. Date]]-RPT)&lt;=0,0,Tradingbook_SBV[[#This Row],[QUANTITY]])</f>
        <v>0</v>
      </c>
      <c r="DV38" s="71">
        <f>IF(Tradingbook_SBV[[#This Row],[Quantity_edited]]=0,0,Tradingbook_SBV[[#This Row],[DURATION]])</f>
        <v>0</v>
      </c>
      <c r="DW38" s="71">
        <f>IF(Tradingbook_SBV[[#This Row],[Quantity_edited]]=0,0,Tradingbook_SBV[[#This Row],[Mod Dur]])</f>
        <v>0</v>
      </c>
      <c r="DX38" s="71">
        <f>IF(Tradingbook_SBV[[#This Row],[Quantity_edited]]=0,0,Tradingbook_SBV[[#This Row],[Cnvx.]])</f>
        <v>0</v>
      </c>
      <c r="DY38" s="71">
        <f>(Tradingbook_SBV[[#This Row],[MARKET_VALUE]]+Tradingbook_SBV[[#This Row],[Accr Int]]*Tradingbook_SBV[[#This Row],[Quantity_edited]])*(-Tradingbook_SBV[[#This Row],[Modified Duration]]*0.0001+0.5*Tradingbook_SBV[[#This Row],[Conv]]*(0.0001^2))</f>
        <v>0</v>
      </c>
      <c r="DZ38" s="71">
        <f>(Tradingbook_SBV[[#This Row],[MARKET_VALUE]]+Tradingbook_SBV[[#This Row],[Accr Int]]*Tradingbook_SBV[[#This Row],[Quantity_edited]])*(-Tradingbook_SBV[[#This Row],[Modified Duration]]*0.01+0.5*Tradingbook_SBV[[#This Row],[Conv]]*(0.01^2))</f>
        <v>0</v>
      </c>
      <c r="EC38" t="s">
        <v>166</v>
      </c>
      <c r="ED38" t="s">
        <v>167</v>
      </c>
      <c r="EE38" t="s">
        <v>320</v>
      </c>
      <c r="EF38" t="s">
        <v>169</v>
      </c>
      <c r="EG38" s="35" t="s">
        <v>3353</v>
      </c>
      <c r="EH38" t="s">
        <v>3322</v>
      </c>
      <c r="EK38" s="500">
        <v>0</v>
      </c>
      <c r="EL38" s="500">
        <v>0</v>
      </c>
      <c r="EM38" s="500">
        <v>0</v>
      </c>
      <c r="EN38" s="500">
        <v>0</v>
      </c>
      <c r="EO38">
        <v>12.2</v>
      </c>
      <c r="EP38">
        <v>0</v>
      </c>
      <c r="EQ38">
        <v>13380716000</v>
      </c>
      <c r="ER38">
        <v>14414606756.664433</v>
      </c>
      <c r="ES38">
        <v>-4124912816.1392813</v>
      </c>
      <c r="ET38">
        <v>12.2</v>
      </c>
      <c r="EU38">
        <v>0</v>
      </c>
      <c r="EV38">
        <v>0</v>
      </c>
      <c r="EW38">
        <v>0</v>
      </c>
      <c r="EX38">
        <v>0</v>
      </c>
      <c r="EY38">
        <v>0</v>
      </c>
      <c r="EZ38">
        <v>0</v>
      </c>
      <c r="FA38">
        <v>-1979139510</v>
      </c>
      <c r="FB38">
        <v>0</v>
      </c>
      <c r="FC38">
        <v>-1979139510</v>
      </c>
      <c r="FD38">
        <v>-1979139510</v>
      </c>
      <c r="FE38">
        <v>-1979139510</v>
      </c>
      <c r="FF38">
        <v>-1979139510</v>
      </c>
      <c r="FG38" s="32">
        <f>Bankingbook_SBV[[#This Row],[Mat. Date]]-RPT</f>
        <v>-3469</v>
      </c>
      <c r="FH38" s="32">
        <f>IF(Bankingbook_SBV[[#This Row],[Days]]&lt;=0,0,YEARFRAC(RPT,Bankingbook_SBV[[#This Row],[Mat. Date]],3))</f>
        <v>0</v>
      </c>
      <c r="FI38" s="32">
        <f>IF(Bankingbook_SBV[[#This Row],[Days (year)]]=0,0,INDEX(Ref!$K$2:$K$13,MATCH(Bankingbook_SBV[[#This Row],[Days (year)]],Ref!$I$2:$I$13,1)))</f>
        <v>0</v>
      </c>
      <c r="FJ38" s="32" t="str">
        <f>VLOOKUP(Bankingbook_SBV[[#This Row],[Security Name]],Ref!X:Z,3,0)</f>
        <v>TPCPBL</v>
      </c>
      <c r="FK38" s="32" t="str">
        <f>VLOOKUP(Bankingbook_SBV[[#This Row],[Security Name]],Ref!X:Y,2,0)</f>
        <v>VDB</v>
      </c>
      <c r="FL38" s="72">
        <f>IF((Bankingbook_SBV[[#This Row],[Mat. Date]]-RPT)&lt;=0,0,Bankingbook_SBV[[#This Row],[QUANTITY]])</f>
        <v>0</v>
      </c>
      <c r="FM38" s="32">
        <f>IF(Bankingbook_SBV[[#This Row],[Quantity_edited]]=0,0,Bankingbook_SBV[[#This Row],[DURATION]])</f>
        <v>0</v>
      </c>
      <c r="FN38" s="32">
        <f>IF(Bankingbook_SBV[[#This Row],[Quantity_edited]]=0,0,Bankingbook_SBV[[#This Row],[Mod Dur]])</f>
        <v>0</v>
      </c>
      <c r="FO38" s="32">
        <f>IF(Bankingbook_SBV[[#This Row],[Quantity_edited]]=0,0,Bankingbook_SBV[[#This Row],[Cnvx.]])</f>
        <v>0</v>
      </c>
      <c r="FP38" s="32">
        <f>(Bankingbook_SBV[[#This Row],[MARKET_VALUE]]+Bankingbook_SBV[[#This Row],[Accr Int]]*Bankingbook_SBV[[#This Row],[Quantity_edited]])*(-Bankingbook_SBV[[#This Row],[Modified Duration]]*0.0001+0.5*Bankingbook_SBV[[#This Row],[Conv]]*(0.0001^2))</f>
        <v>0</v>
      </c>
      <c r="FQ38" s="32">
        <f>(Bankingbook_SBV[[#This Row],[MARKET_VALUE]]+Bankingbook_SBV[[#This Row],[Accr Int]]*Bankingbook_SBV[[#This Row],[Quantity_edited]])*(-Bankingbook_SBV[[#This Row],[Modified Duration]]*0.01+0.5*Bankingbook_SBV[[#This Row],[Conv]]*(0.01^2))</f>
        <v>0</v>
      </c>
      <c r="FT38" t="s">
        <v>166</v>
      </c>
      <c r="FU38" t="s">
        <v>790</v>
      </c>
      <c r="FV38" t="s">
        <v>4003</v>
      </c>
      <c r="FW38">
        <v>3306977</v>
      </c>
      <c r="FX38" s="502">
        <v>46216</v>
      </c>
      <c r="FY38" t="s">
        <v>2176</v>
      </c>
      <c r="FZ38" t="s">
        <v>812</v>
      </c>
      <c r="GA38" t="s">
        <v>3585</v>
      </c>
      <c r="GB38" t="s">
        <v>810</v>
      </c>
      <c r="GC38" t="s">
        <v>2839</v>
      </c>
      <c r="GD38" s="500">
        <v>-374359500000</v>
      </c>
      <c r="GE38">
        <v>9.0003170000000008</v>
      </c>
      <c r="GF38" s="502">
        <v>46218</v>
      </c>
      <c r="GG38" s="502">
        <v>46283</v>
      </c>
      <c r="GH38">
        <v>4.5999999999999996</v>
      </c>
      <c r="GI38" t="s">
        <v>811</v>
      </c>
      <c r="GJ38" t="s">
        <v>3321</v>
      </c>
      <c r="GK38" t="s">
        <v>3321</v>
      </c>
      <c r="GL38">
        <v>1704375612.5</v>
      </c>
      <c r="GM38">
        <v>-1604104816.4400001</v>
      </c>
      <c r="GN38">
        <v>400729500000</v>
      </c>
      <c r="GO38">
        <v>6.58</v>
      </c>
      <c r="GP38">
        <v>0.08</v>
      </c>
      <c r="GQ38">
        <v>7.3999999999999996E-2</v>
      </c>
      <c r="GR38">
        <v>6.8575119999999998</v>
      </c>
      <c r="GS38">
        <v>-375280165711.73999</v>
      </c>
      <c r="GT38">
        <v>-920665711.74000001</v>
      </c>
      <c r="GU38" t="s">
        <v>4148</v>
      </c>
      <c r="GV38" t="s">
        <v>4148</v>
      </c>
      <c r="GW38" s="416">
        <f>FNRP_Repo[[#This Row],[Mat. Date]]-RPT</f>
        <v>31</v>
      </c>
      <c r="GX38" s="819" t="str">
        <f>IF(FNRP_Repo[[#This Row],[Days]]&lt;=0,"Mat",INDEX(Ref!U:U,MATCH(FNRP_Repo[[#This Row],[Days]],Ref!S:S,1)))</f>
        <v>2M</v>
      </c>
      <c r="GY38" s="417">
        <f>RIGHT(FNRP_Repo[[#This Row],[Deal Id]],5)+0</f>
        <v>18018</v>
      </c>
    </row>
    <row r="39" spans="2:207" x14ac:dyDescent="0.3">
      <c r="B39" t="s">
        <v>166</v>
      </c>
      <c r="C39" t="s">
        <v>167</v>
      </c>
      <c r="D39" t="s">
        <v>211</v>
      </c>
      <c r="E39" t="s">
        <v>169</v>
      </c>
      <c r="F39" s="502">
        <v>42062</v>
      </c>
      <c r="G39" t="s">
        <v>3322</v>
      </c>
      <c r="H39"/>
      <c r="I39"/>
      <c r="J39" s="38">
        <v>0</v>
      </c>
      <c r="K39">
        <v>0</v>
      </c>
      <c r="L39">
        <v>0</v>
      </c>
      <c r="M39" s="38">
        <v>0</v>
      </c>
      <c r="N39">
        <v>11.3</v>
      </c>
      <c r="O39">
        <v>0</v>
      </c>
      <c r="P39" s="37">
        <v>5650000000</v>
      </c>
      <c r="Q39" s="37">
        <v>5994869722.2222195</v>
      </c>
      <c r="R39" s="37">
        <v>-1211506548.9583244</v>
      </c>
      <c r="S39">
        <v>11.3</v>
      </c>
      <c r="T39" s="70">
        <v>0</v>
      </c>
      <c r="U39">
        <v>0</v>
      </c>
      <c r="V39">
        <v>0</v>
      </c>
      <c r="W39">
        <v>0</v>
      </c>
      <c r="X39" s="38">
        <v>0</v>
      </c>
      <c r="Y39">
        <v>0</v>
      </c>
      <c r="Z39" s="70">
        <v>145000000</v>
      </c>
      <c r="AA39" s="70">
        <v>0</v>
      </c>
      <c r="AB39" s="70">
        <v>145000000</v>
      </c>
      <c r="AC39" s="70">
        <v>145000000</v>
      </c>
      <c r="AD39" s="70">
        <v>145000000</v>
      </c>
      <c r="AE39" s="70">
        <v>145000000</v>
      </c>
      <c r="AF39">
        <v>0</v>
      </c>
      <c r="AG39" s="72">
        <f>Tradingbook_MSB[[#This Row],[Mat. Date]]-RPT</f>
        <v>-4190</v>
      </c>
      <c r="AH39" s="71">
        <f>IF(Tradingbook_MSB[[#This Row],[Days]]&lt;=0,0,YEARFRAC(RPT,Tradingbook_MSB[[#This Row],[Mat. Date]],3))</f>
        <v>0</v>
      </c>
      <c r="AI39" s="71">
        <f>IF(Tradingbook_MSB[[#This Row],[Days (year)]]=0,0,INDEX(Ref!$K$2:$K$13,MATCH(Tradingbook_MSB[[#This Row],[Days (year)]],Ref!$I$2:$I$13,1)))</f>
        <v>0</v>
      </c>
      <c r="AJ39" s="120" t="str">
        <f>VLOOKUP(Tradingbook_MSB[[#This Row],[Security Name]],Ref!X:Z,3,0)</f>
        <v>TPCP</v>
      </c>
      <c r="AK39" s="120" t="str">
        <f>VLOOKUP(Tradingbook_MSB[[#This Row],[Security Name]],Ref!X:Y,2,0)</f>
        <v>KBNN</v>
      </c>
      <c r="AL39" s="71">
        <f>IF((Tradingbook_MSB[[#This Row],[Mat. Date]]-RPT)&lt;=0,0,Tradingbook_MSB[[#This Row],[QUANTITY]])</f>
        <v>0</v>
      </c>
      <c r="AM39" s="71">
        <f>IF(Tradingbook_MSB[[#This Row],[Quantity_edited]]=0,0,Tradingbook_MSB[[#This Row],[DURATION]])</f>
        <v>0</v>
      </c>
      <c r="AN39" s="71">
        <f>IF(Tradingbook_MSB[[#This Row],[Quantity_edited]]=0,0,Tradingbook_MSB[[#This Row],[Mod Dur]])</f>
        <v>0</v>
      </c>
      <c r="AO39" s="71">
        <f>IF(Tradingbook_MSB[[#This Row],[Quantity_edited]]=0,0,Tradingbook_MSB[[#This Row],[Cnvx.]])</f>
        <v>0</v>
      </c>
      <c r="AP39" s="71">
        <f>(Tradingbook_MSB[[#This Row],[MARKET_VALUE]]+Tradingbook_MSB[[#This Row],[Accr Int]]*Tradingbook_MSB[[#This Row],[Quantity_edited]])*(-Tradingbook_MSB[[#This Row],[Modified Duration]]*0.0001+0.5*Tradingbook_MSB[[#This Row],[Conv]]*(0.0001^2))</f>
        <v>0</v>
      </c>
      <c r="AQ39" s="72">
        <f>(Tradingbook_MSB[[#This Row],[MARKET_VALUE]]+Tradingbook_MSB[[#This Row],[Accr Int]]*Tradingbook_MSB[[#This Row],[Quantity_edited]])*(-Tradingbook_MSB[[#This Row],[Modified Duration]]*0.01+0.5*Tradingbook_MSB[[#This Row],[Conv]]*(0.01^2))</f>
        <v>0</v>
      </c>
      <c r="AR39" s="71"/>
      <c r="AT39" t="s">
        <v>166</v>
      </c>
      <c r="AU39" t="s">
        <v>167</v>
      </c>
      <c r="AV39" t="s">
        <v>323</v>
      </c>
      <c r="AW39" t="s">
        <v>169</v>
      </c>
      <c r="AX39" t="s">
        <v>3354</v>
      </c>
      <c r="AY39" t="s">
        <v>3322</v>
      </c>
      <c r="BB39" s="49">
        <v>0</v>
      </c>
      <c r="BC39">
        <v>0</v>
      </c>
      <c r="BD39">
        <v>0</v>
      </c>
      <c r="BE39" s="37">
        <v>0</v>
      </c>
      <c r="BF39">
        <v>6.7</v>
      </c>
      <c r="BG39">
        <v>0</v>
      </c>
      <c r="BH39" s="34">
        <v>0</v>
      </c>
      <c r="BI39">
        <v>0</v>
      </c>
      <c r="BJ39">
        <v>-440956030.34721708</v>
      </c>
      <c r="BK39">
        <v>6.7</v>
      </c>
      <c r="BL39">
        <v>0</v>
      </c>
      <c r="BM39">
        <v>0</v>
      </c>
      <c r="BN39">
        <v>0</v>
      </c>
      <c r="BO39">
        <v>0</v>
      </c>
      <c r="BP39">
        <v>0</v>
      </c>
      <c r="BQ39">
        <v>0</v>
      </c>
      <c r="BR39">
        <v>-160500000</v>
      </c>
      <c r="BS39">
        <v>0</v>
      </c>
      <c r="BT39">
        <v>-160500000</v>
      </c>
      <c r="BU39">
        <v>-160500000</v>
      </c>
      <c r="BV39">
        <v>-160500000</v>
      </c>
      <c r="BW39">
        <v>-160500000</v>
      </c>
      <c r="BX39">
        <v>0</v>
      </c>
      <c r="BY39" s="32">
        <f>Bankingbook_MSB[[#This Row],[Mat. Date]]-RPT</f>
        <v>-3458</v>
      </c>
      <c r="BZ39" s="71">
        <f>IF(Bankingbook_MSB[[#This Row],[Days]]&lt;=0,0,YEARFRAC(RPT,Bankingbook_MSB[[#This Row],[Mat. Date]],3))</f>
        <v>0</v>
      </c>
      <c r="CA39" s="71">
        <f>IF(Bankingbook_MSB[[#This Row],[Days (year)]]=0,0,INDEX(Ref!$K$2:$K$13,MATCH(Bankingbook_MSB[[#This Row],[Days (year)]],Ref!$I$2:$I$13,1)))</f>
        <v>0</v>
      </c>
      <c r="CB39" s="32" t="str">
        <f>VLOOKUP(Bankingbook_MSB[[#This Row],[Security Name]],Ref!X:Z,3,0)</f>
        <v>TPCP</v>
      </c>
      <c r="CC39" s="32" t="str">
        <f>VLOOKUP(Bankingbook_MSB[[#This Row],[Security Name]],Ref!X:Y,2,0)</f>
        <v>KBNN</v>
      </c>
      <c r="CD39" s="72">
        <f>IF((Bankingbook_MSB[[#This Row],[Mat. Date]]-RPT)&lt;=0,0,Bankingbook_MSB[[#This Row],[QUANTITY]])</f>
        <v>0</v>
      </c>
      <c r="CE39" s="71">
        <f>IF(Bankingbook_MSB[[#This Row],[Quantity_edited]]=0,0,Bankingbook_MSB[[#This Row],[DURATION]])</f>
        <v>0</v>
      </c>
      <c r="CF39" s="71">
        <f>IF(Bankingbook_MSB[[#This Row],[Quantity_edited]]=0,0,Bankingbook_MSB[[#This Row],[Mod Dur]])</f>
        <v>0</v>
      </c>
      <c r="CG39" s="71">
        <f>IF(Bankingbook_MSB[[#This Row],[Quantity_edited]]=0,0,Bankingbook_MSB[[#This Row],[Cnvx.]])</f>
        <v>0</v>
      </c>
      <c r="CH39" s="71">
        <f>(Bankingbook_MSB[[#This Row],[MARKET_VALUE]]+Bankingbook_MSB[[#This Row],[Accr Int]]*Bankingbook_MSB[[#This Row],[Quantity_edited]])*(-Bankingbook_MSB[[#This Row],[Modified Duration]]*0.0001+0.5*Bankingbook_MSB[[#This Row],[Conv]]*(0.0001^2))</f>
        <v>0</v>
      </c>
      <c r="CI39" s="71">
        <f>(Bankingbook_MSB[[#This Row],[MARKET_VALUE]]+Bankingbook_MSB[[#This Row],[Accr Int]]*Bankingbook_MSB[[#This Row],[Quantity_edited]])*(-Bankingbook_MSB[[#This Row],[Modified Duration]]*0.01+0.5*Bankingbook_MSB[[#This Row],[Conv]]*(0.01^2))</f>
        <v>0</v>
      </c>
      <c r="CJ39" s="32"/>
      <c r="CL39" t="s">
        <v>166</v>
      </c>
      <c r="CM39" t="s">
        <v>167</v>
      </c>
      <c r="CN39" t="s">
        <v>211</v>
      </c>
      <c r="CO39" t="s">
        <v>169</v>
      </c>
      <c r="CP39" s="35">
        <v>42062</v>
      </c>
      <c r="CQ39" t="s">
        <v>3322</v>
      </c>
      <c r="CR39" t="s">
        <v>174</v>
      </c>
      <c r="CS39" t="s">
        <v>174</v>
      </c>
      <c r="CT39" s="49">
        <v>0</v>
      </c>
      <c r="CU39">
        <v>0</v>
      </c>
      <c r="CV39">
        <v>0</v>
      </c>
      <c r="CW39" s="70">
        <v>0</v>
      </c>
      <c r="CX39">
        <v>11.3</v>
      </c>
      <c r="CY39">
        <v>0</v>
      </c>
      <c r="CZ39">
        <v>5650000000</v>
      </c>
      <c r="DA39">
        <v>5994869722.2222195</v>
      </c>
      <c r="DB39">
        <v>-1211506548.9583244</v>
      </c>
      <c r="DC39">
        <v>11.3</v>
      </c>
      <c r="DD39">
        <v>0</v>
      </c>
      <c r="DE39">
        <v>0</v>
      </c>
      <c r="DF39">
        <v>0</v>
      </c>
      <c r="DG39">
        <v>0</v>
      </c>
      <c r="DH39">
        <v>0</v>
      </c>
      <c r="DI39">
        <v>0</v>
      </c>
      <c r="DJ39" s="500">
        <v>145000000</v>
      </c>
      <c r="DK39" s="500">
        <v>0</v>
      </c>
      <c r="DL39" s="37">
        <v>145000000</v>
      </c>
      <c r="DM39" s="37">
        <v>145000000</v>
      </c>
      <c r="DN39" s="37">
        <v>145000000</v>
      </c>
      <c r="DO39" s="37">
        <v>145000000</v>
      </c>
      <c r="DP39" s="32">
        <f>Tradingbook_SBV[[#This Row],[Mat. Date]]-RPT</f>
        <v>-4190</v>
      </c>
      <c r="DQ39" s="32">
        <f>IF(Tradingbook_SBV[[#This Row],[Days]]&lt;=0,0,YEARFRAC(RPT,Tradingbook_SBV[[#This Row],[Mat. Date]],3))</f>
        <v>0</v>
      </c>
      <c r="DR39" s="32">
        <f>IF(Tradingbook_SBV[[#This Row],[Days (year)]]=0,0,INDEX(Ref!$K$2:$K$13,MATCH(Tradingbook_SBV[[#This Row],[Days (year)]],Ref!$I$2:$I$13,1)))</f>
        <v>0</v>
      </c>
      <c r="DS39" s="32" t="str">
        <f>VLOOKUP(Tradingbook_SBV[[#This Row],[Security Name]],Ref!X:Z,3,0)</f>
        <v>TPCP</v>
      </c>
      <c r="DT39" s="32" t="str">
        <f>VLOOKUP(Tradingbook_SBV[[#This Row],[Security Name]],Ref!X:Y,2,0)</f>
        <v>KBNN</v>
      </c>
      <c r="DU39" s="71">
        <f>IF((Tradingbook_SBV[[#This Row],[Mat. Date]]-RPT)&lt;=0,0,Tradingbook_SBV[[#This Row],[QUANTITY]])</f>
        <v>0</v>
      </c>
      <c r="DV39" s="71">
        <f>IF(Tradingbook_SBV[[#This Row],[Quantity_edited]]=0,0,Tradingbook_SBV[[#This Row],[DURATION]])</f>
        <v>0</v>
      </c>
      <c r="DW39" s="71">
        <f>IF(Tradingbook_SBV[[#This Row],[Quantity_edited]]=0,0,Tradingbook_SBV[[#This Row],[Mod Dur]])</f>
        <v>0</v>
      </c>
      <c r="DX39" s="71">
        <f>IF(Tradingbook_SBV[[#This Row],[Quantity_edited]]=0,0,Tradingbook_SBV[[#This Row],[Cnvx.]])</f>
        <v>0</v>
      </c>
      <c r="DY39" s="71">
        <f>(Tradingbook_SBV[[#This Row],[MARKET_VALUE]]+Tradingbook_SBV[[#This Row],[Accr Int]]*Tradingbook_SBV[[#This Row],[Quantity_edited]])*(-Tradingbook_SBV[[#This Row],[Modified Duration]]*0.0001+0.5*Tradingbook_SBV[[#This Row],[Conv]]*(0.0001^2))</f>
        <v>0</v>
      </c>
      <c r="DZ39" s="71">
        <f>(Tradingbook_SBV[[#This Row],[MARKET_VALUE]]+Tradingbook_SBV[[#This Row],[Accr Int]]*Tradingbook_SBV[[#This Row],[Quantity_edited]])*(-Tradingbook_SBV[[#This Row],[Modified Duration]]*0.01+0.5*Tradingbook_SBV[[#This Row],[Conv]]*(0.01^2))</f>
        <v>0</v>
      </c>
      <c r="EC39" t="s">
        <v>166</v>
      </c>
      <c r="ED39" t="s">
        <v>167</v>
      </c>
      <c r="EE39" t="s">
        <v>323</v>
      </c>
      <c r="EF39" t="s">
        <v>169</v>
      </c>
      <c r="EG39" s="35" t="s">
        <v>3354</v>
      </c>
      <c r="EH39" t="s">
        <v>3322</v>
      </c>
      <c r="EK39" s="500">
        <v>0</v>
      </c>
      <c r="EL39" s="500">
        <v>0</v>
      </c>
      <c r="EM39" s="500">
        <v>0</v>
      </c>
      <c r="EN39" s="500">
        <v>0</v>
      </c>
      <c r="EO39">
        <v>6.7</v>
      </c>
      <c r="EP39">
        <v>0</v>
      </c>
      <c r="EQ39">
        <v>0</v>
      </c>
      <c r="ER39">
        <v>0</v>
      </c>
      <c r="ES39">
        <v>-440956030.34721708</v>
      </c>
      <c r="ET39">
        <v>6.7</v>
      </c>
      <c r="EU39">
        <v>0</v>
      </c>
      <c r="EV39">
        <v>0</v>
      </c>
      <c r="EW39">
        <v>0</v>
      </c>
      <c r="EX39">
        <v>0</v>
      </c>
      <c r="EY39">
        <v>0</v>
      </c>
      <c r="EZ39">
        <v>0</v>
      </c>
      <c r="FA39">
        <v>-160500000</v>
      </c>
      <c r="FB39">
        <v>0</v>
      </c>
      <c r="FC39">
        <v>-160500000</v>
      </c>
      <c r="FD39">
        <v>-160500000</v>
      </c>
      <c r="FE39">
        <v>-160500000</v>
      </c>
      <c r="FF39">
        <v>-160500000</v>
      </c>
      <c r="FG39" s="32">
        <f>Bankingbook_SBV[[#This Row],[Mat. Date]]-RPT</f>
        <v>-3458</v>
      </c>
      <c r="FH39" s="32">
        <f>IF(Bankingbook_SBV[[#This Row],[Days]]&lt;=0,0,YEARFRAC(RPT,Bankingbook_SBV[[#This Row],[Mat. Date]],3))</f>
        <v>0</v>
      </c>
      <c r="FI39" s="32">
        <f>IF(Bankingbook_SBV[[#This Row],[Days (year)]]=0,0,INDEX(Ref!$K$2:$K$13,MATCH(Bankingbook_SBV[[#This Row],[Days (year)]],Ref!$I$2:$I$13,1)))</f>
        <v>0</v>
      </c>
      <c r="FJ39" s="32" t="str">
        <f>VLOOKUP(Bankingbook_SBV[[#This Row],[Security Name]],Ref!X:Z,3,0)</f>
        <v>TPCP</v>
      </c>
      <c r="FK39" s="32" t="str">
        <f>VLOOKUP(Bankingbook_SBV[[#This Row],[Security Name]],Ref!X:Y,2,0)</f>
        <v>KBNN</v>
      </c>
      <c r="FL39" s="72">
        <f>IF((Bankingbook_SBV[[#This Row],[Mat. Date]]-RPT)&lt;=0,0,Bankingbook_SBV[[#This Row],[QUANTITY]])</f>
        <v>0</v>
      </c>
      <c r="FM39" s="32">
        <f>IF(Bankingbook_SBV[[#This Row],[Quantity_edited]]=0,0,Bankingbook_SBV[[#This Row],[DURATION]])</f>
        <v>0</v>
      </c>
      <c r="FN39" s="32">
        <f>IF(Bankingbook_SBV[[#This Row],[Quantity_edited]]=0,0,Bankingbook_SBV[[#This Row],[Mod Dur]])</f>
        <v>0</v>
      </c>
      <c r="FO39" s="32">
        <f>IF(Bankingbook_SBV[[#This Row],[Quantity_edited]]=0,0,Bankingbook_SBV[[#This Row],[Cnvx.]])</f>
        <v>0</v>
      </c>
      <c r="FP39" s="32">
        <f>(Bankingbook_SBV[[#This Row],[MARKET_VALUE]]+Bankingbook_SBV[[#This Row],[Accr Int]]*Bankingbook_SBV[[#This Row],[Quantity_edited]])*(-Bankingbook_SBV[[#This Row],[Modified Duration]]*0.0001+0.5*Bankingbook_SBV[[#This Row],[Conv]]*(0.0001^2))</f>
        <v>0</v>
      </c>
      <c r="FQ39" s="32">
        <f>(Bankingbook_SBV[[#This Row],[MARKET_VALUE]]+Bankingbook_SBV[[#This Row],[Accr Int]]*Bankingbook_SBV[[#This Row],[Quantity_edited]])*(-Bankingbook_SBV[[#This Row],[Modified Duration]]*0.01+0.5*Bankingbook_SBV[[#This Row],[Conv]]*(0.01^2))</f>
        <v>0</v>
      </c>
      <c r="FT39" t="s">
        <v>166</v>
      </c>
      <c r="FU39" t="s">
        <v>790</v>
      </c>
      <c r="FV39" t="s">
        <v>4066</v>
      </c>
      <c r="FW39">
        <v>3335678</v>
      </c>
      <c r="FX39" s="502">
        <v>46247</v>
      </c>
      <c r="FY39" t="s">
        <v>2176</v>
      </c>
      <c r="FZ39" t="s">
        <v>812</v>
      </c>
      <c r="GA39" t="s">
        <v>3585</v>
      </c>
      <c r="GB39" t="s">
        <v>810</v>
      </c>
      <c r="GC39" t="s">
        <v>2852</v>
      </c>
      <c r="GD39" s="500">
        <v>-81919000000</v>
      </c>
      <c r="GE39">
        <v>7.000057</v>
      </c>
      <c r="GF39" s="502">
        <v>46252</v>
      </c>
      <c r="GG39" s="502">
        <v>46283</v>
      </c>
      <c r="GH39">
        <v>4.4000000000000004</v>
      </c>
      <c r="GI39" t="s">
        <v>811</v>
      </c>
      <c r="GJ39" t="s">
        <v>3321</v>
      </c>
      <c r="GK39" t="s">
        <v>3321</v>
      </c>
      <c r="GL39">
        <v>0</v>
      </c>
      <c r="GM39">
        <v>0</v>
      </c>
      <c r="GN39">
        <v>88444000000</v>
      </c>
      <c r="GO39">
        <v>7.38</v>
      </c>
      <c r="GP39">
        <v>0.08</v>
      </c>
      <c r="GQ39">
        <v>7.3999999999999996E-2</v>
      </c>
      <c r="GR39">
        <v>6.8575119999999998</v>
      </c>
      <c r="GS39">
        <v>-81757606793.520004</v>
      </c>
      <c r="GT39">
        <v>161393206.47999999</v>
      </c>
      <c r="GU39" t="s">
        <v>4152</v>
      </c>
      <c r="GV39" t="s">
        <v>4152</v>
      </c>
      <c r="GW39" s="416">
        <f>FNRP_Repo[[#This Row],[Mat. Date]]-RPT</f>
        <v>31</v>
      </c>
      <c r="GX39" s="819" t="str">
        <f>IF(FNRP_Repo[[#This Row],[Days]]&lt;=0,"Mat",INDEX(Ref!U:U,MATCH(FNRP_Repo[[#This Row],[Days]],Ref!S:S,1)))</f>
        <v>2M</v>
      </c>
      <c r="GY39" s="417">
        <f>RIGHT(FNRP_Repo[[#This Row],[Deal Id]],5)+0</f>
        <v>18120</v>
      </c>
    </row>
    <row r="40" spans="2:207" x14ac:dyDescent="0.3">
      <c r="B40" t="s">
        <v>166</v>
      </c>
      <c r="C40" t="s">
        <v>167</v>
      </c>
      <c r="D40" t="s">
        <v>212</v>
      </c>
      <c r="E40" t="s">
        <v>169</v>
      </c>
      <c r="F40" s="502">
        <v>42063</v>
      </c>
      <c r="G40" t="s">
        <v>3322</v>
      </c>
      <c r="H40"/>
      <c r="I40"/>
      <c r="J40" s="38">
        <v>0</v>
      </c>
      <c r="K40">
        <v>0</v>
      </c>
      <c r="L40">
        <v>0</v>
      </c>
      <c r="M40" s="38">
        <v>0</v>
      </c>
      <c r="N40">
        <v>8.3000000000000007</v>
      </c>
      <c r="O40">
        <v>0</v>
      </c>
      <c r="P40" s="37">
        <v>0</v>
      </c>
      <c r="Q40" s="37">
        <v>-5.0000000000000004E-6</v>
      </c>
      <c r="R40" s="37">
        <v>-1747921246.8055434</v>
      </c>
      <c r="S40">
        <v>8.3000000000000007</v>
      </c>
      <c r="T40" s="70">
        <v>0</v>
      </c>
      <c r="U40">
        <v>0</v>
      </c>
      <c r="V40">
        <v>0</v>
      </c>
      <c r="W40">
        <v>0</v>
      </c>
      <c r="X40" s="38">
        <v>0</v>
      </c>
      <c r="Y40">
        <v>0</v>
      </c>
      <c r="Z40" s="70">
        <v>2096550000</v>
      </c>
      <c r="AA40" s="70">
        <v>0</v>
      </c>
      <c r="AB40" s="70">
        <v>2096550000</v>
      </c>
      <c r="AC40" s="70">
        <v>2096550000</v>
      </c>
      <c r="AD40" s="70">
        <v>2096550000</v>
      </c>
      <c r="AE40" s="70">
        <v>2096550000</v>
      </c>
      <c r="AF40">
        <v>0</v>
      </c>
      <c r="AG40" s="72">
        <f>Tradingbook_MSB[[#This Row],[Mat. Date]]-RPT</f>
        <v>-4189</v>
      </c>
      <c r="AH40" s="71">
        <f>IF(Tradingbook_MSB[[#This Row],[Days]]&lt;=0,0,YEARFRAC(RPT,Tradingbook_MSB[[#This Row],[Mat. Date]],3))</f>
        <v>0</v>
      </c>
      <c r="AI40" s="71">
        <f>IF(Tradingbook_MSB[[#This Row],[Days (year)]]=0,0,INDEX(Ref!$K$2:$K$13,MATCH(Tradingbook_MSB[[#This Row],[Days (year)]],Ref!$I$2:$I$13,1)))</f>
        <v>0</v>
      </c>
      <c r="AJ40" s="120" t="str">
        <f>VLOOKUP(Tradingbook_MSB[[#This Row],[Security Name]],Ref!X:Z,3,0)</f>
        <v>TPCP</v>
      </c>
      <c r="AK40" s="120" t="str">
        <f>VLOOKUP(Tradingbook_MSB[[#This Row],[Security Name]],Ref!X:Y,2,0)</f>
        <v>KBNN</v>
      </c>
      <c r="AL40" s="71">
        <f>IF((Tradingbook_MSB[[#This Row],[Mat. Date]]-RPT)&lt;=0,0,Tradingbook_MSB[[#This Row],[QUANTITY]])</f>
        <v>0</v>
      </c>
      <c r="AM40" s="71">
        <f>IF(Tradingbook_MSB[[#This Row],[Quantity_edited]]=0,0,Tradingbook_MSB[[#This Row],[DURATION]])</f>
        <v>0</v>
      </c>
      <c r="AN40" s="71">
        <f>IF(Tradingbook_MSB[[#This Row],[Quantity_edited]]=0,0,Tradingbook_MSB[[#This Row],[Mod Dur]])</f>
        <v>0</v>
      </c>
      <c r="AO40" s="71">
        <f>IF(Tradingbook_MSB[[#This Row],[Quantity_edited]]=0,0,Tradingbook_MSB[[#This Row],[Cnvx.]])</f>
        <v>0</v>
      </c>
      <c r="AP40" s="71">
        <f>(Tradingbook_MSB[[#This Row],[MARKET_VALUE]]+Tradingbook_MSB[[#This Row],[Accr Int]]*Tradingbook_MSB[[#This Row],[Quantity_edited]])*(-Tradingbook_MSB[[#This Row],[Modified Duration]]*0.0001+0.5*Tradingbook_MSB[[#This Row],[Conv]]*(0.0001^2))</f>
        <v>0</v>
      </c>
      <c r="AQ40" s="72">
        <f>(Tradingbook_MSB[[#This Row],[MARKET_VALUE]]+Tradingbook_MSB[[#This Row],[Accr Int]]*Tradingbook_MSB[[#This Row],[Quantity_edited]])*(-Tradingbook_MSB[[#This Row],[Modified Duration]]*0.01+0.5*Tradingbook_MSB[[#This Row],[Conv]]*(0.01^2))</f>
        <v>0</v>
      </c>
      <c r="AR40" s="71"/>
      <c r="AT40" t="s">
        <v>166</v>
      </c>
      <c r="AU40" t="s">
        <v>167</v>
      </c>
      <c r="AV40" t="s">
        <v>324</v>
      </c>
      <c r="AW40" t="s">
        <v>169</v>
      </c>
      <c r="AX40" t="s">
        <v>3355</v>
      </c>
      <c r="AY40" t="s">
        <v>170</v>
      </c>
      <c r="BB40" s="49">
        <v>227710</v>
      </c>
      <c r="BC40">
        <v>22771000000</v>
      </c>
      <c r="BD40">
        <v>100754.758</v>
      </c>
      <c r="BE40" s="37">
        <v>0</v>
      </c>
      <c r="BF40">
        <v>6.3</v>
      </c>
      <c r="BG40">
        <v>0</v>
      </c>
      <c r="BH40" s="34">
        <v>4303719000</v>
      </c>
      <c r="BI40">
        <v>4430862814.0349998</v>
      </c>
      <c r="BJ40">
        <v>-3129563184.2802467</v>
      </c>
      <c r="BK40">
        <v>6.3</v>
      </c>
      <c r="BL40">
        <v>0</v>
      </c>
      <c r="BM40">
        <v>0</v>
      </c>
      <c r="BN40">
        <v>0</v>
      </c>
      <c r="BO40">
        <v>0</v>
      </c>
      <c r="BP40">
        <v>0</v>
      </c>
      <c r="BQ40">
        <v>0</v>
      </c>
      <c r="BR40">
        <v>-468624120.00000697</v>
      </c>
      <c r="BS40">
        <v>0</v>
      </c>
      <c r="BT40">
        <v>-468624120.00000697</v>
      </c>
      <c r="BU40">
        <v>-468624120.00000697</v>
      </c>
      <c r="BV40">
        <v>-468624120</v>
      </c>
      <c r="BW40">
        <v>-468624120.00000697</v>
      </c>
      <c r="BX40">
        <v>5.9740633140000003</v>
      </c>
      <c r="BY40" s="32">
        <f>Bankingbook_MSB[[#This Row],[Mat. Date]]-RPT</f>
        <v>-3443</v>
      </c>
      <c r="BZ40" s="71">
        <f>IF(Bankingbook_MSB[[#This Row],[Days]]&lt;=0,0,YEARFRAC(RPT,Bankingbook_MSB[[#This Row],[Mat. Date]],3))</f>
        <v>0</v>
      </c>
      <c r="CA40" s="71">
        <f>IF(Bankingbook_MSB[[#This Row],[Days (year)]]=0,0,INDEX(Ref!$K$2:$K$13,MATCH(Bankingbook_MSB[[#This Row],[Days (year)]],Ref!$I$2:$I$13,1)))</f>
        <v>0</v>
      </c>
      <c r="CB40" s="32" t="str">
        <f>VLOOKUP(Bankingbook_MSB[[#This Row],[Security Name]],Ref!X:Z,3,0)</f>
        <v>TPCP</v>
      </c>
      <c r="CC40" s="32" t="str">
        <f>VLOOKUP(Bankingbook_MSB[[#This Row],[Security Name]],Ref!X:Y,2,0)</f>
        <v>KBNN</v>
      </c>
      <c r="CD40" s="72">
        <f>IF((Bankingbook_MSB[[#This Row],[Mat. Date]]-RPT)&lt;=0,0,Bankingbook_MSB[[#This Row],[QUANTITY]])</f>
        <v>0</v>
      </c>
      <c r="CE40" s="71">
        <f>IF(Bankingbook_MSB[[#This Row],[Quantity_edited]]=0,0,Bankingbook_MSB[[#This Row],[DURATION]])</f>
        <v>0</v>
      </c>
      <c r="CF40" s="71">
        <f>IF(Bankingbook_MSB[[#This Row],[Quantity_edited]]=0,0,Bankingbook_MSB[[#This Row],[Mod Dur]])</f>
        <v>0</v>
      </c>
      <c r="CG40" s="71">
        <f>IF(Bankingbook_MSB[[#This Row],[Quantity_edited]]=0,0,Bankingbook_MSB[[#This Row],[Cnvx.]])</f>
        <v>0</v>
      </c>
      <c r="CH40" s="71">
        <f>(Bankingbook_MSB[[#This Row],[MARKET_VALUE]]+Bankingbook_MSB[[#This Row],[Accr Int]]*Bankingbook_MSB[[#This Row],[Quantity_edited]])*(-Bankingbook_MSB[[#This Row],[Modified Duration]]*0.0001+0.5*Bankingbook_MSB[[#This Row],[Conv]]*(0.0001^2))</f>
        <v>0</v>
      </c>
      <c r="CI40" s="71">
        <f>(Bankingbook_MSB[[#This Row],[MARKET_VALUE]]+Bankingbook_MSB[[#This Row],[Accr Int]]*Bankingbook_MSB[[#This Row],[Quantity_edited]])*(-Bankingbook_MSB[[#This Row],[Modified Duration]]*0.01+0.5*Bankingbook_MSB[[#This Row],[Conv]]*(0.01^2))</f>
        <v>0</v>
      </c>
      <c r="CJ40" s="32"/>
      <c r="CL40" t="s">
        <v>166</v>
      </c>
      <c r="CM40" t="s">
        <v>167</v>
      </c>
      <c r="CN40" t="s">
        <v>212</v>
      </c>
      <c r="CO40" t="s">
        <v>169</v>
      </c>
      <c r="CP40" s="35">
        <v>42063</v>
      </c>
      <c r="CQ40" t="s">
        <v>3322</v>
      </c>
      <c r="CR40" t="s">
        <v>174</v>
      </c>
      <c r="CS40" t="s">
        <v>174</v>
      </c>
      <c r="CT40" s="49">
        <v>0</v>
      </c>
      <c r="CU40">
        <v>0</v>
      </c>
      <c r="CV40">
        <v>0</v>
      </c>
      <c r="CW40" s="70">
        <v>0</v>
      </c>
      <c r="CX40">
        <v>8.3000000000000007</v>
      </c>
      <c r="CY40">
        <v>0</v>
      </c>
      <c r="CZ40">
        <v>0</v>
      </c>
      <c r="DA40">
        <v>-5.0000000000000004E-6</v>
      </c>
      <c r="DB40">
        <v>-1747921246.8055434</v>
      </c>
      <c r="DC40">
        <v>8.3000000000000007</v>
      </c>
      <c r="DD40">
        <v>0</v>
      </c>
      <c r="DE40">
        <v>0</v>
      </c>
      <c r="DF40">
        <v>0</v>
      </c>
      <c r="DG40">
        <v>0</v>
      </c>
      <c r="DH40">
        <v>0</v>
      </c>
      <c r="DI40">
        <v>0</v>
      </c>
      <c r="DJ40" s="500">
        <v>2096550000</v>
      </c>
      <c r="DK40" s="500">
        <v>0</v>
      </c>
      <c r="DL40" s="37">
        <v>2096550000</v>
      </c>
      <c r="DM40" s="37">
        <v>2096550000</v>
      </c>
      <c r="DN40" s="37">
        <v>2096550000</v>
      </c>
      <c r="DO40" s="37">
        <v>2096550000</v>
      </c>
      <c r="DP40" s="32">
        <f>Tradingbook_SBV[[#This Row],[Mat. Date]]-RPT</f>
        <v>-4189</v>
      </c>
      <c r="DQ40" s="32">
        <f>IF(Tradingbook_SBV[[#This Row],[Days]]&lt;=0,0,YEARFRAC(RPT,Tradingbook_SBV[[#This Row],[Mat. Date]],3))</f>
        <v>0</v>
      </c>
      <c r="DR40" s="32">
        <f>IF(Tradingbook_SBV[[#This Row],[Days (year)]]=0,0,INDEX(Ref!$K$2:$K$13,MATCH(Tradingbook_SBV[[#This Row],[Days (year)]],Ref!$I$2:$I$13,1)))</f>
        <v>0</v>
      </c>
      <c r="DS40" s="32" t="str">
        <f>VLOOKUP(Tradingbook_SBV[[#This Row],[Security Name]],Ref!X:Z,3,0)</f>
        <v>TPCP</v>
      </c>
      <c r="DT40" s="32" t="str">
        <f>VLOOKUP(Tradingbook_SBV[[#This Row],[Security Name]],Ref!X:Y,2,0)</f>
        <v>KBNN</v>
      </c>
      <c r="DU40" s="71">
        <f>IF((Tradingbook_SBV[[#This Row],[Mat. Date]]-RPT)&lt;=0,0,Tradingbook_SBV[[#This Row],[QUANTITY]])</f>
        <v>0</v>
      </c>
      <c r="DV40" s="71">
        <f>IF(Tradingbook_SBV[[#This Row],[Quantity_edited]]=0,0,Tradingbook_SBV[[#This Row],[DURATION]])</f>
        <v>0</v>
      </c>
      <c r="DW40" s="71">
        <f>IF(Tradingbook_SBV[[#This Row],[Quantity_edited]]=0,0,Tradingbook_SBV[[#This Row],[Mod Dur]])</f>
        <v>0</v>
      </c>
      <c r="DX40" s="71">
        <f>IF(Tradingbook_SBV[[#This Row],[Quantity_edited]]=0,0,Tradingbook_SBV[[#This Row],[Cnvx.]])</f>
        <v>0</v>
      </c>
      <c r="DY40" s="71">
        <f>(Tradingbook_SBV[[#This Row],[MARKET_VALUE]]+Tradingbook_SBV[[#This Row],[Accr Int]]*Tradingbook_SBV[[#This Row],[Quantity_edited]])*(-Tradingbook_SBV[[#This Row],[Modified Duration]]*0.0001+0.5*Tradingbook_SBV[[#This Row],[Conv]]*(0.0001^2))</f>
        <v>0</v>
      </c>
      <c r="DZ40" s="71">
        <f>(Tradingbook_SBV[[#This Row],[MARKET_VALUE]]+Tradingbook_SBV[[#This Row],[Accr Int]]*Tradingbook_SBV[[#This Row],[Quantity_edited]])*(-Tradingbook_SBV[[#This Row],[Modified Duration]]*0.01+0.5*Tradingbook_SBV[[#This Row],[Conv]]*(0.01^2))</f>
        <v>0</v>
      </c>
      <c r="EC40" t="s">
        <v>166</v>
      </c>
      <c r="ED40" t="s">
        <v>167</v>
      </c>
      <c r="EE40" t="s">
        <v>324</v>
      </c>
      <c r="EF40" t="s">
        <v>169</v>
      </c>
      <c r="EG40" s="35" t="s">
        <v>3355</v>
      </c>
      <c r="EH40" t="s">
        <v>170</v>
      </c>
      <c r="EK40" s="500">
        <v>227710</v>
      </c>
      <c r="EL40" s="500">
        <v>22771000000</v>
      </c>
      <c r="EM40" s="500">
        <v>100754.758</v>
      </c>
      <c r="EN40" s="500">
        <v>0</v>
      </c>
      <c r="EO40">
        <v>6.3</v>
      </c>
      <c r="EP40">
        <v>0</v>
      </c>
      <c r="EQ40">
        <v>4303719000</v>
      </c>
      <c r="ER40">
        <v>4430862814.0349998</v>
      </c>
      <c r="ES40">
        <v>-3129563184.2802467</v>
      </c>
      <c r="ET40">
        <v>6.3</v>
      </c>
      <c r="EU40">
        <v>0</v>
      </c>
      <c r="EV40">
        <v>0</v>
      </c>
      <c r="EW40">
        <v>0</v>
      </c>
      <c r="EX40">
        <v>0</v>
      </c>
      <c r="EY40">
        <v>0</v>
      </c>
      <c r="EZ40">
        <v>0</v>
      </c>
      <c r="FA40">
        <v>-468624120.00000697</v>
      </c>
      <c r="FB40">
        <v>0</v>
      </c>
      <c r="FC40">
        <v>-468624120.00000697</v>
      </c>
      <c r="FD40">
        <v>-468624120.00000697</v>
      </c>
      <c r="FE40">
        <v>-468624120</v>
      </c>
      <c r="FF40">
        <v>-468624120.00000697</v>
      </c>
      <c r="FG40" s="32">
        <f>Bankingbook_SBV[[#This Row],[Mat. Date]]-RPT</f>
        <v>-3443</v>
      </c>
      <c r="FH40" s="32">
        <f>IF(Bankingbook_SBV[[#This Row],[Days]]&lt;=0,0,YEARFRAC(RPT,Bankingbook_SBV[[#This Row],[Mat. Date]],3))</f>
        <v>0</v>
      </c>
      <c r="FI40" s="32">
        <f>IF(Bankingbook_SBV[[#This Row],[Days (year)]]=0,0,INDEX(Ref!$K$2:$K$13,MATCH(Bankingbook_SBV[[#This Row],[Days (year)]],Ref!$I$2:$I$13,1)))</f>
        <v>0</v>
      </c>
      <c r="FJ40" s="32" t="str">
        <f>VLOOKUP(Bankingbook_SBV[[#This Row],[Security Name]],Ref!X:Z,3,0)</f>
        <v>TPCP</v>
      </c>
      <c r="FK40" s="32" t="str">
        <f>VLOOKUP(Bankingbook_SBV[[#This Row],[Security Name]],Ref!X:Y,2,0)</f>
        <v>KBNN</v>
      </c>
      <c r="FL40" s="72">
        <f>IF((Bankingbook_SBV[[#This Row],[Mat. Date]]-RPT)&lt;=0,0,Bankingbook_SBV[[#This Row],[QUANTITY]])</f>
        <v>0</v>
      </c>
      <c r="FM40" s="32">
        <f>IF(Bankingbook_SBV[[#This Row],[Quantity_edited]]=0,0,Bankingbook_SBV[[#This Row],[DURATION]])</f>
        <v>0</v>
      </c>
      <c r="FN40" s="32">
        <f>IF(Bankingbook_SBV[[#This Row],[Quantity_edited]]=0,0,Bankingbook_SBV[[#This Row],[Mod Dur]])</f>
        <v>0</v>
      </c>
      <c r="FO40" s="32">
        <f>IF(Bankingbook_SBV[[#This Row],[Quantity_edited]]=0,0,Bankingbook_SBV[[#This Row],[Cnvx.]])</f>
        <v>0</v>
      </c>
      <c r="FP40" s="32">
        <f>(Bankingbook_SBV[[#This Row],[MARKET_VALUE]]+Bankingbook_SBV[[#This Row],[Accr Int]]*Bankingbook_SBV[[#This Row],[Quantity_edited]])*(-Bankingbook_SBV[[#This Row],[Modified Duration]]*0.0001+0.5*Bankingbook_SBV[[#This Row],[Conv]]*(0.0001^2))</f>
        <v>0</v>
      </c>
      <c r="FQ40" s="32">
        <f>(Bankingbook_SBV[[#This Row],[MARKET_VALUE]]+Bankingbook_SBV[[#This Row],[Accr Int]]*Bankingbook_SBV[[#This Row],[Quantity_edited]])*(-Bankingbook_SBV[[#This Row],[Modified Duration]]*0.01+0.5*Bankingbook_SBV[[#This Row],[Conv]]*(0.01^2))</f>
        <v>0</v>
      </c>
      <c r="FT40" t="s">
        <v>166</v>
      </c>
      <c r="FU40" t="s">
        <v>790</v>
      </c>
      <c r="FV40" t="s">
        <v>4004</v>
      </c>
      <c r="FW40">
        <v>3306978</v>
      </c>
      <c r="FX40" s="502">
        <v>46216</v>
      </c>
      <c r="FY40" t="s">
        <v>2176</v>
      </c>
      <c r="FZ40" t="s">
        <v>812</v>
      </c>
      <c r="GA40" t="s">
        <v>3585</v>
      </c>
      <c r="GB40" t="s">
        <v>810</v>
      </c>
      <c r="GC40" t="s">
        <v>2862</v>
      </c>
      <c r="GD40" s="500">
        <v>-13135360000</v>
      </c>
      <c r="GE40">
        <v>8.9996120000000008</v>
      </c>
      <c r="GF40" s="502">
        <v>46218</v>
      </c>
      <c r="GG40" s="502">
        <v>46283</v>
      </c>
      <c r="GH40">
        <v>4.5999999999999996</v>
      </c>
      <c r="GI40" t="s">
        <v>811</v>
      </c>
      <c r="GJ40" t="s">
        <v>3321</v>
      </c>
      <c r="GK40" t="s">
        <v>3321</v>
      </c>
      <c r="GL40">
        <v>59802375.109999999</v>
      </c>
      <c r="GM40">
        <v>-56284117.920000002</v>
      </c>
      <c r="GN40">
        <v>14481440000</v>
      </c>
      <c r="GO40">
        <v>9.3000000000000007</v>
      </c>
      <c r="GP40">
        <v>0.08</v>
      </c>
      <c r="GQ40">
        <v>7.3999999999999996E-2</v>
      </c>
      <c r="GR40">
        <v>6.8575119999999998</v>
      </c>
      <c r="GS40">
        <v>-13167663909.76</v>
      </c>
      <c r="GT40">
        <v>-32303909.760000002</v>
      </c>
      <c r="GU40" t="s">
        <v>4153</v>
      </c>
      <c r="GV40" t="s">
        <v>4153</v>
      </c>
      <c r="GW40" s="416">
        <f>FNRP_Repo[[#This Row],[Mat. Date]]-RPT</f>
        <v>31</v>
      </c>
      <c r="GX40" s="819" t="str">
        <f>IF(FNRP_Repo[[#This Row],[Days]]&lt;=0,"Mat",INDEX(Ref!U:U,MATCH(FNRP_Repo[[#This Row],[Days]],Ref!S:S,1)))</f>
        <v>2M</v>
      </c>
      <c r="GY40" s="417">
        <f>RIGHT(FNRP_Repo[[#This Row],[Deal Id]],5)+0</f>
        <v>18019</v>
      </c>
    </row>
    <row r="41" spans="2:207" x14ac:dyDescent="0.3">
      <c r="B41" t="s">
        <v>166</v>
      </c>
      <c r="C41" t="s">
        <v>167</v>
      </c>
      <c r="D41" t="s">
        <v>213</v>
      </c>
      <c r="E41" t="s">
        <v>169</v>
      </c>
      <c r="F41" s="502">
        <v>42078</v>
      </c>
      <c r="G41" t="s">
        <v>3322</v>
      </c>
      <c r="H41"/>
      <c r="I41"/>
      <c r="J41" s="38">
        <v>0</v>
      </c>
      <c r="K41">
        <v>0</v>
      </c>
      <c r="L41">
        <v>0</v>
      </c>
      <c r="M41" s="38">
        <v>0</v>
      </c>
      <c r="N41">
        <v>8.1999999999999993</v>
      </c>
      <c r="O41">
        <v>0</v>
      </c>
      <c r="P41" s="37">
        <v>0</v>
      </c>
      <c r="Q41" s="37">
        <v>0</v>
      </c>
      <c r="R41" s="37">
        <v>-4104186134.7222223</v>
      </c>
      <c r="S41">
        <v>8.1999999999999993</v>
      </c>
      <c r="T41" s="70">
        <v>0</v>
      </c>
      <c r="U41">
        <v>0</v>
      </c>
      <c r="V41">
        <v>0</v>
      </c>
      <c r="W41">
        <v>0</v>
      </c>
      <c r="X41" s="38">
        <v>0</v>
      </c>
      <c r="Y41">
        <v>0</v>
      </c>
      <c r="Z41" s="70">
        <v>2355500000</v>
      </c>
      <c r="AA41" s="70">
        <v>0</v>
      </c>
      <c r="AB41" s="70">
        <v>2355500000</v>
      </c>
      <c r="AC41" s="70">
        <v>2355500000</v>
      </c>
      <c r="AD41" s="70">
        <v>2355500000</v>
      </c>
      <c r="AE41" s="70">
        <v>2355500000</v>
      </c>
      <c r="AF41">
        <v>0</v>
      </c>
      <c r="AG41" s="72">
        <f>Tradingbook_MSB[[#This Row],[Mat. Date]]-RPT</f>
        <v>-4174</v>
      </c>
      <c r="AH41" s="71">
        <f>IF(Tradingbook_MSB[[#This Row],[Days]]&lt;=0,0,YEARFRAC(RPT,Tradingbook_MSB[[#This Row],[Mat. Date]],3))</f>
        <v>0</v>
      </c>
      <c r="AI41" s="71">
        <f>IF(Tradingbook_MSB[[#This Row],[Days (year)]]=0,0,INDEX(Ref!$K$2:$K$13,MATCH(Tradingbook_MSB[[#This Row],[Days (year)]],Ref!$I$2:$I$13,1)))</f>
        <v>0</v>
      </c>
      <c r="AJ41" s="120" t="str">
        <f>VLOOKUP(Tradingbook_MSB[[#This Row],[Security Name]],Ref!X:Z,3,0)</f>
        <v>TPCP</v>
      </c>
      <c r="AK41" s="120" t="str">
        <f>VLOOKUP(Tradingbook_MSB[[#This Row],[Security Name]],Ref!X:Y,2,0)</f>
        <v>KBNN</v>
      </c>
      <c r="AL41" s="71">
        <f>IF((Tradingbook_MSB[[#This Row],[Mat. Date]]-RPT)&lt;=0,0,Tradingbook_MSB[[#This Row],[QUANTITY]])</f>
        <v>0</v>
      </c>
      <c r="AM41" s="71">
        <f>IF(Tradingbook_MSB[[#This Row],[Quantity_edited]]=0,0,Tradingbook_MSB[[#This Row],[DURATION]])</f>
        <v>0</v>
      </c>
      <c r="AN41" s="71">
        <f>IF(Tradingbook_MSB[[#This Row],[Quantity_edited]]=0,0,Tradingbook_MSB[[#This Row],[Mod Dur]])</f>
        <v>0</v>
      </c>
      <c r="AO41" s="71">
        <f>IF(Tradingbook_MSB[[#This Row],[Quantity_edited]]=0,0,Tradingbook_MSB[[#This Row],[Cnvx.]])</f>
        <v>0</v>
      </c>
      <c r="AP41" s="71">
        <f>(Tradingbook_MSB[[#This Row],[MARKET_VALUE]]+Tradingbook_MSB[[#This Row],[Accr Int]]*Tradingbook_MSB[[#This Row],[Quantity_edited]])*(-Tradingbook_MSB[[#This Row],[Modified Duration]]*0.0001+0.5*Tradingbook_MSB[[#This Row],[Conv]]*(0.0001^2))</f>
        <v>0</v>
      </c>
      <c r="AQ41" s="72">
        <f>(Tradingbook_MSB[[#This Row],[MARKET_VALUE]]+Tradingbook_MSB[[#This Row],[Accr Int]]*Tradingbook_MSB[[#This Row],[Quantity_edited]])*(-Tradingbook_MSB[[#This Row],[Modified Duration]]*0.01+0.5*Tradingbook_MSB[[#This Row],[Conv]]*(0.01^2))</f>
        <v>0</v>
      </c>
      <c r="AR41" s="71"/>
      <c r="AT41" t="s">
        <v>166</v>
      </c>
      <c r="AU41" t="s">
        <v>167</v>
      </c>
      <c r="AV41" t="s">
        <v>325</v>
      </c>
      <c r="AW41" t="s">
        <v>169</v>
      </c>
      <c r="AX41" t="s">
        <v>3356</v>
      </c>
      <c r="AY41" t="s">
        <v>271</v>
      </c>
      <c r="BB41" s="49">
        <v>-500000</v>
      </c>
      <c r="BC41">
        <v>-50000000000</v>
      </c>
      <c r="BD41">
        <v>100066</v>
      </c>
      <c r="BE41" s="37">
        <v>0</v>
      </c>
      <c r="BF41">
        <v>6.1</v>
      </c>
      <c r="BG41">
        <v>0</v>
      </c>
      <c r="BH41" s="34">
        <v>-9150000000</v>
      </c>
      <c r="BI41">
        <v>-9423332527.7777786</v>
      </c>
      <c r="BJ41">
        <v>3993878502.9861159</v>
      </c>
      <c r="BK41">
        <v>6.1</v>
      </c>
      <c r="BL41">
        <v>0</v>
      </c>
      <c r="BM41">
        <v>0</v>
      </c>
      <c r="BN41">
        <v>0</v>
      </c>
      <c r="BO41">
        <v>0</v>
      </c>
      <c r="BP41">
        <v>0</v>
      </c>
      <c r="BQ41">
        <v>0</v>
      </c>
      <c r="BR41">
        <v>33000000</v>
      </c>
      <c r="BS41">
        <v>0</v>
      </c>
      <c r="BT41">
        <v>33000000</v>
      </c>
      <c r="BU41">
        <v>33000000</v>
      </c>
      <c r="BV41">
        <v>33000000</v>
      </c>
      <c r="BW41">
        <v>33000000</v>
      </c>
      <c r="BX41">
        <v>6.05</v>
      </c>
      <c r="BY41" s="32">
        <f>Bankingbook_MSB[[#This Row],[Mat. Date]]-RPT</f>
        <v>-3427</v>
      </c>
      <c r="BZ41" s="71">
        <f>IF(Bankingbook_MSB[[#This Row],[Days]]&lt;=0,0,YEARFRAC(RPT,Bankingbook_MSB[[#This Row],[Mat. Date]],3))</f>
        <v>0</v>
      </c>
      <c r="CA41" s="71">
        <f>IF(Bankingbook_MSB[[#This Row],[Days (year)]]=0,0,INDEX(Ref!$K$2:$K$13,MATCH(Bankingbook_MSB[[#This Row],[Days (year)]],Ref!$I$2:$I$13,1)))</f>
        <v>0</v>
      </c>
      <c r="CB41" s="32" t="str">
        <f>VLOOKUP(Bankingbook_MSB[[#This Row],[Security Name]],Ref!X:Z,3,0)</f>
        <v>TPCP</v>
      </c>
      <c r="CC41" s="32" t="str">
        <f>VLOOKUP(Bankingbook_MSB[[#This Row],[Security Name]],Ref!X:Y,2,0)</f>
        <v>KBNN</v>
      </c>
      <c r="CD41" s="72">
        <f>IF((Bankingbook_MSB[[#This Row],[Mat. Date]]-RPT)&lt;=0,0,Bankingbook_MSB[[#This Row],[QUANTITY]])</f>
        <v>0</v>
      </c>
      <c r="CE41" s="71">
        <f>IF(Bankingbook_MSB[[#This Row],[Quantity_edited]]=0,0,Bankingbook_MSB[[#This Row],[DURATION]])</f>
        <v>0</v>
      </c>
      <c r="CF41" s="71">
        <f>IF(Bankingbook_MSB[[#This Row],[Quantity_edited]]=0,0,Bankingbook_MSB[[#This Row],[Mod Dur]])</f>
        <v>0</v>
      </c>
      <c r="CG41" s="71">
        <f>IF(Bankingbook_MSB[[#This Row],[Quantity_edited]]=0,0,Bankingbook_MSB[[#This Row],[Cnvx.]])</f>
        <v>0</v>
      </c>
      <c r="CH41" s="71">
        <f>(Bankingbook_MSB[[#This Row],[MARKET_VALUE]]+Bankingbook_MSB[[#This Row],[Accr Int]]*Bankingbook_MSB[[#This Row],[Quantity_edited]])*(-Bankingbook_MSB[[#This Row],[Modified Duration]]*0.0001+0.5*Bankingbook_MSB[[#This Row],[Conv]]*(0.0001^2))</f>
        <v>0</v>
      </c>
      <c r="CI41" s="71">
        <f>(Bankingbook_MSB[[#This Row],[MARKET_VALUE]]+Bankingbook_MSB[[#This Row],[Accr Int]]*Bankingbook_MSB[[#This Row],[Quantity_edited]])*(-Bankingbook_MSB[[#This Row],[Modified Duration]]*0.01+0.5*Bankingbook_MSB[[#This Row],[Conv]]*(0.01^2))</f>
        <v>0</v>
      </c>
      <c r="CJ41" s="32"/>
      <c r="CL41" t="s">
        <v>166</v>
      </c>
      <c r="CM41" t="s">
        <v>167</v>
      </c>
      <c r="CN41" t="s">
        <v>213</v>
      </c>
      <c r="CO41" t="s">
        <v>169</v>
      </c>
      <c r="CP41" s="35">
        <v>42078</v>
      </c>
      <c r="CQ41" t="s">
        <v>3322</v>
      </c>
      <c r="CR41" t="s">
        <v>174</v>
      </c>
      <c r="CS41" t="s">
        <v>174</v>
      </c>
      <c r="CT41" s="49">
        <v>0</v>
      </c>
      <c r="CU41">
        <v>0</v>
      </c>
      <c r="CV41">
        <v>0</v>
      </c>
      <c r="CW41" s="70">
        <v>0</v>
      </c>
      <c r="CX41">
        <v>8.1999999999999993</v>
      </c>
      <c r="CY41">
        <v>0</v>
      </c>
      <c r="CZ41">
        <v>0</v>
      </c>
      <c r="DA41">
        <v>0</v>
      </c>
      <c r="DB41">
        <v>-4104186134.7222223</v>
      </c>
      <c r="DC41">
        <v>8.1999999999999993</v>
      </c>
      <c r="DD41">
        <v>0</v>
      </c>
      <c r="DE41">
        <v>0</v>
      </c>
      <c r="DF41">
        <v>0</v>
      </c>
      <c r="DG41">
        <v>0</v>
      </c>
      <c r="DH41">
        <v>0</v>
      </c>
      <c r="DI41">
        <v>0</v>
      </c>
      <c r="DJ41" s="500">
        <v>2355500000</v>
      </c>
      <c r="DK41" s="500">
        <v>0</v>
      </c>
      <c r="DL41" s="37">
        <v>2355500000</v>
      </c>
      <c r="DM41" s="37">
        <v>2355500000</v>
      </c>
      <c r="DN41" s="37">
        <v>2355500000</v>
      </c>
      <c r="DO41" s="37">
        <v>2355500000</v>
      </c>
      <c r="DP41" s="32">
        <f>Tradingbook_SBV[[#This Row],[Mat. Date]]-RPT</f>
        <v>-4174</v>
      </c>
      <c r="DQ41" s="32">
        <f>IF(Tradingbook_SBV[[#This Row],[Days]]&lt;=0,0,YEARFRAC(RPT,Tradingbook_SBV[[#This Row],[Mat. Date]],3))</f>
        <v>0</v>
      </c>
      <c r="DR41" s="32">
        <f>IF(Tradingbook_SBV[[#This Row],[Days (year)]]=0,0,INDEX(Ref!$K$2:$K$13,MATCH(Tradingbook_SBV[[#This Row],[Days (year)]],Ref!$I$2:$I$13,1)))</f>
        <v>0</v>
      </c>
      <c r="DS41" s="32" t="str">
        <f>VLOOKUP(Tradingbook_SBV[[#This Row],[Security Name]],Ref!X:Z,3,0)</f>
        <v>TPCP</v>
      </c>
      <c r="DT41" s="32" t="str">
        <f>VLOOKUP(Tradingbook_SBV[[#This Row],[Security Name]],Ref!X:Y,2,0)</f>
        <v>KBNN</v>
      </c>
      <c r="DU41" s="71">
        <f>IF((Tradingbook_SBV[[#This Row],[Mat. Date]]-RPT)&lt;=0,0,Tradingbook_SBV[[#This Row],[QUANTITY]])</f>
        <v>0</v>
      </c>
      <c r="DV41" s="71">
        <f>IF(Tradingbook_SBV[[#This Row],[Quantity_edited]]=0,0,Tradingbook_SBV[[#This Row],[DURATION]])</f>
        <v>0</v>
      </c>
      <c r="DW41" s="71">
        <f>IF(Tradingbook_SBV[[#This Row],[Quantity_edited]]=0,0,Tradingbook_SBV[[#This Row],[Mod Dur]])</f>
        <v>0</v>
      </c>
      <c r="DX41" s="71">
        <f>IF(Tradingbook_SBV[[#This Row],[Quantity_edited]]=0,0,Tradingbook_SBV[[#This Row],[Cnvx.]])</f>
        <v>0</v>
      </c>
      <c r="DY41" s="71">
        <f>(Tradingbook_SBV[[#This Row],[MARKET_VALUE]]+Tradingbook_SBV[[#This Row],[Accr Int]]*Tradingbook_SBV[[#This Row],[Quantity_edited]])*(-Tradingbook_SBV[[#This Row],[Modified Duration]]*0.0001+0.5*Tradingbook_SBV[[#This Row],[Conv]]*(0.0001^2))</f>
        <v>0</v>
      </c>
      <c r="DZ41" s="71">
        <f>(Tradingbook_SBV[[#This Row],[MARKET_VALUE]]+Tradingbook_SBV[[#This Row],[Accr Int]]*Tradingbook_SBV[[#This Row],[Quantity_edited]])*(-Tradingbook_SBV[[#This Row],[Modified Duration]]*0.01+0.5*Tradingbook_SBV[[#This Row],[Conv]]*(0.01^2))</f>
        <v>0</v>
      </c>
      <c r="EC41" t="s">
        <v>166</v>
      </c>
      <c r="ED41" t="s">
        <v>167</v>
      </c>
      <c r="EE41" t="s">
        <v>325</v>
      </c>
      <c r="EF41" t="s">
        <v>169</v>
      </c>
      <c r="EG41" s="35" t="s">
        <v>3356</v>
      </c>
      <c r="EH41" t="s">
        <v>271</v>
      </c>
      <c r="EK41" s="500">
        <v>-500000</v>
      </c>
      <c r="EL41" s="500">
        <v>-50000000000</v>
      </c>
      <c r="EM41" s="500">
        <v>100066</v>
      </c>
      <c r="EN41" s="500">
        <v>0</v>
      </c>
      <c r="EO41">
        <v>6.1</v>
      </c>
      <c r="EP41">
        <v>0</v>
      </c>
      <c r="EQ41">
        <v>-9150000000</v>
      </c>
      <c r="ER41">
        <v>-9423332527.7777786</v>
      </c>
      <c r="ES41">
        <v>3993878502.9861159</v>
      </c>
      <c r="ET41">
        <v>6.1</v>
      </c>
      <c r="EU41">
        <v>0</v>
      </c>
      <c r="EV41">
        <v>0</v>
      </c>
      <c r="EW41">
        <v>0</v>
      </c>
      <c r="EX41">
        <v>0</v>
      </c>
      <c r="EY41">
        <v>0</v>
      </c>
      <c r="EZ41">
        <v>0</v>
      </c>
      <c r="FA41">
        <v>33000000</v>
      </c>
      <c r="FB41">
        <v>0</v>
      </c>
      <c r="FC41">
        <v>33000000</v>
      </c>
      <c r="FD41">
        <v>33000000</v>
      </c>
      <c r="FE41">
        <v>33000000</v>
      </c>
      <c r="FF41">
        <v>33000000</v>
      </c>
      <c r="FG41" s="32">
        <f>Bankingbook_SBV[[#This Row],[Mat. Date]]-RPT</f>
        <v>-3427</v>
      </c>
      <c r="FH41" s="32">
        <f>IF(Bankingbook_SBV[[#This Row],[Days]]&lt;=0,0,YEARFRAC(RPT,Bankingbook_SBV[[#This Row],[Mat. Date]],3))</f>
        <v>0</v>
      </c>
      <c r="FI41" s="32">
        <f>IF(Bankingbook_SBV[[#This Row],[Days (year)]]=0,0,INDEX(Ref!$K$2:$K$13,MATCH(Bankingbook_SBV[[#This Row],[Days (year)]],Ref!$I$2:$I$13,1)))</f>
        <v>0</v>
      </c>
      <c r="FJ41" s="32" t="str">
        <f>VLOOKUP(Bankingbook_SBV[[#This Row],[Security Name]],Ref!X:Z,3,0)</f>
        <v>TPCP</v>
      </c>
      <c r="FK41" s="32" t="str">
        <f>VLOOKUP(Bankingbook_SBV[[#This Row],[Security Name]],Ref!X:Y,2,0)</f>
        <v>KBNN</v>
      </c>
      <c r="FL41" s="72">
        <f>IF((Bankingbook_SBV[[#This Row],[Mat. Date]]-RPT)&lt;=0,0,Bankingbook_SBV[[#This Row],[QUANTITY]])</f>
        <v>0</v>
      </c>
      <c r="FM41" s="32">
        <f>IF(Bankingbook_SBV[[#This Row],[Quantity_edited]]=0,0,Bankingbook_SBV[[#This Row],[DURATION]])</f>
        <v>0</v>
      </c>
      <c r="FN41" s="32">
        <f>IF(Bankingbook_SBV[[#This Row],[Quantity_edited]]=0,0,Bankingbook_SBV[[#This Row],[Mod Dur]])</f>
        <v>0</v>
      </c>
      <c r="FO41" s="32">
        <f>IF(Bankingbook_SBV[[#This Row],[Quantity_edited]]=0,0,Bankingbook_SBV[[#This Row],[Cnvx.]])</f>
        <v>0</v>
      </c>
      <c r="FP41" s="32">
        <f>(Bankingbook_SBV[[#This Row],[MARKET_VALUE]]+Bankingbook_SBV[[#This Row],[Accr Int]]*Bankingbook_SBV[[#This Row],[Quantity_edited]])*(-Bankingbook_SBV[[#This Row],[Modified Duration]]*0.0001+0.5*Bankingbook_SBV[[#This Row],[Conv]]*(0.0001^2))</f>
        <v>0</v>
      </c>
      <c r="FQ41" s="32">
        <f>(Bankingbook_SBV[[#This Row],[MARKET_VALUE]]+Bankingbook_SBV[[#This Row],[Accr Int]]*Bankingbook_SBV[[#This Row],[Quantity_edited]])*(-Bankingbook_SBV[[#This Row],[Modified Duration]]*0.01+0.5*Bankingbook_SBV[[#This Row],[Conv]]*(0.01^2))</f>
        <v>0</v>
      </c>
      <c r="FT41" t="s">
        <v>166</v>
      </c>
      <c r="FU41" t="s">
        <v>790</v>
      </c>
      <c r="FV41" t="s">
        <v>4005</v>
      </c>
      <c r="FW41">
        <v>3306980</v>
      </c>
      <c r="FX41" s="502">
        <v>46216</v>
      </c>
      <c r="FY41" t="s">
        <v>2176</v>
      </c>
      <c r="FZ41" t="s">
        <v>812</v>
      </c>
      <c r="GA41" t="s">
        <v>3585</v>
      </c>
      <c r="GB41" t="s">
        <v>810</v>
      </c>
      <c r="GC41" t="s">
        <v>3051</v>
      </c>
      <c r="GD41" s="500">
        <v>-165328000000</v>
      </c>
      <c r="GE41">
        <v>8.9994390000000006</v>
      </c>
      <c r="GF41" s="502">
        <v>46218</v>
      </c>
      <c r="GG41" s="502">
        <v>46283</v>
      </c>
      <c r="GH41">
        <v>4.5999999999999996</v>
      </c>
      <c r="GI41" t="s">
        <v>811</v>
      </c>
      <c r="GJ41" t="s">
        <v>3321</v>
      </c>
      <c r="GK41" t="s">
        <v>3321</v>
      </c>
      <c r="GL41">
        <v>752701644.44000006</v>
      </c>
      <c r="GM41">
        <v>-708419156.15999997</v>
      </c>
      <c r="GN41">
        <v>182010000000</v>
      </c>
      <c r="GO41">
        <v>9.17</v>
      </c>
      <c r="GP41">
        <v>0.08</v>
      </c>
      <c r="GQ41">
        <v>7.3999999999999996E-2</v>
      </c>
      <c r="GR41">
        <v>6.8575119999999998</v>
      </c>
      <c r="GS41">
        <v>-165734592649.12</v>
      </c>
      <c r="GT41">
        <v>-406592649.12</v>
      </c>
      <c r="GU41" t="s">
        <v>4154</v>
      </c>
      <c r="GV41" t="s">
        <v>4154</v>
      </c>
      <c r="GW41" s="416">
        <f>FNRP_Repo[[#This Row],[Mat. Date]]-RPT</f>
        <v>31</v>
      </c>
      <c r="GX41" s="819" t="str">
        <f>IF(FNRP_Repo[[#This Row],[Days]]&lt;=0,"Mat",INDEX(Ref!U:U,MATCH(FNRP_Repo[[#This Row],[Days]],Ref!S:S,1)))</f>
        <v>2M</v>
      </c>
      <c r="GY41" s="417">
        <f>RIGHT(FNRP_Repo[[#This Row],[Deal Id]],5)+0</f>
        <v>18020</v>
      </c>
    </row>
    <row r="42" spans="2:207" x14ac:dyDescent="0.3">
      <c r="B42" t="s">
        <v>166</v>
      </c>
      <c r="C42" t="s">
        <v>167</v>
      </c>
      <c r="D42" t="s">
        <v>214</v>
      </c>
      <c r="E42" t="s">
        <v>169</v>
      </c>
      <c r="F42" s="502">
        <v>42081</v>
      </c>
      <c r="G42" t="s">
        <v>3322</v>
      </c>
      <c r="H42"/>
      <c r="I42"/>
      <c r="J42" s="38">
        <v>0</v>
      </c>
      <c r="K42">
        <v>0</v>
      </c>
      <c r="L42">
        <v>0</v>
      </c>
      <c r="M42" s="38">
        <v>0</v>
      </c>
      <c r="N42">
        <v>8.8000000000000007</v>
      </c>
      <c r="O42">
        <v>0</v>
      </c>
      <c r="P42" s="37">
        <v>0</v>
      </c>
      <c r="Q42" s="37">
        <v>0</v>
      </c>
      <c r="R42" s="37">
        <v>-1540173363.8888884</v>
      </c>
      <c r="S42">
        <v>8.8000000000000007</v>
      </c>
      <c r="T42" s="70">
        <v>0</v>
      </c>
      <c r="U42">
        <v>0</v>
      </c>
      <c r="V42">
        <v>0</v>
      </c>
      <c r="W42">
        <v>0</v>
      </c>
      <c r="X42" s="38">
        <v>0</v>
      </c>
      <c r="Y42">
        <v>0</v>
      </c>
      <c r="Z42" s="70">
        <v>1237000000</v>
      </c>
      <c r="AA42" s="70">
        <v>0</v>
      </c>
      <c r="AB42" s="70">
        <v>1237000000</v>
      </c>
      <c r="AC42" s="70">
        <v>1237000000</v>
      </c>
      <c r="AD42" s="70">
        <v>1237000000</v>
      </c>
      <c r="AE42" s="70">
        <v>1237000000</v>
      </c>
      <c r="AF42">
        <v>0</v>
      </c>
      <c r="AG42" s="72">
        <f>Tradingbook_MSB[[#This Row],[Mat. Date]]-RPT</f>
        <v>-4171</v>
      </c>
      <c r="AH42" s="71">
        <f>IF(Tradingbook_MSB[[#This Row],[Days]]&lt;=0,0,YEARFRAC(RPT,Tradingbook_MSB[[#This Row],[Mat. Date]],3))</f>
        <v>0</v>
      </c>
      <c r="AI42" s="71">
        <f>IF(Tradingbook_MSB[[#This Row],[Days (year)]]=0,0,INDEX(Ref!$K$2:$K$13,MATCH(Tradingbook_MSB[[#This Row],[Days (year)]],Ref!$I$2:$I$13,1)))</f>
        <v>0</v>
      </c>
      <c r="AJ42" s="120" t="str">
        <f>VLOOKUP(Tradingbook_MSB[[#This Row],[Security Name]],Ref!X:Z,3,0)</f>
        <v>TPCP</v>
      </c>
      <c r="AK42" s="120" t="str">
        <f>VLOOKUP(Tradingbook_MSB[[#This Row],[Security Name]],Ref!X:Y,2,0)</f>
        <v>VDB</v>
      </c>
      <c r="AL42" s="71">
        <f>IF((Tradingbook_MSB[[#This Row],[Mat. Date]]-RPT)&lt;=0,0,Tradingbook_MSB[[#This Row],[QUANTITY]])</f>
        <v>0</v>
      </c>
      <c r="AM42" s="71">
        <f>IF(Tradingbook_MSB[[#This Row],[Quantity_edited]]=0,0,Tradingbook_MSB[[#This Row],[DURATION]])</f>
        <v>0</v>
      </c>
      <c r="AN42" s="71">
        <f>IF(Tradingbook_MSB[[#This Row],[Quantity_edited]]=0,0,Tradingbook_MSB[[#This Row],[Mod Dur]])</f>
        <v>0</v>
      </c>
      <c r="AO42" s="71">
        <f>IF(Tradingbook_MSB[[#This Row],[Quantity_edited]]=0,0,Tradingbook_MSB[[#This Row],[Cnvx.]])</f>
        <v>0</v>
      </c>
      <c r="AP42" s="71">
        <f>(Tradingbook_MSB[[#This Row],[MARKET_VALUE]]+Tradingbook_MSB[[#This Row],[Accr Int]]*Tradingbook_MSB[[#This Row],[Quantity_edited]])*(-Tradingbook_MSB[[#This Row],[Modified Duration]]*0.0001+0.5*Tradingbook_MSB[[#This Row],[Conv]]*(0.0001^2))</f>
        <v>0</v>
      </c>
      <c r="AQ42" s="72">
        <f>(Tradingbook_MSB[[#This Row],[MARKET_VALUE]]+Tradingbook_MSB[[#This Row],[Accr Int]]*Tradingbook_MSB[[#This Row],[Quantity_edited]])*(-Tradingbook_MSB[[#This Row],[Modified Duration]]*0.01+0.5*Tradingbook_MSB[[#This Row],[Conv]]*(0.01^2))</f>
        <v>0</v>
      </c>
      <c r="AR42" s="71"/>
      <c r="AT42" t="s">
        <v>166</v>
      </c>
      <c r="AU42" t="s">
        <v>167</v>
      </c>
      <c r="AV42" t="s">
        <v>326</v>
      </c>
      <c r="AW42" t="s">
        <v>169</v>
      </c>
      <c r="AX42" t="s">
        <v>3357</v>
      </c>
      <c r="AY42" t="s">
        <v>3322</v>
      </c>
      <c r="BB42" s="49">
        <v>0</v>
      </c>
      <c r="BC42">
        <v>0</v>
      </c>
      <c r="BD42">
        <v>0</v>
      </c>
      <c r="BE42" s="37">
        <v>0</v>
      </c>
      <c r="BF42">
        <v>10.8</v>
      </c>
      <c r="BG42">
        <v>0</v>
      </c>
      <c r="BH42" s="34">
        <v>5400000000</v>
      </c>
      <c r="BI42">
        <v>5744541750.0000019</v>
      </c>
      <c r="BJ42">
        <v>-2061005805.2083282</v>
      </c>
      <c r="BK42">
        <v>10.8</v>
      </c>
      <c r="BL42">
        <v>0</v>
      </c>
      <c r="BM42">
        <v>0</v>
      </c>
      <c r="BN42">
        <v>0</v>
      </c>
      <c r="BO42">
        <v>0</v>
      </c>
      <c r="BP42">
        <v>0</v>
      </c>
      <c r="BQ42">
        <v>0</v>
      </c>
      <c r="BR42">
        <v>-2126500000</v>
      </c>
      <c r="BS42">
        <v>0</v>
      </c>
      <c r="BT42">
        <v>-2126500000</v>
      </c>
      <c r="BU42">
        <v>-2126500000</v>
      </c>
      <c r="BV42">
        <v>-2126500000</v>
      </c>
      <c r="BW42">
        <v>-2126500000</v>
      </c>
      <c r="BX42">
        <v>0</v>
      </c>
      <c r="BY42" s="32">
        <f>Bankingbook_MSB[[#This Row],[Mat. Date]]-RPT</f>
        <v>-3412</v>
      </c>
      <c r="BZ42" s="71">
        <f>IF(Bankingbook_MSB[[#This Row],[Days]]&lt;=0,0,YEARFRAC(RPT,Bankingbook_MSB[[#This Row],[Mat. Date]],3))</f>
        <v>0</v>
      </c>
      <c r="CA42" s="71">
        <f>IF(Bankingbook_MSB[[#This Row],[Days (year)]]=0,0,INDEX(Ref!$K$2:$K$13,MATCH(Bankingbook_MSB[[#This Row],[Days (year)]],Ref!$I$2:$I$13,1)))</f>
        <v>0</v>
      </c>
      <c r="CB42" s="32" t="str">
        <f>VLOOKUP(Bankingbook_MSB[[#This Row],[Security Name]],Ref!X:Z,3,0)</f>
        <v>TPCP</v>
      </c>
      <c r="CC42" s="32" t="str">
        <f>VLOOKUP(Bankingbook_MSB[[#This Row],[Security Name]],Ref!X:Y,2,0)</f>
        <v>KBNN</v>
      </c>
      <c r="CD42" s="72">
        <f>IF((Bankingbook_MSB[[#This Row],[Mat. Date]]-RPT)&lt;=0,0,Bankingbook_MSB[[#This Row],[QUANTITY]])</f>
        <v>0</v>
      </c>
      <c r="CE42" s="71">
        <f>IF(Bankingbook_MSB[[#This Row],[Quantity_edited]]=0,0,Bankingbook_MSB[[#This Row],[DURATION]])</f>
        <v>0</v>
      </c>
      <c r="CF42" s="71">
        <f>IF(Bankingbook_MSB[[#This Row],[Quantity_edited]]=0,0,Bankingbook_MSB[[#This Row],[Mod Dur]])</f>
        <v>0</v>
      </c>
      <c r="CG42" s="71">
        <f>IF(Bankingbook_MSB[[#This Row],[Quantity_edited]]=0,0,Bankingbook_MSB[[#This Row],[Cnvx.]])</f>
        <v>0</v>
      </c>
      <c r="CH42" s="71">
        <f>(Bankingbook_MSB[[#This Row],[MARKET_VALUE]]+Bankingbook_MSB[[#This Row],[Accr Int]]*Bankingbook_MSB[[#This Row],[Quantity_edited]])*(-Bankingbook_MSB[[#This Row],[Modified Duration]]*0.0001+0.5*Bankingbook_MSB[[#This Row],[Conv]]*(0.0001^2))</f>
        <v>0</v>
      </c>
      <c r="CI42" s="71">
        <f>(Bankingbook_MSB[[#This Row],[MARKET_VALUE]]+Bankingbook_MSB[[#This Row],[Accr Int]]*Bankingbook_MSB[[#This Row],[Quantity_edited]])*(-Bankingbook_MSB[[#This Row],[Modified Duration]]*0.01+0.5*Bankingbook_MSB[[#This Row],[Conv]]*(0.01^2))</f>
        <v>0</v>
      </c>
      <c r="CJ42" s="32"/>
      <c r="CL42" t="s">
        <v>166</v>
      </c>
      <c r="CM42" t="s">
        <v>167</v>
      </c>
      <c r="CN42" t="s">
        <v>214</v>
      </c>
      <c r="CO42" t="s">
        <v>169</v>
      </c>
      <c r="CP42" s="35">
        <v>42081</v>
      </c>
      <c r="CQ42" t="s">
        <v>3322</v>
      </c>
      <c r="CR42" t="s">
        <v>174</v>
      </c>
      <c r="CS42" t="s">
        <v>174</v>
      </c>
      <c r="CT42" s="49">
        <v>0</v>
      </c>
      <c r="CU42">
        <v>0</v>
      </c>
      <c r="CV42">
        <v>0</v>
      </c>
      <c r="CW42" s="70">
        <v>0</v>
      </c>
      <c r="CX42">
        <v>8.8000000000000007</v>
      </c>
      <c r="CY42">
        <v>0</v>
      </c>
      <c r="CZ42">
        <v>0</v>
      </c>
      <c r="DA42">
        <v>0</v>
      </c>
      <c r="DB42">
        <v>-1540173363.8888884</v>
      </c>
      <c r="DC42">
        <v>8.8000000000000007</v>
      </c>
      <c r="DD42">
        <v>0</v>
      </c>
      <c r="DE42">
        <v>0</v>
      </c>
      <c r="DF42">
        <v>0</v>
      </c>
      <c r="DG42">
        <v>0</v>
      </c>
      <c r="DH42">
        <v>0</v>
      </c>
      <c r="DI42">
        <v>0</v>
      </c>
      <c r="DJ42" s="500">
        <v>1237000000</v>
      </c>
      <c r="DK42" s="500">
        <v>0</v>
      </c>
      <c r="DL42" s="37">
        <v>1237000000</v>
      </c>
      <c r="DM42" s="37">
        <v>1237000000</v>
      </c>
      <c r="DN42" s="37">
        <v>1237000000</v>
      </c>
      <c r="DO42" s="37">
        <v>1237000000</v>
      </c>
      <c r="DP42" s="32">
        <f>Tradingbook_SBV[[#This Row],[Mat. Date]]-RPT</f>
        <v>-4171</v>
      </c>
      <c r="DQ42" s="32">
        <f>IF(Tradingbook_SBV[[#This Row],[Days]]&lt;=0,0,YEARFRAC(RPT,Tradingbook_SBV[[#This Row],[Mat. Date]],3))</f>
        <v>0</v>
      </c>
      <c r="DR42" s="32">
        <f>IF(Tradingbook_SBV[[#This Row],[Days (year)]]=0,0,INDEX(Ref!$K$2:$K$13,MATCH(Tradingbook_SBV[[#This Row],[Days (year)]],Ref!$I$2:$I$13,1)))</f>
        <v>0</v>
      </c>
      <c r="DS42" s="32" t="str">
        <f>VLOOKUP(Tradingbook_SBV[[#This Row],[Security Name]],Ref!X:Z,3,0)</f>
        <v>TPCP</v>
      </c>
      <c r="DT42" s="32" t="str">
        <f>VLOOKUP(Tradingbook_SBV[[#This Row],[Security Name]],Ref!X:Y,2,0)</f>
        <v>VDB</v>
      </c>
      <c r="DU42" s="71">
        <f>IF((Tradingbook_SBV[[#This Row],[Mat. Date]]-RPT)&lt;=0,0,Tradingbook_SBV[[#This Row],[QUANTITY]])</f>
        <v>0</v>
      </c>
      <c r="DV42" s="71">
        <f>IF(Tradingbook_SBV[[#This Row],[Quantity_edited]]=0,0,Tradingbook_SBV[[#This Row],[DURATION]])</f>
        <v>0</v>
      </c>
      <c r="DW42" s="71">
        <f>IF(Tradingbook_SBV[[#This Row],[Quantity_edited]]=0,0,Tradingbook_SBV[[#This Row],[Mod Dur]])</f>
        <v>0</v>
      </c>
      <c r="DX42" s="71">
        <f>IF(Tradingbook_SBV[[#This Row],[Quantity_edited]]=0,0,Tradingbook_SBV[[#This Row],[Cnvx.]])</f>
        <v>0</v>
      </c>
      <c r="DY42" s="71">
        <f>(Tradingbook_SBV[[#This Row],[MARKET_VALUE]]+Tradingbook_SBV[[#This Row],[Accr Int]]*Tradingbook_SBV[[#This Row],[Quantity_edited]])*(-Tradingbook_SBV[[#This Row],[Modified Duration]]*0.0001+0.5*Tradingbook_SBV[[#This Row],[Conv]]*(0.0001^2))</f>
        <v>0</v>
      </c>
      <c r="DZ42" s="71">
        <f>(Tradingbook_SBV[[#This Row],[MARKET_VALUE]]+Tradingbook_SBV[[#This Row],[Accr Int]]*Tradingbook_SBV[[#This Row],[Quantity_edited]])*(-Tradingbook_SBV[[#This Row],[Modified Duration]]*0.01+0.5*Tradingbook_SBV[[#This Row],[Conv]]*(0.01^2))</f>
        <v>0</v>
      </c>
      <c r="EC42" t="s">
        <v>166</v>
      </c>
      <c r="ED42" t="s">
        <v>167</v>
      </c>
      <c r="EE42" t="s">
        <v>326</v>
      </c>
      <c r="EF42" t="s">
        <v>169</v>
      </c>
      <c r="EG42" s="35" t="s">
        <v>3357</v>
      </c>
      <c r="EH42" t="s">
        <v>3322</v>
      </c>
      <c r="EK42" s="500">
        <v>0</v>
      </c>
      <c r="EL42" s="500">
        <v>0</v>
      </c>
      <c r="EM42" s="500">
        <v>0</v>
      </c>
      <c r="EN42" s="500">
        <v>0</v>
      </c>
      <c r="EO42">
        <v>10.8</v>
      </c>
      <c r="EP42">
        <v>0</v>
      </c>
      <c r="EQ42">
        <v>5400000000</v>
      </c>
      <c r="ER42">
        <v>5744541750.0000019</v>
      </c>
      <c r="ES42">
        <v>-2061005805.2083282</v>
      </c>
      <c r="ET42">
        <v>10.8</v>
      </c>
      <c r="EU42">
        <v>0</v>
      </c>
      <c r="EV42">
        <v>0</v>
      </c>
      <c r="EW42">
        <v>0</v>
      </c>
      <c r="EX42">
        <v>0</v>
      </c>
      <c r="EY42">
        <v>0</v>
      </c>
      <c r="EZ42">
        <v>0</v>
      </c>
      <c r="FA42">
        <v>-2126500000</v>
      </c>
      <c r="FB42">
        <v>0</v>
      </c>
      <c r="FC42">
        <v>-2126500000</v>
      </c>
      <c r="FD42">
        <v>-2126500000</v>
      </c>
      <c r="FE42">
        <v>-2126500000</v>
      </c>
      <c r="FF42">
        <v>-2126500000</v>
      </c>
      <c r="FG42" s="32">
        <f>Bankingbook_SBV[[#This Row],[Mat. Date]]-RPT</f>
        <v>-3412</v>
      </c>
      <c r="FH42" s="32">
        <f>IF(Bankingbook_SBV[[#This Row],[Days]]&lt;=0,0,YEARFRAC(RPT,Bankingbook_SBV[[#This Row],[Mat. Date]],3))</f>
        <v>0</v>
      </c>
      <c r="FI42" s="32">
        <f>IF(Bankingbook_SBV[[#This Row],[Days (year)]]=0,0,INDEX(Ref!$K$2:$K$13,MATCH(Bankingbook_SBV[[#This Row],[Days (year)]],Ref!$I$2:$I$13,1)))</f>
        <v>0</v>
      </c>
      <c r="FJ42" s="32" t="str">
        <f>VLOOKUP(Bankingbook_SBV[[#This Row],[Security Name]],Ref!X:Z,3,0)</f>
        <v>TPCP</v>
      </c>
      <c r="FK42" s="32" t="str">
        <f>VLOOKUP(Bankingbook_SBV[[#This Row],[Security Name]],Ref!X:Y,2,0)</f>
        <v>KBNN</v>
      </c>
      <c r="FL42" s="72">
        <f>IF((Bankingbook_SBV[[#This Row],[Mat. Date]]-RPT)&lt;=0,0,Bankingbook_SBV[[#This Row],[QUANTITY]])</f>
        <v>0</v>
      </c>
      <c r="FM42" s="32">
        <f>IF(Bankingbook_SBV[[#This Row],[Quantity_edited]]=0,0,Bankingbook_SBV[[#This Row],[DURATION]])</f>
        <v>0</v>
      </c>
      <c r="FN42" s="32">
        <f>IF(Bankingbook_SBV[[#This Row],[Quantity_edited]]=0,0,Bankingbook_SBV[[#This Row],[Mod Dur]])</f>
        <v>0</v>
      </c>
      <c r="FO42" s="32">
        <f>IF(Bankingbook_SBV[[#This Row],[Quantity_edited]]=0,0,Bankingbook_SBV[[#This Row],[Cnvx.]])</f>
        <v>0</v>
      </c>
      <c r="FP42" s="32">
        <f>(Bankingbook_SBV[[#This Row],[MARKET_VALUE]]+Bankingbook_SBV[[#This Row],[Accr Int]]*Bankingbook_SBV[[#This Row],[Quantity_edited]])*(-Bankingbook_SBV[[#This Row],[Modified Duration]]*0.0001+0.5*Bankingbook_SBV[[#This Row],[Conv]]*(0.0001^2))</f>
        <v>0</v>
      </c>
      <c r="FQ42" s="32">
        <f>(Bankingbook_SBV[[#This Row],[MARKET_VALUE]]+Bankingbook_SBV[[#This Row],[Accr Int]]*Bankingbook_SBV[[#This Row],[Quantity_edited]])*(-Bankingbook_SBV[[#This Row],[Modified Duration]]*0.01+0.5*Bankingbook_SBV[[#This Row],[Conv]]*(0.01^2))</f>
        <v>0</v>
      </c>
      <c r="FT42" t="s">
        <v>166</v>
      </c>
      <c r="FU42" t="s">
        <v>790</v>
      </c>
      <c r="FV42" t="s">
        <v>4006</v>
      </c>
      <c r="FW42">
        <v>3306982</v>
      </c>
      <c r="FX42" s="502">
        <v>46216</v>
      </c>
      <c r="FY42" t="s">
        <v>2176</v>
      </c>
      <c r="FZ42" t="s">
        <v>812</v>
      </c>
      <c r="GA42" t="s">
        <v>3585</v>
      </c>
      <c r="GB42" t="s">
        <v>810</v>
      </c>
      <c r="GC42" t="s">
        <v>3081</v>
      </c>
      <c r="GD42" s="500">
        <v>-82529000000</v>
      </c>
      <c r="GE42">
        <v>8.9997900000000008</v>
      </c>
      <c r="GF42" s="502">
        <v>46218</v>
      </c>
      <c r="GG42" s="502">
        <v>46283</v>
      </c>
      <c r="GH42">
        <v>4.5999999999999996</v>
      </c>
      <c r="GI42" t="s">
        <v>811</v>
      </c>
      <c r="GJ42" t="s">
        <v>3321</v>
      </c>
      <c r="GK42" t="s">
        <v>3321</v>
      </c>
      <c r="GL42">
        <v>375736197.22000003</v>
      </c>
      <c r="GM42">
        <v>-353631112.32999998</v>
      </c>
      <c r="GN42">
        <v>90844000000</v>
      </c>
      <c r="GO42">
        <v>9.15</v>
      </c>
      <c r="GP42">
        <v>0.08</v>
      </c>
      <c r="GQ42">
        <v>7.3999999999999996E-2</v>
      </c>
      <c r="GR42">
        <v>6.8575119999999998</v>
      </c>
      <c r="GS42">
        <v>-82731964317.25</v>
      </c>
      <c r="GT42">
        <v>-202964317.25</v>
      </c>
      <c r="GU42" t="s">
        <v>4157</v>
      </c>
      <c r="GV42" t="s">
        <v>4157</v>
      </c>
      <c r="GW42" s="416">
        <f>FNRP_Repo[[#This Row],[Mat. Date]]-RPT</f>
        <v>31</v>
      </c>
      <c r="GX42" s="819" t="str">
        <f>IF(FNRP_Repo[[#This Row],[Days]]&lt;=0,"Mat",INDEX(Ref!U:U,MATCH(FNRP_Repo[[#This Row],[Days]],Ref!S:S,1)))</f>
        <v>2M</v>
      </c>
      <c r="GY42" s="417">
        <f>RIGHT(FNRP_Repo[[#This Row],[Deal Id]],5)+0</f>
        <v>18021</v>
      </c>
    </row>
    <row r="43" spans="2:207" x14ac:dyDescent="0.3">
      <c r="B43" t="s">
        <v>166</v>
      </c>
      <c r="C43" t="s">
        <v>167</v>
      </c>
      <c r="D43" t="s">
        <v>215</v>
      </c>
      <c r="E43" t="s">
        <v>169</v>
      </c>
      <c r="F43" s="502">
        <v>42088</v>
      </c>
      <c r="G43" t="s">
        <v>3322</v>
      </c>
      <c r="H43"/>
      <c r="I43"/>
      <c r="J43" s="38">
        <v>0</v>
      </c>
      <c r="K43">
        <v>0</v>
      </c>
      <c r="L43">
        <v>0</v>
      </c>
      <c r="M43" s="38">
        <v>0</v>
      </c>
      <c r="N43">
        <v>9.1</v>
      </c>
      <c r="O43">
        <v>0</v>
      </c>
      <c r="P43" s="37">
        <v>0</v>
      </c>
      <c r="Q43" s="37">
        <v>0</v>
      </c>
      <c r="R43" s="37">
        <v>-272902761.1111145</v>
      </c>
      <c r="S43">
        <v>9.1</v>
      </c>
      <c r="T43" s="70">
        <v>0</v>
      </c>
      <c r="U43">
        <v>0</v>
      </c>
      <c r="V43">
        <v>0</v>
      </c>
      <c r="W43">
        <v>0</v>
      </c>
      <c r="X43" s="38">
        <v>0</v>
      </c>
      <c r="Y43">
        <v>0</v>
      </c>
      <c r="Z43" s="70">
        <v>1678000000</v>
      </c>
      <c r="AA43" s="70">
        <v>0</v>
      </c>
      <c r="AB43" s="70">
        <v>1678000000</v>
      </c>
      <c r="AC43" s="70">
        <v>1678000000</v>
      </c>
      <c r="AD43" s="70">
        <v>1678000000</v>
      </c>
      <c r="AE43" s="70">
        <v>1678000000</v>
      </c>
      <c r="AF43">
        <v>0</v>
      </c>
      <c r="AG43" s="72">
        <f>Tradingbook_MSB[[#This Row],[Mat. Date]]-RPT</f>
        <v>-4164</v>
      </c>
      <c r="AH43" s="71">
        <f>IF(Tradingbook_MSB[[#This Row],[Days]]&lt;=0,0,YEARFRAC(RPT,Tradingbook_MSB[[#This Row],[Mat. Date]],3))</f>
        <v>0</v>
      </c>
      <c r="AI43" s="71">
        <f>IF(Tradingbook_MSB[[#This Row],[Days (year)]]=0,0,INDEX(Ref!$K$2:$K$13,MATCH(Tradingbook_MSB[[#This Row],[Days (year)]],Ref!$I$2:$I$13,1)))</f>
        <v>0</v>
      </c>
      <c r="AJ43" s="120" t="str">
        <f>VLOOKUP(Tradingbook_MSB[[#This Row],[Security Name]],Ref!X:Z,3,0)</f>
        <v>TPCPBL</v>
      </c>
      <c r="AK43" s="120" t="str">
        <f>VLOOKUP(Tradingbook_MSB[[#This Row],[Security Name]],Ref!X:Y,2,0)</f>
        <v>VDB</v>
      </c>
      <c r="AL43" s="71">
        <f>IF((Tradingbook_MSB[[#This Row],[Mat. Date]]-RPT)&lt;=0,0,Tradingbook_MSB[[#This Row],[QUANTITY]])</f>
        <v>0</v>
      </c>
      <c r="AM43" s="71">
        <f>IF(Tradingbook_MSB[[#This Row],[Quantity_edited]]=0,0,Tradingbook_MSB[[#This Row],[DURATION]])</f>
        <v>0</v>
      </c>
      <c r="AN43" s="71">
        <f>IF(Tradingbook_MSB[[#This Row],[Quantity_edited]]=0,0,Tradingbook_MSB[[#This Row],[Mod Dur]])</f>
        <v>0</v>
      </c>
      <c r="AO43" s="71">
        <f>IF(Tradingbook_MSB[[#This Row],[Quantity_edited]]=0,0,Tradingbook_MSB[[#This Row],[Cnvx.]])</f>
        <v>0</v>
      </c>
      <c r="AP43" s="71">
        <f>(Tradingbook_MSB[[#This Row],[MARKET_VALUE]]+Tradingbook_MSB[[#This Row],[Accr Int]]*Tradingbook_MSB[[#This Row],[Quantity_edited]])*(-Tradingbook_MSB[[#This Row],[Modified Duration]]*0.0001+0.5*Tradingbook_MSB[[#This Row],[Conv]]*(0.0001^2))</f>
        <v>0</v>
      </c>
      <c r="AQ43" s="72">
        <f>(Tradingbook_MSB[[#This Row],[MARKET_VALUE]]+Tradingbook_MSB[[#This Row],[Accr Int]]*Tradingbook_MSB[[#This Row],[Quantity_edited]])*(-Tradingbook_MSB[[#This Row],[Modified Duration]]*0.01+0.5*Tradingbook_MSB[[#This Row],[Conv]]*(0.01^2))</f>
        <v>0</v>
      </c>
      <c r="AR43" s="71"/>
      <c r="AT43" t="s">
        <v>166</v>
      </c>
      <c r="AU43" t="s">
        <v>167</v>
      </c>
      <c r="AV43" t="s">
        <v>327</v>
      </c>
      <c r="AW43" t="s">
        <v>169</v>
      </c>
      <c r="AX43" t="s">
        <v>3357</v>
      </c>
      <c r="AY43" t="s">
        <v>3322</v>
      </c>
      <c r="BB43" s="49">
        <v>0</v>
      </c>
      <c r="BC43">
        <v>0</v>
      </c>
      <c r="BD43">
        <v>0</v>
      </c>
      <c r="BE43" s="37">
        <v>0</v>
      </c>
      <c r="BF43">
        <v>6.1</v>
      </c>
      <c r="BG43">
        <v>0</v>
      </c>
      <c r="BH43" s="34">
        <v>36600000000</v>
      </c>
      <c r="BI43">
        <v>38247340583.333336</v>
      </c>
      <c r="BJ43">
        <v>-21811477055.416592</v>
      </c>
      <c r="BK43">
        <v>6.1</v>
      </c>
      <c r="BL43">
        <v>0</v>
      </c>
      <c r="BM43">
        <v>0</v>
      </c>
      <c r="BN43">
        <v>0</v>
      </c>
      <c r="BO43">
        <v>0</v>
      </c>
      <c r="BP43">
        <v>0</v>
      </c>
      <c r="BQ43">
        <v>0</v>
      </c>
      <c r="BR43">
        <v>4491000000</v>
      </c>
      <c r="BS43">
        <v>0</v>
      </c>
      <c r="BT43">
        <v>4491000000</v>
      </c>
      <c r="BU43">
        <v>4491000000</v>
      </c>
      <c r="BV43">
        <v>4491000000</v>
      </c>
      <c r="BW43">
        <v>4491000000</v>
      </c>
      <c r="BX43">
        <v>0</v>
      </c>
      <c r="BY43" s="32">
        <f>Bankingbook_MSB[[#This Row],[Mat. Date]]-RPT</f>
        <v>-3412</v>
      </c>
      <c r="BZ43" s="71">
        <f>IF(Bankingbook_MSB[[#This Row],[Days]]&lt;=0,0,YEARFRAC(RPT,Bankingbook_MSB[[#This Row],[Mat. Date]],3))</f>
        <v>0</v>
      </c>
      <c r="CA43" s="71">
        <f>IF(Bankingbook_MSB[[#This Row],[Days (year)]]=0,0,INDEX(Ref!$K$2:$K$13,MATCH(Bankingbook_MSB[[#This Row],[Days (year)]],Ref!$I$2:$I$13,1)))</f>
        <v>0</v>
      </c>
      <c r="CB43" s="32" t="str">
        <f>VLOOKUP(Bankingbook_MSB[[#This Row],[Security Name]],Ref!X:Z,3,0)</f>
        <v>TPCP</v>
      </c>
      <c r="CC43" s="32" t="str">
        <f>VLOOKUP(Bankingbook_MSB[[#This Row],[Security Name]],Ref!X:Y,2,0)</f>
        <v>KBNN</v>
      </c>
      <c r="CD43" s="72">
        <f>IF((Bankingbook_MSB[[#This Row],[Mat. Date]]-RPT)&lt;=0,0,Bankingbook_MSB[[#This Row],[QUANTITY]])</f>
        <v>0</v>
      </c>
      <c r="CE43" s="71">
        <f>IF(Bankingbook_MSB[[#This Row],[Quantity_edited]]=0,0,Bankingbook_MSB[[#This Row],[DURATION]])</f>
        <v>0</v>
      </c>
      <c r="CF43" s="71">
        <f>IF(Bankingbook_MSB[[#This Row],[Quantity_edited]]=0,0,Bankingbook_MSB[[#This Row],[Mod Dur]])</f>
        <v>0</v>
      </c>
      <c r="CG43" s="71">
        <f>IF(Bankingbook_MSB[[#This Row],[Quantity_edited]]=0,0,Bankingbook_MSB[[#This Row],[Cnvx.]])</f>
        <v>0</v>
      </c>
      <c r="CH43" s="71">
        <f>(Bankingbook_MSB[[#This Row],[MARKET_VALUE]]+Bankingbook_MSB[[#This Row],[Accr Int]]*Bankingbook_MSB[[#This Row],[Quantity_edited]])*(-Bankingbook_MSB[[#This Row],[Modified Duration]]*0.0001+0.5*Bankingbook_MSB[[#This Row],[Conv]]*(0.0001^2))</f>
        <v>0</v>
      </c>
      <c r="CI43" s="71">
        <f>(Bankingbook_MSB[[#This Row],[MARKET_VALUE]]+Bankingbook_MSB[[#This Row],[Accr Int]]*Bankingbook_MSB[[#This Row],[Quantity_edited]])*(-Bankingbook_MSB[[#This Row],[Modified Duration]]*0.01+0.5*Bankingbook_MSB[[#This Row],[Conv]]*(0.01^2))</f>
        <v>0</v>
      </c>
      <c r="CJ43" s="32"/>
      <c r="CL43" t="s">
        <v>166</v>
      </c>
      <c r="CM43" t="s">
        <v>167</v>
      </c>
      <c r="CN43" t="s">
        <v>215</v>
      </c>
      <c r="CO43" t="s">
        <v>169</v>
      </c>
      <c r="CP43" s="35">
        <v>42088</v>
      </c>
      <c r="CQ43" t="s">
        <v>3322</v>
      </c>
      <c r="CR43" t="s">
        <v>174</v>
      </c>
      <c r="CS43" t="s">
        <v>174</v>
      </c>
      <c r="CT43" s="49">
        <v>0</v>
      </c>
      <c r="CU43">
        <v>0</v>
      </c>
      <c r="CV43">
        <v>0</v>
      </c>
      <c r="CW43" s="70">
        <v>0</v>
      </c>
      <c r="CX43">
        <v>9.1</v>
      </c>
      <c r="CY43">
        <v>0</v>
      </c>
      <c r="CZ43">
        <v>0</v>
      </c>
      <c r="DA43">
        <v>0</v>
      </c>
      <c r="DB43">
        <v>-272902761.1111145</v>
      </c>
      <c r="DC43">
        <v>9.1</v>
      </c>
      <c r="DD43">
        <v>0</v>
      </c>
      <c r="DE43">
        <v>0</v>
      </c>
      <c r="DF43">
        <v>0</v>
      </c>
      <c r="DG43">
        <v>0</v>
      </c>
      <c r="DH43">
        <v>0</v>
      </c>
      <c r="DI43">
        <v>0</v>
      </c>
      <c r="DJ43" s="500">
        <v>1678000000</v>
      </c>
      <c r="DK43" s="500">
        <v>0</v>
      </c>
      <c r="DL43" s="37">
        <v>1678000000</v>
      </c>
      <c r="DM43" s="37">
        <v>1678000000</v>
      </c>
      <c r="DN43" s="37">
        <v>1678000000</v>
      </c>
      <c r="DO43" s="37">
        <v>1678000000</v>
      </c>
      <c r="DP43" s="32">
        <f>Tradingbook_SBV[[#This Row],[Mat. Date]]-RPT</f>
        <v>-4164</v>
      </c>
      <c r="DQ43" s="32">
        <f>IF(Tradingbook_SBV[[#This Row],[Days]]&lt;=0,0,YEARFRAC(RPT,Tradingbook_SBV[[#This Row],[Mat. Date]],3))</f>
        <v>0</v>
      </c>
      <c r="DR43" s="32">
        <f>IF(Tradingbook_SBV[[#This Row],[Days (year)]]=0,0,INDEX(Ref!$K$2:$K$13,MATCH(Tradingbook_SBV[[#This Row],[Days (year)]],Ref!$I$2:$I$13,1)))</f>
        <v>0</v>
      </c>
      <c r="DS43" s="32" t="str">
        <f>VLOOKUP(Tradingbook_SBV[[#This Row],[Security Name]],Ref!X:Z,3,0)</f>
        <v>TPCPBL</v>
      </c>
      <c r="DT43" s="32" t="str">
        <f>VLOOKUP(Tradingbook_SBV[[#This Row],[Security Name]],Ref!X:Y,2,0)</f>
        <v>VDB</v>
      </c>
      <c r="DU43" s="71">
        <f>IF((Tradingbook_SBV[[#This Row],[Mat. Date]]-RPT)&lt;=0,0,Tradingbook_SBV[[#This Row],[QUANTITY]])</f>
        <v>0</v>
      </c>
      <c r="DV43" s="71">
        <f>IF(Tradingbook_SBV[[#This Row],[Quantity_edited]]=0,0,Tradingbook_SBV[[#This Row],[DURATION]])</f>
        <v>0</v>
      </c>
      <c r="DW43" s="71">
        <f>IF(Tradingbook_SBV[[#This Row],[Quantity_edited]]=0,0,Tradingbook_SBV[[#This Row],[Mod Dur]])</f>
        <v>0</v>
      </c>
      <c r="DX43" s="71">
        <f>IF(Tradingbook_SBV[[#This Row],[Quantity_edited]]=0,0,Tradingbook_SBV[[#This Row],[Cnvx.]])</f>
        <v>0</v>
      </c>
      <c r="DY43" s="71">
        <f>(Tradingbook_SBV[[#This Row],[MARKET_VALUE]]+Tradingbook_SBV[[#This Row],[Accr Int]]*Tradingbook_SBV[[#This Row],[Quantity_edited]])*(-Tradingbook_SBV[[#This Row],[Modified Duration]]*0.0001+0.5*Tradingbook_SBV[[#This Row],[Conv]]*(0.0001^2))</f>
        <v>0</v>
      </c>
      <c r="DZ43" s="71">
        <f>(Tradingbook_SBV[[#This Row],[MARKET_VALUE]]+Tradingbook_SBV[[#This Row],[Accr Int]]*Tradingbook_SBV[[#This Row],[Quantity_edited]])*(-Tradingbook_SBV[[#This Row],[Modified Duration]]*0.01+0.5*Tradingbook_SBV[[#This Row],[Conv]]*(0.01^2))</f>
        <v>0</v>
      </c>
      <c r="EC43" t="s">
        <v>166</v>
      </c>
      <c r="ED43" t="s">
        <v>167</v>
      </c>
      <c r="EE43" t="s">
        <v>327</v>
      </c>
      <c r="EF43" t="s">
        <v>169</v>
      </c>
      <c r="EG43" s="35" t="s">
        <v>3357</v>
      </c>
      <c r="EH43" t="s">
        <v>3322</v>
      </c>
      <c r="EK43" s="500">
        <v>0</v>
      </c>
      <c r="EL43" s="500">
        <v>0</v>
      </c>
      <c r="EM43" s="500">
        <v>0</v>
      </c>
      <c r="EN43" s="500">
        <v>0</v>
      </c>
      <c r="EO43">
        <v>6.1</v>
      </c>
      <c r="EP43">
        <v>0</v>
      </c>
      <c r="EQ43">
        <v>36600000000</v>
      </c>
      <c r="ER43">
        <v>38247340583.333336</v>
      </c>
      <c r="ES43">
        <v>-21811477055.416592</v>
      </c>
      <c r="ET43">
        <v>6.1</v>
      </c>
      <c r="EU43">
        <v>0</v>
      </c>
      <c r="EV43">
        <v>0</v>
      </c>
      <c r="EW43">
        <v>0</v>
      </c>
      <c r="EX43">
        <v>0</v>
      </c>
      <c r="EY43">
        <v>0</v>
      </c>
      <c r="EZ43">
        <v>0</v>
      </c>
      <c r="FA43">
        <v>4491000000</v>
      </c>
      <c r="FB43">
        <v>0</v>
      </c>
      <c r="FC43">
        <v>4491000000</v>
      </c>
      <c r="FD43">
        <v>4491000000</v>
      </c>
      <c r="FE43">
        <v>4491000000</v>
      </c>
      <c r="FF43">
        <v>4491000000</v>
      </c>
      <c r="FG43" s="32">
        <f>Bankingbook_SBV[[#This Row],[Mat. Date]]-RPT</f>
        <v>-3412</v>
      </c>
      <c r="FH43" s="32">
        <f>IF(Bankingbook_SBV[[#This Row],[Days]]&lt;=0,0,YEARFRAC(RPT,Bankingbook_SBV[[#This Row],[Mat. Date]],3))</f>
        <v>0</v>
      </c>
      <c r="FI43" s="32">
        <f>IF(Bankingbook_SBV[[#This Row],[Days (year)]]=0,0,INDEX(Ref!$K$2:$K$13,MATCH(Bankingbook_SBV[[#This Row],[Days (year)]],Ref!$I$2:$I$13,1)))</f>
        <v>0</v>
      </c>
      <c r="FJ43" s="32" t="str">
        <f>VLOOKUP(Bankingbook_SBV[[#This Row],[Security Name]],Ref!X:Z,3,0)</f>
        <v>TPCP</v>
      </c>
      <c r="FK43" s="32" t="str">
        <f>VLOOKUP(Bankingbook_SBV[[#This Row],[Security Name]],Ref!X:Y,2,0)</f>
        <v>KBNN</v>
      </c>
      <c r="FL43" s="72">
        <f>IF((Bankingbook_SBV[[#This Row],[Mat. Date]]-RPT)&lt;=0,0,Bankingbook_SBV[[#This Row],[QUANTITY]])</f>
        <v>0</v>
      </c>
      <c r="FM43" s="32">
        <f>IF(Bankingbook_SBV[[#This Row],[Quantity_edited]]=0,0,Bankingbook_SBV[[#This Row],[DURATION]])</f>
        <v>0</v>
      </c>
      <c r="FN43" s="32">
        <f>IF(Bankingbook_SBV[[#This Row],[Quantity_edited]]=0,0,Bankingbook_SBV[[#This Row],[Mod Dur]])</f>
        <v>0</v>
      </c>
      <c r="FO43" s="32">
        <f>IF(Bankingbook_SBV[[#This Row],[Quantity_edited]]=0,0,Bankingbook_SBV[[#This Row],[Cnvx.]])</f>
        <v>0</v>
      </c>
      <c r="FP43" s="32">
        <f>(Bankingbook_SBV[[#This Row],[MARKET_VALUE]]+Bankingbook_SBV[[#This Row],[Accr Int]]*Bankingbook_SBV[[#This Row],[Quantity_edited]])*(-Bankingbook_SBV[[#This Row],[Modified Duration]]*0.0001+0.5*Bankingbook_SBV[[#This Row],[Conv]]*(0.0001^2))</f>
        <v>0</v>
      </c>
      <c r="FQ43" s="32">
        <f>(Bankingbook_SBV[[#This Row],[MARKET_VALUE]]+Bankingbook_SBV[[#This Row],[Accr Int]]*Bankingbook_SBV[[#This Row],[Quantity_edited]])*(-Bankingbook_SBV[[#This Row],[Modified Duration]]*0.01+0.5*Bankingbook_SBV[[#This Row],[Conv]]*(0.01^2))</f>
        <v>0</v>
      </c>
      <c r="FT43" t="s">
        <v>166</v>
      </c>
      <c r="FU43" t="s">
        <v>790</v>
      </c>
      <c r="FV43" t="s">
        <v>4067</v>
      </c>
      <c r="FW43">
        <v>3335679</v>
      </c>
      <c r="FX43" s="502">
        <v>46247</v>
      </c>
      <c r="FY43" t="s">
        <v>2176</v>
      </c>
      <c r="FZ43" t="s">
        <v>812</v>
      </c>
      <c r="GA43" t="s">
        <v>3585</v>
      </c>
      <c r="GB43" t="s">
        <v>810</v>
      </c>
      <c r="GC43" t="s">
        <v>3517</v>
      </c>
      <c r="GD43" s="500">
        <v>-183430000000</v>
      </c>
      <c r="GE43">
        <v>4.0005439999999997</v>
      </c>
      <c r="GF43" s="502">
        <v>46252</v>
      </c>
      <c r="GG43" s="502">
        <v>46283</v>
      </c>
      <c r="GH43">
        <v>4.4000000000000004</v>
      </c>
      <c r="GI43" t="s">
        <v>811</v>
      </c>
      <c r="GJ43" t="s">
        <v>3321</v>
      </c>
      <c r="GK43" t="s">
        <v>3321</v>
      </c>
      <c r="GL43">
        <v>0</v>
      </c>
      <c r="GM43">
        <v>0</v>
      </c>
      <c r="GN43">
        <v>191408000000</v>
      </c>
      <c r="GO43">
        <v>4.17</v>
      </c>
      <c r="GP43">
        <v>0.08</v>
      </c>
      <c r="GQ43">
        <v>7.3999999999999996E-2</v>
      </c>
      <c r="GR43">
        <v>6.8575119999999998</v>
      </c>
      <c r="GS43">
        <v>-183068614290.73001</v>
      </c>
      <c r="GT43">
        <v>361385709.26999998</v>
      </c>
      <c r="GU43" t="s">
        <v>4159</v>
      </c>
      <c r="GV43" t="s">
        <v>4159</v>
      </c>
      <c r="GW43" s="416">
        <f>FNRP_Repo[[#This Row],[Mat. Date]]-RPT</f>
        <v>31</v>
      </c>
      <c r="GX43" s="819" t="str">
        <f>IF(FNRP_Repo[[#This Row],[Days]]&lt;=0,"Mat",INDEX(Ref!U:U,MATCH(FNRP_Repo[[#This Row],[Days]],Ref!S:S,1)))</f>
        <v>2M</v>
      </c>
      <c r="GY43" s="417">
        <f>RIGHT(FNRP_Repo[[#This Row],[Deal Id]],5)+0</f>
        <v>18121</v>
      </c>
    </row>
    <row r="44" spans="2:207" x14ac:dyDescent="0.3">
      <c r="B44" t="s">
        <v>166</v>
      </c>
      <c r="C44" t="s">
        <v>167</v>
      </c>
      <c r="D44" t="s">
        <v>216</v>
      </c>
      <c r="E44" t="s">
        <v>169</v>
      </c>
      <c r="F44" s="502">
        <v>42089</v>
      </c>
      <c r="G44" t="s">
        <v>3322</v>
      </c>
      <c r="H44"/>
      <c r="I44"/>
      <c r="J44" s="38">
        <v>0</v>
      </c>
      <c r="K44">
        <v>0</v>
      </c>
      <c r="L44">
        <v>0</v>
      </c>
      <c r="M44" s="38">
        <v>0</v>
      </c>
      <c r="N44">
        <v>11.15</v>
      </c>
      <c r="O44">
        <v>0</v>
      </c>
      <c r="P44" s="37">
        <v>0</v>
      </c>
      <c r="Q44" s="37">
        <v>0</v>
      </c>
      <c r="R44" s="37">
        <v>-7216497.9166665077</v>
      </c>
      <c r="S44">
        <v>11.15</v>
      </c>
      <c r="T44" s="70">
        <v>0</v>
      </c>
      <c r="U44">
        <v>0</v>
      </c>
      <c r="V44">
        <v>0</v>
      </c>
      <c r="W44">
        <v>0</v>
      </c>
      <c r="X44" s="38">
        <v>0</v>
      </c>
      <c r="Y44">
        <v>0</v>
      </c>
      <c r="Z44" s="70">
        <v>-9000000</v>
      </c>
      <c r="AA44" s="70">
        <v>0</v>
      </c>
      <c r="AB44" s="70">
        <v>-9000000</v>
      </c>
      <c r="AC44" s="70">
        <v>-9000000</v>
      </c>
      <c r="AD44" s="70">
        <v>-9000000</v>
      </c>
      <c r="AE44" s="70">
        <v>-9000000</v>
      </c>
      <c r="AF44">
        <v>0</v>
      </c>
      <c r="AG44" s="72">
        <f>Tradingbook_MSB[[#This Row],[Mat. Date]]-RPT</f>
        <v>-4163</v>
      </c>
      <c r="AH44" s="71">
        <f>IF(Tradingbook_MSB[[#This Row],[Days]]&lt;=0,0,YEARFRAC(RPT,Tradingbook_MSB[[#This Row],[Mat. Date]],3))</f>
        <v>0</v>
      </c>
      <c r="AI44" s="71">
        <f>IF(Tradingbook_MSB[[#This Row],[Days (year)]]=0,0,INDEX(Ref!$K$2:$K$13,MATCH(Tradingbook_MSB[[#This Row],[Days (year)]],Ref!$I$2:$I$13,1)))</f>
        <v>0</v>
      </c>
      <c r="AJ44" s="120" t="str">
        <f>VLOOKUP(Tradingbook_MSB[[#This Row],[Security Name]],Ref!X:Z,3,0)</f>
        <v>TPCP</v>
      </c>
      <c r="AK44" s="120" t="str">
        <f>VLOOKUP(Tradingbook_MSB[[#This Row],[Security Name]],Ref!X:Y,2,0)</f>
        <v>KBNN</v>
      </c>
      <c r="AL44" s="71">
        <f>IF((Tradingbook_MSB[[#This Row],[Mat. Date]]-RPT)&lt;=0,0,Tradingbook_MSB[[#This Row],[QUANTITY]])</f>
        <v>0</v>
      </c>
      <c r="AM44" s="71">
        <f>IF(Tradingbook_MSB[[#This Row],[Quantity_edited]]=0,0,Tradingbook_MSB[[#This Row],[DURATION]])</f>
        <v>0</v>
      </c>
      <c r="AN44" s="71">
        <f>IF(Tradingbook_MSB[[#This Row],[Quantity_edited]]=0,0,Tradingbook_MSB[[#This Row],[Mod Dur]])</f>
        <v>0</v>
      </c>
      <c r="AO44" s="71">
        <f>IF(Tradingbook_MSB[[#This Row],[Quantity_edited]]=0,0,Tradingbook_MSB[[#This Row],[Cnvx.]])</f>
        <v>0</v>
      </c>
      <c r="AP44" s="71">
        <f>(Tradingbook_MSB[[#This Row],[MARKET_VALUE]]+Tradingbook_MSB[[#This Row],[Accr Int]]*Tradingbook_MSB[[#This Row],[Quantity_edited]])*(-Tradingbook_MSB[[#This Row],[Modified Duration]]*0.0001+0.5*Tradingbook_MSB[[#This Row],[Conv]]*(0.0001^2))</f>
        <v>0</v>
      </c>
      <c r="AQ44" s="72">
        <f>(Tradingbook_MSB[[#This Row],[MARKET_VALUE]]+Tradingbook_MSB[[#This Row],[Accr Int]]*Tradingbook_MSB[[#This Row],[Quantity_edited]])*(-Tradingbook_MSB[[#This Row],[Modified Duration]]*0.01+0.5*Tradingbook_MSB[[#This Row],[Conv]]*(0.01^2))</f>
        <v>0</v>
      </c>
      <c r="AR44" s="71"/>
      <c r="AT44" t="s">
        <v>166</v>
      </c>
      <c r="AU44" t="s">
        <v>167</v>
      </c>
      <c r="AV44" t="s">
        <v>329</v>
      </c>
      <c r="AW44" t="s">
        <v>169</v>
      </c>
      <c r="AX44" t="s">
        <v>3358</v>
      </c>
      <c r="AY44" t="s">
        <v>170</v>
      </c>
      <c r="BB44" s="49">
        <v>2007759</v>
      </c>
      <c r="BC44">
        <v>200775900000</v>
      </c>
      <c r="BD44">
        <v>100242.196</v>
      </c>
      <c r="BE44" s="37">
        <v>0</v>
      </c>
      <c r="BF44">
        <v>6</v>
      </c>
      <c r="BG44">
        <v>0</v>
      </c>
      <c r="BH44" s="34">
        <v>65299662000</v>
      </c>
      <c r="BI44">
        <v>67722989057.130005</v>
      </c>
      <c r="BJ44">
        <v>-36028530447.158607</v>
      </c>
      <c r="BK44">
        <v>6</v>
      </c>
      <c r="BL44">
        <v>0</v>
      </c>
      <c r="BM44">
        <v>0</v>
      </c>
      <c r="BN44">
        <v>0</v>
      </c>
      <c r="BO44">
        <v>0</v>
      </c>
      <c r="BP44">
        <v>0</v>
      </c>
      <c r="BQ44">
        <v>0</v>
      </c>
      <c r="BR44">
        <v>2263142939.0000162</v>
      </c>
      <c r="BS44">
        <v>0</v>
      </c>
      <c r="BT44">
        <v>2263142939.0000162</v>
      </c>
      <c r="BU44">
        <v>2263142939.0000162</v>
      </c>
      <c r="BV44">
        <v>2263142939</v>
      </c>
      <c r="BW44">
        <v>2263142939.0000162</v>
      </c>
      <c r="BX44">
        <v>5.8952173830000003</v>
      </c>
      <c r="BY44" s="32">
        <f>Bankingbook_MSB[[#This Row],[Mat. Date]]-RPT</f>
        <v>-3382</v>
      </c>
      <c r="BZ44" s="71">
        <f>IF(Bankingbook_MSB[[#This Row],[Days]]&lt;=0,0,YEARFRAC(RPT,Bankingbook_MSB[[#This Row],[Mat. Date]],3))</f>
        <v>0</v>
      </c>
      <c r="CA44" s="71">
        <f>IF(Bankingbook_MSB[[#This Row],[Days (year)]]=0,0,INDEX(Ref!$K$2:$K$13,MATCH(Bankingbook_MSB[[#This Row],[Days (year)]],Ref!$I$2:$I$13,1)))</f>
        <v>0</v>
      </c>
      <c r="CB44" s="32" t="str">
        <f>VLOOKUP(Bankingbook_MSB[[#This Row],[Security Name]],Ref!X:Z,3,0)</f>
        <v>TPCP</v>
      </c>
      <c r="CC44" s="32" t="str">
        <f>VLOOKUP(Bankingbook_MSB[[#This Row],[Security Name]],Ref!X:Y,2,0)</f>
        <v>KBNN</v>
      </c>
      <c r="CD44" s="72">
        <f>IF((Bankingbook_MSB[[#This Row],[Mat. Date]]-RPT)&lt;=0,0,Bankingbook_MSB[[#This Row],[QUANTITY]])</f>
        <v>0</v>
      </c>
      <c r="CE44" s="71">
        <f>IF(Bankingbook_MSB[[#This Row],[Quantity_edited]]=0,0,Bankingbook_MSB[[#This Row],[DURATION]])</f>
        <v>0</v>
      </c>
      <c r="CF44" s="71">
        <f>IF(Bankingbook_MSB[[#This Row],[Quantity_edited]]=0,0,Bankingbook_MSB[[#This Row],[Mod Dur]])</f>
        <v>0</v>
      </c>
      <c r="CG44" s="71">
        <f>IF(Bankingbook_MSB[[#This Row],[Quantity_edited]]=0,0,Bankingbook_MSB[[#This Row],[Cnvx.]])</f>
        <v>0</v>
      </c>
      <c r="CH44" s="71">
        <f>(Bankingbook_MSB[[#This Row],[MARKET_VALUE]]+Bankingbook_MSB[[#This Row],[Accr Int]]*Bankingbook_MSB[[#This Row],[Quantity_edited]])*(-Bankingbook_MSB[[#This Row],[Modified Duration]]*0.0001+0.5*Bankingbook_MSB[[#This Row],[Conv]]*(0.0001^2))</f>
        <v>0</v>
      </c>
      <c r="CI44" s="71">
        <f>(Bankingbook_MSB[[#This Row],[MARKET_VALUE]]+Bankingbook_MSB[[#This Row],[Accr Int]]*Bankingbook_MSB[[#This Row],[Quantity_edited]])*(-Bankingbook_MSB[[#This Row],[Modified Duration]]*0.01+0.5*Bankingbook_MSB[[#This Row],[Conv]]*(0.01^2))</f>
        <v>0</v>
      </c>
      <c r="CJ44" s="32"/>
      <c r="CL44" t="s">
        <v>166</v>
      </c>
      <c r="CM44" t="s">
        <v>167</v>
      </c>
      <c r="CN44" t="s">
        <v>216</v>
      </c>
      <c r="CO44" t="s">
        <v>169</v>
      </c>
      <c r="CP44" s="35">
        <v>42089</v>
      </c>
      <c r="CQ44" t="s">
        <v>3322</v>
      </c>
      <c r="CR44" t="s">
        <v>174</v>
      </c>
      <c r="CS44" t="s">
        <v>174</v>
      </c>
      <c r="CT44" s="49">
        <v>0</v>
      </c>
      <c r="CU44">
        <v>0</v>
      </c>
      <c r="CV44">
        <v>0</v>
      </c>
      <c r="CW44" s="70">
        <v>0</v>
      </c>
      <c r="CX44">
        <v>11.15</v>
      </c>
      <c r="CY44">
        <v>0</v>
      </c>
      <c r="CZ44">
        <v>0</v>
      </c>
      <c r="DA44">
        <v>0</v>
      </c>
      <c r="DB44">
        <v>-7216497.9166665077</v>
      </c>
      <c r="DC44">
        <v>11.15</v>
      </c>
      <c r="DD44">
        <v>0</v>
      </c>
      <c r="DE44">
        <v>0</v>
      </c>
      <c r="DF44">
        <v>0</v>
      </c>
      <c r="DG44">
        <v>0</v>
      </c>
      <c r="DH44">
        <v>0</v>
      </c>
      <c r="DI44">
        <v>0</v>
      </c>
      <c r="DJ44" s="500">
        <v>-9000000</v>
      </c>
      <c r="DK44" s="500">
        <v>0</v>
      </c>
      <c r="DL44" s="37">
        <v>-9000000</v>
      </c>
      <c r="DM44" s="37">
        <v>-9000000</v>
      </c>
      <c r="DN44" s="37">
        <v>-9000000</v>
      </c>
      <c r="DO44" s="37">
        <v>-9000000</v>
      </c>
      <c r="DP44" s="32">
        <f>Tradingbook_SBV[[#This Row],[Mat. Date]]-RPT</f>
        <v>-4163</v>
      </c>
      <c r="DQ44" s="32">
        <f>IF(Tradingbook_SBV[[#This Row],[Days]]&lt;=0,0,YEARFRAC(RPT,Tradingbook_SBV[[#This Row],[Mat. Date]],3))</f>
        <v>0</v>
      </c>
      <c r="DR44" s="32">
        <f>IF(Tradingbook_SBV[[#This Row],[Days (year)]]=0,0,INDEX(Ref!$K$2:$K$13,MATCH(Tradingbook_SBV[[#This Row],[Days (year)]],Ref!$I$2:$I$13,1)))</f>
        <v>0</v>
      </c>
      <c r="DS44" s="32" t="str">
        <f>VLOOKUP(Tradingbook_SBV[[#This Row],[Security Name]],Ref!X:Z,3,0)</f>
        <v>TPCP</v>
      </c>
      <c r="DT44" s="32" t="str">
        <f>VLOOKUP(Tradingbook_SBV[[#This Row],[Security Name]],Ref!X:Y,2,0)</f>
        <v>KBNN</v>
      </c>
      <c r="DU44" s="71">
        <f>IF((Tradingbook_SBV[[#This Row],[Mat. Date]]-RPT)&lt;=0,0,Tradingbook_SBV[[#This Row],[QUANTITY]])</f>
        <v>0</v>
      </c>
      <c r="DV44" s="71">
        <f>IF(Tradingbook_SBV[[#This Row],[Quantity_edited]]=0,0,Tradingbook_SBV[[#This Row],[DURATION]])</f>
        <v>0</v>
      </c>
      <c r="DW44" s="71">
        <f>IF(Tradingbook_SBV[[#This Row],[Quantity_edited]]=0,0,Tradingbook_SBV[[#This Row],[Mod Dur]])</f>
        <v>0</v>
      </c>
      <c r="DX44" s="71">
        <f>IF(Tradingbook_SBV[[#This Row],[Quantity_edited]]=0,0,Tradingbook_SBV[[#This Row],[Cnvx.]])</f>
        <v>0</v>
      </c>
      <c r="DY44" s="71">
        <f>(Tradingbook_SBV[[#This Row],[MARKET_VALUE]]+Tradingbook_SBV[[#This Row],[Accr Int]]*Tradingbook_SBV[[#This Row],[Quantity_edited]])*(-Tradingbook_SBV[[#This Row],[Modified Duration]]*0.0001+0.5*Tradingbook_SBV[[#This Row],[Conv]]*(0.0001^2))</f>
        <v>0</v>
      </c>
      <c r="DZ44" s="71">
        <f>(Tradingbook_SBV[[#This Row],[MARKET_VALUE]]+Tradingbook_SBV[[#This Row],[Accr Int]]*Tradingbook_SBV[[#This Row],[Quantity_edited]])*(-Tradingbook_SBV[[#This Row],[Modified Duration]]*0.01+0.5*Tradingbook_SBV[[#This Row],[Conv]]*(0.01^2))</f>
        <v>0</v>
      </c>
      <c r="EC44" t="s">
        <v>166</v>
      </c>
      <c r="ED44" t="s">
        <v>167</v>
      </c>
      <c r="EE44" t="s">
        <v>329</v>
      </c>
      <c r="EF44" t="s">
        <v>169</v>
      </c>
      <c r="EG44" s="35" t="s">
        <v>3358</v>
      </c>
      <c r="EH44" t="s">
        <v>170</v>
      </c>
      <c r="EK44" s="500">
        <v>2007759</v>
      </c>
      <c r="EL44" s="500">
        <v>200775900000</v>
      </c>
      <c r="EM44" s="500">
        <v>100242.196</v>
      </c>
      <c r="EN44" s="500">
        <v>0</v>
      </c>
      <c r="EO44">
        <v>6</v>
      </c>
      <c r="EP44">
        <v>0</v>
      </c>
      <c r="EQ44">
        <v>65299662000</v>
      </c>
      <c r="ER44">
        <v>67722989057.130005</v>
      </c>
      <c r="ES44">
        <v>-36028530447.158607</v>
      </c>
      <c r="ET44">
        <v>6</v>
      </c>
      <c r="EU44">
        <v>0</v>
      </c>
      <c r="EV44">
        <v>0</v>
      </c>
      <c r="EW44">
        <v>0</v>
      </c>
      <c r="EX44">
        <v>0</v>
      </c>
      <c r="EY44">
        <v>0</v>
      </c>
      <c r="EZ44">
        <v>0</v>
      </c>
      <c r="FA44">
        <v>2263142939.0000162</v>
      </c>
      <c r="FB44">
        <v>0</v>
      </c>
      <c r="FC44">
        <v>2263142939.0000162</v>
      </c>
      <c r="FD44">
        <v>2263142939.0000162</v>
      </c>
      <c r="FE44">
        <v>2263142939</v>
      </c>
      <c r="FF44">
        <v>2263142939.0000162</v>
      </c>
      <c r="FG44" s="32">
        <f>Bankingbook_SBV[[#This Row],[Mat. Date]]-RPT</f>
        <v>-3382</v>
      </c>
      <c r="FH44" s="32">
        <f>IF(Bankingbook_SBV[[#This Row],[Days]]&lt;=0,0,YEARFRAC(RPT,Bankingbook_SBV[[#This Row],[Mat. Date]],3))</f>
        <v>0</v>
      </c>
      <c r="FI44" s="32">
        <f>IF(Bankingbook_SBV[[#This Row],[Days (year)]]=0,0,INDEX(Ref!$K$2:$K$13,MATCH(Bankingbook_SBV[[#This Row],[Days (year)]],Ref!$I$2:$I$13,1)))</f>
        <v>0</v>
      </c>
      <c r="FJ44" s="32" t="str">
        <f>VLOOKUP(Bankingbook_SBV[[#This Row],[Security Name]],Ref!X:Z,3,0)</f>
        <v>TPCP</v>
      </c>
      <c r="FK44" s="32" t="str">
        <f>VLOOKUP(Bankingbook_SBV[[#This Row],[Security Name]],Ref!X:Y,2,0)</f>
        <v>KBNN</v>
      </c>
      <c r="FL44" s="72">
        <f>IF((Bankingbook_SBV[[#This Row],[Mat. Date]]-RPT)&lt;=0,0,Bankingbook_SBV[[#This Row],[QUANTITY]])</f>
        <v>0</v>
      </c>
      <c r="FM44" s="32">
        <f>IF(Bankingbook_SBV[[#This Row],[Quantity_edited]]=0,0,Bankingbook_SBV[[#This Row],[DURATION]])</f>
        <v>0</v>
      </c>
      <c r="FN44" s="32">
        <f>IF(Bankingbook_SBV[[#This Row],[Quantity_edited]]=0,0,Bankingbook_SBV[[#This Row],[Mod Dur]])</f>
        <v>0</v>
      </c>
      <c r="FO44" s="32">
        <f>IF(Bankingbook_SBV[[#This Row],[Quantity_edited]]=0,0,Bankingbook_SBV[[#This Row],[Cnvx.]])</f>
        <v>0</v>
      </c>
      <c r="FP44" s="32">
        <f>(Bankingbook_SBV[[#This Row],[MARKET_VALUE]]+Bankingbook_SBV[[#This Row],[Accr Int]]*Bankingbook_SBV[[#This Row],[Quantity_edited]])*(-Bankingbook_SBV[[#This Row],[Modified Duration]]*0.0001+0.5*Bankingbook_SBV[[#This Row],[Conv]]*(0.0001^2))</f>
        <v>0</v>
      </c>
      <c r="FQ44" s="32">
        <f>(Bankingbook_SBV[[#This Row],[MARKET_VALUE]]+Bankingbook_SBV[[#This Row],[Accr Int]]*Bankingbook_SBV[[#This Row],[Quantity_edited]])*(-Bankingbook_SBV[[#This Row],[Modified Duration]]*0.01+0.5*Bankingbook_SBV[[#This Row],[Conv]]*(0.01^2))</f>
        <v>0</v>
      </c>
      <c r="FT44" t="s">
        <v>166</v>
      </c>
      <c r="FU44" t="s">
        <v>790</v>
      </c>
      <c r="FV44" t="s">
        <v>4025</v>
      </c>
      <c r="FW44">
        <v>3311717</v>
      </c>
      <c r="FX44" s="502">
        <v>46220</v>
      </c>
      <c r="FY44" t="s">
        <v>2176</v>
      </c>
      <c r="FZ44" t="s">
        <v>812</v>
      </c>
      <c r="GA44" t="s">
        <v>3585</v>
      </c>
      <c r="GB44" t="s">
        <v>810</v>
      </c>
      <c r="GC44" t="s">
        <v>608</v>
      </c>
      <c r="GD44" s="500">
        <v>-260973600000</v>
      </c>
      <c r="GE44">
        <v>4.9999130000000003</v>
      </c>
      <c r="GF44" s="502">
        <v>46225</v>
      </c>
      <c r="GG44" s="502">
        <v>46286</v>
      </c>
      <c r="GH44">
        <v>4.5999999999999996</v>
      </c>
      <c r="GI44" t="s">
        <v>811</v>
      </c>
      <c r="GJ44" t="s">
        <v>3321</v>
      </c>
      <c r="GK44" t="s">
        <v>3321</v>
      </c>
      <c r="GL44">
        <v>956903200</v>
      </c>
      <c r="GM44">
        <v>-888025236.15999997</v>
      </c>
      <c r="GN44">
        <v>276828000000</v>
      </c>
      <c r="GO44">
        <v>5.73</v>
      </c>
      <c r="GP44">
        <v>0.09</v>
      </c>
      <c r="GQ44">
        <v>8.3000000000000004E-2</v>
      </c>
      <c r="GR44">
        <v>7.03</v>
      </c>
      <c r="GS44">
        <v>-261298825327.84</v>
      </c>
      <c r="GT44">
        <v>-325225327.83999997</v>
      </c>
      <c r="GU44" t="s">
        <v>4087</v>
      </c>
      <c r="GV44" t="s">
        <v>4087</v>
      </c>
      <c r="GW44" s="416">
        <f>FNRP_Repo[[#This Row],[Mat. Date]]-RPT</f>
        <v>34</v>
      </c>
      <c r="GX44" s="819" t="str">
        <f>IF(FNRP_Repo[[#This Row],[Days]]&lt;=0,"Mat",INDEX(Ref!U:U,MATCH(FNRP_Repo[[#This Row],[Days]],Ref!S:S,1)))</f>
        <v>2M</v>
      </c>
      <c r="GY44" s="417">
        <f>RIGHT(FNRP_Repo[[#This Row],[Deal Id]],5)+0</f>
        <v>18055</v>
      </c>
    </row>
    <row r="45" spans="2:207" x14ac:dyDescent="0.3">
      <c r="B45" t="s">
        <v>166</v>
      </c>
      <c r="C45" t="s">
        <v>167</v>
      </c>
      <c r="D45" t="s">
        <v>217</v>
      </c>
      <c r="E45" t="s">
        <v>169</v>
      </c>
      <c r="F45" s="502">
        <v>42092</v>
      </c>
      <c r="G45" t="s">
        <v>3322</v>
      </c>
      <c r="H45"/>
      <c r="I45"/>
      <c r="J45" s="38">
        <v>0</v>
      </c>
      <c r="K45">
        <v>0</v>
      </c>
      <c r="L45">
        <v>0</v>
      </c>
      <c r="M45" s="38">
        <v>0</v>
      </c>
      <c r="N45">
        <v>8.6999999999999993</v>
      </c>
      <c r="O45">
        <v>0</v>
      </c>
      <c r="P45" s="37">
        <v>0</v>
      </c>
      <c r="Q45" s="37">
        <v>0</v>
      </c>
      <c r="R45" s="37">
        <v>65895840.277778625</v>
      </c>
      <c r="S45">
        <v>8.6999999999999993</v>
      </c>
      <c r="T45" s="70">
        <v>0</v>
      </c>
      <c r="U45">
        <v>0</v>
      </c>
      <c r="V45">
        <v>0</v>
      </c>
      <c r="W45">
        <v>0</v>
      </c>
      <c r="X45" s="38">
        <v>0</v>
      </c>
      <c r="Y45">
        <v>0</v>
      </c>
      <c r="Z45" s="70">
        <v>3217000000</v>
      </c>
      <c r="AA45" s="70">
        <v>0</v>
      </c>
      <c r="AB45" s="70">
        <v>3217000000</v>
      </c>
      <c r="AC45" s="70">
        <v>3217000000</v>
      </c>
      <c r="AD45" s="70">
        <v>3217000000</v>
      </c>
      <c r="AE45" s="70">
        <v>3217000000</v>
      </c>
      <c r="AF45">
        <v>0</v>
      </c>
      <c r="AG45" s="72">
        <f>Tradingbook_MSB[[#This Row],[Mat. Date]]-RPT</f>
        <v>-4160</v>
      </c>
      <c r="AH45" s="71">
        <f>IF(Tradingbook_MSB[[#This Row],[Days]]&lt;=0,0,YEARFRAC(RPT,Tradingbook_MSB[[#This Row],[Mat. Date]],3))</f>
        <v>0</v>
      </c>
      <c r="AI45" s="71">
        <f>IF(Tradingbook_MSB[[#This Row],[Days (year)]]=0,0,INDEX(Ref!$K$2:$K$13,MATCH(Tradingbook_MSB[[#This Row],[Days (year)]],Ref!$I$2:$I$13,1)))</f>
        <v>0</v>
      </c>
      <c r="AJ45" s="120" t="str">
        <f>VLOOKUP(Tradingbook_MSB[[#This Row],[Security Name]],Ref!X:Z,3,0)</f>
        <v>TPCPBL</v>
      </c>
      <c r="AK45" s="120" t="str">
        <f>VLOOKUP(Tradingbook_MSB[[#This Row],[Security Name]],Ref!X:Y,2,0)</f>
        <v>VDB</v>
      </c>
      <c r="AL45" s="71">
        <f>IF((Tradingbook_MSB[[#This Row],[Mat. Date]]-RPT)&lt;=0,0,Tradingbook_MSB[[#This Row],[QUANTITY]])</f>
        <v>0</v>
      </c>
      <c r="AM45" s="71">
        <f>IF(Tradingbook_MSB[[#This Row],[Quantity_edited]]=0,0,Tradingbook_MSB[[#This Row],[DURATION]])</f>
        <v>0</v>
      </c>
      <c r="AN45" s="71">
        <f>IF(Tradingbook_MSB[[#This Row],[Quantity_edited]]=0,0,Tradingbook_MSB[[#This Row],[Mod Dur]])</f>
        <v>0</v>
      </c>
      <c r="AO45" s="71">
        <f>IF(Tradingbook_MSB[[#This Row],[Quantity_edited]]=0,0,Tradingbook_MSB[[#This Row],[Cnvx.]])</f>
        <v>0</v>
      </c>
      <c r="AP45" s="71">
        <f>(Tradingbook_MSB[[#This Row],[MARKET_VALUE]]+Tradingbook_MSB[[#This Row],[Accr Int]]*Tradingbook_MSB[[#This Row],[Quantity_edited]])*(-Tradingbook_MSB[[#This Row],[Modified Duration]]*0.0001+0.5*Tradingbook_MSB[[#This Row],[Conv]]*(0.0001^2))</f>
        <v>0</v>
      </c>
      <c r="AQ45" s="72">
        <f>(Tradingbook_MSB[[#This Row],[MARKET_VALUE]]+Tradingbook_MSB[[#This Row],[Accr Int]]*Tradingbook_MSB[[#This Row],[Quantity_edited]])*(-Tradingbook_MSB[[#This Row],[Modified Duration]]*0.01+0.5*Tradingbook_MSB[[#This Row],[Conv]]*(0.01^2))</f>
        <v>0</v>
      </c>
      <c r="AR45" s="71"/>
      <c r="AT45" t="s">
        <v>166</v>
      </c>
      <c r="AU45" t="s">
        <v>167</v>
      </c>
      <c r="AV45" t="s">
        <v>330</v>
      </c>
      <c r="AW45" t="s">
        <v>169</v>
      </c>
      <c r="AX45" t="s">
        <v>3359</v>
      </c>
      <c r="AY45" t="s">
        <v>3322</v>
      </c>
      <c r="BB45" s="49">
        <v>0</v>
      </c>
      <c r="BC45">
        <v>0</v>
      </c>
      <c r="BD45">
        <v>0</v>
      </c>
      <c r="BE45" s="37">
        <v>0</v>
      </c>
      <c r="BF45">
        <v>9.8000000000000007</v>
      </c>
      <c r="BG45">
        <v>0</v>
      </c>
      <c r="BH45" s="34">
        <v>88200000000</v>
      </c>
      <c r="BI45">
        <v>98201592124.999847</v>
      </c>
      <c r="BJ45">
        <v>-29346982923.749645</v>
      </c>
      <c r="BK45">
        <v>9.8000000000000007</v>
      </c>
      <c r="BL45">
        <v>0</v>
      </c>
      <c r="BM45">
        <v>0</v>
      </c>
      <c r="BN45">
        <v>0</v>
      </c>
      <c r="BO45">
        <v>0</v>
      </c>
      <c r="BP45">
        <v>0</v>
      </c>
      <c r="BQ45">
        <v>0</v>
      </c>
      <c r="BR45">
        <v>49900500000</v>
      </c>
      <c r="BS45">
        <v>0</v>
      </c>
      <c r="BT45">
        <v>49900500000</v>
      </c>
      <c r="BU45">
        <v>49900500000</v>
      </c>
      <c r="BV45">
        <v>49900500000</v>
      </c>
      <c r="BW45">
        <v>49900500000</v>
      </c>
      <c r="BX45">
        <v>0</v>
      </c>
      <c r="BY45" s="32">
        <f>Bankingbook_MSB[[#This Row],[Mat. Date]]-RPT</f>
        <v>-3368</v>
      </c>
      <c r="BZ45" s="71">
        <f>IF(Bankingbook_MSB[[#This Row],[Days]]&lt;=0,0,YEARFRAC(RPT,Bankingbook_MSB[[#This Row],[Mat. Date]],3))</f>
        <v>0</v>
      </c>
      <c r="CA45" s="71">
        <f>IF(Bankingbook_MSB[[#This Row],[Days (year)]]=0,0,INDEX(Ref!$K$2:$K$13,MATCH(Bankingbook_MSB[[#This Row],[Days (year)]],Ref!$I$2:$I$13,1)))</f>
        <v>0</v>
      </c>
      <c r="CB45" s="32" t="str">
        <f>VLOOKUP(Bankingbook_MSB[[#This Row],[Security Name]],Ref!X:Z,3,0)</f>
        <v>TPCPBL</v>
      </c>
      <c r="CC45" s="32" t="str">
        <f>VLOOKUP(Bankingbook_MSB[[#This Row],[Security Name]],Ref!X:Y,2,0)</f>
        <v>VDB</v>
      </c>
      <c r="CD45" s="72">
        <f>IF((Bankingbook_MSB[[#This Row],[Mat. Date]]-RPT)&lt;=0,0,Bankingbook_MSB[[#This Row],[QUANTITY]])</f>
        <v>0</v>
      </c>
      <c r="CE45" s="71">
        <f>IF(Bankingbook_MSB[[#This Row],[Quantity_edited]]=0,0,Bankingbook_MSB[[#This Row],[DURATION]])</f>
        <v>0</v>
      </c>
      <c r="CF45" s="71">
        <f>IF(Bankingbook_MSB[[#This Row],[Quantity_edited]]=0,0,Bankingbook_MSB[[#This Row],[Mod Dur]])</f>
        <v>0</v>
      </c>
      <c r="CG45" s="71">
        <f>IF(Bankingbook_MSB[[#This Row],[Quantity_edited]]=0,0,Bankingbook_MSB[[#This Row],[Cnvx.]])</f>
        <v>0</v>
      </c>
      <c r="CH45" s="71">
        <f>(Bankingbook_MSB[[#This Row],[MARKET_VALUE]]+Bankingbook_MSB[[#This Row],[Accr Int]]*Bankingbook_MSB[[#This Row],[Quantity_edited]])*(-Bankingbook_MSB[[#This Row],[Modified Duration]]*0.0001+0.5*Bankingbook_MSB[[#This Row],[Conv]]*(0.0001^2))</f>
        <v>0</v>
      </c>
      <c r="CI45" s="71">
        <f>(Bankingbook_MSB[[#This Row],[MARKET_VALUE]]+Bankingbook_MSB[[#This Row],[Accr Int]]*Bankingbook_MSB[[#This Row],[Quantity_edited]])*(-Bankingbook_MSB[[#This Row],[Modified Duration]]*0.01+0.5*Bankingbook_MSB[[#This Row],[Conv]]*(0.01^2))</f>
        <v>0</v>
      </c>
      <c r="CJ45" s="32"/>
      <c r="CL45" t="s">
        <v>166</v>
      </c>
      <c r="CM45" t="s">
        <v>167</v>
      </c>
      <c r="CN45" t="s">
        <v>217</v>
      </c>
      <c r="CO45" t="s">
        <v>169</v>
      </c>
      <c r="CP45" s="35">
        <v>42092</v>
      </c>
      <c r="CQ45" t="s">
        <v>3322</v>
      </c>
      <c r="CR45" t="s">
        <v>174</v>
      </c>
      <c r="CS45" t="s">
        <v>174</v>
      </c>
      <c r="CT45" s="49">
        <v>0</v>
      </c>
      <c r="CU45">
        <v>0</v>
      </c>
      <c r="CV45">
        <v>0</v>
      </c>
      <c r="CW45" s="70">
        <v>0</v>
      </c>
      <c r="CX45">
        <v>8.6999999999999993</v>
      </c>
      <c r="CY45">
        <v>0</v>
      </c>
      <c r="CZ45">
        <v>0</v>
      </c>
      <c r="DA45">
        <v>0</v>
      </c>
      <c r="DB45">
        <v>65895840.277778625</v>
      </c>
      <c r="DC45">
        <v>8.6999999999999993</v>
      </c>
      <c r="DD45">
        <v>0</v>
      </c>
      <c r="DE45">
        <v>0</v>
      </c>
      <c r="DF45">
        <v>0</v>
      </c>
      <c r="DG45">
        <v>0</v>
      </c>
      <c r="DH45">
        <v>0</v>
      </c>
      <c r="DI45">
        <v>0</v>
      </c>
      <c r="DJ45" s="500">
        <v>3217000000</v>
      </c>
      <c r="DK45" s="500">
        <v>0</v>
      </c>
      <c r="DL45" s="37">
        <v>3217000000</v>
      </c>
      <c r="DM45" s="37">
        <v>3217000000</v>
      </c>
      <c r="DN45" s="37">
        <v>3217000000</v>
      </c>
      <c r="DO45" s="37">
        <v>3217000000</v>
      </c>
      <c r="DP45" s="32">
        <f>Tradingbook_SBV[[#This Row],[Mat. Date]]-RPT</f>
        <v>-4160</v>
      </c>
      <c r="DQ45" s="32">
        <f>IF(Tradingbook_SBV[[#This Row],[Days]]&lt;=0,0,YEARFRAC(RPT,Tradingbook_SBV[[#This Row],[Mat. Date]],3))</f>
        <v>0</v>
      </c>
      <c r="DR45" s="32">
        <f>IF(Tradingbook_SBV[[#This Row],[Days (year)]]=0,0,INDEX(Ref!$K$2:$K$13,MATCH(Tradingbook_SBV[[#This Row],[Days (year)]],Ref!$I$2:$I$13,1)))</f>
        <v>0</v>
      </c>
      <c r="DS45" s="32" t="str">
        <f>VLOOKUP(Tradingbook_SBV[[#This Row],[Security Name]],Ref!X:Z,3,0)</f>
        <v>TPCPBL</v>
      </c>
      <c r="DT45" s="32" t="str">
        <f>VLOOKUP(Tradingbook_SBV[[#This Row],[Security Name]],Ref!X:Y,2,0)</f>
        <v>VDB</v>
      </c>
      <c r="DU45" s="71">
        <f>IF((Tradingbook_SBV[[#This Row],[Mat. Date]]-RPT)&lt;=0,0,Tradingbook_SBV[[#This Row],[QUANTITY]])</f>
        <v>0</v>
      </c>
      <c r="DV45" s="71">
        <f>IF(Tradingbook_SBV[[#This Row],[Quantity_edited]]=0,0,Tradingbook_SBV[[#This Row],[DURATION]])</f>
        <v>0</v>
      </c>
      <c r="DW45" s="71">
        <f>IF(Tradingbook_SBV[[#This Row],[Quantity_edited]]=0,0,Tradingbook_SBV[[#This Row],[Mod Dur]])</f>
        <v>0</v>
      </c>
      <c r="DX45" s="71">
        <f>IF(Tradingbook_SBV[[#This Row],[Quantity_edited]]=0,0,Tradingbook_SBV[[#This Row],[Cnvx.]])</f>
        <v>0</v>
      </c>
      <c r="DY45" s="71">
        <f>(Tradingbook_SBV[[#This Row],[MARKET_VALUE]]+Tradingbook_SBV[[#This Row],[Accr Int]]*Tradingbook_SBV[[#This Row],[Quantity_edited]])*(-Tradingbook_SBV[[#This Row],[Modified Duration]]*0.0001+0.5*Tradingbook_SBV[[#This Row],[Conv]]*(0.0001^2))</f>
        <v>0</v>
      </c>
      <c r="DZ45" s="71">
        <f>(Tradingbook_SBV[[#This Row],[MARKET_VALUE]]+Tradingbook_SBV[[#This Row],[Accr Int]]*Tradingbook_SBV[[#This Row],[Quantity_edited]])*(-Tradingbook_SBV[[#This Row],[Modified Duration]]*0.01+0.5*Tradingbook_SBV[[#This Row],[Conv]]*(0.01^2))</f>
        <v>0</v>
      </c>
      <c r="EC45" t="s">
        <v>166</v>
      </c>
      <c r="ED45" t="s">
        <v>167</v>
      </c>
      <c r="EE45" t="s">
        <v>330</v>
      </c>
      <c r="EF45" t="s">
        <v>169</v>
      </c>
      <c r="EG45" s="35" t="s">
        <v>3359</v>
      </c>
      <c r="EH45" t="s">
        <v>3322</v>
      </c>
      <c r="EK45" s="500">
        <v>0</v>
      </c>
      <c r="EL45" s="500">
        <v>0</v>
      </c>
      <c r="EM45" s="500">
        <v>0</v>
      </c>
      <c r="EN45" s="500">
        <v>0</v>
      </c>
      <c r="EO45">
        <v>9.8000000000000007</v>
      </c>
      <c r="EP45">
        <v>0</v>
      </c>
      <c r="EQ45">
        <v>88200000000</v>
      </c>
      <c r="ER45">
        <v>98201592124.999847</v>
      </c>
      <c r="ES45">
        <v>-29346982923.749645</v>
      </c>
      <c r="ET45">
        <v>9.8000000000000007</v>
      </c>
      <c r="EU45">
        <v>0</v>
      </c>
      <c r="EV45">
        <v>0</v>
      </c>
      <c r="EW45">
        <v>0</v>
      </c>
      <c r="EX45">
        <v>0</v>
      </c>
      <c r="EY45">
        <v>0</v>
      </c>
      <c r="EZ45">
        <v>0</v>
      </c>
      <c r="FA45">
        <v>49900500000</v>
      </c>
      <c r="FB45">
        <v>0</v>
      </c>
      <c r="FC45">
        <v>49900500000</v>
      </c>
      <c r="FD45">
        <v>49900500000</v>
      </c>
      <c r="FE45">
        <v>49900500000</v>
      </c>
      <c r="FF45">
        <v>49900500000</v>
      </c>
      <c r="FG45" s="32">
        <f>Bankingbook_SBV[[#This Row],[Mat. Date]]-RPT</f>
        <v>-3368</v>
      </c>
      <c r="FH45" s="32">
        <f>IF(Bankingbook_SBV[[#This Row],[Days]]&lt;=0,0,YEARFRAC(RPT,Bankingbook_SBV[[#This Row],[Mat. Date]],3))</f>
        <v>0</v>
      </c>
      <c r="FI45" s="32">
        <f>IF(Bankingbook_SBV[[#This Row],[Days (year)]]=0,0,INDEX(Ref!$K$2:$K$13,MATCH(Bankingbook_SBV[[#This Row],[Days (year)]],Ref!$I$2:$I$13,1)))</f>
        <v>0</v>
      </c>
      <c r="FJ45" s="32" t="str">
        <f>VLOOKUP(Bankingbook_SBV[[#This Row],[Security Name]],Ref!X:Z,3,0)</f>
        <v>TPCPBL</v>
      </c>
      <c r="FK45" s="32" t="str">
        <f>VLOOKUP(Bankingbook_SBV[[#This Row],[Security Name]],Ref!X:Y,2,0)</f>
        <v>VDB</v>
      </c>
      <c r="FL45" s="72">
        <f>IF((Bankingbook_SBV[[#This Row],[Mat. Date]]-RPT)&lt;=0,0,Bankingbook_SBV[[#This Row],[QUANTITY]])</f>
        <v>0</v>
      </c>
      <c r="FM45" s="32">
        <f>IF(Bankingbook_SBV[[#This Row],[Quantity_edited]]=0,0,Bankingbook_SBV[[#This Row],[DURATION]])</f>
        <v>0</v>
      </c>
      <c r="FN45" s="32">
        <f>IF(Bankingbook_SBV[[#This Row],[Quantity_edited]]=0,0,Bankingbook_SBV[[#This Row],[Mod Dur]])</f>
        <v>0</v>
      </c>
      <c r="FO45" s="32">
        <f>IF(Bankingbook_SBV[[#This Row],[Quantity_edited]]=0,0,Bankingbook_SBV[[#This Row],[Cnvx.]])</f>
        <v>0</v>
      </c>
      <c r="FP45" s="32">
        <f>(Bankingbook_SBV[[#This Row],[MARKET_VALUE]]+Bankingbook_SBV[[#This Row],[Accr Int]]*Bankingbook_SBV[[#This Row],[Quantity_edited]])*(-Bankingbook_SBV[[#This Row],[Modified Duration]]*0.0001+0.5*Bankingbook_SBV[[#This Row],[Conv]]*(0.0001^2))</f>
        <v>0</v>
      </c>
      <c r="FQ45" s="32">
        <f>(Bankingbook_SBV[[#This Row],[MARKET_VALUE]]+Bankingbook_SBV[[#This Row],[Accr Int]]*Bankingbook_SBV[[#This Row],[Quantity_edited]])*(-Bankingbook_SBV[[#This Row],[Modified Duration]]*0.01+0.5*Bankingbook_SBV[[#This Row],[Conv]]*(0.01^2))</f>
        <v>0</v>
      </c>
      <c r="FT45" t="s">
        <v>166</v>
      </c>
      <c r="FU45" t="s">
        <v>790</v>
      </c>
      <c r="FV45" t="s">
        <v>4026</v>
      </c>
      <c r="FW45">
        <v>3311653</v>
      </c>
      <c r="FX45" s="502">
        <v>46220</v>
      </c>
      <c r="FY45" t="s">
        <v>2176</v>
      </c>
      <c r="FZ45" t="s">
        <v>823</v>
      </c>
      <c r="GA45" t="s">
        <v>2829</v>
      </c>
      <c r="GB45" t="s">
        <v>810</v>
      </c>
      <c r="GC45" t="s">
        <v>666</v>
      </c>
      <c r="GD45" s="500">
        <v>-145804500000</v>
      </c>
      <c r="GE45">
        <v>9.9997220000000002</v>
      </c>
      <c r="GF45" s="502">
        <v>46224</v>
      </c>
      <c r="GG45" s="502">
        <v>46286</v>
      </c>
      <c r="GH45">
        <v>4.55</v>
      </c>
      <c r="GI45" t="s">
        <v>811</v>
      </c>
      <c r="GJ45" t="s">
        <v>3321</v>
      </c>
      <c r="GK45" t="s">
        <v>3321</v>
      </c>
      <c r="GL45">
        <v>553652087.5</v>
      </c>
      <c r="GM45">
        <v>-508917624.66000003</v>
      </c>
      <c r="GN45">
        <v>161497500000</v>
      </c>
      <c r="GO45">
        <v>9.7200000000000006</v>
      </c>
      <c r="GP45">
        <v>0.09</v>
      </c>
      <c r="GQ45">
        <v>8.3000000000000004E-2</v>
      </c>
      <c r="GR45">
        <v>7.03</v>
      </c>
      <c r="GS45">
        <v>-145992155246.53</v>
      </c>
      <c r="GT45">
        <v>-187655246.53</v>
      </c>
      <c r="GU45" t="s">
        <v>4096</v>
      </c>
      <c r="GV45" t="s">
        <v>4096</v>
      </c>
      <c r="GW45" s="416">
        <f>FNRP_Repo[[#This Row],[Mat. Date]]-RPT</f>
        <v>34</v>
      </c>
      <c r="GX45" s="819" t="str">
        <f>IF(FNRP_Repo[[#This Row],[Days]]&lt;=0,"Mat",INDEX(Ref!U:U,MATCH(FNRP_Repo[[#This Row],[Days]],Ref!S:S,1)))</f>
        <v>2M</v>
      </c>
      <c r="GY45" s="417">
        <f>RIGHT(FNRP_Repo[[#This Row],[Deal Id]],5)+0</f>
        <v>18050</v>
      </c>
    </row>
    <row r="46" spans="2:207" x14ac:dyDescent="0.3">
      <c r="B46" t="s">
        <v>166</v>
      </c>
      <c r="C46" t="s">
        <v>167</v>
      </c>
      <c r="D46" t="s">
        <v>218</v>
      </c>
      <c r="E46" t="s">
        <v>169</v>
      </c>
      <c r="F46" s="502">
        <v>42109</v>
      </c>
      <c r="G46" t="s">
        <v>3322</v>
      </c>
      <c r="H46"/>
      <c r="I46"/>
      <c r="J46" s="38">
        <v>0</v>
      </c>
      <c r="K46">
        <v>0</v>
      </c>
      <c r="L46">
        <v>0</v>
      </c>
      <c r="M46" s="38">
        <v>0</v>
      </c>
      <c r="N46">
        <v>10.8</v>
      </c>
      <c r="O46">
        <v>0</v>
      </c>
      <c r="P46" s="37">
        <v>0</v>
      </c>
      <c r="Q46" s="37">
        <v>0</v>
      </c>
      <c r="R46" s="37">
        <v>-1504604502.0138621</v>
      </c>
      <c r="S46">
        <v>10.8</v>
      </c>
      <c r="T46" s="70">
        <v>0</v>
      </c>
      <c r="U46">
        <v>0</v>
      </c>
      <c r="V46">
        <v>0</v>
      </c>
      <c r="W46">
        <v>0</v>
      </c>
      <c r="X46" s="38">
        <v>0</v>
      </c>
      <c r="Y46">
        <v>0</v>
      </c>
      <c r="Z46" s="70">
        <v>2648900000</v>
      </c>
      <c r="AA46" s="70">
        <v>0</v>
      </c>
      <c r="AB46" s="70">
        <v>2648900000</v>
      </c>
      <c r="AC46" s="70">
        <v>2648900000</v>
      </c>
      <c r="AD46" s="70">
        <v>2648900000</v>
      </c>
      <c r="AE46" s="70">
        <v>2648900000</v>
      </c>
      <c r="AF46">
        <v>0</v>
      </c>
      <c r="AG46" s="72">
        <f>Tradingbook_MSB[[#This Row],[Mat. Date]]-RPT</f>
        <v>-4143</v>
      </c>
      <c r="AH46" s="71">
        <f>IF(Tradingbook_MSB[[#This Row],[Days]]&lt;=0,0,YEARFRAC(RPT,Tradingbook_MSB[[#This Row],[Mat. Date]],3))</f>
        <v>0</v>
      </c>
      <c r="AI46" s="71">
        <f>IF(Tradingbook_MSB[[#This Row],[Days (year)]]=0,0,INDEX(Ref!$K$2:$K$13,MATCH(Tradingbook_MSB[[#This Row],[Days (year)]],Ref!$I$2:$I$13,1)))</f>
        <v>0</v>
      </c>
      <c r="AJ46" s="120" t="str">
        <f>VLOOKUP(Tradingbook_MSB[[#This Row],[Security Name]],Ref!X:Z,3,0)</f>
        <v>TPCP</v>
      </c>
      <c r="AK46" s="120" t="str">
        <f>VLOOKUP(Tradingbook_MSB[[#This Row],[Security Name]],Ref!X:Y,2,0)</f>
        <v>KBNN</v>
      </c>
      <c r="AL46" s="71">
        <f>IF((Tradingbook_MSB[[#This Row],[Mat. Date]]-RPT)&lt;=0,0,Tradingbook_MSB[[#This Row],[QUANTITY]])</f>
        <v>0</v>
      </c>
      <c r="AM46" s="71">
        <f>IF(Tradingbook_MSB[[#This Row],[Quantity_edited]]=0,0,Tradingbook_MSB[[#This Row],[DURATION]])</f>
        <v>0</v>
      </c>
      <c r="AN46" s="71">
        <f>IF(Tradingbook_MSB[[#This Row],[Quantity_edited]]=0,0,Tradingbook_MSB[[#This Row],[Mod Dur]])</f>
        <v>0</v>
      </c>
      <c r="AO46" s="71">
        <f>IF(Tradingbook_MSB[[#This Row],[Quantity_edited]]=0,0,Tradingbook_MSB[[#This Row],[Cnvx.]])</f>
        <v>0</v>
      </c>
      <c r="AP46" s="71">
        <f>(Tradingbook_MSB[[#This Row],[MARKET_VALUE]]+Tradingbook_MSB[[#This Row],[Accr Int]]*Tradingbook_MSB[[#This Row],[Quantity_edited]])*(-Tradingbook_MSB[[#This Row],[Modified Duration]]*0.0001+0.5*Tradingbook_MSB[[#This Row],[Conv]]*(0.0001^2))</f>
        <v>0</v>
      </c>
      <c r="AQ46" s="72">
        <f>(Tradingbook_MSB[[#This Row],[MARKET_VALUE]]+Tradingbook_MSB[[#This Row],[Accr Int]]*Tradingbook_MSB[[#This Row],[Quantity_edited]])*(-Tradingbook_MSB[[#This Row],[Modified Duration]]*0.01+0.5*Tradingbook_MSB[[#This Row],[Conv]]*(0.01^2))</f>
        <v>0</v>
      </c>
      <c r="AR46" s="71"/>
      <c r="AT46" t="s">
        <v>166</v>
      </c>
      <c r="AU46" t="s">
        <v>167</v>
      </c>
      <c r="AV46" t="s">
        <v>331</v>
      </c>
      <c r="AW46" t="s">
        <v>169</v>
      </c>
      <c r="AX46" t="s">
        <v>3360</v>
      </c>
      <c r="AY46" t="s">
        <v>170</v>
      </c>
      <c r="BB46" s="49">
        <v>40000</v>
      </c>
      <c r="BC46">
        <v>4000000000</v>
      </c>
      <c r="BD46">
        <v>108496.185</v>
      </c>
      <c r="BE46" s="37">
        <v>0</v>
      </c>
      <c r="BF46">
        <v>9.5</v>
      </c>
      <c r="BG46">
        <v>0</v>
      </c>
      <c r="BH46" s="34">
        <v>6650000000</v>
      </c>
      <c r="BI46">
        <v>7237432737.4999981</v>
      </c>
      <c r="BJ46">
        <v>-1701452058.3805456</v>
      </c>
      <c r="BK46">
        <v>9.5</v>
      </c>
      <c r="BL46">
        <v>0</v>
      </c>
      <c r="BM46">
        <v>0</v>
      </c>
      <c r="BN46">
        <v>0</v>
      </c>
      <c r="BO46">
        <v>0</v>
      </c>
      <c r="BP46">
        <v>0</v>
      </c>
      <c r="BQ46">
        <v>0</v>
      </c>
      <c r="BR46">
        <v>-830939999.99999857</v>
      </c>
      <c r="BS46">
        <v>0</v>
      </c>
      <c r="BT46">
        <v>-830939999.99999857</v>
      </c>
      <c r="BU46">
        <v>-830939999.99999857</v>
      </c>
      <c r="BV46">
        <v>-830940000</v>
      </c>
      <c r="BW46">
        <v>-830939999.99999857</v>
      </c>
      <c r="BX46">
        <v>6.3644444440000001</v>
      </c>
      <c r="BY46" s="32">
        <f>Bankingbook_MSB[[#This Row],[Mat. Date]]-RPT</f>
        <v>-3351</v>
      </c>
      <c r="BZ46" s="71">
        <f>IF(Bankingbook_MSB[[#This Row],[Days]]&lt;=0,0,YEARFRAC(RPT,Bankingbook_MSB[[#This Row],[Mat. Date]],3))</f>
        <v>0</v>
      </c>
      <c r="CA46" s="71">
        <f>IF(Bankingbook_MSB[[#This Row],[Days (year)]]=0,0,INDEX(Ref!$K$2:$K$13,MATCH(Bankingbook_MSB[[#This Row],[Days (year)]],Ref!$I$2:$I$13,1)))</f>
        <v>0</v>
      </c>
      <c r="CB46" s="32" t="str">
        <f>VLOOKUP(Bankingbook_MSB[[#This Row],[Security Name]],Ref!X:Z,3,0)</f>
        <v>TPCP</v>
      </c>
      <c r="CC46" s="32" t="str">
        <f>VLOOKUP(Bankingbook_MSB[[#This Row],[Security Name]],Ref!X:Y,2,0)</f>
        <v>KBNN</v>
      </c>
      <c r="CD46" s="72">
        <f>IF((Bankingbook_MSB[[#This Row],[Mat. Date]]-RPT)&lt;=0,0,Bankingbook_MSB[[#This Row],[QUANTITY]])</f>
        <v>0</v>
      </c>
      <c r="CE46" s="71">
        <f>IF(Bankingbook_MSB[[#This Row],[Quantity_edited]]=0,0,Bankingbook_MSB[[#This Row],[DURATION]])</f>
        <v>0</v>
      </c>
      <c r="CF46" s="71">
        <f>IF(Bankingbook_MSB[[#This Row],[Quantity_edited]]=0,0,Bankingbook_MSB[[#This Row],[Mod Dur]])</f>
        <v>0</v>
      </c>
      <c r="CG46" s="71">
        <f>IF(Bankingbook_MSB[[#This Row],[Quantity_edited]]=0,0,Bankingbook_MSB[[#This Row],[Cnvx.]])</f>
        <v>0</v>
      </c>
      <c r="CH46" s="71">
        <f>(Bankingbook_MSB[[#This Row],[MARKET_VALUE]]+Bankingbook_MSB[[#This Row],[Accr Int]]*Bankingbook_MSB[[#This Row],[Quantity_edited]])*(-Bankingbook_MSB[[#This Row],[Modified Duration]]*0.0001+0.5*Bankingbook_MSB[[#This Row],[Conv]]*(0.0001^2))</f>
        <v>0</v>
      </c>
      <c r="CI46" s="71">
        <f>(Bankingbook_MSB[[#This Row],[MARKET_VALUE]]+Bankingbook_MSB[[#This Row],[Accr Int]]*Bankingbook_MSB[[#This Row],[Quantity_edited]])*(-Bankingbook_MSB[[#This Row],[Modified Duration]]*0.01+0.5*Bankingbook_MSB[[#This Row],[Conv]]*(0.01^2))</f>
        <v>0</v>
      </c>
      <c r="CJ46" s="32"/>
      <c r="CL46" t="s">
        <v>166</v>
      </c>
      <c r="CM46" t="s">
        <v>167</v>
      </c>
      <c r="CN46" t="s">
        <v>218</v>
      </c>
      <c r="CO46" t="s">
        <v>169</v>
      </c>
      <c r="CP46" s="35">
        <v>42109</v>
      </c>
      <c r="CQ46" t="s">
        <v>3322</v>
      </c>
      <c r="CR46" t="s">
        <v>174</v>
      </c>
      <c r="CS46" t="s">
        <v>174</v>
      </c>
      <c r="CT46" s="49">
        <v>0</v>
      </c>
      <c r="CU46">
        <v>0</v>
      </c>
      <c r="CV46">
        <v>0</v>
      </c>
      <c r="CW46" s="70">
        <v>0</v>
      </c>
      <c r="CX46">
        <v>10.8</v>
      </c>
      <c r="CY46">
        <v>0</v>
      </c>
      <c r="CZ46">
        <v>0</v>
      </c>
      <c r="DA46">
        <v>0</v>
      </c>
      <c r="DB46">
        <v>-1504604502.0138621</v>
      </c>
      <c r="DC46">
        <v>10.8</v>
      </c>
      <c r="DD46">
        <v>0</v>
      </c>
      <c r="DE46">
        <v>0</v>
      </c>
      <c r="DF46">
        <v>0</v>
      </c>
      <c r="DG46">
        <v>0</v>
      </c>
      <c r="DH46">
        <v>0</v>
      </c>
      <c r="DI46">
        <v>0</v>
      </c>
      <c r="DJ46" s="500">
        <v>2648900000</v>
      </c>
      <c r="DK46" s="500">
        <v>0</v>
      </c>
      <c r="DL46" s="37">
        <v>2648900000</v>
      </c>
      <c r="DM46" s="37">
        <v>2648900000</v>
      </c>
      <c r="DN46" s="37">
        <v>2648900000</v>
      </c>
      <c r="DO46" s="37">
        <v>2648900000</v>
      </c>
      <c r="DP46" s="32">
        <f>Tradingbook_SBV[[#This Row],[Mat. Date]]-RPT</f>
        <v>-4143</v>
      </c>
      <c r="DQ46" s="32">
        <f>IF(Tradingbook_SBV[[#This Row],[Days]]&lt;=0,0,YEARFRAC(RPT,Tradingbook_SBV[[#This Row],[Mat. Date]],3))</f>
        <v>0</v>
      </c>
      <c r="DR46" s="32">
        <f>IF(Tradingbook_SBV[[#This Row],[Days (year)]]=0,0,INDEX(Ref!$K$2:$K$13,MATCH(Tradingbook_SBV[[#This Row],[Days (year)]],Ref!$I$2:$I$13,1)))</f>
        <v>0</v>
      </c>
      <c r="DS46" s="32" t="str">
        <f>VLOOKUP(Tradingbook_SBV[[#This Row],[Security Name]],Ref!X:Z,3,0)</f>
        <v>TPCP</v>
      </c>
      <c r="DT46" s="32" t="str">
        <f>VLOOKUP(Tradingbook_SBV[[#This Row],[Security Name]],Ref!X:Y,2,0)</f>
        <v>KBNN</v>
      </c>
      <c r="DU46" s="71">
        <f>IF((Tradingbook_SBV[[#This Row],[Mat. Date]]-RPT)&lt;=0,0,Tradingbook_SBV[[#This Row],[QUANTITY]])</f>
        <v>0</v>
      </c>
      <c r="DV46" s="71">
        <f>IF(Tradingbook_SBV[[#This Row],[Quantity_edited]]=0,0,Tradingbook_SBV[[#This Row],[DURATION]])</f>
        <v>0</v>
      </c>
      <c r="DW46" s="71">
        <f>IF(Tradingbook_SBV[[#This Row],[Quantity_edited]]=0,0,Tradingbook_SBV[[#This Row],[Mod Dur]])</f>
        <v>0</v>
      </c>
      <c r="DX46" s="71">
        <f>IF(Tradingbook_SBV[[#This Row],[Quantity_edited]]=0,0,Tradingbook_SBV[[#This Row],[Cnvx.]])</f>
        <v>0</v>
      </c>
      <c r="DY46" s="71">
        <f>(Tradingbook_SBV[[#This Row],[MARKET_VALUE]]+Tradingbook_SBV[[#This Row],[Accr Int]]*Tradingbook_SBV[[#This Row],[Quantity_edited]])*(-Tradingbook_SBV[[#This Row],[Modified Duration]]*0.0001+0.5*Tradingbook_SBV[[#This Row],[Conv]]*(0.0001^2))</f>
        <v>0</v>
      </c>
      <c r="DZ46" s="71">
        <f>(Tradingbook_SBV[[#This Row],[MARKET_VALUE]]+Tradingbook_SBV[[#This Row],[Accr Int]]*Tradingbook_SBV[[#This Row],[Quantity_edited]])*(-Tradingbook_SBV[[#This Row],[Modified Duration]]*0.01+0.5*Tradingbook_SBV[[#This Row],[Conv]]*(0.01^2))</f>
        <v>0</v>
      </c>
      <c r="EC46" t="s">
        <v>166</v>
      </c>
      <c r="ED46" t="s">
        <v>167</v>
      </c>
      <c r="EE46" t="s">
        <v>331</v>
      </c>
      <c r="EF46" t="s">
        <v>169</v>
      </c>
      <c r="EG46" s="35" t="s">
        <v>3360</v>
      </c>
      <c r="EH46" t="s">
        <v>170</v>
      </c>
      <c r="EK46" s="500">
        <v>40000</v>
      </c>
      <c r="EL46" s="500">
        <v>4000000000</v>
      </c>
      <c r="EM46" s="500">
        <v>108496.185</v>
      </c>
      <c r="EN46" s="500">
        <v>0</v>
      </c>
      <c r="EO46">
        <v>9.5</v>
      </c>
      <c r="EP46">
        <v>0</v>
      </c>
      <c r="EQ46">
        <v>6650000000</v>
      </c>
      <c r="ER46">
        <v>7237432737.4999981</v>
      </c>
      <c r="ES46">
        <v>-1701452058.3805456</v>
      </c>
      <c r="ET46">
        <v>9.5</v>
      </c>
      <c r="EU46">
        <v>0</v>
      </c>
      <c r="EV46">
        <v>0</v>
      </c>
      <c r="EW46">
        <v>0</v>
      </c>
      <c r="EX46">
        <v>0</v>
      </c>
      <c r="EY46">
        <v>0</v>
      </c>
      <c r="EZ46">
        <v>0</v>
      </c>
      <c r="FA46">
        <v>-830939999.99999857</v>
      </c>
      <c r="FB46">
        <v>0</v>
      </c>
      <c r="FC46">
        <v>-830939999.99999857</v>
      </c>
      <c r="FD46">
        <v>-830939999.99999857</v>
      </c>
      <c r="FE46">
        <v>-830940000</v>
      </c>
      <c r="FF46">
        <v>-830939999.99999857</v>
      </c>
      <c r="FG46" s="32">
        <f>Bankingbook_SBV[[#This Row],[Mat. Date]]-RPT</f>
        <v>-3351</v>
      </c>
      <c r="FH46" s="32">
        <f>IF(Bankingbook_SBV[[#This Row],[Days]]&lt;=0,0,YEARFRAC(RPT,Bankingbook_SBV[[#This Row],[Mat. Date]],3))</f>
        <v>0</v>
      </c>
      <c r="FI46" s="32">
        <f>IF(Bankingbook_SBV[[#This Row],[Days (year)]]=0,0,INDEX(Ref!$K$2:$K$13,MATCH(Bankingbook_SBV[[#This Row],[Days (year)]],Ref!$I$2:$I$13,1)))</f>
        <v>0</v>
      </c>
      <c r="FJ46" s="32" t="str">
        <f>VLOOKUP(Bankingbook_SBV[[#This Row],[Security Name]],Ref!X:Z,3,0)</f>
        <v>TPCP</v>
      </c>
      <c r="FK46" s="32" t="str">
        <f>VLOOKUP(Bankingbook_SBV[[#This Row],[Security Name]],Ref!X:Y,2,0)</f>
        <v>KBNN</v>
      </c>
      <c r="FL46" s="72">
        <f>IF((Bankingbook_SBV[[#This Row],[Mat. Date]]-RPT)&lt;=0,0,Bankingbook_SBV[[#This Row],[QUANTITY]])</f>
        <v>0</v>
      </c>
      <c r="FM46" s="32">
        <f>IF(Bankingbook_SBV[[#This Row],[Quantity_edited]]=0,0,Bankingbook_SBV[[#This Row],[DURATION]])</f>
        <v>0</v>
      </c>
      <c r="FN46" s="32">
        <f>IF(Bankingbook_SBV[[#This Row],[Quantity_edited]]=0,0,Bankingbook_SBV[[#This Row],[Mod Dur]])</f>
        <v>0</v>
      </c>
      <c r="FO46" s="32">
        <f>IF(Bankingbook_SBV[[#This Row],[Quantity_edited]]=0,0,Bankingbook_SBV[[#This Row],[Cnvx.]])</f>
        <v>0</v>
      </c>
      <c r="FP46" s="32">
        <f>(Bankingbook_SBV[[#This Row],[MARKET_VALUE]]+Bankingbook_SBV[[#This Row],[Accr Int]]*Bankingbook_SBV[[#This Row],[Quantity_edited]])*(-Bankingbook_SBV[[#This Row],[Modified Duration]]*0.0001+0.5*Bankingbook_SBV[[#This Row],[Conv]]*(0.0001^2))</f>
        <v>0</v>
      </c>
      <c r="FQ46" s="32">
        <f>(Bankingbook_SBV[[#This Row],[MARKET_VALUE]]+Bankingbook_SBV[[#This Row],[Accr Int]]*Bankingbook_SBV[[#This Row],[Quantity_edited]])*(-Bankingbook_SBV[[#This Row],[Modified Duration]]*0.01+0.5*Bankingbook_SBV[[#This Row],[Conv]]*(0.01^2))</f>
        <v>0</v>
      </c>
      <c r="FT46" t="s">
        <v>166</v>
      </c>
      <c r="FU46" t="s">
        <v>790</v>
      </c>
      <c r="FV46" t="s">
        <v>3954</v>
      </c>
      <c r="FW46">
        <v>3283506</v>
      </c>
      <c r="FX46" s="502">
        <v>46191</v>
      </c>
      <c r="FY46" t="s">
        <v>2176</v>
      </c>
      <c r="FZ46" t="s">
        <v>823</v>
      </c>
      <c r="GA46" t="s">
        <v>2829</v>
      </c>
      <c r="GB46" t="s">
        <v>810</v>
      </c>
      <c r="GC46" t="s">
        <v>731</v>
      </c>
      <c r="GD46" s="500">
        <v>-563378200000</v>
      </c>
      <c r="GE46">
        <v>10.000491999999999</v>
      </c>
      <c r="GF46" s="502">
        <v>46195</v>
      </c>
      <c r="GG46" s="502">
        <v>46286</v>
      </c>
      <c r="GH46">
        <v>4.5999999999999996</v>
      </c>
      <c r="GI46" t="s">
        <v>811</v>
      </c>
      <c r="GJ46" t="s">
        <v>3321</v>
      </c>
      <c r="GK46" t="s">
        <v>3321</v>
      </c>
      <c r="GL46">
        <v>4638480513.3299999</v>
      </c>
      <c r="GM46">
        <v>-4047062028.4899998</v>
      </c>
      <c r="GN46">
        <v>626502800000</v>
      </c>
      <c r="GO46">
        <v>10.08</v>
      </c>
      <c r="GP46">
        <v>0.09</v>
      </c>
      <c r="GQ46">
        <v>8.3000000000000004E-2</v>
      </c>
      <c r="GR46">
        <v>7.03</v>
      </c>
      <c r="GS46">
        <v>-566196698749.97998</v>
      </c>
      <c r="GT46">
        <v>-2818498749.98</v>
      </c>
      <c r="GU46" t="s">
        <v>4106</v>
      </c>
      <c r="GV46" t="s">
        <v>4106</v>
      </c>
      <c r="GW46" s="416">
        <f>FNRP_Repo[[#This Row],[Mat. Date]]-RPT</f>
        <v>34</v>
      </c>
      <c r="GX46" s="819" t="str">
        <f>IF(FNRP_Repo[[#This Row],[Days]]&lt;=0,"Mat",INDEX(Ref!U:U,MATCH(FNRP_Repo[[#This Row],[Days]],Ref!S:S,1)))</f>
        <v>2M</v>
      </c>
      <c r="GY46" s="417">
        <f>RIGHT(FNRP_Repo[[#This Row],[Deal Id]],5)+0</f>
        <v>17862</v>
      </c>
    </row>
    <row r="47" spans="2:207" x14ac:dyDescent="0.3">
      <c r="B47" t="s">
        <v>166</v>
      </c>
      <c r="C47" t="s">
        <v>167</v>
      </c>
      <c r="D47" t="s">
        <v>219</v>
      </c>
      <c r="E47" t="s">
        <v>169</v>
      </c>
      <c r="F47" s="502">
        <v>42109</v>
      </c>
      <c r="G47" t="s">
        <v>3322</v>
      </c>
      <c r="H47"/>
      <c r="I47"/>
      <c r="J47" s="38">
        <v>0</v>
      </c>
      <c r="K47">
        <v>0</v>
      </c>
      <c r="L47">
        <v>0</v>
      </c>
      <c r="M47" s="38">
        <v>0</v>
      </c>
      <c r="N47">
        <v>7.4</v>
      </c>
      <c r="O47">
        <v>0</v>
      </c>
      <c r="P47" s="37">
        <v>0</v>
      </c>
      <c r="Q47" s="37">
        <v>0</v>
      </c>
      <c r="R47" s="37">
        <v>-5598026149.9999866</v>
      </c>
      <c r="S47">
        <v>7.4</v>
      </c>
      <c r="T47" s="70">
        <v>0</v>
      </c>
      <c r="U47">
        <v>0</v>
      </c>
      <c r="V47">
        <v>0</v>
      </c>
      <c r="W47">
        <v>0</v>
      </c>
      <c r="X47" s="38">
        <v>0</v>
      </c>
      <c r="Y47">
        <v>0</v>
      </c>
      <c r="Z47" s="70">
        <v>1758000000</v>
      </c>
      <c r="AA47" s="70">
        <v>0</v>
      </c>
      <c r="AB47" s="70">
        <v>1758000000</v>
      </c>
      <c r="AC47" s="70">
        <v>1758000000</v>
      </c>
      <c r="AD47" s="70">
        <v>1758000000</v>
      </c>
      <c r="AE47" s="70">
        <v>1758000000</v>
      </c>
      <c r="AF47">
        <v>0</v>
      </c>
      <c r="AG47" s="72">
        <f>Tradingbook_MSB[[#This Row],[Mat. Date]]-RPT</f>
        <v>-4143</v>
      </c>
      <c r="AH47" s="71">
        <f>IF(Tradingbook_MSB[[#This Row],[Days]]&lt;=0,0,YEARFRAC(RPT,Tradingbook_MSB[[#This Row],[Mat. Date]],3))</f>
        <v>0</v>
      </c>
      <c r="AI47" s="71">
        <f>IF(Tradingbook_MSB[[#This Row],[Days (year)]]=0,0,INDEX(Ref!$K$2:$K$13,MATCH(Tradingbook_MSB[[#This Row],[Days (year)]],Ref!$I$2:$I$13,1)))</f>
        <v>0</v>
      </c>
      <c r="AJ47" s="120" t="str">
        <f>VLOOKUP(Tradingbook_MSB[[#This Row],[Security Name]],Ref!X:Z,3,0)</f>
        <v>TPCP</v>
      </c>
      <c r="AK47" s="120" t="str">
        <f>VLOOKUP(Tradingbook_MSB[[#This Row],[Security Name]],Ref!X:Y,2,0)</f>
        <v>KBNN</v>
      </c>
      <c r="AL47" s="71">
        <f>IF((Tradingbook_MSB[[#This Row],[Mat. Date]]-RPT)&lt;=0,0,Tradingbook_MSB[[#This Row],[QUANTITY]])</f>
        <v>0</v>
      </c>
      <c r="AM47" s="71">
        <f>IF(Tradingbook_MSB[[#This Row],[Quantity_edited]]=0,0,Tradingbook_MSB[[#This Row],[DURATION]])</f>
        <v>0</v>
      </c>
      <c r="AN47" s="71">
        <f>IF(Tradingbook_MSB[[#This Row],[Quantity_edited]]=0,0,Tradingbook_MSB[[#This Row],[Mod Dur]])</f>
        <v>0</v>
      </c>
      <c r="AO47" s="71">
        <f>IF(Tradingbook_MSB[[#This Row],[Quantity_edited]]=0,0,Tradingbook_MSB[[#This Row],[Cnvx.]])</f>
        <v>0</v>
      </c>
      <c r="AP47" s="71">
        <f>(Tradingbook_MSB[[#This Row],[MARKET_VALUE]]+Tradingbook_MSB[[#This Row],[Accr Int]]*Tradingbook_MSB[[#This Row],[Quantity_edited]])*(-Tradingbook_MSB[[#This Row],[Modified Duration]]*0.0001+0.5*Tradingbook_MSB[[#This Row],[Conv]]*(0.0001^2))</f>
        <v>0</v>
      </c>
      <c r="AQ47" s="72">
        <f>(Tradingbook_MSB[[#This Row],[MARKET_VALUE]]+Tradingbook_MSB[[#This Row],[Accr Int]]*Tradingbook_MSB[[#This Row],[Quantity_edited]])*(-Tradingbook_MSB[[#This Row],[Modified Duration]]*0.01+0.5*Tradingbook_MSB[[#This Row],[Conv]]*(0.01^2))</f>
        <v>0</v>
      </c>
      <c r="AR47" s="71"/>
      <c r="AT47" t="s">
        <v>166</v>
      </c>
      <c r="AU47" t="s">
        <v>167</v>
      </c>
      <c r="AV47" t="s">
        <v>333</v>
      </c>
      <c r="AW47" t="s">
        <v>169</v>
      </c>
      <c r="AX47" t="s">
        <v>3361</v>
      </c>
      <c r="AY47" t="s">
        <v>3322</v>
      </c>
      <c r="BB47" s="49">
        <v>0</v>
      </c>
      <c r="BC47">
        <v>0</v>
      </c>
      <c r="BD47">
        <v>0</v>
      </c>
      <c r="BE47" s="37">
        <v>0</v>
      </c>
      <c r="BF47">
        <v>6.1</v>
      </c>
      <c r="BG47">
        <v>0</v>
      </c>
      <c r="BH47" s="34">
        <v>20587506100</v>
      </c>
      <c r="BI47">
        <v>21910439226.355072</v>
      </c>
      <c r="BJ47">
        <v>-22330054319.805019</v>
      </c>
      <c r="BK47">
        <v>6.1</v>
      </c>
      <c r="BL47">
        <v>0</v>
      </c>
      <c r="BM47">
        <v>0</v>
      </c>
      <c r="BN47">
        <v>0</v>
      </c>
      <c r="BO47">
        <v>0</v>
      </c>
      <c r="BP47">
        <v>0</v>
      </c>
      <c r="BQ47">
        <v>0</v>
      </c>
      <c r="BR47">
        <v>3389876017</v>
      </c>
      <c r="BS47">
        <v>0</v>
      </c>
      <c r="BT47">
        <v>3389876017</v>
      </c>
      <c r="BU47">
        <v>3389876017</v>
      </c>
      <c r="BV47">
        <v>3389876017</v>
      </c>
      <c r="BW47">
        <v>3389876017</v>
      </c>
      <c r="BX47">
        <v>0</v>
      </c>
      <c r="BY47" s="32">
        <f>Bankingbook_MSB[[#This Row],[Mat. Date]]-RPT</f>
        <v>-3336</v>
      </c>
      <c r="BZ47" s="71">
        <f>IF(Bankingbook_MSB[[#This Row],[Days]]&lt;=0,0,YEARFRAC(RPT,Bankingbook_MSB[[#This Row],[Mat. Date]],3))</f>
        <v>0</v>
      </c>
      <c r="CA47" s="71">
        <f>IF(Bankingbook_MSB[[#This Row],[Days (year)]]=0,0,INDEX(Ref!$K$2:$K$13,MATCH(Bankingbook_MSB[[#This Row],[Days (year)]],Ref!$I$2:$I$13,1)))</f>
        <v>0</v>
      </c>
      <c r="CB47" s="32" t="str">
        <f>VLOOKUP(Bankingbook_MSB[[#This Row],[Security Name]],Ref!X:Z,3,0)</f>
        <v>TPCP</v>
      </c>
      <c r="CC47" s="32" t="str">
        <f>VLOOKUP(Bankingbook_MSB[[#This Row],[Security Name]],Ref!X:Y,2,0)</f>
        <v>KBNN</v>
      </c>
      <c r="CD47" s="72">
        <f>IF((Bankingbook_MSB[[#This Row],[Mat. Date]]-RPT)&lt;=0,0,Bankingbook_MSB[[#This Row],[QUANTITY]])</f>
        <v>0</v>
      </c>
      <c r="CE47" s="71">
        <f>IF(Bankingbook_MSB[[#This Row],[Quantity_edited]]=0,0,Bankingbook_MSB[[#This Row],[DURATION]])</f>
        <v>0</v>
      </c>
      <c r="CF47" s="71">
        <f>IF(Bankingbook_MSB[[#This Row],[Quantity_edited]]=0,0,Bankingbook_MSB[[#This Row],[Mod Dur]])</f>
        <v>0</v>
      </c>
      <c r="CG47" s="71">
        <f>IF(Bankingbook_MSB[[#This Row],[Quantity_edited]]=0,0,Bankingbook_MSB[[#This Row],[Cnvx.]])</f>
        <v>0</v>
      </c>
      <c r="CH47" s="71">
        <f>(Bankingbook_MSB[[#This Row],[MARKET_VALUE]]+Bankingbook_MSB[[#This Row],[Accr Int]]*Bankingbook_MSB[[#This Row],[Quantity_edited]])*(-Bankingbook_MSB[[#This Row],[Modified Duration]]*0.0001+0.5*Bankingbook_MSB[[#This Row],[Conv]]*(0.0001^2))</f>
        <v>0</v>
      </c>
      <c r="CI47" s="71">
        <f>(Bankingbook_MSB[[#This Row],[MARKET_VALUE]]+Bankingbook_MSB[[#This Row],[Accr Int]]*Bankingbook_MSB[[#This Row],[Quantity_edited]])*(-Bankingbook_MSB[[#This Row],[Modified Duration]]*0.01+0.5*Bankingbook_MSB[[#This Row],[Conv]]*(0.01^2))</f>
        <v>0</v>
      </c>
      <c r="CJ47" s="32"/>
      <c r="CL47" t="s">
        <v>166</v>
      </c>
      <c r="CM47" t="s">
        <v>167</v>
      </c>
      <c r="CN47" t="s">
        <v>219</v>
      </c>
      <c r="CO47" t="s">
        <v>169</v>
      </c>
      <c r="CP47" s="35">
        <v>42109</v>
      </c>
      <c r="CQ47" t="s">
        <v>3322</v>
      </c>
      <c r="CR47" t="s">
        <v>174</v>
      </c>
      <c r="CS47" t="s">
        <v>174</v>
      </c>
      <c r="CT47" s="49">
        <v>0</v>
      </c>
      <c r="CU47">
        <v>0</v>
      </c>
      <c r="CV47">
        <v>0</v>
      </c>
      <c r="CW47" s="70">
        <v>0</v>
      </c>
      <c r="CX47">
        <v>7.4</v>
      </c>
      <c r="CY47">
        <v>0</v>
      </c>
      <c r="CZ47">
        <v>0</v>
      </c>
      <c r="DA47">
        <v>0</v>
      </c>
      <c r="DB47">
        <v>-5598026149.9999866</v>
      </c>
      <c r="DC47">
        <v>7.4</v>
      </c>
      <c r="DD47">
        <v>0</v>
      </c>
      <c r="DE47">
        <v>0</v>
      </c>
      <c r="DF47">
        <v>0</v>
      </c>
      <c r="DG47">
        <v>0</v>
      </c>
      <c r="DH47">
        <v>0</v>
      </c>
      <c r="DI47">
        <v>0</v>
      </c>
      <c r="DJ47" s="500">
        <v>1758000000</v>
      </c>
      <c r="DK47" s="500">
        <v>0</v>
      </c>
      <c r="DL47" s="37">
        <v>1758000000</v>
      </c>
      <c r="DM47" s="37">
        <v>1758000000</v>
      </c>
      <c r="DN47" s="37">
        <v>1758000000</v>
      </c>
      <c r="DO47" s="37">
        <v>1758000000</v>
      </c>
      <c r="DP47" s="32">
        <f>Tradingbook_SBV[[#This Row],[Mat. Date]]-RPT</f>
        <v>-4143</v>
      </c>
      <c r="DQ47" s="32">
        <f>IF(Tradingbook_SBV[[#This Row],[Days]]&lt;=0,0,YEARFRAC(RPT,Tradingbook_SBV[[#This Row],[Mat. Date]],3))</f>
        <v>0</v>
      </c>
      <c r="DR47" s="32">
        <f>IF(Tradingbook_SBV[[#This Row],[Days (year)]]=0,0,INDEX(Ref!$K$2:$K$13,MATCH(Tradingbook_SBV[[#This Row],[Days (year)]],Ref!$I$2:$I$13,1)))</f>
        <v>0</v>
      </c>
      <c r="DS47" s="32" t="str">
        <f>VLOOKUP(Tradingbook_SBV[[#This Row],[Security Name]],Ref!X:Z,3,0)</f>
        <v>TPCP</v>
      </c>
      <c r="DT47" s="32" t="str">
        <f>VLOOKUP(Tradingbook_SBV[[#This Row],[Security Name]],Ref!X:Y,2,0)</f>
        <v>KBNN</v>
      </c>
      <c r="DU47" s="71">
        <f>IF((Tradingbook_SBV[[#This Row],[Mat. Date]]-RPT)&lt;=0,0,Tradingbook_SBV[[#This Row],[QUANTITY]])</f>
        <v>0</v>
      </c>
      <c r="DV47" s="71">
        <f>IF(Tradingbook_SBV[[#This Row],[Quantity_edited]]=0,0,Tradingbook_SBV[[#This Row],[DURATION]])</f>
        <v>0</v>
      </c>
      <c r="DW47" s="71">
        <f>IF(Tradingbook_SBV[[#This Row],[Quantity_edited]]=0,0,Tradingbook_SBV[[#This Row],[Mod Dur]])</f>
        <v>0</v>
      </c>
      <c r="DX47" s="71">
        <f>IF(Tradingbook_SBV[[#This Row],[Quantity_edited]]=0,0,Tradingbook_SBV[[#This Row],[Cnvx.]])</f>
        <v>0</v>
      </c>
      <c r="DY47" s="71">
        <f>(Tradingbook_SBV[[#This Row],[MARKET_VALUE]]+Tradingbook_SBV[[#This Row],[Accr Int]]*Tradingbook_SBV[[#This Row],[Quantity_edited]])*(-Tradingbook_SBV[[#This Row],[Modified Duration]]*0.0001+0.5*Tradingbook_SBV[[#This Row],[Conv]]*(0.0001^2))</f>
        <v>0</v>
      </c>
      <c r="DZ47" s="71">
        <f>(Tradingbook_SBV[[#This Row],[MARKET_VALUE]]+Tradingbook_SBV[[#This Row],[Accr Int]]*Tradingbook_SBV[[#This Row],[Quantity_edited]])*(-Tradingbook_SBV[[#This Row],[Modified Duration]]*0.01+0.5*Tradingbook_SBV[[#This Row],[Conv]]*(0.01^2))</f>
        <v>0</v>
      </c>
      <c r="EC47" t="s">
        <v>166</v>
      </c>
      <c r="ED47" t="s">
        <v>167</v>
      </c>
      <c r="EE47" t="s">
        <v>333</v>
      </c>
      <c r="EF47" t="s">
        <v>169</v>
      </c>
      <c r="EG47" s="35" t="s">
        <v>3361</v>
      </c>
      <c r="EH47" t="s">
        <v>3322</v>
      </c>
      <c r="EK47" s="500">
        <v>0</v>
      </c>
      <c r="EL47" s="500">
        <v>0</v>
      </c>
      <c r="EM47" s="500">
        <v>0</v>
      </c>
      <c r="EN47" s="500">
        <v>0</v>
      </c>
      <c r="EO47">
        <v>6.1</v>
      </c>
      <c r="EP47">
        <v>0</v>
      </c>
      <c r="EQ47">
        <v>20587506100</v>
      </c>
      <c r="ER47">
        <v>21910439226.355072</v>
      </c>
      <c r="ES47">
        <v>-22330054319.805019</v>
      </c>
      <c r="ET47">
        <v>6.1</v>
      </c>
      <c r="EU47">
        <v>0</v>
      </c>
      <c r="EV47">
        <v>0</v>
      </c>
      <c r="EW47">
        <v>0</v>
      </c>
      <c r="EX47">
        <v>0</v>
      </c>
      <c r="EY47">
        <v>0</v>
      </c>
      <c r="EZ47">
        <v>0</v>
      </c>
      <c r="FA47">
        <v>3389876017</v>
      </c>
      <c r="FB47">
        <v>0</v>
      </c>
      <c r="FC47">
        <v>3389876017</v>
      </c>
      <c r="FD47">
        <v>3389876017</v>
      </c>
      <c r="FE47">
        <v>3389876017</v>
      </c>
      <c r="FF47">
        <v>3389876017</v>
      </c>
      <c r="FG47" s="32">
        <f>Bankingbook_SBV[[#This Row],[Mat. Date]]-RPT</f>
        <v>-3336</v>
      </c>
      <c r="FH47" s="32">
        <f>IF(Bankingbook_SBV[[#This Row],[Days]]&lt;=0,0,YEARFRAC(RPT,Bankingbook_SBV[[#This Row],[Mat. Date]],3))</f>
        <v>0</v>
      </c>
      <c r="FI47" s="32">
        <f>IF(Bankingbook_SBV[[#This Row],[Days (year)]]=0,0,INDEX(Ref!$K$2:$K$13,MATCH(Bankingbook_SBV[[#This Row],[Days (year)]],Ref!$I$2:$I$13,1)))</f>
        <v>0</v>
      </c>
      <c r="FJ47" s="32" t="str">
        <f>VLOOKUP(Bankingbook_SBV[[#This Row],[Security Name]],Ref!X:Z,3,0)</f>
        <v>TPCP</v>
      </c>
      <c r="FK47" s="32" t="str">
        <f>VLOOKUP(Bankingbook_SBV[[#This Row],[Security Name]],Ref!X:Y,2,0)</f>
        <v>KBNN</v>
      </c>
      <c r="FL47" s="72">
        <f>IF((Bankingbook_SBV[[#This Row],[Mat. Date]]-RPT)&lt;=0,0,Bankingbook_SBV[[#This Row],[QUANTITY]])</f>
        <v>0</v>
      </c>
      <c r="FM47" s="32">
        <f>IF(Bankingbook_SBV[[#This Row],[Quantity_edited]]=0,0,Bankingbook_SBV[[#This Row],[DURATION]])</f>
        <v>0</v>
      </c>
      <c r="FN47" s="32">
        <f>IF(Bankingbook_SBV[[#This Row],[Quantity_edited]]=0,0,Bankingbook_SBV[[#This Row],[Mod Dur]])</f>
        <v>0</v>
      </c>
      <c r="FO47" s="32">
        <f>IF(Bankingbook_SBV[[#This Row],[Quantity_edited]]=0,0,Bankingbook_SBV[[#This Row],[Cnvx.]])</f>
        <v>0</v>
      </c>
      <c r="FP47" s="32">
        <f>(Bankingbook_SBV[[#This Row],[MARKET_VALUE]]+Bankingbook_SBV[[#This Row],[Accr Int]]*Bankingbook_SBV[[#This Row],[Quantity_edited]])*(-Bankingbook_SBV[[#This Row],[Modified Duration]]*0.0001+0.5*Bankingbook_SBV[[#This Row],[Conv]]*(0.0001^2))</f>
        <v>0</v>
      </c>
      <c r="FQ47" s="32">
        <f>(Bankingbook_SBV[[#This Row],[MARKET_VALUE]]+Bankingbook_SBV[[#This Row],[Accr Int]]*Bankingbook_SBV[[#This Row],[Quantity_edited]])*(-Bankingbook_SBV[[#This Row],[Modified Duration]]*0.01+0.5*Bankingbook_SBV[[#This Row],[Conv]]*(0.01^2))</f>
        <v>0</v>
      </c>
      <c r="FT47" t="s">
        <v>166</v>
      </c>
      <c r="FU47" t="s">
        <v>790</v>
      </c>
      <c r="FV47" t="s">
        <v>3955</v>
      </c>
      <c r="FW47">
        <v>3283508</v>
      </c>
      <c r="FX47" s="502">
        <v>46191</v>
      </c>
      <c r="FY47" t="s">
        <v>2176</v>
      </c>
      <c r="FZ47" t="s">
        <v>823</v>
      </c>
      <c r="GA47" t="s">
        <v>2829</v>
      </c>
      <c r="GB47" t="s">
        <v>810</v>
      </c>
      <c r="GC47" t="s">
        <v>715</v>
      </c>
      <c r="GD47" s="500">
        <v>-329526000000</v>
      </c>
      <c r="GE47">
        <v>9.9995080000000005</v>
      </c>
      <c r="GF47" s="502">
        <v>46195</v>
      </c>
      <c r="GG47" s="502">
        <v>46286</v>
      </c>
      <c r="GH47">
        <v>4.5999999999999996</v>
      </c>
      <c r="GI47" t="s">
        <v>811</v>
      </c>
      <c r="GJ47" t="s">
        <v>3321</v>
      </c>
      <c r="GK47" t="s">
        <v>3321</v>
      </c>
      <c r="GL47">
        <v>2713097400</v>
      </c>
      <c r="GM47">
        <v>-2367170334.25</v>
      </c>
      <c r="GN47">
        <v>367186500000</v>
      </c>
      <c r="GO47">
        <v>10.26</v>
      </c>
      <c r="GP47">
        <v>0.09</v>
      </c>
      <c r="GQ47">
        <v>8.3000000000000004E-2</v>
      </c>
      <c r="GR47">
        <v>7.03</v>
      </c>
      <c r="GS47">
        <v>-331174570390.34003</v>
      </c>
      <c r="GT47">
        <v>-1648570390.3399999</v>
      </c>
      <c r="GU47" t="s">
        <v>4109</v>
      </c>
      <c r="GV47" t="s">
        <v>4109</v>
      </c>
      <c r="GW47" s="416">
        <f>FNRP_Repo[[#This Row],[Mat. Date]]-RPT</f>
        <v>34</v>
      </c>
      <c r="GX47" s="819" t="str">
        <f>IF(FNRP_Repo[[#This Row],[Days]]&lt;=0,"Mat",INDEX(Ref!U:U,MATCH(FNRP_Repo[[#This Row],[Days]],Ref!S:S,1)))</f>
        <v>2M</v>
      </c>
      <c r="GY47" s="417">
        <f>RIGHT(FNRP_Repo[[#This Row],[Deal Id]],5)+0</f>
        <v>17863</v>
      </c>
    </row>
    <row r="48" spans="2:207" x14ac:dyDescent="0.3">
      <c r="B48" t="s">
        <v>166</v>
      </c>
      <c r="C48" t="s">
        <v>167</v>
      </c>
      <c r="D48" t="s">
        <v>220</v>
      </c>
      <c r="E48" t="s">
        <v>169</v>
      </c>
      <c r="F48" s="502">
        <v>42110</v>
      </c>
      <c r="G48" t="s">
        <v>3322</v>
      </c>
      <c r="H48"/>
      <c r="I48"/>
      <c r="J48" s="38">
        <v>0</v>
      </c>
      <c r="K48">
        <v>0</v>
      </c>
      <c r="L48">
        <v>0</v>
      </c>
      <c r="M48" s="38">
        <v>0</v>
      </c>
      <c r="N48">
        <v>8.8000000000000007</v>
      </c>
      <c r="O48">
        <v>0</v>
      </c>
      <c r="P48" s="37">
        <v>0</v>
      </c>
      <c r="Q48" s="37">
        <v>0</v>
      </c>
      <c r="R48" s="37">
        <v>-317907827.77777624</v>
      </c>
      <c r="S48">
        <v>8.8000000000000007</v>
      </c>
      <c r="T48" s="70">
        <v>0</v>
      </c>
      <c r="U48">
        <v>0</v>
      </c>
      <c r="V48">
        <v>0</v>
      </c>
      <c r="W48">
        <v>0</v>
      </c>
      <c r="X48" s="38">
        <v>0</v>
      </c>
      <c r="Y48">
        <v>0</v>
      </c>
      <c r="Z48" s="70">
        <v>1937000000</v>
      </c>
      <c r="AA48" s="70">
        <v>0</v>
      </c>
      <c r="AB48" s="70">
        <v>1937000000</v>
      </c>
      <c r="AC48" s="70">
        <v>1937000000</v>
      </c>
      <c r="AD48" s="70">
        <v>1937000000</v>
      </c>
      <c r="AE48" s="70">
        <v>1937000000</v>
      </c>
      <c r="AF48">
        <v>0</v>
      </c>
      <c r="AG48" s="72">
        <f>Tradingbook_MSB[[#This Row],[Mat. Date]]-RPT</f>
        <v>-4142</v>
      </c>
      <c r="AH48" s="71">
        <f>IF(Tradingbook_MSB[[#This Row],[Days]]&lt;=0,0,YEARFRAC(RPT,Tradingbook_MSB[[#This Row],[Mat. Date]],3))</f>
        <v>0</v>
      </c>
      <c r="AI48" s="71">
        <f>IF(Tradingbook_MSB[[#This Row],[Days (year)]]=0,0,INDEX(Ref!$K$2:$K$13,MATCH(Tradingbook_MSB[[#This Row],[Days (year)]],Ref!$I$2:$I$13,1)))</f>
        <v>0</v>
      </c>
      <c r="AJ48" s="120" t="str">
        <f>VLOOKUP(Tradingbook_MSB[[#This Row],[Security Name]],Ref!X:Z,3,0)</f>
        <v>TPCPBL</v>
      </c>
      <c r="AK48" s="120" t="str">
        <f>VLOOKUP(Tradingbook_MSB[[#This Row],[Security Name]],Ref!X:Y,2,0)</f>
        <v>VDB</v>
      </c>
      <c r="AL48" s="71">
        <f>IF((Tradingbook_MSB[[#This Row],[Mat. Date]]-RPT)&lt;=0,0,Tradingbook_MSB[[#This Row],[QUANTITY]])</f>
        <v>0</v>
      </c>
      <c r="AM48" s="71">
        <f>IF(Tradingbook_MSB[[#This Row],[Quantity_edited]]=0,0,Tradingbook_MSB[[#This Row],[DURATION]])</f>
        <v>0</v>
      </c>
      <c r="AN48" s="71">
        <f>IF(Tradingbook_MSB[[#This Row],[Quantity_edited]]=0,0,Tradingbook_MSB[[#This Row],[Mod Dur]])</f>
        <v>0</v>
      </c>
      <c r="AO48" s="71">
        <f>IF(Tradingbook_MSB[[#This Row],[Quantity_edited]]=0,0,Tradingbook_MSB[[#This Row],[Cnvx.]])</f>
        <v>0</v>
      </c>
      <c r="AP48" s="71">
        <f>(Tradingbook_MSB[[#This Row],[MARKET_VALUE]]+Tradingbook_MSB[[#This Row],[Accr Int]]*Tradingbook_MSB[[#This Row],[Quantity_edited]])*(-Tradingbook_MSB[[#This Row],[Modified Duration]]*0.0001+0.5*Tradingbook_MSB[[#This Row],[Conv]]*(0.0001^2))</f>
        <v>0</v>
      </c>
      <c r="AQ48" s="72">
        <f>(Tradingbook_MSB[[#This Row],[MARKET_VALUE]]+Tradingbook_MSB[[#This Row],[Accr Int]]*Tradingbook_MSB[[#This Row],[Quantity_edited]])*(-Tradingbook_MSB[[#This Row],[Modified Duration]]*0.01+0.5*Tradingbook_MSB[[#This Row],[Conv]]*(0.01^2))</f>
        <v>0</v>
      </c>
      <c r="AR48" s="71"/>
      <c r="AT48" t="s">
        <v>166</v>
      </c>
      <c r="AU48" t="s">
        <v>167</v>
      </c>
      <c r="AV48" t="s">
        <v>335</v>
      </c>
      <c r="AW48" t="s">
        <v>169</v>
      </c>
      <c r="AX48" t="s">
        <v>3362</v>
      </c>
      <c r="AY48" t="s">
        <v>3322</v>
      </c>
      <c r="BB48" s="49">
        <v>0</v>
      </c>
      <c r="BC48">
        <v>0</v>
      </c>
      <c r="BD48">
        <v>0</v>
      </c>
      <c r="BE48" s="37">
        <v>0</v>
      </c>
      <c r="BF48">
        <v>5.8</v>
      </c>
      <c r="BG48">
        <v>0</v>
      </c>
      <c r="BH48" s="34">
        <v>4060000000</v>
      </c>
      <c r="BI48">
        <v>4319402986.1111116</v>
      </c>
      <c r="BJ48">
        <v>-5222618842.111105</v>
      </c>
      <c r="BK48">
        <v>5.8</v>
      </c>
      <c r="BL48">
        <v>0</v>
      </c>
      <c r="BM48">
        <v>0</v>
      </c>
      <c r="BN48">
        <v>0</v>
      </c>
      <c r="BO48">
        <v>0</v>
      </c>
      <c r="BP48">
        <v>0</v>
      </c>
      <c r="BQ48">
        <v>0</v>
      </c>
      <c r="BR48">
        <v>1129100000</v>
      </c>
      <c r="BS48">
        <v>0</v>
      </c>
      <c r="BT48">
        <v>1129100000</v>
      </c>
      <c r="BU48">
        <v>1129100000</v>
      </c>
      <c r="BV48">
        <v>1129100000</v>
      </c>
      <c r="BW48">
        <v>1129100000</v>
      </c>
      <c r="BX48">
        <v>0</v>
      </c>
      <c r="BY48" s="32">
        <f>Bankingbook_MSB[[#This Row],[Mat. Date]]-RPT</f>
        <v>-3321</v>
      </c>
      <c r="BZ48" s="71">
        <f>IF(Bankingbook_MSB[[#This Row],[Days]]&lt;=0,0,YEARFRAC(RPT,Bankingbook_MSB[[#This Row],[Mat. Date]],3))</f>
        <v>0</v>
      </c>
      <c r="CA48" s="71">
        <f>IF(Bankingbook_MSB[[#This Row],[Days (year)]]=0,0,INDEX(Ref!$K$2:$K$13,MATCH(Bankingbook_MSB[[#This Row],[Days (year)]],Ref!$I$2:$I$13,1)))</f>
        <v>0</v>
      </c>
      <c r="CB48" s="32" t="str">
        <f>VLOOKUP(Bankingbook_MSB[[#This Row],[Security Name]],Ref!X:Z,3,0)</f>
        <v>TPCP</v>
      </c>
      <c r="CC48" s="32" t="str">
        <f>VLOOKUP(Bankingbook_MSB[[#This Row],[Security Name]],Ref!X:Y,2,0)</f>
        <v>KBNN</v>
      </c>
      <c r="CD48" s="72">
        <f>IF((Bankingbook_MSB[[#This Row],[Mat. Date]]-RPT)&lt;=0,0,Bankingbook_MSB[[#This Row],[QUANTITY]])</f>
        <v>0</v>
      </c>
      <c r="CE48" s="71">
        <f>IF(Bankingbook_MSB[[#This Row],[Quantity_edited]]=0,0,Bankingbook_MSB[[#This Row],[DURATION]])</f>
        <v>0</v>
      </c>
      <c r="CF48" s="71">
        <f>IF(Bankingbook_MSB[[#This Row],[Quantity_edited]]=0,0,Bankingbook_MSB[[#This Row],[Mod Dur]])</f>
        <v>0</v>
      </c>
      <c r="CG48" s="71">
        <f>IF(Bankingbook_MSB[[#This Row],[Quantity_edited]]=0,0,Bankingbook_MSB[[#This Row],[Cnvx.]])</f>
        <v>0</v>
      </c>
      <c r="CH48" s="71">
        <f>(Bankingbook_MSB[[#This Row],[MARKET_VALUE]]+Bankingbook_MSB[[#This Row],[Accr Int]]*Bankingbook_MSB[[#This Row],[Quantity_edited]])*(-Bankingbook_MSB[[#This Row],[Modified Duration]]*0.0001+0.5*Bankingbook_MSB[[#This Row],[Conv]]*(0.0001^2))</f>
        <v>0</v>
      </c>
      <c r="CI48" s="71">
        <f>(Bankingbook_MSB[[#This Row],[MARKET_VALUE]]+Bankingbook_MSB[[#This Row],[Accr Int]]*Bankingbook_MSB[[#This Row],[Quantity_edited]])*(-Bankingbook_MSB[[#This Row],[Modified Duration]]*0.01+0.5*Bankingbook_MSB[[#This Row],[Conv]]*(0.01^2))</f>
        <v>0</v>
      </c>
      <c r="CJ48" s="32"/>
      <c r="CL48" t="s">
        <v>166</v>
      </c>
      <c r="CM48" t="s">
        <v>167</v>
      </c>
      <c r="CN48" t="s">
        <v>220</v>
      </c>
      <c r="CO48" t="s">
        <v>169</v>
      </c>
      <c r="CP48" s="35">
        <v>42110</v>
      </c>
      <c r="CQ48" t="s">
        <v>3322</v>
      </c>
      <c r="CR48" t="s">
        <v>174</v>
      </c>
      <c r="CS48" t="s">
        <v>174</v>
      </c>
      <c r="CT48" s="49">
        <v>0</v>
      </c>
      <c r="CU48">
        <v>0</v>
      </c>
      <c r="CV48">
        <v>0</v>
      </c>
      <c r="CW48" s="70">
        <v>0</v>
      </c>
      <c r="CX48">
        <v>8.8000000000000007</v>
      </c>
      <c r="CY48">
        <v>0</v>
      </c>
      <c r="CZ48">
        <v>0</v>
      </c>
      <c r="DA48">
        <v>0</v>
      </c>
      <c r="DB48">
        <v>-317907827.77777624</v>
      </c>
      <c r="DC48">
        <v>8.8000000000000007</v>
      </c>
      <c r="DD48">
        <v>0</v>
      </c>
      <c r="DE48">
        <v>0</v>
      </c>
      <c r="DF48">
        <v>0</v>
      </c>
      <c r="DG48">
        <v>0</v>
      </c>
      <c r="DH48">
        <v>0</v>
      </c>
      <c r="DI48">
        <v>0</v>
      </c>
      <c r="DJ48" s="500">
        <v>1937000000</v>
      </c>
      <c r="DK48" s="500">
        <v>0</v>
      </c>
      <c r="DL48" s="37">
        <v>1937000000</v>
      </c>
      <c r="DM48" s="37">
        <v>1937000000</v>
      </c>
      <c r="DN48" s="37">
        <v>1937000000</v>
      </c>
      <c r="DO48" s="37">
        <v>1937000000</v>
      </c>
      <c r="DP48" s="32">
        <f>Tradingbook_SBV[[#This Row],[Mat. Date]]-RPT</f>
        <v>-4142</v>
      </c>
      <c r="DQ48" s="32">
        <f>IF(Tradingbook_SBV[[#This Row],[Days]]&lt;=0,0,YEARFRAC(RPT,Tradingbook_SBV[[#This Row],[Mat. Date]],3))</f>
        <v>0</v>
      </c>
      <c r="DR48" s="32">
        <f>IF(Tradingbook_SBV[[#This Row],[Days (year)]]=0,0,INDEX(Ref!$K$2:$K$13,MATCH(Tradingbook_SBV[[#This Row],[Days (year)]],Ref!$I$2:$I$13,1)))</f>
        <v>0</v>
      </c>
      <c r="DS48" s="32" t="str">
        <f>VLOOKUP(Tradingbook_SBV[[#This Row],[Security Name]],Ref!X:Z,3,0)</f>
        <v>TPCPBL</v>
      </c>
      <c r="DT48" s="32" t="str">
        <f>VLOOKUP(Tradingbook_SBV[[#This Row],[Security Name]],Ref!X:Y,2,0)</f>
        <v>VDB</v>
      </c>
      <c r="DU48" s="71">
        <f>IF((Tradingbook_SBV[[#This Row],[Mat. Date]]-RPT)&lt;=0,0,Tradingbook_SBV[[#This Row],[QUANTITY]])</f>
        <v>0</v>
      </c>
      <c r="DV48" s="71">
        <f>IF(Tradingbook_SBV[[#This Row],[Quantity_edited]]=0,0,Tradingbook_SBV[[#This Row],[DURATION]])</f>
        <v>0</v>
      </c>
      <c r="DW48" s="71">
        <f>IF(Tradingbook_SBV[[#This Row],[Quantity_edited]]=0,0,Tradingbook_SBV[[#This Row],[Mod Dur]])</f>
        <v>0</v>
      </c>
      <c r="DX48" s="71">
        <f>IF(Tradingbook_SBV[[#This Row],[Quantity_edited]]=0,0,Tradingbook_SBV[[#This Row],[Cnvx.]])</f>
        <v>0</v>
      </c>
      <c r="DY48" s="71">
        <f>(Tradingbook_SBV[[#This Row],[MARKET_VALUE]]+Tradingbook_SBV[[#This Row],[Accr Int]]*Tradingbook_SBV[[#This Row],[Quantity_edited]])*(-Tradingbook_SBV[[#This Row],[Modified Duration]]*0.0001+0.5*Tradingbook_SBV[[#This Row],[Conv]]*(0.0001^2))</f>
        <v>0</v>
      </c>
      <c r="DZ48" s="71">
        <f>(Tradingbook_SBV[[#This Row],[MARKET_VALUE]]+Tradingbook_SBV[[#This Row],[Accr Int]]*Tradingbook_SBV[[#This Row],[Quantity_edited]])*(-Tradingbook_SBV[[#This Row],[Modified Duration]]*0.01+0.5*Tradingbook_SBV[[#This Row],[Conv]]*(0.01^2))</f>
        <v>0</v>
      </c>
      <c r="EC48" t="s">
        <v>166</v>
      </c>
      <c r="ED48" t="s">
        <v>167</v>
      </c>
      <c r="EE48" t="s">
        <v>335</v>
      </c>
      <c r="EF48" t="s">
        <v>169</v>
      </c>
      <c r="EG48" s="35" t="s">
        <v>3362</v>
      </c>
      <c r="EH48" t="s">
        <v>3322</v>
      </c>
      <c r="EK48" s="500">
        <v>0</v>
      </c>
      <c r="EL48" s="500">
        <v>0</v>
      </c>
      <c r="EM48" s="500">
        <v>0</v>
      </c>
      <c r="EN48" s="500">
        <v>0</v>
      </c>
      <c r="EO48">
        <v>5.8</v>
      </c>
      <c r="EP48">
        <v>0</v>
      </c>
      <c r="EQ48">
        <v>4060000000</v>
      </c>
      <c r="ER48">
        <v>4319402986.1111116</v>
      </c>
      <c r="ES48">
        <v>-5222618842.111105</v>
      </c>
      <c r="ET48">
        <v>5.8</v>
      </c>
      <c r="EU48">
        <v>0</v>
      </c>
      <c r="EV48">
        <v>0</v>
      </c>
      <c r="EW48">
        <v>0</v>
      </c>
      <c r="EX48">
        <v>0</v>
      </c>
      <c r="EY48">
        <v>0</v>
      </c>
      <c r="EZ48">
        <v>0</v>
      </c>
      <c r="FA48">
        <v>1129100000</v>
      </c>
      <c r="FB48">
        <v>0</v>
      </c>
      <c r="FC48">
        <v>1129100000</v>
      </c>
      <c r="FD48">
        <v>1129100000</v>
      </c>
      <c r="FE48">
        <v>1129100000</v>
      </c>
      <c r="FF48">
        <v>1129100000</v>
      </c>
      <c r="FG48" s="32">
        <f>Bankingbook_SBV[[#This Row],[Mat. Date]]-RPT</f>
        <v>-3321</v>
      </c>
      <c r="FH48" s="32">
        <f>IF(Bankingbook_SBV[[#This Row],[Days]]&lt;=0,0,YEARFRAC(RPT,Bankingbook_SBV[[#This Row],[Mat. Date]],3))</f>
        <v>0</v>
      </c>
      <c r="FI48" s="32">
        <f>IF(Bankingbook_SBV[[#This Row],[Days (year)]]=0,0,INDEX(Ref!$K$2:$K$13,MATCH(Bankingbook_SBV[[#This Row],[Days (year)]],Ref!$I$2:$I$13,1)))</f>
        <v>0</v>
      </c>
      <c r="FJ48" s="32" t="str">
        <f>VLOOKUP(Bankingbook_SBV[[#This Row],[Security Name]],Ref!X:Z,3,0)</f>
        <v>TPCP</v>
      </c>
      <c r="FK48" s="32" t="str">
        <f>VLOOKUP(Bankingbook_SBV[[#This Row],[Security Name]],Ref!X:Y,2,0)</f>
        <v>KBNN</v>
      </c>
      <c r="FL48" s="72">
        <f>IF((Bankingbook_SBV[[#This Row],[Mat. Date]]-RPT)&lt;=0,0,Bankingbook_SBV[[#This Row],[QUANTITY]])</f>
        <v>0</v>
      </c>
      <c r="FM48" s="32">
        <f>IF(Bankingbook_SBV[[#This Row],[Quantity_edited]]=0,0,Bankingbook_SBV[[#This Row],[DURATION]])</f>
        <v>0</v>
      </c>
      <c r="FN48" s="32">
        <f>IF(Bankingbook_SBV[[#This Row],[Quantity_edited]]=0,0,Bankingbook_SBV[[#This Row],[Mod Dur]])</f>
        <v>0</v>
      </c>
      <c r="FO48" s="32">
        <f>IF(Bankingbook_SBV[[#This Row],[Quantity_edited]]=0,0,Bankingbook_SBV[[#This Row],[Cnvx.]])</f>
        <v>0</v>
      </c>
      <c r="FP48" s="32">
        <f>(Bankingbook_SBV[[#This Row],[MARKET_VALUE]]+Bankingbook_SBV[[#This Row],[Accr Int]]*Bankingbook_SBV[[#This Row],[Quantity_edited]])*(-Bankingbook_SBV[[#This Row],[Modified Duration]]*0.0001+0.5*Bankingbook_SBV[[#This Row],[Conv]]*(0.0001^2))</f>
        <v>0</v>
      </c>
      <c r="FQ48" s="32">
        <f>(Bankingbook_SBV[[#This Row],[MARKET_VALUE]]+Bankingbook_SBV[[#This Row],[Accr Int]]*Bankingbook_SBV[[#This Row],[Quantity_edited]])*(-Bankingbook_SBV[[#This Row],[Modified Duration]]*0.01+0.5*Bankingbook_SBV[[#This Row],[Conv]]*(0.01^2))</f>
        <v>0</v>
      </c>
      <c r="FT48" t="s">
        <v>166</v>
      </c>
      <c r="FU48" t="s">
        <v>790</v>
      </c>
      <c r="FV48" t="s">
        <v>3956</v>
      </c>
      <c r="FW48">
        <v>3283513</v>
      </c>
      <c r="FX48" s="502">
        <v>46191</v>
      </c>
      <c r="FY48" t="s">
        <v>2176</v>
      </c>
      <c r="FZ48" t="s">
        <v>823</v>
      </c>
      <c r="GA48" t="s">
        <v>2829</v>
      </c>
      <c r="GB48" t="s">
        <v>810</v>
      </c>
      <c r="GC48" t="s">
        <v>2303</v>
      </c>
      <c r="GD48" s="500">
        <v>-856609200000</v>
      </c>
      <c r="GE48">
        <v>9.9997199999999999</v>
      </c>
      <c r="GF48" s="502">
        <v>46195</v>
      </c>
      <c r="GG48" s="502">
        <v>46286</v>
      </c>
      <c r="GH48">
        <v>4.5999999999999996</v>
      </c>
      <c r="GI48" t="s">
        <v>811</v>
      </c>
      <c r="GJ48" t="s">
        <v>3321</v>
      </c>
      <c r="GK48" t="s">
        <v>3321</v>
      </c>
      <c r="GL48">
        <v>7052749080</v>
      </c>
      <c r="GM48">
        <v>-6153504992.8800001</v>
      </c>
      <c r="GN48">
        <v>952850640000</v>
      </c>
      <c r="GO48">
        <v>10.1</v>
      </c>
      <c r="GP48">
        <v>0.09</v>
      </c>
      <c r="GQ48">
        <v>8.3000000000000004E-2</v>
      </c>
      <c r="GR48">
        <v>7.03</v>
      </c>
      <c r="GS48">
        <v>-860894690562.77002</v>
      </c>
      <c r="GT48">
        <v>-4285490562.77</v>
      </c>
      <c r="GU48" t="s">
        <v>4116</v>
      </c>
      <c r="GV48" t="s">
        <v>4116</v>
      </c>
      <c r="GW48" s="416">
        <f>FNRP_Repo[[#This Row],[Mat. Date]]-RPT</f>
        <v>34</v>
      </c>
      <c r="GX48" s="819" t="str">
        <f>IF(FNRP_Repo[[#This Row],[Days]]&lt;=0,"Mat",INDEX(Ref!U:U,MATCH(FNRP_Repo[[#This Row],[Days]],Ref!S:S,1)))</f>
        <v>2M</v>
      </c>
      <c r="GY48" s="417">
        <f>RIGHT(FNRP_Repo[[#This Row],[Deal Id]],5)+0</f>
        <v>17864</v>
      </c>
    </row>
    <row r="49" spans="2:207" x14ac:dyDescent="0.3">
      <c r="B49" t="s">
        <v>166</v>
      </c>
      <c r="C49" t="s">
        <v>167</v>
      </c>
      <c r="D49" t="s">
        <v>221</v>
      </c>
      <c r="E49" t="s">
        <v>169</v>
      </c>
      <c r="F49" s="502">
        <v>42118</v>
      </c>
      <c r="G49" t="s">
        <v>3322</v>
      </c>
      <c r="H49"/>
      <c r="I49"/>
      <c r="J49" s="38">
        <v>0</v>
      </c>
      <c r="K49">
        <v>0</v>
      </c>
      <c r="L49">
        <v>0</v>
      </c>
      <c r="M49" s="38">
        <v>0</v>
      </c>
      <c r="N49">
        <v>8.8000000000000007</v>
      </c>
      <c r="O49">
        <v>0</v>
      </c>
      <c r="P49" s="37">
        <v>0</v>
      </c>
      <c r="Q49" s="37">
        <v>0</v>
      </c>
      <c r="R49" s="37">
        <v>-198703954.16666698</v>
      </c>
      <c r="S49">
        <v>8.8000000000000007</v>
      </c>
      <c r="T49" s="70">
        <v>0</v>
      </c>
      <c r="U49">
        <v>0</v>
      </c>
      <c r="V49">
        <v>0</v>
      </c>
      <c r="W49">
        <v>0</v>
      </c>
      <c r="X49" s="38">
        <v>0</v>
      </c>
      <c r="Y49">
        <v>0</v>
      </c>
      <c r="Z49" s="70">
        <v>1980000000</v>
      </c>
      <c r="AA49" s="70">
        <v>0</v>
      </c>
      <c r="AB49" s="70">
        <v>1980000000</v>
      </c>
      <c r="AC49" s="70">
        <v>1980000000</v>
      </c>
      <c r="AD49" s="70">
        <v>1980000000</v>
      </c>
      <c r="AE49" s="70">
        <v>1980000000</v>
      </c>
      <c r="AF49">
        <v>0</v>
      </c>
      <c r="AG49" s="72">
        <f>Tradingbook_MSB[[#This Row],[Mat. Date]]-RPT</f>
        <v>-4134</v>
      </c>
      <c r="AH49" s="71">
        <f>IF(Tradingbook_MSB[[#This Row],[Days]]&lt;=0,0,YEARFRAC(RPT,Tradingbook_MSB[[#This Row],[Mat. Date]],3))</f>
        <v>0</v>
      </c>
      <c r="AI49" s="71">
        <f>IF(Tradingbook_MSB[[#This Row],[Days (year)]]=0,0,INDEX(Ref!$K$2:$K$13,MATCH(Tradingbook_MSB[[#This Row],[Days (year)]],Ref!$I$2:$I$13,1)))</f>
        <v>0</v>
      </c>
      <c r="AJ49" s="120" t="str">
        <f>VLOOKUP(Tradingbook_MSB[[#This Row],[Security Name]],Ref!X:Z,3,0)</f>
        <v>TPCPBL</v>
      </c>
      <c r="AK49" s="120" t="str">
        <f>VLOOKUP(Tradingbook_MSB[[#This Row],[Security Name]],Ref!X:Y,2,0)</f>
        <v>VDB</v>
      </c>
      <c r="AL49" s="71">
        <f>IF((Tradingbook_MSB[[#This Row],[Mat. Date]]-RPT)&lt;=0,0,Tradingbook_MSB[[#This Row],[QUANTITY]])</f>
        <v>0</v>
      </c>
      <c r="AM49" s="71">
        <f>IF(Tradingbook_MSB[[#This Row],[Quantity_edited]]=0,0,Tradingbook_MSB[[#This Row],[DURATION]])</f>
        <v>0</v>
      </c>
      <c r="AN49" s="71">
        <f>IF(Tradingbook_MSB[[#This Row],[Quantity_edited]]=0,0,Tradingbook_MSB[[#This Row],[Mod Dur]])</f>
        <v>0</v>
      </c>
      <c r="AO49" s="71">
        <f>IF(Tradingbook_MSB[[#This Row],[Quantity_edited]]=0,0,Tradingbook_MSB[[#This Row],[Cnvx.]])</f>
        <v>0</v>
      </c>
      <c r="AP49" s="71">
        <f>(Tradingbook_MSB[[#This Row],[MARKET_VALUE]]+Tradingbook_MSB[[#This Row],[Accr Int]]*Tradingbook_MSB[[#This Row],[Quantity_edited]])*(-Tradingbook_MSB[[#This Row],[Modified Duration]]*0.0001+0.5*Tradingbook_MSB[[#This Row],[Conv]]*(0.0001^2))</f>
        <v>0</v>
      </c>
      <c r="AQ49" s="72">
        <f>(Tradingbook_MSB[[#This Row],[MARKET_VALUE]]+Tradingbook_MSB[[#This Row],[Accr Int]]*Tradingbook_MSB[[#This Row],[Quantity_edited]])*(-Tradingbook_MSB[[#This Row],[Modified Duration]]*0.01+0.5*Tradingbook_MSB[[#This Row],[Conv]]*(0.01^2))</f>
        <v>0</v>
      </c>
      <c r="AR49" s="71"/>
      <c r="AT49" t="s">
        <v>166</v>
      </c>
      <c r="AU49" t="s">
        <v>167</v>
      </c>
      <c r="AV49" t="s">
        <v>337</v>
      </c>
      <c r="AW49" t="s">
        <v>169</v>
      </c>
      <c r="AX49" t="s">
        <v>3363</v>
      </c>
      <c r="AY49" t="s">
        <v>3322</v>
      </c>
      <c r="BB49" s="49">
        <v>0</v>
      </c>
      <c r="BC49">
        <v>0</v>
      </c>
      <c r="BD49">
        <v>0</v>
      </c>
      <c r="BE49" s="37">
        <v>0</v>
      </c>
      <c r="BF49">
        <v>5.4</v>
      </c>
      <c r="BG49">
        <v>0</v>
      </c>
      <c r="BH49" s="34">
        <v>0</v>
      </c>
      <c r="BI49">
        <v>0</v>
      </c>
      <c r="BJ49">
        <v>-1047386100.1388884</v>
      </c>
      <c r="BK49">
        <v>0</v>
      </c>
      <c r="BL49">
        <v>0</v>
      </c>
      <c r="BM49">
        <v>0</v>
      </c>
      <c r="BN49">
        <v>0</v>
      </c>
      <c r="BO49">
        <v>0</v>
      </c>
      <c r="BP49">
        <v>0</v>
      </c>
      <c r="BQ49">
        <v>0</v>
      </c>
      <c r="BR49">
        <v>-98000000</v>
      </c>
      <c r="BS49">
        <v>0</v>
      </c>
      <c r="BT49">
        <v>-98000000</v>
      </c>
      <c r="BU49">
        <v>-98000000</v>
      </c>
      <c r="BV49">
        <v>-98000000</v>
      </c>
      <c r="BW49">
        <v>-98000000</v>
      </c>
      <c r="BX49">
        <v>0</v>
      </c>
      <c r="BY49" s="32">
        <f>Bankingbook_MSB[[#This Row],[Mat. Date]]-RPT</f>
        <v>-3274</v>
      </c>
      <c r="BZ49" s="71">
        <f>IF(Bankingbook_MSB[[#This Row],[Days]]&lt;=0,0,YEARFRAC(RPT,Bankingbook_MSB[[#This Row],[Mat. Date]],3))</f>
        <v>0</v>
      </c>
      <c r="CA49" s="71">
        <f>IF(Bankingbook_MSB[[#This Row],[Days (year)]]=0,0,INDEX(Ref!$K$2:$K$13,MATCH(Bankingbook_MSB[[#This Row],[Days (year)]],Ref!$I$2:$I$13,1)))</f>
        <v>0</v>
      </c>
      <c r="CB49" s="32" t="str">
        <f>VLOOKUP(Bankingbook_MSB[[#This Row],[Security Name]],Ref!X:Z,3,0)</f>
        <v>TPCP</v>
      </c>
      <c r="CC49" s="32" t="str">
        <f>VLOOKUP(Bankingbook_MSB[[#This Row],[Security Name]],Ref!X:Y,2,0)</f>
        <v>KBNN</v>
      </c>
      <c r="CD49" s="72">
        <f>IF((Bankingbook_MSB[[#This Row],[Mat. Date]]-RPT)&lt;=0,0,Bankingbook_MSB[[#This Row],[QUANTITY]])</f>
        <v>0</v>
      </c>
      <c r="CE49" s="71">
        <f>IF(Bankingbook_MSB[[#This Row],[Quantity_edited]]=0,0,Bankingbook_MSB[[#This Row],[DURATION]])</f>
        <v>0</v>
      </c>
      <c r="CF49" s="71">
        <f>IF(Bankingbook_MSB[[#This Row],[Quantity_edited]]=0,0,Bankingbook_MSB[[#This Row],[Mod Dur]])</f>
        <v>0</v>
      </c>
      <c r="CG49" s="71">
        <f>IF(Bankingbook_MSB[[#This Row],[Quantity_edited]]=0,0,Bankingbook_MSB[[#This Row],[Cnvx.]])</f>
        <v>0</v>
      </c>
      <c r="CH49" s="71">
        <f>(Bankingbook_MSB[[#This Row],[MARKET_VALUE]]+Bankingbook_MSB[[#This Row],[Accr Int]]*Bankingbook_MSB[[#This Row],[Quantity_edited]])*(-Bankingbook_MSB[[#This Row],[Modified Duration]]*0.0001+0.5*Bankingbook_MSB[[#This Row],[Conv]]*(0.0001^2))</f>
        <v>0</v>
      </c>
      <c r="CI49" s="71">
        <f>(Bankingbook_MSB[[#This Row],[MARKET_VALUE]]+Bankingbook_MSB[[#This Row],[Accr Int]]*Bankingbook_MSB[[#This Row],[Quantity_edited]])*(-Bankingbook_MSB[[#This Row],[Modified Duration]]*0.01+0.5*Bankingbook_MSB[[#This Row],[Conv]]*(0.01^2))</f>
        <v>0</v>
      </c>
      <c r="CJ49" s="32"/>
      <c r="CL49" t="s">
        <v>166</v>
      </c>
      <c r="CM49" t="s">
        <v>167</v>
      </c>
      <c r="CN49" t="s">
        <v>221</v>
      </c>
      <c r="CO49" t="s">
        <v>169</v>
      </c>
      <c r="CP49" s="35">
        <v>42118</v>
      </c>
      <c r="CQ49" t="s">
        <v>3322</v>
      </c>
      <c r="CR49" t="s">
        <v>174</v>
      </c>
      <c r="CS49" t="s">
        <v>174</v>
      </c>
      <c r="CT49" s="49">
        <v>0</v>
      </c>
      <c r="CU49">
        <v>0</v>
      </c>
      <c r="CV49">
        <v>0</v>
      </c>
      <c r="CW49" s="70">
        <v>0</v>
      </c>
      <c r="CX49">
        <v>8.8000000000000007</v>
      </c>
      <c r="CY49">
        <v>0</v>
      </c>
      <c r="CZ49">
        <v>0</v>
      </c>
      <c r="DA49">
        <v>0</v>
      </c>
      <c r="DB49">
        <v>-198703954.16666698</v>
      </c>
      <c r="DC49">
        <v>8.8000000000000007</v>
      </c>
      <c r="DD49">
        <v>0</v>
      </c>
      <c r="DE49">
        <v>0</v>
      </c>
      <c r="DF49">
        <v>0</v>
      </c>
      <c r="DG49">
        <v>0</v>
      </c>
      <c r="DH49">
        <v>0</v>
      </c>
      <c r="DI49">
        <v>0</v>
      </c>
      <c r="DJ49" s="500">
        <v>1980000000</v>
      </c>
      <c r="DK49" s="500">
        <v>0</v>
      </c>
      <c r="DL49" s="37">
        <v>1980000000</v>
      </c>
      <c r="DM49" s="37">
        <v>1980000000</v>
      </c>
      <c r="DN49" s="37">
        <v>1980000000</v>
      </c>
      <c r="DO49" s="37">
        <v>1980000000</v>
      </c>
      <c r="DP49" s="32">
        <f>Tradingbook_SBV[[#This Row],[Mat. Date]]-RPT</f>
        <v>-4134</v>
      </c>
      <c r="DQ49" s="32">
        <f>IF(Tradingbook_SBV[[#This Row],[Days]]&lt;=0,0,YEARFRAC(RPT,Tradingbook_SBV[[#This Row],[Mat. Date]],3))</f>
        <v>0</v>
      </c>
      <c r="DR49" s="32">
        <f>IF(Tradingbook_SBV[[#This Row],[Days (year)]]=0,0,INDEX(Ref!$K$2:$K$13,MATCH(Tradingbook_SBV[[#This Row],[Days (year)]],Ref!$I$2:$I$13,1)))</f>
        <v>0</v>
      </c>
      <c r="DS49" s="32" t="str">
        <f>VLOOKUP(Tradingbook_SBV[[#This Row],[Security Name]],Ref!X:Z,3,0)</f>
        <v>TPCPBL</v>
      </c>
      <c r="DT49" s="32" t="str">
        <f>VLOOKUP(Tradingbook_SBV[[#This Row],[Security Name]],Ref!X:Y,2,0)</f>
        <v>VDB</v>
      </c>
      <c r="DU49" s="71">
        <f>IF((Tradingbook_SBV[[#This Row],[Mat. Date]]-RPT)&lt;=0,0,Tradingbook_SBV[[#This Row],[QUANTITY]])</f>
        <v>0</v>
      </c>
      <c r="DV49" s="71">
        <f>IF(Tradingbook_SBV[[#This Row],[Quantity_edited]]=0,0,Tradingbook_SBV[[#This Row],[DURATION]])</f>
        <v>0</v>
      </c>
      <c r="DW49" s="71">
        <f>IF(Tradingbook_SBV[[#This Row],[Quantity_edited]]=0,0,Tradingbook_SBV[[#This Row],[Mod Dur]])</f>
        <v>0</v>
      </c>
      <c r="DX49" s="71">
        <f>IF(Tradingbook_SBV[[#This Row],[Quantity_edited]]=0,0,Tradingbook_SBV[[#This Row],[Cnvx.]])</f>
        <v>0</v>
      </c>
      <c r="DY49" s="71">
        <f>(Tradingbook_SBV[[#This Row],[MARKET_VALUE]]+Tradingbook_SBV[[#This Row],[Accr Int]]*Tradingbook_SBV[[#This Row],[Quantity_edited]])*(-Tradingbook_SBV[[#This Row],[Modified Duration]]*0.0001+0.5*Tradingbook_SBV[[#This Row],[Conv]]*(0.0001^2))</f>
        <v>0</v>
      </c>
      <c r="DZ49" s="71">
        <f>(Tradingbook_SBV[[#This Row],[MARKET_VALUE]]+Tradingbook_SBV[[#This Row],[Accr Int]]*Tradingbook_SBV[[#This Row],[Quantity_edited]])*(-Tradingbook_SBV[[#This Row],[Modified Duration]]*0.01+0.5*Tradingbook_SBV[[#This Row],[Conv]]*(0.01^2))</f>
        <v>0</v>
      </c>
      <c r="EC49" t="s">
        <v>166</v>
      </c>
      <c r="ED49" t="s">
        <v>167</v>
      </c>
      <c r="EE49" t="s">
        <v>337</v>
      </c>
      <c r="EF49" t="s">
        <v>169</v>
      </c>
      <c r="EG49" s="35" t="s">
        <v>3363</v>
      </c>
      <c r="EH49" t="s">
        <v>3322</v>
      </c>
      <c r="EK49" s="500">
        <v>0</v>
      </c>
      <c r="EL49" s="500">
        <v>0</v>
      </c>
      <c r="EM49" s="500">
        <v>0</v>
      </c>
      <c r="EN49" s="500">
        <v>0</v>
      </c>
      <c r="EO49">
        <v>5.4</v>
      </c>
      <c r="EP49">
        <v>0</v>
      </c>
      <c r="EQ49">
        <v>0</v>
      </c>
      <c r="ER49">
        <v>0</v>
      </c>
      <c r="ES49">
        <v>-1047386100.1388884</v>
      </c>
      <c r="ET49">
        <v>0</v>
      </c>
      <c r="EU49">
        <v>0</v>
      </c>
      <c r="EV49">
        <v>0</v>
      </c>
      <c r="EW49">
        <v>0</v>
      </c>
      <c r="EX49">
        <v>0</v>
      </c>
      <c r="EY49">
        <v>0</v>
      </c>
      <c r="EZ49">
        <v>0</v>
      </c>
      <c r="FA49">
        <v>-98000000</v>
      </c>
      <c r="FB49">
        <v>0</v>
      </c>
      <c r="FC49">
        <v>-98000000</v>
      </c>
      <c r="FD49">
        <v>-98000000</v>
      </c>
      <c r="FE49">
        <v>-98000000</v>
      </c>
      <c r="FF49">
        <v>-98000000</v>
      </c>
      <c r="FG49" s="32">
        <f>Bankingbook_SBV[[#This Row],[Mat. Date]]-RPT</f>
        <v>-3274</v>
      </c>
      <c r="FH49" s="32">
        <f>IF(Bankingbook_SBV[[#This Row],[Days]]&lt;=0,0,YEARFRAC(RPT,Bankingbook_SBV[[#This Row],[Mat. Date]],3))</f>
        <v>0</v>
      </c>
      <c r="FI49" s="32">
        <f>IF(Bankingbook_SBV[[#This Row],[Days (year)]]=0,0,INDEX(Ref!$K$2:$K$13,MATCH(Bankingbook_SBV[[#This Row],[Days (year)]],Ref!$I$2:$I$13,1)))</f>
        <v>0</v>
      </c>
      <c r="FJ49" s="32" t="str">
        <f>VLOOKUP(Bankingbook_SBV[[#This Row],[Security Name]],Ref!X:Z,3,0)</f>
        <v>TPCP</v>
      </c>
      <c r="FK49" s="32" t="str">
        <f>VLOOKUP(Bankingbook_SBV[[#This Row],[Security Name]],Ref!X:Y,2,0)</f>
        <v>KBNN</v>
      </c>
      <c r="FL49" s="72">
        <f>IF((Bankingbook_SBV[[#This Row],[Mat. Date]]-RPT)&lt;=0,0,Bankingbook_SBV[[#This Row],[QUANTITY]])</f>
        <v>0</v>
      </c>
      <c r="FM49" s="32">
        <f>IF(Bankingbook_SBV[[#This Row],[Quantity_edited]]=0,0,Bankingbook_SBV[[#This Row],[DURATION]])</f>
        <v>0</v>
      </c>
      <c r="FN49" s="32">
        <f>IF(Bankingbook_SBV[[#This Row],[Quantity_edited]]=0,0,Bankingbook_SBV[[#This Row],[Mod Dur]])</f>
        <v>0</v>
      </c>
      <c r="FO49" s="32">
        <f>IF(Bankingbook_SBV[[#This Row],[Quantity_edited]]=0,0,Bankingbook_SBV[[#This Row],[Cnvx.]])</f>
        <v>0</v>
      </c>
      <c r="FP49" s="32">
        <f>(Bankingbook_SBV[[#This Row],[MARKET_VALUE]]+Bankingbook_SBV[[#This Row],[Accr Int]]*Bankingbook_SBV[[#This Row],[Quantity_edited]])*(-Bankingbook_SBV[[#This Row],[Modified Duration]]*0.0001+0.5*Bankingbook_SBV[[#This Row],[Conv]]*(0.0001^2))</f>
        <v>0</v>
      </c>
      <c r="FQ49" s="32">
        <f>(Bankingbook_SBV[[#This Row],[MARKET_VALUE]]+Bankingbook_SBV[[#This Row],[Accr Int]]*Bankingbook_SBV[[#This Row],[Quantity_edited]])*(-Bankingbook_SBV[[#This Row],[Modified Duration]]*0.01+0.5*Bankingbook_SBV[[#This Row],[Conv]]*(0.01^2))</f>
        <v>0</v>
      </c>
      <c r="FT49" t="s">
        <v>166</v>
      </c>
      <c r="FU49" t="s">
        <v>790</v>
      </c>
      <c r="FV49" t="s">
        <v>4027</v>
      </c>
      <c r="FW49">
        <v>3311722</v>
      </c>
      <c r="FX49" s="502">
        <v>46220</v>
      </c>
      <c r="FY49" t="s">
        <v>2176</v>
      </c>
      <c r="FZ49" t="s">
        <v>812</v>
      </c>
      <c r="GA49" t="s">
        <v>3585</v>
      </c>
      <c r="GB49" t="s">
        <v>810</v>
      </c>
      <c r="GC49" t="s">
        <v>2497</v>
      </c>
      <c r="GD49" s="500">
        <v>-107373500000</v>
      </c>
      <c r="GE49">
        <v>12.000043</v>
      </c>
      <c r="GF49" s="502">
        <v>46225</v>
      </c>
      <c r="GG49" s="502">
        <v>46286</v>
      </c>
      <c r="GH49">
        <v>4.5999999999999996</v>
      </c>
      <c r="GI49" t="s">
        <v>811</v>
      </c>
      <c r="GJ49" t="s">
        <v>3321</v>
      </c>
      <c r="GK49" t="s">
        <v>3321</v>
      </c>
      <c r="GL49">
        <v>393702833.32999998</v>
      </c>
      <c r="GM49">
        <v>-365364073.97000003</v>
      </c>
      <c r="GN49">
        <v>122242900000</v>
      </c>
      <c r="GO49">
        <v>12.16</v>
      </c>
      <c r="GP49">
        <v>0.09</v>
      </c>
      <c r="GQ49">
        <v>8.3000000000000004E-2</v>
      </c>
      <c r="GR49">
        <v>7.03</v>
      </c>
      <c r="GS49">
        <v>-107507308867.00999</v>
      </c>
      <c r="GT49">
        <v>-133808867.01000001</v>
      </c>
      <c r="GU49" t="s">
        <v>4129</v>
      </c>
      <c r="GV49" t="s">
        <v>4129</v>
      </c>
      <c r="GW49" s="416">
        <f>FNRP_Repo[[#This Row],[Mat. Date]]-RPT</f>
        <v>34</v>
      </c>
      <c r="GX49" s="819" t="str">
        <f>IF(FNRP_Repo[[#This Row],[Days]]&lt;=0,"Mat",INDEX(Ref!U:U,MATCH(FNRP_Repo[[#This Row],[Days]],Ref!S:S,1)))</f>
        <v>2M</v>
      </c>
      <c r="GY49" s="417">
        <f>RIGHT(FNRP_Repo[[#This Row],[Deal Id]],5)+0</f>
        <v>18056</v>
      </c>
    </row>
    <row r="50" spans="2:207" x14ac:dyDescent="0.3">
      <c r="B50" t="s">
        <v>166</v>
      </c>
      <c r="C50" t="s">
        <v>167</v>
      </c>
      <c r="D50" t="s">
        <v>222</v>
      </c>
      <c r="E50" t="s">
        <v>169</v>
      </c>
      <c r="F50" s="502">
        <v>42120</v>
      </c>
      <c r="G50" t="s">
        <v>3322</v>
      </c>
      <c r="H50"/>
      <c r="I50"/>
      <c r="J50" s="38">
        <v>0</v>
      </c>
      <c r="K50">
        <v>0</v>
      </c>
      <c r="L50">
        <v>0</v>
      </c>
      <c r="M50" s="38">
        <v>0</v>
      </c>
      <c r="N50">
        <v>8.8000000000000007</v>
      </c>
      <c r="O50">
        <v>0</v>
      </c>
      <c r="P50" s="37">
        <v>0</v>
      </c>
      <c r="Q50" s="37">
        <v>0</v>
      </c>
      <c r="R50" s="37">
        <v>-1379195027.7777801</v>
      </c>
      <c r="S50">
        <v>8.8000000000000007</v>
      </c>
      <c r="T50" s="70">
        <v>0</v>
      </c>
      <c r="U50">
        <v>0</v>
      </c>
      <c r="V50">
        <v>0</v>
      </c>
      <c r="W50">
        <v>0</v>
      </c>
      <c r="X50" s="38">
        <v>0</v>
      </c>
      <c r="Y50">
        <v>0</v>
      </c>
      <c r="Z50" s="70">
        <v>997000000</v>
      </c>
      <c r="AA50" s="70">
        <v>0</v>
      </c>
      <c r="AB50" s="70">
        <v>997000000</v>
      </c>
      <c r="AC50" s="70">
        <v>997000000</v>
      </c>
      <c r="AD50" s="70">
        <v>997000000</v>
      </c>
      <c r="AE50" s="70">
        <v>997000000</v>
      </c>
      <c r="AF50">
        <v>0</v>
      </c>
      <c r="AG50" s="72">
        <f>Tradingbook_MSB[[#This Row],[Mat. Date]]-RPT</f>
        <v>-4132</v>
      </c>
      <c r="AH50" s="71">
        <f>IF(Tradingbook_MSB[[#This Row],[Days]]&lt;=0,0,YEARFRAC(RPT,Tradingbook_MSB[[#This Row],[Mat. Date]],3))</f>
        <v>0</v>
      </c>
      <c r="AI50" s="71">
        <f>IF(Tradingbook_MSB[[#This Row],[Days (year)]]=0,0,INDEX(Ref!$K$2:$K$13,MATCH(Tradingbook_MSB[[#This Row],[Days (year)]],Ref!$I$2:$I$13,1)))</f>
        <v>0</v>
      </c>
      <c r="AJ50" s="120" t="str">
        <f>VLOOKUP(Tradingbook_MSB[[#This Row],[Security Name]],Ref!X:Z,3,0)</f>
        <v>TPCP</v>
      </c>
      <c r="AK50" s="120" t="str">
        <f>VLOOKUP(Tradingbook_MSB[[#This Row],[Security Name]],Ref!X:Y,2,0)</f>
        <v>VDB</v>
      </c>
      <c r="AL50" s="71">
        <f>IF((Tradingbook_MSB[[#This Row],[Mat. Date]]-RPT)&lt;=0,0,Tradingbook_MSB[[#This Row],[QUANTITY]])</f>
        <v>0</v>
      </c>
      <c r="AM50" s="71">
        <f>IF(Tradingbook_MSB[[#This Row],[Quantity_edited]]=0,0,Tradingbook_MSB[[#This Row],[DURATION]])</f>
        <v>0</v>
      </c>
      <c r="AN50" s="71">
        <f>IF(Tradingbook_MSB[[#This Row],[Quantity_edited]]=0,0,Tradingbook_MSB[[#This Row],[Mod Dur]])</f>
        <v>0</v>
      </c>
      <c r="AO50" s="71">
        <f>IF(Tradingbook_MSB[[#This Row],[Quantity_edited]]=0,0,Tradingbook_MSB[[#This Row],[Cnvx.]])</f>
        <v>0</v>
      </c>
      <c r="AP50" s="71">
        <f>(Tradingbook_MSB[[#This Row],[MARKET_VALUE]]+Tradingbook_MSB[[#This Row],[Accr Int]]*Tradingbook_MSB[[#This Row],[Quantity_edited]])*(-Tradingbook_MSB[[#This Row],[Modified Duration]]*0.0001+0.5*Tradingbook_MSB[[#This Row],[Conv]]*(0.0001^2))</f>
        <v>0</v>
      </c>
      <c r="AQ50" s="72">
        <f>(Tradingbook_MSB[[#This Row],[MARKET_VALUE]]+Tradingbook_MSB[[#This Row],[Accr Int]]*Tradingbook_MSB[[#This Row],[Quantity_edited]])*(-Tradingbook_MSB[[#This Row],[Modified Duration]]*0.01+0.5*Tradingbook_MSB[[#This Row],[Conv]]*(0.01^2))</f>
        <v>0</v>
      </c>
      <c r="AR50" s="71"/>
      <c r="AT50" t="s">
        <v>166</v>
      </c>
      <c r="AU50" t="s">
        <v>167</v>
      </c>
      <c r="AV50" t="s">
        <v>338</v>
      </c>
      <c r="AW50" t="s">
        <v>169</v>
      </c>
      <c r="AX50" t="s">
        <v>3364</v>
      </c>
      <c r="AY50" t="s">
        <v>3322</v>
      </c>
      <c r="BB50" s="49">
        <v>0</v>
      </c>
      <c r="BC50">
        <v>0</v>
      </c>
      <c r="BD50">
        <v>0</v>
      </c>
      <c r="BE50" s="37">
        <v>0</v>
      </c>
      <c r="BF50">
        <v>9.99</v>
      </c>
      <c r="BG50">
        <v>0</v>
      </c>
      <c r="BH50" s="34">
        <v>9990000000</v>
      </c>
      <c r="BI50">
        <v>10753287337.5</v>
      </c>
      <c r="BJ50">
        <v>-4230691820.0694475</v>
      </c>
      <c r="BK50">
        <v>0</v>
      </c>
      <c r="BL50">
        <v>0</v>
      </c>
      <c r="BM50">
        <v>0</v>
      </c>
      <c r="BN50">
        <v>0</v>
      </c>
      <c r="BO50">
        <v>0</v>
      </c>
      <c r="BP50">
        <v>0</v>
      </c>
      <c r="BQ50">
        <v>0</v>
      </c>
      <c r="BR50">
        <v>-2727500000</v>
      </c>
      <c r="BS50">
        <v>0</v>
      </c>
      <c r="BT50">
        <v>-2727500000</v>
      </c>
      <c r="BU50">
        <v>-2727500000</v>
      </c>
      <c r="BV50">
        <v>-2727500000</v>
      </c>
      <c r="BW50">
        <v>-2727500000</v>
      </c>
      <c r="BX50">
        <v>0</v>
      </c>
      <c r="BY50" s="32">
        <f>Bankingbook_MSB[[#This Row],[Mat. Date]]-RPT</f>
        <v>-3262</v>
      </c>
      <c r="BZ50" s="71">
        <f>IF(Bankingbook_MSB[[#This Row],[Days]]&lt;=0,0,YEARFRAC(RPT,Bankingbook_MSB[[#This Row],[Mat. Date]],3))</f>
        <v>0</v>
      </c>
      <c r="CA50" s="71">
        <f>IF(Bankingbook_MSB[[#This Row],[Days (year)]]=0,0,INDEX(Ref!$K$2:$K$13,MATCH(Bankingbook_MSB[[#This Row],[Days (year)]],Ref!$I$2:$I$13,1)))</f>
        <v>0</v>
      </c>
      <c r="CB50" s="32" t="str">
        <f>VLOOKUP(Bankingbook_MSB[[#This Row],[Security Name]],Ref!X:Z,3,0)</f>
        <v>TPCP</v>
      </c>
      <c r="CC50" s="32" t="str">
        <f>VLOOKUP(Bankingbook_MSB[[#This Row],[Security Name]],Ref!X:Y,2,0)</f>
        <v>VDB</v>
      </c>
      <c r="CD50" s="72">
        <f>IF((Bankingbook_MSB[[#This Row],[Mat. Date]]-RPT)&lt;=0,0,Bankingbook_MSB[[#This Row],[QUANTITY]])</f>
        <v>0</v>
      </c>
      <c r="CE50" s="71">
        <f>IF(Bankingbook_MSB[[#This Row],[Quantity_edited]]=0,0,Bankingbook_MSB[[#This Row],[DURATION]])</f>
        <v>0</v>
      </c>
      <c r="CF50" s="71">
        <f>IF(Bankingbook_MSB[[#This Row],[Quantity_edited]]=0,0,Bankingbook_MSB[[#This Row],[Mod Dur]])</f>
        <v>0</v>
      </c>
      <c r="CG50" s="71">
        <f>IF(Bankingbook_MSB[[#This Row],[Quantity_edited]]=0,0,Bankingbook_MSB[[#This Row],[Cnvx.]])</f>
        <v>0</v>
      </c>
      <c r="CH50" s="71">
        <f>(Bankingbook_MSB[[#This Row],[MARKET_VALUE]]+Bankingbook_MSB[[#This Row],[Accr Int]]*Bankingbook_MSB[[#This Row],[Quantity_edited]])*(-Bankingbook_MSB[[#This Row],[Modified Duration]]*0.0001+0.5*Bankingbook_MSB[[#This Row],[Conv]]*(0.0001^2))</f>
        <v>0</v>
      </c>
      <c r="CI50" s="71">
        <f>(Bankingbook_MSB[[#This Row],[MARKET_VALUE]]+Bankingbook_MSB[[#This Row],[Accr Int]]*Bankingbook_MSB[[#This Row],[Quantity_edited]])*(-Bankingbook_MSB[[#This Row],[Modified Duration]]*0.01+0.5*Bankingbook_MSB[[#This Row],[Conv]]*(0.01^2))</f>
        <v>0</v>
      </c>
      <c r="CJ50" s="32"/>
      <c r="CL50" t="s">
        <v>166</v>
      </c>
      <c r="CM50" t="s">
        <v>167</v>
      </c>
      <c r="CN50" t="s">
        <v>222</v>
      </c>
      <c r="CO50" t="s">
        <v>169</v>
      </c>
      <c r="CP50" s="35">
        <v>42120</v>
      </c>
      <c r="CQ50" t="s">
        <v>3322</v>
      </c>
      <c r="CR50" t="s">
        <v>174</v>
      </c>
      <c r="CS50" t="s">
        <v>174</v>
      </c>
      <c r="CT50" s="49">
        <v>0</v>
      </c>
      <c r="CU50">
        <v>0</v>
      </c>
      <c r="CV50">
        <v>0</v>
      </c>
      <c r="CW50" s="70">
        <v>0</v>
      </c>
      <c r="CX50">
        <v>8.8000000000000007</v>
      </c>
      <c r="CY50">
        <v>0</v>
      </c>
      <c r="CZ50">
        <v>0</v>
      </c>
      <c r="DA50">
        <v>0</v>
      </c>
      <c r="DB50">
        <v>-1379195027.7777801</v>
      </c>
      <c r="DC50">
        <v>8.8000000000000007</v>
      </c>
      <c r="DD50">
        <v>0</v>
      </c>
      <c r="DE50">
        <v>0</v>
      </c>
      <c r="DF50">
        <v>0</v>
      </c>
      <c r="DG50">
        <v>0</v>
      </c>
      <c r="DH50">
        <v>0</v>
      </c>
      <c r="DI50">
        <v>0</v>
      </c>
      <c r="DJ50" s="500">
        <v>997000000</v>
      </c>
      <c r="DK50" s="500">
        <v>0</v>
      </c>
      <c r="DL50" s="37">
        <v>997000000</v>
      </c>
      <c r="DM50" s="37">
        <v>997000000</v>
      </c>
      <c r="DN50" s="37">
        <v>997000000</v>
      </c>
      <c r="DO50" s="37">
        <v>997000000</v>
      </c>
      <c r="DP50" s="32">
        <f>Tradingbook_SBV[[#This Row],[Mat. Date]]-RPT</f>
        <v>-4132</v>
      </c>
      <c r="DQ50" s="32">
        <f>IF(Tradingbook_SBV[[#This Row],[Days]]&lt;=0,0,YEARFRAC(RPT,Tradingbook_SBV[[#This Row],[Mat. Date]],3))</f>
        <v>0</v>
      </c>
      <c r="DR50" s="32">
        <f>IF(Tradingbook_SBV[[#This Row],[Days (year)]]=0,0,INDEX(Ref!$K$2:$K$13,MATCH(Tradingbook_SBV[[#This Row],[Days (year)]],Ref!$I$2:$I$13,1)))</f>
        <v>0</v>
      </c>
      <c r="DS50" s="32" t="str">
        <f>VLOOKUP(Tradingbook_SBV[[#This Row],[Security Name]],Ref!X:Z,3,0)</f>
        <v>TPCP</v>
      </c>
      <c r="DT50" s="32" t="str">
        <f>VLOOKUP(Tradingbook_SBV[[#This Row],[Security Name]],Ref!X:Y,2,0)</f>
        <v>VDB</v>
      </c>
      <c r="DU50" s="71">
        <f>IF((Tradingbook_SBV[[#This Row],[Mat. Date]]-RPT)&lt;=0,0,Tradingbook_SBV[[#This Row],[QUANTITY]])</f>
        <v>0</v>
      </c>
      <c r="DV50" s="71">
        <f>IF(Tradingbook_SBV[[#This Row],[Quantity_edited]]=0,0,Tradingbook_SBV[[#This Row],[DURATION]])</f>
        <v>0</v>
      </c>
      <c r="DW50" s="71">
        <f>IF(Tradingbook_SBV[[#This Row],[Quantity_edited]]=0,0,Tradingbook_SBV[[#This Row],[Mod Dur]])</f>
        <v>0</v>
      </c>
      <c r="DX50" s="71">
        <f>IF(Tradingbook_SBV[[#This Row],[Quantity_edited]]=0,0,Tradingbook_SBV[[#This Row],[Cnvx.]])</f>
        <v>0</v>
      </c>
      <c r="DY50" s="71">
        <f>(Tradingbook_SBV[[#This Row],[MARKET_VALUE]]+Tradingbook_SBV[[#This Row],[Accr Int]]*Tradingbook_SBV[[#This Row],[Quantity_edited]])*(-Tradingbook_SBV[[#This Row],[Modified Duration]]*0.0001+0.5*Tradingbook_SBV[[#This Row],[Conv]]*(0.0001^2))</f>
        <v>0</v>
      </c>
      <c r="DZ50" s="71">
        <f>(Tradingbook_SBV[[#This Row],[MARKET_VALUE]]+Tradingbook_SBV[[#This Row],[Accr Int]]*Tradingbook_SBV[[#This Row],[Quantity_edited]])*(-Tradingbook_SBV[[#This Row],[Modified Duration]]*0.01+0.5*Tradingbook_SBV[[#This Row],[Conv]]*(0.01^2))</f>
        <v>0</v>
      </c>
      <c r="EC50" t="s">
        <v>166</v>
      </c>
      <c r="ED50" t="s">
        <v>167</v>
      </c>
      <c r="EE50" t="s">
        <v>338</v>
      </c>
      <c r="EF50" t="s">
        <v>169</v>
      </c>
      <c r="EG50" s="35" t="s">
        <v>3364</v>
      </c>
      <c r="EH50" t="s">
        <v>3322</v>
      </c>
      <c r="EK50" s="500">
        <v>0</v>
      </c>
      <c r="EL50" s="500">
        <v>0</v>
      </c>
      <c r="EM50" s="500">
        <v>0</v>
      </c>
      <c r="EN50" s="500">
        <v>0</v>
      </c>
      <c r="EO50">
        <v>9.99</v>
      </c>
      <c r="EP50">
        <v>0</v>
      </c>
      <c r="EQ50">
        <v>9990000000</v>
      </c>
      <c r="ER50">
        <v>10753287337.5</v>
      </c>
      <c r="ES50">
        <v>-4230691820.0694475</v>
      </c>
      <c r="ET50">
        <v>0</v>
      </c>
      <c r="EU50">
        <v>0</v>
      </c>
      <c r="EV50">
        <v>0</v>
      </c>
      <c r="EW50">
        <v>0</v>
      </c>
      <c r="EX50">
        <v>0</v>
      </c>
      <c r="EY50">
        <v>0</v>
      </c>
      <c r="EZ50">
        <v>0</v>
      </c>
      <c r="FA50">
        <v>-2727500000</v>
      </c>
      <c r="FB50">
        <v>0</v>
      </c>
      <c r="FC50">
        <v>-2727500000</v>
      </c>
      <c r="FD50">
        <v>-2727500000</v>
      </c>
      <c r="FE50">
        <v>-2727500000</v>
      </c>
      <c r="FF50">
        <v>-2727500000</v>
      </c>
      <c r="FG50" s="32">
        <f>Bankingbook_SBV[[#This Row],[Mat. Date]]-RPT</f>
        <v>-3262</v>
      </c>
      <c r="FH50" s="32">
        <f>IF(Bankingbook_SBV[[#This Row],[Days]]&lt;=0,0,YEARFRAC(RPT,Bankingbook_SBV[[#This Row],[Mat. Date]],3))</f>
        <v>0</v>
      </c>
      <c r="FI50" s="32">
        <f>IF(Bankingbook_SBV[[#This Row],[Days (year)]]=0,0,INDEX(Ref!$K$2:$K$13,MATCH(Bankingbook_SBV[[#This Row],[Days (year)]],Ref!$I$2:$I$13,1)))</f>
        <v>0</v>
      </c>
      <c r="FJ50" s="32" t="str">
        <f>VLOOKUP(Bankingbook_SBV[[#This Row],[Security Name]],Ref!X:Z,3,0)</f>
        <v>TPCP</v>
      </c>
      <c r="FK50" s="32" t="str">
        <f>VLOOKUP(Bankingbook_SBV[[#This Row],[Security Name]],Ref!X:Y,2,0)</f>
        <v>VDB</v>
      </c>
      <c r="FL50" s="72">
        <f>IF((Bankingbook_SBV[[#This Row],[Mat. Date]]-RPT)&lt;=0,0,Bankingbook_SBV[[#This Row],[QUANTITY]])</f>
        <v>0</v>
      </c>
      <c r="FM50" s="32">
        <f>IF(Bankingbook_SBV[[#This Row],[Quantity_edited]]=0,0,Bankingbook_SBV[[#This Row],[DURATION]])</f>
        <v>0</v>
      </c>
      <c r="FN50" s="32">
        <f>IF(Bankingbook_SBV[[#This Row],[Quantity_edited]]=0,0,Bankingbook_SBV[[#This Row],[Mod Dur]])</f>
        <v>0</v>
      </c>
      <c r="FO50" s="32">
        <f>IF(Bankingbook_SBV[[#This Row],[Quantity_edited]]=0,0,Bankingbook_SBV[[#This Row],[Cnvx.]])</f>
        <v>0</v>
      </c>
      <c r="FP50" s="32">
        <f>(Bankingbook_SBV[[#This Row],[MARKET_VALUE]]+Bankingbook_SBV[[#This Row],[Accr Int]]*Bankingbook_SBV[[#This Row],[Quantity_edited]])*(-Bankingbook_SBV[[#This Row],[Modified Duration]]*0.0001+0.5*Bankingbook_SBV[[#This Row],[Conv]]*(0.0001^2))</f>
        <v>0</v>
      </c>
      <c r="FQ50" s="32">
        <f>(Bankingbook_SBV[[#This Row],[MARKET_VALUE]]+Bankingbook_SBV[[#This Row],[Accr Int]]*Bankingbook_SBV[[#This Row],[Quantity_edited]])*(-Bankingbook_SBV[[#This Row],[Modified Duration]]*0.01+0.5*Bankingbook_SBV[[#This Row],[Conv]]*(0.01^2))</f>
        <v>0</v>
      </c>
      <c r="FT50" t="s">
        <v>166</v>
      </c>
      <c r="FU50" t="s">
        <v>790</v>
      </c>
      <c r="FV50" t="s">
        <v>4028</v>
      </c>
      <c r="FW50">
        <v>3311655</v>
      </c>
      <c r="FX50" s="502">
        <v>46220</v>
      </c>
      <c r="FY50" t="s">
        <v>2176</v>
      </c>
      <c r="FZ50" t="s">
        <v>823</v>
      </c>
      <c r="GA50" t="s">
        <v>2829</v>
      </c>
      <c r="GB50" t="s">
        <v>810</v>
      </c>
      <c r="GC50" t="s">
        <v>2785</v>
      </c>
      <c r="GD50" s="500">
        <v>-162556000000</v>
      </c>
      <c r="GE50">
        <v>9.9991140000000005</v>
      </c>
      <c r="GF50" s="502">
        <v>46224</v>
      </c>
      <c r="GG50" s="502">
        <v>46286</v>
      </c>
      <c r="GH50">
        <v>4.55</v>
      </c>
      <c r="GI50" t="s">
        <v>811</v>
      </c>
      <c r="GJ50" t="s">
        <v>3321</v>
      </c>
      <c r="GK50" t="s">
        <v>3321</v>
      </c>
      <c r="GL50">
        <v>617261255.55999994</v>
      </c>
      <c r="GM50">
        <v>-567387243.84000003</v>
      </c>
      <c r="GN50">
        <v>180156000000</v>
      </c>
      <c r="GO50">
        <v>9.77</v>
      </c>
      <c r="GP50">
        <v>0.09</v>
      </c>
      <c r="GQ50">
        <v>8.3000000000000004E-2</v>
      </c>
      <c r="GR50">
        <v>7.03</v>
      </c>
      <c r="GS50">
        <v>-162765214984.37</v>
      </c>
      <c r="GT50">
        <v>-209214984.37</v>
      </c>
      <c r="GU50" t="s">
        <v>4138</v>
      </c>
      <c r="GV50" t="s">
        <v>4138</v>
      </c>
      <c r="GW50" s="416">
        <f>FNRP_Repo[[#This Row],[Mat. Date]]-RPT</f>
        <v>34</v>
      </c>
      <c r="GX50" s="819" t="str">
        <f>IF(FNRP_Repo[[#This Row],[Days]]&lt;=0,"Mat",INDEX(Ref!U:U,MATCH(FNRP_Repo[[#This Row],[Days]],Ref!S:S,1)))</f>
        <v>2M</v>
      </c>
      <c r="GY50" s="417">
        <f>RIGHT(FNRP_Repo[[#This Row],[Deal Id]],5)+0</f>
        <v>18051</v>
      </c>
    </row>
    <row r="51" spans="2:207" x14ac:dyDescent="0.3">
      <c r="B51" t="s">
        <v>166</v>
      </c>
      <c r="C51" t="s">
        <v>167</v>
      </c>
      <c r="D51" t="s">
        <v>223</v>
      </c>
      <c r="E51" t="s">
        <v>169</v>
      </c>
      <c r="F51" s="502">
        <v>42120</v>
      </c>
      <c r="G51" t="s">
        <v>3322</v>
      </c>
      <c r="H51"/>
      <c r="I51"/>
      <c r="J51" s="38">
        <v>0</v>
      </c>
      <c r="K51">
        <v>0</v>
      </c>
      <c r="L51">
        <v>0</v>
      </c>
      <c r="M51" s="38">
        <v>0</v>
      </c>
      <c r="N51">
        <v>11.5</v>
      </c>
      <c r="O51">
        <v>0</v>
      </c>
      <c r="P51" s="37">
        <v>34500000000</v>
      </c>
      <c r="Q51" s="37">
        <v>39733769791.666718</v>
      </c>
      <c r="R51" s="37">
        <v>-34578856317.361206</v>
      </c>
      <c r="S51">
        <v>11.5</v>
      </c>
      <c r="T51" s="70">
        <v>0</v>
      </c>
      <c r="U51">
        <v>0</v>
      </c>
      <c r="V51">
        <v>0</v>
      </c>
      <c r="W51">
        <v>0</v>
      </c>
      <c r="X51" s="38">
        <v>0</v>
      </c>
      <c r="Y51">
        <v>0</v>
      </c>
      <c r="Z51" s="70">
        <v>6990500000</v>
      </c>
      <c r="AA51" s="70">
        <v>0</v>
      </c>
      <c r="AB51" s="70">
        <v>6990500000</v>
      </c>
      <c r="AC51" s="70">
        <v>6990500000</v>
      </c>
      <c r="AD51" s="70">
        <v>6990500000</v>
      </c>
      <c r="AE51" s="70">
        <v>6990500000</v>
      </c>
      <c r="AF51">
        <v>0</v>
      </c>
      <c r="AG51" s="72">
        <f>Tradingbook_MSB[[#This Row],[Mat. Date]]-RPT</f>
        <v>-4132</v>
      </c>
      <c r="AH51" s="71">
        <f>IF(Tradingbook_MSB[[#This Row],[Days]]&lt;=0,0,YEARFRAC(RPT,Tradingbook_MSB[[#This Row],[Mat. Date]],3))</f>
        <v>0</v>
      </c>
      <c r="AI51" s="71">
        <f>IF(Tradingbook_MSB[[#This Row],[Days (year)]]=0,0,INDEX(Ref!$K$2:$K$13,MATCH(Tradingbook_MSB[[#This Row],[Days (year)]],Ref!$I$2:$I$13,1)))</f>
        <v>0</v>
      </c>
      <c r="AJ51" s="120" t="str">
        <f>VLOOKUP(Tradingbook_MSB[[#This Row],[Security Name]],Ref!X:Z,3,0)</f>
        <v>TPCP</v>
      </c>
      <c r="AK51" s="120" t="str">
        <f>VLOOKUP(Tradingbook_MSB[[#This Row],[Security Name]],Ref!X:Y,2,0)</f>
        <v>KBNN</v>
      </c>
      <c r="AL51" s="71">
        <f>IF((Tradingbook_MSB[[#This Row],[Mat. Date]]-RPT)&lt;=0,0,Tradingbook_MSB[[#This Row],[QUANTITY]])</f>
        <v>0</v>
      </c>
      <c r="AM51" s="71">
        <f>IF(Tradingbook_MSB[[#This Row],[Quantity_edited]]=0,0,Tradingbook_MSB[[#This Row],[DURATION]])</f>
        <v>0</v>
      </c>
      <c r="AN51" s="71">
        <f>IF(Tradingbook_MSB[[#This Row],[Quantity_edited]]=0,0,Tradingbook_MSB[[#This Row],[Mod Dur]])</f>
        <v>0</v>
      </c>
      <c r="AO51" s="71">
        <f>IF(Tradingbook_MSB[[#This Row],[Quantity_edited]]=0,0,Tradingbook_MSB[[#This Row],[Cnvx.]])</f>
        <v>0</v>
      </c>
      <c r="AP51" s="71">
        <f>(Tradingbook_MSB[[#This Row],[MARKET_VALUE]]+Tradingbook_MSB[[#This Row],[Accr Int]]*Tradingbook_MSB[[#This Row],[Quantity_edited]])*(-Tradingbook_MSB[[#This Row],[Modified Duration]]*0.0001+0.5*Tradingbook_MSB[[#This Row],[Conv]]*(0.0001^2))</f>
        <v>0</v>
      </c>
      <c r="AQ51" s="72">
        <f>(Tradingbook_MSB[[#This Row],[MARKET_VALUE]]+Tradingbook_MSB[[#This Row],[Accr Int]]*Tradingbook_MSB[[#This Row],[Quantity_edited]])*(-Tradingbook_MSB[[#This Row],[Modified Duration]]*0.01+0.5*Tradingbook_MSB[[#This Row],[Conv]]*(0.01^2))</f>
        <v>0</v>
      </c>
      <c r="AR51" s="71"/>
      <c r="AT51" t="s">
        <v>166</v>
      </c>
      <c r="AU51" t="s">
        <v>167</v>
      </c>
      <c r="AV51" t="s">
        <v>339</v>
      </c>
      <c r="AW51" t="s">
        <v>169</v>
      </c>
      <c r="AX51" t="s">
        <v>340</v>
      </c>
      <c r="AY51" t="s">
        <v>3322</v>
      </c>
      <c r="BB51" s="49">
        <v>0</v>
      </c>
      <c r="BC51">
        <v>0</v>
      </c>
      <c r="BD51">
        <v>0</v>
      </c>
      <c r="BE51" s="37">
        <v>0</v>
      </c>
      <c r="BF51">
        <v>10.7</v>
      </c>
      <c r="BG51">
        <v>0</v>
      </c>
      <c r="BH51" s="34">
        <v>96300000000</v>
      </c>
      <c r="BI51">
        <v>104802188791.66658</v>
      </c>
      <c r="BJ51">
        <v>-34415961158.749817</v>
      </c>
      <c r="BK51">
        <v>0</v>
      </c>
      <c r="BL51">
        <v>0</v>
      </c>
      <c r="BM51">
        <v>0</v>
      </c>
      <c r="BN51">
        <v>0</v>
      </c>
      <c r="BO51">
        <v>0</v>
      </c>
      <c r="BP51">
        <v>0</v>
      </c>
      <c r="BQ51">
        <v>0</v>
      </c>
      <c r="BR51">
        <v>21247000000</v>
      </c>
      <c r="BS51">
        <v>0</v>
      </c>
      <c r="BT51">
        <v>21247000000</v>
      </c>
      <c r="BU51">
        <v>21247000000</v>
      </c>
      <c r="BV51">
        <v>21247000000</v>
      </c>
      <c r="BW51">
        <v>21247000000</v>
      </c>
      <c r="BX51">
        <v>0</v>
      </c>
      <c r="BY51" s="32">
        <f>Bankingbook_MSB[[#This Row],[Mat. Date]]-RPT</f>
        <v>-3187</v>
      </c>
      <c r="BZ51" s="71">
        <f>IF(Bankingbook_MSB[[#This Row],[Days]]&lt;=0,0,YEARFRAC(RPT,Bankingbook_MSB[[#This Row],[Mat. Date]],3))</f>
        <v>0</v>
      </c>
      <c r="CA51" s="71">
        <f>IF(Bankingbook_MSB[[#This Row],[Days (year)]]=0,0,INDEX(Ref!$K$2:$K$13,MATCH(Bankingbook_MSB[[#This Row],[Days (year)]],Ref!$I$2:$I$13,1)))</f>
        <v>0</v>
      </c>
      <c r="CB51" s="32" t="str">
        <f>VLOOKUP(Bankingbook_MSB[[#This Row],[Security Name]],Ref!X:Z,3,0)</f>
        <v>TPCPBL</v>
      </c>
      <c r="CC51" s="32" t="str">
        <f>VLOOKUP(Bankingbook_MSB[[#This Row],[Security Name]],Ref!X:Y,2,0)</f>
        <v>VDB</v>
      </c>
      <c r="CD51" s="72">
        <f>IF((Bankingbook_MSB[[#This Row],[Mat. Date]]-RPT)&lt;=0,0,Bankingbook_MSB[[#This Row],[QUANTITY]])</f>
        <v>0</v>
      </c>
      <c r="CE51" s="71">
        <f>IF(Bankingbook_MSB[[#This Row],[Quantity_edited]]=0,0,Bankingbook_MSB[[#This Row],[DURATION]])</f>
        <v>0</v>
      </c>
      <c r="CF51" s="71">
        <f>IF(Bankingbook_MSB[[#This Row],[Quantity_edited]]=0,0,Bankingbook_MSB[[#This Row],[Mod Dur]])</f>
        <v>0</v>
      </c>
      <c r="CG51" s="71">
        <f>IF(Bankingbook_MSB[[#This Row],[Quantity_edited]]=0,0,Bankingbook_MSB[[#This Row],[Cnvx.]])</f>
        <v>0</v>
      </c>
      <c r="CH51" s="71">
        <f>(Bankingbook_MSB[[#This Row],[MARKET_VALUE]]+Bankingbook_MSB[[#This Row],[Accr Int]]*Bankingbook_MSB[[#This Row],[Quantity_edited]])*(-Bankingbook_MSB[[#This Row],[Modified Duration]]*0.0001+0.5*Bankingbook_MSB[[#This Row],[Conv]]*(0.0001^2))</f>
        <v>0</v>
      </c>
      <c r="CI51" s="71">
        <f>(Bankingbook_MSB[[#This Row],[MARKET_VALUE]]+Bankingbook_MSB[[#This Row],[Accr Int]]*Bankingbook_MSB[[#This Row],[Quantity_edited]])*(-Bankingbook_MSB[[#This Row],[Modified Duration]]*0.01+0.5*Bankingbook_MSB[[#This Row],[Conv]]*(0.01^2))</f>
        <v>0</v>
      </c>
      <c r="CJ51" s="32"/>
      <c r="CL51" t="s">
        <v>166</v>
      </c>
      <c r="CM51" t="s">
        <v>167</v>
      </c>
      <c r="CN51" t="s">
        <v>223</v>
      </c>
      <c r="CO51" t="s">
        <v>169</v>
      </c>
      <c r="CP51" s="35">
        <v>42120</v>
      </c>
      <c r="CQ51" t="s">
        <v>3322</v>
      </c>
      <c r="CR51" t="s">
        <v>174</v>
      </c>
      <c r="CS51" t="s">
        <v>174</v>
      </c>
      <c r="CT51" s="49">
        <v>0</v>
      </c>
      <c r="CU51">
        <v>0</v>
      </c>
      <c r="CV51">
        <v>0</v>
      </c>
      <c r="CW51" s="70">
        <v>0</v>
      </c>
      <c r="CX51">
        <v>11.5</v>
      </c>
      <c r="CY51">
        <v>0</v>
      </c>
      <c r="CZ51">
        <v>34500000000</v>
      </c>
      <c r="DA51">
        <v>39733769791.666718</v>
      </c>
      <c r="DB51">
        <v>-34578856317.361206</v>
      </c>
      <c r="DC51">
        <v>11.5</v>
      </c>
      <c r="DD51">
        <v>0</v>
      </c>
      <c r="DE51">
        <v>0</v>
      </c>
      <c r="DF51">
        <v>0</v>
      </c>
      <c r="DG51">
        <v>0</v>
      </c>
      <c r="DH51">
        <v>0</v>
      </c>
      <c r="DI51">
        <v>0</v>
      </c>
      <c r="DJ51" s="500">
        <v>6990500000</v>
      </c>
      <c r="DK51" s="500">
        <v>0</v>
      </c>
      <c r="DL51" s="37">
        <v>6990500000</v>
      </c>
      <c r="DM51" s="37">
        <v>6990500000</v>
      </c>
      <c r="DN51" s="37">
        <v>6990500000</v>
      </c>
      <c r="DO51" s="37">
        <v>6990500000</v>
      </c>
      <c r="DP51" s="32">
        <f>Tradingbook_SBV[[#This Row],[Mat. Date]]-RPT</f>
        <v>-4132</v>
      </c>
      <c r="DQ51" s="32">
        <f>IF(Tradingbook_SBV[[#This Row],[Days]]&lt;=0,0,YEARFRAC(RPT,Tradingbook_SBV[[#This Row],[Mat. Date]],3))</f>
        <v>0</v>
      </c>
      <c r="DR51" s="32">
        <f>IF(Tradingbook_SBV[[#This Row],[Days (year)]]=0,0,INDEX(Ref!$K$2:$K$13,MATCH(Tradingbook_SBV[[#This Row],[Days (year)]],Ref!$I$2:$I$13,1)))</f>
        <v>0</v>
      </c>
      <c r="DS51" s="32" t="str">
        <f>VLOOKUP(Tradingbook_SBV[[#This Row],[Security Name]],Ref!X:Z,3,0)</f>
        <v>TPCP</v>
      </c>
      <c r="DT51" s="32" t="str">
        <f>VLOOKUP(Tradingbook_SBV[[#This Row],[Security Name]],Ref!X:Y,2,0)</f>
        <v>KBNN</v>
      </c>
      <c r="DU51" s="71">
        <f>IF((Tradingbook_SBV[[#This Row],[Mat. Date]]-RPT)&lt;=0,0,Tradingbook_SBV[[#This Row],[QUANTITY]])</f>
        <v>0</v>
      </c>
      <c r="DV51" s="71">
        <f>IF(Tradingbook_SBV[[#This Row],[Quantity_edited]]=0,0,Tradingbook_SBV[[#This Row],[DURATION]])</f>
        <v>0</v>
      </c>
      <c r="DW51" s="71">
        <f>IF(Tradingbook_SBV[[#This Row],[Quantity_edited]]=0,0,Tradingbook_SBV[[#This Row],[Mod Dur]])</f>
        <v>0</v>
      </c>
      <c r="DX51" s="71">
        <f>IF(Tradingbook_SBV[[#This Row],[Quantity_edited]]=0,0,Tradingbook_SBV[[#This Row],[Cnvx.]])</f>
        <v>0</v>
      </c>
      <c r="DY51" s="71">
        <f>(Tradingbook_SBV[[#This Row],[MARKET_VALUE]]+Tradingbook_SBV[[#This Row],[Accr Int]]*Tradingbook_SBV[[#This Row],[Quantity_edited]])*(-Tradingbook_SBV[[#This Row],[Modified Duration]]*0.0001+0.5*Tradingbook_SBV[[#This Row],[Conv]]*(0.0001^2))</f>
        <v>0</v>
      </c>
      <c r="DZ51" s="71">
        <f>(Tradingbook_SBV[[#This Row],[MARKET_VALUE]]+Tradingbook_SBV[[#This Row],[Accr Int]]*Tradingbook_SBV[[#This Row],[Quantity_edited]])*(-Tradingbook_SBV[[#This Row],[Modified Duration]]*0.01+0.5*Tradingbook_SBV[[#This Row],[Conv]]*(0.01^2))</f>
        <v>0</v>
      </c>
      <c r="EC51" t="s">
        <v>166</v>
      </c>
      <c r="ED51" t="s">
        <v>167</v>
      </c>
      <c r="EE51" t="s">
        <v>339</v>
      </c>
      <c r="EF51" t="s">
        <v>169</v>
      </c>
      <c r="EG51" s="35" t="s">
        <v>340</v>
      </c>
      <c r="EH51" t="s">
        <v>3322</v>
      </c>
      <c r="EK51" s="500">
        <v>0</v>
      </c>
      <c r="EL51" s="500">
        <v>0</v>
      </c>
      <c r="EM51" s="500">
        <v>0</v>
      </c>
      <c r="EN51" s="500">
        <v>0</v>
      </c>
      <c r="EO51">
        <v>10.7</v>
      </c>
      <c r="EP51">
        <v>0</v>
      </c>
      <c r="EQ51">
        <v>96300000000</v>
      </c>
      <c r="ER51">
        <v>104802188791.66658</v>
      </c>
      <c r="ES51">
        <v>-34415961158.749817</v>
      </c>
      <c r="ET51">
        <v>0</v>
      </c>
      <c r="EU51">
        <v>0</v>
      </c>
      <c r="EV51">
        <v>0</v>
      </c>
      <c r="EW51">
        <v>0</v>
      </c>
      <c r="EX51">
        <v>0</v>
      </c>
      <c r="EY51">
        <v>0</v>
      </c>
      <c r="EZ51">
        <v>0</v>
      </c>
      <c r="FA51">
        <v>21247000000</v>
      </c>
      <c r="FB51">
        <v>0</v>
      </c>
      <c r="FC51">
        <v>21247000000</v>
      </c>
      <c r="FD51">
        <v>21247000000</v>
      </c>
      <c r="FE51">
        <v>21247000000</v>
      </c>
      <c r="FF51">
        <v>21247000000</v>
      </c>
      <c r="FG51" s="32">
        <f>Bankingbook_SBV[[#This Row],[Mat. Date]]-RPT</f>
        <v>-3187</v>
      </c>
      <c r="FH51" s="32">
        <f>IF(Bankingbook_SBV[[#This Row],[Days]]&lt;=0,0,YEARFRAC(RPT,Bankingbook_SBV[[#This Row],[Mat. Date]],3))</f>
        <v>0</v>
      </c>
      <c r="FI51" s="32">
        <f>IF(Bankingbook_SBV[[#This Row],[Days (year)]]=0,0,INDEX(Ref!$K$2:$K$13,MATCH(Bankingbook_SBV[[#This Row],[Days (year)]],Ref!$I$2:$I$13,1)))</f>
        <v>0</v>
      </c>
      <c r="FJ51" s="32" t="str">
        <f>VLOOKUP(Bankingbook_SBV[[#This Row],[Security Name]],Ref!X:Z,3,0)</f>
        <v>TPCPBL</v>
      </c>
      <c r="FK51" s="32" t="str">
        <f>VLOOKUP(Bankingbook_SBV[[#This Row],[Security Name]],Ref!X:Y,2,0)</f>
        <v>VDB</v>
      </c>
      <c r="FL51" s="72">
        <f>IF((Bankingbook_SBV[[#This Row],[Mat. Date]]-RPT)&lt;=0,0,Bankingbook_SBV[[#This Row],[QUANTITY]])</f>
        <v>0</v>
      </c>
      <c r="FM51" s="32">
        <f>IF(Bankingbook_SBV[[#This Row],[Quantity_edited]]=0,0,Bankingbook_SBV[[#This Row],[DURATION]])</f>
        <v>0</v>
      </c>
      <c r="FN51" s="32">
        <f>IF(Bankingbook_SBV[[#This Row],[Quantity_edited]]=0,0,Bankingbook_SBV[[#This Row],[Mod Dur]])</f>
        <v>0</v>
      </c>
      <c r="FO51" s="32">
        <f>IF(Bankingbook_SBV[[#This Row],[Quantity_edited]]=0,0,Bankingbook_SBV[[#This Row],[Cnvx.]])</f>
        <v>0</v>
      </c>
      <c r="FP51" s="32">
        <f>(Bankingbook_SBV[[#This Row],[MARKET_VALUE]]+Bankingbook_SBV[[#This Row],[Accr Int]]*Bankingbook_SBV[[#This Row],[Quantity_edited]])*(-Bankingbook_SBV[[#This Row],[Modified Duration]]*0.0001+0.5*Bankingbook_SBV[[#This Row],[Conv]]*(0.0001^2))</f>
        <v>0</v>
      </c>
      <c r="FQ51" s="32">
        <f>(Bankingbook_SBV[[#This Row],[MARKET_VALUE]]+Bankingbook_SBV[[#This Row],[Accr Int]]*Bankingbook_SBV[[#This Row],[Quantity_edited]])*(-Bankingbook_SBV[[#This Row],[Modified Duration]]*0.01+0.5*Bankingbook_SBV[[#This Row],[Conv]]*(0.01^2))</f>
        <v>0</v>
      </c>
      <c r="FT51" t="s">
        <v>166</v>
      </c>
      <c r="FU51" t="s">
        <v>790</v>
      </c>
      <c r="FV51" t="s">
        <v>4029</v>
      </c>
      <c r="FW51">
        <v>3311661</v>
      </c>
      <c r="FX51" s="502">
        <v>46220</v>
      </c>
      <c r="FY51" t="s">
        <v>2176</v>
      </c>
      <c r="FZ51" t="s">
        <v>823</v>
      </c>
      <c r="GA51" t="s">
        <v>2829</v>
      </c>
      <c r="GB51" t="s">
        <v>810</v>
      </c>
      <c r="GC51" t="s">
        <v>2834</v>
      </c>
      <c r="GD51" s="500">
        <v>-202065000000</v>
      </c>
      <c r="GE51">
        <v>10.000334000000001</v>
      </c>
      <c r="GF51" s="502">
        <v>46224</v>
      </c>
      <c r="GG51" s="502">
        <v>46286</v>
      </c>
      <c r="GH51">
        <v>4.55</v>
      </c>
      <c r="GI51" t="s">
        <v>811</v>
      </c>
      <c r="GJ51" t="s">
        <v>3321</v>
      </c>
      <c r="GK51" t="s">
        <v>3321</v>
      </c>
      <c r="GL51">
        <v>767285708.33000004</v>
      </c>
      <c r="GM51">
        <v>-705289890.40999997</v>
      </c>
      <c r="GN51">
        <v>223802500000</v>
      </c>
      <c r="GO51">
        <v>9.7100000000000009</v>
      </c>
      <c r="GP51">
        <v>0.09</v>
      </c>
      <c r="GQ51">
        <v>8.3000000000000004E-2</v>
      </c>
      <c r="GR51">
        <v>7.03</v>
      </c>
      <c r="GS51">
        <v>-202325064383.67999</v>
      </c>
      <c r="GT51">
        <v>-260064383.68000001</v>
      </c>
      <c r="GU51" t="s">
        <v>4144</v>
      </c>
      <c r="GV51" t="s">
        <v>4144</v>
      </c>
      <c r="GW51" s="416">
        <f>FNRP_Repo[[#This Row],[Mat. Date]]-RPT</f>
        <v>34</v>
      </c>
      <c r="GX51" s="819" t="str">
        <f>IF(FNRP_Repo[[#This Row],[Days]]&lt;=0,"Mat",INDEX(Ref!U:U,MATCH(FNRP_Repo[[#This Row],[Days]],Ref!S:S,1)))</f>
        <v>2M</v>
      </c>
      <c r="GY51" s="417">
        <f>RIGHT(FNRP_Repo[[#This Row],[Deal Id]],5)+0</f>
        <v>18053</v>
      </c>
    </row>
    <row r="52" spans="2:207" x14ac:dyDescent="0.3">
      <c r="B52" t="s">
        <v>166</v>
      </c>
      <c r="C52" t="s">
        <v>167</v>
      </c>
      <c r="D52" t="s">
        <v>224</v>
      </c>
      <c r="E52" t="s">
        <v>169</v>
      </c>
      <c r="F52" s="502">
        <v>42124</v>
      </c>
      <c r="G52" t="s">
        <v>3322</v>
      </c>
      <c r="H52"/>
      <c r="I52"/>
      <c r="J52" s="38">
        <v>0</v>
      </c>
      <c r="K52">
        <v>0</v>
      </c>
      <c r="L52">
        <v>0</v>
      </c>
      <c r="M52" s="38">
        <v>0</v>
      </c>
      <c r="N52">
        <v>7.3</v>
      </c>
      <c r="O52">
        <v>0</v>
      </c>
      <c r="P52" s="37">
        <v>7300000000</v>
      </c>
      <c r="Q52" s="37">
        <v>7539723888.8888845</v>
      </c>
      <c r="R52" s="37">
        <v>-2963489001.3888702</v>
      </c>
      <c r="S52">
        <v>7.3</v>
      </c>
      <c r="T52" s="70">
        <v>0</v>
      </c>
      <c r="U52">
        <v>0</v>
      </c>
      <c r="V52">
        <v>0</v>
      </c>
      <c r="W52">
        <v>0</v>
      </c>
      <c r="X52" s="38">
        <v>0</v>
      </c>
      <c r="Y52">
        <v>0</v>
      </c>
      <c r="Z52" s="70">
        <v>-371500000</v>
      </c>
      <c r="AA52" s="70">
        <v>0</v>
      </c>
      <c r="AB52" s="70">
        <v>-371500000</v>
      </c>
      <c r="AC52" s="70">
        <v>-371500000</v>
      </c>
      <c r="AD52" s="70">
        <v>-371500000</v>
      </c>
      <c r="AE52" s="70">
        <v>-371500000</v>
      </c>
      <c r="AF52">
        <v>0</v>
      </c>
      <c r="AG52" s="72">
        <f>Tradingbook_MSB[[#This Row],[Mat. Date]]-RPT</f>
        <v>-4128</v>
      </c>
      <c r="AH52" s="71">
        <f>IF(Tradingbook_MSB[[#This Row],[Days]]&lt;=0,0,YEARFRAC(RPT,Tradingbook_MSB[[#This Row],[Mat. Date]],3))</f>
        <v>0</v>
      </c>
      <c r="AI52" s="71">
        <f>IF(Tradingbook_MSB[[#This Row],[Days (year)]]=0,0,INDEX(Ref!$K$2:$K$13,MATCH(Tradingbook_MSB[[#This Row],[Days (year)]],Ref!$I$2:$I$13,1)))</f>
        <v>0</v>
      </c>
      <c r="AJ52" s="120" t="str">
        <f>VLOOKUP(Tradingbook_MSB[[#This Row],[Security Name]],Ref!X:Z,3,0)</f>
        <v>TPCP</v>
      </c>
      <c r="AK52" s="120" t="str">
        <f>VLOOKUP(Tradingbook_MSB[[#This Row],[Security Name]],Ref!X:Y,2,0)</f>
        <v>KBNN</v>
      </c>
      <c r="AL52" s="71">
        <f>IF((Tradingbook_MSB[[#This Row],[Mat. Date]]-RPT)&lt;=0,0,Tradingbook_MSB[[#This Row],[QUANTITY]])</f>
        <v>0</v>
      </c>
      <c r="AM52" s="71">
        <f>IF(Tradingbook_MSB[[#This Row],[Quantity_edited]]=0,0,Tradingbook_MSB[[#This Row],[DURATION]])</f>
        <v>0</v>
      </c>
      <c r="AN52" s="71">
        <f>IF(Tradingbook_MSB[[#This Row],[Quantity_edited]]=0,0,Tradingbook_MSB[[#This Row],[Mod Dur]])</f>
        <v>0</v>
      </c>
      <c r="AO52" s="71">
        <f>IF(Tradingbook_MSB[[#This Row],[Quantity_edited]]=0,0,Tradingbook_MSB[[#This Row],[Cnvx.]])</f>
        <v>0</v>
      </c>
      <c r="AP52" s="71">
        <f>(Tradingbook_MSB[[#This Row],[MARKET_VALUE]]+Tradingbook_MSB[[#This Row],[Accr Int]]*Tradingbook_MSB[[#This Row],[Quantity_edited]])*(-Tradingbook_MSB[[#This Row],[Modified Duration]]*0.0001+0.5*Tradingbook_MSB[[#This Row],[Conv]]*(0.0001^2))</f>
        <v>0</v>
      </c>
      <c r="AQ52" s="72">
        <f>(Tradingbook_MSB[[#This Row],[MARKET_VALUE]]+Tradingbook_MSB[[#This Row],[Accr Int]]*Tradingbook_MSB[[#This Row],[Quantity_edited]])*(-Tradingbook_MSB[[#This Row],[Modified Duration]]*0.01+0.5*Tradingbook_MSB[[#This Row],[Conv]]*(0.01^2))</f>
        <v>0</v>
      </c>
      <c r="AR52" s="71"/>
      <c r="AT52" t="s">
        <v>166</v>
      </c>
      <c r="AU52" t="s">
        <v>167</v>
      </c>
      <c r="AV52" t="s">
        <v>345</v>
      </c>
      <c r="AW52" t="s">
        <v>169</v>
      </c>
      <c r="AX52" t="s">
        <v>346</v>
      </c>
      <c r="AY52" t="s">
        <v>3322</v>
      </c>
      <c r="BB52" s="49">
        <v>0</v>
      </c>
      <c r="BC52">
        <v>0</v>
      </c>
      <c r="BD52">
        <v>0</v>
      </c>
      <c r="BE52" s="37">
        <v>0</v>
      </c>
      <c r="BF52">
        <v>10.8</v>
      </c>
      <c r="BG52">
        <v>0</v>
      </c>
      <c r="BH52" s="34">
        <v>32400000000</v>
      </c>
      <c r="BI52">
        <v>35203324500</v>
      </c>
      <c r="BJ52">
        <v>-11839987871.527765</v>
      </c>
      <c r="BK52">
        <v>0</v>
      </c>
      <c r="BL52">
        <v>0</v>
      </c>
      <c r="BM52">
        <v>0</v>
      </c>
      <c r="BN52">
        <v>0</v>
      </c>
      <c r="BO52">
        <v>0</v>
      </c>
      <c r="BP52">
        <v>0</v>
      </c>
      <c r="BQ52">
        <v>0</v>
      </c>
      <c r="BR52">
        <v>-5772000000</v>
      </c>
      <c r="BS52">
        <v>0</v>
      </c>
      <c r="BT52">
        <v>-5772000000</v>
      </c>
      <c r="BU52">
        <v>-5772000000</v>
      </c>
      <c r="BV52">
        <v>-5772000000</v>
      </c>
      <c r="BW52">
        <v>-5772000000</v>
      </c>
      <c r="BX52">
        <v>0</v>
      </c>
      <c r="BY52" s="32">
        <f>Bankingbook_MSB[[#This Row],[Mat. Date]]-RPT</f>
        <v>-3162</v>
      </c>
      <c r="BZ52" s="71">
        <f>IF(Bankingbook_MSB[[#This Row],[Days]]&lt;=0,0,YEARFRAC(RPT,Bankingbook_MSB[[#This Row],[Mat. Date]],3))</f>
        <v>0</v>
      </c>
      <c r="CA52" s="71">
        <f>IF(Bankingbook_MSB[[#This Row],[Days (year)]]=0,0,INDEX(Ref!$K$2:$K$13,MATCH(Bankingbook_MSB[[#This Row],[Days (year)]],Ref!$I$2:$I$13,1)))</f>
        <v>0</v>
      </c>
      <c r="CB52" s="32" t="str">
        <f>VLOOKUP(Bankingbook_MSB[[#This Row],[Security Name]],Ref!X:Z,3,0)</f>
        <v>TPCPBL</v>
      </c>
      <c r="CC52" s="32" t="str">
        <f>VLOOKUP(Bankingbook_MSB[[#This Row],[Security Name]],Ref!X:Y,2,0)</f>
        <v>VDB</v>
      </c>
      <c r="CD52" s="72">
        <f>IF((Bankingbook_MSB[[#This Row],[Mat. Date]]-RPT)&lt;=0,0,Bankingbook_MSB[[#This Row],[QUANTITY]])</f>
        <v>0</v>
      </c>
      <c r="CE52" s="71">
        <f>IF(Bankingbook_MSB[[#This Row],[Quantity_edited]]=0,0,Bankingbook_MSB[[#This Row],[DURATION]])</f>
        <v>0</v>
      </c>
      <c r="CF52" s="71">
        <f>IF(Bankingbook_MSB[[#This Row],[Quantity_edited]]=0,0,Bankingbook_MSB[[#This Row],[Mod Dur]])</f>
        <v>0</v>
      </c>
      <c r="CG52" s="71">
        <f>IF(Bankingbook_MSB[[#This Row],[Quantity_edited]]=0,0,Bankingbook_MSB[[#This Row],[Cnvx.]])</f>
        <v>0</v>
      </c>
      <c r="CH52" s="71">
        <f>(Bankingbook_MSB[[#This Row],[MARKET_VALUE]]+Bankingbook_MSB[[#This Row],[Accr Int]]*Bankingbook_MSB[[#This Row],[Quantity_edited]])*(-Bankingbook_MSB[[#This Row],[Modified Duration]]*0.0001+0.5*Bankingbook_MSB[[#This Row],[Conv]]*(0.0001^2))</f>
        <v>0</v>
      </c>
      <c r="CI52" s="71">
        <f>(Bankingbook_MSB[[#This Row],[MARKET_VALUE]]+Bankingbook_MSB[[#This Row],[Accr Int]]*Bankingbook_MSB[[#This Row],[Quantity_edited]])*(-Bankingbook_MSB[[#This Row],[Modified Duration]]*0.01+0.5*Bankingbook_MSB[[#This Row],[Conv]]*(0.01^2))</f>
        <v>0</v>
      </c>
      <c r="CJ52" s="32"/>
      <c r="CL52" t="s">
        <v>166</v>
      </c>
      <c r="CM52" t="s">
        <v>167</v>
      </c>
      <c r="CN52" t="s">
        <v>224</v>
      </c>
      <c r="CO52" t="s">
        <v>169</v>
      </c>
      <c r="CP52" s="35">
        <v>42124</v>
      </c>
      <c r="CQ52" t="s">
        <v>3322</v>
      </c>
      <c r="CR52" t="s">
        <v>174</v>
      </c>
      <c r="CS52" t="s">
        <v>174</v>
      </c>
      <c r="CT52" s="49">
        <v>0</v>
      </c>
      <c r="CU52">
        <v>0</v>
      </c>
      <c r="CV52">
        <v>0</v>
      </c>
      <c r="CW52" s="70">
        <v>0</v>
      </c>
      <c r="CX52">
        <v>7.3</v>
      </c>
      <c r="CY52">
        <v>0</v>
      </c>
      <c r="CZ52">
        <v>7300000000</v>
      </c>
      <c r="DA52">
        <v>7539723888.8888845</v>
      </c>
      <c r="DB52">
        <v>-2963489001.3888702</v>
      </c>
      <c r="DC52">
        <v>7.3</v>
      </c>
      <c r="DD52">
        <v>0</v>
      </c>
      <c r="DE52">
        <v>0</v>
      </c>
      <c r="DF52">
        <v>0</v>
      </c>
      <c r="DG52">
        <v>0</v>
      </c>
      <c r="DH52">
        <v>0</v>
      </c>
      <c r="DI52">
        <v>0</v>
      </c>
      <c r="DJ52" s="500">
        <v>-371500000</v>
      </c>
      <c r="DK52" s="500">
        <v>0</v>
      </c>
      <c r="DL52" s="37">
        <v>-371500000</v>
      </c>
      <c r="DM52" s="37">
        <v>-371500000</v>
      </c>
      <c r="DN52" s="37">
        <v>-371500000</v>
      </c>
      <c r="DO52" s="37">
        <v>-371500000</v>
      </c>
      <c r="DP52" s="32">
        <f>Tradingbook_SBV[[#This Row],[Mat. Date]]-RPT</f>
        <v>-4128</v>
      </c>
      <c r="DQ52" s="32">
        <f>IF(Tradingbook_SBV[[#This Row],[Days]]&lt;=0,0,YEARFRAC(RPT,Tradingbook_SBV[[#This Row],[Mat. Date]],3))</f>
        <v>0</v>
      </c>
      <c r="DR52" s="32">
        <f>IF(Tradingbook_SBV[[#This Row],[Days (year)]]=0,0,INDEX(Ref!$K$2:$K$13,MATCH(Tradingbook_SBV[[#This Row],[Days (year)]],Ref!$I$2:$I$13,1)))</f>
        <v>0</v>
      </c>
      <c r="DS52" s="32" t="str">
        <f>VLOOKUP(Tradingbook_SBV[[#This Row],[Security Name]],Ref!X:Z,3,0)</f>
        <v>TPCP</v>
      </c>
      <c r="DT52" s="32" t="str">
        <f>VLOOKUP(Tradingbook_SBV[[#This Row],[Security Name]],Ref!X:Y,2,0)</f>
        <v>KBNN</v>
      </c>
      <c r="DU52" s="71">
        <f>IF((Tradingbook_SBV[[#This Row],[Mat. Date]]-RPT)&lt;=0,0,Tradingbook_SBV[[#This Row],[QUANTITY]])</f>
        <v>0</v>
      </c>
      <c r="DV52" s="71">
        <f>IF(Tradingbook_SBV[[#This Row],[Quantity_edited]]=0,0,Tradingbook_SBV[[#This Row],[DURATION]])</f>
        <v>0</v>
      </c>
      <c r="DW52" s="71">
        <f>IF(Tradingbook_SBV[[#This Row],[Quantity_edited]]=0,0,Tradingbook_SBV[[#This Row],[Mod Dur]])</f>
        <v>0</v>
      </c>
      <c r="DX52" s="71">
        <f>IF(Tradingbook_SBV[[#This Row],[Quantity_edited]]=0,0,Tradingbook_SBV[[#This Row],[Cnvx.]])</f>
        <v>0</v>
      </c>
      <c r="DY52" s="71">
        <f>(Tradingbook_SBV[[#This Row],[MARKET_VALUE]]+Tradingbook_SBV[[#This Row],[Accr Int]]*Tradingbook_SBV[[#This Row],[Quantity_edited]])*(-Tradingbook_SBV[[#This Row],[Modified Duration]]*0.0001+0.5*Tradingbook_SBV[[#This Row],[Conv]]*(0.0001^2))</f>
        <v>0</v>
      </c>
      <c r="DZ52" s="71">
        <f>(Tradingbook_SBV[[#This Row],[MARKET_VALUE]]+Tradingbook_SBV[[#This Row],[Accr Int]]*Tradingbook_SBV[[#This Row],[Quantity_edited]])*(-Tradingbook_SBV[[#This Row],[Modified Duration]]*0.01+0.5*Tradingbook_SBV[[#This Row],[Conv]]*(0.01^2))</f>
        <v>0</v>
      </c>
      <c r="EC52" t="s">
        <v>166</v>
      </c>
      <c r="ED52" t="s">
        <v>167</v>
      </c>
      <c r="EE52" t="s">
        <v>345</v>
      </c>
      <c r="EF52" t="s">
        <v>169</v>
      </c>
      <c r="EG52" s="35" t="s">
        <v>346</v>
      </c>
      <c r="EH52" t="s">
        <v>3322</v>
      </c>
      <c r="EK52" s="500">
        <v>0</v>
      </c>
      <c r="EL52" s="500">
        <v>0</v>
      </c>
      <c r="EM52" s="500">
        <v>0</v>
      </c>
      <c r="EN52" s="500">
        <v>0</v>
      </c>
      <c r="EO52">
        <v>10.8</v>
      </c>
      <c r="EP52">
        <v>0</v>
      </c>
      <c r="EQ52">
        <v>32400000000</v>
      </c>
      <c r="ER52">
        <v>35203324500</v>
      </c>
      <c r="ES52">
        <v>-11839987871.527765</v>
      </c>
      <c r="ET52">
        <v>0</v>
      </c>
      <c r="EU52">
        <v>0</v>
      </c>
      <c r="EV52">
        <v>0</v>
      </c>
      <c r="EW52">
        <v>0</v>
      </c>
      <c r="EX52">
        <v>0</v>
      </c>
      <c r="EY52">
        <v>0</v>
      </c>
      <c r="EZ52">
        <v>0</v>
      </c>
      <c r="FA52">
        <v>-5772000000</v>
      </c>
      <c r="FB52">
        <v>0</v>
      </c>
      <c r="FC52">
        <v>-5772000000</v>
      </c>
      <c r="FD52">
        <v>-5772000000</v>
      </c>
      <c r="FE52">
        <v>-5772000000</v>
      </c>
      <c r="FF52">
        <v>-5772000000</v>
      </c>
      <c r="FG52" s="32">
        <f>Bankingbook_SBV[[#This Row],[Mat. Date]]-RPT</f>
        <v>-3162</v>
      </c>
      <c r="FH52" s="32">
        <f>IF(Bankingbook_SBV[[#This Row],[Days]]&lt;=0,0,YEARFRAC(RPT,Bankingbook_SBV[[#This Row],[Mat. Date]],3))</f>
        <v>0</v>
      </c>
      <c r="FI52" s="32">
        <f>IF(Bankingbook_SBV[[#This Row],[Days (year)]]=0,0,INDEX(Ref!$K$2:$K$13,MATCH(Bankingbook_SBV[[#This Row],[Days (year)]],Ref!$I$2:$I$13,1)))</f>
        <v>0</v>
      </c>
      <c r="FJ52" s="32" t="str">
        <f>VLOOKUP(Bankingbook_SBV[[#This Row],[Security Name]],Ref!X:Z,3,0)</f>
        <v>TPCPBL</v>
      </c>
      <c r="FK52" s="32" t="str">
        <f>VLOOKUP(Bankingbook_SBV[[#This Row],[Security Name]],Ref!X:Y,2,0)</f>
        <v>VDB</v>
      </c>
      <c r="FL52" s="72">
        <f>IF((Bankingbook_SBV[[#This Row],[Mat. Date]]-RPT)&lt;=0,0,Bankingbook_SBV[[#This Row],[QUANTITY]])</f>
        <v>0</v>
      </c>
      <c r="FM52" s="32">
        <f>IF(Bankingbook_SBV[[#This Row],[Quantity_edited]]=0,0,Bankingbook_SBV[[#This Row],[DURATION]])</f>
        <v>0</v>
      </c>
      <c r="FN52" s="32">
        <f>IF(Bankingbook_SBV[[#This Row],[Quantity_edited]]=0,0,Bankingbook_SBV[[#This Row],[Mod Dur]])</f>
        <v>0</v>
      </c>
      <c r="FO52" s="32">
        <f>IF(Bankingbook_SBV[[#This Row],[Quantity_edited]]=0,0,Bankingbook_SBV[[#This Row],[Cnvx.]])</f>
        <v>0</v>
      </c>
      <c r="FP52" s="32">
        <f>(Bankingbook_SBV[[#This Row],[MARKET_VALUE]]+Bankingbook_SBV[[#This Row],[Accr Int]]*Bankingbook_SBV[[#This Row],[Quantity_edited]])*(-Bankingbook_SBV[[#This Row],[Modified Duration]]*0.0001+0.5*Bankingbook_SBV[[#This Row],[Conv]]*(0.0001^2))</f>
        <v>0</v>
      </c>
      <c r="FQ52" s="32">
        <f>(Bankingbook_SBV[[#This Row],[MARKET_VALUE]]+Bankingbook_SBV[[#This Row],[Accr Int]]*Bankingbook_SBV[[#This Row],[Quantity_edited]])*(-Bankingbook_SBV[[#This Row],[Modified Duration]]*0.01+0.5*Bankingbook_SBV[[#This Row],[Conv]]*(0.01^2))</f>
        <v>0</v>
      </c>
      <c r="FT52" t="s">
        <v>166</v>
      </c>
      <c r="FU52" t="s">
        <v>790</v>
      </c>
      <c r="FV52" t="s">
        <v>4030</v>
      </c>
      <c r="FW52">
        <v>3311656</v>
      </c>
      <c r="FX52" s="502">
        <v>46220</v>
      </c>
      <c r="FY52" t="s">
        <v>2176</v>
      </c>
      <c r="FZ52" t="s">
        <v>823</v>
      </c>
      <c r="GA52" t="s">
        <v>2829</v>
      </c>
      <c r="GB52" t="s">
        <v>810</v>
      </c>
      <c r="GC52" t="s">
        <v>2835</v>
      </c>
      <c r="GD52" s="500">
        <v>-150532000000</v>
      </c>
      <c r="GE52">
        <v>10.000120000000001</v>
      </c>
      <c r="GF52" s="502">
        <v>46224</v>
      </c>
      <c r="GG52" s="502">
        <v>46286</v>
      </c>
      <c r="GH52">
        <v>4.55</v>
      </c>
      <c r="GI52" t="s">
        <v>811</v>
      </c>
      <c r="GJ52" t="s">
        <v>3321</v>
      </c>
      <c r="GK52" t="s">
        <v>3321</v>
      </c>
      <c r="GL52">
        <v>571603455.55999994</v>
      </c>
      <c r="GM52">
        <v>-525418542.47000003</v>
      </c>
      <c r="GN52">
        <v>166848000000</v>
      </c>
      <c r="GO52">
        <v>9.7799999999999994</v>
      </c>
      <c r="GP52">
        <v>0.09</v>
      </c>
      <c r="GQ52">
        <v>8.3000000000000004E-2</v>
      </c>
      <c r="GR52">
        <v>7.03</v>
      </c>
      <c r="GS52">
        <v>-150725739696.87</v>
      </c>
      <c r="GT52">
        <v>-193739696.87</v>
      </c>
      <c r="GU52" t="s">
        <v>4146</v>
      </c>
      <c r="GV52" t="s">
        <v>4146</v>
      </c>
      <c r="GW52" s="416">
        <f>FNRP_Repo[[#This Row],[Mat. Date]]-RPT</f>
        <v>34</v>
      </c>
      <c r="GX52" s="819" t="str">
        <f>IF(FNRP_Repo[[#This Row],[Days]]&lt;=0,"Mat",INDEX(Ref!U:U,MATCH(FNRP_Repo[[#This Row],[Days]],Ref!S:S,1)))</f>
        <v>2M</v>
      </c>
      <c r="GY52" s="417">
        <f>RIGHT(FNRP_Repo[[#This Row],[Deal Id]],5)+0</f>
        <v>18052</v>
      </c>
    </row>
    <row r="53" spans="2:207" x14ac:dyDescent="0.3">
      <c r="B53" t="s">
        <v>166</v>
      </c>
      <c r="C53" t="s">
        <v>167</v>
      </c>
      <c r="D53" t="s">
        <v>225</v>
      </c>
      <c r="E53" t="s">
        <v>169</v>
      </c>
      <c r="F53" s="502">
        <v>42132</v>
      </c>
      <c r="G53" t="s">
        <v>3322</v>
      </c>
      <c r="H53"/>
      <c r="I53"/>
      <c r="J53" s="38">
        <v>0</v>
      </c>
      <c r="K53">
        <v>0</v>
      </c>
      <c r="L53">
        <v>0</v>
      </c>
      <c r="M53" s="38">
        <v>0</v>
      </c>
      <c r="N53">
        <v>8.8000000000000007</v>
      </c>
      <c r="O53">
        <v>0</v>
      </c>
      <c r="P53" s="37">
        <v>0</v>
      </c>
      <c r="Q53" s="37">
        <v>0</v>
      </c>
      <c r="R53" s="37">
        <v>-836903834.02778244</v>
      </c>
      <c r="S53">
        <v>8.8000000000000007</v>
      </c>
      <c r="T53" s="70">
        <v>0</v>
      </c>
      <c r="U53">
        <v>0</v>
      </c>
      <c r="V53">
        <v>0</v>
      </c>
      <c r="W53">
        <v>0</v>
      </c>
      <c r="X53" s="38">
        <v>0</v>
      </c>
      <c r="Y53">
        <v>0</v>
      </c>
      <c r="Z53" s="70">
        <v>1507000000</v>
      </c>
      <c r="AA53" s="70">
        <v>0</v>
      </c>
      <c r="AB53" s="70">
        <v>1507000000</v>
      </c>
      <c r="AC53" s="70">
        <v>1507000000</v>
      </c>
      <c r="AD53" s="70">
        <v>1507000000</v>
      </c>
      <c r="AE53" s="70">
        <v>1507000000</v>
      </c>
      <c r="AF53">
        <v>0</v>
      </c>
      <c r="AG53" s="72">
        <f>Tradingbook_MSB[[#This Row],[Mat. Date]]-RPT</f>
        <v>-4120</v>
      </c>
      <c r="AH53" s="71">
        <f>IF(Tradingbook_MSB[[#This Row],[Days]]&lt;=0,0,YEARFRAC(RPT,Tradingbook_MSB[[#This Row],[Mat. Date]],3))</f>
        <v>0</v>
      </c>
      <c r="AI53" s="71">
        <f>IF(Tradingbook_MSB[[#This Row],[Days (year)]]=0,0,INDEX(Ref!$K$2:$K$13,MATCH(Tradingbook_MSB[[#This Row],[Days (year)]],Ref!$I$2:$I$13,1)))</f>
        <v>0</v>
      </c>
      <c r="AJ53" s="120" t="str">
        <f>VLOOKUP(Tradingbook_MSB[[#This Row],[Security Name]],Ref!X:Z,3,0)</f>
        <v>TPCPBL</v>
      </c>
      <c r="AK53" s="120" t="str">
        <f>VLOOKUP(Tradingbook_MSB[[#This Row],[Security Name]],Ref!X:Y,2,0)</f>
        <v>VDB</v>
      </c>
      <c r="AL53" s="71">
        <f>IF((Tradingbook_MSB[[#This Row],[Mat. Date]]-RPT)&lt;=0,0,Tradingbook_MSB[[#This Row],[QUANTITY]])</f>
        <v>0</v>
      </c>
      <c r="AM53" s="71">
        <f>IF(Tradingbook_MSB[[#This Row],[Quantity_edited]]=0,0,Tradingbook_MSB[[#This Row],[DURATION]])</f>
        <v>0</v>
      </c>
      <c r="AN53" s="71">
        <f>IF(Tradingbook_MSB[[#This Row],[Quantity_edited]]=0,0,Tradingbook_MSB[[#This Row],[Mod Dur]])</f>
        <v>0</v>
      </c>
      <c r="AO53" s="71">
        <f>IF(Tradingbook_MSB[[#This Row],[Quantity_edited]]=0,0,Tradingbook_MSB[[#This Row],[Cnvx.]])</f>
        <v>0</v>
      </c>
      <c r="AP53" s="71">
        <f>(Tradingbook_MSB[[#This Row],[MARKET_VALUE]]+Tradingbook_MSB[[#This Row],[Accr Int]]*Tradingbook_MSB[[#This Row],[Quantity_edited]])*(-Tradingbook_MSB[[#This Row],[Modified Duration]]*0.0001+0.5*Tradingbook_MSB[[#This Row],[Conv]]*(0.0001^2))</f>
        <v>0</v>
      </c>
      <c r="AQ53" s="72">
        <f>(Tradingbook_MSB[[#This Row],[MARKET_VALUE]]+Tradingbook_MSB[[#This Row],[Accr Int]]*Tradingbook_MSB[[#This Row],[Quantity_edited]])*(-Tradingbook_MSB[[#This Row],[Modified Duration]]*0.01+0.5*Tradingbook_MSB[[#This Row],[Conv]]*(0.01^2))</f>
        <v>0</v>
      </c>
      <c r="AR53" s="71"/>
      <c r="AT53" t="s">
        <v>166</v>
      </c>
      <c r="AU53" t="s">
        <v>167</v>
      </c>
      <c r="AV53" t="s">
        <v>354</v>
      </c>
      <c r="AW53" t="s">
        <v>169</v>
      </c>
      <c r="AX53" t="s">
        <v>3365</v>
      </c>
      <c r="AY53" t="s">
        <v>3322</v>
      </c>
      <c r="BB53" s="49">
        <v>0</v>
      </c>
      <c r="BC53">
        <v>0</v>
      </c>
      <c r="BD53">
        <v>0</v>
      </c>
      <c r="BE53" s="37">
        <v>0</v>
      </c>
      <c r="BF53">
        <v>8.4</v>
      </c>
      <c r="BG53">
        <v>0</v>
      </c>
      <c r="BH53" s="34">
        <v>25200000000</v>
      </c>
      <c r="BI53">
        <v>26454478166.666668</v>
      </c>
      <c r="BJ53">
        <v>-10252346525.347313</v>
      </c>
      <c r="BK53">
        <v>0</v>
      </c>
      <c r="BL53">
        <v>0</v>
      </c>
      <c r="BM53">
        <v>0</v>
      </c>
      <c r="BN53">
        <v>0</v>
      </c>
      <c r="BO53">
        <v>0</v>
      </c>
      <c r="BP53">
        <v>0</v>
      </c>
      <c r="BQ53">
        <v>0</v>
      </c>
      <c r="BR53">
        <v>6673500000</v>
      </c>
      <c r="BS53">
        <v>0</v>
      </c>
      <c r="BT53">
        <v>6673500000</v>
      </c>
      <c r="BU53">
        <v>6673500000</v>
      </c>
      <c r="BV53">
        <v>6673500000</v>
      </c>
      <c r="BW53">
        <v>6673500000</v>
      </c>
      <c r="BX53">
        <v>0</v>
      </c>
      <c r="BY53" s="32">
        <f>Bankingbook_MSB[[#This Row],[Mat. Date]]-RPT</f>
        <v>-3047</v>
      </c>
      <c r="BZ53" s="71">
        <f>IF(Bankingbook_MSB[[#This Row],[Days]]&lt;=0,0,YEARFRAC(RPT,Bankingbook_MSB[[#This Row],[Mat. Date]],3))</f>
        <v>0</v>
      </c>
      <c r="CA53" s="71">
        <f>IF(Bankingbook_MSB[[#This Row],[Days (year)]]=0,0,INDEX(Ref!$K$2:$K$13,MATCH(Bankingbook_MSB[[#This Row],[Days (year)]],Ref!$I$2:$I$13,1)))</f>
        <v>0</v>
      </c>
      <c r="CB53" s="32" t="str">
        <f>VLOOKUP(Bankingbook_MSB[[#This Row],[Security Name]],Ref!X:Z,3,0)</f>
        <v>TPCP</v>
      </c>
      <c r="CC53" s="32" t="str">
        <f>VLOOKUP(Bankingbook_MSB[[#This Row],[Security Name]],Ref!X:Y,2,0)</f>
        <v>KBNN</v>
      </c>
      <c r="CD53" s="72">
        <f>IF((Bankingbook_MSB[[#This Row],[Mat. Date]]-RPT)&lt;=0,0,Bankingbook_MSB[[#This Row],[QUANTITY]])</f>
        <v>0</v>
      </c>
      <c r="CE53" s="71">
        <f>IF(Bankingbook_MSB[[#This Row],[Quantity_edited]]=0,0,Bankingbook_MSB[[#This Row],[DURATION]])</f>
        <v>0</v>
      </c>
      <c r="CF53" s="71">
        <f>IF(Bankingbook_MSB[[#This Row],[Quantity_edited]]=0,0,Bankingbook_MSB[[#This Row],[Mod Dur]])</f>
        <v>0</v>
      </c>
      <c r="CG53" s="71">
        <f>IF(Bankingbook_MSB[[#This Row],[Quantity_edited]]=0,0,Bankingbook_MSB[[#This Row],[Cnvx.]])</f>
        <v>0</v>
      </c>
      <c r="CH53" s="71">
        <f>(Bankingbook_MSB[[#This Row],[MARKET_VALUE]]+Bankingbook_MSB[[#This Row],[Accr Int]]*Bankingbook_MSB[[#This Row],[Quantity_edited]])*(-Bankingbook_MSB[[#This Row],[Modified Duration]]*0.0001+0.5*Bankingbook_MSB[[#This Row],[Conv]]*(0.0001^2))</f>
        <v>0</v>
      </c>
      <c r="CI53" s="71">
        <f>(Bankingbook_MSB[[#This Row],[MARKET_VALUE]]+Bankingbook_MSB[[#This Row],[Accr Int]]*Bankingbook_MSB[[#This Row],[Quantity_edited]])*(-Bankingbook_MSB[[#This Row],[Modified Duration]]*0.01+0.5*Bankingbook_MSB[[#This Row],[Conv]]*(0.01^2))</f>
        <v>0</v>
      </c>
      <c r="CJ53" s="32"/>
      <c r="CL53" t="s">
        <v>166</v>
      </c>
      <c r="CM53" t="s">
        <v>167</v>
      </c>
      <c r="CN53" t="s">
        <v>225</v>
      </c>
      <c r="CO53" t="s">
        <v>169</v>
      </c>
      <c r="CP53" s="35">
        <v>42132</v>
      </c>
      <c r="CQ53" t="s">
        <v>3322</v>
      </c>
      <c r="CR53" t="s">
        <v>174</v>
      </c>
      <c r="CS53" t="s">
        <v>174</v>
      </c>
      <c r="CT53" s="49">
        <v>0</v>
      </c>
      <c r="CU53">
        <v>0</v>
      </c>
      <c r="CV53">
        <v>0</v>
      </c>
      <c r="CW53" s="70">
        <v>0</v>
      </c>
      <c r="CX53">
        <v>8.8000000000000007</v>
      </c>
      <c r="CY53">
        <v>0</v>
      </c>
      <c r="CZ53">
        <v>0</v>
      </c>
      <c r="DA53">
        <v>0</v>
      </c>
      <c r="DB53">
        <v>-836903834.02778244</v>
      </c>
      <c r="DC53">
        <v>8.8000000000000007</v>
      </c>
      <c r="DD53">
        <v>0</v>
      </c>
      <c r="DE53">
        <v>0</v>
      </c>
      <c r="DF53">
        <v>0</v>
      </c>
      <c r="DG53">
        <v>0</v>
      </c>
      <c r="DH53">
        <v>0</v>
      </c>
      <c r="DI53">
        <v>0</v>
      </c>
      <c r="DJ53" s="500">
        <v>1507000000</v>
      </c>
      <c r="DK53" s="500">
        <v>0</v>
      </c>
      <c r="DL53" s="37">
        <v>1507000000</v>
      </c>
      <c r="DM53" s="37">
        <v>1507000000</v>
      </c>
      <c r="DN53" s="37">
        <v>1507000000</v>
      </c>
      <c r="DO53" s="37">
        <v>1507000000</v>
      </c>
      <c r="DP53" s="32">
        <f>Tradingbook_SBV[[#This Row],[Mat. Date]]-RPT</f>
        <v>-4120</v>
      </c>
      <c r="DQ53" s="32">
        <f>IF(Tradingbook_SBV[[#This Row],[Days]]&lt;=0,0,YEARFRAC(RPT,Tradingbook_SBV[[#This Row],[Mat. Date]],3))</f>
        <v>0</v>
      </c>
      <c r="DR53" s="32">
        <f>IF(Tradingbook_SBV[[#This Row],[Days (year)]]=0,0,INDEX(Ref!$K$2:$K$13,MATCH(Tradingbook_SBV[[#This Row],[Days (year)]],Ref!$I$2:$I$13,1)))</f>
        <v>0</v>
      </c>
      <c r="DS53" s="32" t="str">
        <f>VLOOKUP(Tradingbook_SBV[[#This Row],[Security Name]],Ref!X:Z,3,0)</f>
        <v>TPCPBL</v>
      </c>
      <c r="DT53" s="32" t="str">
        <f>VLOOKUP(Tradingbook_SBV[[#This Row],[Security Name]],Ref!X:Y,2,0)</f>
        <v>VDB</v>
      </c>
      <c r="DU53" s="71">
        <f>IF((Tradingbook_SBV[[#This Row],[Mat. Date]]-RPT)&lt;=0,0,Tradingbook_SBV[[#This Row],[QUANTITY]])</f>
        <v>0</v>
      </c>
      <c r="DV53" s="71">
        <f>IF(Tradingbook_SBV[[#This Row],[Quantity_edited]]=0,0,Tradingbook_SBV[[#This Row],[DURATION]])</f>
        <v>0</v>
      </c>
      <c r="DW53" s="71">
        <f>IF(Tradingbook_SBV[[#This Row],[Quantity_edited]]=0,0,Tradingbook_SBV[[#This Row],[Mod Dur]])</f>
        <v>0</v>
      </c>
      <c r="DX53" s="71">
        <f>IF(Tradingbook_SBV[[#This Row],[Quantity_edited]]=0,0,Tradingbook_SBV[[#This Row],[Cnvx.]])</f>
        <v>0</v>
      </c>
      <c r="DY53" s="71">
        <f>(Tradingbook_SBV[[#This Row],[MARKET_VALUE]]+Tradingbook_SBV[[#This Row],[Accr Int]]*Tradingbook_SBV[[#This Row],[Quantity_edited]])*(-Tradingbook_SBV[[#This Row],[Modified Duration]]*0.0001+0.5*Tradingbook_SBV[[#This Row],[Conv]]*(0.0001^2))</f>
        <v>0</v>
      </c>
      <c r="DZ53" s="71">
        <f>(Tradingbook_SBV[[#This Row],[MARKET_VALUE]]+Tradingbook_SBV[[#This Row],[Accr Int]]*Tradingbook_SBV[[#This Row],[Quantity_edited]])*(-Tradingbook_SBV[[#This Row],[Modified Duration]]*0.01+0.5*Tradingbook_SBV[[#This Row],[Conv]]*(0.01^2))</f>
        <v>0</v>
      </c>
      <c r="EC53" t="s">
        <v>166</v>
      </c>
      <c r="ED53" t="s">
        <v>167</v>
      </c>
      <c r="EE53" t="s">
        <v>354</v>
      </c>
      <c r="EF53" t="s">
        <v>169</v>
      </c>
      <c r="EG53" s="35" t="s">
        <v>3365</v>
      </c>
      <c r="EH53" t="s">
        <v>3322</v>
      </c>
      <c r="EK53" s="500">
        <v>0</v>
      </c>
      <c r="EL53" s="500">
        <v>0</v>
      </c>
      <c r="EM53" s="500">
        <v>0</v>
      </c>
      <c r="EN53" s="500">
        <v>0</v>
      </c>
      <c r="EO53">
        <v>8.4</v>
      </c>
      <c r="EP53">
        <v>0</v>
      </c>
      <c r="EQ53">
        <v>25200000000</v>
      </c>
      <c r="ER53">
        <v>26454478166.666668</v>
      </c>
      <c r="ES53">
        <v>-10252346525.347313</v>
      </c>
      <c r="ET53">
        <v>0</v>
      </c>
      <c r="EU53">
        <v>0</v>
      </c>
      <c r="EV53">
        <v>0</v>
      </c>
      <c r="EW53">
        <v>0</v>
      </c>
      <c r="EX53">
        <v>0</v>
      </c>
      <c r="EY53">
        <v>0</v>
      </c>
      <c r="EZ53">
        <v>0</v>
      </c>
      <c r="FA53">
        <v>6673500000</v>
      </c>
      <c r="FB53">
        <v>0</v>
      </c>
      <c r="FC53">
        <v>6673500000</v>
      </c>
      <c r="FD53">
        <v>6673500000</v>
      </c>
      <c r="FE53">
        <v>6673500000</v>
      </c>
      <c r="FF53">
        <v>6673500000</v>
      </c>
      <c r="FG53" s="32">
        <f>Bankingbook_SBV[[#This Row],[Mat. Date]]-RPT</f>
        <v>-3047</v>
      </c>
      <c r="FH53" s="32">
        <f>IF(Bankingbook_SBV[[#This Row],[Days]]&lt;=0,0,YEARFRAC(RPT,Bankingbook_SBV[[#This Row],[Mat. Date]],3))</f>
        <v>0</v>
      </c>
      <c r="FI53" s="32">
        <f>IF(Bankingbook_SBV[[#This Row],[Days (year)]]=0,0,INDEX(Ref!$K$2:$K$13,MATCH(Bankingbook_SBV[[#This Row],[Days (year)]],Ref!$I$2:$I$13,1)))</f>
        <v>0</v>
      </c>
      <c r="FJ53" s="32" t="str">
        <f>VLOOKUP(Bankingbook_SBV[[#This Row],[Security Name]],Ref!X:Z,3,0)</f>
        <v>TPCP</v>
      </c>
      <c r="FK53" s="32" t="str">
        <f>VLOOKUP(Bankingbook_SBV[[#This Row],[Security Name]],Ref!X:Y,2,0)</f>
        <v>KBNN</v>
      </c>
      <c r="FL53" s="72">
        <f>IF((Bankingbook_SBV[[#This Row],[Mat. Date]]-RPT)&lt;=0,0,Bankingbook_SBV[[#This Row],[QUANTITY]])</f>
        <v>0</v>
      </c>
      <c r="FM53" s="32">
        <f>IF(Bankingbook_SBV[[#This Row],[Quantity_edited]]=0,0,Bankingbook_SBV[[#This Row],[DURATION]])</f>
        <v>0</v>
      </c>
      <c r="FN53" s="32">
        <f>IF(Bankingbook_SBV[[#This Row],[Quantity_edited]]=0,0,Bankingbook_SBV[[#This Row],[Mod Dur]])</f>
        <v>0</v>
      </c>
      <c r="FO53" s="32">
        <f>IF(Bankingbook_SBV[[#This Row],[Quantity_edited]]=0,0,Bankingbook_SBV[[#This Row],[Cnvx.]])</f>
        <v>0</v>
      </c>
      <c r="FP53" s="32">
        <f>(Bankingbook_SBV[[#This Row],[MARKET_VALUE]]+Bankingbook_SBV[[#This Row],[Accr Int]]*Bankingbook_SBV[[#This Row],[Quantity_edited]])*(-Bankingbook_SBV[[#This Row],[Modified Duration]]*0.0001+0.5*Bankingbook_SBV[[#This Row],[Conv]]*(0.0001^2))</f>
        <v>0</v>
      </c>
      <c r="FQ53" s="32">
        <f>(Bankingbook_SBV[[#This Row],[MARKET_VALUE]]+Bankingbook_SBV[[#This Row],[Accr Int]]*Bankingbook_SBV[[#This Row],[Quantity_edited]])*(-Bankingbook_SBV[[#This Row],[Modified Duration]]*0.01+0.5*Bankingbook_SBV[[#This Row],[Conv]]*(0.01^2))</f>
        <v>0</v>
      </c>
      <c r="FT53" t="s">
        <v>166</v>
      </c>
      <c r="FU53" t="s">
        <v>790</v>
      </c>
      <c r="FV53" t="s">
        <v>3983</v>
      </c>
      <c r="FW53">
        <v>3300458</v>
      </c>
      <c r="FX53" s="502">
        <v>46209</v>
      </c>
      <c r="FY53" t="s">
        <v>2176</v>
      </c>
      <c r="FZ53" t="s">
        <v>823</v>
      </c>
      <c r="GA53" t="s">
        <v>2829</v>
      </c>
      <c r="GB53" t="s">
        <v>810</v>
      </c>
      <c r="GC53" t="s">
        <v>2497</v>
      </c>
      <c r="GD53" s="500">
        <v>-845500000000</v>
      </c>
      <c r="GE53">
        <v>9.9995740000000009</v>
      </c>
      <c r="GF53" s="502">
        <v>46211</v>
      </c>
      <c r="GG53" s="502">
        <v>46301</v>
      </c>
      <c r="GH53">
        <v>4.5999999999999996</v>
      </c>
      <c r="GI53" t="s">
        <v>811</v>
      </c>
      <c r="GJ53" t="s">
        <v>3321</v>
      </c>
      <c r="GK53" t="s">
        <v>3321</v>
      </c>
      <c r="GL53">
        <v>4645552777.7799997</v>
      </c>
      <c r="GM53">
        <v>-4368802739.7299995</v>
      </c>
      <c r="GN53">
        <v>940330000000</v>
      </c>
      <c r="GO53">
        <v>10.08</v>
      </c>
      <c r="GP53">
        <v>0.13</v>
      </c>
      <c r="GQ53">
        <v>0.125</v>
      </c>
      <c r="GR53">
        <v>7.2399630000000004</v>
      </c>
      <c r="GS53">
        <v>-846964525599.34998</v>
      </c>
      <c r="GT53">
        <v>-1464525599.3499999</v>
      </c>
      <c r="GU53" t="s">
        <v>4124</v>
      </c>
      <c r="GV53" t="s">
        <v>4124</v>
      </c>
      <c r="GW53" s="416">
        <f>FNRP_Repo[[#This Row],[Mat. Date]]-RPT</f>
        <v>49</v>
      </c>
      <c r="GX53" s="819" t="str">
        <f>IF(FNRP_Repo[[#This Row],[Days]]&lt;=0,"Mat",INDEX(Ref!U:U,MATCH(FNRP_Repo[[#This Row],[Days]],Ref!S:S,1)))</f>
        <v>2M</v>
      </c>
      <c r="GY53" s="417">
        <f>RIGHT(FNRP_Repo[[#This Row],[Deal Id]],5)+0</f>
        <v>17992</v>
      </c>
    </row>
    <row r="54" spans="2:207" x14ac:dyDescent="0.3">
      <c r="B54" t="s">
        <v>166</v>
      </c>
      <c r="C54" t="s">
        <v>167</v>
      </c>
      <c r="D54" t="s">
        <v>226</v>
      </c>
      <c r="E54" t="s">
        <v>169</v>
      </c>
      <c r="F54" s="502">
        <v>42137</v>
      </c>
      <c r="G54" t="s">
        <v>3322</v>
      </c>
      <c r="H54"/>
      <c r="I54"/>
      <c r="J54" s="38">
        <v>0</v>
      </c>
      <c r="K54">
        <v>0</v>
      </c>
      <c r="L54">
        <v>0</v>
      </c>
      <c r="M54" s="38">
        <v>0</v>
      </c>
      <c r="N54">
        <v>11.33</v>
      </c>
      <c r="O54">
        <v>0</v>
      </c>
      <c r="P54" s="37">
        <v>5665000000</v>
      </c>
      <c r="Q54" s="37">
        <v>6022174315.9722214</v>
      </c>
      <c r="R54" s="37">
        <v>-1898023847.222219</v>
      </c>
      <c r="S54">
        <v>11.33</v>
      </c>
      <c r="T54" s="70">
        <v>0</v>
      </c>
      <c r="U54">
        <v>0</v>
      </c>
      <c r="V54">
        <v>0</v>
      </c>
      <c r="W54">
        <v>0</v>
      </c>
      <c r="X54" s="38">
        <v>0</v>
      </c>
      <c r="Y54">
        <v>0</v>
      </c>
      <c r="Z54" s="70">
        <v>5720000000</v>
      </c>
      <c r="AA54" s="70">
        <v>0</v>
      </c>
      <c r="AB54" s="70">
        <v>5720000000</v>
      </c>
      <c r="AC54" s="70">
        <v>5720000000</v>
      </c>
      <c r="AD54" s="70">
        <v>5720000000</v>
      </c>
      <c r="AE54" s="70">
        <v>5720000000</v>
      </c>
      <c r="AF54">
        <v>0</v>
      </c>
      <c r="AG54" s="72">
        <f>Tradingbook_MSB[[#This Row],[Mat. Date]]-RPT</f>
        <v>-4115</v>
      </c>
      <c r="AH54" s="71">
        <f>IF(Tradingbook_MSB[[#This Row],[Days]]&lt;=0,0,YEARFRAC(RPT,Tradingbook_MSB[[#This Row],[Mat. Date]],3))</f>
        <v>0</v>
      </c>
      <c r="AI54" s="71">
        <f>IF(Tradingbook_MSB[[#This Row],[Days (year)]]=0,0,INDEX(Ref!$K$2:$K$13,MATCH(Tradingbook_MSB[[#This Row],[Days (year)]],Ref!$I$2:$I$13,1)))</f>
        <v>0</v>
      </c>
      <c r="AJ54" s="120" t="str">
        <f>VLOOKUP(Tradingbook_MSB[[#This Row],[Security Name]],Ref!X:Z,3,0)</f>
        <v>TPCP</v>
      </c>
      <c r="AK54" s="120" t="str">
        <f>VLOOKUP(Tradingbook_MSB[[#This Row],[Security Name]],Ref!X:Y,2,0)</f>
        <v>KBNN</v>
      </c>
      <c r="AL54" s="71">
        <f>IF((Tradingbook_MSB[[#This Row],[Mat. Date]]-RPT)&lt;=0,0,Tradingbook_MSB[[#This Row],[QUANTITY]])</f>
        <v>0</v>
      </c>
      <c r="AM54" s="71">
        <f>IF(Tradingbook_MSB[[#This Row],[Quantity_edited]]=0,0,Tradingbook_MSB[[#This Row],[DURATION]])</f>
        <v>0</v>
      </c>
      <c r="AN54" s="71">
        <f>IF(Tradingbook_MSB[[#This Row],[Quantity_edited]]=0,0,Tradingbook_MSB[[#This Row],[Mod Dur]])</f>
        <v>0</v>
      </c>
      <c r="AO54" s="71">
        <f>IF(Tradingbook_MSB[[#This Row],[Quantity_edited]]=0,0,Tradingbook_MSB[[#This Row],[Cnvx.]])</f>
        <v>0</v>
      </c>
      <c r="AP54" s="71">
        <f>(Tradingbook_MSB[[#This Row],[MARKET_VALUE]]+Tradingbook_MSB[[#This Row],[Accr Int]]*Tradingbook_MSB[[#This Row],[Quantity_edited]])*(-Tradingbook_MSB[[#This Row],[Modified Duration]]*0.0001+0.5*Tradingbook_MSB[[#This Row],[Conv]]*(0.0001^2))</f>
        <v>0</v>
      </c>
      <c r="AQ54" s="72">
        <f>(Tradingbook_MSB[[#This Row],[MARKET_VALUE]]+Tradingbook_MSB[[#This Row],[Accr Int]]*Tradingbook_MSB[[#This Row],[Quantity_edited]])*(-Tradingbook_MSB[[#This Row],[Modified Duration]]*0.01+0.5*Tradingbook_MSB[[#This Row],[Conv]]*(0.01^2))</f>
        <v>0</v>
      </c>
      <c r="AR54" s="71"/>
      <c r="AT54" t="s">
        <v>166</v>
      </c>
      <c r="AU54" t="s">
        <v>167</v>
      </c>
      <c r="AV54" t="s">
        <v>356</v>
      </c>
      <c r="AW54" t="s">
        <v>169</v>
      </c>
      <c r="AX54" t="s">
        <v>3366</v>
      </c>
      <c r="AY54" t="s">
        <v>3322</v>
      </c>
      <c r="BB54" s="49">
        <v>0</v>
      </c>
      <c r="BC54">
        <v>0</v>
      </c>
      <c r="BD54">
        <v>0</v>
      </c>
      <c r="BE54" s="37">
        <v>0</v>
      </c>
      <c r="BF54">
        <v>7.7</v>
      </c>
      <c r="BG54">
        <v>0</v>
      </c>
      <c r="BH54" s="34">
        <v>46200000000</v>
      </c>
      <c r="BI54">
        <v>49748337527.777802</v>
      </c>
      <c r="BJ54">
        <v>-18054185429.027817</v>
      </c>
      <c r="BK54">
        <v>0</v>
      </c>
      <c r="BL54">
        <v>0</v>
      </c>
      <c r="BM54">
        <v>0</v>
      </c>
      <c r="BN54">
        <v>0</v>
      </c>
      <c r="BO54">
        <v>0</v>
      </c>
      <c r="BP54">
        <v>0</v>
      </c>
      <c r="BQ54">
        <v>0</v>
      </c>
      <c r="BR54">
        <v>1626500000</v>
      </c>
      <c r="BS54">
        <v>0</v>
      </c>
      <c r="BT54">
        <v>1626500000</v>
      </c>
      <c r="BU54">
        <v>1626500000</v>
      </c>
      <c r="BV54">
        <v>1626500000</v>
      </c>
      <c r="BW54">
        <v>1626500000</v>
      </c>
      <c r="BX54">
        <v>0</v>
      </c>
      <c r="BY54" s="32">
        <f>Bankingbook_MSB[[#This Row],[Mat. Date]]-RPT</f>
        <v>-3001</v>
      </c>
      <c r="BZ54" s="71">
        <f>IF(Bankingbook_MSB[[#This Row],[Days]]&lt;=0,0,YEARFRAC(RPT,Bankingbook_MSB[[#This Row],[Mat. Date]],3))</f>
        <v>0</v>
      </c>
      <c r="CA54" s="71">
        <f>IF(Bankingbook_MSB[[#This Row],[Days (year)]]=0,0,INDEX(Ref!$K$2:$K$13,MATCH(Bankingbook_MSB[[#This Row],[Days (year)]],Ref!$I$2:$I$13,1)))</f>
        <v>0</v>
      </c>
      <c r="CB54" s="32" t="str">
        <f>VLOOKUP(Bankingbook_MSB[[#This Row],[Security Name]],Ref!X:Z,3,0)</f>
        <v>TPCP</v>
      </c>
      <c r="CC54" s="32" t="str">
        <f>VLOOKUP(Bankingbook_MSB[[#This Row],[Security Name]],Ref!X:Y,2,0)</f>
        <v>KBNN</v>
      </c>
      <c r="CD54" s="72">
        <f>IF((Bankingbook_MSB[[#This Row],[Mat. Date]]-RPT)&lt;=0,0,Bankingbook_MSB[[#This Row],[QUANTITY]])</f>
        <v>0</v>
      </c>
      <c r="CE54" s="71">
        <f>IF(Bankingbook_MSB[[#This Row],[Quantity_edited]]=0,0,Bankingbook_MSB[[#This Row],[DURATION]])</f>
        <v>0</v>
      </c>
      <c r="CF54" s="71">
        <f>IF(Bankingbook_MSB[[#This Row],[Quantity_edited]]=0,0,Bankingbook_MSB[[#This Row],[Mod Dur]])</f>
        <v>0</v>
      </c>
      <c r="CG54" s="71">
        <f>IF(Bankingbook_MSB[[#This Row],[Quantity_edited]]=0,0,Bankingbook_MSB[[#This Row],[Cnvx.]])</f>
        <v>0</v>
      </c>
      <c r="CH54" s="71">
        <f>(Bankingbook_MSB[[#This Row],[MARKET_VALUE]]+Bankingbook_MSB[[#This Row],[Accr Int]]*Bankingbook_MSB[[#This Row],[Quantity_edited]])*(-Bankingbook_MSB[[#This Row],[Modified Duration]]*0.0001+0.5*Bankingbook_MSB[[#This Row],[Conv]]*(0.0001^2))</f>
        <v>0</v>
      </c>
      <c r="CI54" s="71">
        <f>(Bankingbook_MSB[[#This Row],[MARKET_VALUE]]+Bankingbook_MSB[[#This Row],[Accr Int]]*Bankingbook_MSB[[#This Row],[Quantity_edited]])*(-Bankingbook_MSB[[#This Row],[Modified Duration]]*0.01+0.5*Bankingbook_MSB[[#This Row],[Conv]]*(0.01^2))</f>
        <v>0</v>
      </c>
      <c r="CJ54" s="32"/>
      <c r="CL54" t="s">
        <v>166</v>
      </c>
      <c r="CM54" t="s">
        <v>167</v>
      </c>
      <c r="CN54" t="s">
        <v>226</v>
      </c>
      <c r="CO54" t="s">
        <v>169</v>
      </c>
      <c r="CP54" s="35">
        <v>42137</v>
      </c>
      <c r="CQ54" t="s">
        <v>3322</v>
      </c>
      <c r="CR54" t="s">
        <v>174</v>
      </c>
      <c r="CS54" t="s">
        <v>174</v>
      </c>
      <c r="CT54" s="49">
        <v>0</v>
      </c>
      <c r="CU54">
        <v>0</v>
      </c>
      <c r="CV54">
        <v>0</v>
      </c>
      <c r="CW54" s="70">
        <v>0</v>
      </c>
      <c r="CX54">
        <v>11.33</v>
      </c>
      <c r="CY54">
        <v>0</v>
      </c>
      <c r="CZ54">
        <v>5665000000</v>
      </c>
      <c r="DA54">
        <v>6022174315.9722214</v>
      </c>
      <c r="DB54">
        <v>-1898023847.222219</v>
      </c>
      <c r="DC54">
        <v>11.33</v>
      </c>
      <c r="DD54">
        <v>0</v>
      </c>
      <c r="DE54">
        <v>0</v>
      </c>
      <c r="DF54">
        <v>0</v>
      </c>
      <c r="DG54">
        <v>0</v>
      </c>
      <c r="DH54">
        <v>0</v>
      </c>
      <c r="DI54">
        <v>0</v>
      </c>
      <c r="DJ54" s="500">
        <v>5720000000</v>
      </c>
      <c r="DK54" s="500">
        <v>0</v>
      </c>
      <c r="DL54" s="37">
        <v>5720000000</v>
      </c>
      <c r="DM54" s="37">
        <v>5720000000</v>
      </c>
      <c r="DN54" s="37">
        <v>5720000000</v>
      </c>
      <c r="DO54" s="37">
        <v>5720000000</v>
      </c>
      <c r="DP54" s="32">
        <f>Tradingbook_SBV[[#This Row],[Mat. Date]]-RPT</f>
        <v>-4115</v>
      </c>
      <c r="DQ54" s="32">
        <f>IF(Tradingbook_SBV[[#This Row],[Days]]&lt;=0,0,YEARFRAC(RPT,Tradingbook_SBV[[#This Row],[Mat. Date]],3))</f>
        <v>0</v>
      </c>
      <c r="DR54" s="32">
        <f>IF(Tradingbook_SBV[[#This Row],[Days (year)]]=0,0,INDEX(Ref!$K$2:$K$13,MATCH(Tradingbook_SBV[[#This Row],[Days (year)]],Ref!$I$2:$I$13,1)))</f>
        <v>0</v>
      </c>
      <c r="DS54" s="32" t="str">
        <f>VLOOKUP(Tradingbook_SBV[[#This Row],[Security Name]],Ref!X:Z,3,0)</f>
        <v>TPCP</v>
      </c>
      <c r="DT54" s="32" t="str">
        <f>VLOOKUP(Tradingbook_SBV[[#This Row],[Security Name]],Ref!X:Y,2,0)</f>
        <v>KBNN</v>
      </c>
      <c r="DU54" s="71">
        <f>IF((Tradingbook_SBV[[#This Row],[Mat. Date]]-RPT)&lt;=0,0,Tradingbook_SBV[[#This Row],[QUANTITY]])</f>
        <v>0</v>
      </c>
      <c r="DV54" s="71">
        <f>IF(Tradingbook_SBV[[#This Row],[Quantity_edited]]=0,0,Tradingbook_SBV[[#This Row],[DURATION]])</f>
        <v>0</v>
      </c>
      <c r="DW54" s="71">
        <f>IF(Tradingbook_SBV[[#This Row],[Quantity_edited]]=0,0,Tradingbook_SBV[[#This Row],[Mod Dur]])</f>
        <v>0</v>
      </c>
      <c r="DX54" s="71">
        <f>IF(Tradingbook_SBV[[#This Row],[Quantity_edited]]=0,0,Tradingbook_SBV[[#This Row],[Cnvx.]])</f>
        <v>0</v>
      </c>
      <c r="DY54" s="71">
        <f>(Tradingbook_SBV[[#This Row],[MARKET_VALUE]]+Tradingbook_SBV[[#This Row],[Accr Int]]*Tradingbook_SBV[[#This Row],[Quantity_edited]])*(-Tradingbook_SBV[[#This Row],[Modified Duration]]*0.0001+0.5*Tradingbook_SBV[[#This Row],[Conv]]*(0.0001^2))</f>
        <v>0</v>
      </c>
      <c r="DZ54" s="71">
        <f>(Tradingbook_SBV[[#This Row],[MARKET_VALUE]]+Tradingbook_SBV[[#This Row],[Accr Int]]*Tradingbook_SBV[[#This Row],[Quantity_edited]])*(-Tradingbook_SBV[[#This Row],[Modified Duration]]*0.01+0.5*Tradingbook_SBV[[#This Row],[Conv]]*(0.01^2))</f>
        <v>0</v>
      </c>
      <c r="EC54" t="s">
        <v>166</v>
      </c>
      <c r="ED54" t="s">
        <v>167</v>
      </c>
      <c r="EE54" t="s">
        <v>356</v>
      </c>
      <c r="EF54" t="s">
        <v>169</v>
      </c>
      <c r="EG54" s="35" t="s">
        <v>3366</v>
      </c>
      <c r="EH54" t="s">
        <v>3322</v>
      </c>
      <c r="EK54" s="500">
        <v>0</v>
      </c>
      <c r="EL54" s="500">
        <v>0</v>
      </c>
      <c r="EM54" s="500">
        <v>0</v>
      </c>
      <c r="EN54" s="500">
        <v>0</v>
      </c>
      <c r="EO54">
        <v>7.7</v>
      </c>
      <c r="EP54">
        <v>0</v>
      </c>
      <c r="EQ54">
        <v>46200000000</v>
      </c>
      <c r="ER54">
        <v>49748337527.777802</v>
      </c>
      <c r="ES54">
        <v>-18054185429.027817</v>
      </c>
      <c r="ET54">
        <v>0</v>
      </c>
      <c r="EU54">
        <v>0</v>
      </c>
      <c r="EV54">
        <v>0</v>
      </c>
      <c r="EW54">
        <v>0</v>
      </c>
      <c r="EX54">
        <v>0</v>
      </c>
      <c r="EY54">
        <v>0</v>
      </c>
      <c r="EZ54">
        <v>0</v>
      </c>
      <c r="FA54">
        <v>1626500000</v>
      </c>
      <c r="FB54">
        <v>0</v>
      </c>
      <c r="FC54">
        <v>1626500000</v>
      </c>
      <c r="FD54">
        <v>1626500000</v>
      </c>
      <c r="FE54">
        <v>1626500000</v>
      </c>
      <c r="FF54">
        <v>1626500000</v>
      </c>
      <c r="FG54" s="32">
        <f>Bankingbook_SBV[[#This Row],[Mat. Date]]-RPT</f>
        <v>-3001</v>
      </c>
      <c r="FH54" s="32">
        <f>IF(Bankingbook_SBV[[#This Row],[Days]]&lt;=0,0,YEARFRAC(RPT,Bankingbook_SBV[[#This Row],[Mat. Date]],3))</f>
        <v>0</v>
      </c>
      <c r="FI54" s="32">
        <f>IF(Bankingbook_SBV[[#This Row],[Days (year)]]=0,0,INDEX(Ref!$K$2:$K$13,MATCH(Bankingbook_SBV[[#This Row],[Days (year)]],Ref!$I$2:$I$13,1)))</f>
        <v>0</v>
      </c>
      <c r="FJ54" s="32" t="str">
        <f>VLOOKUP(Bankingbook_SBV[[#This Row],[Security Name]],Ref!X:Z,3,0)</f>
        <v>TPCP</v>
      </c>
      <c r="FK54" s="32" t="str">
        <f>VLOOKUP(Bankingbook_SBV[[#This Row],[Security Name]],Ref!X:Y,2,0)</f>
        <v>KBNN</v>
      </c>
      <c r="FL54" s="72">
        <f>IF((Bankingbook_SBV[[#This Row],[Mat. Date]]-RPT)&lt;=0,0,Bankingbook_SBV[[#This Row],[QUANTITY]])</f>
        <v>0</v>
      </c>
      <c r="FM54" s="32">
        <f>IF(Bankingbook_SBV[[#This Row],[Quantity_edited]]=0,0,Bankingbook_SBV[[#This Row],[DURATION]])</f>
        <v>0</v>
      </c>
      <c r="FN54" s="32">
        <f>IF(Bankingbook_SBV[[#This Row],[Quantity_edited]]=0,0,Bankingbook_SBV[[#This Row],[Mod Dur]])</f>
        <v>0</v>
      </c>
      <c r="FO54" s="32">
        <f>IF(Bankingbook_SBV[[#This Row],[Quantity_edited]]=0,0,Bankingbook_SBV[[#This Row],[Cnvx.]])</f>
        <v>0</v>
      </c>
      <c r="FP54" s="32">
        <f>(Bankingbook_SBV[[#This Row],[MARKET_VALUE]]+Bankingbook_SBV[[#This Row],[Accr Int]]*Bankingbook_SBV[[#This Row],[Quantity_edited]])*(-Bankingbook_SBV[[#This Row],[Modified Duration]]*0.0001+0.5*Bankingbook_SBV[[#This Row],[Conv]]*(0.0001^2))</f>
        <v>0</v>
      </c>
      <c r="FQ54" s="32">
        <f>(Bankingbook_SBV[[#This Row],[MARKET_VALUE]]+Bankingbook_SBV[[#This Row],[Accr Int]]*Bankingbook_SBV[[#This Row],[Quantity_edited]])*(-Bankingbook_SBV[[#This Row],[Modified Duration]]*0.01+0.5*Bankingbook_SBV[[#This Row],[Conv]]*(0.01^2))</f>
        <v>0</v>
      </c>
      <c r="FT54" t="s">
        <v>166</v>
      </c>
      <c r="FU54" t="s">
        <v>790</v>
      </c>
      <c r="FV54" t="s">
        <v>3984</v>
      </c>
      <c r="FW54">
        <v>3300467</v>
      </c>
      <c r="FX54" s="502">
        <v>46209</v>
      </c>
      <c r="FY54" t="s">
        <v>2176</v>
      </c>
      <c r="FZ54" t="s">
        <v>823</v>
      </c>
      <c r="GA54" t="s">
        <v>2829</v>
      </c>
      <c r="GB54" t="s">
        <v>810</v>
      </c>
      <c r="GC54" t="s">
        <v>2497</v>
      </c>
      <c r="GD54" s="500">
        <v>-845500000000</v>
      </c>
      <c r="GE54">
        <v>9.9995740000000009</v>
      </c>
      <c r="GF54" s="502">
        <v>46211</v>
      </c>
      <c r="GG54" s="502">
        <v>46301</v>
      </c>
      <c r="GH54">
        <v>4.6100000000000003</v>
      </c>
      <c r="GI54" t="s">
        <v>811</v>
      </c>
      <c r="GJ54" t="s">
        <v>3321</v>
      </c>
      <c r="GK54" t="s">
        <v>3321</v>
      </c>
      <c r="GL54">
        <v>4645552777.7799997</v>
      </c>
      <c r="GM54">
        <v>-4378300136.9899998</v>
      </c>
      <c r="GN54">
        <v>940330000000</v>
      </c>
      <c r="GO54">
        <v>10.08</v>
      </c>
      <c r="GP54">
        <v>0.13</v>
      </c>
      <c r="GQ54">
        <v>0.125</v>
      </c>
      <c r="GR54">
        <v>7.2399630000000004</v>
      </c>
      <c r="GS54">
        <v>-846985175435.87</v>
      </c>
      <c r="GT54">
        <v>-1485175435.8699999</v>
      </c>
      <c r="GU54" t="s">
        <v>4125</v>
      </c>
      <c r="GV54" t="s">
        <v>4125</v>
      </c>
      <c r="GW54" s="416">
        <f>FNRP_Repo[[#This Row],[Mat. Date]]-RPT</f>
        <v>49</v>
      </c>
      <c r="GX54" s="819" t="str">
        <f>IF(FNRP_Repo[[#This Row],[Days]]&lt;=0,"Mat",INDEX(Ref!U:U,MATCH(FNRP_Repo[[#This Row],[Days]],Ref!S:S,1)))</f>
        <v>2M</v>
      </c>
      <c r="GY54" s="417">
        <f>RIGHT(FNRP_Repo[[#This Row],[Deal Id]],5)+0</f>
        <v>17994</v>
      </c>
    </row>
    <row r="55" spans="2:207" x14ac:dyDescent="0.3">
      <c r="B55" t="s">
        <v>166</v>
      </c>
      <c r="C55" t="s">
        <v>167</v>
      </c>
      <c r="D55" t="s">
        <v>227</v>
      </c>
      <c r="E55" t="s">
        <v>169</v>
      </c>
      <c r="F55" s="502">
        <v>42139</v>
      </c>
      <c r="G55" t="s">
        <v>3322</v>
      </c>
      <c r="H55"/>
      <c r="I55"/>
      <c r="J55" s="38">
        <v>0</v>
      </c>
      <c r="K55">
        <v>0</v>
      </c>
      <c r="L55">
        <v>0</v>
      </c>
      <c r="M55" s="38">
        <v>0</v>
      </c>
      <c r="N55">
        <v>9.1</v>
      </c>
      <c r="O55">
        <v>0</v>
      </c>
      <c r="P55" s="37">
        <v>0</v>
      </c>
      <c r="Q55" s="37">
        <v>-3.9999999999999998E-6</v>
      </c>
      <c r="R55" s="37">
        <v>-1192157438.194417</v>
      </c>
      <c r="S55">
        <v>9.1</v>
      </c>
      <c r="T55" s="70">
        <v>0</v>
      </c>
      <c r="U55">
        <v>0</v>
      </c>
      <c r="V55">
        <v>0</v>
      </c>
      <c r="W55">
        <v>0</v>
      </c>
      <c r="X55" s="38">
        <v>0</v>
      </c>
      <c r="Y55">
        <v>0</v>
      </c>
      <c r="Z55" s="70">
        <v>1080600000</v>
      </c>
      <c r="AA55" s="70">
        <v>0</v>
      </c>
      <c r="AB55" s="70">
        <v>1080600000</v>
      </c>
      <c r="AC55" s="70">
        <v>1080600000</v>
      </c>
      <c r="AD55" s="70">
        <v>1080600000</v>
      </c>
      <c r="AE55" s="70">
        <v>1080600000</v>
      </c>
      <c r="AF55">
        <v>0</v>
      </c>
      <c r="AG55" s="72">
        <f>Tradingbook_MSB[[#This Row],[Mat. Date]]-RPT</f>
        <v>-4113</v>
      </c>
      <c r="AH55" s="71">
        <f>IF(Tradingbook_MSB[[#This Row],[Days]]&lt;=0,0,YEARFRAC(RPT,Tradingbook_MSB[[#This Row],[Mat. Date]],3))</f>
        <v>0</v>
      </c>
      <c r="AI55" s="71">
        <f>IF(Tradingbook_MSB[[#This Row],[Days (year)]]=0,0,INDEX(Ref!$K$2:$K$13,MATCH(Tradingbook_MSB[[#This Row],[Days (year)]],Ref!$I$2:$I$13,1)))</f>
        <v>0</v>
      </c>
      <c r="AJ55" s="120" t="str">
        <f>VLOOKUP(Tradingbook_MSB[[#This Row],[Security Name]],Ref!X:Z,3,0)</f>
        <v>TPCP</v>
      </c>
      <c r="AK55" s="120" t="str">
        <f>VLOOKUP(Tradingbook_MSB[[#This Row],[Security Name]],Ref!X:Y,2,0)</f>
        <v>KBNN</v>
      </c>
      <c r="AL55" s="71">
        <f>IF((Tradingbook_MSB[[#This Row],[Mat. Date]]-RPT)&lt;=0,0,Tradingbook_MSB[[#This Row],[QUANTITY]])</f>
        <v>0</v>
      </c>
      <c r="AM55" s="71">
        <f>IF(Tradingbook_MSB[[#This Row],[Quantity_edited]]=0,0,Tradingbook_MSB[[#This Row],[DURATION]])</f>
        <v>0</v>
      </c>
      <c r="AN55" s="71">
        <f>IF(Tradingbook_MSB[[#This Row],[Quantity_edited]]=0,0,Tradingbook_MSB[[#This Row],[Mod Dur]])</f>
        <v>0</v>
      </c>
      <c r="AO55" s="71">
        <f>IF(Tradingbook_MSB[[#This Row],[Quantity_edited]]=0,0,Tradingbook_MSB[[#This Row],[Cnvx.]])</f>
        <v>0</v>
      </c>
      <c r="AP55" s="71">
        <f>(Tradingbook_MSB[[#This Row],[MARKET_VALUE]]+Tradingbook_MSB[[#This Row],[Accr Int]]*Tradingbook_MSB[[#This Row],[Quantity_edited]])*(-Tradingbook_MSB[[#This Row],[Modified Duration]]*0.0001+0.5*Tradingbook_MSB[[#This Row],[Conv]]*(0.0001^2))</f>
        <v>0</v>
      </c>
      <c r="AQ55" s="72">
        <f>(Tradingbook_MSB[[#This Row],[MARKET_VALUE]]+Tradingbook_MSB[[#This Row],[Accr Int]]*Tradingbook_MSB[[#This Row],[Quantity_edited]])*(-Tradingbook_MSB[[#This Row],[Modified Duration]]*0.01+0.5*Tradingbook_MSB[[#This Row],[Conv]]*(0.01^2))</f>
        <v>0</v>
      </c>
      <c r="AR55" s="71"/>
      <c r="AT55" t="s">
        <v>166</v>
      </c>
      <c r="AU55" t="s">
        <v>167</v>
      </c>
      <c r="AV55" t="s">
        <v>381</v>
      </c>
      <c r="AW55" t="s">
        <v>169</v>
      </c>
      <c r="AX55" t="s">
        <v>380</v>
      </c>
      <c r="AY55" t="s">
        <v>3322</v>
      </c>
      <c r="BB55" s="49">
        <v>0</v>
      </c>
      <c r="BC55">
        <v>0</v>
      </c>
      <c r="BD55">
        <v>0</v>
      </c>
      <c r="BE55" s="37">
        <v>0</v>
      </c>
      <c r="BF55">
        <v>9.4</v>
      </c>
      <c r="BG55">
        <v>0</v>
      </c>
      <c r="BH55" s="126">
        <v>4700000000</v>
      </c>
      <c r="BI55">
        <v>5063244722.2222271</v>
      </c>
      <c r="BJ55">
        <v>-3946327523.6111164</v>
      </c>
      <c r="BK55">
        <v>0</v>
      </c>
      <c r="BL55">
        <v>0</v>
      </c>
      <c r="BM55">
        <v>0</v>
      </c>
      <c r="BN55">
        <v>0</v>
      </c>
      <c r="BO55">
        <v>0</v>
      </c>
      <c r="BP55">
        <v>0</v>
      </c>
      <c r="BQ55">
        <v>0</v>
      </c>
      <c r="BR55">
        <v>-193000000</v>
      </c>
      <c r="BS55">
        <v>0</v>
      </c>
      <c r="BT55">
        <v>-193000000</v>
      </c>
      <c r="BU55">
        <v>-193000000</v>
      </c>
      <c r="BV55">
        <v>-193000000</v>
      </c>
      <c r="BW55">
        <v>-193000000</v>
      </c>
      <c r="BX55">
        <v>0</v>
      </c>
      <c r="BY55" s="32">
        <f>Bankingbook_MSB[[#This Row],[Mat. Date]]-RPT</f>
        <v>-2799</v>
      </c>
      <c r="BZ55" s="71">
        <f>IF(Bankingbook_MSB[[#This Row],[Days]]&lt;=0,0,YEARFRAC(RPT,Bankingbook_MSB[[#This Row],[Mat. Date]],3))</f>
        <v>0</v>
      </c>
      <c r="CA55" s="71">
        <f>IF(Bankingbook_MSB[[#This Row],[Days (year)]]=0,0,INDEX(Ref!$K$2:$K$13,MATCH(Bankingbook_MSB[[#This Row],[Days (year)]],Ref!$I$2:$I$13,1)))</f>
        <v>0</v>
      </c>
      <c r="CB55" s="32" t="str">
        <f>VLOOKUP(Bankingbook_MSB[[#This Row],[Security Name]],Ref!X:Z,3,0)</f>
        <v>TPCPBL</v>
      </c>
      <c r="CC55" s="32" t="str">
        <f>VLOOKUP(Bankingbook_MSB[[#This Row],[Security Name]],Ref!X:Y,2,0)</f>
        <v>VDB</v>
      </c>
      <c r="CD55" s="72">
        <f>IF((Bankingbook_MSB[[#This Row],[Mat. Date]]-RPT)&lt;=0,0,Bankingbook_MSB[[#This Row],[QUANTITY]])</f>
        <v>0</v>
      </c>
      <c r="CE55" s="71">
        <f>IF(Bankingbook_MSB[[#This Row],[Quantity_edited]]=0,0,Bankingbook_MSB[[#This Row],[DURATION]])</f>
        <v>0</v>
      </c>
      <c r="CF55" s="71">
        <f>IF(Bankingbook_MSB[[#This Row],[Quantity_edited]]=0,0,Bankingbook_MSB[[#This Row],[Mod Dur]])</f>
        <v>0</v>
      </c>
      <c r="CG55" s="71">
        <f>IF(Bankingbook_MSB[[#This Row],[Quantity_edited]]=0,0,Bankingbook_MSB[[#This Row],[Cnvx.]])</f>
        <v>0</v>
      </c>
      <c r="CH55" s="71">
        <f>(Bankingbook_MSB[[#This Row],[MARKET_VALUE]]+Bankingbook_MSB[[#This Row],[Accr Int]]*Bankingbook_MSB[[#This Row],[Quantity_edited]])*(-Bankingbook_MSB[[#This Row],[Modified Duration]]*0.0001+0.5*Bankingbook_MSB[[#This Row],[Conv]]*(0.0001^2))</f>
        <v>0</v>
      </c>
      <c r="CI55" s="71">
        <f>(Bankingbook_MSB[[#This Row],[MARKET_VALUE]]+Bankingbook_MSB[[#This Row],[Accr Int]]*Bankingbook_MSB[[#This Row],[Quantity_edited]])*(-Bankingbook_MSB[[#This Row],[Modified Duration]]*0.01+0.5*Bankingbook_MSB[[#This Row],[Conv]]*(0.01^2))</f>
        <v>0</v>
      </c>
      <c r="CJ55" s="32"/>
      <c r="CL55" t="s">
        <v>166</v>
      </c>
      <c r="CM55" t="s">
        <v>167</v>
      </c>
      <c r="CN55" t="s">
        <v>227</v>
      </c>
      <c r="CO55" t="s">
        <v>169</v>
      </c>
      <c r="CP55" s="35">
        <v>42139</v>
      </c>
      <c r="CQ55" t="s">
        <v>3322</v>
      </c>
      <c r="CR55" t="s">
        <v>174</v>
      </c>
      <c r="CS55" t="s">
        <v>174</v>
      </c>
      <c r="CT55" s="49">
        <v>0</v>
      </c>
      <c r="CU55">
        <v>0</v>
      </c>
      <c r="CV55">
        <v>0</v>
      </c>
      <c r="CW55" s="70">
        <v>0</v>
      </c>
      <c r="CX55">
        <v>9.1</v>
      </c>
      <c r="CY55">
        <v>0</v>
      </c>
      <c r="CZ55">
        <v>0</v>
      </c>
      <c r="DA55">
        <v>-3.9999999999999998E-6</v>
      </c>
      <c r="DB55">
        <v>-1192157438.194417</v>
      </c>
      <c r="DC55">
        <v>9.1</v>
      </c>
      <c r="DD55">
        <v>0</v>
      </c>
      <c r="DE55">
        <v>0</v>
      </c>
      <c r="DF55">
        <v>0</v>
      </c>
      <c r="DG55">
        <v>0</v>
      </c>
      <c r="DH55">
        <v>0</v>
      </c>
      <c r="DI55">
        <v>0</v>
      </c>
      <c r="DJ55" s="500">
        <v>1080600000</v>
      </c>
      <c r="DK55" s="500">
        <v>0</v>
      </c>
      <c r="DL55" s="37">
        <v>1080600000</v>
      </c>
      <c r="DM55" s="37">
        <v>1080600000</v>
      </c>
      <c r="DN55" s="37">
        <v>1080600000</v>
      </c>
      <c r="DO55" s="37">
        <v>1080600000</v>
      </c>
      <c r="DP55" s="32">
        <f>Tradingbook_SBV[[#This Row],[Mat. Date]]-RPT</f>
        <v>-4113</v>
      </c>
      <c r="DQ55" s="32">
        <f>IF(Tradingbook_SBV[[#This Row],[Days]]&lt;=0,0,YEARFRAC(RPT,Tradingbook_SBV[[#This Row],[Mat. Date]],3))</f>
        <v>0</v>
      </c>
      <c r="DR55" s="32">
        <f>IF(Tradingbook_SBV[[#This Row],[Days (year)]]=0,0,INDEX(Ref!$K$2:$K$13,MATCH(Tradingbook_SBV[[#This Row],[Days (year)]],Ref!$I$2:$I$13,1)))</f>
        <v>0</v>
      </c>
      <c r="DS55" s="32" t="str">
        <f>VLOOKUP(Tradingbook_SBV[[#This Row],[Security Name]],Ref!X:Z,3,0)</f>
        <v>TPCP</v>
      </c>
      <c r="DT55" s="32" t="str">
        <f>VLOOKUP(Tradingbook_SBV[[#This Row],[Security Name]],Ref!X:Y,2,0)</f>
        <v>KBNN</v>
      </c>
      <c r="DU55" s="71">
        <f>IF((Tradingbook_SBV[[#This Row],[Mat. Date]]-RPT)&lt;=0,0,Tradingbook_SBV[[#This Row],[QUANTITY]])</f>
        <v>0</v>
      </c>
      <c r="DV55" s="71">
        <f>IF(Tradingbook_SBV[[#This Row],[Quantity_edited]]=0,0,Tradingbook_SBV[[#This Row],[DURATION]])</f>
        <v>0</v>
      </c>
      <c r="DW55" s="71">
        <f>IF(Tradingbook_SBV[[#This Row],[Quantity_edited]]=0,0,Tradingbook_SBV[[#This Row],[Mod Dur]])</f>
        <v>0</v>
      </c>
      <c r="DX55" s="71">
        <f>IF(Tradingbook_SBV[[#This Row],[Quantity_edited]]=0,0,Tradingbook_SBV[[#This Row],[Cnvx.]])</f>
        <v>0</v>
      </c>
      <c r="DY55" s="71">
        <f>(Tradingbook_SBV[[#This Row],[MARKET_VALUE]]+Tradingbook_SBV[[#This Row],[Accr Int]]*Tradingbook_SBV[[#This Row],[Quantity_edited]])*(-Tradingbook_SBV[[#This Row],[Modified Duration]]*0.0001+0.5*Tradingbook_SBV[[#This Row],[Conv]]*(0.0001^2))</f>
        <v>0</v>
      </c>
      <c r="DZ55" s="71">
        <f>(Tradingbook_SBV[[#This Row],[MARKET_VALUE]]+Tradingbook_SBV[[#This Row],[Accr Int]]*Tradingbook_SBV[[#This Row],[Quantity_edited]])*(-Tradingbook_SBV[[#This Row],[Modified Duration]]*0.01+0.5*Tradingbook_SBV[[#This Row],[Conv]]*(0.01^2))</f>
        <v>0</v>
      </c>
      <c r="EC55" t="s">
        <v>166</v>
      </c>
      <c r="ED55" t="s">
        <v>167</v>
      </c>
      <c r="EE55" t="s">
        <v>359</v>
      </c>
      <c r="EF55" t="s">
        <v>169</v>
      </c>
      <c r="EG55" s="35" t="s">
        <v>3724</v>
      </c>
      <c r="EH55" t="s">
        <v>170</v>
      </c>
      <c r="EK55" s="500">
        <v>2000000</v>
      </c>
      <c r="EL55" s="500">
        <v>200000000000</v>
      </c>
      <c r="EM55" s="500">
        <v>99975</v>
      </c>
      <c r="EN55" s="500">
        <v>0</v>
      </c>
      <c r="EO55">
        <v>9.18</v>
      </c>
      <c r="EP55">
        <v>0</v>
      </c>
      <c r="EQ55">
        <v>0</v>
      </c>
      <c r="ER55">
        <v>0</v>
      </c>
      <c r="ES55">
        <v>-8327083.3333028229</v>
      </c>
      <c r="ET55">
        <v>0</v>
      </c>
      <c r="EU55">
        <v>0</v>
      </c>
      <c r="EV55">
        <v>0</v>
      </c>
      <c r="EW55">
        <v>0</v>
      </c>
      <c r="EX55">
        <v>0</v>
      </c>
      <c r="EY55">
        <v>0</v>
      </c>
      <c r="EZ55">
        <v>0</v>
      </c>
      <c r="FA55">
        <v>50000000</v>
      </c>
      <c r="FB55">
        <v>0</v>
      </c>
      <c r="FC55">
        <v>50000000</v>
      </c>
      <c r="FD55">
        <v>50000000</v>
      </c>
      <c r="FE55">
        <v>50000000</v>
      </c>
      <c r="FF55">
        <v>50000000</v>
      </c>
      <c r="FG55" s="32">
        <f>Bankingbook_SBV[[#This Row],[Mat. Date]]-RPT</f>
        <v>-2971</v>
      </c>
      <c r="FH55" s="32">
        <f>IF(Bankingbook_SBV[[#This Row],[Days]]&lt;=0,0,YEARFRAC(RPT,Bankingbook_SBV[[#This Row],[Mat. Date]],3))</f>
        <v>0</v>
      </c>
      <c r="FI55" s="32">
        <f>IF(Bankingbook_SBV[[#This Row],[Days (year)]]=0,0,INDEX(Ref!$K$2:$K$13,MATCH(Bankingbook_SBV[[#This Row],[Days (year)]],Ref!$I$2:$I$13,1)))</f>
        <v>0</v>
      </c>
      <c r="FJ55" s="32" t="str">
        <f>VLOOKUP(Bankingbook_SBV[[#This Row],[Security Name]],Ref!X:Z,3,0)</f>
        <v>TPCP</v>
      </c>
      <c r="FK55" s="32" t="str">
        <f>VLOOKUP(Bankingbook_SBV[[#This Row],[Security Name]],Ref!X:Y,2,0)</f>
        <v>VDB</v>
      </c>
      <c r="FL55" s="72">
        <f>IF((Bankingbook_SBV[[#This Row],[Mat. Date]]-RPT)&lt;=0,0,Bankingbook_SBV[[#This Row],[QUANTITY]])</f>
        <v>0</v>
      </c>
      <c r="FM55" s="32">
        <f>IF(Bankingbook_SBV[[#This Row],[Quantity_edited]]=0,0,Bankingbook_SBV[[#This Row],[DURATION]])</f>
        <v>0</v>
      </c>
      <c r="FN55" s="32">
        <f>IF(Bankingbook_SBV[[#This Row],[Quantity_edited]]=0,0,Bankingbook_SBV[[#This Row],[Mod Dur]])</f>
        <v>0</v>
      </c>
      <c r="FO55" s="32">
        <f>IF(Bankingbook_SBV[[#This Row],[Quantity_edited]]=0,0,Bankingbook_SBV[[#This Row],[Cnvx.]])</f>
        <v>0</v>
      </c>
      <c r="FP55" s="32">
        <f>(Bankingbook_SBV[[#This Row],[MARKET_VALUE]]+Bankingbook_SBV[[#This Row],[Accr Int]]*Bankingbook_SBV[[#This Row],[Quantity_edited]])*(-Bankingbook_SBV[[#This Row],[Modified Duration]]*0.0001+0.5*Bankingbook_SBV[[#This Row],[Conv]]*(0.0001^2))</f>
        <v>0</v>
      </c>
      <c r="FQ55" s="32">
        <f>(Bankingbook_SBV[[#This Row],[MARKET_VALUE]]+Bankingbook_SBV[[#This Row],[Accr Int]]*Bankingbook_SBV[[#This Row],[Quantity_edited]])*(-Bankingbook_SBV[[#This Row],[Modified Duration]]*0.01+0.5*Bankingbook_SBV[[#This Row],[Conv]]*(0.01^2))</f>
        <v>0</v>
      </c>
      <c r="FT55" t="s">
        <v>166</v>
      </c>
      <c r="FU55" t="s">
        <v>790</v>
      </c>
      <c r="FV55" t="s">
        <v>3988</v>
      </c>
      <c r="FW55">
        <v>3305544</v>
      </c>
      <c r="FX55" s="502">
        <v>46213</v>
      </c>
      <c r="FY55" t="s">
        <v>2176</v>
      </c>
      <c r="FZ55" t="s">
        <v>812</v>
      </c>
      <c r="GA55" t="s">
        <v>3585</v>
      </c>
      <c r="GB55" t="s">
        <v>810</v>
      </c>
      <c r="GC55" t="s">
        <v>717</v>
      </c>
      <c r="GD55" s="500">
        <v>-1128626400000</v>
      </c>
      <c r="GE55">
        <v>11.999973000000001</v>
      </c>
      <c r="GF55" s="502">
        <v>46217</v>
      </c>
      <c r="GG55" s="502">
        <v>46307</v>
      </c>
      <c r="GH55">
        <v>4.5999999999999996</v>
      </c>
      <c r="GI55" t="s">
        <v>811</v>
      </c>
      <c r="GJ55" t="s">
        <v>3321</v>
      </c>
      <c r="GK55" t="s">
        <v>3321</v>
      </c>
      <c r="GL55">
        <v>5285733640</v>
      </c>
      <c r="GM55">
        <v>-4978324668.4899998</v>
      </c>
      <c r="GN55">
        <v>1294585600000</v>
      </c>
      <c r="GO55">
        <v>12.82</v>
      </c>
      <c r="GP55">
        <v>0.14000000000000001</v>
      </c>
      <c r="GQ55">
        <v>0.14299999999999999</v>
      </c>
      <c r="GR55">
        <v>7.3289330000000001</v>
      </c>
      <c r="GS55">
        <v>-1129105449149.8</v>
      </c>
      <c r="GT55">
        <v>-479049149.80000001</v>
      </c>
      <c r="GU55" t="s">
        <v>4091</v>
      </c>
      <c r="GV55" t="s">
        <v>4091</v>
      </c>
      <c r="GW55" s="416">
        <f>FNRP_Repo[[#This Row],[Mat. Date]]-RPT</f>
        <v>55</v>
      </c>
      <c r="GX55" s="819" t="str">
        <f>IF(FNRP_Repo[[#This Row],[Days]]&lt;=0,"Mat",INDEX(Ref!U:U,MATCH(FNRP_Repo[[#This Row],[Days]],Ref!S:S,1)))</f>
        <v>2M</v>
      </c>
      <c r="GY55" s="417">
        <f>RIGHT(FNRP_Repo[[#This Row],[Deal Id]],5)+0</f>
        <v>18010</v>
      </c>
    </row>
    <row r="56" spans="2:207" x14ac:dyDescent="0.3">
      <c r="B56" t="s">
        <v>166</v>
      </c>
      <c r="C56" t="s">
        <v>167</v>
      </c>
      <c r="D56" t="s">
        <v>228</v>
      </c>
      <c r="E56" t="s">
        <v>169</v>
      </c>
      <c r="F56" s="502">
        <v>42141</v>
      </c>
      <c r="G56" t="s">
        <v>3322</v>
      </c>
      <c r="H56"/>
      <c r="I56"/>
      <c r="J56" s="38">
        <v>0</v>
      </c>
      <c r="K56">
        <v>0</v>
      </c>
      <c r="L56">
        <v>0</v>
      </c>
      <c r="M56" s="38">
        <v>0</v>
      </c>
      <c r="N56">
        <v>8.6</v>
      </c>
      <c r="O56">
        <v>0</v>
      </c>
      <c r="P56" s="37">
        <v>0</v>
      </c>
      <c r="Q56" s="37">
        <v>0</v>
      </c>
      <c r="R56" s="37">
        <v>-8705555199.305563</v>
      </c>
      <c r="S56">
        <v>8.6</v>
      </c>
      <c r="T56" s="70">
        <v>0</v>
      </c>
      <c r="U56">
        <v>0</v>
      </c>
      <c r="V56">
        <v>0</v>
      </c>
      <c r="W56">
        <v>0</v>
      </c>
      <c r="X56" s="38">
        <v>0</v>
      </c>
      <c r="Y56">
        <v>0</v>
      </c>
      <c r="Z56" s="70">
        <v>10947312500.000061</v>
      </c>
      <c r="AA56" s="70">
        <v>0</v>
      </c>
      <c r="AB56" s="70">
        <v>10947312500.000061</v>
      </c>
      <c r="AC56" s="70">
        <v>10947312500.000061</v>
      </c>
      <c r="AD56" s="70">
        <v>10947312500</v>
      </c>
      <c r="AE56" s="70">
        <v>10947312500.000061</v>
      </c>
      <c r="AF56">
        <v>0</v>
      </c>
      <c r="AG56" s="72">
        <f>Tradingbook_MSB[[#This Row],[Mat. Date]]-RPT</f>
        <v>-4111</v>
      </c>
      <c r="AH56" s="71">
        <f>IF(Tradingbook_MSB[[#This Row],[Days]]&lt;=0,0,YEARFRAC(RPT,Tradingbook_MSB[[#This Row],[Mat. Date]],3))</f>
        <v>0</v>
      </c>
      <c r="AI56" s="71">
        <f>IF(Tradingbook_MSB[[#This Row],[Days (year)]]=0,0,INDEX(Ref!$K$2:$K$13,MATCH(Tradingbook_MSB[[#This Row],[Days (year)]],Ref!$I$2:$I$13,1)))</f>
        <v>0</v>
      </c>
      <c r="AJ56" s="120" t="str">
        <f>VLOOKUP(Tradingbook_MSB[[#This Row],[Security Name]],Ref!X:Z,3,0)</f>
        <v>TPCPBL</v>
      </c>
      <c r="AK56" s="120" t="str">
        <f>VLOOKUP(Tradingbook_MSB[[#This Row],[Security Name]],Ref!X:Y,2,0)</f>
        <v>VDB</v>
      </c>
      <c r="AL56" s="71">
        <f>IF((Tradingbook_MSB[[#This Row],[Mat. Date]]-RPT)&lt;=0,0,Tradingbook_MSB[[#This Row],[QUANTITY]])</f>
        <v>0</v>
      </c>
      <c r="AM56" s="71">
        <f>IF(Tradingbook_MSB[[#This Row],[Quantity_edited]]=0,0,Tradingbook_MSB[[#This Row],[DURATION]])</f>
        <v>0</v>
      </c>
      <c r="AN56" s="71">
        <f>IF(Tradingbook_MSB[[#This Row],[Quantity_edited]]=0,0,Tradingbook_MSB[[#This Row],[Mod Dur]])</f>
        <v>0</v>
      </c>
      <c r="AO56" s="71">
        <f>IF(Tradingbook_MSB[[#This Row],[Quantity_edited]]=0,0,Tradingbook_MSB[[#This Row],[Cnvx.]])</f>
        <v>0</v>
      </c>
      <c r="AP56" s="71">
        <f>(Tradingbook_MSB[[#This Row],[MARKET_VALUE]]+Tradingbook_MSB[[#This Row],[Accr Int]]*Tradingbook_MSB[[#This Row],[Quantity_edited]])*(-Tradingbook_MSB[[#This Row],[Modified Duration]]*0.0001+0.5*Tradingbook_MSB[[#This Row],[Conv]]*(0.0001^2))</f>
        <v>0</v>
      </c>
      <c r="AQ56" s="72">
        <f>(Tradingbook_MSB[[#This Row],[MARKET_VALUE]]+Tradingbook_MSB[[#This Row],[Accr Int]]*Tradingbook_MSB[[#This Row],[Quantity_edited]])*(-Tradingbook_MSB[[#This Row],[Modified Duration]]*0.01+0.5*Tradingbook_MSB[[#This Row],[Conv]]*(0.01^2))</f>
        <v>0</v>
      </c>
      <c r="AR56" s="71"/>
      <c r="AT56" t="s">
        <v>166</v>
      </c>
      <c r="AU56" t="s">
        <v>167</v>
      </c>
      <c r="AV56" t="s">
        <v>389</v>
      </c>
      <c r="AW56" t="s">
        <v>169</v>
      </c>
      <c r="AX56" t="s">
        <v>3367</v>
      </c>
      <c r="AY56" t="s">
        <v>3322</v>
      </c>
      <c r="BB56" s="49">
        <v>0</v>
      </c>
      <c r="BC56">
        <v>0</v>
      </c>
      <c r="BD56">
        <v>0</v>
      </c>
      <c r="BE56" s="37">
        <v>0</v>
      </c>
      <c r="BF56">
        <v>8.1999999999999993</v>
      </c>
      <c r="BG56">
        <v>0</v>
      </c>
      <c r="BH56" s="126">
        <v>98400000000</v>
      </c>
      <c r="BI56">
        <v>106376006750.00009</v>
      </c>
      <c r="BJ56">
        <v>-39129251645.486336</v>
      </c>
      <c r="BK56">
        <v>0</v>
      </c>
      <c r="BL56">
        <v>0</v>
      </c>
      <c r="BM56">
        <v>0</v>
      </c>
      <c r="BN56">
        <v>0</v>
      </c>
      <c r="BO56">
        <v>0</v>
      </c>
      <c r="BP56">
        <v>0</v>
      </c>
      <c r="BQ56">
        <v>0</v>
      </c>
      <c r="BR56">
        <v>-20080000000</v>
      </c>
      <c r="BS56">
        <v>0</v>
      </c>
      <c r="BT56">
        <v>-20080000000</v>
      </c>
      <c r="BU56">
        <v>-20080000000</v>
      </c>
      <c r="BV56">
        <v>-20080000000</v>
      </c>
      <c r="BW56">
        <v>-20080000000</v>
      </c>
      <c r="BX56">
        <v>0</v>
      </c>
      <c r="BY56" s="32">
        <f>Bankingbook_MSB[[#This Row],[Mat. Date]]-RPT</f>
        <v>-2772</v>
      </c>
      <c r="BZ56" s="71">
        <f>IF(Bankingbook_MSB[[#This Row],[Days]]&lt;=0,0,YEARFRAC(RPT,Bankingbook_MSB[[#This Row],[Mat. Date]],3))</f>
        <v>0</v>
      </c>
      <c r="CA56" s="71">
        <f>IF(Bankingbook_MSB[[#This Row],[Days (year)]]=0,0,INDEX(Ref!$K$2:$K$13,MATCH(Bankingbook_MSB[[#This Row],[Days (year)]],Ref!$I$2:$I$13,1)))</f>
        <v>0</v>
      </c>
      <c r="CB56" s="32" t="str">
        <f>VLOOKUP(Bankingbook_MSB[[#This Row],[Security Name]],Ref!X:Z,3,0)</f>
        <v>TPCP</v>
      </c>
      <c r="CC56" s="32" t="str">
        <f>VLOOKUP(Bankingbook_MSB[[#This Row],[Security Name]],Ref!X:Y,2,0)</f>
        <v>KBNN</v>
      </c>
      <c r="CD56" s="72">
        <f>IF((Bankingbook_MSB[[#This Row],[Mat. Date]]-RPT)&lt;=0,0,Bankingbook_MSB[[#This Row],[QUANTITY]])</f>
        <v>0</v>
      </c>
      <c r="CE56" s="71">
        <f>IF(Bankingbook_MSB[[#This Row],[Quantity_edited]]=0,0,Bankingbook_MSB[[#This Row],[DURATION]])</f>
        <v>0</v>
      </c>
      <c r="CF56" s="71">
        <f>IF(Bankingbook_MSB[[#This Row],[Quantity_edited]]=0,0,Bankingbook_MSB[[#This Row],[Mod Dur]])</f>
        <v>0</v>
      </c>
      <c r="CG56" s="71">
        <f>IF(Bankingbook_MSB[[#This Row],[Quantity_edited]]=0,0,Bankingbook_MSB[[#This Row],[Cnvx.]])</f>
        <v>0</v>
      </c>
      <c r="CH56" s="71">
        <f>(Bankingbook_MSB[[#This Row],[MARKET_VALUE]]+Bankingbook_MSB[[#This Row],[Accr Int]]*Bankingbook_MSB[[#This Row],[Quantity_edited]])*(-Bankingbook_MSB[[#This Row],[Modified Duration]]*0.0001+0.5*Bankingbook_MSB[[#This Row],[Conv]]*(0.0001^2))</f>
        <v>0</v>
      </c>
      <c r="CI56" s="71">
        <f>(Bankingbook_MSB[[#This Row],[MARKET_VALUE]]+Bankingbook_MSB[[#This Row],[Accr Int]]*Bankingbook_MSB[[#This Row],[Quantity_edited]])*(-Bankingbook_MSB[[#This Row],[Modified Duration]]*0.01+0.5*Bankingbook_MSB[[#This Row],[Conv]]*(0.01^2))</f>
        <v>0</v>
      </c>
      <c r="CJ56" s="32"/>
      <c r="CL56" t="s">
        <v>166</v>
      </c>
      <c r="CM56" t="s">
        <v>167</v>
      </c>
      <c r="CN56" t="s">
        <v>228</v>
      </c>
      <c r="CO56" t="s">
        <v>169</v>
      </c>
      <c r="CP56" s="35">
        <v>42141</v>
      </c>
      <c r="CQ56" t="s">
        <v>3322</v>
      </c>
      <c r="CR56" t="s">
        <v>174</v>
      </c>
      <c r="CS56" t="s">
        <v>174</v>
      </c>
      <c r="CT56" s="49">
        <v>0</v>
      </c>
      <c r="CU56">
        <v>0</v>
      </c>
      <c r="CV56">
        <v>0</v>
      </c>
      <c r="CW56" s="70">
        <v>0</v>
      </c>
      <c r="CX56">
        <v>8.6</v>
      </c>
      <c r="CY56">
        <v>0</v>
      </c>
      <c r="CZ56">
        <v>0</v>
      </c>
      <c r="DA56">
        <v>0</v>
      </c>
      <c r="DB56">
        <v>-8705555199.305563</v>
      </c>
      <c r="DC56">
        <v>8.6</v>
      </c>
      <c r="DD56">
        <v>0</v>
      </c>
      <c r="DE56">
        <v>0</v>
      </c>
      <c r="DF56">
        <v>0</v>
      </c>
      <c r="DG56">
        <v>0</v>
      </c>
      <c r="DH56">
        <v>0</v>
      </c>
      <c r="DI56">
        <v>0</v>
      </c>
      <c r="DJ56" s="500">
        <v>10947312500.000061</v>
      </c>
      <c r="DK56" s="500">
        <v>0</v>
      </c>
      <c r="DL56" s="37">
        <v>10947312500.000061</v>
      </c>
      <c r="DM56" s="37">
        <v>10947312500.000061</v>
      </c>
      <c r="DN56" s="37">
        <v>10947312500</v>
      </c>
      <c r="DO56" s="37">
        <v>10947312500.000061</v>
      </c>
      <c r="DP56" s="32">
        <f>Tradingbook_SBV[[#This Row],[Mat. Date]]-RPT</f>
        <v>-4111</v>
      </c>
      <c r="DQ56" s="32">
        <f>IF(Tradingbook_SBV[[#This Row],[Days]]&lt;=0,0,YEARFRAC(RPT,Tradingbook_SBV[[#This Row],[Mat. Date]],3))</f>
        <v>0</v>
      </c>
      <c r="DR56" s="32">
        <f>IF(Tradingbook_SBV[[#This Row],[Days (year)]]=0,0,INDEX(Ref!$K$2:$K$13,MATCH(Tradingbook_SBV[[#This Row],[Days (year)]],Ref!$I$2:$I$13,1)))</f>
        <v>0</v>
      </c>
      <c r="DS56" s="32" t="str">
        <f>VLOOKUP(Tradingbook_SBV[[#This Row],[Security Name]],Ref!X:Z,3,0)</f>
        <v>TPCPBL</v>
      </c>
      <c r="DT56" s="32" t="str">
        <f>VLOOKUP(Tradingbook_SBV[[#This Row],[Security Name]],Ref!X:Y,2,0)</f>
        <v>VDB</v>
      </c>
      <c r="DU56" s="71">
        <f>IF((Tradingbook_SBV[[#This Row],[Mat. Date]]-RPT)&lt;=0,0,Tradingbook_SBV[[#This Row],[QUANTITY]])</f>
        <v>0</v>
      </c>
      <c r="DV56" s="71">
        <f>IF(Tradingbook_SBV[[#This Row],[Quantity_edited]]=0,0,Tradingbook_SBV[[#This Row],[DURATION]])</f>
        <v>0</v>
      </c>
      <c r="DW56" s="71">
        <f>IF(Tradingbook_SBV[[#This Row],[Quantity_edited]]=0,0,Tradingbook_SBV[[#This Row],[Mod Dur]])</f>
        <v>0</v>
      </c>
      <c r="DX56" s="71">
        <f>IF(Tradingbook_SBV[[#This Row],[Quantity_edited]]=0,0,Tradingbook_SBV[[#This Row],[Cnvx.]])</f>
        <v>0</v>
      </c>
      <c r="DY56" s="71">
        <f>(Tradingbook_SBV[[#This Row],[MARKET_VALUE]]+Tradingbook_SBV[[#This Row],[Accr Int]]*Tradingbook_SBV[[#This Row],[Quantity_edited]])*(-Tradingbook_SBV[[#This Row],[Modified Duration]]*0.0001+0.5*Tradingbook_SBV[[#This Row],[Conv]]*(0.0001^2))</f>
        <v>0</v>
      </c>
      <c r="DZ56" s="71">
        <f>(Tradingbook_SBV[[#This Row],[MARKET_VALUE]]+Tradingbook_SBV[[#This Row],[Accr Int]]*Tradingbook_SBV[[#This Row],[Quantity_edited]])*(-Tradingbook_SBV[[#This Row],[Modified Duration]]*0.01+0.5*Tradingbook_SBV[[#This Row],[Conv]]*(0.01^2))</f>
        <v>0</v>
      </c>
      <c r="EC56" t="s">
        <v>166</v>
      </c>
      <c r="ED56" t="s">
        <v>167</v>
      </c>
      <c r="EE56" t="s">
        <v>360</v>
      </c>
      <c r="EF56" t="s">
        <v>169</v>
      </c>
      <c r="EG56" s="35" t="s">
        <v>3725</v>
      </c>
      <c r="EH56" t="s">
        <v>170</v>
      </c>
      <c r="EK56" s="500">
        <v>1000000</v>
      </c>
      <c r="EL56" s="500">
        <v>100000000000</v>
      </c>
      <c r="EM56" s="500">
        <v>100962</v>
      </c>
      <c r="EN56" s="500">
        <v>0</v>
      </c>
      <c r="EO56">
        <v>15</v>
      </c>
      <c r="EP56">
        <v>0</v>
      </c>
      <c r="EQ56">
        <v>15000000000</v>
      </c>
      <c r="ER56">
        <v>15000000000</v>
      </c>
      <c r="ES56">
        <v>-393661033.33330089</v>
      </c>
      <c r="ET56">
        <v>0</v>
      </c>
      <c r="EU56">
        <v>0</v>
      </c>
      <c r="EV56">
        <v>0</v>
      </c>
      <c r="EW56">
        <v>0</v>
      </c>
      <c r="EX56">
        <v>0</v>
      </c>
      <c r="EY56">
        <v>0</v>
      </c>
      <c r="EZ56">
        <v>0</v>
      </c>
      <c r="FA56">
        <v>-962000000</v>
      </c>
      <c r="FB56">
        <v>0</v>
      </c>
      <c r="FC56">
        <v>-962000000</v>
      </c>
      <c r="FD56">
        <v>-962000000</v>
      </c>
      <c r="FE56">
        <v>-962000000</v>
      </c>
      <c r="FF56">
        <v>-962000000</v>
      </c>
      <c r="FG56" s="32">
        <f>Bankingbook_SBV[[#This Row],[Mat. Date]]-RPT</f>
        <v>-2920</v>
      </c>
      <c r="FH56" s="32">
        <f>IF(Bankingbook_SBV[[#This Row],[Days]]&lt;=0,0,YEARFRAC(RPT,Bankingbook_SBV[[#This Row],[Mat. Date]],3))</f>
        <v>0</v>
      </c>
      <c r="FI56" s="32">
        <f>IF(Bankingbook_SBV[[#This Row],[Days (year)]]=0,0,INDEX(Ref!$K$2:$K$13,MATCH(Bankingbook_SBV[[#This Row],[Days (year)]],Ref!$I$2:$I$13,1)))</f>
        <v>0</v>
      </c>
      <c r="FJ56" s="32" t="str">
        <f>VLOOKUP(Bankingbook_SBV[[#This Row],[Security Name]],Ref!X:Z,3,0)</f>
        <v>TPCP</v>
      </c>
      <c r="FK56" s="32" t="str">
        <f>VLOOKUP(Bankingbook_SBV[[#This Row],[Security Name]],Ref!X:Y,2,0)</f>
        <v>VDB</v>
      </c>
      <c r="FL56" s="72">
        <f>IF((Bankingbook_SBV[[#This Row],[Mat. Date]]-RPT)&lt;=0,0,Bankingbook_SBV[[#This Row],[QUANTITY]])</f>
        <v>0</v>
      </c>
      <c r="FM56" s="32">
        <f>IF(Bankingbook_SBV[[#This Row],[Quantity_edited]]=0,0,Bankingbook_SBV[[#This Row],[DURATION]])</f>
        <v>0</v>
      </c>
      <c r="FN56" s="32">
        <f>IF(Bankingbook_SBV[[#This Row],[Quantity_edited]]=0,0,Bankingbook_SBV[[#This Row],[Mod Dur]])</f>
        <v>0</v>
      </c>
      <c r="FO56" s="32">
        <f>IF(Bankingbook_SBV[[#This Row],[Quantity_edited]]=0,0,Bankingbook_SBV[[#This Row],[Cnvx.]])</f>
        <v>0</v>
      </c>
      <c r="FP56" s="32">
        <f>(Bankingbook_SBV[[#This Row],[MARKET_VALUE]]+Bankingbook_SBV[[#This Row],[Accr Int]]*Bankingbook_SBV[[#This Row],[Quantity_edited]])*(-Bankingbook_SBV[[#This Row],[Modified Duration]]*0.0001+0.5*Bankingbook_SBV[[#This Row],[Conv]]*(0.0001^2))</f>
        <v>0</v>
      </c>
      <c r="FQ56" s="32">
        <f>(Bankingbook_SBV[[#This Row],[MARKET_VALUE]]+Bankingbook_SBV[[#This Row],[Accr Int]]*Bankingbook_SBV[[#This Row],[Quantity_edited]])*(-Bankingbook_SBV[[#This Row],[Modified Duration]]*0.01+0.5*Bankingbook_SBV[[#This Row],[Conv]]*(0.01^2))</f>
        <v>0</v>
      </c>
      <c r="FT56" t="s">
        <v>166</v>
      </c>
      <c r="FU56" t="s">
        <v>790</v>
      </c>
      <c r="FV56" t="s">
        <v>3989</v>
      </c>
      <c r="FW56">
        <v>3305545</v>
      </c>
      <c r="FX56" s="502">
        <v>46213</v>
      </c>
      <c r="FY56" t="s">
        <v>2176</v>
      </c>
      <c r="FZ56" t="s">
        <v>812</v>
      </c>
      <c r="GA56" t="s">
        <v>3585</v>
      </c>
      <c r="GB56" t="s">
        <v>810</v>
      </c>
      <c r="GC56" t="s">
        <v>717</v>
      </c>
      <c r="GD56" s="500">
        <v>-641265000000</v>
      </c>
      <c r="GE56">
        <v>11.999973000000001</v>
      </c>
      <c r="GF56" s="502">
        <v>46217</v>
      </c>
      <c r="GG56" s="502">
        <v>46307</v>
      </c>
      <c r="GH56">
        <v>4.5999999999999996</v>
      </c>
      <c r="GI56" t="s">
        <v>811</v>
      </c>
      <c r="GJ56" t="s">
        <v>3321</v>
      </c>
      <c r="GK56" t="s">
        <v>3321</v>
      </c>
      <c r="GL56">
        <v>3003257750</v>
      </c>
      <c r="GM56">
        <v>-2828593561.6399999</v>
      </c>
      <c r="GN56">
        <v>735560000000</v>
      </c>
      <c r="GO56">
        <v>12.82</v>
      </c>
      <c r="GP56">
        <v>0.14000000000000001</v>
      </c>
      <c r="GQ56">
        <v>0.14299999999999999</v>
      </c>
      <c r="GR56">
        <v>7.3289330000000001</v>
      </c>
      <c r="GS56">
        <v>-641537187016.80005</v>
      </c>
      <c r="GT56">
        <v>-272187016.80000001</v>
      </c>
      <c r="GU56" t="s">
        <v>4092</v>
      </c>
      <c r="GV56" t="s">
        <v>4092</v>
      </c>
      <c r="GW56" s="416">
        <f>FNRP_Repo[[#This Row],[Mat. Date]]-RPT</f>
        <v>55</v>
      </c>
      <c r="GX56" s="819" t="str">
        <f>IF(FNRP_Repo[[#This Row],[Days]]&lt;=0,"Mat",INDEX(Ref!U:U,MATCH(FNRP_Repo[[#This Row],[Days]],Ref!S:S,1)))</f>
        <v>2M</v>
      </c>
      <c r="GY56" s="417">
        <f>RIGHT(FNRP_Repo[[#This Row],[Deal Id]],5)+0</f>
        <v>18011</v>
      </c>
    </row>
    <row r="57" spans="2:207" x14ac:dyDescent="0.3">
      <c r="B57" t="s">
        <v>166</v>
      </c>
      <c r="C57" t="s">
        <v>167</v>
      </c>
      <c r="D57" t="s">
        <v>229</v>
      </c>
      <c r="E57" t="s">
        <v>169</v>
      </c>
      <c r="F57" s="502">
        <v>42142</v>
      </c>
      <c r="G57" t="s">
        <v>3322</v>
      </c>
      <c r="H57"/>
      <c r="I57"/>
      <c r="J57" s="38">
        <v>0</v>
      </c>
      <c r="K57">
        <v>0</v>
      </c>
      <c r="L57">
        <v>0</v>
      </c>
      <c r="M57" s="38">
        <v>0</v>
      </c>
      <c r="N57">
        <v>9.5</v>
      </c>
      <c r="O57">
        <v>0</v>
      </c>
      <c r="P57" s="37">
        <v>0</v>
      </c>
      <c r="Q57" s="37">
        <v>0</v>
      </c>
      <c r="R57" s="37">
        <v>-528793786.11111188</v>
      </c>
      <c r="S57">
        <v>9.5</v>
      </c>
      <c r="T57" s="70">
        <v>0</v>
      </c>
      <c r="U57">
        <v>0</v>
      </c>
      <c r="V57">
        <v>0</v>
      </c>
      <c r="W57">
        <v>0</v>
      </c>
      <c r="X57" s="38">
        <v>0</v>
      </c>
      <c r="Y57">
        <v>0</v>
      </c>
      <c r="Z57" s="70">
        <v>1346500000</v>
      </c>
      <c r="AA57" s="70">
        <v>0</v>
      </c>
      <c r="AB57" s="70">
        <v>1346500000</v>
      </c>
      <c r="AC57" s="70">
        <v>1346500000</v>
      </c>
      <c r="AD57" s="70">
        <v>1346500000</v>
      </c>
      <c r="AE57" s="70">
        <v>1346500000</v>
      </c>
      <c r="AF57">
        <v>0</v>
      </c>
      <c r="AG57" s="72">
        <f>Tradingbook_MSB[[#This Row],[Mat. Date]]-RPT</f>
        <v>-4110</v>
      </c>
      <c r="AH57" s="71">
        <f>IF(Tradingbook_MSB[[#This Row],[Days]]&lt;=0,0,YEARFRAC(RPT,Tradingbook_MSB[[#This Row],[Mat. Date]],3))</f>
        <v>0</v>
      </c>
      <c r="AI57" s="71">
        <f>IF(Tradingbook_MSB[[#This Row],[Days (year)]]=0,0,INDEX(Ref!$K$2:$K$13,MATCH(Tradingbook_MSB[[#This Row],[Days (year)]],Ref!$I$2:$I$13,1)))</f>
        <v>0</v>
      </c>
      <c r="AJ57" s="120" t="str">
        <f>VLOOKUP(Tradingbook_MSB[[#This Row],[Security Name]],Ref!X:Z,3,0)</f>
        <v>TPCPBL</v>
      </c>
      <c r="AK57" s="120" t="str">
        <f>VLOOKUP(Tradingbook_MSB[[#This Row],[Security Name]],Ref!X:Y,2,0)</f>
        <v>VDB</v>
      </c>
      <c r="AL57" s="71">
        <f>IF((Tradingbook_MSB[[#This Row],[Mat. Date]]-RPT)&lt;=0,0,Tradingbook_MSB[[#This Row],[QUANTITY]])</f>
        <v>0</v>
      </c>
      <c r="AM57" s="71">
        <f>IF(Tradingbook_MSB[[#This Row],[Quantity_edited]]=0,0,Tradingbook_MSB[[#This Row],[DURATION]])</f>
        <v>0</v>
      </c>
      <c r="AN57" s="71">
        <f>IF(Tradingbook_MSB[[#This Row],[Quantity_edited]]=0,0,Tradingbook_MSB[[#This Row],[Mod Dur]])</f>
        <v>0</v>
      </c>
      <c r="AO57" s="71">
        <f>IF(Tradingbook_MSB[[#This Row],[Quantity_edited]]=0,0,Tradingbook_MSB[[#This Row],[Cnvx.]])</f>
        <v>0</v>
      </c>
      <c r="AP57" s="71">
        <f>(Tradingbook_MSB[[#This Row],[MARKET_VALUE]]+Tradingbook_MSB[[#This Row],[Accr Int]]*Tradingbook_MSB[[#This Row],[Quantity_edited]])*(-Tradingbook_MSB[[#This Row],[Modified Duration]]*0.0001+0.5*Tradingbook_MSB[[#This Row],[Conv]]*(0.0001^2))</f>
        <v>0</v>
      </c>
      <c r="AQ57" s="72">
        <f>(Tradingbook_MSB[[#This Row],[MARKET_VALUE]]+Tradingbook_MSB[[#This Row],[Accr Int]]*Tradingbook_MSB[[#This Row],[Quantity_edited]])*(-Tradingbook_MSB[[#This Row],[Modified Duration]]*0.01+0.5*Tradingbook_MSB[[#This Row],[Conv]]*(0.01^2))</f>
        <v>0</v>
      </c>
      <c r="AR57" s="71"/>
      <c r="AT57" t="s">
        <v>166</v>
      </c>
      <c r="AU57" t="s">
        <v>167</v>
      </c>
      <c r="AV57" t="s">
        <v>392</v>
      </c>
      <c r="AW57" t="s">
        <v>169</v>
      </c>
      <c r="AX57" t="s">
        <v>3368</v>
      </c>
      <c r="AY57" t="s">
        <v>3322</v>
      </c>
      <c r="BB57" s="49">
        <v>0</v>
      </c>
      <c r="BC57">
        <v>0</v>
      </c>
      <c r="BD57">
        <v>0</v>
      </c>
      <c r="BE57" s="37">
        <v>0</v>
      </c>
      <c r="BF57">
        <v>7.9</v>
      </c>
      <c r="BG57">
        <v>0</v>
      </c>
      <c r="BH57" s="34">
        <v>19750000000</v>
      </c>
      <c r="BI57">
        <v>21553025777.777794</v>
      </c>
      <c r="BJ57">
        <v>-10057912874.722239</v>
      </c>
      <c r="BK57">
        <v>0</v>
      </c>
      <c r="BL57">
        <v>0</v>
      </c>
      <c r="BM57">
        <v>0</v>
      </c>
      <c r="BN57">
        <v>0</v>
      </c>
      <c r="BO57">
        <v>0</v>
      </c>
      <c r="BP57">
        <v>0</v>
      </c>
      <c r="BQ57">
        <v>0</v>
      </c>
      <c r="BR57">
        <v>-1604500000</v>
      </c>
      <c r="BS57">
        <v>0</v>
      </c>
      <c r="BT57">
        <v>-1604500000</v>
      </c>
      <c r="BU57">
        <v>-1604500000</v>
      </c>
      <c r="BV57">
        <v>-1604500000</v>
      </c>
      <c r="BW57">
        <v>-1604500000</v>
      </c>
      <c r="BX57">
        <v>0</v>
      </c>
      <c r="BY57" s="32">
        <f>Bankingbook_MSB[[#This Row],[Mat. Date]]-RPT</f>
        <v>-2741</v>
      </c>
      <c r="BZ57" s="71">
        <f>IF(Bankingbook_MSB[[#This Row],[Days]]&lt;=0,0,YEARFRAC(RPT,Bankingbook_MSB[[#This Row],[Mat. Date]],3))</f>
        <v>0</v>
      </c>
      <c r="CA57" s="71">
        <f>IF(Bankingbook_MSB[[#This Row],[Days (year)]]=0,0,INDEX(Ref!$K$2:$K$13,MATCH(Bankingbook_MSB[[#This Row],[Days (year)]],Ref!$I$2:$I$13,1)))</f>
        <v>0</v>
      </c>
      <c r="CB57" s="32" t="str">
        <f>VLOOKUP(Bankingbook_MSB[[#This Row],[Security Name]],Ref!X:Z,3,0)</f>
        <v>TPCP</v>
      </c>
      <c r="CC57" s="32" t="str">
        <f>VLOOKUP(Bankingbook_MSB[[#This Row],[Security Name]],Ref!X:Y,2,0)</f>
        <v>KBNN</v>
      </c>
      <c r="CD57" s="72">
        <f>IF((Bankingbook_MSB[[#This Row],[Mat. Date]]-RPT)&lt;=0,0,Bankingbook_MSB[[#This Row],[QUANTITY]])</f>
        <v>0</v>
      </c>
      <c r="CE57" s="71">
        <f>IF(Bankingbook_MSB[[#This Row],[Quantity_edited]]=0,0,Bankingbook_MSB[[#This Row],[DURATION]])</f>
        <v>0</v>
      </c>
      <c r="CF57" s="71">
        <f>IF(Bankingbook_MSB[[#This Row],[Quantity_edited]]=0,0,Bankingbook_MSB[[#This Row],[Mod Dur]])</f>
        <v>0</v>
      </c>
      <c r="CG57" s="71">
        <f>IF(Bankingbook_MSB[[#This Row],[Quantity_edited]]=0,0,Bankingbook_MSB[[#This Row],[Cnvx.]])</f>
        <v>0</v>
      </c>
      <c r="CH57" s="71">
        <f>(Bankingbook_MSB[[#This Row],[MARKET_VALUE]]+Bankingbook_MSB[[#This Row],[Accr Int]]*Bankingbook_MSB[[#This Row],[Quantity_edited]])*(-Bankingbook_MSB[[#This Row],[Modified Duration]]*0.0001+0.5*Bankingbook_MSB[[#This Row],[Conv]]*(0.0001^2))</f>
        <v>0</v>
      </c>
      <c r="CI57" s="71">
        <f>(Bankingbook_MSB[[#This Row],[MARKET_VALUE]]+Bankingbook_MSB[[#This Row],[Accr Int]]*Bankingbook_MSB[[#This Row],[Quantity_edited]])*(-Bankingbook_MSB[[#This Row],[Modified Duration]]*0.01+0.5*Bankingbook_MSB[[#This Row],[Conv]]*(0.01^2))</f>
        <v>0</v>
      </c>
      <c r="CJ57" s="32"/>
      <c r="CL57" t="s">
        <v>166</v>
      </c>
      <c r="CM57" t="s">
        <v>167</v>
      </c>
      <c r="CN57" t="s">
        <v>229</v>
      </c>
      <c r="CO57" t="s">
        <v>169</v>
      </c>
      <c r="CP57" s="35">
        <v>42142</v>
      </c>
      <c r="CQ57" t="s">
        <v>3322</v>
      </c>
      <c r="CR57" t="s">
        <v>174</v>
      </c>
      <c r="CS57" t="s">
        <v>174</v>
      </c>
      <c r="CT57" s="49">
        <v>0</v>
      </c>
      <c r="CU57">
        <v>0</v>
      </c>
      <c r="CV57">
        <v>0</v>
      </c>
      <c r="CW57" s="70">
        <v>0</v>
      </c>
      <c r="CX57">
        <v>9.5</v>
      </c>
      <c r="CY57">
        <v>0</v>
      </c>
      <c r="CZ57">
        <v>0</v>
      </c>
      <c r="DA57">
        <v>0</v>
      </c>
      <c r="DB57">
        <v>-528793786.11111188</v>
      </c>
      <c r="DC57">
        <v>9.5</v>
      </c>
      <c r="DD57">
        <v>0</v>
      </c>
      <c r="DE57">
        <v>0</v>
      </c>
      <c r="DF57">
        <v>0</v>
      </c>
      <c r="DG57">
        <v>0</v>
      </c>
      <c r="DH57">
        <v>0</v>
      </c>
      <c r="DI57">
        <v>0</v>
      </c>
      <c r="DJ57" s="500">
        <v>1346500000</v>
      </c>
      <c r="DK57" s="500">
        <v>0</v>
      </c>
      <c r="DL57" s="37">
        <v>1346500000</v>
      </c>
      <c r="DM57" s="37">
        <v>1346500000</v>
      </c>
      <c r="DN57" s="37">
        <v>1346500000</v>
      </c>
      <c r="DO57" s="37">
        <v>1346500000</v>
      </c>
      <c r="DP57" s="32">
        <f>Tradingbook_SBV[[#This Row],[Mat. Date]]-RPT</f>
        <v>-4110</v>
      </c>
      <c r="DQ57" s="32">
        <f>IF(Tradingbook_SBV[[#This Row],[Days]]&lt;=0,0,YEARFRAC(RPT,Tradingbook_SBV[[#This Row],[Mat. Date]],3))</f>
        <v>0</v>
      </c>
      <c r="DR57" s="32">
        <f>IF(Tradingbook_SBV[[#This Row],[Days (year)]]=0,0,INDEX(Ref!$K$2:$K$13,MATCH(Tradingbook_SBV[[#This Row],[Days (year)]],Ref!$I$2:$I$13,1)))</f>
        <v>0</v>
      </c>
      <c r="DS57" s="32" t="str">
        <f>VLOOKUP(Tradingbook_SBV[[#This Row],[Security Name]],Ref!X:Z,3,0)</f>
        <v>TPCPBL</v>
      </c>
      <c r="DT57" s="32" t="str">
        <f>VLOOKUP(Tradingbook_SBV[[#This Row],[Security Name]],Ref!X:Y,2,0)</f>
        <v>VDB</v>
      </c>
      <c r="DU57" s="71">
        <f>IF((Tradingbook_SBV[[#This Row],[Mat. Date]]-RPT)&lt;=0,0,Tradingbook_SBV[[#This Row],[QUANTITY]])</f>
        <v>0</v>
      </c>
      <c r="DV57" s="71">
        <f>IF(Tradingbook_SBV[[#This Row],[Quantity_edited]]=0,0,Tradingbook_SBV[[#This Row],[DURATION]])</f>
        <v>0</v>
      </c>
      <c r="DW57" s="71">
        <f>IF(Tradingbook_SBV[[#This Row],[Quantity_edited]]=0,0,Tradingbook_SBV[[#This Row],[Mod Dur]])</f>
        <v>0</v>
      </c>
      <c r="DX57" s="71">
        <f>IF(Tradingbook_SBV[[#This Row],[Quantity_edited]]=0,0,Tradingbook_SBV[[#This Row],[Cnvx.]])</f>
        <v>0</v>
      </c>
      <c r="DY57" s="71">
        <f>(Tradingbook_SBV[[#This Row],[MARKET_VALUE]]+Tradingbook_SBV[[#This Row],[Accr Int]]*Tradingbook_SBV[[#This Row],[Quantity_edited]])*(-Tradingbook_SBV[[#This Row],[Modified Duration]]*0.0001+0.5*Tradingbook_SBV[[#This Row],[Conv]]*(0.0001^2))</f>
        <v>0</v>
      </c>
      <c r="DZ57" s="71">
        <f>(Tradingbook_SBV[[#This Row],[MARKET_VALUE]]+Tradingbook_SBV[[#This Row],[Accr Int]]*Tradingbook_SBV[[#This Row],[Quantity_edited]])*(-Tradingbook_SBV[[#This Row],[Modified Duration]]*0.01+0.5*Tradingbook_SBV[[#This Row],[Conv]]*(0.01^2))</f>
        <v>0</v>
      </c>
      <c r="EC57" t="s">
        <v>166</v>
      </c>
      <c r="ED57" t="s">
        <v>167</v>
      </c>
      <c r="EE57" t="s">
        <v>361</v>
      </c>
      <c r="EF57" t="s">
        <v>169</v>
      </c>
      <c r="EG57" s="35" t="s">
        <v>3726</v>
      </c>
      <c r="EH57" t="s">
        <v>170</v>
      </c>
      <c r="EK57" s="500">
        <v>1000000</v>
      </c>
      <c r="EL57" s="500">
        <v>100000000000</v>
      </c>
      <c r="EM57" s="500">
        <v>100043</v>
      </c>
      <c r="EN57" s="500">
        <v>0</v>
      </c>
      <c r="EO57">
        <v>6.3</v>
      </c>
      <c r="EP57">
        <v>0</v>
      </c>
      <c r="EQ57">
        <v>6300000000</v>
      </c>
      <c r="ER57">
        <v>6300000000</v>
      </c>
      <c r="ES57">
        <v>-377869154.1666652</v>
      </c>
      <c r="ET57">
        <v>0</v>
      </c>
      <c r="EU57">
        <v>0</v>
      </c>
      <c r="EV57">
        <v>0</v>
      </c>
      <c r="EW57">
        <v>0</v>
      </c>
      <c r="EX57">
        <v>0</v>
      </c>
      <c r="EY57">
        <v>0</v>
      </c>
      <c r="EZ57">
        <v>0</v>
      </c>
      <c r="FA57">
        <v>-43000000</v>
      </c>
      <c r="FB57">
        <v>0</v>
      </c>
      <c r="FC57">
        <v>-43000000</v>
      </c>
      <c r="FD57">
        <v>-43000000</v>
      </c>
      <c r="FE57">
        <v>-43000000</v>
      </c>
      <c r="FF57">
        <v>-43000000</v>
      </c>
      <c r="FG57" s="32">
        <f>Bankingbook_SBV[[#This Row],[Mat. Date]]-RPT</f>
        <v>-2919</v>
      </c>
      <c r="FH57" s="32">
        <f>IF(Bankingbook_SBV[[#This Row],[Days]]&lt;=0,0,YEARFRAC(RPT,Bankingbook_SBV[[#This Row],[Mat. Date]],3))</f>
        <v>0</v>
      </c>
      <c r="FI57" s="32">
        <f>IF(Bankingbook_SBV[[#This Row],[Days (year)]]=0,0,INDEX(Ref!$K$2:$K$13,MATCH(Bankingbook_SBV[[#This Row],[Days (year)]],Ref!$I$2:$I$13,1)))</f>
        <v>0</v>
      </c>
      <c r="FJ57" s="32" t="str">
        <f>VLOOKUP(Bankingbook_SBV[[#This Row],[Security Name]],Ref!X:Z,3,0)</f>
        <v>TPCPBL</v>
      </c>
      <c r="FK57" s="32" t="str">
        <f>VLOOKUP(Bankingbook_SBV[[#This Row],[Security Name]],Ref!X:Y,2,0)</f>
        <v>VDB</v>
      </c>
      <c r="FL57" s="72">
        <f>IF((Bankingbook_SBV[[#This Row],[Mat. Date]]-RPT)&lt;=0,0,Bankingbook_SBV[[#This Row],[QUANTITY]])</f>
        <v>0</v>
      </c>
      <c r="FM57" s="32">
        <f>IF(Bankingbook_SBV[[#This Row],[Quantity_edited]]=0,0,Bankingbook_SBV[[#This Row],[DURATION]])</f>
        <v>0</v>
      </c>
      <c r="FN57" s="32">
        <f>IF(Bankingbook_SBV[[#This Row],[Quantity_edited]]=0,0,Bankingbook_SBV[[#This Row],[Mod Dur]])</f>
        <v>0</v>
      </c>
      <c r="FO57" s="32">
        <f>IF(Bankingbook_SBV[[#This Row],[Quantity_edited]]=0,0,Bankingbook_SBV[[#This Row],[Cnvx.]])</f>
        <v>0</v>
      </c>
      <c r="FP57" s="32">
        <f>(Bankingbook_SBV[[#This Row],[MARKET_VALUE]]+Bankingbook_SBV[[#This Row],[Accr Int]]*Bankingbook_SBV[[#This Row],[Quantity_edited]])*(-Bankingbook_SBV[[#This Row],[Modified Duration]]*0.0001+0.5*Bankingbook_SBV[[#This Row],[Conv]]*(0.0001^2))</f>
        <v>0</v>
      </c>
      <c r="FQ57" s="32">
        <f>(Bankingbook_SBV[[#This Row],[MARKET_VALUE]]+Bankingbook_SBV[[#This Row],[Accr Int]]*Bankingbook_SBV[[#This Row],[Quantity_edited]])*(-Bankingbook_SBV[[#This Row],[Modified Duration]]*0.01+0.5*Bankingbook_SBV[[#This Row],[Conv]]*(0.01^2))</f>
        <v>0</v>
      </c>
      <c r="FT57" t="s">
        <v>166</v>
      </c>
      <c r="FU57" t="s">
        <v>790</v>
      </c>
      <c r="FV57" t="s">
        <v>3990</v>
      </c>
      <c r="FW57">
        <v>3305546</v>
      </c>
      <c r="FX57" s="502">
        <v>46213</v>
      </c>
      <c r="FY57" t="s">
        <v>2176</v>
      </c>
      <c r="FZ57" t="s">
        <v>812</v>
      </c>
      <c r="GA57" t="s">
        <v>3585</v>
      </c>
      <c r="GB57" t="s">
        <v>810</v>
      </c>
      <c r="GC57" t="s">
        <v>3317</v>
      </c>
      <c r="GD57" s="500">
        <v>-254622000000</v>
      </c>
      <c r="GE57">
        <v>9.9995759999999994</v>
      </c>
      <c r="GF57" s="502">
        <v>46217</v>
      </c>
      <c r="GG57" s="502">
        <v>46307</v>
      </c>
      <c r="GH57">
        <v>4.5999999999999996</v>
      </c>
      <c r="GI57" t="s">
        <v>811</v>
      </c>
      <c r="GJ57" t="s">
        <v>3321</v>
      </c>
      <c r="GK57" t="s">
        <v>3321</v>
      </c>
      <c r="GL57">
        <v>1192479700</v>
      </c>
      <c r="GM57">
        <v>-1123127178.0799999</v>
      </c>
      <c r="GN57">
        <v>276258000000</v>
      </c>
      <c r="GO57">
        <v>7.83</v>
      </c>
      <c r="GP57">
        <v>0.14000000000000001</v>
      </c>
      <c r="GQ57">
        <v>0.14299999999999999</v>
      </c>
      <c r="GR57">
        <v>7.3289330000000001</v>
      </c>
      <c r="GS57">
        <v>-254730075136.85999</v>
      </c>
      <c r="GT57">
        <v>-108075136.86</v>
      </c>
      <c r="GU57" t="s">
        <v>4158</v>
      </c>
      <c r="GV57" t="s">
        <v>4158</v>
      </c>
      <c r="GW57" s="416">
        <f>FNRP_Repo[[#This Row],[Mat. Date]]-RPT</f>
        <v>55</v>
      </c>
      <c r="GX57" s="819" t="str">
        <f>IF(FNRP_Repo[[#This Row],[Days]]&lt;=0,"Mat",INDEX(Ref!U:U,MATCH(FNRP_Repo[[#This Row],[Days]],Ref!S:S,1)))</f>
        <v>2M</v>
      </c>
      <c r="GY57" s="417">
        <f>RIGHT(FNRP_Repo[[#This Row],[Deal Id]],5)+0</f>
        <v>18012</v>
      </c>
    </row>
    <row r="58" spans="2:207" x14ac:dyDescent="0.3">
      <c r="B58" t="s">
        <v>166</v>
      </c>
      <c r="C58" t="s">
        <v>167</v>
      </c>
      <c r="D58" t="s">
        <v>230</v>
      </c>
      <c r="E58" t="s">
        <v>169</v>
      </c>
      <c r="F58" s="502">
        <v>42145</v>
      </c>
      <c r="G58" t="s">
        <v>3322</v>
      </c>
      <c r="H58"/>
      <c r="I58"/>
      <c r="J58" s="38">
        <v>0</v>
      </c>
      <c r="K58">
        <v>0</v>
      </c>
      <c r="L58">
        <v>0</v>
      </c>
      <c r="M58" s="38">
        <v>0</v>
      </c>
      <c r="N58">
        <v>11.4</v>
      </c>
      <c r="O58">
        <v>0</v>
      </c>
      <c r="P58" s="37">
        <v>0</v>
      </c>
      <c r="Q58" s="37">
        <v>0</v>
      </c>
      <c r="R58" s="37">
        <v>317236827.77778053</v>
      </c>
      <c r="S58">
        <v>11.4</v>
      </c>
      <c r="T58" s="70">
        <v>0</v>
      </c>
      <c r="U58">
        <v>0</v>
      </c>
      <c r="V58">
        <v>0</v>
      </c>
      <c r="W58">
        <v>0</v>
      </c>
      <c r="X58" s="38">
        <v>0</v>
      </c>
      <c r="Y58">
        <v>0</v>
      </c>
      <c r="Z58" s="70">
        <v>13504500000</v>
      </c>
      <c r="AA58" s="70">
        <v>0</v>
      </c>
      <c r="AB58" s="70">
        <v>13504500000</v>
      </c>
      <c r="AC58" s="70">
        <v>13504500000</v>
      </c>
      <c r="AD58" s="70">
        <v>13504500000</v>
      </c>
      <c r="AE58" s="70">
        <v>13504500000</v>
      </c>
      <c r="AF58">
        <v>0</v>
      </c>
      <c r="AG58" s="72">
        <f>Tradingbook_MSB[[#This Row],[Mat. Date]]-RPT</f>
        <v>-4107</v>
      </c>
      <c r="AH58" s="71">
        <f>IF(Tradingbook_MSB[[#This Row],[Days]]&lt;=0,0,YEARFRAC(RPT,Tradingbook_MSB[[#This Row],[Mat. Date]],3))</f>
        <v>0</v>
      </c>
      <c r="AI58" s="71">
        <f>IF(Tradingbook_MSB[[#This Row],[Days (year)]]=0,0,INDEX(Ref!$K$2:$K$13,MATCH(Tradingbook_MSB[[#This Row],[Days (year)]],Ref!$I$2:$I$13,1)))</f>
        <v>0</v>
      </c>
      <c r="AJ58" s="120" t="str">
        <f>VLOOKUP(Tradingbook_MSB[[#This Row],[Security Name]],Ref!X:Z,3,0)</f>
        <v>TPCPBL</v>
      </c>
      <c r="AK58" s="120" t="str">
        <f>VLOOKUP(Tradingbook_MSB[[#This Row],[Security Name]],Ref!X:Y,2,0)</f>
        <v>VDB</v>
      </c>
      <c r="AL58" s="71">
        <f>IF((Tradingbook_MSB[[#This Row],[Mat. Date]]-RPT)&lt;=0,0,Tradingbook_MSB[[#This Row],[QUANTITY]])</f>
        <v>0</v>
      </c>
      <c r="AM58" s="71">
        <f>IF(Tradingbook_MSB[[#This Row],[Quantity_edited]]=0,0,Tradingbook_MSB[[#This Row],[DURATION]])</f>
        <v>0</v>
      </c>
      <c r="AN58" s="71">
        <f>IF(Tradingbook_MSB[[#This Row],[Quantity_edited]]=0,0,Tradingbook_MSB[[#This Row],[Mod Dur]])</f>
        <v>0</v>
      </c>
      <c r="AO58" s="71">
        <f>IF(Tradingbook_MSB[[#This Row],[Quantity_edited]]=0,0,Tradingbook_MSB[[#This Row],[Cnvx.]])</f>
        <v>0</v>
      </c>
      <c r="AP58" s="71">
        <f>(Tradingbook_MSB[[#This Row],[MARKET_VALUE]]+Tradingbook_MSB[[#This Row],[Accr Int]]*Tradingbook_MSB[[#This Row],[Quantity_edited]])*(-Tradingbook_MSB[[#This Row],[Modified Duration]]*0.0001+0.5*Tradingbook_MSB[[#This Row],[Conv]]*(0.0001^2))</f>
        <v>0</v>
      </c>
      <c r="AQ58" s="72">
        <f>(Tradingbook_MSB[[#This Row],[MARKET_VALUE]]+Tradingbook_MSB[[#This Row],[Accr Int]]*Tradingbook_MSB[[#This Row],[Quantity_edited]])*(-Tradingbook_MSB[[#This Row],[Modified Duration]]*0.01+0.5*Tradingbook_MSB[[#This Row],[Conv]]*(0.01^2))</f>
        <v>0</v>
      </c>
      <c r="AR58" s="71"/>
      <c r="AT58" t="s">
        <v>166</v>
      </c>
      <c r="AU58" t="s">
        <v>167</v>
      </c>
      <c r="AV58" t="s">
        <v>394</v>
      </c>
      <c r="AW58" t="s">
        <v>169</v>
      </c>
      <c r="AX58" t="s">
        <v>3369</v>
      </c>
      <c r="AY58" t="s">
        <v>3322</v>
      </c>
      <c r="BB58" s="49">
        <v>0</v>
      </c>
      <c r="BC58">
        <v>0</v>
      </c>
      <c r="BD58">
        <v>0</v>
      </c>
      <c r="BE58" s="37">
        <v>0</v>
      </c>
      <c r="BF58">
        <v>7.6</v>
      </c>
      <c r="BG58">
        <v>0</v>
      </c>
      <c r="BH58" s="34">
        <v>91200000000</v>
      </c>
      <c r="BI58">
        <v>98701081777.777878</v>
      </c>
      <c r="BJ58">
        <v>-43301793327.777802</v>
      </c>
      <c r="BK58">
        <v>0</v>
      </c>
      <c r="BL58">
        <v>0</v>
      </c>
      <c r="BM58">
        <v>0</v>
      </c>
      <c r="BN58">
        <v>0</v>
      </c>
      <c r="BO58">
        <v>0</v>
      </c>
      <c r="BP58">
        <v>0</v>
      </c>
      <c r="BQ58">
        <v>0</v>
      </c>
      <c r="BR58">
        <v>3578500000</v>
      </c>
      <c r="BS58">
        <v>0</v>
      </c>
      <c r="BT58">
        <v>3578500000</v>
      </c>
      <c r="BU58">
        <v>3578500000</v>
      </c>
      <c r="BV58">
        <v>3578500000</v>
      </c>
      <c r="BW58">
        <v>3578500000</v>
      </c>
      <c r="BX58">
        <v>0</v>
      </c>
      <c r="BY58" s="32">
        <f>Bankingbook_MSB[[#This Row],[Mat. Date]]-RPT</f>
        <v>-2728</v>
      </c>
      <c r="BZ58" s="71">
        <f>IF(Bankingbook_MSB[[#This Row],[Days]]&lt;=0,0,YEARFRAC(RPT,Bankingbook_MSB[[#This Row],[Mat. Date]],3))</f>
        <v>0</v>
      </c>
      <c r="CA58" s="71">
        <f>IF(Bankingbook_MSB[[#This Row],[Days (year)]]=0,0,INDEX(Ref!$K$2:$K$13,MATCH(Bankingbook_MSB[[#This Row],[Days (year)]],Ref!$I$2:$I$13,1)))</f>
        <v>0</v>
      </c>
      <c r="CB58" s="32" t="str">
        <f>VLOOKUP(Bankingbook_MSB[[#This Row],[Security Name]],Ref!X:Z,3,0)</f>
        <v>TPCP</v>
      </c>
      <c r="CC58" s="32" t="str">
        <f>VLOOKUP(Bankingbook_MSB[[#This Row],[Security Name]],Ref!X:Y,2,0)</f>
        <v>KBNN</v>
      </c>
      <c r="CD58" s="72">
        <f>IF((Bankingbook_MSB[[#This Row],[Mat. Date]]-RPT)&lt;=0,0,Bankingbook_MSB[[#This Row],[QUANTITY]])</f>
        <v>0</v>
      </c>
      <c r="CE58" s="71">
        <f>IF(Bankingbook_MSB[[#This Row],[Quantity_edited]]=0,0,Bankingbook_MSB[[#This Row],[DURATION]])</f>
        <v>0</v>
      </c>
      <c r="CF58" s="71">
        <f>IF(Bankingbook_MSB[[#This Row],[Quantity_edited]]=0,0,Bankingbook_MSB[[#This Row],[Mod Dur]])</f>
        <v>0</v>
      </c>
      <c r="CG58" s="71">
        <f>IF(Bankingbook_MSB[[#This Row],[Quantity_edited]]=0,0,Bankingbook_MSB[[#This Row],[Cnvx.]])</f>
        <v>0</v>
      </c>
      <c r="CH58" s="71">
        <f>(Bankingbook_MSB[[#This Row],[MARKET_VALUE]]+Bankingbook_MSB[[#This Row],[Accr Int]]*Bankingbook_MSB[[#This Row],[Quantity_edited]])*(-Bankingbook_MSB[[#This Row],[Modified Duration]]*0.0001+0.5*Bankingbook_MSB[[#This Row],[Conv]]*(0.0001^2))</f>
        <v>0</v>
      </c>
      <c r="CI58" s="71">
        <f>(Bankingbook_MSB[[#This Row],[MARKET_VALUE]]+Bankingbook_MSB[[#This Row],[Accr Int]]*Bankingbook_MSB[[#This Row],[Quantity_edited]])*(-Bankingbook_MSB[[#This Row],[Modified Duration]]*0.01+0.5*Bankingbook_MSB[[#This Row],[Conv]]*(0.01^2))</f>
        <v>0</v>
      </c>
      <c r="CJ58" s="32"/>
      <c r="CL58" t="s">
        <v>166</v>
      </c>
      <c r="CM58" t="s">
        <v>167</v>
      </c>
      <c r="CN58" t="s">
        <v>230</v>
      </c>
      <c r="CO58" t="s">
        <v>169</v>
      </c>
      <c r="CP58" s="35">
        <v>42145</v>
      </c>
      <c r="CQ58" t="s">
        <v>3322</v>
      </c>
      <c r="CR58" t="s">
        <v>174</v>
      </c>
      <c r="CS58" t="s">
        <v>174</v>
      </c>
      <c r="CT58" s="49">
        <v>0</v>
      </c>
      <c r="CU58">
        <v>0</v>
      </c>
      <c r="CV58">
        <v>0</v>
      </c>
      <c r="CW58" s="70">
        <v>0</v>
      </c>
      <c r="CX58">
        <v>11.4</v>
      </c>
      <c r="CY58">
        <v>0</v>
      </c>
      <c r="CZ58">
        <v>0</v>
      </c>
      <c r="DA58">
        <v>0</v>
      </c>
      <c r="DB58">
        <v>317236827.77778053</v>
      </c>
      <c r="DC58">
        <v>11.4</v>
      </c>
      <c r="DD58">
        <v>0</v>
      </c>
      <c r="DE58">
        <v>0</v>
      </c>
      <c r="DF58">
        <v>0</v>
      </c>
      <c r="DG58">
        <v>0</v>
      </c>
      <c r="DH58">
        <v>0</v>
      </c>
      <c r="DI58">
        <v>0</v>
      </c>
      <c r="DJ58" s="500">
        <v>13504500000</v>
      </c>
      <c r="DK58" s="500">
        <v>0</v>
      </c>
      <c r="DL58" s="37">
        <v>13504500000</v>
      </c>
      <c r="DM58" s="37">
        <v>13504500000</v>
      </c>
      <c r="DN58" s="37">
        <v>13504500000</v>
      </c>
      <c r="DO58" s="37">
        <v>13504500000</v>
      </c>
      <c r="DP58" s="32">
        <f>Tradingbook_SBV[[#This Row],[Mat. Date]]-RPT</f>
        <v>-4107</v>
      </c>
      <c r="DQ58" s="32">
        <f>IF(Tradingbook_SBV[[#This Row],[Days]]&lt;=0,0,YEARFRAC(RPT,Tradingbook_SBV[[#This Row],[Mat. Date]],3))</f>
        <v>0</v>
      </c>
      <c r="DR58" s="32">
        <f>IF(Tradingbook_SBV[[#This Row],[Days (year)]]=0,0,INDEX(Ref!$K$2:$K$13,MATCH(Tradingbook_SBV[[#This Row],[Days (year)]],Ref!$I$2:$I$13,1)))</f>
        <v>0</v>
      </c>
      <c r="DS58" s="32" t="str">
        <f>VLOOKUP(Tradingbook_SBV[[#This Row],[Security Name]],Ref!X:Z,3,0)</f>
        <v>TPCPBL</v>
      </c>
      <c r="DT58" s="32" t="str">
        <f>VLOOKUP(Tradingbook_SBV[[#This Row],[Security Name]],Ref!X:Y,2,0)</f>
        <v>VDB</v>
      </c>
      <c r="DU58" s="71">
        <f>IF((Tradingbook_SBV[[#This Row],[Mat. Date]]-RPT)&lt;=0,0,Tradingbook_SBV[[#This Row],[QUANTITY]])</f>
        <v>0</v>
      </c>
      <c r="DV58" s="71">
        <f>IF(Tradingbook_SBV[[#This Row],[Quantity_edited]]=0,0,Tradingbook_SBV[[#This Row],[DURATION]])</f>
        <v>0</v>
      </c>
      <c r="DW58" s="71">
        <f>IF(Tradingbook_SBV[[#This Row],[Quantity_edited]]=0,0,Tradingbook_SBV[[#This Row],[Mod Dur]])</f>
        <v>0</v>
      </c>
      <c r="DX58" s="71">
        <f>IF(Tradingbook_SBV[[#This Row],[Quantity_edited]]=0,0,Tradingbook_SBV[[#This Row],[Cnvx.]])</f>
        <v>0</v>
      </c>
      <c r="DY58" s="71">
        <f>(Tradingbook_SBV[[#This Row],[MARKET_VALUE]]+Tradingbook_SBV[[#This Row],[Accr Int]]*Tradingbook_SBV[[#This Row],[Quantity_edited]])*(-Tradingbook_SBV[[#This Row],[Modified Duration]]*0.0001+0.5*Tradingbook_SBV[[#This Row],[Conv]]*(0.0001^2))</f>
        <v>0</v>
      </c>
      <c r="DZ58" s="71">
        <f>(Tradingbook_SBV[[#This Row],[MARKET_VALUE]]+Tradingbook_SBV[[#This Row],[Accr Int]]*Tradingbook_SBV[[#This Row],[Quantity_edited]])*(-Tradingbook_SBV[[#This Row],[Modified Duration]]*0.01+0.5*Tradingbook_SBV[[#This Row],[Conv]]*(0.01^2))</f>
        <v>0</v>
      </c>
      <c r="EC58" t="s">
        <v>166</v>
      </c>
      <c r="ED58" t="s">
        <v>167</v>
      </c>
      <c r="EE58" t="s">
        <v>362</v>
      </c>
      <c r="EF58" t="s">
        <v>169</v>
      </c>
      <c r="EG58" s="35" t="s">
        <v>3727</v>
      </c>
      <c r="EH58" t="s">
        <v>170</v>
      </c>
      <c r="EK58" s="500">
        <v>500000</v>
      </c>
      <c r="EL58" s="500">
        <v>50000000000</v>
      </c>
      <c r="EM58" s="500">
        <v>99631</v>
      </c>
      <c r="EN58" s="500">
        <v>0</v>
      </c>
      <c r="EO58">
        <v>8.84</v>
      </c>
      <c r="EP58">
        <v>0</v>
      </c>
      <c r="EQ58">
        <v>0</v>
      </c>
      <c r="ER58">
        <v>0</v>
      </c>
      <c r="ES58">
        <v>-292905506.25001812</v>
      </c>
      <c r="ET58">
        <v>0</v>
      </c>
      <c r="EU58">
        <v>0</v>
      </c>
      <c r="EV58">
        <v>0</v>
      </c>
      <c r="EW58">
        <v>0</v>
      </c>
      <c r="EX58">
        <v>0</v>
      </c>
      <c r="EY58">
        <v>0</v>
      </c>
      <c r="EZ58">
        <v>0</v>
      </c>
      <c r="FA58">
        <v>184500000</v>
      </c>
      <c r="FB58">
        <v>0</v>
      </c>
      <c r="FC58">
        <v>184500000</v>
      </c>
      <c r="FD58">
        <v>184500000</v>
      </c>
      <c r="FE58">
        <v>184500000</v>
      </c>
      <c r="FF58">
        <v>184500000</v>
      </c>
      <c r="FG58" s="32">
        <f>Bankingbook_SBV[[#This Row],[Mat. Date]]-RPT</f>
        <v>-2899</v>
      </c>
      <c r="FH58" s="32">
        <f>IF(Bankingbook_SBV[[#This Row],[Days]]&lt;=0,0,YEARFRAC(RPT,Bankingbook_SBV[[#This Row],[Mat. Date]],3))</f>
        <v>0</v>
      </c>
      <c r="FI58" s="32">
        <f>IF(Bankingbook_SBV[[#This Row],[Days (year)]]=0,0,INDEX(Ref!$K$2:$K$13,MATCH(Bankingbook_SBV[[#This Row],[Days (year)]],Ref!$I$2:$I$13,1)))</f>
        <v>0</v>
      </c>
      <c r="FJ58" s="32" t="str">
        <f>VLOOKUP(Bankingbook_SBV[[#This Row],[Security Name]],Ref!X:Z,3,0)</f>
        <v>TPCP</v>
      </c>
      <c r="FK58" s="32" t="str">
        <f>VLOOKUP(Bankingbook_SBV[[#This Row],[Security Name]],Ref!X:Y,2,0)</f>
        <v>VDB</v>
      </c>
      <c r="FL58" s="72">
        <f>IF((Bankingbook_SBV[[#This Row],[Mat. Date]]-RPT)&lt;=0,0,Bankingbook_SBV[[#This Row],[QUANTITY]])</f>
        <v>0</v>
      </c>
      <c r="FM58" s="32">
        <f>IF(Bankingbook_SBV[[#This Row],[Quantity_edited]]=0,0,Bankingbook_SBV[[#This Row],[DURATION]])</f>
        <v>0</v>
      </c>
      <c r="FN58" s="32">
        <f>IF(Bankingbook_SBV[[#This Row],[Quantity_edited]]=0,0,Bankingbook_SBV[[#This Row],[Mod Dur]])</f>
        <v>0</v>
      </c>
      <c r="FO58" s="32">
        <f>IF(Bankingbook_SBV[[#This Row],[Quantity_edited]]=0,0,Bankingbook_SBV[[#This Row],[Cnvx.]])</f>
        <v>0</v>
      </c>
      <c r="FP58" s="32">
        <f>(Bankingbook_SBV[[#This Row],[MARKET_VALUE]]+Bankingbook_SBV[[#This Row],[Accr Int]]*Bankingbook_SBV[[#This Row],[Quantity_edited]])*(-Bankingbook_SBV[[#This Row],[Modified Duration]]*0.0001+0.5*Bankingbook_SBV[[#This Row],[Conv]]*(0.0001^2))</f>
        <v>0</v>
      </c>
      <c r="FQ58" s="32">
        <f>(Bankingbook_SBV[[#This Row],[MARKET_VALUE]]+Bankingbook_SBV[[#This Row],[Accr Int]]*Bankingbook_SBV[[#This Row],[Quantity_edited]])*(-Bankingbook_SBV[[#This Row],[Modified Duration]]*0.01+0.5*Bankingbook_SBV[[#This Row],[Conv]]*(0.01^2))</f>
        <v>0</v>
      </c>
      <c r="FT58" t="s">
        <v>166</v>
      </c>
      <c r="FU58" t="s">
        <v>790</v>
      </c>
      <c r="FV58" t="s">
        <v>4031</v>
      </c>
      <c r="FW58">
        <v>3314084</v>
      </c>
      <c r="FX58" s="502">
        <v>46224</v>
      </c>
      <c r="FY58" t="s">
        <v>2176</v>
      </c>
      <c r="FZ58" t="s">
        <v>812</v>
      </c>
      <c r="GA58" t="s">
        <v>3585</v>
      </c>
      <c r="GB58" t="s">
        <v>810</v>
      </c>
      <c r="GC58" t="s">
        <v>717</v>
      </c>
      <c r="GD58" s="500">
        <v>-656580000000</v>
      </c>
      <c r="GE58">
        <v>10.000206</v>
      </c>
      <c r="GF58" s="502">
        <v>46226</v>
      </c>
      <c r="GG58" s="502">
        <v>46316</v>
      </c>
      <c r="GH58">
        <v>4.5999999999999996</v>
      </c>
      <c r="GI58" t="s">
        <v>811</v>
      </c>
      <c r="GJ58" t="s">
        <v>3321</v>
      </c>
      <c r="GK58" t="s">
        <v>3321</v>
      </c>
      <c r="GL58">
        <v>2321739833.3299999</v>
      </c>
      <c r="GM58">
        <v>-2151423780.8200002</v>
      </c>
      <c r="GN58">
        <v>735560000000</v>
      </c>
      <c r="GO58">
        <v>10.74</v>
      </c>
      <c r="GP58">
        <v>0.17</v>
      </c>
      <c r="GQ58">
        <v>0.17100000000000001</v>
      </c>
      <c r="GR58">
        <v>7.464181</v>
      </c>
      <c r="GS58">
        <v>-655537501745.51001</v>
      </c>
      <c r="GT58">
        <v>1042498254.49</v>
      </c>
      <c r="GU58" t="s">
        <v>4093</v>
      </c>
      <c r="GV58" t="s">
        <v>4093</v>
      </c>
      <c r="GW58" s="416">
        <f>FNRP_Repo[[#This Row],[Mat. Date]]-RPT</f>
        <v>64</v>
      </c>
      <c r="GX58" s="819" t="str">
        <f>IF(FNRP_Repo[[#This Row],[Days]]&lt;=0,"Mat",INDEX(Ref!U:U,MATCH(FNRP_Repo[[#This Row],[Days]],Ref!S:S,1)))</f>
        <v>3M</v>
      </c>
      <c r="GY58" s="417">
        <f>RIGHT(FNRP_Repo[[#This Row],[Deal Id]],5)+0</f>
        <v>18071</v>
      </c>
    </row>
    <row r="59" spans="2:207" x14ac:dyDescent="0.3">
      <c r="B59" t="s">
        <v>166</v>
      </c>
      <c r="C59" t="s">
        <v>167</v>
      </c>
      <c r="D59" t="s">
        <v>231</v>
      </c>
      <c r="E59" t="s">
        <v>169</v>
      </c>
      <c r="F59" s="502">
        <v>42148</v>
      </c>
      <c r="G59" t="s">
        <v>3322</v>
      </c>
      <c r="H59"/>
      <c r="I59"/>
      <c r="J59" s="38">
        <v>0</v>
      </c>
      <c r="K59">
        <v>0</v>
      </c>
      <c r="L59">
        <v>0</v>
      </c>
      <c r="M59" s="38">
        <v>0</v>
      </c>
      <c r="N59">
        <v>8</v>
      </c>
      <c r="O59">
        <v>0</v>
      </c>
      <c r="P59" s="37">
        <v>0</v>
      </c>
      <c r="Q59" s="37">
        <v>0</v>
      </c>
      <c r="R59" s="37">
        <v>-9327482663.1944256</v>
      </c>
      <c r="S59">
        <v>8</v>
      </c>
      <c r="T59" s="70">
        <v>0</v>
      </c>
      <c r="U59">
        <v>0</v>
      </c>
      <c r="V59">
        <v>0</v>
      </c>
      <c r="W59">
        <v>0</v>
      </c>
      <c r="X59" s="38">
        <v>0</v>
      </c>
      <c r="Y59">
        <v>0</v>
      </c>
      <c r="Z59" s="70">
        <v>6832125000</v>
      </c>
      <c r="AA59" s="70">
        <v>0</v>
      </c>
      <c r="AB59" s="70">
        <v>6832125000</v>
      </c>
      <c r="AC59" s="70">
        <v>6832125000</v>
      </c>
      <c r="AD59" s="70">
        <v>6832125000</v>
      </c>
      <c r="AE59" s="70">
        <v>6832125000</v>
      </c>
      <c r="AF59">
        <v>0</v>
      </c>
      <c r="AG59" s="72">
        <f>Tradingbook_MSB[[#This Row],[Mat. Date]]-RPT</f>
        <v>-4104</v>
      </c>
      <c r="AH59" s="71">
        <f>IF(Tradingbook_MSB[[#This Row],[Days]]&lt;=0,0,YEARFRAC(RPT,Tradingbook_MSB[[#This Row],[Mat. Date]],3))</f>
        <v>0</v>
      </c>
      <c r="AI59" s="71">
        <f>IF(Tradingbook_MSB[[#This Row],[Days (year)]]=0,0,INDEX(Ref!$K$2:$K$13,MATCH(Tradingbook_MSB[[#This Row],[Days (year)]],Ref!$I$2:$I$13,1)))</f>
        <v>0</v>
      </c>
      <c r="AJ59" s="120" t="str">
        <f>VLOOKUP(Tradingbook_MSB[[#This Row],[Security Name]],Ref!X:Z,3,0)</f>
        <v>TPCPBL</v>
      </c>
      <c r="AK59" s="120" t="str">
        <f>VLOOKUP(Tradingbook_MSB[[#This Row],[Security Name]],Ref!X:Y,2,0)</f>
        <v>VDB</v>
      </c>
      <c r="AL59" s="71">
        <f>IF((Tradingbook_MSB[[#This Row],[Mat. Date]]-RPT)&lt;=0,0,Tradingbook_MSB[[#This Row],[QUANTITY]])</f>
        <v>0</v>
      </c>
      <c r="AM59" s="71">
        <f>IF(Tradingbook_MSB[[#This Row],[Quantity_edited]]=0,0,Tradingbook_MSB[[#This Row],[DURATION]])</f>
        <v>0</v>
      </c>
      <c r="AN59" s="71">
        <f>IF(Tradingbook_MSB[[#This Row],[Quantity_edited]]=0,0,Tradingbook_MSB[[#This Row],[Mod Dur]])</f>
        <v>0</v>
      </c>
      <c r="AO59" s="71">
        <f>IF(Tradingbook_MSB[[#This Row],[Quantity_edited]]=0,0,Tradingbook_MSB[[#This Row],[Cnvx.]])</f>
        <v>0</v>
      </c>
      <c r="AP59" s="71">
        <f>(Tradingbook_MSB[[#This Row],[MARKET_VALUE]]+Tradingbook_MSB[[#This Row],[Accr Int]]*Tradingbook_MSB[[#This Row],[Quantity_edited]])*(-Tradingbook_MSB[[#This Row],[Modified Duration]]*0.0001+0.5*Tradingbook_MSB[[#This Row],[Conv]]*(0.0001^2))</f>
        <v>0</v>
      </c>
      <c r="AQ59" s="72">
        <f>(Tradingbook_MSB[[#This Row],[MARKET_VALUE]]+Tradingbook_MSB[[#This Row],[Accr Int]]*Tradingbook_MSB[[#This Row],[Quantity_edited]])*(-Tradingbook_MSB[[#This Row],[Modified Duration]]*0.01+0.5*Tradingbook_MSB[[#This Row],[Conv]]*(0.01^2))</f>
        <v>0</v>
      </c>
      <c r="AR59" s="71"/>
      <c r="AT59" t="s">
        <v>166</v>
      </c>
      <c r="AU59" t="s">
        <v>167</v>
      </c>
      <c r="AV59" t="s">
        <v>398</v>
      </c>
      <c r="AW59" t="s">
        <v>169</v>
      </c>
      <c r="AX59" t="s">
        <v>3370</v>
      </c>
      <c r="AY59" t="s">
        <v>170</v>
      </c>
      <c r="BB59" s="49">
        <v>10000</v>
      </c>
      <c r="BC59">
        <v>1000000000</v>
      </c>
      <c r="BD59">
        <v>101103.86</v>
      </c>
      <c r="BE59" s="37">
        <v>0</v>
      </c>
      <c r="BF59">
        <v>7.1</v>
      </c>
      <c r="BG59">
        <v>0</v>
      </c>
      <c r="BH59" s="34">
        <v>85413000000</v>
      </c>
      <c r="BI59">
        <v>93497450894.444458</v>
      </c>
      <c r="BJ59">
        <v>-43328608725.049942</v>
      </c>
      <c r="BK59">
        <v>0</v>
      </c>
      <c r="BL59">
        <v>0</v>
      </c>
      <c r="BM59">
        <v>0</v>
      </c>
      <c r="BN59">
        <v>0</v>
      </c>
      <c r="BO59">
        <v>0</v>
      </c>
      <c r="BP59">
        <v>0</v>
      </c>
      <c r="BQ59">
        <v>0</v>
      </c>
      <c r="BR59">
        <v>14919499999.999935</v>
      </c>
      <c r="BS59">
        <v>0</v>
      </c>
      <c r="BT59">
        <v>14919499999.999935</v>
      </c>
      <c r="BU59">
        <v>14919499999.999935</v>
      </c>
      <c r="BV59">
        <v>14919500000</v>
      </c>
      <c r="BW59">
        <v>14919499999.999935</v>
      </c>
      <c r="BX59">
        <v>6.7870740310000004</v>
      </c>
      <c r="BY59" s="32">
        <f>Bankingbook_MSB[[#This Row],[Mat. Date]]-RPT</f>
        <v>-2697</v>
      </c>
      <c r="BZ59" s="71">
        <f>IF(Bankingbook_MSB[[#This Row],[Days]]&lt;=0,0,YEARFRAC(RPT,Bankingbook_MSB[[#This Row],[Mat. Date]],3))</f>
        <v>0</v>
      </c>
      <c r="CA59" s="71">
        <f>IF(Bankingbook_MSB[[#This Row],[Days (year)]]=0,0,INDEX(Ref!$K$2:$K$13,MATCH(Bankingbook_MSB[[#This Row],[Days (year)]],Ref!$I$2:$I$13,1)))</f>
        <v>0</v>
      </c>
      <c r="CB59" s="32" t="str">
        <f>VLOOKUP(Bankingbook_MSB[[#This Row],[Security Name]],Ref!X:Z,3,0)</f>
        <v>TPCP</v>
      </c>
      <c r="CC59" s="32" t="str">
        <f>VLOOKUP(Bankingbook_MSB[[#This Row],[Security Name]],Ref!X:Y,2,0)</f>
        <v>KBNN</v>
      </c>
      <c r="CD59" s="72">
        <f>IF((Bankingbook_MSB[[#This Row],[Mat. Date]]-RPT)&lt;=0,0,Bankingbook_MSB[[#This Row],[QUANTITY]])</f>
        <v>0</v>
      </c>
      <c r="CE59" s="71">
        <f>IF(Bankingbook_MSB[[#This Row],[Quantity_edited]]=0,0,Bankingbook_MSB[[#This Row],[DURATION]])</f>
        <v>0</v>
      </c>
      <c r="CF59" s="71">
        <f>IF(Bankingbook_MSB[[#This Row],[Quantity_edited]]=0,0,Bankingbook_MSB[[#This Row],[Mod Dur]])</f>
        <v>0</v>
      </c>
      <c r="CG59" s="71">
        <f>IF(Bankingbook_MSB[[#This Row],[Quantity_edited]]=0,0,Bankingbook_MSB[[#This Row],[Cnvx.]])</f>
        <v>0</v>
      </c>
      <c r="CH59" s="71">
        <f>(Bankingbook_MSB[[#This Row],[MARKET_VALUE]]+Bankingbook_MSB[[#This Row],[Accr Int]]*Bankingbook_MSB[[#This Row],[Quantity_edited]])*(-Bankingbook_MSB[[#This Row],[Modified Duration]]*0.0001+0.5*Bankingbook_MSB[[#This Row],[Conv]]*(0.0001^2))</f>
        <v>0</v>
      </c>
      <c r="CI59" s="71">
        <f>(Bankingbook_MSB[[#This Row],[MARKET_VALUE]]+Bankingbook_MSB[[#This Row],[Accr Int]]*Bankingbook_MSB[[#This Row],[Quantity_edited]])*(-Bankingbook_MSB[[#This Row],[Modified Duration]]*0.01+0.5*Bankingbook_MSB[[#This Row],[Conv]]*(0.01^2))</f>
        <v>0</v>
      </c>
      <c r="CJ59" s="32"/>
      <c r="CL59" t="s">
        <v>166</v>
      </c>
      <c r="CM59" t="s">
        <v>167</v>
      </c>
      <c r="CN59" t="s">
        <v>231</v>
      </c>
      <c r="CO59" t="s">
        <v>169</v>
      </c>
      <c r="CP59" s="35">
        <v>42148</v>
      </c>
      <c r="CQ59" t="s">
        <v>3322</v>
      </c>
      <c r="CR59" t="s">
        <v>174</v>
      </c>
      <c r="CS59" t="s">
        <v>174</v>
      </c>
      <c r="CT59" s="49">
        <v>0</v>
      </c>
      <c r="CU59">
        <v>0</v>
      </c>
      <c r="CV59">
        <v>0</v>
      </c>
      <c r="CW59" s="70">
        <v>0</v>
      </c>
      <c r="CX59">
        <v>8</v>
      </c>
      <c r="CY59">
        <v>0</v>
      </c>
      <c r="CZ59">
        <v>0</v>
      </c>
      <c r="DA59">
        <v>0</v>
      </c>
      <c r="DB59">
        <v>-9327482663.1944256</v>
      </c>
      <c r="DC59">
        <v>8</v>
      </c>
      <c r="DD59">
        <v>0</v>
      </c>
      <c r="DE59">
        <v>0</v>
      </c>
      <c r="DF59">
        <v>0</v>
      </c>
      <c r="DG59">
        <v>0</v>
      </c>
      <c r="DH59">
        <v>0</v>
      </c>
      <c r="DI59">
        <v>0</v>
      </c>
      <c r="DJ59" s="500">
        <v>6832125000</v>
      </c>
      <c r="DK59" s="500">
        <v>0</v>
      </c>
      <c r="DL59" s="37">
        <v>6832125000</v>
      </c>
      <c r="DM59" s="37">
        <v>6832125000</v>
      </c>
      <c r="DN59" s="37">
        <v>6832125000</v>
      </c>
      <c r="DO59" s="37">
        <v>6832125000</v>
      </c>
      <c r="DP59" s="32">
        <f>Tradingbook_SBV[[#This Row],[Mat. Date]]-RPT</f>
        <v>-4104</v>
      </c>
      <c r="DQ59" s="32">
        <f>IF(Tradingbook_SBV[[#This Row],[Days]]&lt;=0,0,YEARFRAC(RPT,Tradingbook_SBV[[#This Row],[Mat. Date]],3))</f>
        <v>0</v>
      </c>
      <c r="DR59" s="32">
        <f>IF(Tradingbook_SBV[[#This Row],[Days (year)]]=0,0,INDEX(Ref!$K$2:$K$13,MATCH(Tradingbook_SBV[[#This Row],[Days (year)]],Ref!$I$2:$I$13,1)))</f>
        <v>0</v>
      </c>
      <c r="DS59" s="32" t="str">
        <f>VLOOKUP(Tradingbook_SBV[[#This Row],[Security Name]],Ref!X:Z,3,0)</f>
        <v>TPCPBL</v>
      </c>
      <c r="DT59" s="32" t="str">
        <f>VLOOKUP(Tradingbook_SBV[[#This Row],[Security Name]],Ref!X:Y,2,0)</f>
        <v>VDB</v>
      </c>
      <c r="DU59" s="71">
        <f>IF((Tradingbook_SBV[[#This Row],[Mat. Date]]-RPT)&lt;=0,0,Tradingbook_SBV[[#This Row],[QUANTITY]])</f>
        <v>0</v>
      </c>
      <c r="DV59" s="71">
        <f>IF(Tradingbook_SBV[[#This Row],[Quantity_edited]]=0,0,Tradingbook_SBV[[#This Row],[DURATION]])</f>
        <v>0</v>
      </c>
      <c r="DW59" s="71">
        <f>IF(Tradingbook_SBV[[#This Row],[Quantity_edited]]=0,0,Tradingbook_SBV[[#This Row],[Mod Dur]])</f>
        <v>0</v>
      </c>
      <c r="DX59" s="71">
        <f>IF(Tradingbook_SBV[[#This Row],[Quantity_edited]]=0,0,Tradingbook_SBV[[#This Row],[Cnvx.]])</f>
        <v>0</v>
      </c>
      <c r="DY59" s="71">
        <f>(Tradingbook_SBV[[#This Row],[MARKET_VALUE]]+Tradingbook_SBV[[#This Row],[Accr Int]]*Tradingbook_SBV[[#This Row],[Quantity_edited]])*(-Tradingbook_SBV[[#This Row],[Modified Duration]]*0.0001+0.5*Tradingbook_SBV[[#This Row],[Conv]]*(0.0001^2))</f>
        <v>0</v>
      </c>
      <c r="DZ59" s="71">
        <f>(Tradingbook_SBV[[#This Row],[MARKET_VALUE]]+Tradingbook_SBV[[#This Row],[Accr Int]]*Tradingbook_SBV[[#This Row],[Quantity_edited]])*(-Tradingbook_SBV[[#This Row],[Modified Duration]]*0.01+0.5*Tradingbook_SBV[[#This Row],[Conv]]*(0.01^2))</f>
        <v>0</v>
      </c>
      <c r="EC59" t="s">
        <v>166</v>
      </c>
      <c r="ED59" t="s">
        <v>167</v>
      </c>
      <c r="EE59" t="s">
        <v>365</v>
      </c>
      <c r="EF59" t="s">
        <v>169</v>
      </c>
      <c r="EG59" s="35" t="s">
        <v>3728</v>
      </c>
      <c r="EH59" t="s">
        <v>170</v>
      </c>
      <c r="EK59" s="500">
        <v>38700</v>
      </c>
      <c r="EL59" s="500">
        <v>3870000000</v>
      </c>
      <c r="EM59" s="500">
        <v>101213</v>
      </c>
      <c r="EN59" s="500">
        <v>0</v>
      </c>
      <c r="EO59">
        <v>9.6999999999999993</v>
      </c>
      <c r="EP59">
        <v>0</v>
      </c>
      <c r="EQ59">
        <v>375390000</v>
      </c>
      <c r="ER59">
        <v>375390000</v>
      </c>
      <c r="ES59">
        <v>-30183029.129999977</v>
      </c>
      <c r="ET59">
        <v>0</v>
      </c>
      <c r="EU59">
        <v>0</v>
      </c>
      <c r="EV59">
        <v>0</v>
      </c>
      <c r="EW59">
        <v>0</v>
      </c>
      <c r="EX59">
        <v>0</v>
      </c>
      <c r="EY59">
        <v>0</v>
      </c>
      <c r="EZ59">
        <v>0</v>
      </c>
      <c r="FA59">
        <v>-46943100</v>
      </c>
      <c r="FB59">
        <v>0</v>
      </c>
      <c r="FC59">
        <v>-46943100</v>
      </c>
      <c r="FD59">
        <v>-46943100</v>
      </c>
      <c r="FE59">
        <v>-46943100</v>
      </c>
      <c r="FF59">
        <v>-46943100</v>
      </c>
      <c r="FG59" s="32">
        <f>Bankingbook_SBV[[#This Row],[Mat. Date]]-RPT</f>
        <v>-2885</v>
      </c>
      <c r="FH59" s="32">
        <f>IF(Bankingbook_SBV[[#This Row],[Days]]&lt;=0,0,YEARFRAC(RPT,Bankingbook_SBV[[#This Row],[Mat. Date]],3))</f>
        <v>0</v>
      </c>
      <c r="FI59" s="32">
        <f>IF(Bankingbook_SBV[[#This Row],[Days (year)]]=0,0,INDEX(Ref!$K$2:$K$13,MATCH(Bankingbook_SBV[[#This Row],[Days (year)]],Ref!$I$2:$I$13,1)))</f>
        <v>0</v>
      </c>
      <c r="FJ59" s="32" t="str">
        <f>VLOOKUP(Bankingbook_SBV[[#This Row],[Security Name]],Ref!X:Z,3,0)</f>
        <v>TPCP</v>
      </c>
      <c r="FK59" s="32" t="str">
        <f>VLOOKUP(Bankingbook_SBV[[#This Row],[Security Name]],Ref!X:Y,2,0)</f>
        <v>VDB</v>
      </c>
      <c r="FL59" s="72">
        <f>IF((Bankingbook_SBV[[#This Row],[Mat. Date]]-RPT)&lt;=0,0,Bankingbook_SBV[[#This Row],[QUANTITY]])</f>
        <v>0</v>
      </c>
      <c r="FM59" s="32">
        <f>IF(Bankingbook_SBV[[#This Row],[Quantity_edited]]=0,0,Bankingbook_SBV[[#This Row],[DURATION]])</f>
        <v>0</v>
      </c>
      <c r="FN59" s="32">
        <f>IF(Bankingbook_SBV[[#This Row],[Quantity_edited]]=0,0,Bankingbook_SBV[[#This Row],[Mod Dur]])</f>
        <v>0</v>
      </c>
      <c r="FO59" s="32">
        <f>IF(Bankingbook_SBV[[#This Row],[Quantity_edited]]=0,0,Bankingbook_SBV[[#This Row],[Cnvx.]])</f>
        <v>0</v>
      </c>
      <c r="FP59" s="32">
        <f>(Bankingbook_SBV[[#This Row],[MARKET_VALUE]]+Bankingbook_SBV[[#This Row],[Accr Int]]*Bankingbook_SBV[[#This Row],[Quantity_edited]])*(-Bankingbook_SBV[[#This Row],[Modified Duration]]*0.0001+0.5*Bankingbook_SBV[[#This Row],[Conv]]*(0.0001^2))</f>
        <v>0</v>
      </c>
      <c r="FQ59" s="32">
        <f>(Bankingbook_SBV[[#This Row],[MARKET_VALUE]]+Bankingbook_SBV[[#This Row],[Accr Int]]*Bankingbook_SBV[[#This Row],[Quantity_edited]])*(-Bankingbook_SBV[[#This Row],[Modified Duration]]*0.01+0.5*Bankingbook_SBV[[#This Row],[Conv]]*(0.01^2))</f>
        <v>0</v>
      </c>
      <c r="FT59" t="s">
        <v>166</v>
      </c>
      <c r="FU59" t="s">
        <v>790</v>
      </c>
      <c r="FV59" t="s">
        <v>4032</v>
      </c>
      <c r="FW59">
        <v>3314085</v>
      </c>
      <c r="FX59" s="502">
        <v>46224</v>
      </c>
      <c r="FY59" t="s">
        <v>2176</v>
      </c>
      <c r="FZ59" t="s">
        <v>812</v>
      </c>
      <c r="GA59" t="s">
        <v>3585</v>
      </c>
      <c r="GB59" t="s">
        <v>810</v>
      </c>
      <c r="GC59" t="s">
        <v>717</v>
      </c>
      <c r="GD59" s="500">
        <v>-656580000000</v>
      </c>
      <c r="GE59">
        <v>10.000206</v>
      </c>
      <c r="GF59" s="502">
        <v>46226</v>
      </c>
      <c r="GG59" s="502">
        <v>46316</v>
      </c>
      <c r="GH59">
        <v>4.5999999999999996</v>
      </c>
      <c r="GI59" t="s">
        <v>811</v>
      </c>
      <c r="GJ59" t="s">
        <v>3321</v>
      </c>
      <c r="GK59" t="s">
        <v>3321</v>
      </c>
      <c r="GL59">
        <v>2321739833.3299999</v>
      </c>
      <c r="GM59">
        <v>-2151423780.8200002</v>
      </c>
      <c r="GN59">
        <v>735560000000</v>
      </c>
      <c r="GO59">
        <v>10.74</v>
      </c>
      <c r="GP59">
        <v>0.17</v>
      </c>
      <c r="GQ59">
        <v>0.17100000000000001</v>
      </c>
      <c r="GR59">
        <v>7.464181</v>
      </c>
      <c r="GS59">
        <v>-655537501745.51001</v>
      </c>
      <c r="GT59">
        <v>1042498254.49</v>
      </c>
      <c r="GU59" t="s">
        <v>4093</v>
      </c>
      <c r="GV59" t="s">
        <v>4093</v>
      </c>
      <c r="GW59" s="416">
        <f>FNRP_Repo[[#This Row],[Mat. Date]]-RPT</f>
        <v>64</v>
      </c>
      <c r="GX59" s="819" t="str">
        <f>IF(FNRP_Repo[[#This Row],[Days]]&lt;=0,"Mat",INDEX(Ref!U:U,MATCH(FNRP_Repo[[#This Row],[Days]],Ref!S:S,1)))</f>
        <v>3M</v>
      </c>
      <c r="GY59" s="417">
        <f>RIGHT(FNRP_Repo[[#This Row],[Deal Id]],5)+0</f>
        <v>18072</v>
      </c>
    </row>
    <row r="60" spans="2:207" x14ac:dyDescent="0.3">
      <c r="B60" t="s">
        <v>166</v>
      </c>
      <c r="C60" t="s">
        <v>167</v>
      </c>
      <c r="D60" t="s">
        <v>232</v>
      </c>
      <c r="E60" t="s">
        <v>169</v>
      </c>
      <c r="F60" s="502">
        <v>42152</v>
      </c>
      <c r="G60" t="s">
        <v>3322</v>
      </c>
      <c r="H60"/>
      <c r="I60"/>
      <c r="J60" s="38">
        <v>0</v>
      </c>
      <c r="K60">
        <v>0</v>
      </c>
      <c r="L60">
        <v>0</v>
      </c>
      <c r="M60" s="38">
        <v>0</v>
      </c>
      <c r="N60">
        <v>11.4</v>
      </c>
      <c r="O60">
        <v>0</v>
      </c>
      <c r="P60" s="37">
        <v>0</v>
      </c>
      <c r="Q60" s="37">
        <v>0</v>
      </c>
      <c r="R60" s="37">
        <v>32470638.888888359</v>
      </c>
      <c r="S60">
        <v>11.4</v>
      </c>
      <c r="T60" s="70">
        <v>0</v>
      </c>
      <c r="U60">
        <v>0</v>
      </c>
      <c r="V60">
        <v>0</v>
      </c>
      <c r="W60">
        <v>0</v>
      </c>
      <c r="X60" s="38">
        <v>0</v>
      </c>
      <c r="Y60">
        <v>0</v>
      </c>
      <c r="Z60" s="70">
        <v>1660000000</v>
      </c>
      <c r="AA60" s="70">
        <v>0</v>
      </c>
      <c r="AB60" s="70">
        <v>1660000000</v>
      </c>
      <c r="AC60" s="70">
        <v>1660000000</v>
      </c>
      <c r="AD60" s="70">
        <v>1660000000</v>
      </c>
      <c r="AE60" s="70">
        <v>1660000000</v>
      </c>
      <c r="AF60">
        <v>0</v>
      </c>
      <c r="AG60" s="72">
        <f>Tradingbook_MSB[[#This Row],[Mat. Date]]-RPT</f>
        <v>-4100</v>
      </c>
      <c r="AH60" s="71">
        <f>IF(Tradingbook_MSB[[#This Row],[Days]]&lt;=0,0,YEARFRAC(RPT,Tradingbook_MSB[[#This Row],[Mat. Date]],3))</f>
        <v>0</v>
      </c>
      <c r="AI60" s="71">
        <f>IF(Tradingbook_MSB[[#This Row],[Days (year)]]=0,0,INDEX(Ref!$K$2:$K$13,MATCH(Tradingbook_MSB[[#This Row],[Days (year)]],Ref!$I$2:$I$13,1)))</f>
        <v>0</v>
      </c>
      <c r="AJ60" s="120" t="str">
        <f>VLOOKUP(Tradingbook_MSB[[#This Row],[Security Name]],Ref!X:Z,3,0)</f>
        <v>TPCPBL</v>
      </c>
      <c r="AK60" s="120" t="str">
        <f>VLOOKUP(Tradingbook_MSB[[#This Row],[Security Name]],Ref!X:Y,2,0)</f>
        <v>VDB</v>
      </c>
      <c r="AL60" s="71">
        <f>IF((Tradingbook_MSB[[#This Row],[Mat. Date]]-RPT)&lt;=0,0,Tradingbook_MSB[[#This Row],[QUANTITY]])</f>
        <v>0</v>
      </c>
      <c r="AM60" s="71">
        <f>IF(Tradingbook_MSB[[#This Row],[Quantity_edited]]=0,0,Tradingbook_MSB[[#This Row],[DURATION]])</f>
        <v>0</v>
      </c>
      <c r="AN60" s="71">
        <f>IF(Tradingbook_MSB[[#This Row],[Quantity_edited]]=0,0,Tradingbook_MSB[[#This Row],[Mod Dur]])</f>
        <v>0</v>
      </c>
      <c r="AO60" s="71">
        <f>IF(Tradingbook_MSB[[#This Row],[Quantity_edited]]=0,0,Tradingbook_MSB[[#This Row],[Cnvx.]])</f>
        <v>0</v>
      </c>
      <c r="AP60" s="71">
        <f>(Tradingbook_MSB[[#This Row],[MARKET_VALUE]]+Tradingbook_MSB[[#This Row],[Accr Int]]*Tradingbook_MSB[[#This Row],[Quantity_edited]])*(-Tradingbook_MSB[[#This Row],[Modified Duration]]*0.0001+0.5*Tradingbook_MSB[[#This Row],[Conv]]*(0.0001^2))</f>
        <v>0</v>
      </c>
      <c r="AQ60" s="72">
        <f>(Tradingbook_MSB[[#This Row],[MARKET_VALUE]]+Tradingbook_MSB[[#This Row],[Accr Int]]*Tradingbook_MSB[[#This Row],[Quantity_edited]])*(-Tradingbook_MSB[[#This Row],[Modified Duration]]*0.01+0.5*Tradingbook_MSB[[#This Row],[Conv]]*(0.01^2))</f>
        <v>0</v>
      </c>
      <c r="AR60" s="71"/>
      <c r="AT60" t="s">
        <v>166</v>
      </c>
      <c r="AU60" t="s">
        <v>167</v>
      </c>
      <c r="AV60" t="s">
        <v>400</v>
      </c>
      <c r="AW60" t="s">
        <v>169</v>
      </c>
      <c r="AX60" t="s">
        <v>3371</v>
      </c>
      <c r="AY60" t="s">
        <v>170</v>
      </c>
      <c r="BB60" s="49">
        <v>100000</v>
      </c>
      <c r="BC60">
        <v>10000000000</v>
      </c>
      <c r="BD60">
        <v>103726</v>
      </c>
      <c r="BE60" s="37">
        <v>0</v>
      </c>
      <c r="BF60">
        <v>7.1</v>
      </c>
      <c r="BG60">
        <v>0</v>
      </c>
      <c r="BH60" s="34">
        <v>16330000000</v>
      </c>
      <c r="BI60">
        <v>17721355444.44445</v>
      </c>
      <c r="BJ60">
        <v>-8215936896.5277548</v>
      </c>
      <c r="BK60">
        <v>0</v>
      </c>
      <c r="BL60">
        <v>0</v>
      </c>
      <c r="BM60">
        <v>0</v>
      </c>
      <c r="BN60">
        <v>0</v>
      </c>
      <c r="BO60">
        <v>0</v>
      </c>
      <c r="BP60">
        <v>0</v>
      </c>
      <c r="BQ60">
        <v>0</v>
      </c>
      <c r="BR60">
        <v>-2057900000</v>
      </c>
      <c r="BS60">
        <v>0</v>
      </c>
      <c r="BT60">
        <v>-2057900000</v>
      </c>
      <c r="BU60">
        <v>-2057900000</v>
      </c>
      <c r="BV60">
        <v>-2057900000</v>
      </c>
      <c r="BW60">
        <v>-2057900000</v>
      </c>
      <c r="BX60">
        <v>6.125</v>
      </c>
      <c r="BY60" s="32">
        <f>Bankingbook_MSB[[#This Row],[Mat. Date]]-RPT</f>
        <v>-2652</v>
      </c>
      <c r="BZ60" s="71">
        <f>IF(Bankingbook_MSB[[#This Row],[Days]]&lt;=0,0,YEARFRAC(RPT,Bankingbook_MSB[[#This Row],[Mat. Date]],3))</f>
        <v>0</v>
      </c>
      <c r="CA60" s="71">
        <f>IF(Bankingbook_MSB[[#This Row],[Days (year)]]=0,0,INDEX(Ref!$K$2:$K$13,MATCH(Bankingbook_MSB[[#This Row],[Days (year)]],Ref!$I$2:$I$13,1)))</f>
        <v>0</v>
      </c>
      <c r="CB60" s="32" t="str">
        <f>VLOOKUP(Bankingbook_MSB[[#This Row],[Security Name]],Ref!X:Z,3,0)</f>
        <v>TPCP</v>
      </c>
      <c r="CC60" s="32" t="str">
        <f>VLOOKUP(Bankingbook_MSB[[#This Row],[Security Name]],Ref!X:Y,2,0)</f>
        <v>KBNN</v>
      </c>
      <c r="CD60" s="72">
        <f>IF((Bankingbook_MSB[[#This Row],[Mat. Date]]-RPT)&lt;=0,0,Bankingbook_MSB[[#This Row],[QUANTITY]])</f>
        <v>0</v>
      </c>
      <c r="CE60" s="71">
        <f>IF(Bankingbook_MSB[[#This Row],[Quantity_edited]]=0,0,Bankingbook_MSB[[#This Row],[DURATION]])</f>
        <v>0</v>
      </c>
      <c r="CF60" s="71">
        <f>IF(Bankingbook_MSB[[#This Row],[Quantity_edited]]=0,0,Bankingbook_MSB[[#This Row],[Mod Dur]])</f>
        <v>0</v>
      </c>
      <c r="CG60" s="71">
        <f>IF(Bankingbook_MSB[[#This Row],[Quantity_edited]]=0,0,Bankingbook_MSB[[#This Row],[Cnvx.]])</f>
        <v>0</v>
      </c>
      <c r="CH60" s="71">
        <f>(Bankingbook_MSB[[#This Row],[MARKET_VALUE]]+Bankingbook_MSB[[#This Row],[Accr Int]]*Bankingbook_MSB[[#This Row],[Quantity_edited]])*(-Bankingbook_MSB[[#This Row],[Modified Duration]]*0.0001+0.5*Bankingbook_MSB[[#This Row],[Conv]]*(0.0001^2))</f>
        <v>0</v>
      </c>
      <c r="CI60" s="71">
        <f>(Bankingbook_MSB[[#This Row],[MARKET_VALUE]]+Bankingbook_MSB[[#This Row],[Accr Int]]*Bankingbook_MSB[[#This Row],[Quantity_edited]])*(-Bankingbook_MSB[[#This Row],[Modified Duration]]*0.01+0.5*Bankingbook_MSB[[#This Row],[Conv]]*(0.01^2))</f>
        <v>0</v>
      </c>
      <c r="CJ60" s="32"/>
      <c r="CL60" t="s">
        <v>166</v>
      </c>
      <c r="CM60" t="s">
        <v>167</v>
      </c>
      <c r="CN60" t="s">
        <v>232</v>
      </c>
      <c r="CO60" t="s">
        <v>169</v>
      </c>
      <c r="CP60" s="35">
        <v>42152</v>
      </c>
      <c r="CQ60" t="s">
        <v>3322</v>
      </c>
      <c r="CR60" t="s">
        <v>174</v>
      </c>
      <c r="CS60" t="s">
        <v>174</v>
      </c>
      <c r="CT60" s="49">
        <v>0</v>
      </c>
      <c r="CU60">
        <v>0</v>
      </c>
      <c r="CV60">
        <v>0</v>
      </c>
      <c r="CW60" s="70">
        <v>0</v>
      </c>
      <c r="CX60">
        <v>11.4</v>
      </c>
      <c r="CY60">
        <v>0</v>
      </c>
      <c r="CZ60">
        <v>0</v>
      </c>
      <c r="DA60">
        <v>0</v>
      </c>
      <c r="DB60">
        <v>32470638.888888359</v>
      </c>
      <c r="DC60">
        <v>11.4</v>
      </c>
      <c r="DD60">
        <v>0</v>
      </c>
      <c r="DE60">
        <v>0</v>
      </c>
      <c r="DF60">
        <v>0</v>
      </c>
      <c r="DG60">
        <v>0</v>
      </c>
      <c r="DH60">
        <v>0</v>
      </c>
      <c r="DI60">
        <v>0</v>
      </c>
      <c r="DJ60" s="500">
        <v>1660000000</v>
      </c>
      <c r="DK60" s="500">
        <v>0</v>
      </c>
      <c r="DL60" s="37">
        <v>1660000000</v>
      </c>
      <c r="DM60" s="37">
        <v>1660000000</v>
      </c>
      <c r="DN60" s="37">
        <v>1660000000</v>
      </c>
      <c r="DO60" s="37">
        <v>1660000000</v>
      </c>
      <c r="DP60" s="32">
        <f>Tradingbook_SBV[[#This Row],[Mat. Date]]-RPT</f>
        <v>-4100</v>
      </c>
      <c r="DQ60" s="32">
        <f>IF(Tradingbook_SBV[[#This Row],[Days]]&lt;=0,0,YEARFRAC(RPT,Tradingbook_SBV[[#This Row],[Mat. Date]],3))</f>
        <v>0</v>
      </c>
      <c r="DR60" s="32">
        <f>IF(Tradingbook_SBV[[#This Row],[Days (year)]]=0,0,INDEX(Ref!$K$2:$K$13,MATCH(Tradingbook_SBV[[#This Row],[Days (year)]],Ref!$I$2:$I$13,1)))</f>
        <v>0</v>
      </c>
      <c r="DS60" s="32" t="str">
        <f>VLOOKUP(Tradingbook_SBV[[#This Row],[Security Name]],Ref!X:Z,3,0)</f>
        <v>TPCPBL</v>
      </c>
      <c r="DT60" s="32" t="str">
        <f>VLOOKUP(Tradingbook_SBV[[#This Row],[Security Name]],Ref!X:Y,2,0)</f>
        <v>VDB</v>
      </c>
      <c r="DU60" s="71">
        <f>IF((Tradingbook_SBV[[#This Row],[Mat. Date]]-RPT)&lt;=0,0,Tradingbook_SBV[[#This Row],[QUANTITY]])</f>
        <v>0</v>
      </c>
      <c r="DV60" s="71">
        <f>IF(Tradingbook_SBV[[#This Row],[Quantity_edited]]=0,0,Tradingbook_SBV[[#This Row],[DURATION]])</f>
        <v>0</v>
      </c>
      <c r="DW60" s="71">
        <f>IF(Tradingbook_SBV[[#This Row],[Quantity_edited]]=0,0,Tradingbook_SBV[[#This Row],[Mod Dur]])</f>
        <v>0</v>
      </c>
      <c r="DX60" s="71">
        <f>IF(Tradingbook_SBV[[#This Row],[Quantity_edited]]=0,0,Tradingbook_SBV[[#This Row],[Cnvx.]])</f>
        <v>0</v>
      </c>
      <c r="DY60" s="71">
        <f>(Tradingbook_SBV[[#This Row],[MARKET_VALUE]]+Tradingbook_SBV[[#This Row],[Accr Int]]*Tradingbook_SBV[[#This Row],[Quantity_edited]])*(-Tradingbook_SBV[[#This Row],[Modified Duration]]*0.0001+0.5*Tradingbook_SBV[[#This Row],[Conv]]*(0.0001^2))</f>
        <v>0</v>
      </c>
      <c r="DZ60" s="71">
        <f>(Tradingbook_SBV[[#This Row],[MARKET_VALUE]]+Tradingbook_SBV[[#This Row],[Accr Int]]*Tradingbook_SBV[[#This Row],[Quantity_edited]])*(-Tradingbook_SBV[[#This Row],[Modified Duration]]*0.01+0.5*Tradingbook_SBV[[#This Row],[Conv]]*(0.01^2))</f>
        <v>0</v>
      </c>
      <c r="EC60" t="s">
        <v>166</v>
      </c>
      <c r="ED60" t="s">
        <v>167</v>
      </c>
      <c r="EE60" t="s">
        <v>381</v>
      </c>
      <c r="EF60" t="s">
        <v>169</v>
      </c>
      <c r="EG60" s="35" t="s">
        <v>380</v>
      </c>
      <c r="EH60" t="s">
        <v>3322</v>
      </c>
      <c r="EK60" s="500">
        <v>0</v>
      </c>
      <c r="EL60" s="500">
        <v>0</v>
      </c>
      <c r="EM60" s="500">
        <v>0</v>
      </c>
      <c r="EN60" s="500">
        <v>0</v>
      </c>
      <c r="EO60">
        <v>9.4</v>
      </c>
      <c r="EP60">
        <v>0</v>
      </c>
      <c r="EQ60">
        <v>4700000000</v>
      </c>
      <c r="ER60">
        <v>5063244722.2222271</v>
      </c>
      <c r="ES60">
        <v>-3946327523.6111164</v>
      </c>
      <c r="ET60">
        <v>0</v>
      </c>
      <c r="EU60">
        <v>0</v>
      </c>
      <c r="EV60">
        <v>0</v>
      </c>
      <c r="EW60">
        <v>0</v>
      </c>
      <c r="EX60">
        <v>0</v>
      </c>
      <c r="EY60">
        <v>0</v>
      </c>
      <c r="EZ60">
        <v>0</v>
      </c>
      <c r="FA60">
        <v>-193000000</v>
      </c>
      <c r="FB60">
        <v>0</v>
      </c>
      <c r="FC60">
        <v>-193000000</v>
      </c>
      <c r="FD60">
        <v>-193000000</v>
      </c>
      <c r="FE60">
        <v>-193000000</v>
      </c>
      <c r="FF60">
        <v>-193000000</v>
      </c>
      <c r="FG60" s="32">
        <f>Bankingbook_SBV[[#This Row],[Mat. Date]]-RPT</f>
        <v>-2799</v>
      </c>
      <c r="FH60" s="32">
        <f>IF(Bankingbook_SBV[[#This Row],[Days]]&lt;=0,0,YEARFRAC(RPT,Bankingbook_SBV[[#This Row],[Mat. Date]],3))</f>
        <v>0</v>
      </c>
      <c r="FI60" s="32">
        <f>IF(Bankingbook_SBV[[#This Row],[Days (year)]]=0,0,INDEX(Ref!$K$2:$K$13,MATCH(Bankingbook_SBV[[#This Row],[Days (year)]],Ref!$I$2:$I$13,1)))</f>
        <v>0</v>
      </c>
      <c r="FJ60" s="32" t="str">
        <f>VLOOKUP(Bankingbook_SBV[[#This Row],[Security Name]],Ref!X:Z,3,0)</f>
        <v>TPCPBL</v>
      </c>
      <c r="FK60" s="32" t="str">
        <f>VLOOKUP(Bankingbook_SBV[[#This Row],[Security Name]],Ref!X:Y,2,0)</f>
        <v>VDB</v>
      </c>
      <c r="FL60" s="72">
        <f>IF((Bankingbook_SBV[[#This Row],[Mat. Date]]-RPT)&lt;=0,0,Bankingbook_SBV[[#This Row],[QUANTITY]])</f>
        <v>0</v>
      </c>
      <c r="FM60" s="32">
        <f>IF(Bankingbook_SBV[[#This Row],[Quantity_edited]]=0,0,Bankingbook_SBV[[#This Row],[DURATION]])</f>
        <v>0</v>
      </c>
      <c r="FN60" s="32">
        <f>IF(Bankingbook_SBV[[#This Row],[Quantity_edited]]=0,0,Bankingbook_SBV[[#This Row],[Mod Dur]])</f>
        <v>0</v>
      </c>
      <c r="FO60" s="32">
        <f>IF(Bankingbook_SBV[[#This Row],[Quantity_edited]]=0,0,Bankingbook_SBV[[#This Row],[Cnvx.]])</f>
        <v>0</v>
      </c>
      <c r="FP60" s="32">
        <f>(Bankingbook_SBV[[#This Row],[MARKET_VALUE]]+Bankingbook_SBV[[#This Row],[Accr Int]]*Bankingbook_SBV[[#This Row],[Quantity_edited]])*(-Bankingbook_SBV[[#This Row],[Modified Duration]]*0.0001+0.5*Bankingbook_SBV[[#This Row],[Conv]]*(0.0001^2))</f>
        <v>0</v>
      </c>
      <c r="FQ60" s="32">
        <f>(Bankingbook_SBV[[#This Row],[MARKET_VALUE]]+Bankingbook_SBV[[#This Row],[Accr Int]]*Bankingbook_SBV[[#This Row],[Quantity_edited]])*(-Bankingbook_SBV[[#This Row],[Modified Duration]]*0.01+0.5*Bankingbook_SBV[[#This Row],[Conv]]*(0.01^2))</f>
        <v>0</v>
      </c>
      <c r="FT60" t="s">
        <v>166</v>
      </c>
      <c r="FU60" t="s">
        <v>790</v>
      </c>
      <c r="FV60" t="s">
        <v>4033</v>
      </c>
      <c r="FW60">
        <v>3314087</v>
      </c>
      <c r="FX60" s="502">
        <v>46224</v>
      </c>
      <c r="FY60" t="s">
        <v>2176</v>
      </c>
      <c r="FZ60" t="s">
        <v>812</v>
      </c>
      <c r="GA60" t="s">
        <v>3585</v>
      </c>
      <c r="GB60" t="s">
        <v>810</v>
      </c>
      <c r="GC60" t="s">
        <v>717</v>
      </c>
      <c r="GD60" s="500">
        <v>-814159200000</v>
      </c>
      <c r="GE60">
        <v>10.000206</v>
      </c>
      <c r="GF60" s="502">
        <v>46226</v>
      </c>
      <c r="GG60" s="502">
        <v>46316</v>
      </c>
      <c r="GH60">
        <v>4.5999999999999996</v>
      </c>
      <c r="GI60" t="s">
        <v>811</v>
      </c>
      <c r="GJ60" t="s">
        <v>3321</v>
      </c>
      <c r="GK60" t="s">
        <v>3321</v>
      </c>
      <c r="GL60">
        <v>2878957393.3299999</v>
      </c>
      <c r="GM60">
        <v>-2667765488.2199998</v>
      </c>
      <c r="GN60">
        <v>912094400000</v>
      </c>
      <c r="GO60">
        <v>10.74</v>
      </c>
      <c r="GP60">
        <v>0.17</v>
      </c>
      <c r="GQ60">
        <v>0.17100000000000001</v>
      </c>
      <c r="GR60">
        <v>7.464181</v>
      </c>
      <c r="GS60">
        <v>-812866502165.06006</v>
      </c>
      <c r="GT60">
        <v>1292697834.9400001</v>
      </c>
      <c r="GU60" t="s">
        <v>4094</v>
      </c>
      <c r="GV60" t="s">
        <v>4094</v>
      </c>
      <c r="GW60" s="416">
        <f>FNRP_Repo[[#This Row],[Mat. Date]]-RPT</f>
        <v>64</v>
      </c>
      <c r="GX60" s="819" t="str">
        <f>IF(FNRP_Repo[[#This Row],[Days]]&lt;=0,"Mat",INDEX(Ref!U:U,MATCH(FNRP_Repo[[#This Row],[Days]],Ref!S:S,1)))</f>
        <v>3M</v>
      </c>
      <c r="GY60" s="417">
        <f>RIGHT(FNRP_Repo[[#This Row],[Deal Id]],5)+0</f>
        <v>18073</v>
      </c>
    </row>
    <row r="61" spans="2:207" x14ac:dyDescent="0.3">
      <c r="B61" t="s">
        <v>166</v>
      </c>
      <c r="C61" t="s">
        <v>167</v>
      </c>
      <c r="D61" t="s">
        <v>233</v>
      </c>
      <c r="E61" t="s">
        <v>169</v>
      </c>
      <c r="F61" s="502">
        <v>42153</v>
      </c>
      <c r="G61" t="s">
        <v>3322</v>
      </c>
      <c r="H61"/>
      <c r="I61"/>
      <c r="J61" s="38">
        <v>0</v>
      </c>
      <c r="K61">
        <v>0</v>
      </c>
      <c r="L61">
        <v>0</v>
      </c>
      <c r="M61" s="38">
        <v>0</v>
      </c>
      <c r="N61">
        <v>9.5</v>
      </c>
      <c r="O61">
        <v>0</v>
      </c>
      <c r="P61" s="37">
        <v>0</v>
      </c>
      <c r="Q61" s="37">
        <v>0</v>
      </c>
      <c r="R61" s="37">
        <v>681375888.8888855</v>
      </c>
      <c r="S61">
        <v>9.5</v>
      </c>
      <c r="T61" s="70">
        <v>0</v>
      </c>
      <c r="U61">
        <v>0</v>
      </c>
      <c r="V61">
        <v>0</v>
      </c>
      <c r="W61">
        <v>0</v>
      </c>
      <c r="X61" s="38">
        <v>0</v>
      </c>
      <c r="Y61">
        <v>0</v>
      </c>
      <c r="Z61" s="70">
        <v>23568000000</v>
      </c>
      <c r="AA61" s="70">
        <v>0</v>
      </c>
      <c r="AB61" s="70">
        <v>23568000000</v>
      </c>
      <c r="AC61" s="70">
        <v>23568000000</v>
      </c>
      <c r="AD61" s="70">
        <v>23568000000</v>
      </c>
      <c r="AE61" s="70">
        <v>23568000000</v>
      </c>
      <c r="AF61">
        <v>0</v>
      </c>
      <c r="AG61" s="72">
        <f>Tradingbook_MSB[[#This Row],[Mat. Date]]-RPT</f>
        <v>-4099</v>
      </c>
      <c r="AH61" s="71">
        <f>IF(Tradingbook_MSB[[#This Row],[Days]]&lt;=0,0,YEARFRAC(RPT,Tradingbook_MSB[[#This Row],[Mat. Date]],3))</f>
        <v>0</v>
      </c>
      <c r="AI61" s="71">
        <f>IF(Tradingbook_MSB[[#This Row],[Days (year)]]=0,0,INDEX(Ref!$K$2:$K$13,MATCH(Tradingbook_MSB[[#This Row],[Days (year)]],Ref!$I$2:$I$13,1)))</f>
        <v>0</v>
      </c>
      <c r="AJ61" s="120" t="str">
        <f>VLOOKUP(Tradingbook_MSB[[#This Row],[Security Name]],Ref!X:Z,3,0)</f>
        <v>TPCPBL</v>
      </c>
      <c r="AK61" s="120" t="str">
        <f>VLOOKUP(Tradingbook_MSB[[#This Row],[Security Name]],Ref!X:Y,2,0)</f>
        <v>VDB</v>
      </c>
      <c r="AL61" s="71">
        <f>IF((Tradingbook_MSB[[#This Row],[Mat. Date]]-RPT)&lt;=0,0,Tradingbook_MSB[[#This Row],[QUANTITY]])</f>
        <v>0</v>
      </c>
      <c r="AM61" s="71">
        <f>IF(Tradingbook_MSB[[#This Row],[Quantity_edited]]=0,0,Tradingbook_MSB[[#This Row],[DURATION]])</f>
        <v>0</v>
      </c>
      <c r="AN61" s="71">
        <f>IF(Tradingbook_MSB[[#This Row],[Quantity_edited]]=0,0,Tradingbook_MSB[[#This Row],[Mod Dur]])</f>
        <v>0</v>
      </c>
      <c r="AO61" s="71">
        <f>IF(Tradingbook_MSB[[#This Row],[Quantity_edited]]=0,0,Tradingbook_MSB[[#This Row],[Cnvx.]])</f>
        <v>0</v>
      </c>
      <c r="AP61" s="71">
        <f>(Tradingbook_MSB[[#This Row],[MARKET_VALUE]]+Tradingbook_MSB[[#This Row],[Accr Int]]*Tradingbook_MSB[[#This Row],[Quantity_edited]])*(-Tradingbook_MSB[[#This Row],[Modified Duration]]*0.0001+0.5*Tradingbook_MSB[[#This Row],[Conv]]*(0.0001^2))</f>
        <v>0</v>
      </c>
      <c r="AQ61" s="72">
        <f>(Tradingbook_MSB[[#This Row],[MARKET_VALUE]]+Tradingbook_MSB[[#This Row],[Accr Int]]*Tradingbook_MSB[[#This Row],[Quantity_edited]])*(-Tradingbook_MSB[[#This Row],[Modified Duration]]*0.01+0.5*Tradingbook_MSB[[#This Row],[Conv]]*(0.01^2))</f>
        <v>0</v>
      </c>
      <c r="AR61" s="71"/>
      <c r="AT61" t="s">
        <v>166</v>
      </c>
      <c r="AU61" t="s">
        <v>167</v>
      </c>
      <c r="AV61" t="s">
        <v>404</v>
      </c>
      <c r="AW61" t="s">
        <v>169</v>
      </c>
      <c r="AX61" t="s">
        <v>3372</v>
      </c>
      <c r="AY61" t="s">
        <v>3322</v>
      </c>
      <c r="BB61" s="49">
        <v>0</v>
      </c>
      <c r="BC61">
        <v>0</v>
      </c>
      <c r="BD61">
        <v>0</v>
      </c>
      <c r="BE61" s="37">
        <v>0</v>
      </c>
      <c r="BF61">
        <v>7.1</v>
      </c>
      <c r="BG61">
        <v>0</v>
      </c>
      <c r="BH61" s="34">
        <v>49700000000</v>
      </c>
      <c r="BI61">
        <v>54427747013.888885</v>
      </c>
      <c r="BJ61">
        <v>-23496196197.222252</v>
      </c>
      <c r="BK61">
        <v>0</v>
      </c>
      <c r="BL61">
        <v>0</v>
      </c>
      <c r="BM61">
        <v>0</v>
      </c>
      <c r="BN61">
        <v>0</v>
      </c>
      <c r="BO61">
        <v>0</v>
      </c>
      <c r="BP61">
        <v>0</v>
      </c>
      <c r="BQ61">
        <v>0</v>
      </c>
      <c r="BR61">
        <v>8909000000</v>
      </c>
      <c r="BS61">
        <v>0</v>
      </c>
      <c r="BT61">
        <v>8909000000</v>
      </c>
      <c r="BU61">
        <v>8909000000</v>
      </c>
      <c r="BV61">
        <v>8909000000</v>
      </c>
      <c r="BW61">
        <v>8909000000</v>
      </c>
      <c r="BX61">
        <v>0</v>
      </c>
      <c r="BY61" s="32">
        <f>Bankingbook_MSB[[#This Row],[Mat. Date]]-RPT</f>
        <v>-2606</v>
      </c>
      <c r="BZ61" s="71">
        <f>IF(Bankingbook_MSB[[#This Row],[Days]]&lt;=0,0,YEARFRAC(RPT,Bankingbook_MSB[[#This Row],[Mat. Date]],3))</f>
        <v>0</v>
      </c>
      <c r="CA61" s="71">
        <f>IF(Bankingbook_MSB[[#This Row],[Days (year)]]=0,0,INDEX(Ref!$K$2:$K$13,MATCH(Bankingbook_MSB[[#This Row],[Days (year)]],Ref!$I$2:$I$13,1)))</f>
        <v>0</v>
      </c>
      <c r="CB61" s="32" t="str">
        <f>VLOOKUP(Bankingbook_MSB[[#This Row],[Security Name]],Ref!X:Z,3,0)</f>
        <v>TPCP</v>
      </c>
      <c r="CC61" s="32" t="str">
        <f>VLOOKUP(Bankingbook_MSB[[#This Row],[Security Name]],Ref!X:Y,2,0)</f>
        <v>KBNN</v>
      </c>
      <c r="CD61" s="72">
        <f>IF((Bankingbook_MSB[[#This Row],[Mat. Date]]-RPT)&lt;=0,0,Bankingbook_MSB[[#This Row],[QUANTITY]])</f>
        <v>0</v>
      </c>
      <c r="CE61" s="71">
        <f>IF(Bankingbook_MSB[[#This Row],[Quantity_edited]]=0,0,Bankingbook_MSB[[#This Row],[DURATION]])</f>
        <v>0</v>
      </c>
      <c r="CF61" s="71">
        <f>IF(Bankingbook_MSB[[#This Row],[Quantity_edited]]=0,0,Bankingbook_MSB[[#This Row],[Mod Dur]])</f>
        <v>0</v>
      </c>
      <c r="CG61" s="71">
        <f>IF(Bankingbook_MSB[[#This Row],[Quantity_edited]]=0,0,Bankingbook_MSB[[#This Row],[Cnvx.]])</f>
        <v>0</v>
      </c>
      <c r="CH61" s="71">
        <f>(Bankingbook_MSB[[#This Row],[MARKET_VALUE]]+Bankingbook_MSB[[#This Row],[Accr Int]]*Bankingbook_MSB[[#This Row],[Quantity_edited]])*(-Bankingbook_MSB[[#This Row],[Modified Duration]]*0.0001+0.5*Bankingbook_MSB[[#This Row],[Conv]]*(0.0001^2))</f>
        <v>0</v>
      </c>
      <c r="CI61" s="71">
        <f>(Bankingbook_MSB[[#This Row],[MARKET_VALUE]]+Bankingbook_MSB[[#This Row],[Accr Int]]*Bankingbook_MSB[[#This Row],[Quantity_edited]])*(-Bankingbook_MSB[[#This Row],[Modified Duration]]*0.01+0.5*Bankingbook_MSB[[#This Row],[Conv]]*(0.01^2))</f>
        <v>0</v>
      </c>
      <c r="CJ61" s="32"/>
      <c r="CL61" t="s">
        <v>166</v>
      </c>
      <c r="CM61" t="s">
        <v>167</v>
      </c>
      <c r="CN61" t="s">
        <v>233</v>
      </c>
      <c r="CO61" t="s">
        <v>169</v>
      </c>
      <c r="CP61" s="35">
        <v>42153</v>
      </c>
      <c r="CQ61" t="s">
        <v>3322</v>
      </c>
      <c r="CR61" t="s">
        <v>174</v>
      </c>
      <c r="CS61" t="s">
        <v>174</v>
      </c>
      <c r="CT61" s="49">
        <v>0</v>
      </c>
      <c r="CU61">
        <v>0</v>
      </c>
      <c r="CV61">
        <v>0</v>
      </c>
      <c r="CW61" s="70">
        <v>0</v>
      </c>
      <c r="CX61">
        <v>9.5</v>
      </c>
      <c r="CY61">
        <v>0</v>
      </c>
      <c r="CZ61">
        <v>0</v>
      </c>
      <c r="DA61">
        <v>0</v>
      </c>
      <c r="DB61">
        <v>681375888.8888855</v>
      </c>
      <c r="DC61">
        <v>9.5</v>
      </c>
      <c r="DD61">
        <v>0</v>
      </c>
      <c r="DE61">
        <v>0</v>
      </c>
      <c r="DF61">
        <v>0</v>
      </c>
      <c r="DG61">
        <v>0</v>
      </c>
      <c r="DH61">
        <v>0</v>
      </c>
      <c r="DI61">
        <v>0</v>
      </c>
      <c r="DJ61" s="500">
        <v>23568000000</v>
      </c>
      <c r="DK61" s="500">
        <v>0</v>
      </c>
      <c r="DL61" s="37">
        <v>23568000000</v>
      </c>
      <c r="DM61" s="37">
        <v>23568000000</v>
      </c>
      <c r="DN61" s="37">
        <v>23568000000</v>
      </c>
      <c r="DO61" s="37">
        <v>23568000000</v>
      </c>
      <c r="DP61" s="32">
        <f>Tradingbook_SBV[[#This Row],[Mat. Date]]-RPT</f>
        <v>-4099</v>
      </c>
      <c r="DQ61" s="32">
        <f>IF(Tradingbook_SBV[[#This Row],[Days]]&lt;=0,0,YEARFRAC(RPT,Tradingbook_SBV[[#This Row],[Mat. Date]],3))</f>
        <v>0</v>
      </c>
      <c r="DR61" s="32">
        <f>IF(Tradingbook_SBV[[#This Row],[Days (year)]]=0,0,INDEX(Ref!$K$2:$K$13,MATCH(Tradingbook_SBV[[#This Row],[Days (year)]],Ref!$I$2:$I$13,1)))</f>
        <v>0</v>
      </c>
      <c r="DS61" s="32" t="str">
        <f>VLOOKUP(Tradingbook_SBV[[#This Row],[Security Name]],Ref!X:Z,3,0)</f>
        <v>TPCPBL</v>
      </c>
      <c r="DT61" s="32" t="str">
        <f>VLOOKUP(Tradingbook_SBV[[#This Row],[Security Name]],Ref!X:Y,2,0)</f>
        <v>VDB</v>
      </c>
      <c r="DU61" s="71">
        <f>IF((Tradingbook_SBV[[#This Row],[Mat. Date]]-RPT)&lt;=0,0,Tradingbook_SBV[[#This Row],[QUANTITY]])</f>
        <v>0</v>
      </c>
      <c r="DV61" s="71">
        <f>IF(Tradingbook_SBV[[#This Row],[Quantity_edited]]=0,0,Tradingbook_SBV[[#This Row],[DURATION]])</f>
        <v>0</v>
      </c>
      <c r="DW61" s="71">
        <f>IF(Tradingbook_SBV[[#This Row],[Quantity_edited]]=0,0,Tradingbook_SBV[[#This Row],[Mod Dur]])</f>
        <v>0</v>
      </c>
      <c r="DX61" s="71">
        <f>IF(Tradingbook_SBV[[#This Row],[Quantity_edited]]=0,0,Tradingbook_SBV[[#This Row],[Cnvx.]])</f>
        <v>0</v>
      </c>
      <c r="DY61" s="71">
        <f>(Tradingbook_SBV[[#This Row],[MARKET_VALUE]]+Tradingbook_SBV[[#This Row],[Accr Int]]*Tradingbook_SBV[[#This Row],[Quantity_edited]])*(-Tradingbook_SBV[[#This Row],[Modified Duration]]*0.0001+0.5*Tradingbook_SBV[[#This Row],[Conv]]*(0.0001^2))</f>
        <v>0</v>
      </c>
      <c r="DZ61" s="71">
        <f>(Tradingbook_SBV[[#This Row],[MARKET_VALUE]]+Tradingbook_SBV[[#This Row],[Accr Int]]*Tradingbook_SBV[[#This Row],[Quantity_edited]])*(-Tradingbook_SBV[[#This Row],[Modified Duration]]*0.01+0.5*Tradingbook_SBV[[#This Row],[Conv]]*(0.01^2))</f>
        <v>0</v>
      </c>
      <c r="EC61" t="s">
        <v>166</v>
      </c>
      <c r="ED61" t="s">
        <v>167</v>
      </c>
      <c r="EE61" t="s">
        <v>389</v>
      </c>
      <c r="EF61" t="s">
        <v>169</v>
      </c>
      <c r="EG61" s="35" t="s">
        <v>3367</v>
      </c>
      <c r="EH61" t="s">
        <v>3322</v>
      </c>
      <c r="EK61" s="500">
        <v>0</v>
      </c>
      <c r="EL61" s="500">
        <v>0</v>
      </c>
      <c r="EM61" s="500">
        <v>0</v>
      </c>
      <c r="EN61" s="500">
        <v>0</v>
      </c>
      <c r="EO61">
        <v>8.1999999999999993</v>
      </c>
      <c r="EP61">
        <v>0</v>
      </c>
      <c r="EQ61">
        <v>98400000000</v>
      </c>
      <c r="ER61">
        <v>106376006750.00009</v>
      </c>
      <c r="ES61">
        <v>-39129251645.486336</v>
      </c>
      <c r="ET61">
        <v>0</v>
      </c>
      <c r="EU61">
        <v>0</v>
      </c>
      <c r="EV61">
        <v>0</v>
      </c>
      <c r="EW61">
        <v>0</v>
      </c>
      <c r="EX61">
        <v>0</v>
      </c>
      <c r="EY61">
        <v>0</v>
      </c>
      <c r="EZ61">
        <v>0</v>
      </c>
      <c r="FA61">
        <v>-20080000000</v>
      </c>
      <c r="FB61">
        <v>0</v>
      </c>
      <c r="FC61">
        <v>-20080000000</v>
      </c>
      <c r="FD61">
        <v>-20080000000</v>
      </c>
      <c r="FE61">
        <v>-20080000000</v>
      </c>
      <c r="FF61">
        <v>-20080000000</v>
      </c>
      <c r="FG61" s="32">
        <f>Bankingbook_SBV[[#This Row],[Mat. Date]]-RPT</f>
        <v>-2772</v>
      </c>
      <c r="FH61" s="32">
        <f>IF(Bankingbook_SBV[[#This Row],[Days]]&lt;=0,0,YEARFRAC(RPT,Bankingbook_SBV[[#This Row],[Mat. Date]],3))</f>
        <v>0</v>
      </c>
      <c r="FI61" s="32">
        <f>IF(Bankingbook_SBV[[#This Row],[Days (year)]]=0,0,INDEX(Ref!$K$2:$K$13,MATCH(Bankingbook_SBV[[#This Row],[Days (year)]],Ref!$I$2:$I$13,1)))</f>
        <v>0</v>
      </c>
      <c r="FJ61" s="32" t="str">
        <f>VLOOKUP(Bankingbook_SBV[[#This Row],[Security Name]],Ref!X:Z,3,0)</f>
        <v>TPCP</v>
      </c>
      <c r="FK61" s="32" t="str">
        <f>VLOOKUP(Bankingbook_SBV[[#This Row],[Security Name]],Ref!X:Y,2,0)</f>
        <v>KBNN</v>
      </c>
      <c r="FL61" s="72">
        <f>IF((Bankingbook_SBV[[#This Row],[Mat. Date]]-RPT)&lt;=0,0,Bankingbook_SBV[[#This Row],[QUANTITY]])</f>
        <v>0</v>
      </c>
      <c r="FM61" s="32">
        <f>IF(Bankingbook_SBV[[#This Row],[Quantity_edited]]=0,0,Bankingbook_SBV[[#This Row],[DURATION]])</f>
        <v>0</v>
      </c>
      <c r="FN61" s="32">
        <f>IF(Bankingbook_SBV[[#This Row],[Quantity_edited]]=0,0,Bankingbook_SBV[[#This Row],[Mod Dur]])</f>
        <v>0</v>
      </c>
      <c r="FO61" s="32">
        <f>IF(Bankingbook_SBV[[#This Row],[Quantity_edited]]=0,0,Bankingbook_SBV[[#This Row],[Cnvx.]])</f>
        <v>0</v>
      </c>
      <c r="FP61" s="32">
        <f>(Bankingbook_SBV[[#This Row],[MARKET_VALUE]]+Bankingbook_SBV[[#This Row],[Accr Int]]*Bankingbook_SBV[[#This Row],[Quantity_edited]])*(-Bankingbook_SBV[[#This Row],[Modified Duration]]*0.0001+0.5*Bankingbook_SBV[[#This Row],[Conv]]*(0.0001^2))</f>
        <v>0</v>
      </c>
      <c r="FQ61" s="32">
        <f>(Bankingbook_SBV[[#This Row],[MARKET_VALUE]]+Bankingbook_SBV[[#This Row],[Accr Int]]*Bankingbook_SBV[[#This Row],[Quantity_edited]])*(-Bankingbook_SBV[[#This Row],[Modified Duration]]*0.01+0.5*Bankingbook_SBV[[#This Row],[Conv]]*(0.01^2))</f>
        <v>0</v>
      </c>
      <c r="FT61" t="s">
        <v>166</v>
      </c>
      <c r="FU61" t="s">
        <v>790</v>
      </c>
      <c r="FV61" t="s">
        <v>4034</v>
      </c>
      <c r="FW61">
        <v>3315481</v>
      </c>
      <c r="FX61" s="502">
        <v>46225</v>
      </c>
      <c r="FY61" t="s">
        <v>2176</v>
      </c>
      <c r="FZ61" t="s">
        <v>812</v>
      </c>
      <c r="GA61" t="s">
        <v>3585</v>
      </c>
      <c r="GB61" t="s">
        <v>810</v>
      </c>
      <c r="GC61" t="s">
        <v>721</v>
      </c>
      <c r="GD61" s="500">
        <v>-1104670240000</v>
      </c>
      <c r="GE61">
        <v>11.999834999999999</v>
      </c>
      <c r="GF61" s="502">
        <v>46227</v>
      </c>
      <c r="GG61" s="502">
        <v>46321</v>
      </c>
      <c r="GH61">
        <v>4.5999999999999996</v>
      </c>
      <c r="GI61" t="s">
        <v>811</v>
      </c>
      <c r="GJ61" t="s">
        <v>3321</v>
      </c>
      <c r="GK61" t="s">
        <v>3321</v>
      </c>
      <c r="GL61">
        <v>3762015872.8899999</v>
      </c>
      <c r="GM61">
        <v>-3480467879.4499998</v>
      </c>
      <c r="GN61">
        <v>1263743720000</v>
      </c>
      <c r="GO61">
        <v>12.59</v>
      </c>
      <c r="GP61">
        <v>0.18</v>
      </c>
      <c r="GQ61">
        <v>0.187</v>
      </c>
      <c r="GR61">
        <v>7.5355210000000001</v>
      </c>
      <c r="GS61">
        <v>-1102210612448.24</v>
      </c>
      <c r="GT61">
        <v>2459627551.7600002</v>
      </c>
      <c r="GU61" t="s">
        <v>4101</v>
      </c>
      <c r="GV61" t="s">
        <v>4101</v>
      </c>
      <c r="GW61" s="416">
        <f>FNRP_Repo[[#This Row],[Mat. Date]]-RPT</f>
        <v>69</v>
      </c>
      <c r="GX61" s="819" t="str">
        <f>IF(FNRP_Repo[[#This Row],[Days]]&lt;=0,"Mat",INDEX(Ref!U:U,MATCH(FNRP_Repo[[#This Row],[Days]],Ref!S:S,1)))</f>
        <v>3M</v>
      </c>
      <c r="GY61" s="417">
        <f>RIGHT(FNRP_Repo[[#This Row],[Deal Id]],5)+0</f>
        <v>18077</v>
      </c>
    </row>
    <row r="62" spans="2:207" x14ac:dyDescent="0.3">
      <c r="B62" t="s">
        <v>166</v>
      </c>
      <c r="C62" t="s">
        <v>167</v>
      </c>
      <c r="D62" t="s">
        <v>234</v>
      </c>
      <c r="E62" t="s">
        <v>169</v>
      </c>
      <c r="F62" s="502">
        <v>42154</v>
      </c>
      <c r="G62" t="s">
        <v>3322</v>
      </c>
      <c r="H62"/>
      <c r="I62"/>
      <c r="J62" s="38">
        <v>0</v>
      </c>
      <c r="K62">
        <v>0</v>
      </c>
      <c r="L62">
        <v>0</v>
      </c>
      <c r="M62" s="38">
        <v>0</v>
      </c>
      <c r="N62">
        <v>8.8000000000000007</v>
      </c>
      <c r="O62">
        <v>0</v>
      </c>
      <c r="P62" s="37">
        <v>0</v>
      </c>
      <c r="Q62" s="37">
        <v>0</v>
      </c>
      <c r="R62" s="37">
        <v>-1325416083.3333354</v>
      </c>
      <c r="S62">
        <v>8.8000000000000007</v>
      </c>
      <c r="T62" s="70">
        <v>0</v>
      </c>
      <c r="U62">
        <v>0</v>
      </c>
      <c r="V62">
        <v>0</v>
      </c>
      <c r="W62">
        <v>0</v>
      </c>
      <c r="X62" s="38">
        <v>0</v>
      </c>
      <c r="Y62">
        <v>0</v>
      </c>
      <c r="Z62" s="70">
        <v>1042400000</v>
      </c>
      <c r="AA62" s="70">
        <v>0</v>
      </c>
      <c r="AB62" s="70">
        <v>1042400000</v>
      </c>
      <c r="AC62" s="70">
        <v>1042400000</v>
      </c>
      <c r="AD62" s="70">
        <v>1042400000</v>
      </c>
      <c r="AE62" s="70">
        <v>1042400000</v>
      </c>
      <c r="AF62">
        <v>0</v>
      </c>
      <c r="AG62" s="72">
        <f>Tradingbook_MSB[[#This Row],[Mat. Date]]-RPT</f>
        <v>-4098</v>
      </c>
      <c r="AH62" s="71">
        <f>IF(Tradingbook_MSB[[#This Row],[Days]]&lt;=0,0,YEARFRAC(RPT,Tradingbook_MSB[[#This Row],[Mat. Date]],3))</f>
        <v>0</v>
      </c>
      <c r="AI62" s="71">
        <f>IF(Tradingbook_MSB[[#This Row],[Days (year)]]=0,0,INDEX(Ref!$K$2:$K$13,MATCH(Tradingbook_MSB[[#This Row],[Days (year)]],Ref!$I$2:$I$13,1)))</f>
        <v>0</v>
      </c>
      <c r="AJ62" s="120" t="str">
        <f>VLOOKUP(Tradingbook_MSB[[#This Row],[Security Name]],Ref!X:Z,3,0)</f>
        <v>TPCP</v>
      </c>
      <c r="AK62" s="120" t="str">
        <f>VLOOKUP(Tradingbook_MSB[[#This Row],[Security Name]],Ref!X:Y,2,0)</f>
        <v>VDB</v>
      </c>
      <c r="AL62" s="71">
        <f>IF((Tradingbook_MSB[[#This Row],[Mat. Date]]-RPT)&lt;=0,0,Tradingbook_MSB[[#This Row],[QUANTITY]])</f>
        <v>0</v>
      </c>
      <c r="AM62" s="71">
        <f>IF(Tradingbook_MSB[[#This Row],[Quantity_edited]]=0,0,Tradingbook_MSB[[#This Row],[DURATION]])</f>
        <v>0</v>
      </c>
      <c r="AN62" s="71">
        <f>IF(Tradingbook_MSB[[#This Row],[Quantity_edited]]=0,0,Tradingbook_MSB[[#This Row],[Mod Dur]])</f>
        <v>0</v>
      </c>
      <c r="AO62" s="71">
        <f>IF(Tradingbook_MSB[[#This Row],[Quantity_edited]]=0,0,Tradingbook_MSB[[#This Row],[Cnvx.]])</f>
        <v>0</v>
      </c>
      <c r="AP62" s="71">
        <f>(Tradingbook_MSB[[#This Row],[MARKET_VALUE]]+Tradingbook_MSB[[#This Row],[Accr Int]]*Tradingbook_MSB[[#This Row],[Quantity_edited]])*(-Tradingbook_MSB[[#This Row],[Modified Duration]]*0.0001+0.5*Tradingbook_MSB[[#This Row],[Conv]]*(0.0001^2))</f>
        <v>0</v>
      </c>
      <c r="AQ62" s="72">
        <f>(Tradingbook_MSB[[#This Row],[MARKET_VALUE]]+Tradingbook_MSB[[#This Row],[Accr Int]]*Tradingbook_MSB[[#This Row],[Quantity_edited]])*(-Tradingbook_MSB[[#This Row],[Modified Duration]]*0.01+0.5*Tradingbook_MSB[[#This Row],[Conv]]*(0.01^2))</f>
        <v>0</v>
      </c>
      <c r="AR62" s="71"/>
      <c r="AT62" t="s">
        <v>166</v>
      </c>
      <c r="AU62" t="s">
        <v>167</v>
      </c>
      <c r="AV62" t="s">
        <v>405</v>
      </c>
      <c r="AW62" t="s">
        <v>169</v>
      </c>
      <c r="AX62" t="s">
        <v>3373</v>
      </c>
      <c r="AY62" t="s">
        <v>170</v>
      </c>
      <c r="BB62" s="49">
        <v>10000</v>
      </c>
      <c r="BC62">
        <v>1000000000</v>
      </c>
      <c r="BD62">
        <v>103006.125</v>
      </c>
      <c r="BE62" s="37">
        <v>0</v>
      </c>
      <c r="BF62">
        <v>6.9</v>
      </c>
      <c r="BG62">
        <v>0</v>
      </c>
      <c r="BH62" s="126">
        <v>34707000000</v>
      </c>
      <c r="BI62">
        <v>38012926850</v>
      </c>
      <c r="BJ62">
        <v>-18171104404.152763</v>
      </c>
      <c r="BK62">
        <v>0</v>
      </c>
      <c r="BL62">
        <v>0</v>
      </c>
      <c r="BM62">
        <v>0</v>
      </c>
      <c r="BN62">
        <v>0</v>
      </c>
      <c r="BO62">
        <v>0</v>
      </c>
      <c r="BP62">
        <v>0</v>
      </c>
      <c r="BQ62">
        <v>0</v>
      </c>
      <c r="BR62">
        <v>-1028889999.999988</v>
      </c>
      <c r="BS62">
        <v>0</v>
      </c>
      <c r="BT62">
        <v>-1028889999.999988</v>
      </c>
      <c r="BU62">
        <v>-1028889999.999988</v>
      </c>
      <c r="BV62">
        <v>-1028890000</v>
      </c>
      <c r="BW62">
        <v>-1028889999.999988</v>
      </c>
      <c r="BX62">
        <v>6.1531560609999998</v>
      </c>
      <c r="BY62" s="32">
        <f>Bankingbook_MSB[[#This Row],[Mat. Date]]-RPT</f>
        <v>-2591</v>
      </c>
      <c r="BZ62" s="71">
        <f>IF(Bankingbook_MSB[[#This Row],[Days]]&lt;=0,0,YEARFRAC(RPT,Bankingbook_MSB[[#This Row],[Mat. Date]],3))</f>
        <v>0</v>
      </c>
      <c r="CA62" s="71">
        <f>IF(Bankingbook_MSB[[#This Row],[Days (year)]]=0,0,INDEX(Ref!$K$2:$K$13,MATCH(Bankingbook_MSB[[#This Row],[Days (year)]],Ref!$I$2:$I$13,1)))</f>
        <v>0</v>
      </c>
      <c r="CB62" s="32" t="str">
        <f>VLOOKUP(Bankingbook_MSB[[#This Row],[Security Name]],Ref!X:Z,3,0)</f>
        <v>TPCP</v>
      </c>
      <c r="CC62" s="32" t="str">
        <f>VLOOKUP(Bankingbook_MSB[[#This Row],[Security Name]],Ref!X:Y,2,0)</f>
        <v>KBNN</v>
      </c>
      <c r="CD62" s="72">
        <f>IF((Bankingbook_MSB[[#This Row],[Mat. Date]]-RPT)&lt;=0,0,Bankingbook_MSB[[#This Row],[QUANTITY]])</f>
        <v>0</v>
      </c>
      <c r="CE62" s="71">
        <f>IF(Bankingbook_MSB[[#This Row],[Quantity_edited]]=0,0,Bankingbook_MSB[[#This Row],[DURATION]])</f>
        <v>0</v>
      </c>
      <c r="CF62" s="71">
        <f>IF(Bankingbook_MSB[[#This Row],[Quantity_edited]]=0,0,Bankingbook_MSB[[#This Row],[Mod Dur]])</f>
        <v>0</v>
      </c>
      <c r="CG62" s="71">
        <f>IF(Bankingbook_MSB[[#This Row],[Quantity_edited]]=0,0,Bankingbook_MSB[[#This Row],[Cnvx.]])</f>
        <v>0</v>
      </c>
      <c r="CH62" s="71">
        <f>(Bankingbook_MSB[[#This Row],[MARKET_VALUE]]+Bankingbook_MSB[[#This Row],[Accr Int]]*Bankingbook_MSB[[#This Row],[Quantity_edited]])*(-Bankingbook_MSB[[#This Row],[Modified Duration]]*0.0001+0.5*Bankingbook_MSB[[#This Row],[Conv]]*(0.0001^2))</f>
        <v>0</v>
      </c>
      <c r="CI62" s="71">
        <f>(Bankingbook_MSB[[#This Row],[MARKET_VALUE]]+Bankingbook_MSB[[#This Row],[Accr Int]]*Bankingbook_MSB[[#This Row],[Quantity_edited]])*(-Bankingbook_MSB[[#This Row],[Modified Duration]]*0.01+0.5*Bankingbook_MSB[[#This Row],[Conv]]*(0.01^2))</f>
        <v>0</v>
      </c>
      <c r="CJ62" s="32"/>
      <c r="CL62" t="s">
        <v>166</v>
      </c>
      <c r="CM62" t="s">
        <v>167</v>
      </c>
      <c r="CN62" t="s">
        <v>234</v>
      </c>
      <c r="CO62" t="s">
        <v>169</v>
      </c>
      <c r="CP62" s="35">
        <v>42154</v>
      </c>
      <c r="CQ62" t="s">
        <v>3322</v>
      </c>
      <c r="CR62" t="s">
        <v>174</v>
      </c>
      <c r="CS62" t="s">
        <v>174</v>
      </c>
      <c r="CT62" s="49">
        <v>0</v>
      </c>
      <c r="CU62">
        <v>0</v>
      </c>
      <c r="CV62">
        <v>0</v>
      </c>
      <c r="CW62" s="70">
        <v>0</v>
      </c>
      <c r="CX62">
        <v>8.8000000000000007</v>
      </c>
      <c r="CY62">
        <v>0</v>
      </c>
      <c r="CZ62">
        <v>0</v>
      </c>
      <c r="DA62">
        <v>0</v>
      </c>
      <c r="DB62">
        <v>-1325416083.3333354</v>
      </c>
      <c r="DC62">
        <v>8.8000000000000007</v>
      </c>
      <c r="DD62">
        <v>0</v>
      </c>
      <c r="DE62">
        <v>0</v>
      </c>
      <c r="DF62">
        <v>0</v>
      </c>
      <c r="DG62">
        <v>0</v>
      </c>
      <c r="DH62">
        <v>0</v>
      </c>
      <c r="DI62">
        <v>0</v>
      </c>
      <c r="DJ62" s="500">
        <v>1042400000</v>
      </c>
      <c r="DK62" s="500">
        <v>0</v>
      </c>
      <c r="DL62" s="37">
        <v>1042400000</v>
      </c>
      <c r="DM62" s="37">
        <v>1042400000</v>
      </c>
      <c r="DN62" s="37">
        <v>1042400000</v>
      </c>
      <c r="DO62" s="37">
        <v>1042400000</v>
      </c>
      <c r="DP62" s="32">
        <f>Tradingbook_SBV[[#This Row],[Mat. Date]]-RPT</f>
        <v>-4098</v>
      </c>
      <c r="DQ62" s="32">
        <f>IF(Tradingbook_SBV[[#This Row],[Days]]&lt;=0,0,YEARFRAC(RPT,Tradingbook_SBV[[#This Row],[Mat. Date]],3))</f>
        <v>0</v>
      </c>
      <c r="DR62" s="32">
        <f>IF(Tradingbook_SBV[[#This Row],[Days (year)]]=0,0,INDEX(Ref!$K$2:$K$13,MATCH(Tradingbook_SBV[[#This Row],[Days (year)]],Ref!$I$2:$I$13,1)))</f>
        <v>0</v>
      </c>
      <c r="DS62" s="32" t="str">
        <f>VLOOKUP(Tradingbook_SBV[[#This Row],[Security Name]],Ref!X:Z,3,0)</f>
        <v>TPCP</v>
      </c>
      <c r="DT62" s="32" t="str">
        <f>VLOOKUP(Tradingbook_SBV[[#This Row],[Security Name]],Ref!X:Y,2,0)</f>
        <v>VDB</v>
      </c>
      <c r="DU62" s="71">
        <f>IF((Tradingbook_SBV[[#This Row],[Mat. Date]]-RPT)&lt;=0,0,Tradingbook_SBV[[#This Row],[QUANTITY]])</f>
        <v>0</v>
      </c>
      <c r="DV62" s="71">
        <f>IF(Tradingbook_SBV[[#This Row],[Quantity_edited]]=0,0,Tradingbook_SBV[[#This Row],[DURATION]])</f>
        <v>0</v>
      </c>
      <c r="DW62" s="71">
        <f>IF(Tradingbook_SBV[[#This Row],[Quantity_edited]]=0,0,Tradingbook_SBV[[#This Row],[Mod Dur]])</f>
        <v>0</v>
      </c>
      <c r="DX62" s="71">
        <f>IF(Tradingbook_SBV[[#This Row],[Quantity_edited]]=0,0,Tradingbook_SBV[[#This Row],[Cnvx.]])</f>
        <v>0</v>
      </c>
      <c r="DY62" s="71">
        <f>(Tradingbook_SBV[[#This Row],[MARKET_VALUE]]+Tradingbook_SBV[[#This Row],[Accr Int]]*Tradingbook_SBV[[#This Row],[Quantity_edited]])*(-Tradingbook_SBV[[#This Row],[Modified Duration]]*0.0001+0.5*Tradingbook_SBV[[#This Row],[Conv]]*(0.0001^2))</f>
        <v>0</v>
      </c>
      <c r="DZ62" s="71">
        <f>(Tradingbook_SBV[[#This Row],[MARKET_VALUE]]+Tradingbook_SBV[[#This Row],[Accr Int]]*Tradingbook_SBV[[#This Row],[Quantity_edited]])*(-Tradingbook_SBV[[#This Row],[Modified Duration]]*0.01+0.5*Tradingbook_SBV[[#This Row],[Conv]]*(0.01^2))</f>
        <v>0</v>
      </c>
      <c r="EC62" t="s">
        <v>166</v>
      </c>
      <c r="ED62" t="s">
        <v>167</v>
      </c>
      <c r="EE62" t="s">
        <v>392</v>
      </c>
      <c r="EF62" t="s">
        <v>169</v>
      </c>
      <c r="EG62" s="35" t="s">
        <v>3368</v>
      </c>
      <c r="EH62" t="s">
        <v>3322</v>
      </c>
      <c r="EK62" s="500">
        <v>0</v>
      </c>
      <c r="EL62" s="500">
        <v>0</v>
      </c>
      <c r="EM62" s="500">
        <v>0</v>
      </c>
      <c r="EN62" s="500">
        <v>0</v>
      </c>
      <c r="EO62">
        <v>7.9</v>
      </c>
      <c r="EP62">
        <v>0</v>
      </c>
      <c r="EQ62">
        <v>19750000000</v>
      </c>
      <c r="ER62">
        <v>21553025777.777794</v>
      </c>
      <c r="ES62">
        <v>-10057912874.722239</v>
      </c>
      <c r="ET62">
        <v>0</v>
      </c>
      <c r="EU62">
        <v>0</v>
      </c>
      <c r="EV62">
        <v>0</v>
      </c>
      <c r="EW62">
        <v>0</v>
      </c>
      <c r="EX62">
        <v>0</v>
      </c>
      <c r="EY62">
        <v>0</v>
      </c>
      <c r="EZ62">
        <v>0</v>
      </c>
      <c r="FA62">
        <v>-1604500000</v>
      </c>
      <c r="FB62">
        <v>0</v>
      </c>
      <c r="FC62">
        <v>-1604500000</v>
      </c>
      <c r="FD62">
        <v>-1604500000</v>
      </c>
      <c r="FE62">
        <v>-1604500000</v>
      </c>
      <c r="FF62">
        <v>-1604500000</v>
      </c>
      <c r="FG62" s="32">
        <f>Bankingbook_SBV[[#This Row],[Mat. Date]]-RPT</f>
        <v>-2741</v>
      </c>
      <c r="FH62" s="32">
        <f>IF(Bankingbook_SBV[[#This Row],[Days]]&lt;=0,0,YEARFRAC(RPT,Bankingbook_SBV[[#This Row],[Mat. Date]],3))</f>
        <v>0</v>
      </c>
      <c r="FI62" s="32">
        <f>IF(Bankingbook_SBV[[#This Row],[Days (year)]]=0,0,INDEX(Ref!$K$2:$K$13,MATCH(Bankingbook_SBV[[#This Row],[Days (year)]],Ref!$I$2:$I$13,1)))</f>
        <v>0</v>
      </c>
      <c r="FJ62" s="32" t="str">
        <f>VLOOKUP(Bankingbook_SBV[[#This Row],[Security Name]],Ref!X:Z,3,0)</f>
        <v>TPCP</v>
      </c>
      <c r="FK62" s="32" t="str">
        <f>VLOOKUP(Bankingbook_SBV[[#This Row],[Security Name]],Ref!X:Y,2,0)</f>
        <v>KBNN</v>
      </c>
      <c r="FL62" s="72">
        <f>IF((Bankingbook_SBV[[#This Row],[Mat. Date]]-RPT)&lt;=0,0,Bankingbook_SBV[[#This Row],[QUANTITY]])</f>
        <v>0</v>
      </c>
      <c r="FM62" s="32">
        <f>IF(Bankingbook_SBV[[#This Row],[Quantity_edited]]=0,0,Bankingbook_SBV[[#This Row],[DURATION]])</f>
        <v>0</v>
      </c>
      <c r="FN62" s="32">
        <f>IF(Bankingbook_SBV[[#This Row],[Quantity_edited]]=0,0,Bankingbook_SBV[[#This Row],[Mod Dur]])</f>
        <v>0</v>
      </c>
      <c r="FO62" s="32">
        <f>IF(Bankingbook_SBV[[#This Row],[Quantity_edited]]=0,0,Bankingbook_SBV[[#This Row],[Cnvx.]])</f>
        <v>0</v>
      </c>
      <c r="FP62" s="32">
        <f>(Bankingbook_SBV[[#This Row],[MARKET_VALUE]]+Bankingbook_SBV[[#This Row],[Accr Int]]*Bankingbook_SBV[[#This Row],[Quantity_edited]])*(-Bankingbook_SBV[[#This Row],[Modified Duration]]*0.0001+0.5*Bankingbook_SBV[[#This Row],[Conv]]*(0.0001^2))</f>
        <v>0</v>
      </c>
      <c r="FQ62" s="32">
        <f>(Bankingbook_SBV[[#This Row],[MARKET_VALUE]]+Bankingbook_SBV[[#This Row],[Accr Int]]*Bankingbook_SBV[[#This Row],[Quantity_edited]])*(-Bankingbook_SBV[[#This Row],[Modified Duration]]*0.01+0.5*Bankingbook_SBV[[#This Row],[Conv]]*(0.01^2))</f>
        <v>0</v>
      </c>
      <c r="FT62" t="s">
        <v>166</v>
      </c>
      <c r="FU62" t="s">
        <v>790</v>
      </c>
      <c r="FV62" t="s">
        <v>4035</v>
      </c>
      <c r="FW62">
        <v>3315482</v>
      </c>
      <c r="FX62" s="502">
        <v>46225</v>
      </c>
      <c r="FY62" t="s">
        <v>2176</v>
      </c>
      <c r="FZ62" t="s">
        <v>812</v>
      </c>
      <c r="GA62" t="s">
        <v>3585</v>
      </c>
      <c r="GB62" t="s">
        <v>810</v>
      </c>
      <c r="GC62" t="s">
        <v>721</v>
      </c>
      <c r="GD62" s="500">
        <v>-256304000000</v>
      </c>
      <c r="GE62">
        <v>11.999834999999999</v>
      </c>
      <c r="GF62" s="502">
        <v>46227</v>
      </c>
      <c r="GG62" s="502">
        <v>46321</v>
      </c>
      <c r="GH62">
        <v>4.5999999999999996</v>
      </c>
      <c r="GI62" t="s">
        <v>811</v>
      </c>
      <c r="GJ62" t="s">
        <v>3321</v>
      </c>
      <c r="GK62" t="s">
        <v>3321</v>
      </c>
      <c r="GL62">
        <v>872857511.11000001</v>
      </c>
      <c r="GM62">
        <v>-807533150.67999995</v>
      </c>
      <c r="GN62">
        <v>293212000000</v>
      </c>
      <c r="GO62">
        <v>12.59</v>
      </c>
      <c r="GP62">
        <v>0.18</v>
      </c>
      <c r="GQ62">
        <v>0.187</v>
      </c>
      <c r="GR62">
        <v>7.5355210000000001</v>
      </c>
      <c r="GS62">
        <v>-255733320754.01001</v>
      </c>
      <c r="GT62">
        <v>570679245.99000001</v>
      </c>
      <c r="GU62" t="s">
        <v>4102</v>
      </c>
      <c r="GV62" t="s">
        <v>4102</v>
      </c>
      <c r="GW62" s="416">
        <f>FNRP_Repo[[#This Row],[Mat. Date]]-RPT</f>
        <v>69</v>
      </c>
      <c r="GX62" s="819" t="str">
        <f>IF(FNRP_Repo[[#This Row],[Days]]&lt;=0,"Mat",INDEX(Ref!U:U,MATCH(FNRP_Repo[[#This Row],[Days]],Ref!S:S,1)))</f>
        <v>3M</v>
      </c>
      <c r="GY62" s="417">
        <f>RIGHT(FNRP_Repo[[#This Row],[Deal Id]],5)+0</f>
        <v>18078</v>
      </c>
    </row>
    <row r="63" spans="2:207" x14ac:dyDescent="0.3">
      <c r="B63" t="s">
        <v>166</v>
      </c>
      <c r="C63" t="s">
        <v>167</v>
      </c>
      <c r="D63" t="s">
        <v>235</v>
      </c>
      <c r="E63" t="s">
        <v>169</v>
      </c>
      <c r="F63" s="502">
        <v>42156</v>
      </c>
      <c r="G63" t="s">
        <v>3322</v>
      </c>
      <c r="H63"/>
      <c r="I63"/>
      <c r="J63" s="38">
        <v>0</v>
      </c>
      <c r="K63">
        <v>0</v>
      </c>
      <c r="L63">
        <v>0</v>
      </c>
      <c r="M63" s="38">
        <v>0</v>
      </c>
      <c r="N63">
        <v>11.33</v>
      </c>
      <c r="O63">
        <v>0</v>
      </c>
      <c r="P63" s="37">
        <v>5665000000</v>
      </c>
      <c r="Q63" s="37">
        <v>6026120145.8333282</v>
      </c>
      <c r="R63" s="37">
        <v>-1055733895.4861021</v>
      </c>
      <c r="S63">
        <v>11.33</v>
      </c>
      <c r="T63" s="70">
        <v>0</v>
      </c>
      <c r="U63">
        <v>0</v>
      </c>
      <c r="V63">
        <v>0</v>
      </c>
      <c r="W63">
        <v>0</v>
      </c>
      <c r="X63" s="38">
        <v>0</v>
      </c>
      <c r="Y63">
        <v>0</v>
      </c>
      <c r="Z63" s="70">
        <v>892500000</v>
      </c>
      <c r="AA63" s="70">
        <v>0</v>
      </c>
      <c r="AB63" s="70">
        <v>892500000</v>
      </c>
      <c r="AC63" s="70">
        <v>892500000</v>
      </c>
      <c r="AD63" s="70">
        <v>892500000</v>
      </c>
      <c r="AE63" s="70">
        <v>892500000</v>
      </c>
      <c r="AF63">
        <v>0</v>
      </c>
      <c r="AG63" s="72">
        <f>Tradingbook_MSB[[#This Row],[Mat. Date]]-RPT</f>
        <v>-4096</v>
      </c>
      <c r="AH63" s="71">
        <f>IF(Tradingbook_MSB[[#This Row],[Days]]&lt;=0,0,YEARFRAC(RPT,Tradingbook_MSB[[#This Row],[Mat. Date]],3))</f>
        <v>0</v>
      </c>
      <c r="AI63" s="71">
        <f>IF(Tradingbook_MSB[[#This Row],[Days (year)]]=0,0,INDEX(Ref!$K$2:$K$13,MATCH(Tradingbook_MSB[[#This Row],[Days (year)]],Ref!$I$2:$I$13,1)))</f>
        <v>0</v>
      </c>
      <c r="AJ63" s="120" t="str">
        <f>VLOOKUP(Tradingbook_MSB[[#This Row],[Security Name]],Ref!X:Z,3,0)</f>
        <v>TPCP</v>
      </c>
      <c r="AK63" s="120" t="str">
        <f>VLOOKUP(Tradingbook_MSB[[#This Row],[Security Name]],Ref!X:Y,2,0)</f>
        <v>KBNN</v>
      </c>
      <c r="AL63" s="71">
        <f>IF((Tradingbook_MSB[[#This Row],[Mat. Date]]-RPT)&lt;=0,0,Tradingbook_MSB[[#This Row],[QUANTITY]])</f>
        <v>0</v>
      </c>
      <c r="AM63" s="71">
        <f>IF(Tradingbook_MSB[[#This Row],[Quantity_edited]]=0,0,Tradingbook_MSB[[#This Row],[DURATION]])</f>
        <v>0</v>
      </c>
      <c r="AN63" s="71">
        <f>IF(Tradingbook_MSB[[#This Row],[Quantity_edited]]=0,0,Tradingbook_MSB[[#This Row],[Mod Dur]])</f>
        <v>0</v>
      </c>
      <c r="AO63" s="71">
        <f>IF(Tradingbook_MSB[[#This Row],[Quantity_edited]]=0,0,Tradingbook_MSB[[#This Row],[Cnvx.]])</f>
        <v>0</v>
      </c>
      <c r="AP63" s="71">
        <f>(Tradingbook_MSB[[#This Row],[MARKET_VALUE]]+Tradingbook_MSB[[#This Row],[Accr Int]]*Tradingbook_MSB[[#This Row],[Quantity_edited]])*(-Tradingbook_MSB[[#This Row],[Modified Duration]]*0.0001+0.5*Tradingbook_MSB[[#This Row],[Conv]]*(0.0001^2))</f>
        <v>0</v>
      </c>
      <c r="AQ63" s="72">
        <f>(Tradingbook_MSB[[#This Row],[MARKET_VALUE]]+Tradingbook_MSB[[#This Row],[Accr Int]]*Tradingbook_MSB[[#This Row],[Quantity_edited]])*(-Tradingbook_MSB[[#This Row],[Modified Duration]]*0.01+0.5*Tradingbook_MSB[[#This Row],[Conv]]*(0.01^2))</f>
        <v>0</v>
      </c>
      <c r="AR63" s="71"/>
      <c r="AT63" t="s">
        <v>166</v>
      </c>
      <c r="AU63" t="s">
        <v>167</v>
      </c>
      <c r="AV63" t="s">
        <v>408</v>
      </c>
      <c r="AW63" t="s">
        <v>169</v>
      </c>
      <c r="AX63" t="s">
        <v>3374</v>
      </c>
      <c r="AY63" t="s">
        <v>3322</v>
      </c>
      <c r="BB63" s="49">
        <v>0</v>
      </c>
      <c r="BC63">
        <v>0</v>
      </c>
      <c r="BD63">
        <v>0</v>
      </c>
      <c r="BE63" s="37">
        <v>0</v>
      </c>
      <c r="BF63">
        <v>6.6</v>
      </c>
      <c r="BG63">
        <v>0</v>
      </c>
      <c r="BH63" s="126">
        <v>19800000000</v>
      </c>
      <c r="BI63">
        <v>21704196250.000023</v>
      </c>
      <c r="BJ63">
        <v>-9541604583.7500324</v>
      </c>
      <c r="BK63">
        <v>0</v>
      </c>
      <c r="BL63">
        <v>0</v>
      </c>
      <c r="BM63">
        <v>0</v>
      </c>
      <c r="BN63">
        <v>0</v>
      </c>
      <c r="BO63">
        <v>0</v>
      </c>
      <c r="BP63">
        <v>0</v>
      </c>
      <c r="BQ63">
        <v>0</v>
      </c>
      <c r="BR63">
        <v>-491000000</v>
      </c>
      <c r="BS63">
        <v>0</v>
      </c>
      <c r="BT63">
        <v>-491000000</v>
      </c>
      <c r="BU63">
        <v>-491000000</v>
      </c>
      <c r="BV63">
        <v>-491000000</v>
      </c>
      <c r="BW63">
        <v>-491000000</v>
      </c>
      <c r="BX63">
        <v>0</v>
      </c>
      <c r="BY63" s="32">
        <f>Bankingbook_MSB[[#This Row],[Mat. Date]]-RPT</f>
        <v>-2575</v>
      </c>
      <c r="BZ63" s="71">
        <f>IF(Bankingbook_MSB[[#This Row],[Days]]&lt;=0,0,YEARFRAC(RPT,Bankingbook_MSB[[#This Row],[Mat. Date]],3))</f>
        <v>0</v>
      </c>
      <c r="CA63" s="71">
        <f>IF(Bankingbook_MSB[[#This Row],[Days (year)]]=0,0,INDEX(Ref!$K$2:$K$13,MATCH(Bankingbook_MSB[[#This Row],[Days (year)]],Ref!$I$2:$I$13,1)))</f>
        <v>0</v>
      </c>
      <c r="CB63" s="32" t="str">
        <f>VLOOKUP(Bankingbook_MSB[[#This Row],[Security Name]],Ref!X:Z,3,0)</f>
        <v>TPCP</v>
      </c>
      <c r="CC63" s="32" t="str">
        <f>VLOOKUP(Bankingbook_MSB[[#This Row],[Security Name]],Ref!X:Y,2,0)</f>
        <v>KBNN</v>
      </c>
      <c r="CD63" s="72">
        <f>IF((Bankingbook_MSB[[#This Row],[Mat. Date]]-RPT)&lt;=0,0,Bankingbook_MSB[[#This Row],[QUANTITY]])</f>
        <v>0</v>
      </c>
      <c r="CE63" s="71">
        <f>IF(Bankingbook_MSB[[#This Row],[Quantity_edited]]=0,0,Bankingbook_MSB[[#This Row],[DURATION]])</f>
        <v>0</v>
      </c>
      <c r="CF63" s="71">
        <f>IF(Bankingbook_MSB[[#This Row],[Quantity_edited]]=0,0,Bankingbook_MSB[[#This Row],[Mod Dur]])</f>
        <v>0</v>
      </c>
      <c r="CG63" s="71">
        <f>IF(Bankingbook_MSB[[#This Row],[Quantity_edited]]=0,0,Bankingbook_MSB[[#This Row],[Cnvx.]])</f>
        <v>0</v>
      </c>
      <c r="CH63" s="71">
        <f>(Bankingbook_MSB[[#This Row],[MARKET_VALUE]]+Bankingbook_MSB[[#This Row],[Accr Int]]*Bankingbook_MSB[[#This Row],[Quantity_edited]])*(-Bankingbook_MSB[[#This Row],[Modified Duration]]*0.0001+0.5*Bankingbook_MSB[[#This Row],[Conv]]*(0.0001^2))</f>
        <v>0</v>
      </c>
      <c r="CI63" s="71">
        <f>(Bankingbook_MSB[[#This Row],[MARKET_VALUE]]+Bankingbook_MSB[[#This Row],[Accr Int]]*Bankingbook_MSB[[#This Row],[Quantity_edited]])*(-Bankingbook_MSB[[#This Row],[Modified Duration]]*0.01+0.5*Bankingbook_MSB[[#This Row],[Conv]]*(0.01^2))</f>
        <v>0</v>
      </c>
      <c r="CJ63" s="32"/>
      <c r="CL63" t="s">
        <v>166</v>
      </c>
      <c r="CM63" t="s">
        <v>167</v>
      </c>
      <c r="CN63" t="s">
        <v>235</v>
      </c>
      <c r="CO63" t="s">
        <v>169</v>
      </c>
      <c r="CP63" s="35">
        <v>42156</v>
      </c>
      <c r="CQ63" t="s">
        <v>3322</v>
      </c>
      <c r="CR63" t="s">
        <v>174</v>
      </c>
      <c r="CS63" t="s">
        <v>174</v>
      </c>
      <c r="CT63" s="49">
        <v>0</v>
      </c>
      <c r="CU63">
        <v>0</v>
      </c>
      <c r="CV63">
        <v>0</v>
      </c>
      <c r="CW63" s="70">
        <v>0</v>
      </c>
      <c r="CX63">
        <v>11.33</v>
      </c>
      <c r="CY63">
        <v>0</v>
      </c>
      <c r="CZ63">
        <v>5665000000</v>
      </c>
      <c r="DA63">
        <v>6026120145.8333282</v>
      </c>
      <c r="DB63">
        <v>-1055733895.4861021</v>
      </c>
      <c r="DC63">
        <v>11.33</v>
      </c>
      <c r="DD63">
        <v>0</v>
      </c>
      <c r="DE63">
        <v>0</v>
      </c>
      <c r="DF63">
        <v>0</v>
      </c>
      <c r="DG63">
        <v>0</v>
      </c>
      <c r="DH63">
        <v>0</v>
      </c>
      <c r="DI63">
        <v>0</v>
      </c>
      <c r="DJ63" s="500">
        <v>892500000</v>
      </c>
      <c r="DK63" s="500">
        <v>0</v>
      </c>
      <c r="DL63" s="37">
        <v>892500000</v>
      </c>
      <c r="DM63" s="37">
        <v>892500000</v>
      </c>
      <c r="DN63" s="37">
        <v>892500000</v>
      </c>
      <c r="DO63" s="37">
        <v>892500000</v>
      </c>
      <c r="DP63" s="32">
        <f>Tradingbook_SBV[[#This Row],[Mat. Date]]-RPT</f>
        <v>-4096</v>
      </c>
      <c r="DQ63" s="32">
        <f>IF(Tradingbook_SBV[[#This Row],[Days]]&lt;=0,0,YEARFRAC(RPT,Tradingbook_SBV[[#This Row],[Mat. Date]],3))</f>
        <v>0</v>
      </c>
      <c r="DR63" s="32">
        <f>IF(Tradingbook_SBV[[#This Row],[Days (year)]]=0,0,INDEX(Ref!$K$2:$K$13,MATCH(Tradingbook_SBV[[#This Row],[Days (year)]],Ref!$I$2:$I$13,1)))</f>
        <v>0</v>
      </c>
      <c r="DS63" s="32" t="str">
        <f>VLOOKUP(Tradingbook_SBV[[#This Row],[Security Name]],Ref!X:Z,3,0)</f>
        <v>TPCP</v>
      </c>
      <c r="DT63" s="32" t="str">
        <f>VLOOKUP(Tradingbook_SBV[[#This Row],[Security Name]],Ref!X:Y,2,0)</f>
        <v>KBNN</v>
      </c>
      <c r="DU63" s="71">
        <f>IF((Tradingbook_SBV[[#This Row],[Mat. Date]]-RPT)&lt;=0,0,Tradingbook_SBV[[#This Row],[QUANTITY]])</f>
        <v>0</v>
      </c>
      <c r="DV63" s="71">
        <f>IF(Tradingbook_SBV[[#This Row],[Quantity_edited]]=0,0,Tradingbook_SBV[[#This Row],[DURATION]])</f>
        <v>0</v>
      </c>
      <c r="DW63" s="71">
        <f>IF(Tradingbook_SBV[[#This Row],[Quantity_edited]]=0,0,Tradingbook_SBV[[#This Row],[Mod Dur]])</f>
        <v>0</v>
      </c>
      <c r="DX63" s="71">
        <f>IF(Tradingbook_SBV[[#This Row],[Quantity_edited]]=0,0,Tradingbook_SBV[[#This Row],[Cnvx.]])</f>
        <v>0</v>
      </c>
      <c r="DY63" s="71">
        <f>(Tradingbook_SBV[[#This Row],[MARKET_VALUE]]+Tradingbook_SBV[[#This Row],[Accr Int]]*Tradingbook_SBV[[#This Row],[Quantity_edited]])*(-Tradingbook_SBV[[#This Row],[Modified Duration]]*0.0001+0.5*Tradingbook_SBV[[#This Row],[Conv]]*(0.0001^2))</f>
        <v>0</v>
      </c>
      <c r="DZ63" s="71">
        <f>(Tradingbook_SBV[[#This Row],[MARKET_VALUE]]+Tradingbook_SBV[[#This Row],[Accr Int]]*Tradingbook_SBV[[#This Row],[Quantity_edited]])*(-Tradingbook_SBV[[#This Row],[Modified Duration]]*0.01+0.5*Tradingbook_SBV[[#This Row],[Conv]]*(0.01^2))</f>
        <v>0</v>
      </c>
      <c r="EC63" t="s">
        <v>166</v>
      </c>
      <c r="ED63" t="s">
        <v>167</v>
      </c>
      <c r="EE63" t="s">
        <v>394</v>
      </c>
      <c r="EF63" t="s">
        <v>169</v>
      </c>
      <c r="EG63" s="35" t="s">
        <v>3369</v>
      </c>
      <c r="EH63" t="s">
        <v>3322</v>
      </c>
      <c r="EK63" s="500">
        <v>0</v>
      </c>
      <c r="EL63" s="500">
        <v>0</v>
      </c>
      <c r="EM63" s="500">
        <v>0</v>
      </c>
      <c r="EN63" s="500">
        <v>0</v>
      </c>
      <c r="EO63">
        <v>7.6</v>
      </c>
      <c r="EP63">
        <v>0</v>
      </c>
      <c r="EQ63">
        <v>91200000000</v>
      </c>
      <c r="ER63">
        <v>98701081777.777878</v>
      </c>
      <c r="ES63">
        <v>-43301793327.777802</v>
      </c>
      <c r="ET63">
        <v>0</v>
      </c>
      <c r="EU63">
        <v>0</v>
      </c>
      <c r="EV63">
        <v>0</v>
      </c>
      <c r="EW63">
        <v>0</v>
      </c>
      <c r="EX63">
        <v>0</v>
      </c>
      <c r="EY63">
        <v>0</v>
      </c>
      <c r="EZ63">
        <v>0</v>
      </c>
      <c r="FA63">
        <v>3578500000</v>
      </c>
      <c r="FB63">
        <v>0</v>
      </c>
      <c r="FC63">
        <v>3578500000</v>
      </c>
      <c r="FD63">
        <v>3578500000</v>
      </c>
      <c r="FE63">
        <v>3578500000</v>
      </c>
      <c r="FF63">
        <v>3578500000</v>
      </c>
      <c r="FG63" s="32">
        <f>Bankingbook_SBV[[#This Row],[Mat. Date]]-RPT</f>
        <v>-2728</v>
      </c>
      <c r="FH63" s="32">
        <f>IF(Bankingbook_SBV[[#This Row],[Days]]&lt;=0,0,YEARFRAC(RPT,Bankingbook_SBV[[#This Row],[Mat. Date]],3))</f>
        <v>0</v>
      </c>
      <c r="FI63" s="32">
        <f>IF(Bankingbook_SBV[[#This Row],[Days (year)]]=0,0,INDEX(Ref!$K$2:$K$13,MATCH(Bankingbook_SBV[[#This Row],[Days (year)]],Ref!$I$2:$I$13,1)))</f>
        <v>0</v>
      </c>
      <c r="FJ63" s="32" t="str">
        <f>VLOOKUP(Bankingbook_SBV[[#This Row],[Security Name]],Ref!X:Z,3,0)</f>
        <v>TPCP</v>
      </c>
      <c r="FK63" s="32" t="str">
        <f>VLOOKUP(Bankingbook_SBV[[#This Row],[Security Name]],Ref!X:Y,2,0)</f>
        <v>KBNN</v>
      </c>
      <c r="FL63" s="72">
        <f>IF((Bankingbook_SBV[[#This Row],[Mat. Date]]-RPT)&lt;=0,0,Bankingbook_SBV[[#This Row],[QUANTITY]])</f>
        <v>0</v>
      </c>
      <c r="FM63" s="32">
        <f>IF(Bankingbook_SBV[[#This Row],[Quantity_edited]]=0,0,Bankingbook_SBV[[#This Row],[DURATION]])</f>
        <v>0</v>
      </c>
      <c r="FN63" s="32">
        <f>IF(Bankingbook_SBV[[#This Row],[Quantity_edited]]=0,0,Bankingbook_SBV[[#This Row],[Mod Dur]])</f>
        <v>0</v>
      </c>
      <c r="FO63" s="32">
        <f>IF(Bankingbook_SBV[[#This Row],[Quantity_edited]]=0,0,Bankingbook_SBV[[#This Row],[Cnvx.]])</f>
        <v>0</v>
      </c>
      <c r="FP63" s="32">
        <f>(Bankingbook_SBV[[#This Row],[MARKET_VALUE]]+Bankingbook_SBV[[#This Row],[Accr Int]]*Bankingbook_SBV[[#This Row],[Quantity_edited]])*(-Bankingbook_SBV[[#This Row],[Modified Duration]]*0.0001+0.5*Bankingbook_SBV[[#This Row],[Conv]]*(0.0001^2))</f>
        <v>0</v>
      </c>
      <c r="FQ63" s="32">
        <f>(Bankingbook_SBV[[#This Row],[MARKET_VALUE]]+Bankingbook_SBV[[#This Row],[Accr Int]]*Bankingbook_SBV[[#This Row],[Quantity_edited]])*(-Bankingbook_SBV[[#This Row],[Modified Duration]]*0.01+0.5*Bankingbook_SBV[[#This Row],[Conv]]*(0.01^2))</f>
        <v>0</v>
      </c>
      <c r="FT63" t="s">
        <v>166</v>
      </c>
      <c r="FU63" t="s">
        <v>790</v>
      </c>
      <c r="FV63" t="s">
        <v>4036</v>
      </c>
      <c r="FW63">
        <v>3315568</v>
      </c>
      <c r="FX63" s="502">
        <v>46225</v>
      </c>
      <c r="FY63" t="s">
        <v>2176</v>
      </c>
      <c r="FZ63" t="s">
        <v>812</v>
      </c>
      <c r="GA63" t="s">
        <v>3585</v>
      </c>
      <c r="GB63" t="s">
        <v>810</v>
      </c>
      <c r="GC63" t="s">
        <v>2371</v>
      </c>
      <c r="GD63" s="500">
        <v>-284251020000</v>
      </c>
      <c r="GE63">
        <v>11.998918</v>
      </c>
      <c r="GF63" s="502">
        <v>46227</v>
      </c>
      <c r="GG63" s="502">
        <v>46321</v>
      </c>
      <c r="GH63">
        <v>4.5999999999999996</v>
      </c>
      <c r="GI63" t="s">
        <v>811</v>
      </c>
      <c r="GJ63" t="s">
        <v>3321</v>
      </c>
      <c r="GK63" t="s">
        <v>3321</v>
      </c>
      <c r="GL63">
        <v>968032640.33000004</v>
      </c>
      <c r="GM63">
        <v>-895585405.48000002</v>
      </c>
      <c r="GN63">
        <v>329095960000</v>
      </c>
      <c r="GO63">
        <v>13.63</v>
      </c>
      <c r="GP63">
        <v>0.18</v>
      </c>
      <c r="GQ63">
        <v>0.187</v>
      </c>
      <c r="GR63">
        <v>7.5355210000000001</v>
      </c>
      <c r="GS63">
        <v>-283618114708.69</v>
      </c>
      <c r="GT63">
        <v>632905291.30999994</v>
      </c>
      <c r="GU63" t="s">
        <v>4117</v>
      </c>
      <c r="GV63" t="s">
        <v>4117</v>
      </c>
      <c r="GW63" s="416">
        <f>FNRP_Repo[[#This Row],[Mat. Date]]-RPT</f>
        <v>69</v>
      </c>
      <c r="GX63" s="819" t="str">
        <f>IF(FNRP_Repo[[#This Row],[Days]]&lt;=0,"Mat",INDEX(Ref!U:U,MATCH(FNRP_Repo[[#This Row],[Days]],Ref!S:S,1)))</f>
        <v>3M</v>
      </c>
      <c r="GY63" s="417">
        <f>RIGHT(FNRP_Repo[[#This Row],[Deal Id]],5)+0</f>
        <v>18079</v>
      </c>
    </row>
    <row r="64" spans="2:207" x14ac:dyDescent="0.3">
      <c r="B64" t="s">
        <v>166</v>
      </c>
      <c r="C64" t="s">
        <v>167</v>
      </c>
      <c r="D64" t="s">
        <v>236</v>
      </c>
      <c r="E64" t="s">
        <v>169</v>
      </c>
      <c r="F64" s="502">
        <v>42166</v>
      </c>
      <c r="G64" t="s">
        <v>3322</v>
      </c>
      <c r="H64"/>
      <c r="I64"/>
      <c r="J64" s="38">
        <v>0</v>
      </c>
      <c r="K64">
        <v>0</v>
      </c>
      <c r="L64">
        <v>0</v>
      </c>
      <c r="M64" s="38">
        <v>0</v>
      </c>
      <c r="N64">
        <v>9.5</v>
      </c>
      <c r="O64">
        <v>0</v>
      </c>
      <c r="P64" s="37">
        <v>0</v>
      </c>
      <c r="Q64" s="37">
        <v>0</v>
      </c>
      <c r="R64" s="37">
        <v>-58636618.055549622</v>
      </c>
      <c r="S64">
        <v>9.5</v>
      </c>
      <c r="T64" s="70">
        <v>0</v>
      </c>
      <c r="U64">
        <v>0</v>
      </c>
      <c r="V64">
        <v>0</v>
      </c>
      <c r="W64">
        <v>0</v>
      </c>
      <c r="X64" s="38">
        <v>0</v>
      </c>
      <c r="Y64">
        <v>0</v>
      </c>
      <c r="Z64" s="70">
        <v>4174000000</v>
      </c>
      <c r="AA64" s="70">
        <v>0</v>
      </c>
      <c r="AB64" s="70">
        <v>4174000000</v>
      </c>
      <c r="AC64" s="70">
        <v>4174000000</v>
      </c>
      <c r="AD64" s="70">
        <v>4174000000</v>
      </c>
      <c r="AE64" s="70">
        <v>4174000000</v>
      </c>
      <c r="AF64">
        <v>0</v>
      </c>
      <c r="AG64" s="72">
        <f>Tradingbook_MSB[[#This Row],[Mat. Date]]-RPT</f>
        <v>-4086</v>
      </c>
      <c r="AH64" s="71">
        <f>IF(Tradingbook_MSB[[#This Row],[Days]]&lt;=0,0,YEARFRAC(RPT,Tradingbook_MSB[[#This Row],[Mat. Date]],3))</f>
        <v>0</v>
      </c>
      <c r="AI64" s="71">
        <f>IF(Tradingbook_MSB[[#This Row],[Days (year)]]=0,0,INDEX(Ref!$K$2:$K$13,MATCH(Tradingbook_MSB[[#This Row],[Days (year)]],Ref!$I$2:$I$13,1)))</f>
        <v>0</v>
      </c>
      <c r="AJ64" s="120" t="str">
        <f>VLOOKUP(Tradingbook_MSB[[#This Row],[Security Name]],Ref!X:Z,3,0)</f>
        <v>TPCPBL</v>
      </c>
      <c r="AK64" s="120" t="str">
        <f>VLOOKUP(Tradingbook_MSB[[#This Row],[Security Name]],Ref!X:Y,2,0)</f>
        <v>VDB</v>
      </c>
      <c r="AL64" s="71">
        <f>IF((Tradingbook_MSB[[#This Row],[Mat. Date]]-RPT)&lt;=0,0,Tradingbook_MSB[[#This Row],[QUANTITY]])</f>
        <v>0</v>
      </c>
      <c r="AM64" s="71">
        <f>IF(Tradingbook_MSB[[#This Row],[Quantity_edited]]=0,0,Tradingbook_MSB[[#This Row],[DURATION]])</f>
        <v>0</v>
      </c>
      <c r="AN64" s="71">
        <f>IF(Tradingbook_MSB[[#This Row],[Quantity_edited]]=0,0,Tradingbook_MSB[[#This Row],[Mod Dur]])</f>
        <v>0</v>
      </c>
      <c r="AO64" s="71">
        <f>IF(Tradingbook_MSB[[#This Row],[Quantity_edited]]=0,0,Tradingbook_MSB[[#This Row],[Cnvx.]])</f>
        <v>0</v>
      </c>
      <c r="AP64" s="71">
        <f>(Tradingbook_MSB[[#This Row],[MARKET_VALUE]]+Tradingbook_MSB[[#This Row],[Accr Int]]*Tradingbook_MSB[[#This Row],[Quantity_edited]])*(-Tradingbook_MSB[[#This Row],[Modified Duration]]*0.0001+0.5*Tradingbook_MSB[[#This Row],[Conv]]*(0.0001^2))</f>
        <v>0</v>
      </c>
      <c r="AQ64" s="72">
        <f>(Tradingbook_MSB[[#This Row],[MARKET_VALUE]]+Tradingbook_MSB[[#This Row],[Accr Int]]*Tradingbook_MSB[[#This Row],[Quantity_edited]])*(-Tradingbook_MSB[[#This Row],[Modified Duration]]*0.01+0.5*Tradingbook_MSB[[#This Row],[Conv]]*(0.01^2))</f>
        <v>0</v>
      </c>
      <c r="AR64" s="71"/>
      <c r="AT64" t="s">
        <v>166</v>
      </c>
      <c r="AU64" t="s">
        <v>167</v>
      </c>
      <c r="AV64" t="s">
        <v>409</v>
      </c>
      <c r="AW64" t="s">
        <v>169</v>
      </c>
      <c r="AX64" t="s">
        <v>3375</v>
      </c>
      <c r="AY64" t="s">
        <v>170</v>
      </c>
      <c r="BB64" s="49">
        <v>2040000</v>
      </c>
      <c r="BC64">
        <v>204000000000</v>
      </c>
      <c r="BD64">
        <v>101444.765</v>
      </c>
      <c r="BE64" s="37">
        <v>0</v>
      </c>
      <c r="BF64">
        <v>7.2</v>
      </c>
      <c r="BG64">
        <v>0</v>
      </c>
      <c r="BH64" s="126">
        <v>73440000000</v>
      </c>
      <c r="BI64">
        <v>77570898000.000031</v>
      </c>
      <c r="BJ64">
        <v>-29249804080.933334</v>
      </c>
      <c r="BK64">
        <v>0</v>
      </c>
      <c r="BL64">
        <v>0</v>
      </c>
      <c r="BM64">
        <v>0</v>
      </c>
      <c r="BN64">
        <v>0</v>
      </c>
      <c r="BO64">
        <v>0</v>
      </c>
      <c r="BP64">
        <v>0</v>
      </c>
      <c r="BQ64">
        <v>0</v>
      </c>
      <c r="BR64">
        <v>-2947319999.9999928</v>
      </c>
      <c r="BS64">
        <v>0</v>
      </c>
      <c r="BT64">
        <v>-2947319999.9999928</v>
      </c>
      <c r="BU64">
        <v>-2947319999.9999928</v>
      </c>
      <c r="BV64">
        <v>-2947320000</v>
      </c>
      <c r="BW64">
        <v>-2947319999.9999928</v>
      </c>
      <c r="BX64">
        <v>6.8215686270000004</v>
      </c>
      <c r="BY64" s="32">
        <f>Bankingbook_MSB[[#This Row],[Mat. Date]]-RPT</f>
        <v>-2556</v>
      </c>
      <c r="BZ64" s="71">
        <f>IF(Bankingbook_MSB[[#This Row],[Days]]&lt;=0,0,YEARFRAC(RPT,Bankingbook_MSB[[#This Row],[Mat. Date]],3))</f>
        <v>0</v>
      </c>
      <c r="CA64" s="71">
        <f>IF(Bankingbook_MSB[[#This Row],[Days (year)]]=0,0,INDEX(Ref!$K$2:$K$13,MATCH(Bankingbook_MSB[[#This Row],[Days (year)]],Ref!$I$2:$I$13,1)))</f>
        <v>0</v>
      </c>
      <c r="CB64" s="32" t="str">
        <f>VLOOKUP(Bankingbook_MSB[[#This Row],[Security Name]],Ref!X:Z,3,0)</f>
        <v>TPCQĐP</v>
      </c>
      <c r="CC64" s="32" t="str">
        <f>VLOOKUP(Bankingbook_MSB[[#This Row],[Security Name]],Ref!X:Y,2,0)</f>
        <v>KBHN</v>
      </c>
      <c r="CD64" s="72">
        <f>IF((Bankingbook_MSB[[#This Row],[Mat. Date]]-RPT)&lt;=0,0,Bankingbook_MSB[[#This Row],[QUANTITY]])</f>
        <v>0</v>
      </c>
      <c r="CE64" s="71">
        <f>IF(Bankingbook_MSB[[#This Row],[Quantity_edited]]=0,0,Bankingbook_MSB[[#This Row],[DURATION]])</f>
        <v>0</v>
      </c>
      <c r="CF64" s="71">
        <f>IF(Bankingbook_MSB[[#This Row],[Quantity_edited]]=0,0,Bankingbook_MSB[[#This Row],[Mod Dur]])</f>
        <v>0</v>
      </c>
      <c r="CG64" s="71">
        <f>IF(Bankingbook_MSB[[#This Row],[Quantity_edited]]=0,0,Bankingbook_MSB[[#This Row],[Cnvx.]])</f>
        <v>0</v>
      </c>
      <c r="CH64" s="71">
        <f>(Bankingbook_MSB[[#This Row],[MARKET_VALUE]]+Bankingbook_MSB[[#This Row],[Accr Int]]*Bankingbook_MSB[[#This Row],[Quantity_edited]])*(-Bankingbook_MSB[[#This Row],[Modified Duration]]*0.0001+0.5*Bankingbook_MSB[[#This Row],[Conv]]*(0.0001^2))</f>
        <v>0</v>
      </c>
      <c r="CI64" s="71">
        <f>(Bankingbook_MSB[[#This Row],[MARKET_VALUE]]+Bankingbook_MSB[[#This Row],[Accr Int]]*Bankingbook_MSB[[#This Row],[Quantity_edited]])*(-Bankingbook_MSB[[#This Row],[Modified Duration]]*0.01+0.5*Bankingbook_MSB[[#This Row],[Conv]]*(0.01^2))</f>
        <v>0</v>
      </c>
      <c r="CJ64" s="32"/>
      <c r="CL64" t="s">
        <v>166</v>
      </c>
      <c r="CM64" t="s">
        <v>167</v>
      </c>
      <c r="CN64" t="s">
        <v>236</v>
      </c>
      <c r="CO64" t="s">
        <v>169</v>
      </c>
      <c r="CP64" s="35">
        <v>42166</v>
      </c>
      <c r="CQ64" t="s">
        <v>3322</v>
      </c>
      <c r="CR64" t="s">
        <v>174</v>
      </c>
      <c r="CS64" t="s">
        <v>174</v>
      </c>
      <c r="CT64" s="49">
        <v>0</v>
      </c>
      <c r="CU64">
        <v>0</v>
      </c>
      <c r="CV64">
        <v>0</v>
      </c>
      <c r="CW64" s="70">
        <v>0</v>
      </c>
      <c r="CX64">
        <v>9.5</v>
      </c>
      <c r="CY64">
        <v>0</v>
      </c>
      <c r="CZ64">
        <v>0</v>
      </c>
      <c r="DA64">
        <v>0</v>
      </c>
      <c r="DB64">
        <v>-58636618.055549622</v>
      </c>
      <c r="DC64">
        <v>9.5</v>
      </c>
      <c r="DD64">
        <v>0</v>
      </c>
      <c r="DE64">
        <v>0</v>
      </c>
      <c r="DF64">
        <v>0</v>
      </c>
      <c r="DG64">
        <v>0</v>
      </c>
      <c r="DH64">
        <v>0</v>
      </c>
      <c r="DI64">
        <v>0</v>
      </c>
      <c r="DJ64" s="500">
        <v>4174000000</v>
      </c>
      <c r="DK64" s="500">
        <v>0</v>
      </c>
      <c r="DL64" s="37">
        <v>4174000000</v>
      </c>
      <c r="DM64" s="37">
        <v>4174000000</v>
      </c>
      <c r="DN64" s="37">
        <v>4174000000</v>
      </c>
      <c r="DO64" s="37">
        <v>4174000000</v>
      </c>
      <c r="DP64" s="32">
        <f>Tradingbook_SBV[[#This Row],[Mat. Date]]-RPT</f>
        <v>-4086</v>
      </c>
      <c r="DQ64" s="32">
        <f>IF(Tradingbook_SBV[[#This Row],[Days]]&lt;=0,0,YEARFRAC(RPT,Tradingbook_SBV[[#This Row],[Mat. Date]],3))</f>
        <v>0</v>
      </c>
      <c r="DR64" s="32">
        <f>IF(Tradingbook_SBV[[#This Row],[Days (year)]]=0,0,INDEX(Ref!$K$2:$K$13,MATCH(Tradingbook_SBV[[#This Row],[Days (year)]],Ref!$I$2:$I$13,1)))</f>
        <v>0</v>
      </c>
      <c r="DS64" s="32" t="str">
        <f>VLOOKUP(Tradingbook_SBV[[#This Row],[Security Name]],Ref!X:Z,3,0)</f>
        <v>TPCPBL</v>
      </c>
      <c r="DT64" s="32" t="str">
        <f>VLOOKUP(Tradingbook_SBV[[#This Row],[Security Name]],Ref!X:Y,2,0)</f>
        <v>VDB</v>
      </c>
      <c r="DU64" s="71">
        <f>IF((Tradingbook_SBV[[#This Row],[Mat. Date]]-RPT)&lt;=0,0,Tradingbook_SBV[[#This Row],[QUANTITY]])</f>
        <v>0</v>
      </c>
      <c r="DV64" s="71">
        <f>IF(Tradingbook_SBV[[#This Row],[Quantity_edited]]=0,0,Tradingbook_SBV[[#This Row],[DURATION]])</f>
        <v>0</v>
      </c>
      <c r="DW64" s="71">
        <f>IF(Tradingbook_SBV[[#This Row],[Quantity_edited]]=0,0,Tradingbook_SBV[[#This Row],[Mod Dur]])</f>
        <v>0</v>
      </c>
      <c r="DX64" s="71">
        <f>IF(Tradingbook_SBV[[#This Row],[Quantity_edited]]=0,0,Tradingbook_SBV[[#This Row],[Cnvx.]])</f>
        <v>0</v>
      </c>
      <c r="DY64" s="71">
        <f>(Tradingbook_SBV[[#This Row],[MARKET_VALUE]]+Tradingbook_SBV[[#This Row],[Accr Int]]*Tradingbook_SBV[[#This Row],[Quantity_edited]])*(-Tradingbook_SBV[[#This Row],[Modified Duration]]*0.0001+0.5*Tradingbook_SBV[[#This Row],[Conv]]*(0.0001^2))</f>
        <v>0</v>
      </c>
      <c r="DZ64" s="71">
        <f>(Tradingbook_SBV[[#This Row],[MARKET_VALUE]]+Tradingbook_SBV[[#This Row],[Accr Int]]*Tradingbook_SBV[[#This Row],[Quantity_edited]])*(-Tradingbook_SBV[[#This Row],[Modified Duration]]*0.01+0.5*Tradingbook_SBV[[#This Row],[Conv]]*(0.01^2))</f>
        <v>0</v>
      </c>
      <c r="EC64" t="s">
        <v>166</v>
      </c>
      <c r="ED64" t="s">
        <v>167</v>
      </c>
      <c r="EE64" t="s">
        <v>398</v>
      </c>
      <c r="EF64" t="s">
        <v>169</v>
      </c>
      <c r="EG64" s="35" t="s">
        <v>3370</v>
      </c>
      <c r="EH64" t="s">
        <v>170</v>
      </c>
      <c r="EK64" s="500">
        <v>10000</v>
      </c>
      <c r="EL64" s="500">
        <v>1000000000</v>
      </c>
      <c r="EM64" s="500">
        <v>101103.86</v>
      </c>
      <c r="EN64" s="500">
        <v>0</v>
      </c>
      <c r="EO64">
        <v>7.1</v>
      </c>
      <c r="EP64">
        <v>0</v>
      </c>
      <c r="EQ64">
        <v>85413000000</v>
      </c>
      <c r="ER64">
        <v>93497450894.444458</v>
      </c>
      <c r="ES64">
        <v>-43328608725.049942</v>
      </c>
      <c r="ET64">
        <v>0</v>
      </c>
      <c r="EU64">
        <v>0</v>
      </c>
      <c r="EV64">
        <v>0</v>
      </c>
      <c r="EW64">
        <v>0</v>
      </c>
      <c r="EX64">
        <v>0</v>
      </c>
      <c r="EY64">
        <v>0</v>
      </c>
      <c r="EZ64">
        <v>0</v>
      </c>
      <c r="FA64">
        <v>14919499999.999935</v>
      </c>
      <c r="FB64">
        <v>0</v>
      </c>
      <c r="FC64">
        <v>14919499999.999935</v>
      </c>
      <c r="FD64">
        <v>14919499999.999935</v>
      </c>
      <c r="FE64">
        <v>14919500000</v>
      </c>
      <c r="FF64">
        <v>14919499999.999935</v>
      </c>
      <c r="FG64" s="32">
        <f>Bankingbook_SBV[[#This Row],[Mat. Date]]-RPT</f>
        <v>-2697</v>
      </c>
      <c r="FH64" s="32">
        <f>IF(Bankingbook_SBV[[#This Row],[Days]]&lt;=0,0,YEARFRAC(RPT,Bankingbook_SBV[[#This Row],[Mat. Date]],3))</f>
        <v>0</v>
      </c>
      <c r="FI64" s="32">
        <f>IF(Bankingbook_SBV[[#This Row],[Days (year)]]=0,0,INDEX(Ref!$K$2:$K$13,MATCH(Bankingbook_SBV[[#This Row],[Days (year)]],Ref!$I$2:$I$13,1)))</f>
        <v>0</v>
      </c>
      <c r="FJ64" s="32" t="str">
        <f>VLOOKUP(Bankingbook_SBV[[#This Row],[Security Name]],Ref!X:Z,3,0)</f>
        <v>TPCP</v>
      </c>
      <c r="FK64" s="32" t="str">
        <f>VLOOKUP(Bankingbook_SBV[[#This Row],[Security Name]],Ref!X:Y,2,0)</f>
        <v>KBNN</v>
      </c>
      <c r="FL64" s="72">
        <f>IF((Bankingbook_SBV[[#This Row],[Mat. Date]]-RPT)&lt;=0,0,Bankingbook_SBV[[#This Row],[QUANTITY]])</f>
        <v>0</v>
      </c>
      <c r="FM64" s="32">
        <f>IF(Bankingbook_SBV[[#This Row],[Quantity_edited]]=0,0,Bankingbook_SBV[[#This Row],[DURATION]])</f>
        <v>0</v>
      </c>
      <c r="FN64" s="32">
        <f>IF(Bankingbook_SBV[[#This Row],[Quantity_edited]]=0,0,Bankingbook_SBV[[#This Row],[Mod Dur]])</f>
        <v>0</v>
      </c>
      <c r="FO64" s="32">
        <f>IF(Bankingbook_SBV[[#This Row],[Quantity_edited]]=0,0,Bankingbook_SBV[[#This Row],[Cnvx.]])</f>
        <v>0</v>
      </c>
      <c r="FP64" s="32">
        <f>(Bankingbook_SBV[[#This Row],[MARKET_VALUE]]+Bankingbook_SBV[[#This Row],[Accr Int]]*Bankingbook_SBV[[#This Row],[Quantity_edited]])*(-Bankingbook_SBV[[#This Row],[Modified Duration]]*0.0001+0.5*Bankingbook_SBV[[#This Row],[Conv]]*(0.0001^2))</f>
        <v>0</v>
      </c>
      <c r="FQ64" s="32">
        <f>(Bankingbook_SBV[[#This Row],[MARKET_VALUE]]+Bankingbook_SBV[[#This Row],[Accr Int]]*Bankingbook_SBV[[#This Row],[Quantity_edited]])*(-Bankingbook_SBV[[#This Row],[Modified Duration]]*0.01+0.5*Bankingbook_SBV[[#This Row],[Conv]]*(0.01^2))</f>
        <v>0</v>
      </c>
      <c r="FT64" t="s">
        <v>166</v>
      </c>
      <c r="FU64" t="s">
        <v>790</v>
      </c>
      <c r="FV64" t="s">
        <v>4040</v>
      </c>
      <c r="FW64">
        <v>3320546</v>
      </c>
      <c r="FX64" s="502">
        <v>46231</v>
      </c>
      <c r="FY64" t="s">
        <v>2176</v>
      </c>
      <c r="FZ64" t="s">
        <v>812</v>
      </c>
      <c r="GA64" t="s">
        <v>3585</v>
      </c>
      <c r="GB64" t="s">
        <v>810</v>
      </c>
      <c r="GC64" t="s">
        <v>712</v>
      </c>
      <c r="GD64" s="500">
        <v>-409880000000</v>
      </c>
      <c r="GE64">
        <v>10.999164</v>
      </c>
      <c r="GF64" s="502">
        <v>46233</v>
      </c>
      <c r="GG64" s="502">
        <v>46322</v>
      </c>
      <c r="GH64">
        <v>4.5999999999999996</v>
      </c>
      <c r="GI64" t="s">
        <v>811</v>
      </c>
      <c r="GJ64" t="s">
        <v>3321</v>
      </c>
      <c r="GK64" t="s">
        <v>3321</v>
      </c>
      <c r="GL64">
        <v>1136278444.4400001</v>
      </c>
      <c r="GM64">
        <v>-981466082.19000006</v>
      </c>
      <c r="GN64">
        <v>464575000000</v>
      </c>
      <c r="GO64">
        <v>11.77</v>
      </c>
      <c r="GP64">
        <v>0.19</v>
      </c>
      <c r="GQ64">
        <v>0.19</v>
      </c>
      <c r="GR64">
        <v>7.549868</v>
      </c>
      <c r="GS64">
        <v>-408618702174.15002</v>
      </c>
      <c r="GT64">
        <v>1261297825.8499999</v>
      </c>
      <c r="GU64" t="s">
        <v>4103</v>
      </c>
      <c r="GV64" t="s">
        <v>4103</v>
      </c>
      <c r="GW64" s="416">
        <f>FNRP_Repo[[#This Row],[Mat. Date]]-RPT</f>
        <v>70</v>
      </c>
      <c r="GX64" s="819" t="str">
        <f>IF(FNRP_Repo[[#This Row],[Days]]&lt;=0,"Mat",INDEX(Ref!U:U,MATCH(FNRP_Repo[[#This Row],[Days]],Ref!S:S,1)))</f>
        <v>3M</v>
      </c>
      <c r="GY64" s="417">
        <f>RIGHT(FNRP_Repo[[#This Row],[Deal Id]],5)+0</f>
        <v>18083</v>
      </c>
    </row>
    <row r="65" spans="2:207" x14ac:dyDescent="0.3">
      <c r="B65" t="s">
        <v>166</v>
      </c>
      <c r="C65" t="s">
        <v>167</v>
      </c>
      <c r="D65" t="s">
        <v>237</v>
      </c>
      <c r="E65" t="s">
        <v>169</v>
      </c>
      <c r="F65" s="502">
        <v>42170</v>
      </c>
      <c r="G65" t="s">
        <v>3322</v>
      </c>
      <c r="H65"/>
      <c r="I65"/>
      <c r="J65" s="38">
        <v>0</v>
      </c>
      <c r="K65">
        <v>0</v>
      </c>
      <c r="L65">
        <v>0</v>
      </c>
      <c r="M65" s="38">
        <v>0</v>
      </c>
      <c r="N65">
        <v>9</v>
      </c>
      <c r="O65">
        <v>0</v>
      </c>
      <c r="P65" s="37">
        <v>4500000000</v>
      </c>
      <c r="Q65" s="37">
        <v>4790140625</v>
      </c>
      <c r="R65" s="37">
        <v>-2943482415.4166584</v>
      </c>
      <c r="S65">
        <v>9</v>
      </c>
      <c r="T65" s="70">
        <v>0</v>
      </c>
      <c r="U65">
        <v>0</v>
      </c>
      <c r="V65">
        <v>0</v>
      </c>
      <c r="W65">
        <v>0</v>
      </c>
      <c r="X65" s="38">
        <v>0</v>
      </c>
      <c r="Y65">
        <v>0</v>
      </c>
      <c r="Z65" s="70">
        <v>-885900000</v>
      </c>
      <c r="AA65" s="70">
        <v>0</v>
      </c>
      <c r="AB65" s="70">
        <v>-885900000</v>
      </c>
      <c r="AC65" s="70">
        <v>-885900000</v>
      </c>
      <c r="AD65" s="70">
        <v>-885900000</v>
      </c>
      <c r="AE65" s="70">
        <v>-885900000</v>
      </c>
      <c r="AF65">
        <v>0</v>
      </c>
      <c r="AG65" s="72">
        <f>Tradingbook_MSB[[#This Row],[Mat. Date]]-RPT</f>
        <v>-4082</v>
      </c>
      <c r="AH65" s="71">
        <f>IF(Tradingbook_MSB[[#This Row],[Days]]&lt;=0,0,YEARFRAC(RPT,Tradingbook_MSB[[#This Row],[Mat. Date]],3))</f>
        <v>0</v>
      </c>
      <c r="AI65" s="71">
        <f>IF(Tradingbook_MSB[[#This Row],[Days (year)]]=0,0,INDEX(Ref!$K$2:$K$13,MATCH(Tradingbook_MSB[[#This Row],[Days (year)]],Ref!$I$2:$I$13,1)))</f>
        <v>0</v>
      </c>
      <c r="AJ65" s="120" t="str">
        <f>VLOOKUP(Tradingbook_MSB[[#This Row],[Security Name]],Ref!X:Z,3,0)</f>
        <v>TPCP</v>
      </c>
      <c r="AK65" s="120" t="str">
        <f>VLOOKUP(Tradingbook_MSB[[#This Row],[Security Name]],Ref!X:Y,2,0)</f>
        <v>KBNN</v>
      </c>
      <c r="AL65" s="71">
        <f>IF((Tradingbook_MSB[[#This Row],[Mat. Date]]-RPT)&lt;=0,0,Tradingbook_MSB[[#This Row],[QUANTITY]])</f>
        <v>0</v>
      </c>
      <c r="AM65" s="71">
        <f>IF(Tradingbook_MSB[[#This Row],[Quantity_edited]]=0,0,Tradingbook_MSB[[#This Row],[DURATION]])</f>
        <v>0</v>
      </c>
      <c r="AN65" s="71">
        <f>IF(Tradingbook_MSB[[#This Row],[Quantity_edited]]=0,0,Tradingbook_MSB[[#This Row],[Mod Dur]])</f>
        <v>0</v>
      </c>
      <c r="AO65" s="71">
        <f>IF(Tradingbook_MSB[[#This Row],[Quantity_edited]]=0,0,Tradingbook_MSB[[#This Row],[Cnvx.]])</f>
        <v>0</v>
      </c>
      <c r="AP65" s="71">
        <f>(Tradingbook_MSB[[#This Row],[MARKET_VALUE]]+Tradingbook_MSB[[#This Row],[Accr Int]]*Tradingbook_MSB[[#This Row],[Quantity_edited]])*(-Tradingbook_MSB[[#This Row],[Modified Duration]]*0.0001+0.5*Tradingbook_MSB[[#This Row],[Conv]]*(0.0001^2))</f>
        <v>0</v>
      </c>
      <c r="AQ65" s="72">
        <f>(Tradingbook_MSB[[#This Row],[MARKET_VALUE]]+Tradingbook_MSB[[#This Row],[Accr Int]]*Tradingbook_MSB[[#This Row],[Quantity_edited]])*(-Tradingbook_MSB[[#This Row],[Modified Duration]]*0.01+0.5*Tradingbook_MSB[[#This Row],[Conv]]*(0.01^2))</f>
        <v>0</v>
      </c>
      <c r="AR65" s="71"/>
      <c r="AT65" t="s">
        <v>166</v>
      </c>
      <c r="AU65" t="s">
        <v>167</v>
      </c>
      <c r="AV65" t="s">
        <v>411</v>
      </c>
      <c r="AW65" t="s">
        <v>169</v>
      </c>
      <c r="AX65" t="s">
        <v>3376</v>
      </c>
      <c r="AY65" t="s">
        <v>3322</v>
      </c>
      <c r="BB65" s="49">
        <v>0</v>
      </c>
      <c r="BC65">
        <v>0</v>
      </c>
      <c r="BD65">
        <v>0</v>
      </c>
      <c r="BE65" s="37">
        <v>0</v>
      </c>
      <c r="BF65">
        <v>6.3</v>
      </c>
      <c r="BG65">
        <v>0</v>
      </c>
      <c r="BH65" s="34">
        <v>25200000000</v>
      </c>
      <c r="BI65">
        <v>28035875000.000046</v>
      </c>
      <c r="BJ65">
        <v>-23953136726.388931</v>
      </c>
      <c r="BK65">
        <v>0</v>
      </c>
      <c r="BL65">
        <v>0</v>
      </c>
      <c r="BM65">
        <v>0</v>
      </c>
      <c r="BN65">
        <v>0</v>
      </c>
      <c r="BO65">
        <v>0</v>
      </c>
      <c r="BP65">
        <v>0</v>
      </c>
      <c r="BQ65">
        <v>0</v>
      </c>
      <c r="BR65">
        <v>-5478500000</v>
      </c>
      <c r="BS65">
        <v>0</v>
      </c>
      <c r="BT65">
        <v>-5478500000</v>
      </c>
      <c r="BU65">
        <v>-5478500000</v>
      </c>
      <c r="BV65">
        <v>-5478500000</v>
      </c>
      <c r="BW65">
        <v>-5478500000</v>
      </c>
      <c r="BX65">
        <v>0</v>
      </c>
      <c r="BY65" s="32">
        <f>Bankingbook_MSB[[#This Row],[Mat. Date]]-RPT</f>
        <v>-2544</v>
      </c>
      <c r="BZ65" s="71">
        <f>IF(Bankingbook_MSB[[#This Row],[Days]]&lt;=0,0,YEARFRAC(RPT,Bankingbook_MSB[[#This Row],[Mat. Date]],3))</f>
        <v>0</v>
      </c>
      <c r="CA65" s="71">
        <f>IF(Bankingbook_MSB[[#This Row],[Days (year)]]=0,0,INDEX(Ref!$K$2:$K$13,MATCH(Bankingbook_MSB[[#This Row],[Days (year)]],Ref!$I$2:$I$13,1)))</f>
        <v>0</v>
      </c>
      <c r="CB65" s="32" t="str">
        <f>VLOOKUP(Bankingbook_MSB[[#This Row],[Security Name]],Ref!X:Z,3,0)</f>
        <v>TPCP</v>
      </c>
      <c r="CC65" s="32" t="str">
        <f>VLOOKUP(Bankingbook_MSB[[#This Row],[Security Name]],Ref!X:Y,2,0)</f>
        <v>KBNN</v>
      </c>
      <c r="CD65" s="72">
        <f>IF((Bankingbook_MSB[[#This Row],[Mat. Date]]-RPT)&lt;=0,0,Bankingbook_MSB[[#This Row],[QUANTITY]])</f>
        <v>0</v>
      </c>
      <c r="CE65" s="71">
        <f>IF(Bankingbook_MSB[[#This Row],[Quantity_edited]]=0,0,Bankingbook_MSB[[#This Row],[DURATION]])</f>
        <v>0</v>
      </c>
      <c r="CF65" s="71">
        <f>IF(Bankingbook_MSB[[#This Row],[Quantity_edited]]=0,0,Bankingbook_MSB[[#This Row],[Mod Dur]])</f>
        <v>0</v>
      </c>
      <c r="CG65" s="71">
        <f>IF(Bankingbook_MSB[[#This Row],[Quantity_edited]]=0,0,Bankingbook_MSB[[#This Row],[Cnvx.]])</f>
        <v>0</v>
      </c>
      <c r="CH65" s="71">
        <f>(Bankingbook_MSB[[#This Row],[MARKET_VALUE]]+Bankingbook_MSB[[#This Row],[Accr Int]]*Bankingbook_MSB[[#This Row],[Quantity_edited]])*(-Bankingbook_MSB[[#This Row],[Modified Duration]]*0.0001+0.5*Bankingbook_MSB[[#This Row],[Conv]]*(0.0001^2))</f>
        <v>0</v>
      </c>
      <c r="CI65" s="71">
        <f>(Bankingbook_MSB[[#This Row],[MARKET_VALUE]]+Bankingbook_MSB[[#This Row],[Accr Int]]*Bankingbook_MSB[[#This Row],[Quantity_edited]])*(-Bankingbook_MSB[[#This Row],[Modified Duration]]*0.01+0.5*Bankingbook_MSB[[#This Row],[Conv]]*(0.01^2))</f>
        <v>0</v>
      </c>
      <c r="CJ65" s="32"/>
      <c r="CL65" t="s">
        <v>166</v>
      </c>
      <c r="CM65" t="s">
        <v>167</v>
      </c>
      <c r="CN65" t="s">
        <v>237</v>
      </c>
      <c r="CO65" t="s">
        <v>169</v>
      </c>
      <c r="CP65" s="35">
        <v>42170</v>
      </c>
      <c r="CQ65" t="s">
        <v>3322</v>
      </c>
      <c r="CR65" t="s">
        <v>174</v>
      </c>
      <c r="CS65" t="s">
        <v>174</v>
      </c>
      <c r="CT65" s="49">
        <v>0</v>
      </c>
      <c r="CU65">
        <v>0</v>
      </c>
      <c r="CV65">
        <v>0</v>
      </c>
      <c r="CW65" s="70">
        <v>0</v>
      </c>
      <c r="CX65">
        <v>9</v>
      </c>
      <c r="CY65">
        <v>0</v>
      </c>
      <c r="CZ65">
        <v>4500000000</v>
      </c>
      <c r="DA65">
        <v>4790140625</v>
      </c>
      <c r="DB65">
        <v>-2943482415.4166584</v>
      </c>
      <c r="DC65">
        <v>9</v>
      </c>
      <c r="DD65">
        <v>0</v>
      </c>
      <c r="DE65">
        <v>0</v>
      </c>
      <c r="DF65">
        <v>0</v>
      </c>
      <c r="DG65">
        <v>0</v>
      </c>
      <c r="DH65">
        <v>0</v>
      </c>
      <c r="DI65">
        <v>0</v>
      </c>
      <c r="DJ65" s="500">
        <v>-885900000</v>
      </c>
      <c r="DK65" s="500">
        <v>0</v>
      </c>
      <c r="DL65" s="37">
        <v>-885900000</v>
      </c>
      <c r="DM65" s="37">
        <v>-885900000</v>
      </c>
      <c r="DN65" s="37">
        <v>-885900000</v>
      </c>
      <c r="DO65" s="37">
        <v>-885900000</v>
      </c>
      <c r="DP65" s="32">
        <f>Tradingbook_SBV[[#This Row],[Mat. Date]]-RPT</f>
        <v>-4082</v>
      </c>
      <c r="DQ65" s="32">
        <f>IF(Tradingbook_SBV[[#This Row],[Days]]&lt;=0,0,YEARFRAC(RPT,Tradingbook_SBV[[#This Row],[Mat. Date]],3))</f>
        <v>0</v>
      </c>
      <c r="DR65" s="32">
        <f>IF(Tradingbook_SBV[[#This Row],[Days (year)]]=0,0,INDEX(Ref!$K$2:$K$13,MATCH(Tradingbook_SBV[[#This Row],[Days (year)]],Ref!$I$2:$I$13,1)))</f>
        <v>0</v>
      </c>
      <c r="DS65" s="32" t="str">
        <f>VLOOKUP(Tradingbook_SBV[[#This Row],[Security Name]],Ref!X:Z,3,0)</f>
        <v>TPCP</v>
      </c>
      <c r="DT65" s="32" t="str">
        <f>VLOOKUP(Tradingbook_SBV[[#This Row],[Security Name]],Ref!X:Y,2,0)</f>
        <v>KBNN</v>
      </c>
      <c r="DU65" s="71">
        <f>IF((Tradingbook_SBV[[#This Row],[Mat. Date]]-RPT)&lt;=0,0,Tradingbook_SBV[[#This Row],[QUANTITY]])</f>
        <v>0</v>
      </c>
      <c r="DV65" s="71">
        <f>IF(Tradingbook_SBV[[#This Row],[Quantity_edited]]=0,0,Tradingbook_SBV[[#This Row],[DURATION]])</f>
        <v>0</v>
      </c>
      <c r="DW65" s="71">
        <f>IF(Tradingbook_SBV[[#This Row],[Quantity_edited]]=0,0,Tradingbook_SBV[[#This Row],[Mod Dur]])</f>
        <v>0</v>
      </c>
      <c r="DX65" s="71">
        <f>IF(Tradingbook_SBV[[#This Row],[Quantity_edited]]=0,0,Tradingbook_SBV[[#This Row],[Cnvx.]])</f>
        <v>0</v>
      </c>
      <c r="DY65" s="71">
        <f>(Tradingbook_SBV[[#This Row],[MARKET_VALUE]]+Tradingbook_SBV[[#This Row],[Accr Int]]*Tradingbook_SBV[[#This Row],[Quantity_edited]])*(-Tradingbook_SBV[[#This Row],[Modified Duration]]*0.0001+0.5*Tradingbook_SBV[[#This Row],[Conv]]*(0.0001^2))</f>
        <v>0</v>
      </c>
      <c r="DZ65" s="71">
        <f>(Tradingbook_SBV[[#This Row],[MARKET_VALUE]]+Tradingbook_SBV[[#This Row],[Accr Int]]*Tradingbook_SBV[[#This Row],[Quantity_edited]])*(-Tradingbook_SBV[[#This Row],[Modified Duration]]*0.01+0.5*Tradingbook_SBV[[#This Row],[Conv]]*(0.01^2))</f>
        <v>0</v>
      </c>
      <c r="EC65" t="s">
        <v>166</v>
      </c>
      <c r="ED65" t="s">
        <v>167</v>
      </c>
      <c r="EE65" t="s">
        <v>400</v>
      </c>
      <c r="EF65" t="s">
        <v>169</v>
      </c>
      <c r="EG65" s="35" t="s">
        <v>3371</v>
      </c>
      <c r="EH65" t="s">
        <v>170</v>
      </c>
      <c r="EK65" s="500">
        <v>100000</v>
      </c>
      <c r="EL65" s="500">
        <v>10000000000</v>
      </c>
      <c r="EM65" s="500">
        <v>103726</v>
      </c>
      <c r="EN65" s="500">
        <v>0</v>
      </c>
      <c r="EO65">
        <v>7.1</v>
      </c>
      <c r="EP65">
        <v>0</v>
      </c>
      <c r="EQ65">
        <v>16330000000</v>
      </c>
      <c r="ER65">
        <v>17721355444.44445</v>
      </c>
      <c r="ES65">
        <v>-8215936896.5277548</v>
      </c>
      <c r="ET65">
        <v>0</v>
      </c>
      <c r="EU65">
        <v>0</v>
      </c>
      <c r="EV65">
        <v>0</v>
      </c>
      <c r="EW65">
        <v>0</v>
      </c>
      <c r="EX65">
        <v>0</v>
      </c>
      <c r="EY65">
        <v>0</v>
      </c>
      <c r="EZ65">
        <v>0</v>
      </c>
      <c r="FA65">
        <v>-2057900000</v>
      </c>
      <c r="FB65">
        <v>0</v>
      </c>
      <c r="FC65">
        <v>-2057900000</v>
      </c>
      <c r="FD65">
        <v>-2057900000</v>
      </c>
      <c r="FE65">
        <v>-2057900000</v>
      </c>
      <c r="FF65">
        <v>-2057900000</v>
      </c>
      <c r="FG65" s="32">
        <f>Bankingbook_SBV[[#This Row],[Mat. Date]]-RPT</f>
        <v>-2652</v>
      </c>
      <c r="FH65" s="32">
        <f>IF(Bankingbook_SBV[[#This Row],[Days]]&lt;=0,0,YEARFRAC(RPT,Bankingbook_SBV[[#This Row],[Mat. Date]],3))</f>
        <v>0</v>
      </c>
      <c r="FI65" s="32">
        <f>IF(Bankingbook_SBV[[#This Row],[Days (year)]]=0,0,INDEX(Ref!$K$2:$K$13,MATCH(Bankingbook_SBV[[#This Row],[Days (year)]],Ref!$I$2:$I$13,1)))</f>
        <v>0</v>
      </c>
      <c r="FJ65" s="32" t="str">
        <f>VLOOKUP(Bankingbook_SBV[[#This Row],[Security Name]],Ref!X:Z,3,0)</f>
        <v>TPCP</v>
      </c>
      <c r="FK65" s="32" t="str">
        <f>VLOOKUP(Bankingbook_SBV[[#This Row],[Security Name]],Ref!X:Y,2,0)</f>
        <v>KBNN</v>
      </c>
      <c r="FL65" s="72">
        <f>IF((Bankingbook_SBV[[#This Row],[Mat. Date]]-RPT)&lt;=0,0,Bankingbook_SBV[[#This Row],[QUANTITY]])</f>
        <v>0</v>
      </c>
      <c r="FM65" s="32">
        <f>IF(Bankingbook_SBV[[#This Row],[Quantity_edited]]=0,0,Bankingbook_SBV[[#This Row],[DURATION]])</f>
        <v>0</v>
      </c>
      <c r="FN65" s="32">
        <f>IF(Bankingbook_SBV[[#This Row],[Quantity_edited]]=0,0,Bankingbook_SBV[[#This Row],[Mod Dur]])</f>
        <v>0</v>
      </c>
      <c r="FO65" s="32">
        <f>IF(Bankingbook_SBV[[#This Row],[Quantity_edited]]=0,0,Bankingbook_SBV[[#This Row],[Cnvx.]])</f>
        <v>0</v>
      </c>
      <c r="FP65" s="32">
        <f>(Bankingbook_SBV[[#This Row],[MARKET_VALUE]]+Bankingbook_SBV[[#This Row],[Accr Int]]*Bankingbook_SBV[[#This Row],[Quantity_edited]])*(-Bankingbook_SBV[[#This Row],[Modified Duration]]*0.0001+0.5*Bankingbook_SBV[[#This Row],[Conv]]*(0.0001^2))</f>
        <v>0</v>
      </c>
      <c r="FQ65" s="32">
        <f>(Bankingbook_SBV[[#This Row],[MARKET_VALUE]]+Bankingbook_SBV[[#This Row],[Accr Int]]*Bankingbook_SBV[[#This Row],[Quantity_edited]])*(-Bankingbook_SBV[[#This Row],[Modified Duration]]*0.01+0.5*Bankingbook_SBV[[#This Row],[Conv]]*(0.01^2))</f>
        <v>0</v>
      </c>
      <c r="FT65" t="s">
        <v>166</v>
      </c>
      <c r="FU65" t="s">
        <v>790</v>
      </c>
      <c r="FV65" t="s">
        <v>4041</v>
      </c>
      <c r="FW65">
        <v>3321765</v>
      </c>
      <c r="FX65" s="502">
        <v>46232</v>
      </c>
      <c r="FY65" t="s">
        <v>2176</v>
      </c>
      <c r="FZ65" t="s">
        <v>812</v>
      </c>
      <c r="GA65" t="s">
        <v>3585</v>
      </c>
      <c r="GB65" t="s">
        <v>810</v>
      </c>
      <c r="GC65" t="s">
        <v>712</v>
      </c>
      <c r="GD65" s="500">
        <v>-405904500000</v>
      </c>
      <c r="GE65">
        <v>4.9995789999999998</v>
      </c>
      <c r="GF65" s="502">
        <v>46234</v>
      </c>
      <c r="GG65" s="502">
        <v>46322</v>
      </c>
      <c r="GH65">
        <v>4.5999999999999996</v>
      </c>
      <c r="GI65" t="s">
        <v>811</v>
      </c>
      <c r="GJ65" t="s">
        <v>3321</v>
      </c>
      <c r="GK65" t="s">
        <v>3321</v>
      </c>
      <c r="GL65">
        <v>1119056156.25</v>
      </c>
      <c r="GM65">
        <v>-920791578.08000004</v>
      </c>
      <c r="GN65">
        <v>418117500000</v>
      </c>
      <c r="GO65">
        <v>2.92</v>
      </c>
      <c r="GP65">
        <v>0.19</v>
      </c>
      <c r="GQ65">
        <v>0.19</v>
      </c>
      <c r="GR65">
        <v>7.549868</v>
      </c>
      <c r="GS65">
        <v>-404605003725.57001</v>
      </c>
      <c r="GT65">
        <v>1299496274.4300001</v>
      </c>
      <c r="GU65" t="s">
        <v>4104</v>
      </c>
      <c r="GV65" t="s">
        <v>4104</v>
      </c>
      <c r="GW65" s="416">
        <f>FNRP_Repo[[#This Row],[Mat. Date]]-RPT</f>
        <v>70</v>
      </c>
      <c r="GX65" s="819" t="str">
        <f>IF(FNRP_Repo[[#This Row],[Days]]&lt;=0,"Mat",INDEX(Ref!U:U,MATCH(FNRP_Repo[[#This Row],[Days]],Ref!S:S,1)))</f>
        <v>3M</v>
      </c>
      <c r="GY65" s="417">
        <f>RIGHT(FNRP_Repo[[#This Row],[Deal Id]],5)+0</f>
        <v>18084</v>
      </c>
    </row>
    <row r="66" spans="2:207" x14ac:dyDescent="0.3">
      <c r="B66" t="s">
        <v>166</v>
      </c>
      <c r="C66" t="s">
        <v>167</v>
      </c>
      <c r="D66" t="s">
        <v>238</v>
      </c>
      <c r="E66" t="s">
        <v>169</v>
      </c>
      <c r="F66" s="502">
        <v>42176</v>
      </c>
      <c r="G66" t="s">
        <v>3322</v>
      </c>
      <c r="H66"/>
      <c r="I66"/>
      <c r="J66" s="38">
        <v>0</v>
      </c>
      <c r="K66">
        <v>0</v>
      </c>
      <c r="L66">
        <v>0</v>
      </c>
      <c r="M66" s="38">
        <v>0</v>
      </c>
      <c r="N66">
        <v>10.95</v>
      </c>
      <c r="O66">
        <v>0</v>
      </c>
      <c r="P66" s="37">
        <v>5475000000</v>
      </c>
      <c r="Q66" s="37">
        <v>5830380729.1666641</v>
      </c>
      <c r="R66" s="37">
        <v>-1795538014.2361</v>
      </c>
      <c r="S66">
        <v>10.95</v>
      </c>
      <c r="T66" s="70">
        <v>0</v>
      </c>
      <c r="U66">
        <v>0</v>
      </c>
      <c r="V66">
        <v>0</v>
      </c>
      <c r="W66">
        <v>0</v>
      </c>
      <c r="X66" s="38">
        <v>0</v>
      </c>
      <c r="Y66">
        <v>0</v>
      </c>
      <c r="Z66" s="70">
        <v>5247000000</v>
      </c>
      <c r="AA66" s="70">
        <v>0</v>
      </c>
      <c r="AB66" s="70">
        <v>5247000000</v>
      </c>
      <c r="AC66" s="70">
        <v>5247000000</v>
      </c>
      <c r="AD66" s="70">
        <v>5247000000</v>
      </c>
      <c r="AE66" s="70">
        <v>5247000000</v>
      </c>
      <c r="AF66">
        <v>0</v>
      </c>
      <c r="AG66" s="72">
        <f>Tradingbook_MSB[[#This Row],[Mat. Date]]-RPT</f>
        <v>-4076</v>
      </c>
      <c r="AH66" s="71">
        <f>IF(Tradingbook_MSB[[#This Row],[Days]]&lt;=0,0,YEARFRAC(RPT,Tradingbook_MSB[[#This Row],[Mat. Date]],3))</f>
        <v>0</v>
      </c>
      <c r="AI66" s="71">
        <f>IF(Tradingbook_MSB[[#This Row],[Days (year)]]=0,0,INDEX(Ref!$K$2:$K$13,MATCH(Tradingbook_MSB[[#This Row],[Days (year)]],Ref!$I$2:$I$13,1)))</f>
        <v>0</v>
      </c>
      <c r="AJ66" s="120" t="str">
        <f>VLOOKUP(Tradingbook_MSB[[#This Row],[Security Name]],Ref!X:Z,3,0)</f>
        <v>TPCP</v>
      </c>
      <c r="AK66" s="120" t="str">
        <f>VLOOKUP(Tradingbook_MSB[[#This Row],[Security Name]],Ref!X:Y,2,0)</f>
        <v>KBNN</v>
      </c>
      <c r="AL66" s="71">
        <f>IF((Tradingbook_MSB[[#This Row],[Mat. Date]]-RPT)&lt;=0,0,Tradingbook_MSB[[#This Row],[QUANTITY]])</f>
        <v>0</v>
      </c>
      <c r="AM66" s="71">
        <f>IF(Tradingbook_MSB[[#This Row],[Quantity_edited]]=0,0,Tradingbook_MSB[[#This Row],[DURATION]])</f>
        <v>0</v>
      </c>
      <c r="AN66" s="71">
        <f>IF(Tradingbook_MSB[[#This Row],[Quantity_edited]]=0,0,Tradingbook_MSB[[#This Row],[Mod Dur]])</f>
        <v>0</v>
      </c>
      <c r="AO66" s="71">
        <f>IF(Tradingbook_MSB[[#This Row],[Quantity_edited]]=0,0,Tradingbook_MSB[[#This Row],[Cnvx.]])</f>
        <v>0</v>
      </c>
      <c r="AP66" s="71">
        <f>(Tradingbook_MSB[[#This Row],[MARKET_VALUE]]+Tradingbook_MSB[[#This Row],[Accr Int]]*Tradingbook_MSB[[#This Row],[Quantity_edited]])*(-Tradingbook_MSB[[#This Row],[Modified Duration]]*0.0001+0.5*Tradingbook_MSB[[#This Row],[Conv]]*(0.0001^2))</f>
        <v>0</v>
      </c>
      <c r="AQ66" s="72">
        <f>(Tradingbook_MSB[[#This Row],[MARKET_VALUE]]+Tradingbook_MSB[[#This Row],[Accr Int]]*Tradingbook_MSB[[#This Row],[Quantity_edited]])*(-Tradingbook_MSB[[#This Row],[Modified Duration]]*0.01+0.5*Tradingbook_MSB[[#This Row],[Conv]]*(0.01^2))</f>
        <v>0</v>
      </c>
      <c r="AR66" s="71"/>
      <c r="AT66" t="s">
        <v>166</v>
      </c>
      <c r="AU66" t="s">
        <v>167</v>
      </c>
      <c r="AV66" t="s">
        <v>415</v>
      </c>
      <c r="AW66" t="s">
        <v>169</v>
      </c>
      <c r="AX66" t="s">
        <v>414</v>
      </c>
      <c r="AY66" t="s">
        <v>170</v>
      </c>
      <c r="BB66" s="49">
        <v>1000000</v>
      </c>
      <c r="BC66">
        <v>100000000000</v>
      </c>
      <c r="BD66">
        <v>99981</v>
      </c>
      <c r="BE66" s="37">
        <v>0</v>
      </c>
      <c r="BF66">
        <v>5.6</v>
      </c>
      <c r="BG66">
        <v>0</v>
      </c>
      <c r="BH66" s="34">
        <v>28000000000</v>
      </c>
      <c r="BI66">
        <v>29592282222.222233</v>
      </c>
      <c r="BJ66">
        <v>-14418451530</v>
      </c>
      <c r="BK66">
        <v>0</v>
      </c>
      <c r="BL66">
        <v>0</v>
      </c>
      <c r="BM66">
        <v>0</v>
      </c>
      <c r="BN66">
        <v>0</v>
      </c>
      <c r="BO66">
        <v>0</v>
      </c>
      <c r="BP66">
        <v>0</v>
      </c>
      <c r="BQ66">
        <v>0</v>
      </c>
      <c r="BR66">
        <v>19000000</v>
      </c>
      <c r="BS66">
        <v>0</v>
      </c>
      <c r="BT66">
        <v>19000000</v>
      </c>
      <c r="BU66">
        <v>19000000</v>
      </c>
      <c r="BV66">
        <v>19000000</v>
      </c>
      <c r="BW66">
        <v>19000000</v>
      </c>
      <c r="BX66">
        <v>5.6</v>
      </c>
      <c r="BY66" s="32">
        <f>Bankingbook_MSB[[#This Row],[Mat. Date]]-RPT</f>
        <v>-2501</v>
      </c>
      <c r="BZ66" s="71">
        <f>IF(Bankingbook_MSB[[#This Row],[Days]]&lt;=0,0,YEARFRAC(RPT,Bankingbook_MSB[[#This Row],[Mat. Date]],3))</f>
        <v>0</v>
      </c>
      <c r="CA66" s="71">
        <f>IF(Bankingbook_MSB[[#This Row],[Days (year)]]=0,0,INDEX(Ref!$K$2:$K$13,MATCH(Bankingbook_MSB[[#This Row],[Days (year)]],Ref!$I$2:$I$13,1)))</f>
        <v>0</v>
      </c>
      <c r="CB66" s="32" t="str">
        <f>VLOOKUP(Bankingbook_MSB[[#This Row],[Security Name]],Ref!X:Z,3,0)</f>
        <v>TPCQĐP</v>
      </c>
      <c r="CC66" s="32" t="str">
        <f>VLOOKUP(Bankingbook_MSB[[#This Row],[Security Name]],Ref!X:Y,2,0)</f>
        <v>DNGTP</v>
      </c>
      <c r="CD66" s="72">
        <f>IF((Bankingbook_MSB[[#This Row],[Mat. Date]]-RPT)&lt;=0,0,Bankingbook_MSB[[#This Row],[QUANTITY]])</f>
        <v>0</v>
      </c>
      <c r="CE66" s="71">
        <f>IF(Bankingbook_MSB[[#This Row],[Quantity_edited]]=0,0,Bankingbook_MSB[[#This Row],[DURATION]])</f>
        <v>0</v>
      </c>
      <c r="CF66" s="71">
        <f>IF(Bankingbook_MSB[[#This Row],[Quantity_edited]]=0,0,Bankingbook_MSB[[#This Row],[Mod Dur]])</f>
        <v>0</v>
      </c>
      <c r="CG66" s="71">
        <f>IF(Bankingbook_MSB[[#This Row],[Quantity_edited]]=0,0,Bankingbook_MSB[[#This Row],[Cnvx.]])</f>
        <v>0</v>
      </c>
      <c r="CH66" s="71">
        <f>(Bankingbook_MSB[[#This Row],[MARKET_VALUE]]+Bankingbook_MSB[[#This Row],[Accr Int]]*Bankingbook_MSB[[#This Row],[Quantity_edited]])*(-Bankingbook_MSB[[#This Row],[Modified Duration]]*0.0001+0.5*Bankingbook_MSB[[#This Row],[Conv]]*(0.0001^2))</f>
        <v>0</v>
      </c>
      <c r="CI66" s="71">
        <f>(Bankingbook_MSB[[#This Row],[MARKET_VALUE]]+Bankingbook_MSB[[#This Row],[Accr Int]]*Bankingbook_MSB[[#This Row],[Quantity_edited]])*(-Bankingbook_MSB[[#This Row],[Modified Duration]]*0.01+0.5*Bankingbook_MSB[[#This Row],[Conv]]*(0.01^2))</f>
        <v>0</v>
      </c>
      <c r="CJ66" s="32"/>
      <c r="CL66" t="s">
        <v>166</v>
      </c>
      <c r="CM66" t="s">
        <v>167</v>
      </c>
      <c r="CN66" t="s">
        <v>238</v>
      </c>
      <c r="CO66" t="s">
        <v>169</v>
      </c>
      <c r="CP66" s="35">
        <v>42176</v>
      </c>
      <c r="CQ66" t="s">
        <v>3322</v>
      </c>
      <c r="CR66" t="s">
        <v>174</v>
      </c>
      <c r="CS66" t="s">
        <v>174</v>
      </c>
      <c r="CT66" s="49">
        <v>0</v>
      </c>
      <c r="CU66">
        <v>0</v>
      </c>
      <c r="CV66">
        <v>0</v>
      </c>
      <c r="CW66" s="70">
        <v>0</v>
      </c>
      <c r="CX66">
        <v>10.95</v>
      </c>
      <c r="CY66">
        <v>0</v>
      </c>
      <c r="CZ66">
        <v>5475000000</v>
      </c>
      <c r="DA66">
        <v>5830380729.1666641</v>
      </c>
      <c r="DB66">
        <v>-1795538014.2361</v>
      </c>
      <c r="DC66">
        <v>10.95</v>
      </c>
      <c r="DD66">
        <v>0</v>
      </c>
      <c r="DE66">
        <v>0</v>
      </c>
      <c r="DF66">
        <v>0</v>
      </c>
      <c r="DG66">
        <v>0</v>
      </c>
      <c r="DH66">
        <v>0</v>
      </c>
      <c r="DI66">
        <v>0</v>
      </c>
      <c r="DJ66" s="500">
        <v>5247000000</v>
      </c>
      <c r="DK66" s="500">
        <v>0</v>
      </c>
      <c r="DL66" s="37">
        <v>5247000000</v>
      </c>
      <c r="DM66" s="37">
        <v>5247000000</v>
      </c>
      <c r="DN66" s="37">
        <v>5247000000</v>
      </c>
      <c r="DO66" s="37">
        <v>5247000000</v>
      </c>
      <c r="DP66" s="32">
        <f>Tradingbook_SBV[[#This Row],[Mat. Date]]-RPT</f>
        <v>-4076</v>
      </c>
      <c r="DQ66" s="32">
        <f>IF(Tradingbook_SBV[[#This Row],[Days]]&lt;=0,0,YEARFRAC(RPT,Tradingbook_SBV[[#This Row],[Mat. Date]],3))</f>
        <v>0</v>
      </c>
      <c r="DR66" s="32">
        <f>IF(Tradingbook_SBV[[#This Row],[Days (year)]]=0,0,INDEX(Ref!$K$2:$K$13,MATCH(Tradingbook_SBV[[#This Row],[Days (year)]],Ref!$I$2:$I$13,1)))</f>
        <v>0</v>
      </c>
      <c r="DS66" s="32" t="str">
        <f>VLOOKUP(Tradingbook_SBV[[#This Row],[Security Name]],Ref!X:Z,3,0)</f>
        <v>TPCP</v>
      </c>
      <c r="DT66" s="32" t="str">
        <f>VLOOKUP(Tradingbook_SBV[[#This Row],[Security Name]],Ref!X:Y,2,0)</f>
        <v>KBNN</v>
      </c>
      <c r="DU66" s="71">
        <f>IF((Tradingbook_SBV[[#This Row],[Mat. Date]]-RPT)&lt;=0,0,Tradingbook_SBV[[#This Row],[QUANTITY]])</f>
        <v>0</v>
      </c>
      <c r="DV66" s="71">
        <f>IF(Tradingbook_SBV[[#This Row],[Quantity_edited]]=0,0,Tradingbook_SBV[[#This Row],[DURATION]])</f>
        <v>0</v>
      </c>
      <c r="DW66" s="71">
        <f>IF(Tradingbook_SBV[[#This Row],[Quantity_edited]]=0,0,Tradingbook_SBV[[#This Row],[Mod Dur]])</f>
        <v>0</v>
      </c>
      <c r="DX66" s="71">
        <f>IF(Tradingbook_SBV[[#This Row],[Quantity_edited]]=0,0,Tradingbook_SBV[[#This Row],[Cnvx.]])</f>
        <v>0</v>
      </c>
      <c r="DY66" s="71">
        <f>(Tradingbook_SBV[[#This Row],[MARKET_VALUE]]+Tradingbook_SBV[[#This Row],[Accr Int]]*Tradingbook_SBV[[#This Row],[Quantity_edited]])*(-Tradingbook_SBV[[#This Row],[Modified Duration]]*0.0001+0.5*Tradingbook_SBV[[#This Row],[Conv]]*(0.0001^2))</f>
        <v>0</v>
      </c>
      <c r="DZ66" s="71">
        <f>(Tradingbook_SBV[[#This Row],[MARKET_VALUE]]+Tradingbook_SBV[[#This Row],[Accr Int]]*Tradingbook_SBV[[#This Row],[Quantity_edited]])*(-Tradingbook_SBV[[#This Row],[Modified Duration]]*0.01+0.5*Tradingbook_SBV[[#This Row],[Conv]]*(0.01^2))</f>
        <v>0</v>
      </c>
      <c r="EC66" t="s">
        <v>166</v>
      </c>
      <c r="ED66" t="s">
        <v>167</v>
      </c>
      <c r="EE66" t="s">
        <v>404</v>
      </c>
      <c r="EF66" t="s">
        <v>169</v>
      </c>
      <c r="EG66" s="35" t="s">
        <v>3372</v>
      </c>
      <c r="EH66" t="s">
        <v>3322</v>
      </c>
      <c r="EK66" s="500">
        <v>0</v>
      </c>
      <c r="EL66" s="500">
        <v>0</v>
      </c>
      <c r="EM66" s="500">
        <v>0</v>
      </c>
      <c r="EN66" s="500">
        <v>0</v>
      </c>
      <c r="EO66">
        <v>7.1</v>
      </c>
      <c r="EP66">
        <v>0</v>
      </c>
      <c r="EQ66">
        <v>49700000000</v>
      </c>
      <c r="ER66">
        <v>54427747013.888885</v>
      </c>
      <c r="ES66">
        <v>-23496196197.222252</v>
      </c>
      <c r="ET66">
        <v>0</v>
      </c>
      <c r="EU66">
        <v>0</v>
      </c>
      <c r="EV66">
        <v>0</v>
      </c>
      <c r="EW66">
        <v>0</v>
      </c>
      <c r="EX66">
        <v>0</v>
      </c>
      <c r="EY66">
        <v>0</v>
      </c>
      <c r="EZ66">
        <v>0</v>
      </c>
      <c r="FA66">
        <v>8909000000</v>
      </c>
      <c r="FB66">
        <v>0</v>
      </c>
      <c r="FC66">
        <v>8909000000</v>
      </c>
      <c r="FD66">
        <v>8909000000</v>
      </c>
      <c r="FE66">
        <v>8909000000</v>
      </c>
      <c r="FF66">
        <v>8909000000</v>
      </c>
      <c r="FG66" s="32">
        <f>Bankingbook_SBV[[#This Row],[Mat. Date]]-RPT</f>
        <v>-2606</v>
      </c>
      <c r="FH66" s="32">
        <f>IF(Bankingbook_SBV[[#This Row],[Days]]&lt;=0,0,YEARFRAC(RPT,Bankingbook_SBV[[#This Row],[Mat. Date]],3))</f>
        <v>0</v>
      </c>
      <c r="FI66" s="32">
        <f>IF(Bankingbook_SBV[[#This Row],[Days (year)]]=0,0,INDEX(Ref!$K$2:$K$13,MATCH(Bankingbook_SBV[[#This Row],[Days (year)]],Ref!$I$2:$I$13,1)))</f>
        <v>0</v>
      </c>
      <c r="FJ66" s="32" t="str">
        <f>VLOOKUP(Bankingbook_SBV[[#This Row],[Security Name]],Ref!X:Z,3,0)</f>
        <v>TPCP</v>
      </c>
      <c r="FK66" s="32" t="str">
        <f>VLOOKUP(Bankingbook_SBV[[#This Row],[Security Name]],Ref!X:Y,2,0)</f>
        <v>KBNN</v>
      </c>
      <c r="FL66" s="72">
        <f>IF((Bankingbook_SBV[[#This Row],[Mat. Date]]-RPT)&lt;=0,0,Bankingbook_SBV[[#This Row],[QUANTITY]])</f>
        <v>0</v>
      </c>
      <c r="FM66" s="32">
        <f>IF(Bankingbook_SBV[[#This Row],[Quantity_edited]]=0,0,Bankingbook_SBV[[#This Row],[DURATION]])</f>
        <v>0</v>
      </c>
      <c r="FN66" s="32">
        <f>IF(Bankingbook_SBV[[#This Row],[Quantity_edited]]=0,0,Bankingbook_SBV[[#This Row],[Mod Dur]])</f>
        <v>0</v>
      </c>
      <c r="FO66" s="32">
        <f>IF(Bankingbook_SBV[[#This Row],[Quantity_edited]]=0,0,Bankingbook_SBV[[#This Row],[Cnvx.]])</f>
        <v>0</v>
      </c>
      <c r="FP66" s="32">
        <f>(Bankingbook_SBV[[#This Row],[MARKET_VALUE]]+Bankingbook_SBV[[#This Row],[Accr Int]]*Bankingbook_SBV[[#This Row],[Quantity_edited]])*(-Bankingbook_SBV[[#This Row],[Modified Duration]]*0.0001+0.5*Bankingbook_SBV[[#This Row],[Conv]]*(0.0001^2))</f>
        <v>0</v>
      </c>
      <c r="FQ66" s="32">
        <f>(Bankingbook_SBV[[#This Row],[MARKET_VALUE]]+Bankingbook_SBV[[#This Row],[Accr Int]]*Bankingbook_SBV[[#This Row],[Quantity_edited]])*(-Bankingbook_SBV[[#This Row],[Modified Duration]]*0.01+0.5*Bankingbook_SBV[[#This Row],[Conv]]*(0.01^2))</f>
        <v>0</v>
      </c>
      <c r="FT66" t="s">
        <v>166</v>
      </c>
      <c r="FU66" t="s">
        <v>790</v>
      </c>
      <c r="FV66" t="s">
        <v>4042</v>
      </c>
      <c r="FW66">
        <v>3321766</v>
      </c>
      <c r="FX66" s="502">
        <v>46232</v>
      </c>
      <c r="FY66" t="s">
        <v>2176</v>
      </c>
      <c r="FZ66" t="s">
        <v>812</v>
      </c>
      <c r="GA66" t="s">
        <v>3585</v>
      </c>
      <c r="GB66" t="s">
        <v>810</v>
      </c>
      <c r="GC66" t="s">
        <v>706</v>
      </c>
      <c r="GD66" s="500">
        <v>-40256000000</v>
      </c>
      <c r="GE66">
        <v>4.9994690000000004</v>
      </c>
      <c r="GF66" s="502">
        <v>46234</v>
      </c>
      <c r="GG66" s="502">
        <v>46322</v>
      </c>
      <c r="GH66">
        <v>4.5999999999999996</v>
      </c>
      <c r="GI66" t="s">
        <v>811</v>
      </c>
      <c r="GJ66" t="s">
        <v>3321</v>
      </c>
      <c r="GK66" t="s">
        <v>3321</v>
      </c>
      <c r="GL66">
        <v>110983555.56</v>
      </c>
      <c r="GM66">
        <v>-91320460.269999996</v>
      </c>
      <c r="GN66">
        <v>41883000000</v>
      </c>
      <c r="GO66">
        <v>3.88</v>
      </c>
      <c r="GP66">
        <v>0.19</v>
      </c>
      <c r="GQ66">
        <v>0.19</v>
      </c>
      <c r="GR66">
        <v>7.549868</v>
      </c>
      <c r="GS66">
        <v>-40127121108.919998</v>
      </c>
      <c r="GT66">
        <v>128878891.08</v>
      </c>
      <c r="GU66" t="s">
        <v>4110</v>
      </c>
      <c r="GV66" t="s">
        <v>4110</v>
      </c>
      <c r="GW66" s="416">
        <f>FNRP_Repo[[#This Row],[Mat. Date]]-RPT</f>
        <v>70</v>
      </c>
      <c r="GX66" s="819" t="str">
        <f>IF(FNRP_Repo[[#This Row],[Days]]&lt;=0,"Mat",INDEX(Ref!U:U,MATCH(FNRP_Repo[[#This Row],[Days]],Ref!S:S,1)))</f>
        <v>3M</v>
      </c>
      <c r="GY66" s="417">
        <f>RIGHT(FNRP_Repo[[#This Row],[Deal Id]],5)+0</f>
        <v>18085</v>
      </c>
    </row>
    <row r="67" spans="2:207" x14ac:dyDescent="0.3">
      <c r="B67" t="s">
        <v>166</v>
      </c>
      <c r="C67" t="s">
        <v>167</v>
      </c>
      <c r="D67" t="s">
        <v>239</v>
      </c>
      <c r="E67" t="s">
        <v>169</v>
      </c>
      <c r="F67" s="502">
        <v>42185</v>
      </c>
      <c r="G67" t="s">
        <v>3322</v>
      </c>
      <c r="H67"/>
      <c r="I67"/>
      <c r="J67" s="38">
        <v>0</v>
      </c>
      <c r="K67">
        <v>0</v>
      </c>
      <c r="L67">
        <v>0</v>
      </c>
      <c r="M67" s="38">
        <v>0</v>
      </c>
      <c r="N67">
        <v>9.4</v>
      </c>
      <c r="O67">
        <v>0</v>
      </c>
      <c r="P67" s="37">
        <v>9400000000</v>
      </c>
      <c r="Q67" s="37">
        <v>10013250777.777771</v>
      </c>
      <c r="R67" s="37">
        <v>-3355438415.4004459</v>
      </c>
      <c r="S67">
        <v>9.4</v>
      </c>
      <c r="T67" s="70">
        <v>0</v>
      </c>
      <c r="U67">
        <v>0</v>
      </c>
      <c r="V67">
        <v>0</v>
      </c>
      <c r="W67">
        <v>0</v>
      </c>
      <c r="X67" s="38">
        <v>0</v>
      </c>
      <c r="Y67">
        <v>0</v>
      </c>
      <c r="Z67" s="70">
        <v>8115388904</v>
      </c>
      <c r="AA67" s="70">
        <v>0</v>
      </c>
      <c r="AB67" s="70">
        <v>8115388904</v>
      </c>
      <c r="AC67" s="70">
        <v>8115388904</v>
      </c>
      <c r="AD67" s="70">
        <v>8115388904</v>
      </c>
      <c r="AE67" s="70">
        <v>8115388904</v>
      </c>
      <c r="AF67">
        <v>0</v>
      </c>
      <c r="AG67" s="72">
        <f>Tradingbook_MSB[[#This Row],[Mat. Date]]-RPT</f>
        <v>-4067</v>
      </c>
      <c r="AH67" s="71">
        <f>IF(Tradingbook_MSB[[#This Row],[Days]]&lt;=0,0,YEARFRAC(RPT,Tradingbook_MSB[[#This Row],[Mat. Date]],3))</f>
        <v>0</v>
      </c>
      <c r="AI67" s="71">
        <f>IF(Tradingbook_MSB[[#This Row],[Days (year)]]=0,0,INDEX(Ref!$K$2:$K$13,MATCH(Tradingbook_MSB[[#This Row],[Days (year)]],Ref!$I$2:$I$13,1)))</f>
        <v>0</v>
      </c>
      <c r="AJ67" s="120" t="str">
        <f>VLOOKUP(Tradingbook_MSB[[#This Row],[Security Name]],Ref!X:Z,3,0)</f>
        <v>TPCP</v>
      </c>
      <c r="AK67" s="120" t="str">
        <f>VLOOKUP(Tradingbook_MSB[[#This Row],[Security Name]],Ref!X:Y,2,0)</f>
        <v>KBNN</v>
      </c>
      <c r="AL67" s="71">
        <f>IF((Tradingbook_MSB[[#This Row],[Mat. Date]]-RPT)&lt;=0,0,Tradingbook_MSB[[#This Row],[QUANTITY]])</f>
        <v>0</v>
      </c>
      <c r="AM67" s="71">
        <f>IF(Tradingbook_MSB[[#This Row],[Quantity_edited]]=0,0,Tradingbook_MSB[[#This Row],[DURATION]])</f>
        <v>0</v>
      </c>
      <c r="AN67" s="71">
        <f>IF(Tradingbook_MSB[[#This Row],[Quantity_edited]]=0,0,Tradingbook_MSB[[#This Row],[Mod Dur]])</f>
        <v>0</v>
      </c>
      <c r="AO67" s="71">
        <f>IF(Tradingbook_MSB[[#This Row],[Quantity_edited]]=0,0,Tradingbook_MSB[[#This Row],[Cnvx.]])</f>
        <v>0</v>
      </c>
      <c r="AP67" s="71">
        <f>(Tradingbook_MSB[[#This Row],[MARKET_VALUE]]+Tradingbook_MSB[[#This Row],[Accr Int]]*Tradingbook_MSB[[#This Row],[Quantity_edited]])*(-Tradingbook_MSB[[#This Row],[Modified Duration]]*0.0001+0.5*Tradingbook_MSB[[#This Row],[Conv]]*(0.0001^2))</f>
        <v>0</v>
      </c>
      <c r="AQ67" s="72">
        <f>(Tradingbook_MSB[[#This Row],[MARKET_VALUE]]+Tradingbook_MSB[[#This Row],[Accr Int]]*Tradingbook_MSB[[#This Row],[Quantity_edited]])*(-Tradingbook_MSB[[#This Row],[Modified Duration]]*0.01+0.5*Tradingbook_MSB[[#This Row],[Conv]]*(0.01^2))</f>
        <v>0</v>
      </c>
      <c r="AR67" s="71"/>
      <c r="AT67" t="s">
        <v>166</v>
      </c>
      <c r="AU67" t="s">
        <v>167</v>
      </c>
      <c r="AV67" t="s">
        <v>417</v>
      </c>
      <c r="AW67" t="s">
        <v>169</v>
      </c>
      <c r="AX67" t="s">
        <v>418</v>
      </c>
      <c r="AY67" t="s">
        <v>3322</v>
      </c>
      <c r="BB67" s="49">
        <v>0</v>
      </c>
      <c r="BC67">
        <v>0</v>
      </c>
      <c r="BD67">
        <v>0</v>
      </c>
      <c r="BE67" s="37">
        <v>0</v>
      </c>
      <c r="BF67">
        <v>5</v>
      </c>
      <c r="BG67">
        <v>0</v>
      </c>
      <c r="BH67" s="126">
        <v>7500000000</v>
      </c>
      <c r="BI67">
        <v>8331468750.0000114</v>
      </c>
      <c r="BJ67">
        <v>-8082980968.1944542</v>
      </c>
      <c r="BK67">
        <v>0</v>
      </c>
      <c r="BL67">
        <v>0</v>
      </c>
      <c r="BM67">
        <v>0</v>
      </c>
      <c r="BN67">
        <v>0</v>
      </c>
      <c r="BO67">
        <v>0</v>
      </c>
      <c r="BP67">
        <v>0</v>
      </c>
      <c r="BQ67">
        <v>0</v>
      </c>
      <c r="BR67">
        <v>2060500000</v>
      </c>
      <c r="BS67">
        <v>0</v>
      </c>
      <c r="BT67">
        <v>2060500000</v>
      </c>
      <c r="BU67">
        <v>2060500000</v>
      </c>
      <c r="BV67">
        <v>2060500000</v>
      </c>
      <c r="BW67">
        <v>2060500000</v>
      </c>
      <c r="BX67">
        <v>0</v>
      </c>
      <c r="BY67" s="32">
        <f>Bankingbook_MSB[[#This Row],[Mat. Date]]-RPT</f>
        <v>-2483</v>
      </c>
      <c r="BZ67" s="71">
        <f>IF(Bankingbook_MSB[[#This Row],[Days]]&lt;=0,0,YEARFRAC(RPT,Bankingbook_MSB[[#This Row],[Mat. Date]],3))</f>
        <v>0</v>
      </c>
      <c r="CA67" s="71">
        <f>IF(Bankingbook_MSB[[#This Row],[Days (year)]]=0,0,INDEX(Ref!$K$2:$K$13,MATCH(Bankingbook_MSB[[#This Row],[Days (year)]],Ref!$I$2:$I$13,1)))</f>
        <v>0</v>
      </c>
      <c r="CB67" s="32" t="str">
        <f>VLOOKUP(Bankingbook_MSB[[#This Row],[Security Name]],Ref!X:Z,3,0)</f>
        <v>TPCP</v>
      </c>
      <c r="CC67" s="32" t="str">
        <f>VLOOKUP(Bankingbook_MSB[[#This Row],[Security Name]],Ref!X:Y,2,0)</f>
        <v>KBNN</v>
      </c>
      <c r="CD67" s="72">
        <f>IF((Bankingbook_MSB[[#This Row],[Mat. Date]]-RPT)&lt;=0,0,Bankingbook_MSB[[#This Row],[QUANTITY]])</f>
        <v>0</v>
      </c>
      <c r="CE67" s="71">
        <f>IF(Bankingbook_MSB[[#This Row],[Quantity_edited]]=0,0,Bankingbook_MSB[[#This Row],[DURATION]])</f>
        <v>0</v>
      </c>
      <c r="CF67" s="71">
        <f>IF(Bankingbook_MSB[[#This Row],[Quantity_edited]]=0,0,Bankingbook_MSB[[#This Row],[Mod Dur]])</f>
        <v>0</v>
      </c>
      <c r="CG67" s="71">
        <f>IF(Bankingbook_MSB[[#This Row],[Quantity_edited]]=0,0,Bankingbook_MSB[[#This Row],[Cnvx.]])</f>
        <v>0</v>
      </c>
      <c r="CH67" s="71">
        <f>(Bankingbook_MSB[[#This Row],[MARKET_VALUE]]+Bankingbook_MSB[[#This Row],[Accr Int]]*Bankingbook_MSB[[#This Row],[Quantity_edited]])*(-Bankingbook_MSB[[#This Row],[Modified Duration]]*0.0001+0.5*Bankingbook_MSB[[#This Row],[Conv]]*(0.0001^2))</f>
        <v>0</v>
      </c>
      <c r="CI67" s="71">
        <f>(Bankingbook_MSB[[#This Row],[MARKET_VALUE]]+Bankingbook_MSB[[#This Row],[Accr Int]]*Bankingbook_MSB[[#This Row],[Quantity_edited]])*(-Bankingbook_MSB[[#This Row],[Modified Duration]]*0.01+0.5*Bankingbook_MSB[[#This Row],[Conv]]*(0.01^2))</f>
        <v>0</v>
      </c>
      <c r="CJ67" s="32"/>
      <c r="CL67" t="s">
        <v>166</v>
      </c>
      <c r="CM67" t="s">
        <v>167</v>
      </c>
      <c r="CN67" t="s">
        <v>239</v>
      </c>
      <c r="CO67" t="s">
        <v>169</v>
      </c>
      <c r="CP67" s="35">
        <v>42185</v>
      </c>
      <c r="CQ67" t="s">
        <v>3322</v>
      </c>
      <c r="CR67" t="s">
        <v>174</v>
      </c>
      <c r="CS67" t="s">
        <v>174</v>
      </c>
      <c r="CT67" s="49">
        <v>0</v>
      </c>
      <c r="CU67">
        <v>0</v>
      </c>
      <c r="CV67">
        <v>0</v>
      </c>
      <c r="CW67" s="70">
        <v>0</v>
      </c>
      <c r="CX67">
        <v>9.4</v>
      </c>
      <c r="CY67">
        <v>0</v>
      </c>
      <c r="CZ67">
        <v>9400000000</v>
      </c>
      <c r="DA67">
        <v>10013250777.777771</v>
      </c>
      <c r="DB67">
        <v>-3355438415.4004459</v>
      </c>
      <c r="DC67">
        <v>9.4</v>
      </c>
      <c r="DD67">
        <v>0</v>
      </c>
      <c r="DE67">
        <v>0</v>
      </c>
      <c r="DF67">
        <v>0</v>
      </c>
      <c r="DG67">
        <v>0</v>
      </c>
      <c r="DH67">
        <v>0</v>
      </c>
      <c r="DI67">
        <v>0</v>
      </c>
      <c r="DJ67" s="500">
        <v>8115388904</v>
      </c>
      <c r="DK67" s="500">
        <v>0</v>
      </c>
      <c r="DL67" s="37">
        <v>8115388904</v>
      </c>
      <c r="DM67" s="37">
        <v>8115388904</v>
      </c>
      <c r="DN67" s="37">
        <v>8115388904</v>
      </c>
      <c r="DO67" s="37">
        <v>8115388904</v>
      </c>
      <c r="DP67" s="32">
        <f>Tradingbook_SBV[[#This Row],[Mat. Date]]-RPT</f>
        <v>-4067</v>
      </c>
      <c r="DQ67" s="32">
        <f>IF(Tradingbook_SBV[[#This Row],[Days]]&lt;=0,0,YEARFRAC(RPT,Tradingbook_SBV[[#This Row],[Mat. Date]],3))</f>
        <v>0</v>
      </c>
      <c r="DR67" s="32">
        <f>IF(Tradingbook_SBV[[#This Row],[Days (year)]]=0,0,INDEX(Ref!$K$2:$K$13,MATCH(Tradingbook_SBV[[#This Row],[Days (year)]],Ref!$I$2:$I$13,1)))</f>
        <v>0</v>
      </c>
      <c r="DS67" s="32" t="str">
        <f>VLOOKUP(Tradingbook_SBV[[#This Row],[Security Name]],Ref!X:Z,3,0)</f>
        <v>TPCP</v>
      </c>
      <c r="DT67" s="32" t="str">
        <f>VLOOKUP(Tradingbook_SBV[[#This Row],[Security Name]],Ref!X:Y,2,0)</f>
        <v>KBNN</v>
      </c>
      <c r="DU67" s="71">
        <f>IF((Tradingbook_SBV[[#This Row],[Mat. Date]]-RPT)&lt;=0,0,Tradingbook_SBV[[#This Row],[QUANTITY]])</f>
        <v>0</v>
      </c>
      <c r="DV67" s="71">
        <f>IF(Tradingbook_SBV[[#This Row],[Quantity_edited]]=0,0,Tradingbook_SBV[[#This Row],[DURATION]])</f>
        <v>0</v>
      </c>
      <c r="DW67" s="71">
        <f>IF(Tradingbook_SBV[[#This Row],[Quantity_edited]]=0,0,Tradingbook_SBV[[#This Row],[Mod Dur]])</f>
        <v>0</v>
      </c>
      <c r="DX67" s="71">
        <f>IF(Tradingbook_SBV[[#This Row],[Quantity_edited]]=0,0,Tradingbook_SBV[[#This Row],[Cnvx.]])</f>
        <v>0</v>
      </c>
      <c r="DY67" s="71">
        <f>(Tradingbook_SBV[[#This Row],[MARKET_VALUE]]+Tradingbook_SBV[[#This Row],[Accr Int]]*Tradingbook_SBV[[#This Row],[Quantity_edited]])*(-Tradingbook_SBV[[#This Row],[Modified Duration]]*0.0001+0.5*Tradingbook_SBV[[#This Row],[Conv]]*(0.0001^2))</f>
        <v>0</v>
      </c>
      <c r="DZ67" s="71">
        <f>(Tradingbook_SBV[[#This Row],[MARKET_VALUE]]+Tradingbook_SBV[[#This Row],[Accr Int]]*Tradingbook_SBV[[#This Row],[Quantity_edited]])*(-Tradingbook_SBV[[#This Row],[Modified Duration]]*0.01+0.5*Tradingbook_SBV[[#This Row],[Conv]]*(0.01^2))</f>
        <v>0</v>
      </c>
      <c r="EC67" t="s">
        <v>166</v>
      </c>
      <c r="ED67" t="s">
        <v>167</v>
      </c>
      <c r="EE67" t="s">
        <v>405</v>
      </c>
      <c r="EF67" t="s">
        <v>169</v>
      </c>
      <c r="EG67" s="35" t="s">
        <v>3373</v>
      </c>
      <c r="EH67" t="s">
        <v>170</v>
      </c>
      <c r="EK67" s="500">
        <v>10000</v>
      </c>
      <c r="EL67" s="500">
        <v>1000000000</v>
      </c>
      <c r="EM67" s="500">
        <v>103006.125</v>
      </c>
      <c r="EN67" s="500">
        <v>0</v>
      </c>
      <c r="EO67">
        <v>6.9</v>
      </c>
      <c r="EP67">
        <v>0</v>
      </c>
      <c r="EQ67">
        <v>34707000000</v>
      </c>
      <c r="ER67">
        <v>38012926850</v>
      </c>
      <c r="ES67">
        <v>-18171104404.152763</v>
      </c>
      <c r="ET67">
        <v>0</v>
      </c>
      <c r="EU67">
        <v>0</v>
      </c>
      <c r="EV67">
        <v>0</v>
      </c>
      <c r="EW67">
        <v>0</v>
      </c>
      <c r="EX67">
        <v>0</v>
      </c>
      <c r="EY67">
        <v>0</v>
      </c>
      <c r="EZ67">
        <v>0</v>
      </c>
      <c r="FA67">
        <v>-1028889999.999988</v>
      </c>
      <c r="FB67">
        <v>0</v>
      </c>
      <c r="FC67">
        <v>-1028889999.999988</v>
      </c>
      <c r="FD67">
        <v>-1028889999.999988</v>
      </c>
      <c r="FE67">
        <v>-1028890000</v>
      </c>
      <c r="FF67">
        <v>-1028889999.999988</v>
      </c>
      <c r="FG67" s="32">
        <f>Bankingbook_SBV[[#This Row],[Mat. Date]]-RPT</f>
        <v>-2591</v>
      </c>
      <c r="FH67" s="32">
        <f>IF(Bankingbook_SBV[[#This Row],[Days]]&lt;=0,0,YEARFRAC(RPT,Bankingbook_SBV[[#This Row],[Mat. Date]],3))</f>
        <v>0</v>
      </c>
      <c r="FI67" s="32">
        <f>IF(Bankingbook_SBV[[#This Row],[Days (year)]]=0,0,INDEX(Ref!$K$2:$K$13,MATCH(Bankingbook_SBV[[#This Row],[Days (year)]],Ref!$I$2:$I$13,1)))</f>
        <v>0</v>
      </c>
      <c r="FJ67" s="32" t="str">
        <f>VLOOKUP(Bankingbook_SBV[[#This Row],[Security Name]],Ref!X:Z,3,0)</f>
        <v>TPCP</v>
      </c>
      <c r="FK67" s="32" t="str">
        <f>VLOOKUP(Bankingbook_SBV[[#This Row],[Security Name]],Ref!X:Y,2,0)</f>
        <v>KBNN</v>
      </c>
      <c r="FL67" s="72">
        <f>IF((Bankingbook_SBV[[#This Row],[Mat. Date]]-RPT)&lt;=0,0,Bankingbook_SBV[[#This Row],[QUANTITY]])</f>
        <v>0</v>
      </c>
      <c r="FM67" s="32">
        <f>IF(Bankingbook_SBV[[#This Row],[Quantity_edited]]=0,0,Bankingbook_SBV[[#This Row],[DURATION]])</f>
        <v>0</v>
      </c>
      <c r="FN67" s="32">
        <f>IF(Bankingbook_SBV[[#This Row],[Quantity_edited]]=0,0,Bankingbook_SBV[[#This Row],[Mod Dur]])</f>
        <v>0</v>
      </c>
      <c r="FO67" s="32">
        <f>IF(Bankingbook_SBV[[#This Row],[Quantity_edited]]=0,0,Bankingbook_SBV[[#This Row],[Cnvx.]])</f>
        <v>0</v>
      </c>
      <c r="FP67" s="32">
        <f>(Bankingbook_SBV[[#This Row],[MARKET_VALUE]]+Bankingbook_SBV[[#This Row],[Accr Int]]*Bankingbook_SBV[[#This Row],[Quantity_edited]])*(-Bankingbook_SBV[[#This Row],[Modified Duration]]*0.0001+0.5*Bankingbook_SBV[[#This Row],[Conv]]*(0.0001^2))</f>
        <v>0</v>
      </c>
      <c r="FQ67" s="32">
        <f>(Bankingbook_SBV[[#This Row],[MARKET_VALUE]]+Bankingbook_SBV[[#This Row],[Accr Int]]*Bankingbook_SBV[[#This Row],[Quantity_edited]])*(-Bankingbook_SBV[[#This Row],[Modified Duration]]*0.01+0.5*Bankingbook_SBV[[#This Row],[Conv]]*(0.01^2))</f>
        <v>0</v>
      </c>
      <c r="FT67" t="s">
        <v>166</v>
      </c>
      <c r="FU67" t="s">
        <v>790</v>
      </c>
      <c r="FV67" t="s">
        <v>4043</v>
      </c>
      <c r="FW67">
        <v>3322924</v>
      </c>
      <c r="FX67" s="502">
        <v>46233</v>
      </c>
      <c r="FY67" t="s">
        <v>2176</v>
      </c>
      <c r="FZ67" t="s">
        <v>812</v>
      </c>
      <c r="GA67" t="s">
        <v>3585</v>
      </c>
      <c r="GB67" t="s">
        <v>810</v>
      </c>
      <c r="GC67" t="s">
        <v>710</v>
      </c>
      <c r="GD67" s="500">
        <v>-101544000000</v>
      </c>
      <c r="GE67">
        <v>10.000266</v>
      </c>
      <c r="GF67" s="502">
        <v>46237</v>
      </c>
      <c r="GG67" s="502">
        <v>46328</v>
      </c>
      <c r="GH67">
        <v>4.55</v>
      </c>
      <c r="GI67" t="s">
        <v>811</v>
      </c>
      <c r="GJ67" t="s">
        <v>3321</v>
      </c>
      <c r="GK67" t="s">
        <v>3321</v>
      </c>
      <c r="GL67">
        <v>221563366.66999999</v>
      </c>
      <c r="GM67">
        <v>-189873369.86000001</v>
      </c>
      <c r="GN67">
        <v>113423000000</v>
      </c>
      <c r="GO67">
        <v>10.47</v>
      </c>
      <c r="GP67">
        <v>0.2</v>
      </c>
      <c r="GQ67">
        <v>0.20899999999999999</v>
      </c>
      <c r="GR67">
        <v>7.636431</v>
      </c>
      <c r="GS67">
        <v>-101103045515.57001</v>
      </c>
      <c r="GT67">
        <v>440954484.43000001</v>
      </c>
      <c r="GU67" t="s">
        <v>4097</v>
      </c>
      <c r="GV67" t="s">
        <v>4097</v>
      </c>
      <c r="GW67" s="416">
        <f>FNRP_Repo[[#This Row],[Mat. Date]]-RPT</f>
        <v>76</v>
      </c>
      <c r="GX67" s="819" t="str">
        <f>IF(FNRP_Repo[[#This Row],[Days]]&lt;=0,"Mat",INDEX(Ref!U:U,MATCH(FNRP_Repo[[#This Row],[Days]],Ref!S:S,1)))</f>
        <v>3M</v>
      </c>
      <c r="GY67" s="417">
        <f>RIGHT(FNRP_Repo[[#This Row],[Deal Id]],5)+0</f>
        <v>18088</v>
      </c>
    </row>
    <row r="68" spans="2:207" x14ac:dyDescent="0.3">
      <c r="B68" t="s">
        <v>166</v>
      </c>
      <c r="C68" t="s">
        <v>167</v>
      </c>
      <c r="D68" t="s">
        <v>240</v>
      </c>
      <c r="E68" t="s">
        <v>169</v>
      </c>
      <c r="F68" s="502">
        <v>42185</v>
      </c>
      <c r="G68" t="s">
        <v>3322</v>
      </c>
      <c r="H68"/>
      <c r="I68"/>
      <c r="J68" s="38">
        <v>0</v>
      </c>
      <c r="K68">
        <v>0</v>
      </c>
      <c r="L68">
        <v>0</v>
      </c>
      <c r="M68" s="38">
        <v>0</v>
      </c>
      <c r="N68">
        <v>6.7</v>
      </c>
      <c r="O68">
        <v>0</v>
      </c>
      <c r="P68" s="37">
        <v>0</v>
      </c>
      <c r="Q68" s="37">
        <v>0</v>
      </c>
      <c r="R68" s="37">
        <v>-12990251270.747766</v>
      </c>
      <c r="S68">
        <v>6.7</v>
      </c>
      <c r="T68" s="70">
        <v>0</v>
      </c>
      <c r="U68">
        <v>0</v>
      </c>
      <c r="V68">
        <v>0</v>
      </c>
      <c r="W68">
        <v>0</v>
      </c>
      <c r="X68" s="38">
        <v>0</v>
      </c>
      <c r="Y68">
        <v>0</v>
      </c>
      <c r="Z68" s="70">
        <v>10293605220</v>
      </c>
      <c r="AA68" s="70">
        <v>0</v>
      </c>
      <c r="AB68" s="70">
        <v>10293605220</v>
      </c>
      <c r="AC68" s="70">
        <v>10293605220</v>
      </c>
      <c r="AD68" s="70">
        <v>10293605220</v>
      </c>
      <c r="AE68" s="70">
        <v>10293605220</v>
      </c>
      <c r="AF68">
        <v>0</v>
      </c>
      <c r="AG68" s="72">
        <f>Tradingbook_MSB[[#This Row],[Mat. Date]]-RPT</f>
        <v>-4067</v>
      </c>
      <c r="AH68" s="71">
        <f>IF(Tradingbook_MSB[[#This Row],[Days]]&lt;=0,0,YEARFRAC(RPT,Tradingbook_MSB[[#This Row],[Mat. Date]],3))</f>
        <v>0</v>
      </c>
      <c r="AI68" s="71">
        <f>IF(Tradingbook_MSB[[#This Row],[Days (year)]]=0,0,INDEX(Ref!$K$2:$K$13,MATCH(Tradingbook_MSB[[#This Row],[Days (year)]],Ref!$I$2:$I$13,1)))</f>
        <v>0</v>
      </c>
      <c r="AJ68" s="120" t="str">
        <f>VLOOKUP(Tradingbook_MSB[[#This Row],[Security Name]],Ref!X:Z,3,0)</f>
        <v>TPCP</v>
      </c>
      <c r="AK68" s="120" t="str">
        <f>VLOOKUP(Tradingbook_MSB[[#This Row],[Security Name]],Ref!X:Y,2,0)</f>
        <v>KBNN</v>
      </c>
      <c r="AL68" s="71">
        <f>IF((Tradingbook_MSB[[#This Row],[Mat. Date]]-RPT)&lt;=0,0,Tradingbook_MSB[[#This Row],[QUANTITY]])</f>
        <v>0</v>
      </c>
      <c r="AM68" s="71">
        <f>IF(Tradingbook_MSB[[#This Row],[Quantity_edited]]=0,0,Tradingbook_MSB[[#This Row],[DURATION]])</f>
        <v>0</v>
      </c>
      <c r="AN68" s="71">
        <f>IF(Tradingbook_MSB[[#This Row],[Quantity_edited]]=0,0,Tradingbook_MSB[[#This Row],[Mod Dur]])</f>
        <v>0</v>
      </c>
      <c r="AO68" s="71">
        <f>IF(Tradingbook_MSB[[#This Row],[Quantity_edited]]=0,0,Tradingbook_MSB[[#This Row],[Cnvx.]])</f>
        <v>0</v>
      </c>
      <c r="AP68" s="71">
        <f>(Tradingbook_MSB[[#This Row],[MARKET_VALUE]]+Tradingbook_MSB[[#This Row],[Accr Int]]*Tradingbook_MSB[[#This Row],[Quantity_edited]])*(-Tradingbook_MSB[[#This Row],[Modified Duration]]*0.0001+0.5*Tradingbook_MSB[[#This Row],[Conv]]*(0.0001^2))</f>
        <v>0</v>
      </c>
      <c r="AQ68" s="72">
        <f>(Tradingbook_MSB[[#This Row],[MARKET_VALUE]]+Tradingbook_MSB[[#This Row],[Accr Int]]*Tradingbook_MSB[[#This Row],[Quantity_edited]])*(-Tradingbook_MSB[[#This Row],[Modified Duration]]*0.01+0.5*Tradingbook_MSB[[#This Row],[Conv]]*(0.01^2))</f>
        <v>0</v>
      </c>
      <c r="AR68" s="71"/>
      <c r="AT68" t="s">
        <v>166</v>
      </c>
      <c r="AU68" t="s">
        <v>167</v>
      </c>
      <c r="AV68" t="s">
        <v>429</v>
      </c>
      <c r="AW68" t="s">
        <v>169</v>
      </c>
      <c r="AX68" t="s">
        <v>3377</v>
      </c>
      <c r="AY68" t="s">
        <v>3322</v>
      </c>
      <c r="BB68" s="70">
        <v>0</v>
      </c>
      <c r="BC68">
        <v>0</v>
      </c>
      <c r="BD68">
        <v>0</v>
      </c>
      <c r="BE68" s="37">
        <v>0</v>
      </c>
      <c r="BF68">
        <v>5.3</v>
      </c>
      <c r="BG68">
        <v>0</v>
      </c>
      <c r="BH68" s="126">
        <v>47700000000</v>
      </c>
      <c r="BI68">
        <v>51532054583.333313</v>
      </c>
      <c r="BJ68">
        <v>-24980054292.847095</v>
      </c>
      <c r="BK68">
        <v>0</v>
      </c>
      <c r="BL68">
        <v>0</v>
      </c>
      <c r="BM68">
        <v>0</v>
      </c>
      <c r="BN68">
        <v>0</v>
      </c>
      <c r="BO68">
        <v>0</v>
      </c>
      <c r="BP68">
        <v>0</v>
      </c>
      <c r="BQ68">
        <v>0</v>
      </c>
      <c r="BR68">
        <v>13727000000</v>
      </c>
      <c r="BS68">
        <v>0</v>
      </c>
      <c r="BT68">
        <v>13727000000</v>
      </c>
      <c r="BU68">
        <v>13727000000</v>
      </c>
      <c r="BV68">
        <v>13727000000</v>
      </c>
      <c r="BW68">
        <v>13727000000</v>
      </c>
      <c r="BX68">
        <v>0</v>
      </c>
      <c r="BY68" s="32">
        <f>Bankingbook_MSB[[#This Row],[Mat. Date]]-RPT</f>
        <v>-2347</v>
      </c>
      <c r="BZ68" s="71">
        <f>IF(Bankingbook_MSB[[#This Row],[Days]]&lt;=0,0,YEARFRAC(RPT,Bankingbook_MSB[[#This Row],[Mat. Date]],3))</f>
        <v>0</v>
      </c>
      <c r="CA68" s="71">
        <f>IF(Bankingbook_MSB[[#This Row],[Days (year)]]=0,0,INDEX(Ref!$K$2:$K$13,MATCH(Bankingbook_MSB[[#This Row],[Days (year)]],Ref!$I$2:$I$13,1)))</f>
        <v>0</v>
      </c>
      <c r="CB68" s="32" t="str">
        <f>VLOOKUP(Bankingbook_MSB[[#This Row],[Security Name]],Ref!X:Z,3,0)</f>
        <v>TPCP</v>
      </c>
      <c r="CC68" s="32" t="str">
        <f>VLOOKUP(Bankingbook_MSB[[#This Row],[Security Name]],Ref!X:Y,2,0)</f>
        <v>KBNN</v>
      </c>
      <c r="CD68" s="72">
        <f>IF((Bankingbook_MSB[[#This Row],[Mat. Date]]-RPT)&lt;=0,0,Bankingbook_MSB[[#This Row],[QUANTITY]])</f>
        <v>0</v>
      </c>
      <c r="CE68" s="71">
        <f>IF(Bankingbook_MSB[[#This Row],[Quantity_edited]]=0,0,Bankingbook_MSB[[#This Row],[DURATION]])</f>
        <v>0</v>
      </c>
      <c r="CF68" s="71">
        <f>IF(Bankingbook_MSB[[#This Row],[Quantity_edited]]=0,0,Bankingbook_MSB[[#This Row],[Mod Dur]])</f>
        <v>0</v>
      </c>
      <c r="CG68" s="71">
        <f>IF(Bankingbook_MSB[[#This Row],[Quantity_edited]]=0,0,Bankingbook_MSB[[#This Row],[Cnvx.]])</f>
        <v>0</v>
      </c>
      <c r="CH68" s="71">
        <f>(Bankingbook_MSB[[#This Row],[MARKET_VALUE]]+Bankingbook_MSB[[#This Row],[Accr Int]]*Bankingbook_MSB[[#This Row],[Quantity_edited]])*(-Bankingbook_MSB[[#This Row],[Modified Duration]]*0.0001+0.5*Bankingbook_MSB[[#This Row],[Conv]]*(0.0001^2))</f>
        <v>0</v>
      </c>
      <c r="CI68" s="71">
        <f>(Bankingbook_MSB[[#This Row],[MARKET_VALUE]]+Bankingbook_MSB[[#This Row],[Accr Int]]*Bankingbook_MSB[[#This Row],[Quantity_edited]])*(-Bankingbook_MSB[[#This Row],[Modified Duration]]*0.01+0.5*Bankingbook_MSB[[#This Row],[Conv]]*(0.01^2))</f>
        <v>0</v>
      </c>
      <c r="CJ68" s="32"/>
      <c r="CL68" t="s">
        <v>166</v>
      </c>
      <c r="CM68" t="s">
        <v>167</v>
      </c>
      <c r="CN68" t="s">
        <v>240</v>
      </c>
      <c r="CO68" t="s">
        <v>169</v>
      </c>
      <c r="CP68" s="35">
        <v>42185</v>
      </c>
      <c r="CQ68" t="s">
        <v>3322</v>
      </c>
      <c r="CR68" t="s">
        <v>174</v>
      </c>
      <c r="CS68" t="s">
        <v>174</v>
      </c>
      <c r="CT68" s="49">
        <v>0</v>
      </c>
      <c r="CU68">
        <v>0</v>
      </c>
      <c r="CV68">
        <v>0</v>
      </c>
      <c r="CW68" s="70">
        <v>0</v>
      </c>
      <c r="CX68">
        <v>6.7</v>
      </c>
      <c r="CY68">
        <v>0</v>
      </c>
      <c r="CZ68">
        <v>0</v>
      </c>
      <c r="DA68">
        <v>0</v>
      </c>
      <c r="DB68">
        <v>-12990251270.747766</v>
      </c>
      <c r="DC68">
        <v>6.7</v>
      </c>
      <c r="DD68">
        <v>0</v>
      </c>
      <c r="DE68">
        <v>0</v>
      </c>
      <c r="DF68">
        <v>0</v>
      </c>
      <c r="DG68">
        <v>0</v>
      </c>
      <c r="DH68">
        <v>0</v>
      </c>
      <c r="DI68">
        <v>0</v>
      </c>
      <c r="DJ68" s="500">
        <v>10293605220</v>
      </c>
      <c r="DK68" s="500">
        <v>0</v>
      </c>
      <c r="DL68" s="37">
        <v>10293605220</v>
      </c>
      <c r="DM68" s="37">
        <v>10293605220</v>
      </c>
      <c r="DN68" s="37">
        <v>10293605220</v>
      </c>
      <c r="DO68" s="37">
        <v>10293605220</v>
      </c>
      <c r="DP68" s="32">
        <f>Tradingbook_SBV[[#This Row],[Mat. Date]]-RPT</f>
        <v>-4067</v>
      </c>
      <c r="DQ68" s="32">
        <f>IF(Tradingbook_SBV[[#This Row],[Days]]&lt;=0,0,YEARFRAC(RPT,Tradingbook_SBV[[#This Row],[Mat. Date]],3))</f>
        <v>0</v>
      </c>
      <c r="DR68" s="32">
        <f>IF(Tradingbook_SBV[[#This Row],[Days (year)]]=0,0,INDEX(Ref!$K$2:$K$13,MATCH(Tradingbook_SBV[[#This Row],[Days (year)]],Ref!$I$2:$I$13,1)))</f>
        <v>0</v>
      </c>
      <c r="DS68" s="32" t="str">
        <f>VLOOKUP(Tradingbook_SBV[[#This Row],[Security Name]],Ref!X:Z,3,0)</f>
        <v>TPCP</v>
      </c>
      <c r="DT68" s="32" t="str">
        <f>VLOOKUP(Tradingbook_SBV[[#This Row],[Security Name]],Ref!X:Y,2,0)</f>
        <v>KBNN</v>
      </c>
      <c r="DU68" s="71">
        <f>IF((Tradingbook_SBV[[#This Row],[Mat. Date]]-RPT)&lt;=0,0,Tradingbook_SBV[[#This Row],[QUANTITY]])</f>
        <v>0</v>
      </c>
      <c r="DV68" s="71">
        <f>IF(Tradingbook_SBV[[#This Row],[Quantity_edited]]=0,0,Tradingbook_SBV[[#This Row],[DURATION]])</f>
        <v>0</v>
      </c>
      <c r="DW68" s="71">
        <f>IF(Tradingbook_SBV[[#This Row],[Quantity_edited]]=0,0,Tradingbook_SBV[[#This Row],[Mod Dur]])</f>
        <v>0</v>
      </c>
      <c r="DX68" s="71">
        <f>IF(Tradingbook_SBV[[#This Row],[Quantity_edited]]=0,0,Tradingbook_SBV[[#This Row],[Cnvx.]])</f>
        <v>0</v>
      </c>
      <c r="DY68" s="71">
        <f>(Tradingbook_SBV[[#This Row],[MARKET_VALUE]]+Tradingbook_SBV[[#This Row],[Accr Int]]*Tradingbook_SBV[[#This Row],[Quantity_edited]])*(-Tradingbook_SBV[[#This Row],[Modified Duration]]*0.0001+0.5*Tradingbook_SBV[[#This Row],[Conv]]*(0.0001^2))</f>
        <v>0</v>
      </c>
      <c r="DZ68" s="71">
        <f>(Tradingbook_SBV[[#This Row],[MARKET_VALUE]]+Tradingbook_SBV[[#This Row],[Accr Int]]*Tradingbook_SBV[[#This Row],[Quantity_edited]])*(-Tradingbook_SBV[[#This Row],[Modified Duration]]*0.01+0.5*Tradingbook_SBV[[#This Row],[Conv]]*(0.01^2))</f>
        <v>0</v>
      </c>
      <c r="EC68" t="s">
        <v>166</v>
      </c>
      <c r="ED68" t="s">
        <v>167</v>
      </c>
      <c r="EE68" t="s">
        <v>408</v>
      </c>
      <c r="EF68" t="s">
        <v>169</v>
      </c>
      <c r="EG68" s="35" t="s">
        <v>3374</v>
      </c>
      <c r="EH68" t="s">
        <v>3322</v>
      </c>
      <c r="EK68" s="500">
        <v>0</v>
      </c>
      <c r="EL68" s="500">
        <v>0</v>
      </c>
      <c r="EM68" s="500">
        <v>0</v>
      </c>
      <c r="EN68" s="500">
        <v>0</v>
      </c>
      <c r="EO68">
        <v>6.6</v>
      </c>
      <c r="EP68">
        <v>0</v>
      </c>
      <c r="EQ68">
        <v>19800000000</v>
      </c>
      <c r="ER68">
        <v>21704196250.000023</v>
      </c>
      <c r="ES68">
        <v>-9541604583.7500324</v>
      </c>
      <c r="ET68">
        <v>0</v>
      </c>
      <c r="EU68">
        <v>0</v>
      </c>
      <c r="EV68">
        <v>0</v>
      </c>
      <c r="EW68">
        <v>0</v>
      </c>
      <c r="EX68">
        <v>0</v>
      </c>
      <c r="EY68">
        <v>0</v>
      </c>
      <c r="EZ68">
        <v>0</v>
      </c>
      <c r="FA68">
        <v>-491000000</v>
      </c>
      <c r="FB68">
        <v>0</v>
      </c>
      <c r="FC68">
        <v>-491000000</v>
      </c>
      <c r="FD68">
        <v>-491000000</v>
      </c>
      <c r="FE68">
        <v>-491000000</v>
      </c>
      <c r="FF68">
        <v>-491000000</v>
      </c>
      <c r="FG68" s="32">
        <f>Bankingbook_SBV[[#This Row],[Mat. Date]]-RPT</f>
        <v>-2575</v>
      </c>
      <c r="FH68" s="32">
        <f>IF(Bankingbook_SBV[[#This Row],[Days]]&lt;=0,0,YEARFRAC(RPT,Bankingbook_SBV[[#This Row],[Mat. Date]],3))</f>
        <v>0</v>
      </c>
      <c r="FI68" s="32">
        <f>IF(Bankingbook_SBV[[#This Row],[Days (year)]]=0,0,INDEX(Ref!$K$2:$K$13,MATCH(Bankingbook_SBV[[#This Row],[Days (year)]],Ref!$I$2:$I$13,1)))</f>
        <v>0</v>
      </c>
      <c r="FJ68" s="32" t="str">
        <f>VLOOKUP(Bankingbook_SBV[[#This Row],[Security Name]],Ref!X:Z,3,0)</f>
        <v>TPCP</v>
      </c>
      <c r="FK68" s="32" t="str">
        <f>VLOOKUP(Bankingbook_SBV[[#This Row],[Security Name]],Ref!X:Y,2,0)</f>
        <v>KBNN</v>
      </c>
      <c r="FL68" s="72">
        <f>IF((Bankingbook_SBV[[#This Row],[Mat. Date]]-RPT)&lt;=0,0,Bankingbook_SBV[[#This Row],[QUANTITY]])</f>
        <v>0</v>
      </c>
      <c r="FM68" s="32">
        <f>IF(Bankingbook_SBV[[#This Row],[Quantity_edited]]=0,0,Bankingbook_SBV[[#This Row],[DURATION]])</f>
        <v>0</v>
      </c>
      <c r="FN68" s="32">
        <f>IF(Bankingbook_SBV[[#This Row],[Quantity_edited]]=0,0,Bankingbook_SBV[[#This Row],[Mod Dur]])</f>
        <v>0</v>
      </c>
      <c r="FO68" s="32">
        <f>IF(Bankingbook_SBV[[#This Row],[Quantity_edited]]=0,0,Bankingbook_SBV[[#This Row],[Cnvx.]])</f>
        <v>0</v>
      </c>
      <c r="FP68" s="32">
        <f>(Bankingbook_SBV[[#This Row],[MARKET_VALUE]]+Bankingbook_SBV[[#This Row],[Accr Int]]*Bankingbook_SBV[[#This Row],[Quantity_edited]])*(-Bankingbook_SBV[[#This Row],[Modified Duration]]*0.0001+0.5*Bankingbook_SBV[[#This Row],[Conv]]*(0.0001^2))</f>
        <v>0</v>
      </c>
      <c r="FQ68" s="32">
        <f>(Bankingbook_SBV[[#This Row],[MARKET_VALUE]]+Bankingbook_SBV[[#This Row],[Accr Int]]*Bankingbook_SBV[[#This Row],[Quantity_edited]])*(-Bankingbook_SBV[[#This Row],[Modified Duration]]*0.01+0.5*Bankingbook_SBV[[#This Row],[Conv]]*(0.01^2))</f>
        <v>0</v>
      </c>
      <c r="FT68" t="s">
        <v>166</v>
      </c>
      <c r="FU68" t="s">
        <v>790</v>
      </c>
      <c r="FV68" t="s">
        <v>4044</v>
      </c>
      <c r="FW68">
        <v>3322921</v>
      </c>
      <c r="FX68" s="502">
        <v>46233</v>
      </c>
      <c r="FY68" t="s">
        <v>2176</v>
      </c>
      <c r="FZ68" t="s">
        <v>812</v>
      </c>
      <c r="GA68" t="s">
        <v>3585</v>
      </c>
      <c r="GB68" t="s">
        <v>810</v>
      </c>
      <c r="GC68" t="s">
        <v>728</v>
      </c>
      <c r="GD68" s="500">
        <v>-53131500000</v>
      </c>
      <c r="GE68">
        <v>10</v>
      </c>
      <c r="GF68" s="502">
        <v>46237</v>
      </c>
      <c r="GG68" s="502">
        <v>46328</v>
      </c>
      <c r="GH68">
        <v>4.55</v>
      </c>
      <c r="GI68" t="s">
        <v>811</v>
      </c>
      <c r="GJ68" t="s">
        <v>3321</v>
      </c>
      <c r="GK68" t="s">
        <v>3321</v>
      </c>
      <c r="GL68">
        <v>115929981.25</v>
      </c>
      <c r="GM68">
        <v>-99348626.709999993</v>
      </c>
      <c r="GN68">
        <v>59280500000</v>
      </c>
      <c r="GO68">
        <v>10.37</v>
      </c>
      <c r="GP68">
        <v>0.2</v>
      </c>
      <c r="GQ68">
        <v>0.20899999999999999</v>
      </c>
      <c r="GR68">
        <v>7.636431</v>
      </c>
      <c r="GS68">
        <v>-52900776636.690002</v>
      </c>
      <c r="GT68">
        <v>230723363.31</v>
      </c>
      <c r="GU68" t="s">
        <v>4098</v>
      </c>
      <c r="GV68" t="s">
        <v>4098</v>
      </c>
      <c r="GW68" s="416">
        <f>FNRP_Repo[[#This Row],[Mat. Date]]-RPT</f>
        <v>76</v>
      </c>
      <c r="GX68" s="819" t="str">
        <f>IF(FNRP_Repo[[#This Row],[Days]]&lt;=0,"Mat",INDEX(Ref!U:U,MATCH(FNRP_Repo[[#This Row],[Days]],Ref!S:S,1)))</f>
        <v>3M</v>
      </c>
      <c r="GY68" s="417">
        <f>RIGHT(FNRP_Repo[[#This Row],[Deal Id]],5)+0</f>
        <v>18086</v>
      </c>
    </row>
    <row r="69" spans="2:207" x14ac:dyDescent="0.3">
      <c r="B69" t="s">
        <v>166</v>
      </c>
      <c r="C69" t="s">
        <v>167</v>
      </c>
      <c r="D69" t="s">
        <v>241</v>
      </c>
      <c r="E69" t="s">
        <v>169</v>
      </c>
      <c r="F69" s="502">
        <v>42193</v>
      </c>
      <c r="G69" t="s">
        <v>3322</v>
      </c>
      <c r="H69"/>
      <c r="I69"/>
      <c r="J69" s="38">
        <v>0</v>
      </c>
      <c r="K69">
        <v>0</v>
      </c>
      <c r="L69">
        <v>0</v>
      </c>
      <c r="M69" s="38">
        <v>0</v>
      </c>
      <c r="N69">
        <v>10.3</v>
      </c>
      <c r="O69">
        <v>0</v>
      </c>
      <c r="P69" s="37">
        <v>10300000000</v>
      </c>
      <c r="Q69" s="37">
        <v>10974956138.888874</v>
      </c>
      <c r="R69" s="37">
        <v>-4766360631.8749542</v>
      </c>
      <c r="S69">
        <v>10.3</v>
      </c>
      <c r="T69" s="70">
        <v>0</v>
      </c>
      <c r="U69">
        <v>0</v>
      </c>
      <c r="V69">
        <v>0</v>
      </c>
      <c r="W69">
        <v>0</v>
      </c>
      <c r="X69" s="38">
        <v>0</v>
      </c>
      <c r="Y69">
        <v>0</v>
      </c>
      <c r="Z69" s="70">
        <v>9829000000</v>
      </c>
      <c r="AA69" s="70">
        <v>0</v>
      </c>
      <c r="AB69" s="70">
        <v>9829000000</v>
      </c>
      <c r="AC69" s="70">
        <v>9829000000</v>
      </c>
      <c r="AD69" s="70">
        <v>9829000000</v>
      </c>
      <c r="AE69" s="70">
        <v>9829000000</v>
      </c>
      <c r="AF69">
        <v>0</v>
      </c>
      <c r="AG69" s="72">
        <f>Tradingbook_MSB[[#This Row],[Mat. Date]]-RPT</f>
        <v>-4059</v>
      </c>
      <c r="AH69" s="71">
        <f>IF(Tradingbook_MSB[[#This Row],[Days]]&lt;=0,0,YEARFRAC(RPT,Tradingbook_MSB[[#This Row],[Mat. Date]],3))</f>
        <v>0</v>
      </c>
      <c r="AI69" s="71">
        <f>IF(Tradingbook_MSB[[#This Row],[Days (year)]]=0,0,INDEX(Ref!$K$2:$K$13,MATCH(Tradingbook_MSB[[#This Row],[Days (year)]],Ref!$I$2:$I$13,1)))</f>
        <v>0</v>
      </c>
      <c r="AJ69" s="120" t="str">
        <f>VLOOKUP(Tradingbook_MSB[[#This Row],[Security Name]],Ref!X:Z,3,0)</f>
        <v>TPCP</v>
      </c>
      <c r="AK69" s="120" t="str">
        <f>VLOOKUP(Tradingbook_MSB[[#This Row],[Security Name]],Ref!X:Y,2,0)</f>
        <v>KBNN</v>
      </c>
      <c r="AL69" s="71">
        <f>IF((Tradingbook_MSB[[#This Row],[Mat. Date]]-RPT)&lt;=0,0,Tradingbook_MSB[[#This Row],[QUANTITY]])</f>
        <v>0</v>
      </c>
      <c r="AM69" s="71">
        <f>IF(Tradingbook_MSB[[#This Row],[Quantity_edited]]=0,0,Tradingbook_MSB[[#This Row],[DURATION]])</f>
        <v>0</v>
      </c>
      <c r="AN69" s="71">
        <f>IF(Tradingbook_MSB[[#This Row],[Quantity_edited]]=0,0,Tradingbook_MSB[[#This Row],[Mod Dur]])</f>
        <v>0</v>
      </c>
      <c r="AO69" s="71">
        <f>IF(Tradingbook_MSB[[#This Row],[Quantity_edited]]=0,0,Tradingbook_MSB[[#This Row],[Cnvx.]])</f>
        <v>0</v>
      </c>
      <c r="AP69" s="71">
        <f>(Tradingbook_MSB[[#This Row],[MARKET_VALUE]]+Tradingbook_MSB[[#This Row],[Accr Int]]*Tradingbook_MSB[[#This Row],[Quantity_edited]])*(-Tradingbook_MSB[[#This Row],[Modified Duration]]*0.0001+0.5*Tradingbook_MSB[[#This Row],[Conv]]*(0.0001^2))</f>
        <v>0</v>
      </c>
      <c r="AQ69" s="72">
        <f>(Tradingbook_MSB[[#This Row],[MARKET_VALUE]]+Tradingbook_MSB[[#This Row],[Accr Int]]*Tradingbook_MSB[[#This Row],[Quantity_edited]])*(-Tradingbook_MSB[[#This Row],[Modified Duration]]*0.01+0.5*Tradingbook_MSB[[#This Row],[Conv]]*(0.01^2))</f>
        <v>0</v>
      </c>
      <c r="AR69" s="71"/>
      <c r="AT69" t="s">
        <v>166</v>
      </c>
      <c r="AU69" t="s">
        <v>167</v>
      </c>
      <c r="AV69" t="s">
        <v>433</v>
      </c>
      <c r="AW69" t="s">
        <v>169</v>
      </c>
      <c r="AX69" t="s">
        <v>3378</v>
      </c>
      <c r="AY69" t="s">
        <v>3322</v>
      </c>
      <c r="BB69" s="70">
        <v>0</v>
      </c>
      <c r="BC69">
        <v>0</v>
      </c>
      <c r="BD69">
        <v>0</v>
      </c>
      <c r="BE69" s="37">
        <v>0</v>
      </c>
      <c r="BF69">
        <v>11.5</v>
      </c>
      <c r="BG69">
        <v>0</v>
      </c>
      <c r="BH69" s="34">
        <v>57500000000</v>
      </c>
      <c r="BI69">
        <v>65786287465.277725</v>
      </c>
      <c r="BJ69">
        <v>-19124626483.749882</v>
      </c>
      <c r="BK69">
        <v>0</v>
      </c>
      <c r="BL69">
        <v>0</v>
      </c>
      <c r="BM69">
        <v>0</v>
      </c>
      <c r="BN69">
        <v>0</v>
      </c>
      <c r="BO69">
        <v>0</v>
      </c>
      <c r="BP69">
        <v>0</v>
      </c>
      <c r="BQ69">
        <v>0</v>
      </c>
      <c r="BR69">
        <v>-7470500000</v>
      </c>
      <c r="BS69">
        <v>0</v>
      </c>
      <c r="BT69">
        <v>-7470500000</v>
      </c>
      <c r="BU69">
        <v>-7470500000</v>
      </c>
      <c r="BV69">
        <v>-7470500000</v>
      </c>
      <c r="BW69">
        <v>-7470500000</v>
      </c>
      <c r="BX69">
        <v>0</v>
      </c>
      <c r="BY69" s="32">
        <f>Bankingbook_MSB[[#This Row],[Mat. Date]]-RPT</f>
        <v>-2302</v>
      </c>
      <c r="BZ69" s="71">
        <f>IF(Bankingbook_MSB[[#This Row],[Days]]&lt;=0,0,YEARFRAC(RPT,Bankingbook_MSB[[#This Row],[Mat. Date]],3))</f>
        <v>0</v>
      </c>
      <c r="CA69" s="71">
        <f>IF(Bankingbook_MSB[[#This Row],[Days (year)]]=0,0,INDEX(Ref!$K$2:$K$13,MATCH(Bankingbook_MSB[[#This Row],[Days (year)]],Ref!$I$2:$I$13,1)))</f>
        <v>0</v>
      </c>
      <c r="CB69" s="32" t="str">
        <f>VLOOKUP(Bankingbook_MSB[[#This Row],[Security Name]],Ref!X:Z,3,0)</f>
        <v>TPCPBL</v>
      </c>
      <c r="CC69" s="32" t="str">
        <f>VLOOKUP(Bankingbook_MSB[[#This Row],[Security Name]],Ref!X:Y,2,0)</f>
        <v>VDB</v>
      </c>
      <c r="CD69" s="72">
        <f>IF((Bankingbook_MSB[[#This Row],[Mat. Date]]-RPT)&lt;=0,0,Bankingbook_MSB[[#This Row],[QUANTITY]])</f>
        <v>0</v>
      </c>
      <c r="CE69" s="71">
        <f>IF(Bankingbook_MSB[[#This Row],[Quantity_edited]]=0,0,Bankingbook_MSB[[#This Row],[DURATION]])</f>
        <v>0</v>
      </c>
      <c r="CF69" s="71">
        <f>IF(Bankingbook_MSB[[#This Row],[Quantity_edited]]=0,0,Bankingbook_MSB[[#This Row],[Mod Dur]])</f>
        <v>0</v>
      </c>
      <c r="CG69" s="71">
        <f>IF(Bankingbook_MSB[[#This Row],[Quantity_edited]]=0,0,Bankingbook_MSB[[#This Row],[Cnvx.]])</f>
        <v>0</v>
      </c>
      <c r="CH69" s="71">
        <f>(Bankingbook_MSB[[#This Row],[MARKET_VALUE]]+Bankingbook_MSB[[#This Row],[Accr Int]]*Bankingbook_MSB[[#This Row],[Quantity_edited]])*(-Bankingbook_MSB[[#This Row],[Modified Duration]]*0.0001+0.5*Bankingbook_MSB[[#This Row],[Conv]]*(0.0001^2))</f>
        <v>0</v>
      </c>
      <c r="CI69" s="71">
        <f>(Bankingbook_MSB[[#This Row],[MARKET_VALUE]]+Bankingbook_MSB[[#This Row],[Accr Int]]*Bankingbook_MSB[[#This Row],[Quantity_edited]])*(-Bankingbook_MSB[[#This Row],[Modified Duration]]*0.01+0.5*Bankingbook_MSB[[#This Row],[Conv]]*(0.01^2))</f>
        <v>0</v>
      </c>
      <c r="CJ69" s="32"/>
      <c r="CL69" t="s">
        <v>166</v>
      </c>
      <c r="CM69" t="s">
        <v>167</v>
      </c>
      <c r="CN69" t="s">
        <v>241</v>
      </c>
      <c r="CO69" t="s">
        <v>169</v>
      </c>
      <c r="CP69" s="35">
        <v>42193</v>
      </c>
      <c r="CQ69" t="s">
        <v>3322</v>
      </c>
      <c r="CR69" t="s">
        <v>174</v>
      </c>
      <c r="CS69" t="s">
        <v>174</v>
      </c>
      <c r="CT69" s="49">
        <v>0</v>
      </c>
      <c r="CU69">
        <v>0</v>
      </c>
      <c r="CV69">
        <v>0</v>
      </c>
      <c r="CW69" s="70">
        <v>0</v>
      </c>
      <c r="CX69">
        <v>10.3</v>
      </c>
      <c r="CY69">
        <v>0</v>
      </c>
      <c r="CZ69">
        <v>10300000000</v>
      </c>
      <c r="DA69">
        <v>10974956138.888874</v>
      </c>
      <c r="DB69">
        <v>-4766360631.8749542</v>
      </c>
      <c r="DC69">
        <v>10.3</v>
      </c>
      <c r="DD69">
        <v>0</v>
      </c>
      <c r="DE69">
        <v>0</v>
      </c>
      <c r="DF69">
        <v>0</v>
      </c>
      <c r="DG69">
        <v>0</v>
      </c>
      <c r="DH69">
        <v>0</v>
      </c>
      <c r="DI69">
        <v>0</v>
      </c>
      <c r="DJ69" s="500">
        <v>9829000000</v>
      </c>
      <c r="DK69" s="500">
        <v>0</v>
      </c>
      <c r="DL69" s="37">
        <v>9829000000</v>
      </c>
      <c r="DM69" s="37">
        <v>9829000000</v>
      </c>
      <c r="DN69" s="37">
        <v>9829000000</v>
      </c>
      <c r="DO69" s="37">
        <v>9829000000</v>
      </c>
      <c r="DP69" s="32">
        <f>Tradingbook_SBV[[#This Row],[Mat. Date]]-RPT</f>
        <v>-4059</v>
      </c>
      <c r="DQ69" s="32">
        <f>IF(Tradingbook_SBV[[#This Row],[Days]]&lt;=0,0,YEARFRAC(RPT,Tradingbook_SBV[[#This Row],[Mat. Date]],3))</f>
        <v>0</v>
      </c>
      <c r="DR69" s="32">
        <f>IF(Tradingbook_SBV[[#This Row],[Days (year)]]=0,0,INDEX(Ref!$K$2:$K$13,MATCH(Tradingbook_SBV[[#This Row],[Days (year)]],Ref!$I$2:$I$13,1)))</f>
        <v>0</v>
      </c>
      <c r="DS69" s="32" t="str">
        <f>VLOOKUP(Tradingbook_SBV[[#This Row],[Security Name]],Ref!X:Z,3,0)</f>
        <v>TPCP</v>
      </c>
      <c r="DT69" s="32" t="str">
        <f>VLOOKUP(Tradingbook_SBV[[#This Row],[Security Name]],Ref!X:Y,2,0)</f>
        <v>KBNN</v>
      </c>
      <c r="DU69" s="71">
        <f>IF((Tradingbook_SBV[[#This Row],[Mat. Date]]-RPT)&lt;=0,0,Tradingbook_SBV[[#This Row],[QUANTITY]])</f>
        <v>0</v>
      </c>
      <c r="DV69" s="71">
        <f>IF(Tradingbook_SBV[[#This Row],[Quantity_edited]]=0,0,Tradingbook_SBV[[#This Row],[DURATION]])</f>
        <v>0</v>
      </c>
      <c r="DW69" s="71">
        <f>IF(Tradingbook_SBV[[#This Row],[Quantity_edited]]=0,0,Tradingbook_SBV[[#This Row],[Mod Dur]])</f>
        <v>0</v>
      </c>
      <c r="DX69" s="71">
        <f>IF(Tradingbook_SBV[[#This Row],[Quantity_edited]]=0,0,Tradingbook_SBV[[#This Row],[Cnvx.]])</f>
        <v>0</v>
      </c>
      <c r="DY69" s="71">
        <f>(Tradingbook_SBV[[#This Row],[MARKET_VALUE]]+Tradingbook_SBV[[#This Row],[Accr Int]]*Tradingbook_SBV[[#This Row],[Quantity_edited]])*(-Tradingbook_SBV[[#This Row],[Modified Duration]]*0.0001+0.5*Tradingbook_SBV[[#This Row],[Conv]]*(0.0001^2))</f>
        <v>0</v>
      </c>
      <c r="DZ69" s="71">
        <f>(Tradingbook_SBV[[#This Row],[MARKET_VALUE]]+Tradingbook_SBV[[#This Row],[Accr Int]]*Tradingbook_SBV[[#This Row],[Quantity_edited]])*(-Tradingbook_SBV[[#This Row],[Modified Duration]]*0.01+0.5*Tradingbook_SBV[[#This Row],[Conv]]*(0.01^2))</f>
        <v>0</v>
      </c>
      <c r="EC69" t="s">
        <v>166</v>
      </c>
      <c r="ED69" t="s">
        <v>167</v>
      </c>
      <c r="EE69" t="s">
        <v>409</v>
      </c>
      <c r="EF69" t="s">
        <v>169</v>
      </c>
      <c r="EG69" s="35" t="s">
        <v>3375</v>
      </c>
      <c r="EH69" t="s">
        <v>170</v>
      </c>
      <c r="EK69" s="500">
        <v>2040000</v>
      </c>
      <c r="EL69" s="500">
        <v>204000000000</v>
      </c>
      <c r="EM69" s="500">
        <v>101444.765</v>
      </c>
      <c r="EN69" s="500">
        <v>0</v>
      </c>
      <c r="EO69">
        <v>7.2</v>
      </c>
      <c r="EP69">
        <v>0</v>
      </c>
      <c r="EQ69">
        <v>73440000000</v>
      </c>
      <c r="ER69">
        <v>77570898000.000031</v>
      </c>
      <c r="ES69">
        <v>-29249804080.933334</v>
      </c>
      <c r="ET69">
        <v>0</v>
      </c>
      <c r="EU69">
        <v>0</v>
      </c>
      <c r="EV69">
        <v>0</v>
      </c>
      <c r="EW69">
        <v>0</v>
      </c>
      <c r="EX69">
        <v>0</v>
      </c>
      <c r="EY69">
        <v>0</v>
      </c>
      <c r="EZ69">
        <v>0</v>
      </c>
      <c r="FA69">
        <v>-2947319999.9999928</v>
      </c>
      <c r="FB69">
        <v>0</v>
      </c>
      <c r="FC69">
        <v>-2947319999.9999928</v>
      </c>
      <c r="FD69">
        <v>-2947319999.9999928</v>
      </c>
      <c r="FE69">
        <v>-2947320000</v>
      </c>
      <c r="FF69">
        <v>-2947319999.9999928</v>
      </c>
      <c r="FG69" s="32">
        <f>Bankingbook_SBV[[#This Row],[Mat. Date]]-RPT</f>
        <v>-2556</v>
      </c>
      <c r="FH69" s="32">
        <f>IF(Bankingbook_SBV[[#This Row],[Days]]&lt;=0,0,YEARFRAC(RPT,Bankingbook_SBV[[#This Row],[Mat. Date]],3))</f>
        <v>0</v>
      </c>
      <c r="FI69" s="32">
        <f>IF(Bankingbook_SBV[[#This Row],[Days (year)]]=0,0,INDEX(Ref!$K$2:$K$13,MATCH(Bankingbook_SBV[[#This Row],[Days (year)]],Ref!$I$2:$I$13,1)))</f>
        <v>0</v>
      </c>
      <c r="FJ69" s="32" t="str">
        <f>VLOOKUP(Bankingbook_SBV[[#This Row],[Security Name]],Ref!X:Z,3,0)</f>
        <v>TPCQĐP</v>
      </c>
      <c r="FK69" s="32" t="str">
        <f>VLOOKUP(Bankingbook_SBV[[#This Row],[Security Name]],Ref!X:Y,2,0)</f>
        <v>KBHN</v>
      </c>
      <c r="FL69" s="72">
        <f>IF((Bankingbook_SBV[[#This Row],[Mat. Date]]-RPT)&lt;=0,0,Bankingbook_SBV[[#This Row],[QUANTITY]])</f>
        <v>0</v>
      </c>
      <c r="FM69" s="32">
        <f>IF(Bankingbook_SBV[[#This Row],[Quantity_edited]]=0,0,Bankingbook_SBV[[#This Row],[DURATION]])</f>
        <v>0</v>
      </c>
      <c r="FN69" s="32">
        <f>IF(Bankingbook_SBV[[#This Row],[Quantity_edited]]=0,0,Bankingbook_SBV[[#This Row],[Mod Dur]])</f>
        <v>0</v>
      </c>
      <c r="FO69" s="32">
        <f>IF(Bankingbook_SBV[[#This Row],[Quantity_edited]]=0,0,Bankingbook_SBV[[#This Row],[Cnvx.]])</f>
        <v>0</v>
      </c>
      <c r="FP69" s="32">
        <f>(Bankingbook_SBV[[#This Row],[MARKET_VALUE]]+Bankingbook_SBV[[#This Row],[Accr Int]]*Bankingbook_SBV[[#This Row],[Quantity_edited]])*(-Bankingbook_SBV[[#This Row],[Modified Duration]]*0.0001+0.5*Bankingbook_SBV[[#This Row],[Conv]]*(0.0001^2))</f>
        <v>0</v>
      </c>
      <c r="FQ69" s="32">
        <f>(Bankingbook_SBV[[#This Row],[MARKET_VALUE]]+Bankingbook_SBV[[#This Row],[Accr Int]]*Bankingbook_SBV[[#This Row],[Quantity_edited]])*(-Bankingbook_SBV[[#This Row],[Modified Duration]]*0.01+0.5*Bankingbook_SBV[[#This Row],[Conv]]*(0.01^2))</f>
        <v>0</v>
      </c>
      <c r="FT69" t="s">
        <v>166</v>
      </c>
      <c r="FU69" t="s">
        <v>790</v>
      </c>
      <c r="FV69" t="s">
        <v>4045</v>
      </c>
      <c r="FW69">
        <v>3322923</v>
      </c>
      <c r="FX69" s="502">
        <v>46233</v>
      </c>
      <c r="FY69" t="s">
        <v>2176</v>
      </c>
      <c r="FZ69" t="s">
        <v>812</v>
      </c>
      <c r="GA69" t="s">
        <v>3585</v>
      </c>
      <c r="GB69" t="s">
        <v>810</v>
      </c>
      <c r="GC69" t="s">
        <v>712</v>
      </c>
      <c r="GD69" s="500">
        <v>-125032500000</v>
      </c>
      <c r="GE69">
        <v>10.000324000000001</v>
      </c>
      <c r="GF69" s="502">
        <v>46237</v>
      </c>
      <c r="GG69" s="502">
        <v>46328</v>
      </c>
      <c r="GH69">
        <v>4.55</v>
      </c>
      <c r="GI69" t="s">
        <v>811</v>
      </c>
      <c r="GJ69" t="s">
        <v>3321</v>
      </c>
      <c r="GK69" t="s">
        <v>3321</v>
      </c>
      <c r="GL69">
        <v>272813968.75</v>
      </c>
      <c r="GM69">
        <v>-233793647.25999999</v>
      </c>
      <c r="GN69">
        <v>139372500000</v>
      </c>
      <c r="GO69">
        <v>10.29</v>
      </c>
      <c r="GP69">
        <v>0.2</v>
      </c>
      <c r="GQ69">
        <v>0.20899999999999999</v>
      </c>
      <c r="GR69">
        <v>7.636431</v>
      </c>
      <c r="GS69">
        <v>-124489546782.03</v>
      </c>
      <c r="GT69">
        <v>542953217.97000003</v>
      </c>
      <c r="GU69" t="s">
        <v>4105</v>
      </c>
      <c r="GV69" t="s">
        <v>4105</v>
      </c>
      <c r="GW69" s="416">
        <f>FNRP_Repo[[#This Row],[Mat. Date]]-RPT</f>
        <v>76</v>
      </c>
      <c r="GX69" s="819" t="str">
        <f>IF(FNRP_Repo[[#This Row],[Days]]&lt;=0,"Mat",INDEX(Ref!U:U,MATCH(FNRP_Repo[[#This Row],[Days]],Ref!S:S,1)))</f>
        <v>3M</v>
      </c>
      <c r="GY69" s="417">
        <f>RIGHT(FNRP_Repo[[#This Row],[Deal Id]],5)+0</f>
        <v>18087</v>
      </c>
    </row>
    <row r="70" spans="2:207" x14ac:dyDescent="0.3">
      <c r="B70" t="s">
        <v>166</v>
      </c>
      <c r="C70" t="s">
        <v>167</v>
      </c>
      <c r="D70" t="s">
        <v>242</v>
      </c>
      <c r="E70" t="s">
        <v>169</v>
      </c>
      <c r="F70" s="502">
        <v>42232</v>
      </c>
      <c r="G70" t="s">
        <v>3322</v>
      </c>
      <c r="H70"/>
      <c r="I70"/>
      <c r="J70" s="38">
        <v>0</v>
      </c>
      <c r="K70">
        <v>0</v>
      </c>
      <c r="L70">
        <v>0</v>
      </c>
      <c r="M70" s="38">
        <v>0</v>
      </c>
      <c r="N70">
        <v>8.9499999999999993</v>
      </c>
      <c r="O70">
        <v>0</v>
      </c>
      <c r="P70" s="37">
        <v>0</v>
      </c>
      <c r="Q70" s="37">
        <v>0</v>
      </c>
      <c r="R70" s="37">
        <v>-10984323.333334923</v>
      </c>
      <c r="S70">
        <v>8.9499999999999993</v>
      </c>
      <c r="T70" s="70">
        <v>0</v>
      </c>
      <c r="U70">
        <v>0</v>
      </c>
      <c r="V70">
        <v>0</v>
      </c>
      <c r="W70">
        <v>0</v>
      </c>
      <c r="X70" s="38">
        <v>0</v>
      </c>
      <c r="Y70">
        <v>0</v>
      </c>
      <c r="Z70" s="70">
        <v>285000000</v>
      </c>
      <c r="AA70" s="70">
        <v>0</v>
      </c>
      <c r="AB70" s="70">
        <v>285000000</v>
      </c>
      <c r="AC70" s="70">
        <v>285000000</v>
      </c>
      <c r="AD70" s="70">
        <v>285000000</v>
      </c>
      <c r="AE70" s="70">
        <v>285000000</v>
      </c>
      <c r="AF70">
        <v>0</v>
      </c>
      <c r="AG70" s="72">
        <f>Tradingbook_MSB[[#This Row],[Mat. Date]]-RPT</f>
        <v>-4020</v>
      </c>
      <c r="AH70" s="71">
        <f>IF(Tradingbook_MSB[[#This Row],[Days]]&lt;=0,0,YEARFRAC(RPT,Tradingbook_MSB[[#This Row],[Mat. Date]],3))</f>
        <v>0</v>
      </c>
      <c r="AI70" s="71">
        <f>IF(Tradingbook_MSB[[#This Row],[Days (year)]]=0,0,INDEX(Ref!$K$2:$K$13,MATCH(Tradingbook_MSB[[#This Row],[Days (year)]],Ref!$I$2:$I$13,1)))</f>
        <v>0</v>
      </c>
      <c r="AJ70" s="120" t="str">
        <f>VLOOKUP(Tradingbook_MSB[[#This Row],[Security Name]],Ref!X:Z,3,0)</f>
        <v>TPCP</v>
      </c>
      <c r="AK70" s="120" t="str">
        <f>VLOOKUP(Tradingbook_MSB[[#This Row],[Security Name]],Ref!X:Y,2,0)</f>
        <v>VDB</v>
      </c>
      <c r="AL70" s="71">
        <f>IF((Tradingbook_MSB[[#This Row],[Mat. Date]]-RPT)&lt;=0,0,Tradingbook_MSB[[#This Row],[QUANTITY]])</f>
        <v>0</v>
      </c>
      <c r="AM70" s="71">
        <f>IF(Tradingbook_MSB[[#This Row],[Quantity_edited]]=0,0,Tradingbook_MSB[[#This Row],[DURATION]])</f>
        <v>0</v>
      </c>
      <c r="AN70" s="71">
        <f>IF(Tradingbook_MSB[[#This Row],[Quantity_edited]]=0,0,Tradingbook_MSB[[#This Row],[Mod Dur]])</f>
        <v>0</v>
      </c>
      <c r="AO70" s="71">
        <f>IF(Tradingbook_MSB[[#This Row],[Quantity_edited]]=0,0,Tradingbook_MSB[[#This Row],[Cnvx.]])</f>
        <v>0</v>
      </c>
      <c r="AP70" s="71">
        <f>(Tradingbook_MSB[[#This Row],[MARKET_VALUE]]+Tradingbook_MSB[[#This Row],[Accr Int]]*Tradingbook_MSB[[#This Row],[Quantity_edited]])*(-Tradingbook_MSB[[#This Row],[Modified Duration]]*0.0001+0.5*Tradingbook_MSB[[#This Row],[Conv]]*(0.0001^2))</f>
        <v>0</v>
      </c>
      <c r="AQ70" s="72">
        <f>(Tradingbook_MSB[[#This Row],[MARKET_VALUE]]+Tradingbook_MSB[[#This Row],[Accr Int]]*Tradingbook_MSB[[#This Row],[Quantity_edited]])*(-Tradingbook_MSB[[#This Row],[Modified Duration]]*0.01+0.5*Tradingbook_MSB[[#This Row],[Conv]]*(0.01^2))</f>
        <v>0</v>
      </c>
      <c r="AR70" s="71"/>
      <c r="AT70" t="s">
        <v>166</v>
      </c>
      <c r="AU70" t="s">
        <v>167</v>
      </c>
      <c r="AV70" t="s">
        <v>434</v>
      </c>
      <c r="AW70" t="s">
        <v>169</v>
      </c>
      <c r="AX70" t="s">
        <v>3379</v>
      </c>
      <c r="AY70" t="s">
        <v>170</v>
      </c>
      <c r="BB70" s="70">
        <v>257000</v>
      </c>
      <c r="BC70">
        <v>25700000000</v>
      </c>
      <c r="BD70">
        <v>137710.375</v>
      </c>
      <c r="BE70" s="37">
        <v>0</v>
      </c>
      <c r="BF70">
        <v>11.6</v>
      </c>
      <c r="BG70">
        <v>0</v>
      </c>
      <c r="BH70" s="34">
        <v>185924800000</v>
      </c>
      <c r="BI70">
        <v>220733412645.55573</v>
      </c>
      <c r="BJ70">
        <v>-117441169926.91119</v>
      </c>
      <c r="BK70">
        <v>0</v>
      </c>
      <c r="BL70">
        <v>0</v>
      </c>
      <c r="BM70">
        <v>0</v>
      </c>
      <c r="BN70">
        <v>0</v>
      </c>
      <c r="BO70">
        <v>0</v>
      </c>
      <c r="BP70">
        <v>0</v>
      </c>
      <c r="BQ70">
        <v>0</v>
      </c>
      <c r="BR70">
        <v>-61265234000.000008</v>
      </c>
      <c r="BS70">
        <v>0</v>
      </c>
      <c r="BT70">
        <v>-61265234000.000008</v>
      </c>
      <c r="BU70">
        <v>-61265234000.000008</v>
      </c>
      <c r="BV70">
        <v>-61265234000</v>
      </c>
      <c r="BW70">
        <v>-61265234000.000008</v>
      </c>
      <c r="BX70">
        <v>5.883828125</v>
      </c>
      <c r="BY70" s="32">
        <f>Bankingbook_MSB[[#This Row],[Mat. Date]]-RPT</f>
        <v>-2277</v>
      </c>
      <c r="BZ70" s="71">
        <f>IF(Bankingbook_MSB[[#This Row],[Days]]&lt;=0,0,YEARFRAC(RPT,Bankingbook_MSB[[#This Row],[Mat. Date]],3))</f>
        <v>0</v>
      </c>
      <c r="CA70" s="71">
        <f>IF(Bankingbook_MSB[[#This Row],[Days (year)]]=0,0,INDEX(Ref!$K$2:$K$13,MATCH(Bankingbook_MSB[[#This Row],[Days (year)]],Ref!$I$2:$I$13,1)))</f>
        <v>0</v>
      </c>
      <c r="CB70" s="32" t="str">
        <f>VLOOKUP(Bankingbook_MSB[[#This Row],[Security Name]],Ref!X:Z,3,0)</f>
        <v>TPCPBL</v>
      </c>
      <c r="CC70" s="32" t="str">
        <f>VLOOKUP(Bankingbook_MSB[[#This Row],[Security Name]],Ref!X:Y,2,0)</f>
        <v>VDB</v>
      </c>
      <c r="CD70" s="72">
        <f>IF((Bankingbook_MSB[[#This Row],[Mat. Date]]-RPT)&lt;=0,0,Bankingbook_MSB[[#This Row],[QUANTITY]])</f>
        <v>0</v>
      </c>
      <c r="CE70" s="71">
        <f>IF(Bankingbook_MSB[[#This Row],[Quantity_edited]]=0,0,Bankingbook_MSB[[#This Row],[DURATION]])</f>
        <v>0</v>
      </c>
      <c r="CF70" s="71">
        <f>IF(Bankingbook_MSB[[#This Row],[Quantity_edited]]=0,0,Bankingbook_MSB[[#This Row],[Mod Dur]])</f>
        <v>0</v>
      </c>
      <c r="CG70" s="71">
        <f>IF(Bankingbook_MSB[[#This Row],[Quantity_edited]]=0,0,Bankingbook_MSB[[#This Row],[Cnvx.]])</f>
        <v>0</v>
      </c>
      <c r="CH70" s="71">
        <f>(Bankingbook_MSB[[#This Row],[MARKET_VALUE]]+Bankingbook_MSB[[#This Row],[Accr Int]]*Bankingbook_MSB[[#This Row],[Quantity_edited]])*(-Bankingbook_MSB[[#This Row],[Modified Duration]]*0.0001+0.5*Bankingbook_MSB[[#This Row],[Conv]]*(0.0001^2))</f>
        <v>0</v>
      </c>
      <c r="CI70" s="71">
        <f>(Bankingbook_MSB[[#This Row],[MARKET_VALUE]]+Bankingbook_MSB[[#This Row],[Accr Int]]*Bankingbook_MSB[[#This Row],[Quantity_edited]])*(-Bankingbook_MSB[[#This Row],[Modified Duration]]*0.01+0.5*Bankingbook_MSB[[#This Row],[Conv]]*(0.01^2))</f>
        <v>0</v>
      </c>
      <c r="CJ70" s="32"/>
      <c r="CL70" t="s">
        <v>166</v>
      </c>
      <c r="CM70" t="s">
        <v>167</v>
      </c>
      <c r="CN70" t="s">
        <v>242</v>
      </c>
      <c r="CO70" t="s">
        <v>169</v>
      </c>
      <c r="CP70" s="35">
        <v>42232</v>
      </c>
      <c r="CQ70" t="s">
        <v>3322</v>
      </c>
      <c r="CR70" t="s">
        <v>174</v>
      </c>
      <c r="CS70" t="s">
        <v>174</v>
      </c>
      <c r="CT70" s="49">
        <v>0</v>
      </c>
      <c r="CU70">
        <v>0</v>
      </c>
      <c r="CV70">
        <v>0</v>
      </c>
      <c r="CW70" s="70">
        <v>0</v>
      </c>
      <c r="CX70">
        <v>8.9499999999999993</v>
      </c>
      <c r="CY70">
        <v>0</v>
      </c>
      <c r="CZ70">
        <v>0</v>
      </c>
      <c r="DA70">
        <v>0</v>
      </c>
      <c r="DB70">
        <v>-10984323.333334923</v>
      </c>
      <c r="DC70">
        <v>8.9499999999999993</v>
      </c>
      <c r="DD70">
        <v>0</v>
      </c>
      <c r="DE70">
        <v>0</v>
      </c>
      <c r="DF70">
        <v>0</v>
      </c>
      <c r="DG70">
        <v>0</v>
      </c>
      <c r="DH70">
        <v>0</v>
      </c>
      <c r="DI70">
        <v>0</v>
      </c>
      <c r="DJ70" s="500">
        <v>285000000</v>
      </c>
      <c r="DK70" s="500">
        <v>0</v>
      </c>
      <c r="DL70" s="37">
        <v>285000000</v>
      </c>
      <c r="DM70" s="37">
        <v>285000000</v>
      </c>
      <c r="DN70" s="37">
        <v>285000000</v>
      </c>
      <c r="DO70" s="37">
        <v>285000000</v>
      </c>
      <c r="DP70" s="32">
        <f>Tradingbook_SBV[[#This Row],[Mat. Date]]-RPT</f>
        <v>-4020</v>
      </c>
      <c r="DQ70" s="32">
        <f>IF(Tradingbook_SBV[[#This Row],[Days]]&lt;=0,0,YEARFRAC(RPT,Tradingbook_SBV[[#This Row],[Mat. Date]],3))</f>
        <v>0</v>
      </c>
      <c r="DR70" s="32">
        <f>IF(Tradingbook_SBV[[#This Row],[Days (year)]]=0,0,INDEX(Ref!$K$2:$K$13,MATCH(Tradingbook_SBV[[#This Row],[Days (year)]],Ref!$I$2:$I$13,1)))</f>
        <v>0</v>
      </c>
      <c r="DS70" s="32" t="str">
        <f>VLOOKUP(Tradingbook_SBV[[#This Row],[Security Name]],Ref!X:Z,3,0)</f>
        <v>TPCP</v>
      </c>
      <c r="DT70" s="32" t="str">
        <f>VLOOKUP(Tradingbook_SBV[[#This Row],[Security Name]],Ref!X:Y,2,0)</f>
        <v>VDB</v>
      </c>
      <c r="DU70" s="71">
        <f>IF((Tradingbook_SBV[[#This Row],[Mat. Date]]-RPT)&lt;=0,0,Tradingbook_SBV[[#This Row],[QUANTITY]])</f>
        <v>0</v>
      </c>
      <c r="DV70" s="71">
        <f>IF(Tradingbook_SBV[[#This Row],[Quantity_edited]]=0,0,Tradingbook_SBV[[#This Row],[DURATION]])</f>
        <v>0</v>
      </c>
      <c r="DW70" s="71">
        <f>IF(Tradingbook_SBV[[#This Row],[Quantity_edited]]=0,0,Tradingbook_SBV[[#This Row],[Mod Dur]])</f>
        <v>0</v>
      </c>
      <c r="DX70" s="71">
        <f>IF(Tradingbook_SBV[[#This Row],[Quantity_edited]]=0,0,Tradingbook_SBV[[#This Row],[Cnvx.]])</f>
        <v>0</v>
      </c>
      <c r="DY70" s="71">
        <f>(Tradingbook_SBV[[#This Row],[MARKET_VALUE]]+Tradingbook_SBV[[#This Row],[Accr Int]]*Tradingbook_SBV[[#This Row],[Quantity_edited]])*(-Tradingbook_SBV[[#This Row],[Modified Duration]]*0.0001+0.5*Tradingbook_SBV[[#This Row],[Conv]]*(0.0001^2))</f>
        <v>0</v>
      </c>
      <c r="DZ70" s="71">
        <f>(Tradingbook_SBV[[#This Row],[MARKET_VALUE]]+Tradingbook_SBV[[#This Row],[Accr Int]]*Tradingbook_SBV[[#This Row],[Quantity_edited]])*(-Tradingbook_SBV[[#This Row],[Modified Duration]]*0.01+0.5*Tradingbook_SBV[[#This Row],[Conv]]*(0.01^2))</f>
        <v>0</v>
      </c>
      <c r="EC70" t="s">
        <v>166</v>
      </c>
      <c r="ED70" t="s">
        <v>167</v>
      </c>
      <c r="EE70" t="s">
        <v>411</v>
      </c>
      <c r="EF70" t="s">
        <v>169</v>
      </c>
      <c r="EG70" s="35" t="s">
        <v>3376</v>
      </c>
      <c r="EH70" t="s">
        <v>3322</v>
      </c>
      <c r="EK70" s="500">
        <v>0</v>
      </c>
      <c r="EL70" s="500">
        <v>0</v>
      </c>
      <c r="EM70" s="500">
        <v>0</v>
      </c>
      <c r="EN70" s="500">
        <v>0</v>
      </c>
      <c r="EO70">
        <v>6.3</v>
      </c>
      <c r="EP70">
        <v>0</v>
      </c>
      <c r="EQ70">
        <v>25200000000</v>
      </c>
      <c r="ER70">
        <v>28035875000.000046</v>
      </c>
      <c r="ES70">
        <v>-23953136726.388931</v>
      </c>
      <c r="ET70">
        <v>0</v>
      </c>
      <c r="EU70">
        <v>0</v>
      </c>
      <c r="EV70">
        <v>0</v>
      </c>
      <c r="EW70">
        <v>0</v>
      </c>
      <c r="EX70">
        <v>0</v>
      </c>
      <c r="EY70">
        <v>0</v>
      </c>
      <c r="EZ70">
        <v>0</v>
      </c>
      <c r="FA70">
        <v>-5478500000</v>
      </c>
      <c r="FB70">
        <v>0</v>
      </c>
      <c r="FC70">
        <v>-5478500000</v>
      </c>
      <c r="FD70">
        <v>-5478500000</v>
      </c>
      <c r="FE70">
        <v>-5478500000</v>
      </c>
      <c r="FF70">
        <v>-5478500000</v>
      </c>
      <c r="FG70" s="32">
        <f>Bankingbook_SBV[[#This Row],[Mat. Date]]-RPT</f>
        <v>-2544</v>
      </c>
      <c r="FH70" s="32">
        <f>IF(Bankingbook_SBV[[#This Row],[Days]]&lt;=0,0,YEARFRAC(RPT,Bankingbook_SBV[[#This Row],[Mat. Date]],3))</f>
        <v>0</v>
      </c>
      <c r="FI70" s="32">
        <f>IF(Bankingbook_SBV[[#This Row],[Days (year)]]=0,0,INDEX(Ref!$K$2:$K$13,MATCH(Bankingbook_SBV[[#This Row],[Days (year)]],Ref!$I$2:$I$13,1)))</f>
        <v>0</v>
      </c>
      <c r="FJ70" s="32" t="str">
        <f>VLOOKUP(Bankingbook_SBV[[#This Row],[Security Name]],Ref!X:Z,3,0)</f>
        <v>TPCP</v>
      </c>
      <c r="FK70" s="32" t="str">
        <f>VLOOKUP(Bankingbook_SBV[[#This Row],[Security Name]],Ref!X:Y,2,0)</f>
        <v>KBNN</v>
      </c>
      <c r="FL70" s="72">
        <f>IF((Bankingbook_SBV[[#This Row],[Mat. Date]]-RPT)&lt;=0,0,Bankingbook_SBV[[#This Row],[QUANTITY]])</f>
        <v>0</v>
      </c>
      <c r="FM70" s="32">
        <f>IF(Bankingbook_SBV[[#This Row],[Quantity_edited]]=0,0,Bankingbook_SBV[[#This Row],[DURATION]])</f>
        <v>0</v>
      </c>
      <c r="FN70" s="32">
        <f>IF(Bankingbook_SBV[[#This Row],[Quantity_edited]]=0,0,Bankingbook_SBV[[#This Row],[Mod Dur]])</f>
        <v>0</v>
      </c>
      <c r="FO70" s="32">
        <f>IF(Bankingbook_SBV[[#This Row],[Quantity_edited]]=0,0,Bankingbook_SBV[[#This Row],[Cnvx.]])</f>
        <v>0</v>
      </c>
      <c r="FP70" s="32">
        <f>(Bankingbook_SBV[[#This Row],[MARKET_VALUE]]+Bankingbook_SBV[[#This Row],[Accr Int]]*Bankingbook_SBV[[#This Row],[Quantity_edited]])*(-Bankingbook_SBV[[#This Row],[Modified Duration]]*0.0001+0.5*Bankingbook_SBV[[#This Row],[Conv]]*(0.0001^2))</f>
        <v>0</v>
      </c>
      <c r="FQ70" s="32">
        <f>(Bankingbook_SBV[[#This Row],[MARKET_VALUE]]+Bankingbook_SBV[[#This Row],[Accr Int]]*Bankingbook_SBV[[#This Row],[Quantity_edited]])*(-Bankingbook_SBV[[#This Row],[Modified Duration]]*0.01+0.5*Bankingbook_SBV[[#This Row],[Conv]]*(0.01^2))</f>
        <v>0</v>
      </c>
      <c r="FT70" t="s">
        <v>166</v>
      </c>
      <c r="FU70" t="s">
        <v>790</v>
      </c>
      <c r="FV70" t="s">
        <v>4046</v>
      </c>
      <c r="FW70">
        <v>3322933</v>
      </c>
      <c r="FX70" s="502">
        <v>46233</v>
      </c>
      <c r="FY70" t="s">
        <v>2176</v>
      </c>
      <c r="FZ70" t="s">
        <v>812</v>
      </c>
      <c r="GA70" t="s">
        <v>3585</v>
      </c>
      <c r="GB70" t="s">
        <v>810</v>
      </c>
      <c r="GC70" t="s">
        <v>2497</v>
      </c>
      <c r="GD70" s="500">
        <v>-570444000000</v>
      </c>
      <c r="GE70">
        <v>12.000432</v>
      </c>
      <c r="GF70" s="502">
        <v>46238</v>
      </c>
      <c r="GG70" s="502">
        <v>46329</v>
      </c>
      <c r="GH70">
        <v>4.55</v>
      </c>
      <c r="GI70" t="s">
        <v>811</v>
      </c>
      <c r="GJ70" t="s">
        <v>3321</v>
      </c>
      <c r="GK70" t="s">
        <v>3321</v>
      </c>
      <c r="GL70">
        <v>1151187683.3299999</v>
      </c>
      <c r="GM70">
        <v>-995541994.51999998</v>
      </c>
      <c r="GN70">
        <v>658231000000</v>
      </c>
      <c r="GO70">
        <v>13.34</v>
      </c>
      <c r="GP70">
        <v>0.21</v>
      </c>
      <c r="GQ70">
        <v>0.21199999999999999</v>
      </c>
      <c r="GR70">
        <v>7.6509309999999999</v>
      </c>
      <c r="GS70">
        <v>-567833198759.12</v>
      </c>
      <c r="GT70">
        <v>2610801240.8800001</v>
      </c>
      <c r="GU70" t="s">
        <v>4130</v>
      </c>
      <c r="GV70" t="s">
        <v>4130</v>
      </c>
      <c r="GW70" s="416">
        <f>FNRP_Repo[[#This Row],[Mat. Date]]-RPT</f>
        <v>77</v>
      </c>
      <c r="GX70" s="819" t="str">
        <f>IF(FNRP_Repo[[#This Row],[Days]]&lt;=0,"Mat",INDEX(Ref!U:U,MATCH(FNRP_Repo[[#This Row],[Days]],Ref!S:S,1)))</f>
        <v>3M</v>
      </c>
      <c r="GY70" s="417">
        <f>RIGHT(FNRP_Repo[[#This Row],[Deal Id]],5)+0</f>
        <v>18089</v>
      </c>
    </row>
    <row r="71" spans="2:207" x14ac:dyDescent="0.3">
      <c r="B71" t="s">
        <v>166</v>
      </c>
      <c r="C71" t="s">
        <v>167</v>
      </c>
      <c r="D71" t="s">
        <v>243</v>
      </c>
      <c r="E71" t="s">
        <v>169</v>
      </c>
      <c r="F71" s="502">
        <v>42240</v>
      </c>
      <c r="G71" t="s">
        <v>3322</v>
      </c>
      <c r="H71"/>
      <c r="I71"/>
      <c r="J71" s="38">
        <v>0</v>
      </c>
      <c r="K71">
        <v>0</v>
      </c>
      <c r="L71">
        <v>0</v>
      </c>
      <c r="M71" s="38">
        <v>0</v>
      </c>
      <c r="N71">
        <v>8.9499999999999993</v>
      </c>
      <c r="O71">
        <v>0</v>
      </c>
      <c r="P71" s="37">
        <v>0</v>
      </c>
      <c r="Q71" s="37">
        <v>0</v>
      </c>
      <c r="R71" s="37">
        <v>-24688205.000001907</v>
      </c>
      <c r="S71">
        <v>8.9499999999999993</v>
      </c>
      <c r="T71" s="70">
        <v>0</v>
      </c>
      <c r="U71">
        <v>0</v>
      </c>
      <c r="V71">
        <v>0</v>
      </c>
      <c r="W71">
        <v>0</v>
      </c>
      <c r="X71" s="38">
        <v>0</v>
      </c>
      <c r="Y71">
        <v>0</v>
      </c>
      <c r="Z71" s="70">
        <v>694800000</v>
      </c>
      <c r="AA71" s="70">
        <v>0</v>
      </c>
      <c r="AB71" s="70">
        <v>694800000</v>
      </c>
      <c r="AC71" s="70">
        <v>694800000</v>
      </c>
      <c r="AD71" s="70">
        <v>694800000</v>
      </c>
      <c r="AE71" s="70">
        <v>694800000</v>
      </c>
      <c r="AF71">
        <v>0</v>
      </c>
      <c r="AG71" s="72">
        <f>Tradingbook_MSB[[#This Row],[Mat. Date]]-RPT</f>
        <v>-4012</v>
      </c>
      <c r="AH71" s="71">
        <f>IF(Tradingbook_MSB[[#This Row],[Days]]&lt;=0,0,YEARFRAC(RPT,Tradingbook_MSB[[#This Row],[Mat. Date]],3))</f>
        <v>0</v>
      </c>
      <c r="AI71" s="71">
        <f>IF(Tradingbook_MSB[[#This Row],[Days (year)]]=0,0,INDEX(Ref!$K$2:$K$13,MATCH(Tradingbook_MSB[[#This Row],[Days (year)]],Ref!$I$2:$I$13,1)))</f>
        <v>0</v>
      </c>
      <c r="AJ71" s="120" t="str">
        <f>VLOOKUP(Tradingbook_MSB[[#This Row],[Security Name]],Ref!X:Z,3,0)</f>
        <v>TPCP</v>
      </c>
      <c r="AK71" s="120" t="str">
        <f>VLOOKUP(Tradingbook_MSB[[#This Row],[Security Name]],Ref!X:Y,2,0)</f>
        <v>VDB</v>
      </c>
      <c r="AL71" s="71">
        <f>IF((Tradingbook_MSB[[#This Row],[Mat. Date]]-RPT)&lt;=0,0,Tradingbook_MSB[[#This Row],[QUANTITY]])</f>
        <v>0</v>
      </c>
      <c r="AM71" s="71">
        <f>IF(Tradingbook_MSB[[#This Row],[Quantity_edited]]=0,0,Tradingbook_MSB[[#This Row],[DURATION]])</f>
        <v>0</v>
      </c>
      <c r="AN71" s="71">
        <f>IF(Tradingbook_MSB[[#This Row],[Quantity_edited]]=0,0,Tradingbook_MSB[[#This Row],[Mod Dur]])</f>
        <v>0</v>
      </c>
      <c r="AO71" s="71">
        <f>IF(Tradingbook_MSB[[#This Row],[Quantity_edited]]=0,0,Tradingbook_MSB[[#This Row],[Cnvx.]])</f>
        <v>0</v>
      </c>
      <c r="AP71" s="71">
        <f>(Tradingbook_MSB[[#This Row],[MARKET_VALUE]]+Tradingbook_MSB[[#This Row],[Accr Int]]*Tradingbook_MSB[[#This Row],[Quantity_edited]])*(-Tradingbook_MSB[[#This Row],[Modified Duration]]*0.0001+0.5*Tradingbook_MSB[[#This Row],[Conv]]*(0.0001^2))</f>
        <v>0</v>
      </c>
      <c r="AQ71" s="72">
        <f>(Tradingbook_MSB[[#This Row],[MARKET_VALUE]]+Tradingbook_MSB[[#This Row],[Accr Int]]*Tradingbook_MSB[[#This Row],[Quantity_edited]])*(-Tradingbook_MSB[[#This Row],[Modified Duration]]*0.01+0.5*Tradingbook_MSB[[#This Row],[Conv]]*(0.01^2))</f>
        <v>0</v>
      </c>
      <c r="AR71" s="71"/>
      <c r="AT71" t="s">
        <v>166</v>
      </c>
      <c r="AU71" t="s">
        <v>167</v>
      </c>
      <c r="AV71" t="s">
        <v>435</v>
      </c>
      <c r="AW71" t="s">
        <v>169</v>
      </c>
      <c r="AX71" t="s">
        <v>3380</v>
      </c>
      <c r="AY71" t="s">
        <v>3322</v>
      </c>
      <c r="BB71" s="70">
        <v>0</v>
      </c>
      <c r="BC71">
        <v>0</v>
      </c>
      <c r="BD71">
        <v>0</v>
      </c>
      <c r="BE71" s="37">
        <v>0</v>
      </c>
      <c r="BF71">
        <v>11.5</v>
      </c>
      <c r="BG71">
        <v>0</v>
      </c>
      <c r="BH71" s="34">
        <v>471732500000</v>
      </c>
      <c r="BI71">
        <v>568245214637.84717</v>
      </c>
      <c r="BJ71">
        <v>-246043361177.4306</v>
      </c>
      <c r="BK71">
        <v>0</v>
      </c>
      <c r="BL71">
        <v>0</v>
      </c>
      <c r="BM71">
        <v>0</v>
      </c>
      <c r="BN71">
        <v>0</v>
      </c>
      <c r="BO71">
        <v>0</v>
      </c>
      <c r="BP71">
        <v>0</v>
      </c>
      <c r="BQ71">
        <v>0</v>
      </c>
      <c r="BR71">
        <v>90201000000</v>
      </c>
      <c r="BS71">
        <v>0</v>
      </c>
      <c r="BT71">
        <v>90201000000</v>
      </c>
      <c r="BU71">
        <v>90201000000</v>
      </c>
      <c r="BV71">
        <v>90201000000</v>
      </c>
      <c r="BW71">
        <v>90201000000</v>
      </c>
      <c r="BX71">
        <v>0</v>
      </c>
      <c r="BY71" s="32">
        <f>Bankingbook_MSB[[#This Row],[Mat. Date]]-RPT</f>
        <v>-2273</v>
      </c>
      <c r="BZ71" s="71">
        <f>IF(Bankingbook_MSB[[#This Row],[Days]]&lt;=0,0,YEARFRAC(RPT,Bankingbook_MSB[[#This Row],[Mat. Date]],3))</f>
        <v>0</v>
      </c>
      <c r="CA71" s="71">
        <f>IF(Bankingbook_MSB[[#This Row],[Days (year)]]=0,0,INDEX(Ref!$K$2:$K$13,MATCH(Bankingbook_MSB[[#This Row],[Days (year)]],Ref!$I$2:$I$13,1)))</f>
        <v>0</v>
      </c>
      <c r="CB71" s="32" t="str">
        <f>VLOOKUP(Bankingbook_MSB[[#This Row],[Security Name]],Ref!X:Z,3,0)</f>
        <v>TPCPBL</v>
      </c>
      <c r="CC71" s="32" t="str">
        <f>VLOOKUP(Bankingbook_MSB[[#This Row],[Security Name]],Ref!X:Y,2,0)</f>
        <v>VDB</v>
      </c>
      <c r="CD71" s="72">
        <f>IF((Bankingbook_MSB[[#This Row],[Mat. Date]]-RPT)&lt;=0,0,Bankingbook_MSB[[#This Row],[QUANTITY]])</f>
        <v>0</v>
      </c>
      <c r="CE71" s="71">
        <f>IF(Bankingbook_MSB[[#This Row],[Quantity_edited]]=0,0,Bankingbook_MSB[[#This Row],[DURATION]])</f>
        <v>0</v>
      </c>
      <c r="CF71" s="71">
        <f>IF(Bankingbook_MSB[[#This Row],[Quantity_edited]]=0,0,Bankingbook_MSB[[#This Row],[Mod Dur]])</f>
        <v>0</v>
      </c>
      <c r="CG71" s="71">
        <f>IF(Bankingbook_MSB[[#This Row],[Quantity_edited]]=0,0,Bankingbook_MSB[[#This Row],[Cnvx.]])</f>
        <v>0</v>
      </c>
      <c r="CH71" s="71">
        <f>(Bankingbook_MSB[[#This Row],[MARKET_VALUE]]+Bankingbook_MSB[[#This Row],[Accr Int]]*Bankingbook_MSB[[#This Row],[Quantity_edited]])*(-Bankingbook_MSB[[#This Row],[Modified Duration]]*0.0001+0.5*Bankingbook_MSB[[#This Row],[Conv]]*(0.0001^2))</f>
        <v>0</v>
      </c>
      <c r="CI71" s="71">
        <f>(Bankingbook_MSB[[#This Row],[MARKET_VALUE]]+Bankingbook_MSB[[#This Row],[Accr Int]]*Bankingbook_MSB[[#This Row],[Quantity_edited]])*(-Bankingbook_MSB[[#This Row],[Modified Duration]]*0.01+0.5*Bankingbook_MSB[[#This Row],[Conv]]*(0.01^2))</f>
        <v>0</v>
      </c>
      <c r="CJ71" s="32"/>
      <c r="CL71" t="s">
        <v>166</v>
      </c>
      <c r="CM71" t="s">
        <v>167</v>
      </c>
      <c r="CN71" t="s">
        <v>243</v>
      </c>
      <c r="CO71" t="s">
        <v>169</v>
      </c>
      <c r="CP71" s="35">
        <v>42240</v>
      </c>
      <c r="CQ71" t="s">
        <v>3322</v>
      </c>
      <c r="CR71" t="s">
        <v>174</v>
      </c>
      <c r="CS71" t="s">
        <v>174</v>
      </c>
      <c r="CT71" s="49">
        <v>0</v>
      </c>
      <c r="CU71">
        <v>0</v>
      </c>
      <c r="CV71">
        <v>0</v>
      </c>
      <c r="CW71" s="70">
        <v>0</v>
      </c>
      <c r="CX71">
        <v>8.9499999999999993</v>
      </c>
      <c r="CY71">
        <v>0</v>
      </c>
      <c r="CZ71">
        <v>0</v>
      </c>
      <c r="DA71">
        <v>0</v>
      </c>
      <c r="DB71">
        <v>-24688205.000001907</v>
      </c>
      <c r="DC71">
        <v>8.9499999999999993</v>
      </c>
      <c r="DD71">
        <v>0</v>
      </c>
      <c r="DE71">
        <v>0</v>
      </c>
      <c r="DF71">
        <v>0</v>
      </c>
      <c r="DG71">
        <v>0</v>
      </c>
      <c r="DH71">
        <v>0</v>
      </c>
      <c r="DI71">
        <v>0</v>
      </c>
      <c r="DJ71" s="500">
        <v>694800000</v>
      </c>
      <c r="DK71" s="500">
        <v>0</v>
      </c>
      <c r="DL71" s="37">
        <v>694800000</v>
      </c>
      <c r="DM71" s="37">
        <v>694800000</v>
      </c>
      <c r="DN71" s="37">
        <v>694800000</v>
      </c>
      <c r="DO71" s="37">
        <v>694800000</v>
      </c>
      <c r="DP71" s="32">
        <f>Tradingbook_SBV[[#This Row],[Mat. Date]]-RPT</f>
        <v>-4012</v>
      </c>
      <c r="DQ71" s="32">
        <f>IF(Tradingbook_SBV[[#This Row],[Days]]&lt;=0,0,YEARFRAC(RPT,Tradingbook_SBV[[#This Row],[Mat. Date]],3))</f>
        <v>0</v>
      </c>
      <c r="DR71" s="32">
        <f>IF(Tradingbook_SBV[[#This Row],[Days (year)]]=0,0,INDEX(Ref!$K$2:$K$13,MATCH(Tradingbook_SBV[[#This Row],[Days (year)]],Ref!$I$2:$I$13,1)))</f>
        <v>0</v>
      </c>
      <c r="DS71" s="32" t="str">
        <f>VLOOKUP(Tradingbook_SBV[[#This Row],[Security Name]],Ref!X:Z,3,0)</f>
        <v>TPCP</v>
      </c>
      <c r="DT71" s="32" t="str">
        <f>VLOOKUP(Tradingbook_SBV[[#This Row],[Security Name]],Ref!X:Y,2,0)</f>
        <v>VDB</v>
      </c>
      <c r="DU71" s="71">
        <f>IF((Tradingbook_SBV[[#This Row],[Mat. Date]]-RPT)&lt;=0,0,Tradingbook_SBV[[#This Row],[QUANTITY]])</f>
        <v>0</v>
      </c>
      <c r="DV71" s="71">
        <f>IF(Tradingbook_SBV[[#This Row],[Quantity_edited]]=0,0,Tradingbook_SBV[[#This Row],[DURATION]])</f>
        <v>0</v>
      </c>
      <c r="DW71" s="71">
        <f>IF(Tradingbook_SBV[[#This Row],[Quantity_edited]]=0,0,Tradingbook_SBV[[#This Row],[Mod Dur]])</f>
        <v>0</v>
      </c>
      <c r="DX71" s="71">
        <f>IF(Tradingbook_SBV[[#This Row],[Quantity_edited]]=0,0,Tradingbook_SBV[[#This Row],[Cnvx.]])</f>
        <v>0</v>
      </c>
      <c r="DY71" s="71">
        <f>(Tradingbook_SBV[[#This Row],[MARKET_VALUE]]+Tradingbook_SBV[[#This Row],[Accr Int]]*Tradingbook_SBV[[#This Row],[Quantity_edited]])*(-Tradingbook_SBV[[#This Row],[Modified Duration]]*0.0001+0.5*Tradingbook_SBV[[#This Row],[Conv]]*(0.0001^2))</f>
        <v>0</v>
      </c>
      <c r="DZ71" s="71">
        <f>(Tradingbook_SBV[[#This Row],[MARKET_VALUE]]+Tradingbook_SBV[[#This Row],[Accr Int]]*Tradingbook_SBV[[#This Row],[Quantity_edited]])*(-Tradingbook_SBV[[#This Row],[Modified Duration]]*0.01+0.5*Tradingbook_SBV[[#This Row],[Conv]]*(0.01^2))</f>
        <v>0</v>
      </c>
      <c r="EC71" t="s">
        <v>166</v>
      </c>
      <c r="ED71" t="s">
        <v>167</v>
      </c>
      <c r="EE71" t="s">
        <v>415</v>
      </c>
      <c r="EF71" t="s">
        <v>169</v>
      </c>
      <c r="EG71" s="35" t="s">
        <v>414</v>
      </c>
      <c r="EH71" t="s">
        <v>170</v>
      </c>
      <c r="EK71" s="500">
        <v>1000000</v>
      </c>
      <c r="EL71" s="500">
        <v>100000000000</v>
      </c>
      <c r="EM71" s="500">
        <v>99981</v>
      </c>
      <c r="EN71" s="500">
        <v>0</v>
      </c>
      <c r="EO71">
        <v>5.6</v>
      </c>
      <c r="EP71">
        <v>0</v>
      </c>
      <c r="EQ71">
        <v>28000000000</v>
      </c>
      <c r="ER71">
        <v>29592282222.222233</v>
      </c>
      <c r="ES71">
        <v>-14418451530</v>
      </c>
      <c r="ET71">
        <v>0</v>
      </c>
      <c r="EU71">
        <v>0</v>
      </c>
      <c r="EV71">
        <v>0</v>
      </c>
      <c r="EW71">
        <v>0</v>
      </c>
      <c r="EX71">
        <v>0</v>
      </c>
      <c r="EY71">
        <v>0</v>
      </c>
      <c r="EZ71">
        <v>0</v>
      </c>
      <c r="FA71">
        <v>19000000</v>
      </c>
      <c r="FB71">
        <v>0</v>
      </c>
      <c r="FC71">
        <v>19000000</v>
      </c>
      <c r="FD71">
        <v>19000000</v>
      </c>
      <c r="FE71">
        <v>19000000</v>
      </c>
      <c r="FF71">
        <v>19000000</v>
      </c>
      <c r="FG71" s="32">
        <f>Bankingbook_SBV[[#This Row],[Mat. Date]]-RPT</f>
        <v>-2501</v>
      </c>
      <c r="FH71" s="32">
        <f>IF(Bankingbook_SBV[[#This Row],[Days]]&lt;=0,0,YEARFRAC(RPT,Bankingbook_SBV[[#This Row],[Mat. Date]],3))</f>
        <v>0</v>
      </c>
      <c r="FI71" s="32">
        <f>IF(Bankingbook_SBV[[#This Row],[Days (year)]]=0,0,INDEX(Ref!$K$2:$K$13,MATCH(Bankingbook_SBV[[#This Row],[Days (year)]],Ref!$I$2:$I$13,1)))</f>
        <v>0</v>
      </c>
      <c r="FJ71" s="32" t="str">
        <f>VLOOKUP(Bankingbook_SBV[[#This Row],[Security Name]],Ref!X:Z,3,0)</f>
        <v>TPCQĐP</v>
      </c>
      <c r="FK71" s="32" t="str">
        <f>VLOOKUP(Bankingbook_SBV[[#This Row],[Security Name]],Ref!X:Y,2,0)</f>
        <v>DNGTP</v>
      </c>
      <c r="FL71" s="72">
        <f>IF((Bankingbook_SBV[[#This Row],[Mat. Date]]-RPT)&lt;=0,0,Bankingbook_SBV[[#This Row],[QUANTITY]])</f>
        <v>0</v>
      </c>
      <c r="FM71" s="32">
        <f>IF(Bankingbook_SBV[[#This Row],[Quantity_edited]]=0,0,Bankingbook_SBV[[#This Row],[DURATION]])</f>
        <v>0</v>
      </c>
      <c r="FN71" s="32">
        <f>IF(Bankingbook_SBV[[#This Row],[Quantity_edited]]=0,0,Bankingbook_SBV[[#This Row],[Mod Dur]])</f>
        <v>0</v>
      </c>
      <c r="FO71" s="32">
        <f>IF(Bankingbook_SBV[[#This Row],[Quantity_edited]]=0,0,Bankingbook_SBV[[#This Row],[Cnvx.]])</f>
        <v>0</v>
      </c>
      <c r="FP71" s="32">
        <f>(Bankingbook_SBV[[#This Row],[MARKET_VALUE]]+Bankingbook_SBV[[#This Row],[Accr Int]]*Bankingbook_SBV[[#This Row],[Quantity_edited]])*(-Bankingbook_SBV[[#This Row],[Modified Duration]]*0.0001+0.5*Bankingbook_SBV[[#This Row],[Conv]]*(0.0001^2))</f>
        <v>0</v>
      </c>
      <c r="FQ71" s="32">
        <f>(Bankingbook_SBV[[#This Row],[MARKET_VALUE]]+Bankingbook_SBV[[#This Row],[Accr Int]]*Bankingbook_SBV[[#This Row],[Quantity_edited]])*(-Bankingbook_SBV[[#This Row],[Modified Duration]]*0.01+0.5*Bankingbook_SBV[[#This Row],[Conv]]*(0.01^2))</f>
        <v>0</v>
      </c>
      <c r="FT71" t="s">
        <v>166</v>
      </c>
      <c r="FU71" t="s">
        <v>790</v>
      </c>
      <c r="FV71" t="s">
        <v>4052</v>
      </c>
      <c r="FW71">
        <v>3327996</v>
      </c>
      <c r="FX71" s="502">
        <v>46239</v>
      </c>
      <c r="FY71" t="s">
        <v>2176</v>
      </c>
      <c r="FZ71" t="s">
        <v>812</v>
      </c>
      <c r="GA71" t="s">
        <v>3585</v>
      </c>
      <c r="GB71" t="s">
        <v>810</v>
      </c>
      <c r="GC71" t="s">
        <v>2499</v>
      </c>
      <c r="GD71" s="500">
        <v>-195914000000</v>
      </c>
      <c r="GE71">
        <v>6.999905</v>
      </c>
      <c r="GF71" s="502">
        <v>46241</v>
      </c>
      <c r="GG71" s="502">
        <v>46332</v>
      </c>
      <c r="GH71">
        <v>4.5</v>
      </c>
      <c r="GI71" t="s">
        <v>811</v>
      </c>
      <c r="GJ71" t="s">
        <v>3321</v>
      </c>
      <c r="GK71" t="s">
        <v>3321</v>
      </c>
      <c r="GL71">
        <v>308292447.22000003</v>
      </c>
      <c r="GM71">
        <v>-265691589.03999999</v>
      </c>
      <c r="GN71">
        <v>212206000000</v>
      </c>
      <c r="GO71">
        <v>7.68</v>
      </c>
      <c r="GP71">
        <v>0.21</v>
      </c>
      <c r="GQ71">
        <v>0.222</v>
      </c>
      <c r="GR71">
        <v>7.6945449999999997</v>
      </c>
      <c r="GS71">
        <v>-194854788846.48001</v>
      </c>
      <c r="GT71">
        <v>1059211153.52</v>
      </c>
      <c r="GU71" t="s">
        <v>4113</v>
      </c>
      <c r="GV71" t="s">
        <v>4113</v>
      </c>
      <c r="GW71" s="416">
        <f>FNRP_Repo[[#This Row],[Mat. Date]]-RPT</f>
        <v>80</v>
      </c>
      <c r="GX71" s="819" t="str">
        <f>IF(FNRP_Repo[[#This Row],[Days]]&lt;=0,"Mat",INDEX(Ref!U:U,MATCH(FNRP_Repo[[#This Row],[Days]],Ref!S:S,1)))</f>
        <v>3M</v>
      </c>
      <c r="GY71" s="417">
        <f>RIGHT(FNRP_Repo[[#This Row],[Deal Id]],5)+0</f>
        <v>18095</v>
      </c>
    </row>
    <row r="72" spans="2:207" x14ac:dyDescent="0.3">
      <c r="B72" t="s">
        <v>166</v>
      </c>
      <c r="C72" t="s">
        <v>167</v>
      </c>
      <c r="D72" t="s">
        <v>244</v>
      </c>
      <c r="E72" t="s">
        <v>169</v>
      </c>
      <c r="F72" s="502">
        <v>42244</v>
      </c>
      <c r="G72" t="s">
        <v>3322</v>
      </c>
      <c r="H72"/>
      <c r="I72"/>
      <c r="J72" s="38">
        <v>0</v>
      </c>
      <c r="K72">
        <v>0</v>
      </c>
      <c r="L72">
        <v>0</v>
      </c>
      <c r="M72" s="38">
        <v>0</v>
      </c>
      <c r="N72">
        <v>7.9</v>
      </c>
      <c r="O72">
        <v>0</v>
      </c>
      <c r="P72" s="37">
        <v>7900000000</v>
      </c>
      <c r="Q72" s="37">
        <v>8170414805.5555573</v>
      </c>
      <c r="R72" s="37">
        <v>-3135958222.4999967</v>
      </c>
      <c r="S72">
        <v>7.9</v>
      </c>
      <c r="T72" s="70">
        <v>0</v>
      </c>
      <c r="U72">
        <v>0</v>
      </c>
      <c r="V72">
        <v>0</v>
      </c>
      <c r="W72">
        <v>0</v>
      </c>
      <c r="X72" s="38">
        <v>0</v>
      </c>
      <c r="Y72">
        <v>0</v>
      </c>
      <c r="Z72" s="70">
        <v>3171000000</v>
      </c>
      <c r="AA72" s="70">
        <v>0</v>
      </c>
      <c r="AB72" s="70">
        <v>3171000000</v>
      </c>
      <c r="AC72" s="70">
        <v>3171000000</v>
      </c>
      <c r="AD72" s="70">
        <v>3171000000</v>
      </c>
      <c r="AE72" s="70">
        <v>3171000000</v>
      </c>
      <c r="AF72">
        <v>0</v>
      </c>
      <c r="AG72" s="72">
        <f>Tradingbook_MSB[[#This Row],[Mat. Date]]-RPT</f>
        <v>-4008</v>
      </c>
      <c r="AH72" s="71">
        <f>IF(Tradingbook_MSB[[#This Row],[Days]]&lt;=0,0,YEARFRAC(RPT,Tradingbook_MSB[[#This Row],[Mat. Date]],3))</f>
        <v>0</v>
      </c>
      <c r="AI72" s="71">
        <f>IF(Tradingbook_MSB[[#This Row],[Days (year)]]=0,0,INDEX(Ref!$K$2:$K$13,MATCH(Tradingbook_MSB[[#This Row],[Days (year)]],Ref!$I$2:$I$13,1)))</f>
        <v>0</v>
      </c>
      <c r="AJ72" s="120" t="str">
        <f>VLOOKUP(Tradingbook_MSB[[#This Row],[Security Name]],Ref!X:Z,3,0)</f>
        <v>TPCPBL</v>
      </c>
      <c r="AK72" s="120" t="str">
        <f>VLOOKUP(Tradingbook_MSB[[#This Row],[Security Name]],Ref!X:Y,2,0)</f>
        <v>VDB</v>
      </c>
      <c r="AL72" s="71">
        <f>IF((Tradingbook_MSB[[#This Row],[Mat. Date]]-RPT)&lt;=0,0,Tradingbook_MSB[[#This Row],[QUANTITY]])</f>
        <v>0</v>
      </c>
      <c r="AM72" s="71">
        <f>IF(Tradingbook_MSB[[#This Row],[Quantity_edited]]=0,0,Tradingbook_MSB[[#This Row],[DURATION]])</f>
        <v>0</v>
      </c>
      <c r="AN72" s="71">
        <f>IF(Tradingbook_MSB[[#This Row],[Quantity_edited]]=0,0,Tradingbook_MSB[[#This Row],[Mod Dur]])</f>
        <v>0</v>
      </c>
      <c r="AO72" s="71">
        <f>IF(Tradingbook_MSB[[#This Row],[Quantity_edited]]=0,0,Tradingbook_MSB[[#This Row],[Cnvx.]])</f>
        <v>0</v>
      </c>
      <c r="AP72" s="71">
        <f>(Tradingbook_MSB[[#This Row],[MARKET_VALUE]]+Tradingbook_MSB[[#This Row],[Accr Int]]*Tradingbook_MSB[[#This Row],[Quantity_edited]])*(-Tradingbook_MSB[[#This Row],[Modified Duration]]*0.0001+0.5*Tradingbook_MSB[[#This Row],[Conv]]*(0.0001^2))</f>
        <v>0</v>
      </c>
      <c r="AQ72" s="72">
        <f>(Tradingbook_MSB[[#This Row],[MARKET_VALUE]]+Tradingbook_MSB[[#This Row],[Accr Int]]*Tradingbook_MSB[[#This Row],[Quantity_edited]])*(-Tradingbook_MSB[[#This Row],[Modified Duration]]*0.01+0.5*Tradingbook_MSB[[#This Row],[Conv]]*(0.01^2))</f>
        <v>0</v>
      </c>
      <c r="AR72" s="71"/>
      <c r="AT72" t="s">
        <v>166</v>
      </c>
      <c r="AU72" t="s">
        <v>167</v>
      </c>
      <c r="AV72" t="s">
        <v>436</v>
      </c>
      <c r="AW72" t="s">
        <v>169</v>
      </c>
      <c r="AX72" t="s">
        <v>3381</v>
      </c>
      <c r="AY72" t="s">
        <v>3322</v>
      </c>
      <c r="BB72" s="70">
        <v>0</v>
      </c>
      <c r="BC72">
        <v>0</v>
      </c>
      <c r="BD72">
        <v>0</v>
      </c>
      <c r="BE72" s="37">
        <v>0</v>
      </c>
      <c r="BF72">
        <v>11.3</v>
      </c>
      <c r="BG72">
        <v>0</v>
      </c>
      <c r="BH72" s="34">
        <v>135600000000</v>
      </c>
      <c r="BI72">
        <v>170358938111.11121</v>
      </c>
      <c r="BJ72">
        <v>-130364793200.83368</v>
      </c>
      <c r="BK72">
        <v>0</v>
      </c>
      <c r="BL72">
        <v>0</v>
      </c>
      <c r="BM72">
        <v>0</v>
      </c>
      <c r="BN72">
        <v>0</v>
      </c>
      <c r="BO72">
        <v>0</v>
      </c>
      <c r="BP72">
        <v>0</v>
      </c>
      <c r="BQ72">
        <v>0</v>
      </c>
      <c r="BR72">
        <v>-59529000000</v>
      </c>
      <c r="BS72">
        <v>0</v>
      </c>
      <c r="BT72">
        <v>-59529000000</v>
      </c>
      <c r="BU72">
        <v>-59529000000</v>
      </c>
      <c r="BV72">
        <v>-59529000000</v>
      </c>
      <c r="BW72">
        <v>-59529000000</v>
      </c>
      <c r="BX72">
        <v>0</v>
      </c>
      <c r="BY72" s="32">
        <f>Bankingbook_MSB[[#This Row],[Mat. Date]]-RPT</f>
        <v>-2263</v>
      </c>
      <c r="BZ72" s="71">
        <f>IF(Bankingbook_MSB[[#This Row],[Days]]&lt;=0,0,YEARFRAC(RPT,Bankingbook_MSB[[#This Row],[Mat. Date]],3))</f>
        <v>0</v>
      </c>
      <c r="CA72" s="71">
        <f>IF(Bankingbook_MSB[[#This Row],[Days (year)]]=0,0,INDEX(Ref!$K$2:$K$13,MATCH(Bankingbook_MSB[[#This Row],[Days (year)]],Ref!$I$2:$I$13,1)))</f>
        <v>0</v>
      </c>
      <c r="CB72" s="32" t="str">
        <f>VLOOKUP(Bankingbook_MSB[[#This Row],[Security Name]],Ref!X:Z,3,0)</f>
        <v>TPCP</v>
      </c>
      <c r="CC72" s="32" t="str">
        <f>VLOOKUP(Bankingbook_MSB[[#This Row],[Security Name]],Ref!X:Y,2,0)</f>
        <v>KBNN</v>
      </c>
      <c r="CD72" s="72">
        <f>IF((Bankingbook_MSB[[#This Row],[Mat. Date]]-RPT)&lt;=0,0,Bankingbook_MSB[[#This Row],[QUANTITY]])</f>
        <v>0</v>
      </c>
      <c r="CE72" s="71">
        <f>IF(Bankingbook_MSB[[#This Row],[Quantity_edited]]=0,0,Bankingbook_MSB[[#This Row],[DURATION]])</f>
        <v>0</v>
      </c>
      <c r="CF72" s="71">
        <f>IF(Bankingbook_MSB[[#This Row],[Quantity_edited]]=0,0,Bankingbook_MSB[[#This Row],[Mod Dur]])</f>
        <v>0</v>
      </c>
      <c r="CG72" s="71">
        <f>IF(Bankingbook_MSB[[#This Row],[Quantity_edited]]=0,0,Bankingbook_MSB[[#This Row],[Cnvx.]])</f>
        <v>0</v>
      </c>
      <c r="CH72" s="71">
        <f>(Bankingbook_MSB[[#This Row],[MARKET_VALUE]]+Bankingbook_MSB[[#This Row],[Accr Int]]*Bankingbook_MSB[[#This Row],[Quantity_edited]])*(-Bankingbook_MSB[[#This Row],[Modified Duration]]*0.0001+0.5*Bankingbook_MSB[[#This Row],[Conv]]*(0.0001^2))</f>
        <v>0</v>
      </c>
      <c r="CI72" s="71">
        <f>(Bankingbook_MSB[[#This Row],[MARKET_VALUE]]+Bankingbook_MSB[[#This Row],[Accr Int]]*Bankingbook_MSB[[#This Row],[Quantity_edited]])*(-Bankingbook_MSB[[#This Row],[Modified Duration]]*0.01+0.5*Bankingbook_MSB[[#This Row],[Conv]]*(0.01^2))</f>
        <v>0</v>
      </c>
      <c r="CJ72" s="32"/>
      <c r="CL72" t="s">
        <v>166</v>
      </c>
      <c r="CM72" t="s">
        <v>167</v>
      </c>
      <c r="CN72" t="s">
        <v>244</v>
      </c>
      <c r="CO72" t="s">
        <v>169</v>
      </c>
      <c r="CP72" s="35">
        <v>42244</v>
      </c>
      <c r="CQ72" t="s">
        <v>3322</v>
      </c>
      <c r="CR72" t="s">
        <v>174</v>
      </c>
      <c r="CS72" t="s">
        <v>174</v>
      </c>
      <c r="CT72" s="49">
        <v>0</v>
      </c>
      <c r="CU72">
        <v>0</v>
      </c>
      <c r="CV72">
        <v>0</v>
      </c>
      <c r="CW72" s="70">
        <v>0</v>
      </c>
      <c r="CX72">
        <v>7.9</v>
      </c>
      <c r="CY72">
        <v>0</v>
      </c>
      <c r="CZ72">
        <v>7900000000</v>
      </c>
      <c r="DA72">
        <v>8170414805.5555573</v>
      </c>
      <c r="DB72">
        <v>-3135958222.4999967</v>
      </c>
      <c r="DC72">
        <v>7.9</v>
      </c>
      <c r="DD72">
        <v>0</v>
      </c>
      <c r="DE72">
        <v>0</v>
      </c>
      <c r="DF72">
        <v>0</v>
      </c>
      <c r="DG72">
        <v>0</v>
      </c>
      <c r="DH72">
        <v>0</v>
      </c>
      <c r="DI72">
        <v>0</v>
      </c>
      <c r="DJ72" s="500">
        <v>3171000000</v>
      </c>
      <c r="DK72" s="500">
        <v>0</v>
      </c>
      <c r="DL72" s="37">
        <v>3171000000</v>
      </c>
      <c r="DM72" s="37">
        <v>3171000000</v>
      </c>
      <c r="DN72" s="37">
        <v>3171000000</v>
      </c>
      <c r="DO72" s="37">
        <v>3171000000</v>
      </c>
      <c r="DP72" s="32">
        <f>Tradingbook_SBV[[#This Row],[Mat. Date]]-RPT</f>
        <v>-4008</v>
      </c>
      <c r="DQ72" s="32">
        <f>IF(Tradingbook_SBV[[#This Row],[Days]]&lt;=0,0,YEARFRAC(RPT,Tradingbook_SBV[[#This Row],[Mat. Date]],3))</f>
        <v>0</v>
      </c>
      <c r="DR72" s="32">
        <f>IF(Tradingbook_SBV[[#This Row],[Days (year)]]=0,0,INDEX(Ref!$K$2:$K$13,MATCH(Tradingbook_SBV[[#This Row],[Days (year)]],Ref!$I$2:$I$13,1)))</f>
        <v>0</v>
      </c>
      <c r="DS72" s="32" t="str">
        <f>VLOOKUP(Tradingbook_SBV[[#This Row],[Security Name]],Ref!X:Z,3,0)</f>
        <v>TPCPBL</v>
      </c>
      <c r="DT72" s="32" t="str">
        <f>VLOOKUP(Tradingbook_SBV[[#This Row],[Security Name]],Ref!X:Y,2,0)</f>
        <v>VDB</v>
      </c>
      <c r="DU72" s="71">
        <f>IF((Tradingbook_SBV[[#This Row],[Mat. Date]]-RPT)&lt;=0,0,Tradingbook_SBV[[#This Row],[QUANTITY]])</f>
        <v>0</v>
      </c>
      <c r="DV72" s="71">
        <f>IF(Tradingbook_SBV[[#This Row],[Quantity_edited]]=0,0,Tradingbook_SBV[[#This Row],[DURATION]])</f>
        <v>0</v>
      </c>
      <c r="DW72" s="71">
        <f>IF(Tradingbook_SBV[[#This Row],[Quantity_edited]]=0,0,Tradingbook_SBV[[#This Row],[Mod Dur]])</f>
        <v>0</v>
      </c>
      <c r="DX72" s="71">
        <f>IF(Tradingbook_SBV[[#This Row],[Quantity_edited]]=0,0,Tradingbook_SBV[[#This Row],[Cnvx.]])</f>
        <v>0</v>
      </c>
      <c r="DY72" s="71">
        <f>(Tradingbook_SBV[[#This Row],[MARKET_VALUE]]+Tradingbook_SBV[[#This Row],[Accr Int]]*Tradingbook_SBV[[#This Row],[Quantity_edited]])*(-Tradingbook_SBV[[#This Row],[Modified Duration]]*0.0001+0.5*Tradingbook_SBV[[#This Row],[Conv]]*(0.0001^2))</f>
        <v>0</v>
      </c>
      <c r="DZ72" s="71">
        <f>(Tradingbook_SBV[[#This Row],[MARKET_VALUE]]+Tradingbook_SBV[[#This Row],[Accr Int]]*Tradingbook_SBV[[#This Row],[Quantity_edited]])*(-Tradingbook_SBV[[#This Row],[Modified Duration]]*0.01+0.5*Tradingbook_SBV[[#This Row],[Conv]]*(0.01^2))</f>
        <v>0</v>
      </c>
      <c r="EC72" t="s">
        <v>166</v>
      </c>
      <c r="ED72" t="s">
        <v>167</v>
      </c>
      <c r="EE72" t="s">
        <v>417</v>
      </c>
      <c r="EF72" t="s">
        <v>169</v>
      </c>
      <c r="EG72" s="35" t="s">
        <v>418</v>
      </c>
      <c r="EH72" t="s">
        <v>3322</v>
      </c>
      <c r="EK72" s="500">
        <v>0</v>
      </c>
      <c r="EL72" s="500">
        <v>0</v>
      </c>
      <c r="EM72" s="500">
        <v>0</v>
      </c>
      <c r="EN72" s="500">
        <v>0</v>
      </c>
      <c r="EO72">
        <v>5</v>
      </c>
      <c r="EP72">
        <v>0</v>
      </c>
      <c r="EQ72">
        <v>7500000000</v>
      </c>
      <c r="ER72">
        <v>8331468750.0000114</v>
      </c>
      <c r="ES72">
        <v>-7904061004.3055658</v>
      </c>
      <c r="ET72">
        <v>0</v>
      </c>
      <c r="EU72">
        <v>0</v>
      </c>
      <c r="EV72">
        <v>0</v>
      </c>
      <c r="EW72">
        <v>0</v>
      </c>
      <c r="EX72">
        <v>0</v>
      </c>
      <c r="EY72">
        <v>0</v>
      </c>
      <c r="EZ72">
        <v>0</v>
      </c>
      <c r="FA72">
        <v>1938000000</v>
      </c>
      <c r="FB72">
        <v>0</v>
      </c>
      <c r="FC72">
        <v>1938000000</v>
      </c>
      <c r="FD72">
        <v>1938000000</v>
      </c>
      <c r="FE72">
        <v>1938000000</v>
      </c>
      <c r="FF72">
        <v>1938000000</v>
      </c>
      <c r="FG72" s="32">
        <f>Bankingbook_SBV[[#This Row],[Mat. Date]]-RPT</f>
        <v>-2483</v>
      </c>
      <c r="FH72" s="32">
        <f>IF(Bankingbook_SBV[[#This Row],[Days]]&lt;=0,0,YEARFRAC(RPT,Bankingbook_SBV[[#This Row],[Mat. Date]],3))</f>
        <v>0</v>
      </c>
      <c r="FI72" s="32">
        <f>IF(Bankingbook_SBV[[#This Row],[Days (year)]]=0,0,INDEX(Ref!$K$2:$K$13,MATCH(Bankingbook_SBV[[#This Row],[Days (year)]],Ref!$I$2:$I$13,1)))</f>
        <v>0</v>
      </c>
      <c r="FJ72" s="32" t="str">
        <f>VLOOKUP(Bankingbook_SBV[[#This Row],[Security Name]],Ref!X:Z,3,0)</f>
        <v>TPCP</v>
      </c>
      <c r="FK72" s="32" t="str">
        <f>VLOOKUP(Bankingbook_SBV[[#This Row],[Security Name]],Ref!X:Y,2,0)</f>
        <v>KBNN</v>
      </c>
      <c r="FL72" s="72">
        <f>IF((Bankingbook_SBV[[#This Row],[Mat. Date]]-RPT)&lt;=0,0,Bankingbook_SBV[[#This Row],[QUANTITY]])</f>
        <v>0</v>
      </c>
      <c r="FM72" s="32">
        <f>IF(Bankingbook_SBV[[#This Row],[Quantity_edited]]=0,0,Bankingbook_SBV[[#This Row],[DURATION]])</f>
        <v>0</v>
      </c>
      <c r="FN72" s="32">
        <f>IF(Bankingbook_SBV[[#This Row],[Quantity_edited]]=0,0,Bankingbook_SBV[[#This Row],[Mod Dur]])</f>
        <v>0</v>
      </c>
      <c r="FO72" s="32">
        <f>IF(Bankingbook_SBV[[#This Row],[Quantity_edited]]=0,0,Bankingbook_SBV[[#This Row],[Cnvx.]])</f>
        <v>0</v>
      </c>
      <c r="FP72" s="32">
        <f>(Bankingbook_SBV[[#This Row],[MARKET_VALUE]]+Bankingbook_SBV[[#This Row],[Accr Int]]*Bankingbook_SBV[[#This Row],[Quantity_edited]])*(-Bankingbook_SBV[[#This Row],[Modified Duration]]*0.0001+0.5*Bankingbook_SBV[[#This Row],[Conv]]*(0.0001^2))</f>
        <v>0</v>
      </c>
      <c r="FQ72" s="32">
        <f>(Bankingbook_SBV[[#This Row],[MARKET_VALUE]]+Bankingbook_SBV[[#This Row],[Accr Int]]*Bankingbook_SBV[[#This Row],[Quantity_edited]])*(-Bankingbook_SBV[[#This Row],[Modified Duration]]*0.01+0.5*Bankingbook_SBV[[#This Row],[Conv]]*(0.01^2))</f>
        <v>0</v>
      </c>
      <c r="FT72" t="s">
        <v>166</v>
      </c>
      <c r="FU72" t="s">
        <v>790</v>
      </c>
      <c r="FV72" t="s">
        <v>4051</v>
      </c>
      <c r="FW72">
        <v>3327998</v>
      </c>
      <c r="FX72" s="502">
        <v>46239</v>
      </c>
      <c r="FY72" t="s">
        <v>2176</v>
      </c>
      <c r="FZ72" t="s">
        <v>812</v>
      </c>
      <c r="GA72" t="s">
        <v>3585</v>
      </c>
      <c r="GB72" t="s">
        <v>810</v>
      </c>
      <c r="GC72" t="s">
        <v>660</v>
      </c>
      <c r="GD72" s="500">
        <v>-359478000000</v>
      </c>
      <c r="GE72">
        <v>7.0000280000000004</v>
      </c>
      <c r="GF72" s="502">
        <v>46244</v>
      </c>
      <c r="GG72" s="502">
        <v>46336</v>
      </c>
      <c r="GH72">
        <v>4.5</v>
      </c>
      <c r="GI72" t="s">
        <v>811</v>
      </c>
      <c r="GJ72" t="s">
        <v>3321</v>
      </c>
      <c r="GK72" t="s">
        <v>3321</v>
      </c>
      <c r="GL72">
        <v>405411300</v>
      </c>
      <c r="GM72">
        <v>-354553643.83999997</v>
      </c>
      <c r="GN72">
        <v>389185200000</v>
      </c>
      <c r="GO72">
        <v>7.63</v>
      </c>
      <c r="GP72">
        <v>0.22</v>
      </c>
      <c r="GQ72">
        <v>0.23599999999999999</v>
      </c>
      <c r="GR72">
        <v>7.7529430000000001</v>
      </c>
      <c r="GS72">
        <v>-357235598389.40002</v>
      </c>
      <c r="GT72">
        <v>2242401610.5999999</v>
      </c>
      <c r="GU72" t="s">
        <v>4095</v>
      </c>
      <c r="GV72" t="s">
        <v>4095</v>
      </c>
      <c r="GW72" s="416">
        <f>FNRP_Repo[[#This Row],[Mat. Date]]-RPT</f>
        <v>84</v>
      </c>
      <c r="GX72" s="819" t="str">
        <f>IF(FNRP_Repo[[#This Row],[Days]]&lt;=0,"Mat",INDEX(Ref!U:U,MATCH(FNRP_Repo[[#This Row],[Days]],Ref!S:S,1)))</f>
        <v>3M</v>
      </c>
      <c r="GY72" s="417">
        <f>RIGHT(FNRP_Repo[[#This Row],[Deal Id]],5)+0</f>
        <v>18096</v>
      </c>
    </row>
    <row r="73" spans="2:207" x14ac:dyDescent="0.3">
      <c r="B73" t="s">
        <v>166</v>
      </c>
      <c r="C73" t="s">
        <v>167</v>
      </c>
      <c r="D73" t="s">
        <v>245</v>
      </c>
      <c r="E73" t="s">
        <v>169</v>
      </c>
      <c r="F73" s="502">
        <v>42247</v>
      </c>
      <c r="G73" t="s">
        <v>3322</v>
      </c>
      <c r="H73"/>
      <c r="I73"/>
      <c r="J73" s="38">
        <v>0</v>
      </c>
      <c r="K73">
        <v>0</v>
      </c>
      <c r="L73">
        <v>0</v>
      </c>
      <c r="M73" s="38">
        <v>0</v>
      </c>
      <c r="N73">
        <v>7.3</v>
      </c>
      <c r="O73">
        <v>0</v>
      </c>
      <c r="P73" s="37">
        <v>0</v>
      </c>
      <c r="Q73" s="37">
        <v>-6.0000000000000002E-6</v>
      </c>
      <c r="R73" s="37">
        <v>-1321986790.6111231</v>
      </c>
      <c r="S73">
        <v>7.3</v>
      </c>
      <c r="T73" s="70">
        <v>0</v>
      </c>
      <c r="U73">
        <v>0</v>
      </c>
      <c r="V73">
        <v>0</v>
      </c>
      <c r="W73">
        <v>0</v>
      </c>
      <c r="X73" s="38">
        <v>0</v>
      </c>
      <c r="Y73">
        <v>0</v>
      </c>
      <c r="Z73" s="70">
        <v>2154900000</v>
      </c>
      <c r="AA73" s="70">
        <v>0</v>
      </c>
      <c r="AB73" s="70">
        <v>2154900000</v>
      </c>
      <c r="AC73" s="70">
        <v>2154900000</v>
      </c>
      <c r="AD73" s="70">
        <v>2154900000</v>
      </c>
      <c r="AE73" s="70">
        <v>2154900000</v>
      </c>
      <c r="AF73">
        <v>0</v>
      </c>
      <c r="AG73" s="72">
        <f>Tradingbook_MSB[[#This Row],[Mat. Date]]-RPT</f>
        <v>-4005</v>
      </c>
      <c r="AH73" s="71">
        <f>IF(Tradingbook_MSB[[#This Row],[Days]]&lt;=0,0,YEARFRAC(RPT,Tradingbook_MSB[[#This Row],[Mat. Date]],3))</f>
        <v>0</v>
      </c>
      <c r="AI73" s="71">
        <f>IF(Tradingbook_MSB[[#This Row],[Days (year)]]=0,0,INDEX(Ref!$K$2:$K$13,MATCH(Tradingbook_MSB[[#This Row],[Days (year)]],Ref!$I$2:$I$13,1)))</f>
        <v>0</v>
      </c>
      <c r="AJ73" s="120" t="str">
        <f>VLOOKUP(Tradingbook_MSB[[#This Row],[Security Name]],Ref!X:Z,3,0)</f>
        <v>TPCP</v>
      </c>
      <c r="AK73" s="120" t="str">
        <f>VLOOKUP(Tradingbook_MSB[[#This Row],[Security Name]],Ref!X:Y,2,0)</f>
        <v>KBNN</v>
      </c>
      <c r="AL73" s="71">
        <f>IF((Tradingbook_MSB[[#This Row],[Mat. Date]]-RPT)&lt;=0,0,Tradingbook_MSB[[#This Row],[QUANTITY]])</f>
        <v>0</v>
      </c>
      <c r="AM73" s="71">
        <f>IF(Tradingbook_MSB[[#This Row],[Quantity_edited]]=0,0,Tradingbook_MSB[[#This Row],[DURATION]])</f>
        <v>0</v>
      </c>
      <c r="AN73" s="71">
        <f>IF(Tradingbook_MSB[[#This Row],[Quantity_edited]]=0,0,Tradingbook_MSB[[#This Row],[Mod Dur]])</f>
        <v>0</v>
      </c>
      <c r="AO73" s="71">
        <f>IF(Tradingbook_MSB[[#This Row],[Quantity_edited]]=0,0,Tradingbook_MSB[[#This Row],[Cnvx.]])</f>
        <v>0</v>
      </c>
      <c r="AP73" s="71">
        <f>(Tradingbook_MSB[[#This Row],[MARKET_VALUE]]+Tradingbook_MSB[[#This Row],[Accr Int]]*Tradingbook_MSB[[#This Row],[Quantity_edited]])*(-Tradingbook_MSB[[#This Row],[Modified Duration]]*0.0001+0.5*Tradingbook_MSB[[#This Row],[Conv]]*(0.0001^2))</f>
        <v>0</v>
      </c>
      <c r="AQ73" s="72">
        <f>(Tradingbook_MSB[[#This Row],[MARKET_VALUE]]+Tradingbook_MSB[[#This Row],[Accr Int]]*Tradingbook_MSB[[#This Row],[Quantity_edited]])*(-Tradingbook_MSB[[#This Row],[Modified Duration]]*0.01+0.5*Tradingbook_MSB[[#This Row],[Conv]]*(0.01^2))</f>
        <v>0</v>
      </c>
      <c r="AR73" s="71"/>
      <c r="AT73" t="s">
        <v>166</v>
      </c>
      <c r="AU73" t="s">
        <v>167</v>
      </c>
      <c r="AV73" t="s">
        <v>440</v>
      </c>
      <c r="AW73" t="s">
        <v>169</v>
      </c>
      <c r="AX73" t="s">
        <v>441</v>
      </c>
      <c r="AY73" t="s">
        <v>3322</v>
      </c>
      <c r="BB73" s="70">
        <v>0</v>
      </c>
      <c r="BC73">
        <v>0</v>
      </c>
      <c r="BD73">
        <v>0</v>
      </c>
      <c r="BE73" s="37">
        <v>0</v>
      </c>
      <c r="BF73">
        <v>10.8</v>
      </c>
      <c r="BG73">
        <v>0</v>
      </c>
      <c r="BH73" s="34">
        <v>124552080000</v>
      </c>
      <c r="BI73">
        <v>144390418155.8999</v>
      </c>
      <c r="BJ73">
        <v>-45428532432.186462</v>
      </c>
      <c r="BK73">
        <v>0</v>
      </c>
      <c r="BL73">
        <v>0</v>
      </c>
      <c r="BM73">
        <v>0</v>
      </c>
      <c r="BN73">
        <v>0</v>
      </c>
      <c r="BO73">
        <v>0</v>
      </c>
      <c r="BP73">
        <v>0</v>
      </c>
      <c r="BQ73">
        <v>0</v>
      </c>
      <c r="BR73">
        <v>17284439800</v>
      </c>
      <c r="BS73">
        <v>0</v>
      </c>
      <c r="BT73">
        <v>17284439800</v>
      </c>
      <c r="BU73">
        <v>17284439800</v>
      </c>
      <c r="BV73">
        <v>17284439800</v>
      </c>
      <c r="BW73">
        <v>17284439800</v>
      </c>
      <c r="BX73">
        <v>0</v>
      </c>
      <c r="BY73" s="32">
        <f>Bankingbook_MSB[[#This Row],[Mat. Date]]-RPT</f>
        <v>-2130</v>
      </c>
      <c r="BZ73" s="71">
        <f>IF(Bankingbook_MSB[[#This Row],[Days]]&lt;=0,0,YEARFRAC(RPT,Bankingbook_MSB[[#This Row],[Mat. Date]],3))</f>
        <v>0</v>
      </c>
      <c r="CA73" s="71">
        <f>IF(Bankingbook_MSB[[#This Row],[Days (year)]]=0,0,INDEX(Ref!$K$2:$K$13,MATCH(Bankingbook_MSB[[#This Row],[Days (year)]],Ref!$I$2:$I$13,1)))</f>
        <v>0</v>
      </c>
      <c r="CB73" s="32" t="str">
        <f>VLOOKUP(Bankingbook_MSB[[#This Row],[Security Name]],Ref!X:Z,3,0)</f>
        <v>TPCP</v>
      </c>
      <c r="CC73" s="32" t="str">
        <f>VLOOKUP(Bankingbook_MSB[[#This Row],[Security Name]],Ref!X:Y,2,0)</f>
        <v>KBNN</v>
      </c>
      <c r="CD73" s="72">
        <f>IF((Bankingbook_MSB[[#This Row],[Mat. Date]]-RPT)&lt;=0,0,Bankingbook_MSB[[#This Row],[QUANTITY]])</f>
        <v>0</v>
      </c>
      <c r="CE73" s="71">
        <f>IF(Bankingbook_MSB[[#This Row],[Quantity_edited]]=0,0,Bankingbook_MSB[[#This Row],[DURATION]])</f>
        <v>0</v>
      </c>
      <c r="CF73" s="71">
        <f>IF(Bankingbook_MSB[[#This Row],[Quantity_edited]]=0,0,Bankingbook_MSB[[#This Row],[Mod Dur]])</f>
        <v>0</v>
      </c>
      <c r="CG73" s="71">
        <f>IF(Bankingbook_MSB[[#This Row],[Quantity_edited]]=0,0,Bankingbook_MSB[[#This Row],[Cnvx.]])</f>
        <v>0</v>
      </c>
      <c r="CH73" s="71">
        <f>(Bankingbook_MSB[[#This Row],[MARKET_VALUE]]+Bankingbook_MSB[[#This Row],[Accr Int]]*Bankingbook_MSB[[#This Row],[Quantity_edited]])*(-Bankingbook_MSB[[#This Row],[Modified Duration]]*0.0001+0.5*Bankingbook_MSB[[#This Row],[Conv]]*(0.0001^2))</f>
        <v>0</v>
      </c>
      <c r="CI73" s="71">
        <f>(Bankingbook_MSB[[#This Row],[MARKET_VALUE]]+Bankingbook_MSB[[#This Row],[Accr Int]]*Bankingbook_MSB[[#This Row],[Quantity_edited]])*(-Bankingbook_MSB[[#This Row],[Modified Duration]]*0.01+0.5*Bankingbook_MSB[[#This Row],[Conv]]*(0.01^2))</f>
        <v>0</v>
      </c>
      <c r="CJ73" s="32"/>
      <c r="CL73" t="s">
        <v>166</v>
      </c>
      <c r="CM73" t="s">
        <v>167</v>
      </c>
      <c r="CN73" t="s">
        <v>245</v>
      </c>
      <c r="CO73" t="s">
        <v>169</v>
      </c>
      <c r="CP73" s="35">
        <v>42247</v>
      </c>
      <c r="CQ73" t="s">
        <v>3322</v>
      </c>
      <c r="CR73" t="s">
        <v>174</v>
      </c>
      <c r="CS73" t="s">
        <v>174</v>
      </c>
      <c r="CT73" s="49">
        <v>0</v>
      </c>
      <c r="CU73">
        <v>0</v>
      </c>
      <c r="CV73">
        <v>0</v>
      </c>
      <c r="CW73" s="70">
        <v>0</v>
      </c>
      <c r="CX73">
        <v>7.3</v>
      </c>
      <c r="CY73">
        <v>0</v>
      </c>
      <c r="CZ73">
        <v>0</v>
      </c>
      <c r="DA73">
        <v>-6.0000000000000002E-6</v>
      </c>
      <c r="DB73">
        <v>-1321986790.6111231</v>
      </c>
      <c r="DC73">
        <v>7.3</v>
      </c>
      <c r="DD73">
        <v>0</v>
      </c>
      <c r="DE73">
        <v>0</v>
      </c>
      <c r="DF73">
        <v>0</v>
      </c>
      <c r="DG73">
        <v>0</v>
      </c>
      <c r="DH73">
        <v>0</v>
      </c>
      <c r="DI73">
        <v>0</v>
      </c>
      <c r="DJ73" s="500">
        <v>2154900000</v>
      </c>
      <c r="DK73" s="500">
        <v>0</v>
      </c>
      <c r="DL73" s="37">
        <v>2154900000</v>
      </c>
      <c r="DM73" s="37">
        <v>2154900000</v>
      </c>
      <c r="DN73" s="37">
        <v>2154900000</v>
      </c>
      <c r="DO73" s="37">
        <v>2154900000</v>
      </c>
      <c r="DP73" s="32">
        <f>Tradingbook_SBV[[#This Row],[Mat. Date]]-RPT</f>
        <v>-4005</v>
      </c>
      <c r="DQ73" s="32">
        <f>IF(Tradingbook_SBV[[#This Row],[Days]]&lt;=0,0,YEARFRAC(RPT,Tradingbook_SBV[[#This Row],[Mat. Date]],3))</f>
        <v>0</v>
      </c>
      <c r="DR73" s="32">
        <f>IF(Tradingbook_SBV[[#This Row],[Days (year)]]=0,0,INDEX(Ref!$K$2:$K$13,MATCH(Tradingbook_SBV[[#This Row],[Days (year)]],Ref!$I$2:$I$13,1)))</f>
        <v>0</v>
      </c>
      <c r="DS73" s="32" t="str">
        <f>VLOOKUP(Tradingbook_SBV[[#This Row],[Security Name]],Ref!X:Z,3,0)</f>
        <v>TPCP</v>
      </c>
      <c r="DT73" s="32" t="str">
        <f>VLOOKUP(Tradingbook_SBV[[#This Row],[Security Name]],Ref!X:Y,2,0)</f>
        <v>KBNN</v>
      </c>
      <c r="DU73" s="71">
        <f>IF((Tradingbook_SBV[[#This Row],[Mat. Date]]-RPT)&lt;=0,0,Tradingbook_SBV[[#This Row],[QUANTITY]])</f>
        <v>0</v>
      </c>
      <c r="DV73" s="71">
        <f>IF(Tradingbook_SBV[[#This Row],[Quantity_edited]]=0,0,Tradingbook_SBV[[#This Row],[DURATION]])</f>
        <v>0</v>
      </c>
      <c r="DW73" s="71">
        <f>IF(Tradingbook_SBV[[#This Row],[Quantity_edited]]=0,0,Tradingbook_SBV[[#This Row],[Mod Dur]])</f>
        <v>0</v>
      </c>
      <c r="DX73" s="71">
        <f>IF(Tradingbook_SBV[[#This Row],[Quantity_edited]]=0,0,Tradingbook_SBV[[#This Row],[Cnvx.]])</f>
        <v>0</v>
      </c>
      <c r="DY73" s="71">
        <f>(Tradingbook_SBV[[#This Row],[MARKET_VALUE]]+Tradingbook_SBV[[#This Row],[Accr Int]]*Tradingbook_SBV[[#This Row],[Quantity_edited]])*(-Tradingbook_SBV[[#This Row],[Modified Duration]]*0.0001+0.5*Tradingbook_SBV[[#This Row],[Conv]]*(0.0001^2))</f>
        <v>0</v>
      </c>
      <c r="DZ73" s="71">
        <f>(Tradingbook_SBV[[#This Row],[MARKET_VALUE]]+Tradingbook_SBV[[#This Row],[Accr Int]]*Tradingbook_SBV[[#This Row],[Quantity_edited]])*(-Tradingbook_SBV[[#This Row],[Modified Duration]]*0.01+0.5*Tradingbook_SBV[[#This Row],[Conv]]*(0.01^2))</f>
        <v>0</v>
      </c>
      <c r="EC73" t="s">
        <v>166</v>
      </c>
      <c r="ED73" t="s">
        <v>167</v>
      </c>
      <c r="EE73" t="s">
        <v>422</v>
      </c>
      <c r="EF73" t="s">
        <v>169</v>
      </c>
      <c r="EG73" s="35" t="s">
        <v>3729</v>
      </c>
      <c r="EH73" t="s">
        <v>3322</v>
      </c>
      <c r="EK73" s="500">
        <v>0</v>
      </c>
      <c r="EL73" s="500">
        <v>0</v>
      </c>
      <c r="EM73" s="500">
        <v>0</v>
      </c>
      <c r="EN73" s="500">
        <v>0</v>
      </c>
      <c r="EO73">
        <v>6</v>
      </c>
      <c r="EP73">
        <v>0</v>
      </c>
      <c r="EQ73">
        <v>0</v>
      </c>
      <c r="ER73">
        <v>0</v>
      </c>
      <c r="ES73">
        <v>-147662881.95833409</v>
      </c>
      <c r="ET73">
        <v>0</v>
      </c>
      <c r="EU73">
        <v>0</v>
      </c>
      <c r="EV73">
        <v>0</v>
      </c>
      <c r="EW73">
        <v>0</v>
      </c>
      <c r="EX73">
        <v>0</v>
      </c>
      <c r="EY73">
        <v>0</v>
      </c>
      <c r="EZ73">
        <v>0</v>
      </c>
      <c r="FA73">
        <v>-21180000</v>
      </c>
      <c r="FB73">
        <v>0</v>
      </c>
      <c r="FC73">
        <v>-21180000</v>
      </c>
      <c r="FD73">
        <v>-21180000</v>
      </c>
      <c r="FE73">
        <v>-21180000</v>
      </c>
      <c r="FF73">
        <v>-21180000</v>
      </c>
      <c r="FG73" s="32">
        <f>Bankingbook_SBV[[#This Row],[Mat. Date]]-RPT</f>
        <v>-2407</v>
      </c>
      <c r="FH73" s="32">
        <f>IF(Bankingbook_SBV[[#This Row],[Days]]&lt;=0,0,YEARFRAC(RPT,Bankingbook_SBV[[#This Row],[Mat. Date]],3))</f>
        <v>0</v>
      </c>
      <c r="FI73" s="32">
        <f>IF(Bankingbook_SBV[[#This Row],[Days (year)]]=0,0,INDEX(Ref!$K$2:$K$13,MATCH(Bankingbook_SBV[[#This Row],[Days (year)]],Ref!$I$2:$I$13,1)))</f>
        <v>0</v>
      </c>
      <c r="FJ73" s="32" t="str">
        <f>VLOOKUP(Bankingbook_SBV[[#This Row],[Security Name]],Ref!X:Z,3,0)</f>
        <v>TPCP</v>
      </c>
      <c r="FK73" s="32" t="str">
        <f>VLOOKUP(Bankingbook_SBV[[#This Row],[Security Name]],Ref!X:Y,2,0)</f>
        <v>KBNN</v>
      </c>
      <c r="FL73" s="72">
        <f>IF((Bankingbook_SBV[[#This Row],[Mat. Date]]-RPT)&lt;=0,0,Bankingbook_SBV[[#This Row],[QUANTITY]])</f>
        <v>0</v>
      </c>
      <c r="FM73" s="32">
        <f>IF(Bankingbook_SBV[[#This Row],[Quantity_edited]]=0,0,Bankingbook_SBV[[#This Row],[DURATION]])</f>
        <v>0</v>
      </c>
      <c r="FN73" s="32">
        <f>IF(Bankingbook_SBV[[#This Row],[Quantity_edited]]=0,0,Bankingbook_SBV[[#This Row],[Mod Dur]])</f>
        <v>0</v>
      </c>
      <c r="FO73" s="32">
        <f>IF(Bankingbook_SBV[[#This Row],[Quantity_edited]]=0,0,Bankingbook_SBV[[#This Row],[Cnvx.]])</f>
        <v>0</v>
      </c>
      <c r="FP73" s="32">
        <f>(Bankingbook_SBV[[#This Row],[MARKET_VALUE]]+Bankingbook_SBV[[#This Row],[Accr Int]]*Bankingbook_SBV[[#This Row],[Quantity_edited]])*(-Bankingbook_SBV[[#This Row],[Modified Duration]]*0.0001+0.5*Bankingbook_SBV[[#This Row],[Conv]]*(0.0001^2))</f>
        <v>0</v>
      </c>
      <c r="FQ73" s="32">
        <f>(Bankingbook_SBV[[#This Row],[MARKET_VALUE]]+Bankingbook_SBV[[#This Row],[Accr Int]]*Bankingbook_SBV[[#This Row],[Quantity_edited]])*(-Bankingbook_SBV[[#This Row],[Modified Duration]]*0.01+0.5*Bankingbook_SBV[[#This Row],[Conv]]*(0.01^2))</f>
        <v>0</v>
      </c>
      <c r="FT73" t="s">
        <v>166</v>
      </c>
      <c r="FU73" t="s">
        <v>790</v>
      </c>
      <c r="FV73" t="s">
        <v>4058</v>
      </c>
      <c r="FW73">
        <v>3331704</v>
      </c>
      <c r="FX73" s="502">
        <v>46244</v>
      </c>
      <c r="FY73" t="s">
        <v>2176</v>
      </c>
      <c r="FZ73" t="s">
        <v>812</v>
      </c>
      <c r="GA73" t="s">
        <v>3585</v>
      </c>
      <c r="GB73" t="s">
        <v>810</v>
      </c>
      <c r="GC73" t="s">
        <v>702</v>
      </c>
      <c r="GD73" s="500">
        <v>-37008000000</v>
      </c>
      <c r="GE73">
        <v>10</v>
      </c>
      <c r="GF73" s="502">
        <v>46246</v>
      </c>
      <c r="GG73" s="502">
        <v>46338</v>
      </c>
      <c r="GH73">
        <v>4.5</v>
      </c>
      <c r="GI73" t="s">
        <v>811</v>
      </c>
      <c r="GJ73" t="s">
        <v>3321</v>
      </c>
      <c r="GK73" t="s">
        <v>3321</v>
      </c>
      <c r="GL73">
        <v>30017600</v>
      </c>
      <c r="GM73">
        <v>-27375780.82</v>
      </c>
      <c r="GN73">
        <v>41512500000</v>
      </c>
      <c r="GO73">
        <v>10.85</v>
      </c>
      <c r="GP73">
        <v>0.23</v>
      </c>
      <c r="GQ73">
        <v>0.24199999999999999</v>
      </c>
      <c r="GR73">
        <v>7.7822380000000004</v>
      </c>
      <c r="GS73">
        <v>-36759361754.279999</v>
      </c>
      <c r="GT73">
        <v>248638245.72</v>
      </c>
      <c r="GU73" t="s">
        <v>4108</v>
      </c>
      <c r="GV73" t="s">
        <v>4108</v>
      </c>
      <c r="GW73" s="416">
        <f>FNRP_Repo[[#This Row],[Mat. Date]]-RPT</f>
        <v>86</v>
      </c>
      <c r="GX73" s="819" t="str">
        <f>IF(FNRP_Repo[[#This Row],[Days]]&lt;=0,"Mat",INDEX(Ref!U:U,MATCH(FNRP_Repo[[#This Row],[Days]],Ref!S:S,1)))</f>
        <v>3M</v>
      </c>
      <c r="GY73" s="417">
        <f>RIGHT(FNRP_Repo[[#This Row],[Deal Id]],5)+0</f>
        <v>18107</v>
      </c>
    </row>
    <row r="74" spans="2:207" x14ac:dyDescent="0.3">
      <c r="B74" t="s">
        <v>166</v>
      </c>
      <c r="C74" t="s">
        <v>167</v>
      </c>
      <c r="D74" t="s">
        <v>246</v>
      </c>
      <c r="E74" t="s">
        <v>169</v>
      </c>
      <c r="F74" s="502">
        <v>42256</v>
      </c>
      <c r="G74" t="s">
        <v>3322</v>
      </c>
      <c r="H74"/>
      <c r="I74"/>
      <c r="J74" s="38">
        <v>0</v>
      </c>
      <c r="K74">
        <v>0</v>
      </c>
      <c r="L74">
        <v>0</v>
      </c>
      <c r="M74" s="38">
        <v>0</v>
      </c>
      <c r="N74">
        <v>10.4</v>
      </c>
      <c r="O74">
        <v>0</v>
      </c>
      <c r="P74" s="37">
        <v>5200000000</v>
      </c>
      <c r="Q74" s="37">
        <v>5537923444.4444427</v>
      </c>
      <c r="R74" s="37">
        <v>-859440873.55746126</v>
      </c>
      <c r="S74">
        <v>10.4</v>
      </c>
      <c r="T74" s="70">
        <v>0</v>
      </c>
      <c r="U74">
        <v>0</v>
      </c>
      <c r="V74">
        <v>0</v>
      </c>
      <c r="W74">
        <v>0</v>
      </c>
      <c r="X74" s="38">
        <v>0</v>
      </c>
      <c r="Y74">
        <v>0</v>
      </c>
      <c r="Z74" s="70">
        <v>1352220200</v>
      </c>
      <c r="AA74" s="70">
        <v>0</v>
      </c>
      <c r="AB74" s="70">
        <v>1352220200</v>
      </c>
      <c r="AC74" s="70">
        <v>1352220200</v>
      </c>
      <c r="AD74" s="70">
        <v>1352220200</v>
      </c>
      <c r="AE74" s="70">
        <v>1352220200</v>
      </c>
      <c r="AF74">
        <v>0</v>
      </c>
      <c r="AG74" s="72">
        <f>Tradingbook_MSB[[#This Row],[Mat. Date]]-RPT</f>
        <v>-3996</v>
      </c>
      <c r="AH74" s="71">
        <f>IF(Tradingbook_MSB[[#This Row],[Days]]&lt;=0,0,YEARFRAC(RPT,Tradingbook_MSB[[#This Row],[Mat. Date]],3))</f>
        <v>0</v>
      </c>
      <c r="AI74" s="71">
        <f>IF(Tradingbook_MSB[[#This Row],[Days (year)]]=0,0,INDEX(Ref!$K$2:$K$13,MATCH(Tradingbook_MSB[[#This Row],[Days (year)]],Ref!$I$2:$I$13,1)))</f>
        <v>0</v>
      </c>
      <c r="AJ74" s="120" t="str">
        <f>VLOOKUP(Tradingbook_MSB[[#This Row],[Security Name]],Ref!X:Z,3,0)</f>
        <v>TPCP</v>
      </c>
      <c r="AK74" s="120" t="str">
        <f>VLOOKUP(Tradingbook_MSB[[#This Row],[Security Name]],Ref!X:Y,2,0)</f>
        <v>KBNN</v>
      </c>
      <c r="AL74" s="71">
        <f>IF((Tradingbook_MSB[[#This Row],[Mat. Date]]-RPT)&lt;=0,0,Tradingbook_MSB[[#This Row],[QUANTITY]])</f>
        <v>0</v>
      </c>
      <c r="AM74" s="71">
        <f>IF(Tradingbook_MSB[[#This Row],[Quantity_edited]]=0,0,Tradingbook_MSB[[#This Row],[DURATION]])</f>
        <v>0</v>
      </c>
      <c r="AN74" s="71">
        <f>IF(Tradingbook_MSB[[#This Row],[Quantity_edited]]=0,0,Tradingbook_MSB[[#This Row],[Mod Dur]])</f>
        <v>0</v>
      </c>
      <c r="AO74" s="71">
        <f>IF(Tradingbook_MSB[[#This Row],[Quantity_edited]]=0,0,Tradingbook_MSB[[#This Row],[Cnvx.]])</f>
        <v>0</v>
      </c>
      <c r="AP74" s="71">
        <f>(Tradingbook_MSB[[#This Row],[MARKET_VALUE]]+Tradingbook_MSB[[#This Row],[Accr Int]]*Tradingbook_MSB[[#This Row],[Quantity_edited]])*(-Tradingbook_MSB[[#This Row],[Modified Duration]]*0.0001+0.5*Tradingbook_MSB[[#This Row],[Conv]]*(0.0001^2))</f>
        <v>0</v>
      </c>
      <c r="AQ74" s="72">
        <f>(Tradingbook_MSB[[#This Row],[MARKET_VALUE]]+Tradingbook_MSB[[#This Row],[Accr Int]]*Tradingbook_MSB[[#This Row],[Quantity_edited]])*(-Tradingbook_MSB[[#This Row],[Modified Duration]]*0.01+0.5*Tradingbook_MSB[[#This Row],[Conv]]*(0.01^2))</f>
        <v>0</v>
      </c>
      <c r="AR74" s="71"/>
      <c r="AT74" t="s">
        <v>166</v>
      </c>
      <c r="AU74" t="s">
        <v>167</v>
      </c>
      <c r="AV74" t="s">
        <v>444</v>
      </c>
      <c r="AW74" t="s">
        <v>169</v>
      </c>
      <c r="AX74" t="s">
        <v>445</v>
      </c>
      <c r="AY74" t="s">
        <v>3322</v>
      </c>
      <c r="BB74" s="70">
        <v>0</v>
      </c>
      <c r="BC74">
        <v>0</v>
      </c>
      <c r="BD74">
        <v>0</v>
      </c>
      <c r="BE74" s="37">
        <v>0</v>
      </c>
      <c r="BF74">
        <v>7.3</v>
      </c>
      <c r="BG74">
        <v>0</v>
      </c>
      <c r="BH74" s="126">
        <v>21900000000</v>
      </c>
      <c r="BI74">
        <v>23191309166.666672</v>
      </c>
      <c r="BJ74">
        <v>-6639451862.500082</v>
      </c>
      <c r="BK74">
        <v>0</v>
      </c>
      <c r="BL74">
        <v>0</v>
      </c>
      <c r="BM74">
        <v>0</v>
      </c>
      <c r="BN74">
        <v>0</v>
      </c>
      <c r="BO74">
        <v>0</v>
      </c>
      <c r="BP74">
        <v>0</v>
      </c>
      <c r="BQ74">
        <v>0</v>
      </c>
      <c r="BR74">
        <v>-1880000000</v>
      </c>
      <c r="BS74">
        <v>0</v>
      </c>
      <c r="BT74">
        <v>-1880000000</v>
      </c>
      <c r="BU74">
        <v>-1880000000</v>
      </c>
      <c r="BV74">
        <v>-1880000000</v>
      </c>
      <c r="BW74">
        <v>-1880000000</v>
      </c>
      <c r="BX74">
        <v>0</v>
      </c>
      <c r="BY74" s="32">
        <f>Bankingbook_MSB[[#This Row],[Mat. Date]]-RPT</f>
        <v>-2118</v>
      </c>
      <c r="BZ74" s="71">
        <f>IF(Bankingbook_MSB[[#This Row],[Days]]&lt;=0,0,YEARFRAC(RPT,Bankingbook_MSB[[#This Row],[Mat. Date]],3))</f>
        <v>0</v>
      </c>
      <c r="CA74" s="71">
        <f>IF(Bankingbook_MSB[[#This Row],[Days (year)]]=0,0,INDEX(Ref!$K$2:$K$13,MATCH(Bankingbook_MSB[[#This Row],[Days (year)]],Ref!$I$2:$I$13,1)))</f>
        <v>0</v>
      </c>
      <c r="CB74" s="32" t="str">
        <f>VLOOKUP(Bankingbook_MSB[[#This Row],[Security Name]],Ref!X:Z,3,0)</f>
        <v>TPCPBL</v>
      </c>
      <c r="CC74" s="32" t="str">
        <f>VLOOKUP(Bankingbook_MSB[[#This Row],[Security Name]],Ref!X:Y,2,0)</f>
        <v>VDB</v>
      </c>
      <c r="CD74" s="72">
        <f>IF((Bankingbook_MSB[[#This Row],[Mat. Date]]-RPT)&lt;=0,0,Bankingbook_MSB[[#This Row],[QUANTITY]])</f>
        <v>0</v>
      </c>
      <c r="CE74" s="71">
        <f>IF(Bankingbook_MSB[[#This Row],[Quantity_edited]]=0,0,Bankingbook_MSB[[#This Row],[DURATION]])</f>
        <v>0</v>
      </c>
      <c r="CF74" s="71">
        <f>IF(Bankingbook_MSB[[#This Row],[Quantity_edited]]=0,0,Bankingbook_MSB[[#This Row],[Mod Dur]])</f>
        <v>0</v>
      </c>
      <c r="CG74" s="71">
        <f>IF(Bankingbook_MSB[[#This Row],[Quantity_edited]]=0,0,Bankingbook_MSB[[#This Row],[Cnvx.]])</f>
        <v>0</v>
      </c>
      <c r="CH74" s="71">
        <f>(Bankingbook_MSB[[#This Row],[MARKET_VALUE]]+Bankingbook_MSB[[#This Row],[Accr Int]]*Bankingbook_MSB[[#This Row],[Quantity_edited]])*(-Bankingbook_MSB[[#This Row],[Modified Duration]]*0.0001+0.5*Bankingbook_MSB[[#This Row],[Conv]]*(0.0001^2))</f>
        <v>0</v>
      </c>
      <c r="CI74" s="71">
        <f>(Bankingbook_MSB[[#This Row],[MARKET_VALUE]]+Bankingbook_MSB[[#This Row],[Accr Int]]*Bankingbook_MSB[[#This Row],[Quantity_edited]])*(-Bankingbook_MSB[[#This Row],[Modified Duration]]*0.01+0.5*Bankingbook_MSB[[#This Row],[Conv]]*(0.01^2))</f>
        <v>0</v>
      </c>
      <c r="CJ74" s="32"/>
      <c r="CL74" t="s">
        <v>166</v>
      </c>
      <c r="CM74" t="s">
        <v>167</v>
      </c>
      <c r="CN74" t="s">
        <v>246</v>
      </c>
      <c r="CO74" t="s">
        <v>169</v>
      </c>
      <c r="CP74" s="35">
        <v>42256</v>
      </c>
      <c r="CQ74" t="s">
        <v>3322</v>
      </c>
      <c r="CR74" t="s">
        <v>174</v>
      </c>
      <c r="CS74" t="s">
        <v>174</v>
      </c>
      <c r="CT74" s="49">
        <v>0</v>
      </c>
      <c r="CU74">
        <v>0</v>
      </c>
      <c r="CV74">
        <v>0</v>
      </c>
      <c r="CW74" s="70">
        <v>0</v>
      </c>
      <c r="CX74">
        <v>10.4</v>
      </c>
      <c r="CY74">
        <v>0</v>
      </c>
      <c r="CZ74">
        <v>5200000000</v>
      </c>
      <c r="DA74">
        <v>5537923444.4444427</v>
      </c>
      <c r="DB74">
        <v>-859440873.55746126</v>
      </c>
      <c r="DC74">
        <v>10.4</v>
      </c>
      <c r="DD74">
        <v>0</v>
      </c>
      <c r="DE74">
        <v>0</v>
      </c>
      <c r="DF74">
        <v>0</v>
      </c>
      <c r="DG74">
        <v>0</v>
      </c>
      <c r="DH74">
        <v>0</v>
      </c>
      <c r="DI74">
        <v>0</v>
      </c>
      <c r="DJ74" s="500">
        <v>1352220200</v>
      </c>
      <c r="DK74" s="500">
        <v>0</v>
      </c>
      <c r="DL74" s="37">
        <v>1352220200</v>
      </c>
      <c r="DM74" s="37">
        <v>1352220200</v>
      </c>
      <c r="DN74" s="37">
        <v>1352220200</v>
      </c>
      <c r="DO74" s="37">
        <v>1352220200</v>
      </c>
      <c r="DP74" s="32">
        <f>Tradingbook_SBV[[#This Row],[Mat. Date]]-RPT</f>
        <v>-3996</v>
      </c>
      <c r="DQ74" s="32">
        <f>IF(Tradingbook_SBV[[#This Row],[Days]]&lt;=0,0,YEARFRAC(RPT,Tradingbook_SBV[[#This Row],[Mat. Date]],3))</f>
        <v>0</v>
      </c>
      <c r="DR74" s="32">
        <f>IF(Tradingbook_SBV[[#This Row],[Days (year)]]=0,0,INDEX(Ref!$K$2:$K$13,MATCH(Tradingbook_SBV[[#This Row],[Days (year)]],Ref!$I$2:$I$13,1)))</f>
        <v>0</v>
      </c>
      <c r="DS74" s="32" t="str">
        <f>VLOOKUP(Tradingbook_SBV[[#This Row],[Security Name]],Ref!X:Z,3,0)</f>
        <v>TPCP</v>
      </c>
      <c r="DT74" s="32" t="str">
        <f>VLOOKUP(Tradingbook_SBV[[#This Row],[Security Name]],Ref!X:Y,2,0)</f>
        <v>KBNN</v>
      </c>
      <c r="DU74" s="71">
        <f>IF((Tradingbook_SBV[[#This Row],[Mat. Date]]-RPT)&lt;=0,0,Tradingbook_SBV[[#This Row],[QUANTITY]])</f>
        <v>0</v>
      </c>
      <c r="DV74" s="71">
        <f>IF(Tradingbook_SBV[[#This Row],[Quantity_edited]]=0,0,Tradingbook_SBV[[#This Row],[DURATION]])</f>
        <v>0</v>
      </c>
      <c r="DW74" s="71">
        <f>IF(Tradingbook_SBV[[#This Row],[Quantity_edited]]=0,0,Tradingbook_SBV[[#This Row],[Mod Dur]])</f>
        <v>0</v>
      </c>
      <c r="DX74" s="71">
        <f>IF(Tradingbook_SBV[[#This Row],[Quantity_edited]]=0,0,Tradingbook_SBV[[#This Row],[Cnvx.]])</f>
        <v>0</v>
      </c>
      <c r="DY74" s="71">
        <f>(Tradingbook_SBV[[#This Row],[MARKET_VALUE]]+Tradingbook_SBV[[#This Row],[Accr Int]]*Tradingbook_SBV[[#This Row],[Quantity_edited]])*(-Tradingbook_SBV[[#This Row],[Modified Duration]]*0.0001+0.5*Tradingbook_SBV[[#This Row],[Conv]]*(0.0001^2))</f>
        <v>0</v>
      </c>
      <c r="DZ74" s="71">
        <f>(Tradingbook_SBV[[#This Row],[MARKET_VALUE]]+Tradingbook_SBV[[#This Row],[Accr Int]]*Tradingbook_SBV[[#This Row],[Quantity_edited]])*(-Tradingbook_SBV[[#This Row],[Modified Duration]]*0.01+0.5*Tradingbook_SBV[[#This Row],[Conv]]*(0.01^2))</f>
        <v>0</v>
      </c>
      <c r="EC74" t="s">
        <v>166</v>
      </c>
      <c r="ED74" t="s">
        <v>167</v>
      </c>
      <c r="EE74" t="s">
        <v>426</v>
      </c>
      <c r="EF74" t="s">
        <v>169</v>
      </c>
      <c r="EG74" s="35" t="s">
        <v>3730</v>
      </c>
      <c r="EH74" t="s">
        <v>3322</v>
      </c>
      <c r="EK74" s="500">
        <v>0</v>
      </c>
      <c r="EL74" s="500">
        <v>0</v>
      </c>
      <c r="EM74" s="500">
        <v>0</v>
      </c>
      <c r="EN74" s="500">
        <v>0</v>
      </c>
      <c r="EO74">
        <v>5.9</v>
      </c>
      <c r="EP74">
        <v>0</v>
      </c>
      <c r="EQ74">
        <v>2950000000</v>
      </c>
      <c r="ER74">
        <v>3038795000</v>
      </c>
      <c r="ES74">
        <v>-1004231148.9583366</v>
      </c>
      <c r="ET74">
        <v>0</v>
      </c>
      <c r="EU74">
        <v>0</v>
      </c>
      <c r="EV74">
        <v>0</v>
      </c>
      <c r="EW74">
        <v>0</v>
      </c>
      <c r="EX74">
        <v>0</v>
      </c>
      <c r="EY74">
        <v>0</v>
      </c>
      <c r="EZ74">
        <v>0</v>
      </c>
      <c r="FA74">
        <v>3304500000</v>
      </c>
      <c r="FB74">
        <v>0</v>
      </c>
      <c r="FC74">
        <v>3304500000</v>
      </c>
      <c r="FD74">
        <v>3304500000</v>
      </c>
      <c r="FE74">
        <v>3304500000</v>
      </c>
      <c r="FF74">
        <v>3304500000</v>
      </c>
      <c r="FG74" s="32">
        <f>Bankingbook_SBV[[#This Row],[Mat. Date]]-RPT</f>
        <v>-2388</v>
      </c>
      <c r="FH74" s="32">
        <f>IF(Bankingbook_SBV[[#This Row],[Days]]&lt;=0,0,YEARFRAC(RPT,Bankingbook_SBV[[#This Row],[Mat. Date]],3))</f>
        <v>0</v>
      </c>
      <c r="FI74" s="32">
        <f>IF(Bankingbook_SBV[[#This Row],[Days (year)]]=0,0,INDEX(Ref!$K$2:$K$13,MATCH(Bankingbook_SBV[[#This Row],[Days (year)]],Ref!$I$2:$I$13,1)))</f>
        <v>0</v>
      </c>
      <c r="FJ74" s="32" t="str">
        <f>VLOOKUP(Bankingbook_SBV[[#This Row],[Security Name]],Ref!X:Z,3,0)</f>
        <v>TPCPBL</v>
      </c>
      <c r="FK74" s="32" t="str">
        <f>VLOOKUP(Bankingbook_SBV[[#This Row],[Security Name]],Ref!X:Y,2,0)</f>
        <v>VDB</v>
      </c>
      <c r="FL74" s="72">
        <f>IF((Bankingbook_SBV[[#This Row],[Mat. Date]]-RPT)&lt;=0,0,Bankingbook_SBV[[#This Row],[QUANTITY]])</f>
        <v>0</v>
      </c>
      <c r="FM74" s="32">
        <f>IF(Bankingbook_SBV[[#This Row],[Quantity_edited]]=0,0,Bankingbook_SBV[[#This Row],[DURATION]])</f>
        <v>0</v>
      </c>
      <c r="FN74" s="32">
        <f>IF(Bankingbook_SBV[[#This Row],[Quantity_edited]]=0,0,Bankingbook_SBV[[#This Row],[Mod Dur]])</f>
        <v>0</v>
      </c>
      <c r="FO74" s="32">
        <f>IF(Bankingbook_SBV[[#This Row],[Quantity_edited]]=0,0,Bankingbook_SBV[[#This Row],[Cnvx.]])</f>
        <v>0</v>
      </c>
      <c r="FP74" s="32">
        <f>(Bankingbook_SBV[[#This Row],[MARKET_VALUE]]+Bankingbook_SBV[[#This Row],[Accr Int]]*Bankingbook_SBV[[#This Row],[Quantity_edited]])*(-Bankingbook_SBV[[#This Row],[Modified Duration]]*0.0001+0.5*Bankingbook_SBV[[#This Row],[Conv]]*(0.0001^2))</f>
        <v>0</v>
      </c>
      <c r="FQ74" s="32">
        <f>(Bankingbook_SBV[[#This Row],[MARKET_VALUE]]+Bankingbook_SBV[[#This Row],[Accr Int]]*Bankingbook_SBV[[#This Row],[Quantity_edited]])*(-Bankingbook_SBV[[#This Row],[Modified Duration]]*0.01+0.5*Bankingbook_SBV[[#This Row],[Conv]]*(0.01^2))</f>
        <v>0</v>
      </c>
      <c r="FT74" t="s">
        <v>166</v>
      </c>
      <c r="FU74" t="s">
        <v>790</v>
      </c>
      <c r="FV74" t="s">
        <v>4059</v>
      </c>
      <c r="FW74">
        <v>3331699</v>
      </c>
      <c r="FX74" s="502">
        <v>46244</v>
      </c>
      <c r="FY74" t="s">
        <v>2176</v>
      </c>
      <c r="FZ74" t="s">
        <v>812</v>
      </c>
      <c r="GA74" t="s">
        <v>3585</v>
      </c>
      <c r="GB74" t="s">
        <v>810</v>
      </c>
      <c r="GC74" t="s">
        <v>2831</v>
      </c>
      <c r="GD74" s="500">
        <v>-41077000000</v>
      </c>
      <c r="GE74">
        <v>8.0001789999999993</v>
      </c>
      <c r="GF74" s="502">
        <v>46246</v>
      </c>
      <c r="GG74" s="502">
        <v>46338</v>
      </c>
      <c r="GH74">
        <v>4.5</v>
      </c>
      <c r="GI74" t="s">
        <v>811</v>
      </c>
      <c r="GJ74" t="s">
        <v>3321</v>
      </c>
      <c r="GK74" t="s">
        <v>3321</v>
      </c>
      <c r="GL74">
        <v>33318011.109999999</v>
      </c>
      <c r="GM74">
        <v>-30385726.030000001</v>
      </c>
      <c r="GN74">
        <v>44839000000</v>
      </c>
      <c r="GO74">
        <v>8.39</v>
      </c>
      <c r="GP74">
        <v>0.23</v>
      </c>
      <c r="GQ74">
        <v>0.24199999999999999</v>
      </c>
      <c r="GR74">
        <v>7.7822380000000004</v>
      </c>
      <c r="GS74">
        <v>-40801024177.839996</v>
      </c>
      <c r="GT74">
        <v>275975822.16000003</v>
      </c>
      <c r="GU74" t="s">
        <v>4142</v>
      </c>
      <c r="GV74" t="s">
        <v>4142</v>
      </c>
      <c r="GW74" s="416">
        <f>FNRP_Repo[[#This Row],[Mat. Date]]-RPT</f>
        <v>86</v>
      </c>
      <c r="GX74" s="819" t="str">
        <f>IF(FNRP_Repo[[#This Row],[Days]]&lt;=0,"Mat",INDEX(Ref!U:U,MATCH(FNRP_Repo[[#This Row],[Days]],Ref!S:S,1)))</f>
        <v>3M</v>
      </c>
      <c r="GY74" s="417">
        <f>RIGHT(FNRP_Repo[[#This Row],[Deal Id]],5)+0</f>
        <v>18103</v>
      </c>
    </row>
    <row r="75" spans="2:207" x14ac:dyDescent="0.3">
      <c r="B75" t="s">
        <v>166</v>
      </c>
      <c r="C75" t="s">
        <v>167</v>
      </c>
      <c r="D75" t="s">
        <v>247</v>
      </c>
      <c r="E75" t="s">
        <v>169</v>
      </c>
      <c r="F75" s="502">
        <v>42260</v>
      </c>
      <c r="G75" t="s">
        <v>3322</v>
      </c>
      <c r="H75"/>
      <c r="I75"/>
      <c r="J75" s="38">
        <v>0</v>
      </c>
      <c r="K75">
        <v>0</v>
      </c>
      <c r="L75">
        <v>0</v>
      </c>
      <c r="M75" s="38">
        <v>0</v>
      </c>
      <c r="N75">
        <v>10.1</v>
      </c>
      <c r="O75">
        <v>0</v>
      </c>
      <c r="P75" s="37">
        <v>0</v>
      </c>
      <c r="Q75" s="37">
        <v>0</v>
      </c>
      <c r="R75" s="37">
        <v>409047456.94444466</v>
      </c>
      <c r="S75">
        <v>10.1</v>
      </c>
      <c r="T75" s="70">
        <v>0</v>
      </c>
      <c r="U75">
        <v>0</v>
      </c>
      <c r="V75">
        <v>0</v>
      </c>
      <c r="W75">
        <v>0</v>
      </c>
      <c r="X75" s="38">
        <v>0</v>
      </c>
      <c r="Y75">
        <v>0</v>
      </c>
      <c r="Z75" s="70">
        <v>13847500000</v>
      </c>
      <c r="AA75" s="70">
        <v>0</v>
      </c>
      <c r="AB75" s="70">
        <v>13847500000</v>
      </c>
      <c r="AC75" s="70">
        <v>13847500000</v>
      </c>
      <c r="AD75" s="70">
        <v>13847500000</v>
      </c>
      <c r="AE75" s="70">
        <v>13847500000</v>
      </c>
      <c r="AF75">
        <v>0</v>
      </c>
      <c r="AG75" s="72">
        <f>Tradingbook_MSB[[#This Row],[Mat. Date]]-RPT</f>
        <v>-3992</v>
      </c>
      <c r="AH75" s="71">
        <f>IF(Tradingbook_MSB[[#This Row],[Days]]&lt;=0,0,YEARFRAC(RPT,Tradingbook_MSB[[#This Row],[Mat. Date]],3))</f>
        <v>0</v>
      </c>
      <c r="AI75" s="71">
        <f>IF(Tradingbook_MSB[[#This Row],[Days (year)]]=0,0,INDEX(Ref!$K$2:$K$13,MATCH(Tradingbook_MSB[[#This Row],[Days (year)]],Ref!$I$2:$I$13,1)))</f>
        <v>0</v>
      </c>
      <c r="AJ75" s="120" t="str">
        <f>VLOOKUP(Tradingbook_MSB[[#This Row],[Security Name]],Ref!X:Z,3,0)</f>
        <v>TPCPBL</v>
      </c>
      <c r="AK75" s="120" t="str">
        <f>VLOOKUP(Tradingbook_MSB[[#This Row],[Security Name]],Ref!X:Y,2,0)</f>
        <v>VDB</v>
      </c>
      <c r="AL75" s="71">
        <f>IF((Tradingbook_MSB[[#This Row],[Mat. Date]]-RPT)&lt;=0,0,Tradingbook_MSB[[#This Row],[QUANTITY]])</f>
        <v>0</v>
      </c>
      <c r="AM75" s="71">
        <f>IF(Tradingbook_MSB[[#This Row],[Quantity_edited]]=0,0,Tradingbook_MSB[[#This Row],[DURATION]])</f>
        <v>0</v>
      </c>
      <c r="AN75" s="71">
        <f>IF(Tradingbook_MSB[[#This Row],[Quantity_edited]]=0,0,Tradingbook_MSB[[#This Row],[Mod Dur]])</f>
        <v>0</v>
      </c>
      <c r="AO75" s="71">
        <f>IF(Tradingbook_MSB[[#This Row],[Quantity_edited]]=0,0,Tradingbook_MSB[[#This Row],[Cnvx.]])</f>
        <v>0</v>
      </c>
      <c r="AP75" s="71">
        <f>(Tradingbook_MSB[[#This Row],[MARKET_VALUE]]+Tradingbook_MSB[[#This Row],[Accr Int]]*Tradingbook_MSB[[#This Row],[Quantity_edited]])*(-Tradingbook_MSB[[#This Row],[Modified Duration]]*0.0001+0.5*Tradingbook_MSB[[#This Row],[Conv]]*(0.0001^2))</f>
        <v>0</v>
      </c>
      <c r="AQ75" s="72">
        <f>(Tradingbook_MSB[[#This Row],[MARKET_VALUE]]+Tradingbook_MSB[[#This Row],[Accr Int]]*Tradingbook_MSB[[#This Row],[Quantity_edited]])*(-Tradingbook_MSB[[#This Row],[Modified Duration]]*0.01+0.5*Tradingbook_MSB[[#This Row],[Conv]]*(0.01^2))</f>
        <v>0</v>
      </c>
      <c r="AR75" s="71"/>
      <c r="AT75" t="s">
        <v>166</v>
      </c>
      <c r="AU75" t="s">
        <v>167</v>
      </c>
      <c r="AV75" t="s">
        <v>446</v>
      </c>
      <c r="AW75" t="s">
        <v>169</v>
      </c>
      <c r="AX75" t="s">
        <v>3382</v>
      </c>
      <c r="AY75" t="s">
        <v>3322</v>
      </c>
      <c r="BB75" s="70">
        <v>0</v>
      </c>
      <c r="BC75">
        <v>0</v>
      </c>
      <c r="BD75">
        <v>0</v>
      </c>
      <c r="BE75" s="37">
        <v>0</v>
      </c>
      <c r="BF75">
        <v>6.5</v>
      </c>
      <c r="BG75">
        <v>0</v>
      </c>
      <c r="BH75" s="126">
        <v>3250000000</v>
      </c>
      <c r="BI75">
        <v>3472742361.1111112</v>
      </c>
      <c r="BJ75">
        <v>-647965867.36111546</v>
      </c>
      <c r="BK75">
        <v>0</v>
      </c>
      <c r="BL75">
        <v>0</v>
      </c>
      <c r="BM75">
        <v>0</v>
      </c>
      <c r="BN75">
        <v>0</v>
      </c>
      <c r="BO75">
        <v>0</v>
      </c>
      <c r="BP75">
        <v>0</v>
      </c>
      <c r="BQ75">
        <v>0</v>
      </c>
      <c r="BR75">
        <v>2228500000</v>
      </c>
      <c r="BS75">
        <v>0</v>
      </c>
      <c r="BT75">
        <v>2228500000</v>
      </c>
      <c r="BU75">
        <v>2228500000</v>
      </c>
      <c r="BV75">
        <v>2228500000</v>
      </c>
      <c r="BW75">
        <v>2228500000</v>
      </c>
      <c r="BX75">
        <v>0</v>
      </c>
      <c r="BY75" s="32">
        <f>Bankingbook_MSB[[#This Row],[Mat. Date]]-RPT</f>
        <v>-2112</v>
      </c>
      <c r="BZ75" s="71">
        <f>IF(Bankingbook_MSB[[#This Row],[Days]]&lt;=0,0,YEARFRAC(RPT,Bankingbook_MSB[[#This Row],[Mat. Date]],3))</f>
        <v>0</v>
      </c>
      <c r="CA75" s="71">
        <f>IF(Bankingbook_MSB[[#This Row],[Days (year)]]=0,0,INDEX(Ref!$K$2:$K$13,MATCH(Bankingbook_MSB[[#This Row],[Days (year)]],Ref!$I$2:$I$13,1)))</f>
        <v>0</v>
      </c>
      <c r="CB75" s="32" t="str">
        <f>VLOOKUP(Bankingbook_MSB[[#This Row],[Security Name]],Ref!X:Z,3,0)</f>
        <v>TPCP</v>
      </c>
      <c r="CC75" s="32" t="str">
        <f>VLOOKUP(Bankingbook_MSB[[#This Row],[Security Name]],Ref!X:Y,2,0)</f>
        <v>KBNN</v>
      </c>
      <c r="CD75" s="72">
        <f>IF((Bankingbook_MSB[[#This Row],[Mat. Date]]-RPT)&lt;=0,0,Bankingbook_MSB[[#This Row],[QUANTITY]])</f>
        <v>0</v>
      </c>
      <c r="CE75" s="71">
        <f>IF(Bankingbook_MSB[[#This Row],[Quantity_edited]]=0,0,Bankingbook_MSB[[#This Row],[DURATION]])</f>
        <v>0</v>
      </c>
      <c r="CF75" s="71">
        <f>IF(Bankingbook_MSB[[#This Row],[Quantity_edited]]=0,0,Bankingbook_MSB[[#This Row],[Mod Dur]])</f>
        <v>0</v>
      </c>
      <c r="CG75" s="71">
        <f>IF(Bankingbook_MSB[[#This Row],[Quantity_edited]]=0,0,Bankingbook_MSB[[#This Row],[Cnvx.]])</f>
        <v>0</v>
      </c>
      <c r="CH75" s="71">
        <f>(Bankingbook_MSB[[#This Row],[MARKET_VALUE]]+Bankingbook_MSB[[#This Row],[Accr Int]]*Bankingbook_MSB[[#This Row],[Quantity_edited]])*(-Bankingbook_MSB[[#This Row],[Modified Duration]]*0.0001+0.5*Bankingbook_MSB[[#This Row],[Conv]]*(0.0001^2))</f>
        <v>0</v>
      </c>
      <c r="CI75" s="71">
        <f>(Bankingbook_MSB[[#This Row],[MARKET_VALUE]]+Bankingbook_MSB[[#This Row],[Accr Int]]*Bankingbook_MSB[[#This Row],[Quantity_edited]])*(-Bankingbook_MSB[[#This Row],[Modified Duration]]*0.01+0.5*Bankingbook_MSB[[#This Row],[Conv]]*(0.01^2))</f>
        <v>0</v>
      </c>
      <c r="CJ75" s="32"/>
      <c r="CL75" t="s">
        <v>166</v>
      </c>
      <c r="CM75" t="s">
        <v>167</v>
      </c>
      <c r="CN75" t="s">
        <v>247</v>
      </c>
      <c r="CO75" t="s">
        <v>169</v>
      </c>
      <c r="CP75" s="35">
        <v>42260</v>
      </c>
      <c r="CQ75" t="s">
        <v>3322</v>
      </c>
      <c r="CR75" t="s">
        <v>174</v>
      </c>
      <c r="CS75" t="s">
        <v>174</v>
      </c>
      <c r="CT75" s="49">
        <v>0</v>
      </c>
      <c r="CU75">
        <v>0</v>
      </c>
      <c r="CV75">
        <v>0</v>
      </c>
      <c r="CW75" s="70">
        <v>0</v>
      </c>
      <c r="CX75">
        <v>10.1</v>
      </c>
      <c r="CY75">
        <v>0</v>
      </c>
      <c r="CZ75">
        <v>0</v>
      </c>
      <c r="DA75">
        <v>0</v>
      </c>
      <c r="DB75">
        <v>409047456.94444466</v>
      </c>
      <c r="DC75">
        <v>10.1</v>
      </c>
      <c r="DD75">
        <v>0</v>
      </c>
      <c r="DE75">
        <v>0</v>
      </c>
      <c r="DF75">
        <v>0</v>
      </c>
      <c r="DG75">
        <v>0</v>
      </c>
      <c r="DH75">
        <v>0</v>
      </c>
      <c r="DI75">
        <v>0</v>
      </c>
      <c r="DJ75" s="500">
        <v>13847500000</v>
      </c>
      <c r="DK75" s="500">
        <v>0</v>
      </c>
      <c r="DL75" s="37">
        <v>13847500000</v>
      </c>
      <c r="DM75" s="37">
        <v>13847500000</v>
      </c>
      <c r="DN75" s="37">
        <v>13847500000</v>
      </c>
      <c r="DO75" s="37">
        <v>13847500000</v>
      </c>
      <c r="DP75" s="32">
        <f>Tradingbook_SBV[[#This Row],[Mat. Date]]-RPT</f>
        <v>-3992</v>
      </c>
      <c r="DQ75" s="32">
        <f>IF(Tradingbook_SBV[[#This Row],[Days]]&lt;=0,0,YEARFRAC(RPT,Tradingbook_SBV[[#This Row],[Mat. Date]],3))</f>
        <v>0</v>
      </c>
      <c r="DR75" s="32">
        <f>IF(Tradingbook_SBV[[#This Row],[Days (year)]]=0,0,INDEX(Ref!$K$2:$K$13,MATCH(Tradingbook_SBV[[#This Row],[Days (year)]],Ref!$I$2:$I$13,1)))</f>
        <v>0</v>
      </c>
      <c r="DS75" s="32" t="str">
        <f>VLOOKUP(Tradingbook_SBV[[#This Row],[Security Name]],Ref!X:Z,3,0)</f>
        <v>TPCPBL</v>
      </c>
      <c r="DT75" s="32" t="str">
        <f>VLOOKUP(Tradingbook_SBV[[#This Row],[Security Name]],Ref!X:Y,2,0)</f>
        <v>VDB</v>
      </c>
      <c r="DU75" s="71">
        <f>IF((Tradingbook_SBV[[#This Row],[Mat. Date]]-RPT)&lt;=0,0,Tradingbook_SBV[[#This Row],[QUANTITY]])</f>
        <v>0</v>
      </c>
      <c r="DV75" s="71">
        <f>IF(Tradingbook_SBV[[#This Row],[Quantity_edited]]=0,0,Tradingbook_SBV[[#This Row],[DURATION]])</f>
        <v>0</v>
      </c>
      <c r="DW75" s="71">
        <f>IF(Tradingbook_SBV[[#This Row],[Quantity_edited]]=0,0,Tradingbook_SBV[[#This Row],[Mod Dur]])</f>
        <v>0</v>
      </c>
      <c r="DX75" s="71">
        <f>IF(Tradingbook_SBV[[#This Row],[Quantity_edited]]=0,0,Tradingbook_SBV[[#This Row],[Cnvx.]])</f>
        <v>0</v>
      </c>
      <c r="DY75" s="71">
        <f>(Tradingbook_SBV[[#This Row],[MARKET_VALUE]]+Tradingbook_SBV[[#This Row],[Accr Int]]*Tradingbook_SBV[[#This Row],[Quantity_edited]])*(-Tradingbook_SBV[[#This Row],[Modified Duration]]*0.0001+0.5*Tradingbook_SBV[[#This Row],[Conv]]*(0.0001^2))</f>
        <v>0</v>
      </c>
      <c r="DZ75" s="71">
        <f>(Tradingbook_SBV[[#This Row],[MARKET_VALUE]]+Tradingbook_SBV[[#This Row],[Accr Int]]*Tradingbook_SBV[[#This Row],[Quantity_edited]])*(-Tradingbook_SBV[[#This Row],[Modified Duration]]*0.01+0.5*Tradingbook_SBV[[#This Row],[Conv]]*(0.01^2))</f>
        <v>0</v>
      </c>
      <c r="EC75" t="s">
        <v>166</v>
      </c>
      <c r="ED75" t="s">
        <v>167</v>
      </c>
      <c r="EE75" t="s">
        <v>429</v>
      </c>
      <c r="EF75" t="s">
        <v>169</v>
      </c>
      <c r="EG75" s="35" t="s">
        <v>3377</v>
      </c>
      <c r="EH75" t="s">
        <v>3322</v>
      </c>
      <c r="EK75" s="500">
        <v>0</v>
      </c>
      <c r="EL75" s="500">
        <v>0</v>
      </c>
      <c r="EM75" s="500">
        <v>0</v>
      </c>
      <c r="EN75" s="500">
        <v>0</v>
      </c>
      <c r="EO75">
        <v>5.3</v>
      </c>
      <c r="EP75">
        <v>0</v>
      </c>
      <c r="EQ75">
        <v>47700000000</v>
      </c>
      <c r="ER75">
        <v>51532054583.333313</v>
      </c>
      <c r="ES75">
        <v>-24985616730.347095</v>
      </c>
      <c r="ET75">
        <v>0</v>
      </c>
      <c r="EU75">
        <v>0</v>
      </c>
      <c r="EV75">
        <v>0</v>
      </c>
      <c r="EW75">
        <v>0</v>
      </c>
      <c r="EX75">
        <v>0</v>
      </c>
      <c r="EY75">
        <v>0</v>
      </c>
      <c r="EZ75">
        <v>0</v>
      </c>
      <c r="FA75">
        <v>13729000000</v>
      </c>
      <c r="FB75">
        <v>0</v>
      </c>
      <c r="FC75">
        <v>13729000000</v>
      </c>
      <c r="FD75">
        <v>13729000000</v>
      </c>
      <c r="FE75">
        <v>13729000000</v>
      </c>
      <c r="FF75">
        <v>13729000000</v>
      </c>
      <c r="FG75" s="32">
        <f>Bankingbook_SBV[[#This Row],[Mat. Date]]-RPT</f>
        <v>-2347</v>
      </c>
      <c r="FH75" s="32">
        <f>IF(Bankingbook_SBV[[#This Row],[Days]]&lt;=0,0,YEARFRAC(RPT,Bankingbook_SBV[[#This Row],[Mat. Date]],3))</f>
        <v>0</v>
      </c>
      <c r="FI75" s="32">
        <f>IF(Bankingbook_SBV[[#This Row],[Days (year)]]=0,0,INDEX(Ref!$K$2:$K$13,MATCH(Bankingbook_SBV[[#This Row],[Days (year)]],Ref!$I$2:$I$13,1)))</f>
        <v>0</v>
      </c>
      <c r="FJ75" s="32" t="str">
        <f>VLOOKUP(Bankingbook_SBV[[#This Row],[Security Name]],Ref!X:Z,3,0)</f>
        <v>TPCP</v>
      </c>
      <c r="FK75" s="32" t="str">
        <f>VLOOKUP(Bankingbook_SBV[[#This Row],[Security Name]],Ref!X:Y,2,0)</f>
        <v>KBNN</v>
      </c>
      <c r="FL75" s="72">
        <f>IF((Bankingbook_SBV[[#This Row],[Mat. Date]]-RPT)&lt;=0,0,Bankingbook_SBV[[#This Row],[QUANTITY]])</f>
        <v>0</v>
      </c>
      <c r="FM75" s="32">
        <f>IF(Bankingbook_SBV[[#This Row],[Quantity_edited]]=0,0,Bankingbook_SBV[[#This Row],[DURATION]])</f>
        <v>0</v>
      </c>
      <c r="FN75" s="32">
        <f>IF(Bankingbook_SBV[[#This Row],[Quantity_edited]]=0,0,Bankingbook_SBV[[#This Row],[Mod Dur]])</f>
        <v>0</v>
      </c>
      <c r="FO75" s="32">
        <f>IF(Bankingbook_SBV[[#This Row],[Quantity_edited]]=0,0,Bankingbook_SBV[[#This Row],[Cnvx.]])</f>
        <v>0</v>
      </c>
      <c r="FP75" s="32">
        <f>(Bankingbook_SBV[[#This Row],[MARKET_VALUE]]+Bankingbook_SBV[[#This Row],[Accr Int]]*Bankingbook_SBV[[#This Row],[Quantity_edited]])*(-Bankingbook_SBV[[#This Row],[Modified Duration]]*0.0001+0.5*Bankingbook_SBV[[#This Row],[Conv]]*(0.0001^2))</f>
        <v>0</v>
      </c>
      <c r="FQ75" s="32">
        <f>(Bankingbook_SBV[[#This Row],[MARKET_VALUE]]+Bankingbook_SBV[[#This Row],[Accr Int]]*Bankingbook_SBV[[#This Row],[Quantity_edited]])*(-Bankingbook_SBV[[#This Row],[Modified Duration]]*0.01+0.5*Bankingbook_SBV[[#This Row],[Conv]]*(0.01^2))</f>
        <v>0</v>
      </c>
      <c r="FT75" t="s">
        <v>166</v>
      </c>
      <c r="FU75" t="s">
        <v>790</v>
      </c>
      <c r="FV75" t="s">
        <v>4060</v>
      </c>
      <c r="FW75">
        <v>3331700</v>
      </c>
      <c r="FX75" s="502">
        <v>46244</v>
      </c>
      <c r="FY75" t="s">
        <v>2176</v>
      </c>
      <c r="FZ75" t="s">
        <v>812</v>
      </c>
      <c r="GA75" t="s">
        <v>3585</v>
      </c>
      <c r="GB75" t="s">
        <v>810</v>
      </c>
      <c r="GC75" t="s">
        <v>2834</v>
      </c>
      <c r="GD75" s="500">
        <v>-205045000000</v>
      </c>
      <c r="GE75">
        <v>8</v>
      </c>
      <c r="GF75" s="502">
        <v>46246</v>
      </c>
      <c r="GG75" s="502">
        <v>46338</v>
      </c>
      <c r="GH75">
        <v>4.5</v>
      </c>
      <c r="GI75" t="s">
        <v>811</v>
      </c>
      <c r="GJ75" t="s">
        <v>3321</v>
      </c>
      <c r="GK75" t="s">
        <v>3321</v>
      </c>
      <c r="GL75">
        <v>166314277.78</v>
      </c>
      <c r="GM75">
        <v>-151677123.28999999</v>
      </c>
      <c r="GN75">
        <v>223802500000</v>
      </c>
      <c r="GO75">
        <v>8.3800000000000008</v>
      </c>
      <c r="GP75">
        <v>0.23</v>
      </c>
      <c r="GQ75">
        <v>0.24199999999999999</v>
      </c>
      <c r="GR75">
        <v>7.7822380000000004</v>
      </c>
      <c r="GS75">
        <v>-203667405177.56</v>
      </c>
      <c r="GT75">
        <v>1377594822.4400001</v>
      </c>
      <c r="GU75" t="s">
        <v>4145</v>
      </c>
      <c r="GV75" t="s">
        <v>4145</v>
      </c>
      <c r="GW75" s="416">
        <f>FNRP_Repo[[#This Row],[Mat. Date]]-RPT</f>
        <v>86</v>
      </c>
      <c r="GX75" s="819" t="str">
        <f>IF(FNRP_Repo[[#This Row],[Days]]&lt;=0,"Mat",INDEX(Ref!U:U,MATCH(FNRP_Repo[[#This Row],[Days]],Ref!S:S,1)))</f>
        <v>3M</v>
      </c>
      <c r="GY75" s="417">
        <f>RIGHT(FNRP_Repo[[#This Row],[Deal Id]],5)+0</f>
        <v>18104</v>
      </c>
    </row>
    <row r="76" spans="2:207" x14ac:dyDescent="0.3">
      <c r="B76" t="s">
        <v>166</v>
      </c>
      <c r="C76" t="s">
        <v>167</v>
      </c>
      <c r="D76" t="s">
        <v>248</v>
      </c>
      <c r="E76" t="s">
        <v>169</v>
      </c>
      <c r="F76" s="502">
        <v>42267</v>
      </c>
      <c r="G76" t="s">
        <v>3322</v>
      </c>
      <c r="H76"/>
      <c r="I76"/>
      <c r="J76" s="38">
        <v>0</v>
      </c>
      <c r="K76">
        <v>0</v>
      </c>
      <c r="L76">
        <v>0</v>
      </c>
      <c r="M76" s="38">
        <v>0</v>
      </c>
      <c r="N76">
        <v>8.9499999999999993</v>
      </c>
      <c r="O76">
        <v>0</v>
      </c>
      <c r="P76" s="37">
        <v>0</v>
      </c>
      <c r="Q76" s="37">
        <v>0</v>
      </c>
      <c r="R76" s="37">
        <v>-561862926.00000191</v>
      </c>
      <c r="S76">
        <v>8.9499999999999993</v>
      </c>
      <c r="T76" s="70">
        <v>0</v>
      </c>
      <c r="U76">
        <v>0</v>
      </c>
      <c r="V76">
        <v>0</v>
      </c>
      <c r="W76">
        <v>0</v>
      </c>
      <c r="X76" s="38">
        <v>0</v>
      </c>
      <c r="Y76">
        <v>0</v>
      </c>
      <c r="Z76" s="70">
        <v>904000000</v>
      </c>
      <c r="AA76" s="70">
        <v>0</v>
      </c>
      <c r="AB76" s="70">
        <v>904000000</v>
      </c>
      <c r="AC76" s="70">
        <v>904000000</v>
      </c>
      <c r="AD76" s="70">
        <v>904000000</v>
      </c>
      <c r="AE76" s="70">
        <v>904000000</v>
      </c>
      <c r="AF76">
        <v>0</v>
      </c>
      <c r="AG76" s="72">
        <f>Tradingbook_MSB[[#This Row],[Mat. Date]]-RPT</f>
        <v>-3985</v>
      </c>
      <c r="AH76" s="71">
        <f>IF(Tradingbook_MSB[[#This Row],[Days]]&lt;=0,0,YEARFRAC(RPT,Tradingbook_MSB[[#This Row],[Mat. Date]],3))</f>
        <v>0</v>
      </c>
      <c r="AI76" s="71">
        <f>IF(Tradingbook_MSB[[#This Row],[Days (year)]]=0,0,INDEX(Ref!$K$2:$K$13,MATCH(Tradingbook_MSB[[#This Row],[Days (year)]],Ref!$I$2:$I$13,1)))</f>
        <v>0</v>
      </c>
      <c r="AJ76" s="120" t="str">
        <f>VLOOKUP(Tradingbook_MSB[[#This Row],[Security Name]],Ref!X:Z,3,0)</f>
        <v>TPCP</v>
      </c>
      <c r="AK76" s="120" t="str">
        <f>VLOOKUP(Tradingbook_MSB[[#This Row],[Security Name]],Ref!X:Y,2,0)</f>
        <v>VDB</v>
      </c>
      <c r="AL76" s="71">
        <f>IF((Tradingbook_MSB[[#This Row],[Mat. Date]]-RPT)&lt;=0,0,Tradingbook_MSB[[#This Row],[QUANTITY]])</f>
        <v>0</v>
      </c>
      <c r="AM76" s="71">
        <f>IF(Tradingbook_MSB[[#This Row],[Quantity_edited]]=0,0,Tradingbook_MSB[[#This Row],[DURATION]])</f>
        <v>0</v>
      </c>
      <c r="AN76" s="71">
        <f>IF(Tradingbook_MSB[[#This Row],[Quantity_edited]]=0,0,Tradingbook_MSB[[#This Row],[Mod Dur]])</f>
        <v>0</v>
      </c>
      <c r="AO76" s="71">
        <f>IF(Tradingbook_MSB[[#This Row],[Quantity_edited]]=0,0,Tradingbook_MSB[[#This Row],[Cnvx.]])</f>
        <v>0</v>
      </c>
      <c r="AP76" s="71">
        <f>(Tradingbook_MSB[[#This Row],[MARKET_VALUE]]+Tradingbook_MSB[[#This Row],[Accr Int]]*Tradingbook_MSB[[#This Row],[Quantity_edited]])*(-Tradingbook_MSB[[#This Row],[Modified Duration]]*0.0001+0.5*Tradingbook_MSB[[#This Row],[Conv]]*(0.0001^2))</f>
        <v>0</v>
      </c>
      <c r="AQ76" s="72">
        <f>(Tradingbook_MSB[[#This Row],[MARKET_VALUE]]+Tradingbook_MSB[[#This Row],[Accr Int]]*Tradingbook_MSB[[#This Row],[Quantity_edited]])*(-Tradingbook_MSB[[#This Row],[Modified Duration]]*0.01+0.5*Tradingbook_MSB[[#This Row],[Conv]]*(0.01^2))</f>
        <v>0</v>
      </c>
      <c r="AR76" s="71"/>
      <c r="AT76" t="s">
        <v>166</v>
      </c>
      <c r="AU76" t="s">
        <v>167</v>
      </c>
      <c r="AV76" t="s">
        <v>449</v>
      </c>
      <c r="AW76" t="s">
        <v>169</v>
      </c>
      <c r="AX76" t="s">
        <v>450</v>
      </c>
      <c r="AY76" t="s">
        <v>3322</v>
      </c>
      <c r="BB76" s="70">
        <v>0</v>
      </c>
      <c r="BC76">
        <v>0</v>
      </c>
      <c r="BD76">
        <v>0</v>
      </c>
      <c r="BE76" s="37">
        <v>0</v>
      </c>
      <c r="BF76">
        <v>6.6</v>
      </c>
      <c r="BG76">
        <v>0</v>
      </c>
      <c r="BH76" s="126">
        <v>6600000000</v>
      </c>
      <c r="BI76">
        <v>7051301583.3333359</v>
      </c>
      <c r="BJ76">
        <v>-2257471928.1250348</v>
      </c>
      <c r="BK76">
        <v>0</v>
      </c>
      <c r="BL76">
        <v>0</v>
      </c>
      <c r="BM76">
        <v>0</v>
      </c>
      <c r="BN76">
        <v>0</v>
      </c>
      <c r="BO76">
        <v>0</v>
      </c>
      <c r="BP76">
        <v>0</v>
      </c>
      <c r="BQ76">
        <v>0</v>
      </c>
      <c r="BR76">
        <v>1277500000</v>
      </c>
      <c r="BS76">
        <v>0</v>
      </c>
      <c r="BT76">
        <v>1277500000</v>
      </c>
      <c r="BU76">
        <v>1277500000</v>
      </c>
      <c r="BV76">
        <v>1277500000</v>
      </c>
      <c r="BW76">
        <v>1277500000</v>
      </c>
      <c r="BX76">
        <v>0</v>
      </c>
      <c r="BY76" s="32">
        <f>Bankingbook_MSB[[#This Row],[Mat. Date]]-RPT</f>
        <v>-2105</v>
      </c>
      <c r="BZ76" s="71">
        <f>IF(Bankingbook_MSB[[#This Row],[Days]]&lt;=0,0,YEARFRAC(RPT,Bankingbook_MSB[[#This Row],[Mat. Date]],3))</f>
        <v>0</v>
      </c>
      <c r="CA76" s="71">
        <f>IF(Bankingbook_MSB[[#This Row],[Days (year)]]=0,0,INDEX(Ref!$K$2:$K$13,MATCH(Bankingbook_MSB[[#This Row],[Days (year)]],Ref!$I$2:$I$13,1)))</f>
        <v>0</v>
      </c>
      <c r="CB76" s="32" t="str">
        <f>VLOOKUP(Bankingbook_MSB[[#This Row],[Security Name]],Ref!X:Z,3,0)</f>
        <v>TPCP</v>
      </c>
      <c r="CC76" s="32" t="str">
        <f>VLOOKUP(Bankingbook_MSB[[#This Row],[Security Name]],Ref!X:Y,2,0)</f>
        <v>KBNN</v>
      </c>
      <c r="CD76" s="72">
        <f>IF((Bankingbook_MSB[[#This Row],[Mat. Date]]-RPT)&lt;=0,0,Bankingbook_MSB[[#This Row],[QUANTITY]])</f>
        <v>0</v>
      </c>
      <c r="CE76" s="71">
        <f>IF(Bankingbook_MSB[[#This Row],[Quantity_edited]]=0,0,Bankingbook_MSB[[#This Row],[DURATION]])</f>
        <v>0</v>
      </c>
      <c r="CF76" s="71">
        <f>IF(Bankingbook_MSB[[#This Row],[Quantity_edited]]=0,0,Bankingbook_MSB[[#This Row],[Mod Dur]])</f>
        <v>0</v>
      </c>
      <c r="CG76" s="71">
        <f>IF(Bankingbook_MSB[[#This Row],[Quantity_edited]]=0,0,Bankingbook_MSB[[#This Row],[Cnvx.]])</f>
        <v>0</v>
      </c>
      <c r="CH76" s="71">
        <f>(Bankingbook_MSB[[#This Row],[MARKET_VALUE]]+Bankingbook_MSB[[#This Row],[Accr Int]]*Bankingbook_MSB[[#This Row],[Quantity_edited]])*(-Bankingbook_MSB[[#This Row],[Modified Duration]]*0.0001+0.5*Bankingbook_MSB[[#This Row],[Conv]]*(0.0001^2))</f>
        <v>0</v>
      </c>
      <c r="CI76" s="71">
        <f>(Bankingbook_MSB[[#This Row],[MARKET_VALUE]]+Bankingbook_MSB[[#This Row],[Accr Int]]*Bankingbook_MSB[[#This Row],[Quantity_edited]])*(-Bankingbook_MSB[[#This Row],[Modified Duration]]*0.01+0.5*Bankingbook_MSB[[#This Row],[Conv]]*(0.01^2))</f>
        <v>0</v>
      </c>
      <c r="CJ76" s="32"/>
      <c r="CL76" t="s">
        <v>166</v>
      </c>
      <c r="CM76" t="s">
        <v>167</v>
      </c>
      <c r="CN76" t="s">
        <v>248</v>
      </c>
      <c r="CO76" t="s">
        <v>169</v>
      </c>
      <c r="CP76" s="35">
        <v>42267</v>
      </c>
      <c r="CQ76" t="s">
        <v>3322</v>
      </c>
      <c r="CR76" t="s">
        <v>174</v>
      </c>
      <c r="CS76" t="s">
        <v>174</v>
      </c>
      <c r="CT76" s="49">
        <v>0</v>
      </c>
      <c r="CU76">
        <v>0</v>
      </c>
      <c r="CV76">
        <v>0</v>
      </c>
      <c r="CW76" s="70">
        <v>0</v>
      </c>
      <c r="CX76">
        <v>8.9499999999999993</v>
      </c>
      <c r="CY76">
        <v>0</v>
      </c>
      <c r="CZ76">
        <v>0</v>
      </c>
      <c r="DA76">
        <v>0</v>
      </c>
      <c r="DB76">
        <v>-561862926.00000191</v>
      </c>
      <c r="DC76">
        <v>8.9499999999999993</v>
      </c>
      <c r="DD76">
        <v>0</v>
      </c>
      <c r="DE76">
        <v>0</v>
      </c>
      <c r="DF76">
        <v>0</v>
      </c>
      <c r="DG76">
        <v>0</v>
      </c>
      <c r="DH76">
        <v>0</v>
      </c>
      <c r="DI76">
        <v>0</v>
      </c>
      <c r="DJ76" s="500">
        <v>904000000</v>
      </c>
      <c r="DK76" s="500">
        <v>0</v>
      </c>
      <c r="DL76" s="37">
        <v>904000000</v>
      </c>
      <c r="DM76" s="37">
        <v>904000000</v>
      </c>
      <c r="DN76" s="37">
        <v>904000000</v>
      </c>
      <c r="DO76" s="37">
        <v>904000000</v>
      </c>
      <c r="DP76" s="32">
        <f>Tradingbook_SBV[[#This Row],[Mat. Date]]-RPT</f>
        <v>-3985</v>
      </c>
      <c r="DQ76" s="32">
        <f>IF(Tradingbook_SBV[[#This Row],[Days]]&lt;=0,0,YEARFRAC(RPT,Tradingbook_SBV[[#This Row],[Mat. Date]],3))</f>
        <v>0</v>
      </c>
      <c r="DR76" s="32">
        <f>IF(Tradingbook_SBV[[#This Row],[Days (year)]]=0,0,INDEX(Ref!$K$2:$K$13,MATCH(Tradingbook_SBV[[#This Row],[Days (year)]],Ref!$I$2:$I$13,1)))</f>
        <v>0</v>
      </c>
      <c r="DS76" s="32" t="str">
        <f>VLOOKUP(Tradingbook_SBV[[#This Row],[Security Name]],Ref!X:Z,3,0)</f>
        <v>TPCP</v>
      </c>
      <c r="DT76" s="32" t="str">
        <f>VLOOKUP(Tradingbook_SBV[[#This Row],[Security Name]],Ref!X:Y,2,0)</f>
        <v>VDB</v>
      </c>
      <c r="DU76" s="71">
        <f>IF((Tradingbook_SBV[[#This Row],[Mat. Date]]-RPT)&lt;=0,0,Tradingbook_SBV[[#This Row],[QUANTITY]])</f>
        <v>0</v>
      </c>
      <c r="DV76" s="71">
        <f>IF(Tradingbook_SBV[[#This Row],[Quantity_edited]]=0,0,Tradingbook_SBV[[#This Row],[DURATION]])</f>
        <v>0</v>
      </c>
      <c r="DW76" s="71">
        <f>IF(Tradingbook_SBV[[#This Row],[Quantity_edited]]=0,0,Tradingbook_SBV[[#This Row],[Mod Dur]])</f>
        <v>0</v>
      </c>
      <c r="DX76" s="71">
        <f>IF(Tradingbook_SBV[[#This Row],[Quantity_edited]]=0,0,Tradingbook_SBV[[#This Row],[Cnvx.]])</f>
        <v>0</v>
      </c>
      <c r="DY76" s="71">
        <f>(Tradingbook_SBV[[#This Row],[MARKET_VALUE]]+Tradingbook_SBV[[#This Row],[Accr Int]]*Tradingbook_SBV[[#This Row],[Quantity_edited]])*(-Tradingbook_SBV[[#This Row],[Modified Duration]]*0.0001+0.5*Tradingbook_SBV[[#This Row],[Conv]]*(0.0001^2))</f>
        <v>0</v>
      </c>
      <c r="DZ76" s="71">
        <f>(Tradingbook_SBV[[#This Row],[MARKET_VALUE]]+Tradingbook_SBV[[#This Row],[Accr Int]]*Tradingbook_SBV[[#This Row],[Quantity_edited]])*(-Tradingbook_SBV[[#This Row],[Modified Duration]]*0.01+0.5*Tradingbook_SBV[[#This Row],[Conv]]*(0.01^2))</f>
        <v>0</v>
      </c>
      <c r="EC76" t="s">
        <v>166</v>
      </c>
      <c r="ED76" t="s">
        <v>167</v>
      </c>
      <c r="EE76" t="s">
        <v>432</v>
      </c>
      <c r="EF76" t="s">
        <v>169</v>
      </c>
      <c r="EG76" s="35" t="s">
        <v>3731</v>
      </c>
      <c r="EH76" t="s">
        <v>3322</v>
      </c>
      <c r="EK76" s="500">
        <v>0</v>
      </c>
      <c r="EL76" s="500">
        <v>0</v>
      </c>
      <c r="EM76" s="500">
        <v>0</v>
      </c>
      <c r="EN76" s="500">
        <v>0</v>
      </c>
      <c r="EO76">
        <v>11.5</v>
      </c>
      <c r="EP76">
        <v>0</v>
      </c>
      <c r="EQ76">
        <v>0</v>
      </c>
      <c r="ER76">
        <v>0</v>
      </c>
      <c r="ES76">
        <v>-1045574370.1388917</v>
      </c>
      <c r="ET76">
        <v>0</v>
      </c>
      <c r="EU76">
        <v>0</v>
      </c>
      <c r="EV76">
        <v>0</v>
      </c>
      <c r="EW76">
        <v>0</v>
      </c>
      <c r="EX76">
        <v>0</v>
      </c>
      <c r="EY76">
        <v>0</v>
      </c>
      <c r="EZ76">
        <v>0</v>
      </c>
      <c r="FA76">
        <v>-15500000</v>
      </c>
      <c r="FB76">
        <v>0</v>
      </c>
      <c r="FC76">
        <v>-15500000</v>
      </c>
      <c r="FD76">
        <v>-15500000</v>
      </c>
      <c r="FE76">
        <v>-15500000</v>
      </c>
      <c r="FF76">
        <v>-15500000</v>
      </c>
      <c r="FG76" s="32">
        <f>Bankingbook_SBV[[#This Row],[Mat. Date]]-RPT</f>
        <v>-2305</v>
      </c>
      <c r="FH76" s="32">
        <f>IF(Bankingbook_SBV[[#This Row],[Days]]&lt;=0,0,YEARFRAC(RPT,Bankingbook_SBV[[#This Row],[Mat. Date]],3))</f>
        <v>0</v>
      </c>
      <c r="FI76" s="32">
        <f>IF(Bankingbook_SBV[[#This Row],[Days (year)]]=0,0,INDEX(Ref!$K$2:$K$13,MATCH(Bankingbook_SBV[[#This Row],[Days (year)]],Ref!$I$2:$I$13,1)))</f>
        <v>0</v>
      </c>
      <c r="FJ76" s="32" t="str">
        <f>VLOOKUP(Bankingbook_SBV[[#This Row],[Security Name]],Ref!X:Z,3,0)</f>
        <v>TPCPBL</v>
      </c>
      <c r="FK76" s="32" t="str">
        <f>VLOOKUP(Bankingbook_SBV[[#This Row],[Security Name]],Ref!X:Y,2,0)</f>
        <v>VDB</v>
      </c>
      <c r="FL76" s="72">
        <f>IF((Bankingbook_SBV[[#This Row],[Mat. Date]]-RPT)&lt;=0,0,Bankingbook_SBV[[#This Row],[QUANTITY]])</f>
        <v>0</v>
      </c>
      <c r="FM76" s="32">
        <f>IF(Bankingbook_SBV[[#This Row],[Quantity_edited]]=0,0,Bankingbook_SBV[[#This Row],[DURATION]])</f>
        <v>0</v>
      </c>
      <c r="FN76" s="32">
        <f>IF(Bankingbook_SBV[[#This Row],[Quantity_edited]]=0,0,Bankingbook_SBV[[#This Row],[Mod Dur]])</f>
        <v>0</v>
      </c>
      <c r="FO76" s="32">
        <f>IF(Bankingbook_SBV[[#This Row],[Quantity_edited]]=0,0,Bankingbook_SBV[[#This Row],[Cnvx.]])</f>
        <v>0</v>
      </c>
      <c r="FP76" s="32">
        <f>(Bankingbook_SBV[[#This Row],[MARKET_VALUE]]+Bankingbook_SBV[[#This Row],[Accr Int]]*Bankingbook_SBV[[#This Row],[Quantity_edited]])*(-Bankingbook_SBV[[#This Row],[Modified Duration]]*0.0001+0.5*Bankingbook_SBV[[#This Row],[Conv]]*(0.0001^2))</f>
        <v>0</v>
      </c>
      <c r="FQ76" s="32">
        <f>(Bankingbook_SBV[[#This Row],[MARKET_VALUE]]+Bankingbook_SBV[[#This Row],[Accr Int]]*Bankingbook_SBV[[#This Row],[Quantity_edited]])*(-Bankingbook_SBV[[#This Row],[Modified Duration]]*0.01+0.5*Bankingbook_SBV[[#This Row],[Conv]]*(0.01^2))</f>
        <v>0</v>
      </c>
      <c r="FT76" t="s">
        <v>166</v>
      </c>
      <c r="FU76" t="s">
        <v>790</v>
      </c>
      <c r="FV76" t="s">
        <v>4061</v>
      </c>
      <c r="FW76">
        <v>3331701</v>
      </c>
      <c r="FX76" s="502">
        <v>46244</v>
      </c>
      <c r="FY76" t="s">
        <v>2176</v>
      </c>
      <c r="FZ76" t="s">
        <v>812</v>
      </c>
      <c r="GA76" t="s">
        <v>3585</v>
      </c>
      <c r="GB76" t="s">
        <v>810</v>
      </c>
      <c r="GC76" t="s">
        <v>2839</v>
      </c>
      <c r="GD76" s="500">
        <v>-81613000000</v>
      </c>
      <c r="GE76">
        <v>8.0002250000000004</v>
      </c>
      <c r="GF76" s="502">
        <v>46246</v>
      </c>
      <c r="GG76" s="502">
        <v>46338</v>
      </c>
      <c r="GH76">
        <v>4.5</v>
      </c>
      <c r="GI76" t="s">
        <v>811</v>
      </c>
      <c r="GJ76" t="s">
        <v>3321</v>
      </c>
      <c r="GK76" t="s">
        <v>3321</v>
      </c>
      <c r="GL76">
        <v>66197211.109999999</v>
      </c>
      <c r="GM76">
        <v>-60371260.270000003</v>
      </c>
      <c r="GN76">
        <v>89051000000</v>
      </c>
      <c r="GO76">
        <v>8.35</v>
      </c>
      <c r="GP76">
        <v>0.23</v>
      </c>
      <c r="GQ76">
        <v>0.24199999999999999</v>
      </c>
      <c r="GR76">
        <v>7.7822380000000004</v>
      </c>
      <c r="GS76">
        <v>-81064683064.119995</v>
      </c>
      <c r="GT76">
        <v>548316935.88</v>
      </c>
      <c r="GU76" t="s">
        <v>4149</v>
      </c>
      <c r="GV76" t="s">
        <v>4149</v>
      </c>
      <c r="GW76" s="416">
        <f>FNRP_Repo[[#This Row],[Mat. Date]]-RPT</f>
        <v>86</v>
      </c>
      <c r="GX76" s="819" t="str">
        <f>IF(FNRP_Repo[[#This Row],[Days]]&lt;=0,"Mat",INDEX(Ref!U:U,MATCH(FNRP_Repo[[#This Row],[Days]],Ref!S:S,1)))</f>
        <v>3M</v>
      </c>
      <c r="GY76" s="417">
        <f>RIGHT(FNRP_Repo[[#This Row],[Deal Id]],5)+0</f>
        <v>18105</v>
      </c>
    </row>
    <row r="77" spans="2:207" x14ac:dyDescent="0.3">
      <c r="B77" t="s">
        <v>166</v>
      </c>
      <c r="C77" t="s">
        <v>167</v>
      </c>
      <c r="D77" t="s">
        <v>249</v>
      </c>
      <c r="E77" t="s">
        <v>169</v>
      </c>
      <c r="F77" s="502">
        <v>42277</v>
      </c>
      <c r="G77" t="s">
        <v>3322</v>
      </c>
      <c r="H77"/>
      <c r="I77"/>
      <c r="J77" s="38">
        <v>0</v>
      </c>
      <c r="K77">
        <v>0</v>
      </c>
      <c r="L77">
        <v>0</v>
      </c>
      <c r="M77" s="38">
        <v>0</v>
      </c>
      <c r="N77">
        <v>9.8000000000000007</v>
      </c>
      <c r="O77">
        <v>0</v>
      </c>
      <c r="P77" s="37">
        <v>29400000000</v>
      </c>
      <c r="Q77" s="37">
        <v>31179791611.111122</v>
      </c>
      <c r="R77" s="37">
        <v>-5773728625.9166489</v>
      </c>
      <c r="S77">
        <v>9.8000000000000007</v>
      </c>
      <c r="T77" s="70">
        <v>0</v>
      </c>
      <c r="U77">
        <v>0</v>
      </c>
      <c r="V77">
        <v>0</v>
      </c>
      <c r="W77">
        <v>0</v>
      </c>
      <c r="X77" s="38">
        <v>0</v>
      </c>
      <c r="Y77">
        <v>0</v>
      </c>
      <c r="Z77" s="70">
        <v>12431000000</v>
      </c>
      <c r="AA77" s="70">
        <v>0</v>
      </c>
      <c r="AB77" s="70">
        <v>12431000000</v>
      </c>
      <c r="AC77" s="70">
        <v>12431000000</v>
      </c>
      <c r="AD77" s="70">
        <v>12431000000</v>
      </c>
      <c r="AE77" s="70">
        <v>12431000000</v>
      </c>
      <c r="AF77">
        <v>0</v>
      </c>
      <c r="AG77" s="72">
        <f>Tradingbook_MSB[[#This Row],[Mat. Date]]-RPT</f>
        <v>-3975</v>
      </c>
      <c r="AH77" s="71">
        <f>IF(Tradingbook_MSB[[#This Row],[Days]]&lt;=0,0,YEARFRAC(RPT,Tradingbook_MSB[[#This Row],[Mat. Date]],3))</f>
        <v>0</v>
      </c>
      <c r="AI77" s="71">
        <f>IF(Tradingbook_MSB[[#This Row],[Days (year)]]=0,0,INDEX(Ref!$K$2:$K$13,MATCH(Tradingbook_MSB[[#This Row],[Days (year)]],Ref!$I$2:$I$13,1)))</f>
        <v>0</v>
      </c>
      <c r="AJ77" s="120" t="str">
        <f>VLOOKUP(Tradingbook_MSB[[#This Row],[Security Name]],Ref!X:Z,3,0)</f>
        <v>TPCP</v>
      </c>
      <c r="AK77" s="120" t="str">
        <f>VLOOKUP(Tradingbook_MSB[[#This Row],[Security Name]],Ref!X:Y,2,0)</f>
        <v>KBNN</v>
      </c>
      <c r="AL77" s="71">
        <f>IF((Tradingbook_MSB[[#This Row],[Mat. Date]]-RPT)&lt;=0,0,Tradingbook_MSB[[#This Row],[QUANTITY]])</f>
        <v>0</v>
      </c>
      <c r="AM77" s="71">
        <f>IF(Tradingbook_MSB[[#This Row],[Quantity_edited]]=0,0,Tradingbook_MSB[[#This Row],[DURATION]])</f>
        <v>0</v>
      </c>
      <c r="AN77" s="71">
        <f>IF(Tradingbook_MSB[[#This Row],[Quantity_edited]]=0,0,Tradingbook_MSB[[#This Row],[Mod Dur]])</f>
        <v>0</v>
      </c>
      <c r="AO77" s="71">
        <f>IF(Tradingbook_MSB[[#This Row],[Quantity_edited]]=0,0,Tradingbook_MSB[[#This Row],[Cnvx.]])</f>
        <v>0</v>
      </c>
      <c r="AP77" s="71">
        <f>(Tradingbook_MSB[[#This Row],[MARKET_VALUE]]+Tradingbook_MSB[[#This Row],[Accr Int]]*Tradingbook_MSB[[#This Row],[Quantity_edited]])*(-Tradingbook_MSB[[#This Row],[Modified Duration]]*0.0001+0.5*Tradingbook_MSB[[#This Row],[Conv]]*(0.0001^2))</f>
        <v>0</v>
      </c>
      <c r="AQ77" s="72">
        <f>(Tradingbook_MSB[[#This Row],[MARKET_VALUE]]+Tradingbook_MSB[[#This Row],[Accr Int]]*Tradingbook_MSB[[#This Row],[Quantity_edited]])*(-Tradingbook_MSB[[#This Row],[Modified Duration]]*0.01+0.5*Tradingbook_MSB[[#This Row],[Conv]]*(0.01^2))</f>
        <v>0</v>
      </c>
      <c r="AR77" s="71"/>
      <c r="AT77" t="s">
        <v>166</v>
      </c>
      <c r="AU77" t="s">
        <v>167</v>
      </c>
      <c r="AV77" t="s">
        <v>455</v>
      </c>
      <c r="AW77" t="s">
        <v>169</v>
      </c>
      <c r="AX77" t="s">
        <v>3383</v>
      </c>
      <c r="AY77" t="s">
        <v>3322</v>
      </c>
      <c r="BB77" s="70">
        <v>0</v>
      </c>
      <c r="BC77">
        <v>0</v>
      </c>
      <c r="BD77">
        <v>0</v>
      </c>
      <c r="BE77" s="37">
        <v>0</v>
      </c>
      <c r="BF77">
        <v>6.5</v>
      </c>
      <c r="BG77">
        <v>0</v>
      </c>
      <c r="BH77" s="126">
        <v>13000000000</v>
      </c>
      <c r="BI77">
        <v>13869584444.444462</v>
      </c>
      <c r="BJ77">
        <v>-4850215925.5556507</v>
      </c>
      <c r="BK77">
        <v>0</v>
      </c>
      <c r="BL77">
        <v>0</v>
      </c>
      <c r="BM77">
        <v>0</v>
      </c>
      <c r="BN77">
        <v>0</v>
      </c>
      <c r="BO77">
        <v>0</v>
      </c>
      <c r="BP77">
        <v>0</v>
      </c>
      <c r="BQ77">
        <v>0</v>
      </c>
      <c r="BR77">
        <v>1237000000</v>
      </c>
      <c r="BS77">
        <v>0</v>
      </c>
      <c r="BT77">
        <v>1237000000</v>
      </c>
      <c r="BU77">
        <v>1237000000</v>
      </c>
      <c r="BV77">
        <v>1237000000</v>
      </c>
      <c r="BW77">
        <v>1237000000</v>
      </c>
      <c r="BX77">
        <v>0</v>
      </c>
      <c r="BY77" s="32">
        <f>Bankingbook_MSB[[#This Row],[Mat. Date]]-RPT</f>
        <v>-2049</v>
      </c>
      <c r="BZ77" s="71">
        <f>IF(Bankingbook_MSB[[#This Row],[Days]]&lt;=0,0,YEARFRAC(RPT,Bankingbook_MSB[[#This Row],[Mat. Date]],3))</f>
        <v>0</v>
      </c>
      <c r="CA77" s="71">
        <f>IF(Bankingbook_MSB[[#This Row],[Days (year)]]=0,0,INDEX(Ref!$K$2:$K$13,MATCH(Bankingbook_MSB[[#This Row],[Days (year)]],Ref!$I$2:$I$13,1)))</f>
        <v>0</v>
      </c>
      <c r="CB77" s="32" t="str">
        <f>VLOOKUP(Bankingbook_MSB[[#This Row],[Security Name]],Ref!X:Z,3,0)</f>
        <v>TPCP</v>
      </c>
      <c r="CC77" s="32" t="str">
        <f>VLOOKUP(Bankingbook_MSB[[#This Row],[Security Name]],Ref!X:Y,2,0)</f>
        <v>KBNN</v>
      </c>
      <c r="CD77" s="72">
        <f>IF((Bankingbook_MSB[[#This Row],[Mat. Date]]-RPT)&lt;=0,0,Bankingbook_MSB[[#This Row],[QUANTITY]])</f>
        <v>0</v>
      </c>
      <c r="CE77" s="71">
        <f>IF(Bankingbook_MSB[[#This Row],[Quantity_edited]]=0,0,Bankingbook_MSB[[#This Row],[DURATION]])</f>
        <v>0</v>
      </c>
      <c r="CF77" s="71">
        <f>IF(Bankingbook_MSB[[#This Row],[Quantity_edited]]=0,0,Bankingbook_MSB[[#This Row],[Mod Dur]])</f>
        <v>0</v>
      </c>
      <c r="CG77" s="71">
        <f>IF(Bankingbook_MSB[[#This Row],[Quantity_edited]]=0,0,Bankingbook_MSB[[#This Row],[Cnvx.]])</f>
        <v>0</v>
      </c>
      <c r="CH77" s="71">
        <f>(Bankingbook_MSB[[#This Row],[MARKET_VALUE]]+Bankingbook_MSB[[#This Row],[Accr Int]]*Bankingbook_MSB[[#This Row],[Quantity_edited]])*(-Bankingbook_MSB[[#This Row],[Modified Duration]]*0.0001+0.5*Bankingbook_MSB[[#This Row],[Conv]]*(0.0001^2))</f>
        <v>0</v>
      </c>
      <c r="CI77" s="71">
        <f>(Bankingbook_MSB[[#This Row],[MARKET_VALUE]]+Bankingbook_MSB[[#This Row],[Accr Int]]*Bankingbook_MSB[[#This Row],[Quantity_edited]])*(-Bankingbook_MSB[[#This Row],[Modified Duration]]*0.01+0.5*Bankingbook_MSB[[#This Row],[Conv]]*(0.01^2))</f>
        <v>0</v>
      </c>
      <c r="CJ77" s="32"/>
      <c r="CL77" t="s">
        <v>166</v>
      </c>
      <c r="CM77" t="s">
        <v>167</v>
      </c>
      <c r="CN77" t="s">
        <v>249</v>
      </c>
      <c r="CO77" t="s">
        <v>169</v>
      </c>
      <c r="CP77" s="35">
        <v>42277</v>
      </c>
      <c r="CQ77" t="s">
        <v>3322</v>
      </c>
      <c r="CR77" t="s">
        <v>174</v>
      </c>
      <c r="CS77" t="s">
        <v>174</v>
      </c>
      <c r="CT77" s="49">
        <v>0</v>
      </c>
      <c r="CU77">
        <v>0</v>
      </c>
      <c r="CV77">
        <v>0</v>
      </c>
      <c r="CW77" s="70">
        <v>0</v>
      </c>
      <c r="CX77">
        <v>9.8000000000000007</v>
      </c>
      <c r="CY77">
        <v>0</v>
      </c>
      <c r="CZ77">
        <v>29400000000</v>
      </c>
      <c r="DA77">
        <v>31179791611.111122</v>
      </c>
      <c r="DB77">
        <v>-5773728625.9166489</v>
      </c>
      <c r="DC77">
        <v>9.8000000000000007</v>
      </c>
      <c r="DD77">
        <v>0</v>
      </c>
      <c r="DE77">
        <v>0</v>
      </c>
      <c r="DF77">
        <v>0</v>
      </c>
      <c r="DG77">
        <v>0</v>
      </c>
      <c r="DH77">
        <v>0</v>
      </c>
      <c r="DI77">
        <v>0</v>
      </c>
      <c r="DJ77" s="500">
        <v>12431000000</v>
      </c>
      <c r="DK77" s="500">
        <v>0</v>
      </c>
      <c r="DL77" s="37">
        <v>12431000000</v>
      </c>
      <c r="DM77" s="37">
        <v>12431000000</v>
      </c>
      <c r="DN77" s="37">
        <v>12431000000</v>
      </c>
      <c r="DO77" s="37">
        <v>12431000000</v>
      </c>
      <c r="DP77" s="32">
        <f>Tradingbook_SBV[[#This Row],[Mat. Date]]-RPT</f>
        <v>-3975</v>
      </c>
      <c r="DQ77" s="32">
        <f>IF(Tradingbook_SBV[[#This Row],[Days]]&lt;=0,0,YEARFRAC(RPT,Tradingbook_SBV[[#This Row],[Mat. Date]],3))</f>
        <v>0</v>
      </c>
      <c r="DR77" s="32">
        <f>IF(Tradingbook_SBV[[#This Row],[Days (year)]]=0,0,INDEX(Ref!$K$2:$K$13,MATCH(Tradingbook_SBV[[#This Row],[Days (year)]],Ref!$I$2:$I$13,1)))</f>
        <v>0</v>
      </c>
      <c r="DS77" s="32" t="str">
        <f>VLOOKUP(Tradingbook_SBV[[#This Row],[Security Name]],Ref!X:Z,3,0)</f>
        <v>TPCP</v>
      </c>
      <c r="DT77" s="32" t="str">
        <f>VLOOKUP(Tradingbook_SBV[[#This Row],[Security Name]],Ref!X:Y,2,0)</f>
        <v>KBNN</v>
      </c>
      <c r="DU77" s="71">
        <f>IF((Tradingbook_SBV[[#This Row],[Mat. Date]]-RPT)&lt;=0,0,Tradingbook_SBV[[#This Row],[QUANTITY]])</f>
        <v>0</v>
      </c>
      <c r="DV77" s="71">
        <f>IF(Tradingbook_SBV[[#This Row],[Quantity_edited]]=0,0,Tradingbook_SBV[[#This Row],[DURATION]])</f>
        <v>0</v>
      </c>
      <c r="DW77" s="71">
        <f>IF(Tradingbook_SBV[[#This Row],[Quantity_edited]]=0,0,Tradingbook_SBV[[#This Row],[Mod Dur]])</f>
        <v>0</v>
      </c>
      <c r="DX77" s="71">
        <f>IF(Tradingbook_SBV[[#This Row],[Quantity_edited]]=0,0,Tradingbook_SBV[[#This Row],[Cnvx.]])</f>
        <v>0</v>
      </c>
      <c r="DY77" s="71">
        <f>(Tradingbook_SBV[[#This Row],[MARKET_VALUE]]+Tradingbook_SBV[[#This Row],[Accr Int]]*Tradingbook_SBV[[#This Row],[Quantity_edited]])*(-Tradingbook_SBV[[#This Row],[Modified Duration]]*0.0001+0.5*Tradingbook_SBV[[#This Row],[Conv]]*(0.0001^2))</f>
        <v>0</v>
      </c>
      <c r="DZ77" s="71">
        <f>(Tradingbook_SBV[[#This Row],[MARKET_VALUE]]+Tradingbook_SBV[[#This Row],[Accr Int]]*Tradingbook_SBV[[#This Row],[Quantity_edited]])*(-Tradingbook_SBV[[#This Row],[Modified Duration]]*0.01+0.5*Tradingbook_SBV[[#This Row],[Conv]]*(0.01^2))</f>
        <v>0</v>
      </c>
      <c r="EC77" t="s">
        <v>166</v>
      </c>
      <c r="ED77" t="s">
        <v>167</v>
      </c>
      <c r="EE77" t="s">
        <v>433</v>
      </c>
      <c r="EF77" t="s">
        <v>169</v>
      </c>
      <c r="EG77" s="35" t="s">
        <v>3378</v>
      </c>
      <c r="EH77" t="s">
        <v>3322</v>
      </c>
      <c r="EK77" s="500">
        <v>0</v>
      </c>
      <c r="EL77" s="500">
        <v>0</v>
      </c>
      <c r="EM77" s="500">
        <v>0</v>
      </c>
      <c r="EN77" s="500">
        <v>0</v>
      </c>
      <c r="EO77">
        <v>11.5</v>
      </c>
      <c r="EP77">
        <v>0</v>
      </c>
      <c r="EQ77">
        <v>57500000000</v>
      </c>
      <c r="ER77">
        <v>65786287465.277725</v>
      </c>
      <c r="ES77">
        <v>-19124626483.749882</v>
      </c>
      <c r="ET77">
        <v>0</v>
      </c>
      <c r="EU77">
        <v>0</v>
      </c>
      <c r="EV77">
        <v>0</v>
      </c>
      <c r="EW77">
        <v>0</v>
      </c>
      <c r="EX77">
        <v>0</v>
      </c>
      <c r="EY77">
        <v>0</v>
      </c>
      <c r="EZ77">
        <v>0</v>
      </c>
      <c r="FA77">
        <v>-7470500000</v>
      </c>
      <c r="FB77">
        <v>0</v>
      </c>
      <c r="FC77">
        <v>-7470500000</v>
      </c>
      <c r="FD77">
        <v>-7470500000</v>
      </c>
      <c r="FE77">
        <v>-7470500000</v>
      </c>
      <c r="FF77">
        <v>-7470500000</v>
      </c>
      <c r="FG77" s="32">
        <f>Bankingbook_SBV[[#This Row],[Mat. Date]]-RPT</f>
        <v>-2302</v>
      </c>
      <c r="FH77" s="32">
        <f>IF(Bankingbook_SBV[[#This Row],[Days]]&lt;=0,0,YEARFRAC(RPT,Bankingbook_SBV[[#This Row],[Mat. Date]],3))</f>
        <v>0</v>
      </c>
      <c r="FI77" s="32">
        <f>IF(Bankingbook_SBV[[#This Row],[Days (year)]]=0,0,INDEX(Ref!$K$2:$K$13,MATCH(Bankingbook_SBV[[#This Row],[Days (year)]],Ref!$I$2:$I$13,1)))</f>
        <v>0</v>
      </c>
      <c r="FJ77" s="32" t="str">
        <f>VLOOKUP(Bankingbook_SBV[[#This Row],[Security Name]],Ref!X:Z,3,0)</f>
        <v>TPCPBL</v>
      </c>
      <c r="FK77" s="32" t="str">
        <f>VLOOKUP(Bankingbook_SBV[[#This Row],[Security Name]],Ref!X:Y,2,0)</f>
        <v>VDB</v>
      </c>
      <c r="FL77" s="72">
        <f>IF((Bankingbook_SBV[[#This Row],[Mat. Date]]-RPT)&lt;=0,0,Bankingbook_SBV[[#This Row],[QUANTITY]])</f>
        <v>0</v>
      </c>
      <c r="FM77" s="32">
        <f>IF(Bankingbook_SBV[[#This Row],[Quantity_edited]]=0,0,Bankingbook_SBV[[#This Row],[DURATION]])</f>
        <v>0</v>
      </c>
      <c r="FN77" s="32">
        <f>IF(Bankingbook_SBV[[#This Row],[Quantity_edited]]=0,0,Bankingbook_SBV[[#This Row],[Mod Dur]])</f>
        <v>0</v>
      </c>
      <c r="FO77" s="32">
        <f>IF(Bankingbook_SBV[[#This Row],[Quantity_edited]]=0,0,Bankingbook_SBV[[#This Row],[Cnvx.]])</f>
        <v>0</v>
      </c>
      <c r="FP77" s="32">
        <f>(Bankingbook_SBV[[#This Row],[MARKET_VALUE]]+Bankingbook_SBV[[#This Row],[Accr Int]]*Bankingbook_SBV[[#This Row],[Quantity_edited]])*(-Bankingbook_SBV[[#This Row],[Modified Duration]]*0.0001+0.5*Bankingbook_SBV[[#This Row],[Conv]]*(0.0001^2))</f>
        <v>0</v>
      </c>
      <c r="FQ77" s="32">
        <f>(Bankingbook_SBV[[#This Row],[MARKET_VALUE]]+Bankingbook_SBV[[#This Row],[Accr Int]]*Bankingbook_SBV[[#This Row],[Quantity_edited]])*(-Bankingbook_SBV[[#This Row],[Modified Duration]]*0.01+0.5*Bankingbook_SBV[[#This Row],[Conv]]*(0.01^2))</f>
        <v>0</v>
      </c>
      <c r="FT77" t="s">
        <v>166</v>
      </c>
      <c r="FU77" t="s">
        <v>790</v>
      </c>
      <c r="FV77" t="s">
        <v>4062</v>
      </c>
      <c r="FW77">
        <v>3331703</v>
      </c>
      <c r="FX77" s="502">
        <v>46244</v>
      </c>
      <c r="FY77" t="s">
        <v>2176</v>
      </c>
      <c r="FZ77" t="s">
        <v>812</v>
      </c>
      <c r="GA77" t="s">
        <v>3585</v>
      </c>
      <c r="GB77" t="s">
        <v>810</v>
      </c>
      <c r="GC77" t="s">
        <v>3051</v>
      </c>
      <c r="GD77" s="500">
        <v>-33417600000</v>
      </c>
      <c r="GE77">
        <v>8.0003080000000004</v>
      </c>
      <c r="GF77" s="502">
        <v>46246</v>
      </c>
      <c r="GG77" s="502">
        <v>46338</v>
      </c>
      <c r="GH77">
        <v>4.5</v>
      </c>
      <c r="GI77" t="s">
        <v>811</v>
      </c>
      <c r="GJ77" t="s">
        <v>3321</v>
      </c>
      <c r="GK77" t="s">
        <v>3321</v>
      </c>
      <c r="GL77">
        <v>27105386.670000002</v>
      </c>
      <c r="GM77">
        <v>-24719868.489999998</v>
      </c>
      <c r="GN77">
        <v>36402000000</v>
      </c>
      <c r="GO77">
        <v>8.1999999999999993</v>
      </c>
      <c r="GP77">
        <v>0.23</v>
      </c>
      <c r="GQ77">
        <v>0.24199999999999999</v>
      </c>
      <c r="GR77">
        <v>7.7822380000000004</v>
      </c>
      <c r="GS77">
        <v>-33193083856.540001</v>
      </c>
      <c r="GT77">
        <v>224516143.46000001</v>
      </c>
      <c r="GU77" t="s">
        <v>4156</v>
      </c>
      <c r="GV77" t="s">
        <v>4156</v>
      </c>
      <c r="GW77" s="416">
        <f>FNRP_Repo[[#This Row],[Mat. Date]]-RPT</f>
        <v>86</v>
      </c>
      <c r="GX77" s="819" t="str">
        <f>IF(FNRP_Repo[[#This Row],[Days]]&lt;=0,"Mat",INDEX(Ref!U:U,MATCH(FNRP_Repo[[#This Row],[Days]],Ref!S:S,1)))</f>
        <v>3M</v>
      </c>
      <c r="GY77" s="417">
        <f>RIGHT(FNRP_Repo[[#This Row],[Deal Id]],5)+0</f>
        <v>18106</v>
      </c>
    </row>
    <row r="78" spans="2:207" x14ac:dyDescent="0.3">
      <c r="B78" t="s">
        <v>166</v>
      </c>
      <c r="C78" t="s">
        <v>167</v>
      </c>
      <c r="D78" t="s">
        <v>250</v>
      </c>
      <c r="E78" t="s">
        <v>169</v>
      </c>
      <c r="F78" s="502">
        <v>42278</v>
      </c>
      <c r="G78" t="s">
        <v>3322</v>
      </c>
      <c r="H78"/>
      <c r="I78"/>
      <c r="J78" s="38">
        <v>0</v>
      </c>
      <c r="K78">
        <v>0</v>
      </c>
      <c r="L78">
        <v>0</v>
      </c>
      <c r="M78" s="38">
        <v>0</v>
      </c>
      <c r="N78">
        <v>8.4</v>
      </c>
      <c r="O78">
        <v>0</v>
      </c>
      <c r="P78" s="37">
        <v>8400000000</v>
      </c>
      <c r="Q78" s="37">
        <v>8698928000.0000019</v>
      </c>
      <c r="R78" s="37">
        <v>-2830926455.2777801</v>
      </c>
      <c r="S78">
        <v>8.4</v>
      </c>
      <c r="T78" s="70">
        <v>0</v>
      </c>
      <c r="U78">
        <v>0</v>
      </c>
      <c r="V78">
        <v>0</v>
      </c>
      <c r="W78">
        <v>0</v>
      </c>
      <c r="X78" s="38">
        <v>0</v>
      </c>
      <c r="Y78">
        <v>0</v>
      </c>
      <c r="Z78" s="70">
        <v>3916000000</v>
      </c>
      <c r="AA78" s="70">
        <v>0</v>
      </c>
      <c r="AB78" s="70">
        <v>3916000000</v>
      </c>
      <c r="AC78" s="70">
        <v>3916000000</v>
      </c>
      <c r="AD78" s="70">
        <v>3916000000</v>
      </c>
      <c r="AE78" s="70">
        <v>3916000000</v>
      </c>
      <c r="AF78">
        <v>0</v>
      </c>
      <c r="AG78" s="72">
        <f>Tradingbook_MSB[[#This Row],[Mat. Date]]-RPT</f>
        <v>-3974</v>
      </c>
      <c r="AH78" s="71">
        <f>IF(Tradingbook_MSB[[#This Row],[Days]]&lt;=0,0,YEARFRAC(RPT,Tradingbook_MSB[[#This Row],[Mat. Date]],3))</f>
        <v>0</v>
      </c>
      <c r="AI78" s="71">
        <f>IF(Tradingbook_MSB[[#This Row],[Days (year)]]=0,0,INDEX(Ref!$K$2:$K$13,MATCH(Tradingbook_MSB[[#This Row],[Days (year)]],Ref!$I$2:$I$13,1)))</f>
        <v>0</v>
      </c>
      <c r="AJ78" s="120" t="str">
        <f>VLOOKUP(Tradingbook_MSB[[#This Row],[Security Name]],Ref!X:Z,3,0)</f>
        <v>TPCPBL</v>
      </c>
      <c r="AK78" s="120" t="str">
        <f>VLOOKUP(Tradingbook_MSB[[#This Row],[Security Name]],Ref!X:Y,2,0)</f>
        <v>VDB</v>
      </c>
      <c r="AL78" s="71">
        <f>IF((Tradingbook_MSB[[#This Row],[Mat. Date]]-RPT)&lt;=0,0,Tradingbook_MSB[[#This Row],[QUANTITY]])</f>
        <v>0</v>
      </c>
      <c r="AM78" s="71">
        <f>IF(Tradingbook_MSB[[#This Row],[Quantity_edited]]=0,0,Tradingbook_MSB[[#This Row],[DURATION]])</f>
        <v>0</v>
      </c>
      <c r="AN78" s="71">
        <f>IF(Tradingbook_MSB[[#This Row],[Quantity_edited]]=0,0,Tradingbook_MSB[[#This Row],[Mod Dur]])</f>
        <v>0</v>
      </c>
      <c r="AO78" s="71">
        <f>IF(Tradingbook_MSB[[#This Row],[Quantity_edited]]=0,0,Tradingbook_MSB[[#This Row],[Cnvx.]])</f>
        <v>0</v>
      </c>
      <c r="AP78" s="71">
        <f>(Tradingbook_MSB[[#This Row],[MARKET_VALUE]]+Tradingbook_MSB[[#This Row],[Accr Int]]*Tradingbook_MSB[[#This Row],[Quantity_edited]])*(-Tradingbook_MSB[[#This Row],[Modified Duration]]*0.0001+0.5*Tradingbook_MSB[[#This Row],[Conv]]*(0.0001^2))</f>
        <v>0</v>
      </c>
      <c r="AQ78" s="72">
        <f>(Tradingbook_MSB[[#This Row],[MARKET_VALUE]]+Tradingbook_MSB[[#This Row],[Accr Int]]*Tradingbook_MSB[[#This Row],[Quantity_edited]])*(-Tradingbook_MSB[[#This Row],[Modified Duration]]*0.01+0.5*Tradingbook_MSB[[#This Row],[Conv]]*(0.01^2))</f>
        <v>0</v>
      </c>
      <c r="AR78" s="71"/>
      <c r="AT78" t="s">
        <v>166</v>
      </c>
      <c r="AU78" t="s">
        <v>167</v>
      </c>
      <c r="AV78" t="s">
        <v>457</v>
      </c>
      <c r="AW78" t="s">
        <v>169</v>
      </c>
      <c r="AX78" t="s">
        <v>3384</v>
      </c>
      <c r="AY78" t="s">
        <v>3322</v>
      </c>
      <c r="BB78" s="70">
        <v>0</v>
      </c>
      <c r="BC78">
        <v>0</v>
      </c>
      <c r="BD78">
        <v>0</v>
      </c>
      <c r="BE78" s="37">
        <v>0</v>
      </c>
      <c r="BF78">
        <v>6.5</v>
      </c>
      <c r="BG78">
        <v>0</v>
      </c>
      <c r="BH78" s="126">
        <v>6500000000</v>
      </c>
      <c r="BI78">
        <v>6924721736.1111155</v>
      </c>
      <c r="BJ78">
        <v>-2220339204.5833826</v>
      </c>
      <c r="BK78">
        <v>0</v>
      </c>
      <c r="BL78">
        <v>0</v>
      </c>
      <c r="BM78">
        <v>0</v>
      </c>
      <c r="BN78">
        <v>0</v>
      </c>
      <c r="BO78">
        <v>0</v>
      </c>
      <c r="BP78">
        <v>0</v>
      </c>
      <c r="BQ78">
        <v>0</v>
      </c>
      <c r="BR78">
        <v>1268000000</v>
      </c>
      <c r="BS78">
        <v>0</v>
      </c>
      <c r="BT78">
        <v>1268000000</v>
      </c>
      <c r="BU78">
        <v>1268000000</v>
      </c>
      <c r="BV78">
        <v>1268000000</v>
      </c>
      <c r="BW78">
        <v>1268000000</v>
      </c>
      <c r="BX78">
        <v>0</v>
      </c>
      <c r="BY78" s="32">
        <f>Bankingbook_MSB[[#This Row],[Mat. Date]]-RPT</f>
        <v>-2007</v>
      </c>
      <c r="BZ78" s="71">
        <f>IF(Bankingbook_MSB[[#This Row],[Days]]&lt;=0,0,YEARFRAC(RPT,Bankingbook_MSB[[#This Row],[Mat. Date]],3))</f>
        <v>0</v>
      </c>
      <c r="CA78" s="71">
        <f>IF(Bankingbook_MSB[[#This Row],[Days (year)]]=0,0,INDEX(Ref!$K$2:$K$13,MATCH(Bankingbook_MSB[[#This Row],[Days (year)]],Ref!$I$2:$I$13,1)))</f>
        <v>0</v>
      </c>
      <c r="CB78" s="32" t="str">
        <f>VLOOKUP(Bankingbook_MSB[[#This Row],[Security Name]],Ref!X:Z,3,0)</f>
        <v>TPCP</v>
      </c>
      <c r="CC78" s="32" t="str">
        <f>VLOOKUP(Bankingbook_MSB[[#This Row],[Security Name]],Ref!X:Y,2,0)</f>
        <v>KBNN</v>
      </c>
      <c r="CD78" s="72">
        <f>IF((Bankingbook_MSB[[#This Row],[Mat. Date]]-RPT)&lt;=0,0,Bankingbook_MSB[[#This Row],[QUANTITY]])</f>
        <v>0</v>
      </c>
      <c r="CE78" s="71">
        <f>IF(Bankingbook_MSB[[#This Row],[Quantity_edited]]=0,0,Bankingbook_MSB[[#This Row],[DURATION]])</f>
        <v>0</v>
      </c>
      <c r="CF78" s="71">
        <f>IF(Bankingbook_MSB[[#This Row],[Quantity_edited]]=0,0,Bankingbook_MSB[[#This Row],[Mod Dur]])</f>
        <v>0</v>
      </c>
      <c r="CG78" s="71">
        <f>IF(Bankingbook_MSB[[#This Row],[Quantity_edited]]=0,0,Bankingbook_MSB[[#This Row],[Cnvx.]])</f>
        <v>0</v>
      </c>
      <c r="CH78" s="71">
        <f>(Bankingbook_MSB[[#This Row],[MARKET_VALUE]]+Bankingbook_MSB[[#This Row],[Accr Int]]*Bankingbook_MSB[[#This Row],[Quantity_edited]])*(-Bankingbook_MSB[[#This Row],[Modified Duration]]*0.0001+0.5*Bankingbook_MSB[[#This Row],[Conv]]*(0.0001^2))</f>
        <v>0</v>
      </c>
      <c r="CI78" s="71">
        <f>(Bankingbook_MSB[[#This Row],[MARKET_VALUE]]+Bankingbook_MSB[[#This Row],[Accr Int]]*Bankingbook_MSB[[#This Row],[Quantity_edited]])*(-Bankingbook_MSB[[#This Row],[Modified Duration]]*0.01+0.5*Bankingbook_MSB[[#This Row],[Conv]]*(0.01^2))</f>
        <v>0</v>
      </c>
      <c r="CJ78" s="32"/>
      <c r="CL78" t="s">
        <v>166</v>
      </c>
      <c r="CM78" t="s">
        <v>167</v>
      </c>
      <c r="CN78" t="s">
        <v>250</v>
      </c>
      <c r="CO78" t="s">
        <v>169</v>
      </c>
      <c r="CP78" s="35">
        <v>42278</v>
      </c>
      <c r="CQ78" t="s">
        <v>3322</v>
      </c>
      <c r="CR78" t="s">
        <v>174</v>
      </c>
      <c r="CS78" t="s">
        <v>174</v>
      </c>
      <c r="CT78" s="49">
        <v>0</v>
      </c>
      <c r="CU78">
        <v>0</v>
      </c>
      <c r="CV78">
        <v>0</v>
      </c>
      <c r="CW78" s="70">
        <v>0</v>
      </c>
      <c r="CX78">
        <v>8.4</v>
      </c>
      <c r="CY78">
        <v>0</v>
      </c>
      <c r="CZ78">
        <v>8400000000</v>
      </c>
      <c r="DA78">
        <v>8698928000.0000019</v>
      </c>
      <c r="DB78">
        <v>-2830926455.2777801</v>
      </c>
      <c r="DC78">
        <v>8.4</v>
      </c>
      <c r="DD78">
        <v>0</v>
      </c>
      <c r="DE78">
        <v>0</v>
      </c>
      <c r="DF78">
        <v>0</v>
      </c>
      <c r="DG78">
        <v>0</v>
      </c>
      <c r="DH78">
        <v>0</v>
      </c>
      <c r="DI78">
        <v>0</v>
      </c>
      <c r="DJ78" s="500">
        <v>3916000000</v>
      </c>
      <c r="DK78" s="500">
        <v>0</v>
      </c>
      <c r="DL78" s="37">
        <v>3916000000</v>
      </c>
      <c r="DM78" s="37">
        <v>3916000000</v>
      </c>
      <c r="DN78" s="37">
        <v>3916000000</v>
      </c>
      <c r="DO78" s="37">
        <v>3916000000</v>
      </c>
      <c r="DP78" s="32">
        <f>Tradingbook_SBV[[#This Row],[Mat. Date]]-RPT</f>
        <v>-3974</v>
      </c>
      <c r="DQ78" s="32">
        <f>IF(Tradingbook_SBV[[#This Row],[Days]]&lt;=0,0,YEARFRAC(RPT,Tradingbook_SBV[[#This Row],[Mat. Date]],3))</f>
        <v>0</v>
      </c>
      <c r="DR78" s="32">
        <f>IF(Tradingbook_SBV[[#This Row],[Days (year)]]=0,0,INDEX(Ref!$K$2:$K$13,MATCH(Tradingbook_SBV[[#This Row],[Days (year)]],Ref!$I$2:$I$13,1)))</f>
        <v>0</v>
      </c>
      <c r="DS78" s="32" t="str">
        <f>VLOOKUP(Tradingbook_SBV[[#This Row],[Security Name]],Ref!X:Z,3,0)</f>
        <v>TPCPBL</v>
      </c>
      <c r="DT78" s="32" t="str">
        <f>VLOOKUP(Tradingbook_SBV[[#This Row],[Security Name]],Ref!X:Y,2,0)</f>
        <v>VDB</v>
      </c>
      <c r="DU78" s="71">
        <f>IF((Tradingbook_SBV[[#This Row],[Mat. Date]]-RPT)&lt;=0,0,Tradingbook_SBV[[#This Row],[QUANTITY]])</f>
        <v>0</v>
      </c>
      <c r="DV78" s="71">
        <f>IF(Tradingbook_SBV[[#This Row],[Quantity_edited]]=0,0,Tradingbook_SBV[[#This Row],[DURATION]])</f>
        <v>0</v>
      </c>
      <c r="DW78" s="71">
        <f>IF(Tradingbook_SBV[[#This Row],[Quantity_edited]]=0,0,Tradingbook_SBV[[#This Row],[Mod Dur]])</f>
        <v>0</v>
      </c>
      <c r="DX78" s="71">
        <f>IF(Tradingbook_SBV[[#This Row],[Quantity_edited]]=0,0,Tradingbook_SBV[[#This Row],[Cnvx.]])</f>
        <v>0</v>
      </c>
      <c r="DY78" s="71">
        <f>(Tradingbook_SBV[[#This Row],[MARKET_VALUE]]+Tradingbook_SBV[[#This Row],[Accr Int]]*Tradingbook_SBV[[#This Row],[Quantity_edited]])*(-Tradingbook_SBV[[#This Row],[Modified Duration]]*0.0001+0.5*Tradingbook_SBV[[#This Row],[Conv]]*(0.0001^2))</f>
        <v>0</v>
      </c>
      <c r="DZ78" s="71">
        <f>(Tradingbook_SBV[[#This Row],[MARKET_VALUE]]+Tradingbook_SBV[[#This Row],[Accr Int]]*Tradingbook_SBV[[#This Row],[Quantity_edited]])*(-Tradingbook_SBV[[#This Row],[Modified Duration]]*0.01+0.5*Tradingbook_SBV[[#This Row],[Conv]]*(0.01^2))</f>
        <v>0</v>
      </c>
      <c r="EC78" t="s">
        <v>166</v>
      </c>
      <c r="ED78" t="s">
        <v>167</v>
      </c>
      <c r="EE78" t="s">
        <v>434</v>
      </c>
      <c r="EF78" t="s">
        <v>169</v>
      </c>
      <c r="EG78" s="35" t="s">
        <v>3379</v>
      </c>
      <c r="EH78" t="s">
        <v>170</v>
      </c>
      <c r="EK78" s="500">
        <v>257000</v>
      </c>
      <c r="EL78" s="500">
        <v>25700000000</v>
      </c>
      <c r="EM78" s="500">
        <v>133815.73000000001</v>
      </c>
      <c r="EN78" s="500">
        <v>0</v>
      </c>
      <c r="EO78">
        <v>11.6</v>
      </c>
      <c r="EP78">
        <v>0</v>
      </c>
      <c r="EQ78">
        <v>185924800000</v>
      </c>
      <c r="ER78">
        <v>220733412645.55573</v>
      </c>
      <c r="ES78">
        <v>-118386198810.93898</v>
      </c>
      <c r="ET78">
        <v>0</v>
      </c>
      <c r="EU78">
        <v>0</v>
      </c>
      <c r="EV78">
        <v>0</v>
      </c>
      <c r="EW78">
        <v>0</v>
      </c>
      <c r="EX78">
        <v>0</v>
      </c>
      <c r="EY78">
        <v>0</v>
      </c>
      <c r="EZ78">
        <v>0</v>
      </c>
      <c r="FA78">
        <v>-60753734000.000023</v>
      </c>
      <c r="FB78">
        <v>0</v>
      </c>
      <c r="FC78">
        <v>-60753734000.000023</v>
      </c>
      <c r="FD78">
        <v>-60753734000.000023</v>
      </c>
      <c r="FE78">
        <v>-60753734000</v>
      </c>
      <c r="FF78">
        <v>-60753734000.000023</v>
      </c>
      <c r="FG78" s="32">
        <f>Bankingbook_SBV[[#This Row],[Mat. Date]]-RPT</f>
        <v>-2277</v>
      </c>
      <c r="FH78" s="32">
        <f>IF(Bankingbook_SBV[[#This Row],[Days]]&lt;=0,0,YEARFRAC(RPT,Bankingbook_SBV[[#This Row],[Mat. Date]],3))</f>
        <v>0</v>
      </c>
      <c r="FI78" s="32">
        <f>IF(Bankingbook_SBV[[#This Row],[Days (year)]]=0,0,INDEX(Ref!$K$2:$K$13,MATCH(Bankingbook_SBV[[#This Row],[Days (year)]],Ref!$I$2:$I$13,1)))</f>
        <v>0</v>
      </c>
      <c r="FJ78" s="32" t="str">
        <f>VLOOKUP(Bankingbook_SBV[[#This Row],[Security Name]],Ref!X:Z,3,0)</f>
        <v>TPCPBL</v>
      </c>
      <c r="FK78" s="32" t="str">
        <f>VLOOKUP(Bankingbook_SBV[[#This Row],[Security Name]],Ref!X:Y,2,0)</f>
        <v>VDB</v>
      </c>
      <c r="FL78" s="72">
        <f>IF((Bankingbook_SBV[[#This Row],[Mat. Date]]-RPT)&lt;=0,0,Bankingbook_SBV[[#This Row],[QUANTITY]])</f>
        <v>0</v>
      </c>
      <c r="FM78" s="32">
        <f>IF(Bankingbook_SBV[[#This Row],[Quantity_edited]]=0,0,Bankingbook_SBV[[#This Row],[DURATION]])</f>
        <v>0</v>
      </c>
      <c r="FN78" s="32">
        <f>IF(Bankingbook_SBV[[#This Row],[Quantity_edited]]=0,0,Bankingbook_SBV[[#This Row],[Mod Dur]])</f>
        <v>0</v>
      </c>
      <c r="FO78" s="32">
        <f>IF(Bankingbook_SBV[[#This Row],[Quantity_edited]]=0,0,Bankingbook_SBV[[#This Row],[Cnvx.]])</f>
        <v>0</v>
      </c>
      <c r="FP78" s="32">
        <f>(Bankingbook_SBV[[#This Row],[MARKET_VALUE]]+Bankingbook_SBV[[#This Row],[Accr Int]]*Bankingbook_SBV[[#This Row],[Quantity_edited]])*(-Bankingbook_SBV[[#This Row],[Modified Duration]]*0.0001+0.5*Bankingbook_SBV[[#This Row],[Conv]]*(0.0001^2))</f>
        <v>0</v>
      </c>
      <c r="FQ78" s="32">
        <f>(Bankingbook_SBV[[#This Row],[MARKET_VALUE]]+Bankingbook_SBV[[#This Row],[Accr Int]]*Bankingbook_SBV[[#This Row],[Quantity_edited]])*(-Bankingbook_SBV[[#This Row],[Modified Duration]]*0.01+0.5*Bankingbook_SBV[[#This Row],[Conv]]*(0.01^2))</f>
        <v>0</v>
      </c>
      <c r="FT78" t="s">
        <v>166</v>
      </c>
      <c r="FU78" t="s">
        <v>790</v>
      </c>
      <c r="FV78" t="s">
        <v>4063</v>
      </c>
      <c r="FW78">
        <v>3334221</v>
      </c>
      <c r="FX78" s="502">
        <v>46246</v>
      </c>
      <c r="FY78" t="s">
        <v>2176</v>
      </c>
      <c r="FZ78" t="s">
        <v>812</v>
      </c>
      <c r="GA78" t="s">
        <v>3585</v>
      </c>
      <c r="GB78" t="s">
        <v>810</v>
      </c>
      <c r="GC78" t="s">
        <v>1209</v>
      </c>
      <c r="GD78" s="500">
        <v>-616583000000</v>
      </c>
      <c r="GE78">
        <v>10.000562</v>
      </c>
      <c r="GF78" s="502">
        <v>46248</v>
      </c>
      <c r="GG78" s="502">
        <v>46342</v>
      </c>
      <c r="GH78">
        <v>4.45</v>
      </c>
      <c r="GI78" t="s">
        <v>811</v>
      </c>
      <c r="GJ78" t="s">
        <v>3321</v>
      </c>
      <c r="GK78" t="s">
        <v>3321</v>
      </c>
      <c r="GL78">
        <v>349397033.32999998</v>
      </c>
      <c r="GM78">
        <v>-300689791.77999997</v>
      </c>
      <c r="GN78">
        <v>685415500000</v>
      </c>
      <c r="GO78">
        <v>10.039999999999999</v>
      </c>
      <c r="GP78">
        <v>0.24</v>
      </c>
      <c r="GQ78">
        <v>0.25600000000000001</v>
      </c>
      <c r="GR78">
        <v>7.8410080000000004</v>
      </c>
      <c r="GS78">
        <v>-611913963029.38</v>
      </c>
      <c r="GT78">
        <v>4669036970.6199999</v>
      </c>
      <c r="GU78" t="s">
        <v>4150</v>
      </c>
      <c r="GV78" t="s">
        <v>4150</v>
      </c>
      <c r="GW78" s="416">
        <f>FNRP_Repo[[#This Row],[Mat. Date]]-RPT</f>
        <v>90</v>
      </c>
      <c r="GX78" s="819" t="str">
        <f>IF(FNRP_Repo[[#This Row],[Days]]&lt;=0,"Mat",INDEX(Ref!U:U,MATCH(FNRP_Repo[[#This Row],[Days]],Ref!S:S,1)))</f>
        <v>3M</v>
      </c>
      <c r="GY78" s="417">
        <f>RIGHT(FNRP_Repo[[#This Row],[Deal Id]],5)+0</f>
        <v>18117</v>
      </c>
    </row>
    <row r="79" spans="2:207" x14ac:dyDescent="0.3">
      <c r="B79" t="s">
        <v>166</v>
      </c>
      <c r="C79" t="s">
        <v>167</v>
      </c>
      <c r="D79" t="s">
        <v>251</v>
      </c>
      <c r="E79" t="s">
        <v>169</v>
      </c>
      <c r="F79" s="502">
        <v>42291</v>
      </c>
      <c r="G79" t="s">
        <v>3322</v>
      </c>
      <c r="H79"/>
      <c r="I79"/>
      <c r="J79" s="38">
        <v>0</v>
      </c>
      <c r="K79">
        <v>0</v>
      </c>
      <c r="L79">
        <v>0</v>
      </c>
      <c r="M79" s="38">
        <v>0</v>
      </c>
      <c r="N79">
        <v>8.4</v>
      </c>
      <c r="O79">
        <v>0</v>
      </c>
      <c r="P79" s="37">
        <v>0</v>
      </c>
      <c r="Q79" s="37">
        <v>0</v>
      </c>
      <c r="R79" s="37">
        <v>-1652452886.3888936</v>
      </c>
      <c r="S79">
        <v>8.4</v>
      </c>
      <c r="T79" s="70">
        <v>0</v>
      </c>
      <c r="U79">
        <v>0</v>
      </c>
      <c r="V79">
        <v>0</v>
      </c>
      <c r="W79">
        <v>0</v>
      </c>
      <c r="X79" s="38">
        <v>0</v>
      </c>
      <c r="Y79">
        <v>0</v>
      </c>
      <c r="Z79" s="70">
        <v>4155000000</v>
      </c>
      <c r="AA79" s="70">
        <v>0</v>
      </c>
      <c r="AB79" s="70">
        <v>4155000000</v>
      </c>
      <c r="AC79" s="70">
        <v>4155000000</v>
      </c>
      <c r="AD79" s="70">
        <v>4155000000</v>
      </c>
      <c r="AE79" s="70">
        <v>4155000000</v>
      </c>
      <c r="AF79">
        <v>0</v>
      </c>
      <c r="AG79" s="72">
        <f>Tradingbook_MSB[[#This Row],[Mat. Date]]-RPT</f>
        <v>-3961</v>
      </c>
      <c r="AH79" s="71">
        <f>IF(Tradingbook_MSB[[#This Row],[Days]]&lt;=0,0,YEARFRAC(RPT,Tradingbook_MSB[[#This Row],[Mat. Date]],3))</f>
        <v>0</v>
      </c>
      <c r="AI79" s="71">
        <f>IF(Tradingbook_MSB[[#This Row],[Days (year)]]=0,0,INDEX(Ref!$K$2:$K$13,MATCH(Tradingbook_MSB[[#This Row],[Days (year)]],Ref!$I$2:$I$13,1)))</f>
        <v>0</v>
      </c>
      <c r="AJ79" s="120" t="str">
        <f>VLOOKUP(Tradingbook_MSB[[#This Row],[Security Name]],Ref!X:Z,3,0)</f>
        <v>TPCPBL</v>
      </c>
      <c r="AK79" s="120" t="str">
        <f>VLOOKUP(Tradingbook_MSB[[#This Row],[Security Name]],Ref!X:Y,2,0)</f>
        <v>VDB</v>
      </c>
      <c r="AL79" s="71">
        <f>IF((Tradingbook_MSB[[#This Row],[Mat. Date]]-RPT)&lt;=0,0,Tradingbook_MSB[[#This Row],[QUANTITY]])</f>
        <v>0</v>
      </c>
      <c r="AM79" s="71">
        <f>IF(Tradingbook_MSB[[#This Row],[Quantity_edited]]=0,0,Tradingbook_MSB[[#This Row],[DURATION]])</f>
        <v>0</v>
      </c>
      <c r="AN79" s="71">
        <f>IF(Tradingbook_MSB[[#This Row],[Quantity_edited]]=0,0,Tradingbook_MSB[[#This Row],[Mod Dur]])</f>
        <v>0</v>
      </c>
      <c r="AO79" s="71">
        <f>IF(Tradingbook_MSB[[#This Row],[Quantity_edited]]=0,0,Tradingbook_MSB[[#This Row],[Cnvx.]])</f>
        <v>0</v>
      </c>
      <c r="AP79" s="71">
        <f>(Tradingbook_MSB[[#This Row],[MARKET_VALUE]]+Tradingbook_MSB[[#This Row],[Accr Int]]*Tradingbook_MSB[[#This Row],[Quantity_edited]])*(-Tradingbook_MSB[[#This Row],[Modified Duration]]*0.0001+0.5*Tradingbook_MSB[[#This Row],[Conv]]*(0.0001^2))</f>
        <v>0</v>
      </c>
      <c r="AQ79" s="72">
        <f>(Tradingbook_MSB[[#This Row],[MARKET_VALUE]]+Tradingbook_MSB[[#This Row],[Accr Int]]*Tradingbook_MSB[[#This Row],[Quantity_edited]])*(-Tradingbook_MSB[[#This Row],[Modified Duration]]*0.01+0.5*Tradingbook_MSB[[#This Row],[Conv]]*(0.01^2))</f>
        <v>0</v>
      </c>
      <c r="AR79" s="71"/>
      <c r="AT79" t="s">
        <v>166</v>
      </c>
      <c r="AU79" t="s">
        <v>167</v>
      </c>
      <c r="AV79" t="s">
        <v>459</v>
      </c>
      <c r="AW79" t="s">
        <v>169</v>
      </c>
      <c r="AX79" t="s">
        <v>3385</v>
      </c>
      <c r="AY79" t="s">
        <v>3322</v>
      </c>
      <c r="BB79" s="70">
        <v>0</v>
      </c>
      <c r="BC79">
        <v>0</v>
      </c>
      <c r="BD79">
        <v>0</v>
      </c>
      <c r="BE79" s="37">
        <v>0</v>
      </c>
      <c r="BF79">
        <v>6.3</v>
      </c>
      <c r="BG79">
        <v>0</v>
      </c>
      <c r="BH79" s="126">
        <v>3150000000</v>
      </c>
      <c r="BI79">
        <v>3354146687.5000038</v>
      </c>
      <c r="BJ79">
        <v>-1179993554.1666903</v>
      </c>
      <c r="BK79">
        <v>0</v>
      </c>
      <c r="BL79">
        <v>0</v>
      </c>
      <c r="BM79">
        <v>0</v>
      </c>
      <c r="BN79">
        <v>0</v>
      </c>
      <c r="BO79">
        <v>0</v>
      </c>
      <c r="BP79">
        <v>0</v>
      </c>
      <c r="BQ79">
        <v>0</v>
      </c>
      <c r="BR79">
        <v>258500000</v>
      </c>
      <c r="BS79">
        <v>0</v>
      </c>
      <c r="BT79">
        <v>258500000</v>
      </c>
      <c r="BU79">
        <v>258500000</v>
      </c>
      <c r="BV79">
        <v>258500000</v>
      </c>
      <c r="BW79">
        <v>258500000</v>
      </c>
      <c r="BX79">
        <v>0</v>
      </c>
      <c r="BY79" s="32">
        <f>Bankingbook_MSB[[#This Row],[Mat. Date]]-RPT</f>
        <v>-2000</v>
      </c>
      <c r="BZ79" s="71">
        <f>IF(Bankingbook_MSB[[#This Row],[Days]]&lt;=0,0,YEARFRAC(RPT,Bankingbook_MSB[[#This Row],[Mat. Date]],3))</f>
        <v>0</v>
      </c>
      <c r="CA79" s="71">
        <f>IF(Bankingbook_MSB[[#This Row],[Days (year)]]=0,0,INDEX(Ref!$K$2:$K$13,MATCH(Bankingbook_MSB[[#This Row],[Days (year)]],Ref!$I$2:$I$13,1)))</f>
        <v>0</v>
      </c>
      <c r="CB79" s="32" t="str">
        <f>VLOOKUP(Bankingbook_MSB[[#This Row],[Security Name]],Ref!X:Z,3,0)</f>
        <v>TPCP</v>
      </c>
      <c r="CC79" s="32" t="str">
        <f>VLOOKUP(Bankingbook_MSB[[#This Row],[Security Name]],Ref!X:Y,2,0)</f>
        <v>KBNN</v>
      </c>
      <c r="CD79" s="72">
        <f>IF((Bankingbook_MSB[[#This Row],[Mat. Date]]-RPT)&lt;=0,0,Bankingbook_MSB[[#This Row],[QUANTITY]])</f>
        <v>0</v>
      </c>
      <c r="CE79" s="71">
        <f>IF(Bankingbook_MSB[[#This Row],[Quantity_edited]]=0,0,Bankingbook_MSB[[#This Row],[DURATION]])</f>
        <v>0</v>
      </c>
      <c r="CF79" s="71">
        <f>IF(Bankingbook_MSB[[#This Row],[Quantity_edited]]=0,0,Bankingbook_MSB[[#This Row],[Mod Dur]])</f>
        <v>0</v>
      </c>
      <c r="CG79" s="71">
        <f>IF(Bankingbook_MSB[[#This Row],[Quantity_edited]]=0,0,Bankingbook_MSB[[#This Row],[Cnvx.]])</f>
        <v>0</v>
      </c>
      <c r="CH79" s="71">
        <f>(Bankingbook_MSB[[#This Row],[MARKET_VALUE]]+Bankingbook_MSB[[#This Row],[Accr Int]]*Bankingbook_MSB[[#This Row],[Quantity_edited]])*(-Bankingbook_MSB[[#This Row],[Modified Duration]]*0.0001+0.5*Bankingbook_MSB[[#This Row],[Conv]]*(0.0001^2))</f>
        <v>0</v>
      </c>
      <c r="CI79" s="71">
        <f>(Bankingbook_MSB[[#This Row],[MARKET_VALUE]]+Bankingbook_MSB[[#This Row],[Accr Int]]*Bankingbook_MSB[[#This Row],[Quantity_edited]])*(-Bankingbook_MSB[[#This Row],[Modified Duration]]*0.01+0.5*Bankingbook_MSB[[#This Row],[Conv]]*(0.01^2))</f>
        <v>0</v>
      </c>
      <c r="CJ79" s="32"/>
      <c r="CL79" t="s">
        <v>166</v>
      </c>
      <c r="CM79" t="s">
        <v>167</v>
      </c>
      <c r="CN79" t="s">
        <v>251</v>
      </c>
      <c r="CO79" t="s">
        <v>169</v>
      </c>
      <c r="CP79" s="35">
        <v>42291</v>
      </c>
      <c r="CQ79" t="s">
        <v>3322</v>
      </c>
      <c r="CR79" t="s">
        <v>174</v>
      </c>
      <c r="CS79" t="s">
        <v>174</v>
      </c>
      <c r="CT79" s="49">
        <v>0</v>
      </c>
      <c r="CU79">
        <v>0</v>
      </c>
      <c r="CV79">
        <v>0</v>
      </c>
      <c r="CW79" s="70">
        <v>0</v>
      </c>
      <c r="CX79">
        <v>8.4</v>
      </c>
      <c r="CY79">
        <v>0</v>
      </c>
      <c r="CZ79">
        <v>0</v>
      </c>
      <c r="DA79">
        <v>0</v>
      </c>
      <c r="DB79">
        <v>-1652452886.3888936</v>
      </c>
      <c r="DC79">
        <v>8.4</v>
      </c>
      <c r="DD79">
        <v>0</v>
      </c>
      <c r="DE79">
        <v>0</v>
      </c>
      <c r="DF79">
        <v>0</v>
      </c>
      <c r="DG79">
        <v>0</v>
      </c>
      <c r="DH79">
        <v>0</v>
      </c>
      <c r="DI79">
        <v>0</v>
      </c>
      <c r="DJ79" s="500">
        <v>4155000000</v>
      </c>
      <c r="DK79" s="500">
        <v>0</v>
      </c>
      <c r="DL79" s="37">
        <v>4155000000</v>
      </c>
      <c r="DM79" s="37">
        <v>4155000000</v>
      </c>
      <c r="DN79" s="37">
        <v>4155000000</v>
      </c>
      <c r="DO79" s="37">
        <v>4155000000</v>
      </c>
      <c r="DP79" s="32">
        <f>Tradingbook_SBV[[#This Row],[Mat. Date]]-RPT</f>
        <v>-3961</v>
      </c>
      <c r="DQ79" s="32">
        <f>IF(Tradingbook_SBV[[#This Row],[Days]]&lt;=0,0,YEARFRAC(RPT,Tradingbook_SBV[[#This Row],[Mat. Date]],3))</f>
        <v>0</v>
      </c>
      <c r="DR79" s="32">
        <f>IF(Tradingbook_SBV[[#This Row],[Days (year)]]=0,0,INDEX(Ref!$K$2:$K$13,MATCH(Tradingbook_SBV[[#This Row],[Days (year)]],Ref!$I$2:$I$13,1)))</f>
        <v>0</v>
      </c>
      <c r="DS79" s="32" t="str">
        <f>VLOOKUP(Tradingbook_SBV[[#This Row],[Security Name]],Ref!X:Z,3,0)</f>
        <v>TPCPBL</v>
      </c>
      <c r="DT79" s="32" t="str">
        <f>VLOOKUP(Tradingbook_SBV[[#This Row],[Security Name]],Ref!X:Y,2,0)</f>
        <v>VDB</v>
      </c>
      <c r="DU79" s="71">
        <f>IF((Tradingbook_SBV[[#This Row],[Mat. Date]]-RPT)&lt;=0,0,Tradingbook_SBV[[#This Row],[QUANTITY]])</f>
        <v>0</v>
      </c>
      <c r="DV79" s="71">
        <f>IF(Tradingbook_SBV[[#This Row],[Quantity_edited]]=0,0,Tradingbook_SBV[[#This Row],[DURATION]])</f>
        <v>0</v>
      </c>
      <c r="DW79" s="71">
        <f>IF(Tradingbook_SBV[[#This Row],[Quantity_edited]]=0,0,Tradingbook_SBV[[#This Row],[Mod Dur]])</f>
        <v>0</v>
      </c>
      <c r="DX79" s="71">
        <f>IF(Tradingbook_SBV[[#This Row],[Quantity_edited]]=0,0,Tradingbook_SBV[[#This Row],[Cnvx.]])</f>
        <v>0</v>
      </c>
      <c r="DY79" s="71">
        <f>(Tradingbook_SBV[[#This Row],[MARKET_VALUE]]+Tradingbook_SBV[[#This Row],[Accr Int]]*Tradingbook_SBV[[#This Row],[Quantity_edited]])*(-Tradingbook_SBV[[#This Row],[Modified Duration]]*0.0001+0.5*Tradingbook_SBV[[#This Row],[Conv]]*(0.0001^2))</f>
        <v>0</v>
      </c>
      <c r="DZ79" s="71">
        <f>(Tradingbook_SBV[[#This Row],[MARKET_VALUE]]+Tradingbook_SBV[[#This Row],[Accr Int]]*Tradingbook_SBV[[#This Row],[Quantity_edited]])*(-Tradingbook_SBV[[#This Row],[Modified Duration]]*0.01+0.5*Tradingbook_SBV[[#This Row],[Conv]]*(0.01^2))</f>
        <v>0</v>
      </c>
      <c r="EC79" t="s">
        <v>166</v>
      </c>
      <c r="ED79" t="s">
        <v>167</v>
      </c>
      <c r="EE79" t="s">
        <v>435</v>
      </c>
      <c r="EF79" t="s">
        <v>169</v>
      </c>
      <c r="EG79" s="35" t="s">
        <v>3380</v>
      </c>
      <c r="EH79" t="s">
        <v>3322</v>
      </c>
      <c r="EK79" s="500">
        <v>0</v>
      </c>
      <c r="EL79" s="500">
        <v>0</v>
      </c>
      <c r="EM79" s="500">
        <v>0</v>
      </c>
      <c r="EN79" s="500">
        <v>0</v>
      </c>
      <c r="EO79">
        <v>11.5</v>
      </c>
      <c r="EP79">
        <v>0</v>
      </c>
      <c r="EQ79">
        <v>471732500000</v>
      </c>
      <c r="ER79">
        <v>568245214637.84717</v>
      </c>
      <c r="ES79">
        <v>-254541559113.54175</v>
      </c>
      <c r="ET79">
        <v>0</v>
      </c>
      <c r="EU79">
        <v>0</v>
      </c>
      <c r="EV79">
        <v>0</v>
      </c>
      <c r="EW79">
        <v>0</v>
      </c>
      <c r="EX79">
        <v>0</v>
      </c>
      <c r="EY79">
        <v>0</v>
      </c>
      <c r="EZ79">
        <v>0</v>
      </c>
      <c r="FA79">
        <v>94183000000</v>
      </c>
      <c r="FB79">
        <v>0</v>
      </c>
      <c r="FC79">
        <v>94183000000</v>
      </c>
      <c r="FD79">
        <v>94183000000</v>
      </c>
      <c r="FE79">
        <v>94183000000</v>
      </c>
      <c r="FF79">
        <v>94183000000</v>
      </c>
      <c r="FG79" s="32">
        <f>Bankingbook_SBV[[#This Row],[Mat. Date]]-RPT</f>
        <v>-2273</v>
      </c>
      <c r="FH79" s="32">
        <f>IF(Bankingbook_SBV[[#This Row],[Days]]&lt;=0,0,YEARFRAC(RPT,Bankingbook_SBV[[#This Row],[Mat. Date]],3))</f>
        <v>0</v>
      </c>
      <c r="FI79" s="32">
        <f>IF(Bankingbook_SBV[[#This Row],[Days (year)]]=0,0,INDEX(Ref!$K$2:$K$13,MATCH(Bankingbook_SBV[[#This Row],[Days (year)]],Ref!$I$2:$I$13,1)))</f>
        <v>0</v>
      </c>
      <c r="FJ79" s="32" t="str">
        <f>VLOOKUP(Bankingbook_SBV[[#This Row],[Security Name]],Ref!X:Z,3,0)</f>
        <v>TPCPBL</v>
      </c>
      <c r="FK79" s="32" t="str">
        <f>VLOOKUP(Bankingbook_SBV[[#This Row],[Security Name]],Ref!X:Y,2,0)</f>
        <v>VDB</v>
      </c>
      <c r="FL79" s="72">
        <f>IF((Bankingbook_SBV[[#This Row],[Mat. Date]]-RPT)&lt;=0,0,Bankingbook_SBV[[#This Row],[QUANTITY]])</f>
        <v>0</v>
      </c>
      <c r="FM79" s="32">
        <f>IF(Bankingbook_SBV[[#This Row],[Quantity_edited]]=0,0,Bankingbook_SBV[[#This Row],[DURATION]])</f>
        <v>0</v>
      </c>
      <c r="FN79" s="32">
        <f>IF(Bankingbook_SBV[[#This Row],[Quantity_edited]]=0,0,Bankingbook_SBV[[#This Row],[Mod Dur]])</f>
        <v>0</v>
      </c>
      <c r="FO79" s="32">
        <f>IF(Bankingbook_SBV[[#This Row],[Quantity_edited]]=0,0,Bankingbook_SBV[[#This Row],[Cnvx.]])</f>
        <v>0</v>
      </c>
      <c r="FP79" s="32">
        <f>(Bankingbook_SBV[[#This Row],[MARKET_VALUE]]+Bankingbook_SBV[[#This Row],[Accr Int]]*Bankingbook_SBV[[#This Row],[Quantity_edited]])*(-Bankingbook_SBV[[#This Row],[Modified Duration]]*0.0001+0.5*Bankingbook_SBV[[#This Row],[Conv]]*(0.0001^2))</f>
        <v>0</v>
      </c>
      <c r="FQ79" s="32">
        <f>(Bankingbook_SBV[[#This Row],[MARKET_VALUE]]+Bankingbook_SBV[[#This Row],[Accr Int]]*Bankingbook_SBV[[#This Row],[Quantity_edited]])*(-Bankingbook_SBV[[#This Row],[Modified Duration]]*0.01+0.5*Bankingbook_SBV[[#This Row],[Conv]]*(0.01^2))</f>
        <v>0</v>
      </c>
      <c r="FT79" t="s">
        <v>166</v>
      </c>
      <c r="FU79" t="s">
        <v>790</v>
      </c>
      <c r="FV79" t="s">
        <v>4064</v>
      </c>
      <c r="FW79">
        <v>3334222</v>
      </c>
      <c r="FX79" s="502">
        <v>46246</v>
      </c>
      <c r="FY79" t="s">
        <v>2176</v>
      </c>
      <c r="FZ79" t="s">
        <v>812</v>
      </c>
      <c r="GA79" t="s">
        <v>3585</v>
      </c>
      <c r="GB79" t="s">
        <v>810</v>
      </c>
      <c r="GC79" t="s">
        <v>1209</v>
      </c>
      <c r="GD79" s="500">
        <v>-616583000000</v>
      </c>
      <c r="GE79">
        <v>10.000562</v>
      </c>
      <c r="GF79" s="502">
        <v>46248</v>
      </c>
      <c r="GG79" s="502">
        <v>46342</v>
      </c>
      <c r="GH79">
        <v>4.45</v>
      </c>
      <c r="GI79" t="s">
        <v>811</v>
      </c>
      <c r="GJ79" t="s">
        <v>3321</v>
      </c>
      <c r="GK79" t="s">
        <v>3321</v>
      </c>
      <c r="GL79">
        <v>349397033.32999998</v>
      </c>
      <c r="GM79">
        <v>-300689791.77999997</v>
      </c>
      <c r="GN79">
        <v>685415500000</v>
      </c>
      <c r="GO79">
        <v>10.039999999999999</v>
      </c>
      <c r="GP79">
        <v>0.24</v>
      </c>
      <c r="GQ79">
        <v>0.25600000000000001</v>
      </c>
      <c r="GR79">
        <v>7.8410080000000004</v>
      </c>
      <c r="GS79">
        <v>-611913963029.38</v>
      </c>
      <c r="GT79">
        <v>4669036970.6199999</v>
      </c>
      <c r="GU79" t="s">
        <v>4150</v>
      </c>
      <c r="GV79" t="s">
        <v>4150</v>
      </c>
      <c r="GW79" s="416">
        <f>FNRP_Repo[[#This Row],[Mat. Date]]-RPT</f>
        <v>90</v>
      </c>
      <c r="GX79" s="819" t="str">
        <f>IF(FNRP_Repo[[#This Row],[Days]]&lt;=0,"Mat",INDEX(Ref!U:U,MATCH(FNRP_Repo[[#This Row],[Days]],Ref!S:S,1)))</f>
        <v>3M</v>
      </c>
      <c r="GY79" s="417">
        <f>RIGHT(FNRP_Repo[[#This Row],[Deal Id]],5)+0</f>
        <v>18118</v>
      </c>
    </row>
    <row r="80" spans="2:207" x14ac:dyDescent="0.3">
      <c r="B80" t="s">
        <v>166</v>
      </c>
      <c r="C80" t="s">
        <v>167</v>
      </c>
      <c r="D80" t="s">
        <v>252</v>
      </c>
      <c r="E80" t="s">
        <v>169</v>
      </c>
      <c r="F80" s="502">
        <v>42292</v>
      </c>
      <c r="G80" t="s">
        <v>3322</v>
      </c>
      <c r="H80"/>
      <c r="I80"/>
      <c r="J80" s="38">
        <v>0</v>
      </c>
      <c r="K80">
        <v>0</v>
      </c>
      <c r="L80">
        <v>0</v>
      </c>
      <c r="M80" s="38">
        <v>0</v>
      </c>
      <c r="N80">
        <v>7.2</v>
      </c>
      <c r="O80">
        <v>0</v>
      </c>
      <c r="P80" s="37">
        <v>0</v>
      </c>
      <c r="Q80" s="37">
        <v>0</v>
      </c>
      <c r="R80" s="37">
        <v>982026.66666793823</v>
      </c>
      <c r="S80">
        <v>7.2</v>
      </c>
      <c r="T80" s="70">
        <v>0</v>
      </c>
      <c r="U80">
        <v>0</v>
      </c>
      <c r="V80">
        <v>0</v>
      </c>
      <c r="W80">
        <v>0</v>
      </c>
      <c r="X80" s="38">
        <v>0</v>
      </c>
      <c r="Y80">
        <v>0</v>
      </c>
      <c r="Z80" s="70">
        <v>143000000</v>
      </c>
      <c r="AA80" s="70">
        <v>0</v>
      </c>
      <c r="AB80" s="70">
        <v>143000000</v>
      </c>
      <c r="AC80" s="70">
        <v>143000000</v>
      </c>
      <c r="AD80" s="70">
        <v>143000000</v>
      </c>
      <c r="AE80" s="70">
        <v>143000000</v>
      </c>
      <c r="AF80">
        <v>0</v>
      </c>
      <c r="AG80" s="72">
        <f>Tradingbook_MSB[[#This Row],[Mat. Date]]-RPT</f>
        <v>-3960</v>
      </c>
      <c r="AH80" s="71">
        <f>IF(Tradingbook_MSB[[#This Row],[Days]]&lt;=0,0,YEARFRAC(RPT,Tradingbook_MSB[[#This Row],[Mat. Date]],3))</f>
        <v>0</v>
      </c>
      <c r="AI80" s="71">
        <f>IF(Tradingbook_MSB[[#This Row],[Days (year)]]=0,0,INDEX(Ref!$K$2:$K$13,MATCH(Tradingbook_MSB[[#This Row],[Days (year)]],Ref!$I$2:$I$13,1)))</f>
        <v>0</v>
      </c>
      <c r="AJ80" s="120" t="str">
        <f>VLOOKUP(Tradingbook_MSB[[#This Row],[Security Name]],Ref!X:Z,3,0)</f>
        <v>TPCP</v>
      </c>
      <c r="AK80" s="120" t="str">
        <f>VLOOKUP(Tradingbook_MSB[[#This Row],[Security Name]],Ref!X:Y,2,0)</f>
        <v>KBNN</v>
      </c>
      <c r="AL80" s="71">
        <f>IF((Tradingbook_MSB[[#This Row],[Mat. Date]]-RPT)&lt;=0,0,Tradingbook_MSB[[#This Row],[QUANTITY]])</f>
        <v>0</v>
      </c>
      <c r="AM80" s="71">
        <f>IF(Tradingbook_MSB[[#This Row],[Quantity_edited]]=0,0,Tradingbook_MSB[[#This Row],[DURATION]])</f>
        <v>0</v>
      </c>
      <c r="AN80" s="71">
        <f>IF(Tradingbook_MSB[[#This Row],[Quantity_edited]]=0,0,Tradingbook_MSB[[#This Row],[Mod Dur]])</f>
        <v>0</v>
      </c>
      <c r="AO80" s="71">
        <f>IF(Tradingbook_MSB[[#This Row],[Quantity_edited]]=0,0,Tradingbook_MSB[[#This Row],[Cnvx.]])</f>
        <v>0</v>
      </c>
      <c r="AP80" s="71">
        <f>(Tradingbook_MSB[[#This Row],[MARKET_VALUE]]+Tradingbook_MSB[[#This Row],[Accr Int]]*Tradingbook_MSB[[#This Row],[Quantity_edited]])*(-Tradingbook_MSB[[#This Row],[Modified Duration]]*0.0001+0.5*Tradingbook_MSB[[#This Row],[Conv]]*(0.0001^2))</f>
        <v>0</v>
      </c>
      <c r="AQ80" s="72">
        <f>(Tradingbook_MSB[[#This Row],[MARKET_VALUE]]+Tradingbook_MSB[[#This Row],[Accr Int]]*Tradingbook_MSB[[#This Row],[Quantity_edited]])*(-Tradingbook_MSB[[#This Row],[Modified Duration]]*0.01+0.5*Tradingbook_MSB[[#This Row],[Conv]]*(0.01^2))</f>
        <v>0</v>
      </c>
      <c r="AR80" s="71"/>
      <c r="AT80" t="s">
        <v>166</v>
      </c>
      <c r="AU80" t="s">
        <v>167</v>
      </c>
      <c r="AV80" t="s">
        <v>481</v>
      </c>
      <c r="AW80" t="s">
        <v>169</v>
      </c>
      <c r="AX80" t="s">
        <v>3386</v>
      </c>
      <c r="AY80" t="s">
        <v>3322</v>
      </c>
      <c r="BB80" s="70">
        <v>0</v>
      </c>
      <c r="BC80">
        <v>0</v>
      </c>
      <c r="BD80">
        <v>0</v>
      </c>
      <c r="BE80" s="37">
        <v>0</v>
      </c>
      <c r="BF80">
        <v>6.1</v>
      </c>
      <c r="BG80">
        <v>0</v>
      </c>
      <c r="BH80" s="126">
        <v>24400000000</v>
      </c>
      <c r="BI80">
        <v>26171231583.333359</v>
      </c>
      <c r="BJ80">
        <v>-4630483323.1250563</v>
      </c>
      <c r="BK80">
        <v>0</v>
      </c>
      <c r="BL80">
        <v>0</v>
      </c>
      <c r="BM80">
        <v>0</v>
      </c>
      <c r="BN80">
        <v>0</v>
      </c>
      <c r="BO80">
        <v>0</v>
      </c>
      <c r="BP80">
        <v>0</v>
      </c>
      <c r="BQ80">
        <v>0</v>
      </c>
      <c r="BR80">
        <v>7430500000</v>
      </c>
      <c r="BS80">
        <v>0</v>
      </c>
      <c r="BT80">
        <v>7430500000</v>
      </c>
      <c r="BU80">
        <v>7430500000</v>
      </c>
      <c r="BV80">
        <v>7430500000</v>
      </c>
      <c r="BW80">
        <v>7430500000</v>
      </c>
      <c r="BX80">
        <v>0</v>
      </c>
      <c r="BY80" s="32">
        <f>Bankingbook_MSB[[#This Row],[Mat. Date]]-RPT</f>
        <v>-1868</v>
      </c>
      <c r="BZ80" s="71">
        <f>IF(Bankingbook_MSB[[#This Row],[Days]]&lt;=0,0,YEARFRAC(RPT,Bankingbook_MSB[[#This Row],[Mat. Date]],3))</f>
        <v>0</v>
      </c>
      <c r="CA80" s="71">
        <f>IF(Bankingbook_MSB[[#This Row],[Days (year)]]=0,0,INDEX(Ref!$K$2:$K$13,MATCH(Bankingbook_MSB[[#This Row],[Days (year)]],Ref!$I$2:$I$13,1)))</f>
        <v>0</v>
      </c>
      <c r="CB80" s="32" t="str">
        <f>VLOOKUP(Bankingbook_MSB[[#This Row],[Security Name]],Ref!X:Z,3,0)</f>
        <v>TPCP</v>
      </c>
      <c r="CC80" s="32" t="str">
        <f>VLOOKUP(Bankingbook_MSB[[#This Row],[Security Name]],Ref!X:Y,2,0)</f>
        <v>KBNN</v>
      </c>
      <c r="CD80" s="72">
        <f>IF((Bankingbook_MSB[[#This Row],[Mat. Date]]-RPT)&lt;=0,0,Bankingbook_MSB[[#This Row],[QUANTITY]])</f>
        <v>0</v>
      </c>
      <c r="CE80" s="71">
        <f>IF(Bankingbook_MSB[[#This Row],[Quantity_edited]]=0,0,Bankingbook_MSB[[#This Row],[DURATION]])</f>
        <v>0</v>
      </c>
      <c r="CF80" s="71">
        <f>IF(Bankingbook_MSB[[#This Row],[Quantity_edited]]=0,0,Bankingbook_MSB[[#This Row],[Mod Dur]])</f>
        <v>0</v>
      </c>
      <c r="CG80" s="71">
        <f>IF(Bankingbook_MSB[[#This Row],[Quantity_edited]]=0,0,Bankingbook_MSB[[#This Row],[Cnvx.]])</f>
        <v>0</v>
      </c>
      <c r="CH80" s="71">
        <f>(Bankingbook_MSB[[#This Row],[MARKET_VALUE]]+Bankingbook_MSB[[#This Row],[Accr Int]]*Bankingbook_MSB[[#This Row],[Quantity_edited]])*(-Bankingbook_MSB[[#This Row],[Modified Duration]]*0.0001+0.5*Bankingbook_MSB[[#This Row],[Conv]]*(0.0001^2))</f>
        <v>0</v>
      </c>
      <c r="CI80" s="71">
        <f>(Bankingbook_MSB[[#This Row],[MARKET_VALUE]]+Bankingbook_MSB[[#This Row],[Accr Int]]*Bankingbook_MSB[[#This Row],[Quantity_edited]])*(-Bankingbook_MSB[[#This Row],[Modified Duration]]*0.01+0.5*Bankingbook_MSB[[#This Row],[Conv]]*(0.01^2))</f>
        <v>0</v>
      </c>
      <c r="CJ80" s="32"/>
      <c r="CL80" t="s">
        <v>166</v>
      </c>
      <c r="CM80" t="s">
        <v>167</v>
      </c>
      <c r="CN80" t="s">
        <v>252</v>
      </c>
      <c r="CO80" t="s">
        <v>169</v>
      </c>
      <c r="CP80" s="35">
        <v>42292</v>
      </c>
      <c r="CQ80" t="s">
        <v>3322</v>
      </c>
      <c r="CR80" t="s">
        <v>174</v>
      </c>
      <c r="CS80" t="s">
        <v>174</v>
      </c>
      <c r="CT80" s="49">
        <v>0</v>
      </c>
      <c r="CU80">
        <v>0</v>
      </c>
      <c r="CV80">
        <v>0</v>
      </c>
      <c r="CW80" s="70">
        <v>0</v>
      </c>
      <c r="CX80">
        <v>7.2</v>
      </c>
      <c r="CY80">
        <v>0</v>
      </c>
      <c r="CZ80">
        <v>0</v>
      </c>
      <c r="DA80">
        <v>0</v>
      </c>
      <c r="DB80">
        <v>982026.66666793823</v>
      </c>
      <c r="DC80">
        <v>7.2</v>
      </c>
      <c r="DD80">
        <v>0</v>
      </c>
      <c r="DE80">
        <v>0</v>
      </c>
      <c r="DF80">
        <v>0</v>
      </c>
      <c r="DG80">
        <v>0</v>
      </c>
      <c r="DH80">
        <v>0</v>
      </c>
      <c r="DI80">
        <v>0</v>
      </c>
      <c r="DJ80" s="500">
        <v>143000000</v>
      </c>
      <c r="DK80" s="500">
        <v>0</v>
      </c>
      <c r="DL80" s="37">
        <v>143000000</v>
      </c>
      <c r="DM80" s="37">
        <v>143000000</v>
      </c>
      <c r="DN80" s="37">
        <v>143000000</v>
      </c>
      <c r="DO80" s="37">
        <v>143000000</v>
      </c>
      <c r="DP80" s="32">
        <f>Tradingbook_SBV[[#This Row],[Mat. Date]]-RPT</f>
        <v>-3960</v>
      </c>
      <c r="DQ80" s="32">
        <f>IF(Tradingbook_SBV[[#This Row],[Days]]&lt;=0,0,YEARFRAC(RPT,Tradingbook_SBV[[#This Row],[Mat. Date]],3))</f>
        <v>0</v>
      </c>
      <c r="DR80" s="32">
        <f>IF(Tradingbook_SBV[[#This Row],[Days (year)]]=0,0,INDEX(Ref!$K$2:$K$13,MATCH(Tradingbook_SBV[[#This Row],[Days (year)]],Ref!$I$2:$I$13,1)))</f>
        <v>0</v>
      </c>
      <c r="DS80" s="32" t="str">
        <f>VLOOKUP(Tradingbook_SBV[[#This Row],[Security Name]],Ref!X:Z,3,0)</f>
        <v>TPCP</v>
      </c>
      <c r="DT80" s="32" t="str">
        <f>VLOOKUP(Tradingbook_SBV[[#This Row],[Security Name]],Ref!X:Y,2,0)</f>
        <v>KBNN</v>
      </c>
      <c r="DU80" s="71">
        <f>IF((Tradingbook_SBV[[#This Row],[Mat. Date]]-RPT)&lt;=0,0,Tradingbook_SBV[[#This Row],[QUANTITY]])</f>
        <v>0</v>
      </c>
      <c r="DV80" s="71">
        <f>IF(Tradingbook_SBV[[#This Row],[Quantity_edited]]=0,0,Tradingbook_SBV[[#This Row],[DURATION]])</f>
        <v>0</v>
      </c>
      <c r="DW80" s="71">
        <f>IF(Tradingbook_SBV[[#This Row],[Quantity_edited]]=0,0,Tradingbook_SBV[[#This Row],[Mod Dur]])</f>
        <v>0</v>
      </c>
      <c r="DX80" s="71">
        <f>IF(Tradingbook_SBV[[#This Row],[Quantity_edited]]=0,0,Tradingbook_SBV[[#This Row],[Cnvx.]])</f>
        <v>0</v>
      </c>
      <c r="DY80" s="71">
        <f>(Tradingbook_SBV[[#This Row],[MARKET_VALUE]]+Tradingbook_SBV[[#This Row],[Accr Int]]*Tradingbook_SBV[[#This Row],[Quantity_edited]])*(-Tradingbook_SBV[[#This Row],[Modified Duration]]*0.0001+0.5*Tradingbook_SBV[[#This Row],[Conv]]*(0.0001^2))</f>
        <v>0</v>
      </c>
      <c r="DZ80" s="71">
        <f>(Tradingbook_SBV[[#This Row],[MARKET_VALUE]]+Tradingbook_SBV[[#This Row],[Accr Int]]*Tradingbook_SBV[[#This Row],[Quantity_edited]])*(-Tradingbook_SBV[[#This Row],[Modified Duration]]*0.01+0.5*Tradingbook_SBV[[#This Row],[Conv]]*(0.01^2))</f>
        <v>0</v>
      </c>
      <c r="EC80" t="s">
        <v>166</v>
      </c>
      <c r="ED80" t="s">
        <v>167</v>
      </c>
      <c r="EE80" t="s">
        <v>436</v>
      </c>
      <c r="EF80" t="s">
        <v>169</v>
      </c>
      <c r="EG80" s="35" t="s">
        <v>3381</v>
      </c>
      <c r="EH80" t="s">
        <v>3322</v>
      </c>
      <c r="EK80" s="500">
        <v>0</v>
      </c>
      <c r="EL80" s="500">
        <v>0</v>
      </c>
      <c r="EM80" s="500">
        <v>0</v>
      </c>
      <c r="EN80" s="500">
        <v>0</v>
      </c>
      <c r="EO80">
        <v>11.3</v>
      </c>
      <c r="EP80">
        <v>0</v>
      </c>
      <c r="EQ80">
        <v>135600000000</v>
      </c>
      <c r="ER80">
        <v>170358938111.11121</v>
      </c>
      <c r="ES80">
        <v>-130364793200.83368</v>
      </c>
      <c r="ET80">
        <v>0</v>
      </c>
      <c r="EU80">
        <v>0</v>
      </c>
      <c r="EV80">
        <v>0</v>
      </c>
      <c r="EW80">
        <v>0</v>
      </c>
      <c r="EX80">
        <v>0</v>
      </c>
      <c r="EY80">
        <v>0</v>
      </c>
      <c r="EZ80">
        <v>0</v>
      </c>
      <c r="FA80">
        <v>-59529000000</v>
      </c>
      <c r="FB80">
        <v>0</v>
      </c>
      <c r="FC80">
        <v>-59529000000</v>
      </c>
      <c r="FD80">
        <v>-59529000000</v>
      </c>
      <c r="FE80">
        <v>-59529000000</v>
      </c>
      <c r="FF80">
        <v>-59529000000</v>
      </c>
      <c r="FG80" s="32">
        <f>Bankingbook_SBV[[#This Row],[Mat. Date]]-RPT</f>
        <v>-2263</v>
      </c>
      <c r="FH80" s="32">
        <f>IF(Bankingbook_SBV[[#This Row],[Days]]&lt;=0,0,YEARFRAC(RPT,Bankingbook_SBV[[#This Row],[Mat. Date]],3))</f>
        <v>0</v>
      </c>
      <c r="FI80" s="32">
        <f>IF(Bankingbook_SBV[[#This Row],[Days (year)]]=0,0,INDEX(Ref!$K$2:$K$13,MATCH(Bankingbook_SBV[[#This Row],[Days (year)]],Ref!$I$2:$I$13,1)))</f>
        <v>0</v>
      </c>
      <c r="FJ80" s="32" t="str">
        <f>VLOOKUP(Bankingbook_SBV[[#This Row],[Security Name]],Ref!X:Z,3,0)</f>
        <v>TPCP</v>
      </c>
      <c r="FK80" s="32" t="str">
        <f>VLOOKUP(Bankingbook_SBV[[#This Row],[Security Name]],Ref!X:Y,2,0)</f>
        <v>KBNN</v>
      </c>
      <c r="FL80" s="72">
        <f>IF((Bankingbook_SBV[[#This Row],[Mat. Date]]-RPT)&lt;=0,0,Bankingbook_SBV[[#This Row],[QUANTITY]])</f>
        <v>0</v>
      </c>
      <c r="FM80" s="32">
        <f>IF(Bankingbook_SBV[[#This Row],[Quantity_edited]]=0,0,Bankingbook_SBV[[#This Row],[DURATION]])</f>
        <v>0</v>
      </c>
      <c r="FN80" s="32">
        <f>IF(Bankingbook_SBV[[#This Row],[Quantity_edited]]=0,0,Bankingbook_SBV[[#This Row],[Mod Dur]])</f>
        <v>0</v>
      </c>
      <c r="FO80" s="32">
        <f>IF(Bankingbook_SBV[[#This Row],[Quantity_edited]]=0,0,Bankingbook_SBV[[#This Row],[Cnvx.]])</f>
        <v>0</v>
      </c>
      <c r="FP80" s="32">
        <f>(Bankingbook_SBV[[#This Row],[MARKET_VALUE]]+Bankingbook_SBV[[#This Row],[Accr Int]]*Bankingbook_SBV[[#This Row],[Quantity_edited]])*(-Bankingbook_SBV[[#This Row],[Modified Duration]]*0.0001+0.5*Bankingbook_SBV[[#This Row],[Conv]]*(0.0001^2))</f>
        <v>0</v>
      </c>
      <c r="FQ80" s="32">
        <f>(Bankingbook_SBV[[#This Row],[MARKET_VALUE]]+Bankingbook_SBV[[#This Row],[Accr Int]]*Bankingbook_SBV[[#This Row],[Quantity_edited]])*(-Bankingbook_SBV[[#This Row],[Modified Duration]]*0.01+0.5*Bankingbook_SBV[[#This Row],[Conv]]*(0.01^2))</f>
        <v>0</v>
      </c>
    </row>
    <row r="81" spans="2:173" x14ac:dyDescent="0.3">
      <c r="B81" t="s">
        <v>166</v>
      </c>
      <c r="C81" t="s">
        <v>167</v>
      </c>
      <c r="D81" t="s">
        <v>253</v>
      </c>
      <c r="E81" t="s">
        <v>169</v>
      </c>
      <c r="F81" s="502">
        <v>42293</v>
      </c>
      <c r="G81" t="s">
        <v>3322</v>
      </c>
      <c r="H81"/>
      <c r="I81"/>
      <c r="J81" s="38">
        <v>0</v>
      </c>
      <c r="K81">
        <v>0</v>
      </c>
      <c r="L81">
        <v>0</v>
      </c>
      <c r="M81" s="38">
        <v>0</v>
      </c>
      <c r="N81">
        <v>8.4</v>
      </c>
      <c r="O81">
        <v>0</v>
      </c>
      <c r="P81" s="37">
        <v>0</v>
      </c>
      <c r="Q81" s="37">
        <v>1.9999999999999999E-6</v>
      </c>
      <c r="R81" s="37">
        <v>-2409189219.1666789</v>
      </c>
      <c r="S81">
        <v>8.4</v>
      </c>
      <c r="T81" s="70">
        <v>0</v>
      </c>
      <c r="U81">
        <v>0</v>
      </c>
      <c r="V81">
        <v>0</v>
      </c>
      <c r="W81">
        <v>0</v>
      </c>
      <c r="X81" s="38">
        <v>0</v>
      </c>
      <c r="Y81">
        <v>0</v>
      </c>
      <c r="Z81" s="70">
        <v>4063000000</v>
      </c>
      <c r="AA81" s="70">
        <v>0</v>
      </c>
      <c r="AB81" s="70">
        <v>4063000000</v>
      </c>
      <c r="AC81" s="70">
        <v>4063000000</v>
      </c>
      <c r="AD81" s="70">
        <v>4063000000</v>
      </c>
      <c r="AE81" s="70">
        <v>4063000000</v>
      </c>
      <c r="AF81">
        <v>0</v>
      </c>
      <c r="AG81" s="72">
        <f>Tradingbook_MSB[[#This Row],[Mat. Date]]-RPT</f>
        <v>-3959</v>
      </c>
      <c r="AH81" s="71">
        <f>IF(Tradingbook_MSB[[#This Row],[Days]]&lt;=0,0,YEARFRAC(RPT,Tradingbook_MSB[[#This Row],[Mat. Date]],3))</f>
        <v>0</v>
      </c>
      <c r="AI81" s="71">
        <f>IF(Tradingbook_MSB[[#This Row],[Days (year)]]=0,0,INDEX(Ref!$K$2:$K$13,MATCH(Tradingbook_MSB[[#This Row],[Days (year)]],Ref!$I$2:$I$13,1)))</f>
        <v>0</v>
      </c>
      <c r="AJ81" s="120" t="str">
        <f>VLOOKUP(Tradingbook_MSB[[#This Row],[Security Name]],Ref!X:Z,3,0)</f>
        <v>TPCPBL</v>
      </c>
      <c r="AK81" s="120" t="str">
        <f>VLOOKUP(Tradingbook_MSB[[#This Row],[Security Name]],Ref!X:Y,2,0)</f>
        <v>VDB</v>
      </c>
      <c r="AL81" s="71">
        <f>IF((Tradingbook_MSB[[#This Row],[Mat. Date]]-RPT)&lt;=0,0,Tradingbook_MSB[[#This Row],[QUANTITY]])</f>
        <v>0</v>
      </c>
      <c r="AM81" s="71">
        <f>IF(Tradingbook_MSB[[#This Row],[Quantity_edited]]=0,0,Tradingbook_MSB[[#This Row],[DURATION]])</f>
        <v>0</v>
      </c>
      <c r="AN81" s="71">
        <f>IF(Tradingbook_MSB[[#This Row],[Quantity_edited]]=0,0,Tradingbook_MSB[[#This Row],[Mod Dur]])</f>
        <v>0</v>
      </c>
      <c r="AO81" s="71">
        <f>IF(Tradingbook_MSB[[#This Row],[Quantity_edited]]=0,0,Tradingbook_MSB[[#This Row],[Cnvx.]])</f>
        <v>0</v>
      </c>
      <c r="AP81" s="71">
        <f>(Tradingbook_MSB[[#This Row],[MARKET_VALUE]]+Tradingbook_MSB[[#This Row],[Accr Int]]*Tradingbook_MSB[[#This Row],[Quantity_edited]])*(-Tradingbook_MSB[[#This Row],[Modified Duration]]*0.0001+0.5*Tradingbook_MSB[[#This Row],[Conv]]*(0.0001^2))</f>
        <v>0</v>
      </c>
      <c r="AQ81" s="72">
        <f>(Tradingbook_MSB[[#This Row],[MARKET_VALUE]]+Tradingbook_MSB[[#This Row],[Accr Int]]*Tradingbook_MSB[[#This Row],[Quantity_edited]])*(-Tradingbook_MSB[[#This Row],[Modified Duration]]*0.01+0.5*Tradingbook_MSB[[#This Row],[Conv]]*(0.01^2))</f>
        <v>0</v>
      </c>
      <c r="AR81" s="71"/>
      <c r="AT81" t="s">
        <v>166</v>
      </c>
      <c r="AU81" t="s">
        <v>167</v>
      </c>
      <c r="AV81" t="s">
        <v>482</v>
      </c>
      <c r="AW81" t="s">
        <v>169</v>
      </c>
      <c r="AX81" t="s">
        <v>3387</v>
      </c>
      <c r="AY81" t="s">
        <v>3322</v>
      </c>
      <c r="BB81" s="70">
        <v>0</v>
      </c>
      <c r="BC81">
        <v>0</v>
      </c>
      <c r="BD81">
        <v>0</v>
      </c>
      <c r="BE81" s="37">
        <v>0</v>
      </c>
      <c r="BF81">
        <v>6.1</v>
      </c>
      <c r="BG81">
        <v>0</v>
      </c>
      <c r="BH81" s="126">
        <v>6475000000</v>
      </c>
      <c r="BI81">
        <v>6927352166.6666718</v>
      </c>
      <c r="BJ81">
        <v>-1418314020.4166965</v>
      </c>
      <c r="BK81">
        <v>0</v>
      </c>
      <c r="BL81">
        <v>0</v>
      </c>
      <c r="BM81">
        <v>0</v>
      </c>
      <c r="BN81">
        <v>0</v>
      </c>
      <c r="BO81">
        <v>0</v>
      </c>
      <c r="BP81">
        <v>0</v>
      </c>
      <c r="BQ81">
        <v>0</v>
      </c>
      <c r="BR81">
        <v>1020000000</v>
      </c>
      <c r="BS81">
        <v>0</v>
      </c>
      <c r="BT81">
        <v>1020000000</v>
      </c>
      <c r="BU81">
        <v>1020000000</v>
      </c>
      <c r="BV81">
        <v>1020000000</v>
      </c>
      <c r="BW81">
        <v>1020000000</v>
      </c>
      <c r="BX81">
        <v>0</v>
      </c>
      <c r="BY81" s="32">
        <f>Bankingbook_MSB[[#This Row],[Mat. Date]]-RPT</f>
        <v>-1864</v>
      </c>
      <c r="BZ81" s="71">
        <f>IF(Bankingbook_MSB[[#This Row],[Days]]&lt;=0,0,YEARFRAC(RPT,Bankingbook_MSB[[#This Row],[Mat. Date]],3))</f>
        <v>0</v>
      </c>
      <c r="CA81" s="71">
        <f>IF(Bankingbook_MSB[[#This Row],[Days (year)]]=0,0,INDEX(Ref!$K$2:$K$13,MATCH(Bankingbook_MSB[[#This Row],[Days (year)]],Ref!$I$2:$I$13,1)))</f>
        <v>0</v>
      </c>
      <c r="CB81" s="32" t="str">
        <f>VLOOKUP(Bankingbook_MSB[[#This Row],[Security Name]],Ref!X:Z,3,0)</f>
        <v>TPCP</v>
      </c>
      <c r="CC81" s="32" t="str">
        <f>VLOOKUP(Bankingbook_MSB[[#This Row],[Security Name]],Ref!X:Y,2,0)</f>
        <v>KBNN</v>
      </c>
      <c r="CD81" s="72">
        <f>IF((Bankingbook_MSB[[#This Row],[Mat. Date]]-RPT)&lt;=0,0,Bankingbook_MSB[[#This Row],[QUANTITY]])</f>
        <v>0</v>
      </c>
      <c r="CE81" s="71">
        <f>IF(Bankingbook_MSB[[#This Row],[Quantity_edited]]=0,0,Bankingbook_MSB[[#This Row],[DURATION]])</f>
        <v>0</v>
      </c>
      <c r="CF81" s="71">
        <f>IF(Bankingbook_MSB[[#This Row],[Quantity_edited]]=0,0,Bankingbook_MSB[[#This Row],[Mod Dur]])</f>
        <v>0</v>
      </c>
      <c r="CG81" s="71">
        <f>IF(Bankingbook_MSB[[#This Row],[Quantity_edited]]=0,0,Bankingbook_MSB[[#This Row],[Cnvx.]])</f>
        <v>0</v>
      </c>
      <c r="CH81" s="71">
        <f>(Bankingbook_MSB[[#This Row],[MARKET_VALUE]]+Bankingbook_MSB[[#This Row],[Accr Int]]*Bankingbook_MSB[[#This Row],[Quantity_edited]])*(-Bankingbook_MSB[[#This Row],[Modified Duration]]*0.0001+0.5*Bankingbook_MSB[[#This Row],[Conv]]*(0.0001^2))</f>
        <v>0</v>
      </c>
      <c r="CI81" s="71">
        <f>(Bankingbook_MSB[[#This Row],[MARKET_VALUE]]+Bankingbook_MSB[[#This Row],[Accr Int]]*Bankingbook_MSB[[#This Row],[Quantity_edited]])*(-Bankingbook_MSB[[#This Row],[Modified Duration]]*0.01+0.5*Bankingbook_MSB[[#This Row],[Conv]]*(0.01^2))</f>
        <v>0</v>
      </c>
      <c r="CJ81" s="32"/>
      <c r="CL81" t="s">
        <v>166</v>
      </c>
      <c r="CM81" t="s">
        <v>167</v>
      </c>
      <c r="CN81" t="s">
        <v>253</v>
      </c>
      <c r="CO81" t="s">
        <v>169</v>
      </c>
      <c r="CP81" s="35">
        <v>42293</v>
      </c>
      <c r="CQ81" t="s">
        <v>3322</v>
      </c>
      <c r="CR81" t="s">
        <v>174</v>
      </c>
      <c r="CS81" t="s">
        <v>174</v>
      </c>
      <c r="CT81" s="49">
        <v>0</v>
      </c>
      <c r="CU81">
        <v>0</v>
      </c>
      <c r="CV81">
        <v>0</v>
      </c>
      <c r="CW81" s="70">
        <v>0</v>
      </c>
      <c r="CX81">
        <v>8.4</v>
      </c>
      <c r="CY81">
        <v>0</v>
      </c>
      <c r="CZ81">
        <v>0</v>
      </c>
      <c r="DA81">
        <v>1.9999999999999999E-6</v>
      </c>
      <c r="DB81">
        <v>-2409189219.1666789</v>
      </c>
      <c r="DC81">
        <v>8.4</v>
      </c>
      <c r="DD81">
        <v>0</v>
      </c>
      <c r="DE81">
        <v>0</v>
      </c>
      <c r="DF81">
        <v>0</v>
      </c>
      <c r="DG81">
        <v>0</v>
      </c>
      <c r="DH81">
        <v>0</v>
      </c>
      <c r="DI81">
        <v>0</v>
      </c>
      <c r="DJ81" s="500">
        <v>4063000000</v>
      </c>
      <c r="DK81" s="500">
        <v>0</v>
      </c>
      <c r="DL81" s="37">
        <v>4063000000</v>
      </c>
      <c r="DM81" s="37">
        <v>4063000000</v>
      </c>
      <c r="DN81" s="37">
        <v>4063000000</v>
      </c>
      <c r="DO81" s="37">
        <v>4063000000</v>
      </c>
      <c r="DP81" s="32">
        <f>Tradingbook_SBV[[#This Row],[Mat. Date]]-RPT</f>
        <v>-3959</v>
      </c>
      <c r="DQ81" s="32">
        <f>IF(Tradingbook_SBV[[#This Row],[Days]]&lt;=0,0,YEARFRAC(RPT,Tradingbook_SBV[[#This Row],[Mat. Date]],3))</f>
        <v>0</v>
      </c>
      <c r="DR81" s="32">
        <f>IF(Tradingbook_SBV[[#This Row],[Days (year)]]=0,0,INDEX(Ref!$K$2:$K$13,MATCH(Tradingbook_SBV[[#This Row],[Days (year)]],Ref!$I$2:$I$13,1)))</f>
        <v>0</v>
      </c>
      <c r="DS81" s="32" t="str">
        <f>VLOOKUP(Tradingbook_SBV[[#This Row],[Security Name]],Ref!X:Z,3,0)</f>
        <v>TPCPBL</v>
      </c>
      <c r="DT81" s="32" t="str">
        <f>VLOOKUP(Tradingbook_SBV[[#This Row],[Security Name]],Ref!X:Y,2,0)</f>
        <v>VDB</v>
      </c>
      <c r="DU81" s="71">
        <f>IF((Tradingbook_SBV[[#This Row],[Mat. Date]]-RPT)&lt;=0,0,Tradingbook_SBV[[#This Row],[QUANTITY]])</f>
        <v>0</v>
      </c>
      <c r="DV81" s="71">
        <f>IF(Tradingbook_SBV[[#This Row],[Quantity_edited]]=0,0,Tradingbook_SBV[[#This Row],[DURATION]])</f>
        <v>0</v>
      </c>
      <c r="DW81" s="71">
        <f>IF(Tradingbook_SBV[[#This Row],[Quantity_edited]]=0,0,Tradingbook_SBV[[#This Row],[Mod Dur]])</f>
        <v>0</v>
      </c>
      <c r="DX81" s="71">
        <f>IF(Tradingbook_SBV[[#This Row],[Quantity_edited]]=0,0,Tradingbook_SBV[[#This Row],[Cnvx.]])</f>
        <v>0</v>
      </c>
      <c r="DY81" s="71">
        <f>(Tradingbook_SBV[[#This Row],[MARKET_VALUE]]+Tradingbook_SBV[[#This Row],[Accr Int]]*Tradingbook_SBV[[#This Row],[Quantity_edited]])*(-Tradingbook_SBV[[#This Row],[Modified Duration]]*0.0001+0.5*Tradingbook_SBV[[#This Row],[Conv]]*(0.0001^2))</f>
        <v>0</v>
      </c>
      <c r="DZ81" s="71">
        <f>(Tradingbook_SBV[[#This Row],[MARKET_VALUE]]+Tradingbook_SBV[[#This Row],[Accr Int]]*Tradingbook_SBV[[#This Row],[Quantity_edited]])*(-Tradingbook_SBV[[#This Row],[Modified Duration]]*0.01+0.5*Tradingbook_SBV[[#This Row],[Conv]]*(0.01^2))</f>
        <v>0</v>
      </c>
      <c r="EC81" t="s">
        <v>166</v>
      </c>
      <c r="ED81" t="s">
        <v>167</v>
      </c>
      <c r="EE81" t="s">
        <v>440</v>
      </c>
      <c r="EF81" t="s">
        <v>169</v>
      </c>
      <c r="EG81" s="35" t="s">
        <v>441</v>
      </c>
      <c r="EH81" t="s">
        <v>3322</v>
      </c>
      <c r="EK81" s="500">
        <v>0</v>
      </c>
      <c r="EL81" s="500">
        <v>0</v>
      </c>
      <c r="EM81" s="500">
        <v>0</v>
      </c>
      <c r="EN81" s="500">
        <v>0</v>
      </c>
      <c r="EO81">
        <v>10.8</v>
      </c>
      <c r="EP81">
        <v>0</v>
      </c>
      <c r="EQ81">
        <v>124552080000</v>
      </c>
      <c r="ER81">
        <v>144390418155.8999</v>
      </c>
      <c r="ES81">
        <v>-45428532432.186462</v>
      </c>
      <c r="ET81">
        <v>0</v>
      </c>
      <c r="EU81">
        <v>0</v>
      </c>
      <c r="EV81">
        <v>0</v>
      </c>
      <c r="EW81">
        <v>0</v>
      </c>
      <c r="EX81">
        <v>0</v>
      </c>
      <c r="EY81">
        <v>0</v>
      </c>
      <c r="EZ81">
        <v>0</v>
      </c>
      <c r="FA81">
        <v>17284439800</v>
      </c>
      <c r="FB81">
        <v>0</v>
      </c>
      <c r="FC81">
        <v>17284439800</v>
      </c>
      <c r="FD81">
        <v>17284439800</v>
      </c>
      <c r="FE81">
        <v>17284439800</v>
      </c>
      <c r="FF81">
        <v>17284439800</v>
      </c>
      <c r="FG81" s="32">
        <f>Bankingbook_SBV[[#This Row],[Mat. Date]]-RPT</f>
        <v>-2130</v>
      </c>
      <c r="FH81" s="32">
        <f>IF(Bankingbook_SBV[[#This Row],[Days]]&lt;=0,0,YEARFRAC(RPT,Bankingbook_SBV[[#This Row],[Mat. Date]],3))</f>
        <v>0</v>
      </c>
      <c r="FI81" s="32">
        <f>IF(Bankingbook_SBV[[#This Row],[Days (year)]]=0,0,INDEX(Ref!$K$2:$K$13,MATCH(Bankingbook_SBV[[#This Row],[Days (year)]],Ref!$I$2:$I$13,1)))</f>
        <v>0</v>
      </c>
      <c r="FJ81" s="32" t="str">
        <f>VLOOKUP(Bankingbook_SBV[[#This Row],[Security Name]],Ref!X:Z,3,0)</f>
        <v>TPCP</v>
      </c>
      <c r="FK81" s="32" t="str">
        <f>VLOOKUP(Bankingbook_SBV[[#This Row],[Security Name]],Ref!X:Y,2,0)</f>
        <v>KBNN</v>
      </c>
      <c r="FL81" s="72">
        <f>IF((Bankingbook_SBV[[#This Row],[Mat. Date]]-RPT)&lt;=0,0,Bankingbook_SBV[[#This Row],[QUANTITY]])</f>
        <v>0</v>
      </c>
      <c r="FM81" s="32">
        <f>IF(Bankingbook_SBV[[#This Row],[Quantity_edited]]=0,0,Bankingbook_SBV[[#This Row],[DURATION]])</f>
        <v>0</v>
      </c>
      <c r="FN81" s="32">
        <f>IF(Bankingbook_SBV[[#This Row],[Quantity_edited]]=0,0,Bankingbook_SBV[[#This Row],[Mod Dur]])</f>
        <v>0</v>
      </c>
      <c r="FO81" s="32">
        <f>IF(Bankingbook_SBV[[#This Row],[Quantity_edited]]=0,0,Bankingbook_SBV[[#This Row],[Cnvx.]])</f>
        <v>0</v>
      </c>
      <c r="FP81" s="32">
        <f>(Bankingbook_SBV[[#This Row],[MARKET_VALUE]]+Bankingbook_SBV[[#This Row],[Accr Int]]*Bankingbook_SBV[[#This Row],[Quantity_edited]])*(-Bankingbook_SBV[[#This Row],[Modified Duration]]*0.0001+0.5*Bankingbook_SBV[[#This Row],[Conv]]*(0.0001^2))</f>
        <v>0</v>
      </c>
      <c r="FQ81" s="32">
        <f>(Bankingbook_SBV[[#This Row],[MARKET_VALUE]]+Bankingbook_SBV[[#This Row],[Accr Int]]*Bankingbook_SBV[[#This Row],[Quantity_edited]])*(-Bankingbook_SBV[[#This Row],[Modified Duration]]*0.01+0.5*Bankingbook_SBV[[#This Row],[Conv]]*(0.01^2))</f>
        <v>0</v>
      </c>
    </row>
    <row r="82" spans="2:173" x14ac:dyDescent="0.3">
      <c r="B82" t="s">
        <v>166</v>
      </c>
      <c r="C82" t="s">
        <v>167</v>
      </c>
      <c r="D82" t="s">
        <v>254</v>
      </c>
      <c r="E82" t="s">
        <v>169</v>
      </c>
      <c r="F82" s="502">
        <v>42295</v>
      </c>
      <c r="G82" t="s">
        <v>3322</v>
      </c>
      <c r="H82"/>
      <c r="I82"/>
      <c r="J82" s="38">
        <v>0</v>
      </c>
      <c r="K82">
        <v>0</v>
      </c>
      <c r="L82">
        <v>0</v>
      </c>
      <c r="M82" s="38">
        <v>0</v>
      </c>
      <c r="N82">
        <v>10.29</v>
      </c>
      <c r="O82">
        <v>0</v>
      </c>
      <c r="P82" s="37">
        <v>0</v>
      </c>
      <c r="Q82" s="37">
        <v>0</v>
      </c>
      <c r="R82" s="37">
        <v>-9508247.5</v>
      </c>
      <c r="S82">
        <v>10.29</v>
      </c>
      <c r="T82" s="70">
        <v>0</v>
      </c>
      <c r="U82">
        <v>0</v>
      </c>
      <c r="V82">
        <v>0</v>
      </c>
      <c r="W82">
        <v>0</v>
      </c>
      <c r="X82" s="38">
        <v>0</v>
      </c>
      <c r="Y82">
        <v>0</v>
      </c>
      <c r="Z82" s="70">
        <v>33200000</v>
      </c>
      <c r="AA82" s="70">
        <v>0</v>
      </c>
      <c r="AB82" s="70">
        <v>33200000</v>
      </c>
      <c r="AC82" s="70">
        <v>33200000</v>
      </c>
      <c r="AD82" s="70">
        <v>33200000</v>
      </c>
      <c r="AE82" s="70">
        <v>33200000</v>
      </c>
      <c r="AF82">
        <v>0</v>
      </c>
      <c r="AG82" s="72">
        <f>Tradingbook_MSB[[#This Row],[Mat. Date]]-RPT</f>
        <v>-3957</v>
      </c>
      <c r="AH82" s="71">
        <f>IF(Tradingbook_MSB[[#This Row],[Days]]&lt;=0,0,YEARFRAC(RPT,Tradingbook_MSB[[#This Row],[Mat. Date]],3))</f>
        <v>0</v>
      </c>
      <c r="AI82" s="71">
        <f>IF(Tradingbook_MSB[[#This Row],[Days (year)]]=0,0,INDEX(Ref!$K$2:$K$13,MATCH(Tradingbook_MSB[[#This Row],[Days (year)]],Ref!$I$2:$I$13,1)))</f>
        <v>0</v>
      </c>
      <c r="AJ82" s="120" t="str">
        <f>VLOOKUP(Tradingbook_MSB[[#This Row],[Security Name]],Ref!X:Z,3,0)</f>
        <v>TPCP</v>
      </c>
      <c r="AK82" s="120" t="str">
        <f>VLOOKUP(Tradingbook_MSB[[#This Row],[Security Name]],Ref!X:Y,2,0)</f>
        <v>KBNN</v>
      </c>
      <c r="AL82" s="71">
        <f>IF((Tradingbook_MSB[[#This Row],[Mat. Date]]-RPT)&lt;=0,0,Tradingbook_MSB[[#This Row],[QUANTITY]])</f>
        <v>0</v>
      </c>
      <c r="AM82" s="71">
        <f>IF(Tradingbook_MSB[[#This Row],[Quantity_edited]]=0,0,Tradingbook_MSB[[#This Row],[DURATION]])</f>
        <v>0</v>
      </c>
      <c r="AN82" s="71">
        <f>IF(Tradingbook_MSB[[#This Row],[Quantity_edited]]=0,0,Tradingbook_MSB[[#This Row],[Mod Dur]])</f>
        <v>0</v>
      </c>
      <c r="AO82" s="71">
        <f>IF(Tradingbook_MSB[[#This Row],[Quantity_edited]]=0,0,Tradingbook_MSB[[#This Row],[Cnvx.]])</f>
        <v>0</v>
      </c>
      <c r="AP82" s="71">
        <f>(Tradingbook_MSB[[#This Row],[MARKET_VALUE]]+Tradingbook_MSB[[#This Row],[Accr Int]]*Tradingbook_MSB[[#This Row],[Quantity_edited]])*(-Tradingbook_MSB[[#This Row],[Modified Duration]]*0.0001+0.5*Tradingbook_MSB[[#This Row],[Conv]]*(0.0001^2))</f>
        <v>0</v>
      </c>
      <c r="AQ82" s="72">
        <f>(Tradingbook_MSB[[#This Row],[MARKET_VALUE]]+Tradingbook_MSB[[#This Row],[Accr Int]]*Tradingbook_MSB[[#This Row],[Quantity_edited]])*(-Tradingbook_MSB[[#This Row],[Modified Duration]]*0.01+0.5*Tradingbook_MSB[[#This Row],[Conv]]*(0.01^2))</f>
        <v>0</v>
      </c>
      <c r="AR82" s="71"/>
      <c r="AT82" t="s">
        <v>166</v>
      </c>
      <c r="AU82" t="s">
        <v>167</v>
      </c>
      <c r="AV82" t="s">
        <v>493</v>
      </c>
      <c r="AW82" t="s">
        <v>169</v>
      </c>
      <c r="AX82" t="s">
        <v>494</v>
      </c>
      <c r="AY82" t="s">
        <v>3322</v>
      </c>
      <c r="BB82" s="70">
        <v>0</v>
      </c>
      <c r="BC82">
        <v>0</v>
      </c>
      <c r="BD82">
        <v>0</v>
      </c>
      <c r="BE82" s="37">
        <v>0</v>
      </c>
      <c r="BF82">
        <v>9</v>
      </c>
      <c r="BG82">
        <v>0</v>
      </c>
      <c r="BH82" s="126">
        <v>27000000000</v>
      </c>
      <c r="BI82">
        <v>28718113125.000031</v>
      </c>
      <c r="BJ82">
        <v>-8219438784.7918606</v>
      </c>
      <c r="BK82">
        <v>0</v>
      </c>
      <c r="BL82">
        <v>0</v>
      </c>
      <c r="BM82">
        <v>0</v>
      </c>
      <c r="BN82">
        <v>0</v>
      </c>
      <c r="BO82">
        <v>0</v>
      </c>
      <c r="BP82">
        <v>0</v>
      </c>
      <c r="BQ82">
        <v>0</v>
      </c>
      <c r="BR82">
        <v>-4945500000</v>
      </c>
      <c r="BS82">
        <v>0</v>
      </c>
      <c r="BT82">
        <v>-4945500000</v>
      </c>
      <c r="BU82">
        <v>-4945500000</v>
      </c>
      <c r="BV82">
        <v>-4945500000</v>
      </c>
      <c r="BW82">
        <v>-4945500000</v>
      </c>
      <c r="BX82">
        <v>0</v>
      </c>
      <c r="BY82" s="32">
        <f>Bankingbook_MSB[[#This Row],[Mat. Date]]-RPT</f>
        <v>-1722</v>
      </c>
      <c r="BZ82" s="71">
        <f>IF(Bankingbook_MSB[[#This Row],[Days]]&lt;=0,0,YEARFRAC(RPT,Bankingbook_MSB[[#This Row],[Mat. Date]],3))</f>
        <v>0</v>
      </c>
      <c r="CA82" s="71">
        <f>IF(Bankingbook_MSB[[#This Row],[Days (year)]]=0,0,INDEX(Ref!$K$2:$K$13,MATCH(Bankingbook_MSB[[#This Row],[Days (year)]],Ref!$I$2:$I$13,1)))</f>
        <v>0</v>
      </c>
      <c r="CB82" s="32" t="str">
        <f>VLOOKUP(Bankingbook_MSB[[#This Row],[Security Name]],Ref!X:Z,3,0)</f>
        <v>TPCP</v>
      </c>
      <c r="CC82" s="32" t="str">
        <f>VLOOKUP(Bankingbook_MSB[[#This Row],[Security Name]],Ref!X:Y,2,0)</f>
        <v>VDB</v>
      </c>
      <c r="CD82" s="72">
        <f>IF((Bankingbook_MSB[[#This Row],[Mat. Date]]-RPT)&lt;=0,0,Bankingbook_MSB[[#This Row],[QUANTITY]])</f>
        <v>0</v>
      </c>
      <c r="CE82" s="71">
        <f>IF(Bankingbook_MSB[[#This Row],[Quantity_edited]]=0,0,Bankingbook_MSB[[#This Row],[DURATION]])</f>
        <v>0</v>
      </c>
      <c r="CF82" s="71">
        <f>IF(Bankingbook_MSB[[#This Row],[Quantity_edited]]=0,0,Bankingbook_MSB[[#This Row],[Mod Dur]])</f>
        <v>0</v>
      </c>
      <c r="CG82" s="71">
        <f>IF(Bankingbook_MSB[[#This Row],[Quantity_edited]]=0,0,Bankingbook_MSB[[#This Row],[Cnvx.]])</f>
        <v>0</v>
      </c>
      <c r="CH82" s="71">
        <f>(Bankingbook_MSB[[#This Row],[MARKET_VALUE]]+Bankingbook_MSB[[#This Row],[Accr Int]]*Bankingbook_MSB[[#This Row],[Quantity_edited]])*(-Bankingbook_MSB[[#This Row],[Modified Duration]]*0.0001+0.5*Bankingbook_MSB[[#This Row],[Conv]]*(0.0001^2))</f>
        <v>0</v>
      </c>
      <c r="CI82" s="71">
        <f>(Bankingbook_MSB[[#This Row],[MARKET_VALUE]]+Bankingbook_MSB[[#This Row],[Accr Int]]*Bankingbook_MSB[[#This Row],[Quantity_edited]])*(-Bankingbook_MSB[[#This Row],[Modified Duration]]*0.01+0.5*Bankingbook_MSB[[#This Row],[Conv]]*(0.01^2))</f>
        <v>0</v>
      </c>
      <c r="CJ82" s="32"/>
      <c r="CL82" t="s">
        <v>166</v>
      </c>
      <c r="CM82" t="s">
        <v>167</v>
      </c>
      <c r="CN82" t="s">
        <v>254</v>
      </c>
      <c r="CO82" t="s">
        <v>169</v>
      </c>
      <c r="CP82" s="35">
        <v>42295</v>
      </c>
      <c r="CQ82" t="s">
        <v>3322</v>
      </c>
      <c r="CR82" t="s">
        <v>174</v>
      </c>
      <c r="CS82" t="s">
        <v>174</v>
      </c>
      <c r="CT82" s="49">
        <v>0</v>
      </c>
      <c r="CU82">
        <v>0</v>
      </c>
      <c r="CV82">
        <v>0</v>
      </c>
      <c r="CW82" s="70">
        <v>0</v>
      </c>
      <c r="CX82">
        <v>10.29</v>
      </c>
      <c r="CY82">
        <v>0</v>
      </c>
      <c r="CZ82">
        <v>0</v>
      </c>
      <c r="DA82">
        <v>0</v>
      </c>
      <c r="DB82">
        <v>-9508247.5</v>
      </c>
      <c r="DC82">
        <v>10.29</v>
      </c>
      <c r="DD82">
        <v>0</v>
      </c>
      <c r="DE82">
        <v>0</v>
      </c>
      <c r="DF82">
        <v>0</v>
      </c>
      <c r="DG82">
        <v>0</v>
      </c>
      <c r="DH82">
        <v>0</v>
      </c>
      <c r="DI82">
        <v>0</v>
      </c>
      <c r="DJ82" s="500">
        <v>33200000</v>
      </c>
      <c r="DK82" s="500">
        <v>0</v>
      </c>
      <c r="DL82" s="37">
        <v>33200000</v>
      </c>
      <c r="DM82" s="37">
        <v>33200000</v>
      </c>
      <c r="DN82" s="37">
        <v>33200000</v>
      </c>
      <c r="DO82" s="37">
        <v>33200000</v>
      </c>
      <c r="DP82" s="32">
        <f>Tradingbook_SBV[[#This Row],[Mat. Date]]-RPT</f>
        <v>-3957</v>
      </c>
      <c r="DQ82" s="32">
        <f>IF(Tradingbook_SBV[[#This Row],[Days]]&lt;=0,0,YEARFRAC(RPT,Tradingbook_SBV[[#This Row],[Mat. Date]],3))</f>
        <v>0</v>
      </c>
      <c r="DR82" s="32">
        <f>IF(Tradingbook_SBV[[#This Row],[Days (year)]]=0,0,INDEX(Ref!$K$2:$K$13,MATCH(Tradingbook_SBV[[#This Row],[Days (year)]],Ref!$I$2:$I$13,1)))</f>
        <v>0</v>
      </c>
      <c r="DS82" s="32" t="str">
        <f>VLOOKUP(Tradingbook_SBV[[#This Row],[Security Name]],Ref!X:Z,3,0)</f>
        <v>TPCP</v>
      </c>
      <c r="DT82" s="32" t="str">
        <f>VLOOKUP(Tradingbook_SBV[[#This Row],[Security Name]],Ref!X:Y,2,0)</f>
        <v>KBNN</v>
      </c>
      <c r="DU82" s="71">
        <f>IF((Tradingbook_SBV[[#This Row],[Mat. Date]]-RPT)&lt;=0,0,Tradingbook_SBV[[#This Row],[QUANTITY]])</f>
        <v>0</v>
      </c>
      <c r="DV82" s="71">
        <f>IF(Tradingbook_SBV[[#This Row],[Quantity_edited]]=0,0,Tradingbook_SBV[[#This Row],[DURATION]])</f>
        <v>0</v>
      </c>
      <c r="DW82" s="71">
        <f>IF(Tradingbook_SBV[[#This Row],[Quantity_edited]]=0,0,Tradingbook_SBV[[#This Row],[Mod Dur]])</f>
        <v>0</v>
      </c>
      <c r="DX82" s="71">
        <f>IF(Tradingbook_SBV[[#This Row],[Quantity_edited]]=0,0,Tradingbook_SBV[[#This Row],[Cnvx.]])</f>
        <v>0</v>
      </c>
      <c r="DY82" s="71">
        <f>(Tradingbook_SBV[[#This Row],[MARKET_VALUE]]+Tradingbook_SBV[[#This Row],[Accr Int]]*Tradingbook_SBV[[#This Row],[Quantity_edited]])*(-Tradingbook_SBV[[#This Row],[Modified Duration]]*0.0001+0.5*Tradingbook_SBV[[#This Row],[Conv]]*(0.0001^2))</f>
        <v>0</v>
      </c>
      <c r="DZ82" s="71">
        <f>(Tradingbook_SBV[[#This Row],[MARKET_VALUE]]+Tradingbook_SBV[[#This Row],[Accr Int]]*Tradingbook_SBV[[#This Row],[Quantity_edited]])*(-Tradingbook_SBV[[#This Row],[Modified Duration]]*0.01+0.5*Tradingbook_SBV[[#This Row],[Conv]]*(0.01^2))</f>
        <v>0</v>
      </c>
      <c r="EC82" t="s">
        <v>166</v>
      </c>
      <c r="ED82" t="s">
        <v>167</v>
      </c>
      <c r="EE82" t="s">
        <v>443</v>
      </c>
      <c r="EF82" t="s">
        <v>169</v>
      </c>
      <c r="EG82" s="35" t="s">
        <v>3732</v>
      </c>
      <c r="EH82" t="s">
        <v>3322</v>
      </c>
      <c r="EK82" s="500">
        <v>0</v>
      </c>
      <c r="EL82" s="500">
        <v>0</v>
      </c>
      <c r="EM82" s="500">
        <v>0</v>
      </c>
      <c r="EN82" s="500">
        <v>0</v>
      </c>
      <c r="EO82">
        <v>7.3</v>
      </c>
      <c r="EP82">
        <v>0</v>
      </c>
      <c r="EQ82">
        <v>3650000000</v>
      </c>
      <c r="ER82">
        <v>3832601388.8888912</v>
      </c>
      <c r="ES82">
        <v>-1208216880.2083471</v>
      </c>
      <c r="ET82">
        <v>0</v>
      </c>
      <c r="EU82">
        <v>0</v>
      </c>
      <c r="EV82">
        <v>0</v>
      </c>
      <c r="EW82">
        <v>0</v>
      </c>
      <c r="EX82">
        <v>0</v>
      </c>
      <c r="EY82">
        <v>0</v>
      </c>
      <c r="EZ82">
        <v>0</v>
      </c>
      <c r="FA82">
        <v>3232500000</v>
      </c>
      <c r="FB82">
        <v>0</v>
      </c>
      <c r="FC82">
        <v>3232500000</v>
      </c>
      <c r="FD82">
        <v>3232500000</v>
      </c>
      <c r="FE82">
        <v>3232500000</v>
      </c>
      <c r="FF82">
        <v>3232500000</v>
      </c>
      <c r="FG82" s="32">
        <f>Bankingbook_SBV[[#This Row],[Mat. Date]]-RPT</f>
        <v>-2125</v>
      </c>
      <c r="FH82" s="32">
        <f>IF(Bankingbook_SBV[[#This Row],[Days]]&lt;=0,0,YEARFRAC(RPT,Bankingbook_SBV[[#This Row],[Mat. Date]],3))</f>
        <v>0</v>
      </c>
      <c r="FI82" s="32">
        <f>IF(Bankingbook_SBV[[#This Row],[Days (year)]]=0,0,INDEX(Ref!$K$2:$K$13,MATCH(Bankingbook_SBV[[#This Row],[Days (year)]],Ref!$I$2:$I$13,1)))</f>
        <v>0</v>
      </c>
      <c r="FJ82" s="32" t="str">
        <f>VLOOKUP(Bankingbook_SBV[[#This Row],[Security Name]],Ref!X:Z,3,0)</f>
        <v>TPCPBL</v>
      </c>
      <c r="FK82" s="32" t="str">
        <f>VLOOKUP(Bankingbook_SBV[[#This Row],[Security Name]],Ref!X:Y,2,0)</f>
        <v>VDB</v>
      </c>
      <c r="FL82" s="72">
        <f>IF((Bankingbook_SBV[[#This Row],[Mat. Date]]-RPT)&lt;=0,0,Bankingbook_SBV[[#This Row],[QUANTITY]])</f>
        <v>0</v>
      </c>
      <c r="FM82" s="32">
        <f>IF(Bankingbook_SBV[[#This Row],[Quantity_edited]]=0,0,Bankingbook_SBV[[#This Row],[DURATION]])</f>
        <v>0</v>
      </c>
      <c r="FN82" s="32">
        <f>IF(Bankingbook_SBV[[#This Row],[Quantity_edited]]=0,0,Bankingbook_SBV[[#This Row],[Mod Dur]])</f>
        <v>0</v>
      </c>
      <c r="FO82" s="32">
        <f>IF(Bankingbook_SBV[[#This Row],[Quantity_edited]]=0,0,Bankingbook_SBV[[#This Row],[Cnvx.]])</f>
        <v>0</v>
      </c>
      <c r="FP82" s="32">
        <f>(Bankingbook_SBV[[#This Row],[MARKET_VALUE]]+Bankingbook_SBV[[#This Row],[Accr Int]]*Bankingbook_SBV[[#This Row],[Quantity_edited]])*(-Bankingbook_SBV[[#This Row],[Modified Duration]]*0.0001+0.5*Bankingbook_SBV[[#This Row],[Conv]]*(0.0001^2))</f>
        <v>0</v>
      </c>
      <c r="FQ82" s="32">
        <f>(Bankingbook_SBV[[#This Row],[MARKET_VALUE]]+Bankingbook_SBV[[#This Row],[Accr Int]]*Bankingbook_SBV[[#This Row],[Quantity_edited]])*(-Bankingbook_SBV[[#This Row],[Modified Duration]]*0.01+0.5*Bankingbook_SBV[[#This Row],[Conv]]*(0.01^2))</f>
        <v>0</v>
      </c>
    </row>
    <row r="83" spans="2:173" x14ac:dyDescent="0.3">
      <c r="B83" t="s">
        <v>166</v>
      </c>
      <c r="C83" t="s">
        <v>167</v>
      </c>
      <c r="D83" t="s">
        <v>255</v>
      </c>
      <c r="E83" t="s">
        <v>169</v>
      </c>
      <c r="F83" s="502">
        <v>42308</v>
      </c>
      <c r="G83" t="s">
        <v>3322</v>
      </c>
      <c r="H83"/>
      <c r="I83"/>
      <c r="J83" s="38">
        <v>0</v>
      </c>
      <c r="K83">
        <v>0</v>
      </c>
      <c r="L83">
        <v>0</v>
      </c>
      <c r="M83" s="38">
        <v>0</v>
      </c>
      <c r="N83">
        <v>7.2</v>
      </c>
      <c r="O83">
        <v>0</v>
      </c>
      <c r="P83" s="37">
        <v>0</v>
      </c>
      <c r="Q83" s="37">
        <v>0</v>
      </c>
      <c r="R83" s="37">
        <v>-1587966537.7777905</v>
      </c>
      <c r="S83">
        <v>7.2</v>
      </c>
      <c r="T83" s="70">
        <v>0</v>
      </c>
      <c r="U83">
        <v>0</v>
      </c>
      <c r="V83">
        <v>0</v>
      </c>
      <c r="W83">
        <v>0</v>
      </c>
      <c r="X83" s="38">
        <v>0</v>
      </c>
      <c r="Y83">
        <v>0</v>
      </c>
      <c r="Z83" s="70">
        <v>2756749999.999939</v>
      </c>
      <c r="AA83" s="70">
        <v>0</v>
      </c>
      <c r="AB83" s="70">
        <v>2756749999.999939</v>
      </c>
      <c r="AC83" s="70">
        <v>2756749999.999939</v>
      </c>
      <c r="AD83" s="70">
        <v>2756750000</v>
      </c>
      <c r="AE83" s="70">
        <v>2756749999.999939</v>
      </c>
      <c r="AF83">
        <v>0</v>
      </c>
      <c r="AG83" s="72">
        <f>Tradingbook_MSB[[#This Row],[Mat. Date]]-RPT</f>
        <v>-3944</v>
      </c>
      <c r="AH83" s="71">
        <f>IF(Tradingbook_MSB[[#This Row],[Days]]&lt;=0,0,YEARFRAC(RPT,Tradingbook_MSB[[#This Row],[Mat. Date]],3))</f>
        <v>0</v>
      </c>
      <c r="AI83" s="71">
        <f>IF(Tradingbook_MSB[[#This Row],[Days (year)]]=0,0,INDEX(Ref!$K$2:$K$13,MATCH(Tradingbook_MSB[[#This Row],[Days (year)]],Ref!$I$2:$I$13,1)))</f>
        <v>0</v>
      </c>
      <c r="AJ83" s="120" t="str">
        <f>VLOOKUP(Tradingbook_MSB[[#This Row],[Security Name]],Ref!X:Z,3,0)</f>
        <v>TPCP</v>
      </c>
      <c r="AK83" s="120" t="str">
        <f>VLOOKUP(Tradingbook_MSB[[#This Row],[Security Name]],Ref!X:Y,2,0)</f>
        <v>KBNN</v>
      </c>
      <c r="AL83" s="71">
        <f>IF((Tradingbook_MSB[[#This Row],[Mat. Date]]-RPT)&lt;=0,0,Tradingbook_MSB[[#This Row],[QUANTITY]])</f>
        <v>0</v>
      </c>
      <c r="AM83" s="71">
        <f>IF(Tradingbook_MSB[[#This Row],[Quantity_edited]]=0,0,Tradingbook_MSB[[#This Row],[DURATION]])</f>
        <v>0</v>
      </c>
      <c r="AN83" s="71">
        <f>IF(Tradingbook_MSB[[#This Row],[Quantity_edited]]=0,0,Tradingbook_MSB[[#This Row],[Mod Dur]])</f>
        <v>0</v>
      </c>
      <c r="AO83" s="71">
        <f>IF(Tradingbook_MSB[[#This Row],[Quantity_edited]]=0,0,Tradingbook_MSB[[#This Row],[Cnvx.]])</f>
        <v>0</v>
      </c>
      <c r="AP83" s="71">
        <f>(Tradingbook_MSB[[#This Row],[MARKET_VALUE]]+Tradingbook_MSB[[#This Row],[Accr Int]]*Tradingbook_MSB[[#This Row],[Quantity_edited]])*(-Tradingbook_MSB[[#This Row],[Modified Duration]]*0.0001+0.5*Tradingbook_MSB[[#This Row],[Conv]]*(0.0001^2))</f>
        <v>0</v>
      </c>
      <c r="AQ83" s="72">
        <f>(Tradingbook_MSB[[#This Row],[MARKET_VALUE]]+Tradingbook_MSB[[#This Row],[Accr Int]]*Tradingbook_MSB[[#This Row],[Quantity_edited]])*(-Tradingbook_MSB[[#This Row],[Modified Duration]]*0.01+0.5*Tradingbook_MSB[[#This Row],[Conv]]*(0.01^2))</f>
        <v>0</v>
      </c>
      <c r="AR83" s="71"/>
      <c r="AT83" t="s">
        <v>166</v>
      </c>
      <c r="AU83" t="s">
        <v>167</v>
      </c>
      <c r="AV83" t="s">
        <v>499</v>
      </c>
      <c r="AW83" t="s">
        <v>169</v>
      </c>
      <c r="AX83" t="s">
        <v>3388</v>
      </c>
      <c r="AY83" t="s">
        <v>3322</v>
      </c>
      <c r="BB83" s="70">
        <v>0</v>
      </c>
      <c r="BC83">
        <v>0</v>
      </c>
      <c r="BD83">
        <v>0</v>
      </c>
      <c r="BE83" s="37">
        <v>0</v>
      </c>
      <c r="BF83">
        <v>5.4</v>
      </c>
      <c r="BG83">
        <v>0</v>
      </c>
      <c r="BH83" s="126">
        <v>25272000000</v>
      </c>
      <c r="BI83">
        <v>26942343435.000046</v>
      </c>
      <c r="BJ83">
        <v>-14975043308.261332</v>
      </c>
      <c r="BK83">
        <v>0</v>
      </c>
      <c r="BL83">
        <v>0</v>
      </c>
      <c r="BM83">
        <v>0</v>
      </c>
      <c r="BN83">
        <v>0</v>
      </c>
      <c r="BO83">
        <v>0</v>
      </c>
      <c r="BP83">
        <v>0</v>
      </c>
      <c r="BQ83">
        <v>0</v>
      </c>
      <c r="BR83">
        <v>10209120000</v>
      </c>
      <c r="BS83">
        <v>0</v>
      </c>
      <c r="BT83">
        <v>10209120000</v>
      </c>
      <c r="BU83">
        <v>10209120000</v>
      </c>
      <c r="BV83">
        <v>10209120000</v>
      </c>
      <c r="BW83">
        <v>10209120000</v>
      </c>
      <c r="BX83">
        <v>0</v>
      </c>
      <c r="BY83" s="32">
        <f>Bankingbook_MSB[[#This Row],[Mat. Date]]-RPT</f>
        <v>-1652</v>
      </c>
      <c r="BZ83" s="71">
        <f>IF(Bankingbook_MSB[[#This Row],[Days]]&lt;=0,0,YEARFRAC(RPT,Bankingbook_MSB[[#This Row],[Mat. Date]],3))</f>
        <v>0</v>
      </c>
      <c r="CA83" s="71">
        <f>IF(Bankingbook_MSB[[#This Row],[Days (year)]]=0,0,INDEX(Ref!$K$2:$K$13,MATCH(Bankingbook_MSB[[#This Row],[Days (year)]],Ref!$I$2:$I$13,1)))</f>
        <v>0</v>
      </c>
      <c r="CB83" s="32" t="str">
        <f>VLOOKUP(Bankingbook_MSB[[#This Row],[Security Name]],Ref!X:Z,3,0)</f>
        <v>TPCPBL</v>
      </c>
      <c r="CC83" s="32" t="str">
        <f>VLOOKUP(Bankingbook_MSB[[#This Row],[Security Name]],Ref!X:Y,2,0)</f>
        <v>VDB</v>
      </c>
      <c r="CD83" s="72">
        <f>IF((Bankingbook_MSB[[#This Row],[Mat. Date]]-RPT)&lt;=0,0,Bankingbook_MSB[[#This Row],[QUANTITY]])</f>
        <v>0</v>
      </c>
      <c r="CE83" s="71">
        <f>IF(Bankingbook_MSB[[#This Row],[Quantity_edited]]=0,0,Bankingbook_MSB[[#This Row],[DURATION]])</f>
        <v>0</v>
      </c>
      <c r="CF83" s="71">
        <f>IF(Bankingbook_MSB[[#This Row],[Quantity_edited]]=0,0,Bankingbook_MSB[[#This Row],[Mod Dur]])</f>
        <v>0</v>
      </c>
      <c r="CG83" s="71">
        <f>IF(Bankingbook_MSB[[#This Row],[Quantity_edited]]=0,0,Bankingbook_MSB[[#This Row],[Cnvx.]])</f>
        <v>0</v>
      </c>
      <c r="CH83" s="71">
        <f>(Bankingbook_MSB[[#This Row],[MARKET_VALUE]]+Bankingbook_MSB[[#This Row],[Accr Int]]*Bankingbook_MSB[[#This Row],[Quantity_edited]])*(-Bankingbook_MSB[[#This Row],[Modified Duration]]*0.0001+0.5*Bankingbook_MSB[[#This Row],[Conv]]*(0.0001^2))</f>
        <v>0</v>
      </c>
      <c r="CI83" s="71">
        <f>(Bankingbook_MSB[[#This Row],[MARKET_VALUE]]+Bankingbook_MSB[[#This Row],[Accr Int]]*Bankingbook_MSB[[#This Row],[Quantity_edited]])*(-Bankingbook_MSB[[#This Row],[Modified Duration]]*0.01+0.5*Bankingbook_MSB[[#This Row],[Conv]]*(0.01^2))</f>
        <v>0</v>
      </c>
      <c r="CJ83" s="32"/>
      <c r="CL83" t="s">
        <v>166</v>
      </c>
      <c r="CM83" t="s">
        <v>167</v>
      </c>
      <c r="CN83" t="s">
        <v>255</v>
      </c>
      <c r="CO83" t="s">
        <v>169</v>
      </c>
      <c r="CP83" s="35">
        <v>42308</v>
      </c>
      <c r="CQ83" t="s">
        <v>3322</v>
      </c>
      <c r="CR83" t="s">
        <v>174</v>
      </c>
      <c r="CS83" t="s">
        <v>174</v>
      </c>
      <c r="CT83" s="49">
        <v>0</v>
      </c>
      <c r="CU83">
        <v>0</v>
      </c>
      <c r="CV83">
        <v>0</v>
      </c>
      <c r="CW83" s="70">
        <v>0</v>
      </c>
      <c r="CX83">
        <v>7.2</v>
      </c>
      <c r="CY83">
        <v>0</v>
      </c>
      <c r="CZ83">
        <v>0</v>
      </c>
      <c r="DA83">
        <v>0</v>
      </c>
      <c r="DB83">
        <v>-1587966537.7777905</v>
      </c>
      <c r="DC83">
        <v>7.2</v>
      </c>
      <c r="DD83">
        <v>0</v>
      </c>
      <c r="DE83">
        <v>0</v>
      </c>
      <c r="DF83">
        <v>0</v>
      </c>
      <c r="DG83">
        <v>0</v>
      </c>
      <c r="DH83">
        <v>0</v>
      </c>
      <c r="DI83">
        <v>0</v>
      </c>
      <c r="DJ83" s="500">
        <v>2756749999.999939</v>
      </c>
      <c r="DK83" s="500">
        <v>0</v>
      </c>
      <c r="DL83" s="37">
        <v>2756749999.999939</v>
      </c>
      <c r="DM83" s="37">
        <v>2756749999.999939</v>
      </c>
      <c r="DN83" s="37">
        <v>2756750000</v>
      </c>
      <c r="DO83" s="37">
        <v>2756749999.999939</v>
      </c>
      <c r="DP83" s="32">
        <f>Tradingbook_SBV[[#This Row],[Mat. Date]]-RPT</f>
        <v>-3944</v>
      </c>
      <c r="DQ83" s="32">
        <f>IF(Tradingbook_SBV[[#This Row],[Days]]&lt;=0,0,YEARFRAC(RPT,Tradingbook_SBV[[#This Row],[Mat. Date]],3))</f>
        <v>0</v>
      </c>
      <c r="DR83" s="32">
        <f>IF(Tradingbook_SBV[[#This Row],[Days (year)]]=0,0,INDEX(Ref!$K$2:$K$13,MATCH(Tradingbook_SBV[[#This Row],[Days (year)]],Ref!$I$2:$I$13,1)))</f>
        <v>0</v>
      </c>
      <c r="DS83" s="32" t="str">
        <f>VLOOKUP(Tradingbook_SBV[[#This Row],[Security Name]],Ref!X:Z,3,0)</f>
        <v>TPCP</v>
      </c>
      <c r="DT83" s="32" t="str">
        <f>VLOOKUP(Tradingbook_SBV[[#This Row],[Security Name]],Ref!X:Y,2,0)</f>
        <v>KBNN</v>
      </c>
      <c r="DU83" s="71">
        <f>IF((Tradingbook_SBV[[#This Row],[Mat. Date]]-RPT)&lt;=0,0,Tradingbook_SBV[[#This Row],[QUANTITY]])</f>
        <v>0</v>
      </c>
      <c r="DV83" s="71">
        <f>IF(Tradingbook_SBV[[#This Row],[Quantity_edited]]=0,0,Tradingbook_SBV[[#This Row],[DURATION]])</f>
        <v>0</v>
      </c>
      <c r="DW83" s="71">
        <f>IF(Tradingbook_SBV[[#This Row],[Quantity_edited]]=0,0,Tradingbook_SBV[[#This Row],[Mod Dur]])</f>
        <v>0</v>
      </c>
      <c r="DX83" s="71">
        <f>IF(Tradingbook_SBV[[#This Row],[Quantity_edited]]=0,0,Tradingbook_SBV[[#This Row],[Cnvx.]])</f>
        <v>0</v>
      </c>
      <c r="DY83" s="71">
        <f>(Tradingbook_SBV[[#This Row],[MARKET_VALUE]]+Tradingbook_SBV[[#This Row],[Accr Int]]*Tradingbook_SBV[[#This Row],[Quantity_edited]])*(-Tradingbook_SBV[[#This Row],[Modified Duration]]*0.0001+0.5*Tradingbook_SBV[[#This Row],[Conv]]*(0.0001^2))</f>
        <v>0</v>
      </c>
      <c r="DZ83" s="71">
        <f>(Tradingbook_SBV[[#This Row],[MARKET_VALUE]]+Tradingbook_SBV[[#This Row],[Accr Int]]*Tradingbook_SBV[[#This Row],[Quantity_edited]])*(-Tradingbook_SBV[[#This Row],[Modified Duration]]*0.01+0.5*Tradingbook_SBV[[#This Row],[Conv]]*(0.01^2))</f>
        <v>0</v>
      </c>
      <c r="EC83" t="s">
        <v>166</v>
      </c>
      <c r="ED83" t="s">
        <v>167</v>
      </c>
      <c r="EE83" t="s">
        <v>444</v>
      </c>
      <c r="EF83" t="s">
        <v>169</v>
      </c>
      <c r="EG83" s="35" t="s">
        <v>445</v>
      </c>
      <c r="EH83" t="s">
        <v>3322</v>
      </c>
      <c r="EK83" s="500">
        <v>0</v>
      </c>
      <c r="EL83" s="500">
        <v>0</v>
      </c>
      <c r="EM83" s="500">
        <v>0</v>
      </c>
      <c r="EN83" s="500">
        <v>0</v>
      </c>
      <c r="EO83">
        <v>7.3</v>
      </c>
      <c r="EP83">
        <v>0</v>
      </c>
      <c r="EQ83">
        <v>21900000000</v>
      </c>
      <c r="ER83">
        <v>23191309166.666672</v>
      </c>
      <c r="ES83">
        <v>-6639451862.500082</v>
      </c>
      <c r="ET83">
        <v>0</v>
      </c>
      <c r="EU83">
        <v>0</v>
      </c>
      <c r="EV83">
        <v>0</v>
      </c>
      <c r="EW83">
        <v>0</v>
      </c>
      <c r="EX83">
        <v>0</v>
      </c>
      <c r="EY83">
        <v>0</v>
      </c>
      <c r="EZ83">
        <v>0</v>
      </c>
      <c r="FA83">
        <v>-1880000000</v>
      </c>
      <c r="FB83">
        <v>0</v>
      </c>
      <c r="FC83">
        <v>-1880000000</v>
      </c>
      <c r="FD83">
        <v>-1880000000</v>
      </c>
      <c r="FE83">
        <v>-1880000000</v>
      </c>
      <c r="FF83">
        <v>-1880000000</v>
      </c>
      <c r="FG83" s="32">
        <f>Bankingbook_SBV[[#This Row],[Mat. Date]]-RPT</f>
        <v>-2118</v>
      </c>
      <c r="FH83" s="32">
        <f>IF(Bankingbook_SBV[[#This Row],[Days]]&lt;=0,0,YEARFRAC(RPT,Bankingbook_SBV[[#This Row],[Mat. Date]],3))</f>
        <v>0</v>
      </c>
      <c r="FI83" s="32">
        <f>IF(Bankingbook_SBV[[#This Row],[Days (year)]]=0,0,INDEX(Ref!$K$2:$K$13,MATCH(Bankingbook_SBV[[#This Row],[Days (year)]],Ref!$I$2:$I$13,1)))</f>
        <v>0</v>
      </c>
      <c r="FJ83" s="32" t="str">
        <f>VLOOKUP(Bankingbook_SBV[[#This Row],[Security Name]],Ref!X:Z,3,0)</f>
        <v>TPCPBL</v>
      </c>
      <c r="FK83" s="32" t="str">
        <f>VLOOKUP(Bankingbook_SBV[[#This Row],[Security Name]],Ref!X:Y,2,0)</f>
        <v>VDB</v>
      </c>
      <c r="FL83" s="72">
        <f>IF((Bankingbook_SBV[[#This Row],[Mat. Date]]-RPT)&lt;=0,0,Bankingbook_SBV[[#This Row],[QUANTITY]])</f>
        <v>0</v>
      </c>
      <c r="FM83" s="32">
        <f>IF(Bankingbook_SBV[[#This Row],[Quantity_edited]]=0,0,Bankingbook_SBV[[#This Row],[DURATION]])</f>
        <v>0</v>
      </c>
      <c r="FN83" s="32">
        <f>IF(Bankingbook_SBV[[#This Row],[Quantity_edited]]=0,0,Bankingbook_SBV[[#This Row],[Mod Dur]])</f>
        <v>0</v>
      </c>
      <c r="FO83" s="32">
        <f>IF(Bankingbook_SBV[[#This Row],[Quantity_edited]]=0,0,Bankingbook_SBV[[#This Row],[Cnvx.]])</f>
        <v>0</v>
      </c>
      <c r="FP83" s="32">
        <f>(Bankingbook_SBV[[#This Row],[MARKET_VALUE]]+Bankingbook_SBV[[#This Row],[Accr Int]]*Bankingbook_SBV[[#This Row],[Quantity_edited]])*(-Bankingbook_SBV[[#This Row],[Modified Duration]]*0.0001+0.5*Bankingbook_SBV[[#This Row],[Conv]]*(0.0001^2))</f>
        <v>0</v>
      </c>
      <c r="FQ83" s="32">
        <f>(Bankingbook_SBV[[#This Row],[MARKET_VALUE]]+Bankingbook_SBV[[#This Row],[Accr Int]]*Bankingbook_SBV[[#This Row],[Quantity_edited]])*(-Bankingbook_SBV[[#This Row],[Modified Duration]]*0.01+0.5*Bankingbook_SBV[[#This Row],[Conv]]*(0.01^2))</f>
        <v>0</v>
      </c>
    </row>
    <row r="84" spans="2:173" x14ac:dyDescent="0.3">
      <c r="B84" t="s">
        <v>166</v>
      </c>
      <c r="C84" t="s">
        <v>167</v>
      </c>
      <c r="D84" t="s">
        <v>256</v>
      </c>
      <c r="E84" t="s">
        <v>169</v>
      </c>
      <c r="F84" s="502">
        <v>42309</v>
      </c>
      <c r="G84" t="s">
        <v>3322</v>
      </c>
      <c r="H84"/>
      <c r="I84"/>
      <c r="J84" s="38">
        <v>0</v>
      </c>
      <c r="K84">
        <v>0</v>
      </c>
      <c r="L84">
        <v>0</v>
      </c>
      <c r="M84" s="38">
        <v>0</v>
      </c>
      <c r="N84">
        <v>8.4</v>
      </c>
      <c r="O84">
        <v>0</v>
      </c>
      <c r="P84" s="37">
        <v>0</v>
      </c>
      <c r="Q84" s="37">
        <v>0</v>
      </c>
      <c r="R84" s="37">
        <v>-1655025310.2777824</v>
      </c>
      <c r="S84">
        <v>8.4</v>
      </c>
      <c r="T84" s="70">
        <v>0</v>
      </c>
      <c r="U84">
        <v>0</v>
      </c>
      <c r="V84">
        <v>0</v>
      </c>
      <c r="W84">
        <v>0</v>
      </c>
      <c r="X84" s="38">
        <v>0</v>
      </c>
      <c r="Y84">
        <v>0</v>
      </c>
      <c r="Z84" s="70">
        <v>3693000000</v>
      </c>
      <c r="AA84" s="70">
        <v>0</v>
      </c>
      <c r="AB84" s="70">
        <v>3693000000</v>
      </c>
      <c r="AC84" s="70">
        <v>3693000000</v>
      </c>
      <c r="AD84" s="70">
        <v>3693000000</v>
      </c>
      <c r="AE84" s="70">
        <v>3693000000</v>
      </c>
      <c r="AF84">
        <v>0</v>
      </c>
      <c r="AG84" s="72">
        <f>Tradingbook_MSB[[#This Row],[Mat. Date]]-RPT</f>
        <v>-3943</v>
      </c>
      <c r="AH84" s="71">
        <f>IF(Tradingbook_MSB[[#This Row],[Days]]&lt;=0,0,YEARFRAC(RPT,Tradingbook_MSB[[#This Row],[Mat. Date]],3))</f>
        <v>0</v>
      </c>
      <c r="AI84" s="71">
        <f>IF(Tradingbook_MSB[[#This Row],[Days (year)]]=0,0,INDEX(Ref!$K$2:$K$13,MATCH(Tradingbook_MSB[[#This Row],[Days (year)]],Ref!$I$2:$I$13,1)))</f>
        <v>0</v>
      </c>
      <c r="AJ84" s="120" t="str">
        <f>VLOOKUP(Tradingbook_MSB[[#This Row],[Security Name]],Ref!X:Z,3,0)</f>
        <v>TPCPBL</v>
      </c>
      <c r="AK84" s="120" t="str">
        <f>VLOOKUP(Tradingbook_MSB[[#This Row],[Security Name]],Ref!X:Y,2,0)</f>
        <v>VDB</v>
      </c>
      <c r="AL84" s="71">
        <f>IF((Tradingbook_MSB[[#This Row],[Mat. Date]]-RPT)&lt;=0,0,Tradingbook_MSB[[#This Row],[QUANTITY]])</f>
        <v>0</v>
      </c>
      <c r="AM84" s="71">
        <f>IF(Tradingbook_MSB[[#This Row],[Quantity_edited]]=0,0,Tradingbook_MSB[[#This Row],[DURATION]])</f>
        <v>0</v>
      </c>
      <c r="AN84" s="71">
        <f>IF(Tradingbook_MSB[[#This Row],[Quantity_edited]]=0,0,Tradingbook_MSB[[#This Row],[Mod Dur]])</f>
        <v>0</v>
      </c>
      <c r="AO84" s="71">
        <f>IF(Tradingbook_MSB[[#This Row],[Quantity_edited]]=0,0,Tradingbook_MSB[[#This Row],[Cnvx.]])</f>
        <v>0</v>
      </c>
      <c r="AP84" s="71">
        <f>(Tradingbook_MSB[[#This Row],[MARKET_VALUE]]+Tradingbook_MSB[[#This Row],[Accr Int]]*Tradingbook_MSB[[#This Row],[Quantity_edited]])*(-Tradingbook_MSB[[#This Row],[Modified Duration]]*0.0001+0.5*Tradingbook_MSB[[#This Row],[Conv]]*(0.0001^2))</f>
        <v>0</v>
      </c>
      <c r="AQ84" s="72">
        <f>(Tradingbook_MSB[[#This Row],[MARKET_VALUE]]+Tradingbook_MSB[[#This Row],[Accr Int]]*Tradingbook_MSB[[#This Row],[Quantity_edited]])*(-Tradingbook_MSB[[#This Row],[Modified Duration]]*0.01+0.5*Tradingbook_MSB[[#This Row],[Conv]]*(0.01^2))</f>
        <v>0</v>
      </c>
      <c r="AR84" s="71"/>
      <c r="AT84" t="s">
        <v>166</v>
      </c>
      <c r="AU84" t="s">
        <v>167</v>
      </c>
      <c r="AV84" t="s">
        <v>500</v>
      </c>
      <c r="AW84" t="s">
        <v>169</v>
      </c>
      <c r="AX84" t="s">
        <v>3389</v>
      </c>
      <c r="AY84" t="s">
        <v>3322</v>
      </c>
      <c r="BB84" s="70">
        <v>0</v>
      </c>
      <c r="BC84">
        <v>0</v>
      </c>
      <c r="BD84">
        <v>0</v>
      </c>
      <c r="BE84" s="37">
        <v>0</v>
      </c>
      <c r="BF84">
        <v>8.8000000000000007</v>
      </c>
      <c r="BG84">
        <v>0</v>
      </c>
      <c r="BH84" s="126">
        <v>17600000000</v>
      </c>
      <c r="BI84">
        <v>18654981888.888905</v>
      </c>
      <c r="BJ84">
        <v>-5394631243.6112328</v>
      </c>
      <c r="BK84">
        <v>0</v>
      </c>
      <c r="BL84">
        <v>0</v>
      </c>
      <c r="BM84">
        <v>0</v>
      </c>
      <c r="BN84">
        <v>0</v>
      </c>
      <c r="BO84">
        <v>0</v>
      </c>
      <c r="BP84">
        <v>0</v>
      </c>
      <c r="BQ84">
        <v>0</v>
      </c>
      <c r="BR84">
        <v>-2911000000</v>
      </c>
      <c r="BS84">
        <v>0</v>
      </c>
      <c r="BT84">
        <v>-2911000000</v>
      </c>
      <c r="BU84">
        <v>-2911000000</v>
      </c>
      <c r="BV84">
        <v>-2911000000</v>
      </c>
      <c r="BW84">
        <v>-2911000000</v>
      </c>
      <c r="BX84">
        <v>0</v>
      </c>
      <c r="BY84" s="32">
        <f>Bankingbook_MSB[[#This Row],[Mat. Date]]-RPT</f>
        <v>-1648</v>
      </c>
      <c r="BZ84" s="71">
        <f>IF(Bankingbook_MSB[[#This Row],[Days]]&lt;=0,0,YEARFRAC(RPT,Bankingbook_MSB[[#This Row],[Mat. Date]],3))</f>
        <v>0</v>
      </c>
      <c r="CA84" s="71">
        <f>IF(Bankingbook_MSB[[#This Row],[Days (year)]]=0,0,INDEX(Ref!$K$2:$K$13,MATCH(Bankingbook_MSB[[#This Row],[Days (year)]],Ref!$I$2:$I$13,1)))</f>
        <v>0</v>
      </c>
      <c r="CB84" s="32" t="str">
        <f>VLOOKUP(Bankingbook_MSB[[#This Row],[Security Name]],Ref!X:Z,3,0)</f>
        <v>TPCP</v>
      </c>
      <c r="CC84" s="32" t="str">
        <f>VLOOKUP(Bankingbook_MSB[[#This Row],[Security Name]],Ref!X:Y,2,0)</f>
        <v>VDB</v>
      </c>
      <c r="CD84" s="72">
        <f>IF((Bankingbook_MSB[[#This Row],[Mat. Date]]-RPT)&lt;=0,0,Bankingbook_MSB[[#This Row],[QUANTITY]])</f>
        <v>0</v>
      </c>
      <c r="CE84" s="71">
        <f>IF(Bankingbook_MSB[[#This Row],[Quantity_edited]]=0,0,Bankingbook_MSB[[#This Row],[DURATION]])</f>
        <v>0</v>
      </c>
      <c r="CF84" s="71">
        <f>IF(Bankingbook_MSB[[#This Row],[Quantity_edited]]=0,0,Bankingbook_MSB[[#This Row],[Mod Dur]])</f>
        <v>0</v>
      </c>
      <c r="CG84" s="71">
        <f>IF(Bankingbook_MSB[[#This Row],[Quantity_edited]]=0,0,Bankingbook_MSB[[#This Row],[Cnvx.]])</f>
        <v>0</v>
      </c>
      <c r="CH84" s="71">
        <f>(Bankingbook_MSB[[#This Row],[MARKET_VALUE]]+Bankingbook_MSB[[#This Row],[Accr Int]]*Bankingbook_MSB[[#This Row],[Quantity_edited]])*(-Bankingbook_MSB[[#This Row],[Modified Duration]]*0.0001+0.5*Bankingbook_MSB[[#This Row],[Conv]]*(0.0001^2))</f>
        <v>0</v>
      </c>
      <c r="CI84" s="71">
        <f>(Bankingbook_MSB[[#This Row],[MARKET_VALUE]]+Bankingbook_MSB[[#This Row],[Accr Int]]*Bankingbook_MSB[[#This Row],[Quantity_edited]])*(-Bankingbook_MSB[[#This Row],[Modified Duration]]*0.01+0.5*Bankingbook_MSB[[#This Row],[Conv]]*(0.01^2))</f>
        <v>0</v>
      </c>
      <c r="CJ84" s="32"/>
      <c r="CL84" t="s">
        <v>166</v>
      </c>
      <c r="CM84" t="s">
        <v>167</v>
      </c>
      <c r="CN84" t="s">
        <v>256</v>
      </c>
      <c r="CO84" t="s">
        <v>169</v>
      </c>
      <c r="CP84" s="35">
        <v>42309</v>
      </c>
      <c r="CQ84" t="s">
        <v>3322</v>
      </c>
      <c r="CR84" t="s">
        <v>174</v>
      </c>
      <c r="CS84" t="s">
        <v>174</v>
      </c>
      <c r="CT84" s="49">
        <v>0</v>
      </c>
      <c r="CU84">
        <v>0</v>
      </c>
      <c r="CV84">
        <v>0</v>
      </c>
      <c r="CW84" s="70">
        <v>0</v>
      </c>
      <c r="CX84">
        <v>8.4</v>
      </c>
      <c r="CY84">
        <v>0</v>
      </c>
      <c r="CZ84">
        <v>0</v>
      </c>
      <c r="DA84">
        <v>0</v>
      </c>
      <c r="DB84">
        <v>-1655025310.2777824</v>
      </c>
      <c r="DC84">
        <v>8.4</v>
      </c>
      <c r="DD84">
        <v>0</v>
      </c>
      <c r="DE84">
        <v>0</v>
      </c>
      <c r="DF84">
        <v>0</v>
      </c>
      <c r="DG84">
        <v>0</v>
      </c>
      <c r="DH84">
        <v>0</v>
      </c>
      <c r="DI84">
        <v>0</v>
      </c>
      <c r="DJ84" s="500">
        <v>3693000000</v>
      </c>
      <c r="DK84" s="500">
        <v>0</v>
      </c>
      <c r="DL84" s="37">
        <v>3693000000</v>
      </c>
      <c r="DM84" s="37">
        <v>3693000000</v>
      </c>
      <c r="DN84" s="37">
        <v>3693000000</v>
      </c>
      <c r="DO84" s="37">
        <v>3693000000</v>
      </c>
      <c r="DP84" s="32">
        <f>Tradingbook_SBV[[#This Row],[Mat. Date]]-RPT</f>
        <v>-3943</v>
      </c>
      <c r="DQ84" s="32">
        <f>IF(Tradingbook_SBV[[#This Row],[Days]]&lt;=0,0,YEARFRAC(RPT,Tradingbook_SBV[[#This Row],[Mat. Date]],3))</f>
        <v>0</v>
      </c>
      <c r="DR84" s="32">
        <f>IF(Tradingbook_SBV[[#This Row],[Days (year)]]=0,0,INDEX(Ref!$K$2:$K$13,MATCH(Tradingbook_SBV[[#This Row],[Days (year)]],Ref!$I$2:$I$13,1)))</f>
        <v>0</v>
      </c>
      <c r="DS84" s="32" t="str">
        <f>VLOOKUP(Tradingbook_SBV[[#This Row],[Security Name]],Ref!X:Z,3,0)</f>
        <v>TPCPBL</v>
      </c>
      <c r="DT84" s="32" t="str">
        <f>VLOOKUP(Tradingbook_SBV[[#This Row],[Security Name]],Ref!X:Y,2,0)</f>
        <v>VDB</v>
      </c>
      <c r="DU84" s="71">
        <f>IF((Tradingbook_SBV[[#This Row],[Mat. Date]]-RPT)&lt;=0,0,Tradingbook_SBV[[#This Row],[QUANTITY]])</f>
        <v>0</v>
      </c>
      <c r="DV84" s="71">
        <f>IF(Tradingbook_SBV[[#This Row],[Quantity_edited]]=0,0,Tradingbook_SBV[[#This Row],[DURATION]])</f>
        <v>0</v>
      </c>
      <c r="DW84" s="71">
        <f>IF(Tradingbook_SBV[[#This Row],[Quantity_edited]]=0,0,Tradingbook_SBV[[#This Row],[Mod Dur]])</f>
        <v>0</v>
      </c>
      <c r="DX84" s="71">
        <f>IF(Tradingbook_SBV[[#This Row],[Quantity_edited]]=0,0,Tradingbook_SBV[[#This Row],[Cnvx.]])</f>
        <v>0</v>
      </c>
      <c r="DY84" s="71">
        <f>(Tradingbook_SBV[[#This Row],[MARKET_VALUE]]+Tradingbook_SBV[[#This Row],[Accr Int]]*Tradingbook_SBV[[#This Row],[Quantity_edited]])*(-Tradingbook_SBV[[#This Row],[Modified Duration]]*0.0001+0.5*Tradingbook_SBV[[#This Row],[Conv]]*(0.0001^2))</f>
        <v>0</v>
      </c>
      <c r="DZ84" s="71">
        <f>(Tradingbook_SBV[[#This Row],[MARKET_VALUE]]+Tradingbook_SBV[[#This Row],[Accr Int]]*Tradingbook_SBV[[#This Row],[Quantity_edited]])*(-Tradingbook_SBV[[#This Row],[Modified Duration]]*0.01+0.5*Tradingbook_SBV[[#This Row],[Conv]]*(0.01^2))</f>
        <v>0</v>
      </c>
      <c r="EC84" t="s">
        <v>166</v>
      </c>
      <c r="ED84" t="s">
        <v>167</v>
      </c>
      <c r="EE84" t="s">
        <v>446</v>
      </c>
      <c r="EF84" t="s">
        <v>169</v>
      </c>
      <c r="EG84" s="35" t="s">
        <v>3382</v>
      </c>
      <c r="EH84" t="s">
        <v>3322</v>
      </c>
      <c r="EK84" s="500">
        <v>0</v>
      </c>
      <c r="EL84" s="500">
        <v>0</v>
      </c>
      <c r="EM84" s="500">
        <v>0</v>
      </c>
      <c r="EN84" s="500">
        <v>0</v>
      </c>
      <c r="EO84">
        <v>6.5</v>
      </c>
      <c r="EP84">
        <v>0</v>
      </c>
      <c r="EQ84">
        <v>3250000000</v>
      </c>
      <c r="ER84">
        <v>3472742361.1111112</v>
      </c>
      <c r="ES84">
        <v>-647965867.36111546</v>
      </c>
      <c r="ET84">
        <v>0</v>
      </c>
      <c r="EU84">
        <v>0</v>
      </c>
      <c r="EV84">
        <v>0</v>
      </c>
      <c r="EW84">
        <v>0</v>
      </c>
      <c r="EX84">
        <v>0</v>
      </c>
      <c r="EY84">
        <v>0</v>
      </c>
      <c r="EZ84">
        <v>0</v>
      </c>
      <c r="FA84">
        <v>2228500000</v>
      </c>
      <c r="FB84">
        <v>0</v>
      </c>
      <c r="FC84">
        <v>2228500000</v>
      </c>
      <c r="FD84">
        <v>2228500000</v>
      </c>
      <c r="FE84">
        <v>2228500000</v>
      </c>
      <c r="FF84">
        <v>2228500000</v>
      </c>
      <c r="FG84" s="32">
        <f>Bankingbook_SBV[[#This Row],[Mat. Date]]-RPT</f>
        <v>-2112</v>
      </c>
      <c r="FH84" s="32">
        <f>IF(Bankingbook_SBV[[#This Row],[Days]]&lt;=0,0,YEARFRAC(RPT,Bankingbook_SBV[[#This Row],[Mat. Date]],3))</f>
        <v>0</v>
      </c>
      <c r="FI84" s="32">
        <f>IF(Bankingbook_SBV[[#This Row],[Days (year)]]=0,0,INDEX(Ref!$K$2:$K$13,MATCH(Bankingbook_SBV[[#This Row],[Days (year)]],Ref!$I$2:$I$13,1)))</f>
        <v>0</v>
      </c>
      <c r="FJ84" s="32" t="str">
        <f>VLOOKUP(Bankingbook_SBV[[#This Row],[Security Name]],Ref!X:Z,3,0)</f>
        <v>TPCP</v>
      </c>
      <c r="FK84" s="32" t="str">
        <f>VLOOKUP(Bankingbook_SBV[[#This Row],[Security Name]],Ref!X:Y,2,0)</f>
        <v>KBNN</v>
      </c>
      <c r="FL84" s="72">
        <f>IF((Bankingbook_SBV[[#This Row],[Mat. Date]]-RPT)&lt;=0,0,Bankingbook_SBV[[#This Row],[QUANTITY]])</f>
        <v>0</v>
      </c>
      <c r="FM84" s="32">
        <f>IF(Bankingbook_SBV[[#This Row],[Quantity_edited]]=0,0,Bankingbook_SBV[[#This Row],[DURATION]])</f>
        <v>0</v>
      </c>
      <c r="FN84" s="32">
        <f>IF(Bankingbook_SBV[[#This Row],[Quantity_edited]]=0,0,Bankingbook_SBV[[#This Row],[Mod Dur]])</f>
        <v>0</v>
      </c>
      <c r="FO84" s="32">
        <f>IF(Bankingbook_SBV[[#This Row],[Quantity_edited]]=0,0,Bankingbook_SBV[[#This Row],[Cnvx.]])</f>
        <v>0</v>
      </c>
      <c r="FP84" s="32">
        <f>(Bankingbook_SBV[[#This Row],[MARKET_VALUE]]+Bankingbook_SBV[[#This Row],[Accr Int]]*Bankingbook_SBV[[#This Row],[Quantity_edited]])*(-Bankingbook_SBV[[#This Row],[Modified Duration]]*0.0001+0.5*Bankingbook_SBV[[#This Row],[Conv]]*(0.0001^2))</f>
        <v>0</v>
      </c>
      <c r="FQ84" s="32">
        <f>(Bankingbook_SBV[[#This Row],[MARKET_VALUE]]+Bankingbook_SBV[[#This Row],[Accr Int]]*Bankingbook_SBV[[#This Row],[Quantity_edited]])*(-Bankingbook_SBV[[#This Row],[Modified Duration]]*0.01+0.5*Bankingbook_SBV[[#This Row],[Conv]]*(0.01^2))</f>
        <v>0</v>
      </c>
    </row>
    <row r="85" spans="2:173" x14ac:dyDescent="0.3">
      <c r="B85" t="s">
        <v>166</v>
      </c>
      <c r="C85" t="s">
        <v>167</v>
      </c>
      <c r="D85" t="s">
        <v>257</v>
      </c>
      <c r="E85" t="s">
        <v>169</v>
      </c>
      <c r="F85" s="502">
        <v>42322</v>
      </c>
      <c r="G85" t="s">
        <v>3322</v>
      </c>
      <c r="H85"/>
      <c r="I85"/>
      <c r="J85" s="38">
        <v>0</v>
      </c>
      <c r="K85">
        <v>0</v>
      </c>
      <c r="L85">
        <v>0</v>
      </c>
      <c r="M85" s="38">
        <v>0</v>
      </c>
      <c r="N85">
        <v>10.7</v>
      </c>
      <c r="O85">
        <v>0</v>
      </c>
      <c r="P85" s="37">
        <v>0</v>
      </c>
      <c r="Q85" s="37">
        <v>0</v>
      </c>
      <c r="R85" s="37">
        <v>163121219.72222137</v>
      </c>
      <c r="S85">
        <v>10.7</v>
      </c>
      <c r="T85" s="70">
        <v>0</v>
      </c>
      <c r="U85">
        <v>0</v>
      </c>
      <c r="V85">
        <v>0</v>
      </c>
      <c r="W85">
        <v>0</v>
      </c>
      <c r="X85" s="38">
        <v>0</v>
      </c>
      <c r="Y85">
        <v>0</v>
      </c>
      <c r="Z85" s="70">
        <v>9046000000</v>
      </c>
      <c r="AA85" s="70">
        <v>0</v>
      </c>
      <c r="AB85" s="70">
        <v>9046000000</v>
      </c>
      <c r="AC85" s="70">
        <v>9046000000</v>
      </c>
      <c r="AD85" s="70">
        <v>9046000000</v>
      </c>
      <c r="AE85" s="70">
        <v>9046000000</v>
      </c>
      <c r="AF85">
        <v>0</v>
      </c>
      <c r="AG85" s="72">
        <f>Tradingbook_MSB[[#This Row],[Mat. Date]]-RPT</f>
        <v>-3930</v>
      </c>
      <c r="AH85" s="71">
        <f>IF(Tradingbook_MSB[[#This Row],[Days]]&lt;=0,0,YEARFRAC(RPT,Tradingbook_MSB[[#This Row],[Mat. Date]],3))</f>
        <v>0</v>
      </c>
      <c r="AI85" s="71">
        <f>IF(Tradingbook_MSB[[#This Row],[Days (year)]]=0,0,INDEX(Ref!$K$2:$K$13,MATCH(Tradingbook_MSB[[#This Row],[Days (year)]],Ref!$I$2:$I$13,1)))</f>
        <v>0</v>
      </c>
      <c r="AJ85" s="120" t="str">
        <f>VLOOKUP(Tradingbook_MSB[[#This Row],[Security Name]],Ref!X:Z,3,0)</f>
        <v>TPCQĐP</v>
      </c>
      <c r="AK85" s="120" t="str">
        <f>VLOOKUP(Tradingbook_MSB[[#This Row],[Security Name]],Ref!X:Y,2,0)</f>
        <v>HIFU</v>
      </c>
      <c r="AL85" s="71">
        <f>IF((Tradingbook_MSB[[#This Row],[Mat. Date]]-RPT)&lt;=0,0,Tradingbook_MSB[[#This Row],[QUANTITY]])</f>
        <v>0</v>
      </c>
      <c r="AM85" s="71">
        <f>IF(Tradingbook_MSB[[#This Row],[Quantity_edited]]=0,0,Tradingbook_MSB[[#This Row],[DURATION]])</f>
        <v>0</v>
      </c>
      <c r="AN85" s="71">
        <f>IF(Tradingbook_MSB[[#This Row],[Quantity_edited]]=0,0,Tradingbook_MSB[[#This Row],[Mod Dur]])</f>
        <v>0</v>
      </c>
      <c r="AO85" s="71">
        <f>IF(Tradingbook_MSB[[#This Row],[Quantity_edited]]=0,0,Tradingbook_MSB[[#This Row],[Cnvx.]])</f>
        <v>0</v>
      </c>
      <c r="AP85" s="71">
        <f>(Tradingbook_MSB[[#This Row],[MARKET_VALUE]]+Tradingbook_MSB[[#This Row],[Accr Int]]*Tradingbook_MSB[[#This Row],[Quantity_edited]])*(-Tradingbook_MSB[[#This Row],[Modified Duration]]*0.0001+0.5*Tradingbook_MSB[[#This Row],[Conv]]*(0.0001^2))</f>
        <v>0</v>
      </c>
      <c r="AQ85" s="72">
        <f>(Tradingbook_MSB[[#This Row],[MARKET_VALUE]]+Tradingbook_MSB[[#This Row],[Accr Int]]*Tradingbook_MSB[[#This Row],[Quantity_edited]])*(-Tradingbook_MSB[[#This Row],[Modified Duration]]*0.01+0.5*Tradingbook_MSB[[#This Row],[Conv]]*(0.01^2))</f>
        <v>0</v>
      </c>
      <c r="AR85" s="71"/>
      <c r="AT85" t="s">
        <v>166</v>
      </c>
      <c r="AU85" t="s">
        <v>167</v>
      </c>
      <c r="AV85" t="s">
        <v>501</v>
      </c>
      <c r="AW85" t="s">
        <v>169</v>
      </c>
      <c r="AX85" t="s">
        <v>3390</v>
      </c>
      <c r="AY85" t="s">
        <v>3322</v>
      </c>
      <c r="BB85" s="70">
        <v>0</v>
      </c>
      <c r="BC85">
        <v>0</v>
      </c>
      <c r="BD85">
        <v>0</v>
      </c>
      <c r="BE85" s="37">
        <v>0</v>
      </c>
      <c r="BF85">
        <v>5.3</v>
      </c>
      <c r="BG85">
        <v>0</v>
      </c>
      <c r="BH85" s="126">
        <v>44096000000</v>
      </c>
      <c r="BI85">
        <v>46738198635.555595</v>
      </c>
      <c r="BJ85">
        <v>-24005474709.22258</v>
      </c>
      <c r="BK85">
        <v>0</v>
      </c>
      <c r="BL85">
        <v>0</v>
      </c>
      <c r="BM85">
        <v>0</v>
      </c>
      <c r="BN85">
        <v>0</v>
      </c>
      <c r="BO85">
        <v>0</v>
      </c>
      <c r="BP85">
        <v>0</v>
      </c>
      <c r="BQ85">
        <v>0</v>
      </c>
      <c r="BR85">
        <v>12264000000</v>
      </c>
      <c r="BS85">
        <v>0</v>
      </c>
      <c r="BT85">
        <v>12264000000</v>
      </c>
      <c r="BU85">
        <v>12264000000</v>
      </c>
      <c r="BV85">
        <v>12264000000</v>
      </c>
      <c r="BW85">
        <v>12264000000</v>
      </c>
      <c r="BX85">
        <v>0</v>
      </c>
      <c r="BY85" s="32">
        <f>Bankingbook_MSB[[#This Row],[Mat. Date]]-RPT</f>
        <v>-1646</v>
      </c>
      <c r="BZ85" s="71">
        <f>IF(Bankingbook_MSB[[#This Row],[Days]]&lt;=0,0,YEARFRAC(RPT,Bankingbook_MSB[[#This Row],[Mat. Date]],3))</f>
        <v>0</v>
      </c>
      <c r="CA85" s="71">
        <f>IF(Bankingbook_MSB[[#This Row],[Days (year)]]=0,0,INDEX(Ref!$K$2:$K$13,MATCH(Bankingbook_MSB[[#This Row],[Days (year)]],Ref!$I$2:$I$13,1)))</f>
        <v>0</v>
      </c>
      <c r="CB85" s="32" t="str">
        <f>VLOOKUP(Bankingbook_MSB[[#This Row],[Security Name]],Ref!X:Z,3,0)</f>
        <v>TPCPBL</v>
      </c>
      <c r="CC85" s="32" t="str">
        <f>VLOOKUP(Bankingbook_MSB[[#This Row],[Security Name]],Ref!X:Y,2,0)</f>
        <v>VDB</v>
      </c>
      <c r="CD85" s="72">
        <f>IF((Bankingbook_MSB[[#This Row],[Mat. Date]]-RPT)&lt;=0,0,Bankingbook_MSB[[#This Row],[QUANTITY]])</f>
        <v>0</v>
      </c>
      <c r="CE85" s="71">
        <f>IF(Bankingbook_MSB[[#This Row],[Quantity_edited]]=0,0,Bankingbook_MSB[[#This Row],[DURATION]])</f>
        <v>0</v>
      </c>
      <c r="CF85" s="71">
        <f>IF(Bankingbook_MSB[[#This Row],[Quantity_edited]]=0,0,Bankingbook_MSB[[#This Row],[Mod Dur]])</f>
        <v>0</v>
      </c>
      <c r="CG85" s="71">
        <f>IF(Bankingbook_MSB[[#This Row],[Quantity_edited]]=0,0,Bankingbook_MSB[[#This Row],[Cnvx.]])</f>
        <v>0</v>
      </c>
      <c r="CH85" s="71">
        <f>(Bankingbook_MSB[[#This Row],[MARKET_VALUE]]+Bankingbook_MSB[[#This Row],[Accr Int]]*Bankingbook_MSB[[#This Row],[Quantity_edited]])*(-Bankingbook_MSB[[#This Row],[Modified Duration]]*0.0001+0.5*Bankingbook_MSB[[#This Row],[Conv]]*(0.0001^2))</f>
        <v>0</v>
      </c>
      <c r="CI85" s="71">
        <f>(Bankingbook_MSB[[#This Row],[MARKET_VALUE]]+Bankingbook_MSB[[#This Row],[Accr Int]]*Bankingbook_MSB[[#This Row],[Quantity_edited]])*(-Bankingbook_MSB[[#This Row],[Modified Duration]]*0.01+0.5*Bankingbook_MSB[[#This Row],[Conv]]*(0.01^2))</f>
        <v>0</v>
      </c>
      <c r="CJ85" s="32"/>
      <c r="CL85" t="s">
        <v>166</v>
      </c>
      <c r="CM85" t="s">
        <v>167</v>
      </c>
      <c r="CN85" t="s">
        <v>257</v>
      </c>
      <c r="CO85" t="s">
        <v>169</v>
      </c>
      <c r="CP85" s="35">
        <v>42322</v>
      </c>
      <c r="CQ85" t="s">
        <v>3322</v>
      </c>
      <c r="CR85" t="s">
        <v>174</v>
      </c>
      <c r="CS85" t="s">
        <v>174</v>
      </c>
      <c r="CT85" s="49">
        <v>0</v>
      </c>
      <c r="CU85">
        <v>0</v>
      </c>
      <c r="CV85">
        <v>0</v>
      </c>
      <c r="CW85" s="70">
        <v>0</v>
      </c>
      <c r="CX85">
        <v>10.7</v>
      </c>
      <c r="CY85">
        <v>0</v>
      </c>
      <c r="CZ85">
        <v>0</v>
      </c>
      <c r="DA85">
        <v>0</v>
      </c>
      <c r="DB85">
        <v>163121219.72222137</v>
      </c>
      <c r="DC85">
        <v>10.7</v>
      </c>
      <c r="DD85">
        <v>0</v>
      </c>
      <c r="DE85">
        <v>0</v>
      </c>
      <c r="DF85">
        <v>0</v>
      </c>
      <c r="DG85">
        <v>0</v>
      </c>
      <c r="DH85">
        <v>0</v>
      </c>
      <c r="DI85">
        <v>0</v>
      </c>
      <c r="DJ85" s="500">
        <v>9046000000</v>
      </c>
      <c r="DK85" s="500">
        <v>0</v>
      </c>
      <c r="DL85" s="37">
        <v>9046000000</v>
      </c>
      <c r="DM85" s="37">
        <v>9046000000</v>
      </c>
      <c r="DN85" s="37">
        <v>9046000000</v>
      </c>
      <c r="DO85" s="37">
        <v>9046000000</v>
      </c>
      <c r="DP85" s="32">
        <f>Tradingbook_SBV[[#This Row],[Mat. Date]]-RPT</f>
        <v>-3930</v>
      </c>
      <c r="DQ85" s="32">
        <f>IF(Tradingbook_SBV[[#This Row],[Days]]&lt;=0,0,YEARFRAC(RPT,Tradingbook_SBV[[#This Row],[Mat. Date]],3))</f>
        <v>0</v>
      </c>
      <c r="DR85" s="32">
        <f>IF(Tradingbook_SBV[[#This Row],[Days (year)]]=0,0,INDEX(Ref!$K$2:$K$13,MATCH(Tradingbook_SBV[[#This Row],[Days (year)]],Ref!$I$2:$I$13,1)))</f>
        <v>0</v>
      </c>
      <c r="DS85" s="32" t="str">
        <f>VLOOKUP(Tradingbook_SBV[[#This Row],[Security Name]],Ref!X:Z,3,0)</f>
        <v>TPCQĐP</v>
      </c>
      <c r="DT85" s="32" t="str">
        <f>VLOOKUP(Tradingbook_SBV[[#This Row],[Security Name]],Ref!X:Y,2,0)</f>
        <v>HIFU</v>
      </c>
      <c r="DU85" s="71">
        <f>IF((Tradingbook_SBV[[#This Row],[Mat. Date]]-RPT)&lt;=0,0,Tradingbook_SBV[[#This Row],[QUANTITY]])</f>
        <v>0</v>
      </c>
      <c r="DV85" s="71">
        <f>IF(Tradingbook_SBV[[#This Row],[Quantity_edited]]=0,0,Tradingbook_SBV[[#This Row],[DURATION]])</f>
        <v>0</v>
      </c>
      <c r="DW85" s="71">
        <f>IF(Tradingbook_SBV[[#This Row],[Quantity_edited]]=0,0,Tradingbook_SBV[[#This Row],[Mod Dur]])</f>
        <v>0</v>
      </c>
      <c r="DX85" s="71">
        <f>IF(Tradingbook_SBV[[#This Row],[Quantity_edited]]=0,0,Tradingbook_SBV[[#This Row],[Cnvx.]])</f>
        <v>0</v>
      </c>
      <c r="DY85" s="71">
        <f>(Tradingbook_SBV[[#This Row],[MARKET_VALUE]]+Tradingbook_SBV[[#This Row],[Accr Int]]*Tradingbook_SBV[[#This Row],[Quantity_edited]])*(-Tradingbook_SBV[[#This Row],[Modified Duration]]*0.0001+0.5*Tradingbook_SBV[[#This Row],[Conv]]*(0.0001^2))</f>
        <v>0</v>
      </c>
      <c r="DZ85" s="71">
        <f>(Tradingbook_SBV[[#This Row],[MARKET_VALUE]]+Tradingbook_SBV[[#This Row],[Accr Int]]*Tradingbook_SBV[[#This Row],[Quantity_edited]])*(-Tradingbook_SBV[[#This Row],[Modified Duration]]*0.01+0.5*Tradingbook_SBV[[#This Row],[Conv]]*(0.01^2))</f>
        <v>0</v>
      </c>
      <c r="EC85" t="s">
        <v>166</v>
      </c>
      <c r="ED85" t="s">
        <v>167</v>
      </c>
      <c r="EE85" t="s">
        <v>447</v>
      </c>
      <c r="EF85" t="s">
        <v>169</v>
      </c>
      <c r="EG85" s="35" t="s">
        <v>3733</v>
      </c>
      <c r="EH85" t="s">
        <v>3322</v>
      </c>
      <c r="EK85" s="500">
        <v>0</v>
      </c>
      <c r="EL85" s="500">
        <v>0</v>
      </c>
      <c r="EM85" s="500">
        <v>0</v>
      </c>
      <c r="EN85" s="500">
        <v>0</v>
      </c>
      <c r="EO85">
        <v>7.2</v>
      </c>
      <c r="EP85">
        <v>0</v>
      </c>
      <c r="EQ85">
        <v>0</v>
      </c>
      <c r="ER85">
        <v>0</v>
      </c>
      <c r="ES85">
        <v>-24117888.05555582</v>
      </c>
      <c r="ET85">
        <v>0</v>
      </c>
      <c r="EU85">
        <v>0</v>
      </c>
      <c r="EV85">
        <v>0</v>
      </c>
      <c r="EW85">
        <v>0</v>
      </c>
      <c r="EX85">
        <v>0</v>
      </c>
      <c r="EY85">
        <v>0</v>
      </c>
      <c r="EZ85">
        <v>0</v>
      </c>
      <c r="FA85">
        <v>-17600000</v>
      </c>
      <c r="FB85">
        <v>0</v>
      </c>
      <c r="FC85">
        <v>-17600000</v>
      </c>
      <c r="FD85">
        <v>-17600000</v>
      </c>
      <c r="FE85">
        <v>-17600000</v>
      </c>
      <c r="FF85">
        <v>-17600000</v>
      </c>
      <c r="FG85" s="32">
        <f>Bankingbook_SBV[[#This Row],[Mat. Date]]-RPT</f>
        <v>-2111</v>
      </c>
      <c r="FH85" s="32">
        <f>IF(Bankingbook_SBV[[#This Row],[Days]]&lt;=0,0,YEARFRAC(RPT,Bankingbook_SBV[[#This Row],[Mat. Date]],3))</f>
        <v>0</v>
      </c>
      <c r="FI85" s="32">
        <f>IF(Bankingbook_SBV[[#This Row],[Days (year)]]=0,0,INDEX(Ref!$K$2:$K$13,MATCH(Bankingbook_SBV[[#This Row],[Days (year)]],Ref!$I$2:$I$13,1)))</f>
        <v>0</v>
      </c>
      <c r="FJ85" s="32" t="str">
        <f>VLOOKUP(Bankingbook_SBV[[#This Row],[Security Name]],Ref!X:Z,3,0)</f>
        <v>TPCPBL</v>
      </c>
      <c r="FK85" s="32" t="str">
        <f>VLOOKUP(Bankingbook_SBV[[#This Row],[Security Name]],Ref!X:Y,2,0)</f>
        <v>VDB</v>
      </c>
      <c r="FL85" s="72">
        <f>IF((Bankingbook_SBV[[#This Row],[Mat. Date]]-RPT)&lt;=0,0,Bankingbook_SBV[[#This Row],[QUANTITY]])</f>
        <v>0</v>
      </c>
      <c r="FM85" s="32">
        <f>IF(Bankingbook_SBV[[#This Row],[Quantity_edited]]=0,0,Bankingbook_SBV[[#This Row],[DURATION]])</f>
        <v>0</v>
      </c>
      <c r="FN85" s="32">
        <f>IF(Bankingbook_SBV[[#This Row],[Quantity_edited]]=0,0,Bankingbook_SBV[[#This Row],[Mod Dur]])</f>
        <v>0</v>
      </c>
      <c r="FO85" s="32">
        <f>IF(Bankingbook_SBV[[#This Row],[Quantity_edited]]=0,0,Bankingbook_SBV[[#This Row],[Cnvx.]])</f>
        <v>0</v>
      </c>
      <c r="FP85" s="32">
        <f>(Bankingbook_SBV[[#This Row],[MARKET_VALUE]]+Bankingbook_SBV[[#This Row],[Accr Int]]*Bankingbook_SBV[[#This Row],[Quantity_edited]])*(-Bankingbook_SBV[[#This Row],[Modified Duration]]*0.0001+0.5*Bankingbook_SBV[[#This Row],[Conv]]*(0.0001^2))</f>
        <v>0</v>
      </c>
      <c r="FQ85" s="32">
        <f>(Bankingbook_SBV[[#This Row],[MARKET_VALUE]]+Bankingbook_SBV[[#This Row],[Accr Int]]*Bankingbook_SBV[[#This Row],[Quantity_edited]])*(-Bankingbook_SBV[[#This Row],[Modified Duration]]*0.01+0.5*Bankingbook_SBV[[#This Row],[Conv]]*(0.01^2))</f>
        <v>0</v>
      </c>
    </row>
    <row r="86" spans="2:173" x14ac:dyDescent="0.3">
      <c r="B86" t="s">
        <v>166</v>
      </c>
      <c r="C86" t="s">
        <v>167</v>
      </c>
      <c r="D86" t="s">
        <v>259</v>
      </c>
      <c r="E86" t="s">
        <v>169</v>
      </c>
      <c r="F86" s="502">
        <v>42328</v>
      </c>
      <c r="G86" t="s">
        <v>3322</v>
      </c>
      <c r="H86"/>
      <c r="I86"/>
      <c r="J86" s="38">
        <v>0</v>
      </c>
      <c r="K86">
        <v>0</v>
      </c>
      <c r="L86">
        <v>0</v>
      </c>
      <c r="M86" s="38">
        <v>0</v>
      </c>
      <c r="N86">
        <v>8.4</v>
      </c>
      <c r="O86">
        <v>0</v>
      </c>
      <c r="P86" s="37">
        <v>25200000000</v>
      </c>
      <c r="Q86" s="37">
        <v>26101299000</v>
      </c>
      <c r="R86" s="37">
        <v>-9486623812.5000248</v>
      </c>
      <c r="S86">
        <v>8.4</v>
      </c>
      <c r="T86" s="70">
        <v>0</v>
      </c>
      <c r="U86">
        <v>0</v>
      </c>
      <c r="V86">
        <v>0</v>
      </c>
      <c r="W86">
        <v>0</v>
      </c>
      <c r="X86" s="38">
        <v>0</v>
      </c>
      <c r="Y86">
        <v>0</v>
      </c>
      <c r="Z86" s="70">
        <v>9198000000</v>
      </c>
      <c r="AA86" s="70">
        <v>0</v>
      </c>
      <c r="AB86" s="70">
        <v>9198000000</v>
      </c>
      <c r="AC86" s="70">
        <v>9198000000</v>
      </c>
      <c r="AD86" s="70">
        <v>9198000000</v>
      </c>
      <c r="AE86" s="70">
        <v>9198000000</v>
      </c>
      <c r="AF86">
        <v>0</v>
      </c>
      <c r="AG86" s="72">
        <f>Tradingbook_MSB[[#This Row],[Mat. Date]]-RPT</f>
        <v>-3924</v>
      </c>
      <c r="AH86" s="71">
        <f>IF(Tradingbook_MSB[[#This Row],[Days]]&lt;=0,0,YEARFRAC(RPT,Tradingbook_MSB[[#This Row],[Mat. Date]],3))</f>
        <v>0</v>
      </c>
      <c r="AI86" s="71">
        <f>IF(Tradingbook_MSB[[#This Row],[Days (year)]]=0,0,INDEX(Ref!$K$2:$K$13,MATCH(Tradingbook_MSB[[#This Row],[Days (year)]],Ref!$I$2:$I$13,1)))</f>
        <v>0</v>
      </c>
      <c r="AJ86" s="120" t="str">
        <f>VLOOKUP(Tradingbook_MSB[[#This Row],[Security Name]],Ref!X:Z,3,0)</f>
        <v>TPCPBL</v>
      </c>
      <c r="AK86" s="120" t="str">
        <f>VLOOKUP(Tradingbook_MSB[[#This Row],[Security Name]],Ref!X:Y,2,0)</f>
        <v>VDB</v>
      </c>
      <c r="AL86" s="71">
        <f>IF((Tradingbook_MSB[[#This Row],[Mat. Date]]-RPT)&lt;=0,0,Tradingbook_MSB[[#This Row],[QUANTITY]])</f>
        <v>0</v>
      </c>
      <c r="AM86" s="71">
        <f>IF(Tradingbook_MSB[[#This Row],[Quantity_edited]]=0,0,Tradingbook_MSB[[#This Row],[DURATION]])</f>
        <v>0</v>
      </c>
      <c r="AN86" s="71">
        <f>IF(Tradingbook_MSB[[#This Row],[Quantity_edited]]=0,0,Tradingbook_MSB[[#This Row],[Mod Dur]])</f>
        <v>0</v>
      </c>
      <c r="AO86" s="71">
        <f>IF(Tradingbook_MSB[[#This Row],[Quantity_edited]]=0,0,Tradingbook_MSB[[#This Row],[Cnvx.]])</f>
        <v>0</v>
      </c>
      <c r="AP86" s="71">
        <f>(Tradingbook_MSB[[#This Row],[MARKET_VALUE]]+Tradingbook_MSB[[#This Row],[Accr Int]]*Tradingbook_MSB[[#This Row],[Quantity_edited]])*(-Tradingbook_MSB[[#This Row],[Modified Duration]]*0.0001+0.5*Tradingbook_MSB[[#This Row],[Conv]]*(0.0001^2))</f>
        <v>0</v>
      </c>
      <c r="AQ86" s="72">
        <f>(Tradingbook_MSB[[#This Row],[MARKET_VALUE]]+Tradingbook_MSB[[#This Row],[Accr Int]]*Tradingbook_MSB[[#This Row],[Quantity_edited]])*(-Tradingbook_MSB[[#This Row],[Modified Duration]]*0.01+0.5*Tradingbook_MSB[[#This Row],[Conv]]*(0.01^2))</f>
        <v>0</v>
      </c>
      <c r="AR86" s="71"/>
      <c r="AT86" t="s">
        <v>166</v>
      </c>
      <c r="AU86" t="s">
        <v>167</v>
      </c>
      <c r="AV86" t="s">
        <v>2370</v>
      </c>
      <c r="AW86" t="s">
        <v>169</v>
      </c>
      <c r="AX86" t="s">
        <v>3391</v>
      </c>
      <c r="AY86" t="s">
        <v>170</v>
      </c>
      <c r="BB86" s="70">
        <v>4000000</v>
      </c>
      <c r="BC86">
        <v>400000000000</v>
      </c>
      <c r="BD86">
        <v>99893.892999999996</v>
      </c>
      <c r="BE86" s="37">
        <v>0</v>
      </c>
      <c r="BF86">
        <v>0</v>
      </c>
      <c r="BG86">
        <v>0</v>
      </c>
      <c r="BH86" s="126">
        <v>0</v>
      </c>
      <c r="BI86">
        <v>0</v>
      </c>
      <c r="BJ86">
        <v>-377376929.04027778</v>
      </c>
      <c r="BK86">
        <v>0</v>
      </c>
      <c r="BL86">
        <v>0</v>
      </c>
      <c r="BM86">
        <v>0</v>
      </c>
      <c r="BN86">
        <v>0</v>
      </c>
      <c r="BO86">
        <v>0</v>
      </c>
      <c r="BP86">
        <v>0</v>
      </c>
      <c r="BQ86">
        <v>0</v>
      </c>
      <c r="BR86">
        <v>424428075.31997097</v>
      </c>
      <c r="BS86">
        <v>0</v>
      </c>
      <c r="BT86">
        <v>424428075.31997102</v>
      </c>
      <c r="BU86">
        <v>424428075.31997102</v>
      </c>
      <c r="BV86">
        <v>424428075.31999999</v>
      </c>
      <c r="BW86">
        <v>424428075.31997102</v>
      </c>
      <c r="BX86">
        <v>5.5385999679999998</v>
      </c>
      <c r="BY86" s="32">
        <f>Bankingbook_MSB[[#This Row],[Mat. Date]]-RPT</f>
        <v>-1309</v>
      </c>
      <c r="BZ86" s="71">
        <f>IF(Bankingbook_MSB[[#This Row],[Days]]&lt;=0,0,YEARFRAC(RPT,Bankingbook_MSB[[#This Row],[Mat. Date]],3))</f>
        <v>0</v>
      </c>
      <c r="CA86" s="71">
        <f>IF(Bankingbook_MSB[[#This Row],[Days (year)]]=0,0,INDEX(Ref!$K$2:$K$13,MATCH(Bankingbook_MSB[[#This Row],[Days (year)]],Ref!$I$2:$I$13,1)))</f>
        <v>0</v>
      </c>
      <c r="CB86" s="32" t="str">
        <f>VLOOKUP(Bankingbook_MSB[[#This Row],[Security Name]],Ref!X:Z,3,0)</f>
        <v>TPNHNN</v>
      </c>
      <c r="CC86" s="32" t="str">
        <f>VLOOKUP(Bankingbook_MSB[[#This Row],[Security Name]],Ref!X:Y,2,0)</f>
        <v>SBV</v>
      </c>
      <c r="CD86" s="72">
        <f>IF((Bankingbook_MSB[[#This Row],[Mat. Date]]-RPT)&lt;=0,0,Bankingbook_MSB[[#This Row],[QUANTITY]])</f>
        <v>0</v>
      </c>
      <c r="CE86" s="71">
        <f>IF(Bankingbook_MSB[[#This Row],[Quantity_edited]]=0,0,Bankingbook_MSB[[#This Row],[DURATION]])</f>
        <v>0</v>
      </c>
      <c r="CF86" s="71">
        <f>IF(Bankingbook_MSB[[#This Row],[Quantity_edited]]=0,0,Bankingbook_MSB[[#This Row],[Mod Dur]])</f>
        <v>0</v>
      </c>
      <c r="CG86" s="71">
        <f>IF(Bankingbook_MSB[[#This Row],[Quantity_edited]]=0,0,Bankingbook_MSB[[#This Row],[Cnvx.]])</f>
        <v>0</v>
      </c>
      <c r="CH86" s="71">
        <f>(Bankingbook_MSB[[#This Row],[MARKET_VALUE]]+Bankingbook_MSB[[#This Row],[Accr Int]]*Bankingbook_MSB[[#This Row],[Quantity_edited]])*(-Bankingbook_MSB[[#This Row],[Modified Duration]]*0.0001+0.5*Bankingbook_MSB[[#This Row],[Conv]]*(0.0001^2))</f>
        <v>0</v>
      </c>
      <c r="CI86" s="71">
        <f>(Bankingbook_MSB[[#This Row],[MARKET_VALUE]]+Bankingbook_MSB[[#This Row],[Accr Int]]*Bankingbook_MSB[[#This Row],[Quantity_edited]])*(-Bankingbook_MSB[[#This Row],[Modified Duration]]*0.01+0.5*Bankingbook_MSB[[#This Row],[Conv]]*(0.01^2))</f>
        <v>0</v>
      </c>
      <c r="CJ86" s="32"/>
      <c r="CL86" t="s">
        <v>166</v>
      </c>
      <c r="CM86" t="s">
        <v>167</v>
      </c>
      <c r="CN86" t="s">
        <v>259</v>
      </c>
      <c r="CO86" t="s">
        <v>169</v>
      </c>
      <c r="CP86" s="35">
        <v>42328</v>
      </c>
      <c r="CQ86" t="s">
        <v>3322</v>
      </c>
      <c r="CR86" t="s">
        <v>174</v>
      </c>
      <c r="CS86" t="s">
        <v>174</v>
      </c>
      <c r="CT86" s="49">
        <v>0</v>
      </c>
      <c r="CU86">
        <v>0</v>
      </c>
      <c r="CV86">
        <v>0</v>
      </c>
      <c r="CW86" s="70">
        <v>0</v>
      </c>
      <c r="CX86">
        <v>8.4</v>
      </c>
      <c r="CY86">
        <v>0</v>
      </c>
      <c r="CZ86">
        <v>25200000000</v>
      </c>
      <c r="DA86">
        <v>26101299000</v>
      </c>
      <c r="DB86">
        <v>-9486623812.5000248</v>
      </c>
      <c r="DC86">
        <v>8.4</v>
      </c>
      <c r="DD86">
        <v>0</v>
      </c>
      <c r="DE86">
        <v>0</v>
      </c>
      <c r="DF86">
        <v>0</v>
      </c>
      <c r="DG86">
        <v>0</v>
      </c>
      <c r="DH86">
        <v>0</v>
      </c>
      <c r="DI86">
        <v>0</v>
      </c>
      <c r="DJ86" s="500">
        <v>9198000000</v>
      </c>
      <c r="DK86" s="500">
        <v>0</v>
      </c>
      <c r="DL86" s="37">
        <v>9198000000</v>
      </c>
      <c r="DM86" s="37">
        <v>9198000000</v>
      </c>
      <c r="DN86" s="37">
        <v>9198000000</v>
      </c>
      <c r="DO86" s="37">
        <v>9198000000</v>
      </c>
      <c r="DP86" s="32">
        <f>Tradingbook_SBV[[#This Row],[Mat. Date]]-RPT</f>
        <v>-3924</v>
      </c>
      <c r="DQ86" s="32">
        <f>IF(Tradingbook_SBV[[#This Row],[Days]]&lt;=0,0,YEARFRAC(RPT,Tradingbook_SBV[[#This Row],[Mat. Date]],3))</f>
        <v>0</v>
      </c>
      <c r="DR86" s="32">
        <f>IF(Tradingbook_SBV[[#This Row],[Days (year)]]=0,0,INDEX(Ref!$K$2:$K$13,MATCH(Tradingbook_SBV[[#This Row],[Days (year)]],Ref!$I$2:$I$13,1)))</f>
        <v>0</v>
      </c>
      <c r="DS86" s="32" t="str">
        <f>VLOOKUP(Tradingbook_SBV[[#This Row],[Security Name]],Ref!X:Z,3,0)</f>
        <v>TPCPBL</v>
      </c>
      <c r="DT86" s="32" t="str">
        <f>VLOOKUP(Tradingbook_SBV[[#This Row],[Security Name]],Ref!X:Y,2,0)</f>
        <v>VDB</v>
      </c>
      <c r="DU86" s="71">
        <f>IF((Tradingbook_SBV[[#This Row],[Mat. Date]]-RPT)&lt;=0,0,Tradingbook_SBV[[#This Row],[QUANTITY]])</f>
        <v>0</v>
      </c>
      <c r="DV86" s="71">
        <f>IF(Tradingbook_SBV[[#This Row],[Quantity_edited]]=0,0,Tradingbook_SBV[[#This Row],[DURATION]])</f>
        <v>0</v>
      </c>
      <c r="DW86" s="71">
        <f>IF(Tradingbook_SBV[[#This Row],[Quantity_edited]]=0,0,Tradingbook_SBV[[#This Row],[Mod Dur]])</f>
        <v>0</v>
      </c>
      <c r="DX86" s="71">
        <f>IF(Tradingbook_SBV[[#This Row],[Quantity_edited]]=0,0,Tradingbook_SBV[[#This Row],[Cnvx.]])</f>
        <v>0</v>
      </c>
      <c r="DY86" s="71">
        <f>(Tradingbook_SBV[[#This Row],[MARKET_VALUE]]+Tradingbook_SBV[[#This Row],[Accr Int]]*Tradingbook_SBV[[#This Row],[Quantity_edited]])*(-Tradingbook_SBV[[#This Row],[Modified Duration]]*0.0001+0.5*Tradingbook_SBV[[#This Row],[Conv]]*(0.0001^2))</f>
        <v>0</v>
      </c>
      <c r="DZ86" s="71">
        <f>(Tradingbook_SBV[[#This Row],[MARKET_VALUE]]+Tradingbook_SBV[[#This Row],[Accr Int]]*Tradingbook_SBV[[#This Row],[Quantity_edited]])*(-Tradingbook_SBV[[#This Row],[Modified Duration]]*0.01+0.5*Tradingbook_SBV[[#This Row],[Conv]]*(0.01^2))</f>
        <v>0</v>
      </c>
      <c r="EC86" t="s">
        <v>166</v>
      </c>
      <c r="ED86" t="s">
        <v>167</v>
      </c>
      <c r="EE86" t="s">
        <v>449</v>
      </c>
      <c r="EF86" t="s">
        <v>169</v>
      </c>
      <c r="EG86" s="35" t="s">
        <v>450</v>
      </c>
      <c r="EH86" t="s">
        <v>3322</v>
      </c>
      <c r="EK86" s="500">
        <v>0</v>
      </c>
      <c r="EL86" s="500">
        <v>0</v>
      </c>
      <c r="EM86" s="500">
        <v>0</v>
      </c>
      <c r="EN86" s="500">
        <v>0</v>
      </c>
      <c r="EO86">
        <v>6.6</v>
      </c>
      <c r="EP86">
        <v>0</v>
      </c>
      <c r="EQ86">
        <v>6600000000</v>
      </c>
      <c r="ER86">
        <v>7051301583.3333359</v>
      </c>
      <c r="ES86">
        <v>-2257471928.1250348</v>
      </c>
      <c r="ET86">
        <v>0</v>
      </c>
      <c r="EU86">
        <v>0</v>
      </c>
      <c r="EV86">
        <v>0</v>
      </c>
      <c r="EW86">
        <v>0</v>
      </c>
      <c r="EX86">
        <v>0</v>
      </c>
      <c r="EY86">
        <v>0</v>
      </c>
      <c r="EZ86">
        <v>0</v>
      </c>
      <c r="FA86">
        <v>1277500000</v>
      </c>
      <c r="FB86">
        <v>0</v>
      </c>
      <c r="FC86">
        <v>1277500000</v>
      </c>
      <c r="FD86">
        <v>1277500000</v>
      </c>
      <c r="FE86">
        <v>1277500000</v>
      </c>
      <c r="FF86">
        <v>1277500000</v>
      </c>
      <c r="FG86" s="32">
        <f>Bankingbook_SBV[[#This Row],[Mat. Date]]-RPT</f>
        <v>-2105</v>
      </c>
      <c r="FH86" s="32">
        <f>IF(Bankingbook_SBV[[#This Row],[Days]]&lt;=0,0,YEARFRAC(RPT,Bankingbook_SBV[[#This Row],[Mat. Date]],3))</f>
        <v>0</v>
      </c>
      <c r="FI86" s="32">
        <f>IF(Bankingbook_SBV[[#This Row],[Days (year)]]=0,0,INDEX(Ref!$K$2:$K$13,MATCH(Bankingbook_SBV[[#This Row],[Days (year)]],Ref!$I$2:$I$13,1)))</f>
        <v>0</v>
      </c>
      <c r="FJ86" s="32" t="str">
        <f>VLOOKUP(Bankingbook_SBV[[#This Row],[Security Name]],Ref!X:Z,3,0)</f>
        <v>TPCP</v>
      </c>
      <c r="FK86" s="32" t="str">
        <f>VLOOKUP(Bankingbook_SBV[[#This Row],[Security Name]],Ref!X:Y,2,0)</f>
        <v>KBNN</v>
      </c>
      <c r="FL86" s="72">
        <f>IF((Bankingbook_SBV[[#This Row],[Mat. Date]]-RPT)&lt;=0,0,Bankingbook_SBV[[#This Row],[QUANTITY]])</f>
        <v>0</v>
      </c>
      <c r="FM86" s="32">
        <f>IF(Bankingbook_SBV[[#This Row],[Quantity_edited]]=0,0,Bankingbook_SBV[[#This Row],[DURATION]])</f>
        <v>0</v>
      </c>
      <c r="FN86" s="32">
        <f>IF(Bankingbook_SBV[[#This Row],[Quantity_edited]]=0,0,Bankingbook_SBV[[#This Row],[Mod Dur]])</f>
        <v>0</v>
      </c>
      <c r="FO86" s="32">
        <f>IF(Bankingbook_SBV[[#This Row],[Quantity_edited]]=0,0,Bankingbook_SBV[[#This Row],[Cnvx.]])</f>
        <v>0</v>
      </c>
      <c r="FP86" s="32">
        <f>(Bankingbook_SBV[[#This Row],[MARKET_VALUE]]+Bankingbook_SBV[[#This Row],[Accr Int]]*Bankingbook_SBV[[#This Row],[Quantity_edited]])*(-Bankingbook_SBV[[#This Row],[Modified Duration]]*0.0001+0.5*Bankingbook_SBV[[#This Row],[Conv]]*(0.0001^2))</f>
        <v>0</v>
      </c>
      <c r="FQ86" s="32">
        <f>(Bankingbook_SBV[[#This Row],[MARKET_VALUE]]+Bankingbook_SBV[[#This Row],[Accr Int]]*Bankingbook_SBV[[#This Row],[Quantity_edited]])*(-Bankingbook_SBV[[#This Row],[Modified Duration]]*0.01+0.5*Bankingbook_SBV[[#This Row],[Conv]]*(0.01^2))</f>
        <v>0</v>
      </c>
    </row>
    <row r="87" spans="2:173" x14ac:dyDescent="0.3">
      <c r="B87" t="s">
        <v>166</v>
      </c>
      <c r="C87" t="s">
        <v>167</v>
      </c>
      <c r="D87" t="s">
        <v>260</v>
      </c>
      <c r="E87" t="s">
        <v>169</v>
      </c>
      <c r="F87" s="502">
        <v>42334</v>
      </c>
      <c r="G87" t="s">
        <v>3322</v>
      </c>
      <c r="H87"/>
      <c r="I87"/>
      <c r="J87" s="38">
        <v>0</v>
      </c>
      <c r="K87">
        <v>0</v>
      </c>
      <c r="L87">
        <v>0</v>
      </c>
      <c r="M87" s="38">
        <v>0</v>
      </c>
      <c r="N87">
        <v>10.6</v>
      </c>
      <c r="O87">
        <v>0</v>
      </c>
      <c r="P87" s="37">
        <v>0</v>
      </c>
      <c r="Q87" s="37">
        <v>0</v>
      </c>
      <c r="R87" s="37">
        <v>0</v>
      </c>
      <c r="S87">
        <v>10.6</v>
      </c>
      <c r="T87" s="70">
        <v>0</v>
      </c>
      <c r="U87">
        <v>0</v>
      </c>
      <c r="V87">
        <v>0</v>
      </c>
      <c r="W87">
        <v>0</v>
      </c>
      <c r="X87" s="38">
        <v>0</v>
      </c>
      <c r="Y87">
        <v>0</v>
      </c>
      <c r="Z87" s="70">
        <v>0</v>
      </c>
      <c r="AA87" s="70">
        <v>0</v>
      </c>
      <c r="AB87" s="70">
        <v>0</v>
      </c>
      <c r="AC87" s="70">
        <v>0</v>
      </c>
      <c r="AD87" s="70">
        <v>0</v>
      </c>
      <c r="AE87" s="70">
        <v>0</v>
      </c>
      <c r="AF87">
        <v>0</v>
      </c>
      <c r="AG87" s="72">
        <f>Tradingbook_MSB[[#This Row],[Mat. Date]]-RPT</f>
        <v>-3918</v>
      </c>
      <c r="AH87" s="71">
        <f>IF(Tradingbook_MSB[[#This Row],[Days]]&lt;=0,0,YEARFRAC(RPT,Tradingbook_MSB[[#This Row],[Mat. Date]],3))</f>
        <v>0</v>
      </c>
      <c r="AI87" s="71">
        <f>IF(Tradingbook_MSB[[#This Row],[Days (year)]]=0,0,INDEX(Ref!$K$2:$K$13,MATCH(Tradingbook_MSB[[#This Row],[Days (year)]],Ref!$I$2:$I$13,1)))</f>
        <v>0</v>
      </c>
      <c r="AJ87" s="120" t="str">
        <f>VLOOKUP(Tradingbook_MSB[[#This Row],[Security Name]],Ref!X:Z,3,0)</f>
        <v>TPCPBL</v>
      </c>
      <c r="AK87" s="120" t="str">
        <f>VLOOKUP(Tradingbook_MSB[[#This Row],[Security Name]],Ref!X:Y,2,0)</f>
        <v>VDB</v>
      </c>
      <c r="AL87" s="71">
        <f>IF((Tradingbook_MSB[[#This Row],[Mat. Date]]-RPT)&lt;=0,0,Tradingbook_MSB[[#This Row],[QUANTITY]])</f>
        <v>0</v>
      </c>
      <c r="AM87" s="71">
        <f>IF(Tradingbook_MSB[[#This Row],[Quantity_edited]]=0,0,Tradingbook_MSB[[#This Row],[DURATION]])</f>
        <v>0</v>
      </c>
      <c r="AN87" s="71">
        <f>IF(Tradingbook_MSB[[#This Row],[Quantity_edited]]=0,0,Tradingbook_MSB[[#This Row],[Mod Dur]])</f>
        <v>0</v>
      </c>
      <c r="AO87" s="71">
        <f>IF(Tradingbook_MSB[[#This Row],[Quantity_edited]]=0,0,Tradingbook_MSB[[#This Row],[Cnvx.]])</f>
        <v>0</v>
      </c>
      <c r="AP87" s="71">
        <f>(Tradingbook_MSB[[#This Row],[MARKET_VALUE]]+Tradingbook_MSB[[#This Row],[Accr Int]]*Tradingbook_MSB[[#This Row],[Quantity_edited]])*(-Tradingbook_MSB[[#This Row],[Modified Duration]]*0.0001+0.5*Tradingbook_MSB[[#This Row],[Conv]]*(0.0001^2))</f>
        <v>0</v>
      </c>
      <c r="AQ87" s="72">
        <f>(Tradingbook_MSB[[#This Row],[MARKET_VALUE]]+Tradingbook_MSB[[#This Row],[Accr Int]]*Tradingbook_MSB[[#This Row],[Quantity_edited]])*(-Tradingbook_MSB[[#This Row],[Modified Duration]]*0.01+0.5*Tradingbook_MSB[[#This Row],[Conv]]*(0.01^2))</f>
        <v>0</v>
      </c>
      <c r="AR87" s="71"/>
      <c r="AT87" t="s">
        <v>166</v>
      </c>
      <c r="AU87" t="s">
        <v>167</v>
      </c>
      <c r="AV87" t="s">
        <v>513</v>
      </c>
      <c r="AW87" t="s">
        <v>169</v>
      </c>
      <c r="AX87" t="s">
        <v>3392</v>
      </c>
      <c r="AY87" t="s">
        <v>3322</v>
      </c>
      <c r="BB87" s="70">
        <v>0</v>
      </c>
      <c r="BC87">
        <v>0</v>
      </c>
      <c r="BD87">
        <v>0</v>
      </c>
      <c r="BE87" s="37">
        <v>0</v>
      </c>
      <c r="BF87">
        <v>9.1</v>
      </c>
      <c r="BG87">
        <v>0</v>
      </c>
      <c r="BH87" s="126">
        <v>81900000000</v>
      </c>
      <c r="BI87">
        <v>95588586527.777771</v>
      </c>
      <c r="BJ87">
        <v>-27542832479.721931</v>
      </c>
      <c r="BK87">
        <v>9.1</v>
      </c>
      <c r="BL87">
        <v>0</v>
      </c>
      <c r="BM87">
        <v>0</v>
      </c>
      <c r="BN87">
        <v>0</v>
      </c>
      <c r="BO87">
        <v>0</v>
      </c>
      <c r="BP87">
        <v>0</v>
      </c>
      <c r="BQ87">
        <v>0</v>
      </c>
      <c r="BR87">
        <v>15187000000</v>
      </c>
      <c r="BS87">
        <v>0</v>
      </c>
      <c r="BT87">
        <v>15187000000</v>
      </c>
      <c r="BU87">
        <v>15187000000</v>
      </c>
      <c r="BV87">
        <v>15187000000</v>
      </c>
      <c r="BW87">
        <v>15187000000</v>
      </c>
      <c r="BX87">
        <v>0</v>
      </c>
      <c r="BY87" s="32">
        <f>Bankingbook_MSB[[#This Row],[Mat. Date]]-RPT</f>
        <v>-1295</v>
      </c>
      <c r="BZ87" s="71">
        <f>IF(Bankingbook_MSB[[#This Row],[Days]]&lt;=0,0,YEARFRAC(RPT,Bankingbook_MSB[[#This Row],[Mat. Date]],3))</f>
        <v>0</v>
      </c>
      <c r="CA87" s="71">
        <f>IF(Bankingbook_MSB[[#This Row],[Days (year)]]=0,0,INDEX(Ref!$K$2:$K$13,MATCH(Bankingbook_MSB[[#This Row],[Days (year)]],Ref!$I$2:$I$13,1)))</f>
        <v>0</v>
      </c>
      <c r="CB87" s="32" t="str">
        <f>VLOOKUP(Bankingbook_MSB[[#This Row],[Security Name]],Ref!X:Z,3,0)</f>
        <v>TPCP</v>
      </c>
      <c r="CC87" s="32" t="str">
        <f>VLOOKUP(Bankingbook_MSB[[#This Row],[Security Name]],Ref!X:Y,2,0)</f>
        <v>KBNN</v>
      </c>
      <c r="CD87" s="72">
        <f>IF((Bankingbook_MSB[[#This Row],[Mat. Date]]-RPT)&lt;=0,0,Bankingbook_MSB[[#This Row],[QUANTITY]])</f>
        <v>0</v>
      </c>
      <c r="CE87" s="71">
        <f>IF(Bankingbook_MSB[[#This Row],[Quantity_edited]]=0,0,Bankingbook_MSB[[#This Row],[DURATION]])</f>
        <v>0</v>
      </c>
      <c r="CF87" s="71">
        <f>IF(Bankingbook_MSB[[#This Row],[Quantity_edited]]=0,0,Bankingbook_MSB[[#This Row],[Mod Dur]])</f>
        <v>0</v>
      </c>
      <c r="CG87" s="71">
        <f>IF(Bankingbook_MSB[[#This Row],[Quantity_edited]]=0,0,Bankingbook_MSB[[#This Row],[Cnvx.]])</f>
        <v>0</v>
      </c>
      <c r="CH87" s="71">
        <f>(Bankingbook_MSB[[#This Row],[MARKET_VALUE]]+Bankingbook_MSB[[#This Row],[Accr Int]]*Bankingbook_MSB[[#This Row],[Quantity_edited]])*(-Bankingbook_MSB[[#This Row],[Modified Duration]]*0.0001+0.5*Bankingbook_MSB[[#This Row],[Conv]]*(0.0001^2))</f>
        <v>0</v>
      </c>
      <c r="CI87" s="71">
        <f>(Bankingbook_MSB[[#This Row],[MARKET_VALUE]]+Bankingbook_MSB[[#This Row],[Accr Int]]*Bankingbook_MSB[[#This Row],[Quantity_edited]])*(-Bankingbook_MSB[[#This Row],[Modified Duration]]*0.01+0.5*Bankingbook_MSB[[#This Row],[Conv]]*(0.01^2))</f>
        <v>0</v>
      </c>
      <c r="CJ87" s="32"/>
      <c r="CL87" t="s">
        <v>166</v>
      </c>
      <c r="CM87" t="s">
        <v>167</v>
      </c>
      <c r="CN87" t="s">
        <v>260</v>
      </c>
      <c r="CO87" t="s">
        <v>169</v>
      </c>
      <c r="CP87" s="35">
        <v>42334</v>
      </c>
      <c r="CQ87" t="s">
        <v>3322</v>
      </c>
      <c r="CR87" t="s">
        <v>174</v>
      </c>
      <c r="CS87" t="s">
        <v>174</v>
      </c>
      <c r="CT87" s="49">
        <v>0</v>
      </c>
      <c r="CU87">
        <v>0</v>
      </c>
      <c r="CV87">
        <v>0</v>
      </c>
      <c r="CW87" s="70">
        <v>0</v>
      </c>
      <c r="CX87">
        <v>10.6</v>
      </c>
      <c r="CY87">
        <v>0</v>
      </c>
      <c r="CZ87">
        <v>0</v>
      </c>
      <c r="DA87">
        <v>0</v>
      </c>
      <c r="DB87">
        <v>0</v>
      </c>
      <c r="DC87">
        <v>10.6</v>
      </c>
      <c r="DD87">
        <v>0</v>
      </c>
      <c r="DE87">
        <v>0</v>
      </c>
      <c r="DF87">
        <v>0</v>
      </c>
      <c r="DG87">
        <v>0</v>
      </c>
      <c r="DH87">
        <v>0</v>
      </c>
      <c r="DI87">
        <v>0</v>
      </c>
      <c r="DJ87" s="500">
        <v>0</v>
      </c>
      <c r="DK87" s="500">
        <v>0</v>
      </c>
      <c r="DL87" s="37">
        <v>0</v>
      </c>
      <c r="DM87" s="37">
        <v>0</v>
      </c>
      <c r="DN87" s="37">
        <v>0</v>
      </c>
      <c r="DO87" s="37">
        <v>0</v>
      </c>
      <c r="DP87" s="32">
        <f>Tradingbook_SBV[[#This Row],[Mat. Date]]-RPT</f>
        <v>-3918</v>
      </c>
      <c r="DQ87" s="32">
        <f>IF(Tradingbook_SBV[[#This Row],[Days]]&lt;=0,0,YEARFRAC(RPT,Tradingbook_SBV[[#This Row],[Mat. Date]],3))</f>
        <v>0</v>
      </c>
      <c r="DR87" s="32">
        <f>IF(Tradingbook_SBV[[#This Row],[Days (year)]]=0,0,INDEX(Ref!$K$2:$K$13,MATCH(Tradingbook_SBV[[#This Row],[Days (year)]],Ref!$I$2:$I$13,1)))</f>
        <v>0</v>
      </c>
      <c r="DS87" s="32" t="str">
        <f>VLOOKUP(Tradingbook_SBV[[#This Row],[Security Name]],Ref!X:Z,3,0)</f>
        <v>TPCPBL</v>
      </c>
      <c r="DT87" s="32" t="str">
        <f>VLOOKUP(Tradingbook_SBV[[#This Row],[Security Name]],Ref!X:Y,2,0)</f>
        <v>VDB</v>
      </c>
      <c r="DU87" s="71">
        <f>IF((Tradingbook_SBV[[#This Row],[Mat. Date]]-RPT)&lt;=0,0,Tradingbook_SBV[[#This Row],[QUANTITY]])</f>
        <v>0</v>
      </c>
      <c r="DV87" s="71">
        <f>IF(Tradingbook_SBV[[#This Row],[Quantity_edited]]=0,0,Tradingbook_SBV[[#This Row],[DURATION]])</f>
        <v>0</v>
      </c>
      <c r="DW87" s="71">
        <f>IF(Tradingbook_SBV[[#This Row],[Quantity_edited]]=0,0,Tradingbook_SBV[[#This Row],[Mod Dur]])</f>
        <v>0</v>
      </c>
      <c r="DX87" s="71">
        <f>IF(Tradingbook_SBV[[#This Row],[Quantity_edited]]=0,0,Tradingbook_SBV[[#This Row],[Cnvx.]])</f>
        <v>0</v>
      </c>
      <c r="DY87" s="71">
        <f>(Tradingbook_SBV[[#This Row],[MARKET_VALUE]]+Tradingbook_SBV[[#This Row],[Accr Int]]*Tradingbook_SBV[[#This Row],[Quantity_edited]])*(-Tradingbook_SBV[[#This Row],[Modified Duration]]*0.0001+0.5*Tradingbook_SBV[[#This Row],[Conv]]*(0.0001^2))</f>
        <v>0</v>
      </c>
      <c r="DZ87" s="71">
        <f>(Tradingbook_SBV[[#This Row],[MARKET_VALUE]]+Tradingbook_SBV[[#This Row],[Accr Int]]*Tradingbook_SBV[[#This Row],[Quantity_edited]])*(-Tradingbook_SBV[[#This Row],[Modified Duration]]*0.01+0.5*Tradingbook_SBV[[#This Row],[Conv]]*(0.01^2))</f>
        <v>0</v>
      </c>
      <c r="EC87" t="s">
        <v>166</v>
      </c>
      <c r="ED87" t="s">
        <v>167</v>
      </c>
      <c r="EE87" t="s">
        <v>455</v>
      </c>
      <c r="EF87" t="s">
        <v>169</v>
      </c>
      <c r="EG87" s="35" t="s">
        <v>3383</v>
      </c>
      <c r="EH87" t="s">
        <v>3322</v>
      </c>
      <c r="EK87" s="500">
        <v>0</v>
      </c>
      <c r="EL87" s="500">
        <v>0</v>
      </c>
      <c r="EM87" s="500">
        <v>0</v>
      </c>
      <c r="EN87" s="500">
        <v>0</v>
      </c>
      <c r="EO87">
        <v>6.5</v>
      </c>
      <c r="EP87">
        <v>0</v>
      </c>
      <c r="EQ87">
        <v>13000000000</v>
      </c>
      <c r="ER87">
        <v>13869584444.444462</v>
      </c>
      <c r="ES87">
        <v>-4850215925.5556507</v>
      </c>
      <c r="ET87">
        <v>0</v>
      </c>
      <c r="EU87">
        <v>0</v>
      </c>
      <c r="EV87">
        <v>0</v>
      </c>
      <c r="EW87">
        <v>0</v>
      </c>
      <c r="EX87">
        <v>0</v>
      </c>
      <c r="EY87">
        <v>0</v>
      </c>
      <c r="EZ87">
        <v>0</v>
      </c>
      <c r="FA87">
        <v>1237000000</v>
      </c>
      <c r="FB87">
        <v>0</v>
      </c>
      <c r="FC87">
        <v>1237000000</v>
      </c>
      <c r="FD87">
        <v>1237000000</v>
      </c>
      <c r="FE87">
        <v>1237000000</v>
      </c>
      <c r="FF87">
        <v>1237000000</v>
      </c>
      <c r="FG87" s="32">
        <f>Bankingbook_SBV[[#This Row],[Mat. Date]]-RPT</f>
        <v>-2049</v>
      </c>
      <c r="FH87" s="32">
        <f>IF(Bankingbook_SBV[[#This Row],[Days]]&lt;=0,0,YEARFRAC(RPT,Bankingbook_SBV[[#This Row],[Mat. Date]],3))</f>
        <v>0</v>
      </c>
      <c r="FI87" s="32">
        <f>IF(Bankingbook_SBV[[#This Row],[Days (year)]]=0,0,INDEX(Ref!$K$2:$K$13,MATCH(Bankingbook_SBV[[#This Row],[Days (year)]],Ref!$I$2:$I$13,1)))</f>
        <v>0</v>
      </c>
      <c r="FJ87" s="32" t="str">
        <f>VLOOKUP(Bankingbook_SBV[[#This Row],[Security Name]],Ref!X:Z,3,0)</f>
        <v>TPCP</v>
      </c>
      <c r="FK87" s="32" t="str">
        <f>VLOOKUP(Bankingbook_SBV[[#This Row],[Security Name]],Ref!X:Y,2,0)</f>
        <v>KBNN</v>
      </c>
      <c r="FL87" s="72">
        <f>IF((Bankingbook_SBV[[#This Row],[Mat. Date]]-RPT)&lt;=0,0,Bankingbook_SBV[[#This Row],[QUANTITY]])</f>
        <v>0</v>
      </c>
      <c r="FM87" s="32">
        <f>IF(Bankingbook_SBV[[#This Row],[Quantity_edited]]=0,0,Bankingbook_SBV[[#This Row],[DURATION]])</f>
        <v>0</v>
      </c>
      <c r="FN87" s="32">
        <f>IF(Bankingbook_SBV[[#This Row],[Quantity_edited]]=0,0,Bankingbook_SBV[[#This Row],[Mod Dur]])</f>
        <v>0</v>
      </c>
      <c r="FO87" s="32">
        <f>IF(Bankingbook_SBV[[#This Row],[Quantity_edited]]=0,0,Bankingbook_SBV[[#This Row],[Cnvx.]])</f>
        <v>0</v>
      </c>
      <c r="FP87" s="32">
        <f>(Bankingbook_SBV[[#This Row],[MARKET_VALUE]]+Bankingbook_SBV[[#This Row],[Accr Int]]*Bankingbook_SBV[[#This Row],[Quantity_edited]])*(-Bankingbook_SBV[[#This Row],[Modified Duration]]*0.0001+0.5*Bankingbook_SBV[[#This Row],[Conv]]*(0.0001^2))</f>
        <v>0</v>
      </c>
      <c r="FQ87" s="32">
        <f>(Bankingbook_SBV[[#This Row],[MARKET_VALUE]]+Bankingbook_SBV[[#This Row],[Accr Int]]*Bankingbook_SBV[[#This Row],[Quantity_edited]])*(-Bankingbook_SBV[[#This Row],[Modified Duration]]*0.01+0.5*Bankingbook_SBV[[#This Row],[Conv]]*(0.01^2))</f>
        <v>0</v>
      </c>
    </row>
    <row r="88" spans="2:173" x14ac:dyDescent="0.3">
      <c r="B88" t="s">
        <v>166</v>
      </c>
      <c r="C88" t="s">
        <v>167</v>
      </c>
      <c r="D88" t="s">
        <v>262</v>
      </c>
      <c r="E88" t="s">
        <v>169</v>
      </c>
      <c r="F88" s="502">
        <v>42334</v>
      </c>
      <c r="G88" t="s">
        <v>3322</v>
      </c>
      <c r="H88"/>
      <c r="I88"/>
      <c r="J88" s="38">
        <v>0</v>
      </c>
      <c r="K88">
        <v>0</v>
      </c>
      <c r="L88">
        <v>0</v>
      </c>
      <c r="M88" s="38">
        <v>0</v>
      </c>
      <c r="N88">
        <v>8.4</v>
      </c>
      <c r="O88">
        <v>0</v>
      </c>
      <c r="P88" s="37">
        <v>0</v>
      </c>
      <c r="Q88" s="37">
        <v>0</v>
      </c>
      <c r="R88" s="37">
        <v>-73756973.749999046</v>
      </c>
      <c r="S88">
        <v>8.4</v>
      </c>
      <c r="T88" s="70">
        <v>0</v>
      </c>
      <c r="U88">
        <v>0</v>
      </c>
      <c r="V88">
        <v>0</v>
      </c>
      <c r="W88">
        <v>0</v>
      </c>
      <c r="X88" s="38">
        <v>0</v>
      </c>
      <c r="Y88">
        <v>0</v>
      </c>
      <c r="Z88" s="70">
        <v>19500000</v>
      </c>
      <c r="AA88" s="70">
        <v>0</v>
      </c>
      <c r="AB88" s="70">
        <v>19500000</v>
      </c>
      <c r="AC88" s="70">
        <v>19500000</v>
      </c>
      <c r="AD88" s="70">
        <v>19500000</v>
      </c>
      <c r="AE88" s="70">
        <v>19500000</v>
      </c>
      <c r="AF88">
        <v>0</v>
      </c>
      <c r="AG88" s="72">
        <f>Tradingbook_MSB[[#This Row],[Mat. Date]]-RPT</f>
        <v>-3918</v>
      </c>
      <c r="AH88" s="71">
        <f>IF(Tradingbook_MSB[[#This Row],[Days]]&lt;=0,0,YEARFRAC(RPT,Tradingbook_MSB[[#This Row],[Mat. Date]],3))</f>
        <v>0</v>
      </c>
      <c r="AI88" s="71">
        <f>IF(Tradingbook_MSB[[#This Row],[Days (year)]]=0,0,INDEX(Ref!$K$2:$K$13,MATCH(Tradingbook_MSB[[#This Row],[Days (year)]],Ref!$I$2:$I$13,1)))</f>
        <v>0</v>
      </c>
      <c r="AJ88" s="120" t="str">
        <f>VLOOKUP(Tradingbook_MSB[[#This Row],[Security Name]],Ref!X:Z,3,0)</f>
        <v>TPCPBL</v>
      </c>
      <c r="AK88" s="120" t="str">
        <f>VLOOKUP(Tradingbook_MSB[[#This Row],[Security Name]],Ref!X:Y,2,0)</f>
        <v>VDB</v>
      </c>
      <c r="AL88" s="71">
        <f>IF((Tradingbook_MSB[[#This Row],[Mat. Date]]-RPT)&lt;=0,0,Tradingbook_MSB[[#This Row],[QUANTITY]])</f>
        <v>0</v>
      </c>
      <c r="AM88" s="71">
        <f>IF(Tradingbook_MSB[[#This Row],[Quantity_edited]]=0,0,Tradingbook_MSB[[#This Row],[DURATION]])</f>
        <v>0</v>
      </c>
      <c r="AN88" s="71">
        <f>IF(Tradingbook_MSB[[#This Row],[Quantity_edited]]=0,0,Tradingbook_MSB[[#This Row],[Mod Dur]])</f>
        <v>0</v>
      </c>
      <c r="AO88" s="71">
        <f>IF(Tradingbook_MSB[[#This Row],[Quantity_edited]]=0,0,Tradingbook_MSB[[#This Row],[Cnvx.]])</f>
        <v>0</v>
      </c>
      <c r="AP88" s="71">
        <f>(Tradingbook_MSB[[#This Row],[MARKET_VALUE]]+Tradingbook_MSB[[#This Row],[Accr Int]]*Tradingbook_MSB[[#This Row],[Quantity_edited]])*(-Tradingbook_MSB[[#This Row],[Modified Duration]]*0.0001+0.5*Tradingbook_MSB[[#This Row],[Conv]]*(0.0001^2))</f>
        <v>0</v>
      </c>
      <c r="AQ88" s="72">
        <f>(Tradingbook_MSB[[#This Row],[MARKET_VALUE]]+Tradingbook_MSB[[#This Row],[Accr Int]]*Tradingbook_MSB[[#This Row],[Quantity_edited]])*(-Tradingbook_MSB[[#This Row],[Modified Duration]]*0.01+0.5*Tradingbook_MSB[[#This Row],[Conv]]*(0.01^2))</f>
        <v>0</v>
      </c>
      <c r="AR88" s="71"/>
      <c r="AT88" t="s">
        <v>166</v>
      </c>
      <c r="AU88" t="s">
        <v>167</v>
      </c>
      <c r="AV88" t="s">
        <v>514</v>
      </c>
      <c r="AW88" t="s">
        <v>169</v>
      </c>
      <c r="AX88" t="s">
        <v>3393</v>
      </c>
      <c r="AY88" t="s">
        <v>170</v>
      </c>
      <c r="BB88">
        <v>900000</v>
      </c>
      <c r="BC88">
        <v>90000000000</v>
      </c>
      <c r="BD88">
        <v>115228</v>
      </c>
      <c r="BE88" s="37">
        <v>0</v>
      </c>
      <c r="BF88">
        <v>9.4</v>
      </c>
      <c r="BG88">
        <v>0</v>
      </c>
      <c r="BH88">
        <v>25380000000</v>
      </c>
      <c r="BI88">
        <v>26056400500</v>
      </c>
      <c r="BJ88">
        <v>-5091618256.2500086</v>
      </c>
      <c r="BK88">
        <v>9.4</v>
      </c>
      <c r="BL88">
        <v>0</v>
      </c>
      <c r="BM88">
        <v>0</v>
      </c>
      <c r="BN88">
        <v>0</v>
      </c>
      <c r="BO88">
        <v>0</v>
      </c>
      <c r="BP88">
        <v>0</v>
      </c>
      <c r="BQ88">
        <v>0</v>
      </c>
      <c r="BR88">
        <v>-13705200000</v>
      </c>
      <c r="BS88">
        <v>0</v>
      </c>
      <c r="BT88">
        <v>-13705200000</v>
      </c>
      <c r="BU88">
        <v>-13705200000</v>
      </c>
      <c r="BV88">
        <v>-13705200000</v>
      </c>
      <c r="BW88">
        <v>-13705200000</v>
      </c>
      <c r="BX88">
        <v>2.2000000000000002</v>
      </c>
      <c r="BY88" s="32">
        <f>Bankingbook_MSB[[#This Row],[Mat. Date]]-RPT</f>
        <v>-1263</v>
      </c>
      <c r="BZ88" s="71">
        <f>IF(Bankingbook_MSB[[#This Row],[Days]]&lt;=0,0,YEARFRAC(RPT,Bankingbook_MSB[[#This Row],[Mat. Date]],3))</f>
        <v>0</v>
      </c>
      <c r="CA88" s="71">
        <f>IF(Bankingbook_MSB[[#This Row],[Days (year)]]=0,0,INDEX(Ref!$K$2:$K$13,MATCH(Bankingbook_MSB[[#This Row],[Days (year)]],Ref!$I$2:$I$13,1)))</f>
        <v>0</v>
      </c>
      <c r="CB88" s="32" t="str">
        <f>VLOOKUP(Bankingbook_MSB[[#This Row],[Security Name]],Ref!X:Z,3,0)</f>
        <v>TPCPBL</v>
      </c>
      <c r="CC88" s="32" t="str">
        <f>VLOOKUP(Bankingbook_MSB[[#This Row],[Security Name]],Ref!X:Y,2,0)</f>
        <v>VDB</v>
      </c>
      <c r="CD88" s="72">
        <f>IF((Bankingbook_MSB[[#This Row],[Mat. Date]]-RPT)&lt;=0,0,Bankingbook_MSB[[#This Row],[QUANTITY]])</f>
        <v>0</v>
      </c>
      <c r="CE88" s="71">
        <f>IF(Bankingbook_MSB[[#This Row],[Quantity_edited]]=0,0,Bankingbook_MSB[[#This Row],[DURATION]])</f>
        <v>0</v>
      </c>
      <c r="CF88" s="71">
        <f>IF(Bankingbook_MSB[[#This Row],[Quantity_edited]]=0,0,Bankingbook_MSB[[#This Row],[Mod Dur]])</f>
        <v>0</v>
      </c>
      <c r="CG88" s="71">
        <f>IF(Bankingbook_MSB[[#This Row],[Quantity_edited]]=0,0,Bankingbook_MSB[[#This Row],[Cnvx.]])</f>
        <v>0</v>
      </c>
      <c r="CH88" s="71">
        <f>(Bankingbook_MSB[[#This Row],[MARKET_VALUE]]+Bankingbook_MSB[[#This Row],[Accr Int]]*Bankingbook_MSB[[#This Row],[Quantity_edited]])*(-Bankingbook_MSB[[#This Row],[Modified Duration]]*0.0001+0.5*Bankingbook_MSB[[#This Row],[Conv]]*(0.0001^2))</f>
        <v>0</v>
      </c>
      <c r="CI88" s="71">
        <f>(Bankingbook_MSB[[#This Row],[MARKET_VALUE]]+Bankingbook_MSB[[#This Row],[Accr Int]]*Bankingbook_MSB[[#This Row],[Quantity_edited]])*(-Bankingbook_MSB[[#This Row],[Modified Duration]]*0.01+0.5*Bankingbook_MSB[[#This Row],[Conv]]*(0.01^2))</f>
        <v>0</v>
      </c>
      <c r="CJ88" s="32"/>
      <c r="CL88" t="s">
        <v>166</v>
      </c>
      <c r="CM88" t="s">
        <v>167</v>
      </c>
      <c r="CN88" t="s">
        <v>262</v>
      </c>
      <c r="CO88" t="s">
        <v>169</v>
      </c>
      <c r="CP88" s="35">
        <v>42334</v>
      </c>
      <c r="CQ88" t="s">
        <v>3322</v>
      </c>
      <c r="CR88" t="s">
        <v>174</v>
      </c>
      <c r="CS88" t="s">
        <v>174</v>
      </c>
      <c r="CT88" s="49">
        <v>0</v>
      </c>
      <c r="CU88">
        <v>0</v>
      </c>
      <c r="CV88">
        <v>0</v>
      </c>
      <c r="CW88" s="70">
        <v>0</v>
      </c>
      <c r="CX88">
        <v>8.4</v>
      </c>
      <c r="CY88">
        <v>0</v>
      </c>
      <c r="CZ88">
        <v>0</v>
      </c>
      <c r="DA88">
        <v>0</v>
      </c>
      <c r="DB88">
        <v>-73756973.749999046</v>
      </c>
      <c r="DC88">
        <v>8.4</v>
      </c>
      <c r="DD88">
        <v>0</v>
      </c>
      <c r="DE88">
        <v>0</v>
      </c>
      <c r="DF88">
        <v>0</v>
      </c>
      <c r="DG88">
        <v>0</v>
      </c>
      <c r="DH88">
        <v>0</v>
      </c>
      <c r="DI88">
        <v>0</v>
      </c>
      <c r="DJ88" s="500">
        <v>19500000</v>
      </c>
      <c r="DK88" s="500">
        <v>0</v>
      </c>
      <c r="DL88" s="37">
        <v>19500000</v>
      </c>
      <c r="DM88" s="37">
        <v>19500000</v>
      </c>
      <c r="DN88" s="37">
        <v>19500000</v>
      </c>
      <c r="DO88" s="37">
        <v>19500000</v>
      </c>
      <c r="DP88" s="32">
        <f>Tradingbook_SBV[[#This Row],[Mat. Date]]-RPT</f>
        <v>-3918</v>
      </c>
      <c r="DQ88" s="32">
        <f>IF(Tradingbook_SBV[[#This Row],[Days]]&lt;=0,0,YEARFRAC(RPT,Tradingbook_SBV[[#This Row],[Mat. Date]],3))</f>
        <v>0</v>
      </c>
      <c r="DR88" s="32">
        <f>IF(Tradingbook_SBV[[#This Row],[Days (year)]]=0,0,INDEX(Ref!$K$2:$K$13,MATCH(Tradingbook_SBV[[#This Row],[Days (year)]],Ref!$I$2:$I$13,1)))</f>
        <v>0</v>
      </c>
      <c r="DS88" s="32" t="str">
        <f>VLOOKUP(Tradingbook_SBV[[#This Row],[Security Name]],Ref!X:Z,3,0)</f>
        <v>TPCPBL</v>
      </c>
      <c r="DT88" s="32" t="str">
        <f>VLOOKUP(Tradingbook_SBV[[#This Row],[Security Name]],Ref!X:Y,2,0)</f>
        <v>VDB</v>
      </c>
      <c r="DU88" s="71">
        <f>IF((Tradingbook_SBV[[#This Row],[Mat. Date]]-RPT)&lt;=0,0,Tradingbook_SBV[[#This Row],[QUANTITY]])</f>
        <v>0</v>
      </c>
      <c r="DV88" s="71">
        <f>IF(Tradingbook_SBV[[#This Row],[Quantity_edited]]=0,0,Tradingbook_SBV[[#This Row],[DURATION]])</f>
        <v>0</v>
      </c>
      <c r="DW88" s="71">
        <f>IF(Tradingbook_SBV[[#This Row],[Quantity_edited]]=0,0,Tradingbook_SBV[[#This Row],[Mod Dur]])</f>
        <v>0</v>
      </c>
      <c r="DX88" s="71">
        <f>IF(Tradingbook_SBV[[#This Row],[Quantity_edited]]=0,0,Tradingbook_SBV[[#This Row],[Cnvx.]])</f>
        <v>0</v>
      </c>
      <c r="DY88" s="71">
        <f>(Tradingbook_SBV[[#This Row],[MARKET_VALUE]]+Tradingbook_SBV[[#This Row],[Accr Int]]*Tradingbook_SBV[[#This Row],[Quantity_edited]])*(-Tradingbook_SBV[[#This Row],[Modified Duration]]*0.0001+0.5*Tradingbook_SBV[[#This Row],[Conv]]*(0.0001^2))</f>
        <v>0</v>
      </c>
      <c r="DZ88" s="71">
        <f>(Tradingbook_SBV[[#This Row],[MARKET_VALUE]]+Tradingbook_SBV[[#This Row],[Accr Int]]*Tradingbook_SBV[[#This Row],[Quantity_edited]])*(-Tradingbook_SBV[[#This Row],[Modified Duration]]*0.01+0.5*Tradingbook_SBV[[#This Row],[Conv]]*(0.01^2))</f>
        <v>0</v>
      </c>
      <c r="EC88" t="s">
        <v>166</v>
      </c>
      <c r="ED88" t="s">
        <v>167</v>
      </c>
      <c r="EE88" t="s">
        <v>457</v>
      </c>
      <c r="EF88" t="s">
        <v>169</v>
      </c>
      <c r="EG88" s="35" t="s">
        <v>3384</v>
      </c>
      <c r="EH88" t="s">
        <v>3322</v>
      </c>
      <c r="EK88" s="500">
        <v>0</v>
      </c>
      <c r="EL88" s="500">
        <v>0</v>
      </c>
      <c r="EM88" s="500">
        <v>0</v>
      </c>
      <c r="EN88" s="500">
        <v>0</v>
      </c>
      <c r="EO88">
        <v>6.5</v>
      </c>
      <c r="EP88">
        <v>0</v>
      </c>
      <c r="EQ88">
        <v>6500000000</v>
      </c>
      <c r="ER88">
        <v>6924721736.1111155</v>
      </c>
      <c r="ES88">
        <v>-2220339204.5833826</v>
      </c>
      <c r="ET88">
        <v>0</v>
      </c>
      <c r="EU88">
        <v>0</v>
      </c>
      <c r="EV88">
        <v>0</v>
      </c>
      <c r="EW88">
        <v>0</v>
      </c>
      <c r="EX88">
        <v>0</v>
      </c>
      <c r="EY88">
        <v>0</v>
      </c>
      <c r="EZ88">
        <v>0</v>
      </c>
      <c r="FA88">
        <v>1268000000</v>
      </c>
      <c r="FB88">
        <v>0</v>
      </c>
      <c r="FC88">
        <v>1268000000</v>
      </c>
      <c r="FD88">
        <v>1268000000</v>
      </c>
      <c r="FE88">
        <v>1268000000</v>
      </c>
      <c r="FF88">
        <v>1268000000</v>
      </c>
      <c r="FG88" s="32">
        <f>Bankingbook_SBV[[#This Row],[Mat. Date]]-RPT</f>
        <v>-2007</v>
      </c>
      <c r="FH88" s="32">
        <f>IF(Bankingbook_SBV[[#This Row],[Days]]&lt;=0,0,YEARFRAC(RPT,Bankingbook_SBV[[#This Row],[Mat. Date]],3))</f>
        <v>0</v>
      </c>
      <c r="FI88" s="32">
        <f>IF(Bankingbook_SBV[[#This Row],[Days (year)]]=0,0,INDEX(Ref!$K$2:$K$13,MATCH(Bankingbook_SBV[[#This Row],[Days (year)]],Ref!$I$2:$I$13,1)))</f>
        <v>0</v>
      </c>
      <c r="FJ88" s="32" t="str">
        <f>VLOOKUP(Bankingbook_SBV[[#This Row],[Security Name]],Ref!X:Z,3,0)</f>
        <v>TPCP</v>
      </c>
      <c r="FK88" s="32" t="str">
        <f>VLOOKUP(Bankingbook_SBV[[#This Row],[Security Name]],Ref!X:Y,2,0)</f>
        <v>KBNN</v>
      </c>
      <c r="FL88" s="72">
        <f>IF((Bankingbook_SBV[[#This Row],[Mat. Date]]-RPT)&lt;=0,0,Bankingbook_SBV[[#This Row],[QUANTITY]])</f>
        <v>0</v>
      </c>
      <c r="FM88" s="32">
        <f>IF(Bankingbook_SBV[[#This Row],[Quantity_edited]]=0,0,Bankingbook_SBV[[#This Row],[DURATION]])</f>
        <v>0</v>
      </c>
      <c r="FN88" s="32">
        <f>IF(Bankingbook_SBV[[#This Row],[Quantity_edited]]=0,0,Bankingbook_SBV[[#This Row],[Mod Dur]])</f>
        <v>0</v>
      </c>
      <c r="FO88" s="32">
        <f>IF(Bankingbook_SBV[[#This Row],[Quantity_edited]]=0,0,Bankingbook_SBV[[#This Row],[Cnvx.]])</f>
        <v>0</v>
      </c>
      <c r="FP88" s="32">
        <f>(Bankingbook_SBV[[#This Row],[MARKET_VALUE]]+Bankingbook_SBV[[#This Row],[Accr Int]]*Bankingbook_SBV[[#This Row],[Quantity_edited]])*(-Bankingbook_SBV[[#This Row],[Modified Duration]]*0.0001+0.5*Bankingbook_SBV[[#This Row],[Conv]]*(0.0001^2))</f>
        <v>0</v>
      </c>
      <c r="FQ88" s="32">
        <f>(Bankingbook_SBV[[#This Row],[MARKET_VALUE]]+Bankingbook_SBV[[#This Row],[Accr Int]]*Bankingbook_SBV[[#This Row],[Quantity_edited]])*(-Bankingbook_SBV[[#This Row],[Modified Duration]]*0.01+0.5*Bankingbook_SBV[[#This Row],[Conv]]*(0.01^2))</f>
        <v>0</v>
      </c>
    </row>
    <row r="89" spans="2:173" x14ac:dyDescent="0.3">
      <c r="B89" t="s">
        <v>166</v>
      </c>
      <c r="C89" t="s">
        <v>167</v>
      </c>
      <c r="D89" t="s">
        <v>263</v>
      </c>
      <c r="E89" t="s">
        <v>169</v>
      </c>
      <c r="F89" s="502">
        <v>42338</v>
      </c>
      <c r="G89" t="s">
        <v>3322</v>
      </c>
      <c r="H89"/>
      <c r="I89"/>
      <c r="J89" s="38">
        <v>0</v>
      </c>
      <c r="K89">
        <v>0</v>
      </c>
      <c r="L89">
        <v>0</v>
      </c>
      <c r="M89" s="38">
        <v>0</v>
      </c>
      <c r="N89">
        <v>9.1999999999999993</v>
      </c>
      <c r="O89">
        <v>0</v>
      </c>
      <c r="P89" s="37">
        <v>0</v>
      </c>
      <c r="Q89" s="37">
        <v>-3.9999999999999998E-6</v>
      </c>
      <c r="R89" s="37">
        <v>-731772192.64805269</v>
      </c>
      <c r="S89">
        <v>9.1999999999999993</v>
      </c>
      <c r="T89" s="70">
        <v>0</v>
      </c>
      <c r="U89">
        <v>0</v>
      </c>
      <c r="V89">
        <v>0</v>
      </c>
      <c r="W89">
        <v>0</v>
      </c>
      <c r="X89" s="38">
        <v>0</v>
      </c>
      <c r="Y89">
        <v>0</v>
      </c>
      <c r="Z89" s="70">
        <v>7469162384</v>
      </c>
      <c r="AA89" s="70">
        <v>0</v>
      </c>
      <c r="AB89" s="70">
        <v>7469162384</v>
      </c>
      <c r="AC89" s="70">
        <v>7469162384</v>
      </c>
      <c r="AD89" s="70">
        <v>7469162384</v>
      </c>
      <c r="AE89" s="70">
        <v>7469162384</v>
      </c>
      <c r="AF89">
        <v>0</v>
      </c>
      <c r="AG89" s="72">
        <f>Tradingbook_MSB[[#This Row],[Mat. Date]]-RPT</f>
        <v>-3914</v>
      </c>
      <c r="AH89" s="71">
        <f>IF(Tradingbook_MSB[[#This Row],[Days]]&lt;=0,0,YEARFRAC(RPT,Tradingbook_MSB[[#This Row],[Mat. Date]],3))</f>
        <v>0</v>
      </c>
      <c r="AI89" s="71">
        <f>IF(Tradingbook_MSB[[#This Row],[Days (year)]]=0,0,INDEX(Ref!$K$2:$K$13,MATCH(Tradingbook_MSB[[#This Row],[Days (year)]],Ref!$I$2:$I$13,1)))</f>
        <v>0</v>
      </c>
      <c r="AJ89" s="120" t="str">
        <f>VLOOKUP(Tradingbook_MSB[[#This Row],[Security Name]],Ref!X:Z,3,0)</f>
        <v>TPCP</v>
      </c>
      <c r="AK89" s="120" t="str">
        <f>VLOOKUP(Tradingbook_MSB[[#This Row],[Security Name]],Ref!X:Y,2,0)</f>
        <v>KBNN</v>
      </c>
      <c r="AL89" s="71">
        <f>IF((Tradingbook_MSB[[#This Row],[Mat. Date]]-RPT)&lt;=0,0,Tradingbook_MSB[[#This Row],[QUANTITY]])</f>
        <v>0</v>
      </c>
      <c r="AM89" s="71">
        <f>IF(Tradingbook_MSB[[#This Row],[Quantity_edited]]=0,0,Tradingbook_MSB[[#This Row],[DURATION]])</f>
        <v>0</v>
      </c>
      <c r="AN89" s="71">
        <f>IF(Tradingbook_MSB[[#This Row],[Quantity_edited]]=0,0,Tradingbook_MSB[[#This Row],[Mod Dur]])</f>
        <v>0</v>
      </c>
      <c r="AO89" s="71">
        <f>IF(Tradingbook_MSB[[#This Row],[Quantity_edited]]=0,0,Tradingbook_MSB[[#This Row],[Cnvx.]])</f>
        <v>0</v>
      </c>
      <c r="AP89" s="71">
        <f>(Tradingbook_MSB[[#This Row],[MARKET_VALUE]]+Tradingbook_MSB[[#This Row],[Accr Int]]*Tradingbook_MSB[[#This Row],[Quantity_edited]])*(-Tradingbook_MSB[[#This Row],[Modified Duration]]*0.0001+0.5*Tradingbook_MSB[[#This Row],[Conv]]*(0.0001^2))</f>
        <v>0</v>
      </c>
      <c r="AQ89" s="72">
        <f>(Tradingbook_MSB[[#This Row],[MARKET_VALUE]]+Tradingbook_MSB[[#This Row],[Accr Int]]*Tradingbook_MSB[[#This Row],[Quantity_edited]])*(-Tradingbook_MSB[[#This Row],[Modified Duration]]*0.01+0.5*Tradingbook_MSB[[#This Row],[Conv]]*(0.01^2))</f>
        <v>0</v>
      </c>
      <c r="AR89" s="71"/>
      <c r="AT89" t="s">
        <v>166</v>
      </c>
      <c r="AU89" t="s">
        <v>167</v>
      </c>
      <c r="AV89" t="s">
        <v>517</v>
      </c>
      <c r="AW89" t="s">
        <v>169</v>
      </c>
      <c r="AX89" t="s">
        <v>3394</v>
      </c>
      <c r="AY89" t="s">
        <v>170</v>
      </c>
      <c r="BB89">
        <v>1500000</v>
      </c>
      <c r="BC89">
        <v>150000000000</v>
      </c>
      <c r="BD89">
        <v>115818</v>
      </c>
      <c r="BE89" s="37">
        <v>0</v>
      </c>
      <c r="BF89">
        <v>9.4</v>
      </c>
      <c r="BG89">
        <v>0</v>
      </c>
      <c r="BH89">
        <v>42300000000</v>
      </c>
      <c r="BI89">
        <v>43489765833.333336</v>
      </c>
      <c r="BJ89">
        <v>-9078731902.9166756</v>
      </c>
      <c r="BK89">
        <v>9.4</v>
      </c>
      <c r="BL89">
        <v>0</v>
      </c>
      <c r="BM89">
        <v>0</v>
      </c>
      <c r="BN89">
        <v>0</v>
      </c>
      <c r="BO89">
        <v>0</v>
      </c>
      <c r="BP89">
        <v>0</v>
      </c>
      <c r="BQ89">
        <v>0</v>
      </c>
      <c r="BR89">
        <v>-23727000000</v>
      </c>
      <c r="BS89">
        <v>0</v>
      </c>
      <c r="BT89">
        <v>-23727000000</v>
      </c>
      <c r="BU89">
        <v>-23727000000</v>
      </c>
      <c r="BV89">
        <v>-23727000000</v>
      </c>
      <c r="BW89">
        <v>-23727000000</v>
      </c>
      <c r="BX89">
        <v>2.2000000000000002</v>
      </c>
      <c r="BY89" s="32">
        <f>Bankingbook_MSB[[#This Row],[Mat. Date]]-RPT</f>
        <v>-1231</v>
      </c>
      <c r="BZ89" s="71">
        <f>IF(Bankingbook_MSB[[#This Row],[Days]]&lt;=0,0,YEARFRAC(RPT,Bankingbook_MSB[[#This Row],[Mat. Date]],3))</f>
        <v>0</v>
      </c>
      <c r="CA89" s="71">
        <f>IF(Bankingbook_MSB[[#This Row],[Days (year)]]=0,0,INDEX(Ref!$K$2:$K$13,MATCH(Bankingbook_MSB[[#This Row],[Days (year)]],Ref!$I$2:$I$13,1)))</f>
        <v>0</v>
      </c>
      <c r="CB89" s="32" t="str">
        <f>VLOOKUP(Bankingbook_MSB[[#This Row],[Security Name]],Ref!X:Z,3,0)</f>
        <v>TPCPBL</v>
      </c>
      <c r="CC89" s="32" t="str">
        <f>VLOOKUP(Bankingbook_MSB[[#This Row],[Security Name]],Ref!X:Y,2,0)</f>
        <v>VDB</v>
      </c>
      <c r="CD89" s="72">
        <f>IF((Bankingbook_MSB[[#This Row],[Mat. Date]]-RPT)&lt;=0,0,Bankingbook_MSB[[#This Row],[QUANTITY]])</f>
        <v>0</v>
      </c>
      <c r="CE89" s="71">
        <f>IF(Bankingbook_MSB[[#This Row],[Quantity_edited]]=0,0,Bankingbook_MSB[[#This Row],[DURATION]])</f>
        <v>0</v>
      </c>
      <c r="CF89" s="71">
        <f>IF(Bankingbook_MSB[[#This Row],[Quantity_edited]]=0,0,Bankingbook_MSB[[#This Row],[Mod Dur]])</f>
        <v>0</v>
      </c>
      <c r="CG89" s="71">
        <f>IF(Bankingbook_MSB[[#This Row],[Quantity_edited]]=0,0,Bankingbook_MSB[[#This Row],[Cnvx.]])</f>
        <v>0</v>
      </c>
      <c r="CH89" s="71">
        <f>(Bankingbook_MSB[[#This Row],[MARKET_VALUE]]+Bankingbook_MSB[[#This Row],[Accr Int]]*Bankingbook_MSB[[#This Row],[Quantity_edited]])*(-Bankingbook_MSB[[#This Row],[Modified Duration]]*0.0001+0.5*Bankingbook_MSB[[#This Row],[Conv]]*(0.0001^2))</f>
        <v>0</v>
      </c>
      <c r="CI89" s="71">
        <f>(Bankingbook_MSB[[#This Row],[MARKET_VALUE]]+Bankingbook_MSB[[#This Row],[Accr Int]]*Bankingbook_MSB[[#This Row],[Quantity_edited]])*(-Bankingbook_MSB[[#This Row],[Modified Duration]]*0.01+0.5*Bankingbook_MSB[[#This Row],[Conv]]*(0.01^2))</f>
        <v>0</v>
      </c>
      <c r="CJ89" s="32"/>
      <c r="CL89" t="s">
        <v>166</v>
      </c>
      <c r="CM89" t="s">
        <v>167</v>
      </c>
      <c r="CN89" t="s">
        <v>263</v>
      </c>
      <c r="CO89" t="s">
        <v>169</v>
      </c>
      <c r="CP89" s="35">
        <v>42338</v>
      </c>
      <c r="CQ89" t="s">
        <v>3322</v>
      </c>
      <c r="CR89" t="s">
        <v>174</v>
      </c>
      <c r="CS89" t="s">
        <v>174</v>
      </c>
      <c r="CT89" s="49">
        <v>0</v>
      </c>
      <c r="CU89">
        <v>0</v>
      </c>
      <c r="CV89">
        <v>0</v>
      </c>
      <c r="CW89" s="70">
        <v>0</v>
      </c>
      <c r="CX89">
        <v>9.1999999999999993</v>
      </c>
      <c r="CY89">
        <v>0</v>
      </c>
      <c r="CZ89">
        <v>0</v>
      </c>
      <c r="DA89">
        <v>-3.9999999999999998E-6</v>
      </c>
      <c r="DB89">
        <v>-731772192.64805269</v>
      </c>
      <c r="DC89">
        <v>9.1999999999999993</v>
      </c>
      <c r="DD89">
        <v>0</v>
      </c>
      <c r="DE89">
        <v>0</v>
      </c>
      <c r="DF89">
        <v>0</v>
      </c>
      <c r="DG89">
        <v>0</v>
      </c>
      <c r="DH89">
        <v>0</v>
      </c>
      <c r="DI89">
        <v>0</v>
      </c>
      <c r="DJ89" s="500">
        <v>7469162384</v>
      </c>
      <c r="DK89" s="500">
        <v>0</v>
      </c>
      <c r="DL89" s="37">
        <v>7469162384</v>
      </c>
      <c r="DM89" s="37">
        <v>7469162384</v>
      </c>
      <c r="DN89" s="37">
        <v>7469162384</v>
      </c>
      <c r="DO89" s="37">
        <v>7469162384</v>
      </c>
      <c r="DP89" s="32">
        <f>Tradingbook_SBV[[#This Row],[Mat. Date]]-RPT</f>
        <v>-3914</v>
      </c>
      <c r="DQ89" s="32">
        <f>IF(Tradingbook_SBV[[#This Row],[Days]]&lt;=0,0,YEARFRAC(RPT,Tradingbook_SBV[[#This Row],[Mat. Date]],3))</f>
        <v>0</v>
      </c>
      <c r="DR89" s="32">
        <f>IF(Tradingbook_SBV[[#This Row],[Days (year)]]=0,0,INDEX(Ref!$K$2:$K$13,MATCH(Tradingbook_SBV[[#This Row],[Days (year)]],Ref!$I$2:$I$13,1)))</f>
        <v>0</v>
      </c>
      <c r="DS89" s="32" t="str">
        <f>VLOOKUP(Tradingbook_SBV[[#This Row],[Security Name]],Ref!X:Z,3,0)</f>
        <v>TPCP</v>
      </c>
      <c r="DT89" s="32" t="str">
        <f>VLOOKUP(Tradingbook_SBV[[#This Row],[Security Name]],Ref!X:Y,2,0)</f>
        <v>KBNN</v>
      </c>
      <c r="DU89" s="71">
        <f>IF((Tradingbook_SBV[[#This Row],[Mat. Date]]-RPT)&lt;=0,0,Tradingbook_SBV[[#This Row],[QUANTITY]])</f>
        <v>0</v>
      </c>
      <c r="DV89" s="71">
        <f>IF(Tradingbook_SBV[[#This Row],[Quantity_edited]]=0,0,Tradingbook_SBV[[#This Row],[DURATION]])</f>
        <v>0</v>
      </c>
      <c r="DW89" s="71">
        <f>IF(Tradingbook_SBV[[#This Row],[Quantity_edited]]=0,0,Tradingbook_SBV[[#This Row],[Mod Dur]])</f>
        <v>0</v>
      </c>
      <c r="DX89" s="71">
        <f>IF(Tradingbook_SBV[[#This Row],[Quantity_edited]]=0,0,Tradingbook_SBV[[#This Row],[Cnvx.]])</f>
        <v>0</v>
      </c>
      <c r="DY89" s="71">
        <f>(Tradingbook_SBV[[#This Row],[MARKET_VALUE]]+Tradingbook_SBV[[#This Row],[Accr Int]]*Tradingbook_SBV[[#This Row],[Quantity_edited]])*(-Tradingbook_SBV[[#This Row],[Modified Duration]]*0.0001+0.5*Tradingbook_SBV[[#This Row],[Conv]]*(0.0001^2))</f>
        <v>0</v>
      </c>
      <c r="DZ89" s="71">
        <f>(Tradingbook_SBV[[#This Row],[MARKET_VALUE]]+Tradingbook_SBV[[#This Row],[Accr Int]]*Tradingbook_SBV[[#This Row],[Quantity_edited]])*(-Tradingbook_SBV[[#This Row],[Modified Duration]]*0.01+0.5*Tradingbook_SBV[[#This Row],[Conv]]*(0.01^2))</f>
        <v>0</v>
      </c>
      <c r="EC89" t="s">
        <v>166</v>
      </c>
      <c r="ED89" t="s">
        <v>167</v>
      </c>
      <c r="EE89" t="s">
        <v>459</v>
      </c>
      <c r="EF89" t="s">
        <v>169</v>
      </c>
      <c r="EG89" s="35" t="s">
        <v>3385</v>
      </c>
      <c r="EH89" t="s">
        <v>3322</v>
      </c>
      <c r="EK89" s="500">
        <v>0</v>
      </c>
      <c r="EL89" s="500">
        <v>0</v>
      </c>
      <c r="EM89" s="500">
        <v>0</v>
      </c>
      <c r="EN89" s="500">
        <v>0</v>
      </c>
      <c r="EO89">
        <v>6.3</v>
      </c>
      <c r="EP89">
        <v>0</v>
      </c>
      <c r="EQ89">
        <v>3150000000</v>
      </c>
      <c r="ER89">
        <v>3354146687.5000038</v>
      </c>
      <c r="ES89">
        <v>-1179993554.1666903</v>
      </c>
      <c r="ET89">
        <v>0</v>
      </c>
      <c r="EU89">
        <v>0</v>
      </c>
      <c r="EV89">
        <v>0</v>
      </c>
      <c r="EW89">
        <v>0</v>
      </c>
      <c r="EX89">
        <v>0</v>
      </c>
      <c r="EY89">
        <v>0</v>
      </c>
      <c r="EZ89">
        <v>0</v>
      </c>
      <c r="FA89">
        <v>258500000</v>
      </c>
      <c r="FB89">
        <v>0</v>
      </c>
      <c r="FC89">
        <v>258500000</v>
      </c>
      <c r="FD89">
        <v>258500000</v>
      </c>
      <c r="FE89">
        <v>258500000</v>
      </c>
      <c r="FF89">
        <v>258500000</v>
      </c>
      <c r="FG89" s="32">
        <f>Bankingbook_SBV[[#This Row],[Mat. Date]]-RPT</f>
        <v>-2000</v>
      </c>
      <c r="FH89" s="32">
        <f>IF(Bankingbook_SBV[[#This Row],[Days]]&lt;=0,0,YEARFRAC(RPT,Bankingbook_SBV[[#This Row],[Mat. Date]],3))</f>
        <v>0</v>
      </c>
      <c r="FI89" s="32">
        <f>IF(Bankingbook_SBV[[#This Row],[Days (year)]]=0,0,INDEX(Ref!$K$2:$K$13,MATCH(Bankingbook_SBV[[#This Row],[Days (year)]],Ref!$I$2:$I$13,1)))</f>
        <v>0</v>
      </c>
      <c r="FJ89" s="32" t="str">
        <f>VLOOKUP(Bankingbook_SBV[[#This Row],[Security Name]],Ref!X:Z,3,0)</f>
        <v>TPCP</v>
      </c>
      <c r="FK89" s="32" t="str">
        <f>VLOOKUP(Bankingbook_SBV[[#This Row],[Security Name]],Ref!X:Y,2,0)</f>
        <v>KBNN</v>
      </c>
      <c r="FL89" s="72">
        <f>IF((Bankingbook_SBV[[#This Row],[Mat. Date]]-RPT)&lt;=0,0,Bankingbook_SBV[[#This Row],[QUANTITY]])</f>
        <v>0</v>
      </c>
      <c r="FM89" s="32">
        <f>IF(Bankingbook_SBV[[#This Row],[Quantity_edited]]=0,0,Bankingbook_SBV[[#This Row],[DURATION]])</f>
        <v>0</v>
      </c>
      <c r="FN89" s="32">
        <f>IF(Bankingbook_SBV[[#This Row],[Quantity_edited]]=0,0,Bankingbook_SBV[[#This Row],[Mod Dur]])</f>
        <v>0</v>
      </c>
      <c r="FO89" s="32">
        <f>IF(Bankingbook_SBV[[#This Row],[Quantity_edited]]=0,0,Bankingbook_SBV[[#This Row],[Cnvx.]])</f>
        <v>0</v>
      </c>
      <c r="FP89" s="32">
        <f>(Bankingbook_SBV[[#This Row],[MARKET_VALUE]]+Bankingbook_SBV[[#This Row],[Accr Int]]*Bankingbook_SBV[[#This Row],[Quantity_edited]])*(-Bankingbook_SBV[[#This Row],[Modified Duration]]*0.0001+0.5*Bankingbook_SBV[[#This Row],[Conv]]*(0.0001^2))</f>
        <v>0</v>
      </c>
      <c r="FQ89" s="32">
        <f>(Bankingbook_SBV[[#This Row],[MARKET_VALUE]]+Bankingbook_SBV[[#This Row],[Accr Int]]*Bankingbook_SBV[[#This Row],[Quantity_edited]])*(-Bankingbook_SBV[[#This Row],[Modified Duration]]*0.01+0.5*Bankingbook_SBV[[#This Row],[Conv]]*(0.01^2))</f>
        <v>0</v>
      </c>
    </row>
    <row r="90" spans="2:173" x14ac:dyDescent="0.3">
      <c r="B90" t="s">
        <v>166</v>
      </c>
      <c r="C90" t="s">
        <v>167</v>
      </c>
      <c r="D90" t="s">
        <v>265</v>
      </c>
      <c r="E90" t="s">
        <v>169</v>
      </c>
      <c r="F90" s="502">
        <v>42340</v>
      </c>
      <c r="G90" t="s">
        <v>3322</v>
      </c>
      <c r="H90"/>
      <c r="I90"/>
      <c r="J90" s="38">
        <v>0</v>
      </c>
      <c r="K90">
        <v>0</v>
      </c>
      <c r="L90">
        <v>0</v>
      </c>
      <c r="M90" s="38">
        <v>0</v>
      </c>
      <c r="N90">
        <v>8.4</v>
      </c>
      <c r="O90">
        <v>0</v>
      </c>
      <c r="P90" s="37">
        <v>0</v>
      </c>
      <c r="Q90" s="37">
        <v>0</v>
      </c>
      <c r="R90" s="37">
        <v>-738699699.66667008</v>
      </c>
      <c r="S90">
        <v>8.4</v>
      </c>
      <c r="T90" s="70">
        <v>0</v>
      </c>
      <c r="U90">
        <v>0</v>
      </c>
      <c r="V90">
        <v>0</v>
      </c>
      <c r="W90">
        <v>0</v>
      </c>
      <c r="X90" s="38">
        <v>0</v>
      </c>
      <c r="Y90">
        <v>0</v>
      </c>
      <c r="Z90" s="70">
        <v>1765200000</v>
      </c>
      <c r="AA90" s="70">
        <v>0</v>
      </c>
      <c r="AB90" s="70">
        <v>1765200000</v>
      </c>
      <c r="AC90" s="70">
        <v>1765200000</v>
      </c>
      <c r="AD90" s="70">
        <v>1765200000</v>
      </c>
      <c r="AE90" s="70">
        <v>1765200000</v>
      </c>
      <c r="AF90">
        <v>0</v>
      </c>
      <c r="AG90" s="72">
        <f>Tradingbook_MSB[[#This Row],[Mat. Date]]-RPT</f>
        <v>-3912</v>
      </c>
      <c r="AH90" s="71">
        <f>IF(Tradingbook_MSB[[#This Row],[Days]]&lt;=0,0,YEARFRAC(RPT,Tradingbook_MSB[[#This Row],[Mat. Date]],3))</f>
        <v>0</v>
      </c>
      <c r="AI90" s="71">
        <f>IF(Tradingbook_MSB[[#This Row],[Days (year)]]=0,0,INDEX(Ref!$K$2:$K$13,MATCH(Tradingbook_MSB[[#This Row],[Days (year)]],Ref!$I$2:$I$13,1)))</f>
        <v>0</v>
      </c>
      <c r="AJ90" s="120" t="str">
        <f>VLOOKUP(Tradingbook_MSB[[#This Row],[Security Name]],Ref!X:Z,3,0)</f>
        <v>TPCPBL</v>
      </c>
      <c r="AK90" s="120" t="str">
        <f>VLOOKUP(Tradingbook_MSB[[#This Row],[Security Name]],Ref!X:Y,2,0)</f>
        <v>VDB</v>
      </c>
      <c r="AL90" s="71">
        <f>IF((Tradingbook_MSB[[#This Row],[Mat. Date]]-RPT)&lt;=0,0,Tradingbook_MSB[[#This Row],[QUANTITY]])</f>
        <v>0</v>
      </c>
      <c r="AM90" s="71">
        <f>IF(Tradingbook_MSB[[#This Row],[Quantity_edited]]=0,0,Tradingbook_MSB[[#This Row],[DURATION]])</f>
        <v>0</v>
      </c>
      <c r="AN90" s="71">
        <f>IF(Tradingbook_MSB[[#This Row],[Quantity_edited]]=0,0,Tradingbook_MSB[[#This Row],[Mod Dur]])</f>
        <v>0</v>
      </c>
      <c r="AO90" s="71">
        <f>IF(Tradingbook_MSB[[#This Row],[Quantity_edited]]=0,0,Tradingbook_MSB[[#This Row],[Cnvx.]])</f>
        <v>0</v>
      </c>
      <c r="AP90" s="71">
        <f>(Tradingbook_MSB[[#This Row],[MARKET_VALUE]]+Tradingbook_MSB[[#This Row],[Accr Int]]*Tradingbook_MSB[[#This Row],[Quantity_edited]])*(-Tradingbook_MSB[[#This Row],[Modified Duration]]*0.0001+0.5*Tradingbook_MSB[[#This Row],[Conv]]*(0.0001^2))</f>
        <v>0</v>
      </c>
      <c r="AQ90" s="72">
        <f>(Tradingbook_MSB[[#This Row],[MARKET_VALUE]]+Tradingbook_MSB[[#This Row],[Accr Int]]*Tradingbook_MSB[[#This Row],[Quantity_edited]])*(-Tradingbook_MSB[[#This Row],[Modified Duration]]*0.01+0.5*Tradingbook_MSB[[#This Row],[Conv]]*(0.01^2))</f>
        <v>0</v>
      </c>
      <c r="AR90" s="71"/>
      <c r="AT90" t="s">
        <v>166</v>
      </c>
      <c r="AU90" t="s">
        <v>167</v>
      </c>
      <c r="AV90" t="s">
        <v>519</v>
      </c>
      <c r="AW90" t="s">
        <v>169</v>
      </c>
      <c r="AX90" t="s">
        <v>3395</v>
      </c>
      <c r="AY90" t="s">
        <v>3322</v>
      </c>
      <c r="BB90">
        <v>0</v>
      </c>
      <c r="BC90">
        <v>0</v>
      </c>
      <c r="BD90">
        <v>0</v>
      </c>
      <c r="BE90" s="37">
        <v>0</v>
      </c>
      <c r="BF90">
        <v>6.6</v>
      </c>
      <c r="BG90">
        <v>0</v>
      </c>
      <c r="BH90">
        <v>6600000000</v>
      </c>
      <c r="BI90">
        <v>7415980916.6666756</v>
      </c>
      <c r="BJ90">
        <v>-1842842880.6944914</v>
      </c>
      <c r="BK90">
        <v>6.6</v>
      </c>
      <c r="BL90">
        <v>0</v>
      </c>
      <c r="BM90">
        <v>0</v>
      </c>
      <c r="BN90">
        <v>0</v>
      </c>
      <c r="BO90">
        <v>0</v>
      </c>
      <c r="BP90">
        <v>0</v>
      </c>
      <c r="BQ90">
        <v>0</v>
      </c>
      <c r="BR90">
        <v>3892500000</v>
      </c>
      <c r="BS90">
        <v>0</v>
      </c>
      <c r="BT90">
        <v>3892500000</v>
      </c>
      <c r="BU90">
        <v>3892500000</v>
      </c>
      <c r="BV90">
        <v>3892500000</v>
      </c>
      <c r="BW90">
        <v>3892500000</v>
      </c>
      <c r="BX90">
        <v>0</v>
      </c>
      <c r="BY90" s="32">
        <f>Bankingbook_MSB[[#This Row],[Mat. Date]]-RPT</f>
        <v>-1138</v>
      </c>
      <c r="BZ90" s="71">
        <f>IF(Bankingbook_MSB[[#This Row],[Days]]&lt;=0,0,YEARFRAC(RPT,Bankingbook_MSB[[#This Row],[Mat. Date]],3))</f>
        <v>0</v>
      </c>
      <c r="CA90" s="71">
        <f>IF(Bankingbook_MSB[[#This Row],[Days (year)]]=0,0,INDEX(Ref!$K$2:$K$13,MATCH(Bankingbook_MSB[[#This Row],[Days (year)]],Ref!$I$2:$I$13,1)))</f>
        <v>0</v>
      </c>
      <c r="CB90" s="32" t="str">
        <f>VLOOKUP(Bankingbook_MSB[[#This Row],[Security Name]],Ref!X:Z,3,0)</f>
        <v>TPCP</v>
      </c>
      <c r="CC90" s="32" t="str">
        <f>VLOOKUP(Bankingbook_MSB[[#This Row],[Security Name]],Ref!X:Y,2,0)</f>
        <v>KBNN</v>
      </c>
      <c r="CD90" s="72">
        <f>IF((Bankingbook_MSB[[#This Row],[Mat. Date]]-RPT)&lt;=0,0,Bankingbook_MSB[[#This Row],[QUANTITY]])</f>
        <v>0</v>
      </c>
      <c r="CE90" s="71">
        <f>IF(Bankingbook_MSB[[#This Row],[Quantity_edited]]=0,0,Bankingbook_MSB[[#This Row],[DURATION]])</f>
        <v>0</v>
      </c>
      <c r="CF90" s="71">
        <f>IF(Bankingbook_MSB[[#This Row],[Quantity_edited]]=0,0,Bankingbook_MSB[[#This Row],[Mod Dur]])</f>
        <v>0</v>
      </c>
      <c r="CG90" s="71">
        <f>IF(Bankingbook_MSB[[#This Row],[Quantity_edited]]=0,0,Bankingbook_MSB[[#This Row],[Cnvx.]])</f>
        <v>0</v>
      </c>
      <c r="CH90" s="71">
        <f>(Bankingbook_MSB[[#This Row],[MARKET_VALUE]]+Bankingbook_MSB[[#This Row],[Accr Int]]*Bankingbook_MSB[[#This Row],[Quantity_edited]])*(-Bankingbook_MSB[[#This Row],[Modified Duration]]*0.0001+0.5*Bankingbook_MSB[[#This Row],[Conv]]*(0.0001^2))</f>
        <v>0</v>
      </c>
      <c r="CI90" s="71">
        <f>(Bankingbook_MSB[[#This Row],[MARKET_VALUE]]+Bankingbook_MSB[[#This Row],[Accr Int]]*Bankingbook_MSB[[#This Row],[Quantity_edited]])*(-Bankingbook_MSB[[#This Row],[Modified Duration]]*0.01+0.5*Bankingbook_MSB[[#This Row],[Conv]]*(0.01^2))</f>
        <v>0</v>
      </c>
      <c r="CJ90" s="32"/>
      <c r="CL90" t="s">
        <v>166</v>
      </c>
      <c r="CM90" t="s">
        <v>167</v>
      </c>
      <c r="CN90" t="s">
        <v>265</v>
      </c>
      <c r="CO90" t="s">
        <v>169</v>
      </c>
      <c r="CP90" s="35">
        <v>42340</v>
      </c>
      <c r="CQ90" t="s">
        <v>3322</v>
      </c>
      <c r="CR90" t="s">
        <v>174</v>
      </c>
      <c r="CS90" t="s">
        <v>174</v>
      </c>
      <c r="CT90" s="49">
        <v>0</v>
      </c>
      <c r="CU90">
        <v>0</v>
      </c>
      <c r="CV90">
        <v>0</v>
      </c>
      <c r="CW90" s="70">
        <v>0</v>
      </c>
      <c r="CX90">
        <v>8.4</v>
      </c>
      <c r="CY90">
        <v>0</v>
      </c>
      <c r="CZ90">
        <v>0</v>
      </c>
      <c r="DA90">
        <v>0</v>
      </c>
      <c r="DB90">
        <v>-738699699.66667008</v>
      </c>
      <c r="DC90">
        <v>8.4</v>
      </c>
      <c r="DD90">
        <v>0</v>
      </c>
      <c r="DE90">
        <v>0</v>
      </c>
      <c r="DF90">
        <v>0</v>
      </c>
      <c r="DG90">
        <v>0</v>
      </c>
      <c r="DH90">
        <v>0</v>
      </c>
      <c r="DI90">
        <v>0</v>
      </c>
      <c r="DJ90" s="500">
        <v>1765200000</v>
      </c>
      <c r="DK90" s="500">
        <v>0</v>
      </c>
      <c r="DL90" s="37">
        <v>1765200000</v>
      </c>
      <c r="DM90" s="37">
        <v>1765200000</v>
      </c>
      <c r="DN90" s="37">
        <v>1765200000</v>
      </c>
      <c r="DO90" s="37">
        <v>1765200000</v>
      </c>
      <c r="DP90" s="32">
        <f>Tradingbook_SBV[[#This Row],[Mat. Date]]-RPT</f>
        <v>-3912</v>
      </c>
      <c r="DQ90" s="32">
        <f>IF(Tradingbook_SBV[[#This Row],[Days]]&lt;=0,0,YEARFRAC(RPT,Tradingbook_SBV[[#This Row],[Mat. Date]],3))</f>
        <v>0</v>
      </c>
      <c r="DR90" s="32">
        <f>IF(Tradingbook_SBV[[#This Row],[Days (year)]]=0,0,INDEX(Ref!$K$2:$K$13,MATCH(Tradingbook_SBV[[#This Row],[Days (year)]],Ref!$I$2:$I$13,1)))</f>
        <v>0</v>
      </c>
      <c r="DS90" s="32" t="str">
        <f>VLOOKUP(Tradingbook_SBV[[#This Row],[Security Name]],Ref!X:Z,3,0)</f>
        <v>TPCPBL</v>
      </c>
      <c r="DT90" s="32" t="str">
        <f>VLOOKUP(Tradingbook_SBV[[#This Row],[Security Name]],Ref!X:Y,2,0)</f>
        <v>VDB</v>
      </c>
      <c r="DU90" s="71">
        <f>IF((Tradingbook_SBV[[#This Row],[Mat. Date]]-RPT)&lt;=0,0,Tradingbook_SBV[[#This Row],[QUANTITY]])</f>
        <v>0</v>
      </c>
      <c r="DV90" s="71">
        <f>IF(Tradingbook_SBV[[#This Row],[Quantity_edited]]=0,0,Tradingbook_SBV[[#This Row],[DURATION]])</f>
        <v>0</v>
      </c>
      <c r="DW90" s="71">
        <f>IF(Tradingbook_SBV[[#This Row],[Quantity_edited]]=0,0,Tradingbook_SBV[[#This Row],[Mod Dur]])</f>
        <v>0</v>
      </c>
      <c r="DX90" s="71">
        <f>IF(Tradingbook_SBV[[#This Row],[Quantity_edited]]=0,0,Tradingbook_SBV[[#This Row],[Cnvx.]])</f>
        <v>0</v>
      </c>
      <c r="DY90" s="71">
        <f>(Tradingbook_SBV[[#This Row],[MARKET_VALUE]]+Tradingbook_SBV[[#This Row],[Accr Int]]*Tradingbook_SBV[[#This Row],[Quantity_edited]])*(-Tradingbook_SBV[[#This Row],[Modified Duration]]*0.0001+0.5*Tradingbook_SBV[[#This Row],[Conv]]*(0.0001^2))</f>
        <v>0</v>
      </c>
      <c r="DZ90" s="71">
        <f>(Tradingbook_SBV[[#This Row],[MARKET_VALUE]]+Tradingbook_SBV[[#This Row],[Accr Int]]*Tradingbook_SBV[[#This Row],[Quantity_edited]])*(-Tradingbook_SBV[[#This Row],[Modified Duration]]*0.01+0.5*Tradingbook_SBV[[#This Row],[Conv]]*(0.01^2))</f>
        <v>0</v>
      </c>
      <c r="EC90" t="s">
        <v>166</v>
      </c>
      <c r="ED90" t="s">
        <v>167</v>
      </c>
      <c r="EE90" t="s">
        <v>467</v>
      </c>
      <c r="EF90" t="s">
        <v>169</v>
      </c>
      <c r="EG90" s="35" t="s">
        <v>3734</v>
      </c>
      <c r="EH90" t="s">
        <v>3322</v>
      </c>
      <c r="EK90" s="500">
        <v>0</v>
      </c>
      <c r="EL90" s="500">
        <v>0</v>
      </c>
      <c r="EM90" s="500">
        <v>0</v>
      </c>
      <c r="EN90" s="500">
        <v>0</v>
      </c>
      <c r="EO90">
        <v>12</v>
      </c>
      <c r="EP90">
        <v>0</v>
      </c>
      <c r="EQ90">
        <v>0</v>
      </c>
      <c r="ER90">
        <v>0</v>
      </c>
      <c r="ES90">
        <v>-4471981.6666669846</v>
      </c>
      <c r="ET90">
        <v>0</v>
      </c>
      <c r="EU90">
        <v>0</v>
      </c>
      <c r="EV90">
        <v>0</v>
      </c>
      <c r="EW90">
        <v>0</v>
      </c>
      <c r="EX90">
        <v>0</v>
      </c>
      <c r="EY90">
        <v>0</v>
      </c>
      <c r="EZ90">
        <v>0</v>
      </c>
      <c r="FA90">
        <v>-4500000</v>
      </c>
      <c r="FB90">
        <v>0</v>
      </c>
      <c r="FC90">
        <v>-4500000</v>
      </c>
      <c r="FD90">
        <v>-4500000</v>
      </c>
      <c r="FE90">
        <v>-4500000</v>
      </c>
      <c r="FF90">
        <v>-4500000</v>
      </c>
      <c r="FG90" s="32">
        <f>Bankingbook_SBV[[#This Row],[Mat. Date]]-RPT</f>
        <v>-1940</v>
      </c>
      <c r="FH90" s="32">
        <f>IF(Bankingbook_SBV[[#This Row],[Days]]&lt;=0,0,YEARFRAC(RPT,Bankingbook_SBV[[#This Row],[Mat. Date]],3))</f>
        <v>0</v>
      </c>
      <c r="FI90" s="32">
        <f>IF(Bankingbook_SBV[[#This Row],[Days (year)]]=0,0,INDEX(Ref!$K$2:$K$13,MATCH(Bankingbook_SBV[[#This Row],[Days (year)]],Ref!$I$2:$I$13,1)))</f>
        <v>0</v>
      </c>
      <c r="FJ90" s="32" t="str">
        <f>VLOOKUP(Bankingbook_SBV[[#This Row],[Security Name]],Ref!X:Z,3,0)</f>
        <v>TPCPBL</v>
      </c>
      <c r="FK90" s="32" t="str">
        <f>VLOOKUP(Bankingbook_SBV[[#This Row],[Security Name]],Ref!X:Y,2,0)</f>
        <v>VDB</v>
      </c>
      <c r="FL90" s="72">
        <f>IF((Bankingbook_SBV[[#This Row],[Mat. Date]]-RPT)&lt;=0,0,Bankingbook_SBV[[#This Row],[QUANTITY]])</f>
        <v>0</v>
      </c>
      <c r="FM90" s="32">
        <f>IF(Bankingbook_SBV[[#This Row],[Quantity_edited]]=0,0,Bankingbook_SBV[[#This Row],[DURATION]])</f>
        <v>0</v>
      </c>
      <c r="FN90" s="32">
        <f>IF(Bankingbook_SBV[[#This Row],[Quantity_edited]]=0,0,Bankingbook_SBV[[#This Row],[Mod Dur]])</f>
        <v>0</v>
      </c>
      <c r="FO90" s="32">
        <f>IF(Bankingbook_SBV[[#This Row],[Quantity_edited]]=0,0,Bankingbook_SBV[[#This Row],[Cnvx.]])</f>
        <v>0</v>
      </c>
      <c r="FP90" s="32">
        <f>(Bankingbook_SBV[[#This Row],[MARKET_VALUE]]+Bankingbook_SBV[[#This Row],[Accr Int]]*Bankingbook_SBV[[#This Row],[Quantity_edited]])*(-Bankingbook_SBV[[#This Row],[Modified Duration]]*0.0001+0.5*Bankingbook_SBV[[#This Row],[Conv]]*(0.0001^2))</f>
        <v>0</v>
      </c>
      <c r="FQ90" s="32">
        <f>(Bankingbook_SBV[[#This Row],[MARKET_VALUE]]+Bankingbook_SBV[[#This Row],[Accr Int]]*Bankingbook_SBV[[#This Row],[Quantity_edited]])*(-Bankingbook_SBV[[#This Row],[Modified Duration]]*0.01+0.5*Bankingbook_SBV[[#This Row],[Conv]]*(0.01^2))</f>
        <v>0</v>
      </c>
    </row>
    <row r="91" spans="2:173" x14ac:dyDescent="0.3">
      <c r="B91" t="s">
        <v>166</v>
      </c>
      <c r="C91" t="s">
        <v>167</v>
      </c>
      <c r="D91" t="s">
        <v>266</v>
      </c>
      <c r="E91" t="s">
        <v>169</v>
      </c>
      <c r="F91" s="502">
        <v>42343</v>
      </c>
      <c r="G91" t="s">
        <v>3322</v>
      </c>
      <c r="H91"/>
      <c r="I91"/>
      <c r="J91" s="38">
        <v>0</v>
      </c>
      <c r="K91">
        <v>0</v>
      </c>
      <c r="L91">
        <v>0</v>
      </c>
      <c r="M91" s="38">
        <v>0</v>
      </c>
      <c r="N91">
        <v>8.4</v>
      </c>
      <c r="O91">
        <v>0</v>
      </c>
      <c r="P91" s="37">
        <v>0</v>
      </c>
      <c r="Q91" s="37">
        <v>3.9999999999999998E-6</v>
      </c>
      <c r="R91" s="37">
        <v>-3728789720.00002</v>
      </c>
      <c r="S91">
        <v>8.4</v>
      </c>
      <c r="T91" s="70">
        <v>0</v>
      </c>
      <c r="U91">
        <v>0</v>
      </c>
      <c r="V91">
        <v>0</v>
      </c>
      <c r="W91">
        <v>0</v>
      </c>
      <c r="X91" s="38">
        <v>0</v>
      </c>
      <c r="Y91">
        <v>0</v>
      </c>
      <c r="Z91" s="70">
        <v>9097000000</v>
      </c>
      <c r="AA91" s="70">
        <v>0</v>
      </c>
      <c r="AB91" s="70">
        <v>9097000000</v>
      </c>
      <c r="AC91" s="70">
        <v>9097000000</v>
      </c>
      <c r="AD91" s="70">
        <v>9097000000</v>
      </c>
      <c r="AE91" s="70">
        <v>9097000000</v>
      </c>
      <c r="AF91">
        <v>0</v>
      </c>
      <c r="AG91" s="72">
        <f>Tradingbook_MSB[[#This Row],[Mat. Date]]-RPT</f>
        <v>-3909</v>
      </c>
      <c r="AH91" s="71">
        <f>IF(Tradingbook_MSB[[#This Row],[Days]]&lt;=0,0,YEARFRAC(RPT,Tradingbook_MSB[[#This Row],[Mat. Date]],3))</f>
        <v>0</v>
      </c>
      <c r="AI91" s="71">
        <f>IF(Tradingbook_MSB[[#This Row],[Days (year)]]=0,0,INDEX(Ref!$K$2:$K$13,MATCH(Tradingbook_MSB[[#This Row],[Days (year)]],Ref!$I$2:$I$13,1)))</f>
        <v>0</v>
      </c>
      <c r="AJ91" s="120" t="str">
        <f>VLOOKUP(Tradingbook_MSB[[#This Row],[Security Name]],Ref!X:Z,3,0)</f>
        <v>TPCPBL</v>
      </c>
      <c r="AK91" s="120" t="str">
        <f>VLOOKUP(Tradingbook_MSB[[#This Row],[Security Name]],Ref!X:Y,2,0)</f>
        <v>VDB</v>
      </c>
      <c r="AL91" s="71">
        <f>IF((Tradingbook_MSB[[#This Row],[Mat. Date]]-RPT)&lt;=0,0,Tradingbook_MSB[[#This Row],[QUANTITY]])</f>
        <v>0</v>
      </c>
      <c r="AM91" s="71">
        <f>IF(Tradingbook_MSB[[#This Row],[Quantity_edited]]=0,0,Tradingbook_MSB[[#This Row],[DURATION]])</f>
        <v>0</v>
      </c>
      <c r="AN91" s="71">
        <f>IF(Tradingbook_MSB[[#This Row],[Quantity_edited]]=0,0,Tradingbook_MSB[[#This Row],[Mod Dur]])</f>
        <v>0</v>
      </c>
      <c r="AO91" s="71">
        <f>IF(Tradingbook_MSB[[#This Row],[Quantity_edited]]=0,0,Tradingbook_MSB[[#This Row],[Cnvx.]])</f>
        <v>0</v>
      </c>
      <c r="AP91" s="71">
        <f>(Tradingbook_MSB[[#This Row],[MARKET_VALUE]]+Tradingbook_MSB[[#This Row],[Accr Int]]*Tradingbook_MSB[[#This Row],[Quantity_edited]])*(-Tradingbook_MSB[[#This Row],[Modified Duration]]*0.0001+0.5*Tradingbook_MSB[[#This Row],[Conv]]*(0.0001^2))</f>
        <v>0</v>
      </c>
      <c r="AQ91" s="72">
        <f>(Tradingbook_MSB[[#This Row],[MARKET_VALUE]]+Tradingbook_MSB[[#This Row],[Accr Int]]*Tradingbook_MSB[[#This Row],[Quantity_edited]])*(-Tradingbook_MSB[[#This Row],[Modified Duration]]*0.01+0.5*Tradingbook_MSB[[#This Row],[Conv]]*(0.01^2))</f>
        <v>0</v>
      </c>
      <c r="AR91" s="71"/>
      <c r="AT91" t="s">
        <v>166</v>
      </c>
      <c r="AU91" t="s">
        <v>167</v>
      </c>
      <c r="AV91" t="s">
        <v>778</v>
      </c>
      <c r="AW91" t="s">
        <v>169</v>
      </c>
      <c r="AX91" t="s">
        <v>3396</v>
      </c>
      <c r="AY91" t="s">
        <v>170</v>
      </c>
      <c r="BB91">
        <v>2000000</v>
      </c>
      <c r="BC91">
        <v>200000000000</v>
      </c>
      <c r="BD91">
        <v>100611.22</v>
      </c>
      <c r="BE91" s="37">
        <v>0</v>
      </c>
      <c r="BF91">
        <v>5</v>
      </c>
      <c r="BG91">
        <v>0</v>
      </c>
      <c r="BH91">
        <v>50000000000</v>
      </c>
      <c r="BI91">
        <v>52216438888.888885</v>
      </c>
      <c r="BJ91">
        <v>-21713271073.452808</v>
      </c>
      <c r="BK91">
        <v>5</v>
      </c>
      <c r="BL91">
        <v>0</v>
      </c>
      <c r="BM91">
        <v>0</v>
      </c>
      <c r="BN91">
        <v>0</v>
      </c>
      <c r="BO91">
        <v>0</v>
      </c>
      <c r="BP91">
        <v>0</v>
      </c>
      <c r="BQ91">
        <v>0</v>
      </c>
      <c r="BR91">
        <v>692000000.00001907</v>
      </c>
      <c r="BS91">
        <v>0</v>
      </c>
      <c r="BT91">
        <v>692000000.00001907</v>
      </c>
      <c r="BU91">
        <v>692000000.00001907</v>
      </c>
      <c r="BV91">
        <v>692000000</v>
      </c>
      <c r="BW91">
        <v>692000000.00001907</v>
      </c>
      <c r="BX91">
        <v>4.8304906030000003</v>
      </c>
      <c r="BY91" s="32">
        <f>Bankingbook_MSB[[#This Row],[Mat. Date]]-RPT</f>
        <v>-1058</v>
      </c>
      <c r="BZ91" s="71">
        <f>IF(Bankingbook_MSB[[#This Row],[Days]]&lt;=0,0,YEARFRAC(RPT,Bankingbook_MSB[[#This Row],[Mat. Date]],3))</f>
        <v>0</v>
      </c>
      <c r="CA91" s="71">
        <f>IF(Bankingbook_MSB[[#This Row],[Days (year)]]=0,0,INDEX(Ref!$K$2:$K$13,MATCH(Bankingbook_MSB[[#This Row],[Days (year)]],Ref!$I$2:$I$13,1)))</f>
        <v>0</v>
      </c>
      <c r="CB91" s="32" t="str">
        <f>VLOOKUP(Bankingbook_MSB[[#This Row],[Security Name]],Ref!X:Z,3,0)</f>
        <v>TPCPBL</v>
      </c>
      <c r="CC91" s="32" t="str">
        <f>VLOOKUP(Bankingbook_MSB[[#This Row],[Security Name]],Ref!X:Y,2,0)</f>
        <v>VBS</v>
      </c>
      <c r="CD91" s="72">
        <f>IF((Bankingbook_MSB[[#This Row],[Mat. Date]]-RPT)&lt;=0,0,Bankingbook_MSB[[#This Row],[QUANTITY]])</f>
        <v>0</v>
      </c>
      <c r="CE91" s="71">
        <f>IF(Bankingbook_MSB[[#This Row],[Quantity_edited]]=0,0,Bankingbook_MSB[[#This Row],[DURATION]])</f>
        <v>0</v>
      </c>
      <c r="CF91" s="71">
        <f>IF(Bankingbook_MSB[[#This Row],[Quantity_edited]]=0,0,Bankingbook_MSB[[#This Row],[Mod Dur]])</f>
        <v>0</v>
      </c>
      <c r="CG91" s="71">
        <f>IF(Bankingbook_MSB[[#This Row],[Quantity_edited]]=0,0,Bankingbook_MSB[[#This Row],[Cnvx.]])</f>
        <v>0</v>
      </c>
      <c r="CH91" s="71">
        <f>(Bankingbook_MSB[[#This Row],[MARKET_VALUE]]+Bankingbook_MSB[[#This Row],[Accr Int]]*Bankingbook_MSB[[#This Row],[Quantity_edited]])*(-Bankingbook_MSB[[#This Row],[Modified Duration]]*0.0001+0.5*Bankingbook_MSB[[#This Row],[Conv]]*(0.0001^2))</f>
        <v>0</v>
      </c>
      <c r="CI91" s="71">
        <f>(Bankingbook_MSB[[#This Row],[MARKET_VALUE]]+Bankingbook_MSB[[#This Row],[Accr Int]]*Bankingbook_MSB[[#This Row],[Quantity_edited]])*(-Bankingbook_MSB[[#This Row],[Modified Duration]]*0.01+0.5*Bankingbook_MSB[[#This Row],[Conv]]*(0.01^2))</f>
        <v>0</v>
      </c>
      <c r="CJ91" s="32"/>
      <c r="CL91" t="s">
        <v>166</v>
      </c>
      <c r="CM91" t="s">
        <v>167</v>
      </c>
      <c r="CN91" t="s">
        <v>266</v>
      </c>
      <c r="CO91" t="s">
        <v>169</v>
      </c>
      <c r="CP91" s="35">
        <v>42343</v>
      </c>
      <c r="CQ91" t="s">
        <v>3322</v>
      </c>
      <c r="CR91" t="s">
        <v>174</v>
      </c>
      <c r="CS91" t="s">
        <v>174</v>
      </c>
      <c r="CT91" s="49">
        <v>0</v>
      </c>
      <c r="CU91">
        <v>0</v>
      </c>
      <c r="CV91">
        <v>0</v>
      </c>
      <c r="CW91" s="70">
        <v>0</v>
      </c>
      <c r="CX91">
        <v>8.4</v>
      </c>
      <c r="CY91">
        <v>0</v>
      </c>
      <c r="CZ91">
        <v>0</v>
      </c>
      <c r="DA91">
        <v>3.9999999999999998E-6</v>
      </c>
      <c r="DB91">
        <v>-3728789720.00002</v>
      </c>
      <c r="DC91">
        <v>8.4</v>
      </c>
      <c r="DD91">
        <v>0</v>
      </c>
      <c r="DE91">
        <v>0</v>
      </c>
      <c r="DF91">
        <v>0</v>
      </c>
      <c r="DG91">
        <v>0</v>
      </c>
      <c r="DH91">
        <v>0</v>
      </c>
      <c r="DI91">
        <v>0</v>
      </c>
      <c r="DJ91" s="500">
        <v>9097000000</v>
      </c>
      <c r="DK91" s="500">
        <v>0</v>
      </c>
      <c r="DL91" s="37">
        <v>9097000000</v>
      </c>
      <c r="DM91" s="37">
        <v>9097000000</v>
      </c>
      <c r="DN91" s="37">
        <v>9097000000</v>
      </c>
      <c r="DO91" s="37">
        <v>9097000000</v>
      </c>
      <c r="DP91" s="32">
        <f>Tradingbook_SBV[[#This Row],[Mat. Date]]-RPT</f>
        <v>-3909</v>
      </c>
      <c r="DQ91" s="32">
        <f>IF(Tradingbook_SBV[[#This Row],[Days]]&lt;=0,0,YEARFRAC(RPT,Tradingbook_SBV[[#This Row],[Mat. Date]],3))</f>
        <v>0</v>
      </c>
      <c r="DR91" s="32">
        <f>IF(Tradingbook_SBV[[#This Row],[Days (year)]]=0,0,INDEX(Ref!$K$2:$K$13,MATCH(Tradingbook_SBV[[#This Row],[Days (year)]],Ref!$I$2:$I$13,1)))</f>
        <v>0</v>
      </c>
      <c r="DS91" s="32" t="str">
        <f>VLOOKUP(Tradingbook_SBV[[#This Row],[Security Name]],Ref!X:Z,3,0)</f>
        <v>TPCPBL</v>
      </c>
      <c r="DT91" s="32" t="str">
        <f>VLOOKUP(Tradingbook_SBV[[#This Row],[Security Name]],Ref!X:Y,2,0)</f>
        <v>VDB</v>
      </c>
      <c r="DU91" s="71">
        <f>IF((Tradingbook_SBV[[#This Row],[Mat. Date]]-RPT)&lt;=0,0,Tradingbook_SBV[[#This Row],[QUANTITY]])</f>
        <v>0</v>
      </c>
      <c r="DV91" s="71">
        <f>IF(Tradingbook_SBV[[#This Row],[Quantity_edited]]=0,0,Tradingbook_SBV[[#This Row],[DURATION]])</f>
        <v>0</v>
      </c>
      <c r="DW91" s="71">
        <f>IF(Tradingbook_SBV[[#This Row],[Quantity_edited]]=0,0,Tradingbook_SBV[[#This Row],[Mod Dur]])</f>
        <v>0</v>
      </c>
      <c r="DX91" s="71">
        <f>IF(Tradingbook_SBV[[#This Row],[Quantity_edited]]=0,0,Tradingbook_SBV[[#This Row],[Cnvx.]])</f>
        <v>0</v>
      </c>
      <c r="DY91" s="71">
        <f>(Tradingbook_SBV[[#This Row],[MARKET_VALUE]]+Tradingbook_SBV[[#This Row],[Accr Int]]*Tradingbook_SBV[[#This Row],[Quantity_edited]])*(-Tradingbook_SBV[[#This Row],[Modified Duration]]*0.0001+0.5*Tradingbook_SBV[[#This Row],[Conv]]*(0.0001^2))</f>
        <v>0</v>
      </c>
      <c r="DZ91" s="71">
        <f>(Tradingbook_SBV[[#This Row],[MARKET_VALUE]]+Tradingbook_SBV[[#This Row],[Accr Int]]*Tradingbook_SBV[[#This Row],[Quantity_edited]])*(-Tradingbook_SBV[[#This Row],[Modified Duration]]*0.01+0.5*Tradingbook_SBV[[#This Row],[Conv]]*(0.01^2))</f>
        <v>0</v>
      </c>
      <c r="EC91" t="s">
        <v>166</v>
      </c>
      <c r="ED91" t="s">
        <v>167</v>
      </c>
      <c r="EE91" t="s">
        <v>475</v>
      </c>
      <c r="EF91" t="s">
        <v>169</v>
      </c>
      <c r="EG91" s="35" t="s">
        <v>3735</v>
      </c>
      <c r="EH91" t="s">
        <v>3322</v>
      </c>
      <c r="EK91" s="500">
        <v>0</v>
      </c>
      <c r="EL91" s="500">
        <v>0</v>
      </c>
      <c r="EM91" s="500">
        <v>0</v>
      </c>
      <c r="EN91" s="500">
        <v>0</v>
      </c>
      <c r="EO91">
        <v>6.4</v>
      </c>
      <c r="EP91">
        <v>0</v>
      </c>
      <c r="EQ91">
        <v>16832000000</v>
      </c>
      <c r="ER91">
        <v>17299031893.333351</v>
      </c>
      <c r="ES91">
        <v>-15122122125.993214</v>
      </c>
      <c r="ET91">
        <v>0</v>
      </c>
      <c r="EU91">
        <v>0</v>
      </c>
      <c r="EV91">
        <v>0</v>
      </c>
      <c r="EW91">
        <v>0</v>
      </c>
      <c r="EX91">
        <v>0</v>
      </c>
      <c r="EY91">
        <v>0</v>
      </c>
      <c r="EZ91">
        <v>0</v>
      </c>
      <c r="FA91">
        <v>14407339999.999969</v>
      </c>
      <c r="FB91">
        <v>0</v>
      </c>
      <c r="FC91">
        <v>14407339999.999969</v>
      </c>
      <c r="FD91">
        <v>14407339999.999969</v>
      </c>
      <c r="FE91">
        <v>14407340000</v>
      </c>
      <c r="FF91">
        <v>14407339999.999969</v>
      </c>
      <c r="FG91" s="32">
        <f>Bankingbook_SBV[[#This Row],[Mat. Date]]-RPT</f>
        <v>-1888</v>
      </c>
      <c r="FH91" s="32">
        <f>IF(Bankingbook_SBV[[#This Row],[Days]]&lt;=0,0,YEARFRAC(RPT,Bankingbook_SBV[[#This Row],[Mat. Date]],3))</f>
        <v>0</v>
      </c>
      <c r="FI91" s="32">
        <f>IF(Bankingbook_SBV[[#This Row],[Days (year)]]=0,0,INDEX(Ref!$K$2:$K$13,MATCH(Bankingbook_SBV[[#This Row],[Days (year)]],Ref!$I$2:$I$13,1)))</f>
        <v>0</v>
      </c>
      <c r="FJ91" s="32" t="str">
        <f>VLOOKUP(Bankingbook_SBV[[#This Row],[Security Name]],Ref!X:Z,3,0)</f>
        <v>TPCPBL</v>
      </c>
      <c r="FK91" s="32" t="str">
        <f>VLOOKUP(Bankingbook_SBV[[#This Row],[Security Name]],Ref!X:Y,2,0)</f>
        <v>VBS</v>
      </c>
      <c r="FL91" s="72">
        <f>IF((Bankingbook_SBV[[#This Row],[Mat. Date]]-RPT)&lt;=0,0,Bankingbook_SBV[[#This Row],[QUANTITY]])</f>
        <v>0</v>
      </c>
      <c r="FM91" s="32">
        <f>IF(Bankingbook_SBV[[#This Row],[Quantity_edited]]=0,0,Bankingbook_SBV[[#This Row],[DURATION]])</f>
        <v>0</v>
      </c>
      <c r="FN91" s="32">
        <f>IF(Bankingbook_SBV[[#This Row],[Quantity_edited]]=0,0,Bankingbook_SBV[[#This Row],[Mod Dur]])</f>
        <v>0</v>
      </c>
      <c r="FO91" s="32">
        <f>IF(Bankingbook_SBV[[#This Row],[Quantity_edited]]=0,0,Bankingbook_SBV[[#This Row],[Cnvx.]])</f>
        <v>0</v>
      </c>
      <c r="FP91" s="32">
        <f>(Bankingbook_SBV[[#This Row],[MARKET_VALUE]]+Bankingbook_SBV[[#This Row],[Accr Int]]*Bankingbook_SBV[[#This Row],[Quantity_edited]])*(-Bankingbook_SBV[[#This Row],[Modified Duration]]*0.0001+0.5*Bankingbook_SBV[[#This Row],[Conv]]*(0.0001^2))</f>
        <v>0</v>
      </c>
      <c r="FQ91" s="32">
        <f>(Bankingbook_SBV[[#This Row],[MARKET_VALUE]]+Bankingbook_SBV[[#This Row],[Accr Int]]*Bankingbook_SBV[[#This Row],[Quantity_edited]])*(-Bankingbook_SBV[[#This Row],[Modified Duration]]*0.01+0.5*Bankingbook_SBV[[#This Row],[Conv]]*(0.01^2))</f>
        <v>0</v>
      </c>
    </row>
    <row r="92" spans="2:173" x14ac:dyDescent="0.3">
      <c r="B92" t="s">
        <v>166</v>
      </c>
      <c r="C92" t="s">
        <v>167</v>
      </c>
      <c r="D92" t="s">
        <v>267</v>
      </c>
      <c r="E92" t="s">
        <v>169</v>
      </c>
      <c r="F92" s="502">
        <v>42348</v>
      </c>
      <c r="G92" t="s">
        <v>3322</v>
      </c>
      <c r="H92"/>
      <c r="I92"/>
      <c r="J92" s="38">
        <v>0</v>
      </c>
      <c r="K92">
        <v>0</v>
      </c>
      <c r="L92">
        <v>0</v>
      </c>
      <c r="M92" s="38">
        <v>0</v>
      </c>
      <c r="N92">
        <v>8.3000000000000007</v>
      </c>
      <c r="O92">
        <v>0</v>
      </c>
      <c r="P92" s="37">
        <v>0</v>
      </c>
      <c r="Q92" s="37">
        <v>3.9999999999999998E-6</v>
      </c>
      <c r="R92" s="37">
        <v>-4017996327.0833559</v>
      </c>
      <c r="S92">
        <v>8.3000000000000007</v>
      </c>
      <c r="T92" s="70">
        <v>0</v>
      </c>
      <c r="U92">
        <v>0</v>
      </c>
      <c r="V92">
        <v>0</v>
      </c>
      <c r="W92">
        <v>0</v>
      </c>
      <c r="X92" s="38">
        <v>0</v>
      </c>
      <c r="Y92">
        <v>0</v>
      </c>
      <c r="Z92" s="70">
        <v>9975000000</v>
      </c>
      <c r="AA92" s="70">
        <v>0</v>
      </c>
      <c r="AB92" s="70">
        <v>9975000000</v>
      </c>
      <c r="AC92" s="70">
        <v>9975000000</v>
      </c>
      <c r="AD92" s="70">
        <v>9975000000</v>
      </c>
      <c r="AE92" s="70">
        <v>9975000000</v>
      </c>
      <c r="AF92">
        <v>0</v>
      </c>
      <c r="AG92" s="72">
        <f>Tradingbook_MSB[[#This Row],[Mat. Date]]-RPT</f>
        <v>-3904</v>
      </c>
      <c r="AH92" s="71">
        <f>IF(Tradingbook_MSB[[#This Row],[Days]]&lt;=0,0,YEARFRAC(RPT,Tradingbook_MSB[[#This Row],[Mat. Date]],3))</f>
        <v>0</v>
      </c>
      <c r="AI92" s="71">
        <f>IF(Tradingbook_MSB[[#This Row],[Days (year)]]=0,0,INDEX(Ref!$K$2:$K$13,MATCH(Tradingbook_MSB[[#This Row],[Days (year)]],Ref!$I$2:$I$13,1)))</f>
        <v>0</v>
      </c>
      <c r="AJ92" s="120" t="str">
        <f>VLOOKUP(Tradingbook_MSB[[#This Row],[Security Name]],Ref!X:Z,3,0)</f>
        <v>TPCPBL</v>
      </c>
      <c r="AK92" s="120" t="str">
        <f>VLOOKUP(Tradingbook_MSB[[#This Row],[Security Name]],Ref!X:Y,2,0)</f>
        <v>VDB</v>
      </c>
      <c r="AL92" s="71">
        <f>IF((Tradingbook_MSB[[#This Row],[Mat. Date]]-RPT)&lt;=0,0,Tradingbook_MSB[[#This Row],[QUANTITY]])</f>
        <v>0</v>
      </c>
      <c r="AM92" s="71">
        <f>IF(Tradingbook_MSB[[#This Row],[Quantity_edited]]=0,0,Tradingbook_MSB[[#This Row],[DURATION]])</f>
        <v>0</v>
      </c>
      <c r="AN92" s="71">
        <f>IF(Tradingbook_MSB[[#This Row],[Quantity_edited]]=0,0,Tradingbook_MSB[[#This Row],[Mod Dur]])</f>
        <v>0</v>
      </c>
      <c r="AO92" s="71">
        <f>IF(Tradingbook_MSB[[#This Row],[Quantity_edited]]=0,0,Tradingbook_MSB[[#This Row],[Cnvx.]])</f>
        <v>0</v>
      </c>
      <c r="AP92" s="71">
        <f>(Tradingbook_MSB[[#This Row],[MARKET_VALUE]]+Tradingbook_MSB[[#This Row],[Accr Int]]*Tradingbook_MSB[[#This Row],[Quantity_edited]])*(-Tradingbook_MSB[[#This Row],[Modified Duration]]*0.0001+0.5*Tradingbook_MSB[[#This Row],[Conv]]*(0.0001^2))</f>
        <v>0</v>
      </c>
      <c r="AQ92" s="72">
        <f>(Tradingbook_MSB[[#This Row],[MARKET_VALUE]]+Tradingbook_MSB[[#This Row],[Accr Int]]*Tradingbook_MSB[[#This Row],[Quantity_edited]])*(-Tradingbook_MSB[[#This Row],[Modified Duration]]*0.01+0.5*Tradingbook_MSB[[#This Row],[Conv]]*(0.01^2))</f>
        <v>0</v>
      </c>
      <c r="AR92" s="71"/>
      <c r="AT92" t="s">
        <v>166</v>
      </c>
      <c r="AU92" t="s">
        <v>167</v>
      </c>
      <c r="AV92" t="s">
        <v>523</v>
      </c>
      <c r="AW92" t="s">
        <v>169</v>
      </c>
      <c r="AX92" t="s">
        <v>524</v>
      </c>
      <c r="AY92" t="s">
        <v>170</v>
      </c>
      <c r="BB92">
        <v>2500000</v>
      </c>
      <c r="BC92">
        <v>250000000000</v>
      </c>
      <c r="BD92">
        <v>101432</v>
      </c>
      <c r="BE92" s="37">
        <v>0</v>
      </c>
      <c r="BF92">
        <v>5.3</v>
      </c>
      <c r="BG92">
        <v>0</v>
      </c>
      <c r="BH92">
        <v>13250000000</v>
      </c>
      <c r="BI92">
        <v>13250000000</v>
      </c>
      <c r="BJ92">
        <v>-6334921177.777792</v>
      </c>
      <c r="BK92">
        <v>5.3</v>
      </c>
      <c r="BL92">
        <v>0</v>
      </c>
      <c r="BM92">
        <v>0</v>
      </c>
      <c r="BN92">
        <v>0</v>
      </c>
      <c r="BO92">
        <v>0</v>
      </c>
      <c r="BP92">
        <v>0</v>
      </c>
      <c r="BQ92">
        <v>0</v>
      </c>
      <c r="BR92">
        <v>-3580000000</v>
      </c>
      <c r="BS92">
        <v>0</v>
      </c>
      <c r="BT92">
        <v>-3580000000</v>
      </c>
      <c r="BU92">
        <v>-3580000000</v>
      </c>
      <c r="BV92">
        <v>-3580000000</v>
      </c>
      <c r="BW92">
        <v>-3580000000</v>
      </c>
      <c r="BX92">
        <v>3.7995999999999999</v>
      </c>
      <c r="BY92" s="32">
        <f>Bankingbook_MSB[[#This Row],[Mat. Date]]-RPT</f>
        <v>-973</v>
      </c>
      <c r="BZ92" s="71">
        <f>IF(Bankingbook_MSB[[#This Row],[Days]]&lt;=0,0,YEARFRAC(RPT,Bankingbook_MSB[[#This Row],[Mat. Date]],3))</f>
        <v>0</v>
      </c>
      <c r="CA92" s="71">
        <f>IF(Bankingbook_MSB[[#This Row],[Days (year)]]=0,0,INDEX(Ref!$K$2:$K$13,MATCH(Bankingbook_MSB[[#This Row],[Days (year)]],Ref!$I$2:$I$13,1)))</f>
        <v>0</v>
      </c>
      <c r="CB92" s="32" t="str">
        <f>VLOOKUP(Bankingbook_MSB[[#This Row],[Security Name]],Ref!X:Z,3,0)</f>
        <v>TPCPBL</v>
      </c>
      <c r="CC92" s="32" t="str">
        <f>VLOOKUP(Bankingbook_MSB[[#This Row],[Security Name]],Ref!X:Y,2,0)</f>
        <v>VDB</v>
      </c>
      <c r="CD92" s="72">
        <f>IF((Bankingbook_MSB[[#This Row],[Mat. Date]]-RPT)&lt;=0,0,Bankingbook_MSB[[#This Row],[QUANTITY]])</f>
        <v>0</v>
      </c>
      <c r="CE92" s="71">
        <f>IF(Bankingbook_MSB[[#This Row],[Quantity_edited]]=0,0,Bankingbook_MSB[[#This Row],[DURATION]])</f>
        <v>0</v>
      </c>
      <c r="CF92" s="71">
        <f>IF(Bankingbook_MSB[[#This Row],[Quantity_edited]]=0,0,Bankingbook_MSB[[#This Row],[Mod Dur]])</f>
        <v>0</v>
      </c>
      <c r="CG92" s="71">
        <f>IF(Bankingbook_MSB[[#This Row],[Quantity_edited]]=0,0,Bankingbook_MSB[[#This Row],[Cnvx.]])</f>
        <v>0</v>
      </c>
      <c r="CH92" s="71">
        <f>(Bankingbook_MSB[[#This Row],[MARKET_VALUE]]+Bankingbook_MSB[[#This Row],[Accr Int]]*Bankingbook_MSB[[#This Row],[Quantity_edited]])*(-Bankingbook_MSB[[#This Row],[Modified Duration]]*0.0001+0.5*Bankingbook_MSB[[#This Row],[Conv]]*(0.0001^2))</f>
        <v>0</v>
      </c>
      <c r="CI92" s="71">
        <f>(Bankingbook_MSB[[#This Row],[MARKET_VALUE]]+Bankingbook_MSB[[#This Row],[Accr Int]]*Bankingbook_MSB[[#This Row],[Quantity_edited]])*(-Bankingbook_MSB[[#This Row],[Modified Duration]]*0.01+0.5*Bankingbook_MSB[[#This Row],[Conv]]*(0.01^2))</f>
        <v>0</v>
      </c>
      <c r="CJ92" s="32"/>
      <c r="CL92" t="s">
        <v>166</v>
      </c>
      <c r="CM92" t="s">
        <v>167</v>
      </c>
      <c r="CN92" t="s">
        <v>267</v>
      </c>
      <c r="CO92" t="s">
        <v>169</v>
      </c>
      <c r="CP92" s="35">
        <v>42348</v>
      </c>
      <c r="CQ92" t="s">
        <v>3322</v>
      </c>
      <c r="CR92" t="s">
        <v>174</v>
      </c>
      <c r="CS92" t="s">
        <v>174</v>
      </c>
      <c r="CT92" s="49">
        <v>0</v>
      </c>
      <c r="CU92">
        <v>0</v>
      </c>
      <c r="CV92">
        <v>0</v>
      </c>
      <c r="CW92" s="70">
        <v>0</v>
      </c>
      <c r="CX92">
        <v>8.3000000000000007</v>
      </c>
      <c r="CY92">
        <v>0</v>
      </c>
      <c r="CZ92">
        <v>0</v>
      </c>
      <c r="DA92">
        <v>3.9999999999999998E-6</v>
      </c>
      <c r="DB92">
        <v>-4017996327.0833559</v>
      </c>
      <c r="DC92">
        <v>8.3000000000000007</v>
      </c>
      <c r="DD92">
        <v>0</v>
      </c>
      <c r="DE92">
        <v>0</v>
      </c>
      <c r="DF92">
        <v>0</v>
      </c>
      <c r="DG92">
        <v>0</v>
      </c>
      <c r="DH92">
        <v>0</v>
      </c>
      <c r="DI92">
        <v>0</v>
      </c>
      <c r="DJ92" s="500">
        <v>9975000000</v>
      </c>
      <c r="DK92" s="500">
        <v>0</v>
      </c>
      <c r="DL92" s="37">
        <v>9975000000</v>
      </c>
      <c r="DM92" s="37">
        <v>9975000000</v>
      </c>
      <c r="DN92" s="37">
        <v>9975000000</v>
      </c>
      <c r="DO92" s="37">
        <v>9975000000</v>
      </c>
      <c r="DP92" s="32">
        <f>Tradingbook_SBV[[#This Row],[Mat. Date]]-RPT</f>
        <v>-3904</v>
      </c>
      <c r="DQ92" s="32">
        <f>IF(Tradingbook_SBV[[#This Row],[Days]]&lt;=0,0,YEARFRAC(RPT,Tradingbook_SBV[[#This Row],[Mat. Date]],3))</f>
        <v>0</v>
      </c>
      <c r="DR92" s="32">
        <f>IF(Tradingbook_SBV[[#This Row],[Days (year)]]=0,0,INDEX(Ref!$K$2:$K$13,MATCH(Tradingbook_SBV[[#This Row],[Days (year)]],Ref!$I$2:$I$13,1)))</f>
        <v>0</v>
      </c>
      <c r="DS92" s="32" t="str">
        <f>VLOOKUP(Tradingbook_SBV[[#This Row],[Security Name]],Ref!X:Z,3,0)</f>
        <v>TPCPBL</v>
      </c>
      <c r="DT92" s="32" t="str">
        <f>VLOOKUP(Tradingbook_SBV[[#This Row],[Security Name]],Ref!X:Y,2,0)</f>
        <v>VDB</v>
      </c>
      <c r="DU92" s="71">
        <f>IF((Tradingbook_SBV[[#This Row],[Mat. Date]]-RPT)&lt;=0,0,Tradingbook_SBV[[#This Row],[QUANTITY]])</f>
        <v>0</v>
      </c>
      <c r="DV92" s="71">
        <f>IF(Tradingbook_SBV[[#This Row],[Quantity_edited]]=0,0,Tradingbook_SBV[[#This Row],[DURATION]])</f>
        <v>0</v>
      </c>
      <c r="DW92" s="71">
        <f>IF(Tradingbook_SBV[[#This Row],[Quantity_edited]]=0,0,Tradingbook_SBV[[#This Row],[Mod Dur]])</f>
        <v>0</v>
      </c>
      <c r="DX92" s="71">
        <f>IF(Tradingbook_SBV[[#This Row],[Quantity_edited]]=0,0,Tradingbook_SBV[[#This Row],[Cnvx.]])</f>
        <v>0</v>
      </c>
      <c r="DY92" s="71">
        <f>(Tradingbook_SBV[[#This Row],[MARKET_VALUE]]+Tradingbook_SBV[[#This Row],[Accr Int]]*Tradingbook_SBV[[#This Row],[Quantity_edited]])*(-Tradingbook_SBV[[#This Row],[Modified Duration]]*0.0001+0.5*Tradingbook_SBV[[#This Row],[Conv]]*(0.0001^2))</f>
        <v>0</v>
      </c>
      <c r="DZ92" s="71">
        <f>(Tradingbook_SBV[[#This Row],[MARKET_VALUE]]+Tradingbook_SBV[[#This Row],[Accr Int]]*Tradingbook_SBV[[#This Row],[Quantity_edited]])*(-Tradingbook_SBV[[#This Row],[Modified Duration]]*0.01+0.5*Tradingbook_SBV[[#This Row],[Conv]]*(0.01^2))</f>
        <v>0</v>
      </c>
      <c r="EC92" t="s">
        <v>166</v>
      </c>
      <c r="ED92" t="s">
        <v>167</v>
      </c>
      <c r="EE92" t="s">
        <v>476</v>
      </c>
      <c r="EF92" t="s">
        <v>169</v>
      </c>
      <c r="EG92" s="35" t="s">
        <v>3736</v>
      </c>
      <c r="EH92" t="s">
        <v>3322</v>
      </c>
      <c r="EK92" s="500">
        <v>0</v>
      </c>
      <c r="EL92" s="500">
        <v>0</v>
      </c>
      <c r="EM92" s="500">
        <v>0</v>
      </c>
      <c r="EN92" s="500">
        <v>0</v>
      </c>
      <c r="EO92">
        <v>6.2</v>
      </c>
      <c r="EP92">
        <v>0</v>
      </c>
      <c r="EQ92">
        <v>0</v>
      </c>
      <c r="ER92">
        <v>0</v>
      </c>
      <c r="ES92">
        <v>-14594764.255556107</v>
      </c>
      <c r="ET92">
        <v>0</v>
      </c>
      <c r="EU92">
        <v>0</v>
      </c>
      <c r="EV92">
        <v>0</v>
      </c>
      <c r="EW92">
        <v>0</v>
      </c>
      <c r="EX92">
        <v>0</v>
      </c>
      <c r="EY92">
        <v>0</v>
      </c>
      <c r="EZ92">
        <v>0</v>
      </c>
      <c r="FA92">
        <v>10320000</v>
      </c>
      <c r="FB92">
        <v>0</v>
      </c>
      <c r="FC92">
        <v>10320000</v>
      </c>
      <c r="FD92">
        <v>10320000</v>
      </c>
      <c r="FE92">
        <v>10320000</v>
      </c>
      <c r="FF92">
        <v>10320000</v>
      </c>
      <c r="FG92" s="32">
        <f>Bankingbook_SBV[[#This Row],[Mat. Date]]-RPT</f>
        <v>-1885</v>
      </c>
      <c r="FH92" s="32">
        <f>IF(Bankingbook_SBV[[#This Row],[Days]]&lt;=0,0,YEARFRAC(RPT,Bankingbook_SBV[[#This Row],[Mat. Date]],3))</f>
        <v>0</v>
      </c>
      <c r="FI92" s="32">
        <f>IF(Bankingbook_SBV[[#This Row],[Days (year)]]=0,0,INDEX(Ref!$K$2:$K$13,MATCH(Bankingbook_SBV[[#This Row],[Days (year)]],Ref!$I$2:$I$13,1)))</f>
        <v>0</v>
      </c>
      <c r="FJ92" s="32" t="str">
        <f>VLOOKUP(Bankingbook_SBV[[#This Row],[Security Name]],Ref!X:Z,3,0)</f>
        <v>TPCPBL</v>
      </c>
      <c r="FK92" s="32" t="str">
        <f>VLOOKUP(Bankingbook_SBV[[#This Row],[Security Name]],Ref!X:Y,2,0)</f>
        <v>VDB</v>
      </c>
      <c r="FL92" s="72">
        <f>IF((Bankingbook_SBV[[#This Row],[Mat. Date]]-RPT)&lt;=0,0,Bankingbook_SBV[[#This Row],[QUANTITY]])</f>
        <v>0</v>
      </c>
      <c r="FM92" s="32">
        <f>IF(Bankingbook_SBV[[#This Row],[Quantity_edited]]=0,0,Bankingbook_SBV[[#This Row],[DURATION]])</f>
        <v>0</v>
      </c>
      <c r="FN92" s="32">
        <f>IF(Bankingbook_SBV[[#This Row],[Quantity_edited]]=0,0,Bankingbook_SBV[[#This Row],[Mod Dur]])</f>
        <v>0</v>
      </c>
      <c r="FO92" s="32">
        <f>IF(Bankingbook_SBV[[#This Row],[Quantity_edited]]=0,0,Bankingbook_SBV[[#This Row],[Cnvx.]])</f>
        <v>0</v>
      </c>
      <c r="FP92" s="32">
        <f>(Bankingbook_SBV[[#This Row],[MARKET_VALUE]]+Bankingbook_SBV[[#This Row],[Accr Int]]*Bankingbook_SBV[[#This Row],[Quantity_edited]])*(-Bankingbook_SBV[[#This Row],[Modified Duration]]*0.0001+0.5*Bankingbook_SBV[[#This Row],[Conv]]*(0.0001^2))</f>
        <v>0</v>
      </c>
      <c r="FQ92" s="32">
        <f>(Bankingbook_SBV[[#This Row],[MARKET_VALUE]]+Bankingbook_SBV[[#This Row],[Accr Int]]*Bankingbook_SBV[[#This Row],[Quantity_edited]])*(-Bankingbook_SBV[[#This Row],[Modified Duration]]*0.01+0.5*Bankingbook_SBV[[#This Row],[Conv]]*(0.01^2))</f>
        <v>0</v>
      </c>
    </row>
    <row r="93" spans="2:173" x14ac:dyDescent="0.3">
      <c r="B93" t="s">
        <v>166</v>
      </c>
      <c r="C93" t="s">
        <v>167</v>
      </c>
      <c r="D93" t="s">
        <v>268</v>
      </c>
      <c r="E93" t="s">
        <v>169</v>
      </c>
      <c r="F93" s="502">
        <v>42349</v>
      </c>
      <c r="G93" t="s">
        <v>3322</v>
      </c>
      <c r="H93"/>
      <c r="I93"/>
      <c r="J93" s="38">
        <v>0</v>
      </c>
      <c r="K93">
        <v>0</v>
      </c>
      <c r="L93">
        <v>0</v>
      </c>
      <c r="M93" s="38">
        <v>0</v>
      </c>
      <c r="N93">
        <v>10.5</v>
      </c>
      <c r="O93">
        <v>0</v>
      </c>
      <c r="P93" s="37">
        <v>0</v>
      </c>
      <c r="Q93" s="37">
        <v>0</v>
      </c>
      <c r="R93" s="37">
        <v>-2907590818.3333511</v>
      </c>
      <c r="S93">
        <v>10.5</v>
      </c>
      <c r="T93" s="70">
        <v>0</v>
      </c>
      <c r="U93">
        <v>0</v>
      </c>
      <c r="V93">
        <v>0</v>
      </c>
      <c r="W93">
        <v>0</v>
      </c>
      <c r="X93" s="38">
        <v>0</v>
      </c>
      <c r="Y93">
        <v>0</v>
      </c>
      <c r="Z93" s="70">
        <v>5569000000</v>
      </c>
      <c r="AA93" s="70">
        <v>0</v>
      </c>
      <c r="AB93" s="70">
        <v>5569000000</v>
      </c>
      <c r="AC93" s="70">
        <v>5569000000</v>
      </c>
      <c r="AD93" s="70">
        <v>5569000000</v>
      </c>
      <c r="AE93" s="70">
        <v>5569000000</v>
      </c>
      <c r="AF93">
        <v>0</v>
      </c>
      <c r="AG93" s="72">
        <f>Tradingbook_MSB[[#This Row],[Mat. Date]]-RPT</f>
        <v>-3903</v>
      </c>
      <c r="AH93" s="71">
        <f>IF(Tradingbook_MSB[[#This Row],[Days]]&lt;=0,0,YEARFRAC(RPT,Tradingbook_MSB[[#This Row],[Mat. Date]],3))</f>
        <v>0</v>
      </c>
      <c r="AI93" s="71">
        <f>IF(Tradingbook_MSB[[#This Row],[Days (year)]]=0,0,INDEX(Ref!$K$2:$K$13,MATCH(Tradingbook_MSB[[#This Row],[Days (year)]],Ref!$I$2:$I$13,1)))</f>
        <v>0</v>
      </c>
      <c r="AJ93" s="120" t="str">
        <f>VLOOKUP(Tradingbook_MSB[[#This Row],[Security Name]],Ref!X:Z,3,0)</f>
        <v>TPCPBL</v>
      </c>
      <c r="AK93" s="120" t="str">
        <f>VLOOKUP(Tradingbook_MSB[[#This Row],[Security Name]],Ref!X:Y,2,0)</f>
        <v>VDB</v>
      </c>
      <c r="AL93" s="71">
        <f>IF((Tradingbook_MSB[[#This Row],[Mat. Date]]-RPT)&lt;=0,0,Tradingbook_MSB[[#This Row],[QUANTITY]])</f>
        <v>0</v>
      </c>
      <c r="AM93" s="71">
        <f>IF(Tradingbook_MSB[[#This Row],[Quantity_edited]]=0,0,Tradingbook_MSB[[#This Row],[DURATION]])</f>
        <v>0</v>
      </c>
      <c r="AN93" s="71">
        <f>IF(Tradingbook_MSB[[#This Row],[Quantity_edited]]=0,0,Tradingbook_MSB[[#This Row],[Mod Dur]])</f>
        <v>0</v>
      </c>
      <c r="AO93" s="71">
        <f>IF(Tradingbook_MSB[[#This Row],[Quantity_edited]]=0,0,Tradingbook_MSB[[#This Row],[Cnvx.]])</f>
        <v>0</v>
      </c>
      <c r="AP93" s="71">
        <f>(Tradingbook_MSB[[#This Row],[MARKET_VALUE]]+Tradingbook_MSB[[#This Row],[Accr Int]]*Tradingbook_MSB[[#This Row],[Quantity_edited]])*(-Tradingbook_MSB[[#This Row],[Modified Duration]]*0.0001+0.5*Tradingbook_MSB[[#This Row],[Conv]]*(0.0001^2))</f>
        <v>0</v>
      </c>
      <c r="AQ93" s="72">
        <f>(Tradingbook_MSB[[#This Row],[MARKET_VALUE]]+Tradingbook_MSB[[#This Row],[Accr Int]]*Tradingbook_MSB[[#This Row],[Quantity_edited]])*(-Tradingbook_MSB[[#This Row],[Modified Duration]]*0.01+0.5*Tradingbook_MSB[[#This Row],[Conv]]*(0.01^2))</f>
        <v>0</v>
      </c>
      <c r="AR93" s="71"/>
      <c r="AT93" t="s">
        <v>166</v>
      </c>
      <c r="AU93" t="s">
        <v>167</v>
      </c>
      <c r="AV93" t="s">
        <v>525</v>
      </c>
      <c r="AW93" t="s">
        <v>169</v>
      </c>
      <c r="AX93" t="s">
        <v>526</v>
      </c>
      <c r="AY93" t="s">
        <v>170</v>
      </c>
      <c r="BB93">
        <v>3000000</v>
      </c>
      <c r="BC93">
        <v>300000000000</v>
      </c>
      <c r="BD93">
        <v>101470.333</v>
      </c>
      <c r="BE93" s="37">
        <v>0</v>
      </c>
      <c r="BF93">
        <v>5.3</v>
      </c>
      <c r="BG93">
        <v>0</v>
      </c>
      <c r="BH93">
        <v>18550000000</v>
      </c>
      <c r="BI93">
        <v>18615492541.666668</v>
      </c>
      <c r="BJ93">
        <v>-7814714364.4444618</v>
      </c>
      <c r="BK93">
        <v>5.3</v>
      </c>
      <c r="BL93">
        <v>0</v>
      </c>
      <c r="BM93">
        <v>0</v>
      </c>
      <c r="BN93">
        <v>0</v>
      </c>
      <c r="BO93">
        <v>0</v>
      </c>
      <c r="BP93">
        <v>0</v>
      </c>
      <c r="BQ93">
        <v>0</v>
      </c>
      <c r="BR93">
        <v>-4410999999.9999857</v>
      </c>
      <c r="BS93">
        <v>0</v>
      </c>
      <c r="BT93">
        <v>-4410999999.9999857</v>
      </c>
      <c r="BU93">
        <v>-4410999999.9999857</v>
      </c>
      <c r="BV93">
        <v>-4411000000</v>
      </c>
      <c r="BW93">
        <v>-4410999999.9999857</v>
      </c>
      <c r="BX93">
        <v>3.7999499999999999</v>
      </c>
      <c r="BY93" s="32">
        <f>Bankingbook_MSB[[#This Row],[Mat. Date]]-RPT</f>
        <v>-966</v>
      </c>
      <c r="BZ93" s="71">
        <f>IF(Bankingbook_MSB[[#This Row],[Days]]&lt;=0,0,YEARFRAC(RPT,Bankingbook_MSB[[#This Row],[Mat. Date]],3))</f>
        <v>0</v>
      </c>
      <c r="CA93" s="71">
        <f>IF(Bankingbook_MSB[[#This Row],[Days (year)]]=0,0,INDEX(Ref!$K$2:$K$13,MATCH(Bankingbook_MSB[[#This Row],[Days (year)]],Ref!$I$2:$I$13,1)))</f>
        <v>0</v>
      </c>
      <c r="CB93" s="32" t="str">
        <f>VLOOKUP(Bankingbook_MSB[[#This Row],[Security Name]],Ref!X:Z,3,0)</f>
        <v>TPCPBL</v>
      </c>
      <c r="CC93" s="32" t="str">
        <f>VLOOKUP(Bankingbook_MSB[[#This Row],[Security Name]],Ref!X:Y,2,0)</f>
        <v>VDB</v>
      </c>
      <c r="CD93" s="72">
        <f>IF((Bankingbook_MSB[[#This Row],[Mat. Date]]-RPT)&lt;=0,0,Bankingbook_MSB[[#This Row],[QUANTITY]])</f>
        <v>0</v>
      </c>
      <c r="CE93" s="71">
        <f>IF(Bankingbook_MSB[[#This Row],[Quantity_edited]]=0,0,Bankingbook_MSB[[#This Row],[DURATION]])</f>
        <v>0</v>
      </c>
      <c r="CF93" s="71">
        <f>IF(Bankingbook_MSB[[#This Row],[Quantity_edited]]=0,0,Bankingbook_MSB[[#This Row],[Mod Dur]])</f>
        <v>0</v>
      </c>
      <c r="CG93" s="71">
        <f>IF(Bankingbook_MSB[[#This Row],[Quantity_edited]]=0,0,Bankingbook_MSB[[#This Row],[Cnvx.]])</f>
        <v>0</v>
      </c>
      <c r="CH93" s="71">
        <f>(Bankingbook_MSB[[#This Row],[MARKET_VALUE]]+Bankingbook_MSB[[#This Row],[Accr Int]]*Bankingbook_MSB[[#This Row],[Quantity_edited]])*(-Bankingbook_MSB[[#This Row],[Modified Duration]]*0.0001+0.5*Bankingbook_MSB[[#This Row],[Conv]]*(0.0001^2))</f>
        <v>0</v>
      </c>
      <c r="CI93" s="71">
        <f>(Bankingbook_MSB[[#This Row],[MARKET_VALUE]]+Bankingbook_MSB[[#This Row],[Accr Int]]*Bankingbook_MSB[[#This Row],[Quantity_edited]])*(-Bankingbook_MSB[[#This Row],[Modified Duration]]*0.01+0.5*Bankingbook_MSB[[#This Row],[Conv]]*(0.01^2))</f>
        <v>0</v>
      </c>
      <c r="CJ93" s="32"/>
      <c r="CL93" t="s">
        <v>166</v>
      </c>
      <c r="CM93" t="s">
        <v>167</v>
      </c>
      <c r="CN93" t="s">
        <v>268</v>
      </c>
      <c r="CO93" t="s">
        <v>169</v>
      </c>
      <c r="CP93" s="35">
        <v>42349</v>
      </c>
      <c r="CQ93" t="s">
        <v>3322</v>
      </c>
      <c r="CR93" t="s">
        <v>174</v>
      </c>
      <c r="CS93" t="s">
        <v>174</v>
      </c>
      <c r="CT93" s="49">
        <v>0</v>
      </c>
      <c r="CU93">
        <v>0</v>
      </c>
      <c r="CV93">
        <v>0</v>
      </c>
      <c r="CW93" s="70">
        <v>0</v>
      </c>
      <c r="CX93">
        <v>10.5</v>
      </c>
      <c r="CY93">
        <v>0</v>
      </c>
      <c r="CZ93">
        <v>0</v>
      </c>
      <c r="DA93">
        <v>0</v>
      </c>
      <c r="DB93">
        <v>-2907590818.3333511</v>
      </c>
      <c r="DC93">
        <v>10.5</v>
      </c>
      <c r="DD93">
        <v>0</v>
      </c>
      <c r="DE93">
        <v>0</v>
      </c>
      <c r="DF93">
        <v>0</v>
      </c>
      <c r="DG93">
        <v>0</v>
      </c>
      <c r="DH93">
        <v>0</v>
      </c>
      <c r="DI93">
        <v>0</v>
      </c>
      <c r="DJ93" s="500">
        <v>5569000000</v>
      </c>
      <c r="DK93" s="500">
        <v>0</v>
      </c>
      <c r="DL93" s="37">
        <v>5569000000</v>
      </c>
      <c r="DM93" s="37">
        <v>5569000000</v>
      </c>
      <c r="DN93" s="37">
        <v>5569000000</v>
      </c>
      <c r="DO93" s="37">
        <v>5569000000</v>
      </c>
      <c r="DP93" s="32">
        <f>Tradingbook_SBV[[#This Row],[Mat. Date]]-RPT</f>
        <v>-3903</v>
      </c>
      <c r="DQ93" s="32">
        <f>IF(Tradingbook_SBV[[#This Row],[Days]]&lt;=0,0,YEARFRAC(RPT,Tradingbook_SBV[[#This Row],[Mat. Date]],3))</f>
        <v>0</v>
      </c>
      <c r="DR93" s="32">
        <f>IF(Tradingbook_SBV[[#This Row],[Days (year)]]=0,0,INDEX(Ref!$K$2:$K$13,MATCH(Tradingbook_SBV[[#This Row],[Days (year)]],Ref!$I$2:$I$13,1)))</f>
        <v>0</v>
      </c>
      <c r="DS93" s="32" t="str">
        <f>VLOOKUP(Tradingbook_SBV[[#This Row],[Security Name]],Ref!X:Z,3,0)</f>
        <v>TPCPBL</v>
      </c>
      <c r="DT93" s="32" t="str">
        <f>VLOOKUP(Tradingbook_SBV[[#This Row],[Security Name]],Ref!X:Y,2,0)</f>
        <v>VDB</v>
      </c>
      <c r="DU93" s="71">
        <f>IF((Tradingbook_SBV[[#This Row],[Mat. Date]]-RPT)&lt;=0,0,Tradingbook_SBV[[#This Row],[QUANTITY]])</f>
        <v>0</v>
      </c>
      <c r="DV93" s="71">
        <f>IF(Tradingbook_SBV[[#This Row],[Quantity_edited]]=0,0,Tradingbook_SBV[[#This Row],[DURATION]])</f>
        <v>0</v>
      </c>
      <c r="DW93" s="71">
        <f>IF(Tradingbook_SBV[[#This Row],[Quantity_edited]]=0,0,Tradingbook_SBV[[#This Row],[Mod Dur]])</f>
        <v>0</v>
      </c>
      <c r="DX93" s="71">
        <f>IF(Tradingbook_SBV[[#This Row],[Quantity_edited]]=0,0,Tradingbook_SBV[[#This Row],[Cnvx.]])</f>
        <v>0</v>
      </c>
      <c r="DY93" s="71">
        <f>(Tradingbook_SBV[[#This Row],[MARKET_VALUE]]+Tradingbook_SBV[[#This Row],[Accr Int]]*Tradingbook_SBV[[#This Row],[Quantity_edited]])*(-Tradingbook_SBV[[#This Row],[Modified Duration]]*0.0001+0.5*Tradingbook_SBV[[#This Row],[Conv]]*(0.0001^2))</f>
        <v>0</v>
      </c>
      <c r="DZ93" s="71">
        <f>(Tradingbook_SBV[[#This Row],[MARKET_VALUE]]+Tradingbook_SBV[[#This Row],[Accr Int]]*Tradingbook_SBV[[#This Row],[Quantity_edited]])*(-Tradingbook_SBV[[#This Row],[Modified Duration]]*0.01+0.5*Tradingbook_SBV[[#This Row],[Conv]]*(0.01^2))</f>
        <v>0</v>
      </c>
      <c r="EC93" t="s">
        <v>166</v>
      </c>
      <c r="ED93" t="s">
        <v>167</v>
      </c>
      <c r="EE93" t="s">
        <v>477</v>
      </c>
      <c r="EF93" t="s">
        <v>169</v>
      </c>
      <c r="EG93" s="35" t="s">
        <v>3737</v>
      </c>
      <c r="EH93" t="s">
        <v>3322</v>
      </c>
      <c r="EK93" s="500">
        <v>0</v>
      </c>
      <c r="EL93" s="500">
        <v>0</v>
      </c>
      <c r="EM93" s="500">
        <v>0</v>
      </c>
      <c r="EN93" s="500">
        <v>0</v>
      </c>
      <c r="EO93">
        <v>6.4</v>
      </c>
      <c r="EP93">
        <v>0</v>
      </c>
      <c r="EQ93">
        <v>15360000000</v>
      </c>
      <c r="ER93">
        <v>15634627022.222233</v>
      </c>
      <c r="ES93">
        <v>-8310354536.111146</v>
      </c>
      <c r="ET93">
        <v>0</v>
      </c>
      <c r="EU93">
        <v>0</v>
      </c>
      <c r="EV93">
        <v>0</v>
      </c>
      <c r="EW93">
        <v>0</v>
      </c>
      <c r="EX93">
        <v>0</v>
      </c>
      <c r="EY93">
        <v>0</v>
      </c>
      <c r="EZ93">
        <v>0</v>
      </c>
      <c r="FA93">
        <v>5206800000</v>
      </c>
      <c r="FB93">
        <v>0</v>
      </c>
      <c r="FC93">
        <v>5206800000</v>
      </c>
      <c r="FD93">
        <v>5206800000</v>
      </c>
      <c r="FE93">
        <v>5206800000</v>
      </c>
      <c r="FF93">
        <v>5206800000</v>
      </c>
      <c r="FG93" s="32">
        <f>Bankingbook_SBV[[#This Row],[Mat. Date]]-RPT</f>
        <v>-1883</v>
      </c>
      <c r="FH93" s="32">
        <f>IF(Bankingbook_SBV[[#This Row],[Days]]&lt;=0,0,YEARFRAC(RPT,Bankingbook_SBV[[#This Row],[Mat. Date]],3))</f>
        <v>0</v>
      </c>
      <c r="FI93" s="32">
        <f>IF(Bankingbook_SBV[[#This Row],[Days (year)]]=0,0,INDEX(Ref!$K$2:$K$13,MATCH(Bankingbook_SBV[[#This Row],[Days (year)]],Ref!$I$2:$I$13,1)))</f>
        <v>0</v>
      </c>
      <c r="FJ93" s="32" t="str">
        <f>VLOOKUP(Bankingbook_SBV[[#This Row],[Security Name]],Ref!X:Z,3,0)</f>
        <v>TPCPBL</v>
      </c>
      <c r="FK93" s="32" t="str">
        <f>VLOOKUP(Bankingbook_SBV[[#This Row],[Security Name]],Ref!X:Y,2,0)</f>
        <v>VBS</v>
      </c>
      <c r="FL93" s="72">
        <f>IF((Bankingbook_SBV[[#This Row],[Mat. Date]]-RPT)&lt;=0,0,Bankingbook_SBV[[#This Row],[QUANTITY]])</f>
        <v>0</v>
      </c>
      <c r="FM93" s="32">
        <f>IF(Bankingbook_SBV[[#This Row],[Quantity_edited]]=0,0,Bankingbook_SBV[[#This Row],[DURATION]])</f>
        <v>0</v>
      </c>
      <c r="FN93" s="32">
        <f>IF(Bankingbook_SBV[[#This Row],[Quantity_edited]]=0,0,Bankingbook_SBV[[#This Row],[Mod Dur]])</f>
        <v>0</v>
      </c>
      <c r="FO93" s="32">
        <f>IF(Bankingbook_SBV[[#This Row],[Quantity_edited]]=0,0,Bankingbook_SBV[[#This Row],[Cnvx.]])</f>
        <v>0</v>
      </c>
      <c r="FP93" s="32">
        <f>(Bankingbook_SBV[[#This Row],[MARKET_VALUE]]+Bankingbook_SBV[[#This Row],[Accr Int]]*Bankingbook_SBV[[#This Row],[Quantity_edited]])*(-Bankingbook_SBV[[#This Row],[Modified Duration]]*0.0001+0.5*Bankingbook_SBV[[#This Row],[Conv]]*(0.0001^2))</f>
        <v>0</v>
      </c>
      <c r="FQ93" s="32">
        <f>(Bankingbook_SBV[[#This Row],[MARKET_VALUE]]+Bankingbook_SBV[[#This Row],[Accr Int]]*Bankingbook_SBV[[#This Row],[Quantity_edited]])*(-Bankingbook_SBV[[#This Row],[Modified Duration]]*0.01+0.5*Bankingbook_SBV[[#This Row],[Conv]]*(0.01^2))</f>
        <v>0</v>
      </c>
    </row>
    <row r="94" spans="2:173" x14ac:dyDescent="0.3">
      <c r="B94" t="s">
        <v>166</v>
      </c>
      <c r="C94" t="s">
        <v>167</v>
      </c>
      <c r="D94" t="s">
        <v>269</v>
      </c>
      <c r="E94" t="s">
        <v>169</v>
      </c>
      <c r="F94" s="502">
        <v>42359</v>
      </c>
      <c r="G94" t="s">
        <v>3322</v>
      </c>
      <c r="H94"/>
      <c r="I94"/>
      <c r="J94" s="38">
        <v>0</v>
      </c>
      <c r="K94">
        <v>0</v>
      </c>
      <c r="L94">
        <v>0</v>
      </c>
      <c r="M94" s="38">
        <v>0</v>
      </c>
      <c r="N94">
        <v>10.5</v>
      </c>
      <c r="O94">
        <v>0</v>
      </c>
      <c r="P94" s="37">
        <v>0</v>
      </c>
      <c r="Q94" s="37">
        <v>0</v>
      </c>
      <c r="R94" s="37">
        <v>-276079452.91666031</v>
      </c>
      <c r="S94">
        <v>10.5</v>
      </c>
      <c r="T94" s="70">
        <v>0</v>
      </c>
      <c r="U94">
        <v>0</v>
      </c>
      <c r="V94">
        <v>0</v>
      </c>
      <c r="W94">
        <v>0</v>
      </c>
      <c r="X94" s="38">
        <v>0</v>
      </c>
      <c r="Y94">
        <v>0</v>
      </c>
      <c r="Z94" s="70">
        <v>7796000000</v>
      </c>
      <c r="AA94" s="70">
        <v>0</v>
      </c>
      <c r="AB94" s="70">
        <v>7796000000</v>
      </c>
      <c r="AC94" s="70">
        <v>7796000000</v>
      </c>
      <c r="AD94" s="70">
        <v>7796000000</v>
      </c>
      <c r="AE94" s="70">
        <v>7796000000</v>
      </c>
      <c r="AF94">
        <v>0</v>
      </c>
      <c r="AG94" s="72">
        <f>Tradingbook_MSB[[#This Row],[Mat. Date]]-RPT</f>
        <v>-3893</v>
      </c>
      <c r="AH94" s="71">
        <f>IF(Tradingbook_MSB[[#This Row],[Days]]&lt;=0,0,YEARFRAC(RPT,Tradingbook_MSB[[#This Row],[Mat. Date]],3))</f>
        <v>0</v>
      </c>
      <c r="AI94" s="71">
        <f>IF(Tradingbook_MSB[[#This Row],[Days (year)]]=0,0,INDEX(Ref!$K$2:$K$13,MATCH(Tradingbook_MSB[[#This Row],[Days (year)]],Ref!$I$2:$I$13,1)))</f>
        <v>0</v>
      </c>
      <c r="AJ94" s="120" t="str">
        <f>VLOOKUP(Tradingbook_MSB[[#This Row],[Security Name]],Ref!X:Z,3,0)</f>
        <v>TPCPBL</v>
      </c>
      <c r="AK94" s="120" t="str">
        <f>VLOOKUP(Tradingbook_MSB[[#This Row],[Security Name]],Ref!X:Y,2,0)</f>
        <v>VDB</v>
      </c>
      <c r="AL94" s="71">
        <f>IF((Tradingbook_MSB[[#This Row],[Mat. Date]]-RPT)&lt;=0,0,Tradingbook_MSB[[#This Row],[QUANTITY]])</f>
        <v>0</v>
      </c>
      <c r="AM94" s="71">
        <f>IF(Tradingbook_MSB[[#This Row],[Quantity_edited]]=0,0,Tradingbook_MSB[[#This Row],[DURATION]])</f>
        <v>0</v>
      </c>
      <c r="AN94" s="71">
        <f>IF(Tradingbook_MSB[[#This Row],[Quantity_edited]]=0,0,Tradingbook_MSB[[#This Row],[Mod Dur]])</f>
        <v>0</v>
      </c>
      <c r="AO94" s="71">
        <f>IF(Tradingbook_MSB[[#This Row],[Quantity_edited]]=0,0,Tradingbook_MSB[[#This Row],[Cnvx.]])</f>
        <v>0</v>
      </c>
      <c r="AP94" s="71">
        <f>(Tradingbook_MSB[[#This Row],[MARKET_VALUE]]+Tradingbook_MSB[[#This Row],[Accr Int]]*Tradingbook_MSB[[#This Row],[Quantity_edited]])*(-Tradingbook_MSB[[#This Row],[Modified Duration]]*0.0001+0.5*Tradingbook_MSB[[#This Row],[Conv]]*(0.0001^2))</f>
        <v>0</v>
      </c>
      <c r="AQ94" s="72">
        <f>(Tradingbook_MSB[[#This Row],[MARKET_VALUE]]+Tradingbook_MSB[[#This Row],[Accr Int]]*Tradingbook_MSB[[#This Row],[Quantity_edited]])*(-Tradingbook_MSB[[#This Row],[Modified Duration]]*0.01+0.5*Tradingbook_MSB[[#This Row],[Conv]]*(0.01^2))</f>
        <v>0</v>
      </c>
      <c r="AR94" s="71"/>
      <c r="AT94" t="s">
        <v>166</v>
      </c>
      <c r="AU94" t="s">
        <v>167</v>
      </c>
      <c r="AV94" t="s">
        <v>527</v>
      </c>
      <c r="AW94" t="s">
        <v>169</v>
      </c>
      <c r="AX94" t="s">
        <v>3397</v>
      </c>
      <c r="AY94" t="s">
        <v>170</v>
      </c>
      <c r="BB94">
        <v>300000</v>
      </c>
      <c r="BC94">
        <v>30000000000</v>
      </c>
      <c r="BD94">
        <v>99685.379000000001</v>
      </c>
      <c r="BE94" s="37">
        <v>0</v>
      </c>
      <c r="BF94">
        <v>5.5</v>
      </c>
      <c r="BG94">
        <v>0</v>
      </c>
      <c r="BH94">
        <v>61050000000</v>
      </c>
      <c r="BI94">
        <v>67601922743.055534</v>
      </c>
      <c r="BJ94">
        <v>-22263282867.61124</v>
      </c>
      <c r="BK94">
        <v>5.5</v>
      </c>
      <c r="BL94">
        <v>0</v>
      </c>
      <c r="BM94">
        <v>0</v>
      </c>
      <c r="BN94">
        <v>0</v>
      </c>
      <c r="BO94">
        <v>0</v>
      </c>
      <c r="BP94">
        <v>0</v>
      </c>
      <c r="BQ94">
        <v>0</v>
      </c>
      <c r="BR94">
        <v>36726799999.999977</v>
      </c>
      <c r="BS94">
        <v>0</v>
      </c>
      <c r="BT94">
        <v>36726799999.999977</v>
      </c>
      <c r="BU94">
        <v>36726799999.999977</v>
      </c>
      <c r="BV94">
        <v>36726800000</v>
      </c>
      <c r="BW94">
        <v>36726799999.999977</v>
      </c>
      <c r="BX94">
        <v>5.5570689660000001</v>
      </c>
      <c r="BY94" s="32">
        <f>Bankingbook_MSB[[#This Row],[Mat. Date]]-RPT</f>
        <v>-949</v>
      </c>
      <c r="BZ94" s="71">
        <f>IF(Bankingbook_MSB[[#This Row],[Days]]&lt;=0,0,YEARFRAC(RPT,Bankingbook_MSB[[#This Row],[Mat. Date]],3))</f>
        <v>0</v>
      </c>
      <c r="CA94" s="71">
        <f>IF(Bankingbook_MSB[[#This Row],[Days (year)]]=0,0,INDEX(Ref!$K$2:$K$13,MATCH(Bankingbook_MSB[[#This Row],[Days (year)]],Ref!$I$2:$I$13,1)))</f>
        <v>0</v>
      </c>
      <c r="CB94" s="32" t="str">
        <f>VLOOKUP(Bankingbook_MSB[[#This Row],[Security Name]],Ref!X:Z,3,0)</f>
        <v>TPCP</v>
      </c>
      <c r="CC94" s="32" t="str">
        <f>VLOOKUP(Bankingbook_MSB[[#This Row],[Security Name]],Ref!X:Y,2,0)</f>
        <v>KBNN</v>
      </c>
      <c r="CD94" s="72">
        <f>IF((Bankingbook_MSB[[#This Row],[Mat. Date]]-RPT)&lt;=0,0,Bankingbook_MSB[[#This Row],[QUANTITY]])</f>
        <v>0</v>
      </c>
      <c r="CE94" s="71">
        <f>IF(Bankingbook_MSB[[#This Row],[Quantity_edited]]=0,0,Bankingbook_MSB[[#This Row],[DURATION]])</f>
        <v>0</v>
      </c>
      <c r="CF94" s="71">
        <f>IF(Bankingbook_MSB[[#This Row],[Quantity_edited]]=0,0,Bankingbook_MSB[[#This Row],[Mod Dur]])</f>
        <v>0</v>
      </c>
      <c r="CG94" s="71">
        <f>IF(Bankingbook_MSB[[#This Row],[Quantity_edited]]=0,0,Bankingbook_MSB[[#This Row],[Cnvx.]])</f>
        <v>0</v>
      </c>
      <c r="CH94" s="71">
        <f>(Bankingbook_MSB[[#This Row],[MARKET_VALUE]]+Bankingbook_MSB[[#This Row],[Accr Int]]*Bankingbook_MSB[[#This Row],[Quantity_edited]])*(-Bankingbook_MSB[[#This Row],[Modified Duration]]*0.0001+0.5*Bankingbook_MSB[[#This Row],[Conv]]*(0.0001^2))</f>
        <v>0</v>
      </c>
      <c r="CI94" s="71">
        <f>(Bankingbook_MSB[[#This Row],[MARKET_VALUE]]+Bankingbook_MSB[[#This Row],[Accr Int]]*Bankingbook_MSB[[#This Row],[Quantity_edited]])*(-Bankingbook_MSB[[#This Row],[Modified Duration]]*0.01+0.5*Bankingbook_MSB[[#This Row],[Conv]]*(0.01^2))</f>
        <v>0</v>
      </c>
      <c r="CJ94" s="32"/>
      <c r="CL94" t="s">
        <v>166</v>
      </c>
      <c r="CM94" t="s">
        <v>167</v>
      </c>
      <c r="CN94" t="s">
        <v>269</v>
      </c>
      <c r="CO94" t="s">
        <v>169</v>
      </c>
      <c r="CP94" s="35">
        <v>42359</v>
      </c>
      <c r="CQ94" t="s">
        <v>3322</v>
      </c>
      <c r="CR94" t="s">
        <v>174</v>
      </c>
      <c r="CS94" t="s">
        <v>174</v>
      </c>
      <c r="CT94" s="49">
        <v>0</v>
      </c>
      <c r="CU94">
        <v>0</v>
      </c>
      <c r="CV94">
        <v>0</v>
      </c>
      <c r="CW94" s="70">
        <v>0</v>
      </c>
      <c r="CX94">
        <v>10.5</v>
      </c>
      <c r="CY94">
        <v>0</v>
      </c>
      <c r="CZ94">
        <v>0</v>
      </c>
      <c r="DA94">
        <v>0</v>
      </c>
      <c r="DB94">
        <v>-276079452.91666031</v>
      </c>
      <c r="DC94">
        <v>10.5</v>
      </c>
      <c r="DD94">
        <v>0</v>
      </c>
      <c r="DE94">
        <v>0</v>
      </c>
      <c r="DF94">
        <v>0</v>
      </c>
      <c r="DG94">
        <v>0</v>
      </c>
      <c r="DH94">
        <v>0</v>
      </c>
      <c r="DI94">
        <v>0</v>
      </c>
      <c r="DJ94" s="500">
        <v>7796000000</v>
      </c>
      <c r="DK94" s="500">
        <v>0</v>
      </c>
      <c r="DL94" s="37">
        <v>7796000000</v>
      </c>
      <c r="DM94" s="37">
        <v>7796000000</v>
      </c>
      <c r="DN94" s="37">
        <v>7796000000</v>
      </c>
      <c r="DO94" s="37">
        <v>7796000000</v>
      </c>
      <c r="DP94" s="32">
        <f>Tradingbook_SBV[[#This Row],[Mat. Date]]-RPT</f>
        <v>-3893</v>
      </c>
      <c r="DQ94" s="32">
        <f>IF(Tradingbook_SBV[[#This Row],[Days]]&lt;=0,0,YEARFRAC(RPT,Tradingbook_SBV[[#This Row],[Mat. Date]],3))</f>
        <v>0</v>
      </c>
      <c r="DR94" s="32">
        <f>IF(Tradingbook_SBV[[#This Row],[Days (year)]]=0,0,INDEX(Ref!$K$2:$K$13,MATCH(Tradingbook_SBV[[#This Row],[Days (year)]],Ref!$I$2:$I$13,1)))</f>
        <v>0</v>
      </c>
      <c r="DS94" s="32" t="str">
        <f>VLOOKUP(Tradingbook_SBV[[#This Row],[Security Name]],Ref!X:Z,3,0)</f>
        <v>TPCPBL</v>
      </c>
      <c r="DT94" s="32" t="str">
        <f>VLOOKUP(Tradingbook_SBV[[#This Row],[Security Name]],Ref!X:Y,2,0)</f>
        <v>VDB</v>
      </c>
      <c r="DU94" s="71">
        <f>IF((Tradingbook_SBV[[#This Row],[Mat. Date]]-RPT)&lt;=0,0,Tradingbook_SBV[[#This Row],[QUANTITY]])</f>
        <v>0</v>
      </c>
      <c r="DV94" s="71">
        <f>IF(Tradingbook_SBV[[#This Row],[Quantity_edited]]=0,0,Tradingbook_SBV[[#This Row],[DURATION]])</f>
        <v>0</v>
      </c>
      <c r="DW94" s="71">
        <f>IF(Tradingbook_SBV[[#This Row],[Quantity_edited]]=0,0,Tradingbook_SBV[[#This Row],[Mod Dur]])</f>
        <v>0</v>
      </c>
      <c r="DX94" s="71">
        <f>IF(Tradingbook_SBV[[#This Row],[Quantity_edited]]=0,0,Tradingbook_SBV[[#This Row],[Cnvx.]])</f>
        <v>0</v>
      </c>
      <c r="DY94" s="71">
        <f>(Tradingbook_SBV[[#This Row],[MARKET_VALUE]]+Tradingbook_SBV[[#This Row],[Accr Int]]*Tradingbook_SBV[[#This Row],[Quantity_edited]])*(-Tradingbook_SBV[[#This Row],[Modified Duration]]*0.0001+0.5*Tradingbook_SBV[[#This Row],[Conv]]*(0.0001^2))</f>
        <v>0</v>
      </c>
      <c r="DZ94" s="71">
        <f>(Tradingbook_SBV[[#This Row],[MARKET_VALUE]]+Tradingbook_SBV[[#This Row],[Accr Int]]*Tradingbook_SBV[[#This Row],[Quantity_edited]])*(-Tradingbook_SBV[[#This Row],[Modified Duration]]*0.01+0.5*Tradingbook_SBV[[#This Row],[Conv]]*(0.01^2))</f>
        <v>0</v>
      </c>
      <c r="EC94" t="s">
        <v>166</v>
      </c>
      <c r="ED94" t="s">
        <v>167</v>
      </c>
      <c r="EE94" t="s">
        <v>480</v>
      </c>
      <c r="EF94" t="s">
        <v>169</v>
      </c>
      <c r="EG94" s="35" t="s">
        <v>3738</v>
      </c>
      <c r="EH94" t="s">
        <v>3322</v>
      </c>
      <c r="EK94" s="500">
        <v>0</v>
      </c>
      <c r="EL94" s="500">
        <v>0</v>
      </c>
      <c r="EM94" s="500">
        <v>0</v>
      </c>
      <c r="EN94" s="500">
        <v>0</v>
      </c>
      <c r="EO94">
        <v>6.3</v>
      </c>
      <c r="EP94">
        <v>0</v>
      </c>
      <c r="EQ94">
        <v>6300000000</v>
      </c>
      <c r="ER94">
        <v>6468031500</v>
      </c>
      <c r="ES94">
        <v>-195896753.88888788</v>
      </c>
      <c r="ET94">
        <v>0</v>
      </c>
      <c r="EU94">
        <v>0</v>
      </c>
      <c r="EV94">
        <v>0</v>
      </c>
      <c r="EW94">
        <v>0</v>
      </c>
      <c r="EX94">
        <v>0</v>
      </c>
      <c r="EY94">
        <v>0</v>
      </c>
      <c r="EZ94">
        <v>0</v>
      </c>
      <c r="FA94">
        <v>45000000</v>
      </c>
      <c r="FB94">
        <v>0</v>
      </c>
      <c r="FC94">
        <v>45000000</v>
      </c>
      <c r="FD94">
        <v>45000000</v>
      </c>
      <c r="FE94">
        <v>45000000</v>
      </c>
      <c r="FF94">
        <v>45000000</v>
      </c>
      <c r="FG94" s="32">
        <f>Bankingbook_SBV[[#This Row],[Mat. Date]]-RPT</f>
        <v>-1871</v>
      </c>
      <c r="FH94" s="32">
        <f>IF(Bankingbook_SBV[[#This Row],[Days]]&lt;=0,0,YEARFRAC(RPT,Bankingbook_SBV[[#This Row],[Mat. Date]],3))</f>
        <v>0</v>
      </c>
      <c r="FI94" s="32">
        <f>IF(Bankingbook_SBV[[#This Row],[Days (year)]]=0,0,INDEX(Ref!$K$2:$K$13,MATCH(Bankingbook_SBV[[#This Row],[Days (year)]],Ref!$I$2:$I$13,1)))</f>
        <v>0</v>
      </c>
      <c r="FJ94" s="32" t="str">
        <f>VLOOKUP(Bankingbook_SBV[[#This Row],[Security Name]],Ref!X:Z,3,0)</f>
        <v>TPCPBL</v>
      </c>
      <c r="FK94" s="32" t="str">
        <f>VLOOKUP(Bankingbook_SBV[[#This Row],[Security Name]],Ref!X:Y,2,0)</f>
        <v>VDB</v>
      </c>
      <c r="FL94" s="72">
        <f>IF((Bankingbook_SBV[[#This Row],[Mat. Date]]-RPT)&lt;=0,0,Bankingbook_SBV[[#This Row],[QUANTITY]])</f>
        <v>0</v>
      </c>
      <c r="FM94" s="32">
        <f>IF(Bankingbook_SBV[[#This Row],[Quantity_edited]]=0,0,Bankingbook_SBV[[#This Row],[DURATION]])</f>
        <v>0</v>
      </c>
      <c r="FN94" s="32">
        <f>IF(Bankingbook_SBV[[#This Row],[Quantity_edited]]=0,0,Bankingbook_SBV[[#This Row],[Mod Dur]])</f>
        <v>0</v>
      </c>
      <c r="FO94" s="32">
        <f>IF(Bankingbook_SBV[[#This Row],[Quantity_edited]]=0,0,Bankingbook_SBV[[#This Row],[Cnvx.]])</f>
        <v>0</v>
      </c>
      <c r="FP94" s="32">
        <f>(Bankingbook_SBV[[#This Row],[MARKET_VALUE]]+Bankingbook_SBV[[#This Row],[Accr Int]]*Bankingbook_SBV[[#This Row],[Quantity_edited]])*(-Bankingbook_SBV[[#This Row],[Modified Duration]]*0.0001+0.5*Bankingbook_SBV[[#This Row],[Conv]]*(0.0001^2))</f>
        <v>0</v>
      </c>
      <c r="FQ94" s="32">
        <f>(Bankingbook_SBV[[#This Row],[MARKET_VALUE]]+Bankingbook_SBV[[#This Row],[Accr Int]]*Bankingbook_SBV[[#This Row],[Quantity_edited]])*(-Bankingbook_SBV[[#This Row],[Modified Duration]]*0.01+0.5*Bankingbook_SBV[[#This Row],[Conv]]*(0.01^2))</f>
        <v>0</v>
      </c>
    </row>
    <row r="95" spans="2:173" x14ac:dyDescent="0.3">
      <c r="B95" t="s">
        <v>166</v>
      </c>
      <c r="C95" t="s">
        <v>167</v>
      </c>
      <c r="D95" t="s">
        <v>270</v>
      </c>
      <c r="E95" t="s">
        <v>169</v>
      </c>
      <c r="F95" s="502">
        <v>42369</v>
      </c>
      <c r="G95" t="s">
        <v>271</v>
      </c>
      <c r="H95"/>
      <c r="I95"/>
      <c r="J95" s="38">
        <v>-500000</v>
      </c>
      <c r="K95">
        <v>-50000000000</v>
      </c>
      <c r="L95">
        <v>104928.2</v>
      </c>
      <c r="M95" s="38">
        <v>0</v>
      </c>
      <c r="N95">
        <v>9.1</v>
      </c>
      <c r="O95">
        <v>0</v>
      </c>
      <c r="P95" s="37">
        <v>-13650000000</v>
      </c>
      <c r="Q95" s="37">
        <v>-14114743319.444445</v>
      </c>
      <c r="R95" s="37">
        <v>3952860285.5555649</v>
      </c>
      <c r="S95">
        <v>9.1</v>
      </c>
      <c r="T95" s="70">
        <v>0</v>
      </c>
      <c r="U95">
        <v>0</v>
      </c>
      <c r="V95">
        <v>0</v>
      </c>
      <c r="W95">
        <v>0</v>
      </c>
      <c r="X95" s="38">
        <v>0</v>
      </c>
      <c r="Y95">
        <v>0</v>
      </c>
      <c r="Z95" s="70">
        <v>1798999999.9999928</v>
      </c>
      <c r="AA95" s="70">
        <v>0</v>
      </c>
      <c r="AB95" s="70">
        <v>1798999999.9999928</v>
      </c>
      <c r="AC95" s="70">
        <v>1798999999.9999928</v>
      </c>
      <c r="AD95" s="70">
        <v>1799000000</v>
      </c>
      <c r="AE95" s="70">
        <v>1798999999.9999928</v>
      </c>
      <c r="AF95">
        <v>5.1171600000000002</v>
      </c>
      <c r="AG95" s="72">
        <f>Tradingbook_MSB[[#This Row],[Mat. Date]]-RPT</f>
        <v>-3883</v>
      </c>
      <c r="AH95" s="71">
        <f>IF(Tradingbook_MSB[[#This Row],[Days]]&lt;=0,0,YEARFRAC(RPT,Tradingbook_MSB[[#This Row],[Mat. Date]],3))</f>
        <v>0</v>
      </c>
      <c r="AI95" s="71">
        <f>IF(Tradingbook_MSB[[#This Row],[Days (year)]]=0,0,INDEX(Ref!$K$2:$K$13,MATCH(Tradingbook_MSB[[#This Row],[Days (year)]],Ref!$I$2:$I$13,1)))</f>
        <v>0</v>
      </c>
      <c r="AJ95" s="120" t="str">
        <f>VLOOKUP(Tradingbook_MSB[[#This Row],[Security Name]],Ref!X:Z,3,0)</f>
        <v>TPCP</v>
      </c>
      <c r="AK95" s="120" t="str">
        <f>VLOOKUP(Tradingbook_MSB[[#This Row],[Security Name]],Ref!X:Y,2,0)</f>
        <v>KBNN</v>
      </c>
      <c r="AL95" s="71">
        <f>IF((Tradingbook_MSB[[#This Row],[Mat. Date]]-RPT)&lt;=0,0,Tradingbook_MSB[[#This Row],[QUANTITY]])</f>
        <v>0</v>
      </c>
      <c r="AM95" s="71">
        <f>IF(Tradingbook_MSB[[#This Row],[Quantity_edited]]=0,0,Tradingbook_MSB[[#This Row],[DURATION]])</f>
        <v>0</v>
      </c>
      <c r="AN95" s="71">
        <f>IF(Tradingbook_MSB[[#This Row],[Quantity_edited]]=0,0,Tradingbook_MSB[[#This Row],[Mod Dur]])</f>
        <v>0</v>
      </c>
      <c r="AO95" s="71">
        <f>IF(Tradingbook_MSB[[#This Row],[Quantity_edited]]=0,0,Tradingbook_MSB[[#This Row],[Cnvx.]])</f>
        <v>0</v>
      </c>
      <c r="AP95" s="71">
        <f>(Tradingbook_MSB[[#This Row],[MARKET_VALUE]]+Tradingbook_MSB[[#This Row],[Accr Int]]*Tradingbook_MSB[[#This Row],[Quantity_edited]])*(-Tradingbook_MSB[[#This Row],[Modified Duration]]*0.0001+0.5*Tradingbook_MSB[[#This Row],[Conv]]*(0.0001^2))</f>
        <v>0</v>
      </c>
      <c r="AQ95" s="72">
        <f>(Tradingbook_MSB[[#This Row],[MARKET_VALUE]]+Tradingbook_MSB[[#This Row],[Accr Int]]*Tradingbook_MSB[[#This Row],[Quantity_edited]])*(-Tradingbook_MSB[[#This Row],[Modified Duration]]*0.01+0.5*Tradingbook_MSB[[#This Row],[Conv]]*(0.01^2))</f>
        <v>0</v>
      </c>
      <c r="AR95" s="71"/>
      <c r="AT95" t="s">
        <v>166</v>
      </c>
      <c r="AU95" t="s">
        <v>167</v>
      </c>
      <c r="AV95" t="s">
        <v>529</v>
      </c>
      <c r="AW95" t="s">
        <v>169</v>
      </c>
      <c r="AX95" t="s">
        <v>3398</v>
      </c>
      <c r="AY95" t="s">
        <v>170</v>
      </c>
      <c r="BB95">
        <v>34446</v>
      </c>
      <c r="BC95">
        <v>3444600000</v>
      </c>
      <c r="BD95">
        <v>104894.083</v>
      </c>
      <c r="BE95" s="37">
        <v>0</v>
      </c>
      <c r="BF95">
        <v>8.8000000000000007</v>
      </c>
      <c r="BG95">
        <v>0</v>
      </c>
      <c r="BH95">
        <v>307863248000</v>
      </c>
      <c r="BI95">
        <v>362644917112.09491</v>
      </c>
      <c r="BJ95">
        <v>-99033427823.074203</v>
      </c>
      <c r="BK95">
        <v>8.8000000000000007</v>
      </c>
      <c r="BL95">
        <v>0</v>
      </c>
      <c r="BM95">
        <v>0</v>
      </c>
      <c r="BN95">
        <v>0</v>
      </c>
      <c r="BO95">
        <v>0</v>
      </c>
      <c r="BP95">
        <v>0</v>
      </c>
      <c r="BQ95">
        <v>0</v>
      </c>
      <c r="BR95">
        <v>170718971306.00027</v>
      </c>
      <c r="BS95">
        <v>0</v>
      </c>
      <c r="BT95">
        <v>170718971306.00027</v>
      </c>
      <c r="BU95">
        <v>170718971306.00027</v>
      </c>
      <c r="BV95">
        <v>170718971306</v>
      </c>
      <c r="BW95">
        <v>170718971306.00027</v>
      </c>
      <c r="BX95">
        <v>8.0224155560000003</v>
      </c>
      <c r="BY95" s="32">
        <f>Bankingbook_MSB[[#This Row],[Mat. Date]]-RPT</f>
        <v>-902</v>
      </c>
      <c r="BZ95" s="71">
        <f>IF(Bankingbook_MSB[[#This Row],[Days]]&lt;=0,0,YEARFRAC(RPT,Bankingbook_MSB[[#This Row],[Mat. Date]],3))</f>
        <v>0</v>
      </c>
      <c r="CA95" s="71">
        <f>IF(Bankingbook_MSB[[#This Row],[Days (year)]]=0,0,INDEX(Ref!$K$2:$K$13,MATCH(Bankingbook_MSB[[#This Row],[Days (year)]],Ref!$I$2:$I$13,1)))</f>
        <v>0</v>
      </c>
      <c r="CB95" s="32" t="str">
        <f>VLOOKUP(Bankingbook_MSB[[#This Row],[Security Name]],Ref!X:Z,3,0)</f>
        <v>TPCP</v>
      </c>
      <c r="CC95" s="32" t="str">
        <f>VLOOKUP(Bankingbook_MSB[[#This Row],[Security Name]],Ref!X:Y,2,0)</f>
        <v>KBNN</v>
      </c>
      <c r="CD95" s="72">
        <f>IF((Bankingbook_MSB[[#This Row],[Mat. Date]]-RPT)&lt;=0,0,Bankingbook_MSB[[#This Row],[QUANTITY]])</f>
        <v>0</v>
      </c>
      <c r="CE95" s="71">
        <f>IF(Bankingbook_MSB[[#This Row],[Quantity_edited]]=0,0,Bankingbook_MSB[[#This Row],[DURATION]])</f>
        <v>0</v>
      </c>
      <c r="CF95" s="71">
        <f>IF(Bankingbook_MSB[[#This Row],[Quantity_edited]]=0,0,Bankingbook_MSB[[#This Row],[Mod Dur]])</f>
        <v>0</v>
      </c>
      <c r="CG95" s="71">
        <f>IF(Bankingbook_MSB[[#This Row],[Quantity_edited]]=0,0,Bankingbook_MSB[[#This Row],[Cnvx.]])</f>
        <v>0</v>
      </c>
      <c r="CH95" s="71">
        <f>(Bankingbook_MSB[[#This Row],[MARKET_VALUE]]+Bankingbook_MSB[[#This Row],[Accr Int]]*Bankingbook_MSB[[#This Row],[Quantity_edited]])*(-Bankingbook_MSB[[#This Row],[Modified Duration]]*0.0001+0.5*Bankingbook_MSB[[#This Row],[Conv]]*(0.0001^2))</f>
        <v>0</v>
      </c>
      <c r="CI95" s="71">
        <f>(Bankingbook_MSB[[#This Row],[MARKET_VALUE]]+Bankingbook_MSB[[#This Row],[Accr Int]]*Bankingbook_MSB[[#This Row],[Quantity_edited]])*(-Bankingbook_MSB[[#This Row],[Modified Duration]]*0.01+0.5*Bankingbook_MSB[[#This Row],[Conv]]*(0.01^2))</f>
        <v>0</v>
      </c>
      <c r="CJ95" s="32"/>
      <c r="CL95" t="s">
        <v>166</v>
      </c>
      <c r="CM95" t="s">
        <v>167</v>
      </c>
      <c r="CN95" t="s">
        <v>270</v>
      </c>
      <c r="CO95" t="s">
        <v>169</v>
      </c>
      <c r="CP95" s="35">
        <v>42369</v>
      </c>
      <c r="CQ95" t="s">
        <v>271</v>
      </c>
      <c r="CR95" t="s">
        <v>174</v>
      </c>
      <c r="CS95" t="s">
        <v>174</v>
      </c>
      <c r="CT95" s="49">
        <v>-500000</v>
      </c>
      <c r="CU95">
        <v>-50000000000</v>
      </c>
      <c r="CV95">
        <v>104928.2</v>
      </c>
      <c r="CW95" s="70">
        <v>0</v>
      </c>
      <c r="CX95">
        <v>9.1</v>
      </c>
      <c r="CY95">
        <v>0</v>
      </c>
      <c r="CZ95">
        <v>-13650000000</v>
      </c>
      <c r="DA95">
        <v>-14114743319.444445</v>
      </c>
      <c r="DB95">
        <v>3952860285.5555649</v>
      </c>
      <c r="DC95">
        <v>9.1</v>
      </c>
      <c r="DD95">
        <v>0</v>
      </c>
      <c r="DE95">
        <v>0</v>
      </c>
      <c r="DF95">
        <v>0</v>
      </c>
      <c r="DG95">
        <v>0</v>
      </c>
      <c r="DH95">
        <v>0</v>
      </c>
      <c r="DI95">
        <v>0</v>
      </c>
      <c r="DJ95" s="500">
        <v>1798999999.9999928</v>
      </c>
      <c r="DK95" s="500">
        <v>0</v>
      </c>
      <c r="DL95" s="37">
        <v>1798999999.9999928</v>
      </c>
      <c r="DM95" s="37">
        <v>1798999999.9999928</v>
      </c>
      <c r="DN95" s="37">
        <v>1799000000</v>
      </c>
      <c r="DO95" s="37">
        <v>1798999999.9999928</v>
      </c>
      <c r="DP95" s="32">
        <f>Tradingbook_SBV[[#This Row],[Mat. Date]]-RPT</f>
        <v>-3883</v>
      </c>
      <c r="DQ95" s="32">
        <f>IF(Tradingbook_SBV[[#This Row],[Days]]&lt;=0,0,YEARFRAC(RPT,Tradingbook_SBV[[#This Row],[Mat. Date]],3))</f>
        <v>0</v>
      </c>
      <c r="DR95" s="32">
        <f>IF(Tradingbook_SBV[[#This Row],[Days (year)]]=0,0,INDEX(Ref!$K$2:$K$13,MATCH(Tradingbook_SBV[[#This Row],[Days (year)]],Ref!$I$2:$I$13,1)))</f>
        <v>0</v>
      </c>
      <c r="DS95" s="32" t="str">
        <f>VLOOKUP(Tradingbook_SBV[[#This Row],[Security Name]],Ref!X:Z,3,0)</f>
        <v>TPCP</v>
      </c>
      <c r="DT95" s="32" t="str">
        <f>VLOOKUP(Tradingbook_SBV[[#This Row],[Security Name]],Ref!X:Y,2,0)</f>
        <v>KBNN</v>
      </c>
      <c r="DU95" s="71">
        <f>IF((Tradingbook_SBV[[#This Row],[Mat. Date]]-RPT)&lt;=0,0,Tradingbook_SBV[[#This Row],[QUANTITY]])</f>
        <v>0</v>
      </c>
      <c r="DV95" s="71">
        <f>IF(Tradingbook_SBV[[#This Row],[Quantity_edited]]=0,0,Tradingbook_SBV[[#This Row],[DURATION]])</f>
        <v>0</v>
      </c>
      <c r="DW95" s="71">
        <f>IF(Tradingbook_SBV[[#This Row],[Quantity_edited]]=0,0,Tradingbook_SBV[[#This Row],[Mod Dur]])</f>
        <v>0</v>
      </c>
      <c r="DX95" s="71">
        <f>IF(Tradingbook_SBV[[#This Row],[Quantity_edited]]=0,0,Tradingbook_SBV[[#This Row],[Cnvx.]])</f>
        <v>0</v>
      </c>
      <c r="DY95" s="71">
        <f>(Tradingbook_SBV[[#This Row],[MARKET_VALUE]]+Tradingbook_SBV[[#This Row],[Accr Int]]*Tradingbook_SBV[[#This Row],[Quantity_edited]])*(-Tradingbook_SBV[[#This Row],[Modified Duration]]*0.0001+0.5*Tradingbook_SBV[[#This Row],[Conv]]*(0.0001^2))</f>
        <v>0</v>
      </c>
      <c r="DZ95" s="71">
        <f>(Tradingbook_SBV[[#This Row],[MARKET_VALUE]]+Tradingbook_SBV[[#This Row],[Accr Int]]*Tradingbook_SBV[[#This Row],[Quantity_edited]])*(-Tradingbook_SBV[[#This Row],[Modified Duration]]*0.01+0.5*Tradingbook_SBV[[#This Row],[Conv]]*(0.01^2))</f>
        <v>0</v>
      </c>
      <c r="EC95" t="s">
        <v>166</v>
      </c>
      <c r="ED95" t="s">
        <v>167</v>
      </c>
      <c r="EE95" t="s">
        <v>481</v>
      </c>
      <c r="EF95" t="s">
        <v>169</v>
      </c>
      <c r="EG95" s="35" t="s">
        <v>3386</v>
      </c>
      <c r="EH95" t="s">
        <v>3322</v>
      </c>
      <c r="EK95" s="500">
        <v>0</v>
      </c>
      <c r="EL95" s="500">
        <v>0</v>
      </c>
      <c r="EM95" s="500">
        <v>0</v>
      </c>
      <c r="EN95" s="500">
        <v>0</v>
      </c>
      <c r="EO95">
        <v>6.1</v>
      </c>
      <c r="EP95">
        <v>0</v>
      </c>
      <c r="EQ95">
        <v>24400000000</v>
      </c>
      <c r="ER95">
        <v>26171231583.333359</v>
      </c>
      <c r="ES95">
        <v>-4630483323.1250563</v>
      </c>
      <c r="ET95">
        <v>0</v>
      </c>
      <c r="EU95">
        <v>0</v>
      </c>
      <c r="EV95">
        <v>0</v>
      </c>
      <c r="EW95">
        <v>0</v>
      </c>
      <c r="EX95">
        <v>0</v>
      </c>
      <c r="EY95">
        <v>0</v>
      </c>
      <c r="EZ95">
        <v>0</v>
      </c>
      <c r="FA95">
        <v>7430500000</v>
      </c>
      <c r="FB95">
        <v>0</v>
      </c>
      <c r="FC95">
        <v>7430500000</v>
      </c>
      <c r="FD95">
        <v>7430500000</v>
      </c>
      <c r="FE95">
        <v>7430500000</v>
      </c>
      <c r="FF95">
        <v>7430500000</v>
      </c>
      <c r="FG95" s="32">
        <f>Bankingbook_SBV[[#This Row],[Mat. Date]]-RPT</f>
        <v>-1868</v>
      </c>
      <c r="FH95" s="32">
        <f>IF(Bankingbook_SBV[[#This Row],[Days]]&lt;=0,0,YEARFRAC(RPT,Bankingbook_SBV[[#This Row],[Mat. Date]],3))</f>
        <v>0</v>
      </c>
      <c r="FI95" s="32">
        <f>IF(Bankingbook_SBV[[#This Row],[Days (year)]]=0,0,INDEX(Ref!$K$2:$K$13,MATCH(Bankingbook_SBV[[#This Row],[Days (year)]],Ref!$I$2:$I$13,1)))</f>
        <v>0</v>
      </c>
      <c r="FJ95" s="32" t="str">
        <f>VLOOKUP(Bankingbook_SBV[[#This Row],[Security Name]],Ref!X:Z,3,0)</f>
        <v>TPCP</v>
      </c>
      <c r="FK95" s="32" t="str">
        <f>VLOOKUP(Bankingbook_SBV[[#This Row],[Security Name]],Ref!X:Y,2,0)</f>
        <v>KBNN</v>
      </c>
      <c r="FL95" s="72">
        <f>IF((Bankingbook_SBV[[#This Row],[Mat. Date]]-RPT)&lt;=0,0,Bankingbook_SBV[[#This Row],[QUANTITY]])</f>
        <v>0</v>
      </c>
      <c r="FM95" s="32">
        <f>IF(Bankingbook_SBV[[#This Row],[Quantity_edited]]=0,0,Bankingbook_SBV[[#This Row],[DURATION]])</f>
        <v>0</v>
      </c>
      <c r="FN95" s="32">
        <f>IF(Bankingbook_SBV[[#This Row],[Quantity_edited]]=0,0,Bankingbook_SBV[[#This Row],[Mod Dur]])</f>
        <v>0</v>
      </c>
      <c r="FO95" s="32">
        <f>IF(Bankingbook_SBV[[#This Row],[Quantity_edited]]=0,0,Bankingbook_SBV[[#This Row],[Cnvx.]])</f>
        <v>0</v>
      </c>
      <c r="FP95" s="32">
        <f>(Bankingbook_SBV[[#This Row],[MARKET_VALUE]]+Bankingbook_SBV[[#This Row],[Accr Int]]*Bankingbook_SBV[[#This Row],[Quantity_edited]])*(-Bankingbook_SBV[[#This Row],[Modified Duration]]*0.0001+0.5*Bankingbook_SBV[[#This Row],[Conv]]*(0.0001^2))</f>
        <v>0</v>
      </c>
      <c r="FQ95" s="32">
        <f>(Bankingbook_SBV[[#This Row],[MARKET_VALUE]]+Bankingbook_SBV[[#This Row],[Accr Int]]*Bankingbook_SBV[[#This Row],[Quantity_edited]])*(-Bankingbook_SBV[[#This Row],[Modified Duration]]*0.01+0.5*Bankingbook_SBV[[#This Row],[Conv]]*(0.01^2))</f>
        <v>0</v>
      </c>
    </row>
    <row r="96" spans="2:173" x14ac:dyDescent="0.3">
      <c r="B96" t="s">
        <v>166</v>
      </c>
      <c r="C96" t="s">
        <v>167</v>
      </c>
      <c r="D96" t="s">
        <v>272</v>
      </c>
      <c r="E96" t="s">
        <v>169</v>
      </c>
      <c r="F96" s="502">
        <v>42383</v>
      </c>
      <c r="G96" t="s">
        <v>3322</v>
      </c>
      <c r="H96"/>
      <c r="I96"/>
      <c r="J96" s="38">
        <v>0</v>
      </c>
      <c r="K96">
        <v>0</v>
      </c>
      <c r="L96">
        <v>0</v>
      </c>
      <c r="M96" s="38">
        <v>0</v>
      </c>
      <c r="N96">
        <v>8</v>
      </c>
      <c r="O96">
        <v>0</v>
      </c>
      <c r="P96" s="37">
        <v>16000000000</v>
      </c>
      <c r="Q96" s="37">
        <v>16593742222.222218</v>
      </c>
      <c r="R96" s="37">
        <v>-9972595936.6667004</v>
      </c>
      <c r="S96">
        <v>8</v>
      </c>
      <c r="T96" s="70">
        <v>0</v>
      </c>
      <c r="U96">
        <v>0</v>
      </c>
      <c r="V96">
        <v>0</v>
      </c>
      <c r="W96">
        <v>0</v>
      </c>
      <c r="X96" s="38">
        <v>0</v>
      </c>
      <c r="Y96">
        <v>0</v>
      </c>
      <c r="Z96" s="70">
        <v>20165000000</v>
      </c>
      <c r="AA96" s="70">
        <v>0</v>
      </c>
      <c r="AB96" s="70">
        <v>20165000000</v>
      </c>
      <c r="AC96" s="70">
        <v>20165000000</v>
      </c>
      <c r="AD96" s="70">
        <v>20165000000</v>
      </c>
      <c r="AE96" s="70">
        <v>20165000000</v>
      </c>
      <c r="AF96">
        <v>0</v>
      </c>
      <c r="AG96" s="72">
        <f>Tradingbook_MSB[[#This Row],[Mat. Date]]-RPT</f>
        <v>-3869</v>
      </c>
      <c r="AH96" s="71">
        <f>IF(Tradingbook_MSB[[#This Row],[Days]]&lt;=0,0,YEARFRAC(RPT,Tradingbook_MSB[[#This Row],[Mat. Date]],3))</f>
        <v>0</v>
      </c>
      <c r="AI96" s="71">
        <f>IF(Tradingbook_MSB[[#This Row],[Days (year)]]=0,0,INDEX(Ref!$K$2:$K$13,MATCH(Tradingbook_MSB[[#This Row],[Days (year)]],Ref!$I$2:$I$13,1)))</f>
        <v>0</v>
      </c>
      <c r="AJ96" s="120" t="str">
        <f>VLOOKUP(Tradingbook_MSB[[#This Row],[Security Name]],Ref!X:Z,3,0)</f>
        <v>TPCPBL</v>
      </c>
      <c r="AK96" s="120" t="str">
        <f>VLOOKUP(Tradingbook_MSB[[#This Row],[Security Name]],Ref!X:Y,2,0)</f>
        <v>VDB</v>
      </c>
      <c r="AL96" s="71">
        <f>IF((Tradingbook_MSB[[#This Row],[Mat. Date]]-RPT)&lt;=0,0,Tradingbook_MSB[[#This Row],[QUANTITY]])</f>
        <v>0</v>
      </c>
      <c r="AM96" s="71">
        <f>IF(Tradingbook_MSB[[#This Row],[Quantity_edited]]=0,0,Tradingbook_MSB[[#This Row],[DURATION]])</f>
        <v>0</v>
      </c>
      <c r="AN96" s="71">
        <f>IF(Tradingbook_MSB[[#This Row],[Quantity_edited]]=0,0,Tradingbook_MSB[[#This Row],[Mod Dur]])</f>
        <v>0</v>
      </c>
      <c r="AO96" s="71">
        <f>IF(Tradingbook_MSB[[#This Row],[Quantity_edited]]=0,0,Tradingbook_MSB[[#This Row],[Cnvx.]])</f>
        <v>0</v>
      </c>
      <c r="AP96" s="71">
        <f>(Tradingbook_MSB[[#This Row],[MARKET_VALUE]]+Tradingbook_MSB[[#This Row],[Accr Int]]*Tradingbook_MSB[[#This Row],[Quantity_edited]])*(-Tradingbook_MSB[[#This Row],[Modified Duration]]*0.0001+0.5*Tradingbook_MSB[[#This Row],[Conv]]*(0.0001^2))</f>
        <v>0</v>
      </c>
      <c r="AQ96" s="72">
        <f>(Tradingbook_MSB[[#This Row],[MARKET_VALUE]]+Tradingbook_MSB[[#This Row],[Accr Int]]*Tradingbook_MSB[[#This Row],[Quantity_edited]])*(-Tradingbook_MSB[[#This Row],[Modified Duration]]*0.01+0.5*Tradingbook_MSB[[#This Row],[Conv]]*(0.01^2))</f>
        <v>0</v>
      </c>
      <c r="AR96" s="71"/>
      <c r="AT96" t="s">
        <v>166</v>
      </c>
      <c r="AU96" t="s">
        <v>167</v>
      </c>
      <c r="AV96" t="s">
        <v>530</v>
      </c>
      <c r="AW96" t="s">
        <v>169</v>
      </c>
      <c r="AX96" t="s">
        <v>3399</v>
      </c>
      <c r="AY96" t="s">
        <v>3322</v>
      </c>
      <c r="BB96">
        <v>0</v>
      </c>
      <c r="BC96">
        <v>0</v>
      </c>
      <c r="BD96">
        <v>0</v>
      </c>
      <c r="BE96" s="37">
        <v>0</v>
      </c>
      <c r="BF96">
        <v>5.3</v>
      </c>
      <c r="BG96">
        <v>0</v>
      </c>
      <c r="BH96">
        <v>13250000000</v>
      </c>
      <c r="BI96">
        <v>14853934583.333302</v>
      </c>
      <c r="BJ96">
        <v>-7528965749.0277929</v>
      </c>
      <c r="BK96">
        <v>5.3</v>
      </c>
      <c r="BL96">
        <v>0</v>
      </c>
      <c r="BM96">
        <v>0</v>
      </c>
      <c r="BN96">
        <v>0</v>
      </c>
      <c r="BO96">
        <v>0</v>
      </c>
      <c r="BP96">
        <v>0</v>
      </c>
      <c r="BQ96">
        <v>0</v>
      </c>
      <c r="BR96">
        <v>15135500000</v>
      </c>
      <c r="BS96">
        <v>0</v>
      </c>
      <c r="BT96">
        <v>15135500000</v>
      </c>
      <c r="BU96">
        <v>15135500000</v>
      </c>
      <c r="BV96">
        <v>15135500000</v>
      </c>
      <c r="BW96">
        <v>15135500000</v>
      </c>
      <c r="BX96">
        <v>0</v>
      </c>
      <c r="BY96" s="32">
        <f>Bankingbook_MSB[[#This Row],[Mat. Date]]-RPT</f>
        <v>-899</v>
      </c>
      <c r="BZ96" s="71">
        <f>IF(Bankingbook_MSB[[#This Row],[Days]]&lt;=0,0,YEARFRAC(RPT,Bankingbook_MSB[[#This Row],[Mat. Date]],3))</f>
        <v>0</v>
      </c>
      <c r="CA96" s="71">
        <f>IF(Bankingbook_MSB[[#This Row],[Days (year)]]=0,0,INDEX(Ref!$K$2:$K$13,MATCH(Bankingbook_MSB[[#This Row],[Days (year)]],Ref!$I$2:$I$13,1)))</f>
        <v>0</v>
      </c>
      <c r="CB96" s="32" t="str">
        <f>VLOOKUP(Bankingbook_MSB[[#This Row],[Security Name]],Ref!X:Z,3,0)</f>
        <v>TPCP</v>
      </c>
      <c r="CC96" s="32" t="str">
        <f>VLOOKUP(Bankingbook_MSB[[#This Row],[Security Name]],Ref!X:Y,2,0)</f>
        <v>KBNN</v>
      </c>
      <c r="CD96" s="72">
        <f>IF((Bankingbook_MSB[[#This Row],[Mat. Date]]-RPT)&lt;=0,0,Bankingbook_MSB[[#This Row],[QUANTITY]])</f>
        <v>0</v>
      </c>
      <c r="CE96" s="71">
        <f>IF(Bankingbook_MSB[[#This Row],[Quantity_edited]]=0,0,Bankingbook_MSB[[#This Row],[DURATION]])</f>
        <v>0</v>
      </c>
      <c r="CF96" s="71">
        <f>IF(Bankingbook_MSB[[#This Row],[Quantity_edited]]=0,0,Bankingbook_MSB[[#This Row],[Mod Dur]])</f>
        <v>0</v>
      </c>
      <c r="CG96" s="71">
        <f>IF(Bankingbook_MSB[[#This Row],[Quantity_edited]]=0,0,Bankingbook_MSB[[#This Row],[Cnvx.]])</f>
        <v>0</v>
      </c>
      <c r="CH96" s="71">
        <f>(Bankingbook_MSB[[#This Row],[MARKET_VALUE]]+Bankingbook_MSB[[#This Row],[Accr Int]]*Bankingbook_MSB[[#This Row],[Quantity_edited]])*(-Bankingbook_MSB[[#This Row],[Modified Duration]]*0.0001+0.5*Bankingbook_MSB[[#This Row],[Conv]]*(0.0001^2))</f>
        <v>0</v>
      </c>
      <c r="CI96" s="71">
        <f>(Bankingbook_MSB[[#This Row],[MARKET_VALUE]]+Bankingbook_MSB[[#This Row],[Accr Int]]*Bankingbook_MSB[[#This Row],[Quantity_edited]])*(-Bankingbook_MSB[[#This Row],[Modified Duration]]*0.01+0.5*Bankingbook_MSB[[#This Row],[Conv]]*(0.01^2))</f>
        <v>0</v>
      </c>
      <c r="CJ96" s="32"/>
      <c r="CL96" t="s">
        <v>166</v>
      </c>
      <c r="CM96" t="s">
        <v>167</v>
      </c>
      <c r="CN96" t="s">
        <v>272</v>
      </c>
      <c r="CO96" t="s">
        <v>169</v>
      </c>
      <c r="CP96" s="35">
        <v>42383</v>
      </c>
      <c r="CQ96" t="s">
        <v>3322</v>
      </c>
      <c r="CR96" t="s">
        <v>174</v>
      </c>
      <c r="CS96" t="s">
        <v>174</v>
      </c>
      <c r="CT96" s="49">
        <v>0</v>
      </c>
      <c r="CU96">
        <v>0</v>
      </c>
      <c r="CV96">
        <v>0</v>
      </c>
      <c r="CW96" s="70">
        <v>0</v>
      </c>
      <c r="CX96">
        <v>8</v>
      </c>
      <c r="CY96">
        <v>0</v>
      </c>
      <c r="CZ96">
        <v>16000000000</v>
      </c>
      <c r="DA96">
        <v>16593742222.222218</v>
      </c>
      <c r="DB96">
        <v>-9972595936.6667004</v>
      </c>
      <c r="DC96">
        <v>8</v>
      </c>
      <c r="DD96">
        <v>0</v>
      </c>
      <c r="DE96">
        <v>0</v>
      </c>
      <c r="DF96">
        <v>0</v>
      </c>
      <c r="DG96">
        <v>0</v>
      </c>
      <c r="DH96">
        <v>0</v>
      </c>
      <c r="DI96">
        <v>0</v>
      </c>
      <c r="DJ96" s="500">
        <v>20165000000</v>
      </c>
      <c r="DK96" s="500">
        <v>0</v>
      </c>
      <c r="DL96" s="37">
        <v>20165000000</v>
      </c>
      <c r="DM96" s="37">
        <v>20165000000</v>
      </c>
      <c r="DN96" s="37">
        <v>20165000000</v>
      </c>
      <c r="DO96" s="37">
        <v>20165000000</v>
      </c>
      <c r="DP96" s="32">
        <f>Tradingbook_SBV[[#This Row],[Mat. Date]]-RPT</f>
        <v>-3869</v>
      </c>
      <c r="DQ96" s="32">
        <f>IF(Tradingbook_SBV[[#This Row],[Days]]&lt;=0,0,YEARFRAC(RPT,Tradingbook_SBV[[#This Row],[Mat. Date]],3))</f>
        <v>0</v>
      </c>
      <c r="DR96" s="32">
        <f>IF(Tradingbook_SBV[[#This Row],[Days (year)]]=0,0,INDEX(Ref!$K$2:$K$13,MATCH(Tradingbook_SBV[[#This Row],[Days (year)]],Ref!$I$2:$I$13,1)))</f>
        <v>0</v>
      </c>
      <c r="DS96" s="32" t="str">
        <f>VLOOKUP(Tradingbook_SBV[[#This Row],[Security Name]],Ref!X:Z,3,0)</f>
        <v>TPCPBL</v>
      </c>
      <c r="DT96" s="32" t="str">
        <f>VLOOKUP(Tradingbook_SBV[[#This Row],[Security Name]],Ref!X:Y,2,0)</f>
        <v>VDB</v>
      </c>
      <c r="DU96" s="71">
        <f>IF((Tradingbook_SBV[[#This Row],[Mat. Date]]-RPT)&lt;=0,0,Tradingbook_SBV[[#This Row],[QUANTITY]])</f>
        <v>0</v>
      </c>
      <c r="DV96" s="71">
        <f>IF(Tradingbook_SBV[[#This Row],[Quantity_edited]]=0,0,Tradingbook_SBV[[#This Row],[DURATION]])</f>
        <v>0</v>
      </c>
      <c r="DW96" s="71">
        <f>IF(Tradingbook_SBV[[#This Row],[Quantity_edited]]=0,0,Tradingbook_SBV[[#This Row],[Mod Dur]])</f>
        <v>0</v>
      </c>
      <c r="DX96" s="71">
        <f>IF(Tradingbook_SBV[[#This Row],[Quantity_edited]]=0,0,Tradingbook_SBV[[#This Row],[Cnvx.]])</f>
        <v>0</v>
      </c>
      <c r="DY96" s="71">
        <f>(Tradingbook_SBV[[#This Row],[MARKET_VALUE]]+Tradingbook_SBV[[#This Row],[Accr Int]]*Tradingbook_SBV[[#This Row],[Quantity_edited]])*(-Tradingbook_SBV[[#This Row],[Modified Duration]]*0.0001+0.5*Tradingbook_SBV[[#This Row],[Conv]]*(0.0001^2))</f>
        <v>0</v>
      </c>
      <c r="DZ96" s="71">
        <f>(Tradingbook_SBV[[#This Row],[MARKET_VALUE]]+Tradingbook_SBV[[#This Row],[Accr Int]]*Tradingbook_SBV[[#This Row],[Quantity_edited]])*(-Tradingbook_SBV[[#This Row],[Modified Duration]]*0.01+0.5*Tradingbook_SBV[[#This Row],[Conv]]*(0.01^2))</f>
        <v>0</v>
      </c>
      <c r="EC96" t="s">
        <v>166</v>
      </c>
      <c r="ED96" t="s">
        <v>167</v>
      </c>
      <c r="EE96" t="s">
        <v>482</v>
      </c>
      <c r="EF96" t="s">
        <v>169</v>
      </c>
      <c r="EG96" s="35" t="s">
        <v>3387</v>
      </c>
      <c r="EH96" t="s">
        <v>3322</v>
      </c>
      <c r="EK96" s="500">
        <v>0</v>
      </c>
      <c r="EL96" s="500">
        <v>0</v>
      </c>
      <c r="EM96" s="500">
        <v>0</v>
      </c>
      <c r="EN96" s="500">
        <v>0</v>
      </c>
      <c r="EO96">
        <v>6.1</v>
      </c>
      <c r="EP96">
        <v>0</v>
      </c>
      <c r="EQ96">
        <v>6475000000</v>
      </c>
      <c r="ER96">
        <v>6927352166.6666718</v>
      </c>
      <c r="ES96">
        <v>-1418314020.4166965</v>
      </c>
      <c r="ET96">
        <v>0</v>
      </c>
      <c r="EU96">
        <v>0</v>
      </c>
      <c r="EV96">
        <v>0</v>
      </c>
      <c r="EW96">
        <v>0</v>
      </c>
      <c r="EX96">
        <v>0</v>
      </c>
      <c r="EY96">
        <v>0</v>
      </c>
      <c r="EZ96">
        <v>0</v>
      </c>
      <c r="FA96">
        <v>1020000000</v>
      </c>
      <c r="FB96">
        <v>0</v>
      </c>
      <c r="FC96">
        <v>1020000000</v>
      </c>
      <c r="FD96">
        <v>1020000000</v>
      </c>
      <c r="FE96">
        <v>1020000000</v>
      </c>
      <c r="FF96">
        <v>1020000000</v>
      </c>
      <c r="FG96" s="32">
        <f>Bankingbook_SBV[[#This Row],[Mat. Date]]-RPT</f>
        <v>-1864</v>
      </c>
      <c r="FH96" s="32">
        <f>IF(Bankingbook_SBV[[#This Row],[Days]]&lt;=0,0,YEARFRAC(RPT,Bankingbook_SBV[[#This Row],[Mat. Date]],3))</f>
        <v>0</v>
      </c>
      <c r="FI96" s="32">
        <f>IF(Bankingbook_SBV[[#This Row],[Days (year)]]=0,0,INDEX(Ref!$K$2:$K$13,MATCH(Bankingbook_SBV[[#This Row],[Days (year)]],Ref!$I$2:$I$13,1)))</f>
        <v>0</v>
      </c>
      <c r="FJ96" s="32" t="str">
        <f>VLOOKUP(Bankingbook_SBV[[#This Row],[Security Name]],Ref!X:Z,3,0)</f>
        <v>TPCP</v>
      </c>
      <c r="FK96" s="32" t="str">
        <f>VLOOKUP(Bankingbook_SBV[[#This Row],[Security Name]],Ref!X:Y,2,0)</f>
        <v>KBNN</v>
      </c>
      <c r="FL96" s="72">
        <f>IF((Bankingbook_SBV[[#This Row],[Mat. Date]]-RPT)&lt;=0,0,Bankingbook_SBV[[#This Row],[QUANTITY]])</f>
        <v>0</v>
      </c>
      <c r="FM96" s="32">
        <f>IF(Bankingbook_SBV[[#This Row],[Quantity_edited]]=0,0,Bankingbook_SBV[[#This Row],[DURATION]])</f>
        <v>0</v>
      </c>
      <c r="FN96" s="32">
        <f>IF(Bankingbook_SBV[[#This Row],[Quantity_edited]]=0,0,Bankingbook_SBV[[#This Row],[Mod Dur]])</f>
        <v>0</v>
      </c>
      <c r="FO96" s="32">
        <f>IF(Bankingbook_SBV[[#This Row],[Quantity_edited]]=0,0,Bankingbook_SBV[[#This Row],[Cnvx.]])</f>
        <v>0</v>
      </c>
      <c r="FP96" s="32">
        <f>(Bankingbook_SBV[[#This Row],[MARKET_VALUE]]+Bankingbook_SBV[[#This Row],[Accr Int]]*Bankingbook_SBV[[#This Row],[Quantity_edited]])*(-Bankingbook_SBV[[#This Row],[Modified Duration]]*0.0001+0.5*Bankingbook_SBV[[#This Row],[Conv]]*(0.0001^2))</f>
        <v>0</v>
      </c>
      <c r="FQ96" s="32">
        <f>(Bankingbook_SBV[[#This Row],[MARKET_VALUE]]+Bankingbook_SBV[[#This Row],[Accr Int]]*Bankingbook_SBV[[#This Row],[Quantity_edited]])*(-Bankingbook_SBV[[#This Row],[Modified Duration]]*0.01+0.5*Bankingbook_SBV[[#This Row],[Conv]]*(0.01^2))</f>
        <v>0</v>
      </c>
    </row>
    <row r="97" spans="2:173" x14ac:dyDescent="0.3">
      <c r="B97" t="s">
        <v>166</v>
      </c>
      <c r="C97" t="s">
        <v>167</v>
      </c>
      <c r="D97" t="s">
        <v>273</v>
      </c>
      <c r="E97" t="s">
        <v>169</v>
      </c>
      <c r="F97" s="502">
        <v>42384</v>
      </c>
      <c r="G97" t="s">
        <v>3322</v>
      </c>
      <c r="H97"/>
      <c r="I97"/>
      <c r="J97" s="38">
        <v>0</v>
      </c>
      <c r="K97">
        <v>0</v>
      </c>
      <c r="L97">
        <v>0</v>
      </c>
      <c r="M97" s="38">
        <v>0</v>
      </c>
      <c r="N97">
        <v>8.6</v>
      </c>
      <c r="O97">
        <v>0</v>
      </c>
      <c r="P97" s="37">
        <v>0</v>
      </c>
      <c r="Q97" s="37">
        <v>-3.8000000000000002E-5</v>
      </c>
      <c r="R97" s="37">
        <v>-3014070746.3887978</v>
      </c>
      <c r="S97">
        <v>8.6</v>
      </c>
      <c r="T97" s="70">
        <v>0</v>
      </c>
      <c r="U97">
        <v>0</v>
      </c>
      <c r="V97">
        <v>0</v>
      </c>
      <c r="W97">
        <v>0</v>
      </c>
      <c r="X97" s="38">
        <v>0</v>
      </c>
      <c r="Y97">
        <v>0</v>
      </c>
      <c r="Z97" s="70">
        <v>5512000000</v>
      </c>
      <c r="AA97" s="70">
        <v>0</v>
      </c>
      <c r="AB97" s="70">
        <v>5512000000</v>
      </c>
      <c r="AC97" s="70">
        <v>5512000000</v>
      </c>
      <c r="AD97" s="70">
        <v>5512000000</v>
      </c>
      <c r="AE97" s="70">
        <v>5512000000</v>
      </c>
      <c r="AF97">
        <v>0</v>
      </c>
      <c r="AG97" s="72">
        <f>Tradingbook_MSB[[#This Row],[Mat. Date]]-RPT</f>
        <v>-3868</v>
      </c>
      <c r="AH97" s="71">
        <f>IF(Tradingbook_MSB[[#This Row],[Days]]&lt;=0,0,YEARFRAC(RPT,Tradingbook_MSB[[#This Row],[Mat. Date]],3))</f>
        <v>0</v>
      </c>
      <c r="AI97" s="71">
        <f>IF(Tradingbook_MSB[[#This Row],[Days (year)]]=0,0,INDEX(Ref!$K$2:$K$13,MATCH(Tradingbook_MSB[[#This Row],[Days (year)]],Ref!$I$2:$I$13,1)))</f>
        <v>0</v>
      </c>
      <c r="AJ97" s="120" t="str">
        <f>VLOOKUP(Tradingbook_MSB[[#This Row],[Security Name]],Ref!X:Z,3,0)</f>
        <v>TPCP</v>
      </c>
      <c r="AK97" s="120" t="str">
        <f>VLOOKUP(Tradingbook_MSB[[#This Row],[Security Name]],Ref!X:Y,2,0)</f>
        <v>KBNN</v>
      </c>
      <c r="AL97" s="71">
        <f>IF((Tradingbook_MSB[[#This Row],[Mat. Date]]-RPT)&lt;=0,0,Tradingbook_MSB[[#This Row],[QUANTITY]])</f>
        <v>0</v>
      </c>
      <c r="AM97" s="71">
        <f>IF(Tradingbook_MSB[[#This Row],[Quantity_edited]]=0,0,Tradingbook_MSB[[#This Row],[DURATION]])</f>
        <v>0</v>
      </c>
      <c r="AN97" s="71">
        <f>IF(Tradingbook_MSB[[#This Row],[Quantity_edited]]=0,0,Tradingbook_MSB[[#This Row],[Mod Dur]])</f>
        <v>0</v>
      </c>
      <c r="AO97" s="71">
        <f>IF(Tradingbook_MSB[[#This Row],[Quantity_edited]]=0,0,Tradingbook_MSB[[#This Row],[Cnvx.]])</f>
        <v>0</v>
      </c>
      <c r="AP97" s="71">
        <f>(Tradingbook_MSB[[#This Row],[MARKET_VALUE]]+Tradingbook_MSB[[#This Row],[Accr Int]]*Tradingbook_MSB[[#This Row],[Quantity_edited]])*(-Tradingbook_MSB[[#This Row],[Modified Duration]]*0.0001+0.5*Tradingbook_MSB[[#This Row],[Conv]]*(0.0001^2))</f>
        <v>0</v>
      </c>
      <c r="AQ97" s="72">
        <f>(Tradingbook_MSB[[#This Row],[MARKET_VALUE]]+Tradingbook_MSB[[#This Row],[Accr Int]]*Tradingbook_MSB[[#This Row],[Quantity_edited]])*(-Tradingbook_MSB[[#This Row],[Modified Duration]]*0.01+0.5*Tradingbook_MSB[[#This Row],[Conv]]*(0.01^2))</f>
        <v>0</v>
      </c>
      <c r="AR97" s="71"/>
      <c r="AT97" t="s">
        <v>166</v>
      </c>
      <c r="AU97" t="s">
        <v>167</v>
      </c>
      <c r="AV97" t="s">
        <v>533</v>
      </c>
      <c r="AW97" t="s">
        <v>169</v>
      </c>
      <c r="AX97" t="s">
        <v>3400</v>
      </c>
      <c r="AY97" t="s">
        <v>3322</v>
      </c>
      <c r="BB97">
        <v>0</v>
      </c>
      <c r="BC97">
        <v>0</v>
      </c>
      <c r="BD97">
        <v>0</v>
      </c>
      <c r="BE97" s="37">
        <v>0</v>
      </c>
      <c r="BF97">
        <v>8.6999999999999993</v>
      </c>
      <c r="BG97">
        <v>0</v>
      </c>
      <c r="BH97">
        <v>0</v>
      </c>
      <c r="BI97">
        <v>5.4900000000000001E-4</v>
      </c>
      <c r="BJ97">
        <v>-1639912326.6672134</v>
      </c>
      <c r="BK97">
        <v>8.6999999999999993</v>
      </c>
      <c r="BL97">
        <v>0</v>
      </c>
      <c r="BM97">
        <v>0</v>
      </c>
      <c r="BN97">
        <v>0</v>
      </c>
      <c r="BO97">
        <v>0</v>
      </c>
      <c r="BP97">
        <v>0</v>
      </c>
      <c r="BQ97">
        <v>0</v>
      </c>
      <c r="BR97">
        <v>-102000000</v>
      </c>
      <c r="BS97">
        <v>0</v>
      </c>
      <c r="BT97">
        <v>-102000000</v>
      </c>
      <c r="BU97">
        <v>-102000000</v>
      </c>
      <c r="BV97">
        <v>-102000000</v>
      </c>
      <c r="BW97">
        <v>-102000000</v>
      </c>
      <c r="BX97">
        <v>0</v>
      </c>
      <c r="BY97" s="32">
        <f>Bankingbook_MSB[[#This Row],[Mat. Date]]-RPT</f>
        <v>-809</v>
      </c>
      <c r="BZ97" s="71">
        <f>IF(Bankingbook_MSB[[#This Row],[Days]]&lt;=0,0,YEARFRAC(RPT,Bankingbook_MSB[[#This Row],[Mat. Date]],3))</f>
        <v>0</v>
      </c>
      <c r="CA97" s="71">
        <f>IF(Bankingbook_MSB[[#This Row],[Days (year)]]=0,0,INDEX(Ref!$K$2:$K$13,MATCH(Bankingbook_MSB[[#This Row],[Days (year)]],Ref!$I$2:$I$13,1)))</f>
        <v>0</v>
      </c>
      <c r="CB97" s="32" t="str">
        <f>VLOOKUP(Bankingbook_MSB[[#This Row],[Security Name]],Ref!X:Z,3,0)</f>
        <v>TPCP</v>
      </c>
      <c r="CC97" s="32" t="str">
        <f>VLOOKUP(Bankingbook_MSB[[#This Row],[Security Name]],Ref!X:Y,2,0)</f>
        <v>KBNN</v>
      </c>
      <c r="CD97" s="72">
        <f>IF((Bankingbook_MSB[[#This Row],[Mat. Date]]-RPT)&lt;=0,0,Bankingbook_MSB[[#This Row],[QUANTITY]])</f>
        <v>0</v>
      </c>
      <c r="CE97" s="71">
        <f>IF(Bankingbook_MSB[[#This Row],[Quantity_edited]]=0,0,Bankingbook_MSB[[#This Row],[DURATION]])</f>
        <v>0</v>
      </c>
      <c r="CF97" s="71">
        <f>IF(Bankingbook_MSB[[#This Row],[Quantity_edited]]=0,0,Bankingbook_MSB[[#This Row],[Mod Dur]])</f>
        <v>0</v>
      </c>
      <c r="CG97" s="71">
        <f>IF(Bankingbook_MSB[[#This Row],[Quantity_edited]]=0,0,Bankingbook_MSB[[#This Row],[Cnvx.]])</f>
        <v>0</v>
      </c>
      <c r="CH97" s="71">
        <f>(Bankingbook_MSB[[#This Row],[MARKET_VALUE]]+Bankingbook_MSB[[#This Row],[Accr Int]]*Bankingbook_MSB[[#This Row],[Quantity_edited]])*(-Bankingbook_MSB[[#This Row],[Modified Duration]]*0.0001+0.5*Bankingbook_MSB[[#This Row],[Conv]]*(0.0001^2))</f>
        <v>0</v>
      </c>
      <c r="CI97" s="71">
        <f>(Bankingbook_MSB[[#This Row],[MARKET_VALUE]]+Bankingbook_MSB[[#This Row],[Accr Int]]*Bankingbook_MSB[[#This Row],[Quantity_edited]])*(-Bankingbook_MSB[[#This Row],[Modified Duration]]*0.01+0.5*Bankingbook_MSB[[#This Row],[Conv]]*(0.01^2))</f>
        <v>0</v>
      </c>
      <c r="CJ97" s="32"/>
      <c r="CL97" t="s">
        <v>166</v>
      </c>
      <c r="CM97" t="s">
        <v>167</v>
      </c>
      <c r="CN97" t="s">
        <v>273</v>
      </c>
      <c r="CO97" t="s">
        <v>169</v>
      </c>
      <c r="CP97" s="35">
        <v>42384</v>
      </c>
      <c r="CQ97" t="s">
        <v>3322</v>
      </c>
      <c r="CR97" t="s">
        <v>174</v>
      </c>
      <c r="CS97" t="s">
        <v>174</v>
      </c>
      <c r="CT97" s="49">
        <v>0</v>
      </c>
      <c r="CU97">
        <v>0</v>
      </c>
      <c r="CV97">
        <v>0</v>
      </c>
      <c r="CW97" s="70">
        <v>0</v>
      </c>
      <c r="CX97">
        <v>8.6</v>
      </c>
      <c r="CY97">
        <v>0</v>
      </c>
      <c r="CZ97">
        <v>0</v>
      </c>
      <c r="DA97">
        <v>-3.8000000000000002E-5</v>
      </c>
      <c r="DB97">
        <v>-3014070746.3887978</v>
      </c>
      <c r="DC97">
        <v>8.6</v>
      </c>
      <c r="DD97">
        <v>0</v>
      </c>
      <c r="DE97">
        <v>0</v>
      </c>
      <c r="DF97">
        <v>0</v>
      </c>
      <c r="DG97">
        <v>0</v>
      </c>
      <c r="DH97">
        <v>0</v>
      </c>
      <c r="DI97">
        <v>0</v>
      </c>
      <c r="DJ97" s="500">
        <v>5512000000</v>
      </c>
      <c r="DK97" s="500">
        <v>0</v>
      </c>
      <c r="DL97" s="37">
        <v>5512000000</v>
      </c>
      <c r="DM97" s="37">
        <v>5512000000</v>
      </c>
      <c r="DN97" s="37">
        <v>5512000000</v>
      </c>
      <c r="DO97" s="37">
        <v>5512000000</v>
      </c>
      <c r="DP97" s="32">
        <f>Tradingbook_SBV[[#This Row],[Mat. Date]]-RPT</f>
        <v>-3868</v>
      </c>
      <c r="DQ97" s="32">
        <f>IF(Tradingbook_SBV[[#This Row],[Days]]&lt;=0,0,YEARFRAC(RPT,Tradingbook_SBV[[#This Row],[Mat. Date]],3))</f>
        <v>0</v>
      </c>
      <c r="DR97" s="32">
        <f>IF(Tradingbook_SBV[[#This Row],[Days (year)]]=0,0,INDEX(Ref!$K$2:$K$13,MATCH(Tradingbook_SBV[[#This Row],[Days (year)]],Ref!$I$2:$I$13,1)))</f>
        <v>0</v>
      </c>
      <c r="DS97" s="32" t="str">
        <f>VLOOKUP(Tradingbook_SBV[[#This Row],[Security Name]],Ref!X:Z,3,0)</f>
        <v>TPCP</v>
      </c>
      <c r="DT97" s="32" t="str">
        <f>VLOOKUP(Tradingbook_SBV[[#This Row],[Security Name]],Ref!X:Y,2,0)</f>
        <v>KBNN</v>
      </c>
      <c r="DU97" s="71">
        <f>IF((Tradingbook_SBV[[#This Row],[Mat. Date]]-RPT)&lt;=0,0,Tradingbook_SBV[[#This Row],[QUANTITY]])</f>
        <v>0</v>
      </c>
      <c r="DV97" s="71">
        <f>IF(Tradingbook_SBV[[#This Row],[Quantity_edited]]=0,0,Tradingbook_SBV[[#This Row],[DURATION]])</f>
        <v>0</v>
      </c>
      <c r="DW97" s="71">
        <f>IF(Tradingbook_SBV[[#This Row],[Quantity_edited]]=0,0,Tradingbook_SBV[[#This Row],[Mod Dur]])</f>
        <v>0</v>
      </c>
      <c r="DX97" s="71">
        <f>IF(Tradingbook_SBV[[#This Row],[Quantity_edited]]=0,0,Tradingbook_SBV[[#This Row],[Cnvx.]])</f>
        <v>0</v>
      </c>
      <c r="DY97" s="71">
        <f>(Tradingbook_SBV[[#This Row],[MARKET_VALUE]]+Tradingbook_SBV[[#This Row],[Accr Int]]*Tradingbook_SBV[[#This Row],[Quantity_edited]])*(-Tradingbook_SBV[[#This Row],[Modified Duration]]*0.0001+0.5*Tradingbook_SBV[[#This Row],[Conv]]*(0.0001^2))</f>
        <v>0</v>
      </c>
      <c r="DZ97" s="71">
        <f>(Tradingbook_SBV[[#This Row],[MARKET_VALUE]]+Tradingbook_SBV[[#This Row],[Accr Int]]*Tradingbook_SBV[[#This Row],[Quantity_edited]])*(-Tradingbook_SBV[[#This Row],[Modified Duration]]*0.01+0.5*Tradingbook_SBV[[#This Row],[Conv]]*(0.01^2))</f>
        <v>0</v>
      </c>
      <c r="EC97" t="s">
        <v>166</v>
      </c>
      <c r="ED97" t="s">
        <v>167</v>
      </c>
      <c r="EE97" t="s">
        <v>489</v>
      </c>
      <c r="EF97" t="s">
        <v>169</v>
      </c>
      <c r="EG97" s="35" t="s">
        <v>3739</v>
      </c>
      <c r="EH97" t="s">
        <v>3322</v>
      </c>
      <c r="EK97" s="500">
        <v>0</v>
      </c>
      <c r="EL97" s="500">
        <v>0</v>
      </c>
      <c r="EM97" s="500">
        <v>0</v>
      </c>
      <c r="EN97" s="500">
        <v>0</v>
      </c>
      <c r="EO97">
        <v>5.4</v>
      </c>
      <c r="EP97">
        <v>0</v>
      </c>
      <c r="EQ97">
        <v>43200000000</v>
      </c>
      <c r="ER97">
        <v>44504679750.000031</v>
      </c>
      <c r="ES97">
        <v>-17996824390.416874</v>
      </c>
      <c r="ET97">
        <v>0</v>
      </c>
      <c r="EU97">
        <v>0</v>
      </c>
      <c r="EV97">
        <v>0</v>
      </c>
      <c r="EW97">
        <v>0</v>
      </c>
      <c r="EX97">
        <v>0</v>
      </c>
      <c r="EY97">
        <v>0</v>
      </c>
      <c r="EZ97">
        <v>0</v>
      </c>
      <c r="FA97">
        <v>17900000000</v>
      </c>
      <c r="FB97">
        <v>0</v>
      </c>
      <c r="FC97">
        <v>17900000000</v>
      </c>
      <c r="FD97">
        <v>17900000000</v>
      </c>
      <c r="FE97">
        <v>17900000000</v>
      </c>
      <c r="FF97">
        <v>17900000000</v>
      </c>
      <c r="FG97" s="32">
        <f>Bankingbook_SBV[[#This Row],[Mat. Date]]-RPT</f>
        <v>-1752</v>
      </c>
      <c r="FH97" s="32">
        <f>IF(Bankingbook_SBV[[#This Row],[Days]]&lt;=0,0,YEARFRAC(RPT,Bankingbook_SBV[[#This Row],[Mat. Date]],3))</f>
        <v>0</v>
      </c>
      <c r="FI97" s="32">
        <f>IF(Bankingbook_SBV[[#This Row],[Days (year)]]=0,0,INDEX(Ref!$K$2:$K$13,MATCH(Bankingbook_SBV[[#This Row],[Days (year)]],Ref!$I$2:$I$13,1)))</f>
        <v>0</v>
      </c>
      <c r="FJ97" s="32" t="str">
        <f>VLOOKUP(Bankingbook_SBV[[#This Row],[Security Name]],Ref!X:Z,3,0)</f>
        <v>TPCPBL</v>
      </c>
      <c r="FK97" s="32" t="str">
        <f>VLOOKUP(Bankingbook_SBV[[#This Row],[Security Name]],Ref!X:Y,2,0)</f>
        <v>VDB</v>
      </c>
      <c r="FL97" s="72">
        <f>IF((Bankingbook_SBV[[#This Row],[Mat. Date]]-RPT)&lt;=0,0,Bankingbook_SBV[[#This Row],[QUANTITY]])</f>
        <v>0</v>
      </c>
      <c r="FM97" s="32">
        <f>IF(Bankingbook_SBV[[#This Row],[Quantity_edited]]=0,0,Bankingbook_SBV[[#This Row],[DURATION]])</f>
        <v>0</v>
      </c>
      <c r="FN97" s="32">
        <f>IF(Bankingbook_SBV[[#This Row],[Quantity_edited]]=0,0,Bankingbook_SBV[[#This Row],[Mod Dur]])</f>
        <v>0</v>
      </c>
      <c r="FO97" s="32">
        <f>IF(Bankingbook_SBV[[#This Row],[Quantity_edited]]=0,0,Bankingbook_SBV[[#This Row],[Cnvx.]])</f>
        <v>0</v>
      </c>
      <c r="FP97" s="32">
        <f>(Bankingbook_SBV[[#This Row],[MARKET_VALUE]]+Bankingbook_SBV[[#This Row],[Accr Int]]*Bankingbook_SBV[[#This Row],[Quantity_edited]])*(-Bankingbook_SBV[[#This Row],[Modified Duration]]*0.0001+0.5*Bankingbook_SBV[[#This Row],[Conv]]*(0.0001^2))</f>
        <v>0</v>
      </c>
      <c r="FQ97" s="32">
        <f>(Bankingbook_SBV[[#This Row],[MARKET_VALUE]]+Bankingbook_SBV[[#This Row],[Accr Int]]*Bankingbook_SBV[[#This Row],[Quantity_edited]])*(-Bankingbook_SBV[[#This Row],[Modified Duration]]*0.01+0.5*Bankingbook_SBV[[#This Row],[Conv]]*(0.01^2))</f>
        <v>0</v>
      </c>
    </row>
    <row r="98" spans="2:173" x14ac:dyDescent="0.3">
      <c r="B98" t="s">
        <v>166</v>
      </c>
      <c r="C98" t="s">
        <v>167</v>
      </c>
      <c r="D98" t="s">
        <v>274</v>
      </c>
      <c r="E98" t="s">
        <v>169</v>
      </c>
      <c r="F98" s="502">
        <v>42384</v>
      </c>
      <c r="G98" t="s">
        <v>3322</v>
      </c>
      <c r="H98"/>
      <c r="I98"/>
      <c r="J98" s="38">
        <v>0</v>
      </c>
      <c r="K98">
        <v>0</v>
      </c>
      <c r="L98">
        <v>0</v>
      </c>
      <c r="M98" s="38">
        <v>0</v>
      </c>
      <c r="N98">
        <v>6.8</v>
      </c>
      <c r="O98">
        <v>0</v>
      </c>
      <c r="P98" s="37">
        <v>0</v>
      </c>
      <c r="Q98" s="37">
        <v>1.9999999999999999E-6</v>
      </c>
      <c r="R98" s="37">
        <v>-6492871063.3333406</v>
      </c>
      <c r="S98">
        <v>6.8</v>
      </c>
      <c r="T98" s="70">
        <v>0</v>
      </c>
      <c r="U98">
        <v>0</v>
      </c>
      <c r="V98">
        <v>0</v>
      </c>
      <c r="W98">
        <v>0</v>
      </c>
      <c r="X98" s="38">
        <v>0</v>
      </c>
      <c r="Y98">
        <v>0</v>
      </c>
      <c r="Z98" s="70">
        <v>11176000000</v>
      </c>
      <c r="AA98" s="70">
        <v>0</v>
      </c>
      <c r="AB98" s="70">
        <v>11176000000</v>
      </c>
      <c r="AC98" s="70">
        <v>11176000000</v>
      </c>
      <c r="AD98" s="70">
        <v>11176000000</v>
      </c>
      <c r="AE98" s="70">
        <v>11176000000</v>
      </c>
      <c r="AF98">
        <v>0</v>
      </c>
      <c r="AG98" s="72">
        <f>Tradingbook_MSB[[#This Row],[Mat. Date]]-RPT</f>
        <v>-3868</v>
      </c>
      <c r="AH98" s="71">
        <f>IF(Tradingbook_MSB[[#This Row],[Days]]&lt;=0,0,YEARFRAC(RPT,Tradingbook_MSB[[#This Row],[Mat. Date]],3))</f>
        <v>0</v>
      </c>
      <c r="AI98" s="71">
        <f>IF(Tradingbook_MSB[[#This Row],[Days (year)]]=0,0,INDEX(Ref!$K$2:$K$13,MATCH(Tradingbook_MSB[[#This Row],[Days (year)]],Ref!$I$2:$I$13,1)))</f>
        <v>0</v>
      </c>
      <c r="AJ98" s="120" t="str">
        <f>VLOOKUP(Tradingbook_MSB[[#This Row],[Security Name]],Ref!X:Z,3,0)</f>
        <v>TPCP</v>
      </c>
      <c r="AK98" s="120" t="str">
        <f>VLOOKUP(Tradingbook_MSB[[#This Row],[Security Name]],Ref!X:Y,2,0)</f>
        <v>KBNN</v>
      </c>
      <c r="AL98" s="71">
        <f>IF((Tradingbook_MSB[[#This Row],[Mat. Date]]-RPT)&lt;=0,0,Tradingbook_MSB[[#This Row],[QUANTITY]])</f>
        <v>0</v>
      </c>
      <c r="AM98" s="71">
        <f>IF(Tradingbook_MSB[[#This Row],[Quantity_edited]]=0,0,Tradingbook_MSB[[#This Row],[DURATION]])</f>
        <v>0</v>
      </c>
      <c r="AN98" s="71">
        <f>IF(Tradingbook_MSB[[#This Row],[Quantity_edited]]=0,0,Tradingbook_MSB[[#This Row],[Mod Dur]])</f>
        <v>0</v>
      </c>
      <c r="AO98" s="71">
        <f>IF(Tradingbook_MSB[[#This Row],[Quantity_edited]]=0,0,Tradingbook_MSB[[#This Row],[Cnvx.]])</f>
        <v>0</v>
      </c>
      <c r="AP98" s="71">
        <f>(Tradingbook_MSB[[#This Row],[MARKET_VALUE]]+Tradingbook_MSB[[#This Row],[Accr Int]]*Tradingbook_MSB[[#This Row],[Quantity_edited]])*(-Tradingbook_MSB[[#This Row],[Modified Duration]]*0.0001+0.5*Tradingbook_MSB[[#This Row],[Conv]]*(0.0001^2))</f>
        <v>0</v>
      </c>
      <c r="AQ98" s="72">
        <f>(Tradingbook_MSB[[#This Row],[MARKET_VALUE]]+Tradingbook_MSB[[#This Row],[Accr Int]]*Tradingbook_MSB[[#This Row],[Quantity_edited]])*(-Tradingbook_MSB[[#This Row],[Modified Duration]]*0.01+0.5*Tradingbook_MSB[[#This Row],[Conv]]*(0.01^2))</f>
        <v>0</v>
      </c>
      <c r="AR98" s="71"/>
      <c r="AT98" t="s">
        <v>166</v>
      </c>
      <c r="AU98" t="s">
        <v>167</v>
      </c>
      <c r="AV98" t="s">
        <v>535</v>
      </c>
      <c r="AW98" t="s">
        <v>169</v>
      </c>
      <c r="AX98" t="s">
        <v>3401</v>
      </c>
      <c r="AY98" t="s">
        <v>3322</v>
      </c>
      <c r="BB98">
        <v>0</v>
      </c>
      <c r="BC98">
        <v>0</v>
      </c>
      <c r="BD98">
        <v>0</v>
      </c>
      <c r="BE98" s="37">
        <v>0</v>
      </c>
      <c r="BF98">
        <v>5.0999999999999996</v>
      </c>
      <c r="BG98">
        <v>0</v>
      </c>
      <c r="BH98">
        <v>17850000000</v>
      </c>
      <c r="BI98">
        <v>20067498062.499962</v>
      </c>
      <c r="BJ98">
        <v>-9048386743.7501106</v>
      </c>
      <c r="BK98">
        <v>5.0999999999999996</v>
      </c>
      <c r="BL98">
        <v>0</v>
      </c>
      <c r="BM98">
        <v>0</v>
      </c>
      <c r="BN98">
        <v>0</v>
      </c>
      <c r="BO98">
        <v>0</v>
      </c>
      <c r="BP98">
        <v>0</v>
      </c>
      <c r="BQ98">
        <v>0</v>
      </c>
      <c r="BR98">
        <v>18663500000</v>
      </c>
      <c r="BS98">
        <v>0</v>
      </c>
      <c r="BT98">
        <v>18663500000</v>
      </c>
      <c r="BU98">
        <v>18663500000</v>
      </c>
      <c r="BV98">
        <v>18663500000</v>
      </c>
      <c r="BW98">
        <v>18663500000</v>
      </c>
      <c r="BX98">
        <v>0</v>
      </c>
      <c r="BY98" s="32">
        <f>Bankingbook_MSB[[#This Row],[Mat. Date]]-RPT</f>
        <v>-773</v>
      </c>
      <c r="BZ98" s="71">
        <f>IF(Bankingbook_MSB[[#This Row],[Days]]&lt;=0,0,YEARFRAC(RPT,Bankingbook_MSB[[#This Row],[Mat. Date]],3))</f>
        <v>0</v>
      </c>
      <c r="CA98" s="71">
        <f>IF(Bankingbook_MSB[[#This Row],[Days (year)]]=0,0,INDEX(Ref!$K$2:$K$13,MATCH(Bankingbook_MSB[[#This Row],[Days (year)]],Ref!$I$2:$I$13,1)))</f>
        <v>0</v>
      </c>
      <c r="CB98" s="32" t="str">
        <f>VLOOKUP(Bankingbook_MSB[[#This Row],[Security Name]],Ref!X:Z,3,0)</f>
        <v>TPCP</v>
      </c>
      <c r="CC98" s="32" t="str">
        <f>VLOOKUP(Bankingbook_MSB[[#This Row],[Security Name]],Ref!X:Y,2,0)</f>
        <v>KBNN</v>
      </c>
      <c r="CD98" s="72">
        <f>IF((Bankingbook_MSB[[#This Row],[Mat. Date]]-RPT)&lt;=0,0,Bankingbook_MSB[[#This Row],[QUANTITY]])</f>
        <v>0</v>
      </c>
      <c r="CE98" s="71">
        <f>IF(Bankingbook_MSB[[#This Row],[Quantity_edited]]=0,0,Bankingbook_MSB[[#This Row],[DURATION]])</f>
        <v>0</v>
      </c>
      <c r="CF98" s="71">
        <f>IF(Bankingbook_MSB[[#This Row],[Quantity_edited]]=0,0,Bankingbook_MSB[[#This Row],[Mod Dur]])</f>
        <v>0</v>
      </c>
      <c r="CG98" s="71">
        <f>IF(Bankingbook_MSB[[#This Row],[Quantity_edited]]=0,0,Bankingbook_MSB[[#This Row],[Cnvx.]])</f>
        <v>0</v>
      </c>
      <c r="CH98" s="71">
        <f>(Bankingbook_MSB[[#This Row],[MARKET_VALUE]]+Bankingbook_MSB[[#This Row],[Accr Int]]*Bankingbook_MSB[[#This Row],[Quantity_edited]])*(-Bankingbook_MSB[[#This Row],[Modified Duration]]*0.0001+0.5*Bankingbook_MSB[[#This Row],[Conv]]*(0.0001^2))</f>
        <v>0</v>
      </c>
      <c r="CI98" s="71">
        <f>(Bankingbook_MSB[[#This Row],[MARKET_VALUE]]+Bankingbook_MSB[[#This Row],[Accr Int]]*Bankingbook_MSB[[#This Row],[Quantity_edited]])*(-Bankingbook_MSB[[#This Row],[Modified Duration]]*0.01+0.5*Bankingbook_MSB[[#This Row],[Conv]]*(0.01^2))</f>
        <v>0</v>
      </c>
      <c r="CL98" t="s">
        <v>166</v>
      </c>
      <c r="CM98" t="s">
        <v>167</v>
      </c>
      <c r="CN98" t="s">
        <v>274</v>
      </c>
      <c r="CO98" t="s">
        <v>169</v>
      </c>
      <c r="CP98" s="35">
        <v>42384</v>
      </c>
      <c r="CQ98" t="s">
        <v>3322</v>
      </c>
      <c r="CR98" t="s">
        <v>174</v>
      </c>
      <c r="CS98" t="s">
        <v>174</v>
      </c>
      <c r="CT98" s="49">
        <v>0</v>
      </c>
      <c r="CU98">
        <v>0</v>
      </c>
      <c r="CV98">
        <v>0</v>
      </c>
      <c r="CW98" s="70">
        <v>0</v>
      </c>
      <c r="CX98">
        <v>6.8</v>
      </c>
      <c r="CY98">
        <v>0</v>
      </c>
      <c r="CZ98">
        <v>0</v>
      </c>
      <c r="DA98">
        <v>1.9999999999999999E-6</v>
      </c>
      <c r="DB98">
        <v>-6492871063.3333406</v>
      </c>
      <c r="DC98">
        <v>6.8</v>
      </c>
      <c r="DD98">
        <v>0</v>
      </c>
      <c r="DE98">
        <v>0</v>
      </c>
      <c r="DF98">
        <v>0</v>
      </c>
      <c r="DG98">
        <v>0</v>
      </c>
      <c r="DH98">
        <v>0</v>
      </c>
      <c r="DI98">
        <v>0</v>
      </c>
      <c r="DJ98" s="500">
        <v>11176000000</v>
      </c>
      <c r="DK98" s="500">
        <v>0</v>
      </c>
      <c r="DL98" s="37">
        <v>11176000000</v>
      </c>
      <c r="DM98" s="37">
        <v>11176000000</v>
      </c>
      <c r="DN98" s="37">
        <v>11176000000</v>
      </c>
      <c r="DO98" s="37">
        <v>11176000000</v>
      </c>
      <c r="DP98" s="32">
        <f>Tradingbook_SBV[[#This Row],[Mat. Date]]-RPT</f>
        <v>-3868</v>
      </c>
      <c r="DQ98" s="32">
        <f>IF(Tradingbook_SBV[[#This Row],[Days]]&lt;=0,0,YEARFRAC(RPT,Tradingbook_SBV[[#This Row],[Mat. Date]],3))</f>
        <v>0</v>
      </c>
      <c r="DR98" s="32">
        <f>IF(Tradingbook_SBV[[#This Row],[Days (year)]]=0,0,INDEX(Ref!$K$2:$K$13,MATCH(Tradingbook_SBV[[#This Row],[Days (year)]],Ref!$I$2:$I$13,1)))</f>
        <v>0</v>
      </c>
      <c r="DS98" s="32" t="str">
        <f>VLOOKUP(Tradingbook_SBV[[#This Row],[Security Name]],Ref!X:Z,3,0)</f>
        <v>TPCP</v>
      </c>
      <c r="DT98" s="32" t="str">
        <f>VLOOKUP(Tradingbook_SBV[[#This Row],[Security Name]],Ref!X:Y,2,0)</f>
        <v>KBNN</v>
      </c>
      <c r="DU98" s="71">
        <f>IF((Tradingbook_SBV[[#This Row],[Mat. Date]]-RPT)&lt;=0,0,Tradingbook_SBV[[#This Row],[QUANTITY]])</f>
        <v>0</v>
      </c>
      <c r="DV98" s="71">
        <f>IF(Tradingbook_SBV[[#This Row],[Quantity_edited]]=0,0,Tradingbook_SBV[[#This Row],[DURATION]])</f>
        <v>0</v>
      </c>
      <c r="DW98" s="71">
        <f>IF(Tradingbook_SBV[[#This Row],[Quantity_edited]]=0,0,Tradingbook_SBV[[#This Row],[Mod Dur]])</f>
        <v>0</v>
      </c>
      <c r="DX98" s="71">
        <f>IF(Tradingbook_SBV[[#This Row],[Quantity_edited]]=0,0,Tradingbook_SBV[[#This Row],[Cnvx.]])</f>
        <v>0</v>
      </c>
      <c r="DY98" s="71">
        <f>(Tradingbook_SBV[[#This Row],[MARKET_VALUE]]+Tradingbook_SBV[[#This Row],[Accr Int]]*Tradingbook_SBV[[#This Row],[Quantity_edited]])*(-Tradingbook_SBV[[#This Row],[Modified Duration]]*0.0001+0.5*Tradingbook_SBV[[#This Row],[Conv]]*(0.0001^2))</f>
        <v>0</v>
      </c>
      <c r="DZ98" s="71">
        <f>(Tradingbook_SBV[[#This Row],[MARKET_VALUE]]+Tradingbook_SBV[[#This Row],[Accr Int]]*Tradingbook_SBV[[#This Row],[Quantity_edited]])*(-Tradingbook_SBV[[#This Row],[Modified Duration]]*0.01+0.5*Tradingbook_SBV[[#This Row],[Conv]]*(0.01^2))</f>
        <v>0</v>
      </c>
      <c r="EC98" t="s">
        <v>166</v>
      </c>
      <c r="ED98" t="s">
        <v>167</v>
      </c>
      <c r="EE98" t="s">
        <v>490</v>
      </c>
      <c r="EF98" t="s">
        <v>169</v>
      </c>
      <c r="EG98" s="35" t="s">
        <v>3740</v>
      </c>
      <c r="EH98" t="s">
        <v>3322</v>
      </c>
      <c r="EK98" s="500">
        <v>0</v>
      </c>
      <c r="EL98" s="500">
        <v>0</v>
      </c>
      <c r="EM98" s="500">
        <v>0</v>
      </c>
      <c r="EN98" s="500">
        <v>0</v>
      </c>
      <c r="EO98">
        <v>5.5</v>
      </c>
      <c r="EP98">
        <v>0</v>
      </c>
      <c r="EQ98">
        <v>55000000000</v>
      </c>
      <c r="ER98">
        <v>56689116840.277817</v>
      </c>
      <c r="ES98">
        <v>-22244720991.944729</v>
      </c>
      <c r="ET98">
        <v>0</v>
      </c>
      <c r="EU98">
        <v>0</v>
      </c>
      <c r="EV98">
        <v>0</v>
      </c>
      <c r="EW98">
        <v>0</v>
      </c>
      <c r="EX98">
        <v>0</v>
      </c>
      <c r="EY98">
        <v>0</v>
      </c>
      <c r="EZ98">
        <v>0</v>
      </c>
      <c r="FA98">
        <v>22875000000</v>
      </c>
      <c r="FB98">
        <v>0</v>
      </c>
      <c r="FC98">
        <v>22875000000</v>
      </c>
      <c r="FD98">
        <v>22875000000</v>
      </c>
      <c r="FE98">
        <v>22875000000</v>
      </c>
      <c r="FF98">
        <v>22875000000</v>
      </c>
      <c r="FG98" s="32">
        <f>Bankingbook_SBV[[#This Row],[Mat. Date]]-RPT</f>
        <v>-1745</v>
      </c>
      <c r="FH98" s="32">
        <f>IF(Bankingbook_SBV[[#This Row],[Days]]&lt;=0,0,YEARFRAC(RPT,Bankingbook_SBV[[#This Row],[Mat. Date]],3))</f>
        <v>0</v>
      </c>
      <c r="FI98" s="32">
        <f>IF(Bankingbook_SBV[[#This Row],[Days (year)]]=0,0,INDEX(Ref!$K$2:$K$13,MATCH(Bankingbook_SBV[[#This Row],[Days (year)]],Ref!$I$2:$I$13,1)))</f>
        <v>0</v>
      </c>
      <c r="FJ98" s="32" t="str">
        <f>VLOOKUP(Bankingbook_SBV[[#This Row],[Security Name]],Ref!X:Z,3,0)</f>
        <v>TPCPBL</v>
      </c>
      <c r="FK98" s="32" t="str">
        <f>VLOOKUP(Bankingbook_SBV[[#This Row],[Security Name]],Ref!X:Y,2,0)</f>
        <v>VDB</v>
      </c>
      <c r="FL98" s="72">
        <f>IF((Bankingbook_SBV[[#This Row],[Mat. Date]]-RPT)&lt;=0,0,Bankingbook_SBV[[#This Row],[QUANTITY]])</f>
        <v>0</v>
      </c>
      <c r="FM98" s="32">
        <f>IF(Bankingbook_SBV[[#This Row],[Quantity_edited]]=0,0,Bankingbook_SBV[[#This Row],[DURATION]])</f>
        <v>0</v>
      </c>
      <c r="FN98" s="32">
        <f>IF(Bankingbook_SBV[[#This Row],[Quantity_edited]]=0,0,Bankingbook_SBV[[#This Row],[Mod Dur]])</f>
        <v>0</v>
      </c>
      <c r="FO98" s="32">
        <f>IF(Bankingbook_SBV[[#This Row],[Quantity_edited]]=0,0,Bankingbook_SBV[[#This Row],[Cnvx.]])</f>
        <v>0</v>
      </c>
      <c r="FP98" s="32">
        <f>(Bankingbook_SBV[[#This Row],[MARKET_VALUE]]+Bankingbook_SBV[[#This Row],[Accr Int]]*Bankingbook_SBV[[#This Row],[Quantity_edited]])*(-Bankingbook_SBV[[#This Row],[Modified Duration]]*0.0001+0.5*Bankingbook_SBV[[#This Row],[Conv]]*(0.0001^2))</f>
        <v>0</v>
      </c>
      <c r="FQ98" s="32">
        <f>(Bankingbook_SBV[[#This Row],[MARKET_VALUE]]+Bankingbook_SBV[[#This Row],[Accr Int]]*Bankingbook_SBV[[#This Row],[Quantity_edited]])*(-Bankingbook_SBV[[#This Row],[Modified Duration]]*0.01+0.5*Bankingbook_SBV[[#This Row],[Conv]]*(0.01^2))</f>
        <v>0</v>
      </c>
    </row>
    <row r="99" spans="2:173" x14ac:dyDescent="0.3">
      <c r="B99" t="s">
        <v>166</v>
      </c>
      <c r="C99" t="s">
        <v>167</v>
      </c>
      <c r="D99" t="s">
        <v>275</v>
      </c>
      <c r="E99" t="s">
        <v>169</v>
      </c>
      <c r="F99" s="502">
        <v>42390</v>
      </c>
      <c r="G99" t="s">
        <v>3322</v>
      </c>
      <c r="H99"/>
      <c r="I99"/>
      <c r="J99" s="38">
        <v>0</v>
      </c>
      <c r="K99">
        <v>0</v>
      </c>
      <c r="L99">
        <v>0</v>
      </c>
      <c r="M99" s="38">
        <v>0</v>
      </c>
      <c r="N99">
        <v>7.9</v>
      </c>
      <c r="O99">
        <v>0</v>
      </c>
      <c r="P99" s="37">
        <v>0</v>
      </c>
      <c r="Q99" s="37">
        <v>0</v>
      </c>
      <c r="R99" s="37">
        <v>-1705068980.4166698</v>
      </c>
      <c r="S99">
        <v>7.9</v>
      </c>
      <c r="T99" s="70">
        <v>0</v>
      </c>
      <c r="U99">
        <v>0</v>
      </c>
      <c r="V99">
        <v>0</v>
      </c>
      <c r="W99">
        <v>0</v>
      </c>
      <c r="X99" s="38">
        <v>0</v>
      </c>
      <c r="Y99">
        <v>0</v>
      </c>
      <c r="Z99" s="70">
        <v>5339500000</v>
      </c>
      <c r="AA99" s="70">
        <v>0</v>
      </c>
      <c r="AB99" s="70">
        <v>5339500000</v>
      </c>
      <c r="AC99" s="70">
        <v>5339500000</v>
      </c>
      <c r="AD99" s="70">
        <v>5339500000</v>
      </c>
      <c r="AE99" s="70">
        <v>5339500000</v>
      </c>
      <c r="AF99">
        <v>0</v>
      </c>
      <c r="AG99" s="72">
        <f>Tradingbook_MSB[[#This Row],[Mat. Date]]-RPT</f>
        <v>-3862</v>
      </c>
      <c r="AH99" s="71">
        <f>IF(Tradingbook_MSB[[#This Row],[Days]]&lt;=0,0,YEARFRAC(RPT,Tradingbook_MSB[[#This Row],[Mat. Date]],3))</f>
        <v>0</v>
      </c>
      <c r="AI99" s="71">
        <f>IF(Tradingbook_MSB[[#This Row],[Days (year)]]=0,0,INDEX(Ref!$K$2:$K$13,MATCH(Tradingbook_MSB[[#This Row],[Days (year)]],Ref!$I$2:$I$13,1)))</f>
        <v>0</v>
      </c>
      <c r="AJ99" s="120" t="str">
        <f>VLOOKUP(Tradingbook_MSB[[#This Row],[Security Name]],Ref!X:Z,3,0)</f>
        <v>TPCPBL</v>
      </c>
      <c r="AK99" s="120" t="str">
        <f>VLOOKUP(Tradingbook_MSB[[#This Row],[Security Name]],Ref!X:Y,2,0)</f>
        <v>VDB</v>
      </c>
      <c r="AL99" s="71">
        <f>IF((Tradingbook_MSB[[#This Row],[Mat. Date]]-RPT)&lt;=0,0,Tradingbook_MSB[[#This Row],[QUANTITY]])</f>
        <v>0</v>
      </c>
      <c r="AM99" s="71">
        <f>IF(Tradingbook_MSB[[#This Row],[Quantity_edited]]=0,0,Tradingbook_MSB[[#This Row],[DURATION]])</f>
        <v>0</v>
      </c>
      <c r="AN99" s="71">
        <f>IF(Tradingbook_MSB[[#This Row],[Quantity_edited]]=0,0,Tradingbook_MSB[[#This Row],[Mod Dur]])</f>
        <v>0</v>
      </c>
      <c r="AO99" s="71">
        <f>IF(Tradingbook_MSB[[#This Row],[Quantity_edited]]=0,0,Tradingbook_MSB[[#This Row],[Cnvx.]])</f>
        <v>0</v>
      </c>
      <c r="AP99" s="71">
        <f>(Tradingbook_MSB[[#This Row],[MARKET_VALUE]]+Tradingbook_MSB[[#This Row],[Accr Int]]*Tradingbook_MSB[[#This Row],[Quantity_edited]])*(-Tradingbook_MSB[[#This Row],[Modified Duration]]*0.0001+0.5*Tradingbook_MSB[[#This Row],[Conv]]*(0.0001^2))</f>
        <v>0</v>
      </c>
      <c r="AQ99" s="72">
        <f>(Tradingbook_MSB[[#This Row],[MARKET_VALUE]]+Tradingbook_MSB[[#This Row],[Accr Int]]*Tradingbook_MSB[[#This Row],[Quantity_edited]])*(-Tradingbook_MSB[[#This Row],[Modified Duration]]*0.01+0.5*Tradingbook_MSB[[#This Row],[Conv]]*(0.01^2))</f>
        <v>0</v>
      </c>
      <c r="AR99" s="71"/>
      <c r="AT99" t="s">
        <v>166</v>
      </c>
      <c r="AU99" t="s">
        <v>167</v>
      </c>
      <c r="AV99" t="s">
        <v>536</v>
      </c>
      <c r="AW99" t="s">
        <v>169</v>
      </c>
      <c r="AX99" t="s">
        <v>3402</v>
      </c>
      <c r="AY99" t="s">
        <v>3322</v>
      </c>
      <c r="BB99">
        <v>0</v>
      </c>
      <c r="BC99">
        <v>0</v>
      </c>
      <c r="BD99">
        <v>0</v>
      </c>
      <c r="BE99" s="37">
        <v>0</v>
      </c>
      <c r="BF99">
        <v>7.8</v>
      </c>
      <c r="BG99">
        <v>0</v>
      </c>
      <c r="BH99">
        <v>15600000000</v>
      </c>
      <c r="BI99">
        <v>18656425666.666534</v>
      </c>
      <c r="BJ99">
        <v>-11046578281.666382</v>
      </c>
      <c r="BK99">
        <v>7.8</v>
      </c>
      <c r="BL99">
        <v>0</v>
      </c>
      <c r="BM99">
        <v>0</v>
      </c>
      <c r="BN99">
        <v>0</v>
      </c>
      <c r="BO99">
        <v>0</v>
      </c>
      <c r="BP99">
        <v>0</v>
      </c>
      <c r="BQ99">
        <v>0</v>
      </c>
      <c r="BR99">
        <v>-808000000</v>
      </c>
      <c r="BS99">
        <v>0</v>
      </c>
      <c r="BT99">
        <v>-808000000</v>
      </c>
      <c r="BU99">
        <v>-808000000</v>
      </c>
      <c r="BV99">
        <v>-808000000</v>
      </c>
      <c r="BW99">
        <v>-808000000</v>
      </c>
      <c r="BX99">
        <v>0</v>
      </c>
      <c r="BY99" s="32">
        <f>Bankingbook_MSB[[#This Row],[Mat. Date]]-RPT</f>
        <v>-717</v>
      </c>
      <c r="BZ99" s="71">
        <f>IF(Bankingbook_MSB[[#This Row],[Days]]&lt;=0,0,YEARFRAC(RPT,Bankingbook_MSB[[#This Row],[Mat. Date]],3))</f>
        <v>0</v>
      </c>
      <c r="CA99" s="71">
        <f>IF(Bankingbook_MSB[[#This Row],[Days (year)]]=0,0,INDEX(Ref!$K$2:$K$13,MATCH(Bankingbook_MSB[[#This Row],[Days (year)]],Ref!$I$2:$I$13,1)))</f>
        <v>0</v>
      </c>
      <c r="CB99" s="32" t="str">
        <f>VLOOKUP(Bankingbook_MSB[[#This Row],[Security Name]],Ref!X:Z,3,0)</f>
        <v>TPCP</v>
      </c>
      <c r="CC99" s="32" t="str">
        <f>VLOOKUP(Bankingbook_MSB[[#This Row],[Security Name]],Ref!X:Y,2,0)</f>
        <v>KBNN</v>
      </c>
      <c r="CD99" s="72">
        <f>IF((Bankingbook_MSB[[#This Row],[Mat. Date]]-RPT)&lt;=0,0,Bankingbook_MSB[[#This Row],[QUANTITY]])</f>
        <v>0</v>
      </c>
      <c r="CE99" s="71">
        <f>IF(Bankingbook_MSB[[#This Row],[Quantity_edited]]=0,0,Bankingbook_MSB[[#This Row],[DURATION]])</f>
        <v>0</v>
      </c>
      <c r="CF99" s="71">
        <f>IF(Bankingbook_MSB[[#This Row],[Quantity_edited]]=0,0,Bankingbook_MSB[[#This Row],[Mod Dur]])</f>
        <v>0</v>
      </c>
      <c r="CG99" s="71">
        <f>IF(Bankingbook_MSB[[#This Row],[Quantity_edited]]=0,0,Bankingbook_MSB[[#This Row],[Cnvx.]])</f>
        <v>0</v>
      </c>
      <c r="CH99" s="71">
        <f>(Bankingbook_MSB[[#This Row],[MARKET_VALUE]]+Bankingbook_MSB[[#This Row],[Accr Int]]*Bankingbook_MSB[[#This Row],[Quantity_edited]])*(-Bankingbook_MSB[[#This Row],[Modified Duration]]*0.0001+0.5*Bankingbook_MSB[[#This Row],[Conv]]*(0.0001^2))</f>
        <v>0</v>
      </c>
      <c r="CI99" s="71">
        <f>(Bankingbook_MSB[[#This Row],[MARKET_VALUE]]+Bankingbook_MSB[[#This Row],[Accr Int]]*Bankingbook_MSB[[#This Row],[Quantity_edited]])*(-Bankingbook_MSB[[#This Row],[Modified Duration]]*0.01+0.5*Bankingbook_MSB[[#This Row],[Conv]]*(0.01^2))</f>
        <v>0</v>
      </c>
      <c r="CL99" t="s">
        <v>166</v>
      </c>
      <c r="CM99" t="s">
        <v>167</v>
      </c>
      <c r="CN99" t="s">
        <v>275</v>
      </c>
      <c r="CO99" t="s">
        <v>169</v>
      </c>
      <c r="CP99" s="35">
        <v>42390</v>
      </c>
      <c r="CQ99" t="s">
        <v>3322</v>
      </c>
      <c r="CR99" t="s">
        <v>174</v>
      </c>
      <c r="CS99" t="s">
        <v>174</v>
      </c>
      <c r="CT99" s="49">
        <v>0</v>
      </c>
      <c r="CU99">
        <v>0</v>
      </c>
      <c r="CV99">
        <v>0</v>
      </c>
      <c r="CW99" s="70">
        <v>0</v>
      </c>
      <c r="CX99">
        <v>7.9</v>
      </c>
      <c r="CY99">
        <v>0</v>
      </c>
      <c r="CZ99">
        <v>0</v>
      </c>
      <c r="DA99">
        <v>0</v>
      </c>
      <c r="DB99">
        <v>-1705068980.4166698</v>
      </c>
      <c r="DC99">
        <v>7.9</v>
      </c>
      <c r="DD99">
        <v>0</v>
      </c>
      <c r="DE99">
        <v>0</v>
      </c>
      <c r="DF99">
        <v>0</v>
      </c>
      <c r="DG99">
        <v>0</v>
      </c>
      <c r="DH99">
        <v>0</v>
      </c>
      <c r="DI99">
        <v>0</v>
      </c>
      <c r="DJ99" s="500">
        <v>5339500000</v>
      </c>
      <c r="DK99" s="500">
        <v>0</v>
      </c>
      <c r="DL99" s="37">
        <v>5339500000</v>
      </c>
      <c r="DM99" s="37">
        <v>5339500000</v>
      </c>
      <c r="DN99" s="37">
        <v>5339500000</v>
      </c>
      <c r="DO99" s="37">
        <v>5339500000</v>
      </c>
      <c r="DP99" s="32">
        <f>Tradingbook_SBV[[#This Row],[Mat. Date]]-RPT</f>
        <v>-3862</v>
      </c>
      <c r="DQ99" s="32">
        <f>IF(Tradingbook_SBV[[#This Row],[Days]]&lt;=0,0,YEARFRAC(RPT,Tradingbook_SBV[[#This Row],[Mat. Date]],3))</f>
        <v>0</v>
      </c>
      <c r="DR99" s="32">
        <f>IF(Tradingbook_SBV[[#This Row],[Days (year)]]=0,0,INDEX(Ref!$K$2:$K$13,MATCH(Tradingbook_SBV[[#This Row],[Days (year)]],Ref!$I$2:$I$13,1)))</f>
        <v>0</v>
      </c>
      <c r="DS99" s="32" t="str">
        <f>VLOOKUP(Tradingbook_SBV[[#This Row],[Security Name]],Ref!X:Z,3,0)</f>
        <v>TPCPBL</v>
      </c>
      <c r="DT99" s="32" t="str">
        <f>VLOOKUP(Tradingbook_SBV[[#This Row],[Security Name]],Ref!X:Y,2,0)</f>
        <v>VDB</v>
      </c>
      <c r="DU99" s="71">
        <f>IF((Tradingbook_SBV[[#This Row],[Mat. Date]]-RPT)&lt;=0,0,Tradingbook_SBV[[#This Row],[QUANTITY]])</f>
        <v>0</v>
      </c>
      <c r="DV99" s="71">
        <f>IF(Tradingbook_SBV[[#This Row],[Quantity_edited]]=0,0,Tradingbook_SBV[[#This Row],[DURATION]])</f>
        <v>0</v>
      </c>
      <c r="DW99" s="71">
        <f>IF(Tradingbook_SBV[[#This Row],[Quantity_edited]]=0,0,Tradingbook_SBV[[#This Row],[Mod Dur]])</f>
        <v>0</v>
      </c>
      <c r="DX99" s="71">
        <f>IF(Tradingbook_SBV[[#This Row],[Quantity_edited]]=0,0,Tradingbook_SBV[[#This Row],[Cnvx.]])</f>
        <v>0</v>
      </c>
      <c r="DY99" s="71">
        <f>(Tradingbook_SBV[[#This Row],[MARKET_VALUE]]+Tradingbook_SBV[[#This Row],[Accr Int]]*Tradingbook_SBV[[#This Row],[Quantity_edited]])*(-Tradingbook_SBV[[#This Row],[Modified Duration]]*0.0001+0.5*Tradingbook_SBV[[#This Row],[Conv]]*(0.0001^2))</f>
        <v>0</v>
      </c>
      <c r="DZ99" s="71">
        <f>(Tradingbook_SBV[[#This Row],[MARKET_VALUE]]+Tradingbook_SBV[[#This Row],[Accr Int]]*Tradingbook_SBV[[#This Row],[Quantity_edited]])*(-Tradingbook_SBV[[#This Row],[Modified Duration]]*0.01+0.5*Tradingbook_SBV[[#This Row],[Conv]]*(0.01^2))</f>
        <v>0</v>
      </c>
      <c r="EC99" t="s">
        <v>166</v>
      </c>
      <c r="ED99" t="s">
        <v>167</v>
      </c>
      <c r="EE99" t="s">
        <v>492</v>
      </c>
      <c r="EF99" t="s">
        <v>169</v>
      </c>
      <c r="EG99" s="35" t="s">
        <v>3741</v>
      </c>
      <c r="EH99" t="s">
        <v>3322</v>
      </c>
      <c r="EK99" s="500">
        <v>0</v>
      </c>
      <c r="EL99" s="500">
        <v>0</v>
      </c>
      <c r="EM99" s="500">
        <v>0</v>
      </c>
      <c r="EN99" s="500">
        <v>0</v>
      </c>
      <c r="EO99">
        <v>5.2</v>
      </c>
      <c r="EP99">
        <v>0</v>
      </c>
      <c r="EQ99">
        <v>-2600000000</v>
      </c>
      <c r="ER99">
        <v>-2737955638.8888912</v>
      </c>
      <c r="ES99">
        <v>1737024917.5000248</v>
      </c>
      <c r="ET99">
        <v>0</v>
      </c>
      <c r="EU99">
        <v>0</v>
      </c>
      <c r="EV99">
        <v>0</v>
      </c>
      <c r="EW99">
        <v>0</v>
      </c>
      <c r="EX99">
        <v>0</v>
      </c>
      <c r="EY99">
        <v>0</v>
      </c>
      <c r="EZ99">
        <v>0</v>
      </c>
      <c r="FA99">
        <v>-555000000</v>
      </c>
      <c r="FB99">
        <v>0</v>
      </c>
      <c r="FC99">
        <v>-555000000</v>
      </c>
      <c r="FD99">
        <v>-555000000</v>
      </c>
      <c r="FE99">
        <v>-555000000</v>
      </c>
      <c r="FF99">
        <v>-555000000</v>
      </c>
      <c r="FG99" s="32">
        <f>Bankingbook_SBV[[#This Row],[Mat. Date]]-RPT</f>
        <v>-1728</v>
      </c>
      <c r="FH99" s="32">
        <f>IF(Bankingbook_SBV[[#This Row],[Days]]&lt;=0,0,YEARFRAC(RPT,Bankingbook_SBV[[#This Row],[Mat. Date]],3))</f>
        <v>0</v>
      </c>
      <c r="FI99" s="32">
        <f>IF(Bankingbook_SBV[[#This Row],[Days (year)]]=0,0,INDEX(Ref!$K$2:$K$13,MATCH(Bankingbook_SBV[[#This Row],[Days (year)]],Ref!$I$2:$I$13,1)))</f>
        <v>0</v>
      </c>
      <c r="FJ99" s="32" t="str">
        <f>VLOOKUP(Bankingbook_SBV[[#This Row],[Security Name]],Ref!X:Z,3,0)</f>
        <v>TPCP</v>
      </c>
      <c r="FK99" s="32" t="str">
        <f>VLOOKUP(Bankingbook_SBV[[#This Row],[Security Name]],Ref!X:Y,2,0)</f>
        <v>KBNN</v>
      </c>
      <c r="FL99" s="72">
        <f>IF((Bankingbook_SBV[[#This Row],[Mat. Date]]-RPT)&lt;=0,0,Bankingbook_SBV[[#This Row],[QUANTITY]])</f>
        <v>0</v>
      </c>
      <c r="FM99" s="32">
        <f>IF(Bankingbook_SBV[[#This Row],[Quantity_edited]]=0,0,Bankingbook_SBV[[#This Row],[DURATION]])</f>
        <v>0</v>
      </c>
      <c r="FN99" s="32">
        <f>IF(Bankingbook_SBV[[#This Row],[Quantity_edited]]=0,0,Bankingbook_SBV[[#This Row],[Mod Dur]])</f>
        <v>0</v>
      </c>
      <c r="FO99" s="32">
        <f>IF(Bankingbook_SBV[[#This Row],[Quantity_edited]]=0,0,Bankingbook_SBV[[#This Row],[Cnvx.]])</f>
        <v>0</v>
      </c>
      <c r="FP99" s="32">
        <f>(Bankingbook_SBV[[#This Row],[MARKET_VALUE]]+Bankingbook_SBV[[#This Row],[Accr Int]]*Bankingbook_SBV[[#This Row],[Quantity_edited]])*(-Bankingbook_SBV[[#This Row],[Modified Duration]]*0.0001+0.5*Bankingbook_SBV[[#This Row],[Conv]]*(0.0001^2))</f>
        <v>0</v>
      </c>
      <c r="FQ99" s="32">
        <f>(Bankingbook_SBV[[#This Row],[MARKET_VALUE]]+Bankingbook_SBV[[#This Row],[Accr Int]]*Bankingbook_SBV[[#This Row],[Quantity_edited]])*(-Bankingbook_SBV[[#This Row],[Modified Duration]]*0.01+0.5*Bankingbook_SBV[[#This Row],[Conv]]*(0.01^2))</f>
        <v>0</v>
      </c>
    </row>
    <row r="100" spans="2:173" x14ac:dyDescent="0.3">
      <c r="B100" t="s">
        <v>166</v>
      </c>
      <c r="C100" t="s">
        <v>167</v>
      </c>
      <c r="D100" t="s">
        <v>276</v>
      </c>
      <c r="E100" t="s">
        <v>169</v>
      </c>
      <c r="F100" s="502">
        <v>42395</v>
      </c>
      <c r="G100" t="s">
        <v>3322</v>
      </c>
      <c r="H100"/>
      <c r="I100"/>
      <c r="J100" s="38">
        <v>0</v>
      </c>
      <c r="K100">
        <v>0</v>
      </c>
      <c r="L100">
        <v>0</v>
      </c>
      <c r="M100" s="38">
        <v>0</v>
      </c>
      <c r="N100">
        <v>11.5</v>
      </c>
      <c r="O100">
        <v>0</v>
      </c>
      <c r="P100" s="37">
        <v>80500000000</v>
      </c>
      <c r="Q100" s="37">
        <v>89640827708.333374</v>
      </c>
      <c r="R100" s="37">
        <v>-53106796494.722252</v>
      </c>
      <c r="S100">
        <v>11.5</v>
      </c>
      <c r="T100" s="70">
        <v>0</v>
      </c>
      <c r="U100">
        <v>0</v>
      </c>
      <c r="V100">
        <v>0</v>
      </c>
      <c r="W100">
        <v>0</v>
      </c>
      <c r="X100" s="38">
        <v>0</v>
      </c>
      <c r="Y100">
        <v>0</v>
      </c>
      <c r="Z100" s="70">
        <v>17133000000</v>
      </c>
      <c r="AA100" s="70">
        <v>0</v>
      </c>
      <c r="AB100" s="70">
        <v>17133000000</v>
      </c>
      <c r="AC100" s="70">
        <v>17133000000</v>
      </c>
      <c r="AD100" s="70">
        <v>17133000000</v>
      </c>
      <c r="AE100" s="70">
        <v>17133000000</v>
      </c>
      <c r="AF100">
        <v>0</v>
      </c>
      <c r="AG100" s="72">
        <f>Tradingbook_MSB[[#This Row],[Mat. Date]]-RPT</f>
        <v>-3857</v>
      </c>
      <c r="AH100" s="71">
        <f>IF(Tradingbook_MSB[[#This Row],[Days]]&lt;=0,0,YEARFRAC(RPT,Tradingbook_MSB[[#This Row],[Mat. Date]],3))</f>
        <v>0</v>
      </c>
      <c r="AI100" s="71">
        <f>IF(Tradingbook_MSB[[#This Row],[Days (year)]]=0,0,INDEX(Ref!$K$2:$K$13,MATCH(Tradingbook_MSB[[#This Row],[Days (year)]],Ref!$I$2:$I$13,1)))</f>
        <v>0</v>
      </c>
      <c r="AJ100" s="120" t="str">
        <f>VLOOKUP(Tradingbook_MSB[[#This Row],[Security Name]],Ref!X:Z,3,0)</f>
        <v>TPCPBL</v>
      </c>
      <c r="AK100" s="120" t="str">
        <f>VLOOKUP(Tradingbook_MSB[[#This Row],[Security Name]],Ref!X:Y,2,0)</f>
        <v>VDB</v>
      </c>
      <c r="AL100" s="71">
        <f>IF((Tradingbook_MSB[[#This Row],[Mat. Date]]-RPT)&lt;=0,0,Tradingbook_MSB[[#This Row],[QUANTITY]])</f>
        <v>0</v>
      </c>
      <c r="AM100" s="71">
        <f>IF(Tradingbook_MSB[[#This Row],[Quantity_edited]]=0,0,Tradingbook_MSB[[#This Row],[DURATION]])</f>
        <v>0</v>
      </c>
      <c r="AN100" s="71">
        <f>IF(Tradingbook_MSB[[#This Row],[Quantity_edited]]=0,0,Tradingbook_MSB[[#This Row],[Mod Dur]])</f>
        <v>0</v>
      </c>
      <c r="AO100" s="71">
        <f>IF(Tradingbook_MSB[[#This Row],[Quantity_edited]]=0,0,Tradingbook_MSB[[#This Row],[Cnvx.]])</f>
        <v>0</v>
      </c>
      <c r="AP100" s="71">
        <f>(Tradingbook_MSB[[#This Row],[MARKET_VALUE]]+Tradingbook_MSB[[#This Row],[Accr Int]]*Tradingbook_MSB[[#This Row],[Quantity_edited]])*(-Tradingbook_MSB[[#This Row],[Modified Duration]]*0.0001+0.5*Tradingbook_MSB[[#This Row],[Conv]]*(0.0001^2))</f>
        <v>0</v>
      </c>
      <c r="AQ100" s="72">
        <f>(Tradingbook_MSB[[#This Row],[MARKET_VALUE]]+Tradingbook_MSB[[#This Row],[Accr Int]]*Tradingbook_MSB[[#This Row],[Quantity_edited]])*(-Tradingbook_MSB[[#This Row],[Modified Duration]]*0.01+0.5*Tradingbook_MSB[[#This Row],[Conv]]*(0.01^2))</f>
        <v>0</v>
      </c>
      <c r="AR100" s="71"/>
      <c r="AT100" t="s">
        <v>166</v>
      </c>
      <c r="AU100" t="s">
        <v>167</v>
      </c>
      <c r="AV100" t="s">
        <v>538</v>
      </c>
      <c r="AW100" t="s">
        <v>169</v>
      </c>
      <c r="AX100" t="s">
        <v>3403</v>
      </c>
      <c r="AY100" t="s">
        <v>3322</v>
      </c>
      <c r="BB100">
        <v>0</v>
      </c>
      <c r="BC100">
        <v>0</v>
      </c>
      <c r="BD100">
        <v>0</v>
      </c>
      <c r="BE100" s="37">
        <v>0</v>
      </c>
      <c r="BF100">
        <v>7.3</v>
      </c>
      <c r="BG100">
        <v>0</v>
      </c>
      <c r="BH100">
        <v>40150000000</v>
      </c>
      <c r="BI100">
        <v>47418355513.888794</v>
      </c>
      <c r="BJ100">
        <v>-28247822205.416138</v>
      </c>
      <c r="BK100">
        <v>7.3</v>
      </c>
      <c r="BL100">
        <v>0</v>
      </c>
      <c r="BM100">
        <v>0</v>
      </c>
      <c r="BN100">
        <v>0</v>
      </c>
      <c r="BO100">
        <v>0</v>
      </c>
      <c r="BP100">
        <v>0</v>
      </c>
      <c r="BQ100">
        <v>0</v>
      </c>
      <c r="BR100">
        <v>-13961500000</v>
      </c>
      <c r="BS100">
        <v>0</v>
      </c>
      <c r="BT100">
        <v>-13961500000</v>
      </c>
      <c r="BU100">
        <v>-13961500000</v>
      </c>
      <c r="BV100">
        <v>-13961500000</v>
      </c>
      <c r="BW100">
        <v>-13961500000</v>
      </c>
      <c r="BX100">
        <v>0</v>
      </c>
      <c r="BY100" s="32">
        <f>Bankingbook_MSB[[#This Row],[Mat. Date]]-RPT</f>
        <v>-702</v>
      </c>
      <c r="BZ100" s="71">
        <f>IF(Bankingbook_MSB[[#This Row],[Days]]&lt;=0,0,YEARFRAC(RPT,Bankingbook_MSB[[#This Row],[Mat. Date]],3))</f>
        <v>0</v>
      </c>
      <c r="CA100" s="71">
        <f>IF(Bankingbook_MSB[[#This Row],[Days (year)]]=0,0,INDEX(Ref!$K$2:$K$13,MATCH(Bankingbook_MSB[[#This Row],[Days (year)]],Ref!$I$2:$I$13,1)))</f>
        <v>0</v>
      </c>
      <c r="CB100" s="32" t="str">
        <f>VLOOKUP(Bankingbook_MSB[[#This Row],[Security Name]],Ref!X:Z,3,0)</f>
        <v>TPCP</v>
      </c>
      <c r="CC100" s="32" t="str">
        <f>VLOOKUP(Bankingbook_MSB[[#This Row],[Security Name]],Ref!X:Y,2,0)</f>
        <v>KBNN</v>
      </c>
      <c r="CD100" s="72">
        <f>IF((Bankingbook_MSB[[#This Row],[Mat. Date]]-RPT)&lt;=0,0,Bankingbook_MSB[[#This Row],[QUANTITY]])</f>
        <v>0</v>
      </c>
      <c r="CE100" s="71">
        <f>IF(Bankingbook_MSB[[#This Row],[Quantity_edited]]=0,0,Bankingbook_MSB[[#This Row],[DURATION]])</f>
        <v>0</v>
      </c>
      <c r="CF100" s="71">
        <f>IF(Bankingbook_MSB[[#This Row],[Quantity_edited]]=0,0,Bankingbook_MSB[[#This Row],[Mod Dur]])</f>
        <v>0</v>
      </c>
      <c r="CG100" s="71">
        <f>IF(Bankingbook_MSB[[#This Row],[Quantity_edited]]=0,0,Bankingbook_MSB[[#This Row],[Cnvx.]])</f>
        <v>0</v>
      </c>
      <c r="CH100" s="71">
        <f>(Bankingbook_MSB[[#This Row],[MARKET_VALUE]]+Bankingbook_MSB[[#This Row],[Accr Int]]*Bankingbook_MSB[[#This Row],[Quantity_edited]])*(-Bankingbook_MSB[[#This Row],[Modified Duration]]*0.0001+0.5*Bankingbook_MSB[[#This Row],[Conv]]*(0.0001^2))</f>
        <v>0</v>
      </c>
      <c r="CI100" s="71">
        <f>(Bankingbook_MSB[[#This Row],[MARKET_VALUE]]+Bankingbook_MSB[[#This Row],[Accr Int]]*Bankingbook_MSB[[#This Row],[Quantity_edited]])*(-Bankingbook_MSB[[#This Row],[Modified Duration]]*0.01+0.5*Bankingbook_MSB[[#This Row],[Conv]]*(0.01^2))</f>
        <v>0</v>
      </c>
      <c r="CL100" t="s">
        <v>166</v>
      </c>
      <c r="CM100" t="s">
        <v>167</v>
      </c>
      <c r="CN100" t="s">
        <v>276</v>
      </c>
      <c r="CO100" t="s">
        <v>169</v>
      </c>
      <c r="CP100" s="35">
        <v>42395</v>
      </c>
      <c r="CQ100" t="s">
        <v>3322</v>
      </c>
      <c r="CR100" t="s">
        <v>174</v>
      </c>
      <c r="CS100" t="s">
        <v>174</v>
      </c>
      <c r="CT100" s="49">
        <v>0</v>
      </c>
      <c r="CU100">
        <v>0</v>
      </c>
      <c r="CV100">
        <v>0</v>
      </c>
      <c r="CW100" s="70">
        <v>0</v>
      </c>
      <c r="CX100">
        <v>11.5</v>
      </c>
      <c r="CY100">
        <v>0</v>
      </c>
      <c r="CZ100">
        <v>80500000000</v>
      </c>
      <c r="DA100">
        <v>89640827708.333374</v>
      </c>
      <c r="DB100">
        <v>-53106796494.722252</v>
      </c>
      <c r="DC100">
        <v>11.5</v>
      </c>
      <c r="DD100">
        <v>0</v>
      </c>
      <c r="DE100">
        <v>0</v>
      </c>
      <c r="DF100">
        <v>0</v>
      </c>
      <c r="DG100">
        <v>0</v>
      </c>
      <c r="DH100">
        <v>0</v>
      </c>
      <c r="DI100">
        <v>0</v>
      </c>
      <c r="DJ100" s="500">
        <v>17133000000</v>
      </c>
      <c r="DK100" s="500">
        <v>0</v>
      </c>
      <c r="DL100" s="37">
        <v>17133000000</v>
      </c>
      <c r="DM100" s="37">
        <v>17133000000</v>
      </c>
      <c r="DN100" s="37">
        <v>17133000000</v>
      </c>
      <c r="DO100" s="37">
        <v>17133000000</v>
      </c>
      <c r="DP100" s="32">
        <f>Tradingbook_SBV[[#This Row],[Mat. Date]]-RPT</f>
        <v>-3857</v>
      </c>
      <c r="DQ100" s="32">
        <f>IF(Tradingbook_SBV[[#This Row],[Days]]&lt;=0,0,YEARFRAC(RPT,Tradingbook_SBV[[#This Row],[Mat. Date]],3))</f>
        <v>0</v>
      </c>
      <c r="DR100" s="32">
        <f>IF(Tradingbook_SBV[[#This Row],[Days (year)]]=0,0,INDEX(Ref!$K$2:$K$13,MATCH(Tradingbook_SBV[[#This Row],[Days (year)]],Ref!$I$2:$I$13,1)))</f>
        <v>0</v>
      </c>
      <c r="DS100" s="32" t="str">
        <f>VLOOKUP(Tradingbook_SBV[[#This Row],[Security Name]],Ref!X:Z,3,0)</f>
        <v>TPCPBL</v>
      </c>
      <c r="DT100" s="32" t="str">
        <f>VLOOKUP(Tradingbook_SBV[[#This Row],[Security Name]],Ref!X:Y,2,0)</f>
        <v>VDB</v>
      </c>
      <c r="DU100" s="71">
        <f>IF((Tradingbook_SBV[[#This Row],[Mat. Date]]-RPT)&lt;=0,0,Tradingbook_SBV[[#This Row],[QUANTITY]])</f>
        <v>0</v>
      </c>
      <c r="DV100" s="71">
        <f>IF(Tradingbook_SBV[[#This Row],[Quantity_edited]]=0,0,Tradingbook_SBV[[#This Row],[DURATION]])</f>
        <v>0</v>
      </c>
      <c r="DW100" s="71">
        <f>IF(Tradingbook_SBV[[#This Row],[Quantity_edited]]=0,0,Tradingbook_SBV[[#This Row],[Mod Dur]])</f>
        <v>0</v>
      </c>
      <c r="DX100" s="71">
        <f>IF(Tradingbook_SBV[[#This Row],[Quantity_edited]]=0,0,Tradingbook_SBV[[#This Row],[Cnvx.]])</f>
        <v>0</v>
      </c>
      <c r="DY100" s="71">
        <f>(Tradingbook_SBV[[#This Row],[MARKET_VALUE]]+Tradingbook_SBV[[#This Row],[Accr Int]]*Tradingbook_SBV[[#This Row],[Quantity_edited]])*(-Tradingbook_SBV[[#This Row],[Modified Duration]]*0.0001+0.5*Tradingbook_SBV[[#This Row],[Conv]]*(0.0001^2))</f>
        <v>0</v>
      </c>
      <c r="DZ100" s="71">
        <f>(Tradingbook_SBV[[#This Row],[MARKET_VALUE]]+Tradingbook_SBV[[#This Row],[Accr Int]]*Tradingbook_SBV[[#This Row],[Quantity_edited]])*(-Tradingbook_SBV[[#This Row],[Modified Duration]]*0.01+0.5*Tradingbook_SBV[[#This Row],[Conv]]*(0.01^2))</f>
        <v>0</v>
      </c>
      <c r="EC100" t="s">
        <v>166</v>
      </c>
      <c r="ED100" t="s">
        <v>167</v>
      </c>
      <c r="EE100" t="s">
        <v>493</v>
      </c>
      <c r="EF100" t="s">
        <v>169</v>
      </c>
      <c r="EG100" s="35" t="s">
        <v>494</v>
      </c>
      <c r="EH100" t="s">
        <v>3322</v>
      </c>
      <c r="EK100" s="500">
        <v>0</v>
      </c>
      <c r="EL100" s="500">
        <v>0</v>
      </c>
      <c r="EM100" s="500">
        <v>0</v>
      </c>
      <c r="EN100" s="500">
        <v>0</v>
      </c>
      <c r="EO100">
        <v>9</v>
      </c>
      <c r="EP100">
        <v>0</v>
      </c>
      <c r="EQ100">
        <v>27000000000</v>
      </c>
      <c r="ER100">
        <v>28718113125.000031</v>
      </c>
      <c r="ES100">
        <v>-8219438784.7918606</v>
      </c>
      <c r="ET100">
        <v>0</v>
      </c>
      <c r="EU100">
        <v>0</v>
      </c>
      <c r="EV100">
        <v>0</v>
      </c>
      <c r="EW100">
        <v>0</v>
      </c>
      <c r="EX100">
        <v>0</v>
      </c>
      <c r="EY100">
        <v>0</v>
      </c>
      <c r="EZ100">
        <v>0</v>
      </c>
      <c r="FA100">
        <v>-4945500000</v>
      </c>
      <c r="FB100">
        <v>0</v>
      </c>
      <c r="FC100">
        <v>-4945500000</v>
      </c>
      <c r="FD100">
        <v>-4945500000</v>
      </c>
      <c r="FE100">
        <v>-4945500000</v>
      </c>
      <c r="FF100">
        <v>-4945500000</v>
      </c>
      <c r="FG100" s="32">
        <f>Bankingbook_SBV[[#This Row],[Mat. Date]]-RPT</f>
        <v>-1722</v>
      </c>
      <c r="FH100" s="32">
        <f>IF(Bankingbook_SBV[[#This Row],[Days]]&lt;=0,0,YEARFRAC(RPT,Bankingbook_SBV[[#This Row],[Mat. Date]],3))</f>
        <v>0</v>
      </c>
      <c r="FI100" s="32">
        <f>IF(Bankingbook_SBV[[#This Row],[Days (year)]]=0,0,INDEX(Ref!$K$2:$K$13,MATCH(Bankingbook_SBV[[#This Row],[Days (year)]],Ref!$I$2:$I$13,1)))</f>
        <v>0</v>
      </c>
      <c r="FJ100" s="32" t="str">
        <f>VLOOKUP(Bankingbook_SBV[[#This Row],[Security Name]],Ref!X:Z,3,0)</f>
        <v>TPCP</v>
      </c>
      <c r="FK100" s="32" t="str">
        <f>VLOOKUP(Bankingbook_SBV[[#This Row],[Security Name]],Ref!X:Y,2,0)</f>
        <v>VDB</v>
      </c>
      <c r="FL100" s="72">
        <f>IF((Bankingbook_SBV[[#This Row],[Mat. Date]]-RPT)&lt;=0,0,Bankingbook_SBV[[#This Row],[QUANTITY]])</f>
        <v>0</v>
      </c>
      <c r="FM100" s="32">
        <f>IF(Bankingbook_SBV[[#This Row],[Quantity_edited]]=0,0,Bankingbook_SBV[[#This Row],[DURATION]])</f>
        <v>0</v>
      </c>
      <c r="FN100" s="32">
        <f>IF(Bankingbook_SBV[[#This Row],[Quantity_edited]]=0,0,Bankingbook_SBV[[#This Row],[Mod Dur]])</f>
        <v>0</v>
      </c>
      <c r="FO100" s="32">
        <f>IF(Bankingbook_SBV[[#This Row],[Quantity_edited]]=0,0,Bankingbook_SBV[[#This Row],[Cnvx.]])</f>
        <v>0</v>
      </c>
      <c r="FP100" s="32">
        <f>(Bankingbook_SBV[[#This Row],[MARKET_VALUE]]+Bankingbook_SBV[[#This Row],[Accr Int]]*Bankingbook_SBV[[#This Row],[Quantity_edited]])*(-Bankingbook_SBV[[#This Row],[Modified Duration]]*0.0001+0.5*Bankingbook_SBV[[#This Row],[Conv]]*(0.0001^2))</f>
        <v>0</v>
      </c>
      <c r="FQ100" s="32">
        <f>(Bankingbook_SBV[[#This Row],[MARKET_VALUE]]+Bankingbook_SBV[[#This Row],[Accr Int]]*Bankingbook_SBV[[#This Row],[Quantity_edited]])*(-Bankingbook_SBV[[#This Row],[Modified Duration]]*0.01+0.5*Bankingbook_SBV[[#This Row],[Conv]]*(0.01^2))</f>
        <v>0</v>
      </c>
    </row>
    <row r="101" spans="2:173" x14ac:dyDescent="0.3">
      <c r="B101" t="s">
        <v>166</v>
      </c>
      <c r="C101" t="s">
        <v>167</v>
      </c>
      <c r="D101" t="s">
        <v>277</v>
      </c>
      <c r="E101" t="s">
        <v>169</v>
      </c>
      <c r="F101" s="502">
        <v>42396</v>
      </c>
      <c r="G101" t="s">
        <v>3322</v>
      </c>
      <c r="H101"/>
      <c r="I101"/>
      <c r="J101" s="38">
        <v>0</v>
      </c>
      <c r="K101">
        <v>0</v>
      </c>
      <c r="L101">
        <v>0</v>
      </c>
      <c r="M101" s="38">
        <v>0</v>
      </c>
      <c r="N101">
        <v>8</v>
      </c>
      <c r="O101">
        <v>0</v>
      </c>
      <c r="P101" s="37">
        <v>0</v>
      </c>
      <c r="Q101" s="37">
        <v>0</v>
      </c>
      <c r="R101" s="37">
        <v>-4408775533.3333321</v>
      </c>
      <c r="S101">
        <v>8</v>
      </c>
      <c r="T101" s="70">
        <v>0</v>
      </c>
      <c r="U101">
        <v>0</v>
      </c>
      <c r="V101">
        <v>0</v>
      </c>
      <c r="W101">
        <v>0</v>
      </c>
      <c r="X101" s="38">
        <v>0</v>
      </c>
      <c r="Y101">
        <v>0</v>
      </c>
      <c r="Z101" s="70">
        <v>6280000000</v>
      </c>
      <c r="AA101" s="70">
        <v>0</v>
      </c>
      <c r="AB101" s="70">
        <v>6280000000</v>
      </c>
      <c r="AC101" s="70">
        <v>6280000000</v>
      </c>
      <c r="AD101" s="70">
        <v>6280000000</v>
      </c>
      <c r="AE101" s="70">
        <v>6280000000</v>
      </c>
      <c r="AF101">
        <v>0</v>
      </c>
      <c r="AG101" s="72">
        <f>Tradingbook_MSB[[#This Row],[Mat. Date]]-RPT</f>
        <v>-3856</v>
      </c>
      <c r="AH101" s="71">
        <f>IF(Tradingbook_MSB[[#This Row],[Days]]&lt;=0,0,YEARFRAC(RPT,Tradingbook_MSB[[#This Row],[Mat. Date]],3))</f>
        <v>0</v>
      </c>
      <c r="AI101" s="71">
        <f>IF(Tradingbook_MSB[[#This Row],[Days (year)]]=0,0,INDEX(Ref!$K$2:$K$13,MATCH(Tradingbook_MSB[[#This Row],[Days (year)]],Ref!$I$2:$I$13,1)))</f>
        <v>0</v>
      </c>
      <c r="AJ101" s="120" t="str">
        <f>VLOOKUP(Tradingbook_MSB[[#This Row],[Security Name]],Ref!X:Z,3,0)</f>
        <v>TPCPBL</v>
      </c>
      <c r="AK101" s="120" t="str">
        <f>VLOOKUP(Tradingbook_MSB[[#This Row],[Security Name]],Ref!X:Y,2,0)</f>
        <v>VDB</v>
      </c>
      <c r="AL101" s="71">
        <f>IF((Tradingbook_MSB[[#This Row],[Mat. Date]]-RPT)&lt;=0,0,Tradingbook_MSB[[#This Row],[QUANTITY]])</f>
        <v>0</v>
      </c>
      <c r="AM101" s="71">
        <f>IF(Tradingbook_MSB[[#This Row],[Quantity_edited]]=0,0,Tradingbook_MSB[[#This Row],[DURATION]])</f>
        <v>0</v>
      </c>
      <c r="AN101" s="71">
        <f>IF(Tradingbook_MSB[[#This Row],[Quantity_edited]]=0,0,Tradingbook_MSB[[#This Row],[Mod Dur]])</f>
        <v>0</v>
      </c>
      <c r="AO101" s="71">
        <f>IF(Tradingbook_MSB[[#This Row],[Quantity_edited]]=0,0,Tradingbook_MSB[[#This Row],[Cnvx.]])</f>
        <v>0</v>
      </c>
      <c r="AP101" s="71">
        <f>(Tradingbook_MSB[[#This Row],[MARKET_VALUE]]+Tradingbook_MSB[[#This Row],[Accr Int]]*Tradingbook_MSB[[#This Row],[Quantity_edited]])*(-Tradingbook_MSB[[#This Row],[Modified Duration]]*0.0001+0.5*Tradingbook_MSB[[#This Row],[Conv]]*(0.0001^2))</f>
        <v>0</v>
      </c>
      <c r="AQ101" s="72">
        <f>(Tradingbook_MSB[[#This Row],[MARKET_VALUE]]+Tradingbook_MSB[[#This Row],[Accr Int]]*Tradingbook_MSB[[#This Row],[Quantity_edited]])*(-Tradingbook_MSB[[#This Row],[Modified Duration]]*0.01+0.5*Tradingbook_MSB[[#This Row],[Conv]]*(0.01^2))</f>
        <v>0</v>
      </c>
      <c r="AR101" s="71"/>
      <c r="AT101" t="s">
        <v>166</v>
      </c>
      <c r="AU101" t="s">
        <v>167</v>
      </c>
      <c r="AV101" t="s">
        <v>539</v>
      </c>
      <c r="AW101" t="s">
        <v>169</v>
      </c>
      <c r="AX101" t="s">
        <v>3404</v>
      </c>
      <c r="AY101" t="s">
        <v>170</v>
      </c>
      <c r="BB101">
        <v>1000000</v>
      </c>
      <c r="BC101">
        <v>100000000000</v>
      </c>
      <c r="BD101">
        <v>99961</v>
      </c>
      <c r="BE101" s="37">
        <v>0</v>
      </c>
      <c r="BF101">
        <v>7.3</v>
      </c>
      <c r="BG101">
        <v>0</v>
      </c>
      <c r="BH101">
        <v>73000000000</v>
      </c>
      <c r="BI101">
        <v>79536210124.999939</v>
      </c>
      <c r="BJ101">
        <v>-22945319566.944283</v>
      </c>
      <c r="BK101">
        <v>7.3</v>
      </c>
      <c r="BL101">
        <v>0</v>
      </c>
      <c r="BM101">
        <v>0</v>
      </c>
      <c r="BN101">
        <v>0</v>
      </c>
      <c r="BO101">
        <v>0</v>
      </c>
      <c r="BP101">
        <v>0</v>
      </c>
      <c r="BQ101">
        <v>0</v>
      </c>
      <c r="BR101">
        <v>39000000</v>
      </c>
      <c r="BS101">
        <v>0</v>
      </c>
      <c r="BT101">
        <v>39000000</v>
      </c>
      <c r="BU101">
        <v>39000000</v>
      </c>
      <c r="BV101">
        <v>39000000</v>
      </c>
      <c r="BW101">
        <v>39000000</v>
      </c>
      <c r="BX101">
        <v>7.3</v>
      </c>
      <c r="BY101" s="32">
        <f>Bankingbook_MSB[[#This Row],[Mat. Date]]-RPT</f>
        <v>-685</v>
      </c>
      <c r="BZ101" s="71">
        <f>IF(Bankingbook_MSB[[#This Row],[Days]]&lt;=0,0,YEARFRAC(RPT,Bankingbook_MSB[[#This Row],[Mat. Date]],3))</f>
        <v>0</v>
      </c>
      <c r="CA101" s="71">
        <f>IF(Bankingbook_MSB[[#This Row],[Days (year)]]=0,0,INDEX(Ref!$K$2:$K$13,MATCH(Bankingbook_MSB[[#This Row],[Days (year)]],Ref!$I$2:$I$13,1)))</f>
        <v>0</v>
      </c>
      <c r="CB101" s="32" t="str">
        <f>VLOOKUP(Bankingbook_MSB[[#This Row],[Security Name]],Ref!X:Z,3,0)</f>
        <v>TPCQĐP</v>
      </c>
      <c r="CC101" s="32" t="str">
        <f>VLOOKUP(Bankingbook_MSB[[#This Row],[Security Name]],Ref!X:Y,2,0)</f>
        <v>HIFU</v>
      </c>
      <c r="CD101" s="72">
        <f>IF((Bankingbook_MSB[[#This Row],[Mat. Date]]-RPT)&lt;=0,0,Bankingbook_MSB[[#This Row],[QUANTITY]])</f>
        <v>0</v>
      </c>
      <c r="CE101" s="71">
        <f>IF(Bankingbook_MSB[[#This Row],[Quantity_edited]]=0,0,Bankingbook_MSB[[#This Row],[DURATION]])</f>
        <v>0</v>
      </c>
      <c r="CF101" s="71">
        <f>IF(Bankingbook_MSB[[#This Row],[Quantity_edited]]=0,0,Bankingbook_MSB[[#This Row],[Mod Dur]])</f>
        <v>0</v>
      </c>
      <c r="CG101" s="71">
        <f>IF(Bankingbook_MSB[[#This Row],[Quantity_edited]]=0,0,Bankingbook_MSB[[#This Row],[Cnvx.]])</f>
        <v>0</v>
      </c>
      <c r="CH101" s="71">
        <f>(Bankingbook_MSB[[#This Row],[MARKET_VALUE]]+Bankingbook_MSB[[#This Row],[Accr Int]]*Bankingbook_MSB[[#This Row],[Quantity_edited]])*(-Bankingbook_MSB[[#This Row],[Modified Duration]]*0.0001+0.5*Bankingbook_MSB[[#This Row],[Conv]]*(0.0001^2))</f>
        <v>0</v>
      </c>
      <c r="CI101" s="71">
        <f>(Bankingbook_MSB[[#This Row],[MARKET_VALUE]]+Bankingbook_MSB[[#This Row],[Accr Int]]*Bankingbook_MSB[[#This Row],[Quantity_edited]])*(-Bankingbook_MSB[[#This Row],[Modified Duration]]*0.01+0.5*Bankingbook_MSB[[#This Row],[Conv]]*(0.01^2))</f>
        <v>0</v>
      </c>
      <c r="CL101" t="s">
        <v>166</v>
      </c>
      <c r="CM101" t="s">
        <v>167</v>
      </c>
      <c r="CN101" t="s">
        <v>277</v>
      </c>
      <c r="CO101" t="s">
        <v>169</v>
      </c>
      <c r="CP101" s="35">
        <v>42396</v>
      </c>
      <c r="CQ101" t="s">
        <v>3322</v>
      </c>
      <c r="CR101" t="s">
        <v>174</v>
      </c>
      <c r="CS101" t="s">
        <v>174</v>
      </c>
      <c r="CT101" s="49">
        <v>0</v>
      </c>
      <c r="CU101">
        <v>0</v>
      </c>
      <c r="CV101">
        <v>0</v>
      </c>
      <c r="CW101" s="70">
        <v>0</v>
      </c>
      <c r="CX101">
        <v>8</v>
      </c>
      <c r="CY101">
        <v>0</v>
      </c>
      <c r="CZ101">
        <v>0</v>
      </c>
      <c r="DA101">
        <v>0</v>
      </c>
      <c r="DB101">
        <v>-4408775533.3333321</v>
      </c>
      <c r="DC101">
        <v>8</v>
      </c>
      <c r="DD101">
        <v>0</v>
      </c>
      <c r="DE101">
        <v>0</v>
      </c>
      <c r="DF101">
        <v>0</v>
      </c>
      <c r="DG101">
        <v>0</v>
      </c>
      <c r="DH101">
        <v>0</v>
      </c>
      <c r="DI101">
        <v>0</v>
      </c>
      <c r="DJ101" s="500">
        <v>6280000000</v>
      </c>
      <c r="DK101" s="500">
        <v>0</v>
      </c>
      <c r="DL101" s="37">
        <v>6280000000</v>
      </c>
      <c r="DM101" s="37">
        <v>6280000000</v>
      </c>
      <c r="DN101" s="37">
        <v>6280000000</v>
      </c>
      <c r="DO101" s="37">
        <v>6280000000</v>
      </c>
      <c r="DP101" s="32">
        <f>Tradingbook_SBV[[#This Row],[Mat. Date]]-RPT</f>
        <v>-3856</v>
      </c>
      <c r="DQ101" s="32">
        <f>IF(Tradingbook_SBV[[#This Row],[Days]]&lt;=0,0,YEARFRAC(RPT,Tradingbook_SBV[[#This Row],[Mat. Date]],3))</f>
        <v>0</v>
      </c>
      <c r="DR101" s="32">
        <f>IF(Tradingbook_SBV[[#This Row],[Days (year)]]=0,0,INDEX(Ref!$K$2:$K$13,MATCH(Tradingbook_SBV[[#This Row],[Days (year)]],Ref!$I$2:$I$13,1)))</f>
        <v>0</v>
      </c>
      <c r="DS101" s="32" t="str">
        <f>VLOOKUP(Tradingbook_SBV[[#This Row],[Security Name]],Ref!X:Z,3,0)</f>
        <v>TPCPBL</v>
      </c>
      <c r="DT101" s="32" t="str">
        <f>VLOOKUP(Tradingbook_SBV[[#This Row],[Security Name]],Ref!X:Y,2,0)</f>
        <v>VDB</v>
      </c>
      <c r="DU101" s="71">
        <f>IF((Tradingbook_SBV[[#This Row],[Mat. Date]]-RPT)&lt;=0,0,Tradingbook_SBV[[#This Row],[QUANTITY]])</f>
        <v>0</v>
      </c>
      <c r="DV101" s="71">
        <f>IF(Tradingbook_SBV[[#This Row],[Quantity_edited]]=0,0,Tradingbook_SBV[[#This Row],[DURATION]])</f>
        <v>0</v>
      </c>
      <c r="DW101" s="71">
        <f>IF(Tradingbook_SBV[[#This Row],[Quantity_edited]]=0,0,Tradingbook_SBV[[#This Row],[Mod Dur]])</f>
        <v>0</v>
      </c>
      <c r="DX101" s="71">
        <f>IF(Tradingbook_SBV[[#This Row],[Quantity_edited]]=0,0,Tradingbook_SBV[[#This Row],[Cnvx.]])</f>
        <v>0</v>
      </c>
      <c r="DY101" s="71">
        <f>(Tradingbook_SBV[[#This Row],[MARKET_VALUE]]+Tradingbook_SBV[[#This Row],[Accr Int]]*Tradingbook_SBV[[#This Row],[Quantity_edited]])*(-Tradingbook_SBV[[#This Row],[Modified Duration]]*0.0001+0.5*Tradingbook_SBV[[#This Row],[Conv]]*(0.0001^2))</f>
        <v>0</v>
      </c>
      <c r="DZ101" s="71">
        <f>(Tradingbook_SBV[[#This Row],[MARKET_VALUE]]+Tradingbook_SBV[[#This Row],[Accr Int]]*Tradingbook_SBV[[#This Row],[Quantity_edited]])*(-Tradingbook_SBV[[#This Row],[Modified Duration]]*0.01+0.5*Tradingbook_SBV[[#This Row],[Conv]]*(0.01^2))</f>
        <v>0</v>
      </c>
      <c r="EC101" t="s">
        <v>166</v>
      </c>
      <c r="ED101" t="s">
        <v>167</v>
      </c>
      <c r="EE101" t="s">
        <v>496</v>
      </c>
      <c r="EF101" t="s">
        <v>169</v>
      </c>
      <c r="EG101" s="35" t="s">
        <v>3742</v>
      </c>
      <c r="EH101" t="s">
        <v>3322</v>
      </c>
      <c r="EK101" s="500">
        <v>0</v>
      </c>
      <c r="EL101" s="500">
        <v>0</v>
      </c>
      <c r="EM101" s="500">
        <v>0</v>
      </c>
      <c r="EN101" s="500">
        <v>0</v>
      </c>
      <c r="EO101">
        <v>5.0999999999999996</v>
      </c>
      <c r="EP101">
        <v>0</v>
      </c>
      <c r="EQ101">
        <v>1938000000</v>
      </c>
      <c r="ER101">
        <v>1971103731.6666651</v>
      </c>
      <c r="ES101">
        <v>-1813305972.5444498</v>
      </c>
      <c r="ET101">
        <v>0</v>
      </c>
      <c r="EU101">
        <v>0</v>
      </c>
      <c r="EV101">
        <v>0</v>
      </c>
      <c r="EW101">
        <v>0</v>
      </c>
      <c r="EX101">
        <v>0</v>
      </c>
      <c r="EY101">
        <v>0</v>
      </c>
      <c r="EZ101">
        <v>0</v>
      </c>
      <c r="FA101">
        <v>3406240000</v>
      </c>
      <c r="FB101">
        <v>0</v>
      </c>
      <c r="FC101">
        <v>3406240000</v>
      </c>
      <c r="FD101">
        <v>3406240000</v>
      </c>
      <c r="FE101">
        <v>3406240000</v>
      </c>
      <c r="FF101">
        <v>3406240000</v>
      </c>
      <c r="FG101" s="32">
        <f>Bankingbook_SBV[[#This Row],[Mat. Date]]-RPT</f>
        <v>-1703</v>
      </c>
      <c r="FH101" s="32">
        <f>IF(Bankingbook_SBV[[#This Row],[Days]]&lt;=0,0,YEARFRAC(RPT,Bankingbook_SBV[[#This Row],[Mat. Date]],3))</f>
        <v>0</v>
      </c>
      <c r="FI101" s="32">
        <f>IF(Bankingbook_SBV[[#This Row],[Days (year)]]=0,0,INDEX(Ref!$K$2:$K$13,MATCH(Bankingbook_SBV[[#This Row],[Days (year)]],Ref!$I$2:$I$13,1)))</f>
        <v>0</v>
      </c>
      <c r="FJ101" s="32" t="str">
        <f>VLOOKUP(Bankingbook_SBV[[#This Row],[Security Name]],Ref!X:Z,3,0)</f>
        <v>TPCPBL</v>
      </c>
      <c r="FK101" s="32" t="str">
        <f>VLOOKUP(Bankingbook_SBV[[#This Row],[Security Name]],Ref!X:Y,2,0)</f>
        <v>VDB</v>
      </c>
      <c r="FL101" s="72">
        <f>IF((Bankingbook_SBV[[#This Row],[Mat. Date]]-RPT)&lt;=0,0,Bankingbook_SBV[[#This Row],[QUANTITY]])</f>
        <v>0</v>
      </c>
      <c r="FM101" s="32">
        <f>IF(Bankingbook_SBV[[#This Row],[Quantity_edited]]=0,0,Bankingbook_SBV[[#This Row],[DURATION]])</f>
        <v>0</v>
      </c>
      <c r="FN101" s="32">
        <f>IF(Bankingbook_SBV[[#This Row],[Quantity_edited]]=0,0,Bankingbook_SBV[[#This Row],[Mod Dur]])</f>
        <v>0</v>
      </c>
      <c r="FO101" s="32">
        <f>IF(Bankingbook_SBV[[#This Row],[Quantity_edited]]=0,0,Bankingbook_SBV[[#This Row],[Cnvx.]])</f>
        <v>0</v>
      </c>
      <c r="FP101" s="32">
        <f>(Bankingbook_SBV[[#This Row],[MARKET_VALUE]]+Bankingbook_SBV[[#This Row],[Accr Int]]*Bankingbook_SBV[[#This Row],[Quantity_edited]])*(-Bankingbook_SBV[[#This Row],[Modified Duration]]*0.0001+0.5*Bankingbook_SBV[[#This Row],[Conv]]*(0.0001^2))</f>
        <v>0</v>
      </c>
      <c r="FQ101" s="32">
        <f>(Bankingbook_SBV[[#This Row],[MARKET_VALUE]]+Bankingbook_SBV[[#This Row],[Accr Int]]*Bankingbook_SBV[[#This Row],[Quantity_edited]])*(-Bankingbook_SBV[[#This Row],[Modified Duration]]*0.01+0.5*Bankingbook_SBV[[#This Row],[Conv]]*(0.01^2))</f>
        <v>0</v>
      </c>
    </row>
    <row r="102" spans="2:173" x14ac:dyDescent="0.3">
      <c r="B102" t="s">
        <v>166</v>
      </c>
      <c r="C102" t="s">
        <v>167</v>
      </c>
      <c r="D102" t="s">
        <v>278</v>
      </c>
      <c r="E102" t="s">
        <v>169</v>
      </c>
      <c r="F102" s="502">
        <v>42411</v>
      </c>
      <c r="G102" t="s">
        <v>3322</v>
      </c>
      <c r="H102"/>
      <c r="I102"/>
      <c r="J102" s="38">
        <v>0</v>
      </c>
      <c r="K102">
        <v>0</v>
      </c>
      <c r="L102">
        <v>0</v>
      </c>
      <c r="M102" s="38">
        <v>0</v>
      </c>
      <c r="N102">
        <v>11.5</v>
      </c>
      <c r="O102">
        <v>0</v>
      </c>
      <c r="P102" s="37">
        <v>28750000000</v>
      </c>
      <c r="Q102" s="37">
        <v>30644760763.888878</v>
      </c>
      <c r="R102" s="37">
        <v>-5674328688.8333187</v>
      </c>
      <c r="S102">
        <v>11.5</v>
      </c>
      <c r="T102" s="70">
        <v>0</v>
      </c>
      <c r="U102">
        <v>0</v>
      </c>
      <c r="V102">
        <v>0</v>
      </c>
      <c r="W102">
        <v>0</v>
      </c>
      <c r="X102" s="38">
        <v>0</v>
      </c>
      <c r="Y102">
        <v>0</v>
      </c>
      <c r="Z102" s="70">
        <v>29744600000</v>
      </c>
      <c r="AA102" s="70">
        <v>0</v>
      </c>
      <c r="AB102" s="70">
        <v>29744600000</v>
      </c>
      <c r="AC102" s="70">
        <v>29744600000</v>
      </c>
      <c r="AD102" s="70">
        <v>29744600000</v>
      </c>
      <c r="AE102" s="70">
        <v>29744600000</v>
      </c>
      <c r="AF102">
        <v>0</v>
      </c>
      <c r="AG102" s="72">
        <f>Tradingbook_MSB[[#This Row],[Mat. Date]]-RPT</f>
        <v>-3841</v>
      </c>
      <c r="AH102" s="71">
        <f>IF(Tradingbook_MSB[[#This Row],[Days]]&lt;=0,0,YEARFRAC(RPT,Tradingbook_MSB[[#This Row],[Mat. Date]],3))</f>
        <v>0</v>
      </c>
      <c r="AI102" s="71">
        <f>IF(Tradingbook_MSB[[#This Row],[Days (year)]]=0,0,INDEX(Ref!$K$2:$K$13,MATCH(Tradingbook_MSB[[#This Row],[Days (year)]],Ref!$I$2:$I$13,1)))</f>
        <v>0</v>
      </c>
      <c r="AJ102" s="120" t="str">
        <f>VLOOKUP(Tradingbook_MSB[[#This Row],[Security Name]],Ref!X:Z,3,0)</f>
        <v>TPCPBL</v>
      </c>
      <c r="AK102" s="120" t="str">
        <f>VLOOKUP(Tradingbook_MSB[[#This Row],[Security Name]],Ref!X:Y,2,0)</f>
        <v>VDB</v>
      </c>
      <c r="AL102" s="71">
        <f>IF((Tradingbook_MSB[[#This Row],[Mat. Date]]-RPT)&lt;=0,0,Tradingbook_MSB[[#This Row],[QUANTITY]])</f>
        <v>0</v>
      </c>
      <c r="AM102" s="71">
        <f>IF(Tradingbook_MSB[[#This Row],[Quantity_edited]]=0,0,Tradingbook_MSB[[#This Row],[DURATION]])</f>
        <v>0</v>
      </c>
      <c r="AN102" s="71">
        <f>IF(Tradingbook_MSB[[#This Row],[Quantity_edited]]=0,0,Tradingbook_MSB[[#This Row],[Mod Dur]])</f>
        <v>0</v>
      </c>
      <c r="AO102" s="71">
        <f>IF(Tradingbook_MSB[[#This Row],[Quantity_edited]]=0,0,Tradingbook_MSB[[#This Row],[Cnvx.]])</f>
        <v>0</v>
      </c>
      <c r="AP102" s="71">
        <f>(Tradingbook_MSB[[#This Row],[MARKET_VALUE]]+Tradingbook_MSB[[#This Row],[Accr Int]]*Tradingbook_MSB[[#This Row],[Quantity_edited]])*(-Tradingbook_MSB[[#This Row],[Modified Duration]]*0.0001+0.5*Tradingbook_MSB[[#This Row],[Conv]]*(0.0001^2))</f>
        <v>0</v>
      </c>
      <c r="AQ102" s="72">
        <f>(Tradingbook_MSB[[#This Row],[MARKET_VALUE]]+Tradingbook_MSB[[#This Row],[Accr Int]]*Tradingbook_MSB[[#This Row],[Quantity_edited]])*(-Tradingbook_MSB[[#This Row],[Modified Duration]]*0.01+0.5*Tradingbook_MSB[[#This Row],[Conv]]*(0.01^2))</f>
        <v>0</v>
      </c>
      <c r="AR102" s="71"/>
      <c r="AT102" t="s">
        <v>166</v>
      </c>
      <c r="AU102" t="s">
        <v>167</v>
      </c>
      <c r="AV102" t="s">
        <v>540</v>
      </c>
      <c r="AW102" t="s">
        <v>169</v>
      </c>
      <c r="AX102" t="s">
        <v>541</v>
      </c>
      <c r="AY102" t="s">
        <v>3322</v>
      </c>
      <c r="BB102">
        <v>0</v>
      </c>
      <c r="BC102">
        <v>0</v>
      </c>
      <c r="BD102">
        <v>0</v>
      </c>
      <c r="BE102" s="37">
        <v>0</v>
      </c>
      <c r="BF102">
        <v>6.1</v>
      </c>
      <c r="BG102">
        <v>0</v>
      </c>
      <c r="BH102">
        <v>3050000000</v>
      </c>
      <c r="BI102">
        <v>3648714152.7777562</v>
      </c>
      <c r="BJ102">
        <v>-2684907801.1110458</v>
      </c>
      <c r="BK102">
        <v>6.1</v>
      </c>
      <c r="BL102">
        <v>0</v>
      </c>
      <c r="BM102">
        <v>0</v>
      </c>
      <c r="BN102">
        <v>0</v>
      </c>
      <c r="BO102">
        <v>0</v>
      </c>
      <c r="BP102">
        <v>0</v>
      </c>
      <c r="BQ102">
        <v>0</v>
      </c>
      <c r="BR102">
        <v>-985000000</v>
      </c>
      <c r="BS102">
        <v>0</v>
      </c>
      <c r="BT102">
        <v>-985000000</v>
      </c>
      <c r="BU102">
        <v>-985000000</v>
      </c>
      <c r="BV102">
        <v>-985000000</v>
      </c>
      <c r="BW102">
        <v>-985000000</v>
      </c>
      <c r="BX102">
        <v>0</v>
      </c>
      <c r="BY102" s="32">
        <f>Bankingbook_MSB[[#This Row],[Mat. Date]]-RPT</f>
        <v>-672</v>
      </c>
      <c r="BZ102" s="71">
        <f>IF(Bankingbook_MSB[[#This Row],[Days]]&lt;=0,0,YEARFRAC(RPT,Bankingbook_MSB[[#This Row],[Mat. Date]],3))</f>
        <v>0</v>
      </c>
      <c r="CA102" s="71">
        <f>IF(Bankingbook_MSB[[#This Row],[Days (year)]]=0,0,INDEX(Ref!$K$2:$K$13,MATCH(Bankingbook_MSB[[#This Row],[Days (year)]],Ref!$I$2:$I$13,1)))</f>
        <v>0</v>
      </c>
      <c r="CB102" s="32" t="str">
        <f>VLOOKUP(Bankingbook_MSB[[#This Row],[Security Name]],Ref!X:Z,3,0)</f>
        <v>TPCP</v>
      </c>
      <c r="CC102" s="32" t="str">
        <f>VLOOKUP(Bankingbook_MSB[[#This Row],[Security Name]],Ref!X:Y,2,0)</f>
        <v>KBNN</v>
      </c>
      <c r="CD102" s="72">
        <f>IF((Bankingbook_MSB[[#This Row],[Mat. Date]]-RPT)&lt;=0,0,Bankingbook_MSB[[#This Row],[QUANTITY]])</f>
        <v>0</v>
      </c>
      <c r="CE102" s="71">
        <f>IF(Bankingbook_MSB[[#This Row],[Quantity_edited]]=0,0,Bankingbook_MSB[[#This Row],[DURATION]])</f>
        <v>0</v>
      </c>
      <c r="CF102" s="71">
        <f>IF(Bankingbook_MSB[[#This Row],[Quantity_edited]]=0,0,Bankingbook_MSB[[#This Row],[Mod Dur]])</f>
        <v>0</v>
      </c>
      <c r="CG102" s="71">
        <f>IF(Bankingbook_MSB[[#This Row],[Quantity_edited]]=0,0,Bankingbook_MSB[[#This Row],[Cnvx.]])</f>
        <v>0</v>
      </c>
      <c r="CH102" s="71">
        <f>(Bankingbook_MSB[[#This Row],[MARKET_VALUE]]+Bankingbook_MSB[[#This Row],[Accr Int]]*Bankingbook_MSB[[#This Row],[Quantity_edited]])*(-Bankingbook_MSB[[#This Row],[Modified Duration]]*0.0001+0.5*Bankingbook_MSB[[#This Row],[Conv]]*(0.0001^2))</f>
        <v>0</v>
      </c>
      <c r="CI102" s="71">
        <f>(Bankingbook_MSB[[#This Row],[MARKET_VALUE]]+Bankingbook_MSB[[#This Row],[Accr Int]]*Bankingbook_MSB[[#This Row],[Quantity_edited]])*(-Bankingbook_MSB[[#This Row],[Modified Duration]]*0.01+0.5*Bankingbook_MSB[[#This Row],[Conv]]*(0.01^2))</f>
        <v>0</v>
      </c>
      <c r="CL102" t="s">
        <v>166</v>
      </c>
      <c r="CM102" t="s">
        <v>167</v>
      </c>
      <c r="CN102" t="s">
        <v>278</v>
      </c>
      <c r="CO102" t="s">
        <v>169</v>
      </c>
      <c r="CP102" s="35">
        <v>42411</v>
      </c>
      <c r="CQ102" t="s">
        <v>3322</v>
      </c>
      <c r="CR102" t="s">
        <v>174</v>
      </c>
      <c r="CS102" t="s">
        <v>174</v>
      </c>
      <c r="CT102" s="49">
        <v>0</v>
      </c>
      <c r="CU102">
        <v>0</v>
      </c>
      <c r="CV102">
        <v>0</v>
      </c>
      <c r="CW102" s="70">
        <v>0</v>
      </c>
      <c r="CX102">
        <v>11.5</v>
      </c>
      <c r="CY102">
        <v>0</v>
      </c>
      <c r="CZ102">
        <v>28750000000</v>
      </c>
      <c r="DA102">
        <v>30644760763.888878</v>
      </c>
      <c r="DB102">
        <v>-5674328688.8333187</v>
      </c>
      <c r="DC102">
        <v>11.5</v>
      </c>
      <c r="DD102">
        <v>0</v>
      </c>
      <c r="DE102">
        <v>0</v>
      </c>
      <c r="DF102">
        <v>0</v>
      </c>
      <c r="DG102">
        <v>0</v>
      </c>
      <c r="DH102">
        <v>0</v>
      </c>
      <c r="DI102">
        <v>0</v>
      </c>
      <c r="DJ102" s="500">
        <v>29744600000</v>
      </c>
      <c r="DK102" s="500">
        <v>0</v>
      </c>
      <c r="DL102" s="37">
        <v>29744600000</v>
      </c>
      <c r="DM102" s="37">
        <v>29744600000</v>
      </c>
      <c r="DN102" s="37">
        <v>29744600000</v>
      </c>
      <c r="DO102" s="37">
        <v>29744600000</v>
      </c>
      <c r="DP102" s="32">
        <f>Tradingbook_SBV[[#This Row],[Mat. Date]]-RPT</f>
        <v>-3841</v>
      </c>
      <c r="DQ102" s="32">
        <f>IF(Tradingbook_SBV[[#This Row],[Days]]&lt;=0,0,YEARFRAC(RPT,Tradingbook_SBV[[#This Row],[Mat. Date]],3))</f>
        <v>0</v>
      </c>
      <c r="DR102" s="32">
        <f>IF(Tradingbook_SBV[[#This Row],[Days (year)]]=0,0,INDEX(Ref!$K$2:$K$13,MATCH(Tradingbook_SBV[[#This Row],[Days (year)]],Ref!$I$2:$I$13,1)))</f>
        <v>0</v>
      </c>
      <c r="DS102" s="32" t="str">
        <f>VLOOKUP(Tradingbook_SBV[[#This Row],[Security Name]],Ref!X:Z,3,0)</f>
        <v>TPCPBL</v>
      </c>
      <c r="DT102" s="32" t="str">
        <f>VLOOKUP(Tradingbook_SBV[[#This Row],[Security Name]],Ref!X:Y,2,0)</f>
        <v>VDB</v>
      </c>
      <c r="DU102" s="71">
        <f>IF((Tradingbook_SBV[[#This Row],[Mat. Date]]-RPT)&lt;=0,0,Tradingbook_SBV[[#This Row],[QUANTITY]])</f>
        <v>0</v>
      </c>
      <c r="DV102" s="71">
        <f>IF(Tradingbook_SBV[[#This Row],[Quantity_edited]]=0,0,Tradingbook_SBV[[#This Row],[DURATION]])</f>
        <v>0</v>
      </c>
      <c r="DW102" s="71">
        <f>IF(Tradingbook_SBV[[#This Row],[Quantity_edited]]=0,0,Tradingbook_SBV[[#This Row],[Mod Dur]])</f>
        <v>0</v>
      </c>
      <c r="DX102" s="71">
        <f>IF(Tradingbook_SBV[[#This Row],[Quantity_edited]]=0,0,Tradingbook_SBV[[#This Row],[Cnvx.]])</f>
        <v>0</v>
      </c>
      <c r="DY102" s="71">
        <f>(Tradingbook_SBV[[#This Row],[MARKET_VALUE]]+Tradingbook_SBV[[#This Row],[Accr Int]]*Tradingbook_SBV[[#This Row],[Quantity_edited]])*(-Tradingbook_SBV[[#This Row],[Modified Duration]]*0.0001+0.5*Tradingbook_SBV[[#This Row],[Conv]]*(0.0001^2))</f>
        <v>0</v>
      </c>
      <c r="DZ102" s="71">
        <f>(Tradingbook_SBV[[#This Row],[MARKET_VALUE]]+Tradingbook_SBV[[#This Row],[Accr Int]]*Tradingbook_SBV[[#This Row],[Quantity_edited]])*(-Tradingbook_SBV[[#This Row],[Modified Duration]]*0.01+0.5*Tradingbook_SBV[[#This Row],[Conv]]*(0.01^2))</f>
        <v>0</v>
      </c>
      <c r="EC102" t="s">
        <v>166</v>
      </c>
      <c r="ED102" t="s">
        <v>167</v>
      </c>
      <c r="EE102" t="s">
        <v>497</v>
      </c>
      <c r="EF102" t="s">
        <v>169</v>
      </c>
      <c r="EG102" s="35" t="s">
        <v>3743</v>
      </c>
      <c r="EH102" t="s">
        <v>3322</v>
      </c>
      <c r="EK102" s="500">
        <v>0</v>
      </c>
      <c r="EL102" s="500">
        <v>0</v>
      </c>
      <c r="EM102" s="500">
        <v>0</v>
      </c>
      <c r="EN102" s="500">
        <v>0</v>
      </c>
      <c r="EO102">
        <v>5</v>
      </c>
      <c r="EP102">
        <v>0</v>
      </c>
      <c r="EQ102">
        <v>2350000000</v>
      </c>
      <c r="ER102">
        <v>2389416680.5555568</v>
      </c>
      <c r="ES102">
        <v>-1918363677.3555624</v>
      </c>
      <c r="ET102">
        <v>0</v>
      </c>
      <c r="EU102">
        <v>0</v>
      </c>
      <c r="EV102">
        <v>0</v>
      </c>
      <c r="EW102">
        <v>0</v>
      </c>
      <c r="EX102">
        <v>0</v>
      </c>
      <c r="EY102">
        <v>0</v>
      </c>
      <c r="EZ102">
        <v>0</v>
      </c>
      <c r="FA102">
        <v>1938190000</v>
      </c>
      <c r="FB102">
        <v>0</v>
      </c>
      <c r="FC102">
        <v>1938190000</v>
      </c>
      <c r="FD102">
        <v>1938190000</v>
      </c>
      <c r="FE102">
        <v>1938190000</v>
      </c>
      <c r="FF102">
        <v>1938190000</v>
      </c>
      <c r="FG102" s="32">
        <f>Bankingbook_SBV[[#This Row],[Mat. Date]]-RPT</f>
        <v>-1696</v>
      </c>
      <c r="FH102" s="32">
        <f>IF(Bankingbook_SBV[[#This Row],[Days]]&lt;=0,0,YEARFRAC(RPT,Bankingbook_SBV[[#This Row],[Mat. Date]],3))</f>
        <v>0</v>
      </c>
      <c r="FI102" s="32">
        <f>IF(Bankingbook_SBV[[#This Row],[Days (year)]]=0,0,INDEX(Ref!$K$2:$K$13,MATCH(Bankingbook_SBV[[#This Row],[Days (year)]],Ref!$I$2:$I$13,1)))</f>
        <v>0</v>
      </c>
      <c r="FJ102" s="32" t="str">
        <f>VLOOKUP(Bankingbook_SBV[[#This Row],[Security Name]],Ref!X:Z,3,0)</f>
        <v>TPCPBL</v>
      </c>
      <c r="FK102" s="32" t="str">
        <f>VLOOKUP(Bankingbook_SBV[[#This Row],[Security Name]],Ref!X:Y,2,0)</f>
        <v>VDB</v>
      </c>
      <c r="FL102" s="72">
        <f>IF((Bankingbook_SBV[[#This Row],[Mat. Date]]-RPT)&lt;=0,0,Bankingbook_SBV[[#This Row],[QUANTITY]])</f>
        <v>0</v>
      </c>
      <c r="FM102" s="32">
        <f>IF(Bankingbook_SBV[[#This Row],[Quantity_edited]]=0,0,Bankingbook_SBV[[#This Row],[DURATION]])</f>
        <v>0</v>
      </c>
      <c r="FN102" s="32">
        <f>IF(Bankingbook_SBV[[#This Row],[Quantity_edited]]=0,0,Bankingbook_SBV[[#This Row],[Mod Dur]])</f>
        <v>0</v>
      </c>
      <c r="FO102" s="32">
        <f>IF(Bankingbook_SBV[[#This Row],[Quantity_edited]]=0,0,Bankingbook_SBV[[#This Row],[Cnvx.]])</f>
        <v>0</v>
      </c>
      <c r="FP102" s="32">
        <f>(Bankingbook_SBV[[#This Row],[MARKET_VALUE]]+Bankingbook_SBV[[#This Row],[Accr Int]]*Bankingbook_SBV[[#This Row],[Quantity_edited]])*(-Bankingbook_SBV[[#This Row],[Modified Duration]]*0.0001+0.5*Bankingbook_SBV[[#This Row],[Conv]]*(0.0001^2))</f>
        <v>0</v>
      </c>
      <c r="FQ102" s="32">
        <f>(Bankingbook_SBV[[#This Row],[MARKET_VALUE]]+Bankingbook_SBV[[#This Row],[Accr Int]]*Bankingbook_SBV[[#This Row],[Quantity_edited]])*(-Bankingbook_SBV[[#This Row],[Modified Duration]]*0.01+0.5*Bankingbook_SBV[[#This Row],[Conv]]*(0.01^2))</f>
        <v>0</v>
      </c>
    </row>
    <row r="103" spans="2:173" x14ac:dyDescent="0.3">
      <c r="B103" t="s">
        <v>166</v>
      </c>
      <c r="C103" t="s">
        <v>167</v>
      </c>
      <c r="D103" t="s">
        <v>279</v>
      </c>
      <c r="E103" t="s">
        <v>169</v>
      </c>
      <c r="F103" s="502">
        <v>42415</v>
      </c>
      <c r="G103" t="s">
        <v>3322</v>
      </c>
      <c r="H103"/>
      <c r="I103"/>
      <c r="J103" s="38">
        <v>0</v>
      </c>
      <c r="K103">
        <v>0</v>
      </c>
      <c r="L103">
        <v>0</v>
      </c>
      <c r="M103" s="38">
        <v>0</v>
      </c>
      <c r="N103">
        <v>11.2</v>
      </c>
      <c r="O103">
        <v>0</v>
      </c>
      <c r="P103" s="37">
        <v>117600000000</v>
      </c>
      <c r="Q103" s="37">
        <v>131699270888.8891</v>
      </c>
      <c r="R103" s="37">
        <v>-95439598858.107132</v>
      </c>
      <c r="S103">
        <v>11.2</v>
      </c>
      <c r="T103" s="70">
        <v>0</v>
      </c>
      <c r="U103">
        <v>0</v>
      </c>
      <c r="V103">
        <v>0</v>
      </c>
      <c r="W103">
        <v>0</v>
      </c>
      <c r="X103" s="38">
        <v>0</v>
      </c>
      <c r="Y103">
        <v>0</v>
      </c>
      <c r="Z103" s="70">
        <v>41245686252.541992</v>
      </c>
      <c r="AA103" s="70">
        <v>0</v>
      </c>
      <c r="AB103" s="70">
        <v>41245686252.541992</v>
      </c>
      <c r="AC103" s="70">
        <v>41245686252.541992</v>
      </c>
      <c r="AD103" s="70">
        <v>41245686252.542</v>
      </c>
      <c r="AE103" s="70">
        <v>41245686252.541992</v>
      </c>
      <c r="AF103">
        <v>0</v>
      </c>
      <c r="AG103" s="72">
        <f>Tradingbook_MSB[[#This Row],[Mat. Date]]-RPT</f>
        <v>-3837</v>
      </c>
      <c r="AH103" s="71">
        <f>IF(Tradingbook_MSB[[#This Row],[Days]]&lt;=0,0,YEARFRAC(RPT,Tradingbook_MSB[[#This Row],[Mat. Date]],3))</f>
        <v>0</v>
      </c>
      <c r="AI103" s="71">
        <f>IF(Tradingbook_MSB[[#This Row],[Days (year)]]=0,0,INDEX(Ref!$K$2:$K$13,MATCH(Tradingbook_MSB[[#This Row],[Days (year)]],Ref!$I$2:$I$13,1)))</f>
        <v>0</v>
      </c>
      <c r="AJ103" s="120" t="str">
        <f>VLOOKUP(Tradingbook_MSB[[#This Row],[Security Name]],Ref!X:Z,3,0)</f>
        <v>TPCP</v>
      </c>
      <c r="AK103" s="120" t="str">
        <f>VLOOKUP(Tradingbook_MSB[[#This Row],[Security Name]],Ref!X:Y,2,0)</f>
        <v>KBNN</v>
      </c>
      <c r="AL103" s="71">
        <f>IF((Tradingbook_MSB[[#This Row],[Mat. Date]]-RPT)&lt;=0,0,Tradingbook_MSB[[#This Row],[QUANTITY]])</f>
        <v>0</v>
      </c>
      <c r="AM103" s="71">
        <f>IF(Tradingbook_MSB[[#This Row],[Quantity_edited]]=0,0,Tradingbook_MSB[[#This Row],[DURATION]])</f>
        <v>0</v>
      </c>
      <c r="AN103" s="71">
        <f>IF(Tradingbook_MSB[[#This Row],[Quantity_edited]]=0,0,Tradingbook_MSB[[#This Row],[Mod Dur]])</f>
        <v>0</v>
      </c>
      <c r="AO103" s="71">
        <f>IF(Tradingbook_MSB[[#This Row],[Quantity_edited]]=0,0,Tradingbook_MSB[[#This Row],[Cnvx.]])</f>
        <v>0</v>
      </c>
      <c r="AP103" s="71">
        <f>(Tradingbook_MSB[[#This Row],[MARKET_VALUE]]+Tradingbook_MSB[[#This Row],[Accr Int]]*Tradingbook_MSB[[#This Row],[Quantity_edited]])*(-Tradingbook_MSB[[#This Row],[Modified Duration]]*0.0001+0.5*Tradingbook_MSB[[#This Row],[Conv]]*(0.0001^2))</f>
        <v>0</v>
      </c>
      <c r="AQ103" s="72">
        <f>(Tradingbook_MSB[[#This Row],[MARKET_VALUE]]+Tradingbook_MSB[[#This Row],[Accr Int]]*Tradingbook_MSB[[#This Row],[Quantity_edited]])*(-Tradingbook_MSB[[#This Row],[Modified Duration]]*0.01+0.5*Tradingbook_MSB[[#This Row],[Conv]]*(0.01^2))</f>
        <v>0</v>
      </c>
      <c r="AR103" s="71"/>
      <c r="AT103" t="s">
        <v>166</v>
      </c>
      <c r="AU103" t="s">
        <v>167</v>
      </c>
      <c r="AV103" t="s">
        <v>543</v>
      </c>
      <c r="AW103" t="s">
        <v>169</v>
      </c>
      <c r="AX103" t="s">
        <v>544</v>
      </c>
      <c r="AY103" t="s">
        <v>170</v>
      </c>
      <c r="BB103">
        <v>4000000</v>
      </c>
      <c r="BC103">
        <v>400000000000</v>
      </c>
      <c r="BD103">
        <v>99959.5</v>
      </c>
      <c r="BE103" s="37">
        <v>0</v>
      </c>
      <c r="BF103">
        <v>3.7</v>
      </c>
      <c r="BG103">
        <v>0</v>
      </c>
      <c r="BH103">
        <v>62900000000</v>
      </c>
      <c r="BI103">
        <v>65182791569.444359</v>
      </c>
      <c r="BJ103">
        <v>-29485677948.333</v>
      </c>
      <c r="BK103">
        <v>3.7</v>
      </c>
      <c r="BL103">
        <v>0</v>
      </c>
      <c r="BM103">
        <v>0</v>
      </c>
      <c r="BN103">
        <v>0</v>
      </c>
      <c r="BO103">
        <v>0</v>
      </c>
      <c r="BP103">
        <v>0</v>
      </c>
      <c r="BQ103">
        <v>0</v>
      </c>
      <c r="BR103">
        <v>162000000</v>
      </c>
      <c r="BS103">
        <v>0</v>
      </c>
      <c r="BT103">
        <v>162000000</v>
      </c>
      <c r="BU103">
        <v>162000000</v>
      </c>
      <c r="BV103">
        <v>162000000</v>
      </c>
      <c r="BW103">
        <v>162000000</v>
      </c>
      <c r="BX103">
        <v>3.7225000000000001</v>
      </c>
      <c r="BY103" s="32">
        <f>Bankingbook_MSB[[#This Row],[Mat. Date]]-RPT</f>
        <v>-636</v>
      </c>
      <c r="BZ103" s="71">
        <f>IF(Bankingbook_MSB[[#This Row],[Days]]&lt;=0,0,YEARFRAC(RPT,Bankingbook_MSB[[#This Row],[Mat. Date]],3))</f>
        <v>0</v>
      </c>
      <c r="CA103" s="71">
        <f>IF(Bankingbook_MSB[[#This Row],[Days (year)]]=0,0,INDEX(Ref!$K$2:$K$13,MATCH(Bankingbook_MSB[[#This Row],[Days (year)]],Ref!$I$2:$I$13,1)))</f>
        <v>0</v>
      </c>
      <c r="CB103" s="32" t="str">
        <f>VLOOKUP(Bankingbook_MSB[[#This Row],[Security Name]],Ref!X:Z,3,0)</f>
        <v>TPCPBL</v>
      </c>
      <c r="CC103" s="32" t="str">
        <f>VLOOKUP(Bankingbook_MSB[[#This Row],[Security Name]],Ref!X:Y,2,0)</f>
        <v>VDB</v>
      </c>
      <c r="CD103" s="72">
        <f>IF((Bankingbook_MSB[[#This Row],[Mat. Date]]-RPT)&lt;=0,0,Bankingbook_MSB[[#This Row],[QUANTITY]])</f>
        <v>0</v>
      </c>
      <c r="CE103" s="71">
        <f>IF(Bankingbook_MSB[[#This Row],[Quantity_edited]]=0,0,Bankingbook_MSB[[#This Row],[DURATION]])</f>
        <v>0</v>
      </c>
      <c r="CF103" s="71">
        <f>IF(Bankingbook_MSB[[#This Row],[Quantity_edited]]=0,0,Bankingbook_MSB[[#This Row],[Mod Dur]])</f>
        <v>0</v>
      </c>
      <c r="CG103" s="71">
        <f>IF(Bankingbook_MSB[[#This Row],[Quantity_edited]]=0,0,Bankingbook_MSB[[#This Row],[Cnvx.]])</f>
        <v>0</v>
      </c>
      <c r="CH103" s="71">
        <f>(Bankingbook_MSB[[#This Row],[MARKET_VALUE]]+Bankingbook_MSB[[#This Row],[Accr Int]]*Bankingbook_MSB[[#This Row],[Quantity_edited]])*(-Bankingbook_MSB[[#This Row],[Modified Duration]]*0.0001+0.5*Bankingbook_MSB[[#This Row],[Conv]]*(0.0001^2))</f>
        <v>0</v>
      </c>
      <c r="CI103" s="71">
        <f>(Bankingbook_MSB[[#This Row],[MARKET_VALUE]]+Bankingbook_MSB[[#This Row],[Accr Int]]*Bankingbook_MSB[[#This Row],[Quantity_edited]])*(-Bankingbook_MSB[[#This Row],[Modified Duration]]*0.01+0.5*Bankingbook_MSB[[#This Row],[Conv]]*(0.01^2))</f>
        <v>0</v>
      </c>
      <c r="CL103" t="s">
        <v>166</v>
      </c>
      <c r="CM103" t="s">
        <v>167</v>
      </c>
      <c r="CN103" t="s">
        <v>279</v>
      </c>
      <c r="CO103" t="s">
        <v>169</v>
      </c>
      <c r="CP103" s="35">
        <v>42415</v>
      </c>
      <c r="CQ103" t="s">
        <v>3322</v>
      </c>
      <c r="CR103" t="s">
        <v>174</v>
      </c>
      <c r="CS103" t="s">
        <v>174</v>
      </c>
      <c r="CT103" s="49">
        <v>0</v>
      </c>
      <c r="CU103">
        <v>0</v>
      </c>
      <c r="CV103">
        <v>0</v>
      </c>
      <c r="CW103" s="70">
        <v>0</v>
      </c>
      <c r="CX103">
        <v>11.2</v>
      </c>
      <c r="CY103">
        <v>0</v>
      </c>
      <c r="CZ103">
        <v>117600000000</v>
      </c>
      <c r="DA103">
        <v>131699270888.8891</v>
      </c>
      <c r="DB103">
        <v>-95439598858.107132</v>
      </c>
      <c r="DC103">
        <v>11.2</v>
      </c>
      <c r="DD103">
        <v>0</v>
      </c>
      <c r="DE103">
        <v>0</v>
      </c>
      <c r="DF103">
        <v>0</v>
      </c>
      <c r="DG103">
        <v>0</v>
      </c>
      <c r="DH103">
        <v>0</v>
      </c>
      <c r="DI103">
        <v>0</v>
      </c>
      <c r="DJ103" s="500">
        <v>41245686252.541992</v>
      </c>
      <c r="DK103" s="500">
        <v>0</v>
      </c>
      <c r="DL103" s="37">
        <v>41245686252.541992</v>
      </c>
      <c r="DM103" s="37">
        <v>41245686252.541992</v>
      </c>
      <c r="DN103" s="37">
        <v>41245686252.542</v>
      </c>
      <c r="DO103" s="37">
        <v>41245686252.541992</v>
      </c>
      <c r="DP103" s="32">
        <f>Tradingbook_SBV[[#This Row],[Mat. Date]]-RPT</f>
        <v>-3837</v>
      </c>
      <c r="DQ103" s="32">
        <f>IF(Tradingbook_SBV[[#This Row],[Days]]&lt;=0,0,YEARFRAC(RPT,Tradingbook_SBV[[#This Row],[Mat. Date]],3))</f>
        <v>0</v>
      </c>
      <c r="DR103" s="32">
        <f>IF(Tradingbook_SBV[[#This Row],[Days (year)]]=0,0,INDEX(Ref!$K$2:$K$13,MATCH(Tradingbook_SBV[[#This Row],[Days (year)]],Ref!$I$2:$I$13,1)))</f>
        <v>0</v>
      </c>
      <c r="DS103" s="32" t="str">
        <f>VLOOKUP(Tradingbook_SBV[[#This Row],[Security Name]],Ref!X:Z,3,0)</f>
        <v>TPCP</v>
      </c>
      <c r="DT103" s="32" t="str">
        <f>VLOOKUP(Tradingbook_SBV[[#This Row],[Security Name]],Ref!X:Y,2,0)</f>
        <v>KBNN</v>
      </c>
      <c r="DU103" s="71">
        <f>IF((Tradingbook_SBV[[#This Row],[Mat. Date]]-RPT)&lt;=0,0,Tradingbook_SBV[[#This Row],[QUANTITY]])</f>
        <v>0</v>
      </c>
      <c r="DV103" s="71">
        <f>IF(Tradingbook_SBV[[#This Row],[Quantity_edited]]=0,0,Tradingbook_SBV[[#This Row],[DURATION]])</f>
        <v>0</v>
      </c>
      <c r="DW103" s="71">
        <f>IF(Tradingbook_SBV[[#This Row],[Quantity_edited]]=0,0,Tradingbook_SBV[[#This Row],[Mod Dur]])</f>
        <v>0</v>
      </c>
      <c r="DX103" s="71">
        <f>IF(Tradingbook_SBV[[#This Row],[Quantity_edited]]=0,0,Tradingbook_SBV[[#This Row],[Cnvx.]])</f>
        <v>0</v>
      </c>
      <c r="DY103" s="71">
        <f>(Tradingbook_SBV[[#This Row],[MARKET_VALUE]]+Tradingbook_SBV[[#This Row],[Accr Int]]*Tradingbook_SBV[[#This Row],[Quantity_edited]])*(-Tradingbook_SBV[[#This Row],[Modified Duration]]*0.0001+0.5*Tradingbook_SBV[[#This Row],[Conv]]*(0.0001^2))</f>
        <v>0</v>
      </c>
      <c r="DZ103" s="71">
        <f>(Tradingbook_SBV[[#This Row],[MARKET_VALUE]]+Tradingbook_SBV[[#This Row],[Accr Int]]*Tradingbook_SBV[[#This Row],[Quantity_edited]])*(-Tradingbook_SBV[[#This Row],[Modified Duration]]*0.01+0.5*Tradingbook_SBV[[#This Row],[Conv]]*(0.01^2))</f>
        <v>0</v>
      </c>
      <c r="EC103" t="s">
        <v>166</v>
      </c>
      <c r="ED103" t="s">
        <v>167</v>
      </c>
      <c r="EE103" t="s">
        <v>498</v>
      </c>
      <c r="EF103" t="s">
        <v>169</v>
      </c>
      <c r="EG103" s="35" t="s">
        <v>3744</v>
      </c>
      <c r="EH103" t="s">
        <v>3322</v>
      </c>
      <c r="EK103" s="500">
        <v>0</v>
      </c>
      <c r="EL103" s="500">
        <v>0</v>
      </c>
      <c r="EM103" s="500">
        <v>0</v>
      </c>
      <c r="EN103" s="500">
        <v>0</v>
      </c>
      <c r="EO103">
        <v>5.2</v>
      </c>
      <c r="EP103">
        <v>0</v>
      </c>
      <c r="EQ103">
        <v>-5200000000</v>
      </c>
      <c r="ER103">
        <v>-5451315999.9999599</v>
      </c>
      <c r="ES103">
        <v>-1690914399.6529231</v>
      </c>
      <c r="ET103">
        <v>0</v>
      </c>
      <c r="EU103">
        <v>0</v>
      </c>
      <c r="EV103">
        <v>0</v>
      </c>
      <c r="EW103">
        <v>0</v>
      </c>
      <c r="EX103">
        <v>0</v>
      </c>
      <c r="EY103">
        <v>0</v>
      </c>
      <c r="EZ103">
        <v>0</v>
      </c>
      <c r="FA103">
        <v>3527500000</v>
      </c>
      <c r="FB103">
        <v>0</v>
      </c>
      <c r="FC103">
        <v>3527500000</v>
      </c>
      <c r="FD103">
        <v>3527500000</v>
      </c>
      <c r="FE103">
        <v>3527500000</v>
      </c>
      <c r="FF103">
        <v>3527500000</v>
      </c>
      <c r="FG103" s="32">
        <f>Bankingbook_SBV[[#This Row],[Mat. Date]]-RPT</f>
        <v>-1679</v>
      </c>
      <c r="FH103" s="32">
        <f>IF(Bankingbook_SBV[[#This Row],[Days]]&lt;=0,0,YEARFRAC(RPT,Bankingbook_SBV[[#This Row],[Mat. Date]],3))</f>
        <v>0</v>
      </c>
      <c r="FI103" s="32">
        <f>IF(Bankingbook_SBV[[#This Row],[Days (year)]]=0,0,INDEX(Ref!$K$2:$K$13,MATCH(Bankingbook_SBV[[#This Row],[Days (year)]],Ref!$I$2:$I$13,1)))</f>
        <v>0</v>
      </c>
      <c r="FJ103" s="32" t="str">
        <f>VLOOKUP(Bankingbook_SBV[[#This Row],[Security Name]],Ref!X:Z,3,0)</f>
        <v>TPCP</v>
      </c>
      <c r="FK103" s="32" t="str">
        <f>VLOOKUP(Bankingbook_SBV[[#This Row],[Security Name]],Ref!X:Y,2,0)</f>
        <v>KBNN</v>
      </c>
      <c r="FL103" s="72">
        <f>IF((Bankingbook_SBV[[#This Row],[Mat. Date]]-RPT)&lt;=0,0,Bankingbook_SBV[[#This Row],[QUANTITY]])</f>
        <v>0</v>
      </c>
      <c r="FM103" s="32">
        <f>IF(Bankingbook_SBV[[#This Row],[Quantity_edited]]=0,0,Bankingbook_SBV[[#This Row],[DURATION]])</f>
        <v>0</v>
      </c>
      <c r="FN103" s="32">
        <f>IF(Bankingbook_SBV[[#This Row],[Quantity_edited]]=0,0,Bankingbook_SBV[[#This Row],[Mod Dur]])</f>
        <v>0</v>
      </c>
      <c r="FO103" s="32">
        <f>IF(Bankingbook_SBV[[#This Row],[Quantity_edited]]=0,0,Bankingbook_SBV[[#This Row],[Cnvx.]])</f>
        <v>0</v>
      </c>
      <c r="FP103" s="32">
        <f>(Bankingbook_SBV[[#This Row],[MARKET_VALUE]]+Bankingbook_SBV[[#This Row],[Accr Int]]*Bankingbook_SBV[[#This Row],[Quantity_edited]])*(-Bankingbook_SBV[[#This Row],[Modified Duration]]*0.0001+0.5*Bankingbook_SBV[[#This Row],[Conv]]*(0.0001^2))</f>
        <v>0</v>
      </c>
      <c r="FQ103" s="32">
        <f>(Bankingbook_SBV[[#This Row],[MARKET_VALUE]]+Bankingbook_SBV[[#This Row],[Accr Int]]*Bankingbook_SBV[[#This Row],[Quantity_edited]])*(-Bankingbook_SBV[[#This Row],[Modified Duration]]*0.01+0.5*Bankingbook_SBV[[#This Row],[Conv]]*(0.01^2))</f>
        <v>0</v>
      </c>
    </row>
    <row r="104" spans="2:173" x14ac:dyDescent="0.3">
      <c r="B104" t="s">
        <v>166</v>
      </c>
      <c r="C104" t="s">
        <v>167</v>
      </c>
      <c r="D104" t="s">
        <v>280</v>
      </c>
      <c r="E104" t="s">
        <v>169</v>
      </c>
      <c r="F104" s="502">
        <v>42415</v>
      </c>
      <c r="G104" t="s">
        <v>3322</v>
      </c>
      <c r="H104"/>
      <c r="I104"/>
      <c r="J104" s="38">
        <v>0</v>
      </c>
      <c r="K104">
        <v>0</v>
      </c>
      <c r="L104">
        <v>0</v>
      </c>
      <c r="M104" s="38">
        <v>0</v>
      </c>
      <c r="N104">
        <v>8.6</v>
      </c>
      <c r="O104">
        <v>0</v>
      </c>
      <c r="P104" s="37">
        <v>0</v>
      </c>
      <c r="Q104" s="37">
        <v>-3.9999999999999998E-6</v>
      </c>
      <c r="R104" s="37">
        <v>-1074217375.6944046</v>
      </c>
      <c r="S104">
        <v>8.6</v>
      </c>
      <c r="T104" s="70">
        <v>0</v>
      </c>
      <c r="U104">
        <v>0</v>
      </c>
      <c r="V104">
        <v>0</v>
      </c>
      <c r="W104">
        <v>0</v>
      </c>
      <c r="X104" s="38">
        <v>0</v>
      </c>
      <c r="Y104">
        <v>0</v>
      </c>
      <c r="Z104" s="70">
        <v>2879000000</v>
      </c>
      <c r="AA104" s="70">
        <v>0</v>
      </c>
      <c r="AB104" s="70">
        <v>2879000000</v>
      </c>
      <c r="AC104" s="70">
        <v>2879000000</v>
      </c>
      <c r="AD104" s="70">
        <v>2879000000</v>
      </c>
      <c r="AE104" s="70">
        <v>2879000000</v>
      </c>
      <c r="AF104">
        <v>0</v>
      </c>
      <c r="AG104" s="72">
        <f>Tradingbook_MSB[[#This Row],[Mat. Date]]-RPT</f>
        <v>-3837</v>
      </c>
      <c r="AH104" s="71">
        <f>IF(Tradingbook_MSB[[#This Row],[Days]]&lt;=0,0,YEARFRAC(RPT,Tradingbook_MSB[[#This Row],[Mat. Date]],3))</f>
        <v>0</v>
      </c>
      <c r="AI104" s="71">
        <f>IF(Tradingbook_MSB[[#This Row],[Days (year)]]=0,0,INDEX(Ref!$K$2:$K$13,MATCH(Tradingbook_MSB[[#This Row],[Days (year)]],Ref!$I$2:$I$13,1)))</f>
        <v>0</v>
      </c>
      <c r="AJ104" s="120" t="str">
        <f>VLOOKUP(Tradingbook_MSB[[#This Row],[Security Name]],Ref!X:Z,3,0)</f>
        <v>TPCP</v>
      </c>
      <c r="AK104" s="120" t="str">
        <f>VLOOKUP(Tradingbook_MSB[[#This Row],[Security Name]],Ref!X:Y,2,0)</f>
        <v>KBNN</v>
      </c>
      <c r="AL104" s="71">
        <f>IF((Tradingbook_MSB[[#This Row],[Mat. Date]]-RPT)&lt;=0,0,Tradingbook_MSB[[#This Row],[QUANTITY]])</f>
        <v>0</v>
      </c>
      <c r="AM104" s="71">
        <f>IF(Tradingbook_MSB[[#This Row],[Quantity_edited]]=0,0,Tradingbook_MSB[[#This Row],[DURATION]])</f>
        <v>0</v>
      </c>
      <c r="AN104" s="71">
        <f>IF(Tradingbook_MSB[[#This Row],[Quantity_edited]]=0,0,Tradingbook_MSB[[#This Row],[Mod Dur]])</f>
        <v>0</v>
      </c>
      <c r="AO104" s="71">
        <f>IF(Tradingbook_MSB[[#This Row],[Quantity_edited]]=0,0,Tradingbook_MSB[[#This Row],[Cnvx.]])</f>
        <v>0</v>
      </c>
      <c r="AP104" s="71">
        <f>(Tradingbook_MSB[[#This Row],[MARKET_VALUE]]+Tradingbook_MSB[[#This Row],[Accr Int]]*Tradingbook_MSB[[#This Row],[Quantity_edited]])*(-Tradingbook_MSB[[#This Row],[Modified Duration]]*0.0001+0.5*Tradingbook_MSB[[#This Row],[Conv]]*(0.0001^2))</f>
        <v>0</v>
      </c>
      <c r="AQ104" s="72">
        <f>(Tradingbook_MSB[[#This Row],[MARKET_VALUE]]+Tradingbook_MSB[[#This Row],[Accr Int]]*Tradingbook_MSB[[#This Row],[Quantity_edited]])*(-Tradingbook_MSB[[#This Row],[Modified Duration]]*0.01+0.5*Tradingbook_MSB[[#This Row],[Conv]]*(0.01^2))</f>
        <v>0</v>
      </c>
      <c r="AR104" s="71"/>
      <c r="AT104" t="s">
        <v>166</v>
      </c>
      <c r="AU104" t="s">
        <v>167</v>
      </c>
      <c r="AV104" t="s">
        <v>779</v>
      </c>
      <c r="AW104" t="s">
        <v>169</v>
      </c>
      <c r="AX104" t="s">
        <v>780</v>
      </c>
      <c r="AY104" t="s">
        <v>170</v>
      </c>
      <c r="BB104">
        <v>16000000</v>
      </c>
      <c r="BC104">
        <v>1600000000000</v>
      </c>
      <c r="BD104">
        <v>102651.75900000001</v>
      </c>
      <c r="BE104" s="37">
        <v>0</v>
      </c>
      <c r="BF104">
        <v>5.5</v>
      </c>
      <c r="BG104">
        <v>0</v>
      </c>
      <c r="BH104">
        <v>682000000000</v>
      </c>
      <c r="BI104">
        <v>738870620277.77747</v>
      </c>
      <c r="BJ104">
        <v>-291378142569.24762</v>
      </c>
      <c r="BK104">
        <v>5.5</v>
      </c>
      <c r="BL104">
        <v>0</v>
      </c>
      <c r="BM104">
        <v>0</v>
      </c>
      <c r="BN104">
        <v>0</v>
      </c>
      <c r="BO104">
        <v>0</v>
      </c>
      <c r="BP104">
        <v>0</v>
      </c>
      <c r="BQ104">
        <v>0</v>
      </c>
      <c r="BR104">
        <v>16559000000.000168</v>
      </c>
      <c r="BS104">
        <v>0</v>
      </c>
      <c r="BT104">
        <v>16559000000.000168</v>
      </c>
      <c r="BU104">
        <v>16559000000.000168</v>
      </c>
      <c r="BV104">
        <v>16559000000</v>
      </c>
      <c r="BW104">
        <v>16559000000.000168</v>
      </c>
      <c r="BX104">
        <v>4.0701767110000002</v>
      </c>
      <c r="BY104" s="32">
        <f>Bankingbook_MSB[[#This Row],[Mat. Date]]-RPT</f>
        <v>-249</v>
      </c>
      <c r="BZ104" s="71">
        <f>IF(Bankingbook_MSB[[#This Row],[Days]]&lt;=0,0,YEARFRAC(RPT,Bankingbook_MSB[[#This Row],[Mat. Date]],3))</f>
        <v>0</v>
      </c>
      <c r="CA104" s="71">
        <f>IF(Bankingbook_MSB[[#This Row],[Days (year)]]=0,0,INDEX(Ref!$K$2:$K$13,MATCH(Bankingbook_MSB[[#This Row],[Days (year)]],Ref!$I$2:$I$13,1)))</f>
        <v>0</v>
      </c>
      <c r="CB104" s="32" t="str">
        <f>VLOOKUP(Bankingbook_MSB[[#This Row],[Security Name]],Ref!X:Z,3,0)</f>
        <v>TPCPBL</v>
      </c>
      <c r="CC104" s="32" t="str">
        <f>VLOOKUP(Bankingbook_MSB[[#This Row],[Security Name]],Ref!X:Y,2,0)</f>
        <v>VDB</v>
      </c>
      <c r="CD104" s="72">
        <f>IF((Bankingbook_MSB[[#This Row],[Mat. Date]]-RPT)&lt;=0,0,Bankingbook_MSB[[#This Row],[QUANTITY]])</f>
        <v>0</v>
      </c>
      <c r="CE104" s="71">
        <f>IF(Bankingbook_MSB[[#This Row],[Quantity_edited]]=0,0,Bankingbook_MSB[[#This Row],[DURATION]])</f>
        <v>0</v>
      </c>
      <c r="CF104" s="71">
        <f>IF(Bankingbook_MSB[[#This Row],[Quantity_edited]]=0,0,Bankingbook_MSB[[#This Row],[Mod Dur]])</f>
        <v>0</v>
      </c>
      <c r="CG104" s="71">
        <f>IF(Bankingbook_MSB[[#This Row],[Quantity_edited]]=0,0,Bankingbook_MSB[[#This Row],[Cnvx.]])</f>
        <v>0</v>
      </c>
      <c r="CH104" s="71">
        <f>(Bankingbook_MSB[[#This Row],[MARKET_VALUE]]+Bankingbook_MSB[[#This Row],[Accr Int]]*Bankingbook_MSB[[#This Row],[Quantity_edited]])*(-Bankingbook_MSB[[#This Row],[Modified Duration]]*0.0001+0.5*Bankingbook_MSB[[#This Row],[Conv]]*(0.0001^2))</f>
        <v>0</v>
      </c>
      <c r="CI104" s="71">
        <f>(Bankingbook_MSB[[#This Row],[MARKET_VALUE]]+Bankingbook_MSB[[#This Row],[Accr Int]]*Bankingbook_MSB[[#This Row],[Quantity_edited]])*(-Bankingbook_MSB[[#This Row],[Modified Duration]]*0.01+0.5*Bankingbook_MSB[[#This Row],[Conv]]*(0.01^2))</f>
        <v>0</v>
      </c>
      <c r="CL104" t="s">
        <v>166</v>
      </c>
      <c r="CM104" t="s">
        <v>167</v>
      </c>
      <c r="CN104" t="s">
        <v>280</v>
      </c>
      <c r="CO104" t="s">
        <v>169</v>
      </c>
      <c r="CP104" s="35">
        <v>42415</v>
      </c>
      <c r="CQ104" t="s">
        <v>3322</v>
      </c>
      <c r="CR104" t="s">
        <v>174</v>
      </c>
      <c r="CS104" t="s">
        <v>174</v>
      </c>
      <c r="CT104" s="49">
        <v>0</v>
      </c>
      <c r="CU104">
        <v>0</v>
      </c>
      <c r="CV104">
        <v>0</v>
      </c>
      <c r="CW104" s="70">
        <v>0</v>
      </c>
      <c r="CX104">
        <v>8.6</v>
      </c>
      <c r="CY104">
        <v>0</v>
      </c>
      <c r="CZ104">
        <v>0</v>
      </c>
      <c r="DA104">
        <v>-3.9999999999999998E-6</v>
      </c>
      <c r="DB104">
        <v>-1074217375.6944046</v>
      </c>
      <c r="DC104">
        <v>8.6</v>
      </c>
      <c r="DD104">
        <v>0</v>
      </c>
      <c r="DE104">
        <v>0</v>
      </c>
      <c r="DF104">
        <v>0</v>
      </c>
      <c r="DG104">
        <v>0</v>
      </c>
      <c r="DH104">
        <v>0</v>
      </c>
      <c r="DI104">
        <v>0</v>
      </c>
      <c r="DJ104" s="500">
        <v>2879000000</v>
      </c>
      <c r="DK104" s="500">
        <v>0</v>
      </c>
      <c r="DL104" s="37">
        <v>2879000000</v>
      </c>
      <c r="DM104" s="37">
        <v>2879000000</v>
      </c>
      <c r="DN104" s="37">
        <v>2879000000</v>
      </c>
      <c r="DO104" s="37">
        <v>2879000000</v>
      </c>
      <c r="DP104" s="32">
        <f>Tradingbook_SBV[[#This Row],[Mat. Date]]-RPT</f>
        <v>-3837</v>
      </c>
      <c r="DQ104" s="32">
        <f>IF(Tradingbook_SBV[[#This Row],[Days]]&lt;=0,0,YEARFRAC(RPT,Tradingbook_SBV[[#This Row],[Mat. Date]],3))</f>
        <v>0</v>
      </c>
      <c r="DR104" s="32">
        <f>IF(Tradingbook_SBV[[#This Row],[Days (year)]]=0,0,INDEX(Ref!$K$2:$K$13,MATCH(Tradingbook_SBV[[#This Row],[Days (year)]],Ref!$I$2:$I$13,1)))</f>
        <v>0</v>
      </c>
      <c r="DS104" s="32" t="str">
        <f>VLOOKUP(Tradingbook_SBV[[#This Row],[Security Name]],Ref!X:Z,3,0)</f>
        <v>TPCP</v>
      </c>
      <c r="DT104" s="32" t="str">
        <f>VLOOKUP(Tradingbook_SBV[[#This Row],[Security Name]],Ref!X:Y,2,0)</f>
        <v>KBNN</v>
      </c>
      <c r="DU104" s="71">
        <f>IF((Tradingbook_SBV[[#This Row],[Mat. Date]]-RPT)&lt;=0,0,Tradingbook_SBV[[#This Row],[QUANTITY]])</f>
        <v>0</v>
      </c>
      <c r="DV104" s="71">
        <f>IF(Tradingbook_SBV[[#This Row],[Quantity_edited]]=0,0,Tradingbook_SBV[[#This Row],[DURATION]])</f>
        <v>0</v>
      </c>
      <c r="DW104" s="71">
        <f>IF(Tradingbook_SBV[[#This Row],[Quantity_edited]]=0,0,Tradingbook_SBV[[#This Row],[Mod Dur]])</f>
        <v>0</v>
      </c>
      <c r="DX104" s="71">
        <f>IF(Tradingbook_SBV[[#This Row],[Quantity_edited]]=0,0,Tradingbook_SBV[[#This Row],[Cnvx.]])</f>
        <v>0</v>
      </c>
      <c r="DY104" s="71">
        <f>(Tradingbook_SBV[[#This Row],[MARKET_VALUE]]+Tradingbook_SBV[[#This Row],[Accr Int]]*Tradingbook_SBV[[#This Row],[Quantity_edited]])*(-Tradingbook_SBV[[#This Row],[Modified Duration]]*0.0001+0.5*Tradingbook_SBV[[#This Row],[Conv]]*(0.0001^2))</f>
        <v>0</v>
      </c>
      <c r="DZ104" s="71">
        <f>(Tradingbook_SBV[[#This Row],[MARKET_VALUE]]+Tradingbook_SBV[[#This Row],[Accr Int]]*Tradingbook_SBV[[#This Row],[Quantity_edited]])*(-Tradingbook_SBV[[#This Row],[Modified Duration]]*0.01+0.5*Tradingbook_SBV[[#This Row],[Conv]]*(0.01^2))</f>
        <v>0</v>
      </c>
      <c r="EC104" t="s">
        <v>166</v>
      </c>
      <c r="ED104" t="s">
        <v>167</v>
      </c>
      <c r="EE104" t="s">
        <v>499</v>
      </c>
      <c r="EF104" t="s">
        <v>169</v>
      </c>
      <c r="EG104" s="35" t="s">
        <v>3388</v>
      </c>
      <c r="EH104" t="s">
        <v>3322</v>
      </c>
      <c r="EK104" s="500">
        <v>0</v>
      </c>
      <c r="EL104" s="500">
        <v>0</v>
      </c>
      <c r="EM104" s="500">
        <v>0</v>
      </c>
      <c r="EN104" s="500">
        <v>0</v>
      </c>
      <c r="EO104">
        <v>5.4</v>
      </c>
      <c r="EP104">
        <v>0</v>
      </c>
      <c r="EQ104">
        <v>25272000000</v>
      </c>
      <c r="ER104">
        <v>26942343435.000046</v>
      </c>
      <c r="ES104">
        <v>-14978029368.122444</v>
      </c>
      <c r="ET104">
        <v>0</v>
      </c>
      <c r="EU104">
        <v>0</v>
      </c>
      <c r="EV104">
        <v>0</v>
      </c>
      <c r="EW104">
        <v>0</v>
      </c>
      <c r="EX104">
        <v>0</v>
      </c>
      <c r="EY104">
        <v>0</v>
      </c>
      <c r="EZ104">
        <v>0</v>
      </c>
      <c r="FA104">
        <v>10258120000</v>
      </c>
      <c r="FB104">
        <v>0</v>
      </c>
      <c r="FC104">
        <v>10258120000</v>
      </c>
      <c r="FD104">
        <v>10258120000</v>
      </c>
      <c r="FE104">
        <v>10258120000</v>
      </c>
      <c r="FF104">
        <v>10258120000</v>
      </c>
      <c r="FG104" s="32">
        <f>Bankingbook_SBV[[#This Row],[Mat. Date]]-RPT</f>
        <v>-1652</v>
      </c>
      <c r="FH104" s="32">
        <f>IF(Bankingbook_SBV[[#This Row],[Days]]&lt;=0,0,YEARFRAC(RPT,Bankingbook_SBV[[#This Row],[Mat. Date]],3))</f>
        <v>0</v>
      </c>
      <c r="FI104" s="32">
        <f>IF(Bankingbook_SBV[[#This Row],[Days (year)]]=0,0,INDEX(Ref!$K$2:$K$13,MATCH(Bankingbook_SBV[[#This Row],[Days (year)]],Ref!$I$2:$I$13,1)))</f>
        <v>0</v>
      </c>
      <c r="FJ104" s="32" t="str">
        <f>VLOOKUP(Bankingbook_SBV[[#This Row],[Security Name]],Ref!X:Z,3,0)</f>
        <v>TPCPBL</v>
      </c>
      <c r="FK104" s="32" t="str">
        <f>VLOOKUP(Bankingbook_SBV[[#This Row],[Security Name]],Ref!X:Y,2,0)</f>
        <v>VDB</v>
      </c>
      <c r="FL104" s="72">
        <f>IF((Bankingbook_SBV[[#This Row],[Mat. Date]]-RPT)&lt;=0,0,Bankingbook_SBV[[#This Row],[QUANTITY]])</f>
        <v>0</v>
      </c>
      <c r="FM104" s="32">
        <f>IF(Bankingbook_SBV[[#This Row],[Quantity_edited]]=0,0,Bankingbook_SBV[[#This Row],[DURATION]])</f>
        <v>0</v>
      </c>
      <c r="FN104" s="32">
        <f>IF(Bankingbook_SBV[[#This Row],[Quantity_edited]]=0,0,Bankingbook_SBV[[#This Row],[Mod Dur]])</f>
        <v>0</v>
      </c>
      <c r="FO104" s="32">
        <f>IF(Bankingbook_SBV[[#This Row],[Quantity_edited]]=0,0,Bankingbook_SBV[[#This Row],[Cnvx.]])</f>
        <v>0</v>
      </c>
      <c r="FP104" s="32">
        <f>(Bankingbook_SBV[[#This Row],[MARKET_VALUE]]+Bankingbook_SBV[[#This Row],[Accr Int]]*Bankingbook_SBV[[#This Row],[Quantity_edited]])*(-Bankingbook_SBV[[#This Row],[Modified Duration]]*0.0001+0.5*Bankingbook_SBV[[#This Row],[Conv]]*(0.0001^2))</f>
        <v>0</v>
      </c>
      <c r="FQ104" s="32">
        <f>(Bankingbook_SBV[[#This Row],[MARKET_VALUE]]+Bankingbook_SBV[[#This Row],[Accr Int]]*Bankingbook_SBV[[#This Row],[Quantity_edited]])*(-Bankingbook_SBV[[#This Row],[Modified Duration]]*0.01+0.5*Bankingbook_SBV[[#This Row],[Conv]]*(0.01^2))</f>
        <v>0</v>
      </c>
    </row>
    <row r="105" spans="2:173" x14ac:dyDescent="0.3">
      <c r="B105" t="s">
        <v>166</v>
      </c>
      <c r="C105" t="s">
        <v>167</v>
      </c>
      <c r="D105" t="s">
        <v>281</v>
      </c>
      <c r="E105" t="s">
        <v>169</v>
      </c>
      <c r="F105" s="502">
        <v>42415</v>
      </c>
      <c r="G105" t="s">
        <v>3322</v>
      </c>
      <c r="H105"/>
      <c r="I105"/>
      <c r="J105" s="38">
        <v>0</v>
      </c>
      <c r="K105">
        <v>0</v>
      </c>
      <c r="L105">
        <v>0</v>
      </c>
      <c r="M105" s="38">
        <v>0</v>
      </c>
      <c r="N105">
        <v>6.5</v>
      </c>
      <c r="O105">
        <v>0</v>
      </c>
      <c r="P105" s="37">
        <v>0</v>
      </c>
      <c r="Q105" s="37">
        <v>0</v>
      </c>
      <c r="R105" s="37">
        <v>-220147051.52778339</v>
      </c>
      <c r="S105">
        <v>6.5</v>
      </c>
      <c r="T105" s="70">
        <v>0</v>
      </c>
      <c r="U105">
        <v>0</v>
      </c>
      <c r="V105">
        <v>0</v>
      </c>
      <c r="W105">
        <v>0</v>
      </c>
      <c r="X105" s="38">
        <v>0</v>
      </c>
      <c r="Y105">
        <v>0</v>
      </c>
      <c r="Z105" s="70">
        <v>374000000</v>
      </c>
      <c r="AA105" s="70">
        <v>0</v>
      </c>
      <c r="AB105" s="70">
        <v>374000000</v>
      </c>
      <c r="AC105" s="70">
        <v>374000000</v>
      </c>
      <c r="AD105" s="70">
        <v>374000000</v>
      </c>
      <c r="AE105" s="70">
        <v>374000000</v>
      </c>
      <c r="AF105">
        <v>0</v>
      </c>
      <c r="AG105" s="72">
        <f>Tradingbook_MSB[[#This Row],[Mat. Date]]-RPT</f>
        <v>-3837</v>
      </c>
      <c r="AH105" s="71">
        <f>IF(Tradingbook_MSB[[#This Row],[Days]]&lt;=0,0,YEARFRAC(RPT,Tradingbook_MSB[[#This Row],[Mat. Date]],3))</f>
        <v>0</v>
      </c>
      <c r="AI105" s="71">
        <f>IF(Tradingbook_MSB[[#This Row],[Days (year)]]=0,0,INDEX(Ref!$K$2:$K$13,MATCH(Tradingbook_MSB[[#This Row],[Days (year)]],Ref!$I$2:$I$13,1)))</f>
        <v>0</v>
      </c>
      <c r="AJ105" s="120" t="str">
        <f>VLOOKUP(Tradingbook_MSB[[#This Row],[Security Name]],Ref!X:Z,3,0)</f>
        <v>TPCP</v>
      </c>
      <c r="AK105" s="120" t="str">
        <f>VLOOKUP(Tradingbook_MSB[[#This Row],[Security Name]],Ref!X:Y,2,0)</f>
        <v>KBNN</v>
      </c>
      <c r="AL105" s="71">
        <f>IF((Tradingbook_MSB[[#This Row],[Mat. Date]]-RPT)&lt;=0,0,Tradingbook_MSB[[#This Row],[QUANTITY]])</f>
        <v>0</v>
      </c>
      <c r="AM105" s="71">
        <f>IF(Tradingbook_MSB[[#This Row],[Quantity_edited]]=0,0,Tradingbook_MSB[[#This Row],[DURATION]])</f>
        <v>0</v>
      </c>
      <c r="AN105" s="71">
        <f>IF(Tradingbook_MSB[[#This Row],[Quantity_edited]]=0,0,Tradingbook_MSB[[#This Row],[Mod Dur]])</f>
        <v>0</v>
      </c>
      <c r="AO105" s="71">
        <f>IF(Tradingbook_MSB[[#This Row],[Quantity_edited]]=0,0,Tradingbook_MSB[[#This Row],[Cnvx.]])</f>
        <v>0</v>
      </c>
      <c r="AP105" s="71">
        <f>(Tradingbook_MSB[[#This Row],[MARKET_VALUE]]+Tradingbook_MSB[[#This Row],[Accr Int]]*Tradingbook_MSB[[#This Row],[Quantity_edited]])*(-Tradingbook_MSB[[#This Row],[Modified Duration]]*0.0001+0.5*Tradingbook_MSB[[#This Row],[Conv]]*(0.0001^2))</f>
        <v>0</v>
      </c>
      <c r="AQ105" s="72">
        <f>(Tradingbook_MSB[[#This Row],[MARKET_VALUE]]+Tradingbook_MSB[[#This Row],[Accr Int]]*Tradingbook_MSB[[#This Row],[Quantity_edited]])*(-Tradingbook_MSB[[#This Row],[Modified Duration]]*0.01+0.5*Tradingbook_MSB[[#This Row],[Conv]]*(0.01^2))</f>
        <v>0</v>
      </c>
      <c r="AR105" s="71"/>
      <c r="AT105" t="s">
        <v>166</v>
      </c>
      <c r="AU105" t="s">
        <v>167</v>
      </c>
      <c r="AV105" t="s">
        <v>560</v>
      </c>
      <c r="AW105" t="s">
        <v>169</v>
      </c>
      <c r="AX105" t="s">
        <v>3405</v>
      </c>
      <c r="AY105" t="s">
        <v>3322</v>
      </c>
      <c r="AZ105">
        <v>100289</v>
      </c>
      <c r="BA105">
        <v>100289</v>
      </c>
      <c r="BB105">
        <v>0</v>
      </c>
      <c r="BC105">
        <v>0</v>
      </c>
      <c r="BD105">
        <v>0</v>
      </c>
      <c r="BE105" s="37">
        <v>0</v>
      </c>
      <c r="BF105">
        <v>6.2</v>
      </c>
      <c r="BG105">
        <v>5368</v>
      </c>
      <c r="BH105">
        <v>24800000000</v>
      </c>
      <c r="BI105">
        <v>29490724958.333344</v>
      </c>
      <c r="BJ105">
        <v>-8101773762.9166403</v>
      </c>
      <c r="BK105">
        <v>3.8282327889999999</v>
      </c>
      <c r="BL105">
        <v>0.1335601733614</v>
      </c>
      <c r="BM105">
        <v>0.13867317000000001</v>
      </c>
      <c r="BN105">
        <v>3.5676639816599999E-2</v>
      </c>
      <c r="BO105">
        <v>0</v>
      </c>
      <c r="BP105">
        <v>0</v>
      </c>
      <c r="BQ105">
        <v>0</v>
      </c>
      <c r="BR105">
        <v>5496000000</v>
      </c>
      <c r="BS105">
        <v>0</v>
      </c>
      <c r="BT105">
        <v>5496000000</v>
      </c>
      <c r="BU105">
        <v>5496000000</v>
      </c>
      <c r="BV105">
        <v>5496000000</v>
      </c>
      <c r="BW105">
        <v>5496000000</v>
      </c>
      <c r="BX105">
        <v>0</v>
      </c>
      <c r="BY105" s="32">
        <f>Bankingbook_MSB[[#This Row],[Mat. Date]]-RPT</f>
        <v>49</v>
      </c>
      <c r="BZ105" s="71">
        <f>IF(Bankingbook_MSB[[#This Row],[Days]]&lt;=0,0,YEARFRAC(RPT,Bankingbook_MSB[[#This Row],[Mat. Date]],3))</f>
        <v>0.13424657534246576</v>
      </c>
      <c r="CA105" s="71" t="str">
        <f>IF(Bankingbook_MSB[[#This Row],[Days (year)]]=0,0,INDEX(Ref!$K$2:$K$13,MATCH(Bankingbook_MSB[[#This Row],[Days (year)]],Ref!$I$2:$I$13,1)))</f>
        <v>3M</v>
      </c>
      <c r="CB105" s="32" t="str">
        <f>VLOOKUP(Bankingbook_MSB[[#This Row],[Security Name]],Ref!X:Z,3,0)</f>
        <v>TPCP</v>
      </c>
      <c r="CC105" s="32" t="str">
        <f>VLOOKUP(Bankingbook_MSB[[#This Row],[Security Name]],Ref!X:Y,2,0)</f>
        <v>KBNN</v>
      </c>
      <c r="CD105" s="72">
        <f>IF((Bankingbook_MSB[[#This Row],[Mat. Date]]-RPT)&lt;=0,0,Bankingbook_MSB[[#This Row],[QUANTITY]])</f>
        <v>0</v>
      </c>
      <c r="CE105" s="71">
        <f>IF(Bankingbook_MSB[[#This Row],[Quantity_edited]]=0,0,Bankingbook_MSB[[#This Row],[DURATION]])</f>
        <v>0</v>
      </c>
      <c r="CF105" s="71">
        <f>IF(Bankingbook_MSB[[#This Row],[Quantity_edited]]=0,0,Bankingbook_MSB[[#This Row],[Mod Dur]])</f>
        <v>0</v>
      </c>
      <c r="CG105" s="71">
        <f>IF(Bankingbook_MSB[[#This Row],[Quantity_edited]]=0,0,Bankingbook_MSB[[#This Row],[Cnvx.]])</f>
        <v>0</v>
      </c>
      <c r="CH105" s="71">
        <f>(Bankingbook_MSB[[#This Row],[MARKET_VALUE]]+Bankingbook_MSB[[#This Row],[Accr Int]]*Bankingbook_MSB[[#This Row],[Quantity_edited]])*(-Bankingbook_MSB[[#This Row],[Modified Duration]]*0.0001+0.5*Bankingbook_MSB[[#This Row],[Conv]]*(0.0001^2))</f>
        <v>0</v>
      </c>
      <c r="CI105" s="71">
        <f>(Bankingbook_MSB[[#This Row],[MARKET_VALUE]]+Bankingbook_MSB[[#This Row],[Accr Int]]*Bankingbook_MSB[[#This Row],[Quantity_edited]])*(-Bankingbook_MSB[[#This Row],[Modified Duration]]*0.01+0.5*Bankingbook_MSB[[#This Row],[Conv]]*(0.01^2))</f>
        <v>0</v>
      </c>
      <c r="CL105" t="s">
        <v>166</v>
      </c>
      <c r="CM105" t="s">
        <v>167</v>
      </c>
      <c r="CN105" t="s">
        <v>281</v>
      </c>
      <c r="CO105" t="s">
        <v>169</v>
      </c>
      <c r="CP105" s="35">
        <v>42415</v>
      </c>
      <c r="CQ105" t="s">
        <v>3322</v>
      </c>
      <c r="CR105" t="s">
        <v>174</v>
      </c>
      <c r="CS105" t="s">
        <v>174</v>
      </c>
      <c r="CT105" s="49">
        <v>0</v>
      </c>
      <c r="CU105">
        <v>0</v>
      </c>
      <c r="CV105">
        <v>0</v>
      </c>
      <c r="CW105" s="70">
        <v>0</v>
      </c>
      <c r="CX105">
        <v>6.5</v>
      </c>
      <c r="CY105">
        <v>0</v>
      </c>
      <c r="CZ105">
        <v>0</v>
      </c>
      <c r="DA105">
        <v>0</v>
      </c>
      <c r="DB105">
        <v>-220147051.52778339</v>
      </c>
      <c r="DC105">
        <v>6.5</v>
      </c>
      <c r="DD105">
        <v>0</v>
      </c>
      <c r="DE105">
        <v>0</v>
      </c>
      <c r="DF105">
        <v>0</v>
      </c>
      <c r="DG105">
        <v>0</v>
      </c>
      <c r="DH105">
        <v>0</v>
      </c>
      <c r="DI105">
        <v>0</v>
      </c>
      <c r="DJ105" s="500">
        <v>374000000</v>
      </c>
      <c r="DK105" s="500">
        <v>0</v>
      </c>
      <c r="DL105" s="37">
        <v>374000000</v>
      </c>
      <c r="DM105" s="37">
        <v>374000000</v>
      </c>
      <c r="DN105" s="37">
        <v>374000000</v>
      </c>
      <c r="DO105" s="37">
        <v>374000000</v>
      </c>
      <c r="DP105" s="32">
        <f>Tradingbook_SBV[[#This Row],[Mat. Date]]-RPT</f>
        <v>-3837</v>
      </c>
      <c r="DQ105" s="32">
        <f>IF(Tradingbook_SBV[[#This Row],[Days]]&lt;=0,0,YEARFRAC(RPT,Tradingbook_SBV[[#This Row],[Mat. Date]],3))</f>
        <v>0</v>
      </c>
      <c r="DR105" s="32">
        <f>IF(Tradingbook_SBV[[#This Row],[Days (year)]]=0,0,INDEX(Ref!$K$2:$K$13,MATCH(Tradingbook_SBV[[#This Row],[Days (year)]],Ref!$I$2:$I$13,1)))</f>
        <v>0</v>
      </c>
      <c r="DS105" s="32" t="str">
        <f>VLOOKUP(Tradingbook_SBV[[#This Row],[Security Name]],Ref!X:Z,3,0)</f>
        <v>TPCP</v>
      </c>
      <c r="DT105" s="32" t="str">
        <f>VLOOKUP(Tradingbook_SBV[[#This Row],[Security Name]],Ref!X:Y,2,0)</f>
        <v>KBNN</v>
      </c>
      <c r="DU105" s="71">
        <f>IF((Tradingbook_SBV[[#This Row],[Mat. Date]]-RPT)&lt;=0,0,Tradingbook_SBV[[#This Row],[QUANTITY]])</f>
        <v>0</v>
      </c>
      <c r="DV105" s="71">
        <f>IF(Tradingbook_SBV[[#This Row],[Quantity_edited]]=0,0,Tradingbook_SBV[[#This Row],[DURATION]])</f>
        <v>0</v>
      </c>
      <c r="DW105" s="71">
        <f>IF(Tradingbook_SBV[[#This Row],[Quantity_edited]]=0,0,Tradingbook_SBV[[#This Row],[Mod Dur]])</f>
        <v>0</v>
      </c>
      <c r="DX105" s="71">
        <f>IF(Tradingbook_SBV[[#This Row],[Quantity_edited]]=0,0,Tradingbook_SBV[[#This Row],[Cnvx.]])</f>
        <v>0</v>
      </c>
      <c r="DY105" s="71">
        <f>(Tradingbook_SBV[[#This Row],[MARKET_VALUE]]+Tradingbook_SBV[[#This Row],[Accr Int]]*Tradingbook_SBV[[#This Row],[Quantity_edited]])*(-Tradingbook_SBV[[#This Row],[Modified Duration]]*0.0001+0.5*Tradingbook_SBV[[#This Row],[Conv]]*(0.0001^2))</f>
        <v>0</v>
      </c>
      <c r="DZ105" s="71">
        <f>(Tradingbook_SBV[[#This Row],[MARKET_VALUE]]+Tradingbook_SBV[[#This Row],[Accr Int]]*Tradingbook_SBV[[#This Row],[Quantity_edited]])*(-Tradingbook_SBV[[#This Row],[Modified Duration]]*0.01+0.5*Tradingbook_SBV[[#This Row],[Conv]]*(0.01^2))</f>
        <v>0</v>
      </c>
      <c r="EC105" t="s">
        <v>166</v>
      </c>
      <c r="ED105" t="s">
        <v>167</v>
      </c>
      <c r="EE105" t="s">
        <v>500</v>
      </c>
      <c r="EF105" t="s">
        <v>169</v>
      </c>
      <c r="EG105" s="35" t="s">
        <v>3389</v>
      </c>
      <c r="EH105" t="s">
        <v>3322</v>
      </c>
      <c r="EK105" s="500">
        <v>0</v>
      </c>
      <c r="EL105" s="500">
        <v>0</v>
      </c>
      <c r="EM105" s="500">
        <v>0</v>
      </c>
      <c r="EN105" s="500">
        <v>0</v>
      </c>
      <c r="EO105">
        <v>8.8000000000000007</v>
      </c>
      <c r="EP105">
        <v>0</v>
      </c>
      <c r="EQ105">
        <v>17600000000</v>
      </c>
      <c r="ER105">
        <v>18654981888.888905</v>
      </c>
      <c r="ES105">
        <v>-5394631243.6112328</v>
      </c>
      <c r="ET105">
        <v>0</v>
      </c>
      <c r="EU105">
        <v>0</v>
      </c>
      <c r="EV105">
        <v>0</v>
      </c>
      <c r="EW105">
        <v>0</v>
      </c>
      <c r="EX105">
        <v>0</v>
      </c>
      <c r="EY105">
        <v>0</v>
      </c>
      <c r="EZ105">
        <v>0</v>
      </c>
      <c r="FA105">
        <v>-2911000000</v>
      </c>
      <c r="FB105">
        <v>0</v>
      </c>
      <c r="FC105">
        <v>-2911000000</v>
      </c>
      <c r="FD105">
        <v>-2911000000</v>
      </c>
      <c r="FE105">
        <v>-2911000000</v>
      </c>
      <c r="FF105">
        <v>-2911000000</v>
      </c>
      <c r="FG105" s="32">
        <f>Bankingbook_SBV[[#This Row],[Mat. Date]]-RPT</f>
        <v>-1648</v>
      </c>
      <c r="FH105" s="32">
        <f>IF(Bankingbook_SBV[[#This Row],[Days]]&lt;=0,0,YEARFRAC(RPT,Bankingbook_SBV[[#This Row],[Mat. Date]],3))</f>
        <v>0</v>
      </c>
      <c r="FI105" s="32">
        <f>IF(Bankingbook_SBV[[#This Row],[Days (year)]]=0,0,INDEX(Ref!$K$2:$K$13,MATCH(Bankingbook_SBV[[#This Row],[Days (year)]],Ref!$I$2:$I$13,1)))</f>
        <v>0</v>
      </c>
      <c r="FJ105" s="32" t="str">
        <f>VLOOKUP(Bankingbook_SBV[[#This Row],[Security Name]],Ref!X:Z,3,0)</f>
        <v>TPCP</v>
      </c>
      <c r="FK105" s="32" t="str">
        <f>VLOOKUP(Bankingbook_SBV[[#This Row],[Security Name]],Ref!X:Y,2,0)</f>
        <v>VDB</v>
      </c>
      <c r="FL105" s="72">
        <f>IF((Bankingbook_SBV[[#This Row],[Mat. Date]]-RPT)&lt;=0,0,Bankingbook_SBV[[#This Row],[QUANTITY]])</f>
        <v>0</v>
      </c>
      <c r="FM105" s="32">
        <f>IF(Bankingbook_SBV[[#This Row],[Quantity_edited]]=0,0,Bankingbook_SBV[[#This Row],[DURATION]])</f>
        <v>0</v>
      </c>
      <c r="FN105" s="32">
        <f>IF(Bankingbook_SBV[[#This Row],[Quantity_edited]]=0,0,Bankingbook_SBV[[#This Row],[Mod Dur]])</f>
        <v>0</v>
      </c>
      <c r="FO105" s="32">
        <f>IF(Bankingbook_SBV[[#This Row],[Quantity_edited]]=0,0,Bankingbook_SBV[[#This Row],[Cnvx.]])</f>
        <v>0</v>
      </c>
      <c r="FP105" s="32">
        <f>(Bankingbook_SBV[[#This Row],[MARKET_VALUE]]+Bankingbook_SBV[[#This Row],[Accr Int]]*Bankingbook_SBV[[#This Row],[Quantity_edited]])*(-Bankingbook_SBV[[#This Row],[Modified Duration]]*0.0001+0.5*Bankingbook_SBV[[#This Row],[Conv]]*(0.0001^2))</f>
        <v>0</v>
      </c>
      <c r="FQ105" s="32">
        <f>(Bankingbook_SBV[[#This Row],[MARKET_VALUE]]+Bankingbook_SBV[[#This Row],[Accr Int]]*Bankingbook_SBV[[#This Row],[Quantity_edited]])*(-Bankingbook_SBV[[#This Row],[Modified Duration]]*0.01+0.5*Bankingbook_SBV[[#This Row],[Conv]]*(0.01^2))</f>
        <v>0</v>
      </c>
    </row>
    <row r="106" spans="2:173" x14ac:dyDescent="0.3">
      <c r="B106" t="s">
        <v>166</v>
      </c>
      <c r="C106" t="s">
        <v>167</v>
      </c>
      <c r="D106" t="s">
        <v>282</v>
      </c>
      <c r="E106" t="s">
        <v>169</v>
      </c>
      <c r="F106" s="502">
        <v>42428</v>
      </c>
      <c r="G106" t="s">
        <v>3322</v>
      </c>
      <c r="H106"/>
      <c r="I106"/>
      <c r="J106" s="38">
        <v>0</v>
      </c>
      <c r="K106">
        <v>0</v>
      </c>
      <c r="L106">
        <v>0</v>
      </c>
      <c r="M106" s="38">
        <v>0</v>
      </c>
      <c r="N106">
        <v>8.5</v>
      </c>
      <c r="O106">
        <v>0</v>
      </c>
      <c r="P106" s="37">
        <v>0</v>
      </c>
      <c r="Q106" s="37">
        <v>1.9999999999999999E-6</v>
      </c>
      <c r="R106" s="37">
        <v>-1175716394.6944609</v>
      </c>
      <c r="S106">
        <v>8.5</v>
      </c>
      <c r="T106" s="70">
        <v>0</v>
      </c>
      <c r="U106">
        <v>0</v>
      </c>
      <c r="V106">
        <v>0</v>
      </c>
      <c r="W106">
        <v>0</v>
      </c>
      <c r="X106" s="38">
        <v>0</v>
      </c>
      <c r="Y106">
        <v>0</v>
      </c>
      <c r="Z106" s="70">
        <v>-850000000</v>
      </c>
      <c r="AA106" s="70">
        <v>0</v>
      </c>
      <c r="AB106" s="70">
        <v>-850000000</v>
      </c>
      <c r="AC106" s="70">
        <v>-850000000</v>
      </c>
      <c r="AD106" s="70">
        <v>-850000000</v>
      </c>
      <c r="AE106" s="70">
        <v>-850000000</v>
      </c>
      <c r="AF106">
        <v>0</v>
      </c>
      <c r="AG106" s="72">
        <f>Tradingbook_MSB[[#This Row],[Mat. Date]]-RPT</f>
        <v>-3824</v>
      </c>
      <c r="AH106" s="71">
        <f>IF(Tradingbook_MSB[[#This Row],[Days]]&lt;=0,0,YEARFRAC(RPT,Tradingbook_MSB[[#This Row],[Mat. Date]],3))</f>
        <v>0</v>
      </c>
      <c r="AI106" s="71">
        <f>IF(Tradingbook_MSB[[#This Row],[Days (year)]]=0,0,INDEX(Ref!$K$2:$K$13,MATCH(Tradingbook_MSB[[#This Row],[Days (year)]],Ref!$I$2:$I$13,1)))</f>
        <v>0</v>
      </c>
      <c r="AJ106" s="120" t="str">
        <f>VLOOKUP(Tradingbook_MSB[[#This Row],[Security Name]],Ref!X:Z,3,0)</f>
        <v>TPCP</v>
      </c>
      <c r="AK106" s="120" t="str">
        <f>VLOOKUP(Tradingbook_MSB[[#This Row],[Security Name]],Ref!X:Y,2,0)</f>
        <v>KBNN</v>
      </c>
      <c r="AL106" s="71">
        <f>IF((Tradingbook_MSB[[#This Row],[Mat. Date]]-RPT)&lt;=0,0,Tradingbook_MSB[[#This Row],[QUANTITY]])</f>
        <v>0</v>
      </c>
      <c r="AM106" s="71">
        <f>IF(Tradingbook_MSB[[#This Row],[Quantity_edited]]=0,0,Tradingbook_MSB[[#This Row],[DURATION]])</f>
        <v>0</v>
      </c>
      <c r="AN106" s="71">
        <f>IF(Tradingbook_MSB[[#This Row],[Quantity_edited]]=0,0,Tradingbook_MSB[[#This Row],[Mod Dur]])</f>
        <v>0</v>
      </c>
      <c r="AO106" s="71">
        <f>IF(Tradingbook_MSB[[#This Row],[Quantity_edited]]=0,0,Tradingbook_MSB[[#This Row],[Cnvx.]])</f>
        <v>0</v>
      </c>
      <c r="AP106" s="71">
        <f>(Tradingbook_MSB[[#This Row],[MARKET_VALUE]]+Tradingbook_MSB[[#This Row],[Accr Int]]*Tradingbook_MSB[[#This Row],[Quantity_edited]])*(-Tradingbook_MSB[[#This Row],[Modified Duration]]*0.0001+0.5*Tradingbook_MSB[[#This Row],[Conv]]*(0.0001^2))</f>
        <v>0</v>
      </c>
      <c r="AQ106" s="72">
        <f>(Tradingbook_MSB[[#This Row],[MARKET_VALUE]]+Tradingbook_MSB[[#This Row],[Accr Int]]*Tradingbook_MSB[[#This Row],[Quantity_edited]])*(-Tradingbook_MSB[[#This Row],[Modified Duration]]*0.01+0.5*Tradingbook_MSB[[#This Row],[Conv]]*(0.01^2))</f>
        <v>0</v>
      </c>
      <c r="AR106" s="71"/>
      <c r="AT106" t="s">
        <v>166</v>
      </c>
      <c r="AU106" t="s">
        <v>167</v>
      </c>
      <c r="AV106" t="s">
        <v>563</v>
      </c>
      <c r="AW106" t="s">
        <v>169</v>
      </c>
      <c r="AX106" t="s">
        <v>564</v>
      </c>
      <c r="AY106" t="s">
        <v>170</v>
      </c>
      <c r="AZ106">
        <v>99860</v>
      </c>
      <c r="BA106">
        <v>99860</v>
      </c>
      <c r="BB106">
        <v>3000000</v>
      </c>
      <c r="BC106">
        <v>300000000000</v>
      </c>
      <c r="BD106">
        <v>102221.5</v>
      </c>
      <c r="BE106" s="37">
        <v>299580000000</v>
      </c>
      <c r="BF106">
        <v>3.9</v>
      </c>
      <c r="BG106">
        <v>2896</v>
      </c>
      <c r="BH106">
        <v>70200000000</v>
      </c>
      <c r="BI106">
        <v>78089379874.999863</v>
      </c>
      <c r="BJ106">
        <v>-50951932509.165939</v>
      </c>
      <c r="BK106">
        <v>4.3229861610000002</v>
      </c>
      <c r="BL106">
        <v>0.25469864332140002</v>
      </c>
      <c r="BM106">
        <v>0.26570923000000002</v>
      </c>
      <c r="BN106">
        <v>0.12974279781949999</v>
      </c>
      <c r="BO106">
        <v>399.9555279823</v>
      </c>
      <c r="BP106">
        <v>-7851.5441379399999</v>
      </c>
      <c r="BQ106">
        <v>36112.864999999998</v>
      </c>
      <c r="BR106">
        <v>7603500000</v>
      </c>
      <c r="BS106">
        <v>-7084500000</v>
      </c>
      <c r="BT106">
        <v>519000000</v>
      </c>
      <c r="BU106">
        <v>519000000</v>
      </c>
      <c r="BV106">
        <v>519000000</v>
      </c>
      <c r="BW106">
        <v>519000000</v>
      </c>
      <c r="BX106">
        <v>3.0750108869999999</v>
      </c>
      <c r="BY106" s="32">
        <f>Bankingbook_MSB[[#This Row],[Mat. Date]]-RPT</f>
        <v>94</v>
      </c>
      <c r="BZ106" s="71">
        <f>IF(Bankingbook_MSB[[#This Row],[Days]]&lt;=0,0,YEARFRAC(RPT,Bankingbook_MSB[[#This Row],[Mat. Date]],3))</f>
        <v>0.25753424657534246</v>
      </c>
      <c r="CA106" s="71" t="str">
        <f>IF(Bankingbook_MSB[[#This Row],[Days (year)]]=0,0,INDEX(Ref!$K$2:$K$13,MATCH(Bankingbook_MSB[[#This Row],[Days (year)]],Ref!$I$2:$I$13,1)))</f>
        <v>3M</v>
      </c>
      <c r="CB106" s="32" t="str">
        <f>VLOOKUP(Bankingbook_MSB[[#This Row],[Security Name]],Ref!X:Z,3,0)</f>
        <v>TPCPBL</v>
      </c>
      <c r="CC106" s="32" t="str">
        <f>VLOOKUP(Bankingbook_MSB[[#This Row],[Security Name]],Ref!X:Y,2,0)</f>
        <v>VDB</v>
      </c>
      <c r="CD106" s="72">
        <f>IF((Bankingbook_MSB[[#This Row],[Mat. Date]]-RPT)&lt;=0,0,Bankingbook_MSB[[#This Row],[QUANTITY]])</f>
        <v>3000000</v>
      </c>
      <c r="CE106" s="71">
        <f>IF(Bankingbook_MSB[[#This Row],[Quantity_edited]]=0,0,Bankingbook_MSB[[#This Row],[DURATION]])</f>
        <v>0.26570923000000002</v>
      </c>
      <c r="CF106" s="71">
        <f>IF(Bankingbook_MSB[[#This Row],[Quantity_edited]]=0,0,Bankingbook_MSB[[#This Row],[Mod Dur]])</f>
        <v>0.25469864332140002</v>
      </c>
      <c r="CG106" s="71">
        <f>IF(Bankingbook_MSB[[#This Row],[Quantity_edited]]=0,0,Bankingbook_MSB[[#This Row],[Cnvx.]])</f>
        <v>0.12974279781949999</v>
      </c>
      <c r="CH106" s="71">
        <f>(Bankingbook_MSB[[#This Row],[MARKET_VALUE]]+Bankingbook_MSB[[#This Row],[Accr Int]]*Bankingbook_MSB[[#This Row],[Quantity_edited]])*(-Bankingbook_MSB[[#This Row],[Modified Duration]]*0.0001+0.5*Bankingbook_MSB[[#This Row],[Conv]]*(0.0001^2))</f>
        <v>-7851344.1601761431</v>
      </c>
      <c r="CI106" s="71">
        <f>(Bankingbook_MSB[[#This Row],[MARKET_VALUE]]+Bankingbook_MSB[[#This Row],[Accr Int]]*Bankingbook_MSB[[#This Row],[Quantity_edited]])*(-Bankingbook_MSB[[#This Row],[Modified Duration]]*0.01+0.5*Bankingbook_MSB[[#This Row],[Conv]]*(0.01^2))</f>
        <v>-783154636.15410233</v>
      </c>
      <c r="CL106" t="s">
        <v>166</v>
      </c>
      <c r="CM106" t="s">
        <v>167</v>
      </c>
      <c r="CN106" t="s">
        <v>282</v>
      </c>
      <c r="CO106" t="s">
        <v>169</v>
      </c>
      <c r="CP106" s="35">
        <v>42428</v>
      </c>
      <c r="CQ106" t="s">
        <v>3322</v>
      </c>
      <c r="CR106" t="s">
        <v>174</v>
      </c>
      <c r="CS106" t="s">
        <v>174</v>
      </c>
      <c r="CT106" s="49">
        <v>0</v>
      </c>
      <c r="CU106">
        <v>0</v>
      </c>
      <c r="CV106">
        <v>0</v>
      </c>
      <c r="CW106" s="70">
        <v>0</v>
      </c>
      <c r="CX106">
        <v>8.5</v>
      </c>
      <c r="CY106">
        <v>0</v>
      </c>
      <c r="CZ106">
        <v>0</v>
      </c>
      <c r="DA106">
        <v>1.9999999999999999E-6</v>
      </c>
      <c r="DB106">
        <v>-1175716394.6944609</v>
      </c>
      <c r="DC106">
        <v>8.5</v>
      </c>
      <c r="DD106">
        <v>0</v>
      </c>
      <c r="DE106">
        <v>0</v>
      </c>
      <c r="DF106">
        <v>0</v>
      </c>
      <c r="DG106">
        <v>0</v>
      </c>
      <c r="DH106">
        <v>0</v>
      </c>
      <c r="DI106">
        <v>0</v>
      </c>
      <c r="DJ106" s="500">
        <v>-850000000</v>
      </c>
      <c r="DK106" s="500">
        <v>0</v>
      </c>
      <c r="DL106" s="37">
        <v>-850000000</v>
      </c>
      <c r="DM106" s="37">
        <v>-850000000</v>
      </c>
      <c r="DN106" s="37">
        <v>-850000000</v>
      </c>
      <c r="DO106" s="37">
        <v>-850000000</v>
      </c>
      <c r="DP106" s="32">
        <f>Tradingbook_SBV[[#This Row],[Mat. Date]]-RPT</f>
        <v>-3824</v>
      </c>
      <c r="DQ106" s="32">
        <f>IF(Tradingbook_SBV[[#This Row],[Days]]&lt;=0,0,YEARFRAC(RPT,Tradingbook_SBV[[#This Row],[Mat. Date]],3))</f>
        <v>0</v>
      </c>
      <c r="DR106" s="32">
        <f>IF(Tradingbook_SBV[[#This Row],[Days (year)]]=0,0,INDEX(Ref!$K$2:$K$13,MATCH(Tradingbook_SBV[[#This Row],[Days (year)]],Ref!$I$2:$I$13,1)))</f>
        <v>0</v>
      </c>
      <c r="DS106" s="32" t="str">
        <f>VLOOKUP(Tradingbook_SBV[[#This Row],[Security Name]],Ref!X:Z,3,0)</f>
        <v>TPCP</v>
      </c>
      <c r="DT106" s="32" t="str">
        <f>VLOOKUP(Tradingbook_SBV[[#This Row],[Security Name]],Ref!X:Y,2,0)</f>
        <v>KBNN</v>
      </c>
      <c r="DU106" s="71">
        <f>IF((Tradingbook_SBV[[#This Row],[Mat. Date]]-RPT)&lt;=0,0,Tradingbook_SBV[[#This Row],[QUANTITY]])</f>
        <v>0</v>
      </c>
      <c r="DV106" s="71">
        <f>IF(Tradingbook_SBV[[#This Row],[Quantity_edited]]=0,0,Tradingbook_SBV[[#This Row],[DURATION]])</f>
        <v>0</v>
      </c>
      <c r="DW106" s="71">
        <f>IF(Tradingbook_SBV[[#This Row],[Quantity_edited]]=0,0,Tradingbook_SBV[[#This Row],[Mod Dur]])</f>
        <v>0</v>
      </c>
      <c r="DX106" s="71">
        <f>IF(Tradingbook_SBV[[#This Row],[Quantity_edited]]=0,0,Tradingbook_SBV[[#This Row],[Cnvx.]])</f>
        <v>0</v>
      </c>
      <c r="DY106" s="71">
        <f>(Tradingbook_SBV[[#This Row],[MARKET_VALUE]]+Tradingbook_SBV[[#This Row],[Accr Int]]*Tradingbook_SBV[[#This Row],[Quantity_edited]])*(-Tradingbook_SBV[[#This Row],[Modified Duration]]*0.0001+0.5*Tradingbook_SBV[[#This Row],[Conv]]*(0.0001^2))</f>
        <v>0</v>
      </c>
      <c r="DZ106" s="71">
        <f>(Tradingbook_SBV[[#This Row],[MARKET_VALUE]]+Tradingbook_SBV[[#This Row],[Accr Int]]*Tradingbook_SBV[[#This Row],[Quantity_edited]])*(-Tradingbook_SBV[[#This Row],[Modified Duration]]*0.01+0.5*Tradingbook_SBV[[#This Row],[Conv]]*(0.01^2))</f>
        <v>0</v>
      </c>
      <c r="EC106" t="s">
        <v>166</v>
      </c>
      <c r="ED106" t="s">
        <v>167</v>
      </c>
      <c r="EE106" t="s">
        <v>501</v>
      </c>
      <c r="EF106" t="s">
        <v>169</v>
      </c>
      <c r="EG106" s="35" t="s">
        <v>3390</v>
      </c>
      <c r="EH106" t="s">
        <v>3322</v>
      </c>
      <c r="EK106" s="500">
        <v>0</v>
      </c>
      <c r="EL106" s="500">
        <v>0</v>
      </c>
      <c r="EM106" s="500">
        <v>0</v>
      </c>
      <c r="EN106" s="500">
        <v>0</v>
      </c>
      <c r="EO106">
        <v>5.3</v>
      </c>
      <c r="EP106">
        <v>0</v>
      </c>
      <c r="EQ106">
        <v>44096000000</v>
      </c>
      <c r="ER106">
        <v>46738198635.555595</v>
      </c>
      <c r="ES106">
        <v>-24005474709.22258</v>
      </c>
      <c r="ET106">
        <v>0</v>
      </c>
      <c r="EU106">
        <v>0</v>
      </c>
      <c r="EV106">
        <v>0</v>
      </c>
      <c r="EW106">
        <v>0</v>
      </c>
      <c r="EX106">
        <v>0</v>
      </c>
      <c r="EY106">
        <v>0</v>
      </c>
      <c r="EZ106">
        <v>0</v>
      </c>
      <c r="FA106">
        <v>12264000000</v>
      </c>
      <c r="FB106">
        <v>0</v>
      </c>
      <c r="FC106">
        <v>12264000000</v>
      </c>
      <c r="FD106">
        <v>12264000000</v>
      </c>
      <c r="FE106">
        <v>12264000000</v>
      </c>
      <c r="FF106">
        <v>12264000000</v>
      </c>
      <c r="FG106" s="32">
        <f>Bankingbook_SBV[[#This Row],[Mat. Date]]-RPT</f>
        <v>-1646</v>
      </c>
      <c r="FH106" s="32">
        <f>IF(Bankingbook_SBV[[#This Row],[Days]]&lt;=0,0,YEARFRAC(RPT,Bankingbook_SBV[[#This Row],[Mat. Date]],3))</f>
        <v>0</v>
      </c>
      <c r="FI106" s="32">
        <f>IF(Bankingbook_SBV[[#This Row],[Days (year)]]=0,0,INDEX(Ref!$K$2:$K$13,MATCH(Bankingbook_SBV[[#This Row],[Days (year)]],Ref!$I$2:$I$13,1)))</f>
        <v>0</v>
      </c>
      <c r="FJ106" s="32" t="str">
        <f>VLOOKUP(Bankingbook_SBV[[#This Row],[Security Name]],Ref!X:Z,3,0)</f>
        <v>TPCPBL</v>
      </c>
      <c r="FK106" s="32" t="str">
        <f>VLOOKUP(Bankingbook_SBV[[#This Row],[Security Name]],Ref!X:Y,2,0)</f>
        <v>VDB</v>
      </c>
      <c r="FL106" s="72">
        <f>IF((Bankingbook_SBV[[#This Row],[Mat. Date]]-RPT)&lt;=0,0,Bankingbook_SBV[[#This Row],[QUANTITY]])</f>
        <v>0</v>
      </c>
      <c r="FM106" s="32">
        <f>IF(Bankingbook_SBV[[#This Row],[Quantity_edited]]=0,0,Bankingbook_SBV[[#This Row],[DURATION]])</f>
        <v>0</v>
      </c>
      <c r="FN106" s="32">
        <f>IF(Bankingbook_SBV[[#This Row],[Quantity_edited]]=0,0,Bankingbook_SBV[[#This Row],[Mod Dur]])</f>
        <v>0</v>
      </c>
      <c r="FO106" s="32">
        <f>IF(Bankingbook_SBV[[#This Row],[Quantity_edited]]=0,0,Bankingbook_SBV[[#This Row],[Cnvx.]])</f>
        <v>0</v>
      </c>
      <c r="FP106" s="32">
        <f>(Bankingbook_SBV[[#This Row],[MARKET_VALUE]]+Bankingbook_SBV[[#This Row],[Accr Int]]*Bankingbook_SBV[[#This Row],[Quantity_edited]])*(-Bankingbook_SBV[[#This Row],[Modified Duration]]*0.0001+0.5*Bankingbook_SBV[[#This Row],[Conv]]*(0.0001^2))</f>
        <v>0</v>
      </c>
      <c r="FQ106" s="32">
        <f>(Bankingbook_SBV[[#This Row],[MARKET_VALUE]]+Bankingbook_SBV[[#This Row],[Accr Int]]*Bankingbook_SBV[[#This Row],[Quantity_edited]])*(-Bankingbook_SBV[[#This Row],[Modified Duration]]*0.01+0.5*Bankingbook_SBV[[#This Row],[Conv]]*(0.01^2))</f>
        <v>0</v>
      </c>
    </row>
    <row r="107" spans="2:173" x14ac:dyDescent="0.3">
      <c r="B107" t="s">
        <v>166</v>
      </c>
      <c r="C107" t="s">
        <v>167</v>
      </c>
      <c r="D107" t="s">
        <v>283</v>
      </c>
      <c r="E107" t="s">
        <v>169</v>
      </c>
      <c r="F107" s="502">
        <v>42428</v>
      </c>
      <c r="G107" t="s">
        <v>3322</v>
      </c>
      <c r="H107"/>
      <c r="I107"/>
      <c r="J107" s="38">
        <v>0</v>
      </c>
      <c r="K107">
        <v>0</v>
      </c>
      <c r="L107">
        <v>0</v>
      </c>
      <c r="M107" s="38">
        <v>0</v>
      </c>
      <c r="N107">
        <v>6.1</v>
      </c>
      <c r="O107">
        <v>0</v>
      </c>
      <c r="P107" s="37">
        <v>0</v>
      </c>
      <c r="Q107" s="37">
        <v>7.9999999999999996E-6</v>
      </c>
      <c r="R107" s="37">
        <v>-553909938.88890457</v>
      </c>
      <c r="S107">
        <v>6.1</v>
      </c>
      <c r="T107" s="70">
        <v>0</v>
      </c>
      <c r="U107">
        <v>0</v>
      </c>
      <c r="V107">
        <v>0</v>
      </c>
      <c r="W107">
        <v>0</v>
      </c>
      <c r="X107" s="38">
        <v>0</v>
      </c>
      <c r="Y107">
        <v>0</v>
      </c>
      <c r="Z107" s="70">
        <v>239000000.00012207</v>
      </c>
      <c r="AA107" s="70">
        <v>0</v>
      </c>
      <c r="AB107" s="70">
        <v>239000000.0001221</v>
      </c>
      <c r="AC107" s="70">
        <v>239000000.0001221</v>
      </c>
      <c r="AD107" s="70">
        <v>239000000</v>
      </c>
      <c r="AE107" s="70">
        <v>239000000.0001221</v>
      </c>
      <c r="AF107">
        <v>0</v>
      </c>
      <c r="AG107" s="72">
        <f>Tradingbook_MSB[[#This Row],[Mat. Date]]-RPT</f>
        <v>-3824</v>
      </c>
      <c r="AH107" s="71">
        <f>IF(Tradingbook_MSB[[#This Row],[Days]]&lt;=0,0,YEARFRAC(RPT,Tradingbook_MSB[[#This Row],[Mat. Date]],3))</f>
        <v>0</v>
      </c>
      <c r="AI107" s="71">
        <f>IF(Tradingbook_MSB[[#This Row],[Days (year)]]=0,0,INDEX(Ref!$K$2:$K$13,MATCH(Tradingbook_MSB[[#This Row],[Days (year)]],Ref!$I$2:$I$13,1)))</f>
        <v>0</v>
      </c>
      <c r="AJ107" s="120" t="str">
        <f>VLOOKUP(Tradingbook_MSB[[#This Row],[Security Name]],Ref!X:Z,3,0)</f>
        <v>TPCP</v>
      </c>
      <c r="AK107" s="120" t="str">
        <f>VLOOKUP(Tradingbook_MSB[[#This Row],[Security Name]],Ref!X:Y,2,0)</f>
        <v>KBNN</v>
      </c>
      <c r="AL107" s="71">
        <f>IF((Tradingbook_MSB[[#This Row],[Mat. Date]]-RPT)&lt;=0,0,Tradingbook_MSB[[#This Row],[QUANTITY]])</f>
        <v>0</v>
      </c>
      <c r="AM107" s="71">
        <f>IF(Tradingbook_MSB[[#This Row],[Quantity_edited]]=0,0,Tradingbook_MSB[[#This Row],[DURATION]])</f>
        <v>0</v>
      </c>
      <c r="AN107" s="71">
        <f>IF(Tradingbook_MSB[[#This Row],[Quantity_edited]]=0,0,Tradingbook_MSB[[#This Row],[Mod Dur]])</f>
        <v>0</v>
      </c>
      <c r="AO107" s="71">
        <f>IF(Tradingbook_MSB[[#This Row],[Quantity_edited]]=0,0,Tradingbook_MSB[[#This Row],[Cnvx.]])</f>
        <v>0</v>
      </c>
      <c r="AP107" s="71">
        <f>(Tradingbook_MSB[[#This Row],[MARKET_VALUE]]+Tradingbook_MSB[[#This Row],[Accr Int]]*Tradingbook_MSB[[#This Row],[Quantity_edited]])*(-Tradingbook_MSB[[#This Row],[Modified Duration]]*0.0001+0.5*Tradingbook_MSB[[#This Row],[Conv]]*(0.0001^2))</f>
        <v>0</v>
      </c>
      <c r="AQ107" s="72">
        <f>(Tradingbook_MSB[[#This Row],[MARKET_VALUE]]+Tradingbook_MSB[[#This Row],[Accr Int]]*Tradingbook_MSB[[#This Row],[Quantity_edited]])*(-Tradingbook_MSB[[#This Row],[Modified Duration]]*0.01+0.5*Tradingbook_MSB[[#This Row],[Conv]]*(0.01^2))</f>
        <v>0</v>
      </c>
      <c r="AR107" s="71"/>
      <c r="AT107" t="s">
        <v>166</v>
      </c>
      <c r="AU107" t="s">
        <v>167</v>
      </c>
      <c r="AV107" t="s">
        <v>565</v>
      </c>
      <c r="AW107" t="s">
        <v>169</v>
      </c>
      <c r="AX107" t="s">
        <v>3406</v>
      </c>
      <c r="AY107" t="s">
        <v>3322</v>
      </c>
      <c r="AZ107">
        <v>100956</v>
      </c>
      <c r="BA107">
        <v>100956</v>
      </c>
      <c r="BB107">
        <v>0</v>
      </c>
      <c r="BC107">
        <v>0</v>
      </c>
      <c r="BD107">
        <v>0</v>
      </c>
      <c r="BE107" s="37">
        <v>0</v>
      </c>
      <c r="BF107">
        <v>6.8</v>
      </c>
      <c r="BG107">
        <v>3987</v>
      </c>
      <c r="BH107">
        <v>0</v>
      </c>
      <c r="BI107">
        <v>6.0999999999999999E-5</v>
      </c>
      <c r="BJ107">
        <v>-3220016789.5836334</v>
      </c>
      <c r="BK107">
        <v>4.277345639</v>
      </c>
      <c r="BL107">
        <v>0.40650538710329998</v>
      </c>
      <c r="BM107">
        <v>0.42389303</v>
      </c>
      <c r="BN107">
        <v>0.33049325948739999</v>
      </c>
      <c r="BO107">
        <v>0</v>
      </c>
      <c r="BP107">
        <v>0</v>
      </c>
      <c r="BQ107">
        <v>0</v>
      </c>
      <c r="BR107">
        <v>-190000000</v>
      </c>
      <c r="BS107">
        <v>0</v>
      </c>
      <c r="BT107">
        <v>-190000000</v>
      </c>
      <c r="BU107">
        <v>-190000000</v>
      </c>
      <c r="BV107">
        <v>-190000000</v>
      </c>
      <c r="BW107">
        <v>-190000000</v>
      </c>
      <c r="BX107">
        <v>0</v>
      </c>
      <c r="BY107" s="32">
        <f>Bankingbook_MSB[[#This Row],[Mat. Date]]-RPT</f>
        <v>151</v>
      </c>
      <c r="BZ107" s="71">
        <f>IF(Bankingbook_MSB[[#This Row],[Days]]&lt;=0,0,YEARFRAC(RPT,Bankingbook_MSB[[#This Row],[Mat. Date]],3))</f>
        <v>0.41369863013698632</v>
      </c>
      <c r="CA107" s="71" t="str">
        <f>IF(Bankingbook_MSB[[#This Row],[Days (year)]]=0,0,INDEX(Ref!$K$2:$K$13,MATCH(Bankingbook_MSB[[#This Row],[Days (year)]],Ref!$I$2:$I$13,1)))</f>
        <v>6M</v>
      </c>
      <c r="CB107" s="32" t="str">
        <f>VLOOKUP(Bankingbook_MSB[[#This Row],[Security Name]],Ref!X:Z,3,0)</f>
        <v>TPCPBL</v>
      </c>
      <c r="CC107" s="32" t="str">
        <f>VLOOKUP(Bankingbook_MSB[[#This Row],[Security Name]],Ref!X:Y,2,0)</f>
        <v>VDB</v>
      </c>
      <c r="CD107" s="72">
        <f>IF((Bankingbook_MSB[[#This Row],[Mat. Date]]-RPT)&lt;=0,0,Bankingbook_MSB[[#This Row],[QUANTITY]])</f>
        <v>0</v>
      </c>
      <c r="CE107" s="71">
        <f>IF(Bankingbook_MSB[[#This Row],[Quantity_edited]]=0,0,Bankingbook_MSB[[#This Row],[DURATION]])</f>
        <v>0</v>
      </c>
      <c r="CF107" s="71">
        <f>IF(Bankingbook_MSB[[#This Row],[Quantity_edited]]=0,0,Bankingbook_MSB[[#This Row],[Mod Dur]])</f>
        <v>0</v>
      </c>
      <c r="CG107" s="71">
        <f>IF(Bankingbook_MSB[[#This Row],[Quantity_edited]]=0,0,Bankingbook_MSB[[#This Row],[Cnvx.]])</f>
        <v>0</v>
      </c>
      <c r="CH107" s="71">
        <f>(Bankingbook_MSB[[#This Row],[MARKET_VALUE]]+Bankingbook_MSB[[#This Row],[Accr Int]]*Bankingbook_MSB[[#This Row],[Quantity_edited]])*(-Bankingbook_MSB[[#This Row],[Modified Duration]]*0.0001+0.5*Bankingbook_MSB[[#This Row],[Conv]]*(0.0001^2))</f>
        <v>0</v>
      </c>
      <c r="CI107" s="71">
        <f>(Bankingbook_MSB[[#This Row],[MARKET_VALUE]]+Bankingbook_MSB[[#This Row],[Accr Int]]*Bankingbook_MSB[[#This Row],[Quantity_edited]])*(-Bankingbook_MSB[[#This Row],[Modified Duration]]*0.01+0.5*Bankingbook_MSB[[#This Row],[Conv]]*(0.01^2))</f>
        <v>0</v>
      </c>
      <c r="CL107" t="s">
        <v>166</v>
      </c>
      <c r="CM107" t="s">
        <v>167</v>
      </c>
      <c r="CN107" t="s">
        <v>283</v>
      </c>
      <c r="CO107" t="s">
        <v>169</v>
      </c>
      <c r="CP107" s="35">
        <v>42428</v>
      </c>
      <c r="CQ107" t="s">
        <v>3322</v>
      </c>
      <c r="CR107" t="s">
        <v>174</v>
      </c>
      <c r="CS107" t="s">
        <v>174</v>
      </c>
      <c r="CT107" s="49">
        <v>0</v>
      </c>
      <c r="CU107">
        <v>0</v>
      </c>
      <c r="CV107">
        <v>0</v>
      </c>
      <c r="CW107" s="70">
        <v>0</v>
      </c>
      <c r="CX107">
        <v>6.1</v>
      </c>
      <c r="CY107">
        <v>0</v>
      </c>
      <c r="CZ107">
        <v>0</v>
      </c>
      <c r="DA107">
        <v>7.9999999999999996E-6</v>
      </c>
      <c r="DB107">
        <v>-553909938.88890457</v>
      </c>
      <c r="DC107">
        <v>6.1</v>
      </c>
      <c r="DD107">
        <v>0</v>
      </c>
      <c r="DE107">
        <v>0</v>
      </c>
      <c r="DF107">
        <v>0</v>
      </c>
      <c r="DG107">
        <v>0</v>
      </c>
      <c r="DH107">
        <v>0</v>
      </c>
      <c r="DI107">
        <v>0</v>
      </c>
      <c r="DJ107" s="500">
        <v>239000000.00012207</v>
      </c>
      <c r="DK107" s="500">
        <v>0</v>
      </c>
      <c r="DL107" s="37">
        <v>239000000.0001221</v>
      </c>
      <c r="DM107" s="37">
        <v>239000000.0001221</v>
      </c>
      <c r="DN107" s="37">
        <v>239000000</v>
      </c>
      <c r="DO107" s="37">
        <v>239000000.0001221</v>
      </c>
      <c r="DP107" s="32">
        <f>Tradingbook_SBV[[#This Row],[Mat. Date]]-RPT</f>
        <v>-3824</v>
      </c>
      <c r="DQ107" s="32">
        <f>IF(Tradingbook_SBV[[#This Row],[Days]]&lt;=0,0,YEARFRAC(RPT,Tradingbook_SBV[[#This Row],[Mat. Date]],3))</f>
        <v>0</v>
      </c>
      <c r="DR107" s="32">
        <f>IF(Tradingbook_SBV[[#This Row],[Days (year)]]=0,0,INDEX(Ref!$K$2:$K$13,MATCH(Tradingbook_SBV[[#This Row],[Days (year)]],Ref!$I$2:$I$13,1)))</f>
        <v>0</v>
      </c>
      <c r="DS107" s="32" t="str">
        <f>VLOOKUP(Tradingbook_SBV[[#This Row],[Security Name]],Ref!X:Z,3,0)</f>
        <v>TPCP</v>
      </c>
      <c r="DT107" s="32" t="str">
        <f>VLOOKUP(Tradingbook_SBV[[#This Row],[Security Name]],Ref!X:Y,2,0)</f>
        <v>KBNN</v>
      </c>
      <c r="DU107" s="71">
        <f>IF((Tradingbook_SBV[[#This Row],[Mat. Date]]-RPT)&lt;=0,0,Tradingbook_SBV[[#This Row],[QUANTITY]])</f>
        <v>0</v>
      </c>
      <c r="DV107" s="71">
        <f>IF(Tradingbook_SBV[[#This Row],[Quantity_edited]]=0,0,Tradingbook_SBV[[#This Row],[DURATION]])</f>
        <v>0</v>
      </c>
      <c r="DW107" s="71">
        <f>IF(Tradingbook_SBV[[#This Row],[Quantity_edited]]=0,0,Tradingbook_SBV[[#This Row],[Mod Dur]])</f>
        <v>0</v>
      </c>
      <c r="DX107" s="71">
        <f>IF(Tradingbook_SBV[[#This Row],[Quantity_edited]]=0,0,Tradingbook_SBV[[#This Row],[Cnvx.]])</f>
        <v>0</v>
      </c>
      <c r="DY107" s="71">
        <f>(Tradingbook_SBV[[#This Row],[MARKET_VALUE]]+Tradingbook_SBV[[#This Row],[Accr Int]]*Tradingbook_SBV[[#This Row],[Quantity_edited]])*(-Tradingbook_SBV[[#This Row],[Modified Duration]]*0.0001+0.5*Tradingbook_SBV[[#This Row],[Conv]]*(0.0001^2))</f>
        <v>0</v>
      </c>
      <c r="DZ107" s="71">
        <f>(Tradingbook_SBV[[#This Row],[MARKET_VALUE]]+Tradingbook_SBV[[#This Row],[Accr Int]]*Tradingbook_SBV[[#This Row],[Quantity_edited]])*(-Tradingbook_SBV[[#This Row],[Modified Duration]]*0.01+0.5*Tradingbook_SBV[[#This Row],[Conv]]*(0.01^2))</f>
        <v>0</v>
      </c>
      <c r="EC107" t="s">
        <v>166</v>
      </c>
      <c r="ED107" t="s">
        <v>167</v>
      </c>
      <c r="EE107" t="s">
        <v>504</v>
      </c>
      <c r="EF107" t="s">
        <v>169</v>
      </c>
      <c r="EG107" s="35" t="s">
        <v>3745</v>
      </c>
      <c r="EH107" t="s">
        <v>3322</v>
      </c>
      <c r="EK107" s="500">
        <v>0</v>
      </c>
      <c r="EL107" s="500">
        <v>0</v>
      </c>
      <c r="EM107" s="500">
        <v>0</v>
      </c>
      <c r="EN107" s="500">
        <v>0</v>
      </c>
      <c r="EO107">
        <v>5</v>
      </c>
      <c r="EP107">
        <v>0</v>
      </c>
      <c r="EQ107">
        <v>0</v>
      </c>
      <c r="ER107">
        <v>0</v>
      </c>
      <c r="ES107">
        <v>-56107115.138888836</v>
      </c>
      <c r="ET107">
        <v>0</v>
      </c>
      <c r="EU107">
        <v>0</v>
      </c>
      <c r="EV107">
        <v>0</v>
      </c>
      <c r="EW107">
        <v>0</v>
      </c>
      <c r="EX107">
        <v>0</v>
      </c>
      <c r="EY107">
        <v>0</v>
      </c>
      <c r="EZ107">
        <v>0</v>
      </c>
      <c r="FA107">
        <v>477500000</v>
      </c>
      <c r="FB107">
        <v>0</v>
      </c>
      <c r="FC107">
        <v>477500000</v>
      </c>
      <c r="FD107">
        <v>477500000</v>
      </c>
      <c r="FE107">
        <v>477500000</v>
      </c>
      <c r="FF107">
        <v>477500000</v>
      </c>
      <c r="FG107" s="32">
        <f>Bankingbook_SBV[[#This Row],[Mat. Date]]-RPT</f>
        <v>-1623</v>
      </c>
      <c r="FH107" s="32">
        <f>IF(Bankingbook_SBV[[#This Row],[Days]]&lt;=0,0,YEARFRAC(RPT,Bankingbook_SBV[[#This Row],[Mat. Date]],3))</f>
        <v>0</v>
      </c>
      <c r="FI107" s="32">
        <f>IF(Bankingbook_SBV[[#This Row],[Days (year)]]=0,0,INDEX(Ref!$K$2:$K$13,MATCH(Bankingbook_SBV[[#This Row],[Days (year)]],Ref!$I$2:$I$13,1)))</f>
        <v>0</v>
      </c>
      <c r="FJ107" s="32" t="str">
        <f>VLOOKUP(Bankingbook_SBV[[#This Row],[Security Name]],Ref!X:Z,3,0)</f>
        <v>TPCP</v>
      </c>
      <c r="FK107" s="32" t="str">
        <f>VLOOKUP(Bankingbook_SBV[[#This Row],[Security Name]],Ref!X:Y,2,0)</f>
        <v>KBNN</v>
      </c>
      <c r="FL107" s="72">
        <f>IF((Bankingbook_SBV[[#This Row],[Mat. Date]]-RPT)&lt;=0,0,Bankingbook_SBV[[#This Row],[QUANTITY]])</f>
        <v>0</v>
      </c>
      <c r="FM107" s="32">
        <f>IF(Bankingbook_SBV[[#This Row],[Quantity_edited]]=0,0,Bankingbook_SBV[[#This Row],[DURATION]])</f>
        <v>0</v>
      </c>
      <c r="FN107" s="32">
        <f>IF(Bankingbook_SBV[[#This Row],[Quantity_edited]]=0,0,Bankingbook_SBV[[#This Row],[Mod Dur]])</f>
        <v>0</v>
      </c>
      <c r="FO107" s="32">
        <f>IF(Bankingbook_SBV[[#This Row],[Quantity_edited]]=0,0,Bankingbook_SBV[[#This Row],[Cnvx.]])</f>
        <v>0</v>
      </c>
      <c r="FP107" s="32">
        <f>(Bankingbook_SBV[[#This Row],[MARKET_VALUE]]+Bankingbook_SBV[[#This Row],[Accr Int]]*Bankingbook_SBV[[#This Row],[Quantity_edited]])*(-Bankingbook_SBV[[#This Row],[Modified Duration]]*0.0001+0.5*Bankingbook_SBV[[#This Row],[Conv]]*(0.0001^2))</f>
        <v>0</v>
      </c>
      <c r="FQ107" s="32">
        <f>(Bankingbook_SBV[[#This Row],[MARKET_VALUE]]+Bankingbook_SBV[[#This Row],[Accr Int]]*Bankingbook_SBV[[#This Row],[Quantity_edited]])*(-Bankingbook_SBV[[#This Row],[Modified Duration]]*0.01+0.5*Bankingbook_SBV[[#This Row],[Conv]]*(0.01^2))</f>
        <v>0</v>
      </c>
    </row>
    <row r="108" spans="2:173" x14ac:dyDescent="0.3">
      <c r="B108" t="s">
        <v>166</v>
      </c>
      <c r="C108" t="s">
        <v>167</v>
      </c>
      <c r="D108" t="s">
        <v>284</v>
      </c>
      <c r="E108" t="s">
        <v>169</v>
      </c>
      <c r="F108" s="502">
        <v>42444</v>
      </c>
      <c r="G108" t="s">
        <v>3322</v>
      </c>
      <c r="H108"/>
      <c r="I108"/>
      <c r="J108" s="38">
        <v>0</v>
      </c>
      <c r="K108">
        <v>0</v>
      </c>
      <c r="L108">
        <v>0</v>
      </c>
      <c r="M108" s="38">
        <v>0</v>
      </c>
      <c r="N108">
        <v>8.4</v>
      </c>
      <c r="O108">
        <v>0</v>
      </c>
      <c r="P108" s="37">
        <v>8400000000</v>
      </c>
      <c r="Q108" s="37">
        <v>8967553000</v>
      </c>
      <c r="R108" s="37">
        <v>-977653662.81945038</v>
      </c>
      <c r="S108">
        <v>8.4</v>
      </c>
      <c r="T108" s="70">
        <v>0</v>
      </c>
      <c r="U108">
        <v>0</v>
      </c>
      <c r="V108">
        <v>0</v>
      </c>
      <c r="W108">
        <v>0</v>
      </c>
      <c r="X108" s="38">
        <v>0</v>
      </c>
      <c r="Y108">
        <v>0</v>
      </c>
      <c r="Z108" s="70">
        <v>6214500000</v>
      </c>
      <c r="AA108" s="70">
        <v>0</v>
      </c>
      <c r="AB108" s="70">
        <v>6214500000</v>
      </c>
      <c r="AC108" s="70">
        <v>6214500000</v>
      </c>
      <c r="AD108" s="70">
        <v>6214500000</v>
      </c>
      <c r="AE108" s="70">
        <v>6214500000</v>
      </c>
      <c r="AF108">
        <v>0</v>
      </c>
      <c r="AG108" s="72">
        <f>Tradingbook_MSB[[#This Row],[Mat. Date]]-RPT</f>
        <v>-3808</v>
      </c>
      <c r="AH108" s="71">
        <f>IF(Tradingbook_MSB[[#This Row],[Days]]&lt;=0,0,YEARFRAC(RPT,Tradingbook_MSB[[#This Row],[Mat. Date]],3))</f>
        <v>0</v>
      </c>
      <c r="AI108" s="71">
        <f>IF(Tradingbook_MSB[[#This Row],[Days (year)]]=0,0,INDEX(Ref!$K$2:$K$13,MATCH(Tradingbook_MSB[[#This Row],[Days (year)]],Ref!$I$2:$I$13,1)))</f>
        <v>0</v>
      </c>
      <c r="AJ108" s="120" t="str">
        <f>VLOOKUP(Tradingbook_MSB[[#This Row],[Security Name]],Ref!X:Z,3,0)</f>
        <v>TPCP</v>
      </c>
      <c r="AK108" s="120" t="str">
        <f>VLOOKUP(Tradingbook_MSB[[#This Row],[Security Name]],Ref!X:Y,2,0)</f>
        <v>KBNN</v>
      </c>
      <c r="AL108" s="71">
        <f>IF((Tradingbook_MSB[[#This Row],[Mat. Date]]-RPT)&lt;=0,0,Tradingbook_MSB[[#This Row],[QUANTITY]])</f>
        <v>0</v>
      </c>
      <c r="AM108" s="71">
        <f>IF(Tradingbook_MSB[[#This Row],[Quantity_edited]]=0,0,Tradingbook_MSB[[#This Row],[DURATION]])</f>
        <v>0</v>
      </c>
      <c r="AN108" s="71">
        <f>IF(Tradingbook_MSB[[#This Row],[Quantity_edited]]=0,0,Tradingbook_MSB[[#This Row],[Mod Dur]])</f>
        <v>0</v>
      </c>
      <c r="AO108" s="71">
        <f>IF(Tradingbook_MSB[[#This Row],[Quantity_edited]]=0,0,Tradingbook_MSB[[#This Row],[Cnvx.]])</f>
        <v>0</v>
      </c>
      <c r="AP108" s="71">
        <f>(Tradingbook_MSB[[#This Row],[MARKET_VALUE]]+Tradingbook_MSB[[#This Row],[Accr Int]]*Tradingbook_MSB[[#This Row],[Quantity_edited]])*(-Tradingbook_MSB[[#This Row],[Modified Duration]]*0.0001+0.5*Tradingbook_MSB[[#This Row],[Conv]]*(0.0001^2))</f>
        <v>0</v>
      </c>
      <c r="AQ108" s="72">
        <f>(Tradingbook_MSB[[#This Row],[MARKET_VALUE]]+Tradingbook_MSB[[#This Row],[Accr Int]]*Tradingbook_MSB[[#This Row],[Quantity_edited]])*(-Tradingbook_MSB[[#This Row],[Modified Duration]]*0.01+0.5*Tradingbook_MSB[[#This Row],[Conv]]*(0.01^2))</f>
        <v>0</v>
      </c>
      <c r="AR108" s="71"/>
      <c r="AT108" t="s">
        <v>166</v>
      </c>
      <c r="AU108" t="s">
        <v>167</v>
      </c>
      <c r="AV108" t="s">
        <v>566</v>
      </c>
      <c r="AW108" t="s">
        <v>169</v>
      </c>
      <c r="AX108" t="s">
        <v>3406</v>
      </c>
      <c r="AY108" t="s">
        <v>3322</v>
      </c>
      <c r="AZ108">
        <v>99338</v>
      </c>
      <c r="BA108">
        <v>99338</v>
      </c>
      <c r="BB108">
        <v>0</v>
      </c>
      <c r="BC108">
        <v>0</v>
      </c>
      <c r="BD108">
        <v>0</v>
      </c>
      <c r="BE108" s="37">
        <v>0</v>
      </c>
      <c r="BF108">
        <v>2.2000000000000002</v>
      </c>
      <c r="BG108">
        <v>1290</v>
      </c>
      <c r="BH108">
        <v>4400000000</v>
      </c>
      <c r="BI108">
        <v>5089183305.5555363</v>
      </c>
      <c r="BJ108">
        <v>-800634962.77762222</v>
      </c>
      <c r="BK108">
        <v>3.776153307</v>
      </c>
      <c r="BL108">
        <v>0.40733528134430003</v>
      </c>
      <c r="BM108">
        <v>0.42271689000000001</v>
      </c>
      <c r="BN108">
        <v>0.33184406285590001</v>
      </c>
      <c r="BO108">
        <v>0</v>
      </c>
      <c r="BP108">
        <v>0</v>
      </c>
      <c r="BQ108">
        <v>0</v>
      </c>
      <c r="BR108">
        <v>4055000000</v>
      </c>
      <c r="BS108">
        <v>0</v>
      </c>
      <c r="BT108">
        <v>4055000000</v>
      </c>
      <c r="BU108">
        <v>4055000000</v>
      </c>
      <c r="BV108">
        <v>4055000000</v>
      </c>
      <c r="BW108">
        <v>4055000000</v>
      </c>
      <c r="BX108">
        <v>0</v>
      </c>
      <c r="BY108" s="32">
        <f>Bankingbook_MSB[[#This Row],[Mat. Date]]-RPT</f>
        <v>151</v>
      </c>
      <c r="BZ108" s="71">
        <f>IF(Bankingbook_MSB[[#This Row],[Days]]&lt;=0,0,YEARFRAC(RPT,Bankingbook_MSB[[#This Row],[Mat. Date]],3))</f>
        <v>0.41369863013698632</v>
      </c>
      <c r="CA108" s="71" t="str">
        <f>IF(Bankingbook_MSB[[#This Row],[Days (year)]]=0,0,INDEX(Ref!$K$2:$K$13,MATCH(Bankingbook_MSB[[#This Row],[Days (year)]],Ref!$I$2:$I$13,1)))</f>
        <v>6M</v>
      </c>
      <c r="CB108" s="32" t="str">
        <f>VLOOKUP(Bankingbook_MSB[[#This Row],[Security Name]],Ref!X:Z,3,0)</f>
        <v>TPCP</v>
      </c>
      <c r="CC108" s="32" t="str">
        <f>VLOOKUP(Bankingbook_MSB[[#This Row],[Security Name]],Ref!X:Y,2,0)</f>
        <v>KBNN</v>
      </c>
      <c r="CD108" s="72">
        <f>IF((Bankingbook_MSB[[#This Row],[Mat. Date]]-RPT)&lt;=0,0,Bankingbook_MSB[[#This Row],[QUANTITY]])</f>
        <v>0</v>
      </c>
      <c r="CE108" s="71">
        <f>IF(Bankingbook_MSB[[#This Row],[Quantity_edited]]=0,0,Bankingbook_MSB[[#This Row],[DURATION]])</f>
        <v>0</v>
      </c>
      <c r="CF108" s="71">
        <f>IF(Bankingbook_MSB[[#This Row],[Quantity_edited]]=0,0,Bankingbook_MSB[[#This Row],[Mod Dur]])</f>
        <v>0</v>
      </c>
      <c r="CG108" s="71">
        <f>IF(Bankingbook_MSB[[#This Row],[Quantity_edited]]=0,0,Bankingbook_MSB[[#This Row],[Cnvx.]])</f>
        <v>0</v>
      </c>
      <c r="CH108" s="71">
        <f>(Bankingbook_MSB[[#This Row],[MARKET_VALUE]]+Bankingbook_MSB[[#This Row],[Accr Int]]*Bankingbook_MSB[[#This Row],[Quantity_edited]])*(-Bankingbook_MSB[[#This Row],[Modified Duration]]*0.0001+0.5*Bankingbook_MSB[[#This Row],[Conv]]*(0.0001^2))</f>
        <v>0</v>
      </c>
      <c r="CI108" s="71">
        <f>(Bankingbook_MSB[[#This Row],[MARKET_VALUE]]+Bankingbook_MSB[[#This Row],[Accr Int]]*Bankingbook_MSB[[#This Row],[Quantity_edited]])*(-Bankingbook_MSB[[#This Row],[Modified Duration]]*0.01+0.5*Bankingbook_MSB[[#This Row],[Conv]]*(0.01^2))</f>
        <v>0</v>
      </c>
      <c r="CL108" t="s">
        <v>166</v>
      </c>
      <c r="CM108" t="s">
        <v>167</v>
      </c>
      <c r="CN108" t="s">
        <v>284</v>
      </c>
      <c r="CO108" t="s">
        <v>169</v>
      </c>
      <c r="CP108" s="35">
        <v>42444</v>
      </c>
      <c r="CQ108" t="s">
        <v>3322</v>
      </c>
      <c r="CR108" t="s">
        <v>174</v>
      </c>
      <c r="CS108" t="s">
        <v>174</v>
      </c>
      <c r="CT108" s="49">
        <v>0</v>
      </c>
      <c r="CU108">
        <v>0</v>
      </c>
      <c r="CV108">
        <v>0</v>
      </c>
      <c r="CW108" s="70">
        <v>0</v>
      </c>
      <c r="CX108">
        <v>8.4</v>
      </c>
      <c r="CY108">
        <v>0</v>
      </c>
      <c r="CZ108">
        <v>8400000000</v>
      </c>
      <c r="DA108">
        <v>8967553000</v>
      </c>
      <c r="DB108">
        <v>-977653662.81945038</v>
      </c>
      <c r="DC108">
        <v>8.4</v>
      </c>
      <c r="DD108">
        <v>0</v>
      </c>
      <c r="DE108">
        <v>0</v>
      </c>
      <c r="DF108">
        <v>0</v>
      </c>
      <c r="DG108">
        <v>0</v>
      </c>
      <c r="DH108">
        <v>0</v>
      </c>
      <c r="DI108">
        <v>0</v>
      </c>
      <c r="DJ108" s="500">
        <v>6214500000</v>
      </c>
      <c r="DK108" s="500">
        <v>0</v>
      </c>
      <c r="DL108" s="37">
        <v>6214500000</v>
      </c>
      <c r="DM108" s="37">
        <v>6214500000</v>
      </c>
      <c r="DN108" s="37">
        <v>6214500000</v>
      </c>
      <c r="DO108" s="37">
        <v>6214500000</v>
      </c>
      <c r="DP108" s="32">
        <f>Tradingbook_SBV[[#This Row],[Mat. Date]]-RPT</f>
        <v>-3808</v>
      </c>
      <c r="DQ108" s="32">
        <f>IF(Tradingbook_SBV[[#This Row],[Days]]&lt;=0,0,YEARFRAC(RPT,Tradingbook_SBV[[#This Row],[Mat. Date]],3))</f>
        <v>0</v>
      </c>
      <c r="DR108" s="32">
        <f>IF(Tradingbook_SBV[[#This Row],[Days (year)]]=0,0,INDEX(Ref!$K$2:$K$13,MATCH(Tradingbook_SBV[[#This Row],[Days (year)]],Ref!$I$2:$I$13,1)))</f>
        <v>0</v>
      </c>
      <c r="DS108" s="32" t="str">
        <f>VLOOKUP(Tradingbook_SBV[[#This Row],[Security Name]],Ref!X:Z,3,0)</f>
        <v>TPCP</v>
      </c>
      <c r="DT108" s="32" t="str">
        <f>VLOOKUP(Tradingbook_SBV[[#This Row],[Security Name]],Ref!X:Y,2,0)</f>
        <v>KBNN</v>
      </c>
      <c r="DU108" s="71">
        <f>IF((Tradingbook_SBV[[#This Row],[Mat. Date]]-RPT)&lt;=0,0,Tradingbook_SBV[[#This Row],[QUANTITY]])</f>
        <v>0</v>
      </c>
      <c r="DV108" s="71">
        <f>IF(Tradingbook_SBV[[#This Row],[Quantity_edited]]=0,0,Tradingbook_SBV[[#This Row],[DURATION]])</f>
        <v>0</v>
      </c>
      <c r="DW108" s="71">
        <f>IF(Tradingbook_SBV[[#This Row],[Quantity_edited]]=0,0,Tradingbook_SBV[[#This Row],[Mod Dur]])</f>
        <v>0</v>
      </c>
      <c r="DX108" s="71">
        <f>IF(Tradingbook_SBV[[#This Row],[Quantity_edited]]=0,0,Tradingbook_SBV[[#This Row],[Cnvx.]])</f>
        <v>0</v>
      </c>
      <c r="DY108" s="71">
        <f>(Tradingbook_SBV[[#This Row],[MARKET_VALUE]]+Tradingbook_SBV[[#This Row],[Accr Int]]*Tradingbook_SBV[[#This Row],[Quantity_edited]])*(-Tradingbook_SBV[[#This Row],[Modified Duration]]*0.0001+0.5*Tradingbook_SBV[[#This Row],[Conv]]*(0.0001^2))</f>
        <v>0</v>
      </c>
      <c r="DZ108" s="71">
        <f>(Tradingbook_SBV[[#This Row],[MARKET_VALUE]]+Tradingbook_SBV[[#This Row],[Accr Int]]*Tradingbook_SBV[[#This Row],[Quantity_edited]])*(-Tradingbook_SBV[[#This Row],[Modified Duration]]*0.01+0.5*Tradingbook_SBV[[#This Row],[Conv]]*(0.01^2))</f>
        <v>0</v>
      </c>
      <c r="EC108" t="s">
        <v>166</v>
      </c>
      <c r="ED108" t="s">
        <v>167</v>
      </c>
      <c r="EE108" t="s">
        <v>505</v>
      </c>
      <c r="EF108" t="s">
        <v>169</v>
      </c>
      <c r="EG108" s="35" t="s">
        <v>3746</v>
      </c>
      <c r="EH108" t="s">
        <v>170</v>
      </c>
      <c r="EK108" s="500">
        <v>1000000</v>
      </c>
      <c r="EL108" s="500">
        <v>100000000000</v>
      </c>
      <c r="EM108" s="500">
        <v>102553.36</v>
      </c>
      <c r="EN108" s="500">
        <v>0</v>
      </c>
      <c r="EO108">
        <v>5.2</v>
      </c>
      <c r="EP108">
        <v>0</v>
      </c>
      <c r="EQ108">
        <v>5200000000</v>
      </c>
      <c r="ER108">
        <v>5200000000.0000153</v>
      </c>
      <c r="ES108">
        <v>-5045074494.1668091</v>
      </c>
      <c r="ET108">
        <v>0</v>
      </c>
      <c r="EU108">
        <v>0</v>
      </c>
      <c r="EV108">
        <v>0</v>
      </c>
      <c r="EW108">
        <v>0</v>
      </c>
      <c r="EX108">
        <v>0</v>
      </c>
      <c r="EY108">
        <v>0</v>
      </c>
      <c r="EZ108">
        <v>0</v>
      </c>
      <c r="FA108">
        <v>4253499999.9999785</v>
      </c>
      <c r="FB108">
        <v>0</v>
      </c>
      <c r="FC108">
        <v>4253499999.9999785</v>
      </c>
      <c r="FD108">
        <v>4253499999.9999785</v>
      </c>
      <c r="FE108">
        <v>4253500000</v>
      </c>
      <c r="FF108">
        <v>4253499999.9999785</v>
      </c>
      <c r="FG108" s="32">
        <f>Bankingbook_SBV[[#This Row],[Mat. Date]]-RPT</f>
        <v>-1587</v>
      </c>
      <c r="FH108" s="32">
        <f>IF(Bankingbook_SBV[[#This Row],[Days]]&lt;=0,0,YEARFRAC(RPT,Bankingbook_SBV[[#This Row],[Mat. Date]],3))</f>
        <v>0</v>
      </c>
      <c r="FI108" s="32">
        <f>IF(Bankingbook_SBV[[#This Row],[Days (year)]]=0,0,INDEX(Ref!$K$2:$K$13,MATCH(Bankingbook_SBV[[#This Row],[Days (year)]],Ref!$I$2:$I$13,1)))</f>
        <v>0</v>
      </c>
      <c r="FJ108" s="32" t="str">
        <f>VLOOKUP(Bankingbook_SBV[[#This Row],[Security Name]],Ref!X:Z,3,0)</f>
        <v>TPCP</v>
      </c>
      <c r="FK108" s="32" t="str">
        <f>VLOOKUP(Bankingbook_SBV[[#This Row],[Security Name]],Ref!X:Y,2,0)</f>
        <v>KBNN</v>
      </c>
      <c r="FL108" s="72">
        <f>IF((Bankingbook_SBV[[#This Row],[Mat. Date]]-RPT)&lt;=0,0,Bankingbook_SBV[[#This Row],[QUANTITY]])</f>
        <v>0</v>
      </c>
      <c r="FM108" s="32">
        <f>IF(Bankingbook_SBV[[#This Row],[Quantity_edited]]=0,0,Bankingbook_SBV[[#This Row],[DURATION]])</f>
        <v>0</v>
      </c>
      <c r="FN108" s="32">
        <f>IF(Bankingbook_SBV[[#This Row],[Quantity_edited]]=0,0,Bankingbook_SBV[[#This Row],[Mod Dur]])</f>
        <v>0</v>
      </c>
      <c r="FO108" s="32">
        <f>IF(Bankingbook_SBV[[#This Row],[Quantity_edited]]=0,0,Bankingbook_SBV[[#This Row],[Cnvx.]])</f>
        <v>0</v>
      </c>
      <c r="FP108" s="32">
        <f>(Bankingbook_SBV[[#This Row],[MARKET_VALUE]]+Bankingbook_SBV[[#This Row],[Accr Int]]*Bankingbook_SBV[[#This Row],[Quantity_edited]])*(-Bankingbook_SBV[[#This Row],[Modified Duration]]*0.0001+0.5*Bankingbook_SBV[[#This Row],[Conv]]*(0.0001^2))</f>
        <v>0</v>
      </c>
      <c r="FQ108" s="32">
        <f>(Bankingbook_SBV[[#This Row],[MARKET_VALUE]]+Bankingbook_SBV[[#This Row],[Accr Int]]*Bankingbook_SBV[[#This Row],[Quantity_edited]])*(-Bankingbook_SBV[[#This Row],[Modified Duration]]*0.01+0.5*Bankingbook_SBV[[#This Row],[Conv]]*(0.01^2))</f>
        <v>0</v>
      </c>
    </row>
    <row r="109" spans="2:173" x14ac:dyDescent="0.3">
      <c r="B109" t="s">
        <v>166</v>
      </c>
      <c r="C109" t="s">
        <v>167</v>
      </c>
      <c r="D109" t="s">
        <v>285</v>
      </c>
      <c r="E109" t="s">
        <v>169</v>
      </c>
      <c r="F109" s="502">
        <v>42444</v>
      </c>
      <c r="G109" t="s">
        <v>3322</v>
      </c>
      <c r="H109"/>
      <c r="I109"/>
      <c r="J109" s="38">
        <v>0</v>
      </c>
      <c r="K109">
        <v>0</v>
      </c>
      <c r="L109">
        <v>0</v>
      </c>
      <c r="M109" s="38">
        <v>0</v>
      </c>
      <c r="N109">
        <v>5.9</v>
      </c>
      <c r="O109">
        <v>0</v>
      </c>
      <c r="P109" s="37">
        <v>0</v>
      </c>
      <c r="Q109" s="37">
        <v>0</v>
      </c>
      <c r="R109" s="37">
        <v>-77472478.611112595</v>
      </c>
      <c r="S109">
        <v>5.9</v>
      </c>
      <c r="T109" s="70">
        <v>0</v>
      </c>
      <c r="U109">
        <v>0</v>
      </c>
      <c r="V109">
        <v>0</v>
      </c>
      <c r="W109">
        <v>0</v>
      </c>
      <c r="X109" s="38">
        <v>0</v>
      </c>
      <c r="Y109">
        <v>0</v>
      </c>
      <c r="Z109" s="70">
        <v>-101000000</v>
      </c>
      <c r="AA109" s="70">
        <v>0</v>
      </c>
      <c r="AB109" s="70">
        <v>-101000000</v>
      </c>
      <c r="AC109" s="70">
        <v>-101000000</v>
      </c>
      <c r="AD109" s="70">
        <v>-101000000</v>
      </c>
      <c r="AE109" s="70">
        <v>-101000000</v>
      </c>
      <c r="AF109">
        <v>0</v>
      </c>
      <c r="AG109" s="72">
        <f>Tradingbook_MSB[[#This Row],[Mat. Date]]-RPT</f>
        <v>-3808</v>
      </c>
      <c r="AH109" s="71">
        <f>IF(Tradingbook_MSB[[#This Row],[Days]]&lt;=0,0,YEARFRAC(RPT,Tradingbook_MSB[[#This Row],[Mat. Date]],3))</f>
        <v>0</v>
      </c>
      <c r="AI109" s="71">
        <f>IF(Tradingbook_MSB[[#This Row],[Days (year)]]=0,0,INDEX(Ref!$K$2:$K$13,MATCH(Tradingbook_MSB[[#This Row],[Days (year)]],Ref!$I$2:$I$13,1)))</f>
        <v>0</v>
      </c>
      <c r="AJ109" s="120" t="str">
        <f>VLOOKUP(Tradingbook_MSB[[#This Row],[Security Name]],Ref!X:Z,3,0)</f>
        <v>TPCP</v>
      </c>
      <c r="AK109" s="120" t="str">
        <f>VLOOKUP(Tradingbook_MSB[[#This Row],[Security Name]],Ref!X:Y,2,0)</f>
        <v>KBNN</v>
      </c>
      <c r="AL109" s="71">
        <f>IF((Tradingbook_MSB[[#This Row],[Mat. Date]]-RPT)&lt;=0,0,Tradingbook_MSB[[#This Row],[QUANTITY]])</f>
        <v>0</v>
      </c>
      <c r="AM109" s="71">
        <f>IF(Tradingbook_MSB[[#This Row],[Quantity_edited]]=0,0,Tradingbook_MSB[[#This Row],[DURATION]])</f>
        <v>0</v>
      </c>
      <c r="AN109" s="71">
        <f>IF(Tradingbook_MSB[[#This Row],[Quantity_edited]]=0,0,Tradingbook_MSB[[#This Row],[Mod Dur]])</f>
        <v>0</v>
      </c>
      <c r="AO109" s="71">
        <f>IF(Tradingbook_MSB[[#This Row],[Quantity_edited]]=0,0,Tradingbook_MSB[[#This Row],[Cnvx.]])</f>
        <v>0</v>
      </c>
      <c r="AP109" s="71">
        <f>(Tradingbook_MSB[[#This Row],[MARKET_VALUE]]+Tradingbook_MSB[[#This Row],[Accr Int]]*Tradingbook_MSB[[#This Row],[Quantity_edited]])*(-Tradingbook_MSB[[#This Row],[Modified Duration]]*0.0001+0.5*Tradingbook_MSB[[#This Row],[Conv]]*(0.0001^2))</f>
        <v>0</v>
      </c>
      <c r="AQ109" s="72">
        <f>(Tradingbook_MSB[[#This Row],[MARKET_VALUE]]+Tradingbook_MSB[[#This Row],[Accr Int]]*Tradingbook_MSB[[#This Row],[Quantity_edited]])*(-Tradingbook_MSB[[#This Row],[Modified Duration]]*0.01+0.5*Tradingbook_MSB[[#This Row],[Conv]]*(0.01^2))</f>
        <v>0</v>
      </c>
      <c r="AR109" s="71"/>
      <c r="AT109" t="s">
        <v>166</v>
      </c>
      <c r="AU109" t="s">
        <v>167</v>
      </c>
      <c r="AV109" t="s">
        <v>568</v>
      </c>
      <c r="AW109" t="s">
        <v>169</v>
      </c>
      <c r="AX109" t="s">
        <v>3407</v>
      </c>
      <c r="AY109" t="s">
        <v>170</v>
      </c>
      <c r="AZ109">
        <v>101065</v>
      </c>
      <c r="BA109">
        <v>101065</v>
      </c>
      <c r="BB109">
        <v>3500000</v>
      </c>
      <c r="BC109">
        <v>350000000000</v>
      </c>
      <c r="BD109">
        <v>106213.524</v>
      </c>
      <c r="BE109" s="37">
        <v>353727500000</v>
      </c>
      <c r="BF109">
        <v>6.6</v>
      </c>
      <c r="BG109">
        <v>3345</v>
      </c>
      <c r="BH109">
        <v>391644000000</v>
      </c>
      <c r="BI109">
        <v>444816904583.3335</v>
      </c>
      <c r="BJ109">
        <v>-165935377521.16324</v>
      </c>
      <c r="BK109">
        <v>4.2532643739999996</v>
      </c>
      <c r="BL109">
        <v>0.48301935285089997</v>
      </c>
      <c r="BM109">
        <v>0.50356343999999997</v>
      </c>
      <c r="BN109">
        <v>0.46661539045610001</v>
      </c>
      <c r="BO109">
        <v>1705.1759521132001</v>
      </c>
      <c r="BP109">
        <v>-17651.217720908</v>
      </c>
      <c r="BQ109">
        <v>41713.258000000002</v>
      </c>
      <c r="BR109">
        <v>1508734677.4192383</v>
      </c>
      <c r="BS109">
        <v>-18019834677.419376</v>
      </c>
      <c r="BT109">
        <v>-16511100000.000137</v>
      </c>
      <c r="BU109">
        <v>-16511100000.000137</v>
      </c>
      <c r="BV109">
        <v>-16511100000</v>
      </c>
      <c r="BW109">
        <v>-16511100000.000137</v>
      </c>
      <c r="BX109">
        <v>4.9378478210000001</v>
      </c>
      <c r="BY109" s="32">
        <f>Bankingbook_MSB[[#This Row],[Mat. Date]]-RPT</f>
        <v>180</v>
      </c>
      <c r="BZ109" s="71">
        <f>IF(Bankingbook_MSB[[#This Row],[Days]]&lt;=0,0,YEARFRAC(RPT,Bankingbook_MSB[[#This Row],[Mat. Date]],3))</f>
        <v>0.49315068493150682</v>
      </c>
      <c r="CA109" s="71" t="str">
        <f>IF(Bankingbook_MSB[[#This Row],[Days (year)]]=0,0,INDEX(Ref!$K$2:$K$13,MATCH(Bankingbook_MSB[[#This Row],[Days (year)]],Ref!$I$2:$I$13,1)))</f>
        <v>6M</v>
      </c>
      <c r="CB109" s="32" t="str">
        <f>VLOOKUP(Bankingbook_MSB[[#This Row],[Security Name]],Ref!X:Z,3,0)</f>
        <v>TPCPBL</v>
      </c>
      <c r="CC109" s="32" t="str">
        <f>VLOOKUP(Bankingbook_MSB[[#This Row],[Security Name]],Ref!X:Y,2,0)</f>
        <v>VDB</v>
      </c>
      <c r="CD109" s="72">
        <f>IF((Bankingbook_MSB[[#This Row],[Mat. Date]]-RPT)&lt;=0,0,Bankingbook_MSB[[#This Row],[QUANTITY]])</f>
        <v>3500000</v>
      </c>
      <c r="CE109" s="71">
        <f>IF(Bankingbook_MSB[[#This Row],[Quantity_edited]]=0,0,Bankingbook_MSB[[#This Row],[DURATION]])</f>
        <v>0.50356343999999997</v>
      </c>
      <c r="CF109" s="71">
        <f>IF(Bankingbook_MSB[[#This Row],[Quantity_edited]]=0,0,Bankingbook_MSB[[#This Row],[Mod Dur]])</f>
        <v>0.48301935285089997</v>
      </c>
      <c r="CG109" s="71">
        <f>IF(Bankingbook_MSB[[#This Row],[Quantity_edited]]=0,0,Bankingbook_MSB[[#This Row],[Cnvx.]])</f>
        <v>0.46661539045610001</v>
      </c>
      <c r="CH109" s="71">
        <f>(Bankingbook_MSB[[#This Row],[MARKET_VALUE]]+Bankingbook_MSB[[#This Row],[Accr Int]]*Bankingbook_MSB[[#This Row],[Quantity_edited]])*(-Bankingbook_MSB[[#This Row],[Modified Duration]]*0.0001+0.5*Bankingbook_MSB[[#This Row],[Conv]]*(0.0001^2))</f>
        <v>-17650365.132930808</v>
      </c>
      <c r="CI109" s="71">
        <f>(Bankingbook_MSB[[#This Row],[MARKET_VALUE]]+Bankingbook_MSB[[#This Row],[Accr Int]]*Bankingbook_MSB[[#This Row],[Quantity_edited]])*(-Bankingbook_MSB[[#This Row],[Modified Duration]]*0.01+0.5*Bankingbook_MSB[[#This Row],[Conv]]*(0.01^2))</f>
        <v>-1756595892.3301201</v>
      </c>
      <c r="CL109" t="s">
        <v>166</v>
      </c>
      <c r="CM109" t="s">
        <v>167</v>
      </c>
      <c r="CN109" t="s">
        <v>285</v>
      </c>
      <c r="CO109" t="s">
        <v>169</v>
      </c>
      <c r="CP109" s="35">
        <v>42444</v>
      </c>
      <c r="CQ109" t="s">
        <v>3322</v>
      </c>
      <c r="CR109" t="s">
        <v>174</v>
      </c>
      <c r="CS109" t="s">
        <v>174</v>
      </c>
      <c r="CT109" s="49">
        <v>0</v>
      </c>
      <c r="CU109">
        <v>0</v>
      </c>
      <c r="CV109">
        <v>0</v>
      </c>
      <c r="CW109" s="70">
        <v>0</v>
      </c>
      <c r="CX109">
        <v>5.9</v>
      </c>
      <c r="CY109">
        <v>0</v>
      </c>
      <c r="CZ109">
        <v>0</v>
      </c>
      <c r="DA109">
        <v>0</v>
      </c>
      <c r="DB109">
        <v>-77472478.611112595</v>
      </c>
      <c r="DC109">
        <v>5.9</v>
      </c>
      <c r="DD109">
        <v>0</v>
      </c>
      <c r="DE109">
        <v>0</v>
      </c>
      <c r="DF109">
        <v>0</v>
      </c>
      <c r="DG109">
        <v>0</v>
      </c>
      <c r="DH109">
        <v>0</v>
      </c>
      <c r="DI109">
        <v>0</v>
      </c>
      <c r="DJ109" s="500">
        <v>-101000000</v>
      </c>
      <c r="DK109" s="500">
        <v>0</v>
      </c>
      <c r="DL109" s="37">
        <v>-101000000</v>
      </c>
      <c r="DM109" s="37">
        <v>-101000000</v>
      </c>
      <c r="DN109" s="37">
        <v>-101000000</v>
      </c>
      <c r="DO109" s="37">
        <v>-101000000</v>
      </c>
      <c r="DP109" s="32">
        <f>Tradingbook_SBV[[#This Row],[Mat. Date]]-RPT</f>
        <v>-3808</v>
      </c>
      <c r="DQ109" s="32">
        <f>IF(Tradingbook_SBV[[#This Row],[Days]]&lt;=0,0,YEARFRAC(RPT,Tradingbook_SBV[[#This Row],[Mat. Date]],3))</f>
        <v>0</v>
      </c>
      <c r="DR109" s="32">
        <f>IF(Tradingbook_SBV[[#This Row],[Days (year)]]=0,0,INDEX(Ref!$K$2:$K$13,MATCH(Tradingbook_SBV[[#This Row],[Days (year)]],Ref!$I$2:$I$13,1)))</f>
        <v>0</v>
      </c>
      <c r="DS109" s="32" t="str">
        <f>VLOOKUP(Tradingbook_SBV[[#This Row],[Security Name]],Ref!X:Z,3,0)</f>
        <v>TPCP</v>
      </c>
      <c r="DT109" s="32" t="str">
        <f>VLOOKUP(Tradingbook_SBV[[#This Row],[Security Name]],Ref!X:Y,2,0)</f>
        <v>KBNN</v>
      </c>
      <c r="DU109" s="71">
        <f>IF((Tradingbook_SBV[[#This Row],[Mat. Date]]-RPT)&lt;=0,0,Tradingbook_SBV[[#This Row],[QUANTITY]])</f>
        <v>0</v>
      </c>
      <c r="DV109" s="71">
        <f>IF(Tradingbook_SBV[[#This Row],[Quantity_edited]]=0,0,Tradingbook_SBV[[#This Row],[DURATION]])</f>
        <v>0</v>
      </c>
      <c r="DW109" s="71">
        <f>IF(Tradingbook_SBV[[#This Row],[Quantity_edited]]=0,0,Tradingbook_SBV[[#This Row],[Mod Dur]])</f>
        <v>0</v>
      </c>
      <c r="DX109" s="71">
        <f>IF(Tradingbook_SBV[[#This Row],[Quantity_edited]]=0,0,Tradingbook_SBV[[#This Row],[Cnvx.]])</f>
        <v>0</v>
      </c>
      <c r="DY109" s="71">
        <f>(Tradingbook_SBV[[#This Row],[MARKET_VALUE]]+Tradingbook_SBV[[#This Row],[Accr Int]]*Tradingbook_SBV[[#This Row],[Quantity_edited]])*(-Tradingbook_SBV[[#This Row],[Modified Duration]]*0.0001+0.5*Tradingbook_SBV[[#This Row],[Conv]]*(0.0001^2))</f>
        <v>0</v>
      </c>
      <c r="DZ109" s="71">
        <f>(Tradingbook_SBV[[#This Row],[MARKET_VALUE]]+Tradingbook_SBV[[#This Row],[Accr Int]]*Tradingbook_SBV[[#This Row],[Quantity_edited]])*(-Tradingbook_SBV[[#This Row],[Modified Duration]]*0.01+0.5*Tradingbook_SBV[[#This Row],[Conv]]*(0.01^2))</f>
        <v>0</v>
      </c>
      <c r="EC109" t="s">
        <v>166</v>
      </c>
      <c r="ED109" t="s">
        <v>167</v>
      </c>
      <c r="EE109" t="s">
        <v>506</v>
      </c>
      <c r="EF109" t="s">
        <v>169</v>
      </c>
      <c r="EG109" s="35" t="s">
        <v>3747</v>
      </c>
      <c r="EH109" t="s">
        <v>3322</v>
      </c>
      <c r="EK109" s="500">
        <v>0</v>
      </c>
      <c r="EL109" s="500">
        <v>0</v>
      </c>
      <c r="EM109" s="500">
        <v>0</v>
      </c>
      <c r="EN109" s="500">
        <v>0</v>
      </c>
      <c r="EO109">
        <v>9.5</v>
      </c>
      <c r="EP109">
        <v>0</v>
      </c>
      <c r="EQ109">
        <v>0</v>
      </c>
      <c r="ER109">
        <v>1.5E-5</v>
      </c>
      <c r="ES109">
        <v>-1272055834.4444828</v>
      </c>
      <c r="ET109">
        <v>0</v>
      </c>
      <c r="EU109">
        <v>0</v>
      </c>
      <c r="EV109">
        <v>0</v>
      </c>
      <c r="EW109">
        <v>0</v>
      </c>
      <c r="EX109">
        <v>0</v>
      </c>
      <c r="EY109">
        <v>0</v>
      </c>
      <c r="EZ109">
        <v>0</v>
      </c>
      <c r="FA109">
        <v>2576500000</v>
      </c>
      <c r="FB109">
        <v>0</v>
      </c>
      <c r="FC109">
        <v>2576500000</v>
      </c>
      <c r="FD109">
        <v>2576500000</v>
      </c>
      <c r="FE109">
        <v>2576500000</v>
      </c>
      <c r="FF109">
        <v>2576500000</v>
      </c>
      <c r="FG109" s="32">
        <f>Bankingbook_SBV[[#This Row],[Mat. Date]]-RPT</f>
        <v>-1540</v>
      </c>
      <c r="FH109" s="32">
        <f>IF(Bankingbook_SBV[[#This Row],[Days]]&lt;=0,0,YEARFRAC(RPT,Bankingbook_SBV[[#This Row],[Mat. Date]],3))</f>
        <v>0</v>
      </c>
      <c r="FI109" s="32">
        <f>IF(Bankingbook_SBV[[#This Row],[Days (year)]]=0,0,INDEX(Ref!$K$2:$K$13,MATCH(Bankingbook_SBV[[#This Row],[Days (year)]],Ref!$I$2:$I$13,1)))</f>
        <v>0</v>
      </c>
      <c r="FJ109" s="32" t="str">
        <f>VLOOKUP(Bankingbook_SBV[[#This Row],[Security Name]],Ref!X:Z,3,0)</f>
        <v>TPCP</v>
      </c>
      <c r="FK109" s="32" t="str">
        <f>VLOOKUP(Bankingbook_SBV[[#This Row],[Security Name]],Ref!X:Y,2,0)</f>
        <v>KBNN</v>
      </c>
      <c r="FL109" s="72">
        <f>IF((Bankingbook_SBV[[#This Row],[Mat. Date]]-RPT)&lt;=0,0,Bankingbook_SBV[[#This Row],[QUANTITY]])</f>
        <v>0</v>
      </c>
      <c r="FM109" s="32">
        <f>IF(Bankingbook_SBV[[#This Row],[Quantity_edited]]=0,0,Bankingbook_SBV[[#This Row],[DURATION]])</f>
        <v>0</v>
      </c>
      <c r="FN109" s="32">
        <f>IF(Bankingbook_SBV[[#This Row],[Quantity_edited]]=0,0,Bankingbook_SBV[[#This Row],[Mod Dur]])</f>
        <v>0</v>
      </c>
      <c r="FO109" s="32">
        <f>IF(Bankingbook_SBV[[#This Row],[Quantity_edited]]=0,0,Bankingbook_SBV[[#This Row],[Cnvx.]])</f>
        <v>0</v>
      </c>
      <c r="FP109" s="32">
        <f>(Bankingbook_SBV[[#This Row],[MARKET_VALUE]]+Bankingbook_SBV[[#This Row],[Accr Int]]*Bankingbook_SBV[[#This Row],[Quantity_edited]])*(-Bankingbook_SBV[[#This Row],[Modified Duration]]*0.0001+0.5*Bankingbook_SBV[[#This Row],[Conv]]*(0.0001^2))</f>
        <v>0</v>
      </c>
      <c r="FQ109" s="32">
        <f>(Bankingbook_SBV[[#This Row],[MARKET_VALUE]]+Bankingbook_SBV[[#This Row],[Accr Int]]*Bankingbook_SBV[[#This Row],[Quantity_edited]])*(-Bankingbook_SBV[[#This Row],[Modified Duration]]*0.01+0.5*Bankingbook_SBV[[#This Row],[Conv]]*(0.01^2))</f>
        <v>0</v>
      </c>
    </row>
    <row r="110" spans="2:173" x14ac:dyDescent="0.3">
      <c r="B110" t="s">
        <v>166</v>
      </c>
      <c r="C110" t="s">
        <v>167</v>
      </c>
      <c r="D110" t="s">
        <v>286</v>
      </c>
      <c r="E110" t="s">
        <v>169</v>
      </c>
      <c r="F110" s="502">
        <v>42454</v>
      </c>
      <c r="G110" t="s">
        <v>3322</v>
      </c>
      <c r="H110"/>
      <c r="I110"/>
      <c r="J110" s="38">
        <v>0</v>
      </c>
      <c r="K110">
        <v>0</v>
      </c>
      <c r="L110">
        <v>0</v>
      </c>
      <c r="M110" s="38">
        <v>0</v>
      </c>
      <c r="N110">
        <v>9.3000000000000007</v>
      </c>
      <c r="O110">
        <v>0</v>
      </c>
      <c r="P110" s="37">
        <v>0</v>
      </c>
      <c r="Q110" s="37">
        <v>-3.9999999999999998E-6</v>
      </c>
      <c r="R110" s="37">
        <v>56290216.111112595</v>
      </c>
      <c r="S110">
        <v>9.3000000000000007</v>
      </c>
      <c r="T110" s="70">
        <v>0</v>
      </c>
      <c r="U110">
        <v>0</v>
      </c>
      <c r="V110">
        <v>0</v>
      </c>
      <c r="W110">
        <v>0</v>
      </c>
      <c r="X110" s="38">
        <v>0</v>
      </c>
      <c r="Y110">
        <v>0</v>
      </c>
      <c r="Z110" s="70">
        <v>1225000000</v>
      </c>
      <c r="AA110" s="70">
        <v>0</v>
      </c>
      <c r="AB110" s="70">
        <v>1225000000</v>
      </c>
      <c r="AC110" s="70">
        <v>1225000000</v>
      </c>
      <c r="AD110" s="70">
        <v>1225000000</v>
      </c>
      <c r="AE110" s="70">
        <v>1225000000</v>
      </c>
      <c r="AF110">
        <v>0</v>
      </c>
      <c r="AG110" s="72">
        <f>Tradingbook_MSB[[#This Row],[Mat. Date]]-RPT</f>
        <v>-3798</v>
      </c>
      <c r="AH110" s="71">
        <f>IF(Tradingbook_MSB[[#This Row],[Days]]&lt;=0,0,YEARFRAC(RPT,Tradingbook_MSB[[#This Row],[Mat. Date]],3))</f>
        <v>0</v>
      </c>
      <c r="AI110" s="71">
        <f>IF(Tradingbook_MSB[[#This Row],[Days (year)]]=0,0,INDEX(Ref!$K$2:$K$13,MATCH(Tradingbook_MSB[[#This Row],[Days (year)]],Ref!$I$2:$I$13,1)))</f>
        <v>0</v>
      </c>
      <c r="AJ110" s="120" t="str">
        <f>VLOOKUP(Tradingbook_MSB[[#This Row],[Security Name]],Ref!X:Z,3,0)</f>
        <v>TPCPBL</v>
      </c>
      <c r="AK110" s="120" t="str">
        <f>VLOOKUP(Tradingbook_MSB[[#This Row],[Security Name]],Ref!X:Y,2,0)</f>
        <v>VDB</v>
      </c>
      <c r="AL110" s="71">
        <f>IF((Tradingbook_MSB[[#This Row],[Mat. Date]]-RPT)&lt;=0,0,Tradingbook_MSB[[#This Row],[QUANTITY]])</f>
        <v>0</v>
      </c>
      <c r="AM110" s="71">
        <f>IF(Tradingbook_MSB[[#This Row],[Quantity_edited]]=0,0,Tradingbook_MSB[[#This Row],[DURATION]])</f>
        <v>0</v>
      </c>
      <c r="AN110" s="71">
        <f>IF(Tradingbook_MSB[[#This Row],[Quantity_edited]]=0,0,Tradingbook_MSB[[#This Row],[Mod Dur]])</f>
        <v>0</v>
      </c>
      <c r="AO110" s="71">
        <f>IF(Tradingbook_MSB[[#This Row],[Quantity_edited]]=0,0,Tradingbook_MSB[[#This Row],[Cnvx.]])</f>
        <v>0</v>
      </c>
      <c r="AP110" s="71">
        <f>(Tradingbook_MSB[[#This Row],[MARKET_VALUE]]+Tradingbook_MSB[[#This Row],[Accr Int]]*Tradingbook_MSB[[#This Row],[Quantity_edited]])*(-Tradingbook_MSB[[#This Row],[Modified Duration]]*0.0001+0.5*Tradingbook_MSB[[#This Row],[Conv]]*(0.0001^2))</f>
        <v>0</v>
      </c>
      <c r="AQ110" s="72">
        <f>(Tradingbook_MSB[[#This Row],[MARKET_VALUE]]+Tradingbook_MSB[[#This Row],[Accr Int]]*Tradingbook_MSB[[#This Row],[Quantity_edited]])*(-Tradingbook_MSB[[#This Row],[Modified Duration]]*0.01+0.5*Tradingbook_MSB[[#This Row],[Conv]]*(0.01^2))</f>
        <v>0</v>
      </c>
      <c r="AR110" s="71"/>
      <c r="AT110" t="s">
        <v>166</v>
      </c>
      <c r="AU110" t="s">
        <v>167</v>
      </c>
      <c r="AV110" t="s">
        <v>569</v>
      </c>
      <c r="AW110" t="s">
        <v>169</v>
      </c>
      <c r="AX110" t="s">
        <v>3408</v>
      </c>
      <c r="AY110" t="s">
        <v>3322</v>
      </c>
      <c r="AZ110">
        <v>101045</v>
      </c>
      <c r="BA110">
        <v>101045</v>
      </c>
      <c r="BB110">
        <v>0</v>
      </c>
      <c r="BC110">
        <v>0</v>
      </c>
      <c r="BD110">
        <v>0</v>
      </c>
      <c r="BE110" s="37">
        <v>0</v>
      </c>
      <c r="BF110">
        <v>6</v>
      </c>
      <c r="BG110">
        <v>3008</v>
      </c>
      <c r="BH110">
        <v>147000000000</v>
      </c>
      <c r="BI110">
        <v>172899460833.33334</v>
      </c>
      <c r="BJ110">
        <v>-42641396647.985596</v>
      </c>
      <c r="BK110">
        <v>3.752604732</v>
      </c>
      <c r="BL110">
        <v>0.48947133626450001</v>
      </c>
      <c r="BM110">
        <v>0.50783926000000001</v>
      </c>
      <c r="BN110">
        <v>0.4791643780482</v>
      </c>
      <c r="BO110">
        <v>0</v>
      </c>
      <c r="BP110">
        <v>0</v>
      </c>
      <c r="BQ110">
        <v>0</v>
      </c>
      <c r="BR110">
        <v>30364000000</v>
      </c>
      <c r="BS110">
        <v>0</v>
      </c>
      <c r="BT110">
        <v>30364000000</v>
      </c>
      <c r="BU110">
        <v>30364000000</v>
      </c>
      <c r="BV110">
        <v>30364000000</v>
      </c>
      <c r="BW110">
        <v>30364000000</v>
      </c>
      <c r="BX110">
        <v>0</v>
      </c>
      <c r="BY110" s="32">
        <f>Bankingbook_MSB[[#This Row],[Mat. Date]]-RPT</f>
        <v>182</v>
      </c>
      <c r="BZ110" s="71">
        <f>IF(Bankingbook_MSB[[#This Row],[Days]]&lt;=0,0,YEARFRAC(RPT,Bankingbook_MSB[[#This Row],[Mat. Date]],3))</f>
        <v>0.49863013698630138</v>
      </c>
      <c r="CA110" s="71" t="str">
        <f>IF(Bankingbook_MSB[[#This Row],[Days (year)]]=0,0,INDEX(Ref!$K$2:$K$13,MATCH(Bankingbook_MSB[[#This Row],[Days (year)]],Ref!$I$2:$I$13,1)))</f>
        <v>6M</v>
      </c>
      <c r="CB110" s="32" t="str">
        <f>VLOOKUP(Bankingbook_MSB[[#This Row],[Security Name]],Ref!X:Z,3,0)</f>
        <v>TPCP</v>
      </c>
      <c r="CC110" s="32" t="str">
        <f>VLOOKUP(Bankingbook_MSB[[#This Row],[Security Name]],Ref!X:Y,2,0)</f>
        <v>KBNN</v>
      </c>
      <c r="CD110" s="72">
        <f>IF((Bankingbook_MSB[[#This Row],[Mat. Date]]-RPT)&lt;=0,0,Bankingbook_MSB[[#This Row],[QUANTITY]])</f>
        <v>0</v>
      </c>
      <c r="CE110" s="71">
        <f>IF(Bankingbook_MSB[[#This Row],[Quantity_edited]]=0,0,Bankingbook_MSB[[#This Row],[DURATION]])</f>
        <v>0</v>
      </c>
      <c r="CF110" s="71">
        <f>IF(Bankingbook_MSB[[#This Row],[Quantity_edited]]=0,0,Bankingbook_MSB[[#This Row],[Mod Dur]])</f>
        <v>0</v>
      </c>
      <c r="CG110" s="71">
        <f>IF(Bankingbook_MSB[[#This Row],[Quantity_edited]]=0,0,Bankingbook_MSB[[#This Row],[Cnvx.]])</f>
        <v>0</v>
      </c>
      <c r="CH110" s="71">
        <f>(Bankingbook_MSB[[#This Row],[MARKET_VALUE]]+Bankingbook_MSB[[#This Row],[Accr Int]]*Bankingbook_MSB[[#This Row],[Quantity_edited]])*(-Bankingbook_MSB[[#This Row],[Modified Duration]]*0.0001+0.5*Bankingbook_MSB[[#This Row],[Conv]]*(0.0001^2))</f>
        <v>0</v>
      </c>
      <c r="CI110" s="71">
        <f>(Bankingbook_MSB[[#This Row],[MARKET_VALUE]]+Bankingbook_MSB[[#This Row],[Accr Int]]*Bankingbook_MSB[[#This Row],[Quantity_edited]])*(-Bankingbook_MSB[[#This Row],[Modified Duration]]*0.01+0.5*Bankingbook_MSB[[#This Row],[Conv]]*(0.01^2))</f>
        <v>0</v>
      </c>
      <c r="CL110" t="s">
        <v>166</v>
      </c>
      <c r="CM110" t="s">
        <v>167</v>
      </c>
      <c r="CN110" t="s">
        <v>286</v>
      </c>
      <c r="CO110" t="s">
        <v>169</v>
      </c>
      <c r="CP110" s="35">
        <v>42454</v>
      </c>
      <c r="CQ110" t="s">
        <v>3322</v>
      </c>
      <c r="CR110" t="s">
        <v>174</v>
      </c>
      <c r="CS110" t="s">
        <v>174</v>
      </c>
      <c r="CT110" s="49">
        <v>0</v>
      </c>
      <c r="CU110">
        <v>0</v>
      </c>
      <c r="CV110">
        <v>0</v>
      </c>
      <c r="CW110" s="70">
        <v>0</v>
      </c>
      <c r="CX110">
        <v>9.3000000000000007</v>
      </c>
      <c r="CY110">
        <v>0</v>
      </c>
      <c r="CZ110">
        <v>0</v>
      </c>
      <c r="DA110">
        <v>-3.9999999999999998E-6</v>
      </c>
      <c r="DB110">
        <v>56290216.111112595</v>
      </c>
      <c r="DC110">
        <v>9.3000000000000007</v>
      </c>
      <c r="DD110">
        <v>0</v>
      </c>
      <c r="DE110">
        <v>0</v>
      </c>
      <c r="DF110">
        <v>0</v>
      </c>
      <c r="DG110">
        <v>0</v>
      </c>
      <c r="DH110">
        <v>0</v>
      </c>
      <c r="DI110">
        <v>0</v>
      </c>
      <c r="DJ110" s="500">
        <v>1225000000</v>
      </c>
      <c r="DK110" s="500">
        <v>0</v>
      </c>
      <c r="DL110" s="37">
        <v>1225000000</v>
      </c>
      <c r="DM110" s="37">
        <v>1225000000</v>
      </c>
      <c r="DN110" s="37">
        <v>1225000000</v>
      </c>
      <c r="DO110" s="37">
        <v>1225000000</v>
      </c>
      <c r="DP110" s="32">
        <f>Tradingbook_SBV[[#This Row],[Mat. Date]]-RPT</f>
        <v>-3798</v>
      </c>
      <c r="DQ110" s="32">
        <f>IF(Tradingbook_SBV[[#This Row],[Days]]&lt;=0,0,YEARFRAC(RPT,Tradingbook_SBV[[#This Row],[Mat. Date]],3))</f>
        <v>0</v>
      </c>
      <c r="DR110" s="32">
        <f>IF(Tradingbook_SBV[[#This Row],[Days (year)]]=0,0,INDEX(Ref!$K$2:$K$13,MATCH(Tradingbook_SBV[[#This Row],[Days (year)]],Ref!$I$2:$I$13,1)))</f>
        <v>0</v>
      </c>
      <c r="DS110" s="32" t="str">
        <f>VLOOKUP(Tradingbook_SBV[[#This Row],[Security Name]],Ref!X:Z,3,0)</f>
        <v>TPCPBL</v>
      </c>
      <c r="DT110" s="32" t="str">
        <f>VLOOKUP(Tradingbook_SBV[[#This Row],[Security Name]],Ref!X:Y,2,0)</f>
        <v>VDB</v>
      </c>
      <c r="DU110" s="71">
        <f>IF((Tradingbook_SBV[[#This Row],[Mat. Date]]-RPT)&lt;=0,0,Tradingbook_SBV[[#This Row],[QUANTITY]])</f>
        <v>0</v>
      </c>
      <c r="DV110" s="71">
        <f>IF(Tradingbook_SBV[[#This Row],[Quantity_edited]]=0,0,Tradingbook_SBV[[#This Row],[DURATION]])</f>
        <v>0</v>
      </c>
      <c r="DW110" s="71">
        <f>IF(Tradingbook_SBV[[#This Row],[Quantity_edited]]=0,0,Tradingbook_SBV[[#This Row],[Mod Dur]])</f>
        <v>0</v>
      </c>
      <c r="DX110" s="71">
        <f>IF(Tradingbook_SBV[[#This Row],[Quantity_edited]]=0,0,Tradingbook_SBV[[#This Row],[Cnvx.]])</f>
        <v>0</v>
      </c>
      <c r="DY110" s="71">
        <f>(Tradingbook_SBV[[#This Row],[MARKET_VALUE]]+Tradingbook_SBV[[#This Row],[Accr Int]]*Tradingbook_SBV[[#This Row],[Quantity_edited]])*(-Tradingbook_SBV[[#This Row],[Modified Duration]]*0.0001+0.5*Tradingbook_SBV[[#This Row],[Conv]]*(0.0001^2))</f>
        <v>0</v>
      </c>
      <c r="DZ110" s="71">
        <f>(Tradingbook_SBV[[#This Row],[MARKET_VALUE]]+Tradingbook_SBV[[#This Row],[Accr Int]]*Tradingbook_SBV[[#This Row],[Quantity_edited]])*(-Tradingbook_SBV[[#This Row],[Modified Duration]]*0.01+0.5*Tradingbook_SBV[[#This Row],[Conv]]*(0.01^2))</f>
        <v>0</v>
      </c>
      <c r="EC110" t="s">
        <v>166</v>
      </c>
      <c r="ED110" t="s">
        <v>167</v>
      </c>
      <c r="EE110" t="s">
        <v>507</v>
      </c>
      <c r="EF110" t="s">
        <v>169</v>
      </c>
      <c r="EG110" s="35" t="s">
        <v>3748</v>
      </c>
      <c r="EH110" t="s">
        <v>170</v>
      </c>
      <c r="EK110" s="500">
        <v>500000</v>
      </c>
      <c r="EL110" s="500">
        <v>50000000000</v>
      </c>
      <c r="EM110" s="500">
        <v>102564.111</v>
      </c>
      <c r="EN110" s="500">
        <v>0</v>
      </c>
      <c r="EO110">
        <v>5</v>
      </c>
      <c r="EP110">
        <v>0</v>
      </c>
      <c r="EQ110">
        <v>2500000000</v>
      </c>
      <c r="ER110">
        <v>2499999999.9999919</v>
      </c>
      <c r="ES110">
        <v>961736157.98613644</v>
      </c>
      <c r="ET110">
        <v>0</v>
      </c>
      <c r="EU110">
        <v>0</v>
      </c>
      <c r="EV110">
        <v>0</v>
      </c>
      <c r="EW110">
        <v>0</v>
      </c>
      <c r="EX110">
        <v>0</v>
      </c>
      <c r="EY110">
        <v>0</v>
      </c>
      <c r="EZ110">
        <v>0</v>
      </c>
      <c r="FA110">
        <v>-2319999999.9999924</v>
      </c>
      <c r="FB110">
        <v>0</v>
      </c>
      <c r="FC110">
        <v>-2319999999.9999924</v>
      </c>
      <c r="FD110">
        <v>-2319999999.9999924</v>
      </c>
      <c r="FE110">
        <v>-2320000000</v>
      </c>
      <c r="FF110">
        <v>-2319999999.9999924</v>
      </c>
      <c r="FG110" s="32">
        <f>Bankingbook_SBV[[#This Row],[Mat. Date]]-RPT</f>
        <v>-1532</v>
      </c>
      <c r="FH110" s="32">
        <f>IF(Bankingbook_SBV[[#This Row],[Days]]&lt;=0,0,YEARFRAC(RPT,Bankingbook_SBV[[#This Row],[Mat. Date]],3))</f>
        <v>0</v>
      </c>
      <c r="FI110" s="32">
        <f>IF(Bankingbook_SBV[[#This Row],[Days (year)]]=0,0,INDEX(Ref!$K$2:$K$13,MATCH(Bankingbook_SBV[[#This Row],[Days (year)]],Ref!$I$2:$I$13,1)))</f>
        <v>0</v>
      </c>
      <c r="FJ110" s="32" t="str">
        <f>VLOOKUP(Bankingbook_SBV[[#This Row],[Security Name]],Ref!X:Z,3,0)</f>
        <v>TPCP</v>
      </c>
      <c r="FK110" s="32" t="str">
        <f>VLOOKUP(Bankingbook_SBV[[#This Row],[Security Name]],Ref!X:Y,2,0)</f>
        <v>KBNN</v>
      </c>
      <c r="FL110" s="72">
        <f>IF((Bankingbook_SBV[[#This Row],[Mat. Date]]-RPT)&lt;=0,0,Bankingbook_SBV[[#This Row],[QUANTITY]])</f>
        <v>0</v>
      </c>
      <c r="FM110" s="32">
        <f>IF(Bankingbook_SBV[[#This Row],[Quantity_edited]]=0,0,Bankingbook_SBV[[#This Row],[DURATION]])</f>
        <v>0</v>
      </c>
      <c r="FN110" s="32">
        <f>IF(Bankingbook_SBV[[#This Row],[Quantity_edited]]=0,0,Bankingbook_SBV[[#This Row],[Mod Dur]])</f>
        <v>0</v>
      </c>
      <c r="FO110" s="32">
        <f>IF(Bankingbook_SBV[[#This Row],[Quantity_edited]]=0,0,Bankingbook_SBV[[#This Row],[Cnvx.]])</f>
        <v>0</v>
      </c>
      <c r="FP110" s="32">
        <f>(Bankingbook_SBV[[#This Row],[MARKET_VALUE]]+Bankingbook_SBV[[#This Row],[Accr Int]]*Bankingbook_SBV[[#This Row],[Quantity_edited]])*(-Bankingbook_SBV[[#This Row],[Modified Duration]]*0.0001+0.5*Bankingbook_SBV[[#This Row],[Conv]]*(0.0001^2))</f>
        <v>0</v>
      </c>
      <c r="FQ110" s="32">
        <f>(Bankingbook_SBV[[#This Row],[MARKET_VALUE]]+Bankingbook_SBV[[#This Row],[Accr Int]]*Bankingbook_SBV[[#This Row],[Quantity_edited]])*(-Bankingbook_SBV[[#This Row],[Modified Duration]]*0.01+0.5*Bankingbook_SBV[[#This Row],[Conv]]*(0.01^2))</f>
        <v>0</v>
      </c>
    </row>
    <row r="111" spans="2:173" x14ac:dyDescent="0.3">
      <c r="B111" t="s">
        <v>166</v>
      </c>
      <c r="C111" t="s">
        <v>167</v>
      </c>
      <c r="D111" t="s">
        <v>287</v>
      </c>
      <c r="E111" t="s">
        <v>169</v>
      </c>
      <c r="F111" s="502">
        <v>42458</v>
      </c>
      <c r="G111" t="s">
        <v>3322</v>
      </c>
      <c r="H111"/>
      <c r="I111"/>
      <c r="J111" s="38">
        <v>0</v>
      </c>
      <c r="K111">
        <v>0</v>
      </c>
      <c r="L111">
        <v>0</v>
      </c>
      <c r="M111" s="38">
        <v>0</v>
      </c>
      <c r="N111">
        <v>8.8000000000000007</v>
      </c>
      <c r="O111">
        <v>0</v>
      </c>
      <c r="P111" s="37">
        <v>0</v>
      </c>
      <c r="Q111" s="37">
        <v>3.9999999999999998E-6</v>
      </c>
      <c r="R111" s="37">
        <v>-87696837.777780533</v>
      </c>
      <c r="S111">
        <v>8.8000000000000007</v>
      </c>
      <c r="T111" s="70">
        <v>0</v>
      </c>
      <c r="U111">
        <v>0</v>
      </c>
      <c r="V111">
        <v>0</v>
      </c>
      <c r="W111">
        <v>0</v>
      </c>
      <c r="X111" s="38">
        <v>0</v>
      </c>
      <c r="Y111">
        <v>0</v>
      </c>
      <c r="Z111" s="70">
        <v>164000000</v>
      </c>
      <c r="AA111" s="70">
        <v>0</v>
      </c>
      <c r="AB111" s="70">
        <v>164000000</v>
      </c>
      <c r="AC111" s="70">
        <v>164000000</v>
      </c>
      <c r="AD111" s="70">
        <v>164000000</v>
      </c>
      <c r="AE111" s="70">
        <v>164000000</v>
      </c>
      <c r="AF111">
        <v>0</v>
      </c>
      <c r="AG111" s="72">
        <f>Tradingbook_MSB[[#This Row],[Mat. Date]]-RPT</f>
        <v>-3794</v>
      </c>
      <c r="AH111" s="71">
        <f>IF(Tradingbook_MSB[[#This Row],[Days]]&lt;=0,0,YEARFRAC(RPT,Tradingbook_MSB[[#This Row],[Mat. Date]],3))</f>
        <v>0</v>
      </c>
      <c r="AI111" s="71">
        <f>IF(Tradingbook_MSB[[#This Row],[Days (year)]]=0,0,INDEX(Ref!$K$2:$K$13,MATCH(Tradingbook_MSB[[#This Row],[Days (year)]],Ref!$I$2:$I$13,1)))</f>
        <v>0</v>
      </c>
      <c r="AJ111" s="120" t="str">
        <f>VLOOKUP(Tradingbook_MSB[[#This Row],[Security Name]],Ref!X:Z,3,0)</f>
        <v>TPCPBL</v>
      </c>
      <c r="AK111" s="120" t="str">
        <f>VLOOKUP(Tradingbook_MSB[[#This Row],[Security Name]],Ref!X:Y,2,0)</f>
        <v>VDB</v>
      </c>
      <c r="AL111" s="71">
        <f>IF((Tradingbook_MSB[[#This Row],[Mat. Date]]-RPT)&lt;=0,0,Tradingbook_MSB[[#This Row],[QUANTITY]])</f>
        <v>0</v>
      </c>
      <c r="AM111" s="71">
        <f>IF(Tradingbook_MSB[[#This Row],[Quantity_edited]]=0,0,Tradingbook_MSB[[#This Row],[DURATION]])</f>
        <v>0</v>
      </c>
      <c r="AN111" s="71">
        <f>IF(Tradingbook_MSB[[#This Row],[Quantity_edited]]=0,0,Tradingbook_MSB[[#This Row],[Mod Dur]])</f>
        <v>0</v>
      </c>
      <c r="AO111" s="71">
        <f>IF(Tradingbook_MSB[[#This Row],[Quantity_edited]]=0,0,Tradingbook_MSB[[#This Row],[Cnvx.]])</f>
        <v>0</v>
      </c>
      <c r="AP111" s="71">
        <f>(Tradingbook_MSB[[#This Row],[MARKET_VALUE]]+Tradingbook_MSB[[#This Row],[Accr Int]]*Tradingbook_MSB[[#This Row],[Quantity_edited]])*(-Tradingbook_MSB[[#This Row],[Modified Duration]]*0.0001+0.5*Tradingbook_MSB[[#This Row],[Conv]]*(0.0001^2))</f>
        <v>0</v>
      </c>
      <c r="AQ111" s="72">
        <f>(Tradingbook_MSB[[#This Row],[MARKET_VALUE]]+Tradingbook_MSB[[#This Row],[Accr Int]]*Tradingbook_MSB[[#This Row],[Quantity_edited]])*(-Tradingbook_MSB[[#This Row],[Modified Duration]]*0.01+0.5*Tradingbook_MSB[[#This Row],[Conv]]*(0.01^2))</f>
        <v>0</v>
      </c>
      <c r="AR111" s="71"/>
      <c r="AT111" t="s">
        <v>166</v>
      </c>
      <c r="AU111" t="s">
        <v>167</v>
      </c>
      <c r="AV111" t="s">
        <v>572</v>
      </c>
      <c r="AW111" t="s">
        <v>169</v>
      </c>
      <c r="AX111" t="s">
        <v>3409</v>
      </c>
      <c r="AY111" t="s">
        <v>3322</v>
      </c>
      <c r="AZ111">
        <v>101447</v>
      </c>
      <c r="BA111">
        <v>101447</v>
      </c>
      <c r="BB111">
        <v>0</v>
      </c>
      <c r="BC111">
        <v>0</v>
      </c>
      <c r="BD111">
        <v>0</v>
      </c>
      <c r="BE111">
        <v>0</v>
      </c>
      <c r="BF111">
        <v>6</v>
      </c>
      <c r="BG111">
        <v>1742</v>
      </c>
      <c r="BH111">
        <v>30000000000</v>
      </c>
      <c r="BI111">
        <v>35276256666.666626</v>
      </c>
      <c r="BJ111">
        <v>-11402327334.444246</v>
      </c>
      <c r="BK111">
        <v>3.8390214810000001</v>
      </c>
      <c r="BL111">
        <v>0.69077154303819999</v>
      </c>
      <c r="BM111">
        <v>0.71729041000000004</v>
      </c>
      <c r="BN111">
        <v>0.95433064934019995</v>
      </c>
      <c r="BO111">
        <v>0</v>
      </c>
      <c r="BP111">
        <v>0</v>
      </c>
      <c r="BQ111">
        <v>0</v>
      </c>
      <c r="BR111">
        <v>4238000000</v>
      </c>
      <c r="BS111">
        <v>0</v>
      </c>
      <c r="BT111">
        <v>4238000000</v>
      </c>
      <c r="BU111">
        <v>4238000000</v>
      </c>
      <c r="BV111">
        <v>4238000000</v>
      </c>
      <c r="BW111">
        <v>4238000000</v>
      </c>
      <c r="BX111">
        <v>0</v>
      </c>
      <c r="BY111" s="32">
        <f>Bankingbook_MSB[[#This Row],[Mat. Date]]-RPT</f>
        <v>259</v>
      </c>
      <c r="BZ111" s="71">
        <f>IF(Bankingbook_MSB[[#This Row],[Days]]&lt;=0,0,YEARFRAC(RPT,Bankingbook_MSB[[#This Row],[Mat. Date]],3))</f>
        <v>0.70958904109589038</v>
      </c>
      <c r="CA111" s="71" t="str">
        <f>IF(Bankingbook_MSB[[#This Row],[Days (year)]]=0,0,INDEX(Ref!$K$2:$K$13,MATCH(Bankingbook_MSB[[#This Row],[Days (year)]],Ref!$I$2:$I$13,1)))</f>
        <v>6M</v>
      </c>
      <c r="CB111" s="32" t="str">
        <f>VLOOKUP(Bankingbook_MSB[[#This Row],[Security Name]],Ref!X:Z,3,0)</f>
        <v>TPCP</v>
      </c>
      <c r="CC111" s="32" t="str">
        <f>VLOOKUP(Bankingbook_MSB[[#This Row],[Security Name]],Ref!X:Y,2,0)</f>
        <v>KBNN</v>
      </c>
      <c r="CD111" s="72">
        <f>IF((Bankingbook_MSB[[#This Row],[Mat. Date]]-RPT)&lt;=0,0,Bankingbook_MSB[[#This Row],[QUANTITY]])</f>
        <v>0</v>
      </c>
      <c r="CE111" s="71">
        <f>IF(Bankingbook_MSB[[#This Row],[Quantity_edited]]=0,0,Bankingbook_MSB[[#This Row],[DURATION]])</f>
        <v>0</v>
      </c>
      <c r="CF111" s="71">
        <f>IF(Bankingbook_MSB[[#This Row],[Quantity_edited]]=0,0,Bankingbook_MSB[[#This Row],[Mod Dur]])</f>
        <v>0</v>
      </c>
      <c r="CG111" s="71">
        <f>IF(Bankingbook_MSB[[#This Row],[Quantity_edited]]=0,0,Bankingbook_MSB[[#This Row],[Cnvx.]])</f>
        <v>0</v>
      </c>
      <c r="CH111" s="71">
        <f>(Bankingbook_MSB[[#This Row],[MARKET_VALUE]]+Bankingbook_MSB[[#This Row],[Accr Int]]*Bankingbook_MSB[[#This Row],[Quantity_edited]])*(-Bankingbook_MSB[[#This Row],[Modified Duration]]*0.0001+0.5*Bankingbook_MSB[[#This Row],[Conv]]*(0.0001^2))</f>
        <v>0</v>
      </c>
      <c r="CI111" s="71">
        <f>(Bankingbook_MSB[[#This Row],[MARKET_VALUE]]+Bankingbook_MSB[[#This Row],[Accr Int]]*Bankingbook_MSB[[#This Row],[Quantity_edited]])*(-Bankingbook_MSB[[#This Row],[Modified Duration]]*0.01+0.5*Bankingbook_MSB[[#This Row],[Conv]]*(0.01^2))</f>
        <v>0</v>
      </c>
      <c r="CL111" t="s">
        <v>166</v>
      </c>
      <c r="CM111" t="s">
        <v>167</v>
      </c>
      <c r="CN111" t="s">
        <v>287</v>
      </c>
      <c r="CO111" t="s">
        <v>169</v>
      </c>
      <c r="CP111" s="35">
        <v>42458</v>
      </c>
      <c r="CQ111" t="s">
        <v>3322</v>
      </c>
      <c r="CR111" t="s">
        <v>174</v>
      </c>
      <c r="CS111" t="s">
        <v>174</v>
      </c>
      <c r="CT111" s="49">
        <v>0</v>
      </c>
      <c r="CU111">
        <v>0</v>
      </c>
      <c r="CV111">
        <v>0</v>
      </c>
      <c r="CW111" s="70">
        <v>0</v>
      </c>
      <c r="CX111">
        <v>8.8000000000000007</v>
      </c>
      <c r="CY111">
        <v>0</v>
      </c>
      <c r="CZ111">
        <v>0</v>
      </c>
      <c r="DA111">
        <v>3.9999999999999998E-6</v>
      </c>
      <c r="DB111">
        <v>-87696837.777780533</v>
      </c>
      <c r="DC111">
        <v>8.8000000000000007</v>
      </c>
      <c r="DD111">
        <v>0</v>
      </c>
      <c r="DE111">
        <v>0</v>
      </c>
      <c r="DF111">
        <v>0</v>
      </c>
      <c r="DG111">
        <v>0</v>
      </c>
      <c r="DH111">
        <v>0</v>
      </c>
      <c r="DI111">
        <v>0</v>
      </c>
      <c r="DJ111" s="500">
        <v>164000000</v>
      </c>
      <c r="DK111" s="500">
        <v>0</v>
      </c>
      <c r="DL111" s="37">
        <v>164000000</v>
      </c>
      <c r="DM111" s="37">
        <v>164000000</v>
      </c>
      <c r="DN111" s="37">
        <v>164000000</v>
      </c>
      <c r="DO111" s="37">
        <v>164000000</v>
      </c>
      <c r="DP111" s="32">
        <f>Tradingbook_SBV[[#This Row],[Mat. Date]]-RPT</f>
        <v>-3794</v>
      </c>
      <c r="DQ111" s="32">
        <f>IF(Tradingbook_SBV[[#This Row],[Days]]&lt;=0,0,YEARFRAC(RPT,Tradingbook_SBV[[#This Row],[Mat. Date]],3))</f>
        <v>0</v>
      </c>
      <c r="DR111" s="32">
        <f>IF(Tradingbook_SBV[[#This Row],[Days (year)]]=0,0,INDEX(Ref!$K$2:$K$13,MATCH(Tradingbook_SBV[[#This Row],[Days (year)]],Ref!$I$2:$I$13,1)))</f>
        <v>0</v>
      </c>
      <c r="DS111" s="32" t="str">
        <f>VLOOKUP(Tradingbook_SBV[[#This Row],[Security Name]],Ref!X:Z,3,0)</f>
        <v>TPCPBL</v>
      </c>
      <c r="DT111" s="32" t="str">
        <f>VLOOKUP(Tradingbook_SBV[[#This Row],[Security Name]],Ref!X:Y,2,0)</f>
        <v>VDB</v>
      </c>
      <c r="DU111" s="71">
        <f>IF((Tradingbook_SBV[[#This Row],[Mat. Date]]-RPT)&lt;=0,0,Tradingbook_SBV[[#This Row],[QUANTITY]])</f>
        <v>0</v>
      </c>
      <c r="DV111" s="71">
        <f>IF(Tradingbook_SBV[[#This Row],[Quantity_edited]]=0,0,Tradingbook_SBV[[#This Row],[DURATION]])</f>
        <v>0</v>
      </c>
      <c r="DW111" s="71">
        <f>IF(Tradingbook_SBV[[#This Row],[Quantity_edited]]=0,0,Tradingbook_SBV[[#This Row],[Mod Dur]])</f>
        <v>0</v>
      </c>
      <c r="DX111" s="71">
        <f>IF(Tradingbook_SBV[[#This Row],[Quantity_edited]]=0,0,Tradingbook_SBV[[#This Row],[Cnvx.]])</f>
        <v>0</v>
      </c>
      <c r="DY111" s="71">
        <f>(Tradingbook_SBV[[#This Row],[MARKET_VALUE]]+Tradingbook_SBV[[#This Row],[Accr Int]]*Tradingbook_SBV[[#This Row],[Quantity_edited]])*(-Tradingbook_SBV[[#This Row],[Modified Duration]]*0.0001+0.5*Tradingbook_SBV[[#This Row],[Conv]]*(0.0001^2))</f>
        <v>0</v>
      </c>
      <c r="DZ111" s="71">
        <f>(Tradingbook_SBV[[#This Row],[MARKET_VALUE]]+Tradingbook_SBV[[#This Row],[Accr Int]]*Tradingbook_SBV[[#This Row],[Quantity_edited]])*(-Tradingbook_SBV[[#This Row],[Modified Duration]]*0.01+0.5*Tradingbook_SBV[[#This Row],[Conv]]*(0.01^2))</f>
        <v>0</v>
      </c>
      <c r="EC111" t="s">
        <v>166</v>
      </c>
      <c r="ED111" t="s">
        <v>167</v>
      </c>
      <c r="EE111" t="s">
        <v>508</v>
      </c>
      <c r="EF111" t="s">
        <v>169</v>
      </c>
      <c r="EG111" s="35" t="s">
        <v>3749</v>
      </c>
      <c r="EH111" t="s">
        <v>170</v>
      </c>
      <c r="EK111" s="500">
        <v>2000000</v>
      </c>
      <c r="EL111" s="500">
        <v>200000000000</v>
      </c>
      <c r="EM111" s="500">
        <v>104065.091</v>
      </c>
      <c r="EN111" s="500">
        <v>0</v>
      </c>
      <c r="EO111">
        <v>4.9000000000000004</v>
      </c>
      <c r="EP111">
        <v>0</v>
      </c>
      <c r="EQ111">
        <v>14700000000</v>
      </c>
      <c r="ER111">
        <v>14757119027.777779</v>
      </c>
      <c r="ES111">
        <v>-2591438754.8611102</v>
      </c>
      <c r="ET111">
        <v>0</v>
      </c>
      <c r="EU111">
        <v>0</v>
      </c>
      <c r="EV111">
        <v>0</v>
      </c>
      <c r="EW111">
        <v>0</v>
      </c>
      <c r="EX111">
        <v>0</v>
      </c>
      <c r="EY111">
        <v>0</v>
      </c>
      <c r="EZ111">
        <v>0</v>
      </c>
      <c r="FA111">
        <v>-9434500000.0000362</v>
      </c>
      <c r="FB111">
        <v>0</v>
      </c>
      <c r="FC111">
        <v>-9434500000.0000362</v>
      </c>
      <c r="FD111">
        <v>-9434500000.0000362</v>
      </c>
      <c r="FE111">
        <v>-9434500000</v>
      </c>
      <c r="FF111">
        <v>-9434500000.0000362</v>
      </c>
      <c r="FG111" s="32">
        <f>Bankingbook_SBV[[#This Row],[Mat. Date]]-RPT</f>
        <v>-1511</v>
      </c>
      <c r="FH111" s="32">
        <f>IF(Bankingbook_SBV[[#This Row],[Days]]&lt;=0,0,YEARFRAC(RPT,Bankingbook_SBV[[#This Row],[Mat. Date]],3))</f>
        <v>0</v>
      </c>
      <c r="FI111" s="32">
        <f>IF(Bankingbook_SBV[[#This Row],[Days (year)]]=0,0,INDEX(Ref!$K$2:$K$13,MATCH(Bankingbook_SBV[[#This Row],[Days (year)]],Ref!$I$2:$I$13,1)))</f>
        <v>0</v>
      </c>
      <c r="FJ111" s="32" t="str">
        <f>VLOOKUP(Bankingbook_SBV[[#This Row],[Security Name]],Ref!X:Z,3,0)</f>
        <v>TPCP</v>
      </c>
      <c r="FK111" s="32" t="str">
        <f>VLOOKUP(Bankingbook_SBV[[#This Row],[Security Name]],Ref!X:Y,2,0)</f>
        <v>KBNN</v>
      </c>
      <c r="FL111" s="72">
        <f>IF((Bankingbook_SBV[[#This Row],[Mat. Date]]-RPT)&lt;=0,0,Bankingbook_SBV[[#This Row],[QUANTITY]])</f>
        <v>0</v>
      </c>
      <c r="FM111" s="32">
        <f>IF(Bankingbook_SBV[[#This Row],[Quantity_edited]]=0,0,Bankingbook_SBV[[#This Row],[DURATION]])</f>
        <v>0</v>
      </c>
      <c r="FN111" s="32">
        <f>IF(Bankingbook_SBV[[#This Row],[Quantity_edited]]=0,0,Bankingbook_SBV[[#This Row],[Mod Dur]])</f>
        <v>0</v>
      </c>
      <c r="FO111" s="32">
        <f>IF(Bankingbook_SBV[[#This Row],[Quantity_edited]]=0,0,Bankingbook_SBV[[#This Row],[Cnvx.]])</f>
        <v>0</v>
      </c>
      <c r="FP111" s="32">
        <f>(Bankingbook_SBV[[#This Row],[MARKET_VALUE]]+Bankingbook_SBV[[#This Row],[Accr Int]]*Bankingbook_SBV[[#This Row],[Quantity_edited]])*(-Bankingbook_SBV[[#This Row],[Modified Duration]]*0.0001+0.5*Bankingbook_SBV[[#This Row],[Conv]]*(0.0001^2))</f>
        <v>0</v>
      </c>
      <c r="FQ111" s="32">
        <f>(Bankingbook_SBV[[#This Row],[MARKET_VALUE]]+Bankingbook_SBV[[#This Row],[Accr Int]]*Bankingbook_SBV[[#This Row],[Quantity_edited]])*(-Bankingbook_SBV[[#This Row],[Modified Duration]]*0.01+0.5*Bankingbook_SBV[[#This Row],[Conv]]*(0.01^2))</f>
        <v>0</v>
      </c>
    </row>
    <row r="112" spans="2:173" x14ac:dyDescent="0.3">
      <c r="B112" t="s">
        <v>166</v>
      </c>
      <c r="C112" t="s">
        <v>167</v>
      </c>
      <c r="D112" t="s">
        <v>288</v>
      </c>
      <c r="E112" t="s">
        <v>169</v>
      </c>
      <c r="F112" s="502">
        <v>42460</v>
      </c>
      <c r="G112" t="s">
        <v>3322</v>
      </c>
      <c r="H112"/>
      <c r="I112"/>
      <c r="J112" s="38">
        <v>0</v>
      </c>
      <c r="K112">
        <v>0</v>
      </c>
      <c r="L112">
        <v>0</v>
      </c>
      <c r="M112" s="38">
        <v>0</v>
      </c>
      <c r="N112">
        <v>7.8</v>
      </c>
      <c r="O112">
        <v>0</v>
      </c>
      <c r="P112" s="37">
        <v>0</v>
      </c>
      <c r="Q112" s="37">
        <v>-1.2999999999999999E-5</v>
      </c>
      <c r="R112" s="37">
        <v>-3662734568.3888788</v>
      </c>
      <c r="S112">
        <v>7.8</v>
      </c>
      <c r="T112" s="70">
        <v>0</v>
      </c>
      <c r="U112">
        <v>0</v>
      </c>
      <c r="V112">
        <v>0</v>
      </c>
      <c r="W112">
        <v>0</v>
      </c>
      <c r="X112" s="38">
        <v>0</v>
      </c>
      <c r="Y112">
        <v>0</v>
      </c>
      <c r="Z112" s="70">
        <v>5091600000</v>
      </c>
      <c r="AA112" s="70">
        <v>0</v>
      </c>
      <c r="AB112" s="70">
        <v>5091600000</v>
      </c>
      <c r="AC112" s="70">
        <v>5091600000</v>
      </c>
      <c r="AD112" s="70">
        <v>5091600000</v>
      </c>
      <c r="AE112" s="70">
        <v>5091600000</v>
      </c>
      <c r="AF112">
        <v>0</v>
      </c>
      <c r="AG112" s="72">
        <f>Tradingbook_MSB[[#This Row],[Mat. Date]]-RPT</f>
        <v>-3792</v>
      </c>
      <c r="AH112" s="71">
        <f>IF(Tradingbook_MSB[[#This Row],[Days]]&lt;=0,0,YEARFRAC(RPT,Tradingbook_MSB[[#This Row],[Mat. Date]],3))</f>
        <v>0</v>
      </c>
      <c r="AI112" s="71">
        <f>IF(Tradingbook_MSB[[#This Row],[Days (year)]]=0,0,INDEX(Ref!$K$2:$K$13,MATCH(Tradingbook_MSB[[#This Row],[Days (year)]],Ref!$I$2:$I$13,1)))</f>
        <v>0</v>
      </c>
      <c r="AJ112" s="120" t="str">
        <f>VLOOKUP(Tradingbook_MSB[[#This Row],[Security Name]],Ref!X:Z,3,0)</f>
        <v>TPCP</v>
      </c>
      <c r="AK112" s="120" t="str">
        <f>VLOOKUP(Tradingbook_MSB[[#This Row],[Security Name]],Ref!X:Y,2,0)</f>
        <v>KBNN</v>
      </c>
      <c r="AL112" s="71">
        <f>IF((Tradingbook_MSB[[#This Row],[Mat. Date]]-RPT)&lt;=0,0,Tradingbook_MSB[[#This Row],[QUANTITY]])</f>
        <v>0</v>
      </c>
      <c r="AM112" s="71">
        <f>IF(Tradingbook_MSB[[#This Row],[Quantity_edited]]=0,0,Tradingbook_MSB[[#This Row],[DURATION]])</f>
        <v>0</v>
      </c>
      <c r="AN112" s="71">
        <f>IF(Tradingbook_MSB[[#This Row],[Quantity_edited]]=0,0,Tradingbook_MSB[[#This Row],[Mod Dur]])</f>
        <v>0</v>
      </c>
      <c r="AO112" s="71">
        <f>IF(Tradingbook_MSB[[#This Row],[Quantity_edited]]=0,0,Tradingbook_MSB[[#This Row],[Cnvx.]])</f>
        <v>0</v>
      </c>
      <c r="AP112" s="71">
        <f>(Tradingbook_MSB[[#This Row],[MARKET_VALUE]]+Tradingbook_MSB[[#This Row],[Accr Int]]*Tradingbook_MSB[[#This Row],[Quantity_edited]])*(-Tradingbook_MSB[[#This Row],[Modified Duration]]*0.0001+0.5*Tradingbook_MSB[[#This Row],[Conv]]*(0.0001^2))</f>
        <v>0</v>
      </c>
      <c r="AQ112" s="72">
        <f>(Tradingbook_MSB[[#This Row],[MARKET_VALUE]]+Tradingbook_MSB[[#This Row],[Accr Int]]*Tradingbook_MSB[[#This Row],[Quantity_edited]])*(-Tradingbook_MSB[[#This Row],[Modified Duration]]*0.01+0.5*Tradingbook_MSB[[#This Row],[Conv]]*(0.01^2))</f>
        <v>0</v>
      </c>
      <c r="AR112" s="71"/>
      <c r="AT112" t="s">
        <v>166</v>
      </c>
      <c r="AU112" t="s">
        <v>167</v>
      </c>
      <c r="AV112" t="s">
        <v>575</v>
      </c>
      <c r="AW112" t="s">
        <v>169</v>
      </c>
      <c r="AX112" t="s">
        <v>3410</v>
      </c>
      <c r="AY112" t="s">
        <v>3322</v>
      </c>
      <c r="AZ112">
        <v>101416</v>
      </c>
      <c r="BA112">
        <v>101416</v>
      </c>
      <c r="BB112">
        <v>0</v>
      </c>
      <c r="BC112">
        <v>0</v>
      </c>
      <c r="BD112">
        <v>0</v>
      </c>
      <c r="BE112">
        <v>0</v>
      </c>
      <c r="BF112">
        <v>5.3</v>
      </c>
      <c r="BG112">
        <v>523</v>
      </c>
      <c r="BH112">
        <v>66250000000</v>
      </c>
      <c r="BI112">
        <v>77723171319.444305</v>
      </c>
      <c r="BJ112">
        <v>-25590092762.499508</v>
      </c>
      <c r="BK112">
        <v>3.6578434130000002</v>
      </c>
      <c r="BL112">
        <v>0.87259964355209996</v>
      </c>
      <c r="BM112">
        <v>0.90451797</v>
      </c>
      <c r="BN112">
        <v>1.5228602758523</v>
      </c>
      <c r="BO112">
        <v>0</v>
      </c>
      <c r="BP112">
        <v>0</v>
      </c>
      <c r="BQ112">
        <v>0</v>
      </c>
      <c r="BR112">
        <v>19930000000</v>
      </c>
      <c r="BS112">
        <v>0</v>
      </c>
      <c r="BT112">
        <v>19930000000</v>
      </c>
      <c r="BU112">
        <v>19930000000</v>
      </c>
      <c r="BV112">
        <v>19930000000</v>
      </c>
      <c r="BW112">
        <v>19930000000</v>
      </c>
      <c r="BX112">
        <v>0</v>
      </c>
      <c r="BY112" s="32">
        <f>Bankingbook_MSB[[#This Row],[Mat. Date]]-RPT</f>
        <v>329</v>
      </c>
      <c r="BZ112" s="71">
        <f>IF(Bankingbook_MSB[[#This Row],[Days]]&lt;=0,0,YEARFRAC(RPT,Bankingbook_MSB[[#This Row],[Mat. Date]],3))</f>
        <v>0.90136986301369859</v>
      </c>
      <c r="CA112" s="71" t="str">
        <f>IF(Bankingbook_MSB[[#This Row],[Days (year)]]=0,0,INDEX(Ref!$K$2:$K$13,MATCH(Bankingbook_MSB[[#This Row],[Days (year)]],Ref!$I$2:$I$13,1)))</f>
        <v>1Y</v>
      </c>
      <c r="CB112" s="32" t="str">
        <f>VLOOKUP(Bankingbook_MSB[[#This Row],[Security Name]],Ref!X:Z,3,0)</f>
        <v>TPCP</v>
      </c>
      <c r="CC112" s="32" t="str">
        <f>VLOOKUP(Bankingbook_MSB[[#This Row],[Security Name]],Ref!X:Y,2,0)</f>
        <v>KBNN</v>
      </c>
      <c r="CD112" s="72">
        <f>IF((Bankingbook_MSB[[#This Row],[Mat. Date]]-RPT)&lt;=0,0,Bankingbook_MSB[[#This Row],[QUANTITY]])</f>
        <v>0</v>
      </c>
      <c r="CE112" s="71">
        <f>IF(Bankingbook_MSB[[#This Row],[Quantity_edited]]=0,0,Bankingbook_MSB[[#This Row],[DURATION]])</f>
        <v>0</v>
      </c>
      <c r="CF112" s="71">
        <f>IF(Bankingbook_MSB[[#This Row],[Quantity_edited]]=0,0,Bankingbook_MSB[[#This Row],[Mod Dur]])</f>
        <v>0</v>
      </c>
      <c r="CG112" s="71">
        <f>IF(Bankingbook_MSB[[#This Row],[Quantity_edited]]=0,0,Bankingbook_MSB[[#This Row],[Cnvx.]])</f>
        <v>0</v>
      </c>
      <c r="CH112" s="71">
        <f>(Bankingbook_MSB[[#This Row],[MARKET_VALUE]]+Bankingbook_MSB[[#This Row],[Accr Int]]*Bankingbook_MSB[[#This Row],[Quantity_edited]])*(-Bankingbook_MSB[[#This Row],[Modified Duration]]*0.0001+0.5*Bankingbook_MSB[[#This Row],[Conv]]*(0.0001^2))</f>
        <v>0</v>
      </c>
      <c r="CI112" s="71">
        <f>(Bankingbook_MSB[[#This Row],[MARKET_VALUE]]+Bankingbook_MSB[[#This Row],[Accr Int]]*Bankingbook_MSB[[#This Row],[Quantity_edited]])*(-Bankingbook_MSB[[#This Row],[Modified Duration]]*0.01+0.5*Bankingbook_MSB[[#This Row],[Conv]]*(0.01^2))</f>
        <v>0</v>
      </c>
      <c r="CL112" t="s">
        <v>166</v>
      </c>
      <c r="CM112" t="s">
        <v>167</v>
      </c>
      <c r="CN112" t="s">
        <v>288</v>
      </c>
      <c r="CO112" t="s">
        <v>169</v>
      </c>
      <c r="CP112" s="35">
        <v>42460</v>
      </c>
      <c r="CQ112" t="s">
        <v>3322</v>
      </c>
      <c r="CR112" t="s">
        <v>174</v>
      </c>
      <c r="CS112" t="s">
        <v>174</v>
      </c>
      <c r="CT112" s="49">
        <v>0</v>
      </c>
      <c r="CU112">
        <v>0</v>
      </c>
      <c r="CV112">
        <v>0</v>
      </c>
      <c r="CW112" s="70">
        <v>0</v>
      </c>
      <c r="CX112">
        <v>7.8</v>
      </c>
      <c r="CY112">
        <v>0</v>
      </c>
      <c r="CZ112">
        <v>0</v>
      </c>
      <c r="DA112">
        <v>-1.2999999999999999E-5</v>
      </c>
      <c r="DB112">
        <v>-3662734568.3888788</v>
      </c>
      <c r="DC112">
        <v>7.8</v>
      </c>
      <c r="DD112">
        <v>0</v>
      </c>
      <c r="DE112">
        <v>0</v>
      </c>
      <c r="DF112">
        <v>0</v>
      </c>
      <c r="DG112">
        <v>0</v>
      </c>
      <c r="DH112">
        <v>0</v>
      </c>
      <c r="DI112">
        <v>0</v>
      </c>
      <c r="DJ112" s="500">
        <v>5091600000</v>
      </c>
      <c r="DK112" s="500">
        <v>0</v>
      </c>
      <c r="DL112" s="37">
        <v>5091600000</v>
      </c>
      <c r="DM112" s="37">
        <v>5091600000</v>
      </c>
      <c r="DN112" s="37">
        <v>5091600000</v>
      </c>
      <c r="DO112" s="37">
        <v>5091600000</v>
      </c>
      <c r="DP112" s="32">
        <f>Tradingbook_SBV[[#This Row],[Mat. Date]]-RPT</f>
        <v>-3792</v>
      </c>
      <c r="DQ112" s="32">
        <f>IF(Tradingbook_SBV[[#This Row],[Days]]&lt;=0,0,YEARFRAC(RPT,Tradingbook_SBV[[#This Row],[Mat. Date]],3))</f>
        <v>0</v>
      </c>
      <c r="DR112" s="32">
        <f>IF(Tradingbook_SBV[[#This Row],[Days (year)]]=0,0,INDEX(Ref!$K$2:$K$13,MATCH(Tradingbook_SBV[[#This Row],[Days (year)]],Ref!$I$2:$I$13,1)))</f>
        <v>0</v>
      </c>
      <c r="DS112" s="32" t="str">
        <f>VLOOKUP(Tradingbook_SBV[[#This Row],[Security Name]],Ref!X:Z,3,0)</f>
        <v>TPCP</v>
      </c>
      <c r="DT112" s="32" t="str">
        <f>VLOOKUP(Tradingbook_SBV[[#This Row],[Security Name]],Ref!X:Y,2,0)</f>
        <v>KBNN</v>
      </c>
      <c r="DU112" s="71">
        <f>IF((Tradingbook_SBV[[#This Row],[Mat. Date]]-RPT)&lt;=0,0,Tradingbook_SBV[[#This Row],[QUANTITY]])</f>
        <v>0</v>
      </c>
      <c r="DV112" s="71">
        <f>IF(Tradingbook_SBV[[#This Row],[Quantity_edited]]=0,0,Tradingbook_SBV[[#This Row],[DURATION]])</f>
        <v>0</v>
      </c>
      <c r="DW112" s="71">
        <f>IF(Tradingbook_SBV[[#This Row],[Quantity_edited]]=0,0,Tradingbook_SBV[[#This Row],[Mod Dur]])</f>
        <v>0</v>
      </c>
      <c r="DX112" s="71">
        <f>IF(Tradingbook_SBV[[#This Row],[Quantity_edited]]=0,0,Tradingbook_SBV[[#This Row],[Cnvx.]])</f>
        <v>0</v>
      </c>
      <c r="DY112" s="71">
        <f>(Tradingbook_SBV[[#This Row],[MARKET_VALUE]]+Tradingbook_SBV[[#This Row],[Accr Int]]*Tradingbook_SBV[[#This Row],[Quantity_edited]])*(-Tradingbook_SBV[[#This Row],[Modified Duration]]*0.0001+0.5*Tradingbook_SBV[[#This Row],[Conv]]*(0.0001^2))</f>
        <v>0</v>
      </c>
      <c r="DZ112" s="71">
        <f>(Tradingbook_SBV[[#This Row],[MARKET_VALUE]]+Tradingbook_SBV[[#This Row],[Accr Int]]*Tradingbook_SBV[[#This Row],[Quantity_edited]])*(-Tradingbook_SBV[[#This Row],[Modified Duration]]*0.01+0.5*Tradingbook_SBV[[#This Row],[Conv]]*(0.01^2))</f>
        <v>0</v>
      </c>
      <c r="EC112" t="s">
        <v>166</v>
      </c>
      <c r="ED112" t="s">
        <v>167</v>
      </c>
      <c r="EE112" t="s">
        <v>509</v>
      </c>
      <c r="EF112" t="s">
        <v>169</v>
      </c>
      <c r="EG112" s="35" t="s">
        <v>3750</v>
      </c>
      <c r="EH112" t="s">
        <v>3322</v>
      </c>
      <c r="EK112" s="500">
        <v>0</v>
      </c>
      <c r="EL112" s="500">
        <v>0</v>
      </c>
      <c r="EM112" s="500">
        <v>0</v>
      </c>
      <c r="EN112" s="500">
        <v>0</v>
      </c>
      <c r="EO112">
        <v>4.4000000000000004</v>
      </c>
      <c r="EP112">
        <v>0</v>
      </c>
      <c r="EQ112">
        <v>4400000000</v>
      </c>
      <c r="ER112">
        <v>4451165277.7777786</v>
      </c>
      <c r="ES112">
        <v>-316080467.70833296</v>
      </c>
      <c r="ET112">
        <v>0</v>
      </c>
      <c r="EU112">
        <v>0</v>
      </c>
      <c r="EV112">
        <v>0</v>
      </c>
      <c r="EW112">
        <v>0</v>
      </c>
      <c r="EX112">
        <v>0</v>
      </c>
      <c r="EY112">
        <v>0</v>
      </c>
      <c r="EZ112">
        <v>0</v>
      </c>
      <c r="FA112">
        <v>-1286000000</v>
      </c>
      <c r="FB112">
        <v>0</v>
      </c>
      <c r="FC112">
        <v>-1286000000</v>
      </c>
      <c r="FD112">
        <v>-1286000000</v>
      </c>
      <c r="FE112">
        <v>-1286000000</v>
      </c>
      <c r="FF112">
        <v>-1286000000</v>
      </c>
      <c r="FG112" s="32">
        <f>Bankingbook_SBV[[#This Row],[Mat. Date]]-RPT</f>
        <v>-1490</v>
      </c>
      <c r="FH112" s="32">
        <f>IF(Bankingbook_SBV[[#This Row],[Days]]&lt;=0,0,YEARFRAC(RPT,Bankingbook_SBV[[#This Row],[Mat. Date]],3))</f>
        <v>0</v>
      </c>
      <c r="FI112" s="32">
        <f>IF(Bankingbook_SBV[[#This Row],[Days (year)]]=0,0,INDEX(Ref!$K$2:$K$13,MATCH(Bankingbook_SBV[[#This Row],[Days (year)]],Ref!$I$2:$I$13,1)))</f>
        <v>0</v>
      </c>
      <c r="FJ112" s="32" t="str">
        <f>VLOOKUP(Bankingbook_SBV[[#This Row],[Security Name]],Ref!X:Z,3,0)</f>
        <v>TPCP</v>
      </c>
      <c r="FK112" s="32" t="str">
        <f>VLOOKUP(Bankingbook_SBV[[#This Row],[Security Name]],Ref!X:Y,2,0)</f>
        <v>KBNN</v>
      </c>
      <c r="FL112" s="72">
        <f>IF((Bankingbook_SBV[[#This Row],[Mat. Date]]-RPT)&lt;=0,0,Bankingbook_SBV[[#This Row],[QUANTITY]])</f>
        <v>0</v>
      </c>
      <c r="FM112" s="32">
        <f>IF(Bankingbook_SBV[[#This Row],[Quantity_edited]]=0,0,Bankingbook_SBV[[#This Row],[DURATION]])</f>
        <v>0</v>
      </c>
      <c r="FN112" s="32">
        <f>IF(Bankingbook_SBV[[#This Row],[Quantity_edited]]=0,0,Bankingbook_SBV[[#This Row],[Mod Dur]])</f>
        <v>0</v>
      </c>
      <c r="FO112" s="32">
        <f>IF(Bankingbook_SBV[[#This Row],[Quantity_edited]]=0,0,Bankingbook_SBV[[#This Row],[Cnvx.]])</f>
        <v>0</v>
      </c>
      <c r="FP112" s="32">
        <f>(Bankingbook_SBV[[#This Row],[MARKET_VALUE]]+Bankingbook_SBV[[#This Row],[Accr Int]]*Bankingbook_SBV[[#This Row],[Quantity_edited]])*(-Bankingbook_SBV[[#This Row],[Modified Duration]]*0.0001+0.5*Bankingbook_SBV[[#This Row],[Conv]]*(0.0001^2))</f>
        <v>0</v>
      </c>
      <c r="FQ112" s="32">
        <f>(Bankingbook_SBV[[#This Row],[MARKET_VALUE]]+Bankingbook_SBV[[#This Row],[Accr Int]]*Bankingbook_SBV[[#This Row],[Quantity_edited]])*(-Bankingbook_SBV[[#This Row],[Modified Duration]]*0.01+0.5*Bankingbook_SBV[[#This Row],[Conv]]*(0.01^2))</f>
        <v>0</v>
      </c>
    </row>
    <row r="113" spans="2:173" x14ac:dyDescent="0.3">
      <c r="B113" t="s">
        <v>166</v>
      </c>
      <c r="C113" t="s">
        <v>167</v>
      </c>
      <c r="D113" t="s">
        <v>289</v>
      </c>
      <c r="E113" t="s">
        <v>169</v>
      </c>
      <c r="F113" s="502">
        <v>42475</v>
      </c>
      <c r="G113" t="s">
        <v>3322</v>
      </c>
      <c r="H113"/>
      <c r="I113"/>
      <c r="J113" s="38">
        <v>0</v>
      </c>
      <c r="K113">
        <v>0</v>
      </c>
      <c r="L113">
        <v>0</v>
      </c>
      <c r="M113" s="38">
        <v>0</v>
      </c>
      <c r="N113">
        <v>5.6</v>
      </c>
      <c r="O113">
        <v>0</v>
      </c>
      <c r="P113" s="37">
        <v>0</v>
      </c>
      <c r="Q113" s="37">
        <v>-6.0000000000000002E-6</v>
      </c>
      <c r="R113" s="37">
        <v>-138576525.13887882</v>
      </c>
      <c r="S113">
        <v>5.6</v>
      </c>
      <c r="T113" s="70">
        <v>0</v>
      </c>
      <c r="U113">
        <v>0</v>
      </c>
      <c r="V113">
        <v>0</v>
      </c>
      <c r="W113">
        <v>0</v>
      </c>
      <c r="X113" s="38">
        <v>0</v>
      </c>
      <c r="Y113">
        <v>0</v>
      </c>
      <c r="Z113" s="70">
        <v>163000000</v>
      </c>
      <c r="AA113" s="70">
        <v>0</v>
      </c>
      <c r="AB113" s="70">
        <v>163000000</v>
      </c>
      <c r="AC113" s="70">
        <v>163000000</v>
      </c>
      <c r="AD113" s="70">
        <v>163000000</v>
      </c>
      <c r="AE113" s="70">
        <v>163000000</v>
      </c>
      <c r="AF113">
        <v>0</v>
      </c>
      <c r="AG113" s="72">
        <f>Tradingbook_MSB[[#This Row],[Mat. Date]]-RPT</f>
        <v>-3777</v>
      </c>
      <c r="AH113" s="71">
        <f>IF(Tradingbook_MSB[[#This Row],[Days]]&lt;=0,0,YEARFRAC(RPT,Tradingbook_MSB[[#This Row],[Mat. Date]],3))</f>
        <v>0</v>
      </c>
      <c r="AI113" s="71">
        <f>IF(Tradingbook_MSB[[#This Row],[Days (year)]]=0,0,INDEX(Ref!$K$2:$K$13,MATCH(Tradingbook_MSB[[#This Row],[Days (year)]],Ref!$I$2:$I$13,1)))</f>
        <v>0</v>
      </c>
      <c r="AJ113" s="120" t="str">
        <f>VLOOKUP(Tradingbook_MSB[[#This Row],[Security Name]],Ref!X:Z,3,0)</f>
        <v>TPCP</v>
      </c>
      <c r="AK113" s="120" t="str">
        <f>VLOOKUP(Tradingbook_MSB[[#This Row],[Security Name]],Ref!X:Y,2,0)</f>
        <v>KBNN</v>
      </c>
      <c r="AL113" s="71">
        <f>IF((Tradingbook_MSB[[#This Row],[Mat. Date]]-RPT)&lt;=0,0,Tradingbook_MSB[[#This Row],[QUANTITY]])</f>
        <v>0</v>
      </c>
      <c r="AM113" s="71">
        <f>IF(Tradingbook_MSB[[#This Row],[Quantity_edited]]=0,0,Tradingbook_MSB[[#This Row],[DURATION]])</f>
        <v>0</v>
      </c>
      <c r="AN113" s="71">
        <f>IF(Tradingbook_MSB[[#This Row],[Quantity_edited]]=0,0,Tradingbook_MSB[[#This Row],[Mod Dur]])</f>
        <v>0</v>
      </c>
      <c r="AO113" s="71">
        <f>IF(Tradingbook_MSB[[#This Row],[Quantity_edited]]=0,0,Tradingbook_MSB[[#This Row],[Cnvx.]])</f>
        <v>0</v>
      </c>
      <c r="AP113" s="71">
        <f>(Tradingbook_MSB[[#This Row],[MARKET_VALUE]]+Tradingbook_MSB[[#This Row],[Accr Int]]*Tradingbook_MSB[[#This Row],[Quantity_edited]])*(-Tradingbook_MSB[[#This Row],[Modified Duration]]*0.0001+0.5*Tradingbook_MSB[[#This Row],[Conv]]*(0.0001^2))</f>
        <v>0</v>
      </c>
      <c r="AQ113" s="72">
        <f>(Tradingbook_MSB[[#This Row],[MARKET_VALUE]]+Tradingbook_MSB[[#This Row],[Accr Int]]*Tradingbook_MSB[[#This Row],[Quantity_edited]])*(-Tradingbook_MSB[[#This Row],[Modified Duration]]*0.01+0.5*Tradingbook_MSB[[#This Row],[Conv]]*(0.01^2))</f>
        <v>0</v>
      </c>
      <c r="AR113" s="71"/>
      <c r="AT113" t="s">
        <v>166</v>
      </c>
      <c r="AU113" t="s">
        <v>3299</v>
      </c>
      <c r="AV113" t="s">
        <v>781</v>
      </c>
      <c r="AW113" t="s">
        <v>169</v>
      </c>
      <c r="AX113" t="s">
        <v>782</v>
      </c>
      <c r="AY113" t="s">
        <v>3322</v>
      </c>
      <c r="AZ113">
        <v>102111</v>
      </c>
      <c r="BA113">
        <v>102111</v>
      </c>
      <c r="BB113">
        <v>0</v>
      </c>
      <c r="BC113">
        <v>0</v>
      </c>
      <c r="BD113">
        <v>0</v>
      </c>
      <c r="BE113">
        <v>0</v>
      </c>
      <c r="BF113">
        <v>5.9</v>
      </c>
      <c r="BG113">
        <v>4704</v>
      </c>
      <c r="BH113">
        <v>59000000000</v>
      </c>
      <c r="BI113">
        <v>68825692833.333252</v>
      </c>
      <c r="BJ113">
        <v>-20981654448.74963</v>
      </c>
      <c r="BK113">
        <v>4.0498007280000001</v>
      </c>
      <c r="BL113">
        <v>1.1032667231055</v>
      </c>
      <c r="BM113">
        <v>1.14794683</v>
      </c>
      <c r="BN113">
        <v>2.3253606398894999</v>
      </c>
      <c r="BO113">
        <v>0</v>
      </c>
      <c r="BP113">
        <v>0</v>
      </c>
      <c r="BQ113">
        <v>0</v>
      </c>
      <c r="BR113">
        <v>12367500000</v>
      </c>
      <c r="BS113">
        <v>0</v>
      </c>
      <c r="BT113">
        <v>12367500000</v>
      </c>
      <c r="BU113">
        <v>12367500000</v>
      </c>
      <c r="BV113">
        <v>12367500000</v>
      </c>
      <c r="BW113">
        <v>12367500000</v>
      </c>
      <c r="BX113">
        <v>0</v>
      </c>
      <c r="BY113" s="32">
        <f>Bankingbook_MSB[[#This Row],[Mat. Date]]-RPT</f>
        <v>439</v>
      </c>
      <c r="BZ113" s="71">
        <f>IF(Bankingbook_MSB[[#This Row],[Days]]&lt;=0,0,YEARFRAC(RPT,Bankingbook_MSB[[#This Row],[Mat. Date]],3))</f>
        <v>1.2027397260273973</v>
      </c>
      <c r="CA113" s="71" t="str">
        <f>IF(Bankingbook_MSB[[#This Row],[Days (year)]]=0,0,INDEX(Ref!$K$2:$K$13,MATCH(Bankingbook_MSB[[#This Row],[Days (year)]],Ref!$I$2:$I$13,1)))</f>
        <v>1Y</v>
      </c>
      <c r="CB113" s="32" t="str">
        <f>VLOOKUP(Bankingbook_MSB[[#This Row],[Security Name]],Ref!X:Z,3,0)</f>
        <v>TPCPBL</v>
      </c>
      <c r="CC113" s="32" t="str">
        <f>VLOOKUP(Bankingbook_MSB[[#This Row],[Security Name]],Ref!X:Y,2,0)</f>
        <v>VBS</v>
      </c>
      <c r="CD113" s="72">
        <f>IF((Bankingbook_MSB[[#This Row],[Mat. Date]]-RPT)&lt;=0,0,Bankingbook_MSB[[#This Row],[QUANTITY]])</f>
        <v>0</v>
      </c>
      <c r="CE113" s="71">
        <f>IF(Bankingbook_MSB[[#This Row],[Quantity_edited]]=0,0,Bankingbook_MSB[[#This Row],[DURATION]])</f>
        <v>0</v>
      </c>
      <c r="CF113" s="71">
        <f>IF(Bankingbook_MSB[[#This Row],[Quantity_edited]]=0,0,Bankingbook_MSB[[#This Row],[Mod Dur]])</f>
        <v>0</v>
      </c>
      <c r="CG113" s="71">
        <f>IF(Bankingbook_MSB[[#This Row],[Quantity_edited]]=0,0,Bankingbook_MSB[[#This Row],[Cnvx.]])</f>
        <v>0</v>
      </c>
      <c r="CH113" s="71">
        <f>(Bankingbook_MSB[[#This Row],[MARKET_VALUE]]+Bankingbook_MSB[[#This Row],[Accr Int]]*Bankingbook_MSB[[#This Row],[Quantity_edited]])*(-Bankingbook_MSB[[#This Row],[Modified Duration]]*0.0001+0.5*Bankingbook_MSB[[#This Row],[Conv]]*(0.0001^2))</f>
        <v>0</v>
      </c>
      <c r="CI113" s="71">
        <f>(Bankingbook_MSB[[#This Row],[MARKET_VALUE]]+Bankingbook_MSB[[#This Row],[Accr Int]]*Bankingbook_MSB[[#This Row],[Quantity_edited]])*(-Bankingbook_MSB[[#This Row],[Modified Duration]]*0.01+0.5*Bankingbook_MSB[[#This Row],[Conv]]*(0.01^2))</f>
        <v>0</v>
      </c>
      <c r="CL113" t="s">
        <v>166</v>
      </c>
      <c r="CM113" t="s">
        <v>167</v>
      </c>
      <c r="CN113" t="s">
        <v>289</v>
      </c>
      <c r="CO113" t="s">
        <v>169</v>
      </c>
      <c r="CP113" s="35">
        <v>42475</v>
      </c>
      <c r="CQ113" t="s">
        <v>3322</v>
      </c>
      <c r="CR113" t="s">
        <v>174</v>
      </c>
      <c r="CS113" t="s">
        <v>174</v>
      </c>
      <c r="CT113" s="49">
        <v>0</v>
      </c>
      <c r="CU113">
        <v>0</v>
      </c>
      <c r="CV113">
        <v>0</v>
      </c>
      <c r="CW113" s="70">
        <v>0</v>
      </c>
      <c r="CX113">
        <v>5.6</v>
      </c>
      <c r="CY113">
        <v>0</v>
      </c>
      <c r="CZ113">
        <v>0</v>
      </c>
      <c r="DA113">
        <v>-6.0000000000000002E-6</v>
      </c>
      <c r="DB113">
        <v>-138576525.13887882</v>
      </c>
      <c r="DC113">
        <v>5.6</v>
      </c>
      <c r="DD113">
        <v>0</v>
      </c>
      <c r="DE113">
        <v>0</v>
      </c>
      <c r="DF113">
        <v>0</v>
      </c>
      <c r="DG113">
        <v>0</v>
      </c>
      <c r="DH113">
        <v>0</v>
      </c>
      <c r="DI113">
        <v>0</v>
      </c>
      <c r="DJ113" s="500">
        <v>163000000</v>
      </c>
      <c r="DK113" s="500">
        <v>0</v>
      </c>
      <c r="DL113" s="37">
        <v>163000000</v>
      </c>
      <c r="DM113" s="37">
        <v>163000000</v>
      </c>
      <c r="DN113" s="37">
        <v>163000000</v>
      </c>
      <c r="DO113" s="37">
        <v>163000000</v>
      </c>
      <c r="DP113" s="32">
        <f>Tradingbook_SBV[[#This Row],[Mat. Date]]-RPT</f>
        <v>-3777</v>
      </c>
      <c r="DQ113" s="32">
        <f>IF(Tradingbook_SBV[[#This Row],[Days]]&lt;=0,0,YEARFRAC(RPT,Tradingbook_SBV[[#This Row],[Mat. Date]],3))</f>
        <v>0</v>
      </c>
      <c r="DR113" s="32">
        <f>IF(Tradingbook_SBV[[#This Row],[Days (year)]]=0,0,INDEX(Ref!$K$2:$K$13,MATCH(Tradingbook_SBV[[#This Row],[Days (year)]],Ref!$I$2:$I$13,1)))</f>
        <v>0</v>
      </c>
      <c r="DS113" s="32" t="str">
        <f>VLOOKUP(Tradingbook_SBV[[#This Row],[Security Name]],Ref!X:Z,3,0)</f>
        <v>TPCP</v>
      </c>
      <c r="DT113" s="32" t="str">
        <f>VLOOKUP(Tradingbook_SBV[[#This Row],[Security Name]],Ref!X:Y,2,0)</f>
        <v>KBNN</v>
      </c>
      <c r="DU113" s="71">
        <f>IF((Tradingbook_SBV[[#This Row],[Mat. Date]]-RPT)&lt;=0,0,Tradingbook_SBV[[#This Row],[QUANTITY]])</f>
        <v>0</v>
      </c>
      <c r="DV113" s="71">
        <f>IF(Tradingbook_SBV[[#This Row],[Quantity_edited]]=0,0,Tradingbook_SBV[[#This Row],[DURATION]])</f>
        <v>0</v>
      </c>
      <c r="DW113" s="71">
        <f>IF(Tradingbook_SBV[[#This Row],[Quantity_edited]]=0,0,Tradingbook_SBV[[#This Row],[Mod Dur]])</f>
        <v>0</v>
      </c>
      <c r="DX113" s="71">
        <f>IF(Tradingbook_SBV[[#This Row],[Quantity_edited]]=0,0,Tradingbook_SBV[[#This Row],[Cnvx.]])</f>
        <v>0</v>
      </c>
      <c r="DY113" s="71">
        <f>(Tradingbook_SBV[[#This Row],[MARKET_VALUE]]+Tradingbook_SBV[[#This Row],[Accr Int]]*Tradingbook_SBV[[#This Row],[Quantity_edited]])*(-Tradingbook_SBV[[#This Row],[Modified Duration]]*0.0001+0.5*Tradingbook_SBV[[#This Row],[Conv]]*(0.0001^2))</f>
        <v>0</v>
      </c>
      <c r="DZ113" s="71">
        <f>(Tradingbook_SBV[[#This Row],[MARKET_VALUE]]+Tradingbook_SBV[[#This Row],[Accr Int]]*Tradingbook_SBV[[#This Row],[Quantity_edited]])*(-Tradingbook_SBV[[#This Row],[Modified Duration]]*0.01+0.5*Tradingbook_SBV[[#This Row],[Conv]]*(0.01^2))</f>
        <v>0</v>
      </c>
      <c r="EC113" t="s">
        <v>166</v>
      </c>
      <c r="ED113" t="s">
        <v>167</v>
      </c>
      <c r="EE113" t="s">
        <v>510</v>
      </c>
      <c r="EF113" t="s">
        <v>169</v>
      </c>
      <c r="EG113" s="35" t="s">
        <v>3751</v>
      </c>
      <c r="EH113" t="s">
        <v>3322</v>
      </c>
      <c r="EK113" s="500">
        <v>0</v>
      </c>
      <c r="EL113" s="500">
        <v>0</v>
      </c>
      <c r="EM113" s="500">
        <v>0</v>
      </c>
      <c r="EN113" s="500">
        <v>0</v>
      </c>
      <c r="EO113">
        <v>4.5</v>
      </c>
      <c r="EP113">
        <v>0</v>
      </c>
      <c r="EQ113">
        <v>2250000000</v>
      </c>
      <c r="ER113">
        <v>2422803437.5000081</v>
      </c>
      <c r="ES113">
        <v>-2090545166.2500477</v>
      </c>
      <c r="ET113">
        <v>4.5</v>
      </c>
      <c r="EU113">
        <v>0</v>
      </c>
      <c r="EV113">
        <v>0</v>
      </c>
      <c r="EW113">
        <v>0</v>
      </c>
      <c r="EX113">
        <v>0</v>
      </c>
      <c r="EY113">
        <v>0</v>
      </c>
      <c r="EZ113">
        <v>0</v>
      </c>
      <c r="FA113">
        <v>2720000000</v>
      </c>
      <c r="FB113">
        <v>0</v>
      </c>
      <c r="FC113">
        <v>2720000000</v>
      </c>
      <c r="FD113">
        <v>2720000000</v>
      </c>
      <c r="FE113">
        <v>2720000000</v>
      </c>
      <c r="FF113">
        <v>2720000000</v>
      </c>
      <c r="FG113" s="32">
        <f>Bankingbook_SBV[[#This Row],[Mat. Date]]-RPT</f>
        <v>-1406</v>
      </c>
      <c r="FH113" s="32">
        <f>IF(Bankingbook_SBV[[#This Row],[Days]]&lt;=0,0,YEARFRAC(RPT,Bankingbook_SBV[[#This Row],[Mat. Date]],3))</f>
        <v>0</v>
      </c>
      <c r="FI113" s="32">
        <f>IF(Bankingbook_SBV[[#This Row],[Days (year)]]=0,0,INDEX(Ref!$K$2:$K$13,MATCH(Bankingbook_SBV[[#This Row],[Days (year)]],Ref!$I$2:$I$13,1)))</f>
        <v>0</v>
      </c>
      <c r="FJ113" s="32" t="str">
        <f>VLOOKUP(Bankingbook_SBV[[#This Row],[Security Name]],Ref!X:Z,3,0)</f>
        <v>TPCP</v>
      </c>
      <c r="FK113" s="32" t="str">
        <f>VLOOKUP(Bankingbook_SBV[[#This Row],[Security Name]],Ref!X:Y,2,0)</f>
        <v>KBNN</v>
      </c>
      <c r="FL113" s="72">
        <f>IF((Bankingbook_SBV[[#This Row],[Mat. Date]]-RPT)&lt;=0,0,Bankingbook_SBV[[#This Row],[QUANTITY]])</f>
        <v>0</v>
      </c>
      <c r="FM113" s="32">
        <f>IF(Bankingbook_SBV[[#This Row],[Quantity_edited]]=0,0,Bankingbook_SBV[[#This Row],[DURATION]])</f>
        <v>0</v>
      </c>
      <c r="FN113" s="32">
        <f>IF(Bankingbook_SBV[[#This Row],[Quantity_edited]]=0,0,Bankingbook_SBV[[#This Row],[Mod Dur]])</f>
        <v>0</v>
      </c>
      <c r="FO113" s="32">
        <f>IF(Bankingbook_SBV[[#This Row],[Quantity_edited]]=0,0,Bankingbook_SBV[[#This Row],[Cnvx.]])</f>
        <v>0</v>
      </c>
      <c r="FP113" s="32">
        <f>(Bankingbook_SBV[[#This Row],[MARKET_VALUE]]+Bankingbook_SBV[[#This Row],[Accr Int]]*Bankingbook_SBV[[#This Row],[Quantity_edited]])*(-Bankingbook_SBV[[#This Row],[Modified Duration]]*0.0001+0.5*Bankingbook_SBV[[#This Row],[Conv]]*(0.0001^2))</f>
        <v>0</v>
      </c>
      <c r="FQ113" s="32">
        <f>(Bankingbook_SBV[[#This Row],[MARKET_VALUE]]+Bankingbook_SBV[[#This Row],[Accr Int]]*Bankingbook_SBV[[#This Row],[Quantity_edited]])*(-Bankingbook_SBV[[#This Row],[Modified Duration]]*0.01+0.5*Bankingbook_SBV[[#This Row],[Conv]]*(0.01^2))</f>
        <v>0</v>
      </c>
    </row>
    <row r="114" spans="2:173" x14ac:dyDescent="0.3">
      <c r="B114" t="s">
        <v>166</v>
      </c>
      <c r="C114" t="s">
        <v>167</v>
      </c>
      <c r="D114" t="s">
        <v>290</v>
      </c>
      <c r="E114" t="s">
        <v>169</v>
      </c>
      <c r="F114" s="502">
        <v>42490</v>
      </c>
      <c r="G114" t="s">
        <v>3322</v>
      </c>
      <c r="H114"/>
      <c r="I114"/>
      <c r="J114" s="38">
        <v>0</v>
      </c>
      <c r="K114">
        <v>0</v>
      </c>
      <c r="L114">
        <v>0</v>
      </c>
      <c r="M114" s="38">
        <v>0</v>
      </c>
      <c r="N114">
        <v>7.6</v>
      </c>
      <c r="O114">
        <v>0</v>
      </c>
      <c r="P114" s="37">
        <v>7600000000</v>
      </c>
      <c r="Q114" s="37">
        <v>8136553666.6666641</v>
      </c>
      <c r="R114" s="37">
        <v>-2903125825.5555482</v>
      </c>
      <c r="S114">
        <v>7.6</v>
      </c>
      <c r="T114" s="70">
        <v>0</v>
      </c>
      <c r="U114">
        <v>0</v>
      </c>
      <c r="V114">
        <v>0</v>
      </c>
      <c r="W114">
        <v>0</v>
      </c>
      <c r="X114" s="38">
        <v>0</v>
      </c>
      <c r="Y114">
        <v>0</v>
      </c>
      <c r="Z114" s="70">
        <v>4008500000</v>
      </c>
      <c r="AA114" s="70">
        <v>0</v>
      </c>
      <c r="AB114" s="70">
        <v>4008500000</v>
      </c>
      <c r="AC114" s="70">
        <v>4008500000</v>
      </c>
      <c r="AD114" s="70">
        <v>4008500000</v>
      </c>
      <c r="AE114" s="70">
        <v>4008500000</v>
      </c>
      <c r="AF114">
        <v>0</v>
      </c>
      <c r="AG114" s="72">
        <f>Tradingbook_MSB[[#This Row],[Mat. Date]]-RPT</f>
        <v>-3762</v>
      </c>
      <c r="AH114" s="71">
        <f>IF(Tradingbook_MSB[[#This Row],[Days]]&lt;=0,0,YEARFRAC(RPT,Tradingbook_MSB[[#This Row],[Mat. Date]],3))</f>
        <v>0</v>
      </c>
      <c r="AI114" s="71">
        <f>IF(Tradingbook_MSB[[#This Row],[Days (year)]]=0,0,INDEX(Ref!$K$2:$K$13,MATCH(Tradingbook_MSB[[#This Row],[Days (year)]],Ref!$I$2:$I$13,1)))</f>
        <v>0</v>
      </c>
      <c r="AJ114" s="120" t="str">
        <f>VLOOKUP(Tradingbook_MSB[[#This Row],[Security Name]],Ref!X:Z,3,0)</f>
        <v>TPCP</v>
      </c>
      <c r="AK114" s="120" t="str">
        <f>VLOOKUP(Tradingbook_MSB[[#This Row],[Security Name]],Ref!X:Y,2,0)</f>
        <v>KBNN</v>
      </c>
      <c r="AL114" s="71">
        <f>IF((Tradingbook_MSB[[#This Row],[Mat. Date]]-RPT)&lt;=0,0,Tradingbook_MSB[[#This Row],[QUANTITY]])</f>
        <v>0</v>
      </c>
      <c r="AM114" s="71">
        <f>IF(Tradingbook_MSB[[#This Row],[Quantity_edited]]=0,0,Tradingbook_MSB[[#This Row],[DURATION]])</f>
        <v>0</v>
      </c>
      <c r="AN114" s="71">
        <f>IF(Tradingbook_MSB[[#This Row],[Quantity_edited]]=0,0,Tradingbook_MSB[[#This Row],[Mod Dur]])</f>
        <v>0</v>
      </c>
      <c r="AO114" s="71">
        <f>IF(Tradingbook_MSB[[#This Row],[Quantity_edited]]=0,0,Tradingbook_MSB[[#This Row],[Cnvx.]])</f>
        <v>0</v>
      </c>
      <c r="AP114" s="71">
        <f>(Tradingbook_MSB[[#This Row],[MARKET_VALUE]]+Tradingbook_MSB[[#This Row],[Accr Int]]*Tradingbook_MSB[[#This Row],[Quantity_edited]])*(-Tradingbook_MSB[[#This Row],[Modified Duration]]*0.0001+0.5*Tradingbook_MSB[[#This Row],[Conv]]*(0.0001^2))</f>
        <v>0</v>
      </c>
      <c r="AQ114" s="72">
        <f>(Tradingbook_MSB[[#This Row],[MARKET_VALUE]]+Tradingbook_MSB[[#This Row],[Accr Int]]*Tradingbook_MSB[[#This Row],[Quantity_edited]])*(-Tradingbook_MSB[[#This Row],[Modified Duration]]*0.01+0.5*Tradingbook_MSB[[#This Row],[Conv]]*(0.01^2))</f>
        <v>0</v>
      </c>
      <c r="AR114" s="71"/>
      <c r="AT114" t="s">
        <v>166</v>
      </c>
      <c r="AU114" t="s">
        <v>3299</v>
      </c>
      <c r="AV114" t="s">
        <v>783</v>
      </c>
      <c r="AW114" t="s">
        <v>169</v>
      </c>
      <c r="AX114" t="s">
        <v>3411</v>
      </c>
      <c r="AY114" t="s">
        <v>3322</v>
      </c>
      <c r="AZ114">
        <v>102140</v>
      </c>
      <c r="BA114">
        <v>102140</v>
      </c>
      <c r="BB114">
        <v>0</v>
      </c>
      <c r="BC114">
        <v>0</v>
      </c>
      <c r="BD114">
        <v>0</v>
      </c>
      <c r="BE114">
        <v>0</v>
      </c>
      <c r="BF114">
        <v>5.9</v>
      </c>
      <c r="BG114">
        <v>4591</v>
      </c>
      <c r="BH114">
        <v>59000000000</v>
      </c>
      <c r="BI114">
        <v>68796389499.999908</v>
      </c>
      <c r="BJ114">
        <v>-20886074928.475983</v>
      </c>
      <c r="BK114">
        <v>4.0520612930000004</v>
      </c>
      <c r="BL114">
        <v>1.1216729100702001</v>
      </c>
      <c r="BM114">
        <v>1.1671237800000001</v>
      </c>
      <c r="BN114">
        <v>2.3839785072323001</v>
      </c>
      <c r="BO114">
        <v>0</v>
      </c>
      <c r="BP114">
        <v>0</v>
      </c>
      <c r="BQ114">
        <v>0</v>
      </c>
      <c r="BR114">
        <v>12400000000</v>
      </c>
      <c r="BS114">
        <v>0</v>
      </c>
      <c r="BT114">
        <v>12400000000</v>
      </c>
      <c r="BU114">
        <v>12400000000</v>
      </c>
      <c r="BV114">
        <v>12400000000</v>
      </c>
      <c r="BW114">
        <v>12400000000</v>
      </c>
      <c r="BX114">
        <v>0</v>
      </c>
      <c r="BY114" s="32">
        <f>Bankingbook_MSB[[#This Row],[Mat. Date]]-RPT</f>
        <v>446</v>
      </c>
      <c r="BZ114" s="71">
        <f>IF(Bankingbook_MSB[[#This Row],[Days]]&lt;=0,0,YEARFRAC(RPT,Bankingbook_MSB[[#This Row],[Mat. Date]],3))</f>
        <v>1.2219178082191782</v>
      </c>
      <c r="CA114" s="71" t="str">
        <f>IF(Bankingbook_MSB[[#This Row],[Days (year)]]=0,0,INDEX(Ref!$K$2:$K$13,MATCH(Bankingbook_MSB[[#This Row],[Days (year)]],Ref!$I$2:$I$13,1)))</f>
        <v>1Y</v>
      </c>
      <c r="CB114" s="32" t="str">
        <f>VLOOKUP(Bankingbook_MSB[[#This Row],[Security Name]],Ref!X:Z,3,0)</f>
        <v>TPCPBL</v>
      </c>
      <c r="CC114" s="32" t="str">
        <f>VLOOKUP(Bankingbook_MSB[[#This Row],[Security Name]],Ref!X:Y,2,0)</f>
        <v>VBS</v>
      </c>
      <c r="CD114" s="72">
        <f>IF((Bankingbook_MSB[[#This Row],[Mat. Date]]-RPT)&lt;=0,0,Bankingbook_MSB[[#This Row],[QUANTITY]])</f>
        <v>0</v>
      </c>
      <c r="CE114" s="71">
        <f>IF(Bankingbook_MSB[[#This Row],[Quantity_edited]]=0,0,Bankingbook_MSB[[#This Row],[DURATION]])</f>
        <v>0</v>
      </c>
      <c r="CF114" s="71">
        <f>IF(Bankingbook_MSB[[#This Row],[Quantity_edited]]=0,0,Bankingbook_MSB[[#This Row],[Mod Dur]])</f>
        <v>0</v>
      </c>
      <c r="CG114" s="71">
        <f>IF(Bankingbook_MSB[[#This Row],[Quantity_edited]]=0,0,Bankingbook_MSB[[#This Row],[Cnvx.]])</f>
        <v>0</v>
      </c>
      <c r="CH114" s="71">
        <f>(Bankingbook_MSB[[#This Row],[MARKET_VALUE]]+Bankingbook_MSB[[#This Row],[Accr Int]]*Bankingbook_MSB[[#This Row],[Quantity_edited]])*(-Bankingbook_MSB[[#This Row],[Modified Duration]]*0.0001+0.5*Bankingbook_MSB[[#This Row],[Conv]]*(0.0001^2))</f>
        <v>0</v>
      </c>
      <c r="CI114" s="71">
        <f>(Bankingbook_MSB[[#This Row],[MARKET_VALUE]]+Bankingbook_MSB[[#This Row],[Accr Int]]*Bankingbook_MSB[[#This Row],[Quantity_edited]])*(-Bankingbook_MSB[[#This Row],[Modified Duration]]*0.01+0.5*Bankingbook_MSB[[#This Row],[Conv]]*(0.01^2))</f>
        <v>0</v>
      </c>
      <c r="CL114" t="s">
        <v>166</v>
      </c>
      <c r="CM114" t="s">
        <v>167</v>
      </c>
      <c r="CN114" t="s">
        <v>290</v>
      </c>
      <c r="CO114" t="s">
        <v>169</v>
      </c>
      <c r="CP114" s="35">
        <v>42490</v>
      </c>
      <c r="CQ114" t="s">
        <v>3322</v>
      </c>
      <c r="CR114" t="s">
        <v>174</v>
      </c>
      <c r="CS114" t="s">
        <v>174</v>
      </c>
      <c r="CT114" s="49">
        <v>0</v>
      </c>
      <c r="CU114">
        <v>0</v>
      </c>
      <c r="CV114">
        <v>0</v>
      </c>
      <c r="CW114" s="70">
        <v>0</v>
      </c>
      <c r="CX114">
        <v>7.6</v>
      </c>
      <c r="CY114">
        <v>0</v>
      </c>
      <c r="CZ114">
        <v>7600000000</v>
      </c>
      <c r="DA114">
        <v>8136553666.6666641</v>
      </c>
      <c r="DB114">
        <v>-2903125825.5555482</v>
      </c>
      <c r="DC114">
        <v>7.6</v>
      </c>
      <c r="DD114">
        <v>0</v>
      </c>
      <c r="DE114">
        <v>0</v>
      </c>
      <c r="DF114">
        <v>0</v>
      </c>
      <c r="DG114">
        <v>0</v>
      </c>
      <c r="DH114">
        <v>0</v>
      </c>
      <c r="DI114">
        <v>0</v>
      </c>
      <c r="DJ114" s="500">
        <v>4008500000</v>
      </c>
      <c r="DK114" s="500">
        <v>0</v>
      </c>
      <c r="DL114" s="37">
        <v>4008500000</v>
      </c>
      <c r="DM114" s="37">
        <v>4008500000</v>
      </c>
      <c r="DN114" s="37">
        <v>4008500000</v>
      </c>
      <c r="DO114" s="37">
        <v>4008500000</v>
      </c>
      <c r="DP114" s="32">
        <f>Tradingbook_SBV[[#This Row],[Mat. Date]]-RPT</f>
        <v>-3762</v>
      </c>
      <c r="DQ114" s="32">
        <f>IF(Tradingbook_SBV[[#This Row],[Days]]&lt;=0,0,YEARFRAC(RPT,Tradingbook_SBV[[#This Row],[Mat. Date]],3))</f>
        <v>0</v>
      </c>
      <c r="DR114" s="32">
        <f>IF(Tradingbook_SBV[[#This Row],[Days (year)]]=0,0,INDEX(Ref!$K$2:$K$13,MATCH(Tradingbook_SBV[[#This Row],[Days (year)]],Ref!$I$2:$I$13,1)))</f>
        <v>0</v>
      </c>
      <c r="DS114" s="32" t="str">
        <f>VLOOKUP(Tradingbook_SBV[[#This Row],[Security Name]],Ref!X:Z,3,0)</f>
        <v>TPCP</v>
      </c>
      <c r="DT114" s="32" t="str">
        <f>VLOOKUP(Tradingbook_SBV[[#This Row],[Security Name]],Ref!X:Y,2,0)</f>
        <v>KBNN</v>
      </c>
      <c r="DU114" s="71">
        <f>IF((Tradingbook_SBV[[#This Row],[Mat. Date]]-RPT)&lt;=0,0,Tradingbook_SBV[[#This Row],[QUANTITY]])</f>
        <v>0</v>
      </c>
      <c r="DV114" s="71">
        <f>IF(Tradingbook_SBV[[#This Row],[Quantity_edited]]=0,0,Tradingbook_SBV[[#This Row],[DURATION]])</f>
        <v>0</v>
      </c>
      <c r="DW114" s="71">
        <f>IF(Tradingbook_SBV[[#This Row],[Quantity_edited]]=0,0,Tradingbook_SBV[[#This Row],[Mod Dur]])</f>
        <v>0</v>
      </c>
      <c r="DX114" s="71">
        <f>IF(Tradingbook_SBV[[#This Row],[Quantity_edited]]=0,0,Tradingbook_SBV[[#This Row],[Cnvx.]])</f>
        <v>0</v>
      </c>
      <c r="DY114" s="71">
        <f>(Tradingbook_SBV[[#This Row],[MARKET_VALUE]]+Tradingbook_SBV[[#This Row],[Accr Int]]*Tradingbook_SBV[[#This Row],[Quantity_edited]])*(-Tradingbook_SBV[[#This Row],[Modified Duration]]*0.0001+0.5*Tradingbook_SBV[[#This Row],[Conv]]*(0.0001^2))</f>
        <v>0</v>
      </c>
      <c r="DZ114" s="71">
        <f>(Tradingbook_SBV[[#This Row],[MARKET_VALUE]]+Tradingbook_SBV[[#This Row],[Accr Int]]*Tradingbook_SBV[[#This Row],[Quantity_edited]])*(-Tradingbook_SBV[[#This Row],[Modified Duration]]*0.01+0.5*Tradingbook_SBV[[#This Row],[Conv]]*(0.01^2))</f>
        <v>0</v>
      </c>
      <c r="EC114" t="s">
        <v>166</v>
      </c>
      <c r="ED114" t="s">
        <v>167</v>
      </c>
      <c r="EE114" t="s">
        <v>511</v>
      </c>
      <c r="EF114" t="s">
        <v>169</v>
      </c>
      <c r="EG114" s="35" t="s">
        <v>3752</v>
      </c>
      <c r="EH114" t="s">
        <v>170</v>
      </c>
      <c r="EK114" s="500">
        <v>5000000</v>
      </c>
      <c r="EL114" s="500">
        <v>500000000000</v>
      </c>
      <c r="EM114" s="500">
        <v>98338.555999999997</v>
      </c>
      <c r="EN114" s="500">
        <v>0</v>
      </c>
      <c r="EO114">
        <v>5</v>
      </c>
      <c r="EP114">
        <v>0</v>
      </c>
      <c r="EQ114">
        <v>125000000000</v>
      </c>
      <c r="ER114">
        <v>129529670138.88895</v>
      </c>
      <c r="ES114">
        <v>-45973224663.19474</v>
      </c>
      <c r="ET114">
        <v>5</v>
      </c>
      <c r="EU114">
        <v>0</v>
      </c>
      <c r="EV114">
        <v>0</v>
      </c>
      <c r="EW114">
        <v>0</v>
      </c>
      <c r="EX114">
        <v>0</v>
      </c>
      <c r="EY114">
        <v>0</v>
      </c>
      <c r="EZ114">
        <v>0</v>
      </c>
      <c r="FA114">
        <v>15499999999.999943</v>
      </c>
      <c r="FB114">
        <v>0</v>
      </c>
      <c r="FC114">
        <v>15499999999.999943</v>
      </c>
      <c r="FD114">
        <v>15499999999.999943</v>
      </c>
      <c r="FE114">
        <v>15500000000</v>
      </c>
      <c r="FF114">
        <v>15499999999.999943</v>
      </c>
      <c r="FG114" s="32">
        <f>Bankingbook_SBV[[#This Row],[Mat. Date]]-RPT</f>
        <v>-1358</v>
      </c>
      <c r="FH114" s="32">
        <f>IF(Bankingbook_SBV[[#This Row],[Days]]&lt;=0,0,YEARFRAC(RPT,Bankingbook_SBV[[#This Row],[Mat. Date]],3))</f>
        <v>0</v>
      </c>
      <c r="FI114" s="32">
        <f>IF(Bankingbook_SBV[[#This Row],[Days (year)]]=0,0,INDEX(Ref!$K$2:$K$13,MATCH(Bankingbook_SBV[[#This Row],[Days (year)]],Ref!$I$2:$I$13,1)))</f>
        <v>0</v>
      </c>
      <c r="FJ114" s="32" t="str">
        <f>VLOOKUP(Bankingbook_SBV[[#This Row],[Security Name]],Ref!X:Z,3,0)</f>
        <v>TPCPBL</v>
      </c>
      <c r="FK114" s="32" t="str">
        <f>VLOOKUP(Bankingbook_SBV[[#This Row],[Security Name]],Ref!X:Y,2,0)</f>
        <v>VDB</v>
      </c>
      <c r="FL114" s="72">
        <f>IF((Bankingbook_SBV[[#This Row],[Mat. Date]]-RPT)&lt;=0,0,Bankingbook_SBV[[#This Row],[QUANTITY]])</f>
        <v>0</v>
      </c>
      <c r="FM114" s="32">
        <f>IF(Bankingbook_SBV[[#This Row],[Quantity_edited]]=0,0,Bankingbook_SBV[[#This Row],[DURATION]])</f>
        <v>0</v>
      </c>
      <c r="FN114" s="32">
        <f>IF(Bankingbook_SBV[[#This Row],[Quantity_edited]]=0,0,Bankingbook_SBV[[#This Row],[Mod Dur]])</f>
        <v>0</v>
      </c>
      <c r="FO114" s="32">
        <f>IF(Bankingbook_SBV[[#This Row],[Quantity_edited]]=0,0,Bankingbook_SBV[[#This Row],[Cnvx.]])</f>
        <v>0</v>
      </c>
      <c r="FP114" s="32">
        <f>(Bankingbook_SBV[[#This Row],[MARKET_VALUE]]+Bankingbook_SBV[[#This Row],[Accr Int]]*Bankingbook_SBV[[#This Row],[Quantity_edited]])*(-Bankingbook_SBV[[#This Row],[Modified Duration]]*0.0001+0.5*Bankingbook_SBV[[#This Row],[Conv]]*(0.0001^2))</f>
        <v>0</v>
      </c>
      <c r="FQ114" s="32">
        <f>(Bankingbook_SBV[[#This Row],[MARKET_VALUE]]+Bankingbook_SBV[[#This Row],[Accr Int]]*Bankingbook_SBV[[#This Row],[Quantity_edited]])*(-Bankingbook_SBV[[#This Row],[Modified Duration]]*0.01+0.5*Bankingbook_SBV[[#This Row],[Conv]]*(0.01^2))</f>
        <v>0</v>
      </c>
    </row>
    <row r="115" spans="2:173" x14ac:dyDescent="0.3">
      <c r="B115" t="s">
        <v>166</v>
      </c>
      <c r="C115" t="s">
        <v>167</v>
      </c>
      <c r="D115" t="s">
        <v>291</v>
      </c>
      <c r="E115" t="s">
        <v>169</v>
      </c>
      <c r="F115" s="502">
        <v>42499</v>
      </c>
      <c r="G115" t="s">
        <v>3322</v>
      </c>
      <c r="H115"/>
      <c r="I115"/>
      <c r="J115" s="38">
        <v>0</v>
      </c>
      <c r="K115">
        <v>0</v>
      </c>
      <c r="L115">
        <v>0</v>
      </c>
      <c r="M115" s="38">
        <v>0</v>
      </c>
      <c r="N115">
        <v>13.2</v>
      </c>
      <c r="O115">
        <v>0</v>
      </c>
      <c r="P115" s="37">
        <v>42900000000</v>
      </c>
      <c r="Q115" s="37">
        <v>48057250083.333275</v>
      </c>
      <c r="R115" s="37">
        <v>-26977183062.940617</v>
      </c>
      <c r="S115">
        <v>13.2</v>
      </c>
      <c r="T115" s="70">
        <v>0</v>
      </c>
      <c r="U115">
        <v>0</v>
      </c>
      <c r="V115">
        <v>0</v>
      </c>
      <c r="W115">
        <v>0</v>
      </c>
      <c r="X115" s="38">
        <v>0</v>
      </c>
      <c r="Y115">
        <v>0</v>
      </c>
      <c r="Z115" s="70">
        <v>26843022640</v>
      </c>
      <c r="AA115" s="70">
        <v>0</v>
      </c>
      <c r="AB115" s="70">
        <v>26843022640</v>
      </c>
      <c r="AC115" s="70">
        <v>26843022640</v>
      </c>
      <c r="AD115" s="70">
        <v>26843022640</v>
      </c>
      <c r="AE115" s="70">
        <v>26843022640</v>
      </c>
      <c r="AF115">
        <v>0</v>
      </c>
      <c r="AG115" s="72">
        <f>Tradingbook_MSB[[#This Row],[Mat. Date]]-RPT</f>
        <v>-3753</v>
      </c>
      <c r="AH115" s="71">
        <f>IF(Tradingbook_MSB[[#This Row],[Days]]&lt;=0,0,YEARFRAC(RPT,Tradingbook_MSB[[#This Row],[Mat. Date]],3))</f>
        <v>0</v>
      </c>
      <c r="AI115" s="71">
        <f>IF(Tradingbook_MSB[[#This Row],[Days (year)]]=0,0,INDEX(Ref!$K$2:$K$13,MATCH(Tradingbook_MSB[[#This Row],[Days (year)]],Ref!$I$2:$I$13,1)))</f>
        <v>0</v>
      </c>
      <c r="AJ115" s="120" t="str">
        <f>VLOOKUP(Tradingbook_MSB[[#This Row],[Security Name]],Ref!X:Z,3,0)</f>
        <v>TPCP</v>
      </c>
      <c r="AK115" s="120" t="str">
        <f>VLOOKUP(Tradingbook_MSB[[#This Row],[Security Name]],Ref!X:Y,2,0)</f>
        <v>KBNN</v>
      </c>
      <c r="AL115" s="71">
        <f>IF((Tradingbook_MSB[[#This Row],[Mat. Date]]-RPT)&lt;=0,0,Tradingbook_MSB[[#This Row],[QUANTITY]])</f>
        <v>0</v>
      </c>
      <c r="AM115" s="71">
        <f>IF(Tradingbook_MSB[[#This Row],[Quantity_edited]]=0,0,Tradingbook_MSB[[#This Row],[DURATION]])</f>
        <v>0</v>
      </c>
      <c r="AN115" s="71">
        <f>IF(Tradingbook_MSB[[#This Row],[Quantity_edited]]=0,0,Tradingbook_MSB[[#This Row],[Mod Dur]])</f>
        <v>0</v>
      </c>
      <c r="AO115" s="71">
        <f>IF(Tradingbook_MSB[[#This Row],[Quantity_edited]]=0,0,Tradingbook_MSB[[#This Row],[Cnvx.]])</f>
        <v>0</v>
      </c>
      <c r="AP115" s="71">
        <f>(Tradingbook_MSB[[#This Row],[MARKET_VALUE]]+Tradingbook_MSB[[#This Row],[Accr Int]]*Tradingbook_MSB[[#This Row],[Quantity_edited]])*(-Tradingbook_MSB[[#This Row],[Modified Duration]]*0.0001+0.5*Tradingbook_MSB[[#This Row],[Conv]]*(0.0001^2))</f>
        <v>0</v>
      </c>
      <c r="AQ115" s="72">
        <f>(Tradingbook_MSB[[#This Row],[MARKET_VALUE]]+Tradingbook_MSB[[#This Row],[Accr Int]]*Tradingbook_MSB[[#This Row],[Quantity_edited]])*(-Tradingbook_MSB[[#This Row],[Modified Duration]]*0.01+0.5*Tradingbook_MSB[[#This Row],[Conv]]*(0.01^2))</f>
        <v>0</v>
      </c>
      <c r="AR115" s="71"/>
      <c r="AT115" t="s">
        <v>166</v>
      </c>
      <c r="AU115" t="s">
        <v>3299</v>
      </c>
      <c r="AV115" t="s">
        <v>579</v>
      </c>
      <c r="AW115" t="s">
        <v>169</v>
      </c>
      <c r="AX115" t="s">
        <v>3412</v>
      </c>
      <c r="AY115" t="s">
        <v>3322</v>
      </c>
      <c r="AZ115">
        <v>102262</v>
      </c>
      <c r="BA115">
        <v>102262</v>
      </c>
      <c r="BB115">
        <v>0</v>
      </c>
      <c r="BC115">
        <v>0</v>
      </c>
      <c r="BD115">
        <v>0</v>
      </c>
      <c r="BE115">
        <v>0</v>
      </c>
      <c r="BF115">
        <v>5.9</v>
      </c>
      <c r="BG115">
        <v>4122</v>
      </c>
      <c r="BH115">
        <v>90034000000</v>
      </c>
      <c r="BI115">
        <v>104100448239.72197</v>
      </c>
      <c r="BJ115">
        <v>-28192822598.092247</v>
      </c>
      <c r="BK115">
        <v>4.0604530409999997</v>
      </c>
      <c r="BL115">
        <v>1.1979302658232001</v>
      </c>
      <c r="BM115">
        <v>1.2465716600000001</v>
      </c>
      <c r="BN115">
        <v>2.6340558822393998</v>
      </c>
      <c r="BO115">
        <v>0</v>
      </c>
      <c r="BP115">
        <v>0</v>
      </c>
      <c r="BQ115">
        <v>0</v>
      </c>
      <c r="BR115">
        <v>26489610000</v>
      </c>
      <c r="BS115">
        <v>0</v>
      </c>
      <c r="BT115">
        <v>26489610000</v>
      </c>
      <c r="BU115">
        <v>26489610000</v>
      </c>
      <c r="BV115">
        <v>26489610000</v>
      </c>
      <c r="BW115">
        <v>26489610000</v>
      </c>
      <c r="BX115">
        <v>0</v>
      </c>
      <c r="BY115" s="32">
        <f>Bankingbook_MSB[[#This Row],[Mat. Date]]-RPT</f>
        <v>475</v>
      </c>
      <c r="BZ115" s="71">
        <f>IF(Bankingbook_MSB[[#This Row],[Days]]&lt;=0,0,YEARFRAC(RPT,Bankingbook_MSB[[#This Row],[Mat. Date]],3))</f>
        <v>1.3013698630136987</v>
      </c>
      <c r="CA115" s="71" t="str">
        <f>IF(Bankingbook_MSB[[#This Row],[Days (year)]]=0,0,INDEX(Ref!$K$2:$K$13,MATCH(Bankingbook_MSB[[#This Row],[Days (year)]],Ref!$I$2:$I$13,1)))</f>
        <v>1Y</v>
      </c>
      <c r="CB115" s="32" t="str">
        <f>VLOOKUP(Bankingbook_MSB[[#This Row],[Security Name]],Ref!X:Z,3,0)</f>
        <v>TPCPBL</v>
      </c>
      <c r="CC115" s="32" t="str">
        <f>VLOOKUP(Bankingbook_MSB[[#This Row],[Security Name]],Ref!X:Y,2,0)</f>
        <v>VDB</v>
      </c>
      <c r="CD115" s="72">
        <f>IF((Bankingbook_MSB[[#This Row],[Mat. Date]]-RPT)&lt;=0,0,Bankingbook_MSB[[#This Row],[QUANTITY]])</f>
        <v>0</v>
      </c>
      <c r="CE115" s="71">
        <f>IF(Bankingbook_MSB[[#This Row],[Quantity_edited]]=0,0,Bankingbook_MSB[[#This Row],[DURATION]])</f>
        <v>0</v>
      </c>
      <c r="CF115" s="71">
        <f>IF(Bankingbook_MSB[[#This Row],[Quantity_edited]]=0,0,Bankingbook_MSB[[#This Row],[Mod Dur]])</f>
        <v>0</v>
      </c>
      <c r="CG115" s="71">
        <f>IF(Bankingbook_MSB[[#This Row],[Quantity_edited]]=0,0,Bankingbook_MSB[[#This Row],[Cnvx.]])</f>
        <v>0</v>
      </c>
      <c r="CH115" s="71">
        <f>(Bankingbook_MSB[[#This Row],[MARKET_VALUE]]+Bankingbook_MSB[[#This Row],[Accr Int]]*Bankingbook_MSB[[#This Row],[Quantity_edited]])*(-Bankingbook_MSB[[#This Row],[Modified Duration]]*0.0001+0.5*Bankingbook_MSB[[#This Row],[Conv]]*(0.0001^2))</f>
        <v>0</v>
      </c>
      <c r="CI115" s="71">
        <f>(Bankingbook_MSB[[#This Row],[MARKET_VALUE]]+Bankingbook_MSB[[#This Row],[Accr Int]]*Bankingbook_MSB[[#This Row],[Quantity_edited]])*(-Bankingbook_MSB[[#This Row],[Modified Duration]]*0.01+0.5*Bankingbook_MSB[[#This Row],[Conv]]*(0.01^2))</f>
        <v>0</v>
      </c>
      <c r="CL115" t="s">
        <v>166</v>
      </c>
      <c r="CM115" t="s">
        <v>167</v>
      </c>
      <c r="CN115" t="s">
        <v>291</v>
      </c>
      <c r="CO115" t="s">
        <v>169</v>
      </c>
      <c r="CP115" s="35">
        <v>42499</v>
      </c>
      <c r="CQ115" t="s">
        <v>3322</v>
      </c>
      <c r="CR115" t="s">
        <v>174</v>
      </c>
      <c r="CS115" t="s">
        <v>174</v>
      </c>
      <c r="CT115" s="49">
        <v>0</v>
      </c>
      <c r="CU115">
        <v>0</v>
      </c>
      <c r="CV115">
        <v>0</v>
      </c>
      <c r="CW115" s="70">
        <v>0</v>
      </c>
      <c r="CX115">
        <v>13.2</v>
      </c>
      <c r="CY115">
        <v>0</v>
      </c>
      <c r="CZ115">
        <v>42900000000</v>
      </c>
      <c r="DA115">
        <v>48057250083.333275</v>
      </c>
      <c r="DB115">
        <v>-26977183062.940617</v>
      </c>
      <c r="DC115">
        <v>13.2</v>
      </c>
      <c r="DD115">
        <v>0</v>
      </c>
      <c r="DE115">
        <v>0</v>
      </c>
      <c r="DF115">
        <v>0</v>
      </c>
      <c r="DG115">
        <v>0</v>
      </c>
      <c r="DH115">
        <v>0</v>
      </c>
      <c r="DI115">
        <v>0</v>
      </c>
      <c r="DJ115" s="500">
        <v>26843022640</v>
      </c>
      <c r="DK115" s="500">
        <v>0</v>
      </c>
      <c r="DL115" s="37">
        <v>26843022640</v>
      </c>
      <c r="DM115" s="37">
        <v>26843022640</v>
      </c>
      <c r="DN115" s="37">
        <v>26843022640</v>
      </c>
      <c r="DO115" s="37">
        <v>26843022640</v>
      </c>
      <c r="DP115" s="32">
        <f>Tradingbook_SBV[[#This Row],[Mat. Date]]-RPT</f>
        <v>-3753</v>
      </c>
      <c r="DQ115" s="32">
        <f>IF(Tradingbook_SBV[[#This Row],[Days]]&lt;=0,0,YEARFRAC(RPT,Tradingbook_SBV[[#This Row],[Mat. Date]],3))</f>
        <v>0</v>
      </c>
      <c r="DR115" s="32">
        <f>IF(Tradingbook_SBV[[#This Row],[Days (year)]]=0,0,INDEX(Ref!$K$2:$K$13,MATCH(Tradingbook_SBV[[#This Row],[Days (year)]],Ref!$I$2:$I$13,1)))</f>
        <v>0</v>
      </c>
      <c r="DS115" s="32" t="str">
        <f>VLOOKUP(Tradingbook_SBV[[#This Row],[Security Name]],Ref!X:Z,3,0)</f>
        <v>TPCP</v>
      </c>
      <c r="DT115" s="32" t="str">
        <f>VLOOKUP(Tradingbook_SBV[[#This Row],[Security Name]],Ref!X:Y,2,0)</f>
        <v>KBNN</v>
      </c>
      <c r="DU115" s="71">
        <f>IF((Tradingbook_SBV[[#This Row],[Mat. Date]]-RPT)&lt;=0,0,Tradingbook_SBV[[#This Row],[QUANTITY]])</f>
        <v>0</v>
      </c>
      <c r="DV115" s="71">
        <f>IF(Tradingbook_SBV[[#This Row],[Quantity_edited]]=0,0,Tradingbook_SBV[[#This Row],[DURATION]])</f>
        <v>0</v>
      </c>
      <c r="DW115" s="71">
        <f>IF(Tradingbook_SBV[[#This Row],[Quantity_edited]]=0,0,Tradingbook_SBV[[#This Row],[Mod Dur]])</f>
        <v>0</v>
      </c>
      <c r="DX115" s="71">
        <f>IF(Tradingbook_SBV[[#This Row],[Quantity_edited]]=0,0,Tradingbook_SBV[[#This Row],[Cnvx.]])</f>
        <v>0</v>
      </c>
      <c r="DY115" s="71">
        <f>(Tradingbook_SBV[[#This Row],[MARKET_VALUE]]+Tradingbook_SBV[[#This Row],[Accr Int]]*Tradingbook_SBV[[#This Row],[Quantity_edited]])*(-Tradingbook_SBV[[#This Row],[Modified Duration]]*0.0001+0.5*Tradingbook_SBV[[#This Row],[Conv]]*(0.0001^2))</f>
        <v>0</v>
      </c>
      <c r="DZ115" s="71">
        <f>(Tradingbook_SBV[[#This Row],[MARKET_VALUE]]+Tradingbook_SBV[[#This Row],[Accr Int]]*Tradingbook_SBV[[#This Row],[Quantity_edited]])*(-Tradingbook_SBV[[#This Row],[Modified Duration]]*0.01+0.5*Tradingbook_SBV[[#This Row],[Conv]]*(0.01^2))</f>
        <v>0</v>
      </c>
      <c r="EC115" t="s">
        <v>166</v>
      </c>
      <c r="ED115" t="s">
        <v>167</v>
      </c>
      <c r="EE115" t="s">
        <v>512</v>
      </c>
      <c r="EF115" t="s">
        <v>169</v>
      </c>
      <c r="EG115" s="35" t="s">
        <v>3753</v>
      </c>
      <c r="EH115" t="s">
        <v>3322</v>
      </c>
      <c r="EK115" s="500">
        <v>0</v>
      </c>
      <c r="EL115" s="500">
        <v>0</v>
      </c>
      <c r="EM115" s="500">
        <v>0</v>
      </c>
      <c r="EN115" s="500">
        <v>0</v>
      </c>
      <c r="EO115">
        <v>4.3</v>
      </c>
      <c r="EP115">
        <v>0</v>
      </c>
      <c r="EQ115">
        <v>0</v>
      </c>
      <c r="ER115">
        <v>3.9999999999999998E-6</v>
      </c>
      <c r="ES115">
        <v>-822315638.00005579</v>
      </c>
      <c r="ET115">
        <v>4.3</v>
      </c>
      <c r="EU115">
        <v>0</v>
      </c>
      <c r="EV115">
        <v>0</v>
      </c>
      <c r="EW115">
        <v>0</v>
      </c>
      <c r="EX115">
        <v>0</v>
      </c>
      <c r="EY115">
        <v>0</v>
      </c>
      <c r="EZ115">
        <v>0</v>
      </c>
      <c r="FA115">
        <v>-2023830000</v>
      </c>
      <c r="FB115">
        <v>0</v>
      </c>
      <c r="FC115">
        <v>-2023830000</v>
      </c>
      <c r="FD115">
        <v>-2023830000</v>
      </c>
      <c r="FE115">
        <v>-2023830000</v>
      </c>
      <c r="FF115">
        <v>-2023830000</v>
      </c>
      <c r="FG115" s="32">
        <f>Bankingbook_SBV[[#This Row],[Mat. Date]]-RPT</f>
        <v>-1322</v>
      </c>
      <c r="FH115" s="32">
        <f>IF(Bankingbook_SBV[[#This Row],[Days]]&lt;=0,0,YEARFRAC(RPT,Bankingbook_SBV[[#This Row],[Mat. Date]],3))</f>
        <v>0</v>
      </c>
      <c r="FI115" s="32">
        <f>IF(Bankingbook_SBV[[#This Row],[Days (year)]]=0,0,INDEX(Ref!$K$2:$K$13,MATCH(Bankingbook_SBV[[#This Row],[Days (year)]],Ref!$I$2:$I$13,1)))</f>
        <v>0</v>
      </c>
      <c r="FJ115" s="32" t="str">
        <f>VLOOKUP(Bankingbook_SBV[[#This Row],[Security Name]],Ref!X:Z,3,0)</f>
        <v>TPCP</v>
      </c>
      <c r="FK115" s="32" t="str">
        <f>VLOOKUP(Bankingbook_SBV[[#This Row],[Security Name]],Ref!X:Y,2,0)</f>
        <v>KBNN</v>
      </c>
      <c r="FL115" s="72">
        <f>IF((Bankingbook_SBV[[#This Row],[Mat. Date]]-RPT)&lt;=0,0,Bankingbook_SBV[[#This Row],[QUANTITY]])</f>
        <v>0</v>
      </c>
      <c r="FM115" s="32">
        <f>IF(Bankingbook_SBV[[#This Row],[Quantity_edited]]=0,0,Bankingbook_SBV[[#This Row],[DURATION]])</f>
        <v>0</v>
      </c>
      <c r="FN115" s="32">
        <f>IF(Bankingbook_SBV[[#This Row],[Quantity_edited]]=0,0,Bankingbook_SBV[[#This Row],[Mod Dur]])</f>
        <v>0</v>
      </c>
      <c r="FO115" s="32">
        <f>IF(Bankingbook_SBV[[#This Row],[Quantity_edited]]=0,0,Bankingbook_SBV[[#This Row],[Cnvx.]])</f>
        <v>0</v>
      </c>
      <c r="FP115" s="32">
        <f>(Bankingbook_SBV[[#This Row],[MARKET_VALUE]]+Bankingbook_SBV[[#This Row],[Accr Int]]*Bankingbook_SBV[[#This Row],[Quantity_edited]])*(-Bankingbook_SBV[[#This Row],[Modified Duration]]*0.0001+0.5*Bankingbook_SBV[[#This Row],[Conv]]*(0.0001^2))</f>
        <v>0</v>
      </c>
      <c r="FQ115" s="32">
        <f>(Bankingbook_SBV[[#This Row],[MARKET_VALUE]]+Bankingbook_SBV[[#This Row],[Accr Int]]*Bankingbook_SBV[[#This Row],[Quantity_edited]])*(-Bankingbook_SBV[[#This Row],[Modified Duration]]*0.01+0.5*Bankingbook_SBV[[#This Row],[Conv]]*(0.01^2))</f>
        <v>0</v>
      </c>
    </row>
    <row r="116" spans="2:173" x14ac:dyDescent="0.3">
      <c r="B116" t="s">
        <v>166</v>
      </c>
      <c r="C116" t="s">
        <v>167</v>
      </c>
      <c r="D116" t="s">
        <v>292</v>
      </c>
      <c r="E116" t="s">
        <v>169</v>
      </c>
      <c r="F116" s="502">
        <v>42505</v>
      </c>
      <c r="G116" t="s">
        <v>3322</v>
      </c>
      <c r="H116"/>
      <c r="I116"/>
      <c r="J116" s="38">
        <v>0</v>
      </c>
      <c r="K116">
        <v>0</v>
      </c>
      <c r="L116">
        <v>0</v>
      </c>
      <c r="M116" s="38">
        <v>0</v>
      </c>
      <c r="N116">
        <v>5.5</v>
      </c>
      <c r="O116">
        <v>0</v>
      </c>
      <c r="P116" s="37">
        <v>0</v>
      </c>
      <c r="Q116" s="37">
        <v>-7.9999999999999996E-6</v>
      </c>
      <c r="R116" s="37">
        <v>-412045996.35905075</v>
      </c>
      <c r="S116">
        <v>5.5</v>
      </c>
      <c r="T116" s="70">
        <v>0</v>
      </c>
      <c r="U116">
        <v>0</v>
      </c>
      <c r="V116">
        <v>0</v>
      </c>
      <c r="W116">
        <v>0</v>
      </c>
      <c r="X116" s="38">
        <v>0</v>
      </c>
      <c r="Y116">
        <v>0</v>
      </c>
      <c r="Z116" s="70">
        <v>193966668</v>
      </c>
      <c r="AA116" s="70">
        <v>0</v>
      </c>
      <c r="AB116" s="70">
        <v>193966668</v>
      </c>
      <c r="AC116" s="70">
        <v>193966668</v>
      </c>
      <c r="AD116" s="70">
        <v>193966668</v>
      </c>
      <c r="AE116" s="70">
        <v>193966668</v>
      </c>
      <c r="AF116">
        <v>0</v>
      </c>
      <c r="AG116" s="72">
        <f>Tradingbook_MSB[[#This Row],[Mat. Date]]-RPT</f>
        <v>-3747</v>
      </c>
      <c r="AH116" s="71">
        <f>IF(Tradingbook_MSB[[#This Row],[Days]]&lt;=0,0,YEARFRAC(RPT,Tradingbook_MSB[[#This Row],[Mat. Date]],3))</f>
        <v>0</v>
      </c>
      <c r="AI116" s="71">
        <f>IF(Tradingbook_MSB[[#This Row],[Days (year)]]=0,0,INDEX(Ref!$K$2:$K$13,MATCH(Tradingbook_MSB[[#This Row],[Days (year)]],Ref!$I$2:$I$13,1)))</f>
        <v>0</v>
      </c>
      <c r="AJ116" s="120" t="str">
        <f>VLOOKUP(Tradingbook_MSB[[#This Row],[Security Name]],Ref!X:Z,3,0)</f>
        <v>TPCP</v>
      </c>
      <c r="AK116" s="120" t="str">
        <f>VLOOKUP(Tradingbook_MSB[[#This Row],[Security Name]],Ref!X:Y,2,0)</f>
        <v>KBNN</v>
      </c>
      <c r="AL116" s="71">
        <f>IF((Tradingbook_MSB[[#This Row],[Mat. Date]]-RPT)&lt;=0,0,Tradingbook_MSB[[#This Row],[QUANTITY]])</f>
        <v>0</v>
      </c>
      <c r="AM116" s="71">
        <f>IF(Tradingbook_MSB[[#This Row],[Quantity_edited]]=0,0,Tradingbook_MSB[[#This Row],[DURATION]])</f>
        <v>0</v>
      </c>
      <c r="AN116" s="71">
        <f>IF(Tradingbook_MSB[[#This Row],[Quantity_edited]]=0,0,Tradingbook_MSB[[#This Row],[Mod Dur]])</f>
        <v>0</v>
      </c>
      <c r="AO116" s="71">
        <f>IF(Tradingbook_MSB[[#This Row],[Quantity_edited]]=0,0,Tradingbook_MSB[[#This Row],[Cnvx.]])</f>
        <v>0</v>
      </c>
      <c r="AP116" s="71">
        <f>(Tradingbook_MSB[[#This Row],[MARKET_VALUE]]+Tradingbook_MSB[[#This Row],[Accr Int]]*Tradingbook_MSB[[#This Row],[Quantity_edited]])*(-Tradingbook_MSB[[#This Row],[Modified Duration]]*0.0001+0.5*Tradingbook_MSB[[#This Row],[Conv]]*(0.0001^2))</f>
        <v>0</v>
      </c>
      <c r="AQ116" s="72">
        <f>(Tradingbook_MSB[[#This Row],[MARKET_VALUE]]+Tradingbook_MSB[[#This Row],[Accr Int]]*Tradingbook_MSB[[#This Row],[Quantity_edited]])*(-Tradingbook_MSB[[#This Row],[Modified Duration]]*0.01+0.5*Tradingbook_MSB[[#This Row],[Conv]]*(0.01^2))</f>
        <v>0</v>
      </c>
      <c r="AR116" s="71"/>
      <c r="AT116" t="s">
        <v>166</v>
      </c>
      <c r="AU116" t="s">
        <v>3299</v>
      </c>
      <c r="AV116" t="s">
        <v>581</v>
      </c>
      <c r="AW116" t="s">
        <v>169</v>
      </c>
      <c r="AX116" t="s">
        <v>3413</v>
      </c>
      <c r="AY116" t="s">
        <v>3322</v>
      </c>
      <c r="AZ116">
        <v>101001</v>
      </c>
      <c r="BA116">
        <v>101001</v>
      </c>
      <c r="BB116">
        <v>0</v>
      </c>
      <c r="BC116">
        <v>0</v>
      </c>
      <c r="BD116">
        <v>0</v>
      </c>
      <c r="BE116">
        <v>0</v>
      </c>
      <c r="BF116">
        <v>4.3</v>
      </c>
      <c r="BG116">
        <v>2250</v>
      </c>
      <c r="BH116">
        <v>21500000000</v>
      </c>
      <c r="BI116">
        <v>24498129611.111053</v>
      </c>
      <c r="BJ116">
        <v>-9261381388.8886108</v>
      </c>
      <c r="BK116">
        <v>3.578772995</v>
      </c>
      <c r="BL116">
        <v>1.3861512993239999</v>
      </c>
      <c r="BM116">
        <v>1.4357585100000001</v>
      </c>
      <c r="BN116">
        <v>3.2962828893601999</v>
      </c>
      <c r="BO116">
        <v>0</v>
      </c>
      <c r="BP116">
        <v>0</v>
      </c>
      <c r="BQ116">
        <v>0</v>
      </c>
      <c r="BR116">
        <v>2131000000</v>
      </c>
      <c r="BS116">
        <v>0</v>
      </c>
      <c r="BT116">
        <v>2131000000</v>
      </c>
      <c r="BU116">
        <v>2131000000</v>
      </c>
      <c r="BV116">
        <v>2131000000</v>
      </c>
      <c r="BW116">
        <v>2131000000</v>
      </c>
      <c r="BX116">
        <v>0</v>
      </c>
      <c r="BY116" s="32">
        <f>Bankingbook_MSB[[#This Row],[Mat. Date]]-RPT</f>
        <v>539</v>
      </c>
      <c r="BZ116" s="71">
        <f>IF(Bankingbook_MSB[[#This Row],[Days]]&lt;=0,0,YEARFRAC(RPT,Bankingbook_MSB[[#This Row],[Mat. Date]],3))</f>
        <v>1.4767123287671233</v>
      </c>
      <c r="CA116" s="71" t="str">
        <f>IF(Bankingbook_MSB[[#This Row],[Days (year)]]=0,0,INDEX(Ref!$K$2:$K$13,MATCH(Bankingbook_MSB[[#This Row],[Days (year)]],Ref!$I$2:$I$13,1)))</f>
        <v>1Y</v>
      </c>
      <c r="CB116" s="32" t="str">
        <f>VLOOKUP(Bankingbook_MSB[[#This Row],[Security Name]],Ref!X:Z,3,0)</f>
        <v>TPCP</v>
      </c>
      <c r="CC116" s="32" t="str">
        <f>VLOOKUP(Bankingbook_MSB[[#This Row],[Security Name]],Ref!X:Y,2,0)</f>
        <v>KBNN</v>
      </c>
      <c r="CD116" s="72">
        <f>IF((Bankingbook_MSB[[#This Row],[Mat. Date]]-RPT)&lt;=0,0,Bankingbook_MSB[[#This Row],[QUANTITY]])</f>
        <v>0</v>
      </c>
      <c r="CE116" s="71">
        <f>IF(Bankingbook_MSB[[#This Row],[Quantity_edited]]=0,0,Bankingbook_MSB[[#This Row],[DURATION]])</f>
        <v>0</v>
      </c>
      <c r="CF116" s="71">
        <f>IF(Bankingbook_MSB[[#This Row],[Quantity_edited]]=0,0,Bankingbook_MSB[[#This Row],[Mod Dur]])</f>
        <v>0</v>
      </c>
      <c r="CG116" s="71">
        <f>IF(Bankingbook_MSB[[#This Row],[Quantity_edited]]=0,0,Bankingbook_MSB[[#This Row],[Cnvx.]])</f>
        <v>0</v>
      </c>
      <c r="CH116" s="71">
        <f>(Bankingbook_MSB[[#This Row],[MARKET_VALUE]]+Bankingbook_MSB[[#This Row],[Accr Int]]*Bankingbook_MSB[[#This Row],[Quantity_edited]])*(-Bankingbook_MSB[[#This Row],[Modified Duration]]*0.0001+0.5*Bankingbook_MSB[[#This Row],[Conv]]*(0.0001^2))</f>
        <v>0</v>
      </c>
      <c r="CI116" s="71">
        <f>(Bankingbook_MSB[[#This Row],[MARKET_VALUE]]+Bankingbook_MSB[[#This Row],[Accr Int]]*Bankingbook_MSB[[#This Row],[Quantity_edited]])*(-Bankingbook_MSB[[#This Row],[Modified Duration]]*0.01+0.5*Bankingbook_MSB[[#This Row],[Conv]]*(0.01^2))</f>
        <v>0</v>
      </c>
      <c r="CL116" t="s">
        <v>166</v>
      </c>
      <c r="CM116" t="s">
        <v>167</v>
      </c>
      <c r="CN116" t="s">
        <v>292</v>
      </c>
      <c r="CO116" t="s">
        <v>169</v>
      </c>
      <c r="CP116" s="35">
        <v>42505</v>
      </c>
      <c r="CQ116" t="s">
        <v>3322</v>
      </c>
      <c r="CR116" t="s">
        <v>174</v>
      </c>
      <c r="CS116" t="s">
        <v>174</v>
      </c>
      <c r="CT116" s="49">
        <v>0</v>
      </c>
      <c r="CU116">
        <v>0</v>
      </c>
      <c r="CV116">
        <v>0</v>
      </c>
      <c r="CW116" s="70">
        <v>0</v>
      </c>
      <c r="CX116">
        <v>5.5</v>
      </c>
      <c r="CY116">
        <v>0</v>
      </c>
      <c r="CZ116">
        <v>0</v>
      </c>
      <c r="DA116">
        <v>-7.9999999999999996E-6</v>
      </c>
      <c r="DB116">
        <v>-412045996.35905075</v>
      </c>
      <c r="DC116">
        <v>5.5</v>
      </c>
      <c r="DD116">
        <v>0</v>
      </c>
      <c r="DE116">
        <v>0</v>
      </c>
      <c r="DF116">
        <v>0</v>
      </c>
      <c r="DG116">
        <v>0</v>
      </c>
      <c r="DH116">
        <v>0</v>
      </c>
      <c r="DI116">
        <v>0</v>
      </c>
      <c r="DJ116" s="500">
        <v>193966668</v>
      </c>
      <c r="DK116" s="500">
        <v>0</v>
      </c>
      <c r="DL116" s="37">
        <v>193966668</v>
      </c>
      <c r="DM116" s="37">
        <v>193966668</v>
      </c>
      <c r="DN116" s="37">
        <v>193966668</v>
      </c>
      <c r="DO116" s="37">
        <v>193966668</v>
      </c>
      <c r="DP116" s="32">
        <f>Tradingbook_SBV[[#This Row],[Mat. Date]]-RPT</f>
        <v>-3747</v>
      </c>
      <c r="DQ116" s="32">
        <f>IF(Tradingbook_SBV[[#This Row],[Days]]&lt;=0,0,YEARFRAC(RPT,Tradingbook_SBV[[#This Row],[Mat. Date]],3))</f>
        <v>0</v>
      </c>
      <c r="DR116" s="32">
        <f>IF(Tradingbook_SBV[[#This Row],[Days (year)]]=0,0,INDEX(Ref!$K$2:$K$13,MATCH(Tradingbook_SBV[[#This Row],[Days (year)]],Ref!$I$2:$I$13,1)))</f>
        <v>0</v>
      </c>
      <c r="DS116" s="32" t="str">
        <f>VLOOKUP(Tradingbook_SBV[[#This Row],[Security Name]],Ref!X:Z,3,0)</f>
        <v>TPCP</v>
      </c>
      <c r="DT116" s="32" t="str">
        <f>VLOOKUP(Tradingbook_SBV[[#This Row],[Security Name]],Ref!X:Y,2,0)</f>
        <v>KBNN</v>
      </c>
      <c r="DU116" s="71">
        <f>IF((Tradingbook_SBV[[#This Row],[Mat. Date]]-RPT)&lt;=0,0,Tradingbook_SBV[[#This Row],[QUANTITY]])</f>
        <v>0</v>
      </c>
      <c r="DV116" s="71">
        <f>IF(Tradingbook_SBV[[#This Row],[Quantity_edited]]=0,0,Tradingbook_SBV[[#This Row],[DURATION]])</f>
        <v>0</v>
      </c>
      <c r="DW116" s="71">
        <f>IF(Tradingbook_SBV[[#This Row],[Quantity_edited]]=0,0,Tradingbook_SBV[[#This Row],[Mod Dur]])</f>
        <v>0</v>
      </c>
      <c r="DX116" s="71">
        <f>IF(Tradingbook_SBV[[#This Row],[Quantity_edited]]=0,0,Tradingbook_SBV[[#This Row],[Cnvx.]])</f>
        <v>0</v>
      </c>
      <c r="DY116" s="71">
        <f>(Tradingbook_SBV[[#This Row],[MARKET_VALUE]]+Tradingbook_SBV[[#This Row],[Accr Int]]*Tradingbook_SBV[[#This Row],[Quantity_edited]])*(-Tradingbook_SBV[[#This Row],[Modified Duration]]*0.0001+0.5*Tradingbook_SBV[[#This Row],[Conv]]*(0.0001^2))</f>
        <v>0</v>
      </c>
      <c r="DZ116" s="71">
        <f>(Tradingbook_SBV[[#This Row],[MARKET_VALUE]]+Tradingbook_SBV[[#This Row],[Accr Int]]*Tradingbook_SBV[[#This Row],[Quantity_edited]])*(-Tradingbook_SBV[[#This Row],[Modified Duration]]*0.01+0.5*Tradingbook_SBV[[#This Row],[Conv]]*(0.01^2))</f>
        <v>0</v>
      </c>
      <c r="EC116" t="s">
        <v>166</v>
      </c>
      <c r="ED116" t="s">
        <v>167</v>
      </c>
      <c r="EE116" t="s">
        <v>2370</v>
      </c>
      <c r="EF116" t="s">
        <v>169</v>
      </c>
      <c r="EG116" s="35" t="s">
        <v>3391</v>
      </c>
      <c r="EH116" t="s">
        <v>170</v>
      </c>
      <c r="EK116" s="500">
        <v>4000000</v>
      </c>
      <c r="EL116" s="500">
        <v>400000000000</v>
      </c>
      <c r="EM116" s="500">
        <v>99893.892999999996</v>
      </c>
      <c r="EN116" s="500">
        <v>0</v>
      </c>
      <c r="EO116">
        <v>0</v>
      </c>
      <c r="EP116">
        <v>0</v>
      </c>
      <c r="EQ116">
        <v>0</v>
      </c>
      <c r="ER116">
        <v>0</v>
      </c>
      <c r="ES116">
        <v>-377376929.04027778</v>
      </c>
      <c r="ET116">
        <v>0</v>
      </c>
      <c r="EU116">
        <v>0</v>
      </c>
      <c r="EV116">
        <v>0</v>
      </c>
      <c r="EW116">
        <v>0</v>
      </c>
      <c r="EX116">
        <v>0</v>
      </c>
      <c r="EY116">
        <v>0</v>
      </c>
      <c r="EZ116">
        <v>0</v>
      </c>
      <c r="FA116">
        <v>424428075.31997097</v>
      </c>
      <c r="FB116">
        <v>0</v>
      </c>
      <c r="FC116">
        <v>424428075.31997102</v>
      </c>
      <c r="FD116">
        <v>424428075.31997102</v>
      </c>
      <c r="FE116">
        <v>424428075.31999999</v>
      </c>
      <c r="FF116">
        <v>424428075.31997102</v>
      </c>
      <c r="FG116" s="32">
        <f>Bankingbook_SBV[[#This Row],[Mat. Date]]-RPT</f>
        <v>-1309</v>
      </c>
      <c r="FH116" s="32">
        <f>IF(Bankingbook_SBV[[#This Row],[Days]]&lt;=0,0,YEARFRAC(RPT,Bankingbook_SBV[[#This Row],[Mat. Date]],3))</f>
        <v>0</v>
      </c>
      <c r="FI116" s="32">
        <f>IF(Bankingbook_SBV[[#This Row],[Days (year)]]=0,0,INDEX(Ref!$K$2:$K$13,MATCH(Bankingbook_SBV[[#This Row],[Days (year)]],Ref!$I$2:$I$13,1)))</f>
        <v>0</v>
      </c>
      <c r="FJ116" s="32" t="str">
        <f>VLOOKUP(Bankingbook_SBV[[#This Row],[Security Name]],Ref!X:Z,3,0)</f>
        <v>TPNHNN</v>
      </c>
      <c r="FK116" s="32" t="str">
        <f>VLOOKUP(Bankingbook_SBV[[#This Row],[Security Name]],Ref!X:Y,2,0)</f>
        <v>SBV</v>
      </c>
      <c r="FL116" s="72">
        <f>IF((Bankingbook_SBV[[#This Row],[Mat. Date]]-RPT)&lt;=0,0,Bankingbook_SBV[[#This Row],[QUANTITY]])</f>
        <v>0</v>
      </c>
      <c r="FM116" s="32">
        <f>IF(Bankingbook_SBV[[#This Row],[Quantity_edited]]=0,0,Bankingbook_SBV[[#This Row],[DURATION]])</f>
        <v>0</v>
      </c>
      <c r="FN116" s="32">
        <f>IF(Bankingbook_SBV[[#This Row],[Quantity_edited]]=0,0,Bankingbook_SBV[[#This Row],[Mod Dur]])</f>
        <v>0</v>
      </c>
      <c r="FO116" s="32">
        <f>IF(Bankingbook_SBV[[#This Row],[Quantity_edited]]=0,0,Bankingbook_SBV[[#This Row],[Cnvx.]])</f>
        <v>0</v>
      </c>
      <c r="FP116" s="32">
        <f>(Bankingbook_SBV[[#This Row],[MARKET_VALUE]]+Bankingbook_SBV[[#This Row],[Accr Int]]*Bankingbook_SBV[[#This Row],[Quantity_edited]])*(-Bankingbook_SBV[[#This Row],[Modified Duration]]*0.0001+0.5*Bankingbook_SBV[[#This Row],[Conv]]*(0.0001^2))</f>
        <v>0</v>
      </c>
      <c r="FQ116" s="32">
        <f>(Bankingbook_SBV[[#This Row],[MARKET_VALUE]]+Bankingbook_SBV[[#This Row],[Accr Int]]*Bankingbook_SBV[[#This Row],[Quantity_edited]])*(-Bankingbook_SBV[[#This Row],[Modified Duration]]*0.01+0.5*Bankingbook_SBV[[#This Row],[Conv]]*(0.01^2))</f>
        <v>0</v>
      </c>
    </row>
    <row r="117" spans="2:173" x14ac:dyDescent="0.3">
      <c r="B117" t="s">
        <v>166</v>
      </c>
      <c r="C117" t="s">
        <v>167</v>
      </c>
      <c r="D117" t="s">
        <v>293</v>
      </c>
      <c r="E117" t="s">
        <v>169</v>
      </c>
      <c r="F117" s="502">
        <v>42507</v>
      </c>
      <c r="G117" t="s">
        <v>3322</v>
      </c>
      <c r="H117"/>
      <c r="I117"/>
      <c r="J117" s="38">
        <v>0</v>
      </c>
      <c r="K117">
        <v>0</v>
      </c>
      <c r="L117">
        <v>0</v>
      </c>
      <c r="M117" s="38">
        <v>0</v>
      </c>
      <c r="N117">
        <v>8.6999999999999993</v>
      </c>
      <c r="O117">
        <v>0</v>
      </c>
      <c r="P117" s="37">
        <v>17400000000</v>
      </c>
      <c r="Q117" s="37">
        <v>18637778000</v>
      </c>
      <c r="R117" s="37">
        <v>-10586165658.888844</v>
      </c>
      <c r="S117">
        <v>8.6999999999999993</v>
      </c>
      <c r="T117" s="70">
        <v>0</v>
      </c>
      <c r="U117">
        <v>0</v>
      </c>
      <c r="V117">
        <v>0</v>
      </c>
      <c r="W117">
        <v>0</v>
      </c>
      <c r="X117" s="38">
        <v>0</v>
      </c>
      <c r="Y117">
        <v>0</v>
      </c>
      <c r="Z117" s="70">
        <v>9333000000</v>
      </c>
      <c r="AA117" s="70">
        <v>0</v>
      </c>
      <c r="AB117" s="70">
        <v>9333000000</v>
      </c>
      <c r="AC117" s="70">
        <v>9333000000</v>
      </c>
      <c r="AD117" s="70">
        <v>9333000000</v>
      </c>
      <c r="AE117" s="70">
        <v>9333000000</v>
      </c>
      <c r="AF117">
        <v>0</v>
      </c>
      <c r="AG117" s="72">
        <f>Tradingbook_MSB[[#This Row],[Mat. Date]]-RPT</f>
        <v>-3745</v>
      </c>
      <c r="AH117" s="71">
        <f>IF(Tradingbook_MSB[[#This Row],[Days]]&lt;=0,0,YEARFRAC(RPT,Tradingbook_MSB[[#This Row],[Mat. Date]],3))</f>
        <v>0</v>
      </c>
      <c r="AI117" s="71">
        <f>IF(Tradingbook_MSB[[#This Row],[Days (year)]]=0,0,INDEX(Ref!$K$2:$K$13,MATCH(Tradingbook_MSB[[#This Row],[Days (year)]],Ref!$I$2:$I$13,1)))</f>
        <v>0</v>
      </c>
      <c r="AJ117" s="120" t="str">
        <f>VLOOKUP(Tradingbook_MSB[[#This Row],[Security Name]],Ref!X:Z,3,0)</f>
        <v>TPCPBL</v>
      </c>
      <c r="AK117" s="120" t="str">
        <f>VLOOKUP(Tradingbook_MSB[[#This Row],[Security Name]],Ref!X:Y,2,0)</f>
        <v>VDB</v>
      </c>
      <c r="AL117" s="71">
        <f>IF((Tradingbook_MSB[[#This Row],[Mat. Date]]-RPT)&lt;=0,0,Tradingbook_MSB[[#This Row],[QUANTITY]])</f>
        <v>0</v>
      </c>
      <c r="AM117" s="71">
        <f>IF(Tradingbook_MSB[[#This Row],[Quantity_edited]]=0,0,Tradingbook_MSB[[#This Row],[DURATION]])</f>
        <v>0</v>
      </c>
      <c r="AN117" s="71">
        <f>IF(Tradingbook_MSB[[#This Row],[Quantity_edited]]=0,0,Tradingbook_MSB[[#This Row],[Mod Dur]])</f>
        <v>0</v>
      </c>
      <c r="AO117" s="71">
        <f>IF(Tradingbook_MSB[[#This Row],[Quantity_edited]]=0,0,Tradingbook_MSB[[#This Row],[Cnvx.]])</f>
        <v>0</v>
      </c>
      <c r="AP117" s="71">
        <f>(Tradingbook_MSB[[#This Row],[MARKET_VALUE]]+Tradingbook_MSB[[#This Row],[Accr Int]]*Tradingbook_MSB[[#This Row],[Quantity_edited]])*(-Tradingbook_MSB[[#This Row],[Modified Duration]]*0.0001+0.5*Tradingbook_MSB[[#This Row],[Conv]]*(0.0001^2))</f>
        <v>0</v>
      </c>
      <c r="AQ117" s="72">
        <f>(Tradingbook_MSB[[#This Row],[MARKET_VALUE]]+Tradingbook_MSB[[#This Row],[Accr Int]]*Tradingbook_MSB[[#This Row],[Quantity_edited]])*(-Tradingbook_MSB[[#This Row],[Modified Duration]]*0.01+0.5*Tradingbook_MSB[[#This Row],[Conv]]*(0.01^2))</f>
        <v>0</v>
      </c>
      <c r="AR117" s="71"/>
      <c r="AT117" t="s">
        <v>166</v>
      </c>
      <c r="AU117" t="s">
        <v>3299</v>
      </c>
      <c r="AV117" t="s">
        <v>2773</v>
      </c>
      <c r="AW117" t="s">
        <v>169</v>
      </c>
      <c r="AX117" t="s">
        <v>2776</v>
      </c>
      <c r="AY117" t="s">
        <v>170</v>
      </c>
      <c r="AZ117">
        <v>96319</v>
      </c>
      <c r="BA117">
        <v>96319</v>
      </c>
      <c r="BB117">
        <v>5000000</v>
      </c>
      <c r="BC117">
        <v>500000000000</v>
      </c>
      <c r="BD117">
        <v>100918</v>
      </c>
      <c r="BE117">
        <v>481595000000</v>
      </c>
      <c r="BF117">
        <v>2.4</v>
      </c>
      <c r="BG117">
        <v>1821</v>
      </c>
      <c r="BH117">
        <v>24000000000</v>
      </c>
      <c r="BI117">
        <v>25569633333.333351</v>
      </c>
      <c r="BJ117">
        <v>-50605800791.666664</v>
      </c>
      <c r="BK117">
        <v>4.1497937489999996</v>
      </c>
      <c r="BL117">
        <v>2.0829727964862998</v>
      </c>
      <c r="BM117">
        <v>2.1694118699999998</v>
      </c>
      <c r="BN117">
        <v>6.4447515949219998</v>
      </c>
      <c r="BO117">
        <v>31624.396076282399</v>
      </c>
      <c r="BP117">
        <v>-102211.475123585</v>
      </c>
      <c r="BQ117">
        <v>54665.682000000001</v>
      </c>
      <c r="BR117">
        <v>0</v>
      </c>
      <c r="BS117">
        <v>-22995000000</v>
      </c>
      <c r="BT117">
        <v>-22995000000</v>
      </c>
      <c r="BU117">
        <v>-22995000000</v>
      </c>
      <c r="BV117">
        <v>-22995000000</v>
      </c>
      <c r="BW117">
        <v>-22995000000</v>
      </c>
      <c r="BX117">
        <v>2.199898321</v>
      </c>
      <c r="BY117" s="32">
        <f>Bankingbook_MSB[[#This Row],[Mat. Date]]-RPT</f>
        <v>819</v>
      </c>
      <c r="BZ117" s="71">
        <f>IF(Bankingbook_MSB[[#This Row],[Days]]&lt;=0,0,YEARFRAC(RPT,Bankingbook_MSB[[#This Row],[Mat. Date]],3))</f>
        <v>2.2438356164383562</v>
      </c>
      <c r="CA117" s="71" t="str">
        <f>IF(Bankingbook_MSB[[#This Row],[Days (year)]]=0,0,INDEX(Ref!$K$2:$K$13,MATCH(Bankingbook_MSB[[#This Row],[Days (year)]],Ref!$I$2:$I$13,1)))</f>
        <v>2Y</v>
      </c>
      <c r="CB117" s="32" t="str">
        <f>VLOOKUP(Bankingbook_MSB[[#This Row],[Security Name]],Ref!X:Z,3,0)</f>
        <v>TPCPBL</v>
      </c>
      <c r="CC117" s="32" t="str">
        <f>VLOOKUP(Bankingbook_MSB[[#This Row],[Security Name]],Ref!X:Y,2,0)</f>
        <v>VBS</v>
      </c>
      <c r="CD117" s="72">
        <f>IF((Bankingbook_MSB[[#This Row],[Mat. Date]]-RPT)&lt;=0,0,Bankingbook_MSB[[#This Row],[QUANTITY]])</f>
        <v>5000000</v>
      </c>
      <c r="CE117" s="71">
        <f>IF(Bankingbook_MSB[[#This Row],[Quantity_edited]]=0,0,Bankingbook_MSB[[#This Row],[DURATION]])</f>
        <v>2.1694118699999998</v>
      </c>
      <c r="CF117" s="71">
        <f>IF(Bankingbook_MSB[[#This Row],[Quantity_edited]]=0,0,Bankingbook_MSB[[#This Row],[Mod Dur]])</f>
        <v>2.0829727964862998</v>
      </c>
      <c r="CG117" s="71">
        <f>IF(Bankingbook_MSB[[#This Row],[Quantity_edited]]=0,0,Bankingbook_MSB[[#This Row],[Cnvx.]])</f>
        <v>6.4447515949219998</v>
      </c>
      <c r="CH117" s="71">
        <f>(Bankingbook_MSB[[#This Row],[MARKET_VALUE]]+Bankingbook_MSB[[#This Row],[Accr Int]]*Bankingbook_MSB[[#This Row],[Quantity_edited]])*(-Bankingbook_MSB[[#This Row],[Modified Duration]]*0.0001+0.5*Bankingbook_MSB[[#This Row],[Conv]]*(0.0001^2))</f>
        <v>-102195662.92554459</v>
      </c>
      <c r="CI117" s="71">
        <f>(Bankingbook_MSB[[#This Row],[MARKET_VALUE]]+Bankingbook_MSB[[#This Row],[Accr Int]]*Bankingbook_MSB[[#This Row],[Quantity_edited]])*(-Bankingbook_MSB[[#This Row],[Modified Duration]]*0.01+0.5*Bankingbook_MSB[[#This Row],[Conv]]*(0.01^2))</f>
        <v>-10063025531.976862</v>
      </c>
      <c r="CL117" t="s">
        <v>166</v>
      </c>
      <c r="CM117" t="s">
        <v>167</v>
      </c>
      <c r="CN117" t="s">
        <v>293</v>
      </c>
      <c r="CO117" t="s">
        <v>169</v>
      </c>
      <c r="CP117" s="35">
        <v>42507</v>
      </c>
      <c r="CQ117" t="s">
        <v>3322</v>
      </c>
      <c r="CR117" t="s">
        <v>174</v>
      </c>
      <c r="CS117" t="s">
        <v>174</v>
      </c>
      <c r="CT117" s="49">
        <v>0</v>
      </c>
      <c r="CU117">
        <v>0</v>
      </c>
      <c r="CV117">
        <v>0</v>
      </c>
      <c r="CW117" s="70">
        <v>0</v>
      </c>
      <c r="CX117">
        <v>8.6999999999999993</v>
      </c>
      <c r="CY117">
        <v>0</v>
      </c>
      <c r="CZ117">
        <v>17400000000</v>
      </c>
      <c r="DA117">
        <v>18637778000</v>
      </c>
      <c r="DB117">
        <v>-10586165658.888844</v>
      </c>
      <c r="DC117">
        <v>8.6999999999999993</v>
      </c>
      <c r="DD117">
        <v>0</v>
      </c>
      <c r="DE117">
        <v>0</v>
      </c>
      <c r="DF117">
        <v>0</v>
      </c>
      <c r="DG117">
        <v>0</v>
      </c>
      <c r="DH117">
        <v>0</v>
      </c>
      <c r="DI117">
        <v>0</v>
      </c>
      <c r="DJ117" s="500">
        <v>9333000000</v>
      </c>
      <c r="DK117" s="500">
        <v>0</v>
      </c>
      <c r="DL117" s="37">
        <v>9333000000</v>
      </c>
      <c r="DM117" s="37">
        <v>9333000000</v>
      </c>
      <c r="DN117" s="37">
        <v>9333000000</v>
      </c>
      <c r="DO117" s="37">
        <v>9333000000</v>
      </c>
      <c r="DP117" s="32">
        <f>Tradingbook_SBV[[#This Row],[Mat. Date]]-RPT</f>
        <v>-3745</v>
      </c>
      <c r="DQ117" s="32">
        <f>IF(Tradingbook_SBV[[#This Row],[Days]]&lt;=0,0,YEARFRAC(RPT,Tradingbook_SBV[[#This Row],[Mat. Date]],3))</f>
        <v>0</v>
      </c>
      <c r="DR117" s="32">
        <f>IF(Tradingbook_SBV[[#This Row],[Days (year)]]=0,0,INDEX(Ref!$K$2:$K$13,MATCH(Tradingbook_SBV[[#This Row],[Days (year)]],Ref!$I$2:$I$13,1)))</f>
        <v>0</v>
      </c>
      <c r="DS117" s="32" t="str">
        <f>VLOOKUP(Tradingbook_SBV[[#This Row],[Security Name]],Ref!X:Z,3,0)</f>
        <v>TPCPBL</v>
      </c>
      <c r="DT117" s="32" t="str">
        <f>VLOOKUP(Tradingbook_SBV[[#This Row],[Security Name]],Ref!X:Y,2,0)</f>
        <v>VDB</v>
      </c>
      <c r="DU117" s="71">
        <f>IF((Tradingbook_SBV[[#This Row],[Mat. Date]]-RPT)&lt;=0,0,Tradingbook_SBV[[#This Row],[QUANTITY]])</f>
        <v>0</v>
      </c>
      <c r="DV117" s="71">
        <f>IF(Tradingbook_SBV[[#This Row],[Quantity_edited]]=0,0,Tradingbook_SBV[[#This Row],[DURATION]])</f>
        <v>0</v>
      </c>
      <c r="DW117" s="71">
        <f>IF(Tradingbook_SBV[[#This Row],[Quantity_edited]]=0,0,Tradingbook_SBV[[#This Row],[Mod Dur]])</f>
        <v>0</v>
      </c>
      <c r="DX117" s="71">
        <f>IF(Tradingbook_SBV[[#This Row],[Quantity_edited]]=0,0,Tradingbook_SBV[[#This Row],[Cnvx.]])</f>
        <v>0</v>
      </c>
      <c r="DY117" s="71">
        <f>(Tradingbook_SBV[[#This Row],[MARKET_VALUE]]+Tradingbook_SBV[[#This Row],[Accr Int]]*Tradingbook_SBV[[#This Row],[Quantity_edited]])*(-Tradingbook_SBV[[#This Row],[Modified Duration]]*0.0001+0.5*Tradingbook_SBV[[#This Row],[Conv]]*(0.0001^2))</f>
        <v>0</v>
      </c>
      <c r="DZ117" s="71">
        <f>(Tradingbook_SBV[[#This Row],[MARKET_VALUE]]+Tradingbook_SBV[[#This Row],[Accr Int]]*Tradingbook_SBV[[#This Row],[Quantity_edited]])*(-Tradingbook_SBV[[#This Row],[Modified Duration]]*0.01+0.5*Tradingbook_SBV[[#This Row],[Conv]]*(0.01^2))</f>
        <v>0</v>
      </c>
      <c r="EC117" t="s">
        <v>166</v>
      </c>
      <c r="ED117" t="s">
        <v>167</v>
      </c>
      <c r="EE117" t="s">
        <v>513</v>
      </c>
      <c r="EF117" t="s">
        <v>169</v>
      </c>
      <c r="EG117" s="35" t="s">
        <v>3392</v>
      </c>
      <c r="EH117" t="s">
        <v>3322</v>
      </c>
      <c r="EK117" s="500">
        <v>0</v>
      </c>
      <c r="EL117" s="500">
        <v>0</v>
      </c>
      <c r="EM117" s="500">
        <v>0</v>
      </c>
      <c r="EN117" s="500">
        <v>0</v>
      </c>
      <c r="EO117">
        <v>9.1</v>
      </c>
      <c r="EP117">
        <v>0</v>
      </c>
      <c r="EQ117">
        <v>81900000000</v>
      </c>
      <c r="ER117">
        <v>95588586527.777771</v>
      </c>
      <c r="ES117">
        <v>-27529530063.338596</v>
      </c>
      <c r="ET117">
        <v>9.1</v>
      </c>
      <c r="EU117">
        <v>0</v>
      </c>
      <c r="EV117">
        <v>0</v>
      </c>
      <c r="EW117">
        <v>0</v>
      </c>
      <c r="EX117">
        <v>0</v>
      </c>
      <c r="EY117">
        <v>0</v>
      </c>
      <c r="EZ117">
        <v>0</v>
      </c>
      <c r="FA117">
        <v>15804399999.999939</v>
      </c>
      <c r="FB117">
        <v>0</v>
      </c>
      <c r="FC117">
        <v>15804399999.999939</v>
      </c>
      <c r="FD117">
        <v>15804399999.999939</v>
      </c>
      <c r="FE117">
        <v>15804400000</v>
      </c>
      <c r="FF117">
        <v>15804399999.999939</v>
      </c>
      <c r="FG117" s="32">
        <f>Bankingbook_SBV[[#This Row],[Mat. Date]]-RPT</f>
        <v>-1295</v>
      </c>
      <c r="FH117" s="32">
        <f>IF(Bankingbook_SBV[[#This Row],[Days]]&lt;=0,0,YEARFRAC(RPT,Bankingbook_SBV[[#This Row],[Mat. Date]],3))</f>
        <v>0</v>
      </c>
      <c r="FI117" s="32">
        <f>IF(Bankingbook_SBV[[#This Row],[Days (year)]]=0,0,INDEX(Ref!$K$2:$K$13,MATCH(Bankingbook_SBV[[#This Row],[Days (year)]],Ref!$I$2:$I$13,1)))</f>
        <v>0</v>
      </c>
      <c r="FJ117" s="32" t="str">
        <f>VLOOKUP(Bankingbook_SBV[[#This Row],[Security Name]],Ref!X:Z,3,0)</f>
        <v>TPCP</v>
      </c>
      <c r="FK117" s="32" t="str">
        <f>VLOOKUP(Bankingbook_SBV[[#This Row],[Security Name]],Ref!X:Y,2,0)</f>
        <v>KBNN</v>
      </c>
      <c r="FL117" s="72">
        <f>IF((Bankingbook_SBV[[#This Row],[Mat. Date]]-RPT)&lt;=0,0,Bankingbook_SBV[[#This Row],[QUANTITY]])</f>
        <v>0</v>
      </c>
      <c r="FM117" s="32">
        <f>IF(Bankingbook_SBV[[#This Row],[Quantity_edited]]=0,0,Bankingbook_SBV[[#This Row],[DURATION]])</f>
        <v>0</v>
      </c>
      <c r="FN117" s="32">
        <f>IF(Bankingbook_SBV[[#This Row],[Quantity_edited]]=0,0,Bankingbook_SBV[[#This Row],[Mod Dur]])</f>
        <v>0</v>
      </c>
      <c r="FO117" s="32">
        <f>IF(Bankingbook_SBV[[#This Row],[Quantity_edited]]=0,0,Bankingbook_SBV[[#This Row],[Cnvx.]])</f>
        <v>0</v>
      </c>
      <c r="FP117" s="32">
        <f>(Bankingbook_SBV[[#This Row],[MARKET_VALUE]]+Bankingbook_SBV[[#This Row],[Accr Int]]*Bankingbook_SBV[[#This Row],[Quantity_edited]])*(-Bankingbook_SBV[[#This Row],[Modified Duration]]*0.0001+0.5*Bankingbook_SBV[[#This Row],[Conv]]*(0.0001^2))</f>
        <v>0</v>
      </c>
      <c r="FQ117" s="32">
        <f>(Bankingbook_SBV[[#This Row],[MARKET_VALUE]]+Bankingbook_SBV[[#This Row],[Accr Int]]*Bankingbook_SBV[[#This Row],[Quantity_edited]])*(-Bankingbook_SBV[[#This Row],[Modified Duration]]*0.01+0.5*Bankingbook_SBV[[#This Row],[Conv]]*(0.01^2))</f>
        <v>0</v>
      </c>
    </row>
    <row r="118" spans="2:173" x14ac:dyDescent="0.3">
      <c r="B118" t="s">
        <v>166</v>
      </c>
      <c r="C118" t="s">
        <v>167</v>
      </c>
      <c r="D118" t="s">
        <v>294</v>
      </c>
      <c r="E118" t="s">
        <v>169</v>
      </c>
      <c r="F118" s="502">
        <v>42514</v>
      </c>
      <c r="G118" t="s">
        <v>3322</v>
      </c>
      <c r="H118"/>
      <c r="I118"/>
      <c r="J118" s="38">
        <v>0</v>
      </c>
      <c r="K118">
        <v>0</v>
      </c>
      <c r="L118">
        <v>0</v>
      </c>
      <c r="M118" s="38">
        <v>0</v>
      </c>
      <c r="N118">
        <v>8.4</v>
      </c>
      <c r="O118">
        <v>0</v>
      </c>
      <c r="P118" s="37">
        <v>37800000000</v>
      </c>
      <c r="Q118" s="37">
        <v>40469856000</v>
      </c>
      <c r="R118" s="37">
        <v>-13010241300.972214</v>
      </c>
      <c r="S118">
        <v>8.4</v>
      </c>
      <c r="T118" s="70">
        <v>0</v>
      </c>
      <c r="U118">
        <v>0</v>
      </c>
      <c r="V118">
        <v>0</v>
      </c>
      <c r="W118">
        <v>0</v>
      </c>
      <c r="X118" s="38">
        <v>0</v>
      </c>
      <c r="Y118">
        <v>0</v>
      </c>
      <c r="Z118" s="70">
        <v>21395500000</v>
      </c>
      <c r="AA118" s="70">
        <v>0</v>
      </c>
      <c r="AB118" s="70">
        <v>21395500000</v>
      </c>
      <c r="AC118" s="70">
        <v>21395500000</v>
      </c>
      <c r="AD118" s="70">
        <v>21395500000</v>
      </c>
      <c r="AE118" s="70">
        <v>21395500000</v>
      </c>
      <c r="AF118">
        <v>0</v>
      </c>
      <c r="AG118" s="72">
        <f>Tradingbook_MSB[[#This Row],[Mat. Date]]-RPT</f>
        <v>-3738</v>
      </c>
      <c r="AH118" s="71">
        <f>IF(Tradingbook_MSB[[#This Row],[Days]]&lt;=0,0,YEARFRAC(RPT,Tradingbook_MSB[[#This Row],[Mat. Date]],3))</f>
        <v>0</v>
      </c>
      <c r="AI118" s="71">
        <f>IF(Tradingbook_MSB[[#This Row],[Days (year)]]=0,0,INDEX(Ref!$K$2:$K$13,MATCH(Tradingbook_MSB[[#This Row],[Days (year)]],Ref!$I$2:$I$13,1)))</f>
        <v>0</v>
      </c>
      <c r="AJ118" s="120" t="str">
        <f>VLOOKUP(Tradingbook_MSB[[#This Row],[Security Name]],Ref!X:Z,3,0)</f>
        <v>TPCPBL</v>
      </c>
      <c r="AK118" s="120" t="str">
        <f>VLOOKUP(Tradingbook_MSB[[#This Row],[Security Name]],Ref!X:Y,2,0)</f>
        <v>VDB</v>
      </c>
      <c r="AL118" s="71">
        <f>IF((Tradingbook_MSB[[#This Row],[Mat. Date]]-RPT)&lt;=0,0,Tradingbook_MSB[[#This Row],[QUANTITY]])</f>
        <v>0</v>
      </c>
      <c r="AM118" s="71">
        <f>IF(Tradingbook_MSB[[#This Row],[Quantity_edited]]=0,0,Tradingbook_MSB[[#This Row],[DURATION]])</f>
        <v>0</v>
      </c>
      <c r="AN118" s="71">
        <f>IF(Tradingbook_MSB[[#This Row],[Quantity_edited]]=0,0,Tradingbook_MSB[[#This Row],[Mod Dur]])</f>
        <v>0</v>
      </c>
      <c r="AO118" s="71">
        <f>IF(Tradingbook_MSB[[#This Row],[Quantity_edited]]=0,0,Tradingbook_MSB[[#This Row],[Cnvx.]])</f>
        <v>0</v>
      </c>
      <c r="AP118" s="71">
        <f>(Tradingbook_MSB[[#This Row],[MARKET_VALUE]]+Tradingbook_MSB[[#This Row],[Accr Int]]*Tradingbook_MSB[[#This Row],[Quantity_edited]])*(-Tradingbook_MSB[[#This Row],[Modified Duration]]*0.0001+0.5*Tradingbook_MSB[[#This Row],[Conv]]*(0.0001^2))</f>
        <v>0</v>
      </c>
      <c r="AQ118" s="72">
        <f>(Tradingbook_MSB[[#This Row],[MARKET_VALUE]]+Tradingbook_MSB[[#This Row],[Accr Int]]*Tradingbook_MSB[[#This Row],[Quantity_edited]])*(-Tradingbook_MSB[[#This Row],[Modified Duration]]*0.01+0.5*Tradingbook_MSB[[#This Row],[Conv]]*(0.01^2))</f>
        <v>0</v>
      </c>
      <c r="AR118" s="71"/>
      <c r="AT118" t="s">
        <v>166</v>
      </c>
      <c r="AU118" t="s">
        <v>3299</v>
      </c>
      <c r="AV118" t="s">
        <v>587</v>
      </c>
      <c r="AW118" t="s">
        <v>169</v>
      </c>
      <c r="AX118" t="s">
        <v>588</v>
      </c>
      <c r="AY118" t="s">
        <v>3322</v>
      </c>
      <c r="AZ118">
        <v>103139</v>
      </c>
      <c r="BA118">
        <v>103139</v>
      </c>
      <c r="BB118">
        <v>0</v>
      </c>
      <c r="BC118">
        <v>0</v>
      </c>
      <c r="BD118">
        <v>0</v>
      </c>
      <c r="BE118">
        <v>0</v>
      </c>
      <c r="BF118">
        <v>5.0999999999999996</v>
      </c>
      <c r="BG118">
        <v>3465</v>
      </c>
      <c r="BH118">
        <v>25500000000</v>
      </c>
      <c r="BI118">
        <v>28683954791.666618</v>
      </c>
      <c r="BJ118">
        <v>-10033502320.833065</v>
      </c>
      <c r="BK118">
        <v>3.6555125789999998</v>
      </c>
      <c r="BL118">
        <v>2.1034445504059001</v>
      </c>
      <c r="BM118">
        <v>2.18033623</v>
      </c>
      <c r="BN118">
        <v>6.6539756765506999</v>
      </c>
      <c r="BO118">
        <v>0</v>
      </c>
      <c r="BP118">
        <v>0</v>
      </c>
      <c r="BQ118">
        <v>0</v>
      </c>
      <c r="BR118">
        <v>-4888000000</v>
      </c>
      <c r="BS118">
        <v>0</v>
      </c>
      <c r="BT118">
        <v>-4888000000</v>
      </c>
      <c r="BU118">
        <v>-4888000000</v>
      </c>
      <c r="BV118">
        <v>-4888000000</v>
      </c>
      <c r="BW118">
        <v>-4888000000</v>
      </c>
      <c r="BX118">
        <v>0</v>
      </c>
      <c r="BY118" s="32">
        <f>Bankingbook_MSB[[#This Row],[Mat. Date]]-RPT</f>
        <v>848</v>
      </c>
      <c r="BZ118" s="71">
        <f>IF(Bankingbook_MSB[[#This Row],[Days]]&lt;=0,0,YEARFRAC(RPT,Bankingbook_MSB[[#This Row],[Mat. Date]],3))</f>
        <v>2.3232876712328765</v>
      </c>
      <c r="CA118" s="71" t="str">
        <f>IF(Bankingbook_MSB[[#This Row],[Days (year)]]=0,0,INDEX(Ref!$K$2:$K$13,MATCH(Bankingbook_MSB[[#This Row],[Days (year)]],Ref!$I$2:$I$13,1)))</f>
        <v>2Y</v>
      </c>
      <c r="CB118" s="32" t="str">
        <f>VLOOKUP(Bankingbook_MSB[[#This Row],[Security Name]],Ref!X:Z,3,0)</f>
        <v>TPCP</v>
      </c>
      <c r="CC118" s="32" t="str">
        <f>VLOOKUP(Bankingbook_MSB[[#This Row],[Security Name]],Ref!X:Y,2,0)</f>
        <v>KBNN</v>
      </c>
      <c r="CD118" s="72">
        <f>IF((Bankingbook_MSB[[#This Row],[Mat. Date]]-RPT)&lt;=0,0,Bankingbook_MSB[[#This Row],[QUANTITY]])</f>
        <v>0</v>
      </c>
      <c r="CE118" s="71">
        <f>IF(Bankingbook_MSB[[#This Row],[Quantity_edited]]=0,0,Bankingbook_MSB[[#This Row],[DURATION]])</f>
        <v>0</v>
      </c>
      <c r="CF118" s="71">
        <f>IF(Bankingbook_MSB[[#This Row],[Quantity_edited]]=0,0,Bankingbook_MSB[[#This Row],[Mod Dur]])</f>
        <v>0</v>
      </c>
      <c r="CG118" s="71">
        <f>IF(Bankingbook_MSB[[#This Row],[Quantity_edited]]=0,0,Bankingbook_MSB[[#This Row],[Cnvx.]])</f>
        <v>0</v>
      </c>
      <c r="CH118" s="71">
        <f>(Bankingbook_MSB[[#This Row],[MARKET_VALUE]]+Bankingbook_MSB[[#This Row],[Accr Int]]*Bankingbook_MSB[[#This Row],[Quantity_edited]])*(-Bankingbook_MSB[[#This Row],[Modified Duration]]*0.0001+0.5*Bankingbook_MSB[[#This Row],[Conv]]*(0.0001^2))</f>
        <v>0</v>
      </c>
      <c r="CI118" s="71">
        <f>(Bankingbook_MSB[[#This Row],[MARKET_VALUE]]+Bankingbook_MSB[[#This Row],[Accr Int]]*Bankingbook_MSB[[#This Row],[Quantity_edited]])*(-Bankingbook_MSB[[#This Row],[Modified Duration]]*0.01+0.5*Bankingbook_MSB[[#This Row],[Conv]]*(0.01^2))</f>
        <v>0</v>
      </c>
      <c r="CL118" t="s">
        <v>166</v>
      </c>
      <c r="CM118" t="s">
        <v>167</v>
      </c>
      <c r="CN118" t="s">
        <v>294</v>
      </c>
      <c r="CO118" t="s">
        <v>169</v>
      </c>
      <c r="CP118" s="35">
        <v>42514</v>
      </c>
      <c r="CQ118" t="s">
        <v>3322</v>
      </c>
      <c r="CR118" t="s">
        <v>174</v>
      </c>
      <c r="CS118" t="s">
        <v>174</v>
      </c>
      <c r="CT118" s="49">
        <v>0</v>
      </c>
      <c r="CU118">
        <v>0</v>
      </c>
      <c r="CV118">
        <v>0</v>
      </c>
      <c r="CW118" s="70">
        <v>0</v>
      </c>
      <c r="CX118">
        <v>8.4</v>
      </c>
      <c r="CY118">
        <v>0</v>
      </c>
      <c r="CZ118">
        <v>37800000000</v>
      </c>
      <c r="DA118">
        <v>40469856000</v>
      </c>
      <c r="DB118">
        <v>-13010241300.972214</v>
      </c>
      <c r="DC118">
        <v>8.4</v>
      </c>
      <c r="DD118">
        <v>0</v>
      </c>
      <c r="DE118">
        <v>0</v>
      </c>
      <c r="DF118">
        <v>0</v>
      </c>
      <c r="DG118">
        <v>0</v>
      </c>
      <c r="DH118">
        <v>0</v>
      </c>
      <c r="DI118">
        <v>0</v>
      </c>
      <c r="DJ118" s="500">
        <v>21395500000</v>
      </c>
      <c r="DK118" s="500">
        <v>0</v>
      </c>
      <c r="DL118" s="37">
        <v>21395500000</v>
      </c>
      <c r="DM118" s="37">
        <v>21395500000</v>
      </c>
      <c r="DN118" s="37">
        <v>21395500000</v>
      </c>
      <c r="DO118" s="37">
        <v>21395500000</v>
      </c>
      <c r="DP118" s="32">
        <f>Tradingbook_SBV[[#This Row],[Mat. Date]]-RPT</f>
        <v>-3738</v>
      </c>
      <c r="DQ118" s="32">
        <f>IF(Tradingbook_SBV[[#This Row],[Days]]&lt;=0,0,YEARFRAC(RPT,Tradingbook_SBV[[#This Row],[Mat. Date]],3))</f>
        <v>0</v>
      </c>
      <c r="DR118" s="32">
        <f>IF(Tradingbook_SBV[[#This Row],[Days (year)]]=0,0,INDEX(Ref!$K$2:$K$13,MATCH(Tradingbook_SBV[[#This Row],[Days (year)]],Ref!$I$2:$I$13,1)))</f>
        <v>0</v>
      </c>
      <c r="DS118" s="32" t="str">
        <f>VLOOKUP(Tradingbook_SBV[[#This Row],[Security Name]],Ref!X:Z,3,0)</f>
        <v>TPCPBL</v>
      </c>
      <c r="DT118" s="32" t="str">
        <f>VLOOKUP(Tradingbook_SBV[[#This Row],[Security Name]],Ref!X:Y,2,0)</f>
        <v>VDB</v>
      </c>
      <c r="DU118" s="71">
        <f>IF((Tradingbook_SBV[[#This Row],[Mat. Date]]-RPT)&lt;=0,0,Tradingbook_SBV[[#This Row],[QUANTITY]])</f>
        <v>0</v>
      </c>
      <c r="DV118" s="71">
        <f>IF(Tradingbook_SBV[[#This Row],[Quantity_edited]]=0,0,Tradingbook_SBV[[#This Row],[DURATION]])</f>
        <v>0</v>
      </c>
      <c r="DW118" s="71">
        <f>IF(Tradingbook_SBV[[#This Row],[Quantity_edited]]=0,0,Tradingbook_SBV[[#This Row],[Mod Dur]])</f>
        <v>0</v>
      </c>
      <c r="DX118" s="71">
        <f>IF(Tradingbook_SBV[[#This Row],[Quantity_edited]]=0,0,Tradingbook_SBV[[#This Row],[Cnvx.]])</f>
        <v>0</v>
      </c>
      <c r="DY118" s="71">
        <f>(Tradingbook_SBV[[#This Row],[MARKET_VALUE]]+Tradingbook_SBV[[#This Row],[Accr Int]]*Tradingbook_SBV[[#This Row],[Quantity_edited]])*(-Tradingbook_SBV[[#This Row],[Modified Duration]]*0.0001+0.5*Tradingbook_SBV[[#This Row],[Conv]]*(0.0001^2))</f>
        <v>0</v>
      </c>
      <c r="DZ118" s="71">
        <f>(Tradingbook_SBV[[#This Row],[MARKET_VALUE]]+Tradingbook_SBV[[#This Row],[Accr Int]]*Tradingbook_SBV[[#This Row],[Quantity_edited]])*(-Tradingbook_SBV[[#This Row],[Modified Duration]]*0.01+0.5*Tradingbook_SBV[[#This Row],[Conv]]*(0.01^2))</f>
        <v>0</v>
      </c>
      <c r="EC118" t="s">
        <v>166</v>
      </c>
      <c r="ED118" t="s">
        <v>167</v>
      </c>
      <c r="EE118" t="s">
        <v>514</v>
      </c>
      <c r="EF118" t="s">
        <v>169</v>
      </c>
      <c r="EG118" s="35" t="s">
        <v>3393</v>
      </c>
      <c r="EH118" t="s">
        <v>170</v>
      </c>
      <c r="EK118" s="500">
        <v>900000</v>
      </c>
      <c r="EL118" s="500">
        <v>90000000000</v>
      </c>
      <c r="EM118" s="500">
        <v>115486</v>
      </c>
      <c r="EN118" s="500">
        <v>0</v>
      </c>
      <c r="EO118">
        <v>9.4</v>
      </c>
      <c r="EP118">
        <v>0</v>
      </c>
      <c r="EQ118">
        <v>25380000000</v>
      </c>
      <c r="ER118">
        <v>26056400500</v>
      </c>
      <c r="ES118">
        <v>-5097230575.8750086</v>
      </c>
      <c r="ET118">
        <v>9.4</v>
      </c>
      <c r="EU118">
        <v>0</v>
      </c>
      <c r="EV118">
        <v>0</v>
      </c>
      <c r="EW118">
        <v>0</v>
      </c>
      <c r="EX118">
        <v>0</v>
      </c>
      <c r="EY118">
        <v>0</v>
      </c>
      <c r="EZ118">
        <v>0</v>
      </c>
      <c r="FA118">
        <v>-14154300000</v>
      </c>
      <c r="FB118">
        <v>0</v>
      </c>
      <c r="FC118">
        <v>-14154300000</v>
      </c>
      <c r="FD118">
        <v>-14154300000</v>
      </c>
      <c r="FE118">
        <v>-14154300000</v>
      </c>
      <c r="FF118">
        <v>-14154300000</v>
      </c>
      <c r="FG118" s="32">
        <f>Bankingbook_SBV[[#This Row],[Mat. Date]]-RPT</f>
        <v>-1263</v>
      </c>
      <c r="FH118" s="32">
        <f>IF(Bankingbook_SBV[[#This Row],[Days]]&lt;=0,0,YEARFRAC(RPT,Bankingbook_SBV[[#This Row],[Mat. Date]],3))</f>
        <v>0</v>
      </c>
      <c r="FI118" s="32">
        <f>IF(Bankingbook_SBV[[#This Row],[Days (year)]]=0,0,INDEX(Ref!$K$2:$K$13,MATCH(Bankingbook_SBV[[#This Row],[Days (year)]],Ref!$I$2:$I$13,1)))</f>
        <v>0</v>
      </c>
      <c r="FJ118" s="32" t="str">
        <f>VLOOKUP(Bankingbook_SBV[[#This Row],[Security Name]],Ref!X:Z,3,0)</f>
        <v>TPCPBL</v>
      </c>
      <c r="FK118" s="32" t="str">
        <f>VLOOKUP(Bankingbook_SBV[[#This Row],[Security Name]],Ref!X:Y,2,0)</f>
        <v>VDB</v>
      </c>
      <c r="FL118" s="72">
        <f>IF((Bankingbook_SBV[[#This Row],[Mat. Date]]-RPT)&lt;=0,0,Bankingbook_SBV[[#This Row],[QUANTITY]])</f>
        <v>0</v>
      </c>
      <c r="FM118" s="32">
        <f>IF(Bankingbook_SBV[[#This Row],[Quantity_edited]]=0,0,Bankingbook_SBV[[#This Row],[DURATION]])</f>
        <v>0</v>
      </c>
      <c r="FN118" s="32">
        <f>IF(Bankingbook_SBV[[#This Row],[Quantity_edited]]=0,0,Bankingbook_SBV[[#This Row],[Mod Dur]])</f>
        <v>0</v>
      </c>
      <c r="FO118" s="32">
        <f>IF(Bankingbook_SBV[[#This Row],[Quantity_edited]]=0,0,Bankingbook_SBV[[#This Row],[Cnvx.]])</f>
        <v>0</v>
      </c>
      <c r="FP118" s="32">
        <f>(Bankingbook_SBV[[#This Row],[MARKET_VALUE]]+Bankingbook_SBV[[#This Row],[Accr Int]]*Bankingbook_SBV[[#This Row],[Quantity_edited]])*(-Bankingbook_SBV[[#This Row],[Modified Duration]]*0.0001+0.5*Bankingbook_SBV[[#This Row],[Conv]]*(0.0001^2))</f>
        <v>0</v>
      </c>
      <c r="FQ118" s="32">
        <f>(Bankingbook_SBV[[#This Row],[MARKET_VALUE]]+Bankingbook_SBV[[#This Row],[Accr Int]]*Bankingbook_SBV[[#This Row],[Quantity_edited]])*(-Bankingbook_SBV[[#This Row],[Modified Duration]]*0.01+0.5*Bankingbook_SBV[[#This Row],[Conv]]*(0.01^2))</f>
        <v>0</v>
      </c>
    </row>
    <row r="119" spans="2:173" x14ac:dyDescent="0.3">
      <c r="B119" t="s">
        <v>166</v>
      </c>
      <c r="C119" t="s">
        <v>167</v>
      </c>
      <c r="D119" t="s">
        <v>295</v>
      </c>
      <c r="E119" t="s">
        <v>169</v>
      </c>
      <c r="F119" s="502">
        <v>42517</v>
      </c>
      <c r="G119" t="s">
        <v>3322</v>
      </c>
      <c r="H119"/>
      <c r="I119"/>
      <c r="J119" s="38">
        <v>0</v>
      </c>
      <c r="K119">
        <v>0</v>
      </c>
      <c r="L119">
        <v>0</v>
      </c>
      <c r="M119" s="38">
        <v>0</v>
      </c>
      <c r="N119">
        <v>8.3000000000000007</v>
      </c>
      <c r="O119">
        <v>0</v>
      </c>
      <c r="P119" s="37">
        <v>0</v>
      </c>
      <c r="Q119" s="37">
        <v>0</v>
      </c>
      <c r="R119" s="37">
        <v>-7692800</v>
      </c>
      <c r="S119">
        <v>8.3000000000000007</v>
      </c>
      <c r="T119" s="70">
        <v>0</v>
      </c>
      <c r="U119">
        <v>0</v>
      </c>
      <c r="V119">
        <v>0</v>
      </c>
      <c r="W119">
        <v>0</v>
      </c>
      <c r="X119" s="38">
        <v>0</v>
      </c>
      <c r="Y119">
        <v>0</v>
      </c>
      <c r="Z119" s="70">
        <v>327000000</v>
      </c>
      <c r="AA119" s="70">
        <v>0</v>
      </c>
      <c r="AB119" s="70">
        <v>327000000</v>
      </c>
      <c r="AC119" s="70">
        <v>327000000</v>
      </c>
      <c r="AD119" s="70">
        <v>327000000</v>
      </c>
      <c r="AE119" s="70">
        <v>327000000</v>
      </c>
      <c r="AF119">
        <v>0</v>
      </c>
      <c r="AG119" s="72">
        <f>Tradingbook_MSB[[#This Row],[Mat. Date]]-RPT</f>
        <v>-3735</v>
      </c>
      <c r="AH119" s="71">
        <f>IF(Tradingbook_MSB[[#This Row],[Days]]&lt;=0,0,YEARFRAC(RPT,Tradingbook_MSB[[#This Row],[Mat. Date]],3))</f>
        <v>0</v>
      </c>
      <c r="AI119" s="71">
        <f>IF(Tradingbook_MSB[[#This Row],[Days (year)]]=0,0,INDEX(Ref!$K$2:$K$13,MATCH(Tradingbook_MSB[[#This Row],[Days (year)]],Ref!$I$2:$I$13,1)))</f>
        <v>0</v>
      </c>
      <c r="AJ119" s="120" t="str">
        <f>VLOOKUP(Tradingbook_MSB[[#This Row],[Security Name]],Ref!X:Z,3,0)</f>
        <v>TPCPBL</v>
      </c>
      <c r="AK119" s="120" t="str">
        <f>VLOOKUP(Tradingbook_MSB[[#This Row],[Security Name]],Ref!X:Y,2,0)</f>
        <v>VBS</v>
      </c>
      <c r="AL119" s="71">
        <f>IF((Tradingbook_MSB[[#This Row],[Mat. Date]]-RPT)&lt;=0,0,Tradingbook_MSB[[#This Row],[QUANTITY]])</f>
        <v>0</v>
      </c>
      <c r="AM119" s="71">
        <f>IF(Tradingbook_MSB[[#This Row],[Quantity_edited]]=0,0,Tradingbook_MSB[[#This Row],[DURATION]])</f>
        <v>0</v>
      </c>
      <c r="AN119" s="71">
        <f>IF(Tradingbook_MSB[[#This Row],[Quantity_edited]]=0,0,Tradingbook_MSB[[#This Row],[Mod Dur]])</f>
        <v>0</v>
      </c>
      <c r="AO119" s="71">
        <f>IF(Tradingbook_MSB[[#This Row],[Quantity_edited]]=0,0,Tradingbook_MSB[[#This Row],[Cnvx.]])</f>
        <v>0</v>
      </c>
      <c r="AP119" s="71">
        <f>(Tradingbook_MSB[[#This Row],[MARKET_VALUE]]+Tradingbook_MSB[[#This Row],[Accr Int]]*Tradingbook_MSB[[#This Row],[Quantity_edited]])*(-Tradingbook_MSB[[#This Row],[Modified Duration]]*0.0001+0.5*Tradingbook_MSB[[#This Row],[Conv]]*(0.0001^2))</f>
        <v>0</v>
      </c>
      <c r="AQ119" s="72">
        <f>(Tradingbook_MSB[[#This Row],[MARKET_VALUE]]+Tradingbook_MSB[[#This Row],[Accr Int]]*Tradingbook_MSB[[#This Row],[Quantity_edited]])*(-Tradingbook_MSB[[#This Row],[Modified Duration]]*0.01+0.5*Tradingbook_MSB[[#This Row],[Conv]]*(0.01^2))</f>
        <v>0</v>
      </c>
      <c r="AR119" s="71"/>
      <c r="AT119" t="s">
        <v>166</v>
      </c>
      <c r="AU119" t="s">
        <v>3299</v>
      </c>
      <c r="AV119" t="s">
        <v>784</v>
      </c>
      <c r="AW119" t="s">
        <v>169</v>
      </c>
      <c r="AX119" t="s">
        <v>785</v>
      </c>
      <c r="AY119" t="s">
        <v>170</v>
      </c>
      <c r="AZ119">
        <v>103587</v>
      </c>
      <c r="BA119">
        <v>103587</v>
      </c>
      <c r="BB119">
        <v>1000000</v>
      </c>
      <c r="BC119">
        <v>100000000000</v>
      </c>
      <c r="BD119">
        <v>103272.6</v>
      </c>
      <c r="BE119">
        <v>103587000000</v>
      </c>
      <c r="BF119">
        <v>5.8</v>
      </c>
      <c r="BG119">
        <v>3734</v>
      </c>
      <c r="BH119">
        <v>75400000000</v>
      </c>
      <c r="BI119">
        <v>85958658333.333282</v>
      </c>
      <c r="BJ119">
        <v>-21881975419.860863</v>
      </c>
      <c r="BK119">
        <v>4.158183578</v>
      </c>
      <c r="BL119">
        <v>2.1107280206303001</v>
      </c>
      <c r="BM119">
        <v>2.1984959700000002</v>
      </c>
      <c r="BN119">
        <v>6.7022474488428996</v>
      </c>
      <c r="BO119">
        <v>7192.9189845726996</v>
      </c>
      <c r="BP119">
        <v>-22652.544190206001</v>
      </c>
      <c r="BQ119">
        <v>11979.619000000001</v>
      </c>
      <c r="BR119">
        <v>73022599999.999969</v>
      </c>
      <c r="BS119">
        <v>314399999.99999416</v>
      </c>
      <c r="BT119">
        <v>73336999999.999969</v>
      </c>
      <c r="BU119">
        <v>73336999999.999969</v>
      </c>
      <c r="BV119">
        <v>73337000000</v>
      </c>
      <c r="BW119">
        <v>73336999999.999969</v>
      </c>
      <c r="BX119">
        <v>5.1000074509999997</v>
      </c>
      <c r="BY119" s="32">
        <f>Bankingbook_MSB[[#This Row],[Mat. Date]]-RPT</f>
        <v>861</v>
      </c>
      <c r="BZ119" s="71">
        <f>IF(Bankingbook_MSB[[#This Row],[Days]]&lt;=0,0,YEARFRAC(RPT,Bankingbook_MSB[[#This Row],[Mat. Date]],3))</f>
        <v>2.3589041095890413</v>
      </c>
      <c r="CA119" s="71" t="str">
        <f>IF(Bankingbook_MSB[[#This Row],[Days (year)]]=0,0,INDEX(Ref!$K$2:$K$13,MATCH(Bankingbook_MSB[[#This Row],[Days (year)]],Ref!$I$2:$I$13,1)))</f>
        <v>2Y</v>
      </c>
      <c r="CB119" s="32" t="str">
        <f>VLOOKUP(Bankingbook_MSB[[#This Row],[Security Name]],Ref!X:Z,3,0)</f>
        <v>TPCPBL</v>
      </c>
      <c r="CC119" s="32" t="str">
        <f>VLOOKUP(Bankingbook_MSB[[#This Row],[Security Name]],Ref!X:Y,2,0)</f>
        <v>VDB</v>
      </c>
      <c r="CD119" s="72">
        <f>IF((Bankingbook_MSB[[#This Row],[Mat. Date]]-RPT)&lt;=0,0,Bankingbook_MSB[[#This Row],[QUANTITY]])</f>
        <v>1000000</v>
      </c>
      <c r="CE119" s="71">
        <f>IF(Bankingbook_MSB[[#This Row],[Quantity_edited]]=0,0,Bankingbook_MSB[[#This Row],[DURATION]])</f>
        <v>2.1984959700000002</v>
      </c>
      <c r="CF119" s="71">
        <f>IF(Bankingbook_MSB[[#This Row],[Quantity_edited]]=0,0,Bankingbook_MSB[[#This Row],[Mod Dur]])</f>
        <v>2.1107280206303001</v>
      </c>
      <c r="CG119" s="71">
        <f>IF(Bankingbook_MSB[[#This Row],[Quantity_edited]]=0,0,Bankingbook_MSB[[#This Row],[Cnvx.]])</f>
        <v>6.7022474488428996</v>
      </c>
      <c r="CH119" s="71">
        <f>(Bankingbook_MSB[[#This Row],[MARKET_VALUE]]+Bankingbook_MSB[[#This Row],[Accr Int]]*Bankingbook_MSB[[#This Row],[Quantity_edited]])*(-Bankingbook_MSB[[#This Row],[Modified Duration]]*0.0001+0.5*Bankingbook_MSB[[#This Row],[Conv]]*(0.0001^2))</f>
        <v>-22648947.730714157</v>
      </c>
      <c r="CI119" s="71">
        <f>(Bankingbook_MSB[[#This Row],[MARKET_VALUE]]+Bankingbook_MSB[[#This Row],[Accr Int]]*Bankingbook_MSB[[#This Row],[Quantity_edited]])*(-Bankingbook_MSB[[#This Row],[Modified Duration]]*0.01+0.5*Bankingbook_MSB[[#This Row],[Conv]]*(0.01^2))</f>
        <v>-2229289824.0977812</v>
      </c>
      <c r="CL119" t="s">
        <v>166</v>
      </c>
      <c r="CM119" t="s">
        <v>167</v>
      </c>
      <c r="CN119" t="s">
        <v>295</v>
      </c>
      <c r="CO119" t="s">
        <v>169</v>
      </c>
      <c r="CP119" s="35">
        <v>42517</v>
      </c>
      <c r="CQ119" t="s">
        <v>3322</v>
      </c>
      <c r="CR119" t="s">
        <v>174</v>
      </c>
      <c r="CS119" t="s">
        <v>174</v>
      </c>
      <c r="CT119" s="49">
        <v>0</v>
      </c>
      <c r="CU119">
        <v>0</v>
      </c>
      <c r="CV119">
        <v>0</v>
      </c>
      <c r="CW119" s="70">
        <v>0</v>
      </c>
      <c r="CX119">
        <v>8.3000000000000007</v>
      </c>
      <c r="CY119">
        <v>0</v>
      </c>
      <c r="CZ119">
        <v>0</v>
      </c>
      <c r="DA119">
        <v>0</v>
      </c>
      <c r="DB119">
        <v>-7692800</v>
      </c>
      <c r="DC119">
        <v>8.3000000000000007</v>
      </c>
      <c r="DD119">
        <v>0</v>
      </c>
      <c r="DE119">
        <v>0</v>
      </c>
      <c r="DF119">
        <v>0</v>
      </c>
      <c r="DG119">
        <v>0</v>
      </c>
      <c r="DH119">
        <v>0</v>
      </c>
      <c r="DI119">
        <v>0</v>
      </c>
      <c r="DJ119" s="500">
        <v>327000000</v>
      </c>
      <c r="DK119" s="500">
        <v>0</v>
      </c>
      <c r="DL119" s="37">
        <v>327000000</v>
      </c>
      <c r="DM119" s="37">
        <v>327000000</v>
      </c>
      <c r="DN119" s="37">
        <v>327000000</v>
      </c>
      <c r="DO119" s="37">
        <v>327000000</v>
      </c>
      <c r="DP119" s="32">
        <f>Tradingbook_SBV[[#This Row],[Mat. Date]]-RPT</f>
        <v>-3735</v>
      </c>
      <c r="DQ119" s="32">
        <f>IF(Tradingbook_SBV[[#This Row],[Days]]&lt;=0,0,YEARFRAC(RPT,Tradingbook_SBV[[#This Row],[Mat. Date]],3))</f>
        <v>0</v>
      </c>
      <c r="DR119" s="32">
        <f>IF(Tradingbook_SBV[[#This Row],[Days (year)]]=0,0,INDEX(Ref!$K$2:$K$13,MATCH(Tradingbook_SBV[[#This Row],[Days (year)]],Ref!$I$2:$I$13,1)))</f>
        <v>0</v>
      </c>
      <c r="DS119" s="32" t="str">
        <f>VLOOKUP(Tradingbook_SBV[[#This Row],[Security Name]],Ref!X:Z,3,0)</f>
        <v>TPCPBL</v>
      </c>
      <c r="DT119" s="32" t="str">
        <f>VLOOKUP(Tradingbook_SBV[[#This Row],[Security Name]],Ref!X:Y,2,0)</f>
        <v>VBS</v>
      </c>
      <c r="DU119" s="71">
        <f>IF((Tradingbook_SBV[[#This Row],[Mat. Date]]-RPT)&lt;=0,0,Tradingbook_SBV[[#This Row],[QUANTITY]])</f>
        <v>0</v>
      </c>
      <c r="DV119" s="71">
        <f>IF(Tradingbook_SBV[[#This Row],[Quantity_edited]]=0,0,Tradingbook_SBV[[#This Row],[DURATION]])</f>
        <v>0</v>
      </c>
      <c r="DW119" s="71">
        <f>IF(Tradingbook_SBV[[#This Row],[Quantity_edited]]=0,0,Tradingbook_SBV[[#This Row],[Mod Dur]])</f>
        <v>0</v>
      </c>
      <c r="DX119" s="71">
        <f>IF(Tradingbook_SBV[[#This Row],[Quantity_edited]]=0,0,Tradingbook_SBV[[#This Row],[Cnvx.]])</f>
        <v>0</v>
      </c>
      <c r="DY119" s="71">
        <f>(Tradingbook_SBV[[#This Row],[MARKET_VALUE]]+Tradingbook_SBV[[#This Row],[Accr Int]]*Tradingbook_SBV[[#This Row],[Quantity_edited]])*(-Tradingbook_SBV[[#This Row],[Modified Duration]]*0.0001+0.5*Tradingbook_SBV[[#This Row],[Conv]]*(0.0001^2))</f>
        <v>0</v>
      </c>
      <c r="DZ119" s="71">
        <f>(Tradingbook_SBV[[#This Row],[MARKET_VALUE]]+Tradingbook_SBV[[#This Row],[Accr Int]]*Tradingbook_SBV[[#This Row],[Quantity_edited]])*(-Tradingbook_SBV[[#This Row],[Modified Duration]]*0.01+0.5*Tradingbook_SBV[[#This Row],[Conv]]*(0.01^2))</f>
        <v>0</v>
      </c>
      <c r="EC119" t="s">
        <v>166</v>
      </c>
      <c r="ED119" t="s">
        <v>167</v>
      </c>
      <c r="EE119" t="s">
        <v>515</v>
      </c>
      <c r="EF119" t="s">
        <v>169</v>
      </c>
      <c r="EG119" s="35" t="s">
        <v>3754</v>
      </c>
      <c r="EH119" t="s">
        <v>3322</v>
      </c>
      <c r="EK119" s="500">
        <v>0</v>
      </c>
      <c r="EL119" s="500">
        <v>0</v>
      </c>
      <c r="EM119" s="500">
        <v>0</v>
      </c>
      <c r="EN119" s="500">
        <v>0</v>
      </c>
      <c r="EO119">
        <v>2.9</v>
      </c>
      <c r="EP119">
        <v>0</v>
      </c>
      <c r="EQ119">
        <v>1450000000</v>
      </c>
      <c r="ER119">
        <v>1518427916.666667</v>
      </c>
      <c r="ES119">
        <v>-328718986.87499475</v>
      </c>
      <c r="ET119">
        <v>2.9</v>
      </c>
      <c r="EU119">
        <v>0</v>
      </c>
      <c r="EV119">
        <v>0</v>
      </c>
      <c r="EW119">
        <v>0</v>
      </c>
      <c r="EX119">
        <v>0</v>
      </c>
      <c r="EY119">
        <v>0</v>
      </c>
      <c r="EZ119">
        <v>0</v>
      </c>
      <c r="FA119">
        <v>1724500000</v>
      </c>
      <c r="FB119">
        <v>0</v>
      </c>
      <c r="FC119">
        <v>1724500000</v>
      </c>
      <c r="FD119">
        <v>1724500000</v>
      </c>
      <c r="FE119">
        <v>1724500000</v>
      </c>
      <c r="FF119">
        <v>1724500000</v>
      </c>
      <c r="FG119" s="32">
        <f>Bankingbook_SBV[[#This Row],[Mat. Date]]-RPT</f>
        <v>-1245</v>
      </c>
      <c r="FH119" s="32">
        <f>IF(Bankingbook_SBV[[#This Row],[Days]]&lt;=0,0,YEARFRAC(RPT,Bankingbook_SBV[[#This Row],[Mat. Date]],3))</f>
        <v>0</v>
      </c>
      <c r="FI119" s="32">
        <f>IF(Bankingbook_SBV[[#This Row],[Days (year)]]=0,0,INDEX(Ref!$K$2:$K$13,MATCH(Bankingbook_SBV[[#This Row],[Days (year)]],Ref!$I$2:$I$13,1)))</f>
        <v>0</v>
      </c>
      <c r="FJ119" s="32" t="str">
        <f>VLOOKUP(Bankingbook_SBV[[#This Row],[Security Name]],Ref!X:Z,3,0)</f>
        <v>TPCP</v>
      </c>
      <c r="FK119" s="32" t="str">
        <f>VLOOKUP(Bankingbook_SBV[[#This Row],[Security Name]],Ref!X:Y,2,0)</f>
        <v>KBNN</v>
      </c>
      <c r="FL119" s="72">
        <f>IF((Bankingbook_SBV[[#This Row],[Mat. Date]]-RPT)&lt;=0,0,Bankingbook_SBV[[#This Row],[QUANTITY]])</f>
        <v>0</v>
      </c>
      <c r="FM119" s="32">
        <f>IF(Bankingbook_SBV[[#This Row],[Quantity_edited]]=0,0,Bankingbook_SBV[[#This Row],[DURATION]])</f>
        <v>0</v>
      </c>
      <c r="FN119" s="32">
        <f>IF(Bankingbook_SBV[[#This Row],[Quantity_edited]]=0,0,Bankingbook_SBV[[#This Row],[Mod Dur]])</f>
        <v>0</v>
      </c>
      <c r="FO119" s="32">
        <f>IF(Bankingbook_SBV[[#This Row],[Quantity_edited]]=0,0,Bankingbook_SBV[[#This Row],[Cnvx.]])</f>
        <v>0</v>
      </c>
      <c r="FP119" s="32">
        <f>(Bankingbook_SBV[[#This Row],[MARKET_VALUE]]+Bankingbook_SBV[[#This Row],[Accr Int]]*Bankingbook_SBV[[#This Row],[Quantity_edited]])*(-Bankingbook_SBV[[#This Row],[Modified Duration]]*0.0001+0.5*Bankingbook_SBV[[#This Row],[Conv]]*(0.0001^2))</f>
        <v>0</v>
      </c>
      <c r="FQ119" s="32">
        <f>(Bankingbook_SBV[[#This Row],[MARKET_VALUE]]+Bankingbook_SBV[[#This Row],[Accr Int]]*Bankingbook_SBV[[#This Row],[Quantity_edited]])*(-Bankingbook_SBV[[#This Row],[Modified Duration]]*0.01+0.5*Bankingbook_SBV[[#This Row],[Conv]]*(0.01^2))</f>
        <v>0</v>
      </c>
    </row>
    <row r="120" spans="2:173" x14ac:dyDescent="0.3">
      <c r="B120" t="s">
        <v>166</v>
      </c>
      <c r="C120" t="s">
        <v>167</v>
      </c>
      <c r="D120" t="s">
        <v>296</v>
      </c>
      <c r="E120" t="s">
        <v>169</v>
      </c>
      <c r="F120" s="502">
        <v>42521</v>
      </c>
      <c r="G120" t="s">
        <v>3322</v>
      </c>
      <c r="H120"/>
      <c r="I120"/>
      <c r="J120" s="38">
        <v>0</v>
      </c>
      <c r="K120">
        <v>0</v>
      </c>
      <c r="L120">
        <v>0</v>
      </c>
      <c r="M120" s="38">
        <v>0</v>
      </c>
      <c r="N120">
        <v>6.7</v>
      </c>
      <c r="O120">
        <v>0</v>
      </c>
      <c r="P120" s="37">
        <v>0</v>
      </c>
      <c r="Q120" s="37">
        <v>3.9999999999999998E-6</v>
      </c>
      <c r="R120" s="37">
        <v>68203712.36111021</v>
      </c>
      <c r="S120">
        <v>6.7</v>
      </c>
      <c r="T120" s="70">
        <v>0</v>
      </c>
      <c r="U120">
        <v>0</v>
      </c>
      <c r="V120">
        <v>0</v>
      </c>
      <c r="W120">
        <v>0</v>
      </c>
      <c r="X120" s="38">
        <v>0</v>
      </c>
      <c r="Y120">
        <v>0</v>
      </c>
      <c r="Z120" s="70">
        <v>1671500000</v>
      </c>
      <c r="AA120" s="70">
        <v>0</v>
      </c>
      <c r="AB120" s="70">
        <v>1671500000</v>
      </c>
      <c r="AC120" s="70">
        <v>1671500000</v>
      </c>
      <c r="AD120" s="70">
        <v>1671500000</v>
      </c>
      <c r="AE120" s="70">
        <v>1671500000</v>
      </c>
      <c r="AF120">
        <v>0</v>
      </c>
      <c r="AG120" s="72">
        <f>Tradingbook_MSB[[#This Row],[Mat. Date]]-RPT</f>
        <v>-3731</v>
      </c>
      <c r="AH120" s="71">
        <f>IF(Tradingbook_MSB[[#This Row],[Days]]&lt;=0,0,YEARFRAC(RPT,Tradingbook_MSB[[#This Row],[Mat. Date]],3))</f>
        <v>0</v>
      </c>
      <c r="AI120" s="71">
        <f>IF(Tradingbook_MSB[[#This Row],[Days (year)]]=0,0,INDEX(Ref!$K$2:$K$13,MATCH(Tradingbook_MSB[[#This Row],[Days (year)]],Ref!$I$2:$I$13,1)))</f>
        <v>0</v>
      </c>
      <c r="AJ120" s="120" t="str">
        <f>VLOOKUP(Tradingbook_MSB[[#This Row],[Security Name]],Ref!X:Z,3,0)</f>
        <v>TPCP</v>
      </c>
      <c r="AK120" s="120" t="str">
        <f>VLOOKUP(Tradingbook_MSB[[#This Row],[Security Name]],Ref!X:Y,2,0)</f>
        <v>KBNN</v>
      </c>
      <c r="AL120" s="71">
        <f>IF((Tradingbook_MSB[[#This Row],[Mat. Date]]-RPT)&lt;=0,0,Tradingbook_MSB[[#This Row],[QUANTITY]])</f>
        <v>0</v>
      </c>
      <c r="AM120" s="71">
        <f>IF(Tradingbook_MSB[[#This Row],[Quantity_edited]]=0,0,Tradingbook_MSB[[#This Row],[DURATION]])</f>
        <v>0</v>
      </c>
      <c r="AN120" s="71">
        <f>IF(Tradingbook_MSB[[#This Row],[Quantity_edited]]=0,0,Tradingbook_MSB[[#This Row],[Mod Dur]])</f>
        <v>0</v>
      </c>
      <c r="AO120" s="71">
        <f>IF(Tradingbook_MSB[[#This Row],[Quantity_edited]]=0,0,Tradingbook_MSB[[#This Row],[Cnvx.]])</f>
        <v>0</v>
      </c>
      <c r="AP120" s="71">
        <f>(Tradingbook_MSB[[#This Row],[MARKET_VALUE]]+Tradingbook_MSB[[#This Row],[Accr Int]]*Tradingbook_MSB[[#This Row],[Quantity_edited]])*(-Tradingbook_MSB[[#This Row],[Modified Duration]]*0.0001+0.5*Tradingbook_MSB[[#This Row],[Conv]]*(0.0001^2))</f>
        <v>0</v>
      </c>
      <c r="AQ120" s="72">
        <f>(Tradingbook_MSB[[#This Row],[MARKET_VALUE]]+Tradingbook_MSB[[#This Row],[Accr Int]]*Tradingbook_MSB[[#This Row],[Quantity_edited]])*(-Tradingbook_MSB[[#This Row],[Modified Duration]]*0.01+0.5*Tradingbook_MSB[[#This Row],[Conv]]*(0.01^2))</f>
        <v>0</v>
      </c>
      <c r="AR120" s="71"/>
      <c r="AT120" t="s">
        <v>166</v>
      </c>
      <c r="AU120" t="s">
        <v>3299</v>
      </c>
      <c r="AV120" t="s">
        <v>590</v>
      </c>
      <c r="AW120" t="s">
        <v>169</v>
      </c>
      <c r="AX120" t="s">
        <v>3414</v>
      </c>
      <c r="AY120" t="s">
        <v>3322</v>
      </c>
      <c r="AZ120">
        <v>103202</v>
      </c>
      <c r="BA120">
        <v>103202</v>
      </c>
      <c r="BB120">
        <v>0</v>
      </c>
      <c r="BC120">
        <v>0</v>
      </c>
      <c r="BD120">
        <v>0</v>
      </c>
      <c r="BE120">
        <v>0</v>
      </c>
      <c r="BF120">
        <v>5.0999999999999996</v>
      </c>
      <c r="BG120">
        <v>3172</v>
      </c>
      <c r="BH120">
        <v>40800000000</v>
      </c>
      <c r="BI120">
        <v>46786829083.333199</v>
      </c>
      <c r="BJ120">
        <v>-8892560605.6938095</v>
      </c>
      <c r="BK120">
        <v>3.6598761770000001</v>
      </c>
      <c r="BL120">
        <v>2.1588501769616002</v>
      </c>
      <c r="BM120">
        <v>2.2378614200000002</v>
      </c>
      <c r="BN120">
        <v>6.9434909063905002</v>
      </c>
      <c r="BO120">
        <v>0</v>
      </c>
      <c r="BP120">
        <v>0</v>
      </c>
      <c r="BQ120">
        <v>0</v>
      </c>
      <c r="BR120">
        <v>3318500000</v>
      </c>
      <c r="BS120">
        <v>0</v>
      </c>
      <c r="BT120">
        <v>3318500000</v>
      </c>
      <c r="BU120">
        <v>3318500000</v>
      </c>
      <c r="BV120">
        <v>3318500000</v>
      </c>
      <c r="BW120">
        <v>3318500000</v>
      </c>
      <c r="BX120">
        <v>0</v>
      </c>
      <c r="BY120" s="32">
        <f>Bankingbook_MSB[[#This Row],[Mat. Date]]-RPT</f>
        <v>869</v>
      </c>
      <c r="BZ120" s="71">
        <f>IF(Bankingbook_MSB[[#This Row],[Days]]&lt;=0,0,YEARFRAC(RPT,Bankingbook_MSB[[#This Row],[Mat. Date]],3))</f>
        <v>2.3808219178082193</v>
      </c>
      <c r="CA120" s="71" t="str">
        <f>IF(Bankingbook_MSB[[#This Row],[Days (year)]]=0,0,INDEX(Ref!$K$2:$K$13,MATCH(Bankingbook_MSB[[#This Row],[Days (year)]],Ref!$I$2:$I$13,1)))</f>
        <v>2Y</v>
      </c>
      <c r="CB120" s="32" t="str">
        <f>VLOOKUP(Bankingbook_MSB[[#This Row],[Security Name]],Ref!X:Z,3,0)</f>
        <v>TPCP</v>
      </c>
      <c r="CC120" s="32" t="str">
        <f>VLOOKUP(Bankingbook_MSB[[#This Row],[Security Name]],Ref!X:Y,2,0)</f>
        <v>KBNN</v>
      </c>
      <c r="CD120" s="72">
        <f>IF((Bankingbook_MSB[[#This Row],[Mat. Date]]-RPT)&lt;=0,0,Bankingbook_MSB[[#This Row],[QUANTITY]])</f>
        <v>0</v>
      </c>
      <c r="CE120" s="71">
        <f>IF(Bankingbook_MSB[[#This Row],[Quantity_edited]]=0,0,Bankingbook_MSB[[#This Row],[DURATION]])</f>
        <v>0</v>
      </c>
      <c r="CF120" s="71">
        <f>IF(Bankingbook_MSB[[#This Row],[Quantity_edited]]=0,0,Bankingbook_MSB[[#This Row],[Mod Dur]])</f>
        <v>0</v>
      </c>
      <c r="CG120" s="71">
        <f>IF(Bankingbook_MSB[[#This Row],[Quantity_edited]]=0,0,Bankingbook_MSB[[#This Row],[Cnvx.]])</f>
        <v>0</v>
      </c>
      <c r="CH120" s="71">
        <f>(Bankingbook_MSB[[#This Row],[MARKET_VALUE]]+Bankingbook_MSB[[#This Row],[Accr Int]]*Bankingbook_MSB[[#This Row],[Quantity_edited]])*(-Bankingbook_MSB[[#This Row],[Modified Duration]]*0.0001+0.5*Bankingbook_MSB[[#This Row],[Conv]]*(0.0001^2))</f>
        <v>0</v>
      </c>
      <c r="CI120" s="71">
        <f>(Bankingbook_MSB[[#This Row],[MARKET_VALUE]]+Bankingbook_MSB[[#This Row],[Accr Int]]*Bankingbook_MSB[[#This Row],[Quantity_edited]])*(-Bankingbook_MSB[[#This Row],[Modified Duration]]*0.01+0.5*Bankingbook_MSB[[#This Row],[Conv]]*(0.01^2))</f>
        <v>0</v>
      </c>
      <c r="CL120" t="s">
        <v>166</v>
      </c>
      <c r="CM120" t="s">
        <v>167</v>
      </c>
      <c r="CN120" t="s">
        <v>296</v>
      </c>
      <c r="CO120" t="s">
        <v>169</v>
      </c>
      <c r="CP120" s="35">
        <v>42521</v>
      </c>
      <c r="CQ120" t="s">
        <v>3322</v>
      </c>
      <c r="CR120" t="s">
        <v>174</v>
      </c>
      <c r="CS120" t="s">
        <v>174</v>
      </c>
      <c r="CT120" s="49">
        <v>0</v>
      </c>
      <c r="CU120">
        <v>0</v>
      </c>
      <c r="CV120">
        <v>0</v>
      </c>
      <c r="CW120" s="70">
        <v>0</v>
      </c>
      <c r="CX120">
        <v>6.7</v>
      </c>
      <c r="CY120">
        <v>0</v>
      </c>
      <c r="CZ120">
        <v>0</v>
      </c>
      <c r="DA120">
        <v>3.9999999999999998E-6</v>
      </c>
      <c r="DB120">
        <v>68203712.36111021</v>
      </c>
      <c r="DC120">
        <v>6.7</v>
      </c>
      <c r="DD120">
        <v>0</v>
      </c>
      <c r="DE120">
        <v>0</v>
      </c>
      <c r="DF120">
        <v>0</v>
      </c>
      <c r="DG120">
        <v>0</v>
      </c>
      <c r="DH120">
        <v>0</v>
      </c>
      <c r="DI120">
        <v>0</v>
      </c>
      <c r="DJ120" s="500">
        <v>1671500000</v>
      </c>
      <c r="DK120" s="500">
        <v>0</v>
      </c>
      <c r="DL120" s="37">
        <v>1671500000</v>
      </c>
      <c r="DM120" s="37">
        <v>1671500000</v>
      </c>
      <c r="DN120" s="37">
        <v>1671500000</v>
      </c>
      <c r="DO120" s="37">
        <v>1671500000</v>
      </c>
      <c r="DP120" s="32">
        <f>Tradingbook_SBV[[#This Row],[Mat. Date]]-RPT</f>
        <v>-3731</v>
      </c>
      <c r="DQ120" s="32">
        <f>IF(Tradingbook_SBV[[#This Row],[Days]]&lt;=0,0,YEARFRAC(RPT,Tradingbook_SBV[[#This Row],[Mat. Date]],3))</f>
        <v>0</v>
      </c>
      <c r="DR120" s="32">
        <f>IF(Tradingbook_SBV[[#This Row],[Days (year)]]=0,0,INDEX(Ref!$K$2:$K$13,MATCH(Tradingbook_SBV[[#This Row],[Days (year)]],Ref!$I$2:$I$13,1)))</f>
        <v>0</v>
      </c>
      <c r="DS120" s="32" t="str">
        <f>VLOOKUP(Tradingbook_SBV[[#This Row],[Security Name]],Ref!X:Z,3,0)</f>
        <v>TPCP</v>
      </c>
      <c r="DT120" s="32" t="str">
        <f>VLOOKUP(Tradingbook_SBV[[#This Row],[Security Name]],Ref!X:Y,2,0)</f>
        <v>KBNN</v>
      </c>
      <c r="DU120" s="71">
        <f>IF((Tradingbook_SBV[[#This Row],[Mat. Date]]-RPT)&lt;=0,0,Tradingbook_SBV[[#This Row],[QUANTITY]])</f>
        <v>0</v>
      </c>
      <c r="DV120" s="71">
        <f>IF(Tradingbook_SBV[[#This Row],[Quantity_edited]]=0,0,Tradingbook_SBV[[#This Row],[DURATION]])</f>
        <v>0</v>
      </c>
      <c r="DW120" s="71">
        <f>IF(Tradingbook_SBV[[#This Row],[Quantity_edited]]=0,0,Tradingbook_SBV[[#This Row],[Mod Dur]])</f>
        <v>0</v>
      </c>
      <c r="DX120" s="71">
        <f>IF(Tradingbook_SBV[[#This Row],[Quantity_edited]]=0,0,Tradingbook_SBV[[#This Row],[Cnvx.]])</f>
        <v>0</v>
      </c>
      <c r="DY120" s="71">
        <f>(Tradingbook_SBV[[#This Row],[MARKET_VALUE]]+Tradingbook_SBV[[#This Row],[Accr Int]]*Tradingbook_SBV[[#This Row],[Quantity_edited]])*(-Tradingbook_SBV[[#This Row],[Modified Duration]]*0.0001+0.5*Tradingbook_SBV[[#This Row],[Conv]]*(0.0001^2))</f>
        <v>0</v>
      </c>
      <c r="DZ120" s="71">
        <f>(Tradingbook_SBV[[#This Row],[MARKET_VALUE]]+Tradingbook_SBV[[#This Row],[Accr Int]]*Tradingbook_SBV[[#This Row],[Quantity_edited]])*(-Tradingbook_SBV[[#This Row],[Modified Duration]]*0.01+0.5*Tradingbook_SBV[[#This Row],[Conv]]*(0.01^2))</f>
        <v>0</v>
      </c>
      <c r="EC120" t="s">
        <v>166</v>
      </c>
      <c r="ED120" t="s">
        <v>167</v>
      </c>
      <c r="EE120" t="s">
        <v>516</v>
      </c>
      <c r="EF120" t="s">
        <v>169</v>
      </c>
      <c r="EG120" s="35" t="s">
        <v>3755</v>
      </c>
      <c r="EH120" t="s">
        <v>170</v>
      </c>
      <c r="EK120" s="500">
        <v>1500000</v>
      </c>
      <c r="EL120" s="500">
        <v>150000000000</v>
      </c>
      <c r="EM120" s="500">
        <v>104060.667</v>
      </c>
      <c r="EN120" s="500">
        <v>0</v>
      </c>
      <c r="EO120">
        <v>9.4</v>
      </c>
      <c r="EP120">
        <v>0</v>
      </c>
      <c r="EQ120">
        <v>61100000000</v>
      </c>
      <c r="ER120">
        <v>63552717194.444473</v>
      </c>
      <c r="ES120">
        <v>-14262790401.805717</v>
      </c>
      <c r="ET120">
        <v>9.4</v>
      </c>
      <c r="EU120">
        <v>0</v>
      </c>
      <c r="EV120">
        <v>0</v>
      </c>
      <c r="EW120">
        <v>0</v>
      </c>
      <c r="EX120">
        <v>0</v>
      </c>
      <c r="EY120">
        <v>0</v>
      </c>
      <c r="EZ120">
        <v>0</v>
      </c>
      <c r="FA120">
        <v>-9593800000.0000076</v>
      </c>
      <c r="FB120">
        <v>0</v>
      </c>
      <c r="FC120">
        <v>-9593800000.0000076</v>
      </c>
      <c r="FD120">
        <v>-9593800000.0000076</v>
      </c>
      <c r="FE120">
        <v>-9593800000</v>
      </c>
      <c r="FF120">
        <v>-9593800000.0000076</v>
      </c>
      <c r="FG120" s="32">
        <f>Bankingbook_SBV[[#This Row],[Mat. Date]]-RPT</f>
        <v>-1242</v>
      </c>
      <c r="FH120" s="32">
        <f>IF(Bankingbook_SBV[[#This Row],[Days]]&lt;=0,0,YEARFRAC(RPT,Bankingbook_SBV[[#This Row],[Mat. Date]],3))</f>
        <v>0</v>
      </c>
      <c r="FI120" s="32">
        <f>IF(Bankingbook_SBV[[#This Row],[Days (year)]]=0,0,INDEX(Ref!$K$2:$K$13,MATCH(Bankingbook_SBV[[#This Row],[Days (year)]],Ref!$I$2:$I$13,1)))</f>
        <v>0</v>
      </c>
      <c r="FJ120" s="32" t="str">
        <f>VLOOKUP(Bankingbook_SBV[[#This Row],[Security Name]],Ref!X:Z,3,0)</f>
        <v>TPCPBL</v>
      </c>
      <c r="FK120" s="32" t="str">
        <f>VLOOKUP(Bankingbook_SBV[[#This Row],[Security Name]],Ref!X:Y,2,0)</f>
        <v>VDB</v>
      </c>
      <c r="FL120" s="72">
        <f>IF((Bankingbook_SBV[[#This Row],[Mat. Date]]-RPT)&lt;=0,0,Bankingbook_SBV[[#This Row],[QUANTITY]])</f>
        <v>0</v>
      </c>
      <c r="FM120" s="32">
        <f>IF(Bankingbook_SBV[[#This Row],[Quantity_edited]]=0,0,Bankingbook_SBV[[#This Row],[DURATION]])</f>
        <v>0</v>
      </c>
      <c r="FN120" s="32">
        <f>IF(Bankingbook_SBV[[#This Row],[Quantity_edited]]=0,0,Bankingbook_SBV[[#This Row],[Mod Dur]])</f>
        <v>0</v>
      </c>
      <c r="FO120" s="32">
        <f>IF(Bankingbook_SBV[[#This Row],[Quantity_edited]]=0,0,Bankingbook_SBV[[#This Row],[Cnvx.]])</f>
        <v>0</v>
      </c>
      <c r="FP120" s="32">
        <f>(Bankingbook_SBV[[#This Row],[MARKET_VALUE]]+Bankingbook_SBV[[#This Row],[Accr Int]]*Bankingbook_SBV[[#This Row],[Quantity_edited]])*(-Bankingbook_SBV[[#This Row],[Modified Duration]]*0.0001+0.5*Bankingbook_SBV[[#This Row],[Conv]]*(0.0001^2))</f>
        <v>0</v>
      </c>
      <c r="FQ120" s="32">
        <f>(Bankingbook_SBV[[#This Row],[MARKET_VALUE]]+Bankingbook_SBV[[#This Row],[Accr Int]]*Bankingbook_SBV[[#This Row],[Quantity_edited]])*(-Bankingbook_SBV[[#This Row],[Modified Duration]]*0.01+0.5*Bankingbook_SBV[[#This Row],[Conv]]*(0.01^2))</f>
        <v>0</v>
      </c>
    </row>
    <row r="121" spans="2:173" x14ac:dyDescent="0.3">
      <c r="B121" t="s">
        <v>166</v>
      </c>
      <c r="C121" t="s">
        <v>167</v>
      </c>
      <c r="D121" t="s">
        <v>297</v>
      </c>
      <c r="E121" t="s">
        <v>169</v>
      </c>
      <c r="F121" s="502">
        <v>42541</v>
      </c>
      <c r="G121" t="s">
        <v>3322</v>
      </c>
      <c r="H121"/>
      <c r="I121"/>
      <c r="J121" s="38">
        <v>0</v>
      </c>
      <c r="K121">
        <v>0</v>
      </c>
      <c r="L121">
        <v>0</v>
      </c>
      <c r="M121" s="38">
        <v>0</v>
      </c>
      <c r="N121">
        <v>12.3</v>
      </c>
      <c r="O121">
        <v>0</v>
      </c>
      <c r="P121" s="37">
        <v>0</v>
      </c>
      <c r="Q121" s="37">
        <v>-3.9999999999999998E-6</v>
      </c>
      <c r="R121" s="37">
        <v>-173047789.39999485</v>
      </c>
      <c r="S121">
        <v>12.3</v>
      </c>
      <c r="T121" s="70">
        <v>0</v>
      </c>
      <c r="U121">
        <v>0</v>
      </c>
      <c r="V121">
        <v>0</v>
      </c>
      <c r="W121">
        <v>0</v>
      </c>
      <c r="X121" s="38">
        <v>0</v>
      </c>
      <c r="Y121">
        <v>0</v>
      </c>
      <c r="Z121" s="70">
        <v>-62640000</v>
      </c>
      <c r="AA121" s="70">
        <v>0</v>
      </c>
      <c r="AB121" s="70">
        <v>-62640000</v>
      </c>
      <c r="AC121" s="70">
        <v>-62640000</v>
      </c>
      <c r="AD121" s="70">
        <v>-62640000</v>
      </c>
      <c r="AE121" s="70">
        <v>-62640000</v>
      </c>
      <c r="AF121">
        <v>0</v>
      </c>
      <c r="AG121" s="72">
        <f>Tradingbook_MSB[[#This Row],[Mat. Date]]-RPT</f>
        <v>-3711</v>
      </c>
      <c r="AH121" s="71">
        <f>IF(Tradingbook_MSB[[#This Row],[Days]]&lt;=0,0,YEARFRAC(RPT,Tradingbook_MSB[[#This Row],[Mat. Date]],3))</f>
        <v>0</v>
      </c>
      <c r="AI121" s="71">
        <f>IF(Tradingbook_MSB[[#This Row],[Days (year)]]=0,0,INDEX(Ref!$K$2:$K$13,MATCH(Tradingbook_MSB[[#This Row],[Days (year)]],Ref!$I$2:$I$13,1)))</f>
        <v>0</v>
      </c>
      <c r="AJ121" s="120" t="str">
        <f>VLOOKUP(Tradingbook_MSB[[#This Row],[Security Name]],Ref!X:Z,3,0)</f>
        <v>TPCP</v>
      </c>
      <c r="AK121" s="120" t="str">
        <f>VLOOKUP(Tradingbook_MSB[[#This Row],[Security Name]],Ref!X:Y,2,0)</f>
        <v>KBNN</v>
      </c>
      <c r="AL121" s="71">
        <f>IF((Tradingbook_MSB[[#This Row],[Mat. Date]]-RPT)&lt;=0,0,Tradingbook_MSB[[#This Row],[QUANTITY]])</f>
        <v>0</v>
      </c>
      <c r="AM121" s="71">
        <f>IF(Tradingbook_MSB[[#This Row],[Quantity_edited]]=0,0,Tradingbook_MSB[[#This Row],[DURATION]])</f>
        <v>0</v>
      </c>
      <c r="AN121" s="71">
        <f>IF(Tradingbook_MSB[[#This Row],[Quantity_edited]]=0,0,Tradingbook_MSB[[#This Row],[Mod Dur]])</f>
        <v>0</v>
      </c>
      <c r="AO121" s="71">
        <f>IF(Tradingbook_MSB[[#This Row],[Quantity_edited]]=0,0,Tradingbook_MSB[[#This Row],[Cnvx.]])</f>
        <v>0</v>
      </c>
      <c r="AP121" s="71">
        <f>(Tradingbook_MSB[[#This Row],[MARKET_VALUE]]+Tradingbook_MSB[[#This Row],[Accr Int]]*Tradingbook_MSB[[#This Row],[Quantity_edited]])*(-Tradingbook_MSB[[#This Row],[Modified Duration]]*0.0001+0.5*Tradingbook_MSB[[#This Row],[Conv]]*(0.0001^2))</f>
        <v>0</v>
      </c>
      <c r="AQ121" s="72">
        <f>(Tradingbook_MSB[[#This Row],[MARKET_VALUE]]+Tradingbook_MSB[[#This Row],[Accr Int]]*Tradingbook_MSB[[#This Row],[Quantity_edited]])*(-Tradingbook_MSB[[#This Row],[Modified Duration]]*0.01+0.5*Tradingbook_MSB[[#This Row],[Conv]]*(0.01^2))</f>
        <v>0</v>
      </c>
      <c r="AR121" s="71"/>
      <c r="AT121" t="s">
        <v>166</v>
      </c>
      <c r="AU121" t="s">
        <v>3299</v>
      </c>
      <c r="AV121" t="s">
        <v>591</v>
      </c>
      <c r="AW121" t="s">
        <v>169</v>
      </c>
      <c r="AX121" t="s">
        <v>3415</v>
      </c>
      <c r="AY121" t="s">
        <v>3322</v>
      </c>
      <c r="AZ121">
        <v>102597</v>
      </c>
      <c r="BA121">
        <v>102597</v>
      </c>
      <c r="BB121">
        <v>0</v>
      </c>
      <c r="BC121">
        <v>0</v>
      </c>
      <c r="BD121">
        <v>0</v>
      </c>
      <c r="BE121">
        <v>0</v>
      </c>
      <c r="BF121">
        <v>4.8</v>
      </c>
      <c r="BG121">
        <v>2617</v>
      </c>
      <c r="BH121">
        <v>14400000000</v>
      </c>
      <c r="BI121">
        <v>16671603999.999952</v>
      </c>
      <c r="BJ121">
        <v>-428764050.41646576</v>
      </c>
      <c r="BK121">
        <v>3.6652110200000001</v>
      </c>
      <c r="BL121">
        <v>2.2396518000459</v>
      </c>
      <c r="BM121">
        <v>2.3217397599999998</v>
      </c>
      <c r="BN121">
        <v>7.3673709839542001</v>
      </c>
      <c r="BO121">
        <v>0</v>
      </c>
      <c r="BP121">
        <v>0</v>
      </c>
      <c r="BQ121">
        <v>0</v>
      </c>
      <c r="BR121">
        <v>12039000000</v>
      </c>
      <c r="BS121">
        <v>0</v>
      </c>
      <c r="BT121">
        <v>12039000000</v>
      </c>
      <c r="BU121">
        <v>12039000000</v>
      </c>
      <c r="BV121">
        <v>12039000000</v>
      </c>
      <c r="BW121">
        <v>12039000000</v>
      </c>
      <c r="BX121">
        <v>0</v>
      </c>
      <c r="BY121" s="32">
        <f>Bankingbook_MSB[[#This Row],[Mat. Date]]-RPT</f>
        <v>897</v>
      </c>
      <c r="BZ121" s="71">
        <f>IF(Bankingbook_MSB[[#This Row],[Days]]&lt;=0,0,YEARFRAC(RPT,Bankingbook_MSB[[#This Row],[Mat. Date]],3))</f>
        <v>2.4575342465753423</v>
      </c>
      <c r="CA121" s="71" t="str">
        <f>IF(Bankingbook_MSB[[#This Row],[Days (year)]]=0,0,INDEX(Ref!$K$2:$K$13,MATCH(Bankingbook_MSB[[#This Row],[Days (year)]],Ref!$I$2:$I$13,1)))</f>
        <v>2Y</v>
      </c>
      <c r="CB121" s="32" t="str">
        <f>VLOOKUP(Bankingbook_MSB[[#This Row],[Security Name]],Ref!X:Z,3,0)</f>
        <v>TPCP</v>
      </c>
      <c r="CC121" s="32" t="str">
        <f>VLOOKUP(Bankingbook_MSB[[#This Row],[Security Name]],Ref!X:Y,2,0)</f>
        <v>KBNN</v>
      </c>
      <c r="CD121" s="72">
        <f>IF((Bankingbook_MSB[[#This Row],[Mat. Date]]-RPT)&lt;=0,0,Bankingbook_MSB[[#This Row],[QUANTITY]])</f>
        <v>0</v>
      </c>
      <c r="CE121" s="71">
        <f>IF(Bankingbook_MSB[[#This Row],[Quantity_edited]]=0,0,Bankingbook_MSB[[#This Row],[DURATION]])</f>
        <v>0</v>
      </c>
      <c r="CF121" s="71">
        <f>IF(Bankingbook_MSB[[#This Row],[Quantity_edited]]=0,0,Bankingbook_MSB[[#This Row],[Mod Dur]])</f>
        <v>0</v>
      </c>
      <c r="CG121" s="71">
        <f>IF(Bankingbook_MSB[[#This Row],[Quantity_edited]]=0,0,Bankingbook_MSB[[#This Row],[Cnvx.]])</f>
        <v>0</v>
      </c>
      <c r="CH121" s="71">
        <f>(Bankingbook_MSB[[#This Row],[MARKET_VALUE]]+Bankingbook_MSB[[#This Row],[Accr Int]]*Bankingbook_MSB[[#This Row],[Quantity_edited]])*(-Bankingbook_MSB[[#This Row],[Modified Duration]]*0.0001+0.5*Bankingbook_MSB[[#This Row],[Conv]]*(0.0001^2))</f>
        <v>0</v>
      </c>
      <c r="CI121" s="71">
        <f>(Bankingbook_MSB[[#This Row],[MARKET_VALUE]]+Bankingbook_MSB[[#This Row],[Accr Int]]*Bankingbook_MSB[[#This Row],[Quantity_edited]])*(-Bankingbook_MSB[[#This Row],[Modified Duration]]*0.01+0.5*Bankingbook_MSB[[#This Row],[Conv]]*(0.01^2))</f>
        <v>0</v>
      </c>
      <c r="CL121" t="s">
        <v>166</v>
      </c>
      <c r="CM121" t="s">
        <v>167</v>
      </c>
      <c r="CN121" t="s">
        <v>297</v>
      </c>
      <c r="CO121" t="s">
        <v>169</v>
      </c>
      <c r="CP121" s="35">
        <v>42541</v>
      </c>
      <c r="CQ121" t="s">
        <v>3322</v>
      </c>
      <c r="CR121" t="s">
        <v>174</v>
      </c>
      <c r="CS121" t="s">
        <v>174</v>
      </c>
      <c r="CT121" s="49">
        <v>0</v>
      </c>
      <c r="CU121">
        <v>0</v>
      </c>
      <c r="CV121">
        <v>0</v>
      </c>
      <c r="CW121" s="70">
        <v>0</v>
      </c>
      <c r="CX121">
        <v>12.3</v>
      </c>
      <c r="CY121">
        <v>0</v>
      </c>
      <c r="CZ121">
        <v>0</v>
      </c>
      <c r="DA121">
        <v>-3.9999999999999998E-6</v>
      </c>
      <c r="DB121">
        <v>-173047789.39999485</v>
      </c>
      <c r="DC121">
        <v>12.3</v>
      </c>
      <c r="DD121">
        <v>0</v>
      </c>
      <c r="DE121">
        <v>0</v>
      </c>
      <c r="DF121">
        <v>0</v>
      </c>
      <c r="DG121">
        <v>0</v>
      </c>
      <c r="DH121">
        <v>0</v>
      </c>
      <c r="DI121">
        <v>0</v>
      </c>
      <c r="DJ121" s="500">
        <v>-62640000</v>
      </c>
      <c r="DK121" s="500">
        <v>0</v>
      </c>
      <c r="DL121" s="37">
        <v>-62640000</v>
      </c>
      <c r="DM121" s="37">
        <v>-62640000</v>
      </c>
      <c r="DN121" s="37">
        <v>-62640000</v>
      </c>
      <c r="DO121" s="37">
        <v>-62640000</v>
      </c>
      <c r="DP121" s="32">
        <f>Tradingbook_SBV[[#This Row],[Mat. Date]]-RPT</f>
        <v>-3711</v>
      </c>
      <c r="DQ121" s="32">
        <f>IF(Tradingbook_SBV[[#This Row],[Days]]&lt;=0,0,YEARFRAC(RPT,Tradingbook_SBV[[#This Row],[Mat. Date]],3))</f>
        <v>0</v>
      </c>
      <c r="DR121" s="32">
        <f>IF(Tradingbook_SBV[[#This Row],[Days (year)]]=0,0,INDEX(Ref!$K$2:$K$13,MATCH(Tradingbook_SBV[[#This Row],[Days (year)]],Ref!$I$2:$I$13,1)))</f>
        <v>0</v>
      </c>
      <c r="DS121" s="32" t="str">
        <f>VLOOKUP(Tradingbook_SBV[[#This Row],[Security Name]],Ref!X:Z,3,0)</f>
        <v>TPCP</v>
      </c>
      <c r="DT121" s="32" t="str">
        <f>VLOOKUP(Tradingbook_SBV[[#This Row],[Security Name]],Ref!X:Y,2,0)</f>
        <v>KBNN</v>
      </c>
      <c r="DU121" s="71">
        <f>IF((Tradingbook_SBV[[#This Row],[Mat. Date]]-RPT)&lt;=0,0,Tradingbook_SBV[[#This Row],[QUANTITY]])</f>
        <v>0</v>
      </c>
      <c r="DV121" s="71">
        <f>IF(Tradingbook_SBV[[#This Row],[Quantity_edited]]=0,0,Tradingbook_SBV[[#This Row],[DURATION]])</f>
        <v>0</v>
      </c>
      <c r="DW121" s="71">
        <f>IF(Tradingbook_SBV[[#This Row],[Quantity_edited]]=0,0,Tradingbook_SBV[[#This Row],[Mod Dur]])</f>
        <v>0</v>
      </c>
      <c r="DX121" s="71">
        <f>IF(Tradingbook_SBV[[#This Row],[Quantity_edited]]=0,0,Tradingbook_SBV[[#This Row],[Cnvx.]])</f>
        <v>0</v>
      </c>
      <c r="DY121" s="71">
        <f>(Tradingbook_SBV[[#This Row],[MARKET_VALUE]]+Tradingbook_SBV[[#This Row],[Accr Int]]*Tradingbook_SBV[[#This Row],[Quantity_edited]])*(-Tradingbook_SBV[[#This Row],[Modified Duration]]*0.0001+0.5*Tradingbook_SBV[[#This Row],[Conv]]*(0.0001^2))</f>
        <v>0</v>
      </c>
      <c r="DZ121" s="71">
        <f>(Tradingbook_SBV[[#This Row],[MARKET_VALUE]]+Tradingbook_SBV[[#This Row],[Accr Int]]*Tradingbook_SBV[[#This Row],[Quantity_edited]])*(-Tradingbook_SBV[[#This Row],[Modified Duration]]*0.01+0.5*Tradingbook_SBV[[#This Row],[Conv]]*(0.01^2))</f>
        <v>0</v>
      </c>
      <c r="EC121" t="s">
        <v>166</v>
      </c>
      <c r="ED121" t="s">
        <v>167</v>
      </c>
      <c r="EE121" t="s">
        <v>517</v>
      </c>
      <c r="EF121" t="s">
        <v>169</v>
      </c>
      <c r="EG121" s="35" t="s">
        <v>3394</v>
      </c>
      <c r="EH121" t="s">
        <v>170</v>
      </c>
      <c r="EK121" s="500">
        <v>1500000</v>
      </c>
      <c r="EL121" s="500">
        <v>150000000000</v>
      </c>
      <c r="EM121" s="500">
        <v>116076</v>
      </c>
      <c r="EN121" s="500">
        <v>0</v>
      </c>
      <c r="EO121">
        <v>9.4</v>
      </c>
      <c r="EP121">
        <v>0</v>
      </c>
      <c r="EQ121">
        <v>42300000000</v>
      </c>
      <c r="ER121">
        <v>43489765833.333336</v>
      </c>
      <c r="ES121">
        <v>-9087063509.3750076</v>
      </c>
      <c r="ET121">
        <v>9.4</v>
      </c>
      <c r="EU121">
        <v>0</v>
      </c>
      <c r="EV121">
        <v>0</v>
      </c>
      <c r="EW121">
        <v>0</v>
      </c>
      <c r="EX121">
        <v>0</v>
      </c>
      <c r="EY121">
        <v>0</v>
      </c>
      <c r="EZ121">
        <v>0</v>
      </c>
      <c r="FA121">
        <v>-24474000000</v>
      </c>
      <c r="FB121">
        <v>0</v>
      </c>
      <c r="FC121">
        <v>-24474000000</v>
      </c>
      <c r="FD121">
        <v>-24474000000</v>
      </c>
      <c r="FE121">
        <v>-24474000000</v>
      </c>
      <c r="FF121">
        <v>-24474000000</v>
      </c>
      <c r="FG121" s="32">
        <f>Bankingbook_SBV[[#This Row],[Mat. Date]]-RPT</f>
        <v>-1231</v>
      </c>
      <c r="FH121" s="32">
        <f>IF(Bankingbook_SBV[[#This Row],[Days]]&lt;=0,0,YEARFRAC(RPT,Bankingbook_SBV[[#This Row],[Mat. Date]],3))</f>
        <v>0</v>
      </c>
      <c r="FI121" s="32">
        <f>IF(Bankingbook_SBV[[#This Row],[Days (year)]]=0,0,INDEX(Ref!$K$2:$K$13,MATCH(Bankingbook_SBV[[#This Row],[Days (year)]],Ref!$I$2:$I$13,1)))</f>
        <v>0</v>
      </c>
      <c r="FJ121" s="32" t="str">
        <f>VLOOKUP(Bankingbook_SBV[[#This Row],[Security Name]],Ref!X:Z,3,0)</f>
        <v>TPCPBL</v>
      </c>
      <c r="FK121" s="32" t="str">
        <f>VLOOKUP(Bankingbook_SBV[[#This Row],[Security Name]],Ref!X:Y,2,0)</f>
        <v>VDB</v>
      </c>
      <c r="FL121" s="72">
        <f>IF((Bankingbook_SBV[[#This Row],[Mat. Date]]-RPT)&lt;=0,0,Bankingbook_SBV[[#This Row],[QUANTITY]])</f>
        <v>0</v>
      </c>
      <c r="FM121" s="32">
        <f>IF(Bankingbook_SBV[[#This Row],[Quantity_edited]]=0,0,Bankingbook_SBV[[#This Row],[DURATION]])</f>
        <v>0</v>
      </c>
      <c r="FN121" s="32">
        <f>IF(Bankingbook_SBV[[#This Row],[Quantity_edited]]=0,0,Bankingbook_SBV[[#This Row],[Mod Dur]])</f>
        <v>0</v>
      </c>
      <c r="FO121" s="32">
        <f>IF(Bankingbook_SBV[[#This Row],[Quantity_edited]]=0,0,Bankingbook_SBV[[#This Row],[Cnvx.]])</f>
        <v>0</v>
      </c>
      <c r="FP121" s="32">
        <f>(Bankingbook_SBV[[#This Row],[MARKET_VALUE]]+Bankingbook_SBV[[#This Row],[Accr Int]]*Bankingbook_SBV[[#This Row],[Quantity_edited]])*(-Bankingbook_SBV[[#This Row],[Modified Duration]]*0.0001+0.5*Bankingbook_SBV[[#This Row],[Conv]]*(0.0001^2))</f>
        <v>0</v>
      </c>
      <c r="FQ121" s="32">
        <f>(Bankingbook_SBV[[#This Row],[MARKET_VALUE]]+Bankingbook_SBV[[#This Row],[Accr Int]]*Bankingbook_SBV[[#This Row],[Quantity_edited]])*(-Bankingbook_SBV[[#This Row],[Modified Duration]]*0.01+0.5*Bankingbook_SBV[[#This Row],[Conv]]*(0.01^2))</f>
        <v>0</v>
      </c>
    </row>
    <row r="122" spans="2:173" x14ac:dyDescent="0.3">
      <c r="B122" t="s">
        <v>166</v>
      </c>
      <c r="C122" t="s">
        <v>167</v>
      </c>
      <c r="D122" t="s">
        <v>298</v>
      </c>
      <c r="E122" t="s">
        <v>169</v>
      </c>
      <c r="F122" s="502">
        <v>42551</v>
      </c>
      <c r="G122" t="s">
        <v>3322</v>
      </c>
      <c r="H122"/>
      <c r="I122"/>
      <c r="J122" s="38">
        <v>0</v>
      </c>
      <c r="K122">
        <v>0</v>
      </c>
      <c r="L122">
        <v>0</v>
      </c>
      <c r="M122" s="38">
        <v>0</v>
      </c>
      <c r="N122">
        <v>5.6</v>
      </c>
      <c r="O122">
        <v>0</v>
      </c>
      <c r="P122" s="37">
        <v>0</v>
      </c>
      <c r="Q122" s="37">
        <v>-3.0000000000000001E-6</v>
      </c>
      <c r="R122" s="37">
        <v>-78843770.444441795</v>
      </c>
      <c r="S122">
        <v>5.6</v>
      </c>
      <c r="T122" s="70">
        <v>0</v>
      </c>
      <c r="U122">
        <v>0</v>
      </c>
      <c r="V122">
        <v>0</v>
      </c>
      <c r="W122">
        <v>0</v>
      </c>
      <c r="X122" s="38">
        <v>0</v>
      </c>
      <c r="Y122">
        <v>0</v>
      </c>
      <c r="Z122" s="70">
        <v>231920000</v>
      </c>
      <c r="AA122" s="70">
        <v>0</v>
      </c>
      <c r="AB122" s="70">
        <v>231920000</v>
      </c>
      <c r="AC122" s="70">
        <v>231920000</v>
      </c>
      <c r="AD122" s="70">
        <v>231920000</v>
      </c>
      <c r="AE122" s="70">
        <v>231920000</v>
      </c>
      <c r="AF122">
        <v>0</v>
      </c>
      <c r="AG122" s="72">
        <f>Tradingbook_MSB[[#This Row],[Mat. Date]]-RPT</f>
        <v>-3701</v>
      </c>
      <c r="AH122" s="71">
        <f>IF(Tradingbook_MSB[[#This Row],[Days]]&lt;=0,0,YEARFRAC(RPT,Tradingbook_MSB[[#This Row],[Mat. Date]],3))</f>
        <v>0</v>
      </c>
      <c r="AI122" s="71">
        <f>IF(Tradingbook_MSB[[#This Row],[Days (year)]]=0,0,INDEX(Ref!$K$2:$K$13,MATCH(Tradingbook_MSB[[#This Row],[Days (year)]],Ref!$I$2:$I$13,1)))</f>
        <v>0</v>
      </c>
      <c r="AJ122" s="120" t="str">
        <f>VLOOKUP(Tradingbook_MSB[[#This Row],[Security Name]],Ref!X:Z,3,0)</f>
        <v>TPCP</v>
      </c>
      <c r="AK122" s="120" t="str">
        <f>VLOOKUP(Tradingbook_MSB[[#This Row],[Security Name]],Ref!X:Y,2,0)</f>
        <v>KBNN</v>
      </c>
      <c r="AL122" s="71">
        <f>IF((Tradingbook_MSB[[#This Row],[Mat. Date]]-RPT)&lt;=0,0,Tradingbook_MSB[[#This Row],[QUANTITY]])</f>
        <v>0</v>
      </c>
      <c r="AM122" s="71">
        <f>IF(Tradingbook_MSB[[#This Row],[Quantity_edited]]=0,0,Tradingbook_MSB[[#This Row],[DURATION]])</f>
        <v>0</v>
      </c>
      <c r="AN122" s="71">
        <f>IF(Tradingbook_MSB[[#This Row],[Quantity_edited]]=0,0,Tradingbook_MSB[[#This Row],[Mod Dur]])</f>
        <v>0</v>
      </c>
      <c r="AO122" s="71">
        <f>IF(Tradingbook_MSB[[#This Row],[Quantity_edited]]=0,0,Tradingbook_MSB[[#This Row],[Cnvx.]])</f>
        <v>0</v>
      </c>
      <c r="AP122" s="71">
        <f>(Tradingbook_MSB[[#This Row],[MARKET_VALUE]]+Tradingbook_MSB[[#This Row],[Accr Int]]*Tradingbook_MSB[[#This Row],[Quantity_edited]])*(-Tradingbook_MSB[[#This Row],[Modified Duration]]*0.0001+0.5*Tradingbook_MSB[[#This Row],[Conv]]*(0.0001^2))</f>
        <v>0</v>
      </c>
      <c r="AQ122" s="72">
        <f>(Tradingbook_MSB[[#This Row],[MARKET_VALUE]]+Tradingbook_MSB[[#This Row],[Accr Int]]*Tradingbook_MSB[[#This Row],[Quantity_edited]])*(-Tradingbook_MSB[[#This Row],[Modified Duration]]*0.01+0.5*Tradingbook_MSB[[#This Row],[Conv]]*(0.01^2))</f>
        <v>0</v>
      </c>
      <c r="AR122" s="71"/>
      <c r="AT122" t="s">
        <v>166</v>
      </c>
      <c r="AU122" t="s">
        <v>3299</v>
      </c>
      <c r="AV122" t="s">
        <v>593</v>
      </c>
      <c r="AW122" t="s">
        <v>169</v>
      </c>
      <c r="AX122" t="s">
        <v>3416</v>
      </c>
      <c r="AY122" t="s">
        <v>170</v>
      </c>
      <c r="AZ122">
        <v>112331</v>
      </c>
      <c r="BA122">
        <v>112331</v>
      </c>
      <c r="BB122">
        <v>14904</v>
      </c>
      <c r="BC122">
        <v>1490400000</v>
      </c>
      <c r="BD122">
        <v>120285.016</v>
      </c>
      <c r="BE122">
        <v>1674181224</v>
      </c>
      <c r="BF122">
        <v>8.8000000000000007</v>
      </c>
      <c r="BG122">
        <v>3761</v>
      </c>
      <c r="BH122">
        <v>340385862400</v>
      </c>
      <c r="BI122">
        <v>411606268585.12396</v>
      </c>
      <c r="BJ122">
        <v>-102638323646.63806</v>
      </c>
      <c r="BK122">
        <v>3.6732719949999999</v>
      </c>
      <c r="BL122">
        <v>2.2691257268527001</v>
      </c>
      <c r="BM122">
        <v>2.3524768900000002</v>
      </c>
      <c r="BN122">
        <v>7.6355478479801997</v>
      </c>
      <c r="BO122">
        <v>132.11293413519999</v>
      </c>
      <c r="BP122">
        <v>-392.61211332099998</v>
      </c>
      <c r="BQ122">
        <v>171.01300000000001</v>
      </c>
      <c r="BR122">
        <v>45039349346.351822</v>
      </c>
      <c r="BS122">
        <v>-118546652.35178657</v>
      </c>
      <c r="BT122">
        <v>44920802694.000038</v>
      </c>
      <c r="BU122">
        <v>44920802694.000038</v>
      </c>
      <c r="BV122">
        <v>44920802694</v>
      </c>
      <c r="BW122">
        <v>44920802694.000038</v>
      </c>
      <c r="BX122">
        <v>6.3187422010000001</v>
      </c>
      <c r="BY122" s="32">
        <f>Bankingbook_MSB[[#This Row],[Mat. Date]]-RPT</f>
        <v>940</v>
      </c>
      <c r="BZ122" s="71">
        <f>IF(Bankingbook_MSB[[#This Row],[Days]]&lt;=0,0,YEARFRAC(RPT,Bankingbook_MSB[[#This Row],[Mat. Date]],3))</f>
        <v>2.5753424657534247</v>
      </c>
      <c r="CA122" s="71" t="str">
        <f>IF(Bankingbook_MSB[[#This Row],[Days (year)]]=0,0,INDEX(Ref!$K$2:$K$13,MATCH(Bankingbook_MSB[[#This Row],[Days (year)]],Ref!$I$2:$I$13,1)))</f>
        <v>3Y</v>
      </c>
      <c r="CB122" s="32" t="str">
        <f>VLOOKUP(Bankingbook_MSB[[#This Row],[Security Name]],Ref!X:Z,3,0)</f>
        <v>TPCP</v>
      </c>
      <c r="CC122" s="32" t="str">
        <f>VLOOKUP(Bankingbook_MSB[[#This Row],[Security Name]],Ref!X:Y,2,0)</f>
        <v>KBNN</v>
      </c>
      <c r="CD122" s="72">
        <f>IF((Bankingbook_MSB[[#This Row],[Mat. Date]]-RPT)&lt;=0,0,Bankingbook_MSB[[#This Row],[QUANTITY]])</f>
        <v>14904</v>
      </c>
      <c r="CE122" s="71">
        <f>IF(Bankingbook_MSB[[#This Row],[Quantity_edited]]=0,0,Bankingbook_MSB[[#This Row],[DURATION]])</f>
        <v>2.3524768900000002</v>
      </c>
      <c r="CF122" s="71">
        <f>IF(Bankingbook_MSB[[#This Row],[Quantity_edited]]=0,0,Bankingbook_MSB[[#This Row],[Mod Dur]])</f>
        <v>2.2691257268527001</v>
      </c>
      <c r="CG122" s="71">
        <f>IF(Bankingbook_MSB[[#This Row],[Quantity_edited]]=0,0,Bankingbook_MSB[[#This Row],[Cnvx.]])</f>
        <v>7.6355478479801997</v>
      </c>
      <c r="CH122" s="71">
        <f>(Bankingbook_MSB[[#This Row],[MARKET_VALUE]]+Bankingbook_MSB[[#This Row],[Accr Int]]*Bankingbook_MSB[[#This Row],[Quantity_edited]])*(-Bankingbook_MSB[[#This Row],[Modified Duration]]*0.0001+0.5*Bankingbook_MSB[[#This Row],[Conv]]*(0.0001^2))</f>
        <v>-392546.05685434275</v>
      </c>
      <c r="CI122" s="71">
        <f>(Bankingbook_MSB[[#This Row],[MARKET_VALUE]]+Bankingbook_MSB[[#This Row],[Accr Int]]*Bankingbook_MSB[[#This Row],[Quantity_edited]])*(-Bankingbook_MSB[[#This Row],[Modified Duration]]*0.01+0.5*Bankingbook_MSB[[#This Row],[Conv]]*(0.01^2))</f>
        <v>-38600646.661464937</v>
      </c>
      <c r="CL122" t="s">
        <v>166</v>
      </c>
      <c r="CM122" t="s">
        <v>167</v>
      </c>
      <c r="CN122" t="s">
        <v>298</v>
      </c>
      <c r="CO122" t="s">
        <v>169</v>
      </c>
      <c r="CP122" s="35">
        <v>42551</v>
      </c>
      <c r="CQ122" t="s">
        <v>3322</v>
      </c>
      <c r="CR122" t="s">
        <v>174</v>
      </c>
      <c r="CS122" t="s">
        <v>174</v>
      </c>
      <c r="CT122" s="49">
        <v>0</v>
      </c>
      <c r="CU122">
        <v>0</v>
      </c>
      <c r="CV122">
        <v>0</v>
      </c>
      <c r="CW122" s="70">
        <v>0</v>
      </c>
      <c r="CX122">
        <v>5.6</v>
      </c>
      <c r="CY122">
        <v>0</v>
      </c>
      <c r="CZ122">
        <v>0</v>
      </c>
      <c r="DA122">
        <v>-3.0000000000000001E-6</v>
      </c>
      <c r="DB122">
        <v>-78843770.444441795</v>
      </c>
      <c r="DC122">
        <v>5.6</v>
      </c>
      <c r="DD122">
        <v>0</v>
      </c>
      <c r="DE122">
        <v>0</v>
      </c>
      <c r="DF122">
        <v>0</v>
      </c>
      <c r="DG122">
        <v>0</v>
      </c>
      <c r="DH122">
        <v>0</v>
      </c>
      <c r="DI122">
        <v>0</v>
      </c>
      <c r="DJ122" s="500">
        <v>231920000</v>
      </c>
      <c r="DK122" s="500">
        <v>0</v>
      </c>
      <c r="DL122" s="37">
        <v>231920000</v>
      </c>
      <c r="DM122" s="37">
        <v>231920000</v>
      </c>
      <c r="DN122" s="37">
        <v>231920000</v>
      </c>
      <c r="DO122" s="37">
        <v>231920000</v>
      </c>
      <c r="DP122" s="32">
        <f>Tradingbook_SBV[[#This Row],[Mat. Date]]-RPT</f>
        <v>-3701</v>
      </c>
      <c r="DQ122" s="32">
        <f>IF(Tradingbook_SBV[[#This Row],[Days]]&lt;=0,0,YEARFRAC(RPT,Tradingbook_SBV[[#This Row],[Mat. Date]],3))</f>
        <v>0</v>
      </c>
      <c r="DR122" s="32">
        <f>IF(Tradingbook_SBV[[#This Row],[Days (year)]]=0,0,INDEX(Ref!$K$2:$K$13,MATCH(Tradingbook_SBV[[#This Row],[Days (year)]],Ref!$I$2:$I$13,1)))</f>
        <v>0</v>
      </c>
      <c r="DS122" s="32" t="str">
        <f>VLOOKUP(Tradingbook_SBV[[#This Row],[Security Name]],Ref!X:Z,3,0)</f>
        <v>TPCP</v>
      </c>
      <c r="DT122" s="32" t="str">
        <f>VLOOKUP(Tradingbook_SBV[[#This Row],[Security Name]],Ref!X:Y,2,0)</f>
        <v>KBNN</v>
      </c>
      <c r="DU122" s="71">
        <f>IF((Tradingbook_SBV[[#This Row],[Mat. Date]]-RPT)&lt;=0,0,Tradingbook_SBV[[#This Row],[QUANTITY]])</f>
        <v>0</v>
      </c>
      <c r="DV122" s="71">
        <f>IF(Tradingbook_SBV[[#This Row],[Quantity_edited]]=0,0,Tradingbook_SBV[[#This Row],[DURATION]])</f>
        <v>0</v>
      </c>
      <c r="DW122" s="71">
        <f>IF(Tradingbook_SBV[[#This Row],[Quantity_edited]]=0,0,Tradingbook_SBV[[#This Row],[Mod Dur]])</f>
        <v>0</v>
      </c>
      <c r="DX122" s="71">
        <f>IF(Tradingbook_SBV[[#This Row],[Quantity_edited]]=0,0,Tradingbook_SBV[[#This Row],[Cnvx.]])</f>
        <v>0</v>
      </c>
      <c r="DY122" s="71">
        <f>(Tradingbook_SBV[[#This Row],[MARKET_VALUE]]+Tradingbook_SBV[[#This Row],[Accr Int]]*Tradingbook_SBV[[#This Row],[Quantity_edited]])*(-Tradingbook_SBV[[#This Row],[Modified Duration]]*0.0001+0.5*Tradingbook_SBV[[#This Row],[Conv]]*(0.0001^2))</f>
        <v>0</v>
      </c>
      <c r="DZ122" s="71">
        <f>(Tradingbook_SBV[[#This Row],[MARKET_VALUE]]+Tradingbook_SBV[[#This Row],[Accr Int]]*Tradingbook_SBV[[#This Row],[Quantity_edited]])*(-Tradingbook_SBV[[#This Row],[Modified Duration]]*0.01+0.5*Tradingbook_SBV[[#This Row],[Conv]]*(0.01^2))</f>
        <v>0</v>
      </c>
      <c r="EC122" t="s">
        <v>166</v>
      </c>
      <c r="ED122" t="s">
        <v>167</v>
      </c>
      <c r="EE122" t="s">
        <v>518</v>
      </c>
      <c r="EF122" t="s">
        <v>169</v>
      </c>
      <c r="EG122" s="35" t="s">
        <v>3756</v>
      </c>
      <c r="EH122" t="s">
        <v>3322</v>
      </c>
      <c r="EK122" s="500">
        <v>0</v>
      </c>
      <c r="EL122" s="500">
        <v>0</v>
      </c>
      <c r="EM122" s="500">
        <v>0</v>
      </c>
      <c r="EN122" s="500">
        <v>0</v>
      </c>
      <c r="EO122">
        <v>6.6</v>
      </c>
      <c r="EP122">
        <v>0</v>
      </c>
      <c r="EQ122">
        <v>0</v>
      </c>
      <c r="ER122">
        <v>-3.0000000000000001E-6</v>
      </c>
      <c r="ES122">
        <v>-100590877.50000143</v>
      </c>
      <c r="ET122">
        <v>6.6</v>
      </c>
      <c r="EU122">
        <v>0</v>
      </c>
      <c r="EV122">
        <v>0</v>
      </c>
      <c r="EW122">
        <v>0</v>
      </c>
      <c r="EX122">
        <v>0</v>
      </c>
      <c r="EY122">
        <v>0</v>
      </c>
      <c r="EZ122">
        <v>0</v>
      </c>
      <c r="FA122">
        <v>-712500000</v>
      </c>
      <c r="FB122">
        <v>0</v>
      </c>
      <c r="FC122">
        <v>-712500000</v>
      </c>
      <c r="FD122">
        <v>-712500000</v>
      </c>
      <c r="FE122">
        <v>-712500000</v>
      </c>
      <c r="FF122">
        <v>-712500000</v>
      </c>
      <c r="FG122" s="32">
        <f>Bankingbook_SBV[[#This Row],[Mat. Date]]-RPT</f>
        <v>-1152</v>
      </c>
      <c r="FH122" s="32">
        <f>IF(Bankingbook_SBV[[#This Row],[Days]]&lt;=0,0,YEARFRAC(RPT,Bankingbook_SBV[[#This Row],[Mat. Date]],3))</f>
        <v>0</v>
      </c>
      <c r="FI122" s="32">
        <f>IF(Bankingbook_SBV[[#This Row],[Days (year)]]=0,0,INDEX(Ref!$K$2:$K$13,MATCH(Bankingbook_SBV[[#This Row],[Days (year)]],Ref!$I$2:$I$13,1)))</f>
        <v>0</v>
      </c>
      <c r="FJ122" s="32" t="str">
        <f>VLOOKUP(Bankingbook_SBV[[#This Row],[Security Name]],Ref!X:Z,3,0)</f>
        <v>TPCP</v>
      </c>
      <c r="FK122" s="32" t="str">
        <f>VLOOKUP(Bankingbook_SBV[[#This Row],[Security Name]],Ref!X:Y,2,0)</f>
        <v>KBNN</v>
      </c>
      <c r="FL122" s="72">
        <f>IF((Bankingbook_SBV[[#This Row],[Mat. Date]]-RPT)&lt;=0,0,Bankingbook_SBV[[#This Row],[QUANTITY]])</f>
        <v>0</v>
      </c>
      <c r="FM122" s="32">
        <f>IF(Bankingbook_SBV[[#This Row],[Quantity_edited]]=0,0,Bankingbook_SBV[[#This Row],[DURATION]])</f>
        <v>0</v>
      </c>
      <c r="FN122" s="32">
        <f>IF(Bankingbook_SBV[[#This Row],[Quantity_edited]]=0,0,Bankingbook_SBV[[#This Row],[Mod Dur]])</f>
        <v>0</v>
      </c>
      <c r="FO122" s="32">
        <f>IF(Bankingbook_SBV[[#This Row],[Quantity_edited]]=0,0,Bankingbook_SBV[[#This Row],[Cnvx.]])</f>
        <v>0</v>
      </c>
      <c r="FP122" s="32">
        <f>(Bankingbook_SBV[[#This Row],[MARKET_VALUE]]+Bankingbook_SBV[[#This Row],[Accr Int]]*Bankingbook_SBV[[#This Row],[Quantity_edited]])*(-Bankingbook_SBV[[#This Row],[Modified Duration]]*0.0001+0.5*Bankingbook_SBV[[#This Row],[Conv]]*(0.0001^2))</f>
        <v>0</v>
      </c>
      <c r="FQ122" s="32">
        <f>(Bankingbook_SBV[[#This Row],[MARKET_VALUE]]+Bankingbook_SBV[[#This Row],[Accr Int]]*Bankingbook_SBV[[#This Row],[Quantity_edited]])*(-Bankingbook_SBV[[#This Row],[Modified Duration]]*0.01+0.5*Bankingbook_SBV[[#This Row],[Conv]]*(0.01^2))</f>
        <v>0</v>
      </c>
    </row>
    <row r="123" spans="2:173" x14ac:dyDescent="0.3">
      <c r="B123" t="s">
        <v>166</v>
      </c>
      <c r="C123" t="s">
        <v>167</v>
      </c>
      <c r="D123" t="s">
        <v>299</v>
      </c>
      <c r="E123" t="s">
        <v>169</v>
      </c>
      <c r="F123" s="502">
        <v>42555</v>
      </c>
      <c r="G123" t="s">
        <v>3322</v>
      </c>
      <c r="H123"/>
      <c r="I123"/>
      <c r="J123" s="38">
        <v>0</v>
      </c>
      <c r="K123">
        <v>0</v>
      </c>
      <c r="L123">
        <v>0</v>
      </c>
      <c r="M123" s="38">
        <v>0</v>
      </c>
      <c r="N123">
        <v>12.3</v>
      </c>
      <c r="O123">
        <v>0</v>
      </c>
      <c r="P123" s="37">
        <v>6150000000</v>
      </c>
      <c r="Q123" s="37">
        <v>6577402791.6666555</v>
      </c>
      <c r="R123" s="37">
        <v>-2509930345.4166598</v>
      </c>
      <c r="S123">
        <v>12.3</v>
      </c>
      <c r="T123" s="70">
        <v>0</v>
      </c>
      <c r="U123">
        <v>0</v>
      </c>
      <c r="V123">
        <v>0</v>
      </c>
      <c r="W123">
        <v>0</v>
      </c>
      <c r="X123" s="38">
        <v>0</v>
      </c>
      <c r="Y123">
        <v>0</v>
      </c>
      <c r="Z123" s="70">
        <v>249000000</v>
      </c>
      <c r="AA123" s="70">
        <v>0</v>
      </c>
      <c r="AB123" s="70">
        <v>249000000</v>
      </c>
      <c r="AC123" s="70">
        <v>249000000</v>
      </c>
      <c r="AD123" s="70">
        <v>249000000</v>
      </c>
      <c r="AE123" s="70">
        <v>249000000</v>
      </c>
      <c r="AF123">
        <v>0</v>
      </c>
      <c r="AG123" s="72">
        <f>Tradingbook_MSB[[#This Row],[Mat. Date]]-RPT</f>
        <v>-3697</v>
      </c>
      <c r="AH123" s="71">
        <f>IF(Tradingbook_MSB[[#This Row],[Days]]&lt;=0,0,YEARFRAC(RPT,Tradingbook_MSB[[#This Row],[Mat. Date]],3))</f>
        <v>0</v>
      </c>
      <c r="AI123" s="71">
        <f>IF(Tradingbook_MSB[[#This Row],[Days (year)]]=0,0,INDEX(Ref!$K$2:$K$13,MATCH(Tradingbook_MSB[[#This Row],[Days (year)]],Ref!$I$2:$I$13,1)))</f>
        <v>0</v>
      </c>
      <c r="AJ123" s="120" t="str">
        <f>VLOOKUP(Tradingbook_MSB[[#This Row],[Security Name]],Ref!X:Z,3,0)</f>
        <v>TPCP</v>
      </c>
      <c r="AK123" s="120" t="str">
        <f>VLOOKUP(Tradingbook_MSB[[#This Row],[Security Name]],Ref!X:Y,2,0)</f>
        <v>KBNN</v>
      </c>
      <c r="AL123" s="71">
        <f>IF((Tradingbook_MSB[[#This Row],[Mat. Date]]-RPT)&lt;=0,0,Tradingbook_MSB[[#This Row],[QUANTITY]])</f>
        <v>0</v>
      </c>
      <c r="AM123" s="71">
        <f>IF(Tradingbook_MSB[[#This Row],[Quantity_edited]]=0,0,Tradingbook_MSB[[#This Row],[DURATION]])</f>
        <v>0</v>
      </c>
      <c r="AN123" s="71">
        <f>IF(Tradingbook_MSB[[#This Row],[Quantity_edited]]=0,0,Tradingbook_MSB[[#This Row],[Mod Dur]])</f>
        <v>0</v>
      </c>
      <c r="AO123" s="71">
        <f>IF(Tradingbook_MSB[[#This Row],[Quantity_edited]]=0,0,Tradingbook_MSB[[#This Row],[Cnvx.]])</f>
        <v>0</v>
      </c>
      <c r="AP123" s="71">
        <f>(Tradingbook_MSB[[#This Row],[MARKET_VALUE]]+Tradingbook_MSB[[#This Row],[Accr Int]]*Tradingbook_MSB[[#This Row],[Quantity_edited]])*(-Tradingbook_MSB[[#This Row],[Modified Duration]]*0.0001+0.5*Tradingbook_MSB[[#This Row],[Conv]]*(0.0001^2))</f>
        <v>0</v>
      </c>
      <c r="AQ123" s="72">
        <f>(Tradingbook_MSB[[#This Row],[MARKET_VALUE]]+Tradingbook_MSB[[#This Row],[Accr Int]]*Tradingbook_MSB[[#This Row],[Quantity_edited]])*(-Tradingbook_MSB[[#This Row],[Modified Duration]]*0.01+0.5*Tradingbook_MSB[[#This Row],[Conv]]*(0.01^2))</f>
        <v>0</v>
      </c>
      <c r="AR123" s="71"/>
      <c r="AT123" t="s">
        <v>166</v>
      </c>
      <c r="AU123" t="s">
        <v>3299</v>
      </c>
      <c r="AV123" t="s">
        <v>596</v>
      </c>
      <c r="AW123" t="s">
        <v>169</v>
      </c>
      <c r="AX123" t="s">
        <v>3417</v>
      </c>
      <c r="AY123" t="s">
        <v>3322</v>
      </c>
      <c r="AZ123">
        <v>110295</v>
      </c>
      <c r="BA123">
        <v>110295</v>
      </c>
      <c r="BB123">
        <v>0</v>
      </c>
      <c r="BC123">
        <v>0</v>
      </c>
      <c r="BD123">
        <v>0</v>
      </c>
      <c r="BE123">
        <v>0</v>
      </c>
      <c r="BF123">
        <v>7.83</v>
      </c>
      <c r="BG123">
        <v>6865</v>
      </c>
      <c r="BH123">
        <v>234900000000</v>
      </c>
      <c r="BI123">
        <v>277464770662.49963</v>
      </c>
      <c r="BJ123">
        <v>-68336744800.832779</v>
      </c>
      <c r="BK123">
        <v>4.235474484</v>
      </c>
      <c r="BL123">
        <v>2.6239055386625001</v>
      </c>
      <c r="BM123">
        <v>2.73504039</v>
      </c>
      <c r="BN123">
        <v>10.105371098622699</v>
      </c>
      <c r="BO123">
        <v>0</v>
      </c>
      <c r="BP123">
        <v>0</v>
      </c>
      <c r="BQ123">
        <v>0</v>
      </c>
      <c r="BR123">
        <v>38112000000</v>
      </c>
      <c r="BS123">
        <v>0</v>
      </c>
      <c r="BT123">
        <v>38112000000</v>
      </c>
      <c r="BU123">
        <v>38112000000</v>
      </c>
      <c r="BV123">
        <v>38112000000</v>
      </c>
      <c r="BW123">
        <v>38112000000</v>
      </c>
      <c r="BX123">
        <v>0</v>
      </c>
      <c r="BY123" s="32">
        <f>Bankingbook_MSB[[#This Row],[Mat. Date]]-RPT</f>
        <v>1141</v>
      </c>
      <c r="BZ123" s="71">
        <f>IF(Bankingbook_MSB[[#This Row],[Days]]&lt;=0,0,YEARFRAC(RPT,Bankingbook_MSB[[#This Row],[Mat. Date]],3))</f>
        <v>3.1260273972602741</v>
      </c>
      <c r="CA123" s="71" t="str">
        <f>IF(Bankingbook_MSB[[#This Row],[Days (year)]]=0,0,INDEX(Ref!$K$2:$K$13,MATCH(Bankingbook_MSB[[#This Row],[Days (year)]],Ref!$I$2:$I$13,1)))</f>
        <v>3Y</v>
      </c>
      <c r="CB123" s="32" t="str">
        <f>VLOOKUP(Bankingbook_MSB[[#This Row],[Security Name]],Ref!X:Z,3,0)</f>
        <v>TPCQĐP</v>
      </c>
      <c r="CC123" s="32" t="str">
        <f>VLOOKUP(Bankingbook_MSB[[#This Row],[Security Name]],Ref!X:Y,2,0)</f>
        <v>HIFU</v>
      </c>
      <c r="CD123" s="72">
        <f>IF((Bankingbook_MSB[[#This Row],[Mat. Date]]-RPT)&lt;=0,0,Bankingbook_MSB[[#This Row],[QUANTITY]])</f>
        <v>0</v>
      </c>
      <c r="CE123" s="71">
        <f>IF(Bankingbook_MSB[[#This Row],[Quantity_edited]]=0,0,Bankingbook_MSB[[#This Row],[DURATION]])</f>
        <v>0</v>
      </c>
      <c r="CF123" s="71">
        <f>IF(Bankingbook_MSB[[#This Row],[Quantity_edited]]=0,0,Bankingbook_MSB[[#This Row],[Mod Dur]])</f>
        <v>0</v>
      </c>
      <c r="CG123" s="71">
        <f>IF(Bankingbook_MSB[[#This Row],[Quantity_edited]]=0,0,Bankingbook_MSB[[#This Row],[Cnvx.]])</f>
        <v>0</v>
      </c>
      <c r="CH123" s="71">
        <f>(Bankingbook_MSB[[#This Row],[MARKET_VALUE]]+Bankingbook_MSB[[#This Row],[Accr Int]]*Bankingbook_MSB[[#This Row],[Quantity_edited]])*(-Bankingbook_MSB[[#This Row],[Modified Duration]]*0.0001+0.5*Bankingbook_MSB[[#This Row],[Conv]]*(0.0001^2))</f>
        <v>0</v>
      </c>
      <c r="CI123" s="71">
        <f>(Bankingbook_MSB[[#This Row],[MARKET_VALUE]]+Bankingbook_MSB[[#This Row],[Accr Int]]*Bankingbook_MSB[[#This Row],[Quantity_edited]])*(-Bankingbook_MSB[[#This Row],[Modified Duration]]*0.01+0.5*Bankingbook_MSB[[#This Row],[Conv]]*(0.01^2))</f>
        <v>0</v>
      </c>
      <c r="CL123" t="s">
        <v>166</v>
      </c>
      <c r="CM123" t="s">
        <v>167</v>
      </c>
      <c r="CN123" t="s">
        <v>299</v>
      </c>
      <c r="CO123" t="s">
        <v>169</v>
      </c>
      <c r="CP123" s="35">
        <v>42555</v>
      </c>
      <c r="CQ123" t="s">
        <v>3322</v>
      </c>
      <c r="CR123" t="s">
        <v>174</v>
      </c>
      <c r="CS123" t="s">
        <v>174</v>
      </c>
      <c r="CT123" s="49">
        <v>0</v>
      </c>
      <c r="CU123">
        <v>0</v>
      </c>
      <c r="CV123">
        <v>0</v>
      </c>
      <c r="CW123" s="70">
        <v>0</v>
      </c>
      <c r="CX123">
        <v>12.3</v>
      </c>
      <c r="CY123">
        <v>0</v>
      </c>
      <c r="CZ123">
        <v>6150000000</v>
      </c>
      <c r="DA123">
        <v>6577402791.6666555</v>
      </c>
      <c r="DB123">
        <v>-2509930345.4166598</v>
      </c>
      <c r="DC123">
        <v>12.3</v>
      </c>
      <c r="DD123">
        <v>0</v>
      </c>
      <c r="DE123">
        <v>0</v>
      </c>
      <c r="DF123">
        <v>0</v>
      </c>
      <c r="DG123">
        <v>0</v>
      </c>
      <c r="DH123">
        <v>0</v>
      </c>
      <c r="DI123">
        <v>0</v>
      </c>
      <c r="DJ123" s="500">
        <v>249000000</v>
      </c>
      <c r="DK123" s="500">
        <v>0</v>
      </c>
      <c r="DL123" s="37">
        <v>249000000</v>
      </c>
      <c r="DM123" s="37">
        <v>249000000</v>
      </c>
      <c r="DN123" s="37">
        <v>249000000</v>
      </c>
      <c r="DO123" s="37">
        <v>249000000</v>
      </c>
      <c r="DP123" s="32">
        <f>Tradingbook_SBV[[#This Row],[Mat. Date]]-RPT</f>
        <v>-3697</v>
      </c>
      <c r="DQ123" s="32">
        <f>IF(Tradingbook_SBV[[#This Row],[Days]]&lt;=0,0,YEARFRAC(RPT,Tradingbook_SBV[[#This Row],[Mat. Date]],3))</f>
        <v>0</v>
      </c>
      <c r="DR123" s="32">
        <f>IF(Tradingbook_SBV[[#This Row],[Days (year)]]=0,0,INDEX(Ref!$K$2:$K$13,MATCH(Tradingbook_SBV[[#This Row],[Days (year)]],Ref!$I$2:$I$13,1)))</f>
        <v>0</v>
      </c>
      <c r="DS123" s="32" t="str">
        <f>VLOOKUP(Tradingbook_SBV[[#This Row],[Security Name]],Ref!X:Z,3,0)</f>
        <v>TPCP</v>
      </c>
      <c r="DT123" s="32" t="str">
        <f>VLOOKUP(Tradingbook_SBV[[#This Row],[Security Name]],Ref!X:Y,2,0)</f>
        <v>KBNN</v>
      </c>
      <c r="DU123" s="71">
        <f>IF((Tradingbook_SBV[[#This Row],[Mat. Date]]-RPT)&lt;=0,0,Tradingbook_SBV[[#This Row],[QUANTITY]])</f>
        <v>0</v>
      </c>
      <c r="DV123" s="71">
        <f>IF(Tradingbook_SBV[[#This Row],[Quantity_edited]]=0,0,Tradingbook_SBV[[#This Row],[DURATION]])</f>
        <v>0</v>
      </c>
      <c r="DW123" s="71">
        <f>IF(Tradingbook_SBV[[#This Row],[Quantity_edited]]=0,0,Tradingbook_SBV[[#This Row],[Mod Dur]])</f>
        <v>0</v>
      </c>
      <c r="DX123" s="71">
        <f>IF(Tradingbook_SBV[[#This Row],[Quantity_edited]]=0,0,Tradingbook_SBV[[#This Row],[Cnvx.]])</f>
        <v>0</v>
      </c>
      <c r="DY123" s="71">
        <f>(Tradingbook_SBV[[#This Row],[MARKET_VALUE]]+Tradingbook_SBV[[#This Row],[Accr Int]]*Tradingbook_SBV[[#This Row],[Quantity_edited]])*(-Tradingbook_SBV[[#This Row],[Modified Duration]]*0.0001+0.5*Tradingbook_SBV[[#This Row],[Conv]]*(0.0001^2))</f>
        <v>0</v>
      </c>
      <c r="DZ123" s="71">
        <f>(Tradingbook_SBV[[#This Row],[MARKET_VALUE]]+Tradingbook_SBV[[#This Row],[Accr Int]]*Tradingbook_SBV[[#This Row],[Quantity_edited]])*(-Tradingbook_SBV[[#This Row],[Modified Duration]]*0.01+0.5*Tradingbook_SBV[[#This Row],[Conv]]*(0.01^2))</f>
        <v>0</v>
      </c>
      <c r="EC123" t="s">
        <v>166</v>
      </c>
      <c r="ED123" t="s">
        <v>167</v>
      </c>
      <c r="EE123" t="s">
        <v>519</v>
      </c>
      <c r="EF123" t="s">
        <v>169</v>
      </c>
      <c r="EG123" s="35" t="s">
        <v>3395</v>
      </c>
      <c r="EH123" t="s">
        <v>3322</v>
      </c>
      <c r="EK123" s="500">
        <v>0</v>
      </c>
      <c r="EL123" s="500">
        <v>0</v>
      </c>
      <c r="EM123" s="500">
        <v>0</v>
      </c>
      <c r="EN123" s="500">
        <v>0</v>
      </c>
      <c r="EO123">
        <v>6.6</v>
      </c>
      <c r="EP123">
        <v>0</v>
      </c>
      <c r="EQ123">
        <v>6600000000</v>
      </c>
      <c r="ER123">
        <v>7415980916.6666756</v>
      </c>
      <c r="ES123">
        <v>-1823326039.513936</v>
      </c>
      <c r="ET123">
        <v>6.6</v>
      </c>
      <c r="EU123">
        <v>0</v>
      </c>
      <c r="EV123">
        <v>0</v>
      </c>
      <c r="EW123">
        <v>0</v>
      </c>
      <c r="EX123">
        <v>0</v>
      </c>
      <c r="EY123">
        <v>0</v>
      </c>
      <c r="EZ123">
        <v>0</v>
      </c>
      <c r="FA123">
        <v>4081500000</v>
      </c>
      <c r="FB123">
        <v>0</v>
      </c>
      <c r="FC123">
        <v>4081500000</v>
      </c>
      <c r="FD123">
        <v>4081500000</v>
      </c>
      <c r="FE123">
        <v>4081500000</v>
      </c>
      <c r="FF123">
        <v>4081500000</v>
      </c>
      <c r="FG123" s="32">
        <f>Bankingbook_SBV[[#This Row],[Mat. Date]]-RPT</f>
        <v>-1138</v>
      </c>
      <c r="FH123" s="32">
        <f>IF(Bankingbook_SBV[[#This Row],[Days]]&lt;=0,0,YEARFRAC(RPT,Bankingbook_SBV[[#This Row],[Mat. Date]],3))</f>
        <v>0</v>
      </c>
      <c r="FI123" s="32">
        <f>IF(Bankingbook_SBV[[#This Row],[Days (year)]]=0,0,INDEX(Ref!$K$2:$K$13,MATCH(Bankingbook_SBV[[#This Row],[Days (year)]],Ref!$I$2:$I$13,1)))</f>
        <v>0</v>
      </c>
      <c r="FJ123" s="32" t="str">
        <f>VLOOKUP(Bankingbook_SBV[[#This Row],[Security Name]],Ref!X:Z,3,0)</f>
        <v>TPCP</v>
      </c>
      <c r="FK123" s="32" t="str">
        <f>VLOOKUP(Bankingbook_SBV[[#This Row],[Security Name]],Ref!X:Y,2,0)</f>
        <v>KBNN</v>
      </c>
      <c r="FL123" s="72">
        <f>IF((Bankingbook_SBV[[#This Row],[Mat. Date]]-RPT)&lt;=0,0,Bankingbook_SBV[[#This Row],[QUANTITY]])</f>
        <v>0</v>
      </c>
      <c r="FM123" s="32">
        <f>IF(Bankingbook_SBV[[#This Row],[Quantity_edited]]=0,0,Bankingbook_SBV[[#This Row],[DURATION]])</f>
        <v>0</v>
      </c>
      <c r="FN123" s="32">
        <f>IF(Bankingbook_SBV[[#This Row],[Quantity_edited]]=0,0,Bankingbook_SBV[[#This Row],[Mod Dur]])</f>
        <v>0</v>
      </c>
      <c r="FO123" s="32">
        <f>IF(Bankingbook_SBV[[#This Row],[Quantity_edited]]=0,0,Bankingbook_SBV[[#This Row],[Cnvx.]])</f>
        <v>0</v>
      </c>
      <c r="FP123" s="32">
        <f>(Bankingbook_SBV[[#This Row],[MARKET_VALUE]]+Bankingbook_SBV[[#This Row],[Accr Int]]*Bankingbook_SBV[[#This Row],[Quantity_edited]])*(-Bankingbook_SBV[[#This Row],[Modified Duration]]*0.0001+0.5*Bankingbook_SBV[[#This Row],[Conv]]*(0.0001^2))</f>
        <v>0</v>
      </c>
      <c r="FQ123" s="32">
        <f>(Bankingbook_SBV[[#This Row],[MARKET_VALUE]]+Bankingbook_SBV[[#This Row],[Accr Int]]*Bankingbook_SBV[[#This Row],[Quantity_edited]])*(-Bankingbook_SBV[[#This Row],[Modified Duration]]*0.01+0.5*Bankingbook_SBV[[#This Row],[Conv]]*(0.01^2))</f>
        <v>0</v>
      </c>
    </row>
    <row r="124" spans="2:173" x14ac:dyDescent="0.3">
      <c r="B124" t="s">
        <v>166</v>
      </c>
      <c r="C124" t="s">
        <v>167</v>
      </c>
      <c r="D124" t="s">
        <v>300</v>
      </c>
      <c r="E124" t="s">
        <v>169</v>
      </c>
      <c r="F124" s="502">
        <v>42566</v>
      </c>
      <c r="G124" t="s">
        <v>3322</v>
      </c>
      <c r="H124"/>
      <c r="I124"/>
      <c r="J124" s="38">
        <v>0</v>
      </c>
      <c r="K124">
        <v>0</v>
      </c>
      <c r="L124">
        <v>0</v>
      </c>
      <c r="M124" s="38">
        <v>0</v>
      </c>
      <c r="N124">
        <v>7</v>
      </c>
      <c r="O124">
        <v>0</v>
      </c>
      <c r="P124" s="37">
        <v>21000000000</v>
      </c>
      <c r="Q124" s="37">
        <v>22452045000.000046</v>
      </c>
      <c r="R124" s="37">
        <v>-11479571360.138882</v>
      </c>
      <c r="S124">
        <v>7</v>
      </c>
      <c r="T124" s="70">
        <v>0</v>
      </c>
      <c r="U124">
        <v>0</v>
      </c>
      <c r="V124">
        <v>0</v>
      </c>
      <c r="W124">
        <v>0</v>
      </c>
      <c r="X124" s="38">
        <v>0</v>
      </c>
      <c r="Y124">
        <v>0</v>
      </c>
      <c r="Z124" s="70">
        <v>12462000000</v>
      </c>
      <c r="AA124" s="70">
        <v>0</v>
      </c>
      <c r="AB124" s="70">
        <v>12462000000</v>
      </c>
      <c r="AC124" s="70">
        <v>12462000000</v>
      </c>
      <c r="AD124" s="70">
        <v>12462000000</v>
      </c>
      <c r="AE124" s="70">
        <v>12462000000</v>
      </c>
      <c r="AF124">
        <v>0</v>
      </c>
      <c r="AG124" s="72">
        <f>Tradingbook_MSB[[#This Row],[Mat. Date]]-RPT</f>
        <v>-3686</v>
      </c>
      <c r="AH124" s="71">
        <f>IF(Tradingbook_MSB[[#This Row],[Days]]&lt;=0,0,YEARFRAC(RPT,Tradingbook_MSB[[#This Row],[Mat. Date]],3))</f>
        <v>0</v>
      </c>
      <c r="AI124" s="71">
        <f>IF(Tradingbook_MSB[[#This Row],[Days (year)]]=0,0,INDEX(Ref!$K$2:$K$13,MATCH(Tradingbook_MSB[[#This Row],[Days (year)]],Ref!$I$2:$I$13,1)))</f>
        <v>0</v>
      </c>
      <c r="AJ124" s="120" t="str">
        <f>VLOOKUP(Tradingbook_MSB[[#This Row],[Security Name]],Ref!X:Z,3,0)</f>
        <v>TPCP</v>
      </c>
      <c r="AK124" s="120" t="str">
        <f>VLOOKUP(Tradingbook_MSB[[#This Row],[Security Name]],Ref!X:Y,2,0)</f>
        <v>KBNN</v>
      </c>
      <c r="AL124" s="71">
        <f>IF((Tradingbook_MSB[[#This Row],[Mat. Date]]-RPT)&lt;=0,0,Tradingbook_MSB[[#This Row],[QUANTITY]])</f>
        <v>0</v>
      </c>
      <c r="AM124" s="71">
        <f>IF(Tradingbook_MSB[[#This Row],[Quantity_edited]]=0,0,Tradingbook_MSB[[#This Row],[DURATION]])</f>
        <v>0</v>
      </c>
      <c r="AN124" s="71">
        <f>IF(Tradingbook_MSB[[#This Row],[Quantity_edited]]=0,0,Tradingbook_MSB[[#This Row],[Mod Dur]])</f>
        <v>0</v>
      </c>
      <c r="AO124" s="71">
        <f>IF(Tradingbook_MSB[[#This Row],[Quantity_edited]]=0,0,Tradingbook_MSB[[#This Row],[Cnvx.]])</f>
        <v>0</v>
      </c>
      <c r="AP124" s="71">
        <f>(Tradingbook_MSB[[#This Row],[MARKET_VALUE]]+Tradingbook_MSB[[#This Row],[Accr Int]]*Tradingbook_MSB[[#This Row],[Quantity_edited]])*(-Tradingbook_MSB[[#This Row],[Modified Duration]]*0.0001+0.5*Tradingbook_MSB[[#This Row],[Conv]]*(0.0001^2))</f>
        <v>0</v>
      </c>
      <c r="AQ124" s="72">
        <f>(Tradingbook_MSB[[#This Row],[MARKET_VALUE]]+Tradingbook_MSB[[#This Row],[Accr Int]]*Tradingbook_MSB[[#This Row],[Quantity_edited]])*(-Tradingbook_MSB[[#This Row],[Modified Duration]]*0.01+0.5*Tradingbook_MSB[[#This Row],[Conv]]*(0.01^2))</f>
        <v>0</v>
      </c>
      <c r="AR124" s="71"/>
      <c r="AT124" t="s">
        <v>166</v>
      </c>
      <c r="AU124" t="s">
        <v>3299</v>
      </c>
      <c r="AV124" t="s">
        <v>598</v>
      </c>
      <c r="AW124" t="s">
        <v>169</v>
      </c>
      <c r="AX124" t="s">
        <v>599</v>
      </c>
      <c r="AY124" t="s">
        <v>3322</v>
      </c>
      <c r="AZ124">
        <v>109512</v>
      </c>
      <c r="BA124">
        <v>109512</v>
      </c>
      <c r="BB124">
        <v>0</v>
      </c>
      <c r="BC124">
        <v>0</v>
      </c>
      <c r="BD124">
        <v>0</v>
      </c>
      <c r="BE124">
        <v>0</v>
      </c>
      <c r="BF124">
        <v>7</v>
      </c>
      <c r="BG124">
        <v>5888</v>
      </c>
      <c r="BH124">
        <v>7000000000</v>
      </c>
      <c r="BI124">
        <v>9006810555.5554047</v>
      </c>
      <c r="BJ124">
        <v>-6066137321.3887939</v>
      </c>
      <c r="BK124">
        <v>3.7452069200000002</v>
      </c>
      <c r="BL124">
        <v>2.7044163468010001</v>
      </c>
      <c r="BM124">
        <v>2.8057023299999999</v>
      </c>
      <c r="BN124">
        <v>10.5771011580701</v>
      </c>
      <c r="BO124">
        <v>0</v>
      </c>
      <c r="BP124">
        <v>0</v>
      </c>
      <c r="BQ124">
        <v>0</v>
      </c>
      <c r="BR124">
        <v>-5226000000</v>
      </c>
      <c r="BS124">
        <v>0</v>
      </c>
      <c r="BT124">
        <v>-5226000000</v>
      </c>
      <c r="BU124">
        <v>-5226000000</v>
      </c>
      <c r="BV124">
        <v>-5226000000</v>
      </c>
      <c r="BW124">
        <v>-5226000000</v>
      </c>
      <c r="BX124">
        <v>0</v>
      </c>
      <c r="BY124" s="32">
        <f>Bankingbook_MSB[[#This Row],[Mat. Date]]-RPT</f>
        <v>1154</v>
      </c>
      <c r="BZ124" s="71">
        <f>IF(Bankingbook_MSB[[#This Row],[Days]]&lt;=0,0,YEARFRAC(RPT,Bankingbook_MSB[[#This Row],[Mat. Date]],3))</f>
        <v>3.1616438356164385</v>
      </c>
      <c r="CA124" s="71" t="str">
        <f>IF(Bankingbook_MSB[[#This Row],[Days (year)]]=0,0,INDEX(Ref!$K$2:$K$13,MATCH(Bankingbook_MSB[[#This Row],[Days (year)]],Ref!$I$2:$I$13,1)))</f>
        <v>3Y</v>
      </c>
      <c r="CB124" s="32" t="str">
        <f>VLOOKUP(Bankingbook_MSB[[#This Row],[Security Name]],Ref!X:Z,3,0)</f>
        <v>TPCP</v>
      </c>
      <c r="CC124" s="32" t="str">
        <f>VLOOKUP(Bankingbook_MSB[[#This Row],[Security Name]],Ref!X:Y,2,0)</f>
        <v>KBNN</v>
      </c>
      <c r="CD124" s="72">
        <f>IF((Bankingbook_MSB[[#This Row],[Mat. Date]]-RPT)&lt;=0,0,Bankingbook_MSB[[#This Row],[QUANTITY]])</f>
        <v>0</v>
      </c>
      <c r="CE124" s="71">
        <f>IF(Bankingbook_MSB[[#This Row],[Quantity_edited]]=0,0,Bankingbook_MSB[[#This Row],[DURATION]])</f>
        <v>0</v>
      </c>
      <c r="CF124" s="71">
        <f>IF(Bankingbook_MSB[[#This Row],[Quantity_edited]]=0,0,Bankingbook_MSB[[#This Row],[Mod Dur]])</f>
        <v>0</v>
      </c>
      <c r="CG124" s="71">
        <f>IF(Bankingbook_MSB[[#This Row],[Quantity_edited]]=0,0,Bankingbook_MSB[[#This Row],[Cnvx.]])</f>
        <v>0</v>
      </c>
      <c r="CH124" s="71">
        <f>(Bankingbook_MSB[[#This Row],[MARKET_VALUE]]+Bankingbook_MSB[[#This Row],[Accr Int]]*Bankingbook_MSB[[#This Row],[Quantity_edited]])*(-Bankingbook_MSB[[#This Row],[Modified Duration]]*0.0001+0.5*Bankingbook_MSB[[#This Row],[Conv]]*(0.0001^2))</f>
        <v>0</v>
      </c>
      <c r="CI124" s="71">
        <f>(Bankingbook_MSB[[#This Row],[MARKET_VALUE]]+Bankingbook_MSB[[#This Row],[Accr Int]]*Bankingbook_MSB[[#This Row],[Quantity_edited]])*(-Bankingbook_MSB[[#This Row],[Modified Duration]]*0.01+0.5*Bankingbook_MSB[[#This Row],[Conv]]*(0.01^2))</f>
        <v>0</v>
      </c>
      <c r="CL124" t="s">
        <v>166</v>
      </c>
      <c r="CM124" t="s">
        <v>167</v>
      </c>
      <c r="CN124" t="s">
        <v>300</v>
      </c>
      <c r="CO124" t="s">
        <v>169</v>
      </c>
      <c r="CP124" s="35">
        <v>42566</v>
      </c>
      <c r="CQ124" t="s">
        <v>3322</v>
      </c>
      <c r="CR124" t="s">
        <v>174</v>
      </c>
      <c r="CS124" t="s">
        <v>174</v>
      </c>
      <c r="CT124" s="49">
        <v>0</v>
      </c>
      <c r="CU124">
        <v>0</v>
      </c>
      <c r="CV124">
        <v>0</v>
      </c>
      <c r="CW124" s="70">
        <v>0</v>
      </c>
      <c r="CX124">
        <v>7</v>
      </c>
      <c r="CY124">
        <v>0</v>
      </c>
      <c r="CZ124">
        <v>21000000000</v>
      </c>
      <c r="DA124">
        <v>22452045000.000046</v>
      </c>
      <c r="DB124">
        <v>-11479571360.138882</v>
      </c>
      <c r="DC124">
        <v>7</v>
      </c>
      <c r="DD124">
        <v>0</v>
      </c>
      <c r="DE124">
        <v>0</v>
      </c>
      <c r="DF124">
        <v>0</v>
      </c>
      <c r="DG124">
        <v>0</v>
      </c>
      <c r="DH124">
        <v>0</v>
      </c>
      <c r="DI124">
        <v>0</v>
      </c>
      <c r="DJ124" s="500">
        <v>12462000000</v>
      </c>
      <c r="DK124" s="500">
        <v>0</v>
      </c>
      <c r="DL124" s="37">
        <v>12462000000</v>
      </c>
      <c r="DM124" s="37">
        <v>12462000000</v>
      </c>
      <c r="DN124" s="37">
        <v>12462000000</v>
      </c>
      <c r="DO124" s="37">
        <v>12462000000</v>
      </c>
      <c r="DP124" s="32">
        <f>Tradingbook_SBV[[#This Row],[Mat. Date]]-RPT</f>
        <v>-3686</v>
      </c>
      <c r="DQ124" s="32">
        <f>IF(Tradingbook_SBV[[#This Row],[Days]]&lt;=0,0,YEARFRAC(RPT,Tradingbook_SBV[[#This Row],[Mat. Date]],3))</f>
        <v>0</v>
      </c>
      <c r="DR124" s="32">
        <f>IF(Tradingbook_SBV[[#This Row],[Days (year)]]=0,0,INDEX(Ref!$K$2:$K$13,MATCH(Tradingbook_SBV[[#This Row],[Days (year)]],Ref!$I$2:$I$13,1)))</f>
        <v>0</v>
      </c>
      <c r="DS124" s="32" t="str">
        <f>VLOOKUP(Tradingbook_SBV[[#This Row],[Security Name]],Ref!X:Z,3,0)</f>
        <v>TPCP</v>
      </c>
      <c r="DT124" s="32" t="str">
        <f>VLOOKUP(Tradingbook_SBV[[#This Row],[Security Name]],Ref!X:Y,2,0)</f>
        <v>KBNN</v>
      </c>
      <c r="DU124" s="71">
        <f>IF((Tradingbook_SBV[[#This Row],[Mat. Date]]-RPT)&lt;=0,0,Tradingbook_SBV[[#This Row],[QUANTITY]])</f>
        <v>0</v>
      </c>
      <c r="DV124" s="71">
        <f>IF(Tradingbook_SBV[[#This Row],[Quantity_edited]]=0,0,Tradingbook_SBV[[#This Row],[DURATION]])</f>
        <v>0</v>
      </c>
      <c r="DW124" s="71">
        <f>IF(Tradingbook_SBV[[#This Row],[Quantity_edited]]=0,0,Tradingbook_SBV[[#This Row],[Mod Dur]])</f>
        <v>0</v>
      </c>
      <c r="DX124" s="71">
        <f>IF(Tradingbook_SBV[[#This Row],[Quantity_edited]]=0,0,Tradingbook_SBV[[#This Row],[Cnvx.]])</f>
        <v>0</v>
      </c>
      <c r="DY124" s="71">
        <f>(Tradingbook_SBV[[#This Row],[MARKET_VALUE]]+Tradingbook_SBV[[#This Row],[Accr Int]]*Tradingbook_SBV[[#This Row],[Quantity_edited]])*(-Tradingbook_SBV[[#This Row],[Modified Duration]]*0.0001+0.5*Tradingbook_SBV[[#This Row],[Conv]]*(0.0001^2))</f>
        <v>0</v>
      </c>
      <c r="DZ124" s="71">
        <f>(Tradingbook_SBV[[#This Row],[MARKET_VALUE]]+Tradingbook_SBV[[#This Row],[Accr Int]]*Tradingbook_SBV[[#This Row],[Quantity_edited]])*(-Tradingbook_SBV[[#This Row],[Modified Duration]]*0.01+0.5*Tradingbook_SBV[[#This Row],[Conv]]*(0.01^2))</f>
        <v>0</v>
      </c>
      <c r="EC124" t="s">
        <v>166</v>
      </c>
      <c r="ED124" t="s">
        <v>167</v>
      </c>
      <c r="EE124" t="s">
        <v>521</v>
      </c>
      <c r="EF124" t="s">
        <v>169</v>
      </c>
      <c r="EG124" s="35" t="s">
        <v>3757</v>
      </c>
      <c r="EH124" t="s">
        <v>3322</v>
      </c>
      <c r="EK124" s="500">
        <v>0</v>
      </c>
      <c r="EL124" s="500">
        <v>0</v>
      </c>
      <c r="EM124" s="500">
        <v>0</v>
      </c>
      <c r="EN124" s="500">
        <v>0</v>
      </c>
      <c r="EO124">
        <v>6.2</v>
      </c>
      <c r="EP124">
        <v>0</v>
      </c>
      <c r="EQ124">
        <v>-3100000000</v>
      </c>
      <c r="ER124">
        <v>-3334463763.8888912</v>
      </c>
      <c r="ES124">
        <v>1414625380.4861031</v>
      </c>
      <c r="ET124">
        <v>6.2</v>
      </c>
      <c r="EU124">
        <v>0</v>
      </c>
      <c r="EV124">
        <v>0</v>
      </c>
      <c r="EW124">
        <v>0</v>
      </c>
      <c r="EX124">
        <v>0</v>
      </c>
      <c r="EY124">
        <v>0</v>
      </c>
      <c r="EZ124">
        <v>0</v>
      </c>
      <c r="FA124">
        <v>910500000</v>
      </c>
      <c r="FB124">
        <v>0</v>
      </c>
      <c r="FC124">
        <v>910500000</v>
      </c>
      <c r="FD124">
        <v>910500000</v>
      </c>
      <c r="FE124">
        <v>910500000</v>
      </c>
      <c r="FF124">
        <v>910500000</v>
      </c>
      <c r="FG124" s="32">
        <f>Bankingbook_SBV[[#This Row],[Mat. Date]]-RPT</f>
        <v>-1075</v>
      </c>
      <c r="FH124" s="32">
        <f>IF(Bankingbook_SBV[[#This Row],[Days]]&lt;=0,0,YEARFRAC(RPT,Bankingbook_SBV[[#This Row],[Mat. Date]],3))</f>
        <v>0</v>
      </c>
      <c r="FI124" s="32">
        <f>IF(Bankingbook_SBV[[#This Row],[Days (year)]]=0,0,INDEX(Ref!$K$2:$K$13,MATCH(Bankingbook_SBV[[#This Row],[Days (year)]],Ref!$I$2:$I$13,1)))</f>
        <v>0</v>
      </c>
      <c r="FJ124" s="32" t="str">
        <f>VLOOKUP(Bankingbook_SBV[[#This Row],[Security Name]],Ref!X:Z,3,0)</f>
        <v>TPCP</v>
      </c>
      <c r="FK124" s="32" t="str">
        <f>VLOOKUP(Bankingbook_SBV[[#This Row],[Security Name]],Ref!X:Y,2,0)</f>
        <v>KBNN</v>
      </c>
      <c r="FL124" s="72">
        <f>IF((Bankingbook_SBV[[#This Row],[Mat. Date]]-RPT)&lt;=0,0,Bankingbook_SBV[[#This Row],[QUANTITY]])</f>
        <v>0</v>
      </c>
      <c r="FM124" s="32">
        <f>IF(Bankingbook_SBV[[#This Row],[Quantity_edited]]=0,0,Bankingbook_SBV[[#This Row],[DURATION]])</f>
        <v>0</v>
      </c>
      <c r="FN124" s="32">
        <f>IF(Bankingbook_SBV[[#This Row],[Quantity_edited]]=0,0,Bankingbook_SBV[[#This Row],[Mod Dur]])</f>
        <v>0</v>
      </c>
      <c r="FO124" s="32">
        <f>IF(Bankingbook_SBV[[#This Row],[Quantity_edited]]=0,0,Bankingbook_SBV[[#This Row],[Cnvx.]])</f>
        <v>0</v>
      </c>
      <c r="FP124" s="32">
        <f>(Bankingbook_SBV[[#This Row],[MARKET_VALUE]]+Bankingbook_SBV[[#This Row],[Accr Int]]*Bankingbook_SBV[[#This Row],[Quantity_edited]])*(-Bankingbook_SBV[[#This Row],[Modified Duration]]*0.0001+0.5*Bankingbook_SBV[[#This Row],[Conv]]*(0.0001^2))</f>
        <v>0</v>
      </c>
      <c r="FQ124" s="32">
        <f>(Bankingbook_SBV[[#This Row],[MARKET_VALUE]]+Bankingbook_SBV[[#This Row],[Accr Int]]*Bankingbook_SBV[[#This Row],[Quantity_edited]])*(-Bankingbook_SBV[[#This Row],[Modified Duration]]*0.01+0.5*Bankingbook_SBV[[#This Row],[Conv]]*(0.01^2))</f>
        <v>0</v>
      </c>
    </row>
    <row r="125" spans="2:173" x14ac:dyDescent="0.3">
      <c r="B125" t="s">
        <v>166</v>
      </c>
      <c r="C125" t="s">
        <v>167</v>
      </c>
      <c r="D125" t="s">
        <v>301</v>
      </c>
      <c r="E125" t="s">
        <v>169</v>
      </c>
      <c r="F125" s="502">
        <v>42576</v>
      </c>
      <c r="G125" t="s">
        <v>3322</v>
      </c>
      <c r="H125"/>
      <c r="I125"/>
      <c r="J125" s="38">
        <v>0</v>
      </c>
      <c r="K125">
        <v>0</v>
      </c>
      <c r="L125">
        <v>0</v>
      </c>
      <c r="M125" s="38">
        <v>0</v>
      </c>
      <c r="N125">
        <v>12.5</v>
      </c>
      <c r="O125">
        <v>0</v>
      </c>
      <c r="P125" s="37">
        <v>5769125000</v>
      </c>
      <c r="Q125" s="37">
        <v>6521017465.0520325</v>
      </c>
      <c r="R125" s="37">
        <v>-4794696597.4868984</v>
      </c>
      <c r="S125">
        <v>12.5</v>
      </c>
      <c r="T125" s="70">
        <v>0</v>
      </c>
      <c r="U125">
        <v>0</v>
      </c>
      <c r="V125">
        <v>0</v>
      </c>
      <c r="W125">
        <v>0</v>
      </c>
      <c r="X125" s="38">
        <v>0</v>
      </c>
      <c r="Y125">
        <v>0</v>
      </c>
      <c r="Z125" s="70">
        <v>8396549571.5334473</v>
      </c>
      <c r="AA125" s="70">
        <v>0</v>
      </c>
      <c r="AB125" s="70">
        <v>8396549571.5334473</v>
      </c>
      <c r="AC125" s="70">
        <v>8396549571.5334473</v>
      </c>
      <c r="AD125" s="70">
        <v>8396549571.533</v>
      </c>
      <c r="AE125" s="70">
        <v>8396549571.5334473</v>
      </c>
      <c r="AF125">
        <v>0</v>
      </c>
      <c r="AG125" s="72">
        <f>Tradingbook_MSB[[#This Row],[Mat. Date]]-RPT</f>
        <v>-3676</v>
      </c>
      <c r="AH125" s="71">
        <f>IF(Tradingbook_MSB[[#This Row],[Days]]&lt;=0,0,YEARFRAC(RPT,Tradingbook_MSB[[#This Row],[Mat. Date]],3))</f>
        <v>0</v>
      </c>
      <c r="AI125" s="71">
        <f>IF(Tradingbook_MSB[[#This Row],[Days (year)]]=0,0,INDEX(Ref!$K$2:$K$13,MATCH(Tradingbook_MSB[[#This Row],[Days (year)]],Ref!$I$2:$I$13,1)))</f>
        <v>0</v>
      </c>
      <c r="AJ125" s="120" t="str">
        <f>VLOOKUP(Tradingbook_MSB[[#This Row],[Security Name]],Ref!X:Z,3,0)</f>
        <v>TPCP</v>
      </c>
      <c r="AK125" s="120" t="str">
        <f>VLOOKUP(Tradingbook_MSB[[#This Row],[Security Name]],Ref!X:Y,2,0)</f>
        <v>KBNN</v>
      </c>
      <c r="AL125" s="71">
        <f>IF((Tradingbook_MSB[[#This Row],[Mat. Date]]-RPT)&lt;=0,0,Tradingbook_MSB[[#This Row],[QUANTITY]])</f>
        <v>0</v>
      </c>
      <c r="AM125" s="71">
        <f>IF(Tradingbook_MSB[[#This Row],[Quantity_edited]]=0,0,Tradingbook_MSB[[#This Row],[DURATION]])</f>
        <v>0</v>
      </c>
      <c r="AN125" s="71">
        <f>IF(Tradingbook_MSB[[#This Row],[Quantity_edited]]=0,0,Tradingbook_MSB[[#This Row],[Mod Dur]])</f>
        <v>0</v>
      </c>
      <c r="AO125" s="71">
        <f>IF(Tradingbook_MSB[[#This Row],[Quantity_edited]]=0,0,Tradingbook_MSB[[#This Row],[Cnvx.]])</f>
        <v>0</v>
      </c>
      <c r="AP125" s="71">
        <f>(Tradingbook_MSB[[#This Row],[MARKET_VALUE]]+Tradingbook_MSB[[#This Row],[Accr Int]]*Tradingbook_MSB[[#This Row],[Quantity_edited]])*(-Tradingbook_MSB[[#This Row],[Modified Duration]]*0.0001+0.5*Tradingbook_MSB[[#This Row],[Conv]]*(0.0001^2))</f>
        <v>0</v>
      </c>
      <c r="AQ125" s="72">
        <f>(Tradingbook_MSB[[#This Row],[MARKET_VALUE]]+Tradingbook_MSB[[#This Row],[Accr Int]]*Tradingbook_MSB[[#This Row],[Quantity_edited]])*(-Tradingbook_MSB[[#This Row],[Modified Duration]]*0.01+0.5*Tradingbook_MSB[[#This Row],[Conv]]*(0.01^2))</f>
        <v>0</v>
      </c>
      <c r="AR125" s="71"/>
      <c r="AT125" t="s">
        <v>166</v>
      </c>
      <c r="AU125" t="s">
        <v>3299</v>
      </c>
      <c r="AV125" t="s">
        <v>600</v>
      </c>
      <c r="AW125" t="s">
        <v>169</v>
      </c>
      <c r="AX125" t="s">
        <v>601</v>
      </c>
      <c r="AY125" t="s">
        <v>170</v>
      </c>
      <c r="AZ125">
        <v>100676</v>
      </c>
      <c r="BA125">
        <v>100676</v>
      </c>
      <c r="BB125">
        <v>2000000</v>
      </c>
      <c r="BC125">
        <v>200000000000</v>
      </c>
      <c r="BD125">
        <v>106894.25</v>
      </c>
      <c r="BE125">
        <v>201352000000</v>
      </c>
      <c r="BF125">
        <v>4.5</v>
      </c>
      <c r="BG125">
        <v>3427</v>
      </c>
      <c r="BH125">
        <v>27000000000</v>
      </c>
      <c r="BI125">
        <v>29086725000.000019</v>
      </c>
      <c r="BJ125">
        <v>-26086389382.083298</v>
      </c>
      <c r="BK125">
        <v>4.2664437929999997</v>
      </c>
      <c r="BL125">
        <v>2.8662154503155</v>
      </c>
      <c r="BM125">
        <v>2.9885009199999999</v>
      </c>
      <c r="BN125">
        <v>11.448244020492901</v>
      </c>
      <c r="BO125">
        <v>23835.930945307398</v>
      </c>
      <c r="BP125">
        <v>-59676.325404839001</v>
      </c>
      <c r="BQ125">
        <v>23833.475999999999</v>
      </c>
      <c r="BR125">
        <v>9067000000</v>
      </c>
      <c r="BS125">
        <v>-12436500000</v>
      </c>
      <c r="BT125">
        <v>-3369500000</v>
      </c>
      <c r="BU125">
        <v>-3369500000</v>
      </c>
      <c r="BV125">
        <v>-3369500000</v>
      </c>
      <c r="BW125">
        <v>-3369500000</v>
      </c>
      <c r="BX125">
        <v>3.2499555189999998</v>
      </c>
      <c r="BY125" s="32">
        <f>Bankingbook_MSB[[#This Row],[Mat. Date]]-RPT</f>
        <v>1183</v>
      </c>
      <c r="BZ125" s="71">
        <f>IF(Bankingbook_MSB[[#This Row],[Days]]&lt;=0,0,YEARFRAC(RPT,Bankingbook_MSB[[#This Row],[Mat. Date]],3))</f>
        <v>3.2410958904109588</v>
      </c>
      <c r="CA125" s="71" t="str">
        <f>IF(Bankingbook_MSB[[#This Row],[Days (year)]]=0,0,INDEX(Ref!$K$2:$K$13,MATCH(Bankingbook_MSB[[#This Row],[Days (year)]],Ref!$I$2:$I$13,1)))</f>
        <v>3Y</v>
      </c>
      <c r="CB125" s="32" t="str">
        <f>VLOOKUP(Bankingbook_MSB[[#This Row],[Security Name]],Ref!X:Z,3,0)</f>
        <v>TPCPBL</v>
      </c>
      <c r="CC125" s="32" t="str">
        <f>VLOOKUP(Bankingbook_MSB[[#This Row],[Security Name]],Ref!X:Y,2,0)</f>
        <v>VDB</v>
      </c>
      <c r="CD125" s="72">
        <f>IF((Bankingbook_MSB[[#This Row],[Mat. Date]]-RPT)&lt;=0,0,Bankingbook_MSB[[#This Row],[QUANTITY]])</f>
        <v>2000000</v>
      </c>
      <c r="CE125" s="71">
        <f>IF(Bankingbook_MSB[[#This Row],[Quantity_edited]]=0,0,Bankingbook_MSB[[#This Row],[DURATION]])</f>
        <v>2.9885009199999999</v>
      </c>
      <c r="CF125" s="71">
        <f>IF(Bankingbook_MSB[[#This Row],[Quantity_edited]]=0,0,Bankingbook_MSB[[#This Row],[Mod Dur]])</f>
        <v>2.8662154503155</v>
      </c>
      <c r="CG125" s="71">
        <f>IF(Bankingbook_MSB[[#This Row],[Quantity_edited]]=0,0,Bankingbook_MSB[[#This Row],[Cnvx.]])</f>
        <v>11.448244020492901</v>
      </c>
      <c r="CH125" s="71">
        <f>(Bankingbook_MSB[[#This Row],[MARKET_VALUE]]+Bankingbook_MSB[[#This Row],[Accr Int]]*Bankingbook_MSB[[#This Row],[Quantity_edited]])*(-Bankingbook_MSB[[#This Row],[Modified Duration]]*0.0001+0.5*Bankingbook_MSB[[#This Row],[Conv]]*(0.0001^2))</f>
        <v>-59664407.439366251</v>
      </c>
      <c r="CI125" s="71">
        <f>(Bankingbook_MSB[[#This Row],[MARKET_VALUE]]+Bankingbook_MSB[[#This Row],[Accr Int]]*Bankingbook_MSB[[#This Row],[Quantity_edited]])*(-Bankingbook_MSB[[#This Row],[Modified Duration]]*0.01+0.5*Bankingbook_MSB[[#This Row],[Conv]]*(0.01^2))</f>
        <v>-5848452885.7573519</v>
      </c>
      <c r="CL125" t="s">
        <v>166</v>
      </c>
      <c r="CM125" t="s">
        <v>167</v>
      </c>
      <c r="CN125" t="s">
        <v>301</v>
      </c>
      <c r="CO125" t="s">
        <v>169</v>
      </c>
      <c r="CP125" s="35">
        <v>42576</v>
      </c>
      <c r="CQ125" t="s">
        <v>3322</v>
      </c>
      <c r="CR125" t="s">
        <v>174</v>
      </c>
      <c r="CS125" t="s">
        <v>174</v>
      </c>
      <c r="CT125" s="49">
        <v>0</v>
      </c>
      <c r="CU125">
        <v>0</v>
      </c>
      <c r="CV125">
        <v>0</v>
      </c>
      <c r="CW125" s="70">
        <v>0</v>
      </c>
      <c r="CX125">
        <v>12.5</v>
      </c>
      <c r="CY125">
        <v>0</v>
      </c>
      <c r="CZ125">
        <v>5769125000</v>
      </c>
      <c r="DA125">
        <v>6521017465.0520325</v>
      </c>
      <c r="DB125">
        <v>-4794696597.4868984</v>
      </c>
      <c r="DC125">
        <v>12.5</v>
      </c>
      <c r="DD125">
        <v>0</v>
      </c>
      <c r="DE125">
        <v>0</v>
      </c>
      <c r="DF125">
        <v>0</v>
      </c>
      <c r="DG125">
        <v>0</v>
      </c>
      <c r="DH125">
        <v>0</v>
      </c>
      <c r="DI125">
        <v>0</v>
      </c>
      <c r="DJ125" s="500">
        <v>8396549571.5334473</v>
      </c>
      <c r="DK125" s="500">
        <v>0</v>
      </c>
      <c r="DL125" s="37">
        <v>8396549571.5334473</v>
      </c>
      <c r="DM125" s="37">
        <v>8396549571.5334473</v>
      </c>
      <c r="DN125" s="37">
        <v>8396549571.533</v>
      </c>
      <c r="DO125" s="37">
        <v>8396549571.5334473</v>
      </c>
      <c r="DP125" s="32">
        <f>Tradingbook_SBV[[#This Row],[Mat. Date]]-RPT</f>
        <v>-3676</v>
      </c>
      <c r="DQ125" s="32">
        <f>IF(Tradingbook_SBV[[#This Row],[Days]]&lt;=0,0,YEARFRAC(RPT,Tradingbook_SBV[[#This Row],[Mat. Date]],3))</f>
        <v>0</v>
      </c>
      <c r="DR125" s="32">
        <f>IF(Tradingbook_SBV[[#This Row],[Days (year)]]=0,0,INDEX(Ref!$K$2:$K$13,MATCH(Tradingbook_SBV[[#This Row],[Days (year)]],Ref!$I$2:$I$13,1)))</f>
        <v>0</v>
      </c>
      <c r="DS125" s="32" t="str">
        <f>VLOOKUP(Tradingbook_SBV[[#This Row],[Security Name]],Ref!X:Z,3,0)</f>
        <v>TPCP</v>
      </c>
      <c r="DT125" s="32" t="str">
        <f>VLOOKUP(Tradingbook_SBV[[#This Row],[Security Name]],Ref!X:Y,2,0)</f>
        <v>KBNN</v>
      </c>
      <c r="DU125" s="71">
        <f>IF((Tradingbook_SBV[[#This Row],[Mat. Date]]-RPT)&lt;=0,0,Tradingbook_SBV[[#This Row],[QUANTITY]])</f>
        <v>0</v>
      </c>
      <c r="DV125" s="71">
        <f>IF(Tradingbook_SBV[[#This Row],[Quantity_edited]]=0,0,Tradingbook_SBV[[#This Row],[DURATION]])</f>
        <v>0</v>
      </c>
      <c r="DW125" s="71">
        <f>IF(Tradingbook_SBV[[#This Row],[Quantity_edited]]=0,0,Tradingbook_SBV[[#This Row],[Mod Dur]])</f>
        <v>0</v>
      </c>
      <c r="DX125" s="71">
        <f>IF(Tradingbook_SBV[[#This Row],[Quantity_edited]]=0,0,Tradingbook_SBV[[#This Row],[Cnvx.]])</f>
        <v>0</v>
      </c>
      <c r="DY125" s="71">
        <f>(Tradingbook_SBV[[#This Row],[MARKET_VALUE]]+Tradingbook_SBV[[#This Row],[Accr Int]]*Tradingbook_SBV[[#This Row],[Quantity_edited]])*(-Tradingbook_SBV[[#This Row],[Modified Duration]]*0.0001+0.5*Tradingbook_SBV[[#This Row],[Conv]]*(0.0001^2))</f>
        <v>0</v>
      </c>
      <c r="DZ125" s="71">
        <f>(Tradingbook_SBV[[#This Row],[MARKET_VALUE]]+Tradingbook_SBV[[#This Row],[Accr Int]]*Tradingbook_SBV[[#This Row],[Quantity_edited]])*(-Tradingbook_SBV[[#This Row],[Modified Duration]]*0.01+0.5*Tradingbook_SBV[[#This Row],[Conv]]*(0.01^2))</f>
        <v>0</v>
      </c>
      <c r="EC125" t="s">
        <v>166</v>
      </c>
      <c r="ED125" t="s">
        <v>167</v>
      </c>
      <c r="EE125" t="s">
        <v>778</v>
      </c>
      <c r="EF125" t="s">
        <v>169</v>
      </c>
      <c r="EG125" s="35" t="s">
        <v>3396</v>
      </c>
      <c r="EH125" t="s">
        <v>170</v>
      </c>
      <c r="EK125" s="500">
        <v>2000000</v>
      </c>
      <c r="EL125" s="500">
        <v>200000000000</v>
      </c>
      <c r="EM125" s="500">
        <v>100611.22</v>
      </c>
      <c r="EN125" s="500">
        <v>0</v>
      </c>
      <c r="EO125">
        <v>5</v>
      </c>
      <c r="EP125">
        <v>0</v>
      </c>
      <c r="EQ125">
        <v>50000000000</v>
      </c>
      <c r="ER125">
        <v>52216438888.888885</v>
      </c>
      <c r="ES125">
        <v>-21713271073.452808</v>
      </c>
      <c r="ET125">
        <v>5</v>
      </c>
      <c r="EU125">
        <v>0</v>
      </c>
      <c r="EV125">
        <v>0</v>
      </c>
      <c r="EW125">
        <v>0</v>
      </c>
      <c r="EX125">
        <v>0</v>
      </c>
      <c r="EY125">
        <v>0</v>
      </c>
      <c r="EZ125">
        <v>0</v>
      </c>
      <c r="FA125">
        <v>692000000.00001907</v>
      </c>
      <c r="FB125">
        <v>0</v>
      </c>
      <c r="FC125">
        <v>692000000.00001907</v>
      </c>
      <c r="FD125">
        <v>692000000.00001907</v>
      </c>
      <c r="FE125">
        <v>692000000</v>
      </c>
      <c r="FF125">
        <v>692000000.00001907</v>
      </c>
      <c r="FG125" s="32">
        <f>Bankingbook_SBV[[#This Row],[Mat. Date]]-RPT</f>
        <v>-1058</v>
      </c>
      <c r="FH125" s="32">
        <f>IF(Bankingbook_SBV[[#This Row],[Days]]&lt;=0,0,YEARFRAC(RPT,Bankingbook_SBV[[#This Row],[Mat. Date]],3))</f>
        <v>0</v>
      </c>
      <c r="FI125" s="32">
        <f>IF(Bankingbook_SBV[[#This Row],[Days (year)]]=0,0,INDEX(Ref!$K$2:$K$13,MATCH(Bankingbook_SBV[[#This Row],[Days (year)]],Ref!$I$2:$I$13,1)))</f>
        <v>0</v>
      </c>
      <c r="FJ125" s="32" t="str">
        <f>VLOOKUP(Bankingbook_SBV[[#This Row],[Security Name]],Ref!X:Z,3,0)</f>
        <v>TPCPBL</v>
      </c>
      <c r="FK125" s="32" t="str">
        <f>VLOOKUP(Bankingbook_SBV[[#This Row],[Security Name]],Ref!X:Y,2,0)</f>
        <v>VBS</v>
      </c>
      <c r="FL125" s="72">
        <f>IF((Bankingbook_SBV[[#This Row],[Mat. Date]]-RPT)&lt;=0,0,Bankingbook_SBV[[#This Row],[QUANTITY]])</f>
        <v>0</v>
      </c>
      <c r="FM125" s="32">
        <f>IF(Bankingbook_SBV[[#This Row],[Quantity_edited]]=0,0,Bankingbook_SBV[[#This Row],[DURATION]])</f>
        <v>0</v>
      </c>
      <c r="FN125" s="32">
        <f>IF(Bankingbook_SBV[[#This Row],[Quantity_edited]]=0,0,Bankingbook_SBV[[#This Row],[Mod Dur]])</f>
        <v>0</v>
      </c>
      <c r="FO125" s="32">
        <f>IF(Bankingbook_SBV[[#This Row],[Quantity_edited]]=0,0,Bankingbook_SBV[[#This Row],[Cnvx.]])</f>
        <v>0</v>
      </c>
      <c r="FP125" s="32">
        <f>(Bankingbook_SBV[[#This Row],[MARKET_VALUE]]+Bankingbook_SBV[[#This Row],[Accr Int]]*Bankingbook_SBV[[#This Row],[Quantity_edited]])*(-Bankingbook_SBV[[#This Row],[Modified Duration]]*0.0001+0.5*Bankingbook_SBV[[#This Row],[Conv]]*(0.0001^2))</f>
        <v>0</v>
      </c>
      <c r="FQ125" s="32">
        <f>(Bankingbook_SBV[[#This Row],[MARKET_VALUE]]+Bankingbook_SBV[[#This Row],[Accr Int]]*Bankingbook_SBV[[#This Row],[Quantity_edited]])*(-Bankingbook_SBV[[#This Row],[Modified Duration]]*0.01+0.5*Bankingbook_SBV[[#This Row],[Conv]]*(0.01^2))</f>
        <v>0</v>
      </c>
    </row>
    <row r="126" spans="2:173" x14ac:dyDescent="0.3">
      <c r="B126" t="s">
        <v>166</v>
      </c>
      <c r="C126" t="s">
        <v>167</v>
      </c>
      <c r="D126" t="s">
        <v>302</v>
      </c>
      <c r="E126" t="s">
        <v>169</v>
      </c>
      <c r="F126" s="502">
        <v>42610</v>
      </c>
      <c r="G126" t="s">
        <v>3322</v>
      </c>
      <c r="H126"/>
      <c r="I126"/>
      <c r="J126" s="38">
        <v>0</v>
      </c>
      <c r="K126">
        <v>0</v>
      </c>
      <c r="L126">
        <v>0</v>
      </c>
      <c r="M126" s="38">
        <v>0</v>
      </c>
      <c r="N126">
        <v>8.3000000000000007</v>
      </c>
      <c r="O126">
        <v>0</v>
      </c>
      <c r="P126" s="37">
        <v>8300000000</v>
      </c>
      <c r="Q126" s="37">
        <v>8852496416.6666679</v>
      </c>
      <c r="R126" s="37">
        <v>-4446388915.5555458</v>
      </c>
      <c r="S126">
        <v>8.3000000000000007</v>
      </c>
      <c r="T126" s="70">
        <v>0</v>
      </c>
      <c r="U126">
        <v>0</v>
      </c>
      <c r="V126">
        <v>0</v>
      </c>
      <c r="W126">
        <v>0</v>
      </c>
      <c r="X126" s="38">
        <v>0</v>
      </c>
      <c r="Y126">
        <v>0</v>
      </c>
      <c r="Z126" s="70">
        <v>5101000000</v>
      </c>
      <c r="AA126" s="70">
        <v>0</v>
      </c>
      <c r="AB126" s="70">
        <v>5101000000</v>
      </c>
      <c r="AC126" s="70">
        <v>5101000000</v>
      </c>
      <c r="AD126" s="70">
        <v>5101000000</v>
      </c>
      <c r="AE126" s="70">
        <v>5101000000</v>
      </c>
      <c r="AF126">
        <v>0</v>
      </c>
      <c r="AG126" s="72">
        <f>Tradingbook_MSB[[#This Row],[Mat. Date]]-RPT</f>
        <v>-3642</v>
      </c>
      <c r="AH126" s="71">
        <f>IF(Tradingbook_MSB[[#This Row],[Days]]&lt;=0,0,YEARFRAC(RPT,Tradingbook_MSB[[#This Row],[Mat. Date]],3))</f>
        <v>0</v>
      </c>
      <c r="AI126" s="71">
        <f>IF(Tradingbook_MSB[[#This Row],[Days (year)]]=0,0,INDEX(Ref!$K$2:$K$13,MATCH(Tradingbook_MSB[[#This Row],[Days (year)]],Ref!$I$2:$I$13,1)))</f>
        <v>0</v>
      </c>
      <c r="AJ126" s="120" t="str">
        <f>VLOOKUP(Tradingbook_MSB[[#This Row],[Security Name]],Ref!X:Z,3,0)</f>
        <v>TPCPBL</v>
      </c>
      <c r="AK126" s="120" t="str">
        <f>VLOOKUP(Tradingbook_MSB[[#This Row],[Security Name]],Ref!X:Y,2,0)</f>
        <v>VDB</v>
      </c>
      <c r="AL126" s="71">
        <f>IF((Tradingbook_MSB[[#This Row],[Mat. Date]]-RPT)&lt;=0,0,Tradingbook_MSB[[#This Row],[QUANTITY]])</f>
        <v>0</v>
      </c>
      <c r="AM126" s="71">
        <f>IF(Tradingbook_MSB[[#This Row],[Quantity_edited]]=0,0,Tradingbook_MSB[[#This Row],[DURATION]])</f>
        <v>0</v>
      </c>
      <c r="AN126" s="71">
        <f>IF(Tradingbook_MSB[[#This Row],[Quantity_edited]]=0,0,Tradingbook_MSB[[#This Row],[Mod Dur]])</f>
        <v>0</v>
      </c>
      <c r="AO126" s="71">
        <f>IF(Tradingbook_MSB[[#This Row],[Quantity_edited]]=0,0,Tradingbook_MSB[[#This Row],[Cnvx.]])</f>
        <v>0</v>
      </c>
      <c r="AP126" s="71">
        <f>(Tradingbook_MSB[[#This Row],[MARKET_VALUE]]+Tradingbook_MSB[[#This Row],[Accr Int]]*Tradingbook_MSB[[#This Row],[Quantity_edited]])*(-Tradingbook_MSB[[#This Row],[Modified Duration]]*0.0001+0.5*Tradingbook_MSB[[#This Row],[Conv]]*(0.0001^2))</f>
        <v>0</v>
      </c>
      <c r="AQ126" s="72">
        <f>(Tradingbook_MSB[[#This Row],[MARKET_VALUE]]+Tradingbook_MSB[[#This Row],[Accr Int]]*Tradingbook_MSB[[#This Row],[Quantity_edited]])*(-Tradingbook_MSB[[#This Row],[Modified Duration]]*0.01+0.5*Tradingbook_MSB[[#This Row],[Conv]]*(0.01^2))</f>
        <v>0</v>
      </c>
      <c r="AR126" s="71"/>
      <c r="AT126" t="s">
        <v>166</v>
      </c>
      <c r="AU126" t="s">
        <v>3300</v>
      </c>
      <c r="AV126" t="s">
        <v>604</v>
      </c>
      <c r="AW126" t="s">
        <v>169</v>
      </c>
      <c r="AX126" t="s">
        <v>3418</v>
      </c>
      <c r="AY126" t="s">
        <v>3322</v>
      </c>
      <c r="AZ126">
        <v>99735</v>
      </c>
      <c r="BA126">
        <v>99735</v>
      </c>
      <c r="BB126">
        <v>0</v>
      </c>
      <c r="BC126">
        <v>0</v>
      </c>
      <c r="BD126">
        <v>0</v>
      </c>
      <c r="BE126">
        <v>0</v>
      </c>
      <c r="BF126">
        <v>4.2</v>
      </c>
      <c r="BG126">
        <v>2957</v>
      </c>
      <c r="BH126">
        <v>8400000000</v>
      </c>
      <c r="BI126">
        <v>9721644916.6666298</v>
      </c>
      <c r="BJ126">
        <v>-1135701877.222023</v>
      </c>
      <c r="BK126">
        <v>4.2819000650000003</v>
      </c>
      <c r="BL126">
        <v>2.9344386914189999</v>
      </c>
      <c r="BM126">
        <v>3.06008842</v>
      </c>
      <c r="BN126">
        <v>11.8846976860916</v>
      </c>
      <c r="BO126">
        <v>0</v>
      </c>
      <c r="BP126">
        <v>0</v>
      </c>
      <c r="BQ126">
        <v>0</v>
      </c>
      <c r="BR126">
        <v>7209000000</v>
      </c>
      <c r="BS126">
        <v>0</v>
      </c>
      <c r="BT126">
        <v>7209000000</v>
      </c>
      <c r="BU126">
        <v>7209000000</v>
      </c>
      <c r="BV126">
        <v>7209000000</v>
      </c>
      <c r="BW126">
        <v>7209000000</v>
      </c>
      <c r="BX126">
        <v>0</v>
      </c>
      <c r="BY126" s="32">
        <f>Bankingbook_MSB[[#This Row],[Mat. Date]]-RPT</f>
        <v>1204</v>
      </c>
      <c r="BZ126" s="71">
        <f>IF(Bankingbook_MSB[[#This Row],[Days]]&lt;=0,0,YEARFRAC(RPT,Bankingbook_MSB[[#This Row],[Mat. Date]],3))</f>
        <v>3.2986301369863016</v>
      </c>
      <c r="CA126" s="71" t="str">
        <f>IF(Bankingbook_MSB[[#This Row],[Days (year)]]=0,0,INDEX(Ref!$K$2:$K$13,MATCH(Bankingbook_MSB[[#This Row],[Days (year)]],Ref!$I$2:$I$13,1)))</f>
        <v>3Y</v>
      </c>
      <c r="CB126" s="32" t="str">
        <f>VLOOKUP(Bankingbook_MSB[[#This Row],[Security Name]],Ref!X:Z,3,0)</f>
        <v>TPCPBL</v>
      </c>
      <c r="CC126" s="32" t="str">
        <f>VLOOKUP(Bankingbook_MSB[[#This Row],[Security Name]],Ref!X:Y,2,0)</f>
        <v>VDB</v>
      </c>
      <c r="CD126" s="72">
        <f>IF((Bankingbook_MSB[[#This Row],[Mat. Date]]-RPT)&lt;=0,0,Bankingbook_MSB[[#This Row],[QUANTITY]])</f>
        <v>0</v>
      </c>
      <c r="CE126" s="71">
        <f>IF(Bankingbook_MSB[[#This Row],[Quantity_edited]]=0,0,Bankingbook_MSB[[#This Row],[DURATION]])</f>
        <v>0</v>
      </c>
      <c r="CF126" s="71">
        <f>IF(Bankingbook_MSB[[#This Row],[Quantity_edited]]=0,0,Bankingbook_MSB[[#This Row],[Mod Dur]])</f>
        <v>0</v>
      </c>
      <c r="CG126" s="71">
        <f>IF(Bankingbook_MSB[[#This Row],[Quantity_edited]]=0,0,Bankingbook_MSB[[#This Row],[Cnvx.]])</f>
        <v>0</v>
      </c>
      <c r="CH126" s="71">
        <f>(Bankingbook_MSB[[#This Row],[MARKET_VALUE]]+Bankingbook_MSB[[#This Row],[Accr Int]]*Bankingbook_MSB[[#This Row],[Quantity_edited]])*(-Bankingbook_MSB[[#This Row],[Modified Duration]]*0.0001+0.5*Bankingbook_MSB[[#This Row],[Conv]]*(0.0001^2))</f>
        <v>0</v>
      </c>
      <c r="CI126" s="71">
        <f>(Bankingbook_MSB[[#This Row],[MARKET_VALUE]]+Bankingbook_MSB[[#This Row],[Accr Int]]*Bankingbook_MSB[[#This Row],[Quantity_edited]])*(-Bankingbook_MSB[[#This Row],[Modified Duration]]*0.01+0.5*Bankingbook_MSB[[#This Row],[Conv]]*(0.01^2))</f>
        <v>0</v>
      </c>
      <c r="CL126" t="s">
        <v>166</v>
      </c>
      <c r="CM126" t="s">
        <v>167</v>
      </c>
      <c r="CN126" t="s">
        <v>302</v>
      </c>
      <c r="CO126" t="s">
        <v>169</v>
      </c>
      <c r="CP126" s="35">
        <v>42610</v>
      </c>
      <c r="CQ126" t="s">
        <v>3322</v>
      </c>
      <c r="CR126" t="s">
        <v>174</v>
      </c>
      <c r="CS126" t="s">
        <v>174</v>
      </c>
      <c r="CT126" s="49">
        <v>0</v>
      </c>
      <c r="CU126">
        <v>0</v>
      </c>
      <c r="CV126">
        <v>0</v>
      </c>
      <c r="CW126" s="70">
        <v>0</v>
      </c>
      <c r="CX126">
        <v>8.3000000000000007</v>
      </c>
      <c r="CY126">
        <v>0</v>
      </c>
      <c r="CZ126">
        <v>8300000000</v>
      </c>
      <c r="DA126">
        <v>8852496416.6666679</v>
      </c>
      <c r="DB126">
        <v>-4446388915.5555458</v>
      </c>
      <c r="DC126">
        <v>8.3000000000000007</v>
      </c>
      <c r="DD126">
        <v>0</v>
      </c>
      <c r="DE126">
        <v>0</v>
      </c>
      <c r="DF126">
        <v>0</v>
      </c>
      <c r="DG126">
        <v>0</v>
      </c>
      <c r="DH126">
        <v>0</v>
      </c>
      <c r="DI126">
        <v>0</v>
      </c>
      <c r="DJ126" s="500">
        <v>5101000000</v>
      </c>
      <c r="DK126" s="500">
        <v>0</v>
      </c>
      <c r="DL126" s="37">
        <v>5101000000</v>
      </c>
      <c r="DM126" s="37">
        <v>5101000000</v>
      </c>
      <c r="DN126" s="37">
        <v>5101000000</v>
      </c>
      <c r="DO126" s="37">
        <v>5101000000</v>
      </c>
      <c r="DP126" s="32">
        <f>Tradingbook_SBV[[#This Row],[Mat. Date]]-RPT</f>
        <v>-3642</v>
      </c>
      <c r="DQ126" s="32">
        <f>IF(Tradingbook_SBV[[#This Row],[Days]]&lt;=0,0,YEARFRAC(RPT,Tradingbook_SBV[[#This Row],[Mat. Date]],3))</f>
        <v>0</v>
      </c>
      <c r="DR126" s="32">
        <f>IF(Tradingbook_SBV[[#This Row],[Days (year)]]=0,0,INDEX(Ref!$K$2:$K$13,MATCH(Tradingbook_SBV[[#This Row],[Days (year)]],Ref!$I$2:$I$13,1)))</f>
        <v>0</v>
      </c>
      <c r="DS126" s="32" t="str">
        <f>VLOOKUP(Tradingbook_SBV[[#This Row],[Security Name]],Ref!X:Z,3,0)</f>
        <v>TPCPBL</v>
      </c>
      <c r="DT126" s="32" t="str">
        <f>VLOOKUP(Tradingbook_SBV[[#This Row],[Security Name]],Ref!X:Y,2,0)</f>
        <v>VDB</v>
      </c>
      <c r="DU126" s="71">
        <f>IF((Tradingbook_SBV[[#This Row],[Mat. Date]]-RPT)&lt;=0,0,Tradingbook_SBV[[#This Row],[QUANTITY]])</f>
        <v>0</v>
      </c>
      <c r="DV126" s="71">
        <f>IF(Tradingbook_SBV[[#This Row],[Quantity_edited]]=0,0,Tradingbook_SBV[[#This Row],[DURATION]])</f>
        <v>0</v>
      </c>
      <c r="DW126" s="71">
        <f>IF(Tradingbook_SBV[[#This Row],[Quantity_edited]]=0,0,Tradingbook_SBV[[#This Row],[Mod Dur]])</f>
        <v>0</v>
      </c>
      <c r="DX126" s="71">
        <f>IF(Tradingbook_SBV[[#This Row],[Quantity_edited]]=0,0,Tradingbook_SBV[[#This Row],[Cnvx.]])</f>
        <v>0</v>
      </c>
      <c r="DY126" s="71">
        <f>(Tradingbook_SBV[[#This Row],[MARKET_VALUE]]+Tradingbook_SBV[[#This Row],[Accr Int]]*Tradingbook_SBV[[#This Row],[Quantity_edited]])*(-Tradingbook_SBV[[#This Row],[Modified Duration]]*0.0001+0.5*Tradingbook_SBV[[#This Row],[Conv]]*(0.0001^2))</f>
        <v>0</v>
      </c>
      <c r="DZ126" s="71">
        <f>(Tradingbook_SBV[[#This Row],[MARKET_VALUE]]+Tradingbook_SBV[[#This Row],[Accr Int]]*Tradingbook_SBV[[#This Row],[Quantity_edited]])*(-Tradingbook_SBV[[#This Row],[Modified Duration]]*0.01+0.5*Tradingbook_SBV[[#This Row],[Conv]]*(0.01^2))</f>
        <v>0</v>
      </c>
      <c r="EC126" t="s">
        <v>166</v>
      </c>
      <c r="ED126" t="s">
        <v>167</v>
      </c>
      <c r="EE126" t="s">
        <v>523</v>
      </c>
      <c r="EF126" t="s">
        <v>169</v>
      </c>
      <c r="EG126" s="35" t="s">
        <v>524</v>
      </c>
      <c r="EH126" t="s">
        <v>170</v>
      </c>
      <c r="EK126" s="500">
        <v>2500000</v>
      </c>
      <c r="EL126" s="500">
        <v>250000000000</v>
      </c>
      <c r="EM126" s="500">
        <v>100327.304</v>
      </c>
      <c r="EN126" s="500">
        <v>0</v>
      </c>
      <c r="EO126">
        <v>5.3</v>
      </c>
      <c r="EP126">
        <v>0</v>
      </c>
      <c r="EQ126">
        <v>66250000000</v>
      </c>
      <c r="ER126">
        <v>69033370451.388855</v>
      </c>
      <c r="ES126">
        <v>-25420725060.138763</v>
      </c>
      <c r="ET126">
        <v>5.3</v>
      </c>
      <c r="EU126">
        <v>0</v>
      </c>
      <c r="EV126">
        <v>0</v>
      </c>
      <c r="EW126">
        <v>0</v>
      </c>
      <c r="EX126">
        <v>0</v>
      </c>
      <c r="EY126">
        <v>0</v>
      </c>
      <c r="EZ126">
        <v>0</v>
      </c>
      <c r="FA126">
        <v>131500000.00002921</v>
      </c>
      <c r="FB126">
        <v>0</v>
      </c>
      <c r="FC126">
        <v>131500000.00002921</v>
      </c>
      <c r="FD126">
        <v>131500000.00002921</v>
      </c>
      <c r="FE126">
        <v>131500000</v>
      </c>
      <c r="FF126">
        <v>131500000.00002921</v>
      </c>
      <c r="FG126" s="32">
        <f>Bankingbook_SBV[[#This Row],[Mat. Date]]-RPT</f>
        <v>-973</v>
      </c>
      <c r="FH126" s="32">
        <f>IF(Bankingbook_SBV[[#This Row],[Days]]&lt;=0,0,YEARFRAC(RPT,Bankingbook_SBV[[#This Row],[Mat. Date]],3))</f>
        <v>0</v>
      </c>
      <c r="FI126" s="32">
        <f>IF(Bankingbook_SBV[[#This Row],[Days (year)]]=0,0,INDEX(Ref!$K$2:$K$13,MATCH(Bankingbook_SBV[[#This Row],[Days (year)]],Ref!$I$2:$I$13,1)))</f>
        <v>0</v>
      </c>
      <c r="FJ126" s="32" t="str">
        <f>VLOOKUP(Bankingbook_SBV[[#This Row],[Security Name]],Ref!X:Z,3,0)</f>
        <v>TPCPBL</v>
      </c>
      <c r="FK126" s="32" t="str">
        <f>VLOOKUP(Bankingbook_SBV[[#This Row],[Security Name]],Ref!X:Y,2,0)</f>
        <v>VDB</v>
      </c>
      <c r="FL126" s="72">
        <f>IF((Bankingbook_SBV[[#This Row],[Mat. Date]]-RPT)&lt;=0,0,Bankingbook_SBV[[#This Row],[QUANTITY]])</f>
        <v>0</v>
      </c>
      <c r="FM126" s="32">
        <f>IF(Bankingbook_SBV[[#This Row],[Quantity_edited]]=0,0,Bankingbook_SBV[[#This Row],[DURATION]])</f>
        <v>0</v>
      </c>
      <c r="FN126" s="32">
        <f>IF(Bankingbook_SBV[[#This Row],[Quantity_edited]]=0,0,Bankingbook_SBV[[#This Row],[Mod Dur]])</f>
        <v>0</v>
      </c>
      <c r="FO126" s="32">
        <f>IF(Bankingbook_SBV[[#This Row],[Quantity_edited]]=0,0,Bankingbook_SBV[[#This Row],[Cnvx.]])</f>
        <v>0</v>
      </c>
      <c r="FP126" s="32">
        <f>(Bankingbook_SBV[[#This Row],[MARKET_VALUE]]+Bankingbook_SBV[[#This Row],[Accr Int]]*Bankingbook_SBV[[#This Row],[Quantity_edited]])*(-Bankingbook_SBV[[#This Row],[Modified Duration]]*0.0001+0.5*Bankingbook_SBV[[#This Row],[Conv]]*(0.0001^2))</f>
        <v>0</v>
      </c>
      <c r="FQ126" s="32">
        <f>(Bankingbook_SBV[[#This Row],[MARKET_VALUE]]+Bankingbook_SBV[[#This Row],[Accr Int]]*Bankingbook_SBV[[#This Row],[Quantity_edited]])*(-Bankingbook_SBV[[#This Row],[Modified Duration]]*0.01+0.5*Bankingbook_SBV[[#This Row],[Conv]]*(0.01^2))</f>
        <v>0</v>
      </c>
    </row>
    <row r="127" spans="2:173" x14ac:dyDescent="0.3">
      <c r="B127" t="s">
        <v>166</v>
      </c>
      <c r="C127" t="s">
        <v>167</v>
      </c>
      <c r="D127" t="s">
        <v>303</v>
      </c>
      <c r="E127" t="s">
        <v>169</v>
      </c>
      <c r="F127" s="502">
        <v>42619</v>
      </c>
      <c r="G127" t="s">
        <v>3322</v>
      </c>
      <c r="H127"/>
      <c r="I127"/>
      <c r="J127" s="38">
        <v>0</v>
      </c>
      <c r="K127">
        <v>0</v>
      </c>
      <c r="L127">
        <v>0</v>
      </c>
      <c r="M127" s="38">
        <v>0</v>
      </c>
      <c r="N127">
        <v>12.4</v>
      </c>
      <c r="O127">
        <v>0</v>
      </c>
      <c r="P127" s="37">
        <v>34720000000</v>
      </c>
      <c r="Q127" s="37">
        <v>38641038788.888809</v>
      </c>
      <c r="R127" s="37">
        <v>-18712893480.444286</v>
      </c>
      <c r="S127">
        <v>12.4</v>
      </c>
      <c r="T127" s="70">
        <v>0</v>
      </c>
      <c r="U127">
        <v>0</v>
      </c>
      <c r="V127">
        <v>0</v>
      </c>
      <c r="W127">
        <v>0</v>
      </c>
      <c r="X127" s="38">
        <v>0</v>
      </c>
      <c r="Y127">
        <v>0</v>
      </c>
      <c r="Z127" s="70">
        <v>19706100000</v>
      </c>
      <c r="AA127" s="70">
        <v>0</v>
      </c>
      <c r="AB127" s="70">
        <v>19706100000</v>
      </c>
      <c r="AC127" s="70">
        <v>19706100000</v>
      </c>
      <c r="AD127" s="70">
        <v>19706100000</v>
      </c>
      <c r="AE127" s="70">
        <v>19706100000</v>
      </c>
      <c r="AF127">
        <v>0</v>
      </c>
      <c r="AG127" s="72">
        <f>Tradingbook_MSB[[#This Row],[Mat. Date]]-RPT</f>
        <v>-3633</v>
      </c>
      <c r="AH127" s="71">
        <f>IF(Tradingbook_MSB[[#This Row],[Days]]&lt;=0,0,YEARFRAC(RPT,Tradingbook_MSB[[#This Row],[Mat. Date]],3))</f>
        <v>0</v>
      </c>
      <c r="AI127" s="71">
        <f>IF(Tradingbook_MSB[[#This Row],[Days (year)]]=0,0,INDEX(Ref!$K$2:$K$13,MATCH(Tradingbook_MSB[[#This Row],[Days (year)]],Ref!$I$2:$I$13,1)))</f>
        <v>0</v>
      </c>
      <c r="AJ127" s="120" t="str">
        <f>VLOOKUP(Tradingbook_MSB[[#This Row],[Security Name]],Ref!X:Z,3,0)</f>
        <v>TPCP</v>
      </c>
      <c r="AK127" s="120" t="str">
        <f>VLOOKUP(Tradingbook_MSB[[#This Row],[Security Name]],Ref!X:Y,2,0)</f>
        <v>KBNN</v>
      </c>
      <c r="AL127" s="71">
        <f>IF((Tradingbook_MSB[[#This Row],[Mat. Date]]-RPT)&lt;=0,0,Tradingbook_MSB[[#This Row],[QUANTITY]])</f>
        <v>0</v>
      </c>
      <c r="AM127" s="71">
        <f>IF(Tradingbook_MSB[[#This Row],[Quantity_edited]]=0,0,Tradingbook_MSB[[#This Row],[DURATION]])</f>
        <v>0</v>
      </c>
      <c r="AN127" s="71">
        <f>IF(Tradingbook_MSB[[#This Row],[Quantity_edited]]=0,0,Tradingbook_MSB[[#This Row],[Mod Dur]])</f>
        <v>0</v>
      </c>
      <c r="AO127" s="71">
        <f>IF(Tradingbook_MSB[[#This Row],[Quantity_edited]]=0,0,Tradingbook_MSB[[#This Row],[Cnvx.]])</f>
        <v>0</v>
      </c>
      <c r="AP127" s="71">
        <f>(Tradingbook_MSB[[#This Row],[MARKET_VALUE]]+Tradingbook_MSB[[#This Row],[Accr Int]]*Tradingbook_MSB[[#This Row],[Quantity_edited]])*(-Tradingbook_MSB[[#This Row],[Modified Duration]]*0.0001+0.5*Tradingbook_MSB[[#This Row],[Conv]]*(0.0001^2))</f>
        <v>0</v>
      </c>
      <c r="AQ127" s="72">
        <f>(Tradingbook_MSB[[#This Row],[MARKET_VALUE]]+Tradingbook_MSB[[#This Row],[Accr Int]]*Tradingbook_MSB[[#This Row],[Quantity_edited]])*(-Tradingbook_MSB[[#This Row],[Modified Duration]]*0.01+0.5*Tradingbook_MSB[[#This Row],[Conv]]*(0.01^2))</f>
        <v>0</v>
      </c>
      <c r="AR127" s="71"/>
      <c r="AT127" t="s">
        <v>166</v>
      </c>
      <c r="AU127" t="s">
        <v>3300</v>
      </c>
      <c r="AV127" t="s">
        <v>606</v>
      </c>
      <c r="AW127" t="s">
        <v>169</v>
      </c>
      <c r="AX127" t="s">
        <v>3419</v>
      </c>
      <c r="AY127" t="s">
        <v>3322</v>
      </c>
      <c r="AZ127">
        <v>97770</v>
      </c>
      <c r="BA127">
        <v>97770</v>
      </c>
      <c r="BB127">
        <v>0</v>
      </c>
      <c r="BC127">
        <v>0</v>
      </c>
      <c r="BD127">
        <v>0</v>
      </c>
      <c r="BE127">
        <v>0</v>
      </c>
      <c r="BF127">
        <v>3.1</v>
      </c>
      <c r="BG127">
        <v>1877</v>
      </c>
      <c r="BH127">
        <v>6200000000</v>
      </c>
      <c r="BI127">
        <v>7030600006.9444256</v>
      </c>
      <c r="BJ127">
        <v>-4266444858.5415449</v>
      </c>
      <c r="BK127">
        <v>3.8082994710000002</v>
      </c>
      <c r="BL127">
        <v>3.0971039215367999</v>
      </c>
      <c r="BM127">
        <v>3.21505091</v>
      </c>
      <c r="BN127">
        <v>12.937675480988601</v>
      </c>
      <c r="BO127">
        <v>0</v>
      </c>
      <c r="BP127">
        <v>0</v>
      </c>
      <c r="BQ127">
        <v>0</v>
      </c>
      <c r="BR127">
        <v>-528000000</v>
      </c>
      <c r="BS127">
        <v>0</v>
      </c>
      <c r="BT127">
        <v>-528000000</v>
      </c>
      <c r="BU127">
        <v>-528000000</v>
      </c>
      <c r="BV127">
        <v>-528000000</v>
      </c>
      <c r="BW127">
        <v>-528000000</v>
      </c>
      <c r="BX127">
        <v>0</v>
      </c>
      <c r="BY127" s="32">
        <f>Bankingbook_MSB[[#This Row],[Mat. Date]]-RPT</f>
        <v>1240</v>
      </c>
      <c r="BZ127" s="71">
        <f>IF(Bankingbook_MSB[[#This Row],[Days]]&lt;=0,0,YEARFRAC(RPT,Bankingbook_MSB[[#This Row],[Mat. Date]],3))</f>
        <v>3.3972602739726026</v>
      </c>
      <c r="CA127" s="71" t="str">
        <f>IF(Bankingbook_MSB[[#This Row],[Days (year)]]=0,0,INDEX(Ref!$K$2:$K$13,MATCH(Bankingbook_MSB[[#This Row],[Days (year)]],Ref!$I$2:$I$13,1)))</f>
        <v>3Y</v>
      </c>
      <c r="CB127" s="32" t="str">
        <f>VLOOKUP(Bankingbook_MSB[[#This Row],[Security Name]],Ref!X:Z,3,0)</f>
        <v>TPCP</v>
      </c>
      <c r="CC127" s="32" t="str">
        <f>VLOOKUP(Bankingbook_MSB[[#This Row],[Security Name]],Ref!X:Y,2,0)</f>
        <v>KBNN</v>
      </c>
      <c r="CD127" s="72">
        <f>IF((Bankingbook_MSB[[#This Row],[Mat. Date]]-RPT)&lt;=0,0,Bankingbook_MSB[[#This Row],[QUANTITY]])</f>
        <v>0</v>
      </c>
      <c r="CE127" s="71">
        <f>IF(Bankingbook_MSB[[#This Row],[Quantity_edited]]=0,0,Bankingbook_MSB[[#This Row],[DURATION]])</f>
        <v>0</v>
      </c>
      <c r="CF127" s="71">
        <f>IF(Bankingbook_MSB[[#This Row],[Quantity_edited]]=0,0,Bankingbook_MSB[[#This Row],[Mod Dur]])</f>
        <v>0</v>
      </c>
      <c r="CG127" s="71">
        <f>IF(Bankingbook_MSB[[#This Row],[Quantity_edited]]=0,0,Bankingbook_MSB[[#This Row],[Cnvx.]])</f>
        <v>0</v>
      </c>
      <c r="CH127" s="71">
        <f>(Bankingbook_MSB[[#This Row],[MARKET_VALUE]]+Bankingbook_MSB[[#This Row],[Accr Int]]*Bankingbook_MSB[[#This Row],[Quantity_edited]])*(-Bankingbook_MSB[[#This Row],[Modified Duration]]*0.0001+0.5*Bankingbook_MSB[[#This Row],[Conv]]*(0.0001^2))</f>
        <v>0</v>
      </c>
      <c r="CI127" s="71">
        <f>(Bankingbook_MSB[[#This Row],[MARKET_VALUE]]+Bankingbook_MSB[[#This Row],[Accr Int]]*Bankingbook_MSB[[#This Row],[Quantity_edited]])*(-Bankingbook_MSB[[#This Row],[Modified Duration]]*0.01+0.5*Bankingbook_MSB[[#This Row],[Conv]]*(0.01^2))</f>
        <v>0</v>
      </c>
      <c r="CL127" t="s">
        <v>166</v>
      </c>
      <c r="CM127" t="s">
        <v>167</v>
      </c>
      <c r="CN127" t="s">
        <v>303</v>
      </c>
      <c r="CO127" t="s">
        <v>169</v>
      </c>
      <c r="CP127" s="35">
        <v>42619</v>
      </c>
      <c r="CQ127" t="s">
        <v>3322</v>
      </c>
      <c r="CR127" t="s">
        <v>174</v>
      </c>
      <c r="CS127" t="s">
        <v>174</v>
      </c>
      <c r="CT127" s="49">
        <v>0</v>
      </c>
      <c r="CU127">
        <v>0</v>
      </c>
      <c r="CV127">
        <v>0</v>
      </c>
      <c r="CW127" s="70">
        <v>0</v>
      </c>
      <c r="CX127">
        <v>12.4</v>
      </c>
      <c r="CY127">
        <v>0</v>
      </c>
      <c r="CZ127">
        <v>34720000000</v>
      </c>
      <c r="DA127">
        <v>38641038788.888809</v>
      </c>
      <c r="DB127">
        <v>-18712893480.444286</v>
      </c>
      <c r="DC127">
        <v>12.4</v>
      </c>
      <c r="DD127">
        <v>0</v>
      </c>
      <c r="DE127">
        <v>0</v>
      </c>
      <c r="DF127">
        <v>0</v>
      </c>
      <c r="DG127">
        <v>0</v>
      </c>
      <c r="DH127">
        <v>0</v>
      </c>
      <c r="DI127">
        <v>0</v>
      </c>
      <c r="DJ127" s="500">
        <v>19706100000</v>
      </c>
      <c r="DK127" s="500">
        <v>0</v>
      </c>
      <c r="DL127" s="37">
        <v>19706100000</v>
      </c>
      <c r="DM127" s="37">
        <v>19706100000</v>
      </c>
      <c r="DN127" s="37">
        <v>19706100000</v>
      </c>
      <c r="DO127" s="37">
        <v>19706100000</v>
      </c>
      <c r="DP127" s="32">
        <f>Tradingbook_SBV[[#This Row],[Mat. Date]]-RPT</f>
        <v>-3633</v>
      </c>
      <c r="DQ127" s="32">
        <f>IF(Tradingbook_SBV[[#This Row],[Days]]&lt;=0,0,YEARFRAC(RPT,Tradingbook_SBV[[#This Row],[Mat. Date]],3))</f>
        <v>0</v>
      </c>
      <c r="DR127" s="32">
        <f>IF(Tradingbook_SBV[[#This Row],[Days (year)]]=0,0,INDEX(Ref!$K$2:$K$13,MATCH(Tradingbook_SBV[[#This Row],[Days (year)]],Ref!$I$2:$I$13,1)))</f>
        <v>0</v>
      </c>
      <c r="DS127" s="32" t="str">
        <f>VLOOKUP(Tradingbook_SBV[[#This Row],[Security Name]],Ref!X:Z,3,0)</f>
        <v>TPCP</v>
      </c>
      <c r="DT127" s="32" t="str">
        <f>VLOOKUP(Tradingbook_SBV[[#This Row],[Security Name]],Ref!X:Y,2,0)</f>
        <v>KBNN</v>
      </c>
      <c r="DU127" s="71">
        <f>IF((Tradingbook_SBV[[#This Row],[Mat. Date]]-RPT)&lt;=0,0,Tradingbook_SBV[[#This Row],[QUANTITY]])</f>
        <v>0</v>
      </c>
      <c r="DV127" s="71">
        <f>IF(Tradingbook_SBV[[#This Row],[Quantity_edited]]=0,0,Tradingbook_SBV[[#This Row],[DURATION]])</f>
        <v>0</v>
      </c>
      <c r="DW127" s="71">
        <f>IF(Tradingbook_SBV[[#This Row],[Quantity_edited]]=0,0,Tradingbook_SBV[[#This Row],[Mod Dur]])</f>
        <v>0</v>
      </c>
      <c r="DX127" s="71">
        <f>IF(Tradingbook_SBV[[#This Row],[Quantity_edited]]=0,0,Tradingbook_SBV[[#This Row],[Cnvx.]])</f>
        <v>0</v>
      </c>
      <c r="DY127" s="71">
        <f>(Tradingbook_SBV[[#This Row],[MARKET_VALUE]]+Tradingbook_SBV[[#This Row],[Accr Int]]*Tradingbook_SBV[[#This Row],[Quantity_edited]])*(-Tradingbook_SBV[[#This Row],[Modified Duration]]*0.0001+0.5*Tradingbook_SBV[[#This Row],[Conv]]*(0.0001^2))</f>
        <v>0</v>
      </c>
      <c r="DZ127" s="71">
        <f>(Tradingbook_SBV[[#This Row],[MARKET_VALUE]]+Tradingbook_SBV[[#This Row],[Accr Int]]*Tradingbook_SBV[[#This Row],[Quantity_edited]])*(-Tradingbook_SBV[[#This Row],[Modified Duration]]*0.01+0.5*Tradingbook_SBV[[#This Row],[Conv]]*(0.01^2))</f>
        <v>0</v>
      </c>
      <c r="EC127" t="s">
        <v>166</v>
      </c>
      <c r="ED127" t="s">
        <v>167</v>
      </c>
      <c r="EE127" t="s">
        <v>525</v>
      </c>
      <c r="EF127" t="s">
        <v>169</v>
      </c>
      <c r="EG127" s="35" t="s">
        <v>526</v>
      </c>
      <c r="EH127" t="s">
        <v>170</v>
      </c>
      <c r="EK127" s="500">
        <v>3000000</v>
      </c>
      <c r="EL127" s="500">
        <v>300000000000</v>
      </c>
      <c r="EM127" s="500">
        <v>100871.857</v>
      </c>
      <c r="EN127" s="500">
        <v>0</v>
      </c>
      <c r="EO127">
        <v>5.3</v>
      </c>
      <c r="EP127">
        <v>0</v>
      </c>
      <c r="EQ127">
        <v>79500000000</v>
      </c>
      <c r="ER127">
        <v>82825105166.666626</v>
      </c>
      <c r="ES127">
        <v>-30942102709.999928</v>
      </c>
      <c r="ET127">
        <v>5.3</v>
      </c>
      <c r="EU127">
        <v>0</v>
      </c>
      <c r="EV127">
        <v>0</v>
      </c>
      <c r="EW127">
        <v>0</v>
      </c>
      <c r="EX127">
        <v>0</v>
      </c>
      <c r="EY127">
        <v>0</v>
      </c>
      <c r="EZ127">
        <v>0</v>
      </c>
      <c r="FA127">
        <v>-3883000000.0000148</v>
      </c>
      <c r="FB127">
        <v>0</v>
      </c>
      <c r="FC127">
        <v>-3883000000.0000148</v>
      </c>
      <c r="FD127">
        <v>-3883000000.0000148</v>
      </c>
      <c r="FE127">
        <v>-3883000000</v>
      </c>
      <c r="FF127">
        <v>-3883000000.0000148</v>
      </c>
      <c r="FG127" s="32">
        <f>Bankingbook_SBV[[#This Row],[Mat. Date]]-RPT</f>
        <v>-966</v>
      </c>
      <c r="FH127" s="32">
        <f>IF(Bankingbook_SBV[[#This Row],[Days]]&lt;=0,0,YEARFRAC(RPT,Bankingbook_SBV[[#This Row],[Mat. Date]],3))</f>
        <v>0</v>
      </c>
      <c r="FI127" s="32">
        <f>IF(Bankingbook_SBV[[#This Row],[Days (year)]]=0,0,INDEX(Ref!$K$2:$K$13,MATCH(Bankingbook_SBV[[#This Row],[Days (year)]],Ref!$I$2:$I$13,1)))</f>
        <v>0</v>
      </c>
      <c r="FJ127" s="32" t="str">
        <f>VLOOKUP(Bankingbook_SBV[[#This Row],[Security Name]],Ref!X:Z,3,0)</f>
        <v>TPCPBL</v>
      </c>
      <c r="FK127" s="32" t="str">
        <f>VLOOKUP(Bankingbook_SBV[[#This Row],[Security Name]],Ref!X:Y,2,0)</f>
        <v>VDB</v>
      </c>
      <c r="FL127" s="72">
        <f>IF((Bankingbook_SBV[[#This Row],[Mat. Date]]-RPT)&lt;=0,0,Bankingbook_SBV[[#This Row],[QUANTITY]])</f>
        <v>0</v>
      </c>
      <c r="FM127" s="32">
        <f>IF(Bankingbook_SBV[[#This Row],[Quantity_edited]]=0,0,Bankingbook_SBV[[#This Row],[DURATION]])</f>
        <v>0</v>
      </c>
      <c r="FN127" s="32">
        <f>IF(Bankingbook_SBV[[#This Row],[Quantity_edited]]=0,0,Bankingbook_SBV[[#This Row],[Mod Dur]])</f>
        <v>0</v>
      </c>
      <c r="FO127" s="32">
        <f>IF(Bankingbook_SBV[[#This Row],[Quantity_edited]]=0,0,Bankingbook_SBV[[#This Row],[Cnvx.]])</f>
        <v>0</v>
      </c>
      <c r="FP127" s="32">
        <f>(Bankingbook_SBV[[#This Row],[MARKET_VALUE]]+Bankingbook_SBV[[#This Row],[Accr Int]]*Bankingbook_SBV[[#This Row],[Quantity_edited]])*(-Bankingbook_SBV[[#This Row],[Modified Duration]]*0.0001+0.5*Bankingbook_SBV[[#This Row],[Conv]]*(0.0001^2))</f>
        <v>0</v>
      </c>
      <c r="FQ127" s="32">
        <f>(Bankingbook_SBV[[#This Row],[MARKET_VALUE]]+Bankingbook_SBV[[#This Row],[Accr Int]]*Bankingbook_SBV[[#This Row],[Quantity_edited]])*(-Bankingbook_SBV[[#This Row],[Modified Duration]]*0.01+0.5*Bankingbook_SBV[[#This Row],[Conv]]*(0.01^2))</f>
        <v>0</v>
      </c>
    </row>
    <row r="128" spans="2:173" x14ac:dyDescent="0.3">
      <c r="B128" t="s">
        <v>166</v>
      </c>
      <c r="C128" t="s">
        <v>167</v>
      </c>
      <c r="D128" t="s">
        <v>304</v>
      </c>
      <c r="E128" t="s">
        <v>169</v>
      </c>
      <c r="F128" s="502">
        <v>42626</v>
      </c>
      <c r="G128" t="s">
        <v>3322</v>
      </c>
      <c r="H128"/>
      <c r="I128"/>
      <c r="J128" s="38">
        <v>0</v>
      </c>
      <c r="K128">
        <v>0</v>
      </c>
      <c r="L128">
        <v>0</v>
      </c>
      <c r="M128" s="38">
        <v>0</v>
      </c>
      <c r="N128">
        <v>8.6</v>
      </c>
      <c r="O128">
        <v>0</v>
      </c>
      <c r="P128" s="37">
        <v>0</v>
      </c>
      <c r="Q128" s="37">
        <v>0</v>
      </c>
      <c r="R128" s="37">
        <v>-11241915.833333015</v>
      </c>
      <c r="S128">
        <v>8.6</v>
      </c>
      <c r="T128" s="70">
        <v>0</v>
      </c>
      <c r="U128">
        <v>0</v>
      </c>
      <c r="V128">
        <v>0</v>
      </c>
      <c r="W128">
        <v>0</v>
      </c>
      <c r="X128" s="38">
        <v>0</v>
      </c>
      <c r="Y128">
        <v>0</v>
      </c>
      <c r="Z128" s="70">
        <v>21000000</v>
      </c>
      <c r="AA128" s="70">
        <v>0</v>
      </c>
      <c r="AB128" s="70">
        <v>21000000</v>
      </c>
      <c r="AC128" s="70">
        <v>21000000</v>
      </c>
      <c r="AD128" s="70">
        <v>21000000</v>
      </c>
      <c r="AE128" s="70">
        <v>21000000</v>
      </c>
      <c r="AF128">
        <v>0</v>
      </c>
      <c r="AG128" s="72">
        <f>Tradingbook_MSB[[#This Row],[Mat. Date]]-RPT</f>
        <v>-3626</v>
      </c>
      <c r="AH128" s="71">
        <f>IF(Tradingbook_MSB[[#This Row],[Days]]&lt;=0,0,YEARFRAC(RPT,Tradingbook_MSB[[#This Row],[Mat. Date]],3))</f>
        <v>0</v>
      </c>
      <c r="AI128" s="71">
        <f>IF(Tradingbook_MSB[[#This Row],[Days (year)]]=0,0,INDEX(Ref!$K$2:$K$13,MATCH(Tradingbook_MSB[[#This Row],[Days (year)]],Ref!$I$2:$I$13,1)))</f>
        <v>0</v>
      </c>
      <c r="AJ128" s="120" t="str">
        <f>VLOOKUP(Tradingbook_MSB[[#This Row],[Security Name]],Ref!X:Z,3,0)</f>
        <v>TPCP</v>
      </c>
      <c r="AK128" s="120" t="str">
        <f>VLOOKUP(Tradingbook_MSB[[#This Row],[Security Name]],Ref!X:Y,2,0)</f>
        <v>VDB</v>
      </c>
      <c r="AL128" s="71">
        <f>IF((Tradingbook_MSB[[#This Row],[Mat. Date]]-RPT)&lt;=0,0,Tradingbook_MSB[[#This Row],[QUANTITY]])</f>
        <v>0</v>
      </c>
      <c r="AM128" s="71">
        <f>IF(Tradingbook_MSB[[#This Row],[Quantity_edited]]=0,0,Tradingbook_MSB[[#This Row],[DURATION]])</f>
        <v>0</v>
      </c>
      <c r="AN128" s="71">
        <f>IF(Tradingbook_MSB[[#This Row],[Quantity_edited]]=0,0,Tradingbook_MSB[[#This Row],[Mod Dur]])</f>
        <v>0</v>
      </c>
      <c r="AO128" s="71">
        <f>IF(Tradingbook_MSB[[#This Row],[Quantity_edited]]=0,0,Tradingbook_MSB[[#This Row],[Cnvx.]])</f>
        <v>0</v>
      </c>
      <c r="AP128" s="71">
        <f>(Tradingbook_MSB[[#This Row],[MARKET_VALUE]]+Tradingbook_MSB[[#This Row],[Accr Int]]*Tradingbook_MSB[[#This Row],[Quantity_edited]])*(-Tradingbook_MSB[[#This Row],[Modified Duration]]*0.0001+0.5*Tradingbook_MSB[[#This Row],[Conv]]*(0.0001^2))</f>
        <v>0</v>
      </c>
      <c r="AQ128" s="72">
        <f>(Tradingbook_MSB[[#This Row],[MARKET_VALUE]]+Tradingbook_MSB[[#This Row],[Accr Int]]*Tradingbook_MSB[[#This Row],[Quantity_edited]])*(-Tradingbook_MSB[[#This Row],[Modified Duration]]*0.01+0.5*Tradingbook_MSB[[#This Row],[Conv]]*(0.01^2))</f>
        <v>0</v>
      </c>
      <c r="AR128" s="71"/>
      <c r="AT128" t="s">
        <v>166</v>
      </c>
      <c r="AU128" t="s">
        <v>3300</v>
      </c>
      <c r="AV128" t="s">
        <v>608</v>
      </c>
      <c r="AW128" t="s">
        <v>169</v>
      </c>
      <c r="AX128" t="s">
        <v>3420</v>
      </c>
      <c r="AY128" t="s">
        <v>3322</v>
      </c>
      <c r="AZ128">
        <v>111831</v>
      </c>
      <c r="BA128">
        <v>111831</v>
      </c>
      <c r="BB128">
        <v>0</v>
      </c>
      <c r="BC128">
        <v>0</v>
      </c>
      <c r="BD128">
        <v>0</v>
      </c>
      <c r="BE128">
        <v>0</v>
      </c>
      <c r="BF128">
        <v>7.5</v>
      </c>
      <c r="BG128">
        <v>3514</v>
      </c>
      <c r="BH128">
        <v>60000000000</v>
      </c>
      <c r="BI128">
        <v>74933280208.333344</v>
      </c>
      <c r="BJ128">
        <v>-20693265799.861343</v>
      </c>
      <c r="BK128">
        <v>3.8426167800000002</v>
      </c>
      <c r="BL128">
        <v>3.0415835763121</v>
      </c>
      <c r="BM128">
        <v>3.1584599799999999</v>
      </c>
      <c r="BN128">
        <v>12.865604272612201</v>
      </c>
      <c r="BO128">
        <v>0</v>
      </c>
      <c r="BP128">
        <v>0</v>
      </c>
      <c r="BQ128">
        <v>0</v>
      </c>
      <c r="BR128">
        <v>18129000000</v>
      </c>
      <c r="BS128">
        <v>0</v>
      </c>
      <c r="BT128">
        <v>18129000000</v>
      </c>
      <c r="BU128">
        <v>18129000000</v>
      </c>
      <c r="BV128">
        <v>18129000000</v>
      </c>
      <c r="BW128">
        <v>18129000000</v>
      </c>
      <c r="BX128">
        <v>0</v>
      </c>
      <c r="BY128" s="32">
        <f>Bankingbook_MSB[[#This Row],[Mat. Date]]-RPT</f>
        <v>1290</v>
      </c>
      <c r="BZ128" s="71">
        <f>IF(Bankingbook_MSB[[#This Row],[Days]]&lt;=0,0,YEARFRAC(RPT,Bankingbook_MSB[[#This Row],[Mat. Date]],3))</f>
        <v>3.5342465753424657</v>
      </c>
      <c r="CA128" s="71" t="str">
        <f>IF(Bankingbook_MSB[[#This Row],[Days (year)]]=0,0,INDEX(Ref!$K$2:$K$13,MATCH(Bankingbook_MSB[[#This Row],[Days (year)]],Ref!$I$2:$I$13,1)))</f>
        <v>4Y</v>
      </c>
      <c r="CB128" s="32" t="str">
        <f>VLOOKUP(Bankingbook_MSB[[#This Row],[Security Name]],Ref!X:Z,3,0)</f>
        <v>TPCP</v>
      </c>
      <c r="CC128" s="32" t="str">
        <f>VLOOKUP(Bankingbook_MSB[[#This Row],[Security Name]],Ref!X:Y,2,0)</f>
        <v>KBNN</v>
      </c>
      <c r="CD128" s="72">
        <f>IF((Bankingbook_MSB[[#This Row],[Mat. Date]]-RPT)&lt;=0,0,Bankingbook_MSB[[#This Row],[QUANTITY]])</f>
        <v>0</v>
      </c>
      <c r="CE128" s="71">
        <f>IF(Bankingbook_MSB[[#This Row],[Quantity_edited]]=0,0,Bankingbook_MSB[[#This Row],[DURATION]])</f>
        <v>0</v>
      </c>
      <c r="CF128" s="71">
        <f>IF(Bankingbook_MSB[[#This Row],[Quantity_edited]]=0,0,Bankingbook_MSB[[#This Row],[Mod Dur]])</f>
        <v>0</v>
      </c>
      <c r="CG128" s="71">
        <f>IF(Bankingbook_MSB[[#This Row],[Quantity_edited]]=0,0,Bankingbook_MSB[[#This Row],[Cnvx.]])</f>
        <v>0</v>
      </c>
      <c r="CH128" s="71">
        <f>(Bankingbook_MSB[[#This Row],[MARKET_VALUE]]+Bankingbook_MSB[[#This Row],[Accr Int]]*Bankingbook_MSB[[#This Row],[Quantity_edited]])*(-Bankingbook_MSB[[#This Row],[Modified Duration]]*0.0001+0.5*Bankingbook_MSB[[#This Row],[Conv]]*(0.0001^2))</f>
        <v>0</v>
      </c>
      <c r="CI128" s="71">
        <f>(Bankingbook_MSB[[#This Row],[MARKET_VALUE]]+Bankingbook_MSB[[#This Row],[Accr Int]]*Bankingbook_MSB[[#This Row],[Quantity_edited]])*(-Bankingbook_MSB[[#This Row],[Modified Duration]]*0.01+0.5*Bankingbook_MSB[[#This Row],[Conv]]*(0.01^2))</f>
        <v>0</v>
      </c>
      <c r="CL128" t="s">
        <v>166</v>
      </c>
      <c r="CM128" t="s">
        <v>167</v>
      </c>
      <c r="CN128" t="s">
        <v>304</v>
      </c>
      <c r="CO128" t="s">
        <v>169</v>
      </c>
      <c r="CP128" s="35">
        <v>42626</v>
      </c>
      <c r="CQ128" t="s">
        <v>3322</v>
      </c>
      <c r="CR128" t="s">
        <v>174</v>
      </c>
      <c r="CS128" t="s">
        <v>174</v>
      </c>
      <c r="CT128" s="49">
        <v>0</v>
      </c>
      <c r="CU128">
        <v>0</v>
      </c>
      <c r="CV128">
        <v>0</v>
      </c>
      <c r="CW128" s="70">
        <v>0</v>
      </c>
      <c r="CX128">
        <v>8.6</v>
      </c>
      <c r="CY128">
        <v>0</v>
      </c>
      <c r="CZ128">
        <v>0</v>
      </c>
      <c r="DA128">
        <v>0</v>
      </c>
      <c r="DB128">
        <v>-11241915.833333015</v>
      </c>
      <c r="DC128">
        <v>8.6</v>
      </c>
      <c r="DD128">
        <v>0</v>
      </c>
      <c r="DE128">
        <v>0</v>
      </c>
      <c r="DF128">
        <v>0</v>
      </c>
      <c r="DG128">
        <v>0</v>
      </c>
      <c r="DH128">
        <v>0</v>
      </c>
      <c r="DI128">
        <v>0</v>
      </c>
      <c r="DJ128" s="500">
        <v>21000000</v>
      </c>
      <c r="DK128" s="500">
        <v>0</v>
      </c>
      <c r="DL128" s="37">
        <v>21000000</v>
      </c>
      <c r="DM128" s="37">
        <v>21000000</v>
      </c>
      <c r="DN128" s="37">
        <v>21000000</v>
      </c>
      <c r="DO128" s="37">
        <v>21000000</v>
      </c>
      <c r="DP128" s="32">
        <f>Tradingbook_SBV[[#This Row],[Mat. Date]]-RPT</f>
        <v>-3626</v>
      </c>
      <c r="DQ128" s="32">
        <f>IF(Tradingbook_SBV[[#This Row],[Days]]&lt;=0,0,YEARFRAC(RPT,Tradingbook_SBV[[#This Row],[Mat. Date]],3))</f>
        <v>0</v>
      </c>
      <c r="DR128" s="32">
        <f>IF(Tradingbook_SBV[[#This Row],[Days (year)]]=0,0,INDEX(Ref!$K$2:$K$13,MATCH(Tradingbook_SBV[[#This Row],[Days (year)]],Ref!$I$2:$I$13,1)))</f>
        <v>0</v>
      </c>
      <c r="DS128" s="32" t="str">
        <f>VLOOKUP(Tradingbook_SBV[[#This Row],[Security Name]],Ref!X:Z,3,0)</f>
        <v>TPCP</v>
      </c>
      <c r="DT128" s="32" t="str">
        <f>VLOOKUP(Tradingbook_SBV[[#This Row],[Security Name]],Ref!X:Y,2,0)</f>
        <v>VDB</v>
      </c>
      <c r="DU128" s="71">
        <f>IF((Tradingbook_SBV[[#This Row],[Mat. Date]]-RPT)&lt;=0,0,Tradingbook_SBV[[#This Row],[QUANTITY]])</f>
        <v>0</v>
      </c>
      <c r="DV128" s="71">
        <f>IF(Tradingbook_SBV[[#This Row],[Quantity_edited]]=0,0,Tradingbook_SBV[[#This Row],[DURATION]])</f>
        <v>0</v>
      </c>
      <c r="DW128" s="71">
        <f>IF(Tradingbook_SBV[[#This Row],[Quantity_edited]]=0,0,Tradingbook_SBV[[#This Row],[Mod Dur]])</f>
        <v>0</v>
      </c>
      <c r="DX128" s="71">
        <f>IF(Tradingbook_SBV[[#This Row],[Quantity_edited]]=0,0,Tradingbook_SBV[[#This Row],[Cnvx.]])</f>
        <v>0</v>
      </c>
      <c r="DY128" s="71">
        <f>(Tradingbook_SBV[[#This Row],[MARKET_VALUE]]+Tradingbook_SBV[[#This Row],[Accr Int]]*Tradingbook_SBV[[#This Row],[Quantity_edited]])*(-Tradingbook_SBV[[#This Row],[Modified Duration]]*0.0001+0.5*Tradingbook_SBV[[#This Row],[Conv]]*(0.0001^2))</f>
        <v>0</v>
      </c>
      <c r="DZ128" s="71">
        <f>(Tradingbook_SBV[[#This Row],[MARKET_VALUE]]+Tradingbook_SBV[[#This Row],[Accr Int]]*Tradingbook_SBV[[#This Row],[Quantity_edited]])*(-Tradingbook_SBV[[#This Row],[Modified Duration]]*0.01+0.5*Tradingbook_SBV[[#This Row],[Conv]]*(0.01^2))</f>
        <v>0</v>
      </c>
      <c r="EC128" t="s">
        <v>166</v>
      </c>
      <c r="ED128" t="s">
        <v>167</v>
      </c>
      <c r="EE128" t="s">
        <v>527</v>
      </c>
      <c r="EF128" t="s">
        <v>169</v>
      </c>
      <c r="EG128" s="35" t="s">
        <v>3397</v>
      </c>
      <c r="EH128" t="s">
        <v>170</v>
      </c>
      <c r="EK128" s="500">
        <v>300000</v>
      </c>
      <c r="EL128" s="500">
        <v>30000000000</v>
      </c>
      <c r="EM128" s="500">
        <v>104016.89</v>
      </c>
      <c r="EN128" s="500">
        <v>0</v>
      </c>
      <c r="EO128">
        <v>5.5</v>
      </c>
      <c r="EP128">
        <v>0</v>
      </c>
      <c r="EQ128">
        <v>50050000000</v>
      </c>
      <c r="ER128">
        <v>55548223194.444382</v>
      </c>
      <c r="ES128">
        <v>-20359627234.416821</v>
      </c>
      <c r="ET128">
        <v>5.5</v>
      </c>
      <c r="EU128">
        <v>0</v>
      </c>
      <c r="EV128">
        <v>0</v>
      </c>
      <c r="EW128">
        <v>0</v>
      </c>
      <c r="EX128">
        <v>0</v>
      </c>
      <c r="EY128">
        <v>0</v>
      </c>
      <c r="EZ128">
        <v>0</v>
      </c>
      <c r="FA128">
        <v>32102350000.000103</v>
      </c>
      <c r="FB128">
        <v>0</v>
      </c>
      <c r="FC128">
        <v>32102350000.000103</v>
      </c>
      <c r="FD128">
        <v>32102350000.000103</v>
      </c>
      <c r="FE128">
        <v>32102350000</v>
      </c>
      <c r="FF128">
        <v>32102350000.000103</v>
      </c>
      <c r="FG128" s="32">
        <f>Bankingbook_SBV[[#This Row],[Mat. Date]]-RPT</f>
        <v>-949</v>
      </c>
      <c r="FH128" s="32">
        <f>IF(Bankingbook_SBV[[#This Row],[Days]]&lt;=0,0,YEARFRAC(RPT,Bankingbook_SBV[[#This Row],[Mat. Date]],3))</f>
        <v>0</v>
      </c>
      <c r="FI128" s="32">
        <f>IF(Bankingbook_SBV[[#This Row],[Days (year)]]=0,0,INDEX(Ref!$K$2:$K$13,MATCH(Bankingbook_SBV[[#This Row],[Days (year)]],Ref!$I$2:$I$13,1)))</f>
        <v>0</v>
      </c>
      <c r="FJ128" s="32" t="str">
        <f>VLOOKUP(Bankingbook_SBV[[#This Row],[Security Name]],Ref!X:Z,3,0)</f>
        <v>TPCP</v>
      </c>
      <c r="FK128" s="32" t="str">
        <f>VLOOKUP(Bankingbook_SBV[[#This Row],[Security Name]],Ref!X:Y,2,0)</f>
        <v>KBNN</v>
      </c>
      <c r="FL128" s="72">
        <f>IF((Bankingbook_SBV[[#This Row],[Mat. Date]]-RPT)&lt;=0,0,Bankingbook_SBV[[#This Row],[QUANTITY]])</f>
        <v>0</v>
      </c>
      <c r="FM128" s="32">
        <f>IF(Bankingbook_SBV[[#This Row],[Quantity_edited]]=0,0,Bankingbook_SBV[[#This Row],[DURATION]])</f>
        <v>0</v>
      </c>
      <c r="FN128" s="32">
        <f>IF(Bankingbook_SBV[[#This Row],[Quantity_edited]]=0,0,Bankingbook_SBV[[#This Row],[Mod Dur]])</f>
        <v>0</v>
      </c>
      <c r="FO128" s="32">
        <f>IF(Bankingbook_SBV[[#This Row],[Quantity_edited]]=0,0,Bankingbook_SBV[[#This Row],[Cnvx.]])</f>
        <v>0</v>
      </c>
      <c r="FP128" s="32">
        <f>(Bankingbook_SBV[[#This Row],[MARKET_VALUE]]+Bankingbook_SBV[[#This Row],[Accr Int]]*Bankingbook_SBV[[#This Row],[Quantity_edited]])*(-Bankingbook_SBV[[#This Row],[Modified Duration]]*0.0001+0.5*Bankingbook_SBV[[#This Row],[Conv]]*(0.0001^2))</f>
        <v>0</v>
      </c>
      <c r="FQ128" s="32">
        <f>(Bankingbook_SBV[[#This Row],[MARKET_VALUE]]+Bankingbook_SBV[[#This Row],[Accr Int]]*Bankingbook_SBV[[#This Row],[Quantity_edited]])*(-Bankingbook_SBV[[#This Row],[Modified Duration]]*0.01+0.5*Bankingbook_SBV[[#This Row],[Conv]]*(0.01^2))</f>
        <v>0</v>
      </c>
    </row>
    <row r="129" spans="2:173" x14ac:dyDescent="0.3">
      <c r="B129" t="s">
        <v>166</v>
      </c>
      <c r="C129" t="s">
        <v>167</v>
      </c>
      <c r="D129" t="s">
        <v>305</v>
      </c>
      <c r="E129" t="s">
        <v>169</v>
      </c>
      <c r="F129" s="502">
        <v>42626</v>
      </c>
      <c r="G129" t="s">
        <v>3322</v>
      </c>
      <c r="H129"/>
      <c r="I129"/>
      <c r="J129" s="38">
        <v>0</v>
      </c>
      <c r="K129">
        <v>0</v>
      </c>
      <c r="L129">
        <v>0</v>
      </c>
      <c r="M129" s="38">
        <v>0</v>
      </c>
      <c r="N129">
        <v>8.3000000000000007</v>
      </c>
      <c r="O129">
        <v>0</v>
      </c>
      <c r="P129" s="37">
        <v>0</v>
      </c>
      <c r="Q129" s="37">
        <v>1.9999999999999999E-6</v>
      </c>
      <c r="R129" s="37">
        <v>-1779337865.9722259</v>
      </c>
      <c r="S129">
        <v>8.3000000000000007</v>
      </c>
      <c r="T129" s="70">
        <v>0</v>
      </c>
      <c r="U129">
        <v>0</v>
      </c>
      <c r="V129">
        <v>0</v>
      </c>
      <c r="W129">
        <v>0</v>
      </c>
      <c r="X129" s="38">
        <v>0</v>
      </c>
      <c r="Y129">
        <v>0</v>
      </c>
      <c r="Z129" s="70">
        <v>2599500000</v>
      </c>
      <c r="AA129" s="70">
        <v>0</v>
      </c>
      <c r="AB129" s="70">
        <v>2599500000</v>
      </c>
      <c r="AC129" s="70">
        <v>2599500000</v>
      </c>
      <c r="AD129" s="70">
        <v>2599500000</v>
      </c>
      <c r="AE129" s="70">
        <v>2599500000</v>
      </c>
      <c r="AF129">
        <v>0</v>
      </c>
      <c r="AG129" s="72">
        <f>Tradingbook_MSB[[#This Row],[Mat. Date]]-RPT</f>
        <v>-3626</v>
      </c>
      <c r="AH129" s="71">
        <f>IF(Tradingbook_MSB[[#This Row],[Days]]&lt;=0,0,YEARFRAC(RPT,Tradingbook_MSB[[#This Row],[Mat. Date]],3))</f>
        <v>0</v>
      </c>
      <c r="AI129" s="71">
        <f>IF(Tradingbook_MSB[[#This Row],[Days (year)]]=0,0,INDEX(Ref!$K$2:$K$13,MATCH(Tradingbook_MSB[[#This Row],[Days (year)]],Ref!$I$2:$I$13,1)))</f>
        <v>0</v>
      </c>
      <c r="AJ129" s="120" t="str">
        <f>VLOOKUP(Tradingbook_MSB[[#This Row],[Security Name]],Ref!X:Z,3,0)</f>
        <v>TPCPBL</v>
      </c>
      <c r="AK129" s="120" t="str">
        <f>VLOOKUP(Tradingbook_MSB[[#This Row],[Security Name]],Ref!X:Y,2,0)</f>
        <v>VDB</v>
      </c>
      <c r="AL129" s="71">
        <f>IF((Tradingbook_MSB[[#This Row],[Mat. Date]]-RPT)&lt;=0,0,Tradingbook_MSB[[#This Row],[QUANTITY]])</f>
        <v>0</v>
      </c>
      <c r="AM129" s="71">
        <f>IF(Tradingbook_MSB[[#This Row],[Quantity_edited]]=0,0,Tradingbook_MSB[[#This Row],[DURATION]])</f>
        <v>0</v>
      </c>
      <c r="AN129" s="71">
        <f>IF(Tradingbook_MSB[[#This Row],[Quantity_edited]]=0,0,Tradingbook_MSB[[#This Row],[Mod Dur]])</f>
        <v>0</v>
      </c>
      <c r="AO129" s="71">
        <f>IF(Tradingbook_MSB[[#This Row],[Quantity_edited]]=0,0,Tradingbook_MSB[[#This Row],[Cnvx.]])</f>
        <v>0</v>
      </c>
      <c r="AP129" s="71">
        <f>(Tradingbook_MSB[[#This Row],[MARKET_VALUE]]+Tradingbook_MSB[[#This Row],[Accr Int]]*Tradingbook_MSB[[#This Row],[Quantity_edited]])*(-Tradingbook_MSB[[#This Row],[Modified Duration]]*0.0001+0.5*Tradingbook_MSB[[#This Row],[Conv]]*(0.0001^2))</f>
        <v>0</v>
      </c>
      <c r="AQ129" s="72">
        <f>(Tradingbook_MSB[[#This Row],[MARKET_VALUE]]+Tradingbook_MSB[[#This Row],[Accr Int]]*Tradingbook_MSB[[#This Row],[Quantity_edited]])*(-Tradingbook_MSB[[#This Row],[Modified Duration]]*0.01+0.5*Tradingbook_MSB[[#This Row],[Conv]]*(0.01^2))</f>
        <v>0</v>
      </c>
      <c r="AR129" s="71"/>
      <c r="AT129" t="s">
        <v>166</v>
      </c>
      <c r="AU129" t="s">
        <v>3300</v>
      </c>
      <c r="AV129" t="s">
        <v>609</v>
      </c>
      <c r="AW129" t="s">
        <v>169</v>
      </c>
      <c r="AX129" t="s">
        <v>3421</v>
      </c>
      <c r="AY129" t="s">
        <v>3322</v>
      </c>
      <c r="AZ129">
        <v>110932</v>
      </c>
      <c r="BA129">
        <v>110932</v>
      </c>
      <c r="BB129">
        <v>0</v>
      </c>
      <c r="BC129">
        <v>0</v>
      </c>
      <c r="BD129">
        <v>0</v>
      </c>
      <c r="BE129">
        <v>0</v>
      </c>
      <c r="BF129">
        <v>7.2</v>
      </c>
      <c r="BG129">
        <v>3077</v>
      </c>
      <c r="BH129">
        <v>10800000000</v>
      </c>
      <c r="BI129">
        <v>13717211999.999878</v>
      </c>
      <c r="BJ129">
        <v>-7219397495.8332367</v>
      </c>
      <c r="BK129">
        <v>3.8558409789999999</v>
      </c>
      <c r="BL129">
        <v>3.0916876754317002</v>
      </c>
      <c r="BM129">
        <v>3.2108982400000001</v>
      </c>
      <c r="BN129">
        <v>13.2035973402257</v>
      </c>
      <c r="BO129">
        <v>0</v>
      </c>
      <c r="BP129">
        <v>0</v>
      </c>
      <c r="BQ129">
        <v>0</v>
      </c>
      <c r="BR129">
        <v>-5581500000</v>
      </c>
      <c r="BS129">
        <v>0</v>
      </c>
      <c r="BT129">
        <v>-5581500000</v>
      </c>
      <c r="BU129">
        <v>-5581500000</v>
      </c>
      <c r="BV129">
        <v>-5581500000</v>
      </c>
      <c r="BW129">
        <v>-5581500000</v>
      </c>
      <c r="BX129">
        <v>0</v>
      </c>
      <c r="BY129" s="32">
        <f>Bankingbook_MSB[[#This Row],[Mat. Date]]-RPT</f>
        <v>1305</v>
      </c>
      <c r="BZ129" s="71">
        <f>IF(Bankingbook_MSB[[#This Row],[Days]]&lt;=0,0,YEARFRAC(RPT,Bankingbook_MSB[[#This Row],[Mat. Date]],3))</f>
        <v>3.5753424657534247</v>
      </c>
      <c r="CA129" s="71" t="str">
        <f>IF(Bankingbook_MSB[[#This Row],[Days (year)]]=0,0,INDEX(Ref!$K$2:$K$13,MATCH(Bankingbook_MSB[[#This Row],[Days (year)]],Ref!$I$2:$I$13,1)))</f>
        <v>4Y</v>
      </c>
      <c r="CB129" s="32" t="str">
        <f>VLOOKUP(Bankingbook_MSB[[#This Row],[Security Name]],Ref!X:Z,3,0)</f>
        <v>TPCP</v>
      </c>
      <c r="CC129" s="32" t="str">
        <f>VLOOKUP(Bankingbook_MSB[[#This Row],[Security Name]],Ref!X:Y,2,0)</f>
        <v>KBNN</v>
      </c>
      <c r="CD129" s="72">
        <f>IF((Bankingbook_MSB[[#This Row],[Mat. Date]]-RPT)&lt;=0,0,Bankingbook_MSB[[#This Row],[QUANTITY]])</f>
        <v>0</v>
      </c>
      <c r="CE129" s="71">
        <f>IF(Bankingbook_MSB[[#This Row],[Quantity_edited]]=0,0,Bankingbook_MSB[[#This Row],[DURATION]])</f>
        <v>0</v>
      </c>
      <c r="CF129" s="71">
        <f>IF(Bankingbook_MSB[[#This Row],[Quantity_edited]]=0,0,Bankingbook_MSB[[#This Row],[Mod Dur]])</f>
        <v>0</v>
      </c>
      <c r="CG129" s="71">
        <f>IF(Bankingbook_MSB[[#This Row],[Quantity_edited]]=0,0,Bankingbook_MSB[[#This Row],[Cnvx.]])</f>
        <v>0</v>
      </c>
      <c r="CH129" s="71">
        <f>(Bankingbook_MSB[[#This Row],[MARKET_VALUE]]+Bankingbook_MSB[[#This Row],[Accr Int]]*Bankingbook_MSB[[#This Row],[Quantity_edited]])*(-Bankingbook_MSB[[#This Row],[Modified Duration]]*0.0001+0.5*Bankingbook_MSB[[#This Row],[Conv]]*(0.0001^2))</f>
        <v>0</v>
      </c>
      <c r="CI129" s="71">
        <f>(Bankingbook_MSB[[#This Row],[MARKET_VALUE]]+Bankingbook_MSB[[#This Row],[Accr Int]]*Bankingbook_MSB[[#This Row],[Quantity_edited]])*(-Bankingbook_MSB[[#This Row],[Modified Duration]]*0.01+0.5*Bankingbook_MSB[[#This Row],[Conv]]*(0.01^2))</f>
        <v>0</v>
      </c>
      <c r="CL129" t="s">
        <v>166</v>
      </c>
      <c r="CM129" t="s">
        <v>167</v>
      </c>
      <c r="CN129" t="s">
        <v>305</v>
      </c>
      <c r="CO129" t="s">
        <v>169</v>
      </c>
      <c r="CP129" s="35">
        <v>42626</v>
      </c>
      <c r="CQ129" t="s">
        <v>3322</v>
      </c>
      <c r="CR129" t="s">
        <v>174</v>
      </c>
      <c r="CS129" t="s">
        <v>174</v>
      </c>
      <c r="CT129" s="49">
        <v>0</v>
      </c>
      <c r="CU129">
        <v>0</v>
      </c>
      <c r="CV129">
        <v>0</v>
      </c>
      <c r="CW129" s="70">
        <v>0</v>
      </c>
      <c r="CX129">
        <v>8.3000000000000007</v>
      </c>
      <c r="CY129">
        <v>0</v>
      </c>
      <c r="CZ129">
        <v>0</v>
      </c>
      <c r="DA129">
        <v>1.9999999999999999E-6</v>
      </c>
      <c r="DB129">
        <v>-1779337865.9722259</v>
      </c>
      <c r="DC129">
        <v>8.3000000000000007</v>
      </c>
      <c r="DD129">
        <v>0</v>
      </c>
      <c r="DE129">
        <v>0</v>
      </c>
      <c r="DF129">
        <v>0</v>
      </c>
      <c r="DG129">
        <v>0</v>
      </c>
      <c r="DH129">
        <v>0</v>
      </c>
      <c r="DI129">
        <v>0</v>
      </c>
      <c r="DJ129" s="500">
        <v>2599500000</v>
      </c>
      <c r="DK129" s="500">
        <v>0</v>
      </c>
      <c r="DL129" s="37">
        <v>2599500000</v>
      </c>
      <c r="DM129" s="37">
        <v>2599500000</v>
      </c>
      <c r="DN129" s="37">
        <v>2599500000</v>
      </c>
      <c r="DO129" s="37">
        <v>2599500000</v>
      </c>
      <c r="DP129" s="32">
        <f>Tradingbook_SBV[[#This Row],[Mat. Date]]-RPT</f>
        <v>-3626</v>
      </c>
      <c r="DQ129" s="32">
        <f>IF(Tradingbook_SBV[[#This Row],[Days]]&lt;=0,0,YEARFRAC(RPT,Tradingbook_SBV[[#This Row],[Mat. Date]],3))</f>
        <v>0</v>
      </c>
      <c r="DR129" s="32">
        <f>IF(Tradingbook_SBV[[#This Row],[Days (year)]]=0,0,INDEX(Ref!$K$2:$K$13,MATCH(Tradingbook_SBV[[#This Row],[Days (year)]],Ref!$I$2:$I$13,1)))</f>
        <v>0</v>
      </c>
      <c r="DS129" s="32" t="str">
        <f>VLOOKUP(Tradingbook_SBV[[#This Row],[Security Name]],Ref!X:Z,3,0)</f>
        <v>TPCPBL</v>
      </c>
      <c r="DT129" s="32" t="str">
        <f>VLOOKUP(Tradingbook_SBV[[#This Row],[Security Name]],Ref!X:Y,2,0)</f>
        <v>VDB</v>
      </c>
      <c r="DU129" s="71">
        <f>IF((Tradingbook_SBV[[#This Row],[Mat. Date]]-RPT)&lt;=0,0,Tradingbook_SBV[[#This Row],[QUANTITY]])</f>
        <v>0</v>
      </c>
      <c r="DV129" s="71">
        <f>IF(Tradingbook_SBV[[#This Row],[Quantity_edited]]=0,0,Tradingbook_SBV[[#This Row],[DURATION]])</f>
        <v>0</v>
      </c>
      <c r="DW129" s="71">
        <f>IF(Tradingbook_SBV[[#This Row],[Quantity_edited]]=0,0,Tradingbook_SBV[[#This Row],[Mod Dur]])</f>
        <v>0</v>
      </c>
      <c r="DX129" s="71">
        <f>IF(Tradingbook_SBV[[#This Row],[Quantity_edited]]=0,0,Tradingbook_SBV[[#This Row],[Cnvx.]])</f>
        <v>0</v>
      </c>
      <c r="DY129" s="71">
        <f>(Tradingbook_SBV[[#This Row],[MARKET_VALUE]]+Tradingbook_SBV[[#This Row],[Accr Int]]*Tradingbook_SBV[[#This Row],[Quantity_edited]])*(-Tradingbook_SBV[[#This Row],[Modified Duration]]*0.0001+0.5*Tradingbook_SBV[[#This Row],[Conv]]*(0.0001^2))</f>
        <v>0</v>
      </c>
      <c r="DZ129" s="71">
        <f>(Tradingbook_SBV[[#This Row],[MARKET_VALUE]]+Tradingbook_SBV[[#This Row],[Accr Int]]*Tradingbook_SBV[[#This Row],[Quantity_edited]])*(-Tradingbook_SBV[[#This Row],[Modified Duration]]*0.01+0.5*Tradingbook_SBV[[#This Row],[Conv]]*(0.01^2))</f>
        <v>0</v>
      </c>
      <c r="EC129" t="s">
        <v>166</v>
      </c>
      <c r="ED129" t="s">
        <v>167</v>
      </c>
      <c r="EE129" t="s">
        <v>528</v>
      </c>
      <c r="EF129" t="s">
        <v>169</v>
      </c>
      <c r="EG129" s="35" t="s">
        <v>3758</v>
      </c>
      <c r="EH129" t="s">
        <v>3322</v>
      </c>
      <c r="EK129" s="500">
        <v>0</v>
      </c>
      <c r="EL129" s="500">
        <v>0</v>
      </c>
      <c r="EM129" s="500">
        <v>0</v>
      </c>
      <c r="EN129" s="500">
        <v>0</v>
      </c>
      <c r="EO129">
        <v>3.8</v>
      </c>
      <c r="EP129">
        <v>0</v>
      </c>
      <c r="EQ129">
        <v>0</v>
      </c>
      <c r="ER129">
        <v>-9.9999999999999995E-7</v>
      </c>
      <c r="ES129">
        <v>-81635942.430554867</v>
      </c>
      <c r="ET129">
        <v>3.8</v>
      </c>
      <c r="EU129">
        <v>0</v>
      </c>
      <c r="EV129">
        <v>0</v>
      </c>
      <c r="EW129">
        <v>0</v>
      </c>
      <c r="EX129">
        <v>0</v>
      </c>
      <c r="EY129">
        <v>0</v>
      </c>
      <c r="EZ129">
        <v>0</v>
      </c>
      <c r="FA129">
        <v>-200500000</v>
      </c>
      <c r="FB129">
        <v>0</v>
      </c>
      <c r="FC129">
        <v>-200500000</v>
      </c>
      <c r="FD129">
        <v>-200500000</v>
      </c>
      <c r="FE129">
        <v>-200500000</v>
      </c>
      <c r="FF129">
        <v>-200500000</v>
      </c>
      <c r="FG129" s="32">
        <f>Bankingbook_SBV[[#This Row],[Mat. Date]]-RPT</f>
        <v>-944</v>
      </c>
      <c r="FH129" s="32">
        <f>IF(Bankingbook_SBV[[#This Row],[Days]]&lt;=0,0,YEARFRAC(RPT,Bankingbook_SBV[[#This Row],[Mat. Date]],3))</f>
        <v>0</v>
      </c>
      <c r="FI129" s="32">
        <f>IF(Bankingbook_SBV[[#This Row],[Days (year)]]=0,0,INDEX(Ref!$K$2:$K$13,MATCH(Bankingbook_SBV[[#This Row],[Days (year)]],Ref!$I$2:$I$13,1)))</f>
        <v>0</v>
      </c>
      <c r="FJ129" s="32" t="str">
        <f>VLOOKUP(Bankingbook_SBV[[#This Row],[Security Name]],Ref!X:Z,3,0)</f>
        <v>TPCP</v>
      </c>
      <c r="FK129" s="32" t="str">
        <f>VLOOKUP(Bankingbook_SBV[[#This Row],[Security Name]],Ref!X:Y,2,0)</f>
        <v>KBNN</v>
      </c>
      <c r="FL129" s="72">
        <f>IF((Bankingbook_SBV[[#This Row],[Mat. Date]]-RPT)&lt;=0,0,Bankingbook_SBV[[#This Row],[QUANTITY]])</f>
        <v>0</v>
      </c>
      <c r="FM129" s="32">
        <f>IF(Bankingbook_SBV[[#This Row],[Quantity_edited]]=0,0,Bankingbook_SBV[[#This Row],[DURATION]])</f>
        <v>0</v>
      </c>
      <c r="FN129" s="32">
        <f>IF(Bankingbook_SBV[[#This Row],[Quantity_edited]]=0,0,Bankingbook_SBV[[#This Row],[Mod Dur]])</f>
        <v>0</v>
      </c>
      <c r="FO129" s="32">
        <f>IF(Bankingbook_SBV[[#This Row],[Quantity_edited]]=0,0,Bankingbook_SBV[[#This Row],[Cnvx.]])</f>
        <v>0</v>
      </c>
      <c r="FP129" s="32">
        <f>(Bankingbook_SBV[[#This Row],[MARKET_VALUE]]+Bankingbook_SBV[[#This Row],[Accr Int]]*Bankingbook_SBV[[#This Row],[Quantity_edited]])*(-Bankingbook_SBV[[#This Row],[Modified Duration]]*0.0001+0.5*Bankingbook_SBV[[#This Row],[Conv]]*(0.0001^2))</f>
        <v>0</v>
      </c>
      <c r="FQ129" s="32">
        <f>(Bankingbook_SBV[[#This Row],[MARKET_VALUE]]+Bankingbook_SBV[[#This Row],[Accr Int]]*Bankingbook_SBV[[#This Row],[Quantity_edited]])*(-Bankingbook_SBV[[#This Row],[Modified Duration]]*0.01+0.5*Bankingbook_SBV[[#This Row],[Conv]]*(0.01^2))</f>
        <v>0</v>
      </c>
    </row>
    <row r="130" spans="2:173" x14ac:dyDescent="0.3">
      <c r="B130" t="s">
        <v>166</v>
      </c>
      <c r="C130" t="s">
        <v>167</v>
      </c>
      <c r="D130" t="s">
        <v>306</v>
      </c>
      <c r="E130" t="s">
        <v>169</v>
      </c>
      <c r="F130" s="502">
        <v>42640</v>
      </c>
      <c r="G130" t="s">
        <v>3322</v>
      </c>
      <c r="H130"/>
      <c r="I130"/>
      <c r="J130" s="38">
        <v>0</v>
      </c>
      <c r="K130">
        <v>0</v>
      </c>
      <c r="L130">
        <v>0</v>
      </c>
      <c r="M130" s="38">
        <v>0</v>
      </c>
      <c r="N130">
        <v>8.6999999999999993</v>
      </c>
      <c r="O130">
        <v>0</v>
      </c>
      <c r="P130" s="37">
        <v>8700000000</v>
      </c>
      <c r="Q130" s="37">
        <v>9265903583.3333359</v>
      </c>
      <c r="R130" s="37">
        <v>-5252646267.2222214</v>
      </c>
      <c r="S130">
        <v>8.6999999999999993</v>
      </c>
      <c r="T130" s="70">
        <v>0</v>
      </c>
      <c r="U130">
        <v>0</v>
      </c>
      <c r="V130">
        <v>0</v>
      </c>
      <c r="W130">
        <v>0</v>
      </c>
      <c r="X130" s="38">
        <v>0</v>
      </c>
      <c r="Y130">
        <v>0</v>
      </c>
      <c r="Z130" s="70">
        <v>3327000000</v>
      </c>
      <c r="AA130" s="70">
        <v>0</v>
      </c>
      <c r="AB130" s="70">
        <v>3327000000</v>
      </c>
      <c r="AC130" s="70">
        <v>3327000000</v>
      </c>
      <c r="AD130" s="70">
        <v>3327000000</v>
      </c>
      <c r="AE130" s="70">
        <v>3327000000</v>
      </c>
      <c r="AF130">
        <v>0</v>
      </c>
      <c r="AG130" s="72">
        <f>Tradingbook_MSB[[#This Row],[Mat. Date]]-RPT</f>
        <v>-3612</v>
      </c>
      <c r="AH130" s="71">
        <f>IF(Tradingbook_MSB[[#This Row],[Days]]&lt;=0,0,YEARFRAC(RPT,Tradingbook_MSB[[#This Row],[Mat. Date]],3))</f>
        <v>0</v>
      </c>
      <c r="AI130" s="71">
        <f>IF(Tradingbook_MSB[[#This Row],[Days (year)]]=0,0,INDEX(Ref!$K$2:$K$13,MATCH(Tradingbook_MSB[[#This Row],[Days (year)]],Ref!$I$2:$I$13,1)))</f>
        <v>0</v>
      </c>
      <c r="AJ130" s="120" t="str">
        <f>VLOOKUP(Tradingbook_MSB[[#This Row],[Security Name]],Ref!X:Z,3,0)</f>
        <v>TPCQĐP</v>
      </c>
      <c r="AK130" s="120" t="str">
        <f>VLOOKUP(Tradingbook_MSB[[#This Row],[Security Name]],Ref!X:Y,2,0)</f>
        <v>KBHN</v>
      </c>
      <c r="AL130" s="71">
        <f>IF((Tradingbook_MSB[[#This Row],[Mat. Date]]-RPT)&lt;=0,0,Tradingbook_MSB[[#This Row],[QUANTITY]])</f>
        <v>0</v>
      </c>
      <c r="AM130" s="71">
        <f>IF(Tradingbook_MSB[[#This Row],[Quantity_edited]]=0,0,Tradingbook_MSB[[#This Row],[DURATION]])</f>
        <v>0</v>
      </c>
      <c r="AN130" s="71">
        <f>IF(Tradingbook_MSB[[#This Row],[Quantity_edited]]=0,0,Tradingbook_MSB[[#This Row],[Mod Dur]])</f>
        <v>0</v>
      </c>
      <c r="AO130" s="71">
        <f>IF(Tradingbook_MSB[[#This Row],[Quantity_edited]]=0,0,Tradingbook_MSB[[#This Row],[Cnvx.]])</f>
        <v>0</v>
      </c>
      <c r="AP130" s="71">
        <f>(Tradingbook_MSB[[#This Row],[MARKET_VALUE]]+Tradingbook_MSB[[#This Row],[Accr Int]]*Tradingbook_MSB[[#This Row],[Quantity_edited]])*(-Tradingbook_MSB[[#This Row],[Modified Duration]]*0.0001+0.5*Tradingbook_MSB[[#This Row],[Conv]]*(0.0001^2))</f>
        <v>0</v>
      </c>
      <c r="AQ130" s="72">
        <f>(Tradingbook_MSB[[#This Row],[MARKET_VALUE]]+Tradingbook_MSB[[#This Row],[Accr Int]]*Tradingbook_MSB[[#This Row],[Quantity_edited]])*(-Tradingbook_MSB[[#This Row],[Modified Duration]]*0.01+0.5*Tradingbook_MSB[[#This Row],[Conv]]*(0.01^2))</f>
        <v>0</v>
      </c>
      <c r="AR130" s="71"/>
      <c r="AT130" t="s">
        <v>166</v>
      </c>
      <c r="AU130" t="s">
        <v>3300</v>
      </c>
      <c r="AV130" t="s">
        <v>610</v>
      </c>
      <c r="AW130" t="s">
        <v>169</v>
      </c>
      <c r="AX130" t="s">
        <v>3422</v>
      </c>
      <c r="AY130" t="s">
        <v>170</v>
      </c>
      <c r="AZ130">
        <v>95892</v>
      </c>
      <c r="BA130">
        <v>95892</v>
      </c>
      <c r="BB130">
        <v>1770000</v>
      </c>
      <c r="BC130">
        <v>177000000000</v>
      </c>
      <c r="BD130">
        <v>98152.5</v>
      </c>
      <c r="BE130">
        <v>169728840000</v>
      </c>
      <c r="BF130">
        <v>2.7</v>
      </c>
      <c r="BG130">
        <v>710</v>
      </c>
      <c r="BH130">
        <v>19116000000</v>
      </c>
      <c r="BI130">
        <v>20474943165.000011</v>
      </c>
      <c r="BJ130">
        <v>-21358984103.774971</v>
      </c>
      <c r="BK130">
        <v>3.899705505</v>
      </c>
      <c r="BL130">
        <v>3.4436971841810999</v>
      </c>
      <c r="BM130">
        <v>3.5779912299999999</v>
      </c>
      <c r="BN130">
        <v>15.4968406946813</v>
      </c>
      <c r="BO130">
        <v>26497.356744740599</v>
      </c>
      <c r="BP130">
        <v>-58882.242263368003</v>
      </c>
      <c r="BQ130">
        <v>17922.04</v>
      </c>
      <c r="BR130">
        <v>8109255000</v>
      </c>
      <c r="BS130">
        <v>-4001085000</v>
      </c>
      <c r="BT130">
        <v>4108170000</v>
      </c>
      <c r="BU130">
        <v>4108170000</v>
      </c>
      <c r="BV130">
        <v>4108170000</v>
      </c>
      <c r="BW130">
        <v>4108170000</v>
      </c>
      <c r="BX130">
        <v>2.95</v>
      </c>
      <c r="BY130" s="32">
        <f>Bankingbook_MSB[[#This Row],[Mat. Date]]-RPT</f>
        <v>1365</v>
      </c>
      <c r="BZ130" s="71">
        <f>IF(Bankingbook_MSB[[#This Row],[Days]]&lt;=0,0,YEARFRAC(RPT,Bankingbook_MSB[[#This Row],[Mat. Date]],3))</f>
        <v>3.7397260273972601</v>
      </c>
      <c r="CA130" s="71" t="str">
        <f>IF(Bankingbook_MSB[[#This Row],[Days (year)]]=0,0,INDEX(Ref!$K$2:$K$13,MATCH(Bankingbook_MSB[[#This Row],[Days (year)]],Ref!$I$2:$I$13,1)))</f>
        <v>4Y</v>
      </c>
      <c r="CB130" s="32" t="str">
        <f>VLOOKUP(Bankingbook_MSB[[#This Row],[Security Name]],Ref!X:Z,3,0)</f>
        <v>TPCP</v>
      </c>
      <c r="CC130" s="32" t="str">
        <f>VLOOKUP(Bankingbook_MSB[[#This Row],[Security Name]],Ref!X:Y,2,0)</f>
        <v>KBNN</v>
      </c>
      <c r="CD130" s="72">
        <f>IF((Bankingbook_MSB[[#This Row],[Mat. Date]]-RPT)&lt;=0,0,Bankingbook_MSB[[#This Row],[QUANTITY]])</f>
        <v>1770000</v>
      </c>
      <c r="CE130" s="71">
        <f>IF(Bankingbook_MSB[[#This Row],[Quantity_edited]]=0,0,Bankingbook_MSB[[#This Row],[DURATION]])</f>
        <v>3.5779912299999999</v>
      </c>
      <c r="CF130" s="71">
        <f>IF(Bankingbook_MSB[[#This Row],[Quantity_edited]]=0,0,Bankingbook_MSB[[#This Row],[Mod Dur]])</f>
        <v>3.4436971841810999</v>
      </c>
      <c r="CG130" s="71">
        <f>IF(Bankingbook_MSB[[#This Row],[Quantity_edited]]=0,0,Bankingbook_MSB[[#This Row],[Cnvx.]])</f>
        <v>15.4968406946813</v>
      </c>
      <c r="CH130" s="71">
        <f>(Bankingbook_MSB[[#This Row],[MARKET_VALUE]]+Bankingbook_MSB[[#This Row],[Accr Int]]*Bankingbook_MSB[[#This Row],[Quantity_edited]])*(-Bankingbook_MSB[[#This Row],[Modified Duration]]*0.0001+0.5*Bankingbook_MSB[[#This Row],[Conv]]*(0.0001^2))</f>
        <v>-58868993.584996119</v>
      </c>
      <c r="CI130" s="71">
        <f>(Bankingbook_MSB[[#This Row],[MARKET_VALUE]]+Bankingbook_MSB[[#This Row],[Accr Int]]*Bankingbook_MSB[[#This Row],[Quantity_edited]])*(-Bankingbook_MSB[[#This Row],[Modified Duration]]*0.01+0.5*Bankingbook_MSB[[#This Row],[Conv]]*(0.01^2))</f>
        <v>-5755737442.6131449</v>
      </c>
      <c r="CL130" t="s">
        <v>166</v>
      </c>
      <c r="CM130" t="s">
        <v>167</v>
      </c>
      <c r="CN130" t="s">
        <v>306</v>
      </c>
      <c r="CO130" t="s">
        <v>169</v>
      </c>
      <c r="CP130" s="35">
        <v>42640</v>
      </c>
      <c r="CQ130" t="s">
        <v>3322</v>
      </c>
      <c r="CR130" t="s">
        <v>174</v>
      </c>
      <c r="CS130" t="s">
        <v>174</v>
      </c>
      <c r="CT130" s="49">
        <v>0</v>
      </c>
      <c r="CU130">
        <v>0</v>
      </c>
      <c r="CV130">
        <v>0</v>
      </c>
      <c r="CW130" s="70">
        <v>0</v>
      </c>
      <c r="CX130">
        <v>8.6999999999999993</v>
      </c>
      <c r="CY130">
        <v>0</v>
      </c>
      <c r="CZ130">
        <v>8700000000</v>
      </c>
      <c r="DA130">
        <v>9265903583.3333359</v>
      </c>
      <c r="DB130">
        <v>-5252646267.2222214</v>
      </c>
      <c r="DC130">
        <v>8.6999999999999993</v>
      </c>
      <c r="DD130">
        <v>0</v>
      </c>
      <c r="DE130">
        <v>0</v>
      </c>
      <c r="DF130">
        <v>0</v>
      </c>
      <c r="DG130">
        <v>0</v>
      </c>
      <c r="DH130">
        <v>0</v>
      </c>
      <c r="DI130">
        <v>0</v>
      </c>
      <c r="DJ130" s="500">
        <v>3327000000</v>
      </c>
      <c r="DK130" s="500">
        <v>0</v>
      </c>
      <c r="DL130" s="37">
        <v>3327000000</v>
      </c>
      <c r="DM130" s="37">
        <v>3327000000</v>
      </c>
      <c r="DN130" s="37">
        <v>3327000000</v>
      </c>
      <c r="DO130" s="37">
        <v>3327000000</v>
      </c>
      <c r="DP130" s="32">
        <f>Tradingbook_SBV[[#This Row],[Mat. Date]]-RPT</f>
        <v>-3612</v>
      </c>
      <c r="DQ130" s="32">
        <f>IF(Tradingbook_SBV[[#This Row],[Days]]&lt;=0,0,YEARFRAC(RPT,Tradingbook_SBV[[#This Row],[Mat. Date]],3))</f>
        <v>0</v>
      </c>
      <c r="DR130" s="32">
        <f>IF(Tradingbook_SBV[[#This Row],[Days (year)]]=0,0,INDEX(Ref!$K$2:$K$13,MATCH(Tradingbook_SBV[[#This Row],[Days (year)]],Ref!$I$2:$I$13,1)))</f>
        <v>0</v>
      </c>
      <c r="DS130" s="32" t="str">
        <f>VLOOKUP(Tradingbook_SBV[[#This Row],[Security Name]],Ref!X:Z,3,0)</f>
        <v>TPCQĐP</v>
      </c>
      <c r="DT130" s="32" t="str">
        <f>VLOOKUP(Tradingbook_SBV[[#This Row],[Security Name]],Ref!X:Y,2,0)</f>
        <v>KBHN</v>
      </c>
      <c r="DU130" s="71">
        <f>IF((Tradingbook_SBV[[#This Row],[Mat. Date]]-RPT)&lt;=0,0,Tradingbook_SBV[[#This Row],[QUANTITY]])</f>
        <v>0</v>
      </c>
      <c r="DV130" s="71">
        <f>IF(Tradingbook_SBV[[#This Row],[Quantity_edited]]=0,0,Tradingbook_SBV[[#This Row],[DURATION]])</f>
        <v>0</v>
      </c>
      <c r="DW130" s="71">
        <f>IF(Tradingbook_SBV[[#This Row],[Quantity_edited]]=0,0,Tradingbook_SBV[[#This Row],[Mod Dur]])</f>
        <v>0</v>
      </c>
      <c r="DX130" s="71">
        <f>IF(Tradingbook_SBV[[#This Row],[Quantity_edited]]=0,0,Tradingbook_SBV[[#This Row],[Cnvx.]])</f>
        <v>0</v>
      </c>
      <c r="DY130" s="71">
        <f>(Tradingbook_SBV[[#This Row],[MARKET_VALUE]]+Tradingbook_SBV[[#This Row],[Accr Int]]*Tradingbook_SBV[[#This Row],[Quantity_edited]])*(-Tradingbook_SBV[[#This Row],[Modified Duration]]*0.0001+0.5*Tradingbook_SBV[[#This Row],[Conv]]*(0.0001^2))</f>
        <v>0</v>
      </c>
      <c r="DZ130" s="71">
        <f>(Tradingbook_SBV[[#This Row],[MARKET_VALUE]]+Tradingbook_SBV[[#This Row],[Accr Int]]*Tradingbook_SBV[[#This Row],[Quantity_edited]])*(-Tradingbook_SBV[[#This Row],[Modified Duration]]*0.01+0.5*Tradingbook_SBV[[#This Row],[Conv]]*(0.01^2))</f>
        <v>0</v>
      </c>
      <c r="EC130" t="s">
        <v>166</v>
      </c>
      <c r="ED130" t="s">
        <v>167</v>
      </c>
      <c r="EE130" t="s">
        <v>529</v>
      </c>
      <c r="EF130" t="s">
        <v>169</v>
      </c>
      <c r="EG130" s="35" t="s">
        <v>3398</v>
      </c>
      <c r="EH130" t="s">
        <v>170</v>
      </c>
      <c r="EK130" s="500">
        <v>34446</v>
      </c>
      <c r="EL130" s="500">
        <v>3444600000</v>
      </c>
      <c r="EM130" s="500">
        <v>107816.16099999999</v>
      </c>
      <c r="EN130" s="500">
        <v>0</v>
      </c>
      <c r="EO130">
        <v>8.8000000000000007</v>
      </c>
      <c r="EP130">
        <v>0</v>
      </c>
      <c r="EQ130">
        <v>307863248000</v>
      </c>
      <c r="ER130">
        <v>362644917112.09485</v>
      </c>
      <c r="ES130">
        <v>-99302452019.810303</v>
      </c>
      <c r="ET130">
        <v>8.8000000000000007</v>
      </c>
      <c r="EU130">
        <v>0</v>
      </c>
      <c r="EV130">
        <v>0</v>
      </c>
      <c r="EW130">
        <v>0</v>
      </c>
      <c r="EX130">
        <v>0</v>
      </c>
      <c r="EY130">
        <v>0</v>
      </c>
      <c r="EZ130">
        <v>0</v>
      </c>
      <c r="FA130">
        <v>162158971306.00021</v>
      </c>
      <c r="FB130">
        <v>0</v>
      </c>
      <c r="FC130">
        <v>162158971306.00021</v>
      </c>
      <c r="FD130">
        <v>162158971306.00021</v>
      </c>
      <c r="FE130">
        <v>162158971306</v>
      </c>
      <c r="FF130">
        <v>162158971306.00021</v>
      </c>
      <c r="FG130" s="32">
        <f>Bankingbook_SBV[[#This Row],[Mat. Date]]-RPT</f>
        <v>-902</v>
      </c>
      <c r="FH130" s="32">
        <f>IF(Bankingbook_SBV[[#This Row],[Days]]&lt;=0,0,YEARFRAC(RPT,Bankingbook_SBV[[#This Row],[Mat. Date]],3))</f>
        <v>0</v>
      </c>
      <c r="FI130" s="32">
        <f>IF(Bankingbook_SBV[[#This Row],[Days (year)]]=0,0,INDEX(Ref!$K$2:$K$13,MATCH(Bankingbook_SBV[[#This Row],[Days (year)]],Ref!$I$2:$I$13,1)))</f>
        <v>0</v>
      </c>
      <c r="FJ130" s="32" t="str">
        <f>VLOOKUP(Bankingbook_SBV[[#This Row],[Security Name]],Ref!X:Z,3,0)</f>
        <v>TPCP</v>
      </c>
      <c r="FK130" s="32" t="str">
        <f>VLOOKUP(Bankingbook_SBV[[#This Row],[Security Name]],Ref!X:Y,2,0)</f>
        <v>KBNN</v>
      </c>
      <c r="FL130" s="72">
        <f>IF((Bankingbook_SBV[[#This Row],[Mat. Date]]-RPT)&lt;=0,0,Bankingbook_SBV[[#This Row],[QUANTITY]])</f>
        <v>0</v>
      </c>
      <c r="FM130" s="32">
        <f>IF(Bankingbook_SBV[[#This Row],[Quantity_edited]]=0,0,Bankingbook_SBV[[#This Row],[DURATION]])</f>
        <v>0</v>
      </c>
      <c r="FN130" s="32">
        <f>IF(Bankingbook_SBV[[#This Row],[Quantity_edited]]=0,0,Bankingbook_SBV[[#This Row],[Mod Dur]])</f>
        <v>0</v>
      </c>
      <c r="FO130" s="32">
        <f>IF(Bankingbook_SBV[[#This Row],[Quantity_edited]]=0,0,Bankingbook_SBV[[#This Row],[Cnvx.]])</f>
        <v>0</v>
      </c>
      <c r="FP130" s="32">
        <f>(Bankingbook_SBV[[#This Row],[MARKET_VALUE]]+Bankingbook_SBV[[#This Row],[Accr Int]]*Bankingbook_SBV[[#This Row],[Quantity_edited]])*(-Bankingbook_SBV[[#This Row],[Modified Duration]]*0.0001+0.5*Bankingbook_SBV[[#This Row],[Conv]]*(0.0001^2))</f>
        <v>0</v>
      </c>
      <c r="FQ130" s="32">
        <f>(Bankingbook_SBV[[#This Row],[MARKET_VALUE]]+Bankingbook_SBV[[#This Row],[Accr Int]]*Bankingbook_SBV[[#This Row],[Quantity_edited]])*(-Bankingbook_SBV[[#This Row],[Modified Duration]]*0.01+0.5*Bankingbook_SBV[[#This Row],[Conv]]*(0.01^2))</f>
        <v>0</v>
      </c>
    </row>
    <row r="131" spans="2:173" x14ac:dyDescent="0.3">
      <c r="B131" t="s">
        <v>166</v>
      </c>
      <c r="C131" t="s">
        <v>167</v>
      </c>
      <c r="D131" t="s">
        <v>307</v>
      </c>
      <c r="E131" t="s">
        <v>169</v>
      </c>
      <c r="F131" s="502">
        <v>42644</v>
      </c>
      <c r="G131" t="s">
        <v>3322</v>
      </c>
      <c r="H131"/>
      <c r="I131"/>
      <c r="J131" s="38">
        <v>0</v>
      </c>
      <c r="K131">
        <v>0</v>
      </c>
      <c r="L131">
        <v>0</v>
      </c>
      <c r="M131" s="38">
        <v>0</v>
      </c>
      <c r="N131">
        <v>8.6</v>
      </c>
      <c r="O131">
        <v>0</v>
      </c>
      <c r="P131" s="37">
        <v>8600000000</v>
      </c>
      <c r="Q131" s="37">
        <v>9158300055.5555573</v>
      </c>
      <c r="R131" s="37">
        <v>-5546970054.4444485</v>
      </c>
      <c r="S131">
        <v>8.6</v>
      </c>
      <c r="T131" s="70">
        <v>0</v>
      </c>
      <c r="U131">
        <v>0</v>
      </c>
      <c r="V131">
        <v>0</v>
      </c>
      <c r="W131">
        <v>0</v>
      </c>
      <c r="X131" s="38">
        <v>0</v>
      </c>
      <c r="Y131">
        <v>0</v>
      </c>
      <c r="Z131" s="70">
        <v>3842500000</v>
      </c>
      <c r="AA131" s="70">
        <v>0</v>
      </c>
      <c r="AB131" s="70">
        <v>3842500000</v>
      </c>
      <c r="AC131" s="70">
        <v>3842500000</v>
      </c>
      <c r="AD131" s="70">
        <v>3842500000</v>
      </c>
      <c r="AE131" s="70">
        <v>3842500000</v>
      </c>
      <c r="AF131">
        <v>0</v>
      </c>
      <c r="AG131" s="72">
        <f>Tradingbook_MSB[[#This Row],[Mat. Date]]-RPT</f>
        <v>-3608</v>
      </c>
      <c r="AH131" s="71">
        <f>IF(Tradingbook_MSB[[#This Row],[Days]]&lt;=0,0,YEARFRAC(RPT,Tradingbook_MSB[[#This Row],[Mat. Date]],3))</f>
        <v>0</v>
      </c>
      <c r="AI131" s="71">
        <f>IF(Tradingbook_MSB[[#This Row],[Days (year)]]=0,0,INDEX(Ref!$K$2:$K$13,MATCH(Tradingbook_MSB[[#This Row],[Days (year)]],Ref!$I$2:$I$13,1)))</f>
        <v>0</v>
      </c>
      <c r="AJ131" s="120" t="str">
        <f>VLOOKUP(Tradingbook_MSB[[#This Row],[Security Name]],Ref!X:Z,3,0)</f>
        <v>TPCPBL</v>
      </c>
      <c r="AK131" s="120" t="str">
        <f>VLOOKUP(Tradingbook_MSB[[#This Row],[Security Name]],Ref!X:Y,2,0)</f>
        <v>VDB</v>
      </c>
      <c r="AL131" s="71">
        <f>IF((Tradingbook_MSB[[#This Row],[Mat. Date]]-RPT)&lt;=0,0,Tradingbook_MSB[[#This Row],[QUANTITY]])</f>
        <v>0</v>
      </c>
      <c r="AM131" s="71">
        <f>IF(Tradingbook_MSB[[#This Row],[Quantity_edited]]=0,0,Tradingbook_MSB[[#This Row],[DURATION]])</f>
        <v>0</v>
      </c>
      <c r="AN131" s="71">
        <f>IF(Tradingbook_MSB[[#This Row],[Quantity_edited]]=0,0,Tradingbook_MSB[[#This Row],[Mod Dur]])</f>
        <v>0</v>
      </c>
      <c r="AO131" s="71">
        <f>IF(Tradingbook_MSB[[#This Row],[Quantity_edited]]=0,0,Tradingbook_MSB[[#This Row],[Cnvx.]])</f>
        <v>0</v>
      </c>
      <c r="AP131" s="71">
        <f>(Tradingbook_MSB[[#This Row],[MARKET_VALUE]]+Tradingbook_MSB[[#This Row],[Accr Int]]*Tradingbook_MSB[[#This Row],[Quantity_edited]])*(-Tradingbook_MSB[[#This Row],[Modified Duration]]*0.0001+0.5*Tradingbook_MSB[[#This Row],[Conv]]*(0.0001^2))</f>
        <v>0</v>
      </c>
      <c r="AQ131" s="72">
        <f>(Tradingbook_MSB[[#This Row],[MARKET_VALUE]]+Tradingbook_MSB[[#This Row],[Accr Int]]*Tradingbook_MSB[[#This Row],[Quantity_edited]])*(-Tradingbook_MSB[[#This Row],[Modified Duration]]*0.01+0.5*Tradingbook_MSB[[#This Row],[Conv]]*(0.01^2))</f>
        <v>0</v>
      </c>
      <c r="AR131" s="71"/>
      <c r="AT131" t="s">
        <v>166</v>
      </c>
      <c r="AU131" t="s">
        <v>3300</v>
      </c>
      <c r="AV131" t="s">
        <v>611</v>
      </c>
      <c r="AW131" t="s">
        <v>169</v>
      </c>
      <c r="AX131" t="s">
        <v>3423</v>
      </c>
      <c r="AY131" t="s">
        <v>170</v>
      </c>
      <c r="AZ131">
        <v>112715</v>
      </c>
      <c r="BA131">
        <v>112715</v>
      </c>
      <c r="BB131">
        <v>1000000</v>
      </c>
      <c r="BC131">
        <v>100000000000</v>
      </c>
      <c r="BD131">
        <v>127287</v>
      </c>
      <c r="BE131">
        <v>112715000000</v>
      </c>
      <c r="BF131">
        <v>7.6</v>
      </c>
      <c r="BG131">
        <v>1645</v>
      </c>
      <c r="BH131">
        <v>30400000000</v>
      </c>
      <c r="BI131">
        <v>32508511277.777794</v>
      </c>
      <c r="BJ131">
        <v>-16365152925.277756</v>
      </c>
      <c r="BK131">
        <v>3.912205573</v>
      </c>
      <c r="BL131">
        <v>3.2780103117218</v>
      </c>
      <c r="BM131">
        <v>3.4062528099999998</v>
      </c>
      <c r="BN131">
        <v>14.590829313101301</v>
      </c>
      <c r="BO131">
        <v>16686.0724024626</v>
      </c>
      <c r="BP131">
        <v>-37487.325924851</v>
      </c>
      <c r="BQ131">
        <v>12024.467000000001</v>
      </c>
      <c r="BR131">
        <v>2484000000</v>
      </c>
      <c r="BS131">
        <v>-14572000000</v>
      </c>
      <c r="BT131">
        <v>-12088000000</v>
      </c>
      <c r="BU131">
        <v>-12088000000</v>
      </c>
      <c r="BV131">
        <v>-12088000000</v>
      </c>
      <c r="BW131">
        <v>-12088000000</v>
      </c>
      <c r="BX131">
        <v>2.9500500000000001</v>
      </c>
      <c r="BY131" s="32">
        <f>Bankingbook_MSB[[#This Row],[Mat. Date]]-RPT</f>
        <v>1382</v>
      </c>
      <c r="BZ131" s="71">
        <f>IF(Bankingbook_MSB[[#This Row],[Days]]&lt;=0,0,YEARFRAC(RPT,Bankingbook_MSB[[#This Row],[Mat. Date]],3))</f>
        <v>3.7863013698630139</v>
      </c>
      <c r="CA131" s="71" t="str">
        <f>IF(Bankingbook_MSB[[#This Row],[Days (year)]]=0,0,INDEX(Ref!$K$2:$K$13,MATCH(Bankingbook_MSB[[#This Row],[Days (year)]],Ref!$I$2:$I$13,1)))</f>
        <v>4Y</v>
      </c>
      <c r="CB131" s="32" t="str">
        <f>VLOOKUP(Bankingbook_MSB[[#This Row],[Security Name]],Ref!X:Z,3,0)</f>
        <v>TPCP</v>
      </c>
      <c r="CC131" s="32" t="str">
        <f>VLOOKUP(Bankingbook_MSB[[#This Row],[Security Name]],Ref!X:Y,2,0)</f>
        <v>KBNN</v>
      </c>
      <c r="CD131" s="72">
        <f>IF((Bankingbook_MSB[[#This Row],[Mat. Date]]-RPT)&lt;=0,0,Bankingbook_MSB[[#This Row],[QUANTITY]])</f>
        <v>1000000</v>
      </c>
      <c r="CE131" s="71">
        <f>IF(Bankingbook_MSB[[#This Row],[Quantity_edited]]=0,0,Bankingbook_MSB[[#This Row],[DURATION]])</f>
        <v>3.4062528099999998</v>
      </c>
      <c r="CF131" s="71">
        <f>IF(Bankingbook_MSB[[#This Row],[Quantity_edited]]=0,0,Bankingbook_MSB[[#This Row],[Mod Dur]])</f>
        <v>3.2780103117218</v>
      </c>
      <c r="CG131" s="71">
        <f>IF(Bankingbook_MSB[[#This Row],[Quantity_edited]]=0,0,Bankingbook_MSB[[#This Row],[Cnvx.]])</f>
        <v>14.590829313101301</v>
      </c>
      <c r="CH131" s="71">
        <f>(Bankingbook_MSB[[#This Row],[MARKET_VALUE]]+Bankingbook_MSB[[#This Row],[Accr Int]]*Bankingbook_MSB[[#This Row],[Quantity_edited]])*(-Bankingbook_MSB[[#This Row],[Modified Duration]]*0.0001+0.5*Bankingbook_MSB[[#This Row],[Conv]]*(0.0001^2))</f>
        <v>-37478982.888649277</v>
      </c>
      <c r="CI131" s="71">
        <f>(Bankingbook_MSB[[#This Row],[MARKET_VALUE]]+Bankingbook_MSB[[#This Row],[Accr Int]]*Bankingbook_MSB[[#This Row],[Quantity_edited]])*(-Bankingbook_MSB[[#This Row],[Modified Duration]]*0.01+0.5*Bankingbook_MSB[[#This Row],[Conv]]*(0.01^2))</f>
        <v>-3665302230.4727378</v>
      </c>
      <c r="CL131" t="s">
        <v>166</v>
      </c>
      <c r="CM131" t="s">
        <v>167</v>
      </c>
      <c r="CN131" t="s">
        <v>307</v>
      </c>
      <c r="CO131" t="s">
        <v>169</v>
      </c>
      <c r="CP131" s="35">
        <v>42644</v>
      </c>
      <c r="CQ131" t="s">
        <v>3322</v>
      </c>
      <c r="CR131" t="s">
        <v>174</v>
      </c>
      <c r="CS131" t="s">
        <v>174</v>
      </c>
      <c r="CT131" s="49">
        <v>0</v>
      </c>
      <c r="CU131">
        <v>0</v>
      </c>
      <c r="CV131">
        <v>0</v>
      </c>
      <c r="CW131" s="70">
        <v>0</v>
      </c>
      <c r="CX131">
        <v>8.6</v>
      </c>
      <c r="CY131">
        <v>0</v>
      </c>
      <c r="CZ131">
        <v>8600000000</v>
      </c>
      <c r="DA131">
        <v>9158300055.5555573</v>
      </c>
      <c r="DB131">
        <v>-5546970054.4444485</v>
      </c>
      <c r="DC131">
        <v>8.6</v>
      </c>
      <c r="DD131">
        <v>0</v>
      </c>
      <c r="DE131">
        <v>0</v>
      </c>
      <c r="DF131">
        <v>0</v>
      </c>
      <c r="DG131">
        <v>0</v>
      </c>
      <c r="DH131">
        <v>0</v>
      </c>
      <c r="DI131">
        <v>0</v>
      </c>
      <c r="DJ131" s="500">
        <v>3842500000</v>
      </c>
      <c r="DK131" s="500">
        <v>0</v>
      </c>
      <c r="DL131" s="37">
        <v>3842500000</v>
      </c>
      <c r="DM131" s="37">
        <v>3842500000</v>
      </c>
      <c r="DN131" s="37">
        <v>3842500000</v>
      </c>
      <c r="DO131" s="37">
        <v>3842500000</v>
      </c>
      <c r="DP131" s="32">
        <f>Tradingbook_SBV[[#This Row],[Mat. Date]]-RPT</f>
        <v>-3608</v>
      </c>
      <c r="DQ131" s="32">
        <f>IF(Tradingbook_SBV[[#This Row],[Days]]&lt;=0,0,YEARFRAC(RPT,Tradingbook_SBV[[#This Row],[Mat. Date]],3))</f>
        <v>0</v>
      </c>
      <c r="DR131" s="32">
        <f>IF(Tradingbook_SBV[[#This Row],[Days (year)]]=0,0,INDEX(Ref!$K$2:$K$13,MATCH(Tradingbook_SBV[[#This Row],[Days (year)]],Ref!$I$2:$I$13,1)))</f>
        <v>0</v>
      </c>
      <c r="DS131" s="32" t="str">
        <f>VLOOKUP(Tradingbook_SBV[[#This Row],[Security Name]],Ref!X:Z,3,0)</f>
        <v>TPCPBL</v>
      </c>
      <c r="DT131" s="32" t="str">
        <f>VLOOKUP(Tradingbook_SBV[[#This Row],[Security Name]],Ref!X:Y,2,0)</f>
        <v>VDB</v>
      </c>
      <c r="DU131" s="71">
        <f>IF((Tradingbook_SBV[[#This Row],[Mat. Date]]-RPT)&lt;=0,0,Tradingbook_SBV[[#This Row],[QUANTITY]])</f>
        <v>0</v>
      </c>
      <c r="DV131" s="71">
        <f>IF(Tradingbook_SBV[[#This Row],[Quantity_edited]]=0,0,Tradingbook_SBV[[#This Row],[DURATION]])</f>
        <v>0</v>
      </c>
      <c r="DW131" s="71">
        <f>IF(Tradingbook_SBV[[#This Row],[Quantity_edited]]=0,0,Tradingbook_SBV[[#This Row],[Mod Dur]])</f>
        <v>0</v>
      </c>
      <c r="DX131" s="71">
        <f>IF(Tradingbook_SBV[[#This Row],[Quantity_edited]]=0,0,Tradingbook_SBV[[#This Row],[Cnvx.]])</f>
        <v>0</v>
      </c>
      <c r="DY131" s="71">
        <f>(Tradingbook_SBV[[#This Row],[MARKET_VALUE]]+Tradingbook_SBV[[#This Row],[Accr Int]]*Tradingbook_SBV[[#This Row],[Quantity_edited]])*(-Tradingbook_SBV[[#This Row],[Modified Duration]]*0.0001+0.5*Tradingbook_SBV[[#This Row],[Conv]]*(0.0001^2))</f>
        <v>0</v>
      </c>
      <c r="DZ131" s="71">
        <f>(Tradingbook_SBV[[#This Row],[MARKET_VALUE]]+Tradingbook_SBV[[#This Row],[Accr Int]]*Tradingbook_SBV[[#This Row],[Quantity_edited]])*(-Tradingbook_SBV[[#This Row],[Modified Duration]]*0.01+0.5*Tradingbook_SBV[[#This Row],[Conv]]*(0.01^2))</f>
        <v>0</v>
      </c>
      <c r="EC131" t="s">
        <v>166</v>
      </c>
      <c r="ED131" t="s">
        <v>167</v>
      </c>
      <c r="EE131" t="s">
        <v>530</v>
      </c>
      <c r="EF131" t="s">
        <v>169</v>
      </c>
      <c r="EG131" s="35" t="s">
        <v>3399</v>
      </c>
      <c r="EH131" t="s">
        <v>3322</v>
      </c>
      <c r="EK131" s="500">
        <v>0</v>
      </c>
      <c r="EL131" s="500">
        <v>0</v>
      </c>
      <c r="EM131" s="500">
        <v>0</v>
      </c>
      <c r="EN131" s="500">
        <v>0</v>
      </c>
      <c r="EO131">
        <v>5.3</v>
      </c>
      <c r="EP131">
        <v>0</v>
      </c>
      <c r="EQ131">
        <v>13250000000</v>
      </c>
      <c r="ER131">
        <v>14853934583.333298</v>
      </c>
      <c r="ES131">
        <v>-7649959062.0139065</v>
      </c>
      <c r="ET131">
        <v>5.3</v>
      </c>
      <c r="EU131">
        <v>0</v>
      </c>
      <c r="EV131">
        <v>0</v>
      </c>
      <c r="EW131">
        <v>0</v>
      </c>
      <c r="EX131">
        <v>0</v>
      </c>
      <c r="EY131">
        <v>0</v>
      </c>
      <c r="EZ131">
        <v>0</v>
      </c>
      <c r="FA131">
        <v>18556500000</v>
      </c>
      <c r="FB131">
        <v>0</v>
      </c>
      <c r="FC131">
        <v>18556500000</v>
      </c>
      <c r="FD131">
        <v>18556500000</v>
      </c>
      <c r="FE131">
        <v>18556500000</v>
      </c>
      <c r="FF131">
        <v>18556500000</v>
      </c>
      <c r="FG131" s="32">
        <f>Bankingbook_SBV[[#This Row],[Mat. Date]]-RPT</f>
        <v>-899</v>
      </c>
      <c r="FH131" s="32">
        <f>IF(Bankingbook_SBV[[#This Row],[Days]]&lt;=0,0,YEARFRAC(RPT,Bankingbook_SBV[[#This Row],[Mat. Date]],3))</f>
        <v>0</v>
      </c>
      <c r="FI131" s="32">
        <f>IF(Bankingbook_SBV[[#This Row],[Days (year)]]=0,0,INDEX(Ref!$K$2:$K$13,MATCH(Bankingbook_SBV[[#This Row],[Days (year)]],Ref!$I$2:$I$13,1)))</f>
        <v>0</v>
      </c>
      <c r="FJ131" s="32" t="str">
        <f>VLOOKUP(Bankingbook_SBV[[#This Row],[Security Name]],Ref!X:Z,3,0)</f>
        <v>TPCP</v>
      </c>
      <c r="FK131" s="32" t="str">
        <f>VLOOKUP(Bankingbook_SBV[[#This Row],[Security Name]],Ref!X:Y,2,0)</f>
        <v>KBNN</v>
      </c>
      <c r="FL131" s="72">
        <f>IF((Bankingbook_SBV[[#This Row],[Mat. Date]]-RPT)&lt;=0,0,Bankingbook_SBV[[#This Row],[QUANTITY]])</f>
        <v>0</v>
      </c>
      <c r="FM131" s="32">
        <f>IF(Bankingbook_SBV[[#This Row],[Quantity_edited]]=0,0,Bankingbook_SBV[[#This Row],[DURATION]])</f>
        <v>0</v>
      </c>
      <c r="FN131" s="32">
        <f>IF(Bankingbook_SBV[[#This Row],[Quantity_edited]]=0,0,Bankingbook_SBV[[#This Row],[Mod Dur]])</f>
        <v>0</v>
      </c>
      <c r="FO131" s="32">
        <f>IF(Bankingbook_SBV[[#This Row],[Quantity_edited]]=0,0,Bankingbook_SBV[[#This Row],[Cnvx.]])</f>
        <v>0</v>
      </c>
      <c r="FP131" s="32">
        <f>(Bankingbook_SBV[[#This Row],[MARKET_VALUE]]+Bankingbook_SBV[[#This Row],[Accr Int]]*Bankingbook_SBV[[#This Row],[Quantity_edited]])*(-Bankingbook_SBV[[#This Row],[Modified Duration]]*0.0001+0.5*Bankingbook_SBV[[#This Row],[Conv]]*(0.0001^2))</f>
        <v>0</v>
      </c>
      <c r="FQ131" s="32">
        <f>(Bankingbook_SBV[[#This Row],[MARKET_VALUE]]+Bankingbook_SBV[[#This Row],[Accr Int]]*Bankingbook_SBV[[#This Row],[Quantity_edited]])*(-Bankingbook_SBV[[#This Row],[Modified Duration]]*0.01+0.5*Bankingbook_SBV[[#This Row],[Conv]]*(0.01^2))</f>
        <v>0</v>
      </c>
    </row>
    <row r="132" spans="2:173" x14ac:dyDescent="0.3">
      <c r="B132" t="s">
        <v>166</v>
      </c>
      <c r="C132" t="s">
        <v>167</v>
      </c>
      <c r="D132" t="s">
        <v>308</v>
      </c>
      <c r="E132" t="s">
        <v>169</v>
      </c>
      <c r="F132" s="502">
        <v>42647</v>
      </c>
      <c r="G132" t="s">
        <v>3322</v>
      </c>
      <c r="H132"/>
      <c r="I132"/>
      <c r="J132" s="38">
        <v>0</v>
      </c>
      <c r="K132">
        <v>0</v>
      </c>
      <c r="L132">
        <v>0</v>
      </c>
      <c r="M132" s="38">
        <v>0</v>
      </c>
      <c r="N132">
        <v>12.25</v>
      </c>
      <c r="O132">
        <v>0</v>
      </c>
      <c r="P132" s="37">
        <v>0</v>
      </c>
      <c r="Q132" s="37">
        <v>0</v>
      </c>
      <c r="R132" s="37">
        <v>-4700515.4999995232</v>
      </c>
      <c r="S132">
        <v>12.25</v>
      </c>
      <c r="T132" s="70">
        <v>0</v>
      </c>
      <c r="U132">
        <v>0</v>
      </c>
      <c r="V132">
        <v>0</v>
      </c>
      <c r="W132">
        <v>0</v>
      </c>
      <c r="X132" s="38">
        <v>0</v>
      </c>
      <c r="Y132">
        <v>0</v>
      </c>
      <c r="Z132" s="70">
        <v>515700000</v>
      </c>
      <c r="AA132" s="70">
        <v>0</v>
      </c>
      <c r="AB132" s="70">
        <v>515700000</v>
      </c>
      <c r="AC132" s="70">
        <v>515700000</v>
      </c>
      <c r="AD132" s="70">
        <v>515700000</v>
      </c>
      <c r="AE132" s="70">
        <v>515700000</v>
      </c>
      <c r="AF132">
        <v>0</v>
      </c>
      <c r="AG132" s="72">
        <f>Tradingbook_MSB[[#This Row],[Mat. Date]]-RPT</f>
        <v>-3605</v>
      </c>
      <c r="AH132" s="71">
        <f>IF(Tradingbook_MSB[[#This Row],[Days]]&lt;=0,0,YEARFRAC(RPT,Tradingbook_MSB[[#This Row],[Mat. Date]],3))</f>
        <v>0</v>
      </c>
      <c r="AI132" s="71">
        <f>IF(Tradingbook_MSB[[#This Row],[Days (year)]]=0,0,INDEX(Ref!$K$2:$K$13,MATCH(Tradingbook_MSB[[#This Row],[Days (year)]],Ref!$I$2:$I$13,1)))</f>
        <v>0</v>
      </c>
      <c r="AJ132" s="120" t="str">
        <f>VLOOKUP(Tradingbook_MSB[[#This Row],[Security Name]],Ref!X:Z,3,0)</f>
        <v>TPCPBL</v>
      </c>
      <c r="AK132" s="120" t="str">
        <f>VLOOKUP(Tradingbook_MSB[[#This Row],[Security Name]],Ref!X:Y,2,0)</f>
        <v>VDB</v>
      </c>
      <c r="AL132" s="71">
        <f>IF((Tradingbook_MSB[[#This Row],[Mat. Date]]-RPT)&lt;=0,0,Tradingbook_MSB[[#This Row],[QUANTITY]])</f>
        <v>0</v>
      </c>
      <c r="AM132" s="71">
        <f>IF(Tradingbook_MSB[[#This Row],[Quantity_edited]]=0,0,Tradingbook_MSB[[#This Row],[DURATION]])</f>
        <v>0</v>
      </c>
      <c r="AN132" s="71">
        <f>IF(Tradingbook_MSB[[#This Row],[Quantity_edited]]=0,0,Tradingbook_MSB[[#This Row],[Mod Dur]])</f>
        <v>0</v>
      </c>
      <c r="AO132" s="71">
        <f>IF(Tradingbook_MSB[[#This Row],[Quantity_edited]]=0,0,Tradingbook_MSB[[#This Row],[Cnvx.]])</f>
        <v>0</v>
      </c>
      <c r="AP132" s="71">
        <f>(Tradingbook_MSB[[#This Row],[MARKET_VALUE]]+Tradingbook_MSB[[#This Row],[Accr Int]]*Tradingbook_MSB[[#This Row],[Quantity_edited]])*(-Tradingbook_MSB[[#This Row],[Modified Duration]]*0.0001+0.5*Tradingbook_MSB[[#This Row],[Conv]]*(0.0001^2))</f>
        <v>0</v>
      </c>
      <c r="AQ132" s="72">
        <f>(Tradingbook_MSB[[#This Row],[MARKET_VALUE]]+Tradingbook_MSB[[#This Row],[Accr Int]]*Tradingbook_MSB[[#This Row],[Quantity_edited]])*(-Tradingbook_MSB[[#This Row],[Modified Duration]]*0.01+0.5*Tradingbook_MSB[[#This Row],[Conv]]*(0.01^2))</f>
        <v>0</v>
      </c>
      <c r="AR132" s="71"/>
      <c r="AT132" t="s">
        <v>166</v>
      </c>
      <c r="AU132" t="s">
        <v>3300</v>
      </c>
      <c r="AV132" t="s">
        <v>612</v>
      </c>
      <c r="AW132" t="s">
        <v>169</v>
      </c>
      <c r="AX132" t="s">
        <v>3424</v>
      </c>
      <c r="AY132" t="s">
        <v>3322</v>
      </c>
      <c r="AZ132">
        <v>96757</v>
      </c>
      <c r="BA132">
        <v>96757</v>
      </c>
      <c r="BB132">
        <v>0</v>
      </c>
      <c r="BC132">
        <v>0</v>
      </c>
      <c r="BD132">
        <v>0</v>
      </c>
      <c r="BE132">
        <v>0</v>
      </c>
      <c r="BF132">
        <v>3</v>
      </c>
      <c r="BG132">
        <v>501</v>
      </c>
      <c r="BH132">
        <v>15000000000</v>
      </c>
      <c r="BI132">
        <v>16670417916.666664</v>
      </c>
      <c r="BJ132">
        <v>-10489531700.763729</v>
      </c>
      <c r="BK132">
        <v>3.9256365870000001</v>
      </c>
      <c r="BL132">
        <v>3.5199342643425</v>
      </c>
      <c r="BM132">
        <v>3.6581140900000002</v>
      </c>
      <c r="BN132">
        <v>16.1296176235102</v>
      </c>
      <c r="BO132">
        <v>0</v>
      </c>
      <c r="BP132">
        <v>0</v>
      </c>
      <c r="BQ132">
        <v>0</v>
      </c>
      <c r="BR132">
        <v>21639500000</v>
      </c>
      <c r="BS132">
        <v>0</v>
      </c>
      <c r="BT132">
        <v>21639500000</v>
      </c>
      <c r="BU132">
        <v>21639500000</v>
      </c>
      <c r="BV132">
        <v>21639500000</v>
      </c>
      <c r="BW132">
        <v>21639500000</v>
      </c>
      <c r="BX132">
        <v>0</v>
      </c>
      <c r="BY132" s="32">
        <f>Bankingbook_MSB[[#This Row],[Mat. Date]]-RPT</f>
        <v>1400</v>
      </c>
      <c r="BZ132" s="71">
        <f>IF(Bankingbook_MSB[[#This Row],[Days]]&lt;=0,0,YEARFRAC(RPT,Bankingbook_MSB[[#This Row],[Mat. Date]],3))</f>
        <v>3.8356164383561642</v>
      </c>
      <c r="CA132" s="71" t="str">
        <f>IF(Bankingbook_MSB[[#This Row],[Days (year)]]=0,0,INDEX(Ref!$K$2:$K$13,MATCH(Bankingbook_MSB[[#This Row],[Days (year)]],Ref!$I$2:$I$13,1)))</f>
        <v>4Y</v>
      </c>
      <c r="CB132" s="32" t="str">
        <f>VLOOKUP(Bankingbook_MSB[[#This Row],[Security Name]],Ref!X:Z,3,0)</f>
        <v>TPCP</v>
      </c>
      <c r="CC132" s="32" t="str">
        <f>VLOOKUP(Bankingbook_MSB[[#This Row],[Security Name]],Ref!X:Y,2,0)</f>
        <v>KBNN</v>
      </c>
      <c r="CD132" s="72">
        <f>IF((Bankingbook_MSB[[#This Row],[Mat. Date]]-RPT)&lt;=0,0,Bankingbook_MSB[[#This Row],[QUANTITY]])</f>
        <v>0</v>
      </c>
      <c r="CE132" s="71">
        <f>IF(Bankingbook_MSB[[#This Row],[Quantity_edited]]=0,0,Bankingbook_MSB[[#This Row],[DURATION]])</f>
        <v>0</v>
      </c>
      <c r="CF132" s="71">
        <f>IF(Bankingbook_MSB[[#This Row],[Quantity_edited]]=0,0,Bankingbook_MSB[[#This Row],[Mod Dur]])</f>
        <v>0</v>
      </c>
      <c r="CG132" s="71">
        <f>IF(Bankingbook_MSB[[#This Row],[Quantity_edited]]=0,0,Bankingbook_MSB[[#This Row],[Cnvx.]])</f>
        <v>0</v>
      </c>
      <c r="CH132" s="71">
        <f>(Bankingbook_MSB[[#This Row],[MARKET_VALUE]]+Bankingbook_MSB[[#This Row],[Accr Int]]*Bankingbook_MSB[[#This Row],[Quantity_edited]])*(-Bankingbook_MSB[[#This Row],[Modified Duration]]*0.0001+0.5*Bankingbook_MSB[[#This Row],[Conv]]*(0.0001^2))</f>
        <v>0</v>
      </c>
      <c r="CI132" s="71">
        <f>(Bankingbook_MSB[[#This Row],[MARKET_VALUE]]+Bankingbook_MSB[[#This Row],[Accr Int]]*Bankingbook_MSB[[#This Row],[Quantity_edited]])*(-Bankingbook_MSB[[#This Row],[Modified Duration]]*0.01+0.5*Bankingbook_MSB[[#This Row],[Conv]]*(0.01^2))</f>
        <v>0</v>
      </c>
      <c r="CL132" t="s">
        <v>166</v>
      </c>
      <c r="CM132" t="s">
        <v>167</v>
      </c>
      <c r="CN132" t="s">
        <v>308</v>
      </c>
      <c r="CO132" t="s">
        <v>169</v>
      </c>
      <c r="CP132" s="35">
        <v>42647</v>
      </c>
      <c r="CQ132" t="s">
        <v>3322</v>
      </c>
      <c r="CR132" t="s">
        <v>174</v>
      </c>
      <c r="CS132" t="s">
        <v>174</v>
      </c>
      <c r="CT132" s="49">
        <v>0</v>
      </c>
      <c r="CU132">
        <v>0</v>
      </c>
      <c r="CV132">
        <v>0</v>
      </c>
      <c r="CW132" s="70">
        <v>0</v>
      </c>
      <c r="CX132">
        <v>12.25</v>
      </c>
      <c r="CY132">
        <v>0</v>
      </c>
      <c r="CZ132">
        <v>0</v>
      </c>
      <c r="DA132">
        <v>0</v>
      </c>
      <c r="DB132">
        <v>-4700515.4999995232</v>
      </c>
      <c r="DC132">
        <v>12.25</v>
      </c>
      <c r="DD132">
        <v>0</v>
      </c>
      <c r="DE132">
        <v>0</v>
      </c>
      <c r="DF132">
        <v>0</v>
      </c>
      <c r="DG132">
        <v>0</v>
      </c>
      <c r="DH132">
        <v>0</v>
      </c>
      <c r="DI132">
        <v>0</v>
      </c>
      <c r="DJ132" s="500">
        <v>515700000</v>
      </c>
      <c r="DK132" s="500">
        <v>0</v>
      </c>
      <c r="DL132" s="37">
        <v>515700000</v>
      </c>
      <c r="DM132" s="37">
        <v>515700000</v>
      </c>
      <c r="DN132" s="37">
        <v>515700000</v>
      </c>
      <c r="DO132" s="37">
        <v>515700000</v>
      </c>
      <c r="DP132" s="32">
        <f>Tradingbook_SBV[[#This Row],[Mat. Date]]-RPT</f>
        <v>-3605</v>
      </c>
      <c r="DQ132" s="32">
        <f>IF(Tradingbook_SBV[[#This Row],[Days]]&lt;=0,0,YEARFRAC(RPT,Tradingbook_SBV[[#This Row],[Mat. Date]],3))</f>
        <v>0</v>
      </c>
      <c r="DR132" s="32">
        <f>IF(Tradingbook_SBV[[#This Row],[Days (year)]]=0,0,INDEX(Ref!$K$2:$K$13,MATCH(Tradingbook_SBV[[#This Row],[Days (year)]],Ref!$I$2:$I$13,1)))</f>
        <v>0</v>
      </c>
      <c r="DS132" s="32" t="str">
        <f>VLOOKUP(Tradingbook_SBV[[#This Row],[Security Name]],Ref!X:Z,3,0)</f>
        <v>TPCPBL</v>
      </c>
      <c r="DT132" s="32" t="str">
        <f>VLOOKUP(Tradingbook_SBV[[#This Row],[Security Name]],Ref!X:Y,2,0)</f>
        <v>VDB</v>
      </c>
      <c r="DU132" s="71">
        <f>IF((Tradingbook_SBV[[#This Row],[Mat. Date]]-RPT)&lt;=0,0,Tradingbook_SBV[[#This Row],[QUANTITY]])</f>
        <v>0</v>
      </c>
      <c r="DV132" s="71">
        <f>IF(Tradingbook_SBV[[#This Row],[Quantity_edited]]=0,0,Tradingbook_SBV[[#This Row],[DURATION]])</f>
        <v>0</v>
      </c>
      <c r="DW132" s="71">
        <f>IF(Tradingbook_SBV[[#This Row],[Quantity_edited]]=0,0,Tradingbook_SBV[[#This Row],[Mod Dur]])</f>
        <v>0</v>
      </c>
      <c r="DX132" s="71">
        <f>IF(Tradingbook_SBV[[#This Row],[Quantity_edited]]=0,0,Tradingbook_SBV[[#This Row],[Cnvx.]])</f>
        <v>0</v>
      </c>
      <c r="DY132" s="71">
        <f>(Tradingbook_SBV[[#This Row],[MARKET_VALUE]]+Tradingbook_SBV[[#This Row],[Accr Int]]*Tradingbook_SBV[[#This Row],[Quantity_edited]])*(-Tradingbook_SBV[[#This Row],[Modified Duration]]*0.0001+0.5*Tradingbook_SBV[[#This Row],[Conv]]*(0.0001^2))</f>
        <v>0</v>
      </c>
      <c r="DZ132" s="71">
        <f>(Tradingbook_SBV[[#This Row],[MARKET_VALUE]]+Tradingbook_SBV[[#This Row],[Accr Int]]*Tradingbook_SBV[[#This Row],[Quantity_edited]])*(-Tradingbook_SBV[[#This Row],[Modified Duration]]*0.01+0.5*Tradingbook_SBV[[#This Row],[Conv]]*(0.01^2))</f>
        <v>0</v>
      </c>
      <c r="EC132" t="s">
        <v>166</v>
      </c>
      <c r="ED132" t="s">
        <v>167</v>
      </c>
      <c r="EE132" t="s">
        <v>531</v>
      </c>
      <c r="EF132" t="s">
        <v>169</v>
      </c>
      <c r="EG132" s="35" t="s">
        <v>3759</v>
      </c>
      <c r="EH132" t="s">
        <v>3322</v>
      </c>
      <c r="EK132" s="500">
        <v>0</v>
      </c>
      <c r="EL132" s="500">
        <v>0</v>
      </c>
      <c r="EM132" s="500">
        <v>0</v>
      </c>
      <c r="EN132" s="500">
        <v>0</v>
      </c>
      <c r="EO132">
        <v>5.4</v>
      </c>
      <c r="EP132">
        <v>0</v>
      </c>
      <c r="EQ132">
        <v>2700000000</v>
      </c>
      <c r="ER132">
        <v>2841199500</v>
      </c>
      <c r="ES132">
        <v>-977010393.12500048</v>
      </c>
      <c r="ET132">
        <v>5.4</v>
      </c>
      <c r="EU132">
        <v>0</v>
      </c>
      <c r="EV132">
        <v>0</v>
      </c>
      <c r="EW132">
        <v>0</v>
      </c>
      <c r="EX132">
        <v>0</v>
      </c>
      <c r="EY132">
        <v>0</v>
      </c>
      <c r="EZ132">
        <v>0</v>
      </c>
      <c r="FA132">
        <v>6296500000</v>
      </c>
      <c r="FB132">
        <v>0</v>
      </c>
      <c r="FC132">
        <v>6296500000</v>
      </c>
      <c r="FD132">
        <v>6296500000</v>
      </c>
      <c r="FE132">
        <v>6296500000</v>
      </c>
      <c r="FF132">
        <v>6296500000</v>
      </c>
      <c r="FG132" s="32">
        <f>Bankingbook_SBV[[#This Row],[Mat. Date]]-RPT</f>
        <v>-878</v>
      </c>
      <c r="FH132" s="32">
        <f>IF(Bankingbook_SBV[[#This Row],[Days]]&lt;=0,0,YEARFRAC(RPT,Bankingbook_SBV[[#This Row],[Mat. Date]],3))</f>
        <v>0</v>
      </c>
      <c r="FI132" s="32">
        <f>IF(Bankingbook_SBV[[#This Row],[Days (year)]]=0,0,INDEX(Ref!$K$2:$K$13,MATCH(Bankingbook_SBV[[#This Row],[Days (year)]],Ref!$I$2:$I$13,1)))</f>
        <v>0</v>
      </c>
      <c r="FJ132" s="32" t="str">
        <f>VLOOKUP(Bankingbook_SBV[[#This Row],[Security Name]],Ref!X:Z,3,0)</f>
        <v>TPCP</v>
      </c>
      <c r="FK132" s="32" t="str">
        <f>VLOOKUP(Bankingbook_SBV[[#This Row],[Security Name]],Ref!X:Y,2,0)</f>
        <v>KBNN</v>
      </c>
      <c r="FL132" s="72">
        <f>IF((Bankingbook_SBV[[#This Row],[Mat. Date]]-RPT)&lt;=0,0,Bankingbook_SBV[[#This Row],[QUANTITY]])</f>
        <v>0</v>
      </c>
      <c r="FM132" s="32">
        <f>IF(Bankingbook_SBV[[#This Row],[Quantity_edited]]=0,0,Bankingbook_SBV[[#This Row],[DURATION]])</f>
        <v>0</v>
      </c>
      <c r="FN132" s="32">
        <f>IF(Bankingbook_SBV[[#This Row],[Quantity_edited]]=0,0,Bankingbook_SBV[[#This Row],[Mod Dur]])</f>
        <v>0</v>
      </c>
      <c r="FO132" s="32">
        <f>IF(Bankingbook_SBV[[#This Row],[Quantity_edited]]=0,0,Bankingbook_SBV[[#This Row],[Cnvx.]])</f>
        <v>0</v>
      </c>
      <c r="FP132" s="32">
        <f>(Bankingbook_SBV[[#This Row],[MARKET_VALUE]]+Bankingbook_SBV[[#This Row],[Accr Int]]*Bankingbook_SBV[[#This Row],[Quantity_edited]])*(-Bankingbook_SBV[[#This Row],[Modified Duration]]*0.0001+0.5*Bankingbook_SBV[[#This Row],[Conv]]*(0.0001^2))</f>
        <v>0</v>
      </c>
      <c r="FQ132" s="32">
        <f>(Bankingbook_SBV[[#This Row],[MARKET_VALUE]]+Bankingbook_SBV[[#This Row],[Accr Int]]*Bankingbook_SBV[[#This Row],[Quantity_edited]])*(-Bankingbook_SBV[[#This Row],[Modified Duration]]*0.01+0.5*Bankingbook_SBV[[#This Row],[Conv]]*(0.01^2))</f>
        <v>0</v>
      </c>
    </row>
    <row r="133" spans="2:173" x14ac:dyDescent="0.3">
      <c r="B133" t="s">
        <v>166</v>
      </c>
      <c r="C133" t="s">
        <v>167</v>
      </c>
      <c r="D133" t="s">
        <v>309</v>
      </c>
      <c r="E133" t="s">
        <v>169</v>
      </c>
      <c r="F133" s="502">
        <v>42666</v>
      </c>
      <c r="G133" t="s">
        <v>3322</v>
      </c>
      <c r="H133"/>
      <c r="I133"/>
      <c r="J133" s="38">
        <v>0</v>
      </c>
      <c r="K133">
        <v>0</v>
      </c>
      <c r="L133">
        <v>0</v>
      </c>
      <c r="M133" s="38">
        <v>0</v>
      </c>
      <c r="N133">
        <v>8.75</v>
      </c>
      <c r="O133">
        <v>0</v>
      </c>
      <c r="P133" s="37">
        <v>0</v>
      </c>
      <c r="Q133" s="37">
        <v>7.9999999999999996E-6</v>
      </c>
      <c r="R133" s="37">
        <v>-9465848.9777736664</v>
      </c>
      <c r="S133">
        <v>8.75</v>
      </c>
      <c r="T133" s="70">
        <v>0</v>
      </c>
      <c r="U133">
        <v>0</v>
      </c>
      <c r="V133">
        <v>0</v>
      </c>
      <c r="W133">
        <v>0</v>
      </c>
      <c r="X133" s="38">
        <v>0</v>
      </c>
      <c r="Y133">
        <v>0</v>
      </c>
      <c r="Z133" s="70">
        <v>3788460000</v>
      </c>
      <c r="AA133" s="70">
        <v>0</v>
      </c>
      <c r="AB133" s="70">
        <v>3788460000</v>
      </c>
      <c r="AC133" s="70">
        <v>3788460000</v>
      </c>
      <c r="AD133" s="70">
        <v>3788460000</v>
      </c>
      <c r="AE133" s="70">
        <v>3788460000</v>
      </c>
      <c r="AF133">
        <v>0</v>
      </c>
      <c r="AG133" s="72">
        <f>Tradingbook_MSB[[#This Row],[Mat. Date]]-RPT</f>
        <v>-3586</v>
      </c>
      <c r="AH133" s="71">
        <f>IF(Tradingbook_MSB[[#This Row],[Days]]&lt;=0,0,YEARFRAC(RPT,Tradingbook_MSB[[#This Row],[Mat. Date]],3))</f>
        <v>0</v>
      </c>
      <c r="AI133" s="71">
        <f>IF(Tradingbook_MSB[[#This Row],[Days (year)]]=0,0,INDEX(Ref!$K$2:$K$13,MATCH(Tradingbook_MSB[[#This Row],[Days (year)]],Ref!$I$2:$I$13,1)))</f>
        <v>0</v>
      </c>
      <c r="AJ133" s="120" t="str">
        <f>VLOOKUP(Tradingbook_MSB[[#This Row],[Security Name]],Ref!X:Z,3,0)</f>
        <v>TPCQĐP</v>
      </c>
      <c r="AK133" s="120" t="str">
        <f>VLOOKUP(Tradingbook_MSB[[#This Row],[Security Name]],Ref!X:Y,2,0)</f>
        <v>HIFU</v>
      </c>
      <c r="AL133" s="71">
        <f>IF((Tradingbook_MSB[[#This Row],[Mat. Date]]-RPT)&lt;=0,0,Tradingbook_MSB[[#This Row],[QUANTITY]])</f>
        <v>0</v>
      </c>
      <c r="AM133" s="71">
        <f>IF(Tradingbook_MSB[[#This Row],[Quantity_edited]]=0,0,Tradingbook_MSB[[#This Row],[DURATION]])</f>
        <v>0</v>
      </c>
      <c r="AN133" s="71">
        <f>IF(Tradingbook_MSB[[#This Row],[Quantity_edited]]=0,0,Tradingbook_MSB[[#This Row],[Mod Dur]])</f>
        <v>0</v>
      </c>
      <c r="AO133" s="71">
        <f>IF(Tradingbook_MSB[[#This Row],[Quantity_edited]]=0,0,Tradingbook_MSB[[#This Row],[Cnvx.]])</f>
        <v>0</v>
      </c>
      <c r="AP133" s="71">
        <f>(Tradingbook_MSB[[#This Row],[MARKET_VALUE]]+Tradingbook_MSB[[#This Row],[Accr Int]]*Tradingbook_MSB[[#This Row],[Quantity_edited]])*(-Tradingbook_MSB[[#This Row],[Modified Duration]]*0.0001+0.5*Tradingbook_MSB[[#This Row],[Conv]]*(0.0001^2))</f>
        <v>0</v>
      </c>
      <c r="AQ133" s="72">
        <f>(Tradingbook_MSB[[#This Row],[MARKET_VALUE]]+Tradingbook_MSB[[#This Row],[Accr Int]]*Tradingbook_MSB[[#This Row],[Quantity_edited]])*(-Tradingbook_MSB[[#This Row],[Modified Duration]]*0.01+0.5*Tradingbook_MSB[[#This Row],[Conv]]*(0.01^2))</f>
        <v>0</v>
      </c>
      <c r="AR133" s="71"/>
      <c r="AT133" t="s">
        <v>166</v>
      </c>
      <c r="AU133" t="s">
        <v>3300</v>
      </c>
      <c r="AV133" t="s">
        <v>613</v>
      </c>
      <c r="AW133" t="s">
        <v>169</v>
      </c>
      <c r="AX133" t="s">
        <v>3425</v>
      </c>
      <c r="AY133" t="s">
        <v>3322</v>
      </c>
      <c r="AZ133">
        <v>112895</v>
      </c>
      <c r="BA133">
        <v>112895</v>
      </c>
      <c r="BB133">
        <v>0</v>
      </c>
      <c r="BC133">
        <v>0</v>
      </c>
      <c r="BD133">
        <v>0</v>
      </c>
      <c r="BE133">
        <v>0</v>
      </c>
      <c r="BF133">
        <v>7.6</v>
      </c>
      <c r="BG133">
        <v>1020</v>
      </c>
      <c r="BH133">
        <v>7600000000</v>
      </c>
      <c r="BI133">
        <v>8355929250.0000095</v>
      </c>
      <c r="BJ133">
        <v>-2857536323.749979</v>
      </c>
      <c r="BK133">
        <v>3.9343883929999999</v>
      </c>
      <c r="BL133">
        <v>3.3562378928925001</v>
      </c>
      <c r="BM133">
        <v>3.4882853300000001</v>
      </c>
      <c r="BN133">
        <v>15.184385178254599</v>
      </c>
      <c r="BO133">
        <v>0</v>
      </c>
      <c r="BP133">
        <v>0</v>
      </c>
      <c r="BQ133">
        <v>0</v>
      </c>
      <c r="BR133">
        <v>28500000</v>
      </c>
      <c r="BS133">
        <v>0</v>
      </c>
      <c r="BT133">
        <v>28500000</v>
      </c>
      <c r="BU133">
        <v>28500000</v>
      </c>
      <c r="BV133">
        <v>28500000</v>
      </c>
      <c r="BW133">
        <v>28500000</v>
      </c>
      <c r="BX133">
        <v>0</v>
      </c>
      <c r="BY133" s="32">
        <f>Bankingbook_MSB[[#This Row],[Mat. Date]]-RPT</f>
        <v>1412</v>
      </c>
      <c r="BZ133" s="71">
        <f>IF(Bankingbook_MSB[[#This Row],[Days]]&lt;=0,0,YEARFRAC(RPT,Bankingbook_MSB[[#This Row],[Mat. Date]],3))</f>
        <v>3.8684931506849316</v>
      </c>
      <c r="CA133" s="71" t="str">
        <f>IF(Bankingbook_MSB[[#This Row],[Days (year)]]=0,0,INDEX(Ref!$K$2:$K$13,MATCH(Bankingbook_MSB[[#This Row],[Days (year)]],Ref!$I$2:$I$13,1)))</f>
        <v>4Y</v>
      </c>
      <c r="CB133" s="32" t="str">
        <f>VLOOKUP(Bankingbook_MSB[[#This Row],[Security Name]],Ref!X:Z,3,0)</f>
        <v>TPCP</v>
      </c>
      <c r="CC133" s="32" t="str">
        <f>VLOOKUP(Bankingbook_MSB[[#This Row],[Security Name]],Ref!X:Y,2,0)</f>
        <v>KBNN</v>
      </c>
      <c r="CD133" s="72">
        <f>IF((Bankingbook_MSB[[#This Row],[Mat. Date]]-RPT)&lt;=0,0,Bankingbook_MSB[[#This Row],[QUANTITY]])</f>
        <v>0</v>
      </c>
      <c r="CE133" s="71">
        <f>IF(Bankingbook_MSB[[#This Row],[Quantity_edited]]=0,0,Bankingbook_MSB[[#This Row],[DURATION]])</f>
        <v>0</v>
      </c>
      <c r="CF133" s="71">
        <f>IF(Bankingbook_MSB[[#This Row],[Quantity_edited]]=0,0,Bankingbook_MSB[[#This Row],[Mod Dur]])</f>
        <v>0</v>
      </c>
      <c r="CG133" s="71">
        <f>IF(Bankingbook_MSB[[#This Row],[Quantity_edited]]=0,0,Bankingbook_MSB[[#This Row],[Cnvx.]])</f>
        <v>0</v>
      </c>
      <c r="CH133" s="71">
        <f>(Bankingbook_MSB[[#This Row],[MARKET_VALUE]]+Bankingbook_MSB[[#This Row],[Accr Int]]*Bankingbook_MSB[[#This Row],[Quantity_edited]])*(-Bankingbook_MSB[[#This Row],[Modified Duration]]*0.0001+0.5*Bankingbook_MSB[[#This Row],[Conv]]*(0.0001^2))</f>
        <v>0</v>
      </c>
      <c r="CI133" s="71">
        <f>(Bankingbook_MSB[[#This Row],[MARKET_VALUE]]+Bankingbook_MSB[[#This Row],[Accr Int]]*Bankingbook_MSB[[#This Row],[Quantity_edited]])*(-Bankingbook_MSB[[#This Row],[Modified Duration]]*0.01+0.5*Bankingbook_MSB[[#This Row],[Conv]]*(0.01^2))</f>
        <v>0</v>
      </c>
      <c r="CL133" t="s">
        <v>166</v>
      </c>
      <c r="CM133" t="s">
        <v>167</v>
      </c>
      <c r="CN133" t="s">
        <v>309</v>
      </c>
      <c r="CO133" t="s">
        <v>169</v>
      </c>
      <c r="CP133" s="35">
        <v>42666</v>
      </c>
      <c r="CQ133" t="s">
        <v>3322</v>
      </c>
      <c r="CR133" t="s">
        <v>174</v>
      </c>
      <c r="CS133" t="s">
        <v>174</v>
      </c>
      <c r="CT133" s="49">
        <v>0</v>
      </c>
      <c r="CU133">
        <v>0</v>
      </c>
      <c r="CV133">
        <v>0</v>
      </c>
      <c r="CW133" s="70">
        <v>0</v>
      </c>
      <c r="CX133">
        <v>8.75</v>
      </c>
      <c r="CY133">
        <v>0</v>
      </c>
      <c r="CZ133">
        <v>0</v>
      </c>
      <c r="DA133">
        <v>7.9999999999999996E-6</v>
      </c>
      <c r="DB133">
        <v>-9465848.9777736664</v>
      </c>
      <c r="DC133">
        <v>8.75</v>
      </c>
      <c r="DD133">
        <v>0</v>
      </c>
      <c r="DE133">
        <v>0</v>
      </c>
      <c r="DF133">
        <v>0</v>
      </c>
      <c r="DG133">
        <v>0</v>
      </c>
      <c r="DH133">
        <v>0</v>
      </c>
      <c r="DI133">
        <v>0</v>
      </c>
      <c r="DJ133" s="500">
        <v>3788460000</v>
      </c>
      <c r="DK133" s="500">
        <v>0</v>
      </c>
      <c r="DL133" s="37">
        <v>3788460000</v>
      </c>
      <c r="DM133" s="37">
        <v>3788460000</v>
      </c>
      <c r="DN133" s="37">
        <v>3788460000</v>
      </c>
      <c r="DO133" s="37">
        <v>3788460000</v>
      </c>
      <c r="DP133" s="32">
        <f>Tradingbook_SBV[[#This Row],[Mat. Date]]-RPT</f>
        <v>-3586</v>
      </c>
      <c r="DQ133" s="32">
        <f>IF(Tradingbook_SBV[[#This Row],[Days]]&lt;=0,0,YEARFRAC(RPT,Tradingbook_SBV[[#This Row],[Mat. Date]],3))</f>
        <v>0</v>
      </c>
      <c r="DR133" s="32">
        <f>IF(Tradingbook_SBV[[#This Row],[Days (year)]]=0,0,INDEX(Ref!$K$2:$K$13,MATCH(Tradingbook_SBV[[#This Row],[Days (year)]],Ref!$I$2:$I$13,1)))</f>
        <v>0</v>
      </c>
      <c r="DS133" s="32" t="str">
        <f>VLOOKUP(Tradingbook_SBV[[#This Row],[Security Name]],Ref!X:Z,3,0)</f>
        <v>TPCQĐP</v>
      </c>
      <c r="DT133" s="32" t="str">
        <f>VLOOKUP(Tradingbook_SBV[[#This Row],[Security Name]],Ref!X:Y,2,0)</f>
        <v>HIFU</v>
      </c>
      <c r="DU133" s="71">
        <f>IF((Tradingbook_SBV[[#This Row],[Mat. Date]]-RPT)&lt;=0,0,Tradingbook_SBV[[#This Row],[QUANTITY]])</f>
        <v>0</v>
      </c>
      <c r="DV133" s="71">
        <f>IF(Tradingbook_SBV[[#This Row],[Quantity_edited]]=0,0,Tradingbook_SBV[[#This Row],[DURATION]])</f>
        <v>0</v>
      </c>
      <c r="DW133" s="71">
        <f>IF(Tradingbook_SBV[[#This Row],[Quantity_edited]]=0,0,Tradingbook_SBV[[#This Row],[Mod Dur]])</f>
        <v>0</v>
      </c>
      <c r="DX133" s="71">
        <f>IF(Tradingbook_SBV[[#This Row],[Quantity_edited]]=0,0,Tradingbook_SBV[[#This Row],[Cnvx.]])</f>
        <v>0</v>
      </c>
      <c r="DY133" s="71">
        <f>(Tradingbook_SBV[[#This Row],[MARKET_VALUE]]+Tradingbook_SBV[[#This Row],[Accr Int]]*Tradingbook_SBV[[#This Row],[Quantity_edited]])*(-Tradingbook_SBV[[#This Row],[Modified Duration]]*0.0001+0.5*Tradingbook_SBV[[#This Row],[Conv]]*(0.0001^2))</f>
        <v>0</v>
      </c>
      <c r="DZ133" s="71">
        <f>(Tradingbook_SBV[[#This Row],[MARKET_VALUE]]+Tradingbook_SBV[[#This Row],[Accr Int]]*Tradingbook_SBV[[#This Row],[Quantity_edited]])*(-Tradingbook_SBV[[#This Row],[Modified Duration]]*0.01+0.5*Tradingbook_SBV[[#This Row],[Conv]]*(0.01^2))</f>
        <v>0</v>
      </c>
      <c r="EC133" t="s">
        <v>166</v>
      </c>
      <c r="ED133" t="s">
        <v>167</v>
      </c>
      <c r="EE133" t="s">
        <v>532</v>
      </c>
      <c r="EF133" t="s">
        <v>169</v>
      </c>
      <c r="EG133" s="35" t="s">
        <v>3760</v>
      </c>
      <c r="EH133" t="s">
        <v>3322</v>
      </c>
      <c r="EK133" s="500">
        <v>0</v>
      </c>
      <c r="EL133" s="500">
        <v>0</v>
      </c>
      <c r="EM133" s="500">
        <v>0</v>
      </c>
      <c r="EN133" s="500">
        <v>0</v>
      </c>
      <c r="EO133">
        <v>5.4</v>
      </c>
      <c r="EP133">
        <v>0</v>
      </c>
      <c r="EQ133">
        <v>0</v>
      </c>
      <c r="ER133">
        <v>5.0000000000000004E-6</v>
      </c>
      <c r="ES133">
        <v>-775575178.54165983</v>
      </c>
      <c r="ET133">
        <v>5.4</v>
      </c>
      <c r="EU133">
        <v>0</v>
      </c>
      <c r="EV133">
        <v>0</v>
      </c>
      <c r="EW133">
        <v>0</v>
      </c>
      <c r="EX133">
        <v>0</v>
      </c>
      <c r="EY133">
        <v>0</v>
      </c>
      <c r="EZ133">
        <v>0</v>
      </c>
      <c r="FA133">
        <v>3695500000</v>
      </c>
      <c r="FB133">
        <v>0</v>
      </c>
      <c r="FC133">
        <v>3695500000</v>
      </c>
      <c r="FD133">
        <v>3695500000</v>
      </c>
      <c r="FE133">
        <v>3695500000</v>
      </c>
      <c r="FF133">
        <v>3695500000</v>
      </c>
      <c r="FG133" s="32">
        <f>Bankingbook_SBV[[#This Row],[Mat. Date]]-RPT</f>
        <v>-822</v>
      </c>
      <c r="FH133" s="32">
        <f>IF(Bankingbook_SBV[[#This Row],[Days]]&lt;=0,0,YEARFRAC(RPT,Bankingbook_SBV[[#This Row],[Mat. Date]],3))</f>
        <v>0</v>
      </c>
      <c r="FI133" s="32">
        <f>IF(Bankingbook_SBV[[#This Row],[Days (year)]]=0,0,INDEX(Ref!$K$2:$K$13,MATCH(Bankingbook_SBV[[#This Row],[Days (year)]],Ref!$I$2:$I$13,1)))</f>
        <v>0</v>
      </c>
      <c r="FJ133" s="32" t="str">
        <f>VLOOKUP(Bankingbook_SBV[[#This Row],[Security Name]],Ref!X:Z,3,0)</f>
        <v>TPCP</v>
      </c>
      <c r="FK133" s="32" t="str">
        <f>VLOOKUP(Bankingbook_SBV[[#This Row],[Security Name]],Ref!X:Y,2,0)</f>
        <v>KBNN</v>
      </c>
      <c r="FL133" s="72">
        <f>IF((Bankingbook_SBV[[#This Row],[Mat. Date]]-RPT)&lt;=0,0,Bankingbook_SBV[[#This Row],[QUANTITY]])</f>
        <v>0</v>
      </c>
      <c r="FM133" s="32">
        <f>IF(Bankingbook_SBV[[#This Row],[Quantity_edited]]=0,0,Bankingbook_SBV[[#This Row],[DURATION]])</f>
        <v>0</v>
      </c>
      <c r="FN133" s="32">
        <f>IF(Bankingbook_SBV[[#This Row],[Quantity_edited]]=0,0,Bankingbook_SBV[[#This Row],[Mod Dur]])</f>
        <v>0</v>
      </c>
      <c r="FO133" s="32">
        <f>IF(Bankingbook_SBV[[#This Row],[Quantity_edited]]=0,0,Bankingbook_SBV[[#This Row],[Cnvx.]])</f>
        <v>0</v>
      </c>
      <c r="FP133" s="32">
        <f>(Bankingbook_SBV[[#This Row],[MARKET_VALUE]]+Bankingbook_SBV[[#This Row],[Accr Int]]*Bankingbook_SBV[[#This Row],[Quantity_edited]])*(-Bankingbook_SBV[[#This Row],[Modified Duration]]*0.0001+0.5*Bankingbook_SBV[[#This Row],[Conv]]*(0.0001^2))</f>
        <v>0</v>
      </c>
      <c r="FQ133" s="32">
        <f>(Bankingbook_SBV[[#This Row],[MARKET_VALUE]]+Bankingbook_SBV[[#This Row],[Accr Int]]*Bankingbook_SBV[[#This Row],[Quantity_edited]])*(-Bankingbook_SBV[[#This Row],[Modified Duration]]*0.01+0.5*Bankingbook_SBV[[#This Row],[Conv]]*(0.01^2))</f>
        <v>0</v>
      </c>
    </row>
    <row r="134" spans="2:173" x14ac:dyDescent="0.3">
      <c r="B134" t="s">
        <v>166</v>
      </c>
      <c r="C134" t="s">
        <v>167</v>
      </c>
      <c r="D134" t="s">
        <v>310</v>
      </c>
      <c r="E134" t="s">
        <v>169</v>
      </c>
      <c r="F134" s="502">
        <v>42674</v>
      </c>
      <c r="G134" t="s">
        <v>271</v>
      </c>
      <c r="H134"/>
      <c r="I134"/>
      <c r="J134" s="38">
        <v>-1000000</v>
      </c>
      <c r="K134">
        <v>-100000000000</v>
      </c>
      <c r="L134">
        <v>103523.054</v>
      </c>
      <c r="M134" s="38">
        <v>0</v>
      </c>
      <c r="N134">
        <v>7.6</v>
      </c>
      <c r="O134">
        <v>0</v>
      </c>
      <c r="P134" s="37">
        <v>-11400000000</v>
      </c>
      <c r="Q134" s="37">
        <v>-11367455111.111076</v>
      </c>
      <c r="R134" s="37">
        <v>-1717812889.305522</v>
      </c>
      <c r="S134">
        <v>7.6</v>
      </c>
      <c r="T134" s="70">
        <v>0</v>
      </c>
      <c r="U134">
        <v>0</v>
      </c>
      <c r="V134">
        <v>0</v>
      </c>
      <c r="W134">
        <v>0</v>
      </c>
      <c r="X134" s="38">
        <v>0</v>
      </c>
      <c r="Y134">
        <v>0</v>
      </c>
      <c r="Z134" s="70">
        <v>28722100000.000263</v>
      </c>
      <c r="AA134" s="70">
        <v>0</v>
      </c>
      <c r="AB134" s="70">
        <v>28722100000.000263</v>
      </c>
      <c r="AC134" s="70">
        <v>28722100000.000263</v>
      </c>
      <c r="AD134" s="70">
        <v>28722100000</v>
      </c>
      <c r="AE134" s="70">
        <v>28722100000.000263</v>
      </c>
      <c r="AF134">
        <v>5.8089902670000004</v>
      </c>
      <c r="AG134" s="72">
        <f>Tradingbook_MSB[[#This Row],[Mat. Date]]-RPT</f>
        <v>-3578</v>
      </c>
      <c r="AH134" s="71">
        <f>IF(Tradingbook_MSB[[#This Row],[Days]]&lt;=0,0,YEARFRAC(RPT,Tradingbook_MSB[[#This Row],[Mat. Date]],3))</f>
        <v>0</v>
      </c>
      <c r="AI134" s="71">
        <f>IF(Tradingbook_MSB[[#This Row],[Days (year)]]=0,0,INDEX(Ref!$K$2:$K$13,MATCH(Tradingbook_MSB[[#This Row],[Days (year)]],Ref!$I$2:$I$13,1)))</f>
        <v>0</v>
      </c>
      <c r="AJ134" s="120" t="str">
        <f>VLOOKUP(Tradingbook_MSB[[#This Row],[Security Name]],Ref!X:Z,3,0)</f>
        <v>TPCP</v>
      </c>
      <c r="AK134" s="120" t="str">
        <f>VLOOKUP(Tradingbook_MSB[[#This Row],[Security Name]],Ref!X:Y,2,0)</f>
        <v>KBNN</v>
      </c>
      <c r="AL134" s="71">
        <f>IF((Tradingbook_MSB[[#This Row],[Mat. Date]]-RPT)&lt;=0,0,Tradingbook_MSB[[#This Row],[QUANTITY]])</f>
        <v>0</v>
      </c>
      <c r="AM134" s="71">
        <f>IF(Tradingbook_MSB[[#This Row],[Quantity_edited]]=0,0,Tradingbook_MSB[[#This Row],[DURATION]])</f>
        <v>0</v>
      </c>
      <c r="AN134" s="71">
        <f>IF(Tradingbook_MSB[[#This Row],[Quantity_edited]]=0,0,Tradingbook_MSB[[#This Row],[Mod Dur]])</f>
        <v>0</v>
      </c>
      <c r="AO134" s="71">
        <f>IF(Tradingbook_MSB[[#This Row],[Quantity_edited]]=0,0,Tradingbook_MSB[[#This Row],[Cnvx.]])</f>
        <v>0</v>
      </c>
      <c r="AP134" s="71">
        <f>(Tradingbook_MSB[[#This Row],[MARKET_VALUE]]+Tradingbook_MSB[[#This Row],[Accr Int]]*Tradingbook_MSB[[#This Row],[Quantity_edited]])*(-Tradingbook_MSB[[#This Row],[Modified Duration]]*0.0001+0.5*Tradingbook_MSB[[#This Row],[Conv]]*(0.0001^2))</f>
        <v>0</v>
      </c>
      <c r="AQ134" s="72">
        <f>(Tradingbook_MSB[[#This Row],[MARKET_VALUE]]+Tradingbook_MSB[[#This Row],[Accr Int]]*Tradingbook_MSB[[#This Row],[Quantity_edited]])*(-Tradingbook_MSB[[#This Row],[Modified Duration]]*0.01+0.5*Tradingbook_MSB[[#This Row],[Conv]]*(0.01^2))</f>
        <v>0</v>
      </c>
      <c r="AR134" s="71"/>
      <c r="AT134" t="s">
        <v>166</v>
      </c>
      <c r="AU134" t="s">
        <v>3300</v>
      </c>
      <c r="AV134" t="s">
        <v>614</v>
      </c>
      <c r="AW134" t="s">
        <v>169</v>
      </c>
      <c r="AX134" t="s">
        <v>3426</v>
      </c>
      <c r="AY134" t="s">
        <v>3322</v>
      </c>
      <c r="AZ134">
        <v>96341</v>
      </c>
      <c r="BA134">
        <v>96341</v>
      </c>
      <c r="BB134">
        <v>0</v>
      </c>
      <c r="BC134">
        <v>0</v>
      </c>
      <c r="BD134">
        <v>0</v>
      </c>
      <c r="BE134">
        <v>0</v>
      </c>
      <c r="BF134">
        <v>2.9</v>
      </c>
      <c r="BG134">
        <v>373</v>
      </c>
      <c r="BH134">
        <v>2900000000</v>
      </c>
      <c r="BI134">
        <v>3198070458.3333359</v>
      </c>
      <c r="BJ134">
        <v>-1522884103.055542</v>
      </c>
      <c r="BK134">
        <v>3.935804182</v>
      </c>
      <c r="BL134">
        <v>3.5614496427140998</v>
      </c>
      <c r="BM134">
        <v>3.70162133</v>
      </c>
      <c r="BN134">
        <v>16.4535701777084</v>
      </c>
      <c r="BO134">
        <v>0</v>
      </c>
      <c r="BP134">
        <v>0</v>
      </c>
      <c r="BQ134">
        <v>0</v>
      </c>
      <c r="BR134">
        <v>9408000000</v>
      </c>
      <c r="BS134">
        <v>0</v>
      </c>
      <c r="BT134">
        <v>9408000000</v>
      </c>
      <c r="BU134">
        <v>9408000000</v>
      </c>
      <c r="BV134">
        <v>9408000000</v>
      </c>
      <c r="BW134">
        <v>9408000000</v>
      </c>
      <c r="BX134">
        <v>0</v>
      </c>
      <c r="BY134" s="32">
        <f>Bankingbook_MSB[[#This Row],[Mat. Date]]-RPT</f>
        <v>1414</v>
      </c>
      <c r="BZ134" s="71">
        <f>IF(Bankingbook_MSB[[#This Row],[Days]]&lt;=0,0,YEARFRAC(RPT,Bankingbook_MSB[[#This Row],[Mat. Date]],3))</f>
        <v>3.8739726027397259</v>
      </c>
      <c r="CA134" s="71" t="str">
        <f>IF(Bankingbook_MSB[[#This Row],[Days (year)]]=0,0,INDEX(Ref!$K$2:$K$13,MATCH(Bankingbook_MSB[[#This Row],[Days (year)]],Ref!$I$2:$I$13,1)))</f>
        <v>4Y</v>
      </c>
      <c r="CB134" s="32" t="str">
        <f>VLOOKUP(Bankingbook_MSB[[#This Row],[Security Name]],Ref!X:Z,3,0)</f>
        <v>TPCP</v>
      </c>
      <c r="CC134" s="32" t="str">
        <f>VLOOKUP(Bankingbook_MSB[[#This Row],[Security Name]],Ref!X:Y,2,0)</f>
        <v>KBNN</v>
      </c>
      <c r="CD134" s="72">
        <f>IF((Bankingbook_MSB[[#This Row],[Mat. Date]]-RPT)&lt;=0,0,Bankingbook_MSB[[#This Row],[QUANTITY]])</f>
        <v>0</v>
      </c>
      <c r="CE134" s="71">
        <f>IF(Bankingbook_MSB[[#This Row],[Quantity_edited]]=0,0,Bankingbook_MSB[[#This Row],[DURATION]])</f>
        <v>0</v>
      </c>
      <c r="CF134" s="71">
        <f>IF(Bankingbook_MSB[[#This Row],[Quantity_edited]]=0,0,Bankingbook_MSB[[#This Row],[Mod Dur]])</f>
        <v>0</v>
      </c>
      <c r="CG134" s="71">
        <f>IF(Bankingbook_MSB[[#This Row],[Quantity_edited]]=0,0,Bankingbook_MSB[[#This Row],[Cnvx.]])</f>
        <v>0</v>
      </c>
      <c r="CH134" s="71">
        <f>(Bankingbook_MSB[[#This Row],[MARKET_VALUE]]+Bankingbook_MSB[[#This Row],[Accr Int]]*Bankingbook_MSB[[#This Row],[Quantity_edited]])*(-Bankingbook_MSB[[#This Row],[Modified Duration]]*0.0001+0.5*Bankingbook_MSB[[#This Row],[Conv]]*(0.0001^2))</f>
        <v>0</v>
      </c>
      <c r="CI134" s="71">
        <f>(Bankingbook_MSB[[#This Row],[MARKET_VALUE]]+Bankingbook_MSB[[#This Row],[Accr Int]]*Bankingbook_MSB[[#This Row],[Quantity_edited]])*(-Bankingbook_MSB[[#This Row],[Modified Duration]]*0.01+0.5*Bankingbook_MSB[[#This Row],[Conv]]*(0.01^2))</f>
        <v>0</v>
      </c>
      <c r="CL134" t="s">
        <v>166</v>
      </c>
      <c r="CM134" t="s">
        <v>167</v>
      </c>
      <c r="CN134" t="s">
        <v>310</v>
      </c>
      <c r="CO134" t="s">
        <v>169</v>
      </c>
      <c r="CP134" s="35">
        <v>42674</v>
      </c>
      <c r="CQ134" t="s">
        <v>271</v>
      </c>
      <c r="CR134" t="s">
        <v>174</v>
      </c>
      <c r="CS134" t="s">
        <v>174</v>
      </c>
      <c r="CT134" s="49">
        <v>-1000000</v>
      </c>
      <c r="CU134">
        <v>-100000000000</v>
      </c>
      <c r="CV134">
        <v>103523.054</v>
      </c>
      <c r="CW134" s="70">
        <v>0</v>
      </c>
      <c r="CX134">
        <v>7.6</v>
      </c>
      <c r="CY134">
        <v>0</v>
      </c>
      <c r="CZ134">
        <v>-11400000000</v>
      </c>
      <c r="DA134">
        <v>-11367455111.111076</v>
      </c>
      <c r="DB134">
        <v>-1717812889.305522</v>
      </c>
      <c r="DC134">
        <v>7.6</v>
      </c>
      <c r="DD134">
        <v>0</v>
      </c>
      <c r="DE134">
        <v>0</v>
      </c>
      <c r="DF134">
        <v>0</v>
      </c>
      <c r="DG134">
        <v>0</v>
      </c>
      <c r="DH134">
        <v>0</v>
      </c>
      <c r="DI134">
        <v>0</v>
      </c>
      <c r="DJ134" s="500">
        <v>28722100000.000263</v>
      </c>
      <c r="DK134" s="500">
        <v>0</v>
      </c>
      <c r="DL134" s="37">
        <v>28722100000.000263</v>
      </c>
      <c r="DM134" s="37">
        <v>28722100000.000263</v>
      </c>
      <c r="DN134" s="37">
        <v>28722100000</v>
      </c>
      <c r="DO134" s="37">
        <v>28722100000.000263</v>
      </c>
      <c r="DP134" s="32">
        <f>Tradingbook_SBV[[#This Row],[Mat. Date]]-RPT</f>
        <v>-3578</v>
      </c>
      <c r="DQ134" s="32">
        <f>IF(Tradingbook_SBV[[#This Row],[Days]]&lt;=0,0,YEARFRAC(RPT,Tradingbook_SBV[[#This Row],[Mat. Date]],3))</f>
        <v>0</v>
      </c>
      <c r="DR134" s="32">
        <f>IF(Tradingbook_SBV[[#This Row],[Days (year)]]=0,0,INDEX(Ref!$K$2:$K$13,MATCH(Tradingbook_SBV[[#This Row],[Days (year)]],Ref!$I$2:$I$13,1)))</f>
        <v>0</v>
      </c>
      <c r="DS134" s="32" t="str">
        <f>VLOOKUP(Tradingbook_SBV[[#This Row],[Security Name]],Ref!X:Z,3,0)</f>
        <v>TPCP</v>
      </c>
      <c r="DT134" s="32" t="str">
        <f>VLOOKUP(Tradingbook_SBV[[#This Row],[Security Name]],Ref!X:Y,2,0)</f>
        <v>KBNN</v>
      </c>
      <c r="DU134" s="71">
        <f>IF((Tradingbook_SBV[[#This Row],[Mat. Date]]-RPT)&lt;=0,0,Tradingbook_SBV[[#This Row],[QUANTITY]])</f>
        <v>0</v>
      </c>
      <c r="DV134" s="71">
        <f>IF(Tradingbook_SBV[[#This Row],[Quantity_edited]]=0,0,Tradingbook_SBV[[#This Row],[DURATION]])</f>
        <v>0</v>
      </c>
      <c r="DW134" s="71">
        <f>IF(Tradingbook_SBV[[#This Row],[Quantity_edited]]=0,0,Tradingbook_SBV[[#This Row],[Mod Dur]])</f>
        <v>0</v>
      </c>
      <c r="DX134" s="71">
        <f>IF(Tradingbook_SBV[[#This Row],[Quantity_edited]]=0,0,Tradingbook_SBV[[#This Row],[Cnvx.]])</f>
        <v>0</v>
      </c>
      <c r="DY134" s="71">
        <f>(Tradingbook_SBV[[#This Row],[MARKET_VALUE]]+Tradingbook_SBV[[#This Row],[Accr Int]]*Tradingbook_SBV[[#This Row],[Quantity_edited]])*(-Tradingbook_SBV[[#This Row],[Modified Duration]]*0.0001+0.5*Tradingbook_SBV[[#This Row],[Conv]]*(0.0001^2))</f>
        <v>0</v>
      </c>
      <c r="DZ134" s="71">
        <f>(Tradingbook_SBV[[#This Row],[MARKET_VALUE]]+Tradingbook_SBV[[#This Row],[Accr Int]]*Tradingbook_SBV[[#This Row],[Quantity_edited]])*(-Tradingbook_SBV[[#This Row],[Modified Duration]]*0.01+0.5*Tradingbook_SBV[[#This Row],[Conv]]*(0.01^2))</f>
        <v>0</v>
      </c>
      <c r="EC134" t="s">
        <v>166</v>
      </c>
      <c r="ED134" t="s">
        <v>167</v>
      </c>
      <c r="EE134" t="s">
        <v>533</v>
      </c>
      <c r="EF134" t="s">
        <v>169</v>
      </c>
      <c r="EG134" s="35" t="s">
        <v>3400</v>
      </c>
      <c r="EH134" t="s">
        <v>3322</v>
      </c>
      <c r="EK134" s="500">
        <v>0</v>
      </c>
      <c r="EL134" s="500">
        <v>0</v>
      </c>
      <c r="EM134" s="500">
        <v>0</v>
      </c>
      <c r="EN134" s="500">
        <v>0</v>
      </c>
      <c r="EO134">
        <v>8.6999999999999993</v>
      </c>
      <c r="EP134">
        <v>0</v>
      </c>
      <c r="EQ134">
        <v>0</v>
      </c>
      <c r="ER134">
        <v>5.4199999999999995E-4</v>
      </c>
      <c r="ES134">
        <v>-1697546429.0977688</v>
      </c>
      <c r="ET134">
        <v>8.6999999999999993</v>
      </c>
      <c r="EU134">
        <v>0</v>
      </c>
      <c r="EV134">
        <v>0</v>
      </c>
      <c r="EW134">
        <v>0</v>
      </c>
      <c r="EX134">
        <v>0</v>
      </c>
      <c r="EY134">
        <v>0</v>
      </c>
      <c r="EZ134">
        <v>0</v>
      </c>
      <c r="FA134">
        <v>213500000</v>
      </c>
      <c r="FB134">
        <v>0</v>
      </c>
      <c r="FC134">
        <v>213500000</v>
      </c>
      <c r="FD134">
        <v>213500000</v>
      </c>
      <c r="FE134">
        <v>213500000</v>
      </c>
      <c r="FF134">
        <v>213500000</v>
      </c>
      <c r="FG134" s="32">
        <f>Bankingbook_SBV[[#This Row],[Mat. Date]]-RPT</f>
        <v>-809</v>
      </c>
      <c r="FH134" s="32">
        <f>IF(Bankingbook_SBV[[#This Row],[Days]]&lt;=0,0,YEARFRAC(RPT,Bankingbook_SBV[[#This Row],[Mat. Date]],3))</f>
        <v>0</v>
      </c>
      <c r="FI134" s="32">
        <f>IF(Bankingbook_SBV[[#This Row],[Days (year)]]=0,0,INDEX(Ref!$K$2:$K$13,MATCH(Bankingbook_SBV[[#This Row],[Days (year)]],Ref!$I$2:$I$13,1)))</f>
        <v>0</v>
      </c>
      <c r="FJ134" s="32" t="str">
        <f>VLOOKUP(Bankingbook_SBV[[#This Row],[Security Name]],Ref!X:Z,3,0)</f>
        <v>TPCP</v>
      </c>
      <c r="FK134" s="32" t="str">
        <f>VLOOKUP(Bankingbook_SBV[[#This Row],[Security Name]],Ref!X:Y,2,0)</f>
        <v>KBNN</v>
      </c>
      <c r="FL134" s="72">
        <f>IF((Bankingbook_SBV[[#This Row],[Mat. Date]]-RPT)&lt;=0,0,Bankingbook_SBV[[#This Row],[QUANTITY]])</f>
        <v>0</v>
      </c>
      <c r="FM134" s="32">
        <f>IF(Bankingbook_SBV[[#This Row],[Quantity_edited]]=0,0,Bankingbook_SBV[[#This Row],[DURATION]])</f>
        <v>0</v>
      </c>
      <c r="FN134" s="32">
        <f>IF(Bankingbook_SBV[[#This Row],[Quantity_edited]]=0,0,Bankingbook_SBV[[#This Row],[Mod Dur]])</f>
        <v>0</v>
      </c>
      <c r="FO134" s="32">
        <f>IF(Bankingbook_SBV[[#This Row],[Quantity_edited]]=0,0,Bankingbook_SBV[[#This Row],[Cnvx.]])</f>
        <v>0</v>
      </c>
      <c r="FP134" s="32">
        <f>(Bankingbook_SBV[[#This Row],[MARKET_VALUE]]+Bankingbook_SBV[[#This Row],[Accr Int]]*Bankingbook_SBV[[#This Row],[Quantity_edited]])*(-Bankingbook_SBV[[#This Row],[Modified Duration]]*0.0001+0.5*Bankingbook_SBV[[#This Row],[Conv]]*(0.0001^2))</f>
        <v>0</v>
      </c>
      <c r="FQ134" s="32">
        <f>(Bankingbook_SBV[[#This Row],[MARKET_VALUE]]+Bankingbook_SBV[[#This Row],[Accr Int]]*Bankingbook_SBV[[#This Row],[Quantity_edited]])*(-Bankingbook_SBV[[#This Row],[Modified Duration]]*0.01+0.5*Bankingbook_SBV[[#This Row],[Conv]]*(0.01^2))</f>
        <v>0</v>
      </c>
    </row>
    <row r="135" spans="2:173" x14ac:dyDescent="0.3">
      <c r="B135" t="s">
        <v>166</v>
      </c>
      <c r="C135" t="s">
        <v>167</v>
      </c>
      <c r="D135" t="s">
        <v>311</v>
      </c>
      <c r="E135" t="s">
        <v>169</v>
      </c>
      <c r="F135" s="502">
        <v>42689</v>
      </c>
      <c r="G135" t="s">
        <v>170</v>
      </c>
      <c r="H135"/>
      <c r="I135"/>
      <c r="J135" s="38">
        <v>1000000</v>
      </c>
      <c r="K135">
        <v>100000000000</v>
      </c>
      <c r="L135">
        <v>96325.638999999996</v>
      </c>
      <c r="M135" s="38">
        <v>0</v>
      </c>
      <c r="N135">
        <v>0</v>
      </c>
      <c r="O135">
        <v>0</v>
      </c>
      <c r="P135" s="37">
        <v>0</v>
      </c>
      <c r="Q135" s="37">
        <v>0</v>
      </c>
      <c r="R135" s="37">
        <v>-1444215652.7233472</v>
      </c>
      <c r="S135">
        <v>0</v>
      </c>
      <c r="T135" s="70">
        <v>0</v>
      </c>
      <c r="U135">
        <v>0</v>
      </c>
      <c r="V135">
        <v>0</v>
      </c>
      <c r="W135">
        <v>0</v>
      </c>
      <c r="X135" s="38">
        <v>0</v>
      </c>
      <c r="Y135">
        <v>0</v>
      </c>
      <c r="Z135" s="70">
        <v>3674361281.9999981</v>
      </c>
      <c r="AA135" s="70">
        <v>0</v>
      </c>
      <c r="AB135" s="70">
        <v>3674361281.9999981</v>
      </c>
      <c r="AC135" s="70">
        <v>3674361281.9999981</v>
      </c>
      <c r="AD135" s="70">
        <v>3674361282</v>
      </c>
      <c r="AE135" s="70">
        <v>3674361281.9999981</v>
      </c>
      <c r="AF135">
        <v>5.0999999999999996</v>
      </c>
      <c r="AG135" s="72">
        <f>Tradingbook_MSB[[#This Row],[Mat. Date]]-RPT</f>
        <v>-3563</v>
      </c>
      <c r="AH135" s="71">
        <f>IF(Tradingbook_MSB[[#This Row],[Days]]&lt;=0,0,YEARFRAC(RPT,Tradingbook_MSB[[#This Row],[Mat. Date]],3))</f>
        <v>0</v>
      </c>
      <c r="AI135" s="71">
        <f>IF(Tradingbook_MSB[[#This Row],[Days (year)]]=0,0,INDEX(Ref!$K$2:$K$13,MATCH(Tradingbook_MSB[[#This Row],[Days (year)]],Ref!$I$2:$I$13,1)))</f>
        <v>0</v>
      </c>
      <c r="AJ135" s="120" t="str">
        <f>VLOOKUP(Tradingbook_MSB[[#This Row],[Security Name]],Ref!X:Z,3,0)</f>
        <v>TPCP</v>
      </c>
      <c r="AK135" s="120" t="str">
        <f>VLOOKUP(Tradingbook_MSB[[#This Row],[Security Name]],Ref!X:Y,2,0)</f>
        <v>KBNN</v>
      </c>
      <c r="AL135" s="71">
        <f>IF((Tradingbook_MSB[[#This Row],[Mat. Date]]-RPT)&lt;=0,0,Tradingbook_MSB[[#This Row],[QUANTITY]])</f>
        <v>0</v>
      </c>
      <c r="AM135" s="71">
        <f>IF(Tradingbook_MSB[[#This Row],[Quantity_edited]]=0,0,Tradingbook_MSB[[#This Row],[DURATION]])</f>
        <v>0</v>
      </c>
      <c r="AN135" s="71">
        <f>IF(Tradingbook_MSB[[#This Row],[Quantity_edited]]=0,0,Tradingbook_MSB[[#This Row],[Mod Dur]])</f>
        <v>0</v>
      </c>
      <c r="AO135" s="71">
        <f>IF(Tradingbook_MSB[[#This Row],[Quantity_edited]]=0,0,Tradingbook_MSB[[#This Row],[Cnvx.]])</f>
        <v>0</v>
      </c>
      <c r="AP135" s="71">
        <f>(Tradingbook_MSB[[#This Row],[MARKET_VALUE]]+Tradingbook_MSB[[#This Row],[Accr Int]]*Tradingbook_MSB[[#This Row],[Quantity_edited]])*(-Tradingbook_MSB[[#This Row],[Modified Duration]]*0.0001+0.5*Tradingbook_MSB[[#This Row],[Conv]]*(0.0001^2))</f>
        <v>0</v>
      </c>
      <c r="AQ135" s="72">
        <f>(Tradingbook_MSB[[#This Row],[MARKET_VALUE]]+Tradingbook_MSB[[#This Row],[Accr Int]]*Tradingbook_MSB[[#This Row],[Quantity_edited]])*(-Tradingbook_MSB[[#This Row],[Modified Duration]]*0.01+0.5*Tradingbook_MSB[[#This Row],[Conv]]*(0.01^2))</f>
        <v>0</v>
      </c>
      <c r="AR135" s="71"/>
      <c r="AT135" t="s">
        <v>166</v>
      </c>
      <c r="AU135" t="s">
        <v>3300</v>
      </c>
      <c r="AV135" t="s">
        <v>626</v>
      </c>
      <c r="AW135" t="s">
        <v>169</v>
      </c>
      <c r="AX135" t="s">
        <v>3427</v>
      </c>
      <c r="AY135" t="s">
        <v>3322</v>
      </c>
      <c r="AZ135">
        <v>95953</v>
      </c>
      <c r="BA135">
        <v>95953</v>
      </c>
      <c r="BB135">
        <v>0</v>
      </c>
      <c r="BC135">
        <v>0</v>
      </c>
      <c r="BD135">
        <v>0</v>
      </c>
      <c r="BE135">
        <v>0</v>
      </c>
      <c r="BF135">
        <v>2.8</v>
      </c>
      <c r="BG135">
        <v>307</v>
      </c>
      <c r="BH135">
        <v>5600000000</v>
      </c>
      <c r="BI135">
        <v>6174899888.8888969</v>
      </c>
      <c r="BJ135">
        <v>-2993418242.7777557</v>
      </c>
      <c r="BK135">
        <v>3.94083016</v>
      </c>
      <c r="BL135">
        <v>3.5847411295101002</v>
      </c>
      <c r="BM135">
        <v>3.7260096900000002</v>
      </c>
      <c r="BN135">
        <v>16.632484569084699</v>
      </c>
      <c r="BO135">
        <v>0</v>
      </c>
      <c r="BP135">
        <v>0</v>
      </c>
      <c r="BQ135">
        <v>0</v>
      </c>
      <c r="BR135">
        <v>18950000000</v>
      </c>
      <c r="BS135">
        <v>0</v>
      </c>
      <c r="BT135">
        <v>18950000000</v>
      </c>
      <c r="BU135">
        <v>18950000000</v>
      </c>
      <c r="BV135">
        <v>18950000000</v>
      </c>
      <c r="BW135">
        <v>18950000000</v>
      </c>
      <c r="BX135">
        <v>0</v>
      </c>
      <c r="BY135" s="32">
        <f>Bankingbook_MSB[[#This Row],[Mat. Date]]-RPT</f>
        <v>1421</v>
      </c>
      <c r="BZ135" s="71">
        <f>IF(Bankingbook_MSB[[#This Row],[Days]]&lt;=0,0,YEARFRAC(RPT,Bankingbook_MSB[[#This Row],[Mat. Date]],3))</f>
        <v>3.893150684931507</v>
      </c>
      <c r="CA135" s="71" t="str">
        <f>IF(Bankingbook_MSB[[#This Row],[Days (year)]]=0,0,INDEX(Ref!$K$2:$K$13,MATCH(Bankingbook_MSB[[#This Row],[Days (year)]],Ref!$I$2:$I$13,1)))</f>
        <v>4Y</v>
      </c>
      <c r="CB135" s="32" t="str">
        <f>VLOOKUP(Bankingbook_MSB[[#This Row],[Security Name]],Ref!X:Z,3,0)</f>
        <v>TPCP</v>
      </c>
      <c r="CC135" s="32" t="str">
        <f>VLOOKUP(Bankingbook_MSB[[#This Row],[Security Name]],Ref!X:Y,2,0)</f>
        <v>KBNN</v>
      </c>
      <c r="CD135" s="72">
        <f>IF((Bankingbook_MSB[[#This Row],[Mat. Date]]-RPT)&lt;=0,0,Bankingbook_MSB[[#This Row],[QUANTITY]])</f>
        <v>0</v>
      </c>
      <c r="CE135" s="71">
        <f>IF(Bankingbook_MSB[[#This Row],[Quantity_edited]]=0,0,Bankingbook_MSB[[#This Row],[DURATION]])</f>
        <v>0</v>
      </c>
      <c r="CF135" s="71">
        <f>IF(Bankingbook_MSB[[#This Row],[Quantity_edited]]=0,0,Bankingbook_MSB[[#This Row],[Mod Dur]])</f>
        <v>0</v>
      </c>
      <c r="CG135" s="71">
        <f>IF(Bankingbook_MSB[[#This Row],[Quantity_edited]]=0,0,Bankingbook_MSB[[#This Row],[Cnvx.]])</f>
        <v>0</v>
      </c>
      <c r="CH135" s="71">
        <f>(Bankingbook_MSB[[#This Row],[MARKET_VALUE]]+Bankingbook_MSB[[#This Row],[Accr Int]]*Bankingbook_MSB[[#This Row],[Quantity_edited]])*(-Bankingbook_MSB[[#This Row],[Modified Duration]]*0.0001+0.5*Bankingbook_MSB[[#This Row],[Conv]]*(0.0001^2))</f>
        <v>0</v>
      </c>
      <c r="CI135" s="71">
        <f>(Bankingbook_MSB[[#This Row],[MARKET_VALUE]]+Bankingbook_MSB[[#This Row],[Accr Int]]*Bankingbook_MSB[[#This Row],[Quantity_edited]])*(-Bankingbook_MSB[[#This Row],[Modified Duration]]*0.01+0.5*Bankingbook_MSB[[#This Row],[Conv]]*(0.01^2))</f>
        <v>0</v>
      </c>
      <c r="CL135" t="s">
        <v>166</v>
      </c>
      <c r="CM135" t="s">
        <v>167</v>
      </c>
      <c r="CN135" t="s">
        <v>311</v>
      </c>
      <c r="CO135" t="s">
        <v>169</v>
      </c>
      <c r="CP135" s="35">
        <v>42689</v>
      </c>
      <c r="CQ135" t="s">
        <v>170</v>
      </c>
      <c r="CR135" t="s">
        <v>174</v>
      </c>
      <c r="CS135" t="s">
        <v>174</v>
      </c>
      <c r="CT135" s="49">
        <v>1000000</v>
      </c>
      <c r="CU135">
        <v>100000000000</v>
      </c>
      <c r="CV135">
        <v>96325.638999999996</v>
      </c>
      <c r="CW135" s="70">
        <v>0</v>
      </c>
      <c r="CX135">
        <v>0</v>
      </c>
      <c r="CY135">
        <v>0</v>
      </c>
      <c r="CZ135">
        <v>0</v>
      </c>
      <c r="DA135">
        <v>0</v>
      </c>
      <c r="DB135">
        <v>-1444215652.7233472</v>
      </c>
      <c r="DC135">
        <v>0</v>
      </c>
      <c r="DD135">
        <v>0</v>
      </c>
      <c r="DE135">
        <v>0</v>
      </c>
      <c r="DF135">
        <v>0</v>
      </c>
      <c r="DG135">
        <v>0</v>
      </c>
      <c r="DH135">
        <v>0</v>
      </c>
      <c r="DI135">
        <v>0</v>
      </c>
      <c r="DJ135" s="500">
        <v>3674361281.9999981</v>
      </c>
      <c r="DK135" s="500">
        <v>0</v>
      </c>
      <c r="DL135" s="37">
        <v>3674361281.9999981</v>
      </c>
      <c r="DM135" s="37">
        <v>3674361281.9999981</v>
      </c>
      <c r="DN135" s="37">
        <v>3674361282</v>
      </c>
      <c r="DO135" s="37">
        <v>3674361281.9999981</v>
      </c>
      <c r="DP135" s="32">
        <f>Tradingbook_SBV[[#This Row],[Mat. Date]]-RPT</f>
        <v>-3563</v>
      </c>
      <c r="DQ135" s="32">
        <f>IF(Tradingbook_SBV[[#This Row],[Days]]&lt;=0,0,YEARFRAC(RPT,Tradingbook_SBV[[#This Row],[Mat. Date]],3))</f>
        <v>0</v>
      </c>
      <c r="DR135" s="32">
        <f>IF(Tradingbook_SBV[[#This Row],[Days (year)]]=0,0,INDEX(Ref!$K$2:$K$13,MATCH(Tradingbook_SBV[[#This Row],[Days (year)]],Ref!$I$2:$I$13,1)))</f>
        <v>0</v>
      </c>
      <c r="DS135" s="32" t="str">
        <f>VLOOKUP(Tradingbook_SBV[[#This Row],[Security Name]],Ref!X:Z,3,0)</f>
        <v>TPCP</v>
      </c>
      <c r="DT135" s="32" t="str">
        <f>VLOOKUP(Tradingbook_SBV[[#This Row],[Security Name]],Ref!X:Y,2,0)</f>
        <v>KBNN</v>
      </c>
      <c r="DU135" s="71">
        <f>IF((Tradingbook_SBV[[#This Row],[Mat. Date]]-RPT)&lt;=0,0,Tradingbook_SBV[[#This Row],[QUANTITY]])</f>
        <v>0</v>
      </c>
      <c r="DV135" s="71">
        <f>IF(Tradingbook_SBV[[#This Row],[Quantity_edited]]=0,0,Tradingbook_SBV[[#This Row],[DURATION]])</f>
        <v>0</v>
      </c>
      <c r="DW135" s="71">
        <f>IF(Tradingbook_SBV[[#This Row],[Quantity_edited]]=0,0,Tradingbook_SBV[[#This Row],[Mod Dur]])</f>
        <v>0</v>
      </c>
      <c r="DX135" s="71">
        <f>IF(Tradingbook_SBV[[#This Row],[Quantity_edited]]=0,0,Tradingbook_SBV[[#This Row],[Cnvx.]])</f>
        <v>0</v>
      </c>
      <c r="DY135" s="71">
        <f>(Tradingbook_SBV[[#This Row],[MARKET_VALUE]]+Tradingbook_SBV[[#This Row],[Accr Int]]*Tradingbook_SBV[[#This Row],[Quantity_edited]])*(-Tradingbook_SBV[[#This Row],[Modified Duration]]*0.0001+0.5*Tradingbook_SBV[[#This Row],[Conv]]*(0.0001^2))</f>
        <v>0</v>
      </c>
      <c r="DZ135" s="71">
        <f>(Tradingbook_SBV[[#This Row],[MARKET_VALUE]]+Tradingbook_SBV[[#This Row],[Accr Int]]*Tradingbook_SBV[[#This Row],[Quantity_edited]])*(-Tradingbook_SBV[[#This Row],[Modified Duration]]*0.01+0.5*Tradingbook_SBV[[#This Row],[Conv]]*(0.01^2))</f>
        <v>0</v>
      </c>
      <c r="EC135" t="s">
        <v>166</v>
      </c>
      <c r="ED135" t="s">
        <v>167</v>
      </c>
      <c r="EE135" t="s">
        <v>534</v>
      </c>
      <c r="EF135" t="s">
        <v>169</v>
      </c>
      <c r="EG135" s="35" t="s">
        <v>3761</v>
      </c>
      <c r="EH135" t="s">
        <v>3322</v>
      </c>
      <c r="EK135" s="500">
        <v>0</v>
      </c>
      <c r="EL135" s="500">
        <v>0</v>
      </c>
      <c r="EM135" s="500">
        <v>0</v>
      </c>
      <c r="EN135" s="500">
        <v>0</v>
      </c>
      <c r="EO135">
        <v>5.3</v>
      </c>
      <c r="EP135">
        <v>0</v>
      </c>
      <c r="EQ135">
        <v>2650000000</v>
      </c>
      <c r="ER135">
        <v>2812513826.3888922</v>
      </c>
      <c r="ES135">
        <v>-960016736.98610783</v>
      </c>
      <c r="ET135">
        <v>5.3</v>
      </c>
      <c r="EU135">
        <v>0</v>
      </c>
      <c r="EV135">
        <v>0</v>
      </c>
      <c r="EW135">
        <v>0</v>
      </c>
      <c r="EX135">
        <v>0</v>
      </c>
      <c r="EY135">
        <v>0</v>
      </c>
      <c r="EZ135">
        <v>0</v>
      </c>
      <c r="FA135">
        <v>6768100000</v>
      </c>
      <c r="FB135">
        <v>0</v>
      </c>
      <c r="FC135">
        <v>6768100000</v>
      </c>
      <c r="FD135">
        <v>6768100000</v>
      </c>
      <c r="FE135">
        <v>6768100000</v>
      </c>
      <c r="FF135">
        <v>6768100000</v>
      </c>
      <c r="FG135" s="32">
        <f>Bankingbook_SBV[[#This Row],[Mat. Date]]-RPT</f>
        <v>-801</v>
      </c>
      <c r="FH135" s="32">
        <f>IF(Bankingbook_SBV[[#This Row],[Days]]&lt;=0,0,YEARFRAC(RPT,Bankingbook_SBV[[#This Row],[Mat. Date]],3))</f>
        <v>0</v>
      </c>
      <c r="FI135" s="32">
        <f>IF(Bankingbook_SBV[[#This Row],[Days (year)]]=0,0,INDEX(Ref!$K$2:$K$13,MATCH(Bankingbook_SBV[[#This Row],[Days (year)]],Ref!$I$2:$I$13,1)))</f>
        <v>0</v>
      </c>
      <c r="FJ135" s="32" t="str">
        <f>VLOOKUP(Bankingbook_SBV[[#This Row],[Security Name]],Ref!X:Z,3,0)</f>
        <v>TPCP</v>
      </c>
      <c r="FK135" s="32" t="str">
        <f>VLOOKUP(Bankingbook_SBV[[#This Row],[Security Name]],Ref!X:Y,2,0)</f>
        <v>KBNN</v>
      </c>
      <c r="FL135" s="72">
        <f>IF((Bankingbook_SBV[[#This Row],[Mat. Date]]-RPT)&lt;=0,0,Bankingbook_SBV[[#This Row],[QUANTITY]])</f>
        <v>0</v>
      </c>
      <c r="FM135" s="32">
        <f>IF(Bankingbook_SBV[[#This Row],[Quantity_edited]]=0,0,Bankingbook_SBV[[#This Row],[DURATION]])</f>
        <v>0</v>
      </c>
      <c r="FN135" s="32">
        <f>IF(Bankingbook_SBV[[#This Row],[Quantity_edited]]=0,0,Bankingbook_SBV[[#This Row],[Mod Dur]])</f>
        <v>0</v>
      </c>
      <c r="FO135" s="32">
        <f>IF(Bankingbook_SBV[[#This Row],[Quantity_edited]]=0,0,Bankingbook_SBV[[#This Row],[Cnvx.]])</f>
        <v>0</v>
      </c>
      <c r="FP135" s="32">
        <f>(Bankingbook_SBV[[#This Row],[MARKET_VALUE]]+Bankingbook_SBV[[#This Row],[Accr Int]]*Bankingbook_SBV[[#This Row],[Quantity_edited]])*(-Bankingbook_SBV[[#This Row],[Modified Duration]]*0.0001+0.5*Bankingbook_SBV[[#This Row],[Conv]]*(0.0001^2))</f>
        <v>0</v>
      </c>
      <c r="FQ135" s="32">
        <f>(Bankingbook_SBV[[#This Row],[MARKET_VALUE]]+Bankingbook_SBV[[#This Row],[Accr Int]]*Bankingbook_SBV[[#This Row],[Quantity_edited]])*(-Bankingbook_SBV[[#This Row],[Modified Duration]]*0.01+0.5*Bankingbook_SBV[[#This Row],[Conv]]*(0.01^2))</f>
        <v>0</v>
      </c>
    </row>
    <row r="136" spans="2:173" x14ac:dyDescent="0.3">
      <c r="B136" t="s">
        <v>166</v>
      </c>
      <c r="C136" t="s">
        <v>167</v>
      </c>
      <c r="D136" t="s">
        <v>313</v>
      </c>
      <c r="E136" t="s">
        <v>169</v>
      </c>
      <c r="F136" s="502">
        <v>42706</v>
      </c>
      <c r="G136" t="s">
        <v>3322</v>
      </c>
      <c r="H136"/>
      <c r="I136"/>
      <c r="J136" s="38">
        <v>0</v>
      </c>
      <c r="K136">
        <v>0</v>
      </c>
      <c r="L136">
        <v>0</v>
      </c>
      <c r="M136" s="38">
        <v>0</v>
      </c>
      <c r="N136">
        <v>12.25</v>
      </c>
      <c r="O136">
        <v>0</v>
      </c>
      <c r="P136" s="37">
        <v>73500000000</v>
      </c>
      <c r="Q136" s="37">
        <v>82478525208.33316</v>
      </c>
      <c r="R136" s="37">
        <v>-38532428571.388306</v>
      </c>
      <c r="S136">
        <v>12.25</v>
      </c>
      <c r="T136" s="70">
        <v>0</v>
      </c>
      <c r="U136">
        <v>0</v>
      </c>
      <c r="V136">
        <v>0</v>
      </c>
      <c r="W136">
        <v>0</v>
      </c>
      <c r="X136" s="38">
        <v>0</v>
      </c>
      <c r="Y136">
        <v>0</v>
      </c>
      <c r="Z136" s="70">
        <v>62647000000</v>
      </c>
      <c r="AA136" s="70">
        <v>0</v>
      </c>
      <c r="AB136" s="70">
        <v>62647000000</v>
      </c>
      <c r="AC136" s="70">
        <v>62647000000</v>
      </c>
      <c r="AD136" s="70">
        <v>62647000000</v>
      </c>
      <c r="AE136" s="70">
        <v>62647000000</v>
      </c>
      <c r="AF136">
        <v>0</v>
      </c>
      <c r="AG136" s="72">
        <f>Tradingbook_MSB[[#This Row],[Mat. Date]]-RPT</f>
        <v>-3546</v>
      </c>
      <c r="AH136" s="71">
        <f>IF(Tradingbook_MSB[[#This Row],[Days]]&lt;=0,0,YEARFRAC(RPT,Tradingbook_MSB[[#This Row],[Mat. Date]],3))</f>
        <v>0</v>
      </c>
      <c r="AI136" s="71">
        <f>IF(Tradingbook_MSB[[#This Row],[Days (year)]]=0,0,INDEX(Ref!$K$2:$K$13,MATCH(Tradingbook_MSB[[#This Row],[Days (year)]],Ref!$I$2:$I$13,1)))</f>
        <v>0</v>
      </c>
      <c r="AJ136" s="120" t="str">
        <f>VLOOKUP(Tradingbook_MSB[[#This Row],[Security Name]],Ref!X:Z,3,0)</f>
        <v>TPCPBL</v>
      </c>
      <c r="AK136" s="120" t="str">
        <f>VLOOKUP(Tradingbook_MSB[[#This Row],[Security Name]],Ref!X:Y,2,0)</f>
        <v>VDB</v>
      </c>
      <c r="AL136" s="71">
        <f>IF((Tradingbook_MSB[[#This Row],[Mat. Date]]-RPT)&lt;=0,0,Tradingbook_MSB[[#This Row],[QUANTITY]])</f>
        <v>0</v>
      </c>
      <c r="AM136" s="71">
        <f>IF(Tradingbook_MSB[[#This Row],[Quantity_edited]]=0,0,Tradingbook_MSB[[#This Row],[DURATION]])</f>
        <v>0</v>
      </c>
      <c r="AN136" s="71">
        <f>IF(Tradingbook_MSB[[#This Row],[Quantity_edited]]=0,0,Tradingbook_MSB[[#This Row],[Mod Dur]])</f>
        <v>0</v>
      </c>
      <c r="AO136" s="71">
        <f>IF(Tradingbook_MSB[[#This Row],[Quantity_edited]]=0,0,Tradingbook_MSB[[#This Row],[Cnvx.]])</f>
        <v>0</v>
      </c>
      <c r="AP136" s="71">
        <f>(Tradingbook_MSB[[#This Row],[MARKET_VALUE]]+Tradingbook_MSB[[#This Row],[Accr Int]]*Tradingbook_MSB[[#This Row],[Quantity_edited]])*(-Tradingbook_MSB[[#This Row],[Modified Duration]]*0.0001+0.5*Tradingbook_MSB[[#This Row],[Conv]]*(0.0001^2))</f>
        <v>0</v>
      </c>
      <c r="AQ136" s="72">
        <f>(Tradingbook_MSB[[#This Row],[MARKET_VALUE]]+Tradingbook_MSB[[#This Row],[Accr Int]]*Tradingbook_MSB[[#This Row],[Quantity_edited]])*(-Tradingbook_MSB[[#This Row],[Modified Duration]]*0.01+0.5*Tradingbook_MSB[[#This Row],[Conv]]*(0.01^2))</f>
        <v>0</v>
      </c>
      <c r="AR136" s="71"/>
      <c r="AT136" t="s">
        <v>166</v>
      </c>
      <c r="AU136" t="s">
        <v>3300</v>
      </c>
      <c r="AV136" t="s">
        <v>627</v>
      </c>
      <c r="AW136" t="s">
        <v>169</v>
      </c>
      <c r="AX136" t="s">
        <v>3428</v>
      </c>
      <c r="AY136" t="s">
        <v>170</v>
      </c>
      <c r="AZ136">
        <v>95562</v>
      </c>
      <c r="BA136">
        <v>95562</v>
      </c>
      <c r="BB136">
        <v>1000000</v>
      </c>
      <c r="BC136">
        <v>100000000000</v>
      </c>
      <c r="BD136">
        <v>98888.6</v>
      </c>
      <c r="BE136">
        <v>95562000000</v>
      </c>
      <c r="BF136">
        <v>2.7</v>
      </c>
      <c r="BG136">
        <v>244</v>
      </c>
      <c r="BH136">
        <v>16200000000</v>
      </c>
      <c r="BI136">
        <v>17585058749.999992</v>
      </c>
      <c r="BJ136">
        <v>-16083150947.638756</v>
      </c>
      <c r="BK136">
        <v>3.9460088780000002</v>
      </c>
      <c r="BL136">
        <v>3.6080638490951</v>
      </c>
      <c r="BM136">
        <v>3.7504383699999999</v>
      </c>
      <c r="BN136">
        <v>16.812606690156599</v>
      </c>
      <c r="BO136">
        <v>16107.485965571401</v>
      </c>
      <c r="BP136">
        <v>-34567.416512641001</v>
      </c>
      <c r="BQ136">
        <v>10158.976000000001</v>
      </c>
      <c r="BR136">
        <v>5087599999.9999838</v>
      </c>
      <c r="BS136">
        <v>-3326600000.0000057</v>
      </c>
      <c r="BT136">
        <v>1760999999.9999781</v>
      </c>
      <c r="BU136">
        <v>1760999999.9999781</v>
      </c>
      <c r="BV136">
        <v>1761000000</v>
      </c>
      <c r="BW136">
        <v>1760999999.9999781</v>
      </c>
      <c r="BX136">
        <v>2.8540000000000001</v>
      </c>
      <c r="BY136" s="32">
        <f>Bankingbook_MSB[[#This Row],[Mat. Date]]-RPT</f>
        <v>1428</v>
      </c>
      <c r="BZ136" s="71">
        <f>IF(Bankingbook_MSB[[#This Row],[Days]]&lt;=0,0,YEARFRAC(RPT,Bankingbook_MSB[[#This Row],[Mat. Date]],3))</f>
        <v>3.9123287671232876</v>
      </c>
      <c r="CA136" s="71" t="str">
        <f>IF(Bankingbook_MSB[[#This Row],[Days (year)]]=0,0,INDEX(Ref!$K$2:$K$13,MATCH(Bankingbook_MSB[[#This Row],[Days (year)]],Ref!$I$2:$I$13,1)))</f>
        <v>4Y</v>
      </c>
      <c r="CB136" s="32" t="str">
        <f>VLOOKUP(Bankingbook_MSB[[#This Row],[Security Name]],Ref!X:Z,3,0)</f>
        <v>TPCP</v>
      </c>
      <c r="CC136" s="32" t="str">
        <f>VLOOKUP(Bankingbook_MSB[[#This Row],[Security Name]],Ref!X:Y,2,0)</f>
        <v>KBNN</v>
      </c>
      <c r="CD136" s="72">
        <f>IF((Bankingbook_MSB[[#This Row],[Mat. Date]]-RPT)&lt;=0,0,Bankingbook_MSB[[#This Row],[QUANTITY]])</f>
        <v>1000000</v>
      </c>
      <c r="CE136" s="71">
        <f>IF(Bankingbook_MSB[[#This Row],[Quantity_edited]]=0,0,Bankingbook_MSB[[#This Row],[DURATION]])</f>
        <v>3.7504383699999999</v>
      </c>
      <c r="CF136" s="71">
        <f>IF(Bankingbook_MSB[[#This Row],[Quantity_edited]]=0,0,Bankingbook_MSB[[#This Row],[Mod Dur]])</f>
        <v>3.6080638490951</v>
      </c>
      <c r="CG136" s="71">
        <f>IF(Bankingbook_MSB[[#This Row],[Quantity_edited]]=0,0,Bankingbook_MSB[[#This Row],[Cnvx.]])</f>
        <v>16.812606690156599</v>
      </c>
      <c r="CH136" s="71">
        <f>(Bankingbook_MSB[[#This Row],[MARKET_VALUE]]+Bankingbook_MSB[[#This Row],[Accr Int]]*Bankingbook_MSB[[#This Row],[Quantity_edited]])*(-Bankingbook_MSB[[#This Row],[Modified Duration]]*0.0001+0.5*Bankingbook_MSB[[#This Row],[Conv]]*(0.0001^2))</f>
        <v>-34559362.769657731</v>
      </c>
      <c r="CI136" s="71">
        <f>(Bankingbook_MSB[[#This Row],[MARKET_VALUE]]+Bankingbook_MSB[[#This Row],[Accr Int]]*Bankingbook_MSB[[#This Row],[Quantity_edited]])*(-Bankingbook_MSB[[#This Row],[Modified Duration]]*0.01+0.5*Bankingbook_MSB[[#This Row],[Conv]]*(0.01^2))</f>
        <v>-3376204221.4361939</v>
      </c>
      <c r="CL136" t="s">
        <v>166</v>
      </c>
      <c r="CM136" t="s">
        <v>167</v>
      </c>
      <c r="CN136" t="s">
        <v>313</v>
      </c>
      <c r="CO136" t="s">
        <v>169</v>
      </c>
      <c r="CP136" s="35">
        <v>42706</v>
      </c>
      <c r="CQ136" t="s">
        <v>3322</v>
      </c>
      <c r="CR136" t="s">
        <v>174</v>
      </c>
      <c r="CS136" t="s">
        <v>174</v>
      </c>
      <c r="CT136" s="49">
        <v>0</v>
      </c>
      <c r="CU136">
        <v>0</v>
      </c>
      <c r="CV136">
        <v>0</v>
      </c>
      <c r="CW136" s="70">
        <v>0</v>
      </c>
      <c r="CX136">
        <v>12.25</v>
      </c>
      <c r="CY136">
        <v>0</v>
      </c>
      <c r="CZ136">
        <v>73500000000</v>
      </c>
      <c r="DA136">
        <v>82478525208.33316</v>
      </c>
      <c r="DB136">
        <v>-38532428571.388306</v>
      </c>
      <c r="DC136">
        <v>12.25</v>
      </c>
      <c r="DD136">
        <v>0</v>
      </c>
      <c r="DE136">
        <v>0</v>
      </c>
      <c r="DF136">
        <v>0</v>
      </c>
      <c r="DG136">
        <v>0</v>
      </c>
      <c r="DH136">
        <v>0</v>
      </c>
      <c r="DI136">
        <v>0</v>
      </c>
      <c r="DJ136" s="500">
        <v>62647000000</v>
      </c>
      <c r="DK136" s="500">
        <v>0</v>
      </c>
      <c r="DL136" s="37">
        <v>62647000000</v>
      </c>
      <c r="DM136" s="37">
        <v>62647000000</v>
      </c>
      <c r="DN136" s="37">
        <v>62647000000</v>
      </c>
      <c r="DO136" s="37">
        <v>62647000000</v>
      </c>
      <c r="DP136" s="32">
        <f>Tradingbook_SBV[[#This Row],[Mat. Date]]-RPT</f>
        <v>-3546</v>
      </c>
      <c r="DQ136" s="32">
        <f>IF(Tradingbook_SBV[[#This Row],[Days]]&lt;=0,0,YEARFRAC(RPT,Tradingbook_SBV[[#This Row],[Mat. Date]],3))</f>
        <v>0</v>
      </c>
      <c r="DR136" s="32">
        <f>IF(Tradingbook_SBV[[#This Row],[Days (year)]]=0,0,INDEX(Ref!$K$2:$K$13,MATCH(Tradingbook_SBV[[#This Row],[Days (year)]],Ref!$I$2:$I$13,1)))</f>
        <v>0</v>
      </c>
      <c r="DS136" s="32" t="str">
        <f>VLOOKUP(Tradingbook_SBV[[#This Row],[Security Name]],Ref!X:Z,3,0)</f>
        <v>TPCPBL</v>
      </c>
      <c r="DT136" s="32" t="str">
        <f>VLOOKUP(Tradingbook_SBV[[#This Row],[Security Name]],Ref!X:Y,2,0)</f>
        <v>VDB</v>
      </c>
      <c r="DU136" s="71">
        <f>IF((Tradingbook_SBV[[#This Row],[Mat. Date]]-RPT)&lt;=0,0,Tradingbook_SBV[[#This Row],[QUANTITY]])</f>
        <v>0</v>
      </c>
      <c r="DV136" s="71">
        <f>IF(Tradingbook_SBV[[#This Row],[Quantity_edited]]=0,0,Tradingbook_SBV[[#This Row],[DURATION]])</f>
        <v>0</v>
      </c>
      <c r="DW136" s="71">
        <f>IF(Tradingbook_SBV[[#This Row],[Quantity_edited]]=0,0,Tradingbook_SBV[[#This Row],[Mod Dur]])</f>
        <v>0</v>
      </c>
      <c r="DX136" s="71">
        <f>IF(Tradingbook_SBV[[#This Row],[Quantity_edited]]=0,0,Tradingbook_SBV[[#This Row],[Cnvx.]])</f>
        <v>0</v>
      </c>
      <c r="DY136" s="71">
        <f>(Tradingbook_SBV[[#This Row],[MARKET_VALUE]]+Tradingbook_SBV[[#This Row],[Accr Int]]*Tradingbook_SBV[[#This Row],[Quantity_edited]])*(-Tradingbook_SBV[[#This Row],[Modified Duration]]*0.0001+0.5*Tradingbook_SBV[[#This Row],[Conv]]*(0.0001^2))</f>
        <v>0</v>
      </c>
      <c r="DZ136" s="71">
        <f>(Tradingbook_SBV[[#This Row],[MARKET_VALUE]]+Tradingbook_SBV[[#This Row],[Accr Int]]*Tradingbook_SBV[[#This Row],[Quantity_edited]])*(-Tradingbook_SBV[[#This Row],[Modified Duration]]*0.01+0.5*Tradingbook_SBV[[#This Row],[Conv]]*(0.01^2))</f>
        <v>0</v>
      </c>
      <c r="EC136" t="s">
        <v>166</v>
      </c>
      <c r="ED136" t="s">
        <v>167</v>
      </c>
      <c r="EE136" t="s">
        <v>535</v>
      </c>
      <c r="EF136" t="s">
        <v>169</v>
      </c>
      <c r="EG136" s="35" t="s">
        <v>3401</v>
      </c>
      <c r="EH136" t="s">
        <v>3322</v>
      </c>
      <c r="EK136" s="500">
        <v>0</v>
      </c>
      <c r="EL136" s="500">
        <v>0</v>
      </c>
      <c r="EM136" s="500">
        <v>0</v>
      </c>
      <c r="EN136" s="500">
        <v>0</v>
      </c>
      <c r="EO136">
        <v>5.0999999999999996</v>
      </c>
      <c r="EP136">
        <v>0</v>
      </c>
      <c r="EQ136">
        <v>28050000000</v>
      </c>
      <c r="ER136">
        <v>31210523479.166672</v>
      </c>
      <c r="ES136">
        <v>-12087972843.402914</v>
      </c>
      <c r="ET136">
        <v>5.0999999999999996</v>
      </c>
      <c r="EU136">
        <v>0</v>
      </c>
      <c r="EV136">
        <v>0</v>
      </c>
      <c r="EW136">
        <v>0</v>
      </c>
      <c r="EX136">
        <v>0</v>
      </c>
      <c r="EY136">
        <v>0</v>
      </c>
      <c r="EZ136">
        <v>0</v>
      </c>
      <c r="FA136">
        <v>27183000000</v>
      </c>
      <c r="FB136">
        <v>0</v>
      </c>
      <c r="FC136">
        <v>27183000000</v>
      </c>
      <c r="FD136">
        <v>27183000000</v>
      </c>
      <c r="FE136">
        <v>27183000000</v>
      </c>
      <c r="FF136">
        <v>27183000000</v>
      </c>
      <c r="FG136" s="32">
        <f>Bankingbook_SBV[[#This Row],[Mat. Date]]-RPT</f>
        <v>-773</v>
      </c>
      <c r="FH136" s="32">
        <f>IF(Bankingbook_SBV[[#This Row],[Days]]&lt;=0,0,YEARFRAC(RPT,Bankingbook_SBV[[#This Row],[Mat. Date]],3))</f>
        <v>0</v>
      </c>
      <c r="FI136" s="32">
        <f>IF(Bankingbook_SBV[[#This Row],[Days (year)]]=0,0,INDEX(Ref!$K$2:$K$13,MATCH(Bankingbook_SBV[[#This Row],[Days (year)]],Ref!$I$2:$I$13,1)))</f>
        <v>0</v>
      </c>
      <c r="FJ136" s="32" t="str">
        <f>VLOOKUP(Bankingbook_SBV[[#This Row],[Security Name]],Ref!X:Z,3,0)</f>
        <v>TPCP</v>
      </c>
      <c r="FK136" s="32" t="str">
        <f>VLOOKUP(Bankingbook_SBV[[#This Row],[Security Name]],Ref!X:Y,2,0)</f>
        <v>KBNN</v>
      </c>
      <c r="FL136" s="72">
        <f>IF((Bankingbook_SBV[[#This Row],[Mat. Date]]-RPT)&lt;=0,0,Bankingbook_SBV[[#This Row],[QUANTITY]])</f>
        <v>0</v>
      </c>
      <c r="FM136" s="32">
        <f>IF(Bankingbook_SBV[[#This Row],[Quantity_edited]]=0,0,Bankingbook_SBV[[#This Row],[DURATION]])</f>
        <v>0</v>
      </c>
      <c r="FN136" s="32">
        <f>IF(Bankingbook_SBV[[#This Row],[Quantity_edited]]=0,0,Bankingbook_SBV[[#This Row],[Mod Dur]])</f>
        <v>0</v>
      </c>
      <c r="FO136" s="32">
        <f>IF(Bankingbook_SBV[[#This Row],[Quantity_edited]]=0,0,Bankingbook_SBV[[#This Row],[Cnvx.]])</f>
        <v>0</v>
      </c>
      <c r="FP136" s="32">
        <f>(Bankingbook_SBV[[#This Row],[MARKET_VALUE]]+Bankingbook_SBV[[#This Row],[Accr Int]]*Bankingbook_SBV[[#This Row],[Quantity_edited]])*(-Bankingbook_SBV[[#This Row],[Modified Duration]]*0.0001+0.5*Bankingbook_SBV[[#This Row],[Conv]]*(0.0001^2))</f>
        <v>0</v>
      </c>
      <c r="FQ136" s="32">
        <f>(Bankingbook_SBV[[#This Row],[MARKET_VALUE]]+Bankingbook_SBV[[#This Row],[Accr Int]]*Bankingbook_SBV[[#This Row],[Quantity_edited]])*(-Bankingbook_SBV[[#This Row],[Modified Duration]]*0.01+0.5*Bankingbook_SBV[[#This Row],[Conv]]*(0.01^2))</f>
        <v>0</v>
      </c>
    </row>
    <row r="137" spans="2:173" x14ac:dyDescent="0.3">
      <c r="B137" t="s">
        <v>166</v>
      </c>
      <c r="C137" t="s">
        <v>167</v>
      </c>
      <c r="D137" t="s">
        <v>314</v>
      </c>
      <c r="E137" t="s">
        <v>169</v>
      </c>
      <c r="F137" s="502">
        <v>42749</v>
      </c>
      <c r="G137" t="s">
        <v>3322</v>
      </c>
      <c r="H137"/>
      <c r="I137"/>
      <c r="J137" s="38">
        <v>0</v>
      </c>
      <c r="K137">
        <v>0</v>
      </c>
      <c r="L137">
        <v>0</v>
      </c>
      <c r="M137" s="38">
        <v>0</v>
      </c>
      <c r="N137">
        <v>8.3000000000000007</v>
      </c>
      <c r="O137">
        <v>0</v>
      </c>
      <c r="P137" s="37">
        <v>17983327800</v>
      </c>
      <c r="Q137" s="37">
        <v>19115975231.58559</v>
      </c>
      <c r="R137" s="37">
        <v>-9538688512.2191505</v>
      </c>
      <c r="S137">
        <v>8.3000000000000007</v>
      </c>
      <c r="T137" s="70">
        <v>0</v>
      </c>
      <c r="U137">
        <v>0</v>
      </c>
      <c r="V137">
        <v>0</v>
      </c>
      <c r="W137">
        <v>0</v>
      </c>
      <c r="X137" s="38">
        <v>0</v>
      </c>
      <c r="Y137">
        <v>0</v>
      </c>
      <c r="Z137" s="70">
        <v>8164330780</v>
      </c>
      <c r="AA137" s="70">
        <v>0</v>
      </c>
      <c r="AB137" s="70">
        <v>8164330780</v>
      </c>
      <c r="AC137" s="70">
        <v>8164330780</v>
      </c>
      <c r="AD137" s="70">
        <v>8164330780</v>
      </c>
      <c r="AE137" s="70">
        <v>8164330780</v>
      </c>
      <c r="AF137">
        <v>0</v>
      </c>
      <c r="AG137" s="72">
        <f>Tradingbook_MSB[[#This Row],[Mat. Date]]-RPT</f>
        <v>-3503</v>
      </c>
      <c r="AH137" s="71">
        <f>IF(Tradingbook_MSB[[#This Row],[Days]]&lt;=0,0,YEARFRAC(RPT,Tradingbook_MSB[[#This Row],[Mat. Date]],3))</f>
        <v>0</v>
      </c>
      <c r="AI137" s="71">
        <f>IF(Tradingbook_MSB[[#This Row],[Days (year)]]=0,0,INDEX(Ref!$K$2:$K$13,MATCH(Tradingbook_MSB[[#This Row],[Days (year)]],Ref!$I$2:$I$13,1)))</f>
        <v>0</v>
      </c>
      <c r="AJ137" s="120" t="str">
        <f>VLOOKUP(Tradingbook_MSB[[#This Row],[Security Name]],Ref!X:Z,3,0)</f>
        <v>TPCPBL</v>
      </c>
      <c r="AK137" s="120" t="str">
        <f>VLOOKUP(Tradingbook_MSB[[#This Row],[Security Name]],Ref!X:Y,2,0)</f>
        <v>VDB</v>
      </c>
      <c r="AL137" s="71">
        <f>IF((Tradingbook_MSB[[#This Row],[Mat. Date]]-RPT)&lt;=0,0,Tradingbook_MSB[[#This Row],[QUANTITY]])</f>
        <v>0</v>
      </c>
      <c r="AM137" s="71">
        <f>IF(Tradingbook_MSB[[#This Row],[Quantity_edited]]=0,0,Tradingbook_MSB[[#This Row],[DURATION]])</f>
        <v>0</v>
      </c>
      <c r="AN137" s="71">
        <f>IF(Tradingbook_MSB[[#This Row],[Quantity_edited]]=0,0,Tradingbook_MSB[[#This Row],[Mod Dur]])</f>
        <v>0</v>
      </c>
      <c r="AO137" s="71">
        <f>IF(Tradingbook_MSB[[#This Row],[Quantity_edited]]=0,0,Tradingbook_MSB[[#This Row],[Cnvx.]])</f>
        <v>0</v>
      </c>
      <c r="AP137" s="71">
        <f>(Tradingbook_MSB[[#This Row],[MARKET_VALUE]]+Tradingbook_MSB[[#This Row],[Accr Int]]*Tradingbook_MSB[[#This Row],[Quantity_edited]])*(-Tradingbook_MSB[[#This Row],[Modified Duration]]*0.0001+0.5*Tradingbook_MSB[[#This Row],[Conv]]*(0.0001^2))</f>
        <v>0</v>
      </c>
      <c r="AQ137" s="72">
        <f>(Tradingbook_MSB[[#This Row],[MARKET_VALUE]]+Tradingbook_MSB[[#This Row],[Accr Int]]*Tradingbook_MSB[[#This Row],[Quantity_edited]])*(-Tradingbook_MSB[[#This Row],[Modified Duration]]*0.01+0.5*Tradingbook_MSB[[#This Row],[Conv]]*(0.01^2))</f>
        <v>0</v>
      </c>
      <c r="AR137" s="71"/>
      <c r="AT137" t="s">
        <v>166</v>
      </c>
      <c r="AU137" t="s">
        <v>3300</v>
      </c>
      <c r="AV137" t="s">
        <v>628</v>
      </c>
      <c r="AW137" t="s">
        <v>169</v>
      </c>
      <c r="AX137" t="s">
        <v>3429</v>
      </c>
      <c r="AY137" t="s">
        <v>3322</v>
      </c>
      <c r="AZ137">
        <v>96066</v>
      </c>
      <c r="BA137">
        <v>96066</v>
      </c>
      <c r="BB137">
        <v>0</v>
      </c>
      <c r="BC137">
        <v>0</v>
      </c>
      <c r="BD137">
        <v>0</v>
      </c>
      <c r="BE137">
        <v>0</v>
      </c>
      <c r="BF137">
        <v>2.9</v>
      </c>
      <c r="BG137">
        <v>2828</v>
      </c>
      <c r="BH137">
        <v>26100000000</v>
      </c>
      <c r="BI137">
        <v>28857219506.944458</v>
      </c>
      <c r="BJ137">
        <v>-21187743999.305328</v>
      </c>
      <c r="BK137">
        <v>3.976814048</v>
      </c>
      <c r="BL137">
        <v>3.5995413347162</v>
      </c>
      <c r="BM137">
        <v>3.7426884</v>
      </c>
      <c r="BN137">
        <v>17.1375138549027</v>
      </c>
      <c r="BO137">
        <v>0</v>
      </c>
      <c r="BP137">
        <v>0</v>
      </c>
      <c r="BQ137">
        <v>0</v>
      </c>
      <c r="BR137">
        <v>40773500000</v>
      </c>
      <c r="BS137">
        <v>0</v>
      </c>
      <c r="BT137">
        <v>40773500000</v>
      </c>
      <c r="BU137">
        <v>40773500000</v>
      </c>
      <c r="BV137">
        <v>40773500000</v>
      </c>
      <c r="BW137">
        <v>40773500000</v>
      </c>
      <c r="BX137">
        <v>0</v>
      </c>
      <c r="BY137" s="32">
        <f>Bankingbook_MSB[[#This Row],[Mat. Date]]-RPT</f>
        <v>1470</v>
      </c>
      <c r="BZ137" s="71">
        <f>IF(Bankingbook_MSB[[#This Row],[Days]]&lt;=0,0,YEARFRAC(RPT,Bankingbook_MSB[[#This Row],[Mat. Date]],3))</f>
        <v>4.0273972602739727</v>
      </c>
      <c r="CA137" s="71" t="str">
        <f>IF(Bankingbook_MSB[[#This Row],[Days (year)]]=0,0,INDEX(Ref!$K$2:$K$13,MATCH(Bankingbook_MSB[[#This Row],[Days (year)]],Ref!$I$2:$I$13,1)))</f>
        <v>4Y</v>
      </c>
      <c r="CB137" s="32" t="str">
        <f>VLOOKUP(Bankingbook_MSB[[#This Row],[Security Name]],Ref!X:Z,3,0)</f>
        <v>TPCP</v>
      </c>
      <c r="CC137" s="32" t="str">
        <f>VLOOKUP(Bankingbook_MSB[[#This Row],[Security Name]],Ref!X:Y,2,0)</f>
        <v>KBNN</v>
      </c>
      <c r="CD137" s="72">
        <f>IF((Bankingbook_MSB[[#This Row],[Mat. Date]]-RPT)&lt;=0,0,Bankingbook_MSB[[#This Row],[QUANTITY]])</f>
        <v>0</v>
      </c>
      <c r="CE137" s="71">
        <f>IF(Bankingbook_MSB[[#This Row],[Quantity_edited]]=0,0,Bankingbook_MSB[[#This Row],[DURATION]])</f>
        <v>0</v>
      </c>
      <c r="CF137" s="71">
        <f>IF(Bankingbook_MSB[[#This Row],[Quantity_edited]]=0,0,Bankingbook_MSB[[#This Row],[Mod Dur]])</f>
        <v>0</v>
      </c>
      <c r="CG137" s="71">
        <f>IF(Bankingbook_MSB[[#This Row],[Quantity_edited]]=0,0,Bankingbook_MSB[[#This Row],[Cnvx.]])</f>
        <v>0</v>
      </c>
      <c r="CH137" s="71">
        <f>(Bankingbook_MSB[[#This Row],[MARKET_VALUE]]+Bankingbook_MSB[[#This Row],[Accr Int]]*Bankingbook_MSB[[#This Row],[Quantity_edited]])*(-Bankingbook_MSB[[#This Row],[Modified Duration]]*0.0001+0.5*Bankingbook_MSB[[#This Row],[Conv]]*(0.0001^2))</f>
        <v>0</v>
      </c>
      <c r="CI137" s="71">
        <f>(Bankingbook_MSB[[#This Row],[MARKET_VALUE]]+Bankingbook_MSB[[#This Row],[Accr Int]]*Bankingbook_MSB[[#This Row],[Quantity_edited]])*(-Bankingbook_MSB[[#This Row],[Modified Duration]]*0.01+0.5*Bankingbook_MSB[[#This Row],[Conv]]*(0.01^2))</f>
        <v>0</v>
      </c>
      <c r="CL137" t="s">
        <v>166</v>
      </c>
      <c r="CM137" t="s">
        <v>167</v>
      </c>
      <c r="CN137" t="s">
        <v>314</v>
      </c>
      <c r="CO137" t="s">
        <v>169</v>
      </c>
      <c r="CP137" s="35">
        <v>42749</v>
      </c>
      <c r="CQ137" t="s">
        <v>3322</v>
      </c>
      <c r="CR137" t="s">
        <v>174</v>
      </c>
      <c r="CS137" t="s">
        <v>174</v>
      </c>
      <c r="CT137" s="49">
        <v>0</v>
      </c>
      <c r="CU137">
        <v>0</v>
      </c>
      <c r="CV137">
        <v>0</v>
      </c>
      <c r="CW137" s="70">
        <v>0</v>
      </c>
      <c r="CX137">
        <v>8.3000000000000007</v>
      </c>
      <c r="CY137">
        <v>0</v>
      </c>
      <c r="CZ137">
        <v>17983327800</v>
      </c>
      <c r="DA137">
        <v>19115975231.58559</v>
      </c>
      <c r="DB137">
        <v>-9538688512.2191505</v>
      </c>
      <c r="DC137">
        <v>8.3000000000000007</v>
      </c>
      <c r="DD137">
        <v>0</v>
      </c>
      <c r="DE137">
        <v>0</v>
      </c>
      <c r="DF137">
        <v>0</v>
      </c>
      <c r="DG137">
        <v>0</v>
      </c>
      <c r="DH137">
        <v>0</v>
      </c>
      <c r="DI137">
        <v>0</v>
      </c>
      <c r="DJ137" s="500">
        <v>8164330780</v>
      </c>
      <c r="DK137" s="500">
        <v>0</v>
      </c>
      <c r="DL137" s="37">
        <v>8164330780</v>
      </c>
      <c r="DM137" s="37">
        <v>8164330780</v>
      </c>
      <c r="DN137" s="37">
        <v>8164330780</v>
      </c>
      <c r="DO137" s="37">
        <v>8164330780</v>
      </c>
      <c r="DP137" s="32">
        <f>Tradingbook_SBV[[#This Row],[Mat. Date]]-RPT</f>
        <v>-3503</v>
      </c>
      <c r="DQ137" s="32">
        <f>IF(Tradingbook_SBV[[#This Row],[Days]]&lt;=0,0,YEARFRAC(RPT,Tradingbook_SBV[[#This Row],[Mat. Date]],3))</f>
        <v>0</v>
      </c>
      <c r="DR137" s="32">
        <f>IF(Tradingbook_SBV[[#This Row],[Days (year)]]=0,0,INDEX(Ref!$K$2:$K$13,MATCH(Tradingbook_SBV[[#This Row],[Days (year)]],Ref!$I$2:$I$13,1)))</f>
        <v>0</v>
      </c>
      <c r="DS137" s="32" t="str">
        <f>VLOOKUP(Tradingbook_SBV[[#This Row],[Security Name]],Ref!X:Z,3,0)</f>
        <v>TPCPBL</v>
      </c>
      <c r="DT137" s="32" t="str">
        <f>VLOOKUP(Tradingbook_SBV[[#This Row],[Security Name]],Ref!X:Y,2,0)</f>
        <v>VDB</v>
      </c>
      <c r="DU137" s="71">
        <f>IF((Tradingbook_SBV[[#This Row],[Mat. Date]]-RPT)&lt;=0,0,Tradingbook_SBV[[#This Row],[QUANTITY]])</f>
        <v>0</v>
      </c>
      <c r="DV137" s="71">
        <f>IF(Tradingbook_SBV[[#This Row],[Quantity_edited]]=0,0,Tradingbook_SBV[[#This Row],[DURATION]])</f>
        <v>0</v>
      </c>
      <c r="DW137" s="71">
        <f>IF(Tradingbook_SBV[[#This Row],[Quantity_edited]]=0,0,Tradingbook_SBV[[#This Row],[Mod Dur]])</f>
        <v>0</v>
      </c>
      <c r="DX137" s="71">
        <f>IF(Tradingbook_SBV[[#This Row],[Quantity_edited]]=0,0,Tradingbook_SBV[[#This Row],[Cnvx.]])</f>
        <v>0</v>
      </c>
      <c r="DY137" s="71">
        <f>(Tradingbook_SBV[[#This Row],[MARKET_VALUE]]+Tradingbook_SBV[[#This Row],[Accr Int]]*Tradingbook_SBV[[#This Row],[Quantity_edited]])*(-Tradingbook_SBV[[#This Row],[Modified Duration]]*0.0001+0.5*Tradingbook_SBV[[#This Row],[Conv]]*(0.0001^2))</f>
        <v>0</v>
      </c>
      <c r="DZ137" s="71">
        <f>(Tradingbook_SBV[[#This Row],[MARKET_VALUE]]+Tradingbook_SBV[[#This Row],[Accr Int]]*Tradingbook_SBV[[#This Row],[Quantity_edited]])*(-Tradingbook_SBV[[#This Row],[Modified Duration]]*0.01+0.5*Tradingbook_SBV[[#This Row],[Conv]]*(0.01^2))</f>
        <v>0</v>
      </c>
      <c r="EC137" t="s">
        <v>166</v>
      </c>
      <c r="ED137" t="s">
        <v>167</v>
      </c>
      <c r="EE137" t="s">
        <v>536</v>
      </c>
      <c r="EF137" t="s">
        <v>169</v>
      </c>
      <c r="EG137" s="35" t="s">
        <v>3402</v>
      </c>
      <c r="EH137" t="s">
        <v>3322</v>
      </c>
      <c r="EK137" s="500">
        <v>0</v>
      </c>
      <c r="EL137" s="500">
        <v>0</v>
      </c>
      <c r="EM137" s="500">
        <v>0</v>
      </c>
      <c r="EN137" s="500">
        <v>0</v>
      </c>
      <c r="EO137">
        <v>7.8</v>
      </c>
      <c r="EP137">
        <v>0</v>
      </c>
      <c r="EQ137">
        <v>35100000000</v>
      </c>
      <c r="ER137">
        <v>39374821958.333069</v>
      </c>
      <c r="ES137">
        <v>-13679794821.319084</v>
      </c>
      <c r="ET137">
        <v>7.8</v>
      </c>
      <c r="EU137">
        <v>0</v>
      </c>
      <c r="EV137">
        <v>0</v>
      </c>
      <c r="EW137">
        <v>0</v>
      </c>
      <c r="EX137">
        <v>0</v>
      </c>
      <c r="EY137">
        <v>0</v>
      </c>
      <c r="EZ137">
        <v>0</v>
      </c>
      <c r="FA137">
        <v>-6730000000</v>
      </c>
      <c r="FB137">
        <v>0</v>
      </c>
      <c r="FC137">
        <v>-6730000000</v>
      </c>
      <c r="FD137">
        <v>-6730000000</v>
      </c>
      <c r="FE137">
        <v>-6730000000</v>
      </c>
      <c r="FF137">
        <v>-6730000000</v>
      </c>
      <c r="FG137" s="32">
        <f>Bankingbook_SBV[[#This Row],[Mat. Date]]-RPT</f>
        <v>-717</v>
      </c>
      <c r="FH137" s="32">
        <f>IF(Bankingbook_SBV[[#This Row],[Days]]&lt;=0,0,YEARFRAC(RPT,Bankingbook_SBV[[#This Row],[Mat. Date]],3))</f>
        <v>0</v>
      </c>
      <c r="FI137" s="32">
        <f>IF(Bankingbook_SBV[[#This Row],[Days (year)]]=0,0,INDEX(Ref!$K$2:$K$13,MATCH(Bankingbook_SBV[[#This Row],[Days (year)]],Ref!$I$2:$I$13,1)))</f>
        <v>0</v>
      </c>
      <c r="FJ137" s="32" t="str">
        <f>VLOOKUP(Bankingbook_SBV[[#This Row],[Security Name]],Ref!X:Z,3,0)</f>
        <v>TPCP</v>
      </c>
      <c r="FK137" s="32" t="str">
        <f>VLOOKUP(Bankingbook_SBV[[#This Row],[Security Name]],Ref!X:Y,2,0)</f>
        <v>KBNN</v>
      </c>
      <c r="FL137" s="72">
        <f>IF((Bankingbook_SBV[[#This Row],[Mat. Date]]-RPT)&lt;=0,0,Bankingbook_SBV[[#This Row],[QUANTITY]])</f>
        <v>0</v>
      </c>
      <c r="FM137" s="32">
        <f>IF(Bankingbook_SBV[[#This Row],[Quantity_edited]]=0,0,Bankingbook_SBV[[#This Row],[DURATION]])</f>
        <v>0</v>
      </c>
      <c r="FN137" s="32">
        <f>IF(Bankingbook_SBV[[#This Row],[Quantity_edited]]=0,0,Bankingbook_SBV[[#This Row],[Mod Dur]])</f>
        <v>0</v>
      </c>
      <c r="FO137" s="32">
        <f>IF(Bankingbook_SBV[[#This Row],[Quantity_edited]]=0,0,Bankingbook_SBV[[#This Row],[Cnvx.]])</f>
        <v>0</v>
      </c>
      <c r="FP137" s="32">
        <f>(Bankingbook_SBV[[#This Row],[MARKET_VALUE]]+Bankingbook_SBV[[#This Row],[Accr Int]]*Bankingbook_SBV[[#This Row],[Quantity_edited]])*(-Bankingbook_SBV[[#This Row],[Modified Duration]]*0.0001+0.5*Bankingbook_SBV[[#This Row],[Conv]]*(0.0001^2))</f>
        <v>0</v>
      </c>
      <c r="FQ137" s="32">
        <f>(Bankingbook_SBV[[#This Row],[MARKET_VALUE]]+Bankingbook_SBV[[#This Row],[Accr Int]]*Bankingbook_SBV[[#This Row],[Quantity_edited]])*(-Bankingbook_SBV[[#This Row],[Modified Duration]]*0.01+0.5*Bankingbook_SBV[[#This Row],[Conv]]*(0.01^2))</f>
        <v>0</v>
      </c>
    </row>
    <row r="138" spans="2:173" x14ac:dyDescent="0.3">
      <c r="B138" t="s">
        <v>166</v>
      </c>
      <c r="C138" t="s">
        <v>167</v>
      </c>
      <c r="D138" t="s">
        <v>315</v>
      </c>
      <c r="E138" t="s">
        <v>169</v>
      </c>
      <c r="F138" s="502">
        <v>42750</v>
      </c>
      <c r="G138" t="s">
        <v>3322</v>
      </c>
      <c r="H138"/>
      <c r="I138"/>
      <c r="J138" s="38">
        <v>0</v>
      </c>
      <c r="K138">
        <v>0</v>
      </c>
      <c r="L138">
        <v>0</v>
      </c>
      <c r="M138" s="38">
        <v>0</v>
      </c>
      <c r="N138">
        <v>7.2</v>
      </c>
      <c r="O138">
        <v>0</v>
      </c>
      <c r="P138" s="37">
        <v>32400000000</v>
      </c>
      <c r="Q138" s="37">
        <v>34441690500</v>
      </c>
      <c r="R138" s="37">
        <v>-9434560922.7360802</v>
      </c>
      <c r="S138">
        <v>7.2</v>
      </c>
      <c r="T138" s="70">
        <v>0</v>
      </c>
      <c r="U138">
        <v>0</v>
      </c>
      <c r="V138">
        <v>0</v>
      </c>
      <c r="W138">
        <v>0</v>
      </c>
      <c r="X138" s="38">
        <v>0</v>
      </c>
      <c r="Y138">
        <v>0</v>
      </c>
      <c r="Z138" s="70">
        <v>17305800000</v>
      </c>
      <c r="AA138" s="70">
        <v>0</v>
      </c>
      <c r="AB138" s="70">
        <v>17305800000</v>
      </c>
      <c r="AC138" s="70">
        <v>17305800000</v>
      </c>
      <c r="AD138" s="70">
        <v>17305800000</v>
      </c>
      <c r="AE138" s="70">
        <v>17305800000</v>
      </c>
      <c r="AF138">
        <v>0</v>
      </c>
      <c r="AG138" s="72">
        <f>Tradingbook_MSB[[#This Row],[Mat. Date]]-RPT</f>
        <v>-3502</v>
      </c>
      <c r="AH138" s="71">
        <f>IF(Tradingbook_MSB[[#This Row],[Days]]&lt;=0,0,YEARFRAC(RPT,Tradingbook_MSB[[#This Row],[Mat. Date]],3))</f>
        <v>0</v>
      </c>
      <c r="AI138" s="71">
        <f>IF(Tradingbook_MSB[[#This Row],[Days (year)]]=0,0,INDEX(Ref!$K$2:$K$13,MATCH(Tradingbook_MSB[[#This Row],[Days (year)]],Ref!$I$2:$I$13,1)))</f>
        <v>0</v>
      </c>
      <c r="AJ138" s="120" t="str">
        <f>VLOOKUP(Tradingbook_MSB[[#This Row],[Security Name]],Ref!X:Z,3,0)</f>
        <v>TPCP</v>
      </c>
      <c r="AK138" s="120" t="str">
        <f>VLOOKUP(Tradingbook_MSB[[#This Row],[Security Name]],Ref!X:Y,2,0)</f>
        <v>KBNN</v>
      </c>
      <c r="AL138" s="71">
        <f>IF((Tradingbook_MSB[[#This Row],[Mat. Date]]-RPT)&lt;=0,0,Tradingbook_MSB[[#This Row],[QUANTITY]])</f>
        <v>0</v>
      </c>
      <c r="AM138" s="71">
        <f>IF(Tradingbook_MSB[[#This Row],[Quantity_edited]]=0,0,Tradingbook_MSB[[#This Row],[DURATION]])</f>
        <v>0</v>
      </c>
      <c r="AN138" s="71">
        <f>IF(Tradingbook_MSB[[#This Row],[Quantity_edited]]=0,0,Tradingbook_MSB[[#This Row],[Mod Dur]])</f>
        <v>0</v>
      </c>
      <c r="AO138" s="71">
        <f>IF(Tradingbook_MSB[[#This Row],[Quantity_edited]]=0,0,Tradingbook_MSB[[#This Row],[Cnvx.]])</f>
        <v>0</v>
      </c>
      <c r="AP138" s="71">
        <f>(Tradingbook_MSB[[#This Row],[MARKET_VALUE]]+Tradingbook_MSB[[#This Row],[Accr Int]]*Tradingbook_MSB[[#This Row],[Quantity_edited]])*(-Tradingbook_MSB[[#This Row],[Modified Duration]]*0.0001+0.5*Tradingbook_MSB[[#This Row],[Conv]]*(0.0001^2))</f>
        <v>0</v>
      </c>
      <c r="AQ138" s="72">
        <f>(Tradingbook_MSB[[#This Row],[MARKET_VALUE]]+Tradingbook_MSB[[#This Row],[Accr Int]]*Tradingbook_MSB[[#This Row],[Quantity_edited]])*(-Tradingbook_MSB[[#This Row],[Modified Duration]]*0.01+0.5*Tradingbook_MSB[[#This Row],[Conv]]*(0.01^2))</f>
        <v>0</v>
      </c>
      <c r="AR138" s="71"/>
      <c r="AT138" t="s">
        <v>166</v>
      </c>
      <c r="AU138" t="s">
        <v>3300</v>
      </c>
      <c r="AV138" t="s">
        <v>629</v>
      </c>
      <c r="AW138" t="s">
        <v>169</v>
      </c>
      <c r="AX138" t="s">
        <v>3430</v>
      </c>
      <c r="AY138" t="s">
        <v>3322</v>
      </c>
      <c r="AZ138">
        <v>96029</v>
      </c>
      <c r="BA138">
        <v>96029</v>
      </c>
      <c r="BB138">
        <v>0</v>
      </c>
      <c r="BC138">
        <v>0</v>
      </c>
      <c r="BD138">
        <v>0</v>
      </c>
      <c r="BE138">
        <v>0</v>
      </c>
      <c r="BF138">
        <v>2.9</v>
      </c>
      <c r="BG138">
        <v>2773</v>
      </c>
      <c r="BH138">
        <v>8700000000</v>
      </c>
      <c r="BI138">
        <v>9711878472.222208</v>
      </c>
      <c r="BJ138">
        <v>-6711445497.2915363</v>
      </c>
      <c r="BK138">
        <v>3.9818672839999998</v>
      </c>
      <c r="BL138">
        <v>3.6177737561919998</v>
      </c>
      <c r="BM138">
        <v>3.7618287100000001</v>
      </c>
      <c r="BN138">
        <v>17.286497933175099</v>
      </c>
      <c r="BO138">
        <v>0</v>
      </c>
      <c r="BP138">
        <v>0</v>
      </c>
      <c r="BQ138">
        <v>0</v>
      </c>
      <c r="BR138">
        <v>8851500000</v>
      </c>
      <c r="BS138">
        <v>0</v>
      </c>
      <c r="BT138">
        <v>8851500000</v>
      </c>
      <c r="BU138">
        <v>8851500000</v>
      </c>
      <c r="BV138">
        <v>8851500000</v>
      </c>
      <c r="BW138">
        <v>8851500000</v>
      </c>
      <c r="BX138">
        <v>0</v>
      </c>
      <c r="BY138" s="32">
        <f>Bankingbook_MSB[[#This Row],[Mat. Date]]-RPT</f>
        <v>1477</v>
      </c>
      <c r="BZ138" s="71">
        <f>IF(Bankingbook_MSB[[#This Row],[Days]]&lt;=0,0,YEARFRAC(RPT,Bankingbook_MSB[[#This Row],[Mat. Date]],3))</f>
        <v>4.0465753424657533</v>
      </c>
      <c r="CA138" s="71" t="str">
        <f>IF(Bankingbook_MSB[[#This Row],[Days (year)]]=0,0,INDEX(Ref!$K$2:$K$13,MATCH(Bankingbook_MSB[[#This Row],[Days (year)]],Ref!$I$2:$I$13,1)))</f>
        <v>4Y</v>
      </c>
      <c r="CB138" s="32" t="str">
        <f>VLOOKUP(Bankingbook_MSB[[#This Row],[Security Name]],Ref!X:Z,3,0)</f>
        <v>TPCP</v>
      </c>
      <c r="CC138" s="32" t="str">
        <f>VLOOKUP(Bankingbook_MSB[[#This Row],[Security Name]],Ref!X:Y,2,0)</f>
        <v>KBNN</v>
      </c>
      <c r="CD138" s="72">
        <f>IF((Bankingbook_MSB[[#This Row],[Mat. Date]]-RPT)&lt;=0,0,Bankingbook_MSB[[#This Row],[QUANTITY]])</f>
        <v>0</v>
      </c>
      <c r="CE138" s="71">
        <f>IF(Bankingbook_MSB[[#This Row],[Quantity_edited]]=0,0,Bankingbook_MSB[[#This Row],[DURATION]])</f>
        <v>0</v>
      </c>
      <c r="CF138" s="71">
        <f>IF(Bankingbook_MSB[[#This Row],[Quantity_edited]]=0,0,Bankingbook_MSB[[#This Row],[Mod Dur]])</f>
        <v>0</v>
      </c>
      <c r="CG138" s="71">
        <f>IF(Bankingbook_MSB[[#This Row],[Quantity_edited]]=0,0,Bankingbook_MSB[[#This Row],[Cnvx.]])</f>
        <v>0</v>
      </c>
      <c r="CH138" s="71">
        <f>(Bankingbook_MSB[[#This Row],[MARKET_VALUE]]+Bankingbook_MSB[[#This Row],[Accr Int]]*Bankingbook_MSB[[#This Row],[Quantity_edited]])*(-Bankingbook_MSB[[#This Row],[Modified Duration]]*0.0001+0.5*Bankingbook_MSB[[#This Row],[Conv]]*(0.0001^2))</f>
        <v>0</v>
      </c>
      <c r="CI138" s="71">
        <f>(Bankingbook_MSB[[#This Row],[MARKET_VALUE]]+Bankingbook_MSB[[#This Row],[Accr Int]]*Bankingbook_MSB[[#This Row],[Quantity_edited]])*(-Bankingbook_MSB[[#This Row],[Modified Duration]]*0.01+0.5*Bankingbook_MSB[[#This Row],[Conv]]*(0.01^2))</f>
        <v>0</v>
      </c>
      <c r="CL138" t="s">
        <v>166</v>
      </c>
      <c r="CM138" t="s">
        <v>167</v>
      </c>
      <c r="CN138" t="s">
        <v>315</v>
      </c>
      <c r="CO138" t="s">
        <v>169</v>
      </c>
      <c r="CP138" s="35">
        <v>42750</v>
      </c>
      <c r="CQ138" t="s">
        <v>3322</v>
      </c>
      <c r="CR138" t="s">
        <v>174</v>
      </c>
      <c r="CS138" t="s">
        <v>174</v>
      </c>
      <c r="CT138" s="49">
        <v>0</v>
      </c>
      <c r="CU138">
        <v>0</v>
      </c>
      <c r="CV138">
        <v>0</v>
      </c>
      <c r="CW138" s="70">
        <v>0</v>
      </c>
      <c r="CX138">
        <v>7.2</v>
      </c>
      <c r="CY138">
        <v>0</v>
      </c>
      <c r="CZ138">
        <v>32400000000</v>
      </c>
      <c r="DA138">
        <v>34441690500</v>
      </c>
      <c r="DB138">
        <v>-9434560922.7360802</v>
      </c>
      <c r="DC138">
        <v>7.2</v>
      </c>
      <c r="DD138">
        <v>0</v>
      </c>
      <c r="DE138">
        <v>0</v>
      </c>
      <c r="DF138">
        <v>0</v>
      </c>
      <c r="DG138">
        <v>0</v>
      </c>
      <c r="DH138">
        <v>0</v>
      </c>
      <c r="DI138">
        <v>0</v>
      </c>
      <c r="DJ138" s="500">
        <v>17305800000</v>
      </c>
      <c r="DK138" s="500">
        <v>0</v>
      </c>
      <c r="DL138" s="37">
        <v>17305800000</v>
      </c>
      <c r="DM138" s="37">
        <v>17305800000</v>
      </c>
      <c r="DN138" s="37">
        <v>17305800000</v>
      </c>
      <c r="DO138" s="37">
        <v>17305800000</v>
      </c>
      <c r="DP138" s="32">
        <f>Tradingbook_SBV[[#This Row],[Mat. Date]]-RPT</f>
        <v>-3502</v>
      </c>
      <c r="DQ138" s="32">
        <f>IF(Tradingbook_SBV[[#This Row],[Days]]&lt;=0,0,YEARFRAC(RPT,Tradingbook_SBV[[#This Row],[Mat. Date]],3))</f>
        <v>0</v>
      </c>
      <c r="DR138" s="32">
        <f>IF(Tradingbook_SBV[[#This Row],[Days (year)]]=0,0,INDEX(Ref!$K$2:$K$13,MATCH(Tradingbook_SBV[[#This Row],[Days (year)]],Ref!$I$2:$I$13,1)))</f>
        <v>0</v>
      </c>
      <c r="DS138" s="32" t="str">
        <f>VLOOKUP(Tradingbook_SBV[[#This Row],[Security Name]],Ref!X:Z,3,0)</f>
        <v>TPCP</v>
      </c>
      <c r="DT138" s="32" t="str">
        <f>VLOOKUP(Tradingbook_SBV[[#This Row],[Security Name]],Ref!X:Y,2,0)</f>
        <v>KBNN</v>
      </c>
      <c r="DU138" s="71">
        <f>IF((Tradingbook_SBV[[#This Row],[Mat. Date]]-RPT)&lt;=0,0,Tradingbook_SBV[[#This Row],[QUANTITY]])</f>
        <v>0</v>
      </c>
      <c r="DV138" s="71">
        <f>IF(Tradingbook_SBV[[#This Row],[Quantity_edited]]=0,0,Tradingbook_SBV[[#This Row],[DURATION]])</f>
        <v>0</v>
      </c>
      <c r="DW138" s="71">
        <f>IF(Tradingbook_SBV[[#This Row],[Quantity_edited]]=0,0,Tradingbook_SBV[[#This Row],[Mod Dur]])</f>
        <v>0</v>
      </c>
      <c r="DX138" s="71">
        <f>IF(Tradingbook_SBV[[#This Row],[Quantity_edited]]=0,0,Tradingbook_SBV[[#This Row],[Cnvx.]])</f>
        <v>0</v>
      </c>
      <c r="DY138" s="71">
        <f>(Tradingbook_SBV[[#This Row],[MARKET_VALUE]]+Tradingbook_SBV[[#This Row],[Accr Int]]*Tradingbook_SBV[[#This Row],[Quantity_edited]])*(-Tradingbook_SBV[[#This Row],[Modified Duration]]*0.0001+0.5*Tradingbook_SBV[[#This Row],[Conv]]*(0.0001^2))</f>
        <v>0</v>
      </c>
      <c r="DZ138" s="71">
        <f>(Tradingbook_SBV[[#This Row],[MARKET_VALUE]]+Tradingbook_SBV[[#This Row],[Accr Int]]*Tradingbook_SBV[[#This Row],[Quantity_edited]])*(-Tradingbook_SBV[[#This Row],[Modified Duration]]*0.01+0.5*Tradingbook_SBV[[#This Row],[Conv]]*(0.01^2))</f>
        <v>0</v>
      </c>
      <c r="EC138" t="s">
        <v>166</v>
      </c>
      <c r="ED138" t="s">
        <v>167</v>
      </c>
      <c r="EE138" t="s">
        <v>538</v>
      </c>
      <c r="EF138" t="s">
        <v>169</v>
      </c>
      <c r="EG138" s="35" t="s">
        <v>3403</v>
      </c>
      <c r="EH138" t="s">
        <v>3322</v>
      </c>
      <c r="EK138" s="500">
        <v>0</v>
      </c>
      <c r="EL138" s="500">
        <v>0</v>
      </c>
      <c r="EM138" s="500">
        <v>0</v>
      </c>
      <c r="EN138" s="500">
        <v>0</v>
      </c>
      <c r="EO138">
        <v>7.3</v>
      </c>
      <c r="EP138">
        <v>0</v>
      </c>
      <c r="EQ138">
        <v>54750000000</v>
      </c>
      <c r="ER138">
        <v>63509493055.55545</v>
      </c>
      <c r="ES138">
        <v>-33266919779.721733</v>
      </c>
      <c r="ET138">
        <v>7.3</v>
      </c>
      <c r="EU138">
        <v>0</v>
      </c>
      <c r="EV138">
        <v>0</v>
      </c>
      <c r="EW138">
        <v>0</v>
      </c>
      <c r="EX138">
        <v>0</v>
      </c>
      <c r="EY138">
        <v>0</v>
      </c>
      <c r="EZ138">
        <v>0</v>
      </c>
      <c r="FA138">
        <v>-5685500000</v>
      </c>
      <c r="FB138">
        <v>0</v>
      </c>
      <c r="FC138">
        <v>-5685500000</v>
      </c>
      <c r="FD138">
        <v>-5685500000</v>
      </c>
      <c r="FE138">
        <v>-5685500000</v>
      </c>
      <c r="FF138">
        <v>-5685500000</v>
      </c>
      <c r="FG138" s="32">
        <f>Bankingbook_SBV[[#This Row],[Mat. Date]]-RPT</f>
        <v>-702</v>
      </c>
      <c r="FH138" s="32">
        <f>IF(Bankingbook_SBV[[#This Row],[Days]]&lt;=0,0,YEARFRAC(RPT,Bankingbook_SBV[[#This Row],[Mat. Date]],3))</f>
        <v>0</v>
      </c>
      <c r="FI138" s="32">
        <f>IF(Bankingbook_SBV[[#This Row],[Days (year)]]=0,0,INDEX(Ref!$K$2:$K$13,MATCH(Bankingbook_SBV[[#This Row],[Days (year)]],Ref!$I$2:$I$13,1)))</f>
        <v>0</v>
      </c>
      <c r="FJ138" s="32" t="str">
        <f>VLOOKUP(Bankingbook_SBV[[#This Row],[Security Name]],Ref!X:Z,3,0)</f>
        <v>TPCP</v>
      </c>
      <c r="FK138" s="32" t="str">
        <f>VLOOKUP(Bankingbook_SBV[[#This Row],[Security Name]],Ref!X:Y,2,0)</f>
        <v>KBNN</v>
      </c>
      <c r="FL138" s="72">
        <f>IF((Bankingbook_SBV[[#This Row],[Mat. Date]]-RPT)&lt;=0,0,Bankingbook_SBV[[#This Row],[QUANTITY]])</f>
        <v>0</v>
      </c>
      <c r="FM138" s="32">
        <f>IF(Bankingbook_SBV[[#This Row],[Quantity_edited]]=0,0,Bankingbook_SBV[[#This Row],[DURATION]])</f>
        <v>0</v>
      </c>
      <c r="FN138" s="32">
        <f>IF(Bankingbook_SBV[[#This Row],[Quantity_edited]]=0,0,Bankingbook_SBV[[#This Row],[Mod Dur]])</f>
        <v>0</v>
      </c>
      <c r="FO138" s="32">
        <f>IF(Bankingbook_SBV[[#This Row],[Quantity_edited]]=0,0,Bankingbook_SBV[[#This Row],[Cnvx.]])</f>
        <v>0</v>
      </c>
      <c r="FP138" s="32">
        <f>(Bankingbook_SBV[[#This Row],[MARKET_VALUE]]+Bankingbook_SBV[[#This Row],[Accr Int]]*Bankingbook_SBV[[#This Row],[Quantity_edited]])*(-Bankingbook_SBV[[#This Row],[Modified Duration]]*0.0001+0.5*Bankingbook_SBV[[#This Row],[Conv]]*(0.0001^2))</f>
        <v>0</v>
      </c>
      <c r="FQ138" s="32">
        <f>(Bankingbook_SBV[[#This Row],[MARKET_VALUE]]+Bankingbook_SBV[[#This Row],[Accr Int]]*Bankingbook_SBV[[#This Row],[Quantity_edited]])*(-Bankingbook_SBV[[#This Row],[Modified Duration]]*0.01+0.5*Bankingbook_SBV[[#This Row],[Conv]]*(0.01^2))</f>
        <v>0</v>
      </c>
    </row>
    <row r="139" spans="2:173" x14ac:dyDescent="0.3">
      <c r="B139" t="s">
        <v>166</v>
      </c>
      <c r="C139" t="s">
        <v>167</v>
      </c>
      <c r="D139" t="s">
        <v>316</v>
      </c>
      <c r="E139" t="s">
        <v>169</v>
      </c>
      <c r="F139" s="502">
        <v>42751</v>
      </c>
      <c r="G139" t="s">
        <v>3322</v>
      </c>
      <c r="H139"/>
      <c r="I139"/>
      <c r="J139" s="38">
        <v>0</v>
      </c>
      <c r="K139">
        <v>0</v>
      </c>
      <c r="L139">
        <v>0</v>
      </c>
      <c r="M139" s="38">
        <v>0</v>
      </c>
      <c r="N139">
        <v>12.15</v>
      </c>
      <c r="O139">
        <v>0</v>
      </c>
      <c r="P139" s="37">
        <v>106920000000</v>
      </c>
      <c r="Q139" s="37">
        <v>118478729024.99982</v>
      </c>
      <c r="R139" s="37">
        <v>-29421685745.589848</v>
      </c>
      <c r="S139">
        <v>12.15</v>
      </c>
      <c r="T139" s="70">
        <v>0</v>
      </c>
      <c r="U139">
        <v>0</v>
      </c>
      <c r="V139">
        <v>0</v>
      </c>
      <c r="W139">
        <v>0</v>
      </c>
      <c r="X139" s="38">
        <v>0</v>
      </c>
      <c r="Y139">
        <v>0</v>
      </c>
      <c r="Z139" s="70">
        <v>62656700000</v>
      </c>
      <c r="AA139" s="70">
        <v>0</v>
      </c>
      <c r="AB139" s="70">
        <v>62656700000</v>
      </c>
      <c r="AC139" s="70">
        <v>62656700000</v>
      </c>
      <c r="AD139" s="70">
        <v>62656700000</v>
      </c>
      <c r="AE139" s="70">
        <v>62656700000</v>
      </c>
      <c r="AF139">
        <v>0</v>
      </c>
      <c r="AG139" s="72">
        <f>Tradingbook_MSB[[#This Row],[Mat. Date]]-RPT</f>
        <v>-3501</v>
      </c>
      <c r="AH139" s="71">
        <f>IF(Tradingbook_MSB[[#This Row],[Days]]&lt;=0,0,YEARFRAC(RPT,Tradingbook_MSB[[#This Row],[Mat. Date]],3))</f>
        <v>0</v>
      </c>
      <c r="AI139" s="71">
        <f>IF(Tradingbook_MSB[[#This Row],[Days (year)]]=0,0,INDEX(Ref!$K$2:$K$13,MATCH(Tradingbook_MSB[[#This Row],[Days (year)]],Ref!$I$2:$I$13,1)))</f>
        <v>0</v>
      </c>
      <c r="AJ139" s="120" t="str">
        <f>VLOOKUP(Tradingbook_MSB[[#This Row],[Security Name]],Ref!X:Z,3,0)</f>
        <v>TPCP</v>
      </c>
      <c r="AK139" s="120" t="str">
        <f>VLOOKUP(Tradingbook_MSB[[#This Row],[Security Name]],Ref!X:Y,2,0)</f>
        <v>KBNN</v>
      </c>
      <c r="AL139" s="71">
        <f>IF((Tradingbook_MSB[[#This Row],[Mat. Date]]-RPT)&lt;=0,0,Tradingbook_MSB[[#This Row],[QUANTITY]])</f>
        <v>0</v>
      </c>
      <c r="AM139" s="71">
        <f>IF(Tradingbook_MSB[[#This Row],[Quantity_edited]]=0,0,Tradingbook_MSB[[#This Row],[DURATION]])</f>
        <v>0</v>
      </c>
      <c r="AN139" s="71">
        <f>IF(Tradingbook_MSB[[#This Row],[Quantity_edited]]=0,0,Tradingbook_MSB[[#This Row],[Mod Dur]])</f>
        <v>0</v>
      </c>
      <c r="AO139" s="71">
        <f>IF(Tradingbook_MSB[[#This Row],[Quantity_edited]]=0,0,Tradingbook_MSB[[#This Row],[Cnvx.]])</f>
        <v>0</v>
      </c>
      <c r="AP139" s="71">
        <f>(Tradingbook_MSB[[#This Row],[MARKET_VALUE]]+Tradingbook_MSB[[#This Row],[Accr Int]]*Tradingbook_MSB[[#This Row],[Quantity_edited]])*(-Tradingbook_MSB[[#This Row],[Modified Duration]]*0.0001+0.5*Tradingbook_MSB[[#This Row],[Conv]]*(0.0001^2))</f>
        <v>0</v>
      </c>
      <c r="AQ139" s="72">
        <f>(Tradingbook_MSB[[#This Row],[MARKET_VALUE]]+Tradingbook_MSB[[#This Row],[Accr Int]]*Tradingbook_MSB[[#This Row],[Quantity_edited]])*(-Tradingbook_MSB[[#This Row],[Modified Duration]]*0.01+0.5*Tradingbook_MSB[[#This Row],[Conv]]*(0.01^2))</f>
        <v>0</v>
      </c>
      <c r="AR139" s="71"/>
      <c r="AT139" t="s">
        <v>166</v>
      </c>
      <c r="AU139" t="s">
        <v>3300</v>
      </c>
      <c r="AV139" t="s">
        <v>632</v>
      </c>
      <c r="AW139" t="s">
        <v>169</v>
      </c>
      <c r="AX139" t="s">
        <v>633</v>
      </c>
      <c r="AY139" t="s">
        <v>170</v>
      </c>
      <c r="AZ139">
        <v>92963</v>
      </c>
      <c r="BA139">
        <v>92963</v>
      </c>
      <c r="BB139">
        <v>1000000</v>
      </c>
      <c r="BC139">
        <v>100000000000</v>
      </c>
      <c r="BD139">
        <v>99568</v>
      </c>
      <c r="BE139">
        <v>92963000000</v>
      </c>
      <c r="BF139">
        <v>2.7</v>
      </c>
      <c r="BG139">
        <v>1953</v>
      </c>
      <c r="BH139">
        <v>13500000000</v>
      </c>
      <c r="BI139">
        <v>14877761124.999973</v>
      </c>
      <c r="BJ139">
        <v>-16038148794.166456</v>
      </c>
      <c r="BK139">
        <v>4.5442897530000002</v>
      </c>
      <c r="BL139">
        <v>3.8334734394144001</v>
      </c>
      <c r="BM139">
        <v>4.0076775800000002</v>
      </c>
      <c r="BN139">
        <v>19.045390130641302</v>
      </c>
      <c r="BO139">
        <v>18077.122496399501</v>
      </c>
      <c r="BP139">
        <v>-36385.796497545001</v>
      </c>
      <c r="BQ139">
        <v>11557.213</v>
      </c>
      <c r="BR139">
        <v>0</v>
      </c>
      <c r="BS139">
        <v>-6605000000</v>
      </c>
      <c r="BT139">
        <v>-6605000000</v>
      </c>
      <c r="BU139">
        <v>-6605000000</v>
      </c>
      <c r="BV139">
        <v>-6605000000</v>
      </c>
      <c r="BW139">
        <v>-6605000000</v>
      </c>
      <c r="BX139">
        <v>2.75</v>
      </c>
      <c r="BY139" s="32">
        <f>Bankingbook_MSB[[#This Row],[Mat. Date]]-RPT</f>
        <v>1562</v>
      </c>
      <c r="BZ139" s="71">
        <f>IF(Bankingbook_MSB[[#This Row],[Days]]&lt;=0,0,YEARFRAC(RPT,Bankingbook_MSB[[#This Row],[Mat. Date]],3))</f>
        <v>4.279452054794521</v>
      </c>
      <c r="CA139" s="71" t="str">
        <f>IF(Bankingbook_MSB[[#This Row],[Days (year)]]=0,0,INDEX(Ref!$K$2:$K$13,MATCH(Bankingbook_MSB[[#This Row],[Days (year)]],Ref!$I$2:$I$13,1)))</f>
        <v>4Y</v>
      </c>
      <c r="CB139" s="32" t="str">
        <f>VLOOKUP(Bankingbook_MSB[[#This Row],[Security Name]],Ref!X:Z,3,0)</f>
        <v>TPCPBL</v>
      </c>
      <c r="CC139" s="32" t="str">
        <f>VLOOKUP(Bankingbook_MSB[[#This Row],[Security Name]],Ref!X:Y,2,0)</f>
        <v>VBS</v>
      </c>
      <c r="CD139" s="72">
        <f>IF((Bankingbook_MSB[[#This Row],[Mat. Date]]-RPT)&lt;=0,0,Bankingbook_MSB[[#This Row],[QUANTITY]])</f>
        <v>1000000</v>
      </c>
      <c r="CE139" s="71">
        <f>IF(Bankingbook_MSB[[#This Row],[Quantity_edited]]=0,0,Bankingbook_MSB[[#This Row],[DURATION]])</f>
        <v>4.0076775800000002</v>
      </c>
      <c r="CF139" s="71">
        <f>IF(Bankingbook_MSB[[#This Row],[Quantity_edited]]=0,0,Bankingbook_MSB[[#This Row],[Mod Dur]])</f>
        <v>3.8334734394144001</v>
      </c>
      <c r="CG139" s="71">
        <f>IF(Bankingbook_MSB[[#This Row],[Quantity_edited]]=0,0,Bankingbook_MSB[[#This Row],[Cnvx.]])</f>
        <v>19.045390130641302</v>
      </c>
      <c r="CH139" s="71">
        <f>(Bankingbook_MSB[[#This Row],[MARKET_VALUE]]+Bankingbook_MSB[[#This Row],[Accr Int]]*Bankingbook_MSB[[#This Row],[Quantity_edited]])*(-Bankingbook_MSB[[#This Row],[Modified Duration]]*0.0001+0.5*Bankingbook_MSB[[#This Row],[Conv]]*(0.0001^2))</f>
        <v>-36376757.936297521</v>
      </c>
      <c r="CI139" s="71">
        <f>(Bankingbook_MSB[[#This Row],[MARKET_VALUE]]+Bankingbook_MSB[[#This Row],[Accr Int]]*Bankingbook_MSB[[#This Row],[Quantity_edited]])*(-Bankingbook_MSB[[#This Row],[Modified Duration]]*0.01+0.5*Bankingbook_MSB[[#This Row],[Conv]]*(0.01^2))</f>
        <v>-3548194037.2725749</v>
      </c>
      <c r="CL139" t="s">
        <v>166</v>
      </c>
      <c r="CM139" t="s">
        <v>167</v>
      </c>
      <c r="CN139" t="s">
        <v>316</v>
      </c>
      <c r="CO139" t="s">
        <v>169</v>
      </c>
      <c r="CP139" s="35">
        <v>42751</v>
      </c>
      <c r="CQ139" t="s">
        <v>3322</v>
      </c>
      <c r="CR139" t="s">
        <v>174</v>
      </c>
      <c r="CS139" t="s">
        <v>174</v>
      </c>
      <c r="CT139" s="49">
        <v>0</v>
      </c>
      <c r="CU139">
        <v>0</v>
      </c>
      <c r="CV139">
        <v>0</v>
      </c>
      <c r="CW139" s="70">
        <v>0</v>
      </c>
      <c r="CX139">
        <v>12.15</v>
      </c>
      <c r="CY139">
        <v>0</v>
      </c>
      <c r="CZ139">
        <v>106920000000</v>
      </c>
      <c r="DA139">
        <v>118478729024.99982</v>
      </c>
      <c r="DB139">
        <v>-29421685745.589848</v>
      </c>
      <c r="DC139">
        <v>12.15</v>
      </c>
      <c r="DD139">
        <v>0</v>
      </c>
      <c r="DE139">
        <v>0</v>
      </c>
      <c r="DF139">
        <v>0</v>
      </c>
      <c r="DG139">
        <v>0</v>
      </c>
      <c r="DH139">
        <v>0</v>
      </c>
      <c r="DI139">
        <v>0</v>
      </c>
      <c r="DJ139" s="500">
        <v>62656700000</v>
      </c>
      <c r="DK139" s="500">
        <v>0</v>
      </c>
      <c r="DL139" s="37">
        <v>62656700000</v>
      </c>
      <c r="DM139" s="37">
        <v>62656700000</v>
      </c>
      <c r="DN139" s="37">
        <v>62656700000</v>
      </c>
      <c r="DO139" s="37">
        <v>62656700000</v>
      </c>
      <c r="DP139" s="32">
        <f>Tradingbook_SBV[[#This Row],[Mat. Date]]-RPT</f>
        <v>-3501</v>
      </c>
      <c r="DQ139" s="32">
        <f>IF(Tradingbook_SBV[[#This Row],[Days]]&lt;=0,0,YEARFRAC(RPT,Tradingbook_SBV[[#This Row],[Mat. Date]],3))</f>
        <v>0</v>
      </c>
      <c r="DR139" s="32">
        <f>IF(Tradingbook_SBV[[#This Row],[Days (year)]]=0,0,INDEX(Ref!$K$2:$K$13,MATCH(Tradingbook_SBV[[#This Row],[Days (year)]],Ref!$I$2:$I$13,1)))</f>
        <v>0</v>
      </c>
      <c r="DS139" s="32" t="str">
        <f>VLOOKUP(Tradingbook_SBV[[#This Row],[Security Name]],Ref!X:Z,3,0)</f>
        <v>TPCP</v>
      </c>
      <c r="DT139" s="32" t="str">
        <f>VLOOKUP(Tradingbook_SBV[[#This Row],[Security Name]],Ref!X:Y,2,0)</f>
        <v>KBNN</v>
      </c>
      <c r="DU139" s="71">
        <f>IF((Tradingbook_SBV[[#This Row],[Mat. Date]]-RPT)&lt;=0,0,Tradingbook_SBV[[#This Row],[QUANTITY]])</f>
        <v>0</v>
      </c>
      <c r="DV139" s="71">
        <f>IF(Tradingbook_SBV[[#This Row],[Quantity_edited]]=0,0,Tradingbook_SBV[[#This Row],[DURATION]])</f>
        <v>0</v>
      </c>
      <c r="DW139" s="71">
        <f>IF(Tradingbook_SBV[[#This Row],[Quantity_edited]]=0,0,Tradingbook_SBV[[#This Row],[Mod Dur]])</f>
        <v>0</v>
      </c>
      <c r="DX139" s="71">
        <f>IF(Tradingbook_SBV[[#This Row],[Quantity_edited]]=0,0,Tradingbook_SBV[[#This Row],[Cnvx.]])</f>
        <v>0</v>
      </c>
      <c r="DY139" s="71">
        <f>(Tradingbook_SBV[[#This Row],[MARKET_VALUE]]+Tradingbook_SBV[[#This Row],[Accr Int]]*Tradingbook_SBV[[#This Row],[Quantity_edited]])*(-Tradingbook_SBV[[#This Row],[Modified Duration]]*0.0001+0.5*Tradingbook_SBV[[#This Row],[Conv]]*(0.0001^2))</f>
        <v>0</v>
      </c>
      <c r="DZ139" s="71">
        <f>(Tradingbook_SBV[[#This Row],[MARKET_VALUE]]+Tradingbook_SBV[[#This Row],[Accr Int]]*Tradingbook_SBV[[#This Row],[Quantity_edited]])*(-Tradingbook_SBV[[#This Row],[Modified Duration]]*0.01+0.5*Tradingbook_SBV[[#This Row],[Conv]]*(0.01^2))</f>
        <v>0</v>
      </c>
      <c r="EC139" t="s">
        <v>166</v>
      </c>
      <c r="ED139" t="s">
        <v>167</v>
      </c>
      <c r="EE139" t="s">
        <v>539</v>
      </c>
      <c r="EF139" t="s">
        <v>169</v>
      </c>
      <c r="EG139" s="35" t="s">
        <v>3404</v>
      </c>
      <c r="EH139" t="s">
        <v>170</v>
      </c>
      <c r="EK139" s="500">
        <v>1000000</v>
      </c>
      <c r="EL139" s="500">
        <v>100000000000</v>
      </c>
      <c r="EM139" s="500">
        <v>99961</v>
      </c>
      <c r="EN139" s="500">
        <v>0</v>
      </c>
      <c r="EO139">
        <v>7.3</v>
      </c>
      <c r="EP139">
        <v>0</v>
      </c>
      <c r="EQ139">
        <v>73000000000</v>
      </c>
      <c r="ER139">
        <v>79536210124.999939</v>
      </c>
      <c r="ES139">
        <v>-22945319566.944283</v>
      </c>
      <c r="ET139">
        <v>7.3</v>
      </c>
      <c r="EU139">
        <v>0</v>
      </c>
      <c r="EV139">
        <v>0</v>
      </c>
      <c r="EW139">
        <v>0</v>
      </c>
      <c r="EX139">
        <v>0</v>
      </c>
      <c r="EY139">
        <v>0</v>
      </c>
      <c r="EZ139">
        <v>0</v>
      </c>
      <c r="FA139">
        <v>39000000</v>
      </c>
      <c r="FB139">
        <v>0</v>
      </c>
      <c r="FC139">
        <v>39000000</v>
      </c>
      <c r="FD139">
        <v>39000000</v>
      </c>
      <c r="FE139">
        <v>39000000</v>
      </c>
      <c r="FF139">
        <v>39000000</v>
      </c>
      <c r="FG139" s="32">
        <f>Bankingbook_SBV[[#This Row],[Mat. Date]]-RPT</f>
        <v>-685</v>
      </c>
      <c r="FH139" s="32">
        <f>IF(Bankingbook_SBV[[#This Row],[Days]]&lt;=0,0,YEARFRAC(RPT,Bankingbook_SBV[[#This Row],[Mat. Date]],3))</f>
        <v>0</v>
      </c>
      <c r="FI139" s="32">
        <f>IF(Bankingbook_SBV[[#This Row],[Days (year)]]=0,0,INDEX(Ref!$K$2:$K$13,MATCH(Bankingbook_SBV[[#This Row],[Days (year)]],Ref!$I$2:$I$13,1)))</f>
        <v>0</v>
      </c>
      <c r="FJ139" s="32" t="str">
        <f>VLOOKUP(Bankingbook_SBV[[#This Row],[Security Name]],Ref!X:Z,3,0)</f>
        <v>TPCQĐP</v>
      </c>
      <c r="FK139" s="32" t="str">
        <f>VLOOKUP(Bankingbook_SBV[[#This Row],[Security Name]],Ref!X:Y,2,0)</f>
        <v>HIFU</v>
      </c>
      <c r="FL139" s="72">
        <f>IF((Bankingbook_SBV[[#This Row],[Mat. Date]]-RPT)&lt;=0,0,Bankingbook_SBV[[#This Row],[QUANTITY]])</f>
        <v>0</v>
      </c>
      <c r="FM139" s="32">
        <f>IF(Bankingbook_SBV[[#This Row],[Quantity_edited]]=0,0,Bankingbook_SBV[[#This Row],[DURATION]])</f>
        <v>0</v>
      </c>
      <c r="FN139" s="32">
        <f>IF(Bankingbook_SBV[[#This Row],[Quantity_edited]]=0,0,Bankingbook_SBV[[#This Row],[Mod Dur]])</f>
        <v>0</v>
      </c>
      <c r="FO139" s="32">
        <f>IF(Bankingbook_SBV[[#This Row],[Quantity_edited]]=0,0,Bankingbook_SBV[[#This Row],[Cnvx.]])</f>
        <v>0</v>
      </c>
      <c r="FP139" s="32">
        <f>(Bankingbook_SBV[[#This Row],[MARKET_VALUE]]+Bankingbook_SBV[[#This Row],[Accr Int]]*Bankingbook_SBV[[#This Row],[Quantity_edited]])*(-Bankingbook_SBV[[#This Row],[Modified Duration]]*0.0001+0.5*Bankingbook_SBV[[#This Row],[Conv]]*(0.0001^2))</f>
        <v>0</v>
      </c>
      <c r="FQ139" s="32">
        <f>(Bankingbook_SBV[[#This Row],[MARKET_VALUE]]+Bankingbook_SBV[[#This Row],[Accr Int]]*Bankingbook_SBV[[#This Row],[Quantity_edited]])*(-Bankingbook_SBV[[#This Row],[Modified Duration]]*0.01+0.5*Bankingbook_SBV[[#This Row],[Conv]]*(0.01^2))</f>
        <v>0</v>
      </c>
    </row>
    <row r="140" spans="2:173" x14ac:dyDescent="0.3">
      <c r="B140" t="s">
        <v>166</v>
      </c>
      <c r="C140" t="s">
        <v>167</v>
      </c>
      <c r="D140" t="s">
        <v>317</v>
      </c>
      <c r="E140" t="s">
        <v>169</v>
      </c>
      <c r="F140" s="502">
        <v>42762</v>
      </c>
      <c r="G140" t="s">
        <v>3322</v>
      </c>
      <c r="H140"/>
      <c r="I140"/>
      <c r="J140" s="38">
        <v>0</v>
      </c>
      <c r="K140">
        <v>0</v>
      </c>
      <c r="L140">
        <v>0</v>
      </c>
      <c r="M140" s="38">
        <v>0</v>
      </c>
      <c r="N140">
        <v>8.3000000000000007</v>
      </c>
      <c r="O140">
        <v>0</v>
      </c>
      <c r="P140" s="37">
        <v>16600000000</v>
      </c>
      <c r="Q140" s="37">
        <v>17654351305.555557</v>
      </c>
      <c r="R140" s="37">
        <v>-10011655615.069424</v>
      </c>
      <c r="S140">
        <v>8.3000000000000007</v>
      </c>
      <c r="T140" s="70">
        <v>0</v>
      </c>
      <c r="U140">
        <v>0</v>
      </c>
      <c r="V140">
        <v>0</v>
      </c>
      <c r="W140">
        <v>0</v>
      </c>
      <c r="X140" s="38">
        <v>0</v>
      </c>
      <c r="Y140">
        <v>0</v>
      </c>
      <c r="Z140" s="70">
        <v>7038500000</v>
      </c>
      <c r="AA140" s="70">
        <v>0</v>
      </c>
      <c r="AB140" s="70">
        <v>7038500000</v>
      </c>
      <c r="AC140" s="70">
        <v>7038500000</v>
      </c>
      <c r="AD140" s="70">
        <v>7038500000</v>
      </c>
      <c r="AE140" s="70">
        <v>7038500000</v>
      </c>
      <c r="AF140">
        <v>0</v>
      </c>
      <c r="AG140" s="72">
        <f>Tradingbook_MSB[[#This Row],[Mat. Date]]-RPT</f>
        <v>-3490</v>
      </c>
      <c r="AH140" s="71">
        <f>IF(Tradingbook_MSB[[#This Row],[Days]]&lt;=0,0,YEARFRAC(RPT,Tradingbook_MSB[[#This Row],[Mat. Date]],3))</f>
        <v>0</v>
      </c>
      <c r="AI140" s="71">
        <f>IF(Tradingbook_MSB[[#This Row],[Days (year)]]=0,0,INDEX(Ref!$K$2:$K$13,MATCH(Tradingbook_MSB[[#This Row],[Days (year)]],Ref!$I$2:$I$13,1)))</f>
        <v>0</v>
      </c>
      <c r="AJ140" s="120" t="str">
        <f>VLOOKUP(Tradingbook_MSB[[#This Row],[Security Name]],Ref!X:Z,3,0)</f>
        <v>TPCPBL</v>
      </c>
      <c r="AK140" s="120" t="str">
        <f>VLOOKUP(Tradingbook_MSB[[#This Row],[Security Name]],Ref!X:Y,2,0)</f>
        <v>VDB</v>
      </c>
      <c r="AL140" s="71">
        <f>IF((Tradingbook_MSB[[#This Row],[Mat. Date]]-RPT)&lt;=0,0,Tradingbook_MSB[[#This Row],[QUANTITY]])</f>
        <v>0</v>
      </c>
      <c r="AM140" s="71">
        <f>IF(Tradingbook_MSB[[#This Row],[Quantity_edited]]=0,0,Tradingbook_MSB[[#This Row],[DURATION]])</f>
        <v>0</v>
      </c>
      <c r="AN140" s="71">
        <f>IF(Tradingbook_MSB[[#This Row],[Quantity_edited]]=0,0,Tradingbook_MSB[[#This Row],[Mod Dur]])</f>
        <v>0</v>
      </c>
      <c r="AO140" s="71">
        <f>IF(Tradingbook_MSB[[#This Row],[Quantity_edited]]=0,0,Tradingbook_MSB[[#This Row],[Cnvx.]])</f>
        <v>0</v>
      </c>
      <c r="AP140" s="71">
        <f>(Tradingbook_MSB[[#This Row],[MARKET_VALUE]]+Tradingbook_MSB[[#This Row],[Accr Int]]*Tradingbook_MSB[[#This Row],[Quantity_edited]])*(-Tradingbook_MSB[[#This Row],[Modified Duration]]*0.0001+0.5*Tradingbook_MSB[[#This Row],[Conv]]*(0.0001^2))</f>
        <v>0</v>
      </c>
      <c r="AQ140" s="72">
        <f>(Tradingbook_MSB[[#This Row],[MARKET_VALUE]]+Tradingbook_MSB[[#This Row],[Accr Int]]*Tradingbook_MSB[[#This Row],[Quantity_edited]])*(-Tradingbook_MSB[[#This Row],[Modified Duration]]*0.01+0.5*Tradingbook_MSB[[#This Row],[Conv]]*(0.01^2))</f>
        <v>0</v>
      </c>
      <c r="AR140" s="71"/>
      <c r="AT140" t="s">
        <v>166</v>
      </c>
      <c r="AU140" t="s">
        <v>3300</v>
      </c>
      <c r="AV140" t="s">
        <v>637</v>
      </c>
      <c r="AW140" t="s">
        <v>169</v>
      </c>
      <c r="AX140" t="s">
        <v>3486</v>
      </c>
      <c r="AY140" t="s">
        <v>170</v>
      </c>
      <c r="AZ140">
        <v>92361</v>
      </c>
      <c r="BA140">
        <v>92361</v>
      </c>
      <c r="BB140">
        <v>500000</v>
      </c>
      <c r="BC140">
        <v>50000000000</v>
      </c>
      <c r="BD140">
        <v>100939</v>
      </c>
      <c r="BE140">
        <v>46180500000</v>
      </c>
      <c r="BF140">
        <v>2.2999999999999998</v>
      </c>
      <c r="BG140">
        <v>832</v>
      </c>
      <c r="BH140">
        <v>1150000000</v>
      </c>
      <c r="BI140">
        <v>1173645277.7777779</v>
      </c>
      <c r="BJ140">
        <v>-1957517083.3333371</v>
      </c>
      <c r="BK140">
        <v>4.1412774849999998</v>
      </c>
      <c r="BL140">
        <v>4.2319838045329004</v>
      </c>
      <c r="BM140">
        <v>4.4072420000000001</v>
      </c>
      <c r="BN140">
        <v>22.571967844735799</v>
      </c>
      <c r="BO140">
        <v>10517.746996772299</v>
      </c>
      <c r="BP140">
        <v>-19719.563334792001</v>
      </c>
      <c r="BQ140">
        <v>5180.5709999999999</v>
      </c>
      <c r="BR140">
        <v>0</v>
      </c>
      <c r="BS140">
        <v>-4289000000</v>
      </c>
      <c r="BT140">
        <v>-4289000000</v>
      </c>
      <c r="BU140">
        <v>-4289000000</v>
      </c>
      <c r="BV140">
        <v>-4289000000</v>
      </c>
      <c r="BW140">
        <v>-4289000000</v>
      </c>
      <c r="BX140">
        <v>2.1099000000000001</v>
      </c>
      <c r="BY140" s="32">
        <f>Bankingbook_MSB[[#This Row],[Mat. Date]]-RPT</f>
        <v>1694</v>
      </c>
      <c r="BZ140" s="71">
        <f>IF(Bankingbook_MSB[[#This Row],[Days]]&lt;=0,0,YEARFRAC(RPT,Bankingbook_MSB[[#This Row],[Mat. Date]],3))</f>
        <v>4.6410958904109592</v>
      </c>
      <c r="CA140" s="71" t="str">
        <f>IF(Bankingbook_MSB[[#This Row],[Days (year)]]=0,0,INDEX(Ref!$K$2:$K$13,MATCH(Bankingbook_MSB[[#This Row],[Days (year)]],Ref!$I$2:$I$13,1)))</f>
        <v>5Y</v>
      </c>
      <c r="CB140" s="32" t="str">
        <f>VLOOKUP(Bankingbook_MSB[[#This Row],[Security Name]],Ref!X:Z,3,0)</f>
        <v>TPCP</v>
      </c>
      <c r="CC140" s="32" t="str">
        <f>VLOOKUP(Bankingbook_MSB[[#This Row],[Security Name]],Ref!X:Y,2,0)</f>
        <v>KBNN</v>
      </c>
      <c r="CD140" s="72">
        <f>IF((Bankingbook_MSB[[#This Row],[Mat. Date]]-RPT)&lt;=0,0,Bankingbook_MSB[[#This Row],[QUANTITY]])</f>
        <v>500000</v>
      </c>
      <c r="CE140" s="71">
        <f>IF(Bankingbook_MSB[[#This Row],[Quantity_edited]]=0,0,Bankingbook_MSB[[#This Row],[DURATION]])</f>
        <v>4.4072420000000001</v>
      </c>
      <c r="CF140" s="71">
        <f>IF(Bankingbook_MSB[[#This Row],[Quantity_edited]]=0,0,Bankingbook_MSB[[#This Row],[Mod Dur]])</f>
        <v>4.2319838045329004</v>
      </c>
      <c r="CG140" s="71">
        <f>IF(Bankingbook_MSB[[#This Row],[Quantity_edited]]=0,0,Bankingbook_MSB[[#This Row],[Cnvx.]])</f>
        <v>22.571967844735799</v>
      </c>
      <c r="CH140" s="71">
        <f>(Bankingbook_MSB[[#This Row],[MARKET_VALUE]]+Bankingbook_MSB[[#This Row],[Accr Int]]*Bankingbook_MSB[[#This Row],[Quantity_edited]])*(-Bankingbook_MSB[[#This Row],[Modified Duration]]*0.0001+0.5*Bankingbook_MSB[[#This Row],[Conv]]*(0.0001^2))</f>
        <v>-19714304.461293343</v>
      </c>
      <c r="CI140" s="71">
        <f>(Bankingbook_MSB[[#This Row],[MARKET_VALUE]]+Bankingbook_MSB[[#This Row],[Accr Int]]*Bankingbook_MSB[[#This Row],[Quantity_edited]])*(-Bankingbook_MSB[[#This Row],[Modified Duration]]*0.01+0.5*Bankingbook_MSB[[#This Row],[Conv]]*(0.01^2))</f>
        <v>-1919367598.4953113</v>
      </c>
      <c r="CL140" t="s">
        <v>166</v>
      </c>
      <c r="CM140" t="s">
        <v>167</v>
      </c>
      <c r="CN140" t="s">
        <v>317</v>
      </c>
      <c r="CO140" t="s">
        <v>169</v>
      </c>
      <c r="CP140" s="35">
        <v>42762</v>
      </c>
      <c r="CQ140" t="s">
        <v>3322</v>
      </c>
      <c r="CR140" t="s">
        <v>174</v>
      </c>
      <c r="CS140" t="s">
        <v>174</v>
      </c>
      <c r="CT140" s="49">
        <v>0</v>
      </c>
      <c r="CU140">
        <v>0</v>
      </c>
      <c r="CV140">
        <v>0</v>
      </c>
      <c r="CW140" s="70">
        <v>0</v>
      </c>
      <c r="CX140">
        <v>8.3000000000000007</v>
      </c>
      <c r="CY140">
        <v>0</v>
      </c>
      <c r="CZ140">
        <v>16600000000</v>
      </c>
      <c r="DA140">
        <v>17654351305.555557</v>
      </c>
      <c r="DB140">
        <v>-10011655615.069424</v>
      </c>
      <c r="DC140">
        <v>8.3000000000000007</v>
      </c>
      <c r="DD140">
        <v>0</v>
      </c>
      <c r="DE140">
        <v>0</v>
      </c>
      <c r="DF140">
        <v>0</v>
      </c>
      <c r="DG140">
        <v>0</v>
      </c>
      <c r="DH140">
        <v>0</v>
      </c>
      <c r="DI140">
        <v>0</v>
      </c>
      <c r="DJ140" s="500">
        <v>7038500000</v>
      </c>
      <c r="DK140" s="500">
        <v>0</v>
      </c>
      <c r="DL140" s="37">
        <v>7038500000</v>
      </c>
      <c r="DM140" s="37">
        <v>7038500000</v>
      </c>
      <c r="DN140" s="37">
        <v>7038500000</v>
      </c>
      <c r="DO140" s="37">
        <v>7038500000</v>
      </c>
      <c r="DP140" s="32">
        <f>Tradingbook_SBV[[#This Row],[Mat. Date]]-RPT</f>
        <v>-3490</v>
      </c>
      <c r="DQ140" s="32">
        <f>IF(Tradingbook_SBV[[#This Row],[Days]]&lt;=0,0,YEARFRAC(RPT,Tradingbook_SBV[[#This Row],[Mat. Date]],3))</f>
        <v>0</v>
      </c>
      <c r="DR140" s="32">
        <f>IF(Tradingbook_SBV[[#This Row],[Days (year)]]=0,0,INDEX(Ref!$K$2:$K$13,MATCH(Tradingbook_SBV[[#This Row],[Days (year)]],Ref!$I$2:$I$13,1)))</f>
        <v>0</v>
      </c>
      <c r="DS140" s="32" t="str">
        <f>VLOOKUP(Tradingbook_SBV[[#This Row],[Security Name]],Ref!X:Z,3,0)</f>
        <v>TPCPBL</v>
      </c>
      <c r="DT140" s="32" t="str">
        <f>VLOOKUP(Tradingbook_SBV[[#This Row],[Security Name]],Ref!X:Y,2,0)</f>
        <v>VDB</v>
      </c>
      <c r="DU140" s="71">
        <f>IF((Tradingbook_SBV[[#This Row],[Mat. Date]]-RPT)&lt;=0,0,Tradingbook_SBV[[#This Row],[QUANTITY]])</f>
        <v>0</v>
      </c>
      <c r="DV140" s="71">
        <f>IF(Tradingbook_SBV[[#This Row],[Quantity_edited]]=0,0,Tradingbook_SBV[[#This Row],[DURATION]])</f>
        <v>0</v>
      </c>
      <c r="DW140" s="71">
        <f>IF(Tradingbook_SBV[[#This Row],[Quantity_edited]]=0,0,Tradingbook_SBV[[#This Row],[Mod Dur]])</f>
        <v>0</v>
      </c>
      <c r="DX140" s="71">
        <f>IF(Tradingbook_SBV[[#This Row],[Quantity_edited]]=0,0,Tradingbook_SBV[[#This Row],[Cnvx.]])</f>
        <v>0</v>
      </c>
      <c r="DY140" s="71">
        <f>(Tradingbook_SBV[[#This Row],[MARKET_VALUE]]+Tradingbook_SBV[[#This Row],[Accr Int]]*Tradingbook_SBV[[#This Row],[Quantity_edited]])*(-Tradingbook_SBV[[#This Row],[Modified Duration]]*0.0001+0.5*Tradingbook_SBV[[#This Row],[Conv]]*(0.0001^2))</f>
        <v>0</v>
      </c>
      <c r="DZ140" s="71">
        <f>(Tradingbook_SBV[[#This Row],[MARKET_VALUE]]+Tradingbook_SBV[[#This Row],[Accr Int]]*Tradingbook_SBV[[#This Row],[Quantity_edited]])*(-Tradingbook_SBV[[#This Row],[Modified Duration]]*0.01+0.5*Tradingbook_SBV[[#This Row],[Conv]]*(0.01^2))</f>
        <v>0</v>
      </c>
      <c r="EC140" t="s">
        <v>166</v>
      </c>
      <c r="ED140" t="s">
        <v>167</v>
      </c>
      <c r="EE140" t="s">
        <v>540</v>
      </c>
      <c r="EF140" t="s">
        <v>169</v>
      </c>
      <c r="EG140" s="35" t="s">
        <v>541</v>
      </c>
      <c r="EH140" t="s">
        <v>3322</v>
      </c>
      <c r="EK140" s="500">
        <v>0</v>
      </c>
      <c r="EL140" s="500">
        <v>0</v>
      </c>
      <c r="EM140" s="500">
        <v>0</v>
      </c>
      <c r="EN140" s="500">
        <v>0</v>
      </c>
      <c r="EO140">
        <v>6.1</v>
      </c>
      <c r="EP140">
        <v>0</v>
      </c>
      <c r="EQ140">
        <v>3050000000</v>
      </c>
      <c r="ER140">
        <v>3648714152.7777562</v>
      </c>
      <c r="ES140">
        <v>-2684907801.1110458</v>
      </c>
      <c r="ET140">
        <v>6.1</v>
      </c>
      <c r="EU140">
        <v>0</v>
      </c>
      <c r="EV140">
        <v>0</v>
      </c>
      <c r="EW140">
        <v>0</v>
      </c>
      <c r="EX140">
        <v>0</v>
      </c>
      <c r="EY140">
        <v>0</v>
      </c>
      <c r="EZ140">
        <v>0</v>
      </c>
      <c r="FA140">
        <v>-985000000</v>
      </c>
      <c r="FB140">
        <v>0</v>
      </c>
      <c r="FC140">
        <v>-985000000</v>
      </c>
      <c r="FD140">
        <v>-985000000</v>
      </c>
      <c r="FE140">
        <v>-985000000</v>
      </c>
      <c r="FF140">
        <v>-985000000</v>
      </c>
      <c r="FG140" s="32">
        <f>Bankingbook_SBV[[#This Row],[Mat. Date]]-RPT</f>
        <v>-672</v>
      </c>
      <c r="FH140" s="32">
        <f>IF(Bankingbook_SBV[[#This Row],[Days]]&lt;=0,0,YEARFRAC(RPT,Bankingbook_SBV[[#This Row],[Mat. Date]],3))</f>
        <v>0</v>
      </c>
      <c r="FI140" s="32">
        <f>IF(Bankingbook_SBV[[#This Row],[Days (year)]]=0,0,INDEX(Ref!$K$2:$K$13,MATCH(Bankingbook_SBV[[#This Row],[Days (year)]],Ref!$I$2:$I$13,1)))</f>
        <v>0</v>
      </c>
      <c r="FJ140" s="32" t="str">
        <f>VLOOKUP(Bankingbook_SBV[[#This Row],[Security Name]],Ref!X:Z,3,0)</f>
        <v>TPCP</v>
      </c>
      <c r="FK140" s="32" t="str">
        <f>VLOOKUP(Bankingbook_SBV[[#This Row],[Security Name]],Ref!X:Y,2,0)</f>
        <v>KBNN</v>
      </c>
      <c r="FL140" s="72">
        <f>IF((Bankingbook_SBV[[#This Row],[Mat. Date]]-RPT)&lt;=0,0,Bankingbook_SBV[[#This Row],[QUANTITY]])</f>
        <v>0</v>
      </c>
      <c r="FM140" s="32">
        <f>IF(Bankingbook_SBV[[#This Row],[Quantity_edited]]=0,0,Bankingbook_SBV[[#This Row],[DURATION]])</f>
        <v>0</v>
      </c>
      <c r="FN140" s="32">
        <f>IF(Bankingbook_SBV[[#This Row],[Quantity_edited]]=0,0,Bankingbook_SBV[[#This Row],[Mod Dur]])</f>
        <v>0</v>
      </c>
      <c r="FO140" s="32">
        <f>IF(Bankingbook_SBV[[#This Row],[Quantity_edited]]=0,0,Bankingbook_SBV[[#This Row],[Cnvx.]])</f>
        <v>0</v>
      </c>
      <c r="FP140" s="32">
        <f>(Bankingbook_SBV[[#This Row],[MARKET_VALUE]]+Bankingbook_SBV[[#This Row],[Accr Int]]*Bankingbook_SBV[[#This Row],[Quantity_edited]])*(-Bankingbook_SBV[[#This Row],[Modified Duration]]*0.0001+0.5*Bankingbook_SBV[[#This Row],[Conv]]*(0.0001^2))</f>
        <v>0</v>
      </c>
      <c r="FQ140" s="32">
        <f>(Bankingbook_SBV[[#This Row],[MARKET_VALUE]]+Bankingbook_SBV[[#This Row],[Accr Int]]*Bankingbook_SBV[[#This Row],[Quantity_edited]])*(-Bankingbook_SBV[[#This Row],[Modified Duration]]*0.01+0.5*Bankingbook_SBV[[#This Row],[Conv]]*(0.01^2))</f>
        <v>0</v>
      </c>
    </row>
    <row r="141" spans="2:173" x14ac:dyDescent="0.3">
      <c r="B141" t="s">
        <v>166</v>
      </c>
      <c r="C141" t="s">
        <v>167</v>
      </c>
      <c r="D141" t="s">
        <v>318</v>
      </c>
      <c r="E141" t="s">
        <v>169</v>
      </c>
      <c r="F141" s="502">
        <v>42776</v>
      </c>
      <c r="G141" t="s">
        <v>3322</v>
      </c>
      <c r="H141"/>
      <c r="I141"/>
      <c r="J141" s="38">
        <v>0</v>
      </c>
      <c r="K141">
        <v>0</v>
      </c>
      <c r="L141">
        <v>0</v>
      </c>
      <c r="M141" s="38">
        <v>0</v>
      </c>
      <c r="N141">
        <v>12.25</v>
      </c>
      <c r="O141">
        <v>0</v>
      </c>
      <c r="P141" s="37">
        <v>40932150000</v>
      </c>
      <c r="Q141" s="37">
        <v>45275883660.048508</v>
      </c>
      <c r="R141" s="37">
        <v>-11075769134.700136</v>
      </c>
      <c r="S141">
        <v>12.25</v>
      </c>
      <c r="T141" s="70">
        <v>0</v>
      </c>
      <c r="U141">
        <v>0</v>
      </c>
      <c r="V141">
        <v>0</v>
      </c>
      <c r="W141">
        <v>0</v>
      </c>
      <c r="X141" s="38">
        <v>0</v>
      </c>
      <c r="Y141">
        <v>0</v>
      </c>
      <c r="Z141" s="70">
        <v>24471751999.999939</v>
      </c>
      <c r="AA141" s="70">
        <v>0</v>
      </c>
      <c r="AB141" s="70">
        <v>24471751999.999939</v>
      </c>
      <c r="AC141" s="70">
        <v>24471751999.999939</v>
      </c>
      <c r="AD141" s="70">
        <v>24471752000</v>
      </c>
      <c r="AE141" s="70">
        <v>24471751999.999939</v>
      </c>
      <c r="AF141">
        <v>0</v>
      </c>
      <c r="AG141" s="72">
        <f>Tradingbook_MSB[[#This Row],[Mat. Date]]-RPT</f>
        <v>-3476</v>
      </c>
      <c r="AH141" s="71">
        <f>IF(Tradingbook_MSB[[#This Row],[Days]]&lt;=0,0,YEARFRAC(RPT,Tradingbook_MSB[[#This Row],[Mat. Date]],3))</f>
        <v>0</v>
      </c>
      <c r="AI141" s="71">
        <f>IF(Tradingbook_MSB[[#This Row],[Days (year)]]=0,0,INDEX(Ref!$K$2:$K$13,MATCH(Tradingbook_MSB[[#This Row],[Days (year)]],Ref!$I$2:$I$13,1)))</f>
        <v>0</v>
      </c>
      <c r="AJ141" s="120" t="str">
        <f>VLOOKUP(Tradingbook_MSB[[#This Row],[Security Name]],Ref!X:Z,3,0)</f>
        <v>TPCPBL</v>
      </c>
      <c r="AK141" s="120" t="str">
        <f>VLOOKUP(Tradingbook_MSB[[#This Row],[Security Name]],Ref!X:Y,2,0)</f>
        <v>VDB</v>
      </c>
      <c r="AL141" s="71">
        <f>IF((Tradingbook_MSB[[#This Row],[Mat. Date]]-RPT)&lt;=0,0,Tradingbook_MSB[[#This Row],[QUANTITY]])</f>
        <v>0</v>
      </c>
      <c r="AM141" s="71">
        <f>IF(Tradingbook_MSB[[#This Row],[Quantity_edited]]=0,0,Tradingbook_MSB[[#This Row],[DURATION]])</f>
        <v>0</v>
      </c>
      <c r="AN141" s="71">
        <f>IF(Tradingbook_MSB[[#This Row],[Quantity_edited]]=0,0,Tradingbook_MSB[[#This Row],[Mod Dur]])</f>
        <v>0</v>
      </c>
      <c r="AO141" s="71">
        <f>IF(Tradingbook_MSB[[#This Row],[Quantity_edited]]=0,0,Tradingbook_MSB[[#This Row],[Cnvx.]])</f>
        <v>0</v>
      </c>
      <c r="AP141" s="71">
        <f>(Tradingbook_MSB[[#This Row],[MARKET_VALUE]]+Tradingbook_MSB[[#This Row],[Accr Int]]*Tradingbook_MSB[[#This Row],[Quantity_edited]])*(-Tradingbook_MSB[[#This Row],[Modified Duration]]*0.0001+0.5*Tradingbook_MSB[[#This Row],[Conv]]*(0.0001^2))</f>
        <v>0</v>
      </c>
      <c r="AQ141" s="72">
        <f>(Tradingbook_MSB[[#This Row],[MARKET_VALUE]]+Tradingbook_MSB[[#This Row],[Accr Int]]*Tradingbook_MSB[[#This Row],[Quantity_edited]])*(-Tradingbook_MSB[[#This Row],[Modified Duration]]*0.01+0.5*Tradingbook_MSB[[#This Row],[Conv]]*(0.01^2))</f>
        <v>0</v>
      </c>
      <c r="AR141" s="71"/>
      <c r="AT141" t="s">
        <v>166</v>
      </c>
      <c r="AU141" t="s">
        <v>3300</v>
      </c>
      <c r="AV141" t="s">
        <v>616</v>
      </c>
      <c r="AW141" t="s">
        <v>169</v>
      </c>
      <c r="AX141" t="s">
        <v>3431</v>
      </c>
      <c r="AY141" t="s">
        <v>3322</v>
      </c>
      <c r="AZ141">
        <v>114320</v>
      </c>
      <c r="BA141">
        <v>114320</v>
      </c>
      <c r="BB141">
        <v>0</v>
      </c>
      <c r="BC141">
        <v>0</v>
      </c>
      <c r="BD141">
        <v>0</v>
      </c>
      <c r="BE141">
        <v>0</v>
      </c>
      <c r="BF141">
        <v>7.6</v>
      </c>
      <c r="BG141">
        <v>2624</v>
      </c>
      <c r="BH141">
        <v>73188000000</v>
      </c>
      <c r="BI141">
        <v>90782933945.000305</v>
      </c>
      <c r="BJ141">
        <v>-23469010408.096352</v>
      </c>
      <c r="BK141">
        <v>4.1456087889999997</v>
      </c>
      <c r="BL141">
        <v>3.8855802215974999</v>
      </c>
      <c r="BM141">
        <v>4.0466611800000001</v>
      </c>
      <c r="BN141">
        <v>20.192214793641799</v>
      </c>
      <c r="BO141">
        <v>0</v>
      </c>
      <c r="BP141">
        <v>0</v>
      </c>
      <c r="BQ141">
        <v>0</v>
      </c>
      <c r="BR141">
        <v>3875870000</v>
      </c>
      <c r="BS141">
        <v>0</v>
      </c>
      <c r="BT141">
        <v>3875870000</v>
      </c>
      <c r="BU141">
        <v>3875870000</v>
      </c>
      <c r="BV141">
        <v>3875870000</v>
      </c>
      <c r="BW141">
        <v>3875870000</v>
      </c>
      <c r="BX141">
        <v>0</v>
      </c>
      <c r="BY141" s="32">
        <f>Bankingbook_MSB[[#This Row],[Mat. Date]]-RPT</f>
        <v>1700</v>
      </c>
      <c r="BZ141" s="71">
        <f>IF(Bankingbook_MSB[[#This Row],[Days]]&lt;=0,0,YEARFRAC(RPT,Bankingbook_MSB[[#This Row],[Mat. Date]],3))</f>
        <v>4.6575342465753424</v>
      </c>
      <c r="CA141" s="71" t="str">
        <f>IF(Bankingbook_MSB[[#This Row],[Days (year)]]=0,0,INDEX(Ref!$K$2:$K$13,MATCH(Bankingbook_MSB[[#This Row],[Days (year)]],Ref!$I$2:$I$13,1)))</f>
        <v>5Y</v>
      </c>
      <c r="CB141" s="32" t="str">
        <f>VLOOKUP(Bankingbook_MSB[[#This Row],[Security Name]],Ref!X:Z,3,0)</f>
        <v>TPCP</v>
      </c>
      <c r="CC141" s="32" t="str">
        <f>VLOOKUP(Bankingbook_MSB[[#This Row],[Security Name]],Ref!X:Y,2,0)</f>
        <v>KBNN</v>
      </c>
      <c r="CD141" s="72">
        <f>IF((Bankingbook_MSB[[#This Row],[Mat. Date]]-RPT)&lt;=0,0,Bankingbook_MSB[[#This Row],[QUANTITY]])</f>
        <v>0</v>
      </c>
      <c r="CE141" s="71">
        <f>IF(Bankingbook_MSB[[#This Row],[Quantity_edited]]=0,0,Bankingbook_MSB[[#This Row],[DURATION]])</f>
        <v>0</v>
      </c>
      <c r="CF141" s="71">
        <f>IF(Bankingbook_MSB[[#This Row],[Quantity_edited]]=0,0,Bankingbook_MSB[[#This Row],[Mod Dur]])</f>
        <v>0</v>
      </c>
      <c r="CG141" s="71">
        <f>IF(Bankingbook_MSB[[#This Row],[Quantity_edited]]=0,0,Bankingbook_MSB[[#This Row],[Cnvx.]])</f>
        <v>0</v>
      </c>
      <c r="CH141" s="71">
        <f>(Bankingbook_MSB[[#This Row],[MARKET_VALUE]]+Bankingbook_MSB[[#This Row],[Accr Int]]*Bankingbook_MSB[[#This Row],[Quantity_edited]])*(-Bankingbook_MSB[[#This Row],[Modified Duration]]*0.0001+0.5*Bankingbook_MSB[[#This Row],[Conv]]*(0.0001^2))</f>
        <v>0</v>
      </c>
      <c r="CI141" s="71">
        <f>(Bankingbook_MSB[[#This Row],[MARKET_VALUE]]+Bankingbook_MSB[[#This Row],[Accr Int]]*Bankingbook_MSB[[#This Row],[Quantity_edited]])*(-Bankingbook_MSB[[#This Row],[Modified Duration]]*0.01+0.5*Bankingbook_MSB[[#This Row],[Conv]]*(0.01^2))</f>
        <v>0</v>
      </c>
      <c r="CL141" t="s">
        <v>166</v>
      </c>
      <c r="CM141" t="s">
        <v>167</v>
      </c>
      <c r="CN141" t="s">
        <v>318</v>
      </c>
      <c r="CO141" t="s">
        <v>169</v>
      </c>
      <c r="CP141" s="35">
        <v>42776</v>
      </c>
      <c r="CQ141" t="s">
        <v>3322</v>
      </c>
      <c r="CR141" t="s">
        <v>174</v>
      </c>
      <c r="CS141" t="s">
        <v>174</v>
      </c>
      <c r="CT141" s="49">
        <v>0</v>
      </c>
      <c r="CU141">
        <v>0</v>
      </c>
      <c r="CV141">
        <v>0</v>
      </c>
      <c r="CW141" s="70">
        <v>0</v>
      </c>
      <c r="CX141">
        <v>12.25</v>
      </c>
      <c r="CY141">
        <v>0</v>
      </c>
      <c r="CZ141">
        <v>40932150000</v>
      </c>
      <c r="DA141">
        <v>45275883660.048508</v>
      </c>
      <c r="DB141">
        <v>-11075769134.700136</v>
      </c>
      <c r="DC141">
        <v>12.25</v>
      </c>
      <c r="DD141">
        <v>0</v>
      </c>
      <c r="DE141">
        <v>0</v>
      </c>
      <c r="DF141">
        <v>0</v>
      </c>
      <c r="DG141">
        <v>0</v>
      </c>
      <c r="DH141">
        <v>0</v>
      </c>
      <c r="DI141">
        <v>0</v>
      </c>
      <c r="DJ141" s="500">
        <v>24471751999.999939</v>
      </c>
      <c r="DK141" s="500">
        <v>0</v>
      </c>
      <c r="DL141" s="37">
        <v>24471751999.999939</v>
      </c>
      <c r="DM141" s="37">
        <v>24471751999.999939</v>
      </c>
      <c r="DN141" s="37">
        <v>24471752000</v>
      </c>
      <c r="DO141" s="37">
        <v>24471751999.999939</v>
      </c>
      <c r="DP141" s="32">
        <f>Tradingbook_SBV[[#This Row],[Mat. Date]]-RPT</f>
        <v>-3476</v>
      </c>
      <c r="DQ141" s="32">
        <f>IF(Tradingbook_SBV[[#This Row],[Days]]&lt;=0,0,YEARFRAC(RPT,Tradingbook_SBV[[#This Row],[Mat. Date]],3))</f>
        <v>0</v>
      </c>
      <c r="DR141" s="32">
        <f>IF(Tradingbook_SBV[[#This Row],[Days (year)]]=0,0,INDEX(Ref!$K$2:$K$13,MATCH(Tradingbook_SBV[[#This Row],[Days (year)]],Ref!$I$2:$I$13,1)))</f>
        <v>0</v>
      </c>
      <c r="DS141" s="32" t="str">
        <f>VLOOKUP(Tradingbook_SBV[[#This Row],[Security Name]],Ref!X:Z,3,0)</f>
        <v>TPCPBL</v>
      </c>
      <c r="DT141" s="32" t="str">
        <f>VLOOKUP(Tradingbook_SBV[[#This Row],[Security Name]],Ref!X:Y,2,0)</f>
        <v>VDB</v>
      </c>
      <c r="DU141" s="71">
        <f>IF((Tradingbook_SBV[[#This Row],[Mat. Date]]-RPT)&lt;=0,0,Tradingbook_SBV[[#This Row],[QUANTITY]])</f>
        <v>0</v>
      </c>
      <c r="DV141" s="71">
        <f>IF(Tradingbook_SBV[[#This Row],[Quantity_edited]]=0,0,Tradingbook_SBV[[#This Row],[DURATION]])</f>
        <v>0</v>
      </c>
      <c r="DW141" s="71">
        <f>IF(Tradingbook_SBV[[#This Row],[Quantity_edited]]=0,0,Tradingbook_SBV[[#This Row],[Mod Dur]])</f>
        <v>0</v>
      </c>
      <c r="DX141" s="71">
        <f>IF(Tradingbook_SBV[[#This Row],[Quantity_edited]]=0,0,Tradingbook_SBV[[#This Row],[Cnvx.]])</f>
        <v>0</v>
      </c>
      <c r="DY141" s="71">
        <f>(Tradingbook_SBV[[#This Row],[MARKET_VALUE]]+Tradingbook_SBV[[#This Row],[Accr Int]]*Tradingbook_SBV[[#This Row],[Quantity_edited]])*(-Tradingbook_SBV[[#This Row],[Modified Duration]]*0.0001+0.5*Tradingbook_SBV[[#This Row],[Conv]]*(0.0001^2))</f>
        <v>0</v>
      </c>
      <c r="DZ141" s="71">
        <f>(Tradingbook_SBV[[#This Row],[MARKET_VALUE]]+Tradingbook_SBV[[#This Row],[Accr Int]]*Tradingbook_SBV[[#This Row],[Quantity_edited]])*(-Tradingbook_SBV[[#This Row],[Modified Duration]]*0.01+0.5*Tradingbook_SBV[[#This Row],[Conv]]*(0.01^2))</f>
        <v>0</v>
      </c>
      <c r="EC141" t="s">
        <v>166</v>
      </c>
      <c r="ED141" t="s">
        <v>167</v>
      </c>
      <c r="EE141" t="s">
        <v>542</v>
      </c>
      <c r="EF141" t="s">
        <v>169</v>
      </c>
      <c r="EG141" s="35" t="s">
        <v>3762</v>
      </c>
      <c r="EH141" t="s">
        <v>3322</v>
      </c>
      <c r="EK141" s="500">
        <v>0</v>
      </c>
      <c r="EL141" s="500">
        <v>0</v>
      </c>
      <c r="EM141" s="500">
        <v>0</v>
      </c>
      <c r="EN141" s="500">
        <v>0</v>
      </c>
      <c r="EO141">
        <v>4.8</v>
      </c>
      <c r="EP141">
        <v>0</v>
      </c>
      <c r="EQ141">
        <v>2112000000</v>
      </c>
      <c r="ER141">
        <v>2309660773.3333278</v>
      </c>
      <c r="ES141">
        <v>-1071974820.3444519</v>
      </c>
      <c r="ET141">
        <v>4.8</v>
      </c>
      <c r="EU141">
        <v>0</v>
      </c>
      <c r="EV141">
        <v>0</v>
      </c>
      <c r="EW141">
        <v>0</v>
      </c>
      <c r="EX141">
        <v>0</v>
      </c>
      <c r="EY141">
        <v>0</v>
      </c>
      <c r="EZ141">
        <v>0</v>
      </c>
      <c r="FA141">
        <v>3934380000</v>
      </c>
      <c r="FB141">
        <v>0</v>
      </c>
      <c r="FC141">
        <v>3934380000</v>
      </c>
      <c r="FD141">
        <v>3934380000</v>
      </c>
      <c r="FE141">
        <v>3934380000</v>
      </c>
      <c r="FF141">
        <v>3934380000</v>
      </c>
      <c r="FG141" s="32">
        <f>Bankingbook_SBV[[#This Row],[Mat. Date]]-RPT</f>
        <v>-668</v>
      </c>
      <c r="FH141" s="32">
        <f>IF(Bankingbook_SBV[[#This Row],[Days]]&lt;=0,0,YEARFRAC(RPT,Bankingbook_SBV[[#This Row],[Mat. Date]],3))</f>
        <v>0</v>
      </c>
      <c r="FI141" s="32">
        <f>IF(Bankingbook_SBV[[#This Row],[Days (year)]]=0,0,INDEX(Ref!$K$2:$K$13,MATCH(Bankingbook_SBV[[#This Row],[Days (year)]],Ref!$I$2:$I$13,1)))</f>
        <v>0</v>
      </c>
      <c r="FJ141" s="32" t="str">
        <f>VLOOKUP(Bankingbook_SBV[[#This Row],[Security Name]],Ref!X:Z,3,0)</f>
        <v>TPCP</v>
      </c>
      <c r="FK141" s="32" t="str">
        <f>VLOOKUP(Bankingbook_SBV[[#This Row],[Security Name]],Ref!X:Y,2,0)</f>
        <v>KBNN</v>
      </c>
      <c r="FL141" s="72">
        <f>IF((Bankingbook_SBV[[#This Row],[Mat. Date]]-RPT)&lt;=0,0,Bankingbook_SBV[[#This Row],[QUANTITY]])</f>
        <v>0</v>
      </c>
      <c r="FM141" s="32">
        <f>IF(Bankingbook_SBV[[#This Row],[Quantity_edited]]=0,0,Bankingbook_SBV[[#This Row],[DURATION]])</f>
        <v>0</v>
      </c>
      <c r="FN141" s="32">
        <f>IF(Bankingbook_SBV[[#This Row],[Quantity_edited]]=0,0,Bankingbook_SBV[[#This Row],[Mod Dur]])</f>
        <v>0</v>
      </c>
      <c r="FO141" s="32">
        <f>IF(Bankingbook_SBV[[#This Row],[Quantity_edited]]=0,0,Bankingbook_SBV[[#This Row],[Cnvx.]])</f>
        <v>0</v>
      </c>
      <c r="FP141" s="32">
        <f>(Bankingbook_SBV[[#This Row],[MARKET_VALUE]]+Bankingbook_SBV[[#This Row],[Accr Int]]*Bankingbook_SBV[[#This Row],[Quantity_edited]])*(-Bankingbook_SBV[[#This Row],[Modified Duration]]*0.0001+0.5*Bankingbook_SBV[[#This Row],[Conv]]*(0.0001^2))</f>
        <v>0</v>
      </c>
      <c r="FQ141" s="32">
        <f>(Bankingbook_SBV[[#This Row],[MARKET_VALUE]]+Bankingbook_SBV[[#This Row],[Accr Int]]*Bankingbook_SBV[[#This Row],[Quantity_edited]])*(-Bankingbook_SBV[[#This Row],[Modified Duration]]*0.01+0.5*Bankingbook_SBV[[#This Row],[Conv]]*(0.01^2))</f>
        <v>0</v>
      </c>
    </row>
    <row r="142" spans="2:173" x14ac:dyDescent="0.3">
      <c r="B142" t="s">
        <v>166</v>
      </c>
      <c r="C142" t="s">
        <v>167</v>
      </c>
      <c r="D142" t="s">
        <v>319</v>
      </c>
      <c r="E142" t="s">
        <v>169</v>
      </c>
      <c r="F142" s="502">
        <v>42781</v>
      </c>
      <c r="G142" t="s">
        <v>3322</v>
      </c>
      <c r="H142"/>
      <c r="I142"/>
      <c r="J142" s="38">
        <v>0</v>
      </c>
      <c r="K142">
        <v>0</v>
      </c>
      <c r="L142">
        <v>0</v>
      </c>
      <c r="M142" s="38">
        <v>0</v>
      </c>
      <c r="N142">
        <v>6.9</v>
      </c>
      <c r="O142">
        <v>0</v>
      </c>
      <c r="P142" s="37">
        <v>6900000000</v>
      </c>
      <c r="Q142" s="37">
        <v>7335801124.9999886</v>
      </c>
      <c r="R142" s="37">
        <v>-2798901005.404963</v>
      </c>
      <c r="S142">
        <v>6.9</v>
      </c>
      <c r="T142" s="70">
        <v>0</v>
      </c>
      <c r="U142">
        <v>0</v>
      </c>
      <c r="V142">
        <v>0</v>
      </c>
      <c r="W142">
        <v>0</v>
      </c>
      <c r="X142" s="38">
        <v>0</v>
      </c>
      <c r="Y142">
        <v>0</v>
      </c>
      <c r="Z142" s="70">
        <v>9581000000</v>
      </c>
      <c r="AA142" s="70">
        <v>0</v>
      </c>
      <c r="AB142" s="70">
        <v>9581000000</v>
      </c>
      <c r="AC142" s="70">
        <v>9581000000</v>
      </c>
      <c r="AD142" s="70">
        <v>9581000000</v>
      </c>
      <c r="AE142" s="70">
        <v>9581000000</v>
      </c>
      <c r="AF142">
        <v>0</v>
      </c>
      <c r="AG142" s="72">
        <f>Tradingbook_MSB[[#This Row],[Mat. Date]]-RPT</f>
        <v>-3471</v>
      </c>
      <c r="AH142" s="71">
        <f>IF(Tradingbook_MSB[[#This Row],[Days]]&lt;=0,0,YEARFRAC(RPT,Tradingbook_MSB[[#This Row],[Mat. Date]],3))</f>
        <v>0</v>
      </c>
      <c r="AI142" s="71">
        <f>IF(Tradingbook_MSB[[#This Row],[Days (year)]]=0,0,INDEX(Ref!$K$2:$K$13,MATCH(Tradingbook_MSB[[#This Row],[Days (year)]],Ref!$I$2:$I$13,1)))</f>
        <v>0</v>
      </c>
      <c r="AJ142" s="120" t="str">
        <f>VLOOKUP(Tradingbook_MSB[[#This Row],[Security Name]],Ref!X:Z,3,0)</f>
        <v>TPCP</v>
      </c>
      <c r="AK142" s="120" t="str">
        <f>VLOOKUP(Tradingbook_MSB[[#This Row],[Security Name]],Ref!X:Y,2,0)</f>
        <v>KBNN</v>
      </c>
      <c r="AL142" s="71">
        <f>IF((Tradingbook_MSB[[#This Row],[Mat. Date]]-RPT)&lt;=0,0,Tradingbook_MSB[[#This Row],[QUANTITY]])</f>
        <v>0</v>
      </c>
      <c r="AM142" s="71">
        <f>IF(Tradingbook_MSB[[#This Row],[Quantity_edited]]=0,0,Tradingbook_MSB[[#This Row],[DURATION]])</f>
        <v>0</v>
      </c>
      <c r="AN142" s="71">
        <f>IF(Tradingbook_MSB[[#This Row],[Quantity_edited]]=0,0,Tradingbook_MSB[[#This Row],[Mod Dur]])</f>
        <v>0</v>
      </c>
      <c r="AO142" s="71">
        <f>IF(Tradingbook_MSB[[#This Row],[Quantity_edited]]=0,0,Tradingbook_MSB[[#This Row],[Cnvx.]])</f>
        <v>0</v>
      </c>
      <c r="AP142" s="71">
        <f>(Tradingbook_MSB[[#This Row],[MARKET_VALUE]]+Tradingbook_MSB[[#This Row],[Accr Int]]*Tradingbook_MSB[[#This Row],[Quantity_edited]])*(-Tradingbook_MSB[[#This Row],[Modified Duration]]*0.0001+0.5*Tradingbook_MSB[[#This Row],[Conv]]*(0.0001^2))</f>
        <v>0</v>
      </c>
      <c r="AQ142" s="72">
        <f>(Tradingbook_MSB[[#This Row],[MARKET_VALUE]]+Tradingbook_MSB[[#This Row],[Accr Int]]*Tradingbook_MSB[[#This Row],[Quantity_edited]])*(-Tradingbook_MSB[[#This Row],[Modified Duration]]*0.01+0.5*Tradingbook_MSB[[#This Row],[Conv]]*(0.01^2))</f>
        <v>0</v>
      </c>
      <c r="AR142" s="71"/>
      <c r="AT142" t="s">
        <v>166</v>
      </c>
      <c r="AU142" t="s">
        <v>3300</v>
      </c>
      <c r="AV142" t="s">
        <v>617</v>
      </c>
      <c r="AW142" t="s">
        <v>169</v>
      </c>
      <c r="AX142" t="s">
        <v>3432</v>
      </c>
      <c r="AY142" t="s">
        <v>3322</v>
      </c>
      <c r="AZ142">
        <v>114538</v>
      </c>
      <c r="BA142">
        <v>114538</v>
      </c>
      <c r="BB142">
        <v>0</v>
      </c>
      <c r="BC142">
        <v>0</v>
      </c>
      <c r="BD142">
        <v>0</v>
      </c>
      <c r="BE142">
        <v>0</v>
      </c>
      <c r="BF142">
        <v>7.6</v>
      </c>
      <c r="BG142">
        <v>1603</v>
      </c>
      <c r="BH142">
        <v>0</v>
      </c>
      <c r="BI142">
        <v>9.2E-5</v>
      </c>
      <c r="BJ142">
        <v>-2324963826.6667461</v>
      </c>
      <c r="BK142">
        <v>4.1814161509999996</v>
      </c>
      <c r="BL142">
        <v>4.0126150132375997</v>
      </c>
      <c r="BM142">
        <v>4.1803991500000004</v>
      </c>
      <c r="BN142">
        <v>21.316319375466701</v>
      </c>
      <c r="BO142">
        <v>0</v>
      </c>
      <c r="BP142">
        <v>0</v>
      </c>
      <c r="BQ142">
        <v>0</v>
      </c>
      <c r="BR142">
        <v>-1340500000</v>
      </c>
      <c r="BS142">
        <v>0</v>
      </c>
      <c r="BT142">
        <v>-1340500000</v>
      </c>
      <c r="BU142">
        <v>-1340500000</v>
      </c>
      <c r="BV142">
        <v>-1340500000</v>
      </c>
      <c r="BW142">
        <v>-1340500000</v>
      </c>
      <c r="BX142">
        <v>0</v>
      </c>
      <c r="BY142" s="32">
        <f>Bankingbook_MSB[[#This Row],[Mat. Date]]-RPT</f>
        <v>1749</v>
      </c>
      <c r="BZ142" s="71">
        <f>IF(Bankingbook_MSB[[#This Row],[Days]]&lt;=0,0,YEARFRAC(RPT,Bankingbook_MSB[[#This Row],[Mat. Date]],3))</f>
        <v>4.7917808219178086</v>
      </c>
      <c r="CA142" s="71" t="str">
        <f>IF(Bankingbook_MSB[[#This Row],[Days (year)]]=0,0,INDEX(Ref!$K$2:$K$13,MATCH(Bankingbook_MSB[[#This Row],[Days (year)]],Ref!$I$2:$I$13,1)))</f>
        <v>5Y</v>
      </c>
      <c r="CB142" s="32" t="str">
        <f>VLOOKUP(Bankingbook_MSB[[#This Row],[Security Name]],Ref!X:Z,3,0)</f>
        <v>TPCP</v>
      </c>
      <c r="CC142" s="32" t="str">
        <f>VLOOKUP(Bankingbook_MSB[[#This Row],[Security Name]],Ref!X:Y,2,0)</f>
        <v>KBNN</v>
      </c>
      <c r="CD142" s="72">
        <f>IF((Bankingbook_MSB[[#This Row],[Mat. Date]]-RPT)&lt;=0,0,Bankingbook_MSB[[#This Row],[QUANTITY]])</f>
        <v>0</v>
      </c>
      <c r="CE142" s="71">
        <f>IF(Bankingbook_MSB[[#This Row],[Quantity_edited]]=0,0,Bankingbook_MSB[[#This Row],[DURATION]])</f>
        <v>0</v>
      </c>
      <c r="CF142" s="71">
        <f>IF(Bankingbook_MSB[[#This Row],[Quantity_edited]]=0,0,Bankingbook_MSB[[#This Row],[Mod Dur]])</f>
        <v>0</v>
      </c>
      <c r="CG142" s="71">
        <f>IF(Bankingbook_MSB[[#This Row],[Quantity_edited]]=0,0,Bankingbook_MSB[[#This Row],[Cnvx.]])</f>
        <v>0</v>
      </c>
      <c r="CH142" s="71">
        <f>(Bankingbook_MSB[[#This Row],[MARKET_VALUE]]+Bankingbook_MSB[[#This Row],[Accr Int]]*Bankingbook_MSB[[#This Row],[Quantity_edited]])*(-Bankingbook_MSB[[#This Row],[Modified Duration]]*0.0001+0.5*Bankingbook_MSB[[#This Row],[Conv]]*(0.0001^2))</f>
        <v>0</v>
      </c>
      <c r="CI142" s="71">
        <f>(Bankingbook_MSB[[#This Row],[MARKET_VALUE]]+Bankingbook_MSB[[#This Row],[Accr Int]]*Bankingbook_MSB[[#This Row],[Quantity_edited]])*(-Bankingbook_MSB[[#This Row],[Modified Duration]]*0.01+0.5*Bankingbook_MSB[[#This Row],[Conv]]*(0.01^2))</f>
        <v>0</v>
      </c>
      <c r="CL142" t="s">
        <v>166</v>
      </c>
      <c r="CM142" t="s">
        <v>167</v>
      </c>
      <c r="CN142" t="s">
        <v>319</v>
      </c>
      <c r="CO142" t="s">
        <v>169</v>
      </c>
      <c r="CP142" s="35">
        <v>42781</v>
      </c>
      <c r="CQ142" t="s">
        <v>3322</v>
      </c>
      <c r="CR142" t="s">
        <v>174</v>
      </c>
      <c r="CS142" t="s">
        <v>174</v>
      </c>
      <c r="CT142" s="49">
        <v>0</v>
      </c>
      <c r="CU142">
        <v>0</v>
      </c>
      <c r="CV142">
        <v>0</v>
      </c>
      <c r="CW142" s="70">
        <v>0</v>
      </c>
      <c r="CX142">
        <v>6.9</v>
      </c>
      <c r="CY142">
        <v>0</v>
      </c>
      <c r="CZ142">
        <v>6900000000</v>
      </c>
      <c r="DA142">
        <v>7335801124.9999886</v>
      </c>
      <c r="DB142">
        <v>-2798901005.404963</v>
      </c>
      <c r="DC142">
        <v>6.9</v>
      </c>
      <c r="DD142">
        <v>0</v>
      </c>
      <c r="DE142">
        <v>0</v>
      </c>
      <c r="DF142">
        <v>0</v>
      </c>
      <c r="DG142">
        <v>0</v>
      </c>
      <c r="DH142">
        <v>0</v>
      </c>
      <c r="DI142">
        <v>0</v>
      </c>
      <c r="DJ142" s="500">
        <v>9581000000</v>
      </c>
      <c r="DK142" s="500">
        <v>0</v>
      </c>
      <c r="DL142" s="37">
        <v>9581000000</v>
      </c>
      <c r="DM142" s="37">
        <v>9581000000</v>
      </c>
      <c r="DN142" s="37">
        <v>9581000000</v>
      </c>
      <c r="DO142" s="37">
        <v>9581000000</v>
      </c>
      <c r="DP142" s="32">
        <f>Tradingbook_SBV[[#This Row],[Mat. Date]]-RPT</f>
        <v>-3471</v>
      </c>
      <c r="DQ142" s="32">
        <f>IF(Tradingbook_SBV[[#This Row],[Days]]&lt;=0,0,YEARFRAC(RPT,Tradingbook_SBV[[#This Row],[Mat. Date]],3))</f>
        <v>0</v>
      </c>
      <c r="DR142" s="32">
        <f>IF(Tradingbook_SBV[[#This Row],[Days (year)]]=0,0,INDEX(Ref!$K$2:$K$13,MATCH(Tradingbook_SBV[[#This Row],[Days (year)]],Ref!$I$2:$I$13,1)))</f>
        <v>0</v>
      </c>
      <c r="DS142" s="32" t="str">
        <f>VLOOKUP(Tradingbook_SBV[[#This Row],[Security Name]],Ref!X:Z,3,0)</f>
        <v>TPCP</v>
      </c>
      <c r="DT142" s="32" t="str">
        <f>VLOOKUP(Tradingbook_SBV[[#This Row],[Security Name]],Ref!X:Y,2,0)</f>
        <v>KBNN</v>
      </c>
      <c r="DU142" s="71">
        <f>IF((Tradingbook_SBV[[#This Row],[Mat. Date]]-RPT)&lt;=0,0,Tradingbook_SBV[[#This Row],[QUANTITY]])</f>
        <v>0</v>
      </c>
      <c r="DV142" s="71">
        <f>IF(Tradingbook_SBV[[#This Row],[Quantity_edited]]=0,0,Tradingbook_SBV[[#This Row],[DURATION]])</f>
        <v>0</v>
      </c>
      <c r="DW142" s="71">
        <f>IF(Tradingbook_SBV[[#This Row],[Quantity_edited]]=0,0,Tradingbook_SBV[[#This Row],[Mod Dur]])</f>
        <v>0</v>
      </c>
      <c r="DX142" s="71">
        <f>IF(Tradingbook_SBV[[#This Row],[Quantity_edited]]=0,0,Tradingbook_SBV[[#This Row],[Cnvx.]])</f>
        <v>0</v>
      </c>
      <c r="DY142" s="71">
        <f>(Tradingbook_SBV[[#This Row],[MARKET_VALUE]]+Tradingbook_SBV[[#This Row],[Accr Int]]*Tradingbook_SBV[[#This Row],[Quantity_edited]])*(-Tradingbook_SBV[[#This Row],[Modified Duration]]*0.0001+0.5*Tradingbook_SBV[[#This Row],[Conv]]*(0.0001^2))</f>
        <v>0</v>
      </c>
      <c r="DZ142" s="71">
        <f>(Tradingbook_SBV[[#This Row],[MARKET_VALUE]]+Tradingbook_SBV[[#This Row],[Accr Int]]*Tradingbook_SBV[[#This Row],[Quantity_edited]])*(-Tradingbook_SBV[[#This Row],[Modified Duration]]*0.01+0.5*Tradingbook_SBV[[#This Row],[Conv]]*(0.01^2))</f>
        <v>0</v>
      </c>
      <c r="EC142" t="s">
        <v>166</v>
      </c>
      <c r="ED142" t="s">
        <v>167</v>
      </c>
      <c r="EE142" t="s">
        <v>543</v>
      </c>
      <c r="EF142" t="s">
        <v>169</v>
      </c>
      <c r="EG142" s="35" t="s">
        <v>544</v>
      </c>
      <c r="EH142" t="s">
        <v>170</v>
      </c>
      <c r="EK142" s="500">
        <v>4000000</v>
      </c>
      <c r="EL142" s="500">
        <v>400000000000</v>
      </c>
      <c r="EM142" s="500">
        <v>99312.462</v>
      </c>
      <c r="EN142" s="500">
        <v>0</v>
      </c>
      <c r="EO142">
        <v>3.7</v>
      </c>
      <c r="EP142">
        <v>0</v>
      </c>
      <c r="EQ142">
        <v>81400000000</v>
      </c>
      <c r="ER142">
        <v>84900222097.222061</v>
      </c>
      <c r="ES142">
        <v>-37941964473.610466</v>
      </c>
      <c r="ET142">
        <v>3.7</v>
      </c>
      <c r="EU142">
        <v>0</v>
      </c>
      <c r="EV142">
        <v>0</v>
      </c>
      <c r="EW142">
        <v>0</v>
      </c>
      <c r="EX142">
        <v>0</v>
      </c>
      <c r="EY142">
        <v>0</v>
      </c>
      <c r="EZ142">
        <v>0</v>
      </c>
      <c r="FA142">
        <v>29000000.000072479</v>
      </c>
      <c r="FB142">
        <v>0</v>
      </c>
      <c r="FC142">
        <v>29000000.000072502</v>
      </c>
      <c r="FD142">
        <v>29000000.000072502</v>
      </c>
      <c r="FE142">
        <v>29000000</v>
      </c>
      <c r="FF142">
        <v>29000000.000072502</v>
      </c>
      <c r="FG142" s="32">
        <f>Bankingbook_SBV[[#This Row],[Mat. Date]]-RPT</f>
        <v>-636</v>
      </c>
      <c r="FH142" s="32">
        <f>IF(Bankingbook_SBV[[#This Row],[Days]]&lt;=0,0,YEARFRAC(RPT,Bankingbook_SBV[[#This Row],[Mat. Date]],3))</f>
        <v>0</v>
      </c>
      <c r="FI142" s="32">
        <f>IF(Bankingbook_SBV[[#This Row],[Days (year)]]=0,0,INDEX(Ref!$K$2:$K$13,MATCH(Bankingbook_SBV[[#This Row],[Days (year)]],Ref!$I$2:$I$13,1)))</f>
        <v>0</v>
      </c>
      <c r="FJ142" s="32" t="str">
        <f>VLOOKUP(Bankingbook_SBV[[#This Row],[Security Name]],Ref!X:Z,3,0)</f>
        <v>TPCPBL</v>
      </c>
      <c r="FK142" s="32" t="str">
        <f>VLOOKUP(Bankingbook_SBV[[#This Row],[Security Name]],Ref!X:Y,2,0)</f>
        <v>VDB</v>
      </c>
      <c r="FL142" s="72">
        <f>IF((Bankingbook_SBV[[#This Row],[Mat. Date]]-RPT)&lt;=0,0,Bankingbook_SBV[[#This Row],[QUANTITY]])</f>
        <v>0</v>
      </c>
      <c r="FM142" s="32">
        <f>IF(Bankingbook_SBV[[#This Row],[Quantity_edited]]=0,0,Bankingbook_SBV[[#This Row],[DURATION]])</f>
        <v>0</v>
      </c>
      <c r="FN142" s="32">
        <f>IF(Bankingbook_SBV[[#This Row],[Quantity_edited]]=0,0,Bankingbook_SBV[[#This Row],[Mod Dur]])</f>
        <v>0</v>
      </c>
      <c r="FO142" s="32">
        <f>IF(Bankingbook_SBV[[#This Row],[Quantity_edited]]=0,0,Bankingbook_SBV[[#This Row],[Cnvx.]])</f>
        <v>0</v>
      </c>
      <c r="FP142" s="32">
        <f>(Bankingbook_SBV[[#This Row],[MARKET_VALUE]]+Bankingbook_SBV[[#This Row],[Accr Int]]*Bankingbook_SBV[[#This Row],[Quantity_edited]])*(-Bankingbook_SBV[[#This Row],[Modified Duration]]*0.0001+0.5*Bankingbook_SBV[[#This Row],[Conv]]*(0.0001^2))</f>
        <v>0</v>
      </c>
      <c r="FQ142" s="32">
        <f>(Bankingbook_SBV[[#This Row],[MARKET_VALUE]]+Bankingbook_SBV[[#This Row],[Accr Int]]*Bankingbook_SBV[[#This Row],[Quantity_edited]])*(-Bankingbook_SBV[[#This Row],[Modified Duration]]*0.01+0.5*Bankingbook_SBV[[#This Row],[Conv]]*(0.01^2))</f>
        <v>0</v>
      </c>
    </row>
    <row r="143" spans="2:173" x14ac:dyDescent="0.3">
      <c r="B143" t="s">
        <v>166</v>
      </c>
      <c r="C143" t="s">
        <v>167</v>
      </c>
      <c r="D143" t="s">
        <v>320</v>
      </c>
      <c r="E143" t="s">
        <v>169</v>
      </c>
      <c r="F143" s="502">
        <v>42783</v>
      </c>
      <c r="G143" t="s">
        <v>3322</v>
      </c>
      <c r="H143"/>
      <c r="I143"/>
      <c r="J143" s="38">
        <v>0</v>
      </c>
      <c r="K143">
        <v>0</v>
      </c>
      <c r="L143">
        <v>0</v>
      </c>
      <c r="M143" s="38">
        <v>0</v>
      </c>
      <c r="N143">
        <v>12.2</v>
      </c>
      <c r="O143">
        <v>0</v>
      </c>
      <c r="P143" s="37">
        <v>73790358000</v>
      </c>
      <c r="Q143" s="37">
        <v>82517698925.225067</v>
      </c>
      <c r="R143" s="37">
        <v>-19159070425.981354</v>
      </c>
      <c r="S143">
        <v>12.2</v>
      </c>
      <c r="T143" s="70">
        <v>0</v>
      </c>
      <c r="U143">
        <v>0</v>
      </c>
      <c r="V143">
        <v>0</v>
      </c>
      <c r="W143">
        <v>0</v>
      </c>
      <c r="X143" s="38">
        <v>0</v>
      </c>
      <c r="Y143">
        <v>0</v>
      </c>
      <c r="Z143" s="70">
        <v>47147038610</v>
      </c>
      <c r="AA143" s="70">
        <v>0</v>
      </c>
      <c r="AB143" s="70">
        <v>47147038610</v>
      </c>
      <c r="AC143" s="70">
        <v>47147038610</v>
      </c>
      <c r="AD143" s="70">
        <v>47147038610</v>
      </c>
      <c r="AE143" s="70">
        <v>47147038610</v>
      </c>
      <c r="AF143">
        <v>0</v>
      </c>
      <c r="AG143" s="72">
        <f>Tradingbook_MSB[[#This Row],[Mat. Date]]-RPT</f>
        <v>-3469</v>
      </c>
      <c r="AH143" s="71">
        <f>IF(Tradingbook_MSB[[#This Row],[Days]]&lt;=0,0,YEARFRAC(RPT,Tradingbook_MSB[[#This Row],[Mat. Date]],3))</f>
        <v>0</v>
      </c>
      <c r="AI143" s="71">
        <f>IF(Tradingbook_MSB[[#This Row],[Days (year)]]=0,0,INDEX(Ref!$K$2:$K$13,MATCH(Tradingbook_MSB[[#This Row],[Days (year)]],Ref!$I$2:$I$13,1)))</f>
        <v>0</v>
      </c>
      <c r="AJ143" s="120" t="str">
        <f>VLOOKUP(Tradingbook_MSB[[#This Row],[Security Name]],Ref!X:Z,3,0)</f>
        <v>TPCPBL</v>
      </c>
      <c r="AK143" s="120" t="str">
        <f>VLOOKUP(Tradingbook_MSB[[#This Row],[Security Name]],Ref!X:Y,2,0)</f>
        <v>VDB</v>
      </c>
      <c r="AL143" s="71">
        <f>IF((Tradingbook_MSB[[#This Row],[Mat. Date]]-RPT)&lt;=0,0,Tradingbook_MSB[[#This Row],[QUANTITY]])</f>
        <v>0</v>
      </c>
      <c r="AM143" s="71">
        <f>IF(Tradingbook_MSB[[#This Row],[Quantity_edited]]=0,0,Tradingbook_MSB[[#This Row],[DURATION]])</f>
        <v>0</v>
      </c>
      <c r="AN143" s="71">
        <f>IF(Tradingbook_MSB[[#This Row],[Quantity_edited]]=0,0,Tradingbook_MSB[[#This Row],[Mod Dur]])</f>
        <v>0</v>
      </c>
      <c r="AO143" s="71">
        <f>IF(Tradingbook_MSB[[#This Row],[Quantity_edited]]=0,0,Tradingbook_MSB[[#This Row],[Cnvx.]])</f>
        <v>0</v>
      </c>
      <c r="AP143" s="71">
        <f>(Tradingbook_MSB[[#This Row],[MARKET_VALUE]]+Tradingbook_MSB[[#This Row],[Accr Int]]*Tradingbook_MSB[[#This Row],[Quantity_edited]])*(-Tradingbook_MSB[[#This Row],[Modified Duration]]*0.0001+0.5*Tradingbook_MSB[[#This Row],[Conv]]*(0.0001^2))</f>
        <v>0</v>
      </c>
      <c r="AQ143" s="72">
        <f>(Tradingbook_MSB[[#This Row],[MARKET_VALUE]]+Tradingbook_MSB[[#This Row],[Accr Int]]*Tradingbook_MSB[[#This Row],[Quantity_edited]])*(-Tradingbook_MSB[[#This Row],[Modified Duration]]*0.01+0.5*Tradingbook_MSB[[#This Row],[Conv]]*(0.01^2))</f>
        <v>0</v>
      </c>
      <c r="AR143" s="71"/>
      <c r="AT143" t="s">
        <v>166</v>
      </c>
      <c r="AU143" t="s">
        <v>3300</v>
      </c>
      <c r="AV143" t="s">
        <v>618</v>
      </c>
      <c r="AW143" t="s">
        <v>169</v>
      </c>
      <c r="AX143" t="s">
        <v>3433</v>
      </c>
      <c r="AY143" t="s">
        <v>3322</v>
      </c>
      <c r="AZ143">
        <v>114401</v>
      </c>
      <c r="BA143">
        <v>114401</v>
      </c>
      <c r="BB143">
        <v>0</v>
      </c>
      <c r="BC143">
        <v>0</v>
      </c>
      <c r="BD143">
        <v>0</v>
      </c>
      <c r="BE143">
        <v>0</v>
      </c>
      <c r="BF143">
        <v>8.1</v>
      </c>
      <c r="BG143">
        <v>1376</v>
      </c>
      <c r="BH143">
        <v>32400000000</v>
      </c>
      <c r="BI143">
        <v>39759111000.000214</v>
      </c>
      <c r="BJ143">
        <v>-3748531365.2780991</v>
      </c>
      <c r="BK143">
        <v>4.6925604339999998</v>
      </c>
      <c r="BL143">
        <v>3.9985322454377998</v>
      </c>
      <c r="BM143">
        <v>4.1861657900000004</v>
      </c>
      <c r="BN143">
        <v>21.2183870166098</v>
      </c>
      <c r="BO143">
        <v>0</v>
      </c>
      <c r="BP143">
        <v>0</v>
      </c>
      <c r="BQ143">
        <v>0</v>
      </c>
      <c r="BR143">
        <v>25054000000</v>
      </c>
      <c r="BS143">
        <v>0</v>
      </c>
      <c r="BT143">
        <v>25054000000</v>
      </c>
      <c r="BU143">
        <v>25054000000</v>
      </c>
      <c r="BV143">
        <v>25054000000</v>
      </c>
      <c r="BW143">
        <v>25054000000</v>
      </c>
      <c r="BX143">
        <v>0</v>
      </c>
      <c r="BY143" s="32">
        <f>Bankingbook_MSB[[#This Row],[Mat. Date]]-RPT</f>
        <v>1764</v>
      </c>
      <c r="BZ143" s="71">
        <f>IF(Bankingbook_MSB[[#This Row],[Days]]&lt;=0,0,YEARFRAC(RPT,Bankingbook_MSB[[#This Row],[Mat. Date]],3))</f>
        <v>4.8328767123287673</v>
      </c>
      <c r="CA143" s="71" t="str">
        <f>IF(Bankingbook_MSB[[#This Row],[Days (year)]]=0,0,INDEX(Ref!$K$2:$K$13,MATCH(Bankingbook_MSB[[#This Row],[Days (year)]],Ref!$I$2:$I$13,1)))</f>
        <v>5Y</v>
      </c>
      <c r="CB143" s="32" t="str">
        <f>VLOOKUP(Bankingbook_MSB[[#This Row],[Security Name]],Ref!X:Z,3,0)</f>
        <v>TPCPBL</v>
      </c>
      <c r="CC143" s="32" t="str">
        <f>VLOOKUP(Bankingbook_MSB[[#This Row],[Security Name]],Ref!X:Y,2,0)</f>
        <v>VBS</v>
      </c>
      <c r="CD143" s="72">
        <f>IF((Bankingbook_MSB[[#This Row],[Mat. Date]]-RPT)&lt;=0,0,Bankingbook_MSB[[#This Row],[QUANTITY]])</f>
        <v>0</v>
      </c>
      <c r="CE143" s="71">
        <f>IF(Bankingbook_MSB[[#This Row],[Quantity_edited]]=0,0,Bankingbook_MSB[[#This Row],[DURATION]])</f>
        <v>0</v>
      </c>
      <c r="CF143" s="71">
        <f>IF(Bankingbook_MSB[[#This Row],[Quantity_edited]]=0,0,Bankingbook_MSB[[#This Row],[Mod Dur]])</f>
        <v>0</v>
      </c>
      <c r="CG143" s="71">
        <f>IF(Bankingbook_MSB[[#This Row],[Quantity_edited]]=0,0,Bankingbook_MSB[[#This Row],[Cnvx.]])</f>
        <v>0</v>
      </c>
      <c r="CH143" s="71">
        <f>(Bankingbook_MSB[[#This Row],[MARKET_VALUE]]+Bankingbook_MSB[[#This Row],[Accr Int]]*Bankingbook_MSB[[#This Row],[Quantity_edited]])*(-Bankingbook_MSB[[#This Row],[Modified Duration]]*0.0001+0.5*Bankingbook_MSB[[#This Row],[Conv]]*(0.0001^2))</f>
        <v>0</v>
      </c>
      <c r="CI143" s="71">
        <f>(Bankingbook_MSB[[#This Row],[MARKET_VALUE]]+Bankingbook_MSB[[#This Row],[Accr Int]]*Bankingbook_MSB[[#This Row],[Quantity_edited]])*(-Bankingbook_MSB[[#This Row],[Modified Duration]]*0.01+0.5*Bankingbook_MSB[[#This Row],[Conv]]*(0.01^2))</f>
        <v>0</v>
      </c>
      <c r="CL143" t="s">
        <v>166</v>
      </c>
      <c r="CM143" t="s">
        <v>167</v>
      </c>
      <c r="CN143" t="s">
        <v>320</v>
      </c>
      <c r="CO143" t="s">
        <v>169</v>
      </c>
      <c r="CP143" s="35">
        <v>42783</v>
      </c>
      <c r="CQ143" t="s">
        <v>3322</v>
      </c>
      <c r="CR143" t="s">
        <v>174</v>
      </c>
      <c r="CS143" t="s">
        <v>174</v>
      </c>
      <c r="CT143" s="49">
        <v>0</v>
      </c>
      <c r="CU143">
        <v>0</v>
      </c>
      <c r="CV143">
        <v>0</v>
      </c>
      <c r="CW143" s="70">
        <v>0</v>
      </c>
      <c r="CX143">
        <v>12.2</v>
      </c>
      <c r="CY143">
        <v>0</v>
      </c>
      <c r="CZ143">
        <v>73790358000</v>
      </c>
      <c r="DA143">
        <v>82517698925.225067</v>
      </c>
      <c r="DB143">
        <v>-19159070425.981354</v>
      </c>
      <c r="DC143">
        <v>12.2</v>
      </c>
      <c r="DD143">
        <v>0</v>
      </c>
      <c r="DE143">
        <v>0</v>
      </c>
      <c r="DF143">
        <v>0</v>
      </c>
      <c r="DG143">
        <v>0</v>
      </c>
      <c r="DH143">
        <v>0</v>
      </c>
      <c r="DI143">
        <v>0</v>
      </c>
      <c r="DJ143" s="500">
        <v>47147038610</v>
      </c>
      <c r="DK143" s="500">
        <v>0</v>
      </c>
      <c r="DL143" s="37">
        <v>47147038610</v>
      </c>
      <c r="DM143" s="37">
        <v>47147038610</v>
      </c>
      <c r="DN143" s="37">
        <v>47147038610</v>
      </c>
      <c r="DO143" s="37">
        <v>47147038610</v>
      </c>
      <c r="DP143" s="32">
        <f>Tradingbook_SBV[[#This Row],[Mat. Date]]-RPT</f>
        <v>-3469</v>
      </c>
      <c r="DQ143" s="32">
        <f>IF(Tradingbook_SBV[[#This Row],[Days]]&lt;=0,0,YEARFRAC(RPT,Tradingbook_SBV[[#This Row],[Mat. Date]],3))</f>
        <v>0</v>
      </c>
      <c r="DR143" s="32">
        <f>IF(Tradingbook_SBV[[#This Row],[Days (year)]]=0,0,INDEX(Ref!$K$2:$K$13,MATCH(Tradingbook_SBV[[#This Row],[Days (year)]],Ref!$I$2:$I$13,1)))</f>
        <v>0</v>
      </c>
      <c r="DS143" s="32" t="str">
        <f>VLOOKUP(Tradingbook_SBV[[#This Row],[Security Name]],Ref!X:Z,3,0)</f>
        <v>TPCPBL</v>
      </c>
      <c r="DT143" s="32" t="str">
        <f>VLOOKUP(Tradingbook_SBV[[#This Row],[Security Name]],Ref!X:Y,2,0)</f>
        <v>VDB</v>
      </c>
      <c r="DU143" s="71">
        <f>IF((Tradingbook_SBV[[#This Row],[Mat. Date]]-RPT)&lt;=0,0,Tradingbook_SBV[[#This Row],[QUANTITY]])</f>
        <v>0</v>
      </c>
      <c r="DV143" s="71">
        <f>IF(Tradingbook_SBV[[#This Row],[Quantity_edited]]=0,0,Tradingbook_SBV[[#This Row],[DURATION]])</f>
        <v>0</v>
      </c>
      <c r="DW143" s="71">
        <f>IF(Tradingbook_SBV[[#This Row],[Quantity_edited]]=0,0,Tradingbook_SBV[[#This Row],[Mod Dur]])</f>
        <v>0</v>
      </c>
      <c r="DX143" s="71">
        <f>IF(Tradingbook_SBV[[#This Row],[Quantity_edited]]=0,0,Tradingbook_SBV[[#This Row],[Cnvx.]])</f>
        <v>0</v>
      </c>
      <c r="DY143" s="71">
        <f>(Tradingbook_SBV[[#This Row],[MARKET_VALUE]]+Tradingbook_SBV[[#This Row],[Accr Int]]*Tradingbook_SBV[[#This Row],[Quantity_edited]])*(-Tradingbook_SBV[[#This Row],[Modified Duration]]*0.0001+0.5*Tradingbook_SBV[[#This Row],[Conv]]*(0.0001^2))</f>
        <v>0</v>
      </c>
      <c r="DZ143" s="71">
        <f>(Tradingbook_SBV[[#This Row],[MARKET_VALUE]]+Tradingbook_SBV[[#This Row],[Accr Int]]*Tradingbook_SBV[[#This Row],[Quantity_edited]])*(-Tradingbook_SBV[[#This Row],[Modified Duration]]*0.01+0.5*Tradingbook_SBV[[#This Row],[Conv]]*(0.01^2))</f>
        <v>0</v>
      </c>
      <c r="EC143" t="s">
        <v>166</v>
      </c>
      <c r="ED143" t="s">
        <v>167</v>
      </c>
      <c r="EE143" t="s">
        <v>545</v>
      </c>
      <c r="EF143" t="s">
        <v>169</v>
      </c>
      <c r="EG143" s="35" t="s">
        <v>3763</v>
      </c>
      <c r="EH143" t="s">
        <v>3322</v>
      </c>
      <c r="EK143" s="500">
        <v>0</v>
      </c>
      <c r="EL143" s="500">
        <v>0</v>
      </c>
      <c r="EM143" s="500">
        <v>0</v>
      </c>
      <c r="EN143" s="500">
        <v>0</v>
      </c>
      <c r="EO143">
        <v>1.8</v>
      </c>
      <c r="EP143">
        <v>0</v>
      </c>
      <c r="EQ143">
        <v>900000000</v>
      </c>
      <c r="ER143">
        <v>968553062.49999404</v>
      </c>
      <c r="ES143">
        <v>-908298506.41383743</v>
      </c>
      <c r="ET143">
        <v>1.8</v>
      </c>
      <c r="EU143">
        <v>0</v>
      </c>
      <c r="EV143">
        <v>0</v>
      </c>
      <c r="EW143">
        <v>0</v>
      </c>
      <c r="EX143">
        <v>0</v>
      </c>
      <c r="EY143">
        <v>0</v>
      </c>
      <c r="EZ143">
        <v>0</v>
      </c>
      <c r="FA143">
        <v>624640000</v>
      </c>
      <c r="FB143">
        <v>0</v>
      </c>
      <c r="FC143">
        <v>624640000</v>
      </c>
      <c r="FD143">
        <v>624640000</v>
      </c>
      <c r="FE143">
        <v>624640000</v>
      </c>
      <c r="FF143">
        <v>624640000</v>
      </c>
      <c r="FG143" s="32">
        <f>Bankingbook_SBV[[#This Row],[Mat. Date]]-RPT</f>
        <v>-586</v>
      </c>
      <c r="FH143" s="32">
        <f>IF(Bankingbook_SBV[[#This Row],[Days]]&lt;=0,0,YEARFRAC(RPT,Bankingbook_SBV[[#This Row],[Mat. Date]],3))</f>
        <v>0</v>
      </c>
      <c r="FI143" s="32">
        <f>IF(Bankingbook_SBV[[#This Row],[Days (year)]]=0,0,INDEX(Ref!$K$2:$K$13,MATCH(Bankingbook_SBV[[#This Row],[Days (year)]],Ref!$I$2:$I$13,1)))</f>
        <v>0</v>
      </c>
      <c r="FJ143" s="32" t="str">
        <f>VLOOKUP(Bankingbook_SBV[[#This Row],[Security Name]],Ref!X:Z,3,0)</f>
        <v>TPCP</v>
      </c>
      <c r="FK143" s="32" t="str">
        <f>VLOOKUP(Bankingbook_SBV[[#This Row],[Security Name]],Ref!X:Y,2,0)</f>
        <v>KBNN</v>
      </c>
      <c r="FL143" s="72">
        <f>IF((Bankingbook_SBV[[#This Row],[Mat. Date]]-RPT)&lt;=0,0,Bankingbook_SBV[[#This Row],[QUANTITY]])</f>
        <v>0</v>
      </c>
      <c r="FM143" s="32">
        <f>IF(Bankingbook_SBV[[#This Row],[Quantity_edited]]=0,0,Bankingbook_SBV[[#This Row],[DURATION]])</f>
        <v>0</v>
      </c>
      <c r="FN143" s="32">
        <f>IF(Bankingbook_SBV[[#This Row],[Quantity_edited]]=0,0,Bankingbook_SBV[[#This Row],[Mod Dur]])</f>
        <v>0</v>
      </c>
      <c r="FO143" s="32">
        <f>IF(Bankingbook_SBV[[#This Row],[Quantity_edited]]=0,0,Bankingbook_SBV[[#This Row],[Cnvx.]])</f>
        <v>0</v>
      </c>
      <c r="FP143" s="32">
        <f>(Bankingbook_SBV[[#This Row],[MARKET_VALUE]]+Bankingbook_SBV[[#This Row],[Accr Int]]*Bankingbook_SBV[[#This Row],[Quantity_edited]])*(-Bankingbook_SBV[[#This Row],[Modified Duration]]*0.0001+0.5*Bankingbook_SBV[[#This Row],[Conv]]*(0.0001^2))</f>
        <v>0</v>
      </c>
      <c r="FQ143" s="32">
        <f>(Bankingbook_SBV[[#This Row],[MARKET_VALUE]]+Bankingbook_SBV[[#This Row],[Accr Int]]*Bankingbook_SBV[[#This Row],[Quantity_edited]])*(-Bankingbook_SBV[[#This Row],[Modified Duration]]*0.01+0.5*Bankingbook_SBV[[#This Row],[Conv]]*(0.01^2))</f>
        <v>0</v>
      </c>
    </row>
    <row r="144" spans="2:173" x14ac:dyDescent="0.3">
      <c r="B144" t="s">
        <v>166</v>
      </c>
      <c r="C144" t="s">
        <v>167</v>
      </c>
      <c r="D144" t="s">
        <v>321</v>
      </c>
      <c r="E144" t="s">
        <v>169</v>
      </c>
      <c r="F144" s="502">
        <v>42790</v>
      </c>
      <c r="G144" t="s">
        <v>3322</v>
      </c>
      <c r="H144"/>
      <c r="I144"/>
      <c r="J144" s="38">
        <v>0</v>
      </c>
      <c r="K144">
        <v>0</v>
      </c>
      <c r="L144">
        <v>0</v>
      </c>
      <c r="M144" s="38">
        <v>0</v>
      </c>
      <c r="N144">
        <v>11.84</v>
      </c>
      <c r="O144">
        <v>0</v>
      </c>
      <c r="P144" s="37">
        <v>0</v>
      </c>
      <c r="Q144" s="37">
        <v>-1.9999999999999999E-6</v>
      </c>
      <c r="R144" s="37">
        <v>42346560.986111641</v>
      </c>
      <c r="S144">
        <v>11.84</v>
      </c>
      <c r="T144" s="70">
        <v>0</v>
      </c>
      <c r="U144">
        <v>0</v>
      </c>
      <c r="V144">
        <v>0</v>
      </c>
      <c r="W144">
        <v>0</v>
      </c>
      <c r="X144" s="38">
        <v>0</v>
      </c>
      <c r="Y144">
        <v>0</v>
      </c>
      <c r="Z144" s="70">
        <v>652400000</v>
      </c>
      <c r="AA144" s="70">
        <v>0</v>
      </c>
      <c r="AB144" s="70">
        <v>652400000</v>
      </c>
      <c r="AC144" s="70">
        <v>652400000</v>
      </c>
      <c r="AD144" s="70">
        <v>652400000</v>
      </c>
      <c r="AE144" s="70">
        <v>652400000</v>
      </c>
      <c r="AF144">
        <v>0</v>
      </c>
      <c r="AG144" s="72">
        <f>Tradingbook_MSB[[#This Row],[Mat. Date]]-RPT</f>
        <v>-3462</v>
      </c>
      <c r="AH144" s="71">
        <f>IF(Tradingbook_MSB[[#This Row],[Days]]&lt;=0,0,YEARFRAC(RPT,Tradingbook_MSB[[#This Row],[Mat. Date]],3))</f>
        <v>0</v>
      </c>
      <c r="AI144" s="71">
        <f>IF(Tradingbook_MSB[[#This Row],[Days (year)]]=0,0,INDEX(Ref!$K$2:$K$13,MATCH(Tradingbook_MSB[[#This Row],[Days (year)]],Ref!$I$2:$I$13,1)))</f>
        <v>0</v>
      </c>
      <c r="AJ144" s="120" t="str">
        <f>VLOOKUP(Tradingbook_MSB[[#This Row],[Security Name]],Ref!X:Z,3,0)</f>
        <v>TPCPBL</v>
      </c>
      <c r="AK144" s="120" t="str">
        <f>VLOOKUP(Tradingbook_MSB[[#This Row],[Security Name]],Ref!X:Y,2,0)</f>
        <v>VDB</v>
      </c>
      <c r="AL144" s="71">
        <f>IF((Tradingbook_MSB[[#This Row],[Mat. Date]]-RPT)&lt;=0,0,Tradingbook_MSB[[#This Row],[QUANTITY]])</f>
        <v>0</v>
      </c>
      <c r="AM144" s="71">
        <f>IF(Tradingbook_MSB[[#This Row],[Quantity_edited]]=0,0,Tradingbook_MSB[[#This Row],[DURATION]])</f>
        <v>0</v>
      </c>
      <c r="AN144" s="71">
        <f>IF(Tradingbook_MSB[[#This Row],[Quantity_edited]]=0,0,Tradingbook_MSB[[#This Row],[Mod Dur]])</f>
        <v>0</v>
      </c>
      <c r="AO144" s="71">
        <f>IF(Tradingbook_MSB[[#This Row],[Quantity_edited]]=0,0,Tradingbook_MSB[[#This Row],[Cnvx.]])</f>
        <v>0</v>
      </c>
      <c r="AP144" s="71">
        <f>(Tradingbook_MSB[[#This Row],[MARKET_VALUE]]+Tradingbook_MSB[[#This Row],[Accr Int]]*Tradingbook_MSB[[#This Row],[Quantity_edited]])*(-Tradingbook_MSB[[#This Row],[Modified Duration]]*0.0001+0.5*Tradingbook_MSB[[#This Row],[Conv]]*(0.0001^2))</f>
        <v>0</v>
      </c>
      <c r="AQ144" s="72">
        <f>(Tradingbook_MSB[[#This Row],[MARKET_VALUE]]+Tradingbook_MSB[[#This Row],[Accr Int]]*Tradingbook_MSB[[#This Row],[Quantity_edited]])*(-Tradingbook_MSB[[#This Row],[Modified Duration]]*0.01+0.5*Tradingbook_MSB[[#This Row],[Conv]]*(0.01^2))</f>
        <v>0</v>
      </c>
      <c r="AR144" s="71"/>
      <c r="AT144" t="s">
        <v>166</v>
      </c>
      <c r="AU144" t="s">
        <v>3300</v>
      </c>
      <c r="AV144" t="s">
        <v>619</v>
      </c>
      <c r="AW144" t="s">
        <v>169</v>
      </c>
      <c r="AX144" t="s">
        <v>3434</v>
      </c>
      <c r="AY144" t="s">
        <v>3322</v>
      </c>
      <c r="AZ144">
        <v>114422</v>
      </c>
      <c r="BA144">
        <v>114422</v>
      </c>
      <c r="BB144">
        <v>0</v>
      </c>
      <c r="BC144">
        <v>0</v>
      </c>
      <c r="BD144">
        <v>0</v>
      </c>
      <c r="BE144">
        <v>0</v>
      </c>
      <c r="BF144">
        <v>8.1</v>
      </c>
      <c r="BG144">
        <v>1265</v>
      </c>
      <c r="BH144">
        <v>32400000000</v>
      </c>
      <c r="BI144">
        <v>39752113500.000214</v>
      </c>
      <c r="BJ144">
        <v>-3807220587.9169884</v>
      </c>
      <c r="BK144">
        <v>4.696286422</v>
      </c>
      <c r="BL144">
        <v>4.0114215378628</v>
      </c>
      <c r="BM144">
        <v>4.1998093799999996</v>
      </c>
      <c r="BN144">
        <v>21.333812984971299</v>
      </c>
      <c r="BO144">
        <v>0</v>
      </c>
      <c r="BP144">
        <v>0</v>
      </c>
      <c r="BQ144">
        <v>0</v>
      </c>
      <c r="BR144">
        <v>25062000000</v>
      </c>
      <c r="BS144">
        <v>0</v>
      </c>
      <c r="BT144">
        <v>25062000000</v>
      </c>
      <c r="BU144">
        <v>25062000000</v>
      </c>
      <c r="BV144">
        <v>25062000000</v>
      </c>
      <c r="BW144">
        <v>25062000000</v>
      </c>
      <c r="BX144">
        <v>0</v>
      </c>
      <c r="BY144" s="32">
        <f>Bankingbook_MSB[[#This Row],[Mat. Date]]-RPT</f>
        <v>1769</v>
      </c>
      <c r="BZ144" s="71">
        <f>IF(Bankingbook_MSB[[#This Row],[Days]]&lt;=0,0,YEARFRAC(RPT,Bankingbook_MSB[[#This Row],[Mat. Date]],3))</f>
        <v>4.8465753424657532</v>
      </c>
      <c r="CA144" s="71" t="str">
        <f>IF(Bankingbook_MSB[[#This Row],[Days (year)]]=0,0,INDEX(Ref!$K$2:$K$13,MATCH(Bankingbook_MSB[[#This Row],[Days (year)]],Ref!$I$2:$I$13,1)))</f>
        <v>5Y</v>
      </c>
      <c r="CB144" s="32" t="str">
        <f>VLOOKUP(Bankingbook_MSB[[#This Row],[Security Name]],Ref!X:Z,3,0)</f>
        <v>TPCPBL</v>
      </c>
      <c r="CC144" s="32" t="str">
        <f>VLOOKUP(Bankingbook_MSB[[#This Row],[Security Name]],Ref!X:Y,2,0)</f>
        <v>VBS</v>
      </c>
      <c r="CD144" s="72">
        <f>IF((Bankingbook_MSB[[#This Row],[Mat. Date]]-RPT)&lt;=0,0,Bankingbook_MSB[[#This Row],[QUANTITY]])</f>
        <v>0</v>
      </c>
      <c r="CE144" s="71">
        <f>IF(Bankingbook_MSB[[#This Row],[Quantity_edited]]=0,0,Bankingbook_MSB[[#This Row],[DURATION]])</f>
        <v>0</v>
      </c>
      <c r="CF144" s="71">
        <f>IF(Bankingbook_MSB[[#This Row],[Quantity_edited]]=0,0,Bankingbook_MSB[[#This Row],[Mod Dur]])</f>
        <v>0</v>
      </c>
      <c r="CG144" s="71">
        <f>IF(Bankingbook_MSB[[#This Row],[Quantity_edited]]=0,0,Bankingbook_MSB[[#This Row],[Cnvx.]])</f>
        <v>0</v>
      </c>
      <c r="CH144" s="71">
        <f>(Bankingbook_MSB[[#This Row],[MARKET_VALUE]]+Bankingbook_MSB[[#This Row],[Accr Int]]*Bankingbook_MSB[[#This Row],[Quantity_edited]])*(-Bankingbook_MSB[[#This Row],[Modified Duration]]*0.0001+0.5*Bankingbook_MSB[[#This Row],[Conv]]*(0.0001^2))</f>
        <v>0</v>
      </c>
      <c r="CI144" s="71">
        <f>(Bankingbook_MSB[[#This Row],[MARKET_VALUE]]+Bankingbook_MSB[[#This Row],[Accr Int]]*Bankingbook_MSB[[#This Row],[Quantity_edited]])*(-Bankingbook_MSB[[#This Row],[Modified Duration]]*0.01+0.5*Bankingbook_MSB[[#This Row],[Conv]]*(0.01^2))</f>
        <v>0</v>
      </c>
      <c r="CL144" t="s">
        <v>166</v>
      </c>
      <c r="CM144" t="s">
        <v>167</v>
      </c>
      <c r="CN144" t="s">
        <v>321</v>
      </c>
      <c r="CO144" t="s">
        <v>169</v>
      </c>
      <c r="CP144" s="35">
        <v>42790</v>
      </c>
      <c r="CQ144" t="s">
        <v>3322</v>
      </c>
      <c r="CR144" t="s">
        <v>174</v>
      </c>
      <c r="CS144" t="s">
        <v>174</v>
      </c>
      <c r="CT144" s="49">
        <v>0</v>
      </c>
      <c r="CU144">
        <v>0</v>
      </c>
      <c r="CV144">
        <v>0</v>
      </c>
      <c r="CW144" s="70">
        <v>0</v>
      </c>
      <c r="CX144">
        <v>11.84</v>
      </c>
      <c r="CY144">
        <v>0</v>
      </c>
      <c r="CZ144">
        <v>0</v>
      </c>
      <c r="DA144">
        <v>-1.9999999999999999E-6</v>
      </c>
      <c r="DB144">
        <v>42346560.986111641</v>
      </c>
      <c r="DC144">
        <v>11.84</v>
      </c>
      <c r="DD144">
        <v>0</v>
      </c>
      <c r="DE144">
        <v>0</v>
      </c>
      <c r="DF144">
        <v>0</v>
      </c>
      <c r="DG144">
        <v>0</v>
      </c>
      <c r="DH144">
        <v>0</v>
      </c>
      <c r="DI144">
        <v>0</v>
      </c>
      <c r="DJ144" s="500">
        <v>652400000</v>
      </c>
      <c r="DK144" s="500">
        <v>0</v>
      </c>
      <c r="DL144" s="37">
        <v>652400000</v>
      </c>
      <c r="DM144" s="37">
        <v>652400000</v>
      </c>
      <c r="DN144" s="37">
        <v>652400000</v>
      </c>
      <c r="DO144" s="37">
        <v>652400000</v>
      </c>
      <c r="DP144" s="32">
        <f>Tradingbook_SBV[[#This Row],[Mat. Date]]-RPT</f>
        <v>-3462</v>
      </c>
      <c r="DQ144" s="32">
        <f>IF(Tradingbook_SBV[[#This Row],[Days]]&lt;=0,0,YEARFRAC(RPT,Tradingbook_SBV[[#This Row],[Mat. Date]],3))</f>
        <v>0</v>
      </c>
      <c r="DR144" s="32">
        <f>IF(Tradingbook_SBV[[#This Row],[Days (year)]]=0,0,INDEX(Ref!$K$2:$K$13,MATCH(Tradingbook_SBV[[#This Row],[Days (year)]],Ref!$I$2:$I$13,1)))</f>
        <v>0</v>
      </c>
      <c r="DS144" s="32" t="str">
        <f>VLOOKUP(Tradingbook_SBV[[#This Row],[Security Name]],Ref!X:Z,3,0)</f>
        <v>TPCPBL</v>
      </c>
      <c r="DT144" s="32" t="str">
        <f>VLOOKUP(Tradingbook_SBV[[#This Row],[Security Name]],Ref!X:Y,2,0)</f>
        <v>VDB</v>
      </c>
      <c r="DU144" s="71">
        <f>IF((Tradingbook_SBV[[#This Row],[Mat. Date]]-RPT)&lt;=0,0,Tradingbook_SBV[[#This Row],[QUANTITY]])</f>
        <v>0</v>
      </c>
      <c r="DV144" s="71">
        <f>IF(Tradingbook_SBV[[#This Row],[Quantity_edited]]=0,0,Tradingbook_SBV[[#This Row],[DURATION]])</f>
        <v>0</v>
      </c>
      <c r="DW144" s="71">
        <f>IF(Tradingbook_SBV[[#This Row],[Quantity_edited]]=0,0,Tradingbook_SBV[[#This Row],[Mod Dur]])</f>
        <v>0</v>
      </c>
      <c r="DX144" s="71">
        <f>IF(Tradingbook_SBV[[#This Row],[Quantity_edited]]=0,0,Tradingbook_SBV[[#This Row],[Cnvx.]])</f>
        <v>0</v>
      </c>
      <c r="DY144" s="71">
        <f>(Tradingbook_SBV[[#This Row],[MARKET_VALUE]]+Tradingbook_SBV[[#This Row],[Accr Int]]*Tradingbook_SBV[[#This Row],[Quantity_edited]])*(-Tradingbook_SBV[[#This Row],[Modified Duration]]*0.0001+0.5*Tradingbook_SBV[[#This Row],[Conv]]*(0.0001^2))</f>
        <v>0</v>
      </c>
      <c r="DZ144" s="71">
        <f>(Tradingbook_SBV[[#This Row],[MARKET_VALUE]]+Tradingbook_SBV[[#This Row],[Accr Int]]*Tradingbook_SBV[[#This Row],[Quantity_edited]])*(-Tradingbook_SBV[[#This Row],[Modified Duration]]*0.01+0.5*Tradingbook_SBV[[#This Row],[Conv]]*(0.01^2))</f>
        <v>0</v>
      </c>
      <c r="EC144" t="s">
        <v>166</v>
      </c>
      <c r="ED144" t="s">
        <v>167</v>
      </c>
      <c r="EE144" t="s">
        <v>546</v>
      </c>
      <c r="EF144" t="s">
        <v>169</v>
      </c>
      <c r="EG144" s="35" t="s">
        <v>3764</v>
      </c>
      <c r="EH144" t="s">
        <v>3322</v>
      </c>
      <c r="EK144" s="500">
        <v>0</v>
      </c>
      <c r="EL144" s="500">
        <v>0</v>
      </c>
      <c r="EM144" s="500">
        <v>0</v>
      </c>
      <c r="EN144" s="500">
        <v>0</v>
      </c>
      <c r="EO144">
        <v>4.3</v>
      </c>
      <c r="EP144">
        <v>0</v>
      </c>
      <c r="EQ144">
        <v>0</v>
      </c>
      <c r="ER144">
        <v>1.1E-5</v>
      </c>
      <c r="ES144">
        <v>-845855945.93054819</v>
      </c>
      <c r="ET144">
        <v>4.3</v>
      </c>
      <c r="EU144">
        <v>0</v>
      </c>
      <c r="EV144">
        <v>0</v>
      </c>
      <c r="EW144">
        <v>0</v>
      </c>
      <c r="EX144">
        <v>0</v>
      </c>
      <c r="EY144">
        <v>0</v>
      </c>
      <c r="EZ144">
        <v>0</v>
      </c>
      <c r="FA144">
        <v>-3192730000</v>
      </c>
      <c r="FB144">
        <v>0</v>
      </c>
      <c r="FC144">
        <v>-3192730000</v>
      </c>
      <c r="FD144">
        <v>-3192730000</v>
      </c>
      <c r="FE144">
        <v>-3192730000</v>
      </c>
      <c r="FF144">
        <v>-3192730000</v>
      </c>
      <c r="FG144" s="32">
        <f>Bankingbook_SBV[[#This Row],[Mat. Date]]-RPT</f>
        <v>-584</v>
      </c>
      <c r="FH144" s="32">
        <f>IF(Bankingbook_SBV[[#This Row],[Days]]&lt;=0,0,YEARFRAC(RPT,Bankingbook_SBV[[#This Row],[Mat. Date]],3))</f>
        <v>0</v>
      </c>
      <c r="FI144" s="32">
        <f>IF(Bankingbook_SBV[[#This Row],[Days (year)]]=0,0,INDEX(Ref!$K$2:$K$13,MATCH(Bankingbook_SBV[[#This Row],[Days (year)]],Ref!$I$2:$I$13,1)))</f>
        <v>0</v>
      </c>
      <c r="FJ144" s="32" t="str">
        <f>VLOOKUP(Bankingbook_SBV[[#This Row],[Security Name]],Ref!X:Z,3,0)</f>
        <v>TPCP</v>
      </c>
      <c r="FK144" s="32" t="str">
        <f>VLOOKUP(Bankingbook_SBV[[#This Row],[Security Name]],Ref!X:Y,2,0)</f>
        <v>KBNN</v>
      </c>
      <c r="FL144" s="72">
        <f>IF((Bankingbook_SBV[[#This Row],[Mat. Date]]-RPT)&lt;=0,0,Bankingbook_SBV[[#This Row],[QUANTITY]])</f>
        <v>0</v>
      </c>
      <c r="FM144" s="32">
        <f>IF(Bankingbook_SBV[[#This Row],[Quantity_edited]]=0,0,Bankingbook_SBV[[#This Row],[DURATION]])</f>
        <v>0</v>
      </c>
      <c r="FN144" s="32">
        <f>IF(Bankingbook_SBV[[#This Row],[Quantity_edited]]=0,0,Bankingbook_SBV[[#This Row],[Mod Dur]])</f>
        <v>0</v>
      </c>
      <c r="FO144" s="32">
        <f>IF(Bankingbook_SBV[[#This Row],[Quantity_edited]]=0,0,Bankingbook_SBV[[#This Row],[Cnvx.]])</f>
        <v>0</v>
      </c>
      <c r="FP144" s="32">
        <f>(Bankingbook_SBV[[#This Row],[MARKET_VALUE]]+Bankingbook_SBV[[#This Row],[Accr Int]]*Bankingbook_SBV[[#This Row],[Quantity_edited]])*(-Bankingbook_SBV[[#This Row],[Modified Duration]]*0.0001+0.5*Bankingbook_SBV[[#This Row],[Conv]]*(0.0001^2))</f>
        <v>0</v>
      </c>
      <c r="FQ144" s="32">
        <f>(Bankingbook_SBV[[#This Row],[MARKET_VALUE]]+Bankingbook_SBV[[#This Row],[Accr Int]]*Bankingbook_SBV[[#This Row],[Quantity_edited]])*(-Bankingbook_SBV[[#This Row],[Modified Duration]]*0.01+0.5*Bankingbook_SBV[[#This Row],[Conv]]*(0.01^2))</f>
        <v>0</v>
      </c>
    </row>
    <row r="145" spans="2:173" x14ac:dyDescent="0.3">
      <c r="B145" t="s">
        <v>166</v>
      </c>
      <c r="C145" t="s">
        <v>167</v>
      </c>
      <c r="D145" t="s">
        <v>322</v>
      </c>
      <c r="E145" t="s">
        <v>169</v>
      </c>
      <c r="F145" s="502">
        <v>42793</v>
      </c>
      <c r="G145" t="s">
        <v>3322</v>
      </c>
      <c r="H145"/>
      <c r="I145"/>
      <c r="J145" s="38">
        <v>0</v>
      </c>
      <c r="K145">
        <v>0</v>
      </c>
      <c r="L145">
        <v>0</v>
      </c>
      <c r="M145" s="38">
        <v>0</v>
      </c>
      <c r="N145">
        <v>11.35</v>
      </c>
      <c r="O145">
        <v>0</v>
      </c>
      <c r="P145" s="37">
        <v>3405000000</v>
      </c>
      <c r="Q145" s="37">
        <v>3826935777.0833278</v>
      </c>
      <c r="R145" s="37">
        <v>-890038212.91665125</v>
      </c>
      <c r="S145">
        <v>11.35</v>
      </c>
      <c r="T145" s="70">
        <v>0</v>
      </c>
      <c r="U145">
        <v>0</v>
      </c>
      <c r="V145">
        <v>0</v>
      </c>
      <c r="W145">
        <v>0</v>
      </c>
      <c r="X145" s="38">
        <v>0</v>
      </c>
      <c r="Y145">
        <v>0</v>
      </c>
      <c r="Z145" s="70">
        <v>-166000000</v>
      </c>
      <c r="AA145" s="70">
        <v>0</v>
      </c>
      <c r="AB145" s="70">
        <v>-166000000</v>
      </c>
      <c r="AC145" s="70">
        <v>-166000000</v>
      </c>
      <c r="AD145" s="70">
        <v>-166000000</v>
      </c>
      <c r="AE145" s="70">
        <v>-166000000</v>
      </c>
      <c r="AF145">
        <v>0</v>
      </c>
      <c r="AG145" s="72">
        <f>Tradingbook_MSB[[#This Row],[Mat. Date]]-RPT</f>
        <v>-3459</v>
      </c>
      <c r="AH145" s="71">
        <f>IF(Tradingbook_MSB[[#This Row],[Days]]&lt;=0,0,YEARFRAC(RPT,Tradingbook_MSB[[#This Row],[Mat. Date]],3))</f>
        <v>0</v>
      </c>
      <c r="AI145" s="71">
        <f>IF(Tradingbook_MSB[[#This Row],[Days (year)]]=0,0,INDEX(Ref!$K$2:$K$13,MATCH(Tradingbook_MSB[[#This Row],[Days (year)]],Ref!$I$2:$I$13,1)))</f>
        <v>0</v>
      </c>
      <c r="AJ145" s="120" t="str">
        <f>VLOOKUP(Tradingbook_MSB[[#This Row],[Security Name]],Ref!X:Z,3,0)</f>
        <v>TPCP</v>
      </c>
      <c r="AK145" s="120" t="str">
        <f>VLOOKUP(Tradingbook_MSB[[#This Row],[Security Name]],Ref!X:Y,2,0)</f>
        <v>KBNN</v>
      </c>
      <c r="AL145" s="71">
        <f>IF((Tradingbook_MSB[[#This Row],[Mat. Date]]-RPT)&lt;=0,0,Tradingbook_MSB[[#This Row],[QUANTITY]])</f>
        <v>0</v>
      </c>
      <c r="AM145" s="71">
        <f>IF(Tradingbook_MSB[[#This Row],[Quantity_edited]]=0,0,Tradingbook_MSB[[#This Row],[DURATION]])</f>
        <v>0</v>
      </c>
      <c r="AN145" s="71">
        <f>IF(Tradingbook_MSB[[#This Row],[Quantity_edited]]=0,0,Tradingbook_MSB[[#This Row],[Mod Dur]])</f>
        <v>0</v>
      </c>
      <c r="AO145" s="71">
        <f>IF(Tradingbook_MSB[[#This Row],[Quantity_edited]]=0,0,Tradingbook_MSB[[#This Row],[Cnvx.]])</f>
        <v>0</v>
      </c>
      <c r="AP145" s="71">
        <f>(Tradingbook_MSB[[#This Row],[MARKET_VALUE]]+Tradingbook_MSB[[#This Row],[Accr Int]]*Tradingbook_MSB[[#This Row],[Quantity_edited]])*(-Tradingbook_MSB[[#This Row],[Modified Duration]]*0.0001+0.5*Tradingbook_MSB[[#This Row],[Conv]]*(0.0001^2))</f>
        <v>0</v>
      </c>
      <c r="AQ145" s="72">
        <f>(Tradingbook_MSB[[#This Row],[MARKET_VALUE]]+Tradingbook_MSB[[#This Row],[Accr Int]]*Tradingbook_MSB[[#This Row],[Quantity_edited]])*(-Tradingbook_MSB[[#This Row],[Modified Duration]]*0.01+0.5*Tradingbook_MSB[[#This Row],[Conv]]*(0.01^2))</f>
        <v>0</v>
      </c>
      <c r="AR145" s="71"/>
      <c r="AT145" t="s">
        <v>166</v>
      </c>
      <c r="AU145" t="s">
        <v>3300</v>
      </c>
      <c r="AV145" t="s">
        <v>640</v>
      </c>
      <c r="AW145" t="s">
        <v>169</v>
      </c>
      <c r="AX145" t="s">
        <v>3435</v>
      </c>
      <c r="AY145" t="s">
        <v>170</v>
      </c>
      <c r="AZ145">
        <v>91370</v>
      </c>
      <c r="BA145">
        <v>91370</v>
      </c>
      <c r="BB145">
        <v>100000</v>
      </c>
      <c r="BC145">
        <v>10000000000</v>
      </c>
      <c r="BD145">
        <v>88517</v>
      </c>
      <c r="BE145">
        <v>9137000000</v>
      </c>
      <c r="BF145">
        <v>2.2000000000000002</v>
      </c>
      <c r="BG145">
        <v>313</v>
      </c>
      <c r="BH145">
        <v>880000000</v>
      </c>
      <c r="BI145">
        <v>939135908.33333397</v>
      </c>
      <c r="BJ145">
        <v>-1126106723.444443</v>
      </c>
      <c r="BK145">
        <v>4.1997462160000003</v>
      </c>
      <c r="BL145">
        <v>4.4482299380006003</v>
      </c>
      <c r="BM145">
        <v>4.6350443099999996</v>
      </c>
      <c r="BN145">
        <v>24.6331767604687</v>
      </c>
      <c r="BO145">
        <v>2258.4435449301</v>
      </c>
      <c r="BP145">
        <v>-4078.2706540569998</v>
      </c>
      <c r="BQ145">
        <v>1033.4259999999999</v>
      </c>
      <c r="BR145">
        <v>0</v>
      </c>
      <c r="BS145">
        <v>285300000</v>
      </c>
      <c r="BT145">
        <v>285300000</v>
      </c>
      <c r="BU145">
        <v>285300000</v>
      </c>
      <c r="BV145">
        <v>285300000</v>
      </c>
      <c r="BW145">
        <v>285300000</v>
      </c>
      <c r="BX145">
        <v>3.8001</v>
      </c>
      <c r="BY145" s="32">
        <f>Bankingbook_MSB[[#This Row],[Mat. Date]]-RPT</f>
        <v>1774</v>
      </c>
      <c r="BZ145" s="71">
        <f>IF(Bankingbook_MSB[[#This Row],[Days]]&lt;=0,0,YEARFRAC(RPT,Bankingbook_MSB[[#This Row],[Mat. Date]],3))</f>
        <v>4.86027397260274</v>
      </c>
      <c r="CA145" s="71" t="str">
        <f>IF(Bankingbook_MSB[[#This Row],[Days (year)]]=0,0,INDEX(Ref!$K$2:$K$13,MATCH(Bankingbook_MSB[[#This Row],[Days (year)]],Ref!$I$2:$I$13,1)))</f>
        <v>5Y</v>
      </c>
      <c r="CB145" s="32" t="str">
        <f>VLOOKUP(Bankingbook_MSB[[#This Row],[Security Name]],Ref!X:Z,3,0)</f>
        <v>TPCP</v>
      </c>
      <c r="CC145" s="32" t="str">
        <f>VLOOKUP(Bankingbook_MSB[[#This Row],[Security Name]],Ref!X:Y,2,0)</f>
        <v>KBNN</v>
      </c>
      <c r="CD145" s="72">
        <f>IF((Bankingbook_MSB[[#This Row],[Mat. Date]]-RPT)&lt;=0,0,Bankingbook_MSB[[#This Row],[QUANTITY]])</f>
        <v>100000</v>
      </c>
      <c r="CE145" s="71">
        <f>IF(Bankingbook_MSB[[#This Row],[Quantity_edited]]=0,0,Bankingbook_MSB[[#This Row],[DURATION]])</f>
        <v>4.6350443099999996</v>
      </c>
      <c r="CF145" s="71">
        <f>IF(Bankingbook_MSB[[#This Row],[Quantity_edited]]=0,0,Bankingbook_MSB[[#This Row],[Mod Dur]])</f>
        <v>4.4482299380006003</v>
      </c>
      <c r="CG145" s="71">
        <f>IF(Bankingbook_MSB[[#This Row],[Quantity_edited]]=0,0,Bankingbook_MSB[[#This Row],[Cnvx.]])</f>
        <v>24.6331767604687</v>
      </c>
      <c r="CH145" s="71">
        <f>(Bankingbook_MSB[[#This Row],[MARKET_VALUE]]+Bankingbook_MSB[[#This Row],[Accr Int]]*Bankingbook_MSB[[#This Row],[Quantity_edited]])*(-Bankingbook_MSB[[#This Row],[Modified Duration]]*0.0001+0.5*Bankingbook_MSB[[#This Row],[Conv]]*(0.0001^2))</f>
        <v>-4077141.4322846252</v>
      </c>
      <c r="CI145" s="71">
        <f>(Bankingbook_MSB[[#This Row],[MARKET_VALUE]]+Bankingbook_MSB[[#This Row],[Accr Int]]*Bankingbook_MSB[[#This Row],[Quantity_edited]])*(-Bankingbook_MSB[[#This Row],[Modified Duration]]*0.01+0.5*Bankingbook_MSB[[#This Row],[Conv]]*(0.01^2))</f>
        <v>-396534847.68105882</v>
      </c>
      <c r="CL145" t="s">
        <v>166</v>
      </c>
      <c r="CM145" t="s">
        <v>167</v>
      </c>
      <c r="CN145" t="s">
        <v>322</v>
      </c>
      <c r="CO145" t="s">
        <v>169</v>
      </c>
      <c r="CP145" s="35">
        <v>42793</v>
      </c>
      <c r="CQ145" t="s">
        <v>3322</v>
      </c>
      <c r="CR145" t="s">
        <v>174</v>
      </c>
      <c r="CS145" t="s">
        <v>174</v>
      </c>
      <c r="CT145" s="49">
        <v>0</v>
      </c>
      <c r="CU145">
        <v>0</v>
      </c>
      <c r="CV145">
        <v>0</v>
      </c>
      <c r="CW145" s="70">
        <v>0</v>
      </c>
      <c r="CX145">
        <v>11.35</v>
      </c>
      <c r="CY145">
        <v>0</v>
      </c>
      <c r="CZ145">
        <v>3405000000</v>
      </c>
      <c r="DA145">
        <v>3826935777.0833278</v>
      </c>
      <c r="DB145">
        <v>-890038212.91665125</v>
      </c>
      <c r="DC145">
        <v>11.35</v>
      </c>
      <c r="DD145">
        <v>0</v>
      </c>
      <c r="DE145">
        <v>0</v>
      </c>
      <c r="DF145">
        <v>0</v>
      </c>
      <c r="DG145">
        <v>0</v>
      </c>
      <c r="DH145">
        <v>0</v>
      </c>
      <c r="DI145">
        <v>0</v>
      </c>
      <c r="DJ145" s="500">
        <v>-166000000</v>
      </c>
      <c r="DK145" s="500">
        <v>0</v>
      </c>
      <c r="DL145" s="37">
        <v>-166000000</v>
      </c>
      <c r="DM145" s="37">
        <v>-166000000</v>
      </c>
      <c r="DN145" s="37">
        <v>-166000000</v>
      </c>
      <c r="DO145" s="37">
        <v>-166000000</v>
      </c>
      <c r="DP145" s="32">
        <f>Tradingbook_SBV[[#This Row],[Mat. Date]]-RPT</f>
        <v>-3459</v>
      </c>
      <c r="DQ145" s="32">
        <f>IF(Tradingbook_SBV[[#This Row],[Days]]&lt;=0,0,YEARFRAC(RPT,Tradingbook_SBV[[#This Row],[Mat. Date]],3))</f>
        <v>0</v>
      </c>
      <c r="DR145" s="32">
        <f>IF(Tradingbook_SBV[[#This Row],[Days (year)]]=0,0,INDEX(Ref!$K$2:$K$13,MATCH(Tradingbook_SBV[[#This Row],[Days (year)]],Ref!$I$2:$I$13,1)))</f>
        <v>0</v>
      </c>
      <c r="DS145" s="32" t="str">
        <f>VLOOKUP(Tradingbook_SBV[[#This Row],[Security Name]],Ref!X:Z,3,0)</f>
        <v>TPCP</v>
      </c>
      <c r="DT145" s="32" t="str">
        <f>VLOOKUP(Tradingbook_SBV[[#This Row],[Security Name]],Ref!X:Y,2,0)</f>
        <v>KBNN</v>
      </c>
      <c r="DU145" s="71">
        <f>IF((Tradingbook_SBV[[#This Row],[Mat. Date]]-RPT)&lt;=0,0,Tradingbook_SBV[[#This Row],[QUANTITY]])</f>
        <v>0</v>
      </c>
      <c r="DV145" s="71">
        <f>IF(Tradingbook_SBV[[#This Row],[Quantity_edited]]=0,0,Tradingbook_SBV[[#This Row],[DURATION]])</f>
        <v>0</v>
      </c>
      <c r="DW145" s="71">
        <f>IF(Tradingbook_SBV[[#This Row],[Quantity_edited]]=0,0,Tradingbook_SBV[[#This Row],[Mod Dur]])</f>
        <v>0</v>
      </c>
      <c r="DX145" s="71">
        <f>IF(Tradingbook_SBV[[#This Row],[Quantity_edited]]=0,0,Tradingbook_SBV[[#This Row],[Cnvx.]])</f>
        <v>0</v>
      </c>
      <c r="DY145" s="71">
        <f>(Tradingbook_SBV[[#This Row],[MARKET_VALUE]]+Tradingbook_SBV[[#This Row],[Accr Int]]*Tradingbook_SBV[[#This Row],[Quantity_edited]])*(-Tradingbook_SBV[[#This Row],[Modified Duration]]*0.0001+0.5*Tradingbook_SBV[[#This Row],[Conv]]*(0.0001^2))</f>
        <v>0</v>
      </c>
      <c r="DZ145" s="71">
        <f>(Tradingbook_SBV[[#This Row],[MARKET_VALUE]]+Tradingbook_SBV[[#This Row],[Accr Int]]*Tradingbook_SBV[[#This Row],[Quantity_edited]])*(-Tradingbook_SBV[[#This Row],[Modified Duration]]*0.01+0.5*Tradingbook_SBV[[#This Row],[Conv]]*(0.01^2))</f>
        <v>0</v>
      </c>
      <c r="EC145" t="s">
        <v>166</v>
      </c>
      <c r="ED145" t="s">
        <v>167</v>
      </c>
      <c r="EE145" t="s">
        <v>547</v>
      </c>
      <c r="EF145" t="s">
        <v>169</v>
      </c>
      <c r="EG145" s="35" t="s">
        <v>3765</v>
      </c>
      <c r="EH145" t="s">
        <v>3322</v>
      </c>
      <c r="EK145" s="500">
        <v>0</v>
      </c>
      <c r="EL145" s="500">
        <v>0</v>
      </c>
      <c r="EM145" s="500">
        <v>0</v>
      </c>
      <c r="EN145" s="500">
        <v>0</v>
      </c>
      <c r="EO145">
        <v>6.5</v>
      </c>
      <c r="EP145">
        <v>0</v>
      </c>
      <c r="EQ145">
        <v>0</v>
      </c>
      <c r="ER145">
        <v>0</v>
      </c>
      <c r="ES145">
        <v>-76350019.166668415</v>
      </c>
      <c r="ET145">
        <v>6.5</v>
      </c>
      <c r="EU145">
        <v>0</v>
      </c>
      <c r="EV145">
        <v>0</v>
      </c>
      <c r="EW145">
        <v>0</v>
      </c>
      <c r="EX145">
        <v>0</v>
      </c>
      <c r="EY145">
        <v>0</v>
      </c>
      <c r="EZ145">
        <v>0</v>
      </c>
      <c r="FA145">
        <v>-178500000</v>
      </c>
      <c r="FB145">
        <v>0</v>
      </c>
      <c r="FC145">
        <v>-178500000</v>
      </c>
      <c r="FD145">
        <v>-178500000</v>
      </c>
      <c r="FE145">
        <v>-178500000</v>
      </c>
      <c r="FF145">
        <v>-178500000</v>
      </c>
      <c r="FG145" s="32">
        <f>Bankingbook_SBV[[#This Row],[Mat. Date]]-RPT</f>
        <v>-564</v>
      </c>
      <c r="FH145" s="32">
        <f>IF(Bankingbook_SBV[[#This Row],[Days]]&lt;=0,0,YEARFRAC(RPT,Bankingbook_SBV[[#This Row],[Mat. Date]],3))</f>
        <v>0</v>
      </c>
      <c r="FI145" s="32">
        <f>IF(Bankingbook_SBV[[#This Row],[Days (year)]]=0,0,INDEX(Ref!$K$2:$K$13,MATCH(Bankingbook_SBV[[#This Row],[Days (year)]],Ref!$I$2:$I$13,1)))</f>
        <v>0</v>
      </c>
      <c r="FJ145" s="32" t="str">
        <f>VLOOKUP(Bankingbook_SBV[[#This Row],[Security Name]],Ref!X:Z,3,0)</f>
        <v>TPCP</v>
      </c>
      <c r="FK145" s="32" t="str">
        <f>VLOOKUP(Bankingbook_SBV[[#This Row],[Security Name]],Ref!X:Y,2,0)</f>
        <v>KBNN</v>
      </c>
      <c r="FL145" s="72">
        <f>IF((Bankingbook_SBV[[#This Row],[Mat. Date]]-RPT)&lt;=0,0,Bankingbook_SBV[[#This Row],[QUANTITY]])</f>
        <v>0</v>
      </c>
      <c r="FM145" s="32">
        <f>IF(Bankingbook_SBV[[#This Row],[Quantity_edited]]=0,0,Bankingbook_SBV[[#This Row],[DURATION]])</f>
        <v>0</v>
      </c>
      <c r="FN145" s="32">
        <f>IF(Bankingbook_SBV[[#This Row],[Quantity_edited]]=0,0,Bankingbook_SBV[[#This Row],[Mod Dur]])</f>
        <v>0</v>
      </c>
      <c r="FO145" s="32">
        <f>IF(Bankingbook_SBV[[#This Row],[Quantity_edited]]=0,0,Bankingbook_SBV[[#This Row],[Cnvx.]])</f>
        <v>0</v>
      </c>
      <c r="FP145" s="32">
        <f>(Bankingbook_SBV[[#This Row],[MARKET_VALUE]]+Bankingbook_SBV[[#This Row],[Accr Int]]*Bankingbook_SBV[[#This Row],[Quantity_edited]])*(-Bankingbook_SBV[[#This Row],[Modified Duration]]*0.0001+0.5*Bankingbook_SBV[[#This Row],[Conv]]*(0.0001^2))</f>
        <v>0</v>
      </c>
      <c r="FQ145" s="32">
        <f>(Bankingbook_SBV[[#This Row],[MARKET_VALUE]]+Bankingbook_SBV[[#This Row],[Accr Int]]*Bankingbook_SBV[[#This Row],[Quantity_edited]])*(-Bankingbook_SBV[[#This Row],[Modified Duration]]*0.01+0.5*Bankingbook_SBV[[#This Row],[Conv]]*(0.01^2))</f>
        <v>0</v>
      </c>
    </row>
    <row r="146" spans="2:173" x14ac:dyDescent="0.3">
      <c r="B146" t="s">
        <v>166</v>
      </c>
      <c r="C146" t="s">
        <v>167</v>
      </c>
      <c r="D146" t="s">
        <v>323</v>
      </c>
      <c r="E146" t="s">
        <v>169</v>
      </c>
      <c r="F146" s="502">
        <v>42794</v>
      </c>
      <c r="G146" t="s">
        <v>3322</v>
      </c>
      <c r="H146"/>
      <c r="I146"/>
      <c r="J146" s="38">
        <v>0</v>
      </c>
      <c r="K146">
        <v>0</v>
      </c>
      <c r="L146">
        <v>0</v>
      </c>
      <c r="M146" s="38">
        <v>0</v>
      </c>
      <c r="N146">
        <v>6.7</v>
      </c>
      <c r="O146">
        <v>0</v>
      </c>
      <c r="P146" s="37">
        <v>0</v>
      </c>
      <c r="Q146" s="37">
        <v>-1.9999999999999999E-6</v>
      </c>
      <c r="R146" s="37">
        <v>-172454417.0833199</v>
      </c>
      <c r="S146">
        <v>6.7</v>
      </c>
      <c r="T146" s="70">
        <v>0</v>
      </c>
      <c r="U146">
        <v>0</v>
      </c>
      <c r="V146">
        <v>0</v>
      </c>
      <c r="W146">
        <v>0</v>
      </c>
      <c r="X146" s="38">
        <v>0</v>
      </c>
      <c r="Y146">
        <v>0</v>
      </c>
      <c r="Z146" s="70">
        <v>1905500000</v>
      </c>
      <c r="AA146" s="70">
        <v>0</v>
      </c>
      <c r="AB146" s="70">
        <v>1905500000</v>
      </c>
      <c r="AC146" s="70">
        <v>1905500000</v>
      </c>
      <c r="AD146" s="70">
        <v>1905500000</v>
      </c>
      <c r="AE146" s="70">
        <v>1905500000</v>
      </c>
      <c r="AF146">
        <v>0</v>
      </c>
      <c r="AG146" s="72">
        <f>Tradingbook_MSB[[#This Row],[Mat. Date]]-RPT</f>
        <v>-3458</v>
      </c>
      <c r="AH146" s="71">
        <f>IF(Tradingbook_MSB[[#This Row],[Days]]&lt;=0,0,YEARFRAC(RPT,Tradingbook_MSB[[#This Row],[Mat. Date]],3))</f>
        <v>0</v>
      </c>
      <c r="AI146" s="71">
        <f>IF(Tradingbook_MSB[[#This Row],[Days (year)]]=0,0,INDEX(Ref!$K$2:$K$13,MATCH(Tradingbook_MSB[[#This Row],[Days (year)]],Ref!$I$2:$I$13,1)))</f>
        <v>0</v>
      </c>
      <c r="AJ146" s="120" t="str">
        <f>VLOOKUP(Tradingbook_MSB[[#This Row],[Security Name]],Ref!X:Z,3,0)</f>
        <v>TPCP</v>
      </c>
      <c r="AK146" s="120" t="str">
        <f>VLOOKUP(Tradingbook_MSB[[#This Row],[Security Name]],Ref!X:Y,2,0)</f>
        <v>KBNN</v>
      </c>
      <c r="AL146" s="71">
        <f>IF((Tradingbook_MSB[[#This Row],[Mat. Date]]-RPT)&lt;=0,0,Tradingbook_MSB[[#This Row],[QUANTITY]])</f>
        <v>0</v>
      </c>
      <c r="AM146" s="71">
        <f>IF(Tradingbook_MSB[[#This Row],[Quantity_edited]]=0,0,Tradingbook_MSB[[#This Row],[DURATION]])</f>
        <v>0</v>
      </c>
      <c r="AN146" s="71">
        <f>IF(Tradingbook_MSB[[#This Row],[Quantity_edited]]=0,0,Tradingbook_MSB[[#This Row],[Mod Dur]])</f>
        <v>0</v>
      </c>
      <c r="AO146" s="71">
        <f>IF(Tradingbook_MSB[[#This Row],[Quantity_edited]]=0,0,Tradingbook_MSB[[#This Row],[Cnvx.]])</f>
        <v>0</v>
      </c>
      <c r="AP146" s="71">
        <f>(Tradingbook_MSB[[#This Row],[MARKET_VALUE]]+Tradingbook_MSB[[#This Row],[Accr Int]]*Tradingbook_MSB[[#This Row],[Quantity_edited]])*(-Tradingbook_MSB[[#This Row],[Modified Duration]]*0.0001+0.5*Tradingbook_MSB[[#This Row],[Conv]]*(0.0001^2))</f>
        <v>0</v>
      </c>
      <c r="AQ146" s="72">
        <f>(Tradingbook_MSB[[#This Row],[MARKET_VALUE]]+Tradingbook_MSB[[#This Row],[Accr Int]]*Tradingbook_MSB[[#This Row],[Quantity_edited]])*(-Tradingbook_MSB[[#This Row],[Modified Duration]]*0.01+0.5*Tradingbook_MSB[[#This Row],[Conv]]*(0.01^2))</f>
        <v>0</v>
      </c>
      <c r="AR146" s="71"/>
      <c r="AT146" t="s">
        <v>166</v>
      </c>
      <c r="AU146" t="s">
        <v>3300</v>
      </c>
      <c r="AV146" t="s">
        <v>647</v>
      </c>
      <c r="AW146" t="s">
        <v>169</v>
      </c>
      <c r="AX146" t="s">
        <v>3436</v>
      </c>
      <c r="AY146" t="s">
        <v>3322</v>
      </c>
      <c r="AZ146">
        <v>113891</v>
      </c>
      <c r="BA146">
        <v>113891</v>
      </c>
      <c r="BB146">
        <v>0</v>
      </c>
      <c r="BC146">
        <v>0</v>
      </c>
      <c r="BD146">
        <v>0</v>
      </c>
      <c r="BE146">
        <v>0</v>
      </c>
      <c r="BF146">
        <v>7.2</v>
      </c>
      <c r="BG146">
        <v>4438</v>
      </c>
      <c r="BH146">
        <v>35208000000</v>
      </c>
      <c r="BI146">
        <v>43224289470.000305</v>
      </c>
      <c r="BJ146">
        <v>652330683.27561951</v>
      </c>
      <c r="BK146">
        <v>4.2515169320000004</v>
      </c>
      <c r="BL146">
        <v>4.3478361488049</v>
      </c>
      <c r="BM146">
        <v>4.5326851399999999</v>
      </c>
      <c r="BN146">
        <v>25.3285798938421</v>
      </c>
      <c r="BO146">
        <v>0</v>
      </c>
      <c r="BP146">
        <v>0</v>
      </c>
      <c r="BQ146">
        <v>0</v>
      </c>
      <c r="BR146">
        <v>71683610000</v>
      </c>
      <c r="BS146">
        <v>0</v>
      </c>
      <c r="BT146">
        <v>71683610000</v>
      </c>
      <c r="BU146">
        <v>71683610000</v>
      </c>
      <c r="BV146">
        <v>71683610000</v>
      </c>
      <c r="BW146">
        <v>71683610000</v>
      </c>
      <c r="BX146">
        <v>0</v>
      </c>
      <c r="BY146" s="32">
        <f>Bankingbook_MSB[[#This Row],[Mat. Date]]-RPT</f>
        <v>1966</v>
      </c>
      <c r="BZ146" s="71">
        <f>IF(Bankingbook_MSB[[#This Row],[Days]]&lt;=0,0,YEARFRAC(RPT,Bankingbook_MSB[[#This Row],[Mat. Date]],3))</f>
        <v>5.3863013698630136</v>
      </c>
      <c r="CA146" s="71" t="str">
        <f>IF(Bankingbook_MSB[[#This Row],[Days (year)]]=0,0,INDEX(Ref!$K$2:$K$13,MATCH(Bankingbook_MSB[[#This Row],[Days (year)]],Ref!$I$2:$I$13,1)))</f>
        <v>5Y</v>
      </c>
      <c r="CB146" s="32" t="str">
        <f>VLOOKUP(Bankingbook_MSB[[#This Row],[Security Name]],Ref!X:Z,3,0)</f>
        <v>TPCP</v>
      </c>
      <c r="CC146" s="32" t="str">
        <f>VLOOKUP(Bankingbook_MSB[[#This Row],[Security Name]],Ref!X:Y,2,0)</f>
        <v>KBNN</v>
      </c>
      <c r="CD146" s="72">
        <f>IF((Bankingbook_MSB[[#This Row],[Mat. Date]]-RPT)&lt;=0,0,Bankingbook_MSB[[#This Row],[QUANTITY]])</f>
        <v>0</v>
      </c>
      <c r="CE146" s="71">
        <f>IF(Bankingbook_MSB[[#This Row],[Quantity_edited]]=0,0,Bankingbook_MSB[[#This Row],[DURATION]])</f>
        <v>0</v>
      </c>
      <c r="CF146" s="71">
        <f>IF(Bankingbook_MSB[[#This Row],[Quantity_edited]]=0,0,Bankingbook_MSB[[#This Row],[Mod Dur]])</f>
        <v>0</v>
      </c>
      <c r="CG146" s="71">
        <f>IF(Bankingbook_MSB[[#This Row],[Quantity_edited]]=0,0,Bankingbook_MSB[[#This Row],[Cnvx.]])</f>
        <v>0</v>
      </c>
      <c r="CH146" s="71">
        <f>(Bankingbook_MSB[[#This Row],[MARKET_VALUE]]+Bankingbook_MSB[[#This Row],[Accr Int]]*Bankingbook_MSB[[#This Row],[Quantity_edited]])*(-Bankingbook_MSB[[#This Row],[Modified Duration]]*0.0001+0.5*Bankingbook_MSB[[#This Row],[Conv]]*(0.0001^2))</f>
        <v>0</v>
      </c>
      <c r="CI146" s="71">
        <f>(Bankingbook_MSB[[#This Row],[MARKET_VALUE]]+Bankingbook_MSB[[#This Row],[Accr Int]]*Bankingbook_MSB[[#This Row],[Quantity_edited]])*(-Bankingbook_MSB[[#This Row],[Modified Duration]]*0.01+0.5*Bankingbook_MSB[[#This Row],[Conv]]*(0.01^2))</f>
        <v>0</v>
      </c>
      <c r="CL146" t="s">
        <v>166</v>
      </c>
      <c r="CM146" t="s">
        <v>167</v>
      </c>
      <c r="CN146" t="s">
        <v>323</v>
      </c>
      <c r="CO146" t="s">
        <v>169</v>
      </c>
      <c r="CP146" s="35">
        <v>42794</v>
      </c>
      <c r="CQ146" t="s">
        <v>3322</v>
      </c>
      <c r="CR146" t="s">
        <v>174</v>
      </c>
      <c r="CS146" t="s">
        <v>174</v>
      </c>
      <c r="CT146" s="49">
        <v>0</v>
      </c>
      <c r="CU146">
        <v>0</v>
      </c>
      <c r="CV146">
        <v>0</v>
      </c>
      <c r="CW146" s="70">
        <v>0</v>
      </c>
      <c r="CX146">
        <v>6.7</v>
      </c>
      <c r="CY146">
        <v>0</v>
      </c>
      <c r="CZ146">
        <v>0</v>
      </c>
      <c r="DA146">
        <v>-1.9999999999999999E-6</v>
      </c>
      <c r="DB146">
        <v>-172454417.0833199</v>
      </c>
      <c r="DC146">
        <v>6.7</v>
      </c>
      <c r="DD146">
        <v>0</v>
      </c>
      <c r="DE146">
        <v>0</v>
      </c>
      <c r="DF146">
        <v>0</v>
      </c>
      <c r="DG146">
        <v>0</v>
      </c>
      <c r="DH146">
        <v>0</v>
      </c>
      <c r="DI146">
        <v>0</v>
      </c>
      <c r="DJ146" s="500">
        <v>1905500000</v>
      </c>
      <c r="DK146" s="500">
        <v>0</v>
      </c>
      <c r="DL146" s="37">
        <v>1905500000</v>
      </c>
      <c r="DM146" s="37">
        <v>1905500000</v>
      </c>
      <c r="DN146" s="37">
        <v>1905500000</v>
      </c>
      <c r="DO146" s="37">
        <v>1905500000</v>
      </c>
      <c r="DP146" s="32">
        <f>Tradingbook_SBV[[#This Row],[Mat. Date]]-RPT</f>
        <v>-3458</v>
      </c>
      <c r="DQ146" s="32">
        <f>IF(Tradingbook_SBV[[#This Row],[Days]]&lt;=0,0,YEARFRAC(RPT,Tradingbook_SBV[[#This Row],[Mat. Date]],3))</f>
        <v>0</v>
      </c>
      <c r="DR146" s="32">
        <f>IF(Tradingbook_SBV[[#This Row],[Days (year)]]=0,0,INDEX(Ref!$K$2:$K$13,MATCH(Tradingbook_SBV[[#This Row],[Days (year)]],Ref!$I$2:$I$13,1)))</f>
        <v>0</v>
      </c>
      <c r="DS146" s="32" t="str">
        <f>VLOOKUP(Tradingbook_SBV[[#This Row],[Security Name]],Ref!X:Z,3,0)</f>
        <v>TPCP</v>
      </c>
      <c r="DT146" s="32" t="str">
        <f>VLOOKUP(Tradingbook_SBV[[#This Row],[Security Name]],Ref!X:Y,2,0)</f>
        <v>KBNN</v>
      </c>
      <c r="DU146" s="71">
        <f>IF((Tradingbook_SBV[[#This Row],[Mat. Date]]-RPT)&lt;=0,0,Tradingbook_SBV[[#This Row],[QUANTITY]])</f>
        <v>0</v>
      </c>
      <c r="DV146" s="71">
        <f>IF(Tradingbook_SBV[[#This Row],[Quantity_edited]]=0,0,Tradingbook_SBV[[#This Row],[DURATION]])</f>
        <v>0</v>
      </c>
      <c r="DW146" s="71">
        <f>IF(Tradingbook_SBV[[#This Row],[Quantity_edited]]=0,0,Tradingbook_SBV[[#This Row],[Mod Dur]])</f>
        <v>0</v>
      </c>
      <c r="DX146" s="71">
        <f>IF(Tradingbook_SBV[[#This Row],[Quantity_edited]]=0,0,Tradingbook_SBV[[#This Row],[Cnvx.]])</f>
        <v>0</v>
      </c>
      <c r="DY146" s="71">
        <f>(Tradingbook_SBV[[#This Row],[MARKET_VALUE]]+Tradingbook_SBV[[#This Row],[Accr Int]]*Tradingbook_SBV[[#This Row],[Quantity_edited]])*(-Tradingbook_SBV[[#This Row],[Modified Duration]]*0.0001+0.5*Tradingbook_SBV[[#This Row],[Conv]]*(0.0001^2))</f>
        <v>0</v>
      </c>
      <c r="DZ146" s="71">
        <f>(Tradingbook_SBV[[#This Row],[MARKET_VALUE]]+Tradingbook_SBV[[#This Row],[Accr Int]]*Tradingbook_SBV[[#This Row],[Quantity_edited]])*(-Tradingbook_SBV[[#This Row],[Modified Duration]]*0.01+0.5*Tradingbook_SBV[[#This Row],[Conv]]*(0.01^2))</f>
        <v>0</v>
      </c>
      <c r="EC146" t="s">
        <v>166</v>
      </c>
      <c r="ED146" t="s">
        <v>167</v>
      </c>
      <c r="EE146" t="s">
        <v>549</v>
      </c>
      <c r="EF146" t="s">
        <v>169</v>
      </c>
      <c r="EG146" s="35" t="s">
        <v>3766</v>
      </c>
      <c r="EH146" t="s">
        <v>3322</v>
      </c>
      <c r="EK146" s="500">
        <v>0</v>
      </c>
      <c r="EL146" s="500">
        <v>0</v>
      </c>
      <c r="EM146" s="500">
        <v>0</v>
      </c>
      <c r="EN146" s="500">
        <v>0</v>
      </c>
      <c r="EO146">
        <v>6.3</v>
      </c>
      <c r="EP146">
        <v>0</v>
      </c>
      <c r="EQ146">
        <v>0</v>
      </c>
      <c r="ER146">
        <v>-1.1E-5</v>
      </c>
      <c r="ES146">
        <v>2354266.3889455795</v>
      </c>
      <c r="ET146">
        <v>6.3</v>
      </c>
      <c r="EU146">
        <v>0</v>
      </c>
      <c r="EV146">
        <v>0</v>
      </c>
      <c r="EW146">
        <v>0</v>
      </c>
      <c r="EX146">
        <v>0</v>
      </c>
      <c r="EY146">
        <v>0</v>
      </c>
      <c r="EZ146">
        <v>0</v>
      </c>
      <c r="FA146">
        <v>1177500000</v>
      </c>
      <c r="FB146">
        <v>0</v>
      </c>
      <c r="FC146">
        <v>1177500000</v>
      </c>
      <c r="FD146">
        <v>1177500000</v>
      </c>
      <c r="FE146">
        <v>1177500000</v>
      </c>
      <c r="FF146">
        <v>1177500000</v>
      </c>
      <c r="FG146" s="32">
        <f>Bankingbook_SBV[[#This Row],[Mat. Date]]-RPT</f>
        <v>-521</v>
      </c>
      <c r="FH146" s="32">
        <f>IF(Bankingbook_SBV[[#This Row],[Days]]&lt;=0,0,YEARFRAC(RPT,Bankingbook_SBV[[#This Row],[Mat. Date]],3))</f>
        <v>0</v>
      </c>
      <c r="FI146" s="32">
        <f>IF(Bankingbook_SBV[[#This Row],[Days (year)]]=0,0,INDEX(Ref!$K$2:$K$13,MATCH(Bankingbook_SBV[[#This Row],[Days (year)]],Ref!$I$2:$I$13,1)))</f>
        <v>0</v>
      </c>
      <c r="FJ146" s="32" t="str">
        <f>VLOOKUP(Bankingbook_SBV[[#This Row],[Security Name]],Ref!X:Z,3,0)</f>
        <v>TPCP</v>
      </c>
      <c r="FK146" s="32" t="str">
        <f>VLOOKUP(Bankingbook_SBV[[#This Row],[Security Name]],Ref!X:Y,2,0)</f>
        <v>KBNN</v>
      </c>
      <c r="FL146" s="72">
        <f>IF((Bankingbook_SBV[[#This Row],[Mat. Date]]-RPT)&lt;=0,0,Bankingbook_SBV[[#This Row],[QUANTITY]])</f>
        <v>0</v>
      </c>
      <c r="FM146" s="32">
        <f>IF(Bankingbook_SBV[[#This Row],[Quantity_edited]]=0,0,Bankingbook_SBV[[#This Row],[DURATION]])</f>
        <v>0</v>
      </c>
      <c r="FN146" s="32">
        <f>IF(Bankingbook_SBV[[#This Row],[Quantity_edited]]=0,0,Bankingbook_SBV[[#This Row],[Mod Dur]])</f>
        <v>0</v>
      </c>
      <c r="FO146" s="32">
        <f>IF(Bankingbook_SBV[[#This Row],[Quantity_edited]]=0,0,Bankingbook_SBV[[#This Row],[Cnvx.]])</f>
        <v>0</v>
      </c>
      <c r="FP146" s="32">
        <f>(Bankingbook_SBV[[#This Row],[MARKET_VALUE]]+Bankingbook_SBV[[#This Row],[Accr Int]]*Bankingbook_SBV[[#This Row],[Quantity_edited]])*(-Bankingbook_SBV[[#This Row],[Modified Duration]]*0.0001+0.5*Bankingbook_SBV[[#This Row],[Conv]]*(0.0001^2))</f>
        <v>0</v>
      </c>
      <c r="FQ146" s="32">
        <f>(Bankingbook_SBV[[#This Row],[MARKET_VALUE]]+Bankingbook_SBV[[#This Row],[Accr Int]]*Bankingbook_SBV[[#This Row],[Quantity_edited]])*(-Bankingbook_SBV[[#This Row],[Modified Duration]]*0.01+0.5*Bankingbook_SBV[[#This Row],[Conv]]*(0.01^2))</f>
        <v>0</v>
      </c>
    </row>
    <row r="147" spans="2:173" x14ac:dyDescent="0.3">
      <c r="B147" t="s">
        <v>166</v>
      </c>
      <c r="C147" t="s">
        <v>167</v>
      </c>
      <c r="D147" t="s">
        <v>324</v>
      </c>
      <c r="E147" t="s">
        <v>169</v>
      </c>
      <c r="F147" s="502">
        <v>42809</v>
      </c>
      <c r="G147" t="s">
        <v>3322</v>
      </c>
      <c r="H147"/>
      <c r="I147"/>
      <c r="J147" s="38">
        <v>0</v>
      </c>
      <c r="K147">
        <v>0</v>
      </c>
      <c r="L147">
        <v>0</v>
      </c>
      <c r="M147" s="38">
        <v>0</v>
      </c>
      <c r="N147">
        <v>6.3</v>
      </c>
      <c r="O147">
        <v>0</v>
      </c>
      <c r="P147" s="37">
        <v>0</v>
      </c>
      <c r="Q147" s="37">
        <v>0</v>
      </c>
      <c r="R147" s="37">
        <v>-465251701.607126</v>
      </c>
      <c r="S147">
        <v>6.3</v>
      </c>
      <c r="T147" s="70">
        <v>0</v>
      </c>
      <c r="U147">
        <v>0</v>
      </c>
      <c r="V147">
        <v>0</v>
      </c>
      <c r="W147">
        <v>0</v>
      </c>
      <c r="X147" s="38">
        <v>0</v>
      </c>
      <c r="Y147">
        <v>0</v>
      </c>
      <c r="Z147" s="70">
        <v>4736879540</v>
      </c>
      <c r="AA147" s="70">
        <v>0</v>
      </c>
      <c r="AB147" s="70">
        <v>4736879540</v>
      </c>
      <c r="AC147" s="70">
        <v>4736879540</v>
      </c>
      <c r="AD147" s="70">
        <v>4736879540</v>
      </c>
      <c r="AE147" s="70">
        <v>4736879540</v>
      </c>
      <c r="AF147">
        <v>0</v>
      </c>
      <c r="AG147" s="72">
        <f>Tradingbook_MSB[[#This Row],[Mat. Date]]-RPT</f>
        <v>-3443</v>
      </c>
      <c r="AH147" s="71">
        <f>IF(Tradingbook_MSB[[#This Row],[Days]]&lt;=0,0,YEARFRAC(RPT,Tradingbook_MSB[[#This Row],[Mat. Date]],3))</f>
        <v>0</v>
      </c>
      <c r="AI147" s="71">
        <f>IF(Tradingbook_MSB[[#This Row],[Days (year)]]=0,0,INDEX(Ref!$K$2:$K$13,MATCH(Tradingbook_MSB[[#This Row],[Days (year)]],Ref!$I$2:$I$13,1)))</f>
        <v>0</v>
      </c>
      <c r="AJ147" s="120" t="str">
        <f>VLOOKUP(Tradingbook_MSB[[#This Row],[Security Name]],Ref!X:Z,3,0)</f>
        <v>TPCP</v>
      </c>
      <c r="AK147" s="120" t="str">
        <f>VLOOKUP(Tradingbook_MSB[[#This Row],[Security Name]],Ref!X:Y,2,0)</f>
        <v>KBNN</v>
      </c>
      <c r="AL147" s="71">
        <f>IF((Tradingbook_MSB[[#This Row],[Mat. Date]]-RPT)&lt;=0,0,Tradingbook_MSB[[#This Row],[QUANTITY]])</f>
        <v>0</v>
      </c>
      <c r="AM147" s="71">
        <f>IF(Tradingbook_MSB[[#This Row],[Quantity_edited]]=0,0,Tradingbook_MSB[[#This Row],[DURATION]])</f>
        <v>0</v>
      </c>
      <c r="AN147" s="71">
        <f>IF(Tradingbook_MSB[[#This Row],[Quantity_edited]]=0,0,Tradingbook_MSB[[#This Row],[Mod Dur]])</f>
        <v>0</v>
      </c>
      <c r="AO147" s="71">
        <f>IF(Tradingbook_MSB[[#This Row],[Quantity_edited]]=0,0,Tradingbook_MSB[[#This Row],[Cnvx.]])</f>
        <v>0</v>
      </c>
      <c r="AP147" s="71">
        <f>(Tradingbook_MSB[[#This Row],[MARKET_VALUE]]+Tradingbook_MSB[[#This Row],[Accr Int]]*Tradingbook_MSB[[#This Row],[Quantity_edited]])*(-Tradingbook_MSB[[#This Row],[Modified Duration]]*0.0001+0.5*Tradingbook_MSB[[#This Row],[Conv]]*(0.0001^2))</f>
        <v>0</v>
      </c>
      <c r="AQ147" s="72">
        <f>(Tradingbook_MSB[[#This Row],[MARKET_VALUE]]+Tradingbook_MSB[[#This Row],[Accr Int]]*Tradingbook_MSB[[#This Row],[Quantity_edited]])*(-Tradingbook_MSB[[#This Row],[Modified Duration]]*0.01+0.5*Tradingbook_MSB[[#This Row],[Conv]]*(0.01^2))</f>
        <v>0</v>
      </c>
      <c r="AR147" s="71"/>
      <c r="AT147" t="s">
        <v>166</v>
      </c>
      <c r="AU147" t="s">
        <v>3300</v>
      </c>
      <c r="AV147" t="s">
        <v>624</v>
      </c>
      <c r="AW147" t="s">
        <v>169</v>
      </c>
      <c r="AX147" t="s">
        <v>3437</v>
      </c>
      <c r="AY147" t="s">
        <v>3322</v>
      </c>
      <c r="AZ147">
        <v>113396</v>
      </c>
      <c r="BA147">
        <v>113396</v>
      </c>
      <c r="BB147">
        <v>0</v>
      </c>
      <c r="BC147">
        <v>0</v>
      </c>
      <c r="BD147">
        <v>0</v>
      </c>
      <c r="BE147">
        <v>0</v>
      </c>
      <c r="BF147">
        <v>7.6</v>
      </c>
      <c r="BG147">
        <v>3977</v>
      </c>
      <c r="BH147">
        <v>34200000000</v>
      </c>
      <c r="BI147">
        <v>40491086833.333397</v>
      </c>
      <c r="BJ147">
        <v>-7507274295.1667156</v>
      </c>
      <c r="BK147">
        <v>4.7549965380000003</v>
      </c>
      <c r="BL147">
        <v>4.3742978217342001</v>
      </c>
      <c r="BM147">
        <v>4.5822955299999997</v>
      </c>
      <c r="BN147">
        <v>25.627649412007099</v>
      </c>
      <c r="BO147">
        <v>0</v>
      </c>
      <c r="BP147">
        <v>0</v>
      </c>
      <c r="BQ147">
        <v>0</v>
      </c>
      <c r="BR147">
        <v>21559500000</v>
      </c>
      <c r="BS147">
        <v>0</v>
      </c>
      <c r="BT147">
        <v>21559500000</v>
      </c>
      <c r="BU147">
        <v>21559500000</v>
      </c>
      <c r="BV147">
        <v>21559500000</v>
      </c>
      <c r="BW147">
        <v>21559500000</v>
      </c>
      <c r="BX147">
        <v>0</v>
      </c>
      <c r="BY147" s="32">
        <f>Bankingbook_MSB[[#This Row],[Mat. Date]]-RPT</f>
        <v>2000</v>
      </c>
      <c r="BZ147" s="71">
        <f>IF(Bankingbook_MSB[[#This Row],[Days]]&lt;=0,0,YEARFRAC(RPT,Bankingbook_MSB[[#This Row],[Mat. Date]],3))</f>
        <v>5.4794520547945202</v>
      </c>
      <c r="CA147" s="71" t="str">
        <f>IF(Bankingbook_MSB[[#This Row],[Days (year)]]=0,0,INDEX(Ref!$K$2:$K$13,MATCH(Bankingbook_MSB[[#This Row],[Days (year)]],Ref!$I$2:$I$13,1)))</f>
        <v>5Y</v>
      </c>
      <c r="CB147" s="32" t="str">
        <f>VLOOKUP(Bankingbook_MSB[[#This Row],[Security Name]],Ref!X:Z,3,0)</f>
        <v>TPCPBL</v>
      </c>
      <c r="CC147" s="32" t="str">
        <f>VLOOKUP(Bankingbook_MSB[[#This Row],[Security Name]],Ref!X:Y,2,0)</f>
        <v>VDB</v>
      </c>
      <c r="CD147" s="72">
        <f>IF((Bankingbook_MSB[[#This Row],[Mat. Date]]-RPT)&lt;=0,0,Bankingbook_MSB[[#This Row],[QUANTITY]])</f>
        <v>0</v>
      </c>
      <c r="CE147" s="71">
        <f>IF(Bankingbook_MSB[[#This Row],[Quantity_edited]]=0,0,Bankingbook_MSB[[#This Row],[DURATION]])</f>
        <v>0</v>
      </c>
      <c r="CF147" s="71">
        <f>IF(Bankingbook_MSB[[#This Row],[Quantity_edited]]=0,0,Bankingbook_MSB[[#This Row],[Mod Dur]])</f>
        <v>0</v>
      </c>
      <c r="CG147" s="71">
        <f>IF(Bankingbook_MSB[[#This Row],[Quantity_edited]]=0,0,Bankingbook_MSB[[#This Row],[Cnvx.]])</f>
        <v>0</v>
      </c>
      <c r="CH147" s="71">
        <f>(Bankingbook_MSB[[#This Row],[MARKET_VALUE]]+Bankingbook_MSB[[#This Row],[Accr Int]]*Bankingbook_MSB[[#This Row],[Quantity_edited]])*(-Bankingbook_MSB[[#This Row],[Modified Duration]]*0.0001+0.5*Bankingbook_MSB[[#This Row],[Conv]]*(0.0001^2))</f>
        <v>0</v>
      </c>
      <c r="CI147" s="71">
        <f>(Bankingbook_MSB[[#This Row],[MARKET_VALUE]]+Bankingbook_MSB[[#This Row],[Accr Int]]*Bankingbook_MSB[[#This Row],[Quantity_edited]])*(-Bankingbook_MSB[[#This Row],[Modified Duration]]*0.01+0.5*Bankingbook_MSB[[#This Row],[Conv]]*(0.01^2))</f>
        <v>0</v>
      </c>
      <c r="CL147" t="s">
        <v>166</v>
      </c>
      <c r="CM147" t="s">
        <v>167</v>
      </c>
      <c r="CN147" t="s">
        <v>324</v>
      </c>
      <c r="CO147" t="s">
        <v>169</v>
      </c>
      <c r="CP147" s="35">
        <v>42809</v>
      </c>
      <c r="CQ147" t="s">
        <v>3322</v>
      </c>
      <c r="CR147" t="s">
        <v>174</v>
      </c>
      <c r="CS147" t="s">
        <v>174</v>
      </c>
      <c r="CT147" s="49">
        <v>0</v>
      </c>
      <c r="CU147">
        <v>0</v>
      </c>
      <c r="CV147">
        <v>0</v>
      </c>
      <c r="CW147" s="70">
        <v>0</v>
      </c>
      <c r="CX147">
        <v>6.3</v>
      </c>
      <c r="CY147">
        <v>0</v>
      </c>
      <c r="CZ147">
        <v>0</v>
      </c>
      <c r="DA147">
        <v>0</v>
      </c>
      <c r="DB147">
        <v>-465251701.607126</v>
      </c>
      <c r="DC147">
        <v>6.3</v>
      </c>
      <c r="DD147">
        <v>0</v>
      </c>
      <c r="DE147">
        <v>0</v>
      </c>
      <c r="DF147">
        <v>0</v>
      </c>
      <c r="DG147">
        <v>0</v>
      </c>
      <c r="DH147">
        <v>0</v>
      </c>
      <c r="DI147">
        <v>0</v>
      </c>
      <c r="DJ147" s="500">
        <v>4736879540</v>
      </c>
      <c r="DK147" s="500">
        <v>0</v>
      </c>
      <c r="DL147" s="37">
        <v>4736879540</v>
      </c>
      <c r="DM147" s="37">
        <v>4736879540</v>
      </c>
      <c r="DN147" s="37">
        <v>4736879540</v>
      </c>
      <c r="DO147" s="37">
        <v>4736879540</v>
      </c>
      <c r="DP147" s="32">
        <f>Tradingbook_SBV[[#This Row],[Mat. Date]]-RPT</f>
        <v>-3443</v>
      </c>
      <c r="DQ147" s="32">
        <f>IF(Tradingbook_SBV[[#This Row],[Days]]&lt;=0,0,YEARFRAC(RPT,Tradingbook_SBV[[#This Row],[Mat. Date]],3))</f>
        <v>0</v>
      </c>
      <c r="DR147" s="32">
        <f>IF(Tradingbook_SBV[[#This Row],[Days (year)]]=0,0,INDEX(Ref!$K$2:$K$13,MATCH(Tradingbook_SBV[[#This Row],[Days (year)]],Ref!$I$2:$I$13,1)))</f>
        <v>0</v>
      </c>
      <c r="DS147" s="32" t="str">
        <f>VLOOKUP(Tradingbook_SBV[[#This Row],[Security Name]],Ref!X:Z,3,0)</f>
        <v>TPCP</v>
      </c>
      <c r="DT147" s="32" t="str">
        <f>VLOOKUP(Tradingbook_SBV[[#This Row],[Security Name]],Ref!X:Y,2,0)</f>
        <v>KBNN</v>
      </c>
      <c r="DU147" s="71">
        <f>IF((Tradingbook_SBV[[#This Row],[Mat. Date]]-RPT)&lt;=0,0,Tradingbook_SBV[[#This Row],[QUANTITY]])</f>
        <v>0</v>
      </c>
      <c r="DV147" s="71">
        <f>IF(Tradingbook_SBV[[#This Row],[Quantity_edited]]=0,0,Tradingbook_SBV[[#This Row],[DURATION]])</f>
        <v>0</v>
      </c>
      <c r="DW147" s="71">
        <f>IF(Tradingbook_SBV[[#This Row],[Quantity_edited]]=0,0,Tradingbook_SBV[[#This Row],[Mod Dur]])</f>
        <v>0</v>
      </c>
      <c r="DX147" s="71">
        <f>IF(Tradingbook_SBV[[#This Row],[Quantity_edited]]=0,0,Tradingbook_SBV[[#This Row],[Cnvx.]])</f>
        <v>0</v>
      </c>
      <c r="DY147" s="71">
        <f>(Tradingbook_SBV[[#This Row],[MARKET_VALUE]]+Tradingbook_SBV[[#This Row],[Accr Int]]*Tradingbook_SBV[[#This Row],[Quantity_edited]])*(-Tradingbook_SBV[[#This Row],[Modified Duration]]*0.0001+0.5*Tradingbook_SBV[[#This Row],[Conv]]*(0.0001^2))</f>
        <v>0</v>
      </c>
      <c r="DZ147" s="71">
        <f>(Tradingbook_SBV[[#This Row],[MARKET_VALUE]]+Tradingbook_SBV[[#This Row],[Accr Int]]*Tradingbook_SBV[[#This Row],[Quantity_edited]])*(-Tradingbook_SBV[[#This Row],[Modified Duration]]*0.01+0.5*Tradingbook_SBV[[#This Row],[Conv]]*(0.01^2))</f>
        <v>0</v>
      </c>
      <c r="EC147" t="s">
        <v>166</v>
      </c>
      <c r="ED147" t="s">
        <v>167</v>
      </c>
      <c r="EE147" t="s">
        <v>550</v>
      </c>
      <c r="EF147" t="s">
        <v>169</v>
      </c>
      <c r="EG147" s="35" t="s">
        <v>3767</v>
      </c>
      <c r="EH147" t="s">
        <v>3322</v>
      </c>
      <c r="EK147" s="500">
        <v>0</v>
      </c>
      <c r="EL147" s="500">
        <v>0</v>
      </c>
      <c r="EM147" s="500">
        <v>0</v>
      </c>
      <c r="EN147" s="500">
        <v>0</v>
      </c>
      <c r="EO147">
        <v>3.4</v>
      </c>
      <c r="EP147">
        <v>0</v>
      </c>
      <c r="EQ147">
        <v>1700000000</v>
      </c>
      <c r="ER147">
        <v>1831176722.222223</v>
      </c>
      <c r="ES147">
        <v>-250792231.11111164</v>
      </c>
      <c r="ET147">
        <v>3.4</v>
      </c>
      <c r="EU147">
        <v>0</v>
      </c>
      <c r="EV147">
        <v>0</v>
      </c>
      <c r="EW147">
        <v>0</v>
      </c>
      <c r="EX147">
        <v>0</v>
      </c>
      <c r="EY147">
        <v>0</v>
      </c>
      <c r="EZ147">
        <v>0</v>
      </c>
      <c r="FA147">
        <v>-799500000</v>
      </c>
      <c r="FB147">
        <v>0</v>
      </c>
      <c r="FC147">
        <v>-799500000</v>
      </c>
      <c r="FD147">
        <v>-799500000</v>
      </c>
      <c r="FE147">
        <v>-799500000</v>
      </c>
      <c r="FF147">
        <v>-799500000</v>
      </c>
      <c r="FG147" s="32">
        <f>Bankingbook_SBV[[#This Row],[Mat. Date]]-RPT</f>
        <v>-514</v>
      </c>
      <c r="FH147" s="32">
        <f>IF(Bankingbook_SBV[[#This Row],[Days]]&lt;=0,0,YEARFRAC(RPT,Bankingbook_SBV[[#This Row],[Mat. Date]],3))</f>
        <v>0</v>
      </c>
      <c r="FI147" s="32">
        <f>IF(Bankingbook_SBV[[#This Row],[Days (year)]]=0,0,INDEX(Ref!$K$2:$K$13,MATCH(Bankingbook_SBV[[#This Row],[Days (year)]],Ref!$I$2:$I$13,1)))</f>
        <v>0</v>
      </c>
      <c r="FJ147" s="32" t="str">
        <f>VLOOKUP(Bankingbook_SBV[[#This Row],[Security Name]],Ref!X:Z,3,0)</f>
        <v>TPCP</v>
      </c>
      <c r="FK147" s="32" t="str">
        <f>VLOOKUP(Bankingbook_SBV[[#This Row],[Security Name]],Ref!X:Y,2,0)</f>
        <v>KBNN</v>
      </c>
      <c r="FL147" s="72">
        <f>IF((Bankingbook_SBV[[#This Row],[Mat. Date]]-RPT)&lt;=0,0,Bankingbook_SBV[[#This Row],[QUANTITY]])</f>
        <v>0</v>
      </c>
      <c r="FM147" s="32">
        <f>IF(Bankingbook_SBV[[#This Row],[Quantity_edited]]=0,0,Bankingbook_SBV[[#This Row],[DURATION]])</f>
        <v>0</v>
      </c>
      <c r="FN147" s="32">
        <f>IF(Bankingbook_SBV[[#This Row],[Quantity_edited]]=0,0,Bankingbook_SBV[[#This Row],[Mod Dur]])</f>
        <v>0</v>
      </c>
      <c r="FO147" s="32">
        <f>IF(Bankingbook_SBV[[#This Row],[Quantity_edited]]=0,0,Bankingbook_SBV[[#This Row],[Cnvx.]])</f>
        <v>0</v>
      </c>
      <c r="FP147" s="32">
        <f>(Bankingbook_SBV[[#This Row],[MARKET_VALUE]]+Bankingbook_SBV[[#This Row],[Accr Int]]*Bankingbook_SBV[[#This Row],[Quantity_edited]])*(-Bankingbook_SBV[[#This Row],[Modified Duration]]*0.0001+0.5*Bankingbook_SBV[[#This Row],[Conv]]*(0.0001^2))</f>
        <v>0</v>
      </c>
      <c r="FQ147" s="32">
        <f>(Bankingbook_SBV[[#This Row],[MARKET_VALUE]]+Bankingbook_SBV[[#This Row],[Accr Int]]*Bankingbook_SBV[[#This Row],[Quantity_edited]])*(-Bankingbook_SBV[[#This Row],[Modified Duration]]*0.01+0.5*Bankingbook_SBV[[#This Row],[Conv]]*(0.01^2))</f>
        <v>0</v>
      </c>
    </row>
    <row r="148" spans="2:173" x14ac:dyDescent="0.3">
      <c r="B148" t="s">
        <v>166</v>
      </c>
      <c r="C148" t="s">
        <v>167</v>
      </c>
      <c r="D148" t="s">
        <v>325</v>
      </c>
      <c r="E148" t="s">
        <v>169</v>
      </c>
      <c r="F148" s="502">
        <v>42825</v>
      </c>
      <c r="G148" t="s">
        <v>170</v>
      </c>
      <c r="H148"/>
      <c r="I148"/>
      <c r="J148" s="38">
        <v>500000</v>
      </c>
      <c r="K148">
        <v>50000000000</v>
      </c>
      <c r="L148">
        <v>101179.17600000001</v>
      </c>
      <c r="M148" s="38">
        <v>0</v>
      </c>
      <c r="N148">
        <v>6.1</v>
      </c>
      <c r="O148">
        <v>0</v>
      </c>
      <c r="P148" s="37">
        <v>12200000000</v>
      </c>
      <c r="Q148" s="37">
        <v>12666706340.277779</v>
      </c>
      <c r="R148" s="37">
        <v>-5489842185.625</v>
      </c>
      <c r="S148">
        <v>6.1</v>
      </c>
      <c r="T148" s="70">
        <v>0</v>
      </c>
      <c r="U148">
        <v>0</v>
      </c>
      <c r="V148">
        <v>0</v>
      </c>
      <c r="W148">
        <v>0</v>
      </c>
      <c r="X148" s="38">
        <v>0</v>
      </c>
      <c r="Y148">
        <v>0</v>
      </c>
      <c r="Z148" s="70">
        <v>2403999999.9999781</v>
      </c>
      <c r="AA148" s="70">
        <v>0</v>
      </c>
      <c r="AB148" s="70">
        <v>2403999999.9999781</v>
      </c>
      <c r="AC148" s="70">
        <v>2403999999.9999781</v>
      </c>
      <c r="AD148" s="70">
        <v>2404000000</v>
      </c>
      <c r="AE148" s="70">
        <v>2403999999.9999781</v>
      </c>
      <c r="AF148">
        <v>5.5358823529999999</v>
      </c>
      <c r="AG148" s="72">
        <f>Tradingbook_MSB[[#This Row],[Mat. Date]]-RPT</f>
        <v>-3427</v>
      </c>
      <c r="AH148" s="71">
        <f>IF(Tradingbook_MSB[[#This Row],[Days]]&lt;=0,0,YEARFRAC(RPT,Tradingbook_MSB[[#This Row],[Mat. Date]],3))</f>
        <v>0</v>
      </c>
      <c r="AI148" s="71">
        <f>IF(Tradingbook_MSB[[#This Row],[Days (year)]]=0,0,INDEX(Ref!$K$2:$K$13,MATCH(Tradingbook_MSB[[#This Row],[Days (year)]],Ref!$I$2:$I$13,1)))</f>
        <v>0</v>
      </c>
      <c r="AJ148" s="120" t="str">
        <f>VLOOKUP(Tradingbook_MSB[[#This Row],[Security Name]],Ref!X:Z,3,0)</f>
        <v>TPCP</v>
      </c>
      <c r="AK148" s="120" t="str">
        <f>VLOOKUP(Tradingbook_MSB[[#This Row],[Security Name]],Ref!X:Y,2,0)</f>
        <v>KBNN</v>
      </c>
      <c r="AL148" s="71">
        <f>IF((Tradingbook_MSB[[#This Row],[Mat. Date]]-RPT)&lt;=0,0,Tradingbook_MSB[[#This Row],[QUANTITY]])</f>
        <v>0</v>
      </c>
      <c r="AM148" s="71">
        <f>IF(Tradingbook_MSB[[#This Row],[Quantity_edited]]=0,0,Tradingbook_MSB[[#This Row],[DURATION]])</f>
        <v>0</v>
      </c>
      <c r="AN148" s="71">
        <f>IF(Tradingbook_MSB[[#This Row],[Quantity_edited]]=0,0,Tradingbook_MSB[[#This Row],[Mod Dur]])</f>
        <v>0</v>
      </c>
      <c r="AO148" s="71">
        <f>IF(Tradingbook_MSB[[#This Row],[Quantity_edited]]=0,0,Tradingbook_MSB[[#This Row],[Cnvx.]])</f>
        <v>0</v>
      </c>
      <c r="AP148" s="71">
        <f>(Tradingbook_MSB[[#This Row],[MARKET_VALUE]]+Tradingbook_MSB[[#This Row],[Accr Int]]*Tradingbook_MSB[[#This Row],[Quantity_edited]])*(-Tradingbook_MSB[[#This Row],[Modified Duration]]*0.0001+0.5*Tradingbook_MSB[[#This Row],[Conv]]*(0.0001^2))</f>
        <v>0</v>
      </c>
      <c r="AQ148" s="72">
        <f>(Tradingbook_MSB[[#This Row],[MARKET_VALUE]]+Tradingbook_MSB[[#This Row],[Accr Int]]*Tradingbook_MSB[[#This Row],[Quantity_edited]])*(-Tradingbook_MSB[[#This Row],[Modified Duration]]*0.01+0.5*Tradingbook_MSB[[#This Row],[Conv]]*(0.01^2))</f>
        <v>0</v>
      </c>
      <c r="AR148" s="71"/>
      <c r="AT148" t="s">
        <v>166</v>
      </c>
      <c r="AU148" t="s">
        <v>3300</v>
      </c>
      <c r="AV148" t="s">
        <v>625</v>
      </c>
      <c r="AW148" t="s">
        <v>169</v>
      </c>
      <c r="AX148" t="s">
        <v>3438</v>
      </c>
      <c r="AY148" t="s">
        <v>3322</v>
      </c>
      <c r="AZ148">
        <v>113429</v>
      </c>
      <c r="BA148">
        <v>113429</v>
      </c>
      <c r="BB148">
        <v>0</v>
      </c>
      <c r="BC148">
        <v>0</v>
      </c>
      <c r="BD148">
        <v>0</v>
      </c>
      <c r="BE148">
        <v>0</v>
      </c>
      <c r="BF148">
        <v>7.6</v>
      </c>
      <c r="BG148">
        <v>3852</v>
      </c>
      <c r="BH148">
        <v>0</v>
      </c>
      <c r="BI148">
        <v>1.83E-4</v>
      </c>
      <c r="BJ148">
        <v>-3910214036.1640167</v>
      </c>
      <c r="BK148">
        <v>4.7554636180000003</v>
      </c>
      <c r="BL148">
        <v>4.3899596165567996</v>
      </c>
      <c r="BM148">
        <v>4.5987225499999997</v>
      </c>
      <c r="BN148">
        <v>25.779850534666899</v>
      </c>
      <c r="BO148">
        <v>0</v>
      </c>
      <c r="BP148">
        <v>0</v>
      </c>
      <c r="BQ148">
        <v>0</v>
      </c>
      <c r="BR148">
        <v>-263810000</v>
      </c>
      <c r="BS148">
        <v>0</v>
      </c>
      <c r="BT148">
        <v>-263810000</v>
      </c>
      <c r="BU148">
        <v>-263810000</v>
      </c>
      <c r="BV148">
        <v>-263810000</v>
      </c>
      <c r="BW148">
        <v>-263810000</v>
      </c>
      <c r="BX148">
        <v>0</v>
      </c>
      <c r="BY148" s="32">
        <f>Bankingbook_MSB[[#This Row],[Mat. Date]]-RPT</f>
        <v>2006</v>
      </c>
      <c r="BZ148" s="71">
        <f>IF(Bankingbook_MSB[[#This Row],[Days]]&lt;=0,0,YEARFRAC(RPT,Bankingbook_MSB[[#This Row],[Mat. Date]],3))</f>
        <v>5.4958904109589044</v>
      </c>
      <c r="CA148" s="71" t="str">
        <f>IF(Bankingbook_MSB[[#This Row],[Days (year)]]=0,0,INDEX(Ref!$K$2:$K$13,MATCH(Bankingbook_MSB[[#This Row],[Days (year)]],Ref!$I$2:$I$13,1)))</f>
        <v>5Y</v>
      </c>
      <c r="CB148" s="32" t="str">
        <f>VLOOKUP(Bankingbook_MSB[[#This Row],[Security Name]],Ref!X:Z,3,0)</f>
        <v>TPCPBL</v>
      </c>
      <c r="CC148" s="32" t="str">
        <f>VLOOKUP(Bankingbook_MSB[[#This Row],[Security Name]],Ref!X:Y,2,0)</f>
        <v>VDB</v>
      </c>
      <c r="CD148" s="72">
        <f>IF((Bankingbook_MSB[[#This Row],[Mat. Date]]-RPT)&lt;=0,0,Bankingbook_MSB[[#This Row],[QUANTITY]])</f>
        <v>0</v>
      </c>
      <c r="CE148" s="71">
        <f>IF(Bankingbook_MSB[[#This Row],[Quantity_edited]]=0,0,Bankingbook_MSB[[#This Row],[DURATION]])</f>
        <v>0</v>
      </c>
      <c r="CF148" s="71">
        <f>IF(Bankingbook_MSB[[#This Row],[Quantity_edited]]=0,0,Bankingbook_MSB[[#This Row],[Mod Dur]])</f>
        <v>0</v>
      </c>
      <c r="CG148" s="71">
        <f>IF(Bankingbook_MSB[[#This Row],[Quantity_edited]]=0,0,Bankingbook_MSB[[#This Row],[Cnvx.]])</f>
        <v>0</v>
      </c>
      <c r="CH148" s="71">
        <f>(Bankingbook_MSB[[#This Row],[MARKET_VALUE]]+Bankingbook_MSB[[#This Row],[Accr Int]]*Bankingbook_MSB[[#This Row],[Quantity_edited]])*(-Bankingbook_MSB[[#This Row],[Modified Duration]]*0.0001+0.5*Bankingbook_MSB[[#This Row],[Conv]]*(0.0001^2))</f>
        <v>0</v>
      </c>
      <c r="CI148" s="71">
        <f>(Bankingbook_MSB[[#This Row],[MARKET_VALUE]]+Bankingbook_MSB[[#This Row],[Accr Int]]*Bankingbook_MSB[[#This Row],[Quantity_edited]])*(-Bankingbook_MSB[[#This Row],[Modified Duration]]*0.01+0.5*Bankingbook_MSB[[#This Row],[Conv]]*(0.01^2))</f>
        <v>0</v>
      </c>
      <c r="CL148" t="s">
        <v>166</v>
      </c>
      <c r="CM148" t="s">
        <v>167</v>
      </c>
      <c r="CN148" t="s">
        <v>325</v>
      </c>
      <c r="CO148" t="s">
        <v>169</v>
      </c>
      <c r="CP148" s="35">
        <v>42825</v>
      </c>
      <c r="CQ148" t="s">
        <v>170</v>
      </c>
      <c r="CR148" t="s">
        <v>174</v>
      </c>
      <c r="CS148" t="s">
        <v>174</v>
      </c>
      <c r="CT148" s="49">
        <v>500000</v>
      </c>
      <c r="CU148">
        <v>50000000000</v>
      </c>
      <c r="CV148">
        <v>101179.17600000001</v>
      </c>
      <c r="CW148" s="70">
        <v>0</v>
      </c>
      <c r="CX148">
        <v>6.1</v>
      </c>
      <c r="CY148">
        <v>0</v>
      </c>
      <c r="CZ148">
        <v>12200000000</v>
      </c>
      <c r="DA148">
        <v>12666706340.277779</v>
      </c>
      <c r="DB148">
        <v>-5489842185.625</v>
      </c>
      <c r="DC148">
        <v>6.1</v>
      </c>
      <c r="DD148">
        <v>0</v>
      </c>
      <c r="DE148">
        <v>0</v>
      </c>
      <c r="DF148">
        <v>0</v>
      </c>
      <c r="DG148">
        <v>0</v>
      </c>
      <c r="DH148">
        <v>0</v>
      </c>
      <c r="DI148">
        <v>0</v>
      </c>
      <c r="DJ148" s="500">
        <v>2403999999.9999781</v>
      </c>
      <c r="DK148" s="500">
        <v>0</v>
      </c>
      <c r="DL148" s="37">
        <v>2403999999.9999781</v>
      </c>
      <c r="DM148" s="37">
        <v>2403999999.9999781</v>
      </c>
      <c r="DN148" s="37">
        <v>2404000000</v>
      </c>
      <c r="DO148" s="37">
        <v>2403999999.9999781</v>
      </c>
      <c r="DP148" s="32">
        <f>Tradingbook_SBV[[#This Row],[Mat. Date]]-RPT</f>
        <v>-3427</v>
      </c>
      <c r="DQ148" s="32">
        <f>IF(Tradingbook_SBV[[#This Row],[Days]]&lt;=0,0,YEARFRAC(RPT,Tradingbook_SBV[[#This Row],[Mat. Date]],3))</f>
        <v>0</v>
      </c>
      <c r="DR148" s="32">
        <f>IF(Tradingbook_SBV[[#This Row],[Days (year)]]=0,0,INDEX(Ref!$K$2:$K$13,MATCH(Tradingbook_SBV[[#This Row],[Days (year)]],Ref!$I$2:$I$13,1)))</f>
        <v>0</v>
      </c>
      <c r="DS148" s="32" t="str">
        <f>VLOOKUP(Tradingbook_SBV[[#This Row],[Security Name]],Ref!X:Z,3,0)</f>
        <v>TPCP</v>
      </c>
      <c r="DT148" s="32" t="str">
        <f>VLOOKUP(Tradingbook_SBV[[#This Row],[Security Name]],Ref!X:Y,2,0)</f>
        <v>KBNN</v>
      </c>
      <c r="DU148" s="71">
        <f>IF((Tradingbook_SBV[[#This Row],[Mat. Date]]-RPT)&lt;=0,0,Tradingbook_SBV[[#This Row],[QUANTITY]])</f>
        <v>0</v>
      </c>
      <c r="DV148" s="71">
        <f>IF(Tradingbook_SBV[[#This Row],[Quantity_edited]]=0,0,Tradingbook_SBV[[#This Row],[DURATION]])</f>
        <v>0</v>
      </c>
      <c r="DW148" s="71">
        <f>IF(Tradingbook_SBV[[#This Row],[Quantity_edited]]=0,0,Tradingbook_SBV[[#This Row],[Mod Dur]])</f>
        <v>0</v>
      </c>
      <c r="DX148" s="71">
        <f>IF(Tradingbook_SBV[[#This Row],[Quantity_edited]]=0,0,Tradingbook_SBV[[#This Row],[Cnvx.]])</f>
        <v>0</v>
      </c>
      <c r="DY148" s="71">
        <f>(Tradingbook_SBV[[#This Row],[MARKET_VALUE]]+Tradingbook_SBV[[#This Row],[Accr Int]]*Tradingbook_SBV[[#This Row],[Quantity_edited]])*(-Tradingbook_SBV[[#This Row],[Modified Duration]]*0.0001+0.5*Tradingbook_SBV[[#This Row],[Conv]]*(0.0001^2))</f>
        <v>0</v>
      </c>
      <c r="DZ148" s="71">
        <f>(Tradingbook_SBV[[#This Row],[MARKET_VALUE]]+Tradingbook_SBV[[#This Row],[Accr Int]]*Tradingbook_SBV[[#This Row],[Quantity_edited]])*(-Tradingbook_SBV[[#This Row],[Modified Duration]]*0.01+0.5*Tradingbook_SBV[[#This Row],[Conv]]*(0.01^2))</f>
        <v>0</v>
      </c>
      <c r="EC148" t="s">
        <v>166</v>
      </c>
      <c r="ED148" t="s">
        <v>167</v>
      </c>
      <c r="EE148" t="s">
        <v>551</v>
      </c>
      <c r="EF148" t="s">
        <v>169</v>
      </c>
      <c r="EG148" s="35" t="s">
        <v>3768</v>
      </c>
      <c r="EH148" t="s">
        <v>3322</v>
      </c>
      <c r="EK148" s="500">
        <v>0</v>
      </c>
      <c r="EL148" s="500">
        <v>0</v>
      </c>
      <c r="EM148" s="500">
        <v>0</v>
      </c>
      <c r="EN148" s="500">
        <v>0</v>
      </c>
      <c r="EO148">
        <v>1.9</v>
      </c>
      <c r="EP148">
        <v>0</v>
      </c>
      <c r="EQ148">
        <v>0</v>
      </c>
      <c r="ER148">
        <v>3.9999999999999998E-6</v>
      </c>
      <c r="ES148">
        <v>9414093.9583518505</v>
      </c>
      <c r="ET148">
        <v>1.9</v>
      </c>
      <c r="EU148">
        <v>0</v>
      </c>
      <c r="EV148">
        <v>0</v>
      </c>
      <c r="EW148">
        <v>0</v>
      </c>
      <c r="EX148">
        <v>0</v>
      </c>
      <c r="EY148">
        <v>0</v>
      </c>
      <c r="EZ148">
        <v>0</v>
      </c>
      <c r="FA148">
        <v>491000000</v>
      </c>
      <c r="FB148">
        <v>0</v>
      </c>
      <c r="FC148">
        <v>491000000</v>
      </c>
      <c r="FD148">
        <v>491000000</v>
      </c>
      <c r="FE148">
        <v>491000000</v>
      </c>
      <c r="FF148">
        <v>491000000</v>
      </c>
      <c r="FG148" s="32">
        <f>Bankingbook_SBV[[#This Row],[Mat. Date]]-RPT</f>
        <v>-440</v>
      </c>
      <c r="FH148" s="32">
        <f>IF(Bankingbook_SBV[[#This Row],[Days]]&lt;=0,0,YEARFRAC(RPT,Bankingbook_SBV[[#This Row],[Mat. Date]],3))</f>
        <v>0</v>
      </c>
      <c r="FI148" s="32">
        <f>IF(Bankingbook_SBV[[#This Row],[Days (year)]]=0,0,INDEX(Ref!$K$2:$K$13,MATCH(Bankingbook_SBV[[#This Row],[Days (year)]],Ref!$I$2:$I$13,1)))</f>
        <v>0</v>
      </c>
      <c r="FJ148" s="32" t="str">
        <f>VLOOKUP(Bankingbook_SBV[[#This Row],[Security Name]],Ref!X:Z,3,0)</f>
        <v>TPCP</v>
      </c>
      <c r="FK148" s="32" t="str">
        <f>VLOOKUP(Bankingbook_SBV[[#This Row],[Security Name]],Ref!X:Y,2,0)</f>
        <v>KBNN</v>
      </c>
      <c r="FL148" s="72">
        <f>IF((Bankingbook_SBV[[#This Row],[Mat. Date]]-RPT)&lt;=0,0,Bankingbook_SBV[[#This Row],[QUANTITY]])</f>
        <v>0</v>
      </c>
      <c r="FM148" s="32">
        <f>IF(Bankingbook_SBV[[#This Row],[Quantity_edited]]=0,0,Bankingbook_SBV[[#This Row],[DURATION]])</f>
        <v>0</v>
      </c>
      <c r="FN148" s="32">
        <f>IF(Bankingbook_SBV[[#This Row],[Quantity_edited]]=0,0,Bankingbook_SBV[[#This Row],[Mod Dur]])</f>
        <v>0</v>
      </c>
      <c r="FO148" s="32">
        <f>IF(Bankingbook_SBV[[#This Row],[Quantity_edited]]=0,0,Bankingbook_SBV[[#This Row],[Cnvx.]])</f>
        <v>0</v>
      </c>
      <c r="FP148" s="32">
        <f>(Bankingbook_SBV[[#This Row],[MARKET_VALUE]]+Bankingbook_SBV[[#This Row],[Accr Int]]*Bankingbook_SBV[[#This Row],[Quantity_edited]])*(-Bankingbook_SBV[[#This Row],[Modified Duration]]*0.0001+0.5*Bankingbook_SBV[[#This Row],[Conv]]*(0.0001^2))</f>
        <v>0</v>
      </c>
      <c r="FQ148" s="32">
        <f>(Bankingbook_SBV[[#This Row],[MARKET_VALUE]]+Bankingbook_SBV[[#This Row],[Accr Int]]*Bankingbook_SBV[[#This Row],[Quantity_edited]])*(-Bankingbook_SBV[[#This Row],[Modified Duration]]*0.01+0.5*Bankingbook_SBV[[#This Row],[Conv]]*(0.01^2))</f>
        <v>0</v>
      </c>
    </row>
    <row r="149" spans="2:173" x14ac:dyDescent="0.3">
      <c r="B149" t="s">
        <v>166</v>
      </c>
      <c r="C149" t="s">
        <v>167</v>
      </c>
      <c r="D149" t="s">
        <v>326</v>
      </c>
      <c r="E149" t="s">
        <v>169</v>
      </c>
      <c r="F149" s="502">
        <v>42840</v>
      </c>
      <c r="G149" t="s">
        <v>3322</v>
      </c>
      <c r="H149"/>
      <c r="I149"/>
      <c r="J149" s="38">
        <v>0</v>
      </c>
      <c r="K149">
        <v>0</v>
      </c>
      <c r="L149">
        <v>0</v>
      </c>
      <c r="M149" s="38">
        <v>0</v>
      </c>
      <c r="N149">
        <v>10.8</v>
      </c>
      <c r="O149">
        <v>0</v>
      </c>
      <c r="P149" s="37">
        <v>0</v>
      </c>
      <c r="Q149" s="37">
        <v>-1.9000000000000001E-5</v>
      </c>
      <c r="R149" s="37">
        <v>-1285506498.7360489</v>
      </c>
      <c r="S149">
        <v>10.8</v>
      </c>
      <c r="T149" s="70">
        <v>0</v>
      </c>
      <c r="U149">
        <v>0</v>
      </c>
      <c r="V149">
        <v>0</v>
      </c>
      <c r="W149">
        <v>0</v>
      </c>
      <c r="X149" s="38">
        <v>0</v>
      </c>
      <c r="Y149">
        <v>0</v>
      </c>
      <c r="Z149" s="70">
        <v>5911500000</v>
      </c>
      <c r="AA149" s="70">
        <v>0</v>
      </c>
      <c r="AB149" s="70">
        <v>5911500000</v>
      </c>
      <c r="AC149" s="70">
        <v>5911500000</v>
      </c>
      <c r="AD149" s="70">
        <v>5911500000</v>
      </c>
      <c r="AE149" s="70">
        <v>5911500000</v>
      </c>
      <c r="AF149">
        <v>0</v>
      </c>
      <c r="AG149" s="72">
        <f>Tradingbook_MSB[[#This Row],[Mat. Date]]-RPT</f>
        <v>-3412</v>
      </c>
      <c r="AH149" s="71">
        <f>IF(Tradingbook_MSB[[#This Row],[Days]]&lt;=0,0,YEARFRAC(RPT,Tradingbook_MSB[[#This Row],[Mat. Date]],3))</f>
        <v>0</v>
      </c>
      <c r="AI149" s="71">
        <f>IF(Tradingbook_MSB[[#This Row],[Days (year)]]=0,0,INDEX(Ref!$K$2:$K$13,MATCH(Tradingbook_MSB[[#This Row],[Days (year)]],Ref!$I$2:$I$13,1)))</f>
        <v>0</v>
      </c>
      <c r="AJ149" s="120" t="str">
        <f>VLOOKUP(Tradingbook_MSB[[#This Row],[Security Name]],Ref!X:Z,3,0)</f>
        <v>TPCP</v>
      </c>
      <c r="AK149" s="120" t="str">
        <f>VLOOKUP(Tradingbook_MSB[[#This Row],[Security Name]],Ref!X:Y,2,0)</f>
        <v>KBNN</v>
      </c>
      <c r="AL149" s="71">
        <f>IF((Tradingbook_MSB[[#This Row],[Mat. Date]]-RPT)&lt;=0,0,Tradingbook_MSB[[#This Row],[QUANTITY]])</f>
        <v>0</v>
      </c>
      <c r="AM149" s="71">
        <f>IF(Tradingbook_MSB[[#This Row],[Quantity_edited]]=0,0,Tradingbook_MSB[[#This Row],[DURATION]])</f>
        <v>0</v>
      </c>
      <c r="AN149" s="71">
        <f>IF(Tradingbook_MSB[[#This Row],[Quantity_edited]]=0,0,Tradingbook_MSB[[#This Row],[Mod Dur]])</f>
        <v>0</v>
      </c>
      <c r="AO149" s="71">
        <f>IF(Tradingbook_MSB[[#This Row],[Quantity_edited]]=0,0,Tradingbook_MSB[[#This Row],[Cnvx.]])</f>
        <v>0</v>
      </c>
      <c r="AP149" s="71">
        <f>(Tradingbook_MSB[[#This Row],[MARKET_VALUE]]+Tradingbook_MSB[[#This Row],[Accr Int]]*Tradingbook_MSB[[#This Row],[Quantity_edited]])*(-Tradingbook_MSB[[#This Row],[Modified Duration]]*0.0001+0.5*Tradingbook_MSB[[#This Row],[Conv]]*(0.0001^2))</f>
        <v>0</v>
      </c>
      <c r="AQ149" s="72">
        <f>(Tradingbook_MSB[[#This Row],[MARKET_VALUE]]+Tradingbook_MSB[[#This Row],[Accr Int]]*Tradingbook_MSB[[#This Row],[Quantity_edited]])*(-Tradingbook_MSB[[#This Row],[Modified Duration]]*0.01+0.5*Tradingbook_MSB[[#This Row],[Conv]]*(0.01^2))</f>
        <v>0</v>
      </c>
      <c r="AR149" s="71"/>
      <c r="AT149" t="s">
        <v>166</v>
      </c>
      <c r="AU149" t="s">
        <v>3300</v>
      </c>
      <c r="AV149" t="s">
        <v>650</v>
      </c>
      <c r="AW149" t="s">
        <v>169</v>
      </c>
      <c r="AX149" t="s">
        <v>3439</v>
      </c>
      <c r="AY149" t="s">
        <v>3322</v>
      </c>
      <c r="AZ149">
        <v>112833</v>
      </c>
      <c r="BA149">
        <v>112833</v>
      </c>
      <c r="BB149">
        <v>0</v>
      </c>
      <c r="BC149">
        <v>0</v>
      </c>
      <c r="BD149">
        <v>0</v>
      </c>
      <c r="BE149">
        <v>0</v>
      </c>
      <c r="BF149">
        <v>6.9</v>
      </c>
      <c r="BG149">
        <v>2930</v>
      </c>
      <c r="BH149">
        <v>69000000000</v>
      </c>
      <c r="BI149">
        <v>81304660749.999863</v>
      </c>
      <c r="BJ149">
        <v>-23108609794.385666</v>
      </c>
      <c r="BK149">
        <v>4.2585767849999998</v>
      </c>
      <c r="BL149">
        <v>4.5546150141077</v>
      </c>
      <c r="BM149">
        <v>4.7485767900000004</v>
      </c>
      <c r="BN149">
        <v>27.321707687602</v>
      </c>
      <c r="BO149">
        <v>0</v>
      </c>
      <c r="BP149">
        <v>0</v>
      </c>
      <c r="BQ149">
        <v>0</v>
      </c>
      <c r="BR149">
        <v>18572000000</v>
      </c>
      <c r="BS149">
        <v>0</v>
      </c>
      <c r="BT149">
        <v>18572000000</v>
      </c>
      <c r="BU149">
        <v>18572000000</v>
      </c>
      <c r="BV149">
        <v>18572000000</v>
      </c>
      <c r="BW149">
        <v>18572000000</v>
      </c>
      <c r="BX149">
        <v>0</v>
      </c>
      <c r="BY149" s="32">
        <f>Bankingbook_MSB[[#This Row],[Mat. Date]]-RPT</f>
        <v>2037</v>
      </c>
      <c r="BZ149" s="71">
        <f>IF(Bankingbook_MSB[[#This Row],[Days]]&lt;=0,0,YEARFRAC(RPT,Bankingbook_MSB[[#This Row],[Mat. Date]],3))</f>
        <v>5.580821917808219</v>
      </c>
      <c r="CA149" s="71" t="str">
        <f>IF(Bankingbook_MSB[[#This Row],[Days (year)]]=0,0,INDEX(Ref!$K$2:$K$13,MATCH(Bankingbook_MSB[[#This Row],[Days (year)]],Ref!$I$2:$I$13,1)))</f>
        <v>7Y</v>
      </c>
      <c r="CB149" s="32" t="str">
        <f>VLOOKUP(Bankingbook_MSB[[#This Row],[Security Name]],Ref!X:Z,3,0)</f>
        <v>TPCP</v>
      </c>
      <c r="CC149" s="32" t="str">
        <f>VLOOKUP(Bankingbook_MSB[[#This Row],[Security Name]],Ref!X:Y,2,0)</f>
        <v>KBNN</v>
      </c>
      <c r="CD149" s="72">
        <f>IF((Bankingbook_MSB[[#This Row],[Mat. Date]]-RPT)&lt;=0,0,Bankingbook_MSB[[#This Row],[QUANTITY]])</f>
        <v>0</v>
      </c>
      <c r="CE149" s="71">
        <f>IF(Bankingbook_MSB[[#This Row],[Quantity_edited]]=0,0,Bankingbook_MSB[[#This Row],[DURATION]])</f>
        <v>0</v>
      </c>
      <c r="CF149" s="71">
        <f>IF(Bankingbook_MSB[[#This Row],[Quantity_edited]]=0,0,Bankingbook_MSB[[#This Row],[Mod Dur]])</f>
        <v>0</v>
      </c>
      <c r="CG149" s="71">
        <f>IF(Bankingbook_MSB[[#This Row],[Quantity_edited]]=0,0,Bankingbook_MSB[[#This Row],[Cnvx.]])</f>
        <v>0</v>
      </c>
      <c r="CH149" s="71">
        <f>(Bankingbook_MSB[[#This Row],[MARKET_VALUE]]+Bankingbook_MSB[[#This Row],[Accr Int]]*Bankingbook_MSB[[#This Row],[Quantity_edited]])*(-Bankingbook_MSB[[#This Row],[Modified Duration]]*0.0001+0.5*Bankingbook_MSB[[#This Row],[Conv]]*(0.0001^2))</f>
        <v>0</v>
      </c>
      <c r="CI149" s="71">
        <f>(Bankingbook_MSB[[#This Row],[MARKET_VALUE]]+Bankingbook_MSB[[#This Row],[Accr Int]]*Bankingbook_MSB[[#This Row],[Quantity_edited]])*(-Bankingbook_MSB[[#This Row],[Modified Duration]]*0.01+0.5*Bankingbook_MSB[[#This Row],[Conv]]*(0.01^2))</f>
        <v>0</v>
      </c>
      <c r="CL149" t="s">
        <v>166</v>
      </c>
      <c r="CM149" t="s">
        <v>167</v>
      </c>
      <c r="CN149" t="s">
        <v>326</v>
      </c>
      <c r="CO149" t="s">
        <v>169</v>
      </c>
      <c r="CP149" s="35">
        <v>42840</v>
      </c>
      <c r="CQ149" t="s">
        <v>3322</v>
      </c>
      <c r="CR149" t="s">
        <v>174</v>
      </c>
      <c r="CS149" t="s">
        <v>174</v>
      </c>
      <c r="CT149" s="49">
        <v>0</v>
      </c>
      <c r="CU149">
        <v>0</v>
      </c>
      <c r="CV149">
        <v>0</v>
      </c>
      <c r="CW149" s="70">
        <v>0</v>
      </c>
      <c r="CX149">
        <v>10.8</v>
      </c>
      <c r="CY149">
        <v>0</v>
      </c>
      <c r="CZ149">
        <v>0</v>
      </c>
      <c r="DA149">
        <v>-1.9000000000000001E-5</v>
      </c>
      <c r="DB149">
        <v>-1285506498.7360489</v>
      </c>
      <c r="DC149">
        <v>10.8</v>
      </c>
      <c r="DD149">
        <v>0</v>
      </c>
      <c r="DE149">
        <v>0</v>
      </c>
      <c r="DF149">
        <v>0</v>
      </c>
      <c r="DG149">
        <v>0</v>
      </c>
      <c r="DH149">
        <v>0</v>
      </c>
      <c r="DI149">
        <v>0</v>
      </c>
      <c r="DJ149" s="500">
        <v>5911500000</v>
      </c>
      <c r="DK149" s="500">
        <v>0</v>
      </c>
      <c r="DL149" s="37">
        <v>5911500000</v>
      </c>
      <c r="DM149" s="37">
        <v>5911500000</v>
      </c>
      <c r="DN149" s="37">
        <v>5911500000</v>
      </c>
      <c r="DO149" s="37">
        <v>5911500000</v>
      </c>
      <c r="DP149" s="32">
        <f>Tradingbook_SBV[[#This Row],[Mat. Date]]-RPT</f>
        <v>-3412</v>
      </c>
      <c r="DQ149" s="32">
        <f>IF(Tradingbook_SBV[[#This Row],[Days]]&lt;=0,0,YEARFRAC(RPT,Tradingbook_SBV[[#This Row],[Mat. Date]],3))</f>
        <v>0</v>
      </c>
      <c r="DR149" s="32">
        <f>IF(Tradingbook_SBV[[#This Row],[Days (year)]]=0,0,INDEX(Ref!$K$2:$K$13,MATCH(Tradingbook_SBV[[#This Row],[Days (year)]],Ref!$I$2:$I$13,1)))</f>
        <v>0</v>
      </c>
      <c r="DS149" s="32" t="str">
        <f>VLOOKUP(Tradingbook_SBV[[#This Row],[Security Name]],Ref!X:Z,3,0)</f>
        <v>TPCP</v>
      </c>
      <c r="DT149" s="32" t="str">
        <f>VLOOKUP(Tradingbook_SBV[[#This Row],[Security Name]],Ref!X:Y,2,0)</f>
        <v>KBNN</v>
      </c>
      <c r="DU149" s="71">
        <f>IF((Tradingbook_SBV[[#This Row],[Mat. Date]]-RPT)&lt;=0,0,Tradingbook_SBV[[#This Row],[QUANTITY]])</f>
        <v>0</v>
      </c>
      <c r="DV149" s="71">
        <f>IF(Tradingbook_SBV[[#This Row],[Quantity_edited]]=0,0,Tradingbook_SBV[[#This Row],[DURATION]])</f>
        <v>0</v>
      </c>
      <c r="DW149" s="71">
        <f>IF(Tradingbook_SBV[[#This Row],[Quantity_edited]]=0,0,Tradingbook_SBV[[#This Row],[Mod Dur]])</f>
        <v>0</v>
      </c>
      <c r="DX149" s="71">
        <f>IF(Tradingbook_SBV[[#This Row],[Quantity_edited]]=0,0,Tradingbook_SBV[[#This Row],[Cnvx.]])</f>
        <v>0</v>
      </c>
      <c r="DY149" s="71">
        <f>(Tradingbook_SBV[[#This Row],[MARKET_VALUE]]+Tradingbook_SBV[[#This Row],[Accr Int]]*Tradingbook_SBV[[#This Row],[Quantity_edited]])*(-Tradingbook_SBV[[#This Row],[Modified Duration]]*0.0001+0.5*Tradingbook_SBV[[#This Row],[Conv]]*(0.0001^2))</f>
        <v>0</v>
      </c>
      <c r="DZ149" s="71">
        <f>(Tradingbook_SBV[[#This Row],[MARKET_VALUE]]+Tradingbook_SBV[[#This Row],[Accr Int]]*Tradingbook_SBV[[#This Row],[Quantity_edited]])*(-Tradingbook_SBV[[#This Row],[Modified Duration]]*0.01+0.5*Tradingbook_SBV[[#This Row],[Conv]]*(0.01^2))</f>
        <v>0</v>
      </c>
      <c r="EC149" t="s">
        <v>166</v>
      </c>
      <c r="ED149" t="s">
        <v>167</v>
      </c>
      <c r="EE149" t="s">
        <v>553</v>
      </c>
      <c r="EF149" t="s">
        <v>169</v>
      </c>
      <c r="EG149" s="35" t="s">
        <v>3769</v>
      </c>
      <c r="EH149" t="s">
        <v>3322</v>
      </c>
      <c r="EK149" s="500">
        <v>0</v>
      </c>
      <c r="EL149" s="500">
        <v>0</v>
      </c>
      <c r="EM149" s="500">
        <v>0</v>
      </c>
      <c r="EN149" s="500">
        <v>0</v>
      </c>
      <c r="EO149">
        <v>1.6</v>
      </c>
      <c r="EP149">
        <v>0</v>
      </c>
      <c r="EQ149">
        <v>0</v>
      </c>
      <c r="ER149">
        <v>-7.9999999999999996E-6</v>
      </c>
      <c r="ES149">
        <v>909784476.70000839</v>
      </c>
      <c r="ET149">
        <v>1.6</v>
      </c>
      <c r="EU149">
        <v>0</v>
      </c>
      <c r="EV149">
        <v>0</v>
      </c>
      <c r="EW149">
        <v>0</v>
      </c>
      <c r="EX149">
        <v>0</v>
      </c>
      <c r="EY149">
        <v>0</v>
      </c>
      <c r="EZ149">
        <v>0</v>
      </c>
      <c r="FA149">
        <v>7776040000</v>
      </c>
      <c r="FB149">
        <v>0</v>
      </c>
      <c r="FC149">
        <v>7776040000</v>
      </c>
      <c r="FD149">
        <v>7776040000</v>
      </c>
      <c r="FE149">
        <v>7776040000</v>
      </c>
      <c r="FF149">
        <v>7776040000</v>
      </c>
      <c r="FG149" s="32">
        <f>Bankingbook_SBV[[#This Row],[Mat. Date]]-RPT</f>
        <v>-288</v>
      </c>
      <c r="FH149" s="32">
        <f>IF(Bankingbook_SBV[[#This Row],[Days]]&lt;=0,0,YEARFRAC(RPT,Bankingbook_SBV[[#This Row],[Mat. Date]],3))</f>
        <v>0</v>
      </c>
      <c r="FI149" s="32">
        <f>IF(Bankingbook_SBV[[#This Row],[Days (year)]]=0,0,INDEX(Ref!$K$2:$K$13,MATCH(Bankingbook_SBV[[#This Row],[Days (year)]],Ref!$I$2:$I$13,1)))</f>
        <v>0</v>
      </c>
      <c r="FJ149" s="32" t="str">
        <f>VLOOKUP(Bankingbook_SBV[[#This Row],[Security Name]],Ref!X:Z,3,0)</f>
        <v>TPCP</v>
      </c>
      <c r="FK149" s="32" t="str">
        <f>VLOOKUP(Bankingbook_SBV[[#This Row],[Security Name]],Ref!X:Y,2,0)</f>
        <v>KBNN</v>
      </c>
      <c r="FL149" s="72">
        <f>IF((Bankingbook_SBV[[#This Row],[Mat. Date]]-RPT)&lt;=0,0,Bankingbook_SBV[[#This Row],[QUANTITY]])</f>
        <v>0</v>
      </c>
      <c r="FM149" s="32">
        <f>IF(Bankingbook_SBV[[#This Row],[Quantity_edited]]=0,0,Bankingbook_SBV[[#This Row],[DURATION]])</f>
        <v>0</v>
      </c>
      <c r="FN149" s="32">
        <f>IF(Bankingbook_SBV[[#This Row],[Quantity_edited]]=0,0,Bankingbook_SBV[[#This Row],[Mod Dur]])</f>
        <v>0</v>
      </c>
      <c r="FO149" s="32">
        <f>IF(Bankingbook_SBV[[#This Row],[Quantity_edited]]=0,0,Bankingbook_SBV[[#This Row],[Cnvx.]])</f>
        <v>0</v>
      </c>
      <c r="FP149" s="32">
        <f>(Bankingbook_SBV[[#This Row],[MARKET_VALUE]]+Bankingbook_SBV[[#This Row],[Accr Int]]*Bankingbook_SBV[[#This Row],[Quantity_edited]])*(-Bankingbook_SBV[[#This Row],[Modified Duration]]*0.0001+0.5*Bankingbook_SBV[[#This Row],[Conv]]*(0.0001^2))</f>
        <v>0</v>
      </c>
      <c r="FQ149" s="32">
        <f>(Bankingbook_SBV[[#This Row],[MARKET_VALUE]]+Bankingbook_SBV[[#This Row],[Accr Int]]*Bankingbook_SBV[[#This Row],[Quantity_edited]])*(-Bankingbook_SBV[[#This Row],[Modified Duration]]*0.01+0.5*Bankingbook_SBV[[#This Row],[Conv]]*(0.01^2))</f>
        <v>0</v>
      </c>
    </row>
    <row r="150" spans="2:173" x14ac:dyDescent="0.3">
      <c r="B150" t="s">
        <v>166</v>
      </c>
      <c r="C150" t="s">
        <v>167</v>
      </c>
      <c r="D150" t="s">
        <v>327</v>
      </c>
      <c r="E150" t="s">
        <v>169</v>
      </c>
      <c r="F150" s="502">
        <v>42840</v>
      </c>
      <c r="G150" t="s">
        <v>3322</v>
      </c>
      <c r="H150"/>
      <c r="I150"/>
      <c r="J150" s="38">
        <v>0</v>
      </c>
      <c r="K150">
        <v>0</v>
      </c>
      <c r="L150">
        <v>0</v>
      </c>
      <c r="M150" s="38">
        <v>0</v>
      </c>
      <c r="N150">
        <v>6.1</v>
      </c>
      <c r="O150">
        <v>0</v>
      </c>
      <c r="P150" s="37">
        <v>8540000000</v>
      </c>
      <c r="Q150" s="37">
        <v>8924379469.4444466</v>
      </c>
      <c r="R150" s="37">
        <v>-5420761686.6666641</v>
      </c>
      <c r="S150">
        <v>6.1</v>
      </c>
      <c r="T150" s="70">
        <v>0</v>
      </c>
      <c r="U150">
        <v>0</v>
      </c>
      <c r="V150">
        <v>0</v>
      </c>
      <c r="W150">
        <v>0</v>
      </c>
      <c r="X150" s="38">
        <v>0</v>
      </c>
      <c r="Y150">
        <v>0</v>
      </c>
      <c r="Z150" s="70">
        <v>5049100000</v>
      </c>
      <c r="AA150" s="70">
        <v>0</v>
      </c>
      <c r="AB150" s="70">
        <v>5049100000</v>
      </c>
      <c r="AC150" s="70">
        <v>5049100000</v>
      </c>
      <c r="AD150" s="70">
        <v>5049100000</v>
      </c>
      <c r="AE150" s="70">
        <v>5049100000</v>
      </c>
      <c r="AF150">
        <v>0</v>
      </c>
      <c r="AG150" s="72">
        <f>Tradingbook_MSB[[#This Row],[Mat. Date]]-RPT</f>
        <v>-3412</v>
      </c>
      <c r="AH150" s="71">
        <f>IF(Tradingbook_MSB[[#This Row],[Days]]&lt;=0,0,YEARFRAC(RPT,Tradingbook_MSB[[#This Row],[Mat. Date]],3))</f>
        <v>0</v>
      </c>
      <c r="AI150" s="71">
        <f>IF(Tradingbook_MSB[[#This Row],[Days (year)]]=0,0,INDEX(Ref!$K$2:$K$13,MATCH(Tradingbook_MSB[[#This Row],[Days (year)]],Ref!$I$2:$I$13,1)))</f>
        <v>0</v>
      </c>
      <c r="AJ150" s="120" t="str">
        <f>VLOOKUP(Tradingbook_MSB[[#This Row],[Security Name]],Ref!X:Z,3,0)</f>
        <v>TPCP</v>
      </c>
      <c r="AK150" s="120" t="str">
        <f>VLOOKUP(Tradingbook_MSB[[#This Row],[Security Name]],Ref!X:Y,2,0)</f>
        <v>KBNN</v>
      </c>
      <c r="AL150" s="71">
        <f>IF((Tradingbook_MSB[[#This Row],[Mat. Date]]-RPT)&lt;=0,0,Tradingbook_MSB[[#This Row],[QUANTITY]])</f>
        <v>0</v>
      </c>
      <c r="AM150" s="71">
        <f>IF(Tradingbook_MSB[[#This Row],[Quantity_edited]]=0,0,Tradingbook_MSB[[#This Row],[DURATION]])</f>
        <v>0</v>
      </c>
      <c r="AN150" s="71">
        <f>IF(Tradingbook_MSB[[#This Row],[Quantity_edited]]=0,0,Tradingbook_MSB[[#This Row],[Mod Dur]])</f>
        <v>0</v>
      </c>
      <c r="AO150" s="71">
        <f>IF(Tradingbook_MSB[[#This Row],[Quantity_edited]]=0,0,Tradingbook_MSB[[#This Row],[Cnvx.]])</f>
        <v>0</v>
      </c>
      <c r="AP150" s="71">
        <f>(Tradingbook_MSB[[#This Row],[MARKET_VALUE]]+Tradingbook_MSB[[#This Row],[Accr Int]]*Tradingbook_MSB[[#This Row],[Quantity_edited]])*(-Tradingbook_MSB[[#This Row],[Modified Duration]]*0.0001+0.5*Tradingbook_MSB[[#This Row],[Conv]]*(0.0001^2))</f>
        <v>0</v>
      </c>
      <c r="AQ150" s="72">
        <f>(Tradingbook_MSB[[#This Row],[MARKET_VALUE]]+Tradingbook_MSB[[#This Row],[Accr Int]]*Tradingbook_MSB[[#This Row],[Quantity_edited]])*(-Tradingbook_MSB[[#This Row],[Modified Duration]]*0.01+0.5*Tradingbook_MSB[[#This Row],[Conv]]*(0.01^2))</f>
        <v>0</v>
      </c>
      <c r="AR150" s="71"/>
      <c r="AT150" t="s">
        <v>166</v>
      </c>
      <c r="AU150" t="s">
        <v>3300</v>
      </c>
      <c r="AV150" t="s">
        <v>651</v>
      </c>
      <c r="AW150" t="s">
        <v>169</v>
      </c>
      <c r="AX150" t="s">
        <v>3440</v>
      </c>
      <c r="AY150" t="s">
        <v>3322</v>
      </c>
      <c r="AZ150">
        <v>112060</v>
      </c>
      <c r="BA150">
        <v>112060</v>
      </c>
      <c r="BB150">
        <v>0</v>
      </c>
      <c r="BC150">
        <v>0</v>
      </c>
      <c r="BD150">
        <v>0</v>
      </c>
      <c r="BE150">
        <v>0</v>
      </c>
      <c r="BF150">
        <v>6.7</v>
      </c>
      <c r="BG150">
        <v>2074</v>
      </c>
      <c r="BH150">
        <v>13400000000</v>
      </c>
      <c r="BI150">
        <v>15858530569.444447</v>
      </c>
      <c r="BJ150">
        <v>-2058900323.9582825</v>
      </c>
      <c r="BK150">
        <v>4.2626265339999998</v>
      </c>
      <c r="BL150">
        <v>4.6805948890198001</v>
      </c>
      <c r="BM150">
        <v>4.8801111700000002</v>
      </c>
      <c r="BN150">
        <v>28.5739802664922</v>
      </c>
      <c r="BO150">
        <v>0</v>
      </c>
      <c r="BP150">
        <v>0</v>
      </c>
      <c r="BQ150">
        <v>0</v>
      </c>
      <c r="BR150">
        <v>14873500000</v>
      </c>
      <c r="BS150">
        <v>0</v>
      </c>
      <c r="BT150">
        <v>14873500000</v>
      </c>
      <c r="BU150">
        <v>14873500000</v>
      </c>
      <c r="BV150">
        <v>14873500000</v>
      </c>
      <c r="BW150">
        <v>14873500000</v>
      </c>
      <c r="BX150">
        <v>0</v>
      </c>
      <c r="BY150" s="32">
        <f>Bankingbook_MSB[[#This Row],[Mat. Date]]-RPT</f>
        <v>2079</v>
      </c>
      <c r="BZ150" s="71">
        <f>IF(Bankingbook_MSB[[#This Row],[Days]]&lt;=0,0,YEARFRAC(RPT,Bankingbook_MSB[[#This Row],[Mat. Date]],3))</f>
        <v>5.6958904109589037</v>
      </c>
      <c r="CA150" s="71" t="str">
        <f>IF(Bankingbook_MSB[[#This Row],[Days (year)]]=0,0,INDEX(Ref!$K$2:$K$13,MATCH(Bankingbook_MSB[[#This Row],[Days (year)]],Ref!$I$2:$I$13,1)))</f>
        <v>7Y</v>
      </c>
      <c r="CB150" s="32" t="str">
        <f>VLOOKUP(Bankingbook_MSB[[#This Row],[Security Name]],Ref!X:Z,3,0)</f>
        <v>TPCP</v>
      </c>
      <c r="CC150" s="32" t="str">
        <f>VLOOKUP(Bankingbook_MSB[[#This Row],[Security Name]],Ref!X:Y,2,0)</f>
        <v>KBNN</v>
      </c>
      <c r="CD150" s="72">
        <f>IF((Bankingbook_MSB[[#This Row],[Mat. Date]]-RPT)&lt;=0,0,Bankingbook_MSB[[#This Row],[QUANTITY]])</f>
        <v>0</v>
      </c>
      <c r="CE150" s="71">
        <f>IF(Bankingbook_MSB[[#This Row],[Quantity_edited]]=0,0,Bankingbook_MSB[[#This Row],[DURATION]])</f>
        <v>0</v>
      </c>
      <c r="CF150" s="71">
        <f>IF(Bankingbook_MSB[[#This Row],[Quantity_edited]]=0,0,Bankingbook_MSB[[#This Row],[Mod Dur]])</f>
        <v>0</v>
      </c>
      <c r="CG150" s="71">
        <f>IF(Bankingbook_MSB[[#This Row],[Quantity_edited]]=0,0,Bankingbook_MSB[[#This Row],[Cnvx.]])</f>
        <v>0</v>
      </c>
      <c r="CH150" s="71">
        <f>(Bankingbook_MSB[[#This Row],[MARKET_VALUE]]+Bankingbook_MSB[[#This Row],[Accr Int]]*Bankingbook_MSB[[#This Row],[Quantity_edited]])*(-Bankingbook_MSB[[#This Row],[Modified Duration]]*0.0001+0.5*Bankingbook_MSB[[#This Row],[Conv]]*(0.0001^2))</f>
        <v>0</v>
      </c>
      <c r="CI150" s="71">
        <f>(Bankingbook_MSB[[#This Row],[MARKET_VALUE]]+Bankingbook_MSB[[#This Row],[Accr Int]]*Bankingbook_MSB[[#This Row],[Quantity_edited]])*(-Bankingbook_MSB[[#This Row],[Modified Duration]]*0.01+0.5*Bankingbook_MSB[[#This Row],[Conv]]*(0.01^2))</f>
        <v>0</v>
      </c>
      <c r="CL150" t="s">
        <v>166</v>
      </c>
      <c r="CM150" t="s">
        <v>167</v>
      </c>
      <c r="CN150" t="s">
        <v>327</v>
      </c>
      <c r="CO150" t="s">
        <v>169</v>
      </c>
      <c r="CP150" s="35">
        <v>42840</v>
      </c>
      <c r="CQ150" t="s">
        <v>3322</v>
      </c>
      <c r="CR150" t="s">
        <v>174</v>
      </c>
      <c r="CS150" t="s">
        <v>174</v>
      </c>
      <c r="CT150" s="49">
        <v>0</v>
      </c>
      <c r="CU150">
        <v>0</v>
      </c>
      <c r="CV150">
        <v>0</v>
      </c>
      <c r="CW150" s="70">
        <v>0</v>
      </c>
      <c r="CX150">
        <v>6.1</v>
      </c>
      <c r="CY150">
        <v>0</v>
      </c>
      <c r="CZ150">
        <v>8540000000</v>
      </c>
      <c r="DA150">
        <v>8924379469.4444466</v>
      </c>
      <c r="DB150">
        <v>-5420761686.6666641</v>
      </c>
      <c r="DC150">
        <v>6.1</v>
      </c>
      <c r="DD150">
        <v>0</v>
      </c>
      <c r="DE150">
        <v>0</v>
      </c>
      <c r="DF150">
        <v>0</v>
      </c>
      <c r="DG150">
        <v>0</v>
      </c>
      <c r="DH150">
        <v>0</v>
      </c>
      <c r="DI150">
        <v>0</v>
      </c>
      <c r="DJ150" s="500">
        <v>5049100000</v>
      </c>
      <c r="DK150" s="500">
        <v>0</v>
      </c>
      <c r="DL150" s="37">
        <v>5049100000</v>
      </c>
      <c r="DM150" s="37">
        <v>5049100000</v>
      </c>
      <c r="DN150" s="37">
        <v>5049100000</v>
      </c>
      <c r="DO150" s="37">
        <v>5049100000</v>
      </c>
      <c r="DP150" s="32">
        <f>Tradingbook_SBV[[#This Row],[Mat. Date]]-RPT</f>
        <v>-3412</v>
      </c>
      <c r="DQ150" s="32">
        <f>IF(Tradingbook_SBV[[#This Row],[Days]]&lt;=0,0,YEARFRAC(RPT,Tradingbook_SBV[[#This Row],[Mat. Date]],3))</f>
        <v>0</v>
      </c>
      <c r="DR150" s="32">
        <f>IF(Tradingbook_SBV[[#This Row],[Days (year)]]=0,0,INDEX(Ref!$K$2:$K$13,MATCH(Tradingbook_SBV[[#This Row],[Days (year)]],Ref!$I$2:$I$13,1)))</f>
        <v>0</v>
      </c>
      <c r="DS150" s="32" t="str">
        <f>VLOOKUP(Tradingbook_SBV[[#This Row],[Security Name]],Ref!X:Z,3,0)</f>
        <v>TPCP</v>
      </c>
      <c r="DT150" s="32" t="str">
        <f>VLOOKUP(Tradingbook_SBV[[#This Row],[Security Name]],Ref!X:Y,2,0)</f>
        <v>KBNN</v>
      </c>
      <c r="DU150" s="71">
        <f>IF((Tradingbook_SBV[[#This Row],[Mat. Date]]-RPT)&lt;=0,0,Tradingbook_SBV[[#This Row],[QUANTITY]])</f>
        <v>0</v>
      </c>
      <c r="DV150" s="71">
        <f>IF(Tradingbook_SBV[[#This Row],[Quantity_edited]]=0,0,Tradingbook_SBV[[#This Row],[DURATION]])</f>
        <v>0</v>
      </c>
      <c r="DW150" s="71">
        <f>IF(Tradingbook_SBV[[#This Row],[Quantity_edited]]=0,0,Tradingbook_SBV[[#This Row],[Mod Dur]])</f>
        <v>0</v>
      </c>
      <c r="DX150" s="71">
        <f>IF(Tradingbook_SBV[[#This Row],[Quantity_edited]]=0,0,Tradingbook_SBV[[#This Row],[Cnvx.]])</f>
        <v>0</v>
      </c>
      <c r="DY150" s="71">
        <f>(Tradingbook_SBV[[#This Row],[MARKET_VALUE]]+Tradingbook_SBV[[#This Row],[Accr Int]]*Tradingbook_SBV[[#This Row],[Quantity_edited]])*(-Tradingbook_SBV[[#This Row],[Modified Duration]]*0.0001+0.5*Tradingbook_SBV[[#This Row],[Conv]]*(0.0001^2))</f>
        <v>0</v>
      </c>
      <c r="DZ150" s="71">
        <f>(Tradingbook_SBV[[#This Row],[MARKET_VALUE]]+Tradingbook_SBV[[#This Row],[Accr Int]]*Tradingbook_SBV[[#This Row],[Quantity_edited]])*(-Tradingbook_SBV[[#This Row],[Modified Duration]]*0.01+0.5*Tradingbook_SBV[[#This Row],[Conv]]*(0.01^2))</f>
        <v>0</v>
      </c>
      <c r="EC150" t="s">
        <v>166</v>
      </c>
      <c r="ED150" t="s">
        <v>167</v>
      </c>
      <c r="EE150" t="s">
        <v>779</v>
      </c>
      <c r="EF150" t="s">
        <v>169</v>
      </c>
      <c r="EG150" s="35" t="s">
        <v>780</v>
      </c>
      <c r="EH150" t="s">
        <v>170</v>
      </c>
      <c r="EK150" s="500">
        <v>16000000</v>
      </c>
      <c r="EL150" s="500">
        <v>1600000000000</v>
      </c>
      <c r="EM150" s="500">
        <v>102651.75900000001</v>
      </c>
      <c r="EN150" s="500">
        <v>0</v>
      </c>
      <c r="EO150">
        <v>5.5</v>
      </c>
      <c r="EP150">
        <v>0</v>
      </c>
      <c r="EQ150">
        <v>682000000000</v>
      </c>
      <c r="ER150">
        <v>738870620277.77747</v>
      </c>
      <c r="ES150">
        <v>-291378142569.24762</v>
      </c>
      <c r="ET150">
        <v>5.5</v>
      </c>
      <c r="EU150">
        <v>0</v>
      </c>
      <c r="EV150">
        <v>0</v>
      </c>
      <c r="EW150">
        <v>0</v>
      </c>
      <c r="EX150">
        <v>0</v>
      </c>
      <c r="EY150">
        <v>0</v>
      </c>
      <c r="EZ150">
        <v>0</v>
      </c>
      <c r="FA150">
        <v>16559000000.000168</v>
      </c>
      <c r="FB150">
        <v>0</v>
      </c>
      <c r="FC150">
        <v>16559000000.000168</v>
      </c>
      <c r="FD150">
        <v>16559000000.000168</v>
      </c>
      <c r="FE150">
        <v>16559000000</v>
      </c>
      <c r="FF150">
        <v>16559000000.000168</v>
      </c>
      <c r="FG150" s="32">
        <f>Bankingbook_SBV[[#This Row],[Mat. Date]]-RPT</f>
        <v>-249</v>
      </c>
      <c r="FH150" s="32">
        <f>IF(Bankingbook_SBV[[#This Row],[Days]]&lt;=0,0,YEARFRAC(RPT,Bankingbook_SBV[[#This Row],[Mat. Date]],3))</f>
        <v>0</v>
      </c>
      <c r="FI150" s="32">
        <f>IF(Bankingbook_SBV[[#This Row],[Days (year)]]=0,0,INDEX(Ref!$K$2:$K$13,MATCH(Bankingbook_SBV[[#This Row],[Days (year)]],Ref!$I$2:$I$13,1)))</f>
        <v>0</v>
      </c>
      <c r="FJ150" s="32" t="str">
        <f>VLOOKUP(Bankingbook_SBV[[#This Row],[Security Name]],Ref!X:Z,3,0)</f>
        <v>TPCPBL</v>
      </c>
      <c r="FK150" s="32" t="str">
        <f>VLOOKUP(Bankingbook_SBV[[#This Row],[Security Name]],Ref!X:Y,2,0)</f>
        <v>VDB</v>
      </c>
      <c r="FL150" s="72">
        <f>IF((Bankingbook_SBV[[#This Row],[Mat. Date]]-RPT)&lt;=0,0,Bankingbook_SBV[[#This Row],[QUANTITY]])</f>
        <v>0</v>
      </c>
      <c r="FM150" s="32">
        <f>IF(Bankingbook_SBV[[#This Row],[Quantity_edited]]=0,0,Bankingbook_SBV[[#This Row],[DURATION]])</f>
        <v>0</v>
      </c>
      <c r="FN150" s="32">
        <f>IF(Bankingbook_SBV[[#This Row],[Quantity_edited]]=0,0,Bankingbook_SBV[[#This Row],[Mod Dur]])</f>
        <v>0</v>
      </c>
      <c r="FO150" s="32">
        <f>IF(Bankingbook_SBV[[#This Row],[Quantity_edited]]=0,0,Bankingbook_SBV[[#This Row],[Cnvx.]])</f>
        <v>0</v>
      </c>
      <c r="FP150" s="32">
        <f>(Bankingbook_SBV[[#This Row],[MARKET_VALUE]]+Bankingbook_SBV[[#This Row],[Accr Int]]*Bankingbook_SBV[[#This Row],[Quantity_edited]])*(-Bankingbook_SBV[[#This Row],[Modified Duration]]*0.0001+0.5*Bankingbook_SBV[[#This Row],[Conv]]*(0.0001^2))</f>
        <v>0</v>
      </c>
      <c r="FQ150" s="32">
        <f>(Bankingbook_SBV[[#This Row],[MARKET_VALUE]]+Bankingbook_SBV[[#This Row],[Accr Int]]*Bankingbook_SBV[[#This Row],[Quantity_edited]])*(-Bankingbook_SBV[[#This Row],[Modified Duration]]*0.01+0.5*Bankingbook_SBV[[#This Row],[Conv]]*(0.01^2))</f>
        <v>0</v>
      </c>
    </row>
    <row r="151" spans="2:173" x14ac:dyDescent="0.3">
      <c r="B151" t="s">
        <v>166</v>
      </c>
      <c r="C151" t="s">
        <v>167</v>
      </c>
      <c r="D151" t="s">
        <v>328</v>
      </c>
      <c r="E151" t="s">
        <v>169</v>
      </c>
      <c r="F151" s="502">
        <v>42870</v>
      </c>
      <c r="G151" t="s">
        <v>3322</v>
      </c>
      <c r="H151"/>
      <c r="I151"/>
      <c r="J151" s="38">
        <v>0</v>
      </c>
      <c r="K151">
        <v>0</v>
      </c>
      <c r="L151">
        <v>0</v>
      </c>
      <c r="M151" s="38">
        <v>0</v>
      </c>
      <c r="N151">
        <v>9.4</v>
      </c>
      <c r="O151">
        <v>0</v>
      </c>
      <c r="P151" s="37">
        <v>18800000000</v>
      </c>
      <c r="Q151" s="37">
        <v>21198994888.888763</v>
      </c>
      <c r="R151" s="37">
        <v>-7289637371.6525278</v>
      </c>
      <c r="S151">
        <v>9.4</v>
      </c>
      <c r="T151" s="70">
        <v>0</v>
      </c>
      <c r="U151">
        <v>0</v>
      </c>
      <c r="V151">
        <v>0</v>
      </c>
      <c r="W151">
        <v>0</v>
      </c>
      <c r="X151" s="38">
        <v>0</v>
      </c>
      <c r="Y151">
        <v>0</v>
      </c>
      <c r="Z151" s="70">
        <v>20527300000</v>
      </c>
      <c r="AA151" s="70">
        <v>0</v>
      </c>
      <c r="AB151" s="70">
        <v>20527300000</v>
      </c>
      <c r="AC151" s="70">
        <v>20527300000</v>
      </c>
      <c r="AD151" s="70">
        <v>20527300000</v>
      </c>
      <c r="AE151" s="70">
        <v>20527300000</v>
      </c>
      <c r="AF151">
        <v>0</v>
      </c>
      <c r="AG151" s="72">
        <f>Tradingbook_MSB[[#This Row],[Mat. Date]]-RPT</f>
        <v>-3382</v>
      </c>
      <c r="AH151" s="71">
        <f>IF(Tradingbook_MSB[[#This Row],[Days]]&lt;=0,0,YEARFRAC(RPT,Tradingbook_MSB[[#This Row],[Mat. Date]],3))</f>
        <v>0</v>
      </c>
      <c r="AI151" s="71">
        <f>IF(Tradingbook_MSB[[#This Row],[Days (year)]]=0,0,INDEX(Ref!$K$2:$K$13,MATCH(Tradingbook_MSB[[#This Row],[Days (year)]],Ref!$I$2:$I$13,1)))</f>
        <v>0</v>
      </c>
      <c r="AJ151" s="120" t="str">
        <f>VLOOKUP(Tradingbook_MSB[[#This Row],[Security Name]],Ref!X:Z,3,0)</f>
        <v>TPCP</v>
      </c>
      <c r="AK151" s="120" t="str">
        <f>VLOOKUP(Tradingbook_MSB[[#This Row],[Security Name]],Ref!X:Y,2,0)</f>
        <v>KBNN</v>
      </c>
      <c r="AL151" s="71">
        <f>IF((Tradingbook_MSB[[#This Row],[Mat. Date]]-RPT)&lt;=0,0,Tradingbook_MSB[[#This Row],[QUANTITY]])</f>
        <v>0</v>
      </c>
      <c r="AM151" s="71">
        <f>IF(Tradingbook_MSB[[#This Row],[Quantity_edited]]=0,0,Tradingbook_MSB[[#This Row],[DURATION]])</f>
        <v>0</v>
      </c>
      <c r="AN151" s="71">
        <f>IF(Tradingbook_MSB[[#This Row],[Quantity_edited]]=0,0,Tradingbook_MSB[[#This Row],[Mod Dur]])</f>
        <v>0</v>
      </c>
      <c r="AO151" s="71">
        <f>IF(Tradingbook_MSB[[#This Row],[Quantity_edited]]=0,0,Tradingbook_MSB[[#This Row],[Cnvx.]])</f>
        <v>0</v>
      </c>
      <c r="AP151" s="71">
        <f>(Tradingbook_MSB[[#This Row],[MARKET_VALUE]]+Tradingbook_MSB[[#This Row],[Accr Int]]*Tradingbook_MSB[[#This Row],[Quantity_edited]])*(-Tradingbook_MSB[[#This Row],[Modified Duration]]*0.0001+0.5*Tradingbook_MSB[[#This Row],[Conv]]*(0.0001^2))</f>
        <v>0</v>
      </c>
      <c r="AQ151" s="72">
        <f>(Tradingbook_MSB[[#This Row],[MARKET_VALUE]]+Tradingbook_MSB[[#This Row],[Accr Int]]*Tradingbook_MSB[[#This Row],[Quantity_edited]])*(-Tradingbook_MSB[[#This Row],[Modified Duration]]*0.01+0.5*Tradingbook_MSB[[#This Row],[Conv]]*(0.01^2))</f>
        <v>0</v>
      </c>
      <c r="AR151" s="71"/>
      <c r="AT151" t="s">
        <v>166</v>
      </c>
      <c r="AU151" t="s">
        <v>3301</v>
      </c>
      <c r="AV151" t="s">
        <v>655</v>
      </c>
      <c r="AW151" t="s">
        <v>169</v>
      </c>
      <c r="AX151" t="s">
        <v>3441</v>
      </c>
      <c r="AY151" t="s">
        <v>3322</v>
      </c>
      <c r="AZ151">
        <v>107331</v>
      </c>
      <c r="BA151">
        <v>107331</v>
      </c>
      <c r="BB151">
        <v>0</v>
      </c>
      <c r="BC151">
        <v>0</v>
      </c>
      <c r="BD151">
        <v>0</v>
      </c>
      <c r="BE151">
        <v>0</v>
      </c>
      <c r="BF151">
        <v>5.7</v>
      </c>
      <c r="BG151">
        <v>453</v>
      </c>
      <c r="BH151">
        <v>85842000000</v>
      </c>
      <c r="BI151">
        <v>100333980754.16666</v>
      </c>
      <c r="BJ151">
        <v>-21529288926.452396</v>
      </c>
      <c r="BK151">
        <v>4.2708017280000004</v>
      </c>
      <c r="BL151">
        <v>4.9847880722708</v>
      </c>
      <c r="BM151">
        <v>5.1976784900000004</v>
      </c>
      <c r="BN151">
        <v>31.628537827478699</v>
      </c>
      <c r="BO151">
        <v>0</v>
      </c>
      <c r="BP151">
        <v>0</v>
      </c>
      <c r="BQ151">
        <v>0</v>
      </c>
      <c r="BR151">
        <v>67980480000</v>
      </c>
      <c r="BS151">
        <v>0</v>
      </c>
      <c r="BT151">
        <v>67980480000</v>
      </c>
      <c r="BU151">
        <v>67980480000</v>
      </c>
      <c r="BV151">
        <v>67980480000</v>
      </c>
      <c r="BW151">
        <v>67980480000</v>
      </c>
      <c r="BX151">
        <v>0</v>
      </c>
      <c r="BY151" s="32">
        <f>Bankingbook_MSB[[#This Row],[Mat. Date]]-RPT</f>
        <v>2163</v>
      </c>
      <c r="BZ151" s="71">
        <f>IF(Bankingbook_MSB[[#This Row],[Days]]&lt;=0,0,YEARFRAC(RPT,Bankingbook_MSB[[#This Row],[Mat. Date]],3))</f>
        <v>5.9260273972602739</v>
      </c>
      <c r="CA151" s="71" t="str">
        <f>IF(Bankingbook_MSB[[#This Row],[Days (year)]]=0,0,INDEX(Ref!$K$2:$K$13,MATCH(Bankingbook_MSB[[#This Row],[Days (year)]],Ref!$I$2:$I$13,1)))</f>
        <v>7Y</v>
      </c>
      <c r="CB151" s="32" t="str">
        <f>VLOOKUP(Bankingbook_MSB[[#This Row],[Security Name]],Ref!X:Z,3,0)</f>
        <v>TPCP</v>
      </c>
      <c r="CC151" s="32" t="str">
        <f>VLOOKUP(Bankingbook_MSB[[#This Row],[Security Name]],Ref!X:Y,2,0)</f>
        <v>KBNN</v>
      </c>
      <c r="CD151" s="72">
        <f>IF((Bankingbook_MSB[[#This Row],[Mat. Date]]-RPT)&lt;=0,0,Bankingbook_MSB[[#This Row],[QUANTITY]])</f>
        <v>0</v>
      </c>
      <c r="CE151" s="71">
        <f>IF(Bankingbook_MSB[[#This Row],[Quantity_edited]]=0,0,Bankingbook_MSB[[#This Row],[DURATION]])</f>
        <v>0</v>
      </c>
      <c r="CF151" s="71">
        <f>IF(Bankingbook_MSB[[#This Row],[Quantity_edited]]=0,0,Bankingbook_MSB[[#This Row],[Mod Dur]])</f>
        <v>0</v>
      </c>
      <c r="CG151" s="71">
        <f>IF(Bankingbook_MSB[[#This Row],[Quantity_edited]]=0,0,Bankingbook_MSB[[#This Row],[Cnvx.]])</f>
        <v>0</v>
      </c>
      <c r="CH151" s="71">
        <f>(Bankingbook_MSB[[#This Row],[MARKET_VALUE]]+Bankingbook_MSB[[#This Row],[Accr Int]]*Bankingbook_MSB[[#This Row],[Quantity_edited]])*(-Bankingbook_MSB[[#This Row],[Modified Duration]]*0.0001+0.5*Bankingbook_MSB[[#This Row],[Conv]]*(0.0001^2))</f>
        <v>0</v>
      </c>
      <c r="CI151" s="71">
        <f>(Bankingbook_MSB[[#This Row],[MARKET_VALUE]]+Bankingbook_MSB[[#This Row],[Accr Int]]*Bankingbook_MSB[[#This Row],[Quantity_edited]])*(-Bankingbook_MSB[[#This Row],[Modified Duration]]*0.01+0.5*Bankingbook_MSB[[#This Row],[Conv]]*(0.01^2))</f>
        <v>0</v>
      </c>
      <c r="CL151" t="s">
        <v>166</v>
      </c>
      <c r="CM151" t="s">
        <v>167</v>
      </c>
      <c r="CN151" t="s">
        <v>328</v>
      </c>
      <c r="CO151" t="s">
        <v>169</v>
      </c>
      <c r="CP151" s="35">
        <v>42870</v>
      </c>
      <c r="CQ151" t="s">
        <v>3322</v>
      </c>
      <c r="CR151" t="s">
        <v>174</v>
      </c>
      <c r="CS151" t="s">
        <v>174</v>
      </c>
      <c r="CT151" s="49">
        <v>0</v>
      </c>
      <c r="CU151">
        <v>0</v>
      </c>
      <c r="CV151">
        <v>0</v>
      </c>
      <c r="CW151" s="70">
        <v>0</v>
      </c>
      <c r="CX151">
        <v>9.4</v>
      </c>
      <c r="CY151">
        <v>0</v>
      </c>
      <c r="CZ151">
        <v>18800000000</v>
      </c>
      <c r="DA151">
        <v>21198994888.888763</v>
      </c>
      <c r="DB151">
        <v>-7289637371.6525278</v>
      </c>
      <c r="DC151">
        <v>9.4</v>
      </c>
      <c r="DD151">
        <v>0</v>
      </c>
      <c r="DE151">
        <v>0</v>
      </c>
      <c r="DF151">
        <v>0</v>
      </c>
      <c r="DG151">
        <v>0</v>
      </c>
      <c r="DH151">
        <v>0</v>
      </c>
      <c r="DI151">
        <v>0</v>
      </c>
      <c r="DJ151" s="500">
        <v>20527300000</v>
      </c>
      <c r="DK151" s="500">
        <v>0</v>
      </c>
      <c r="DL151" s="37">
        <v>20527300000</v>
      </c>
      <c r="DM151" s="37">
        <v>20527300000</v>
      </c>
      <c r="DN151" s="37">
        <v>20527300000</v>
      </c>
      <c r="DO151" s="37">
        <v>20527300000</v>
      </c>
      <c r="DP151" s="32">
        <f>Tradingbook_SBV[[#This Row],[Mat. Date]]-RPT</f>
        <v>-3382</v>
      </c>
      <c r="DQ151" s="32">
        <f>IF(Tradingbook_SBV[[#This Row],[Days]]&lt;=0,0,YEARFRAC(RPT,Tradingbook_SBV[[#This Row],[Mat. Date]],3))</f>
        <v>0</v>
      </c>
      <c r="DR151" s="32">
        <f>IF(Tradingbook_SBV[[#This Row],[Days (year)]]=0,0,INDEX(Ref!$K$2:$K$13,MATCH(Tradingbook_SBV[[#This Row],[Days (year)]],Ref!$I$2:$I$13,1)))</f>
        <v>0</v>
      </c>
      <c r="DS151" s="32" t="str">
        <f>VLOOKUP(Tradingbook_SBV[[#This Row],[Security Name]],Ref!X:Z,3,0)</f>
        <v>TPCP</v>
      </c>
      <c r="DT151" s="32" t="str">
        <f>VLOOKUP(Tradingbook_SBV[[#This Row],[Security Name]],Ref!X:Y,2,0)</f>
        <v>KBNN</v>
      </c>
      <c r="DU151" s="71">
        <f>IF((Tradingbook_SBV[[#This Row],[Mat. Date]]-RPT)&lt;=0,0,Tradingbook_SBV[[#This Row],[QUANTITY]])</f>
        <v>0</v>
      </c>
      <c r="DV151" s="71">
        <f>IF(Tradingbook_SBV[[#This Row],[Quantity_edited]]=0,0,Tradingbook_SBV[[#This Row],[DURATION]])</f>
        <v>0</v>
      </c>
      <c r="DW151" s="71">
        <f>IF(Tradingbook_SBV[[#This Row],[Quantity_edited]]=0,0,Tradingbook_SBV[[#This Row],[Mod Dur]])</f>
        <v>0</v>
      </c>
      <c r="DX151" s="71">
        <f>IF(Tradingbook_SBV[[#This Row],[Quantity_edited]]=0,0,Tradingbook_SBV[[#This Row],[Cnvx.]])</f>
        <v>0</v>
      </c>
      <c r="DY151" s="71">
        <f>(Tradingbook_SBV[[#This Row],[MARKET_VALUE]]+Tradingbook_SBV[[#This Row],[Accr Int]]*Tradingbook_SBV[[#This Row],[Quantity_edited]])*(-Tradingbook_SBV[[#This Row],[Modified Duration]]*0.0001+0.5*Tradingbook_SBV[[#This Row],[Conv]]*(0.0001^2))</f>
        <v>0</v>
      </c>
      <c r="DZ151" s="71">
        <f>(Tradingbook_SBV[[#This Row],[MARKET_VALUE]]+Tradingbook_SBV[[#This Row],[Accr Int]]*Tradingbook_SBV[[#This Row],[Quantity_edited]])*(-Tradingbook_SBV[[#This Row],[Modified Duration]]*0.01+0.5*Tradingbook_SBV[[#This Row],[Conv]]*(0.01^2))</f>
        <v>0</v>
      </c>
      <c r="EC151" t="s">
        <v>166</v>
      </c>
      <c r="ED151" t="s">
        <v>167</v>
      </c>
      <c r="EE151" t="s">
        <v>552</v>
      </c>
      <c r="EF151" t="s">
        <v>169</v>
      </c>
      <c r="EG151" s="35" t="s">
        <v>3770</v>
      </c>
      <c r="EH151" t="s">
        <v>3322</v>
      </c>
      <c r="EK151" s="500">
        <v>0</v>
      </c>
      <c r="EL151" s="500">
        <v>0</v>
      </c>
      <c r="EM151" s="500">
        <v>0</v>
      </c>
      <c r="EN151" s="500">
        <v>0</v>
      </c>
      <c r="EO151">
        <v>5.5</v>
      </c>
      <c r="EP151">
        <v>0</v>
      </c>
      <c r="EQ151">
        <v>0</v>
      </c>
      <c r="ER151">
        <v>0</v>
      </c>
      <c r="ES151">
        <v>2670918.0555496216</v>
      </c>
      <c r="ET151">
        <v>5.5</v>
      </c>
      <c r="EU151">
        <v>0</v>
      </c>
      <c r="EV151">
        <v>0</v>
      </c>
      <c r="EW151">
        <v>0</v>
      </c>
      <c r="EX151">
        <v>0</v>
      </c>
      <c r="EY151">
        <v>0</v>
      </c>
      <c r="EZ151">
        <v>0</v>
      </c>
      <c r="FA151">
        <v>-45000000</v>
      </c>
      <c r="FB151">
        <v>0</v>
      </c>
      <c r="FC151">
        <v>-45000000</v>
      </c>
      <c r="FD151">
        <v>-45000000</v>
      </c>
      <c r="FE151">
        <v>-45000000</v>
      </c>
      <c r="FF151">
        <v>-45000000</v>
      </c>
      <c r="FG151" s="32">
        <f>Bankingbook_SBV[[#This Row],[Mat. Date]]-RPT</f>
        <v>-242</v>
      </c>
      <c r="FH151" s="32">
        <f>IF(Bankingbook_SBV[[#This Row],[Days]]&lt;=0,0,YEARFRAC(RPT,Bankingbook_SBV[[#This Row],[Mat. Date]],3))</f>
        <v>0</v>
      </c>
      <c r="FI151" s="32">
        <f>IF(Bankingbook_SBV[[#This Row],[Days (year)]]=0,0,INDEX(Ref!$K$2:$K$13,MATCH(Bankingbook_SBV[[#This Row],[Days (year)]],Ref!$I$2:$I$13,1)))</f>
        <v>0</v>
      </c>
      <c r="FJ151" s="32" t="str">
        <f>VLOOKUP(Bankingbook_SBV[[#This Row],[Security Name]],Ref!X:Z,3,0)</f>
        <v>TPCPBL</v>
      </c>
      <c r="FK151" s="32" t="str">
        <f>VLOOKUP(Bankingbook_SBV[[#This Row],[Security Name]],Ref!X:Y,2,0)</f>
        <v>VDB</v>
      </c>
      <c r="FL151" s="72">
        <f>IF((Bankingbook_SBV[[#This Row],[Mat. Date]]-RPT)&lt;=0,0,Bankingbook_SBV[[#This Row],[QUANTITY]])</f>
        <v>0</v>
      </c>
      <c r="FM151" s="32">
        <f>IF(Bankingbook_SBV[[#This Row],[Quantity_edited]]=0,0,Bankingbook_SBV[[#This Row],[DURATION]])</f>
        <v>0</v>
      </c>
      <c r="FN151" s="32">
        <f>IF(Bankingbook_SBV[[#This Row],[Quantity_edited]]=0,0,Bankingbook_SBV[[#This Row],[Mod Dur]])</f>
        <v>0</v>
      </c>
      <c r="FO151" s="32">
        <f>IF(Bankingbook_SBV[[#This Row],[Quantity_edited]]=0,0,Bankingbook_SBV[[#This Row],[Cnvx.]])</f>
        <v>0</v>
      </c>
      <c r="FP151" s="32">
        <f>(Bankingbook_SBV[[#This Row],[MARKET_VALUE]]+Bankingbook_SBV[[#This Row],[Accr Int]]*Bankingbook_SBV[[#This Row],[Quantity_edited]])*(-Bankingbook_SBV[[#This Row],[Modified Duration]]*0.0001+0.5*Bankingbook_SBV[[#This Row],[Conv]]*(0.0001^2))</f>
        <v>0</v>
      </c>
      <c r="FQ151" s="32">
        <f>(Bankingbook_SBV[[#This Row],[MARKET_VALUE]]+Bankingbook_SBV[[#This Row],[Accr Int]]*Bankingbook_SBV[[#This Row],[Quantity_edited]])*(-Bankingbook_SBV[[#This Row],[Modified Duration]]*0.01+0.5*Bankingbook_SBV[[#This Row],[Conv]]*(0.01^2))</f>
        <v>0</v>
      </c>
    </row>
    <row r="152" spans="2:173" x14ac:dyDescent="0.3">
      <c r="B152" t="s">
        <v>166</v>
      </c>
      <c r="C152" t="s">
        <v>167</v>
      </c>
      <c r="D152" t="s">
        <v>329</v>
      </c>
      <c r="E152" t="s">
        <v>169</v>
      </c>
      <c r="F152" s="502">
        <v>42870</v>
      </c>
      <c r="G152" t="s">
        <v>3322</v>
      </c>
      <c r="H152"/>
      <c r="I152"/>
      <c r="J152" s="38">
        <v>0</v>
      </c>
      <c r="K152">
        <v>0</v>
      </c>
      <c r="L152">
        <v>0</v>
      </c>
      <c r="M152" s="38">
        <v>0</v>
      </c>
      <c r="N152">
        <v>6</v>
      </c>
      <c r="O152">
        <v>0</v>
      </c>
      <c r="P152" s="37">
        <v>0</v>
      </c>
      <c r="Q152" s="37">
        <v>-7.9999999999999996E-6</v>
      </c>
      <c r="R152" s="37">
        <v>-575648494.23610687</v>
      </c>
      <c r="S152">
        <v>6</v>
      </c>
      <c r="T152" s="70">
        <v>0</v>
      </c>
      <c r="U152">
        <v>0</v>
      </c>
      <c r="V152">
        <v>0</v>
      </c>
      <c r="W152">
        <v>0</v>
      </c>
      <c r="X152" s="38">
        <v>0</v>
      </c>
      <c r="Y152">
        <v>0</v>
      </c>
      <c r="Z152" s="70">
        <v>3057000000.0002441</v>
      </c>
      <c r="AA152" s="70">
        <v>0</v>
      </c>
      <c r="AB152" s="70">
        <v>3057000000.0002441</v>
      </c>
      <c r="AC152" s="70">
        <v>3057000000.0002441</v>
      </c>
      <c r="AD152" s="70">
        <v>3057000000</v>
      </c>
      <c r="AE152" s="70">
        <v>3057000000.0002441</v>
      </c>
      <c r="AF152">
        <v>0</v>
      </c>
      <c r="AG152" s="72">
        <f>Tradingbook_MSB[[#This Row],[Mat. Date]]-RPT</f>
        <v>-3382</v>
      </c>
      <c r="AH152" s="71">
        <f>IF(Tradingbook_MSB[[#This Row],[Days]]&lt;=0,0,YEARFRAC(RPT,Tradingbook_MSB[[#This Row],[Mat. Date]],3))</f>
        <v>0</v>
      </c>
      <c r="AI152" s="71">
        <f>IF(Tradingbook_MSB[[#This Row],[Days (year)]]=0,0,INDEX(Ref!$K$2:$K$13,MATCH(Tradingbook_MSB[[#This Row],[Days (year)]],Ref!$I$2:$I$13,1)))</f>
        <v>0</v>
      </c>
      <c r="AJ152" s="120" t="str">
        <f>VLOOKUP(Tradingbook_MSB[[#This Row],[Security Name]],Ref!X:Z,3,0)</f>
        <v>TPCP</v>
      </c>
      <c r="AK152" s="120" t="str">
        <f>VLOOKUP(Tradingbook_MSB[[#This Row],[Security Name]],Ref!X:Y,2,0)</f>
        <v>KBNN</v>
      </c>
      <c r="AL152" s="71">
        <f>IF((Tradingbook_MSB[[#This Row],[Mat. Date]]-RPT)&lt;=0,0,Tradingbook_MSB[[#This Row],[QUANTITY]])</f>
        <v>0</v>
      </c>
      <c r="AM152" s="71">
        <f>IF(Tradingbook_MSB[[#This Row],[Quantity_edited]]=0,0,Tradingbook_MSB[[#This Row],[DURATION]])</f>
        <v>0</v>
      </c>
      <c r="AN152" s="71">
        <f>IF(Tradingbook_MSB[[#This Row],[Quantity_edited]]=0,0,Tradingbook_MSB[[#This Row],[Mod Dur]])</f>
        <v>0</v>
      </c>
      <c r="AO152" s="71">
        <f>IF(Tradingbook_MSB[[#This Row],[Quantity_edited]]=0,0,Tradingbook_MSB[[#This Row],[Cnvx.]])</f>
        <v>0</v>
      </c>
      <c r="AP152" s="71">
        <f>(Tradingbook_MSB[[#This Row],[MARKET_VALUE]]+Tradingbook_MSB[[#This Row],[Accr Int]]*Tradingbook_MSB[[#This Row],[Quantity_edited]])*(-Tradingbook_MSB[[#This Row],[Modified Duration]]*0.0001+0.5*Tradingbook_MSB[[#This Row],[Conv]]*(0.0001^2))</f>
        <v>0</v>
      </c>
      <c r="AQ152" s="72">
        <f>(Tradingbook_MSB[[#This Row],[MARKET_VALUE]]+Tradingbook_MSB[[#This Row],[Accr Int]]*Tradingbook_MSB[[#This Row],[Quantity_edited]])*(-Tradingbook_MSB[[#This Row],[Modified Duration]]*0.01+0.5*Tradingbook_MSB[[#This Row],[Conv]]*(0.01^2))</f>
        <v>0</v>
      </c>
      <c r="AR152" s="71"/>
      <c r="AT152" t="s">
        <v>166</v>
      </c>
      <c r="AU152" t="s">
        <v>3301</v>
      </c>
      <c r="AV152" t="s">
        <v>786</v>
      </c>
      <c r="AW152" t="s">
        <v>169</v>
      </c>
      <c r="AX152" t="s">
        <v>787</v>
      </c>
      <c r="AY152" t="s">
        <v>3322</v>
      </c>
      <c r="AZ152">
        <v>107442</v>
      </c>
      <c r="BA152">
        <v>107442</v>
      </c>
      <c r="BB152">
        <v>0</v>
      </c>
      <c r="BC152">
        <v>0</v>
      </c>
      <c r="BD152">
        <v>0</v>
      </c>
      <c r="BE152">
        <v>0</v>
      </c>
      <c r="BF152">
        <v>6.2</v>
      </c>
      <c r="BG152">
        <v>4943</v>
      </c>
      <c r="BH152">
        <v>49600000000</v>
      </c>
      <c r="BI152">
        <v>58283127555.555519</v>
      </c>
      <c r="BJ152">
        <v>-8981127709.7219925</v>
      </c>
      <c r="BK152">
        <v>4.7808140889999997</v>
      </c>
      <c r="BL152">
        <v>4.9040788398863002</v>
      </c>
      <c r="BM152">
        <v>5.1385337299999998</v>
      </c>
      <c r="BN152">
        <v>31.997610401492</v>
      </c>
      <c r="BO152">
        <v>0</v>
      </c>
      <c r="BP152">
        <v>0</v>
      </c>
      <c r="BQ152">
        <v>0</v>
      </c>
      <c r="BR152">
        <v>46364000000</v>
      </c>
      <c r="BS152">
        <v>0</v>
      </c>
      <c r="BT152">
        <v>46364000000</v>
      </c>
      <c r="BU152">
        <v>46364000000</v>
      </c>
      <c r="BV152">
        <v>46364000000</v>
      </c>
      <c r="BW152">
        <v>46364000000</v>
      </c>
      <c r="BX152">
        <v>0</v>
      </c>
      <c r="BY152" s="32">
        <f>Bankingbook_MSB[[#This Row],[Mat. Date]]-RPT</f>
        <v>2266</v>
      </c>
      <c r="BZ152" s="71">
        <f>IF(Bankingbook_MSB[[#This Row],[Days]]&lt;=0,0,YEARFRAC(RPT,Bankingbook_MSB[[#This Row],[Mat. Date]],3))</f>
        <v>6.2082191780821914</v>
      </c>
      <c r="CA152" s="71" t="str">
        <f>IF(Bankingbook_MSB[[#This Row],[Days (year)]]=0,0,INDEX(Ref!$K$2:$K$13,MATCH(Bankingbook_MSB[[#This Row],[Days (year)]],Ref!$I$2:$I$13,1)))</f>
        <v>7Y</v>
      </c>
      <c r="CB152" s="32" t="str">
        <f>VLOOKUP(Bankingbook_MSB[[#This Row],[Security Name]],Ref!X:Z,3,0)</f>
        <v>TPCPBL</v>
      </c>
      <c r="CC152" s="32" t="str">
        <f>VLOOKUP(Bankingbook_MSB[[#This Row],[Security Name]],Ref!X:Y,2,0)</f>
        <v>VBS</v>
      </c>
      <c r="CD152" s="72">
        <f>IF((Bankingbook_MSB[[#This Row],[Mat. Date]]-RPT)&lt;=0,0,Bankingbook_MSB[[#This Row],[QUANTITY]])</f>
        <v>0</v>
      </c>
      <c r="CE152" s="71">
        <f>IF(Bankingbook_MSB[[#This Row],[Quantity_edited]]=0,0,Bankingbook_MSB[[#This Row],[DURATION]])</f>
        <v>0</v>
      </c>
      <c r="CF152" s="71">
        <f>IF(Bankingbook_MSB[[#This Row],[Quantity_edited]]=0,0,Bankingbook_MSB[[#This Row],[Mod Dur]])</f>
        <v>0</v>
      </c>
      <c r="CG152" s="71">
        <f>IF(Bankingbook_MSB[[#This Row],[Quantity_edited]]=0,0,Bankingbook_MSB[[#This Row],[Cnvx.]])</f>
        <v>0</v>
      </c>
      <c r="CH152" s="71">
        <f>(Bankingbook_MSB[[#This Row],[MARKET_VALUE]]+Bankingbook_MSB[[#This Row],[Accr Int]]*Bankingbook_MSB[[#This Row],[Quantity_edited]])*(-Bankingbook_MSB[[#This Row],[Modified Duration]]*0.0001+0.5*Bankingbook_MSB[[#This Row],[Conv]]*(0.0001^2))</f>
        <v>0</v>
      </c>
      <c r="CI152" s="71">
        <f>(Bankingbook_MSB[[#This Row],[MARKET_VALUE]]+Bankingbook_MSB[[#This Row],[Accr Int]]*Bankingbook_MSB[[#This Row],[Quantity_edited]])*(-Bankingbook_MSB[[#This Row],[Modified Duration]]*0.01+0.5*Bankingbook_MSB[[#This Row],[Conv]]*(0.01^2))</f>
        <v>0</v>
      </c>
      <c r="CL152" t="s">
        <v>166</v>
      </c>
      <c r="CM152" t="s">
        <v>167</v>
      </c>
      <c r="CN152" t="s">
        <v>329</v>
      </c>
      <c r="CO152" t="s">
        <v>169</v>
      </c>
      <c r="CP152" s="35">
        <v>42870</v>
      </c>
      <c r="CQ152" t="s">
        <v>3322</v>
      </c>
      <c r="CR152" t="s">
        <v>174</v>
      </c>
      <c r="CS152" t="s">
        <v>174</v>
      </c>
      <c r="CT152" s="49">
        <v>0</v>
      </c>
      <c r="CU152">
        <v>0</v>
      </c>
      <c r="CV152">
        <v>0</v>
      </c>
      <c r="CW152" s="70">
        <v>0</v>
      </c>
      <c r="CX152">
        <v>6</v>
      </c>
      <c r="CY152">
        <v>0</v>
      </c>
      <c r="CZ152">
        <v>0</v>
      </c>
      <c r="DA152">
        <v>-7.9999999999999996E-6</v>
      </c>
      <c r="DB152">
        <v>-575648494.23610687</v>
      </c>
      <c r="DC152">
        <v>6</v>
      </c>
      <c r="DD152">
        <v>0</v>
      </c>
      <c r="DE152">
        <v>0</v>
      </c>
      <c r="DF152">
        <v>0</v>
      </c>
      <c r="DG152">
        <v>0</v>
      </c>
      <c r="DH152">
        <v>0</v>
      </c>
      <c r="DI152">
        <v>0</v>
      </c>
      <c r="DJ152" s="500">
        <v>3057000000.0002441</v>
      </c>
      <c r="DK152" s="500">
        <v>0</v>
      </c>
      <c r="DL152" s="37">
        <v>3057000000.0002441</v>
      </c>
      <c r="DM152" s="37">
        <v>3057000000.0002441</v>
      </c>
      <c r="DN152" s="37">
        <v>3057000000</v>
      </c>
      <c r="DO152" s="37">
        <v>3057000000.0002441</v>
      </c>
      <c r="DP152" s="32">
        <f>Tradingbook_SBV[[#This Row],[Mat. Date]]-RPT</f>
        <v>-3382</v>
      </c>
      <c r="DQ152" s="32">
        <f>IF(Tradingbook_SBV[[#This Row],[Days]]&lt;=0,0,YEARFRAC(RPT,Tradingbook_SBV[[#This Row],[Mat. Date]],3))</f>
        <v>0</v>
      </c>
      <c r="DR152" s="32">
        <f>IF(Tradingbook_SBV[[#This Row],[Days (year)]]=0,0,INDEX(Ref!$K$2:$K$13,MATCH(Tradingbook_SBV[[#This Row],[Days (year)]],Ref!$I$2:$I$13,1)))</f>
        <v>0</v>
      </c>
      <c r="DS152" s="32" t="str">
        <f>VLOOKUP(Tradingbook_SBV[[#This Row],[Security Name]],Ref!X:Z,3,0)</f>
        <v>TPCP</v>
      </c>
      <c r="DT152" s="32" t="str">
        <f>VLOOKUP(Tradingbook_SBV[[#This Row],[Security Name]],Ref!X:Y,2,0)</f>
        <v>KBNN</v>
      </c>
      <c r="DU152" s="71">
        <f>IF((Tradingbook_SBV[[#This Row],[Mat. Date]]-RPT)&lt;=0,0,Tradingbook_SBV[[#This Row],[QUANTITY]])</f>
        <v>0</v>
      </c>
      <c r="DV152" s="71">
        <f>IF(Tradingbook_SBV[[#This Row],[Quantity_edited]]=0,0,Tradingbook_SBV[[#This Row],[DURATION]])</f>
        <v>0</v>
      </c>
      <c r="DW152" s="71">
        <f>IF(Tradingbook_SBV[[#This Row],[Quantity_edited]]=0,0,Tradingbook_SBV[[#This Row],[Mod Dur]])</f>
        <v>0</v>
      </c>
      <c r="DX152" s="71">
        <f>IF(Tradingbook_SBV[[#This Row],[Quantity_edited]]=0,0,Tradingbook_SBV[[#This Row],[Cnvx.]])</f>
        <v>0</v>
      </c>
      <c r="DY152" s="71">
        <f>(Tradingbook_SBV[[#This Row],[MARKET_VALUE]]+Tradingbook_SBV[[#This Row],[Accr Int]]*Tradingbook_SBV[[#This Row],[Quantity_edited]])*(-Tradingbook_SBV[[#This Row],[Modified Duration]]*0.0001+0.5*Tradingbook_SBV[[#This Row],[Conv]]*(0.0001^2))</f>
        <v>0</v>
      </c>
      <c r="DZ152" s="71">
        <f>(Tradingbook_SBV[[#This Row],[MARKET_VALUE]]+Tradingbook_SBV[[#This Row],[Accr Int]]*Tradingbook_SBV[[#This Row],[Quantity_edited]])*(-Tradingbook_SBV[[#This Row],[Modified Duration]]*0.01+0.5*Tradingbook_SBV[[#This Row],[Conv]]*(0.01^2))</f>
        <v>0</v>
      </c>
      <c r="EC152" t="s">
        <v>166</v>
      </c>
      <c r="ED152" t="s">
        <v>167</v>
      </c>
      <c r="EE152" t="s">
        <v>1174</v>
      </c>
      <c r="EF152" t="s">
        <v>169</v>
      </c>
      <c r="EG152" s="35" t="s">
        <v>3771</v>
      </c>
      <c r="EH152" t="s">
        <v>170</v>
      </c>
      <c r="EK152" s="500">
        <v>1000000</v>
      </c>
      <c r="EL152" s="500">
        <v>100000000000</v>
      </c>
      <c r="EM152" s="500">
        <v>105134.3</v>
      </c>
      <c r="EN152" s="500">
        <v>0</v>
      </c>
      <c r="EO152">
        <v>5.5</v>
      </c>
      <c r="EP152">
        <v>0</v>
      </c>
      <c r="EQ152">
        <v>11000000000</v>
      </c>
      <c r="ER152">
        <v>11249104166.666676</v>
      </c>
      <c r="ES152">
        <v>-7332498756.388896</v>
      </c>
      <c r="ET152">
        <v>5.5</v>
      </c>
      <c r="EU152">
        <v>0</v>
      </c>
      <c r="EV152">
        <v>0</v>
      </c>
      <c r="EW152">
        <v>0</v>
      </c>
      <c r="EX152">
        <v>0</v>
      </c>
      <c r="EY152">
        <v>0</v>
      </c>
      <c r="EZ152">
        <v>0</v>
      </c>
      <c r="FA152">
        <v>-5633000000.0000143</v>
      </c>
      <c r="FB152">
        <v>0</v>
      </c>
      <c r="FC152">
        <v>-5633000000.0000143</v>
      </c>
      <c r="FD152">
        <v>-5633000000.0000143</v>
      </c>
      <c r="FE152">
        <v>-5633000000</v>
      </c>
      <c r="FF152">
        <v>-5633000000.0000143</v>
      </c>
      <c r="FG152" s="32">
        <f>Bankingbook_SBV[[#This Row],[Mat. Date]]-RPT</f>
        <v>-235</v>
      </c>
      <c r="FH152" s="32">
        <f>IF(Bankingbook_SBV[[#This Row],[Days]]&lt;=0,0,YEARFRAC(RPT,Bankingbook_SBV[[#This Row],[Mat. Date]],3))</f>
        <v>0</v>
      </c>
      <c r="FI152" s="32">
        <f>IF(Bankingbook_SBV[[#This Row],[Days (year)]]=0,0,INDEX(Ref!$K$2:$K$13,MATCH(Bankingbook_SBV[[#This Row],[Days (year)]],Ref!$I$2:$I$13,1)))</f>
        <v>0</v>
      </c>
      <c r="FJ152" s="32" t="str">
        <f>VLOOKUP(Bankingbook_SBV[[#This Row],[Security Name]],Ref!X:Z,3,0)</f>
        <v>TPCPBL</v>
      </c>
      <c r="FK152" s="32" t="str">
        <f>VLOOKUP(Bankingbook_SBV[[#This Row],[Security Name]],Ref!X:Y,2,0)</f>
        <v>VDB</v>
      </c>
      <c r="FL152" s="72">
        <f>IF((Bankingbook_SBV[[#This Row],[Mat. Date]]-RPT)&lt;=0,0,Bankingbook_SBV[[#This Row],[QUANTITY]])</f>
        <v>0</v>
      </c>
      <c r="FM152" s="32">
        <f>IF(Bankingbook_SBV[[#This Row],[Quantity_edited]]=0,0,Bankingbook_SBV[[#This Row],[DURATION]])</f>
        <v>0</v>
      </c>
      <c r="FN152" s="32">
        <f>IF(Bankingbook_SBV[[#This Row],[Quantity_edited]]=0,0,Bankingbook_SBV[[#This Row],[Mod Dur]])</f>
        <v>0</v>
      </c>
      <c r="FO152" s="32">
        <f>IF(Bankingbook_SBV[[#This Row],[Quantity_edited]]=0,0,Bankingbook_SBV[[#This Row],[Cnvx.]])</f>
        <v>0</v>
      </c>
      <c r="FP152" s="32">
        <f>(Bankingbook_SBV[[#This Row],[MARKET_VALUE]]+Bankingbook_SBV[[#This Row],[Accr Int]]*Bankingbook_SBV[[#This Row],[Quantity_edited]])*(-Bankingbook_SBV[[#This Row],[Modified Duration]]*0.0001+0.5*Bankingbook_SBV[[#This Row],[Conv]]*(0.0001^2))</f>
        <v>0</v>
      </c>
      <c r="FQ152" s="32">
        <f>(Bankingbook_SBV[[#This Row],[MARKET_VALUE]]+Bankingbook_SBV[[#This Row],[Accr Int]]*Bankingbook_SBV[[#This Row],[Quantity_edited]])*(-Bankingbook_SBV[[#This Row],[Modified Duration]]*0.01+0.5*Bankingbook_SBV[[#This Row],[Conv]]*(0.01^2))</f>
        <v>0</v>
      </c>
    </row>
    <row r="153" spans="2:173" x14ac:dyDescent="0.3">
      <c r="B153" t="s">
        <v>166</v>
      </c>
      <c r="C153" t="s">
        <v>167</v>
      </c>
      <c r="D153" t="s">
        <v>330</v>
      </c>
      <c r="E153" t="s">
        <v>169</v>
      </c>
      <c r="F153" s="502">
        <v>42884</v>
      </c>
      <c r="G153" t="s">
        <v>3322</v>
      </c>
      <c r="H153"/>
      <c r="I153"/>
      <c r="J153" s="38">
        <v>0</v>
      </c>
      <c r="K153">
        <v>0</v>
      </c>
      <c r="L153">
        <v>0</v>
      </c>
      <c r="M153" s="38">
        <v>0</v>
      </c>
      <c r="N153">
        <v>9.8000000000000007</v>
      </c>
      <c r="O153">
        <v>0</v>
      </c>
      <c r="P153" s="37">
        <v>0</v>
      </c>
      <c r="Q153" s="37">
        <v>2.3E-5</v>
      </c>
      <c r="R153" s="37">
        <v>-5132413722.0139046</v>
      </c>
      <c r="S153">
        <v>9.8000000000000007</v>
      </c>
      <c r="T153" s="70">
        <v>0</v>
      </c>
      <c r="U153">
        <v>0</v>
      </c>
      <c r="V153">
        <v>0</v>
      </c>
      <c r="W153">
        <v>0</v>
      </c>
      <c r="X153" s="38">
        <v>0</v>
      </c>
      <c r="Y153">
        <v>0</v>
      </c>
      <c r="Z153" s="70">
        <v>-5141500000</v>
      </c>
      <c r="AA153" s="70">
        <v>0</v>
      </c>
      <c r="AB153" s="70">
        <v>-5141500000</v>
      </c>
      <c r="AC153" s="70">
        <v>-5141500000</v>
      </c>
      <c r="AD153" s="70">
        <v>-5141500000</v>
      </c>
      <c r="AE153" s="70">
        <v>-5141500000</v>
      </c>
      <c r="AF153">
        <v>0</v>
      </c>
      <c r="AG153" s="72">
        <f>Tradingbook_MSB[[#This Row],[Mat. Date]]-RPT</f>
        <v>-3368</v>
      </c>
      <c r="AH153" s="71">
        <f>IF(Tradingbook_MSB[[#This Row],[Days]]&lt;=0,0,YEARFRAC(RPT,Tradingbook_MSB[[#This Row],[Mat. Date]],3))</f>
        <v>0</v>
      </c>
      <c r="AI153" s="71">
        <f>IF(Tradingbook_MSB[[#This Row],[Days (year)]]=0,0,INDEX(Ref!$K$2:$K$13,MATCH(Tradingbook_MSB[[#This Row],[Days (year)]],Ref!$I$2:$I$13,1)))</f>
        <v>0</v>
      </c>
      <c r="AJ153" s="120" t="str">
        <f>VLOOKUP(Tradingbook_MSB[[#This Row],[Security Name]],Ref!X:Z,3,0)</f>
        <v>TPCPBL</v>
      </c>
      <c r="AK153" s="120" t="str">
        <f>VLOOKUP(Tradingbook_MSB[[#This Row],[Security Name]],Ref!X:Y,2,0)</f>
        <v>VDB</v>
      </c>
      <c r="AL153" s="71">
        <f>IF((Tradingbook_MSB[[#This Row],[Mat. Date]]-RPT)&lt;=0,0,Tradingbook_MSB[[#This Row],[QUANTITY]])</f>
        <v>0</v>
      </c>
      <c r="AM153" s="71">
        <f>IF(Tradingbook_MSB[[#This Row],[Quantity_edited]]=0,0,Tradingbook_MSB[[#This Row],[DURATION]])</f>
        <v>0</v>
      </c>
      <c r="AN153" s="71">
        <f>IF(Tradingbook_MSB[[#This Row],[Quantity_edited]]=0,0,Tradingbook_MSB[[#This Row],[Mod Dur]])</f>
        <v>0</v>
      </c>
      <c r="AO153" s="71">
        <f>IF(Tradingbook_MSB[[#This Row],[Quantity_edited]]=0,0,Tradingbook_MSB[[#This Row],[Cnvx.]])</f>
        <v>0</v>
      </c>
      <c r="AP153" s="71">
        <f>(Tradingbook_MSB[[#This Row],[MARKET_VALUE]]+Tradingbook_MSB[[#This Row],[Accr Int]]*Tradingbook_MSB[[#This Row],[Quantity_edited]])*(-Tradingbook_MSB[[#This Row],[Modified Duration]]*0.0001+0.5*Tradingbook_MSB[[#This Row],[Conv]]*(0.0001^2))</f>
        <v>0</v>
      </c>
      <c r="AQ153" s="72">
        <f>(Tradingbook_MSB[[#This Row],[MARKET_VALUE]]+Tradingbook_MSB[[#This Row],[Accr Int]]*Tradingbook_MSB[[#This Row],[Quantity_edited]])*(-Tradingbook_MSB[[#This Row],[Modified Duration]]*0.01+0.5*Tradingbook_MSB[[#This Row],[Conv]]*(0.01^2))</f>
        <v>0</v>
      </c>
      <c r="AR153" s="71"/>
      <c r="AT153" t="s">
        <v>166</v>
      </c>
      <c r="AU153" t="s">
        <v>3301</v>
      </c>
      <c r="AV153" t="s">
        <v>657</v>
      </c>
      <c r="AW153" t="s">
        <v>169</v>
      </c>
      <c r="AX153" t="s">
        <v>3442</v>
      </c>
      <c r="AY153" t="s">
        <v>3322</v>
      </c>
      <c r="AZ153">
        <v>107517</v>
      </c>
      <c r="BA153">
        <v>107517</v>
      </c>
      <c r="BB153">
        <v>0</v>
      </c>
      <c r="BC153">
        <v>0</v>
      </c>
      <c r="BD153">
        <v>0</v>
      </c>
      <c r="BE153">
        <v>0</v>
      </c>
      <c r="BF153">
        <v>6.2</v>
      </c>
      <c r="BG153">
        <v>4332</v>
      </c>
      <c r="BH153">
        <v>80600000000</v>
      </c>
      <c r="BI153">
        <v>95815858305.555817</v>
      </c>
      <c r="BJ153">
        <v>-23952138974.444973</v>
      </c>
      <c r="BK153">
        <v>4.7843084950000003</v>
      </c>
      <c r="BL153">
        <v>4.9979279427836003</v>
      </c>
      <c r="BM153">
        <v>5.2370442300000004</v>
      </c>
      <c r="BN153">
        <v>33.016415065750799</v>
      </c>
      <c r="BO153">
        <v>0</v>
      </c>
      <c r="BP153">
        <v>0</v>
      </c>
      <c r="BQ153">
        <v>0</v>
      </c>
      <c r="BR153">
        <v>103110000000</v>
      </c>
      <c r="BS153">
        <v>0</v>
      </c>
      <c r="BT153">
        <v>103110000000</v>
      </c>
      <c r="BU153">
        <v>103110000000</v>
      </c>
      <c r="BV153">
        <v>103110000000</v>
      </c>
      <c r="BW153">
        <v>103110000000</v>
      </c>
      <c r="BX153">
        <v>0</v>
      </c>
      <c r="BY153" s="32">
        <f>Bankingbook_MSB[[#This Row],[Mat. Date]]-RPT</f>
        <v>2302</v>
      </c>
      <c r="BZ153" s="71">
        <f>IF(Bankingbook_MSB[[#This Row],[Days]]&lt;=0,0,YEARFRAC(RPT,Bankingbook_MSB[[#This Row],[Mat. Date]],3))</f>
        <v>6.3068493150684928</v>
      </c>
      <c r="CA153" s="71" t="str">
        <f>IF(Bankingbook_MSB[[#This Row],[Days (year)]]=0,0,INDEX(Ref!$K$2:$K$13,MATCH(Bankingbook_MSB[[#This Row],[Days (year)]],Ref!$I$2:$I$13,1)))</f>
        <v>7Y</v>
      </c>
      <c r="CB153" s="32" t="str">
        <f>VLOOKUP(Bankingbook_MSB[[#This Row],[Security Name]],Ref!X:Z,3,0)</f>
        <v>TPCPBL</v>
      </c>
      <c r="CC153" s="32" t="str">
        <f>VLOOKUP(Bankingbook_MSB[[#This Row],[Security Name]],Ref!X:Y,2,0)</f>
        <v>VDB</v>
      </c>
      <c r="CD153" s="72">
        <f>IF((Bankingbook_MSB[[#This Row],[Mat. Date]]-RPT)&lt;=0,0,Bankingbook_MSB[[#This Row],[QUANTITY]])</f>
        <v>0</v>
      </c>
      <c r="CE153" s="71">
        <f>IF(Bankingbook_MSB[[#This Row],[Quantity_edited]]=0,0,Bankingbook_MSB[[#This Row],[DURATION]])</f>
        <v>0</v>
      </c>
      <c r="CF153" s="71">
        <f>IF(Bankingbook_MSB[[#This Row],[Quantity_edited]]=0,0,Bankingbook_MSB[[#This Row],[Mod Dur]])</f>
        <v>0</v>
      </c>
      <c r="CG153" s="71">
        <f>IF(Bankingbook_MSB[[#This Row],[Quantity_edited]]=0,0,Bankingbook_MSB[[#This Row],[Cnvx.]])</f>
        <v>0</v>
      </c>
      <c r="CH153" s="71">
        <f>(Bankingbook_MSB[[#This Row],[MARKET_VALUE]]+Bankingbook_MSB[[#This Row],[Accr Int]]*Bankingbook_MSB[[#This Row],[Quantity_edited]])*(-Bankingbook_MSB[[#This Row],[Modified Duration]]*0.0001+0.5*Bankingbook_MSB[[#This Row],[Conv]]*(0.0001^2))</f>
        <v>0</v>
      </c>
      <c r="CI153" s="71">
        <f>(Bankingbook_MSB[[#This Row],[MARKET_VALUE]]+Bankingbook_MSB[[#This Row],[Accr Int]]*Bankingbook_MSB[[#This Row],[Quantity_edited]])*(-Bankingbook_MSB[[#This Row],[Modified Duration]]*0.01+0.5*Bankingbook_MSB[[#This Row],[Conv]]*(0.01^2))</f>
        <v>0</v>
      </c>
      <c r="CL153" t="s">
        <v>166</v>
      </c>
      <c r="CM153" t="s">
        <v>167</v>
      </c>
      <c r="CN153" t="s">
        <v>330</v>
      </c>
      <c r="CO153" t="s">
        <v>169</v>
      </c>
      <c r="CP153" s="35">
        <v>42884</v>
      </c>
      <c r="CQ153" t="s">
        <v>3322</v>
      </c>
      <c r="CR153" t="s">
        <v>174</v>
      </c>
      <c r="CS153" t="s">
        <v>174</v>
      </c>
      <c r="CT153" s="49">
        <v>0</v>
      </c>
      <c r="CU153">
        <v>0</v>
      </c>
      <c r="CV153">
        <v>0</v>
      </c>
      <c r="CW153" s="70">
        <v>0</v>
      </c>
      <c r="CX153">
        <v>9.8000000000000007</v>
      </c>
      <c r="CY153">
        <v>0</v>
      </c>
      <c r="CZ153">
        <v>0</v>
      </c>
      <c r="DA153">
        <v>2.3E-5</v>
      </c>
      <c r="DB153">
        <v>-5132413722.0139046</v>
      </c>
      <c r="DC153">
        <v>9.8000000000000007</v>
      </c>
      <c r="DD153">
        <v>0</v>
      </c>
      <c r="DE153">
        <v>0</v>
      </c>
      <c r="DF153">
        <v>0</v>
      </c>
      <c r="DG153">
        <v>0</v>
      </c>
      <c r="DH153">
        <v>0</v>
      </c>
      <c r="DI153">
        <v>0</v>
      </c>
      <c r="DJ153" s="500">
        <v>-5141500000</v>
      </c>
      <c r="DK153" s="500">
        <v>0</v>
      </c>
      <c r="DL153" s="37">
        <v>-5141500000</v>
      </c>
      <c r="DM153" s="37">
        <v>-5141500000</v>
      </c>
      <c r="DN153" s="37">
        <v>-5141500000</v>
      </c>
      <c r="DO153" s="37">
        <v>-5141500000</v>
      </c>
      <c r="DP153" s="32">
        <f>Tradingbook_SBV[[#This Row],[Mat. Date]]-RPT</f>
        <v>-3368</v>
      </c>
      <c r="DQ153" s="32">
        <f>IF(Tradingbook_SBV[[#This Row],[Days]]&lt;=0,0,YEARFRAC(RPT,Tradingbook_SBV[[#This Row],[Mat. Date]],3))</f>
        <v>0</v>
      </c>
      <c r="DR153" s="32">
        <f>IF(Tradingbook_SBV[[#This Row],[Days (year)]]=0,0,INDEX(Ref!$K$2:$K$13,MATCH(Tradingbook_SBV[[#This Row],[Days (year)]],Ref!$I$2:$I$13,1)))</f>
        <v>0</v>
      </c>
      <c r="DS153" s="32" t="str">
        <f>VLOOKUP(Tradingbook_SBV[[#This Row],[Security Name]],Ref!X:Z,3,0)</f>
        <v>TPCPBL</v>
      </c>
      <c r="DT153" s="32" t="str">
        <f>VLOOKUP(Tradingbook_SBV[[#This Row],[Security Name]],Ref!X:Y,2,0)</f>
        <v>VDB</v>
      </c>
      <c r="DU153" s="71">
        <f>IF((Tradingbook_SBV[[#This Row],[Mat. Date]]-RPT)&lt;=0,0,Tradingbook_SBV[[#This Row],[QUANTITY]])</f>
        <v>0</v>
      </c>
      <c r="DV153" s="71">
        <f>IF(Tradingbook_SBV[[#This Row],[Quantity_edited]]=0,0,Tradingbook_SBV[[#This Row],[DURATION]])</f>
        <v>0</v>
      </c>
      <c r="DW153" s="71">
        <f>IF(Tradingbook_SBV[[#This Row],[Quantity_edited]]=0,0,Tradingbook_SBV[[#This Row],[Mod Dur]])</f>
        <v>0</v>
      </c>
      <c r="DX153" s="71">
        <f>IF(Tradingbook_SBV[[#This Row],[Quantity_edited]]=0,0,Tradingbook_SBV[[#This Row],[Cnvx.]])</f>
        <v>0</v>
      </c>
      <c r="DY153" s="71">
        <f>(Tradingbook_SBV[[#This Row],[MARKET_VALUE]]+Tradingbook_SBV[[#This Row],[Accr Int]]*Tradingbook_SBV[[#This Row],[Quantity_edited]])*(-Tradingbook_SBV[[#This Row],[Modified Duration]]*0.0001+0.5*Tradingbook_SBV[[#This Row],[Conv]]*(0.0001^2))</f>
        <v>0</v>
      </c>
      <c r="DZ153" s="71">
        <f>(Tradingbook_SBV[[#This Row],[MARKET_VALUE]]+Tradingbook_SBV[[#This Row],[Accr Int]]*Tradingbook_SBV[[#This Row],[Quantity_edited]])*(-Tradingbook_SBV[[#This Row],[Modified Duration]]*0.01+0.5*Tradingbook_SBV[[#This Row],[Conv]]*(0.01^2))</f>
        <v>0</v>
      </c>
      <c r="EC153" t="s">
        <v>166</v>
      </c>
      <c r="ED153" t="s">
        <v>167</v>
      </c>
      <c r="EE153" t="s">
        <v>554</v>
      </c>
      <c r="EF153" t="s">
        <v>169</v>
      </c>
      <c r="EG153" s="35" t="s">
        <v>3772</v>
      </c>
      <c r="EH153" t="s">
        <v>3322</v>
      </c>
      <c r="EK153" s="500">
        <v>0</v>
      </c>
      <c r="EL153" s="500">
        <v>0</v>
      </c>
      <c r="EM153" s="500">
        <v>0</v>
      </c>
      <c r="EN153" s="500">
        <v>0</v>
      </c>
      <c r="EO153">
        <v>4.3</v>
      </c>
      <c r="EP153">
        <v>0</v>
      </c>
      <c r="EQ153">
        <v>15050000000</v>
      </c>
      <c r="ER153">
        <v>16989235201.388832</v>
      </c>
      <c r="ES153">
        <v>-3024640488.1525412</v>
      </c>
      <c r="ET153">
        <v>4.3</v>
      </c>
      <c r="EU153">
        <v>0</v>
      </c>
      <c r="EV153">
        <v>0</v>
      </c>
      <c r="EW153">
        <v>0</v>
      </c>
      <c r="EX153">
        <v>0</v>
      </c>
      <c r="EY153">
        <v>0</v>
      </c>
      <c r="EZ153">
        <v>0</v>
      </c>
      <c r="FA153">
        <v>18640200000</v>
      </c>
      <c r="FB153">
        <v>0</v>
      </c>
      <c r="FC153">
        <v>18640200000</v>
      </c>
      <c r="FD153">
        <v>18640200000</v>
      </c>
      <c r="FE153">
        <v>18640200000</v>
      </c>
      <c r="FF153">
        <v>18640200000</v>
      </c>
      <c r="FG153" s="32">
        <f>Bankingbook_SBV[[#This Row],[Mat. Date]]-RPT</f>
        <v>-220</v>
      </c>
      <c r="FH153" s="32">
        <f>IF(Bankingbook_SBV[[#This Row],[Days]]&lt;=0,0,YEARFRAC(RPT,Bankingbook_SBV[[#This Row],[Mat. Date]],3))</f>
        <v>0</v>
      </c>
      <c r="FI153" s="32">
        <f>IF(Bankingbook_SBV[[#This Row],[Days (year)]]=0,0,INDEX(Ref!$K$2:$K$13,MATCH(Bankingbook_SBV[[#This Row],[Days (year)]],Ref!$I$2:$I$13,1)))</f>
        <v>0</v>
      </c>
      <c r="FJ153" s="32" t="str">
        <f>VLOOKUP(Bankingbook_SBV[[#This Row],[Security Name]],Ref!X:Z,3,0)</f>
        <v>TPCP</v>
      </c>
      <c r="FK153" s="32" t="str">
        <f>VLOOKUP(Bankingbook_SBV[[#This Row],[Security Name]],Ref!X:Y,2,0)</f>
        <v>KBNN</v>
      </c>
      <c r="FL153" s="72">
        <f>IF((Bankingbook_SBV[[#This Row],[Mat. Date]]-RPT)&lt;=0,0,Bankingbook_SBV[[#This Row],[QUANTITY]])</f>
        <v>0</v>
      </c>
      <c r="FM153" s="32">
        <f>IF(Bankingbook_SBV[[#This Row],[Quantity_edited]]=0,0,Bankingbook_SBV[[#This Row],[DURATION]])</f>
        <v>0</v>
      </c>
      <c r="FN153" s="32">
        <f>IF(Bankingbook_SBV[[#This Row],[Quantity_edited]]=0,0,Bankingbook_SBV[[#This Row],[Mod Dur]])</f>
        <v>0</v>
      </c>
      <c r="FO153" s="32">
        <f>IF(Bankingbook_SBV[[#This Row],[Quantity_edited]]=0,0,Bankingbook_SBV[[#This Row],[Cnvx.]])</f>
        <v>0</v>
      </c>
      <c r="FP153" s="32">
        <f>(Bankingbook_SBV[[#This Row],[MARKET_VALUE]]+Bankingbook_SBV[[#This Row],[Accr Int]]*Bankingbook_SBV[[#This Row],[Quantity_edited]])*(-Bankingbook_SBV[[#This Row],[Modified Duration]]*0.0001+0.5*Bankingbook_SBV[[#This Row],[Conv]]*(0.0001^2))</f>
        <v>0</v>
      </c>
      <c r="FQ153" s="32">
        <f>(Bankingbook_SBV[[#This Row],[MARKET_VALUE]]+Bankingbook_SBV[[#This Row],[Accr Int]]*Bankingbook_SBV[[#This Row],[Quantity_edited]])*(-Bankingbook_SBV[[#This Row],[Modified Duration]]*0.01+0.5*Bankingbook_SBV[[#This Row],[Conv]]*(0.01^2))</f>
        <v>0</v>
      </c>
    </row>
    <row r="154" spans="2:173" x14ac:dyDescent="0.3">
      <c r="B154" t="s">
        <v>166</v>
      </c>
      <c r="C154" t="s">
        <v>167</v>
      </c>
      <c r="D154" t="s">
        <v>331</v>
      </c>
      <c r="E154" t="s">
        <v>169</v>
      </c>
      <c r="F154" s="502">
        <v>42901</v>
      </c>
      <c r="G154" t="s">
        <v>3322</v>
      </c>
      <c r="H154"/>
      <c r="I154"/>
      <c r="J154" s="38">
        <v>0</v>
      </c>
      <c r="K154">
        <v>0</v>
      </c>
      <c r="L154">
        <v>0</v>
      </c>
      <c r="M154" s="38">
        <v>0</v>
      </c>
      <c r="N154">
        <v>9.5</v>
      </c>
      <c r="O154">
        <v>0</v>
      </c>
      <c r="P154" s="37">
        <v>9500000000</v>
      </c>
      <c r="Q154" s="37">
        <v>10726903888.888832</v>
      </c>
      <c r="R154" s="37">
        <v>-4339115431.7971706</v>
      </c>
      <c r="S154">
        <v>9.5</v>
      </c>
      <c r="T154" s="70">
        <v>0</v>
      </c>
      <c r="U154">
        <v>0</v>
      </c>
      <c r="V154">
        <v>0</v>
      </c>
      <c r="W154">
        <v>0</v>
      </c>
      <c r="X154" s="38">
        <v>0</v>
      </c>
      <c r="Y154">
        <v>0</v>
      </c>
      <c r="Z154" s="70">
        <v>18330380000.000244</v>
      </c>
      <c r="AA154" s="70">
        <v>0</v>
      </c>
      <c r="AB154" s="70">
        <v>18330380000.000244</v>
      </c>
      <c r="AC154" s="70">
        <v>18330380000.000244</v>
      </c>
      <c r="AD154" s="70">
        <v>18330380000</v>
      </c>
      <c r="AE154" s="70">
        <v>18330380000.000244</v>
      </c>
      <c r="AF154">
        <v>0</v>
      </c>
      <c r="AG154" s="72">
        <f>Tradingbook_MSB[[#This Row],[Mat. Date]]-RPT</f>
        <v>-3351</v>
      </c>
      <c r="AH154" s="71">
        <f>IF(Tradingbook_MSB[[#This Row],[Days]]&lt;=0,0,YEARFRAC(RPT,Tradingbook_MSB[[#This Row],[Mat. Date]],3))</f>
        <v>0</v>
      </c>
      <c r="AI154" s="71">
        <f>IF(Tradingbook_MSB[[#This Row],[Days (year)]]=0,0,INDEX(Ref!$K$2:$K$13,MATCH(Tradingbook_MSB[[#This Row],[Days (year)]],Ref!$I$2:$I$13,1)))</f>
        <v>0</v>
      </c>
      <c r="AJ154" s="120" t="str">
        <f>VLOOKUP(Tradingbook_MSB[[#This Row],[Security Name]],Ref!X:Z,3,0)</f>
        <v>TPCP</v>
      </c>
      <c r="AK154" s="120" t="str">
        <f>VLOOKUP(Tradingbook_MSB[[#This Row],[Security Name]],Ref!X:Y,2,0)</f>
        <v>KBNN</v>
      </c>
      <c r="AL154" s="71">
        <f>IF((Tradingbook_MSB[[#This Row],[Mat. Date]]-RPT)&lt;=0,0,Tradingbook_MSB[[#This Row],[QUANTITY]])</f>
        <v>0</v>
      </c>
      <c r="AM154" s="71">
        <f>IF(Tradingbook_MSB[[#This Row],[Quantity_edited]]=0,0,Tradingbook_MSB[[#This Row],[DURATION]])</f>
        <v>0</v>
      </c>
      <c r="AN154" s="71">
        <f>IF(Tradingbook_MSB[[#This Row],[Quantity_edited]]=0,0,Tradingbook_MSB[[#This Row],[Mod Dur]])</f>
        <v>0</v>
      </c>
      <c r="AO154" s="71">
        <f>IF(Tradingbook_MSB[[#This Row],[Quantity_edited]]=0,0,Tradingbook_MSB[[#This Row],[Cnvx.]])</f>
        <v>0</v>
      </c>
      <c r="AP154" s="71">
        <f>(Tradingbook_MSB[[#This Row],[MARKET_VALUE]]+Tradingbook_MSB[[#This Row],[Accr Int]]*Tradingbook_MSB[[#This Row],[Quantity_edited]])*(-Tradingbook_MSB[[#This Row],[Modified Duration]]*0.0001+0.5*Tradingbook_MSB[[#This Row],[Conv]]*(0.0001^2))</f>
        <v>0</v>
      </c>
      <c r="AQ154" s="72">
        <f>(Tradingbook_MSB[[#This Row],[MARKET_VALUE]]+Tradingbook_MSB[[#This Row],[Accr Int]]*Tradingbook_MSB[[#This Row],[Quantity_edited]])*(-Tradingbook_MSB[[#This Row],[Modified Duration]]*0.01+0.5*Tradingbook_MSB[[#This Row],[Conv]]*(0.01^2))</f>
        <v>0</v>
      </c>
      <c r="AR154" s="71"/>
      <c r="AT154" t="s">
        <v>166</v>
      </c>
      <c r="AU154" t="s">
        <v>3301</v>
      </c>
      <c r="AV154" t="s">
        <v>2499</v>
      </c>
      <c r="AW154" t="s">
        <v>169</v>
      </c>
      <c r="AX154" t="s">
        <v>3443</v>
      </c>
      <c r="AY154" t="s">
        <v>170</v>
      </c>
      <c r="AZ154">
        <v>102776</v>
      </c>
      <c r="BA154">
        <v>102776</v>
      </c>
      <c r="BB154">
        <v>1000000</v>
      </c>
      <c r="BC154">
        <v>100000000000</v>
      </c>
      <c r="BD154">
        <v>117273</v>
      </c>
      <c r="BE154">
        <v>102776000000</v>
      </c>
      <c r="BF154">
        <v>4.8</v>
      </c>
      <c r="BG154">
        <v>3327</v>
      </c>
      <c r="BH154">
        <v>4800000000</v>
      </c>
      <c r="BI154">
        <v>4992053333.333334</v>
      </c>
      <c r="BJ154">
        <v>-8947119472.2222347</v>
      </c>
      <c r="BK154">
        <v>4.2844582180000002</v>
      </c>
      <c r="BL154">
        <v>5.2075118900276998</v>
      </c>
      <c r="BM154">
        <v>5.4306255600000002</v>
      </c>
      <c r="BN154">
        <v>34.970870065762497</v>
      </c>
      <c r="BO154">
        <v>37105.142265875998</v>
      </c>
      <c r="BP154">
        <v>-55253.263406760001</v>
      </c>
      <c r="BQ154">
        <v>12195.905000000001</v>
      </c>
      <c r="BR154">
        <v>0</v>
      </c>
      <c r="BS154">
        <v>-14497000000</v>
      </c>
      <c r="BT154">
        <v>-14497000000</v>
      </c>
      <c r="BU154">
        <v>-14497000000</v>
      </c>
      <c r="BV154">
        <v>-14497000000</v>
      </c>
      <c r="BW154">
        <v>-14497000000</v>
      </c>
      <c r="BX154">
        <v>2.35</v>
      </c>
      <c r="BY154" s="32">
        <f>Bankingbook_MSB[[#This Row],[Mat. Date]]-RPT</f>
        <v>2304</v>
      </c>
      <c r="BZ154" s="71">
        <f>IF(Bankingbook_MSB[[#This Row],[Days]]&lt;=0,0,YEARFRAC(RPT,Bankingbook_MSB[[#This Row],[Mat. Date]],3))</f>
        <v>6.3123287671232875</v>
      </c>
      <c r="CA154" s="71" t="str">
        <f>IF(Bankingbook_MSB[[#This Row],[Days (year)]]=0,0,INDEX(Ref!$K$2:$K$13,MATCH(Bankingbook_MSB[[#This Row],[Days (year)]],Ref!$I$2:$I$13,1)))</f>
        <v>7Y</v>
      </c>
      <c r="CB154" s="32" t="str">
        <f>VLOOKUP(Bankingbook_MSB[[#This Row],[Security Name]],Ref!X:Z,3,0)</f>
        <v>TPCP</v>
      </c>
      <c r="CC154" s="32" t="str">
        <f>VLOOKUP(Bankingbook_MSB[[#This Row],[Security Name]],Ref!X:Y,2,0)</f>
        <v>KBNN</v>
      </c>
      <c r="CD154" s="72">
        <f>IF((Bankingbook_MSB[[#This Row],[Mat. Date]]-RPT)&lt;=0,0,Bankingbook_MSB[[#This Row],[QUANTITY]])</f>
        <v>1000000</v>
      </c>
      <c r="CE154" s="71">
        <f>IF(Bankingbook_MSB[[#This Row],[Quantity_edited]]=0,0,Bankingbook_MSB[[#This Row],[DURATION]])</f>
        <v>5.4306255600000002</v>
      </c>
      <c r="CF154" s="71">
        <f>IF(Bankingbook_MSB[[#This Row],[Quantity_edited]]=0,0,Bankingbook_MSB[[#This Row],[Mod Dur]])</f>
        <v>5.2075118900276998</v>
      </c>
      <c r="CG154" s="71">
        <f>IF(Bankingbook_MSB[[#This Row],[Quantity_edited]]=0,0,Bankingbook_MSB[[#This Row],[Cnvx.]])</f>
        <v>34.970870065762497</v>
      </c>
      <c r="CH154" s="71">
        <f>(Bankingbook_MSB[[#This Row],[MARKET_VALUE]]+Bankingbook_MSB[[#This Row],[Accr Int]]*Bankingbook_MSB[[#This Row],[Quantity_edited]])*(-Bankingbook_MSB[[#This Row],[Modified Duration]]*0.0001+0.5*Bankingbook_MSB[[#This Row],[Conv]]*(0.0001^2))</f>
        <v>-55234710.835627966</v>
      </c>
      <c r="CI154" s="71">
        <f>(Bankingbook_MSB[[#This Row],[MARKET_VALUE]]+Bankingbook_MSB[[#This Row],[Accr Int]]*Bankingbook_MSB[[#This Row],[Quantity_edited]])*(-Bankingbook_MSB[[#This Row],[Modified Duration]]*0.01+0.5*Bankingbook_MSB[[#This Row],[Conv]]*(0.01^2))</f>
        <v>-5339800629.3467102</v>
      </c>
      <c r="CL154" t="s">
        <v>166</v>
      </c>
      <c r="CM154" t="s">
        <v>167</v>
      </c>
      <c r="CN154" t="s">
        <v>331</v>
      </c>
      <c r="CO154" t="s">
        <v>169</v>
      </c>
      <c r="CP154" s="35">
        <v>42901</v>
      </c>
      <c r="CQ154" t="s">
        <v>3322</v>
      </c>
      <c r="CR154" t="s">
        <v>174</v>
      </c>
      <c r="CS154" t="s">
        <v>174</v>
      </c>
      <c r="CT154" s="49">
        <v>0</v>
      </c>
      <c r="CU154">
        <v>0</v>
      </c>
      <c r="CV154">
        <v>0</v>
      </c>
      <c r="CW154" s="70">
        <v>0</v>
      </c>
      <c r="CX154">
        <v>9.5</v>
      </c>
      <c r="CY154">
        <v>0</v>
      </c>
      <c r="CZ154">
        <v>9500000000</v>
      </c>
      <c r="DA154">
        <v>10726903888.888832</v>
      </c>
      <c r="DB154">
        <v>-4339115431.7971706</v>
      </c>
      <c r="DC154">
        <v>9.5</v>
      </c>
      <c r="DD154">
        <v>0</v>
      </c>
      <c r="DE154">
        <v>0</v>
      </c>
      <c r="DF154">
        <v>0</v>
      </c>
      <c r="DG154">
        <v>0</v>
      </c>
      <c r="DH154">
        <v>0</v>
      </c>
      <c r="DI154">
        <v>0</v>
      </c>
      <c r="DJ154" s="500">
        <v>18330380000.000244</v>
      </c>
      <c r="DK154" s="500">
        <v>0</v>
      </c>
      <c r="DL154" s="37">
        <v>18330380000.000244</v>
      </c>
      <c r="DM154" s="37">
        <v>18330380000.000244</v>
      </c>
      <c r="DN154" s="37">
        <v>18330380000</v>
      </c>
      <c r="DO154" s="37">
        <v>18330380000.000244</v>
      </c>
      <c r="DP154" s="32">
        <f>Tradingbook_SBV[[#This Row],[Mat. Date]]-RPT</f>
        <v>-3351</v>
      </c>
      <c r="DQ154" s="32">
        <f>IF(Tradingbook_SBV[[#This Row],[Days]]&lt;=0,0,YEARFRAC(RPT,Tradingbook_SBV[[#This Row],[Mat. Date]],3))</f>
        <v>0</v>
      </c>
      <c r="DR154" s="32">
        <f>IF(Tradingbook_SBV[[#This Row],[Days (year)]]=0,0,INDEX(Ref!$K$2:$K$13,MATCH(Tradingbook_SBV[[#This Row],[Days (year)]],Ref!$I$2:$I$13,1)))</f>
        <v>0</v>
      </c>
      <c r="DS154" s="32" t="str">
        <f>VLOOKUP(Tradingbook_SBV[[#This Row],[Security Name]],Ref!X:Z,3,0)</f>
        <v>TPCP</v>
      </c>
      <c r="DT154" s="32" t="str">
        <f>VLOOKUP(Tradingbook_SBV[[#This Row],[Security Name]],Ref!X:Y,2,0)</f>
        <v>KBNN</v>
      </c>
      <c r="DU154" s="71">
        <f>IF((Tradingbook_SBV[[#This Row],[Mat. Date]]-RPT)&lt;=0,0,Tradingbook_SBV[[#This Row],[QUANTITY]])</f>
        <v>0</v>
      </c>
      <c r="DV154" s="71">
        <f>IF(Tradingbook_SBV[[#This Row],[Quantity_edited]]=0,0,Tradingbook_SBV[[#This Row],[DURATION]])</f>
        <v>0</v>
      </c>
      <c r="DW154" s="71">
        <f>IF(Tradingbook_SBV[[#This Row],[Quantity_edited]]=0,0,Tradingbook_SBV[[#This Row],[Mod Dur]])</f>
        <v>0</v>
      </c>
      <c r="DX154" s="71">
        <f>IF(Tradingbook_SBV[[#This Row],[Quantity_edited]]=0,0,Tradingbook_SBV[[#This Row],[Cnvx.]])</f>
        <v>0</v>
      </c>
      <c r="DY154" s="71">
        <f>(Tradingbook_SBV[[#This Row],[MARKET_VALUE]]+Tradingbook_SBV[[#This Row],[Accr Int]]*Tradingbook_SBV[[#This Row],[Quantity_edited]])*(-Tradingbook_SBV[[#This Row],[Modified Duration]]*0.0001+0.5*Tradingbook_SBV[[#This Row],[Conv]]*(0.0001^2))</f>
        <v>0</v>
      </c>
      <c r="DZ154" s="71">
        <f>(Tradingbook_SBV[[#This Row],[MARKET_VALUE]]+Tradingbook_SBV[[#This Row],[Accr Int]]*Tradingbook_SBV[[#This Row],[Quantity_edited]])*(-Tradingbook_SBV[[#This Row],[Modified Duration]]*0.01+0.5*Tradingbook_SBV[[#This Row],[Conv]]*(0.01^2))</f>
        <v>0</v>
      </c>
      <c r="EC154" t="s">
        <v>166</v>
      </c>
      <c r="ED154" t="s">
        <v>167</v>
      </c>
      <c r="EE154" t="s">
        <v>555</v>
      </c>
      <c r="EF154" t="s">
        <v>169</v>
      </c>
      <c r="EG154" s="35" t="s">
        <v>3773</v>
      </c>
      <c r="EH154" t="s">
        <v>3322</v>
      </c>
      <c r="EK154" s="500">
        <v>0</v>
      </c>
      <c r="EL154" s="500">
        <v>0</v>
      </c>
      <c r="EM154" s="500">
        <v>0</v>
      </c>
      <c r="EN154" s="500">
        <v>0</v>
      </c>
      <c r="EO154">
        <v>1</v>
      </c>
      <c r="EP154">
        <v>0</v>
      </c>
      <c r="EQ154">
        <v>0</v>
      </c>
      <c r="ER154">
        <v>0</v>
      </c>
      <c r="ES154">
        <v>-167023363.54165459</v>
      </c>
      <c r="ET154">
        <v>1</v>
      </c>
      <c r="EU154">
        <v>0</v>
      </c>
      <c r="EV154">
        <v>0</v>
      </c>
      <c r="EW154">
        <v>0</v>
      </c>
      <c r="EX154">
        <v>0</v>
      </c>
      <c r="EY154">
        <v>0</v>
      </c>
      <c r="EZ154">
        <v>0</v>
      </c>
      <c r="FA154">
        <v>-927000000</v>
      </c>
      <c r="FB154">
        <v>0</v>
      </c>
      <c r="FC154">
        <v>-927000000</v>
      </c>
      <c r="FD154">
        <v>-927000000</v>
      </c>
      <c r="FE154">
        <v>-927000000</v>
      </c>
      <c r="FF154">
        <v>-927000000</v>
      </c>
      <c r="FG154" s="32">
        <f>Bankingbook_SBV[[#This Row],[Mat. Date]]-RPT</f>
        <v>-202</v>
      </c>
      <c r="FH154" s="32">
        <f>IF(Bankingbook_SBV[[#This Row],[Days]]&lt;=0,0,YEARFRAC(RPT,Bankingbook_SBV[[#This Row],[Mat. Date]],3))</f>
        <v>0</v>
      </c>
      <c r="FI154" s="32">
        <f>IF(Bankingbook_SBV[[#This Row],[Days (year)]]=0,0,INDEX(Ref!$K$2:$K$13,MATCH(Bankingbook_SBV[[#This Row],[Days (year)]],Ref!$I$2:$I$13,1)))</f>
        <v>0</v>
      </c>
      <c r="FJ154" s="32" t="str">
        <f>VLOOKUP(Bankingbook_SBV[[#This Row],[Security Name]],Ref!X:Z,3,0)</f>
        <v>TPCP</v>
      </c>
      <c r="FK154" s="32" t="str">
        <f>VLOOKUP(Bankingbook_SBV[[#This Row],[Security Name]],Ref!X:Y,2,0)</f>
        <v>KBNN</v>
      </c>
      <c r="FL154" s="72">
        <f>IF((Bankingbook_SBV[[#This Row],[Mat. Date]]-RPT)&lt;=0,0,Bankingbook_SBV[[#This Row],[QUANTITY]])</f>
        <v>0</v>
      </c>
      <c r="FM154" s="32">
        <f>IF(Bankingbook_SBV[[#This Row],[Quantity_edited]]=0,0,Bankingbook_SBV[[#This Row],[DURATION]])</f>
        <v>0</v>
      </c>
      <c r="FN154" s="32">
        <f>IF(Bankingbook_SBV[[#This Row],[Quantity_edited]]=0,0,Bankingbook_SBV[[#This Row],[Mod Dur]])</f>
        <v>0</v>
      </c>
      <c r="FO154" s="32">
        <f>IF(Bankingbook_SBV[[#This Row],[Quantity_edited]]=0,0,Bankingbook_SBV[[#This Row],[Cnvx.]])</f>
        <v>0</v>
      </c>
      <c r="FP154" s="32">
        <f>(Bankingbook_SBV[[#This Row],[MARKET_VALUE]]+Bankingbook_SBV[[#This Row],[Accr Int]]*Bankingbook_SBV[[#This Row],[Quantity_edited]])*(-Bankingbook_SBV[[#This Row],[Modified Duration]]*0.0001+0.5*Bankingbook_SBV[[#This Row],[Conv]]*(0.0001^2))</f>
        <v>0</v>
      </c>
      <c r="FQ154" s="32">
        <f>(Bankingbook_SBV[[#This Row],[MARKET_VALUE]]+Bankingbook_SBV[[#This Row],[Accr Int]]*Bankingbook_SBV[[#This Row],[Quantity_edited]])*(-Bankingbook_SBV[[#This Row],[Modified Duration]]*0.01+0.5*Bankingbook_SBV[[#This Row],[Conv]]*(0.01^2))</f>
        <v>0</v>
      </c>
    </row>
    <row r="155" spans="2:173" x14ac:dyDescent="0.3">
      <c r="B155" t="s">
        <v>166</v>
      </c>
      <c r="C155" t="s">
        <v>167</v>
      </c>
      <c r="D155" t="s">
        <v>332</v>
      </c>
      <c r="E155" t="s">
        <v>169</v>
      </c>
      <c r="F155" s="502">
        <v>42916</v>
      </c>
      <c r="G155" t="s">
        <v>271</v>
      </c>
      <c r="H155"/>
      <c r="I155"/>
      <c r="J155" s="38">
        <v>-500000</v>
      </c>
      <c r="K155">
        <v>-50000000000</v>
      </c>
      <c r="L155">
        <v>104486.06200000001</v>
      </c>
      <c r="M155" s="38">
        <v>0</v>
      </c>
      <c r="N155">
        <v>9.6</v>
      </c>
      <c r="O155">
        <v>0</v>
      </c>
      <c r="P155" s="37">
        <v>-19200000000</v>
      </c>
      <c r="Q155" s="37">
        <v>-20115212666.666695</v>
      </c>
      <c r="R155" s="37">
        <v>5718680493.2084036</v>
      </c>
      <c r="S155">
        <v>9.6</v>
      </c>
      <c r="T155" s="70">
        <v>0</v>
      </c>
      <c r="U155">
        <v>0</v>
      </c>
      <c r="V155">
        <v>0</v>
      </c>
      <c r="W155">
        <v>0</v>
      </c>
      <c r="X155" s="38">
        <v>0</v>
      </c>
      <c r="Y155">
        <v>0</v>
      </c>
      <c r="Z155" s="70">
        <v>9240100000.0000191</v>
      </c>
      <c r="AA155" s="70">
        <v>0</v>
      </c>
      <c r="AB155" s="70">
        <v>9240100000.0000191</v>
      </c>
      <c r="AC155" s="70">
        <v>9240100000.0000191</v>
      </c>
      <c r="AD155" s="70">
        <v>9240100000</v>
      </c>
      <c r="AE155" s="70">
        <v>9240100000.0000191</v>
      </c>
      <c r="AF155">
        <v>8.0716666670000006</v>
      </c>
      <c r="AG155" s="72">
        <f>Tradingbook_MSB[[#This Row],[Mat. Date]]-RPT</f>
        <v>-3336</v>
      </c>
      <c r="AH155" s="71">
        <f>IF(Tradingbook_MSB[[#This Row],[Days]]&lt;=0,0,YEARFRAC(RPT,Tradingbook_MSB[[#This Row],[Mat. Date]],3))</f>
        <v>0</v>
      </c>
      <c r="AI155" s="71">
        <f>IF(Tradingbook_MSB[[#This Row],[Days (year)]]=0,0,INDEX(Ref!$K$2:$K$13,MATCH(Tradingbook_MSB[[#This Row],[Days (year)]],Ref!$I$2:$I$13,1)))</f>
        <v>0</v>
      </c>
      <c r="AJ155" s="120" t="str">
        <f>VLOOKUP(Tradingbook_MSB[[#This Row],[Security Name]],Ref!X:Z,3,0)</f>
        <v>TPCP</v>
      </c>
      <c r="AK155" s="120" t="str">
        <f>VLOOKUP(Tradingbook_MSB[[#This Row],[Security Name]],Ref!X:Y,2,0)</f>
        <v>KBNN</v>
      </c>
      <c r="AL155" s="71">
        <f>IF((Tradingbook_MSB[[#This Row],[Mat. Date]]-RPT)&lt;=0,0,Tradingbook_MSB[[#This Row],[QUANTITY]])</f>
        <v>0</v>
      </c>
      <c r="AM155" s="71">
        <f>IF(Tradingbook_MSB[[#This Row],[Quantity_edited]]=0,0,Tradingbook_MSB[[#This Row],[DURATION]])</f>
        <v>0</v>
      </c>
      <c r="AN155" s="71">
        <f>IF(Tradingbook_MSB[[#This Row],[Quantity_edited]]=0,0,Tradingbook_MSB[[#This Row],[Mod Dur]])</f>
        <v>0</v>
      </c>
      <c r="AO155" s="71">
        <f>IF(Tradingbook_MSB[[#This Row],[Quantity_edited]]=0,0,Tradingbook_MSB[[#This Row],[Cnvx.]])</f>
        <v>0</v>
      </c>
      <c r="AP155" s="71">
        <f>(Tradingbook_MSB[[#This Row],[MARKET_VALUE]]+Tradingbook_MSB[[#This Row],[Accr Int]]*Tradingbook_MSB[[#This Row],[Quantity_edited]])*(-Tradingbook_MSB[[#This Row],[Modified Duration]]*0.0001+0.5*Tradingbook_MSB[[#This Row],[Conv]]*(0.0001^2))</f>
        <v>0</v>
      </c>
      <c r="AQ155" s="72">
        <f>(Tradingbook_MSB[[#This Row],[MARKET_VALUE]]+Tradingbook_MSB[[#This Row],[Accr Int]]*Tradingbook_MSB[[#This Row],[Quantity_edited]])*(-Tradingbook_MSB[[#This Row],[Modified Duration]]*0.01+0.5*Tradingbook_MSB[[#This Row],[Conv]]*(0.01^2))</f>
        <v>0</v>
      </c>
      <c r="AR155" s="71"/>
      <c r="AT155" t="s">
        <v>166</v>
      </c>
      <c r="AU155" t="s">
        <v>3301</v>
      </c>
      <c r="AV155" t="s">
        <v>658</v>
      </c>
      <c r="AW155" t="s">
        <v>169</v>
      </c>
      <c r="AX155" t="s">
        <v>659</v>
      </c>
      <c r="AY155" t="s">
        <v>3322</v>
      </c>
      <c r="AZ155">
        <v>105949</v>
      </c>
      <c r="BA155">
        <v>105949</v>
      </c>
      <c r="BB155">
        <v>0</v>
      </c>
      <c r="BC155">
        <v>0</v>
      </c>
      <c r="BD155">
        <v>0</v>
      </c>
      <c r="BE155">
        <v>0</v>
      </c>
      <c r="BF155">
        <v>5.9</v>
      </c>
      <c r="BG155">
        <v>3815</v>
      </c>
      <c r="BH155">
        <v>28202000000</v>
      </c>
      <c r="BI155">
        <v>33541449227.222275</v>
      </c>
      <c r="BJ155">
        <v>-9794600499.9391098</v>
      </c>
      <c r="BK155">
        <v>4.786100974</v>
      </c>
      <c r="BL155">
        <v>5.0807322089803</v>
      </c>
      <c r="BM155">
        <v>5.32390118</v>
      </c>
      <c r="BN155">
        <v>33.855629008986298</v>
      </c>
      <c r="BO155">
        <v>0</v>
      </c>
      <c r="BP155">
        <v>0</v>
      </c>
      <c r="BQ155">
        <v>0</v>
      </c>
      <c r="BR155">
        <v>28571680000</v>
      </c>
      <c r="BS155">
        <v>0</v>
      </c>
      <c r="BT155">
        <v>28571680000</v>
      </c>
      <c r="BU155">
        <v>28571680000</v>
      </c>
      <c r="BV155">
        <v>28571680000</v>
      </c>
      <c r="BW155">
        <v>28571680000</v>
      </c>
      <c r="BX155">
        <v>0</v>
      </c>
      <c r="BY155" s="32">
        <f>Bankingbook_MSB[[#This Row],[Mat. Date]]-RPT</f>
        <v>2321</v>
      </c>
      <c r="BZ155" s="71">
        <f>IF(Bankingbook_MSB[[#This Row],[Days]]&lt;=0,0,YEARFRAC(RPT,Bankingbook_MSB[[#This Row],[Mat. Date]],3))</f>
        <v>6.3589041095890408</v>
      </c>
      <c r="CA155" s="71" t="str">
        <f>IF(Bankingbook_MSB[[#This Row],[Days (year)]]=0,0,INDEX(Ref!$K$2:$K$13,MATCH(Bankingbook_MSB[[#This Row],[Days (year)]],Ref!$I$2:$I$13,1)))</f>
        <v>7Y</v>
      </c>
      <c r="CB155" s="32" t="str">
        <f>VLOOKUP(Bankingbook_MSB[[#This Row],[Security Name]],Ref!X:Z,3,0)</f>
        <v>TPCPBL</v>
      </c>
      <c r="CC155" s="32" t="str">
        <f>VLOOKUP(Bankingbook_MSB[[#This Row],[Security Name]],Ref!X:Y,2,0)</f>
        <v>VDB</v>
      </c>
      <c r="CD155" s="72">
        <f>IF((Bankingbook_MSB[[#This Row],[Mat. Date]]-RPT)&lt;=0,0,Bankingbook_MSB[[#This Row],[QUANTITY]])</f>
        <v>0</v>
      </c>
      <c r="CE155" s="71">
        <f>IF(Bankingbook_MSB[[#This Row],[Quantity_edited]]=0,0,Bankingbook_MSB[[#This Row],[DURATION]])</f>
        <v>0</v>
      </c>
      <c r="CF155" s="71">
        <f>IF(Bankingbook_MSB[[#This Row],[Quantity_edited]]=0,0,Bankingbook_MSB[[#This Row],[Mod Dur]])</f>
        <v>0</v>
      </c>
      <c r="CG155" s="71">
        <f>IF(Bankingbook_MSB[[#This Row],[Quantity_edited]]=0,0,Bankingbook_MSB[[#This Row],[Cnvx.]])</f>
        <v>0</v>
      </c>
      <c r="CH155" s="71">
        <f>(Bankingbook_MSB[[#This Row],[MARKET_VALUE]]+Bankingbook_MSB[[#This Row],[Accr Int]]*Bankingbook_MSB[[#This Row],[Quantity_edited]])*(-Bankingbook_MSB[[#This Row],[Modified Duration]]*0.0001+0.5*Bankingbook_MSB[[#This Row],[Conv]]*(0.0001^2))</f>
        <v>0</v>
      </c>
      <c r="CI155" s="71">
        <f>(Bankingbook_MSB[[#This Row],[MARKET_VALUE]]+Bankingbook_MSB[[#This Row],[Accr Int]]*Bankingbook_MSB[[#This Row],[Quantity_edited]])*(-Bankingbook_MSB[[#This Row],[Modified Duration]]*0.01+0.5*Bankingbook_MSB[[#This Row],[Conv]]*(0.01^2))</f>
        <v>0</v>
      </c>
      <c r="CL155" t="s">
        <v>166</v>
      </c>
      <c r="CM155" t="s">
        <v>167</v>
      </c>
      <c r="CN155" t="s">
        <v>332</v>
      </c>
      <c r="CO155" t="s">
        <v>169</v>
      </c>
      <c r="CP155" s="35">
        <v>42916</v>
      </c>
      <c r="CQ155" t="s">
        <v>271</v>
      </c>
      <c r="CR155" t="s">
        <v>174</v>
      </c>
      <c r="CS155" t="s">
        <v>174</v>
      </c>
      <c r="CT155" s="49">
        <v>-500000</v>
      </c>
      <c r="CU155">
        <v>-50000000000</v>
      </c>
      <c r="CV155">
        <v>104486.06200000001</v>
      </c>
      <c r="CW155" s="70">
        <v>0</v>
      </c>
      <c r="CX155">
        <v>9.6</v>
      </c>
      <c r="CY155">
        <v>0</v>
      </c>
      <c r="CZ155">
        <v>-19200000000</v>
      </c>
      <c r="DA155">
        <v>-20115212666.666695</v>
      </c>
      <c r="DB155">
        <v>5718680493.2084036</v>
      </c>
      <c r="DC155">
        <v>9.6</v>
      </c>
      <c r="DD155">
        <v>0</v>
      </c>
      <c r="DE155">
        <v>0</v>
      </c>
      <c r="DF155">
        <v>0</v>
      </c>
      <c r="DG155">
        <v>0</v>
      </c>
      <c r="DH155">
        <v>0</v>
      </c>
      <c r="DI155">
        <v>0</v>
      </c>
      <c r="DJ155" s="500">
        <v>9240100000.0000191</v>
      </c>
      <c r="DK155" s="500">
        <v>0</v>
      </c>
      <c r="DL155" s="37">
        <v>9240100000.0000191</v>
      </c>
      <c r="DM155" s="37">
        <v>9240100000.0000191</v>
      </c>
      <c r="DN155" s="37">
        <v>9240100000</v>
      </c>
      <c r="DO155" s="37">
        <v>9240100000.0000191</v>
      </c>
      <c r="DP155" s="32">
        <f>Tradingbook_SBV[[#This Row],[Mat. Date]]-RPT</f>
        <v>-3336</v>
      </c>
      <c r="DQ155" s="32">
        <f>IF(Tradingbook_SBV[[#This Row],[Days]]&lt;=0,0,YEARFRAC(RPT,Tradingbook_SBV[[#This Row],[Mat. Date]],3))</f>
        <v>0</v>
      </c>
      <c r="DR155" s="32">
        <f>IF(Tradingbook_SBV[[#This Row],[Days (year)]]=0,0,INDEX(Ref!$K$2:$K$13,MATCH(Tradingbook_SBV[[#This Row],[Days (year)]],Ref!$I$2:$I$13,1)))</f>
        <v>0</v>
      </c>
      <c r="DS155" s="32" t="str">
        <f>VLOOKUP(Tradingbook_SBV[[#This Row],[Security Name]],Ref!X:Z,3,0)</f>
        <v>TPCP</v>
      </c>
      <c r="DT155" s="32" t="str">
        <f>VLOOKUP(Tradingbook_SBV[[#This Row],[Security Name]],Ref!X:Y,2,0)</f>
        <v>KBNN</v>
      </c>
      <c r="DU155" s="71">
        <f>IF((Tradingbook_SBV[[#This Row],[Mat. Date]]-RPT)&lt;=0,0,Tradingbook_SBV[[#This Row],[QUANTITY]])</f>
        <v>0</v>
      </c>
      <c r="DV155" s="71">
        <f>IF(Tradingbook_SBV[[#This Row],[Quantity_edited]]=0,0,Tradingbook_SBV[[#This Row],[DURATION]])</f>
        <v>0</v>
      </c>
      <c r="DW155" s="71">
        <f>IF(Tradingbook_SBV[[#This Row],[Quantity_edited]]=0,0,Tradingbook_SBV[[#This Row],[Mod Dur]])</f>
        <v>0</v>
      </c>
      <c r="DX155" s="71">
        <f>IF(Tradingbook_SBV[[#This Row],[Quantity_edited]]=0,0,Tradingbook_SBV[[#This Row],[Cnvx.]])</f>
        <v>0</v>
      </c>
      <c r="DY155" s="71">
        <f>(Tradingbook_SBV[[#This Row],[MARKET_VALUE]]+Tradingbook_SBV[[#This Row],[Accr Int]]*Tradingbook_SBV[[#This Row],[Quantity_edited]])*(-Tradingbook_SBV[[#This Row],[Modified Duration]]*0.0001+0.5*Tradingbook_SBV[[#This Row],[Conv]]*(0.0001^2))</f>
        <v>0</v>
      </c>
      <c r="DZ155" s="71">
        <f>(Tradingbook_SBV[[#This Row],[MARKET_VALUE]]+Tradingbook_SBV[[#This Row],[Accr Int]]*Tradingbook_SBV[[#This Row],[Quantity_edited]])*(-Tradingbook_SBV[[#This Row],[Modified Duration]]*0.01+0.5*Tradingbook_SBV[[#This Row],[Conv]]*(0.01^2))</f>
        <v>0</v>
      </c>
      <c r="EC155" t="s">
        <v>166</v>
      </c>
      <c r="ED155" t="s">
        <v>167</v>
      </c>
      <c r="EE155" t="s">
        <v>556</v>
      </c>
      <c r="EF155" t="s">
        <v>169</v>
      </c>
      <c r="EG155" s="35" t="s">
        <v>3774</v>
      </c>
      <c r="EH155" t="s">
        <v>3322</v>
      </c>
      <c r="EK155" s="500">
        <v>0</v>
      </c>
      <c r="EL155" s="500">
        <v>0</v>
      </c>
      <c r="EM155" s="500">
        <v>0</v>
      </c>
      <c r="EN155" s="500">
        <v>0</v>
      </c>
      <c r="EO155">
        <v>6.9</v>
      </c>
      <c r="EP155">
        <v>0</v>
      </c>
      <c r="EQ155">
        <v>79350000000</v>
      </c>
      <c r="ER155">
        <v>90664902708.333359</v>
      </c>
      <c r="ES155">
        <v>-10174194842.208221</v>
      </c>
      <c r="ET155">
        <v>6.9</v>
      </c>
      <c r="EU155">
        <v>0</v>
      </c>
      <c r="EV155">
        <v>0</v>
      </c>
      <c r="EW155">
        <v>0</v>
      </c>
      <c r="EX155">
        <v>0</v>
      </c>
      <c r="EY155">
        <v>0</v>
      </c>
      <c r="EZ155">
        <v>0</v>
      </c>
      <c r="FA155">
        <v>102006090000</v>
      </c>
      <c r="FB155">
        <v>0</v>
      </c>
      <c r="FC155">
        <v>102006090000</v>
      </c>
      <c r="FD155">
        <v>102006090000</v>
      </c>
      <c r="FE155">
        <v>102006090000</v>
      </c>
      <c r="FF155">
        <v>102006090000</v>
      </c>
      <c r="FG155" s="32">
        <f>Bankingbook_SBV[[#This Row],[Mat. Date]]-RPT</f>
        <v>-168</v>
      </c>
      <c r="FH155" s="32">
        <f>IF(Bankingbook_SBV[[#This Row],[Days]]&lt;=0,0,YEARFRAC(RPT,Bankingbook_SBV[[#This Row],[Mat. Date]],3))</f>
        <v>0</v>
      </c>
      <c r="FI155" s="32">
        <f>IF(Bankingbook_SBV[[#This Row],[Days (year)]]=0,0,INDEX(Ref!$K$2:$K$13,MATCH(Bankingbook_SBV[[#This Row],[Days (year)]],Ref!$I$2:$I$13,1)))</f>
        <v>0</v>
      </c>
      <c r="FJ155" s="32" t="str">
        <f>VLOOKUP(Bankingbook_SBV[[#This Row],[Security Name]],Ref!X:Z,3,0)</f>
        <v>TPCP</v>
      </c>
      <c r="FK155" s="32" t="str">
        <f>VLOOKUP(Bankingbook_SBV[[#This Row],[Security Name]],Ref!X:Y,2,0)</f>
        <v>KBNN</v>
      </c>
      <c r="FL155" s="72">
        <f>IF((Bankingbook_SBV[[#This Row],[Mat. Date]]-RPT)&lt;=0,0,Bankingbook_SBV[[#This Row],[QUANTITY]])</f>
        <v>0</v>
      </c>
      <c r="FM155" s="32">
        <f>IF(Bankingbook_SBV[[#This Row],[Quantity_edited]]=0,0,Bankingbook_SBV[[#This Row],[DURATION]])</f>
        <v>0</v>
      </c>
      <c r="FN155" s="32">
        <f>IF(Bankingbook_SBV[[#This Row],[Quantity_edited]]=0,0,Bankingbook_SBV[[#This Row],[Mod Dur]])</f>
        <v>0</v>
      </c>
      <c r="FO155" s="32">
        <f>IF(Bankingbook_SBV[[#This Row],[Quantity_edited]]=0,0,Bankingbook_SBV[[#This Row],[Cnvx.]])</f>
        <v>0</v>
      </c>
      <c r="FP155" s="32">
        <f>(Bankingbook_SBV[[#This Row],[MARKET_VALUE]]+Bankingbook_SBV[[#This Row],[Accr Int]]*Bankingbook_SBV[[#This Row],[Quantity_edited]])*(-Bankingbook_SBV[[#This Row],[Modified Duration]]*0.0001+0.5*Bankingbook_SBV[[#This Row],[Conv]]*(0.0001^2))</f>
        <v>0</v>
      </c>
      <c r="FQ155" s="32">
        <f>(Bankingbook_SBV[[#This Row],[MARKET_VALUE]]+Bankingbook_SBV[[#This Row],[Accr Int]]*Bankingbook_SBV[[#This Row],[Quantity_edited]])*(-Bankingbook_SBV[[#This Row],[Modified Duration]]*0.01+0.5*Bankingbook_SBV[[#This Row],[Conv]]*(0.01^2))</f>
        <v>0</v>
      </c>
    </row>
    <row r="156" spans="2:173" x14ac:dyDescent="0.3">
      <c r="B156" t="s">
        <v>166</v>
      </c>
      <c r="C156" t="s">
        <v>167</v>
      </c>
      <c r="D156" t="s">
        <v>333</v>
      </c>
      <c r="E156" t="s">
        <v>169</v>
      </c>
      <c r="F156" s="502">
        <v>42916</v>
      </c>
      <c r="G156" t="s">
        <v>3322</v>
      </c>
      <c r="H156"/>
      <c r="I156"/>
      <c r="J156" s="38">
        <v>0</v>
      </c>
      <c r="K156">
        <v>0</v>
      </c>
      <c r="L156">
        <v>0</v>
      </c>
      <c r="M156" s="38">
        <v>0</v>
      </c>
      <c r="N156">
        <v>6.1</v>
      </c>
      <c r="O156">
        <v>0</v>
      </c>
      <c r="P156" s="37">
        <v>0</v>
      </c>
      <c r="Q156" s="37">
        <v>7.9999999999999996E-6</v>
      </c>
      <c r="R156" s="37">
        <v>-237126835.15121365</v>
      </c>
      <c r="S156">
        <v>6.1</v>
      </c>
      <c r="T156" s="70">
        <v>0</v>
      </c>
      <c r="U156">
        <v>0</v>
      </c>
      <c r="V156">
        <v>0</v>
      </c>
      <c r="W156">
        <v>0</v>
      </c>
      <c r="X156" s="38">
        <v>0</v>
      </c>
      <c r="Y156">
        <v>0</v>
      </c>
      <c r="Z156" s="70">
        <v>2006275007</v>
      </c>
      <c r="AA156" s="70">
        <v>0</v>
      </c>
      <c r="AB156" s="70">
        <v>2006275007</v>
      </c>
      <c r="AC156" s="70">
        <v>2006275007</v>
      </c>
      <c r="AD156" s="70">
        <v>2006275007</v>
      </c>
      <c r="AE156" s="70">
        <v>2006275007</v>
      </c>
      <c r="AF156">
        <v>0</v>
      </c>
      <c r="AG156" s="72">
        <f>Tradingbook_MSB[[#This Row],[Mat. Date]]-RPT</f>
        <v>-3336</v>
      </c>
      <c r="AH156" s="71">
        <f>IF(Tradingbook_MSB[[#This Row],[Days]]&lt;=0,0,YEARFRAC(RPT,Tradingbook_MSB[[#This Row],[Mat. Date]],3))</f>
        <v>0</v>
      </c>
      <c r="AI156" s="71">
        <f>IF(Tradingbook_MSB[[#This Row],[Days (year)]]=0,0,INDEX(Ref!$K$2:$K$13,MATCH(Tradingbook_MSB[[#This Row],[Days (year)]],Ref!$I$2:$I$13,1)))</f>
        <v>0</v>
      </c>
      <c r="AJ156" s="120" t="str">
        <f>VLOOKUP(Tradingbook_MSB[[#This Row],[Security Name]],Ref!X:Z,3,0)</f>
        <v>TPCP</v>
      </c>
      <c r="AK156" s="120" t="str">
        <f>VLOOKUP(Tradingbook_MSB[[#This Row],[Security Name]],Ref!X:Y,2,0)</f>
        <v>KBNN</v>
      </c>
      <c r="AL156" s="71">
        <f>IF((Tradingbook_MSB[[#This Row],[Mat. Date]]-RPT)&lt;=0,0,Tradingbook_MSB[[#This Row],[QUANTITY]])</f>
        <v>0</v>
      </c>
      <c r="AM156" s="71">
        <f>IF(Tradingbook_MSB[[#This Row],[Quantity_edited]]=0,0,Tradingbook_MSB[[#This Row],[DURATION]])</f>
        <v>0</v>
      </c>
      <c r="AN156" s="71">
        <f>IF(Tradingbook_MSB[[#This Row],[Quantity_edited]]=0,0,Tradingbook_MSB[[#This Row],[Mod Dur]])</f>
        <v>0</v>
      </c>
      <c r="AO156" s="71">
        <f>IF(Tradingbook_MSB[[#This Row],[Quantity_edited]]=0,0,Tradingbook_MSB[[#This Row],[Cnvx.]])</f>
        <v>0</v>
      </c>
      <c r="AP156" s="71">
        <f>(Tradingbook_MSB[[#This Row],[MARKET_VALUE]]+Tradingbook_MSB[[#This Row],[Accr Int]]*Tradingbook_MSB[[#This Row],[Quantity_edited]])*(-Tradingbook_MSB[[#This Row],[Modified Duration]]*0.0001+0.5*Tradingbook_MSB[[#This Row],[Conv]]*(0.0001^2))</f>
        <v>0</v>
      </c>
      <c r="AQ156" s="72">
        <f>(Tradingbook_MSB[[#This Row],[MARKET_VALUE]]+Tradingbook_MSB[[#This Row],[Accr Int]]*Tradingbook_MSB[[#This Row],[Quantity_edited]])*(-Tradingbook_MSB[[#This Row],[Modified Duration]]*0.01+0.5*Tradingbook_MSB[[#This Row],[Conv]]*(0.01^2))</f>
        <v>0</v>
      </c>
      <c r="AR156" s="71"/>
      <c r="AT156" t="s">
        <v>166</v>
      </c>
      <c r="AU156" t="s">
        <v>3301</v>
      </c>
      <c r="AV156" t="s">
        <v>2381</v>
      </c>
      <c r="AW156" t="s">
        <v>169</v>
      </c>
      <c r="AX156" t="s">
        <v>3444</v>
      </c>
      <c r="AY156" t="s">
        <v>170</v>
      </c>
      <c r="AZ156">
        <v>101145</v>
      </c>
      <c r="BA156">
        <v>101145</v>
      </c>
      <c r="BB156">
        <v>3500000</v>
      </c>
      <c r="BC156">
        <v>350000000000</v>
      </c>
      <c r="BD156">
        <v>115747.71400000001</v>
      </c>
      <c r="BE156">
        <v>354007500000</v>
      </c>
      <c r="BF156">
        <v>4.5</v>
      </c>
      <c r="BG156">
        <v>2774</v>
      </c>
      <c r="BH156">
        <v>20250000000</v>
      </c>
      <c r="BI156">
        <v>21170571875</v>
      </c>
      <c r="BJ156">
        <v>-31676513823.611172</v>
      </c>
      <c r="BK156">
        <v>4.2870923760000004</v>
      </c>
      <c r="BL156">
        <v>5.3195212281239002</v>
      </c>
      <c r="BM156">
        <v>5.5475740199999999</v>
      </c>
      <c r="BN156">
        <v>36.156815869633</v>
      </c>
      <c r="BO156">
        <v>131508.30519247381</v>
      </c>
      <c r="BP156">
        <v>-193479.76427689401</v>
      </c>
      <c r="BQ156">
        <v>41832.207999999999</v>
      </c>
      <c r="BR156">
        <v>0</v>
      </c>
      <c r="BS156">
        <v>-51109500000.000015</v>
      </c>
      <c r="BT156">
        <v>-51109500000.000015</v>
      </c>
      <c r="BU156">
        <v>-51109500000.000015</v>
      </c>
      <c r="BV156">
        <v>-51109500000</v>
      </c>
      <c r="BW156">
        <v>-51109500000.000015</v>
      </c>
      <c r="BX156">
        <v>2.2999999999999998</v>
      </c>
      <c r="BY156" s="32">
        <f>Bankingbook_MSB[[#This Row],[Mat. Date]]-RPT</f>
        <v>2332</v>
      </c>
      <c r="BZ156" s="71">
        <f>IF(Bankingbook_MSB[[#This Row],[Days]]&lt;=0,0,YEARFRAC(RPT,Bankingbook_MSB[[#This Row],[Mat. Date]],3))</f>
        <v>6.3890410958904109</v>
      </c>
      <c r="CA156" s="71" t="str">
        <f>IF(Bankingbook_MSB[[#This Row],[Days (year)]]=0,0,INDEX(Ref!$K$2:$K$13,MATCH(Bankingbook_MSB[[#This Row],[Days (year)]],Ref!$I$2:$I$13,1)))</f>
        <v>7Y</v>
      </c>
      <c r="CB156" s="32" t="str">
        <f>VLOOKUP(Bankingbook_MSB[[#This Row],[Security Name]],Ref!X:Z,3,0)</f>
        <v>TPCP</v>
      </c>
      <c r="CC156" s="32" t="str">
        <f>VLOOKUP(Bankingbook_MSB[[#This Row],[Security Name]],Ref!X:Y,2,0)</f>
        <v>KBNN</v>
      </c>
      <c r="CD156" s="72">
        <f>IF((Bankingbook_MSB[[#This Row],[Mat. Date]]-RPT)&lt;=0,0,Bankingbook_MSB[[#This Row],[QUANTITY]])</f>
        <v>3500000</v>
      </c>
      <c r="CE156" s="71">
        <f>IF(Bankingbook_MSB[[#This Row],[Quantity_edited]]=0,0,Bankingbook_MSB[[#This Row],[DURATION]])</f>
        <v>5.5475740199999999</v>
      </c>
      <c r="CF156" s="71">
        <f>IF(Bankingbook_MSB[[#This Row],[Quantity_edited]]=0,0,Bankingbook_MSB[[#This Row],[Mod Dur]])</f>
        <v>5.3195212281239002</v>
      </c>
      <c r="CG156" s="71">
        <f>IF(Bankingbook_MSB[[#This Row],[Quantity_edited]]=0,0,Bankingbook_MSB[[#This Row],[Cnvx.]])</f>
        <v>36.156815869633</v>
      </c>
      <c r="CH156" s="71">
        <f>(Bankingbook_MSB[[#This Row],[MARKET_VALUE]]+Bankingbook_MSB[[#This Row],[Accr Int]]*Bankingbook_MSB[[#This Row],[Quantity_edited]])*(-Bankingbook_MSB[[#This Row],[Modified Duration]]*0.0001+0.5*Bankingbook_MSB[[#This Row],[Conv]]*(0.0001^2))</f>
        <v>-193414010.12429646</v>
      </c>
      <c r="CI156" s="71">
        <f>(Bankingbook_MSB[[#This Row],[MARKET_VALUE]]+Bankingbook_MSB[[#This Row],[Accr Int]]*Bankingbook_MSB[[#This Row],[Quantity_edited]])*(-Bankingbook_MSB[[#This Row],[Modified Duration]]*0.01+0.5*Bankingbook_MSB[[#This Row],[Conv]]*(0.01^2))</f>
        <v>-18690434901.726894</v>
      </c>
      <c r="CL156" t="s">
        <v>166</v>
      </c>
      <c r="CM156" t="s">
        <v>167</v>
      </c>
      <c r="CN156" t="s">
        <v>333</v>
      </c>
      <c r="CO156" t="s">
        <v>169</v>
      </c>
      <c r="CP156" s="35">
        <v>42916</v>
      </c>
      <c r="CQ156" t="s">
        <v>3322</v>
      </c>
      <c r="CR156" t="s">
        <v>174</v>
      </c>
      <c r="CS156" t="s">
        <v>174</v>
      </c>
      <c r="CT156" s="49">
        <v>0</v>
      </c>
      <c r="CU156">
        <v>0</v>
      </c>
      <c r="CV156">
        <v>0</v>
      </c>
      <c r="CW156" s="70">
        <v>0</v>
      </c>
      <c r="CX156">
        <v>6.1</v>
      </c>
      <c r="CY156">
        <v>0</v>
      </c>
      <c r="CZ156">
        <v>0</v>
      </c>
      <c r="DA156">
        <v>7.9999999999999996E-6</v>
      </c>
      <c r="DB156">
        <v>-237126835.15121365</v>
      </c>
      <c r="DC156">
        <v>6.1</v>
      </c>
      <c r="DD156">
        <v>0</v>
      </c>
      <c r="DE156">
        <v>0</v>
      </c>
      <c r="DF156">
        <v>0</v>
      </c>
      <c r="DG156">
        <v>0</v>
      </c>
      <c r="DH156">
        <v>0</v>
      </c>
      <c r="DI156">
        <v>0</v>
      </c>
      <c r="DJ156" s="500">
        <v>2006275007</v>
      </c>
      <c r="DK156" s="500">
        <v>0</v>
      </c>
      <c r="DL156" s="37">
        <v>2006275007</v>
      </c>
      <c r="DM156" s="37">
        <v>2006275007</v>
      </c>
      <c r="DN156" s="37">
        <v>2006275007</v>
      </c>
      <c r="DO156" s="37">
        <v>2006275007</v>
      </c>
      <c r="DP156" s="32">
        <f>Tradingbook_SBV[[#This Row],[Mat. Date]]-RPT</f>
        <v>-3336</v>
      </c>
      <c r="DQ156" s="32">
        <f>IF(Tradingbook_SBV[[#This Row],[Days]]&lt;=0,0,YEARFRAC(RPT,Tradingbook_SBV[[#This Row],[Mat. Date]],3))</f>
        <v>0</v>
      </c>
      <c r="DR156" s="32">
        <f>IF(Tradingbook_SBV[[#This Row],[Days (year)]]=0,0,INDEX(Ref!$K$2:$K$13,MATCH(Tradingbook_SBV[[#This Row],[Days (year)]],Ref!$I$2:$I$13,1)))</f>
        <v>0</v>
      </c>
      <c r="DS156" s="32" t="str">
        <f>VLOOKUP(Tradingbook_SBV[[#This Row],[Security Name]],Ref!X:Z,3,0)</f>
        <v>TPCP</v>
      </c>
      <c r="DT156" s="32" t="str">
        <f>VLOOKUP(Tradingbook_SBV[[#This Row],[Security Name]],Ref!X:Y,2,0)</f>
        <v>KBNN</v>
      </c>
      <c r="DU156" s="71">
        <f>IF((Tradingbook_SBV[[#This Row],[Mat. Date]]-RPT)&lt;=0,0,Tradingbook_SBV[[#This Row],[QUANTITY]])</f>
        <v>0</v>
      </c>
      <c r="DV156" s="71">
        <f>IF(Tradingbook_SBV[[#This Row],[Quantity_edited]]=0,0,Tradingbook_SBV[[#This Row],[DURATION]])</f>
        <v>0</v>
      </c>
      <c r="DW156" s="71">
        <f>IF(Tradingbook_SBV[[#This Row],[Quantity_edited]]=0,0,Tradingbook_SBV[[#This Row],[Mod Dur]])</f>
        <v>0</v>
      </c>
      <c r="DX156" s="71">
        <f>IF(Tradingbook_SBV[[#This Row],[Quantity_edited]]=0,0,Tradingbook_SBV[[#This Row],[Cnvx.]])</f>
        <v>0</v>
      </c>
      <c r="DY156" s="71">
        <f>(Tradingbook_SBV[[#This Row],[MARKET_VALUE]]+Tradingbook_SBV[[#This Row],[Accr Int]]*Tradingbook_SBV[[#This Row],[Quantity_edited]])*(-Tradingbook_SBV[[#This Row],[Modified Duration]]*0.0001+0.5*Tradingbook_SBV[[#This Row],[Conv]]*(0.0001^2))</f>
        <v>0</v>
      </c>
      <c r="DZ156" s="71">
        <f>(Tradingbook_SBV[[#This Row],[MARKET_VALUE]]+Tradingbook_SBV[[#This Row],[Accr Int]]*Tradingbook_SBV[[#This Row],[Quantity_edited]])*(-Tradingbook_SBV[[#This Row],[Modified Duration]]*0.01+0.5*Tradingbook_SBV[[#This Row],[Conv]]*(0.01^2))</f>
        <v>0</v>
      </c>
      <c r="EC156" t="s">
        <v>166</v>
      </c>
      <c r="ED156" t="s">
        <v>167</v>
      </c>
      <c r="EE156" t="s">
        <v>557</v>
      </c>
      <c r="EF156" t="s">
        <v>169</v>
      </c>
      <c r="EG156" s="35" t="s">
        <v>3775</v>
      </c>
      <c r="EH156" t="s">
        <v>3322</v>
      </c>
      <c r="EK156" s="500">
        <v>0</v>
      </c>
      <c r="EL156" s="500">
        <v>0</v>
      </c>
      <c r="EM156" s="500">
        <v>0</v>
      </c>
      <c r="EN156" s="500">
        <v>0</v>
      </c>
      <c r="EO156">
        <v>1.1000000000000001</v>
      </c>
      <c r="EP156">
        <v>0</v>
      </c>
      <c r="EQ156">
        <v>0</v>
      </c>
      <c r="ER156">
        <v>-1.0000000000000001E-5</v>
      </c>
      <c r="ES156">
        <v>-342040183.64717293</v>
      </c>
      <c r="ET156">
        <v>1.1000000000000001</v>
      </c>
      <c r="EU156">
        <v>0</v>
      </c>
      <c r="EV156">
        <v>0</v>
      </c>
      <c r="EW156">
        <v>0</v>
      </c>
      <c r="EX156">
        <v>0</v>
      </c>
      <c r="EY156">
        <v>0</v>
      </c>
      <c r="EZ156">
        <v>0</v>
      </c>
      <c r="FA156">
        <v>608240000</v>
      </c>
      <c r="FB156">
        <v>0</v>
      </c>
      <c r="FC156">
        <v>608240000</v>
      </c>
      <c r="FD156">
        <v>608240000</v>
      </c>
      <c r="FE156">
        <v>608240000</v>
      </c>
      <c r="FF156">
        <v>608240000</v>
      </c>
      <c r="FG156" s="32">
        <f>Bankingbook_SBV[[#This Row],[Mat. Date]]-RPT</f>
        <v>-117</v>
      </c>
      <c r="FH156" s="32">
        <f>IF(Bankingbook_SBV[[#This Row],[Days]]&lt;=0,0,YEARFRAC(RPT,Bankingbook_SBV[[#This Row],[Mat. Date]],3))</f>
        <v>0</v>
      </c>
      <c r="FI156" s="32">
        <f>IF(Bankingbook_SBV[[#This Row],[Days (year)]]=0,0,INDEX(Ref!$K$2:$K$13,MATCH(Bankingbook_SBV[[#This Row],[Days (year)]],Ref!$I$2:$I$13,1)))</f>
        <v>0</v>
      </c>
      <c r="FJ156" s="32" t="str">
        <f>VLOOKUP(Bankingbook_SBV[[#This Row],[Security Name]],Ref!X:Z,3,0)</f>
        <v>TPCP</v>
      </c>
      <c r="FK156" s="32" t="str">
        <f>VLOOKUP(Bankingbook_SBV[[#This Row],[Security Name]],Ref!X:Y,2,0)</f>
        <v>KBNN</v>
      </c>
      <c r="FL156" s="72">
        <f>IF((Bankingbook_SBV[[#This Row],[Mat. Date]]-RPT)&lt;=0,0,Bankingbook_SBV[[#This Row],[QUANTITY]])</f>
        <v>0</v>
      </c>
      <c r="FM156" s="32">
        <f>IF(Bankingbook_SBV[[#This Row],[Quantity_edited]]=0,0,Bankingbook_SBV[[#This Row],[DURATION]])</f>
        <v>0</v>
      </c>
      <c r="FN156" s="32">
        <f>IF(Bankingbook_SBV[[#This Row],[Quantity_edited]]=0,0,Bankingbook_SBV[[#This Row],[Mod Dur]])</f>
        <v>0</v>
      </c>
      <c r="FO156" s="32">
        <f>IF(Bankingbook_SBV[[#This Row],[Quantity_edited]]=0,0,Bankingbook_SBV[[#This Row],[Cnvx.]])</f>
        <v>0</v>
      </c>
      <c r="FP156" s="32">
        <f>(Bankingbook_SBV[[#This Row],[MARKET_VALUE]]+Bankingbook_SBV[[#This Row],[Accr Int]]*Bankingbook_SBV[[#This Row],[Quantity_edited]])*(-Bankingbook_SBV[[#This Row],[Modified Duration]]*0.0001+0.5*Bankingbook_SBV[[#This Row],[Conv]]*(0.0001^2))</f>
        <v>0</v>
      </c>
      <c r="FQ156" s="32">
        <f>(Bankingbook_SBV[[#This Row],[MARKET_VALUE]]+Bankingbook_SBV[[#This Row],[Accr Int]]*Bankingbook_SBV[[#This Row],[Quantity_edited]])*(-Bankingbook_SBV[[#This Row],[Modified Duration]]*0.01+0.5*Bankingbook_SBV[[#This Row],[Conv]]*(0.01^2))</f>
        <v>0</v>
      </c>
    </row>
    <row r="157" spans="2:173" x14ac:dyDescent="0.3">
      <c r="B157" t="s">
        <v>166</v>
      </c>
      <c r="C157" t="s">
        <v>167</v>
      </c>
      <c r="D157" t="s">
        <v>334</v>
      </c>
      <c r="E157" t="s">
        <v>169</v>
      </c>
      <c r="F157" s="502">
        <v>42931</v>
      </c>
      <c r="G157" t="s">
        <v>3322</v>
      </c>
      <c r="H157"/>
      <c r="I157"/>
      <c r="J157" s="38">
        <v>0</v>
      </c>
      <c r="K157">
        <v>0</v>
      </c>
      <c r="L157">
        <v>0</v>
      </c>
      <c r="M157" s="38">
        <v>0</v>
      </c>
      <c r="N157">
        <v>9.8000000000000007</v>
      </c>
      <c r="O157">
        <v>0</v>
      </c>
      <c r="P157" s="37">
        <v>19600000000</v>
      </c>
      <c r="Q157" s="37">
        <v>21827060888.888832</v>
      </c>
      <c r="R157" s="37">
        <v>-7135052065.3470402</v>
      </c>
      <c r="S157">
        <v>9.8000000000000007</v>
      </c>
      <c r="T157" s="70">
        <v>0</v>
      </c>
      <c r="U157">
        <v>0</v>
      </c>
      <c r="V157">
        <v>0</v>
      </c>
      <c r="W157">
        <v>0</v>
      </c>
      <c r="X157" s="38">
        <v>0</v>
      </c>
      <c r="Y157">
        <v>0</v>
      </c>
      <c r="Z157" s="70">
        <v>28062500000</v>
      </c>
      <c r="AA157" s="70">
        <v>0</v>
      </c>
      <c r="AB157" s="70">
        <v>28062500000</v>
      </c>
      <c r="AC157" s="70">
        <v>28062500000</v>
      </c>
      <c r="AD157" s="70">
        <v>28062500000</v>
      </c>
      <c r="AE157" s="70">
        <v>28062500000</v>
      </c>
      <c r="AF157">
        <v>0</v>
      </c>
      <c r="AG157" s="72">
        <f>Tradingbook_MSB[[#This Row],[Mat. Date]]-RPT</f>
        <v>-3321</v>
      </c>
      <c r="AH157" s="71">
        <f>IF(Tradingbook_MSB[[#This Row],[Days]]&lt;=0,0,YEARFRAC(RPT,Tradingbook_MSB[[#This Row],[Mat. Date]],3))</f>
        <v>0</v>
      </c>
      <c r="AI157" s="71">
        <f>IF(Tradingbook_MSB[[#This Row],[Days (year)]]=0,0,INDEX(Ref!$K$2:$K$13,MATCH(Tradingbook_MSB[[#This Row],[Days (year)]],Ref!$I$2:$I$13,1)))</f>
        <v>0</v>
      </c>
      <c r="AJ157" s="120" t="str">
        <f>VLOOKUP(Tradingbook_MSB[[#This Row],[Security Name]],Ref!X:Z,3,0)</f>
        <v>TPCP</v>
      </c>
      <c r="AK157" s="120" t="str">
        <f>VLOOKUP(Tradingbook_MSB[[#This Row],[Security Name]],Ref!X:Y,2,0)</f>
        <v>KBNN</v>
      </c>
      <c r="AL157" s="71">
        <f>IF((Tradingbook_MSB[[#This Row],[Mat. Date]]-RPT)&lt;=0,0,Tradingbook_MSB[[#This Row],[QUANTITY]])</f>
        <v>0</v>
      </c>
      <c r="AM157" s="71">
        <f>IF(Tradingbook_MSB[[#This Row],[Quantity_edited]]=0,0,Tradingbook_MSB[[#This Row],[DURATION]])</f>
        <v>0</v>
      </c>
      <c r="AN157" s="71">
        <f>IF(Tradingbook_MSB[[#This Row],[Quantity_edited]]=0,0,Tradingbook_MSB[[#This Row],[Mod Dur]])</f>
        <v>0</v>
      </c>
      <c r="AO157" s="71">
        <f>IF(Tradingbook_MSB[[#This Row],[Quantity_edited]]=0,0,Tradingbook_MSB[[#This Row],[Cnvx.]])</f>
        <v>0</v>
      </c>
      <c r="AP157" s="71">
        <f>(Tradingbook_MSB[[#This Row],[MARKET_VALUE]]+Tradingbook_MSB[[#This Row],[Accr Int]]*Tradingbook_MSB[[#This Row],[Quantity_edited]])*(-Tradingbook_MSB[[#This Row],[Modified Duration]]*0.0001+0.5*Tradingbook_MSB[[#This Row],[Conv]]*(0.0001^2))</f>
        <v>0</v>
      </c>
      <c r="AQ157" s="72">
        <f>(Tradingbook_MSB[[#This Row],[MARKET_VALUE]]+Tradingbook_MSB[[#This Row],[Accr Int]]*Tradingbook_MSB[[#This Row],[Quantity_edited]])*(-Tradingbook_MSB[[#This Row],[Modified Duration]]*0.01+0.5*Tradingbook_MSB[[#This Row],[Conv]]*(0.01^2))</f>
        <v>0</v>
      </c>
      <c r="AR157" s="71"/>
      <c r="AT157" t="s">
        <v>166</v>
      </c>
      <c r="AU157" t="s">
        <v>3301</v>
      </c>
      <c r="AV157" t="s">
        <v>2502</v>
      </c>
      <c r="AW157" t="s">
        <v>169</v>
      </c>
      <c r="AX157" t="s">
        <v>3445</v>
      </c>
      <c r="AY157" t="s">
        <v>170</v>
      </c>
      <c r="AZ157">
        <v>93755</v>
      </c>
      <c r="BA157">
        <v>93755</v>
      </c>
      <c r="BB157">
        <v>1500000</v>
      </c>
      <c r="BC157">
        <v>150000000000</v>
      </c>
      <c r="BD157">
        <v>107303</v>
      </c>
      <c r="BE157">
        <v>140632500000</v>
      </c>
      <c r="BF157">
        <v>3.2</v>
      </c>
      <c r="BG157">
        <v>1113</v>
      </c>
      <c r="BH157">
        <v>9600000000</v>
      </c>
      <c r="BI157">
        <v>10028180000.000006</v>
      </c>
      <c r="BJ157">
        <v>-15545334006.250011</v>
      </c>
      <c r="BK157">
        <v>4.2966392090000003</v>
      </c>
      <c r="BL157">
        <v>5.7607676525709</v>
      </c>
      <c r="BM157">
        <v>6.0082870499999999</v>
      </c>
      <c r="BN157">
        <v>40.9477374634996</v>
      </c>
      <c r="BO157">
        <v>58269.449365309301</v>
      </c>
      <c r="BP157">
        <v>-81976.875849614007</v>
      </c>
      <c r="BQ157">
        <v>16402.305</v>
      </c>
      <c r="BR157">
        <v>0</v>
      </c>
      <c r="BS157">
        <v>-20322000000</v>
      </c>
      <c r="BT157">
        <v>-20322000000</v>
      </c>
      <c r="BU157">
        <v>-20322000000</v>
      </c>
      <c r="BV157">
        <v>-20322000000</v>
      </c>
      <c r="BW157">
        <v>-20322000000</v>
      </c>
      <c r="BX157">
        <v>2.2879135779999999</v>
      </c>
      <c r="BY157" s="32">
        <f>Bankingbook_MSB[[#This Row],[Mat. Date]]-RPT</f>
        <v>2430</v>
      </c>
      <c r="BZ157" s="71">
        <f>IF(Bankingbook_MSB[[#This Row],[Days]]&lt;=0,0,YEARFRAC(RPT,Bankingbook_MSB[[#This Row],[Mat. Date]],3))</f>
        <v>6.6575342465753424</v>
      </c>
      <c r="CA157" s="71" t="str">
        <f>IF(Bankingbook_MSB[[#This Row],[Days (year)]]=0,0,INDEX(Ref!$K$2:$K$13,MATCH(Bankingbook_MSB[[#This Row],[Days (year)]],Ref!$I$2:$I$13,1)))</f>
        <v>7Y</v>
      </c>
      <c r="CB157" s="32" t="str">
        <f>VLOOKUP(Bankingbook_MSB[[#This Row],[Security Name]],Ref!X:Z,3,0)</f>
        <v>TPCP</v>
      </c>
      <c r="CC157" s="32" t="str">
        <f>VLOOKUP(Bankingbook_MSB[[#This Row],[Security Name]],Ref!X:Y,2,0)</f>
        <v>KBNN</v>
      </c>
      <c r="CD157" s="72">
        <f>IF((Bankingbook_MSB[[#This Row],[Mat. Date]]-RPT)&lt;=0,0,Bankingbook_MSB[[#This Row],[QUANTITY]])</f>
        <v>1500000</v>
      </c>
      <c r="CE157" s="71">
        <f>IF(Bankingbook_MSB[[#This Row],[Quantity_edited]]=0,0,Bankingbook_MSB[[#This Row],[DURATION]])</f>
        <v>6.0082870499999999</v>
      </c>
      <c r="CF157" s="71">
        <f>IF(Bankingbook_MSB[[#This Row],[Quantity_edited]]=0,0,Bankingbook_MSB[[#This Row],[Mod Dur]])</f>
        <v>5.7607676525709</v>
      </c>
      <c r="CG157" s="71">
        <f>IF(Bankingbook_MSB[[#This Row],[Quantity_edited]]=0,0,Bankingbook_MSB[[#This Row],[Cnvx.]])</f>
        <v>40.9477374634996</v>
      </c>
      <c r="CH157" s="71">
        <f>(Bankingbook_MSB[[#This Row],[MARKET_VALUE]]+Bankingbook_MSB[[#This Row],[Accr Int]]*Bankingbook_MSB[[#This Row],[Quantity_edited]])*(-Bankingbook_MSB[[#This Row],[Modified Duration]]*0.0001+0.5*Bankingbook_MSB[[#This Row],[Conv]]*(0.0001^2))</f>
        <v>-81947741.124931768</v>
      </c>
      <c r="CI157" s="71">
        <f>(Bankingbook_MSB[[#This Row],[MARKET_VALUE]]+Bankingbook_MSB[[#This Row],[Accr Int]]*Bankingbook_MSB[[#This Row],[Quantity_edited]])*(-Bankingbook_MSB[[#This Row],[Modified Duration]]*0.01+0.5*Bankingbook_MSB[[#This Row],[Conv]]*(0.01^2))</f>
        <v>-7906340338.1348963</v>
      </c>
      <c r="CL157" t="s">
        <v>166</v>
      </c>
      <c r="CM157" t="s">
        <v>167</v>
      </c>
      <c r="CN157" t="s">
        <v>334</v>
      </c>
      <c r="CO157" t="s">
        <v>169</v>
      </c>
      <c r="CP157" s="35">
        <v>42931</v>
      </c>
      <c r="CQ157" t="s">
        <v>3322</v>
      </c>
      <c r="CR157" t="s">
        <v>174</v>
      </c>
      <c r="CS157" t="s">
        <v>174</v>
      </c>
      <c r="CT157" s="49">
        <v>0</v>
      </c>
      <c r="CU157">
        <v>0</v>
      </c>
      <c r="CV157">
        <v>0</v>
      </c>
      <c r="CW157" s="70">
        <v>0</v>
      </c>
      <c r="CX157">
        <v>9.8000000000000007</v>
      </c>
      <c r="CY157">
        <v>0</v>
      </c>
      <c r="CZ157">
        <v>19600000000</v>
      </c>
      <c r="DA157">
        <v>21827060888.888832</v>
      </c>
      <c r="DB157">
        <v>-7135052065.3470402</v>
      </c>
      <c r="DC157">
        <v>9.8000000000000007</v>
      </c>
      <c r="DD157">
        <v>0</v>
      </c>
      <c r="DE157">
        <v>0</v>
      </c>
      <c r="DF157">
        <v>0</v>
      </c>
      <c r="DG157">
        <v>0</v>
      </c>
      <c r="DH157">
        <v>0</v>
      </c>
      <c r="DI157">
        <v>0</v>
      </c>
      <c r="DJ157" s="500">
        <v>28062500000</v>
      </c>
      <c r="DK157" s="500">
        <v>0</v>
      </c>
      <c r="DL157" s="37">
        <v>28062500000</v>
      </c>
      <c r="DM157" s="37">
        <v>28062500000</v>
      </c>
      <c r="DN157" s="37">
        <v>28062500000</v>
      </c>
      <c r="DO157" s="37">
        <v>28062500000</v>
      </c>
      <c r="DP157" s="32">
        <f>Tradingbook_SBV[[#This Row],[Mat. Date]]-RPT</f>
        <v>-3321</v>
      </c>
      <c r="DQ157" s="32">
        <f>IF(Tradingbook_SBV[[#This Row],[Days]]&lt;=0,0,YEARFRAC(RPT,Tradingbook_SBV[[#This Row],[Mat. Date]],3))</f>
        <v>0</v>
      </c>
      <c r="DR157" s="32">
        <f>IF(Tradingbook_SBV[[#This Row],[Days (year)]]=0,0,INDEX(Ref!$K$2:$K$13,MATCH(Tradingbook_SBV[[#This Row],[Days (year)]],Ref!$I$2:$I$13,1)))</f>
        <v>0</v>
      </c>
      <c r="DS157" s="32" t="str">
        <f>VLOOKUP(Tradingbook_SBV[[#This Row],[Security Name]],Ref!X:Z,3,0)</f>
        <v>TPCP</v>
      </c>
      <c r="DT157" s="32" t="str">
        <f>VLOOKUP(Tradingbook_SBV[[#This Row],[Security Name]],Ref!X:Y,2,0)</f>
        <v>KBNN</v>
      </c>
      <c r="DU157" s="71">
        <f>IF((Tradingbook_SBV[[#This Row],[Mat. Date]]-RPT)&lt;=0,0,Tradingbook_SBV[[#This Row],[QUANTITY]])</f>
        <v>0</v>
      </c>
      <c r="DV157" s="71">
        <f>IF(Tradingbook_SBV[[#This Row],[Quantity_edited]]=0,0,Tradingbook_SBV[[#This Row],[DURATION]])</f>
        <v>0</v>
      </c>
      <c r="DW157" s="71">
        <f>IF(Tradingbook_SBV[[#This Row],[Quantity_edited]]=0,0,Tradingbook_SBV[[#This Row],[Mod Dur]])</f>
        <v>0</v>
      </c>
      <c r="DX157" s="71">
        <f>IF(Tradingbook_SBV[[#This Row],[Quantity_edited]]=0,0,Tradingbook_SBV[[#This Row],[Cnvx.]])</f>
        <v>0</v>
      </c>
      <c r="DY157" s="71">
        <f>(Tradingbook_SBV[[#This Row],[MARKET_VALUE]]+Tradingbook_SBV[[#This Row],[Accr Int]]*Tradingbook_SBV[[#This Row],[Quantity_edited]])*(-Tradingbook_SBV[[#This Row],[Modified Duration]]*0.0001+0.5*Tradingbook_SBV[[#This Row],[Conv]]*(0.0001^2))</f>
        <v>0</v>
      </c>
      <c r="DZ157" s="71">
        <f>(Tradingbook_SBV[[#This Row],[MARKET_VALUE]]+Tradingbook_SBV[[#This Row],[Accr Int]]*Tradingbook_SBV[[#This Row],[Quantity_edited]])*(-Tradingbook_SBV[[#This Row],[Modified Duration]]*0.01+0.5*Tradingbook_SBV[[#This Row],[Conv]]*(0.01^2))</f>
        <v>0</v>
      </c>
      <c r="EC157" t="s">
        <v>166</v>
      </c>
      <c r="ED157" t="s">
        <v>167</v>
      </c>
      <c r="EE157" t="s">
        <v>558</v>
      </c>
      <c r="EF157" t="s">
        <v>169</v>
      </c>
      <c r="EG157" s="35" t="s">
        <v>3776</v>
      </c>
      <c r="EH157" t="s">
        <v>3322</v>
      </c>
      <c r="EK157" s="500">
        <v>0</v>
      </c>
      <c r="EL157" s="500">
        <v>0</v>
      </c>
      <c r="EM157" s="500">
        <v>0</v>
      </c>
      <c r="EN157" s="500">
        <v>0</v>
      </c>
      <c r="EO157">
        <v>1</v>
      </c>
      <c r="EP157">
        <v>0</v>
      </c>
      <c r="EQ157">
        <v>0</v>
      </c>
      <c r="ER157">
        <v>0</v>
      </c>
      <c r="ES157">
        <v>-498096144.33610725</v>
      </c>
      <c r="ET157">
        <v>1</v>
      </c>
      <c r="EU157">
        <v>0</v>
      </c>
      <c r="EV157">
        <v>0</v>
      </c>
      <c r="EW157">
        <v>0</v>
      </c>
      <c r="EX157">
        <v>0</v>
      </c>
      <c r="EY157">
        <v>0</v>
      </c>
      <c r="EZ157">
        <v>0</v>
      </c>
      <c r="FA157">
        <v>-1892060000</v>
      </c>
      <c r="FB157">
        <v>0</v>
      </c>
      <c r="FC157">
        <v>-1892060000</v>
      </c>
      <c r="FD157">
        <v>-1892060000</v>
      </c>
      <c r="FE157">
        <v>-1892060000</v>
      </c>
      <c r="FF157">
        <v>-1892060000</v>
      </c>
      <c r="FG157" s="32">
        <f>Bankingbook_SBV[[#This Row],[Mat. Date]]-RPT</f>
        <v>-27</v>
      </c>
      <c r="FH157" s="32">
        <f>IF(Bankingbook_SBV[[#This Row],[Days]]&lt;=0,0,YEARFRAC(RPT,Bankingbook_SBV[[#This Row],[Mat. Date]],3))</f>
        <v>0</v>
      </c>
      <c r="FI157" s="32">
        <f>IF(Bankingbook_SBV[[#This Row],[Days (year)]]=0,0,INDEX(Ref!$K$2:$K$13,MATCH(Bankingbook_SBV[[#This Row],[Days (year)]],Ref!$I$2:$I$13,1)))</f>
        <v>0</v>
      </c>
      <c r="FJ157" s="32" t="str">
        <f>VLOOKUP(Bankingbook_SBV[[#This Row],[Security Name]],Ref!X:Z,3,0)</f>
        <v>TPCP</v>
      </c>
      <c r="FK157" s="32" t="str">
        <f>VLOOKUP(Bankingbook_SBV[[#This Row],[Security Name]],Ref!X:Y,2,0)</f>
        <v>KBNN</v>
      </c>
      <c r="FL157" s="72">
        <f>IF((Bankingbook_SBV[[#This Row],[Mat. Date]]-RPT)&lt;=0,0,Bankingbook_SBV[[#This Row],[QUANTITY]])</f>
        <v>0</v>
      </c>
      <c r="FM157" s="32">
        <f>IF(Bankingbook_SBV[[#This Row],[Quantity_edited]]=0,0,Bankingbook_SBV[[#This Row],[DURATION]])</f>
        <v>0</v>
      </c>
      <c r="FN157" s="32">
        <f>IF(Bankingbook_SBV[[#This Row],[Quantity_edited]]=0,0,Bankingbook_SBV[[#This Row],[Mod Dur]])</f>
        <v>0</v>
      </c>
      <c r="FO157" s="32">
        <f>IF(Bankingbook_SBV[[#This Row],[Quantity_edited]]=0,0,Bankingbook_SBV[[#This Row],[Cnvx.]])</f>
        <v>0</v>
      </c>
      <c r="FP157" s="32">
        <f>(Bankingbook_SBV[[#This Row],[MARKET_VALUE]]+Bankingbook_SBV[[#This Row],[Accr Int]]*Bankingbook_SBV[[#This Row],[Quantity_edited]])*(-Bankingbook_SBV[[#This Row],[Modified Duration]]*0.0001+0.5*Bankingbook_SBV[[#This Row],[Conv]]*(0.0001^2))</f>
        <v>0</v>
      </c>
      <c r="FQ157" s="32">
        <f>(Bankingbook_SBV[[#This Row],[MARKET_VALUE]]+Bankingbook_SBV[[#This Row],[Accr Int]]*Bankingbook_SBV[[#This Row],[Quantity_edited]])*(-Bankingbook_SBV[[#This Row],[Modified Duration]]*0.01+0.5*Bankingbook_SBV[[#This Row],[Conv]]*(0.01^2))</f>
        <v>0</v>
      </c>
    </row>
    <row r="158" spans="2:173" x14ac:dyDescent="0.3">
      <c r="B158" t="s">
        <v>166</v>
      </c>
      <c r="C158" t="s">
        <v>167</v>
      </c>
      <c r="D158" t="s">
        <v>335</v>
      </c>
      <c r="E158" t="s">
        <v>169</v>
      </c>
      <c r="F158" s="502">
        <v>42931</v>
      </c>
      <c r="G158" t="s">
        <v>3322</v>
      </c>
      <c r="H158"/>
      <c r="I158"/>
      <c r="J158" s="38">
        <v>0</v>
      </c>
      <c r="K158">
        <v>0</v>
      </c>
      <c r="L158">
        <v>0</v>
      </c>
      <c r="M158" s="38">
        <v>0</v>
      </c>
      <c r="N158">
        <v>5.8</v>
      </c>
      <c r="O158">
        <v>0</v>
      </c>
      <c r="P158" s="37">
        <v>0</v>
      </c>
      <c r="Q158" s="37">
        <v>0</v>
      </c>
      <c r="R158" s="37">
        <v>-402274555.1388979</v>
      </c>
      <c r="S158">
        <v>5.8</v>
      </c>
      <c r="T158" s="70">
        <v>0</v>
      </c>
      <c r="U158">
        <v>0</v>
      </c>
      <c r="V158">
        <v>0</v>
      </c>
      <c r="W158">
        <v>0</v>
      </c>
      <c r="X158" s="38">
        <v>0</v>
      </c>
      <c r="Y158">
        <v>0</v>
      </c>
      <c r="Z158" s="70">
        <v>5280910000</v>
      </c>
      <c r="AA158" s="70">
        <v>0</v>
      </c>
      <c r="AB158" s="70">
        <v>5280910000</v>
      </c>
      <c r="AC158" s="70">
        <v>5280910000</v>
      </c>
      <c r="AD158" s="70">
        <v>5280910000</v>
      </c>
      <c r="AE158" s="70">
        <v>5280910000</v>
      </c>
      <c r="AF158">
        <v>0</v>
      </c>
      <c r="AG158" s="72">
        <f>Tradingbook_MSB[[#This Row],[Mat. Date]]-RPT</f>
        <v>-3321</v>
      </c>
      <c r="AH158" s="71">
        <f>IF(Tradingbook_MSB[[#This Row],[Days]]&lt;=0,0,YEARFRAC(RPT,Tradingbook_MSB[[#This Row],[Mat. Date]],3))</f>
        <v>0</v>
      </c>
      <c r="AI158" s="71">
        <f>IF(Tradingbook_MSB[[#This Row],[Days (year)]]=0,0,INDEX(Ref!$K$2:$K$13,MATCH(Tradingbook_MSB[[#This Row],[Days (year)]],Ref!$I$2:$I$13,1)))</f>
        <v>0</v>
      </c>
      <c r="AJ158" s="120" t="str">
        <f>VLOOKUP(Tradingbook_MSB[[#This Row],[Security Name]],Ref!X:Z,3,0)</f>
        <v>TPCP</v>
      </c>
      <c r="AK158" s="120" t="str">
        <f>VLOOKUP(Tradingbook_MSB[[#This Row],[Security Name]],Ref!X:Y,2,0)</f>
        <v>KBNN</v>
      </c>
      <c r="AL158" s="71">
        <f>IF((Tradingbook_MSB[[#This Row],[Mat. Date]]-RPT)&lt;=0,0,Tradingbook_MSB[[#This Row],[QUANTITY]])</f>
        <v>0</v>
      </c>
      <c r="AM158" s="71">
        <f>IF(Tradingbook_MSB[[#This Row],[Quantity_edited]]=0,0,Tradingbook_MSB[[#This Row],[DURATION]])</f>
        <v>0</v>
      </c>
      <c r="AN158" s="71">
        <f>IF(Tradingbook_MSB[[#This Row],[Quantity_edited]]=0,0,Tradingbook_MSB[[#This Row],[Mod Dur]])</f>
        <v>0</v>
      </c>
      <c r="AO158" s="71">
        <f>IF(Tradingbook_MSB[[#This Row],[Quantity_edited]]=0,0,Tradingbook_MSB[[#This Row],[Cnvx.]])</f>
        <v>0</v>
      </c>
      <c r="AP158" s="71">
        <f>(Tradingbook_MSB[[#This Row],[MARKET_VALUE]]+Tradingbook_MSB[[#This Row],[Accr Int]]*Tradingbook_MSB[[#This Row],[Quantity_edited]])*(-Tradingbook_MSB[[#This Row],[Modified Duration]]*0.0001+0.5*Tradingbook_MSB[[#This Row],[Conv]]*(0.0001^2))</f>
        <v>0</v>
      </c>
      <c r="AQ158" s="72">
        <f>(Tradingbook_MSB[[#This Row],[MARKET_VALUE]]+Tradingbook_MSB[[#This Row],[Accr Int]]*Tradingbook_MSB[[#This Row],[Quantity_edited]])*(-Tradingbook_MSB[[#This Row],[Modified Duration]]*0.01+0.5*Tradingbook_MSB[[#This Row],[Conv]]*(0.01^2))</f>
        <v>0</v>
      </c>
      <c r="AR158" s="71"/>
      <c r="AT158" t="s">
        <v>166</v>
      </c>
      <c r="AU158" t="s">
        <v>3301</v>
      </c>
      <c r="AV158" t="s">
        <v>1147</v>
      </c>
      <c r="AW158" t="s">
        <v>169</v>
      </c>
      <c r="AX158" t="s">
        <v>3446</v>
      </c>
      <c r="AY158" t="s">
        <v>170</v>
      </c>
      <c r="AZ158">
        <v>107000</v>
      </c>
      <c r="BA158">
        <v>107000</v>
      </c>
      <c r="BB158">
        <v>1000000</v>
      </c>
      <c r="BC158">
        <v>100000000000</v>
      </c>
      <c r="BD158">
        <v>121485</v>
      </c>
      <c r="BE158">
        <v>107000000000</v>
      </c>
      <c r="BF158">
        <v>6</v>
      </c>
      <c r="BG158">
        <v>5145</v>
      </c>
      <c r="BH158">
        <v>6000000000</v>
      </c>
      <c r="BI158">
        <v>6294391666.6666679</v>
      </c>
      <c r="BJ158">
        <v>-7278695037.5000219</v>
      </c>
      <c r="BK158">
        <v>4.81567451</v>
      </c>
      <c r="BL158">
        <v>5.5178522802607004</v>
      </c>
      <c r="BM158">
        <v>5.7835740900000001</v>
      </c>
      <c r="BN158">
        <v>40.384998812780601</v>
      </c>
      <c r="BO158">
        <v>45289.756918592801</v>
      </c>
      <c r="BP158">
        <v>-61879.954396982997</v>
      </c>
      <c r="BQ158">
        <v>14451.701999999999</v>
      </c>
      <c r="BR158">
        <v>0</v>
      </c>
      <c r="BS158">
        <v>-14485000000</v>
      </c>
      <c r="BT158">
        <v>-14485000000</v>
      </c>
      <c r="BU158">
        <v>-14485000000</v>
      </c>
      <c r="BV158">
        <v>-14485000000</v>
      </c>
      <c r="BW158">
        <v>-14485000000</v>
      </c>
      <c r="BX158">
        <v>3</v>
      </c>
      <c r="BY158" s="32">
        <f>Bankingbook_MSB[[#This Row],[Mat. Date]]-RPT</f>
        <v>2609</v>
      </c>
      <c r="BZ158" s="71">
        <f>IF(Bankingbook_MSB[[#This Row],[Days]]&lt;=0,0,YEARFRAC(RPT,Bankingbook_MSB[[#This Row],[Mat. Date]],3))</f>
        <v>7.1479452054794521</v>
      </c>
      <c r="CA158" s="71" t="str">
        <f>IF(Bankingbook_MSB[[#This Row],[Days (year)]]=0,0,INDEX(Ref!$K$2:$K$13,MATCH(Bankingbook_MSB[[#This Row],[Days (year)]],Ref!$I$2:$I$13,1)))</f>
        <v>7Y</v>
      </c>
      <c r="CB158" s="32" t="str">
        <f>VLOOKUP(Bankingbook_MSB[[#This Row],[Security Name]],Ref!X:Z,3,0)</f>
        <v>TPCPBL</v>
      </c>
      <c r="CC158" s="32" t="str">
        <f>VLOOKUP(Bankingbook_MSB[[#This Row],[Security Name]],Ref!X:Y,2,0)</f>
        <v>VBS</v>
      </c>
      <c r="CD158" s="72">
        <f>IF((Bankingbook_MSB[[#This Row],[Mat. Date]]-RPT)&lt;=0,0,Bankingbook_MSB[[#This Row],[QUANTITY]])</f>
        <v>1000000</v>
      </c>
      <c r="CE158" s="71">
        <f>IF(Bankingbook_MSB[[#This Row],[Quantity_edited]]=0,0,Bankingbook_MSB[[#This Row],[DURATION]])</f>
        <v>5.7835740900000001</v>
      </c>
      <c r="CF158" s="71">
        <f>IF(Bankingbook_MSB[[#This Row],[Quantity_edited]]=0,0,Bankingbook_MSB[[#This Row],[Mod Dur]])</f>
        <v>5.5178522802607004</v>
      </c>
      <c r="CG158" s="71">
        <f>IF(Bankingbook_MSB[[#This Row],[Quantity_edited]]=0,0,Bankingbook_MSB[[#This Row],[Cnvx.]])</f>
        <v>40.384998812780601</v>
      </c>
      <c r="CH158" s="71">
        <f>(Bankingbook_MSB[[#This Row],[MARKET_VALUE]]+Bankingbook_MSB[[#This Row],[Accr Int]]*Bankingbook_MSB[[#This Row],[Quantity_edited]])*(-Bankingbook_MSB[[#This Row],[Modified Duration]]*0.0001+0.5*Bankingbook_MSB[[#This Row],[Conv]]*(0.0001^2))</f>
        <v>-61857309.518524334</v>
      </c>
      <c r="CI158" s="71">
        <f>(Bankingbook_MSB[[#This Row],[MARKET_VALUE]]+Bankingbook_MSB[[#This Row],[Accr Int]]*Bankingbook_MSB[[#This Row],[Quantity_edited]])*(-Bankingbook_MSB[[#This Row],[Modified Duration]]*0.01+0.5*Bankingbook_MSB[[#This Row],[Conv]]*(0.01^2))</f>
        <v>-5961546655.1053982</v>
      </c>
      <c r="CL158" t="s">
        <v>166</v>
      </c>
      <c r="CM158" t="s">
        <v>167</v>
      </c>
      <c r="CN158" t="s">
        <v>335</v>
      </c>
      <c r="CO158" t="s">
        <v>169</v>
      </c>
      <c r="CP158" s="35">
        <v>42931</v>
      </c>
      <c r="CQ158" t="s">
        <v>3322</v>
      </c>
      <c r="CR158" t="s">
        <v>174</v>
      </c>
      <c r="CS158" t="s">
        <v>174</v>
      </c>
      <c r="CT158" s="49">
        <v>0</v>
      </c>
      <c r="CU158">
        <v>0</v>
      </c>
      <c r="CV158">
        <v>0</v>
      </c>
      <c r="CW158" s="70">
        <v>0</v>
      </c>
      <c r="CX158">
        <v>5.8</v>
      </c>
      <c r="CY158">
        <v>0</v>
      </c>
      <c r="CZ158">
        <v>0</v>
      </c>
      <c r="DA158">
        <v>0</v>
      </c>
      <c r="DB158">
        <v>-402274555.1388979</v>
      </c>
      <c r="DC158">
        <v>5.8</v>
      </c>
      <c r="DD158">
        <v>0</v>
      </c>
      <c r="DE158">
        <v>0</v>
      </c>
      <c r="DF158">
        <v>0</v>
      </c>
      <c r="DG158">
        <v>0</v>
      </c>
      <c r="DH158">
        <v>0</v>
      </c>
      <c r="DI158">
        <v>0</v>
      </c>
      <c r="DJ158" s="500">
        <v>5280910000</v>
      </c>
      <c r="DK158" s="500">
        <v>0</v>
      </c>
      <c r="DL158" s="37">
        <v>5280910000</v>
      </c>
      <c r="DM158" s="37">
        <v>5280910000</v>
      </c>
      <c r="DN158" s="37">
        <v>5280910000</v>
      </c>
      <c r="DO158" s="37">
        <v>5280910000</v>
      </c>
      <c r="DP158" s="32">
        <f>Tradingbook_SBV[[#This Row],[Mat. Date]]-RPT</f>
        <v>-3321</v>
      </c>
      <c r="DQ158" s="32">
        <f>IF(Tradingbook_SBV[[#This Row],[Days]]&lt;=0,0,YEARFRAC(RPT,Tradingbook_SBV[[#This Row],[Mat. Date]],3))</f>
        <v>0</v>
      </c>
      <c r="DR158" s="32">
        <f>IF(Tradingbook_SBV[[#This Row],[Days (year)]]=0,0,INDEX(Ref!$K$2:$K$13,MATCH(Tradingbook_SBV[[#This Row],[Days (year)]],Ref!$I$2:$I$13,1)))</f>
        <v>0</v>
      </c>
      <c r="DS158" s="32" t="str">
        <f>VLOOKUP(Tradingbook_SBV[[#This Row],[Security Name]],Ref!X:Z,3,0)</f>
        <v>TPCP</v>
      </c>
      <c r="DT158" s="32" t="str">
        <f>VLOOKUP(Tradingbook_SBV[[#This Row],[Security Name]],Ref!X:Y,2,0)</f>
        <v>KBNN</v>
      </c>
      <c r="DU158" s="71">
        <f>IF((Tradingbook_SBV[[#This Row],[Mat. Date]]-RPT)&lt;=0,0,Tradingbook_SBV[[#This Row],[QUANTITY]])</f>
        <v>0</v>
      </c>
      <c r="DV158" s="71">
        <f>IF(Tradingbook_SBV[[#This Row],[Quantity_edited]]=0,0,Tradingbook_SBV[[#This Row],[DURATION]])</f>
        <v>0</v>
      </c>
      <c r="DW158" s="71">
        <f>IF(Tradingbook_SBV[[#This Row],[Quantity_edited]]=0,0,Tradingbook_SBV[[#This Row],[Mod Dur]])</f>
        <v>0</v>
      </c>
      <c r="DX158" s="71">
        <f>IF(Tradingbook_SBV[[#This Row],[Quantity_edited]]=0,0,Tradingbook_SBV[[#This Row],[Cnvx.]])</f>
        <v>0</v>
      </c>
      <c r="DY158" s="71">
        <f>(Tradingbook_SBV[[#This Row],[MARKET_VALUE]]+Tradingbook_SBV[[#This Row],[Accr Int]]*Tradingbook_SBV[[#This Row],[Quantity_edited]])*(-Tradingbook_SBV[[#This Row],[Modified Duration]]*0.0001+0.5*Tradingbook_SBV[[#This Row],[Conv]]*(0.0001^2))</f>
        <v>0</v>
      </c>
      <c r="DZ158" s="71">
        <f>(Tradingbook_SBV[[#This Row],[MARKET_VALUE]]+Tradingbook_SBV[[#This Row],[Accr Int]]*Tradingbook_SBV[[#This Row],[Quantity_edited]])*(-Tradingbook_SBV[[#This Row],[Modified Duration]]*0.01+0.5*Tradingbook_SBV[[#This Row],[Conv]]*(0.01^2))</f>
        <v>0</v>
      </c>
      <c r="EC158" t="s">
        <v>166</v>
      </c>
      <c r="ED158" t="s">
        <v>167</v>
      </c>
      <c r="EE158" t="s">
        <v>559</v>
      </c>
      <c r="EF158" t="s">
        <v>169</v>
      </c>
      <c r="EG158" s="35" t="s">
        <v>3777</v>
      </c>
      <c r="EH158" t="s">
        <v>3322</v>
      </c>
      <c r="EI158" s="500">
        <v>99953</v>
      </c>
      <c r="EJ158" s="500">
        <v>99953</v>
      </c>
      <c r="EK158" s="500">
        <v>0</v>
      </c>
      <c r="EL158" s="500">
        <v>0</v>
      </c>
      <c r="EM158" s="500">
        <v>0</v>
      </c>
      <c r="EN158" s="500">
        <v>0</v>
      </c>
      <c r="EO158">
        <v>3.5</v>
      </c>
      <c r="EP158">
        <v>3126</v>
      </c>
      <c r="EQ158">
        <v>0</v>
      </c>
      <c r="ER158">
        <v>-6.0000000000000002E-6</v>
      </c>
      <c r="ES158">
        <v>-42599961.180547714</v>
      </c>
      <c r="ET158">
        <v>3.8224354190000001</v>
      </c>
      <c r="EU158">
        <v>0.1064146912844</v>
      </c>
      <c r="EV158">
        <v>0.11048231999999999</v>
      </c>
      <c r="EW158">
        <v>2.2648173042300001E-2</v>
      </c>
      <c r="EX158">
        <v>0</v>
      </c>
      <c r="EY158">
        <v>0</v>
      </c>
      <c r="EZ158">
        <v>0</v>
      </c>
      <c r="FA158">
        <v>-126000000</v>
      </c>
      <c r="FB158">
        <v>0</v>
      </c>
      <c r="FC158">
        <v>-126000000</v>
      </c>
      <c r="FD158">
        <v>-126000000</v>
      </c>
      <c r="FE158">
        <v>-126000000</v>
      </c>
      <c r="FF158">
        <v>-126000000</v>
      </c>
      <c r="FG158" s="32">
        <f>Bankingbook_SBV[[#This Row],[Mat. Date]]-RPT</f>
        <v>39</v>
      </c>
      <c r="FH158" s="32">
        <f>IF(Bankingbook_SBV[[#This Row],[Days]]&lt;=0,0,YEARFRAC(RPT,Bankingbook_SBV[[#This Row],[Mat. Date]],3))</f>
        <v>0.10684931506849316</v>
      </c>
      <c r="FI158" s="32" t="str">
        <f>IF(Bankingbook_SBV[[#This Row],[Days (year)]]=0,0,INDEX(Ref!$K$2:$K$13,MATCH(Bankingbook_SBV[[#This Row],[Days (year)]],Ref!$I$2:$I$13,1)))</f>
        <v>3M</v>
      </c>
      <c r="FJ158" s="32" t="str">
        <f>VLOOKUP(Bankingbook_SBV[[#This Row],[Security Name]],Ref!X:Z,3,0)</f>
        <v>TPCP</v>
      </c>
      <c r="FK158" s="32" t="str">
        <f>VLOOKUP(Bankingbook_SBV[[#This Row],[Security Name]],Ref!X:Y,2,0)</f>
        <v>KBNN</v>
      </c>
      <c r="FL158" s="72">
        <f>IF((Bankingbook_SBV[[#This Row],[Mat. Date]]-RPT)&lt;=0,0,Bankingbook_SBV[[#This Row],[QUANTITY]])</f>
        <v>0</v>
      </c>
      <c r="FM158" s="32">
        <f>IF(Bankingbook_SBV[[#This Row],[Quantity_edited]]=0,0,Bankingbook_SBV[[#This Row],[DURATION]])</f>
        <v>0</v>
      </c>
      <c r="FN158" s="32">
        <f>IF(Bankingbook_SBV[[#This Row],[Quantity_edited]]=0,0,Bankingbook_SBV[[#This Row],[Mod Dur]])</f>
        <v>0</v>
      </c>
      <c r="FO158" s="32">
        <f>IF(Bankingbook_SBV[[#This Row],[Quantity_edited]]=0,0,Bankingbook_SBV[[#This Row],[Cnvx.]])</f>
        <v>0</v>
      </c>
      <c r="FP158" s="32">
        <f>(Bankingbook_SBV[[#This Row],[MARKET_VALUE]]+Bankingbook_SBV[[#This Row],[Accr Int]]*Bankingbook_SBV[[#This Row],[Quantity_edited]])*(-Bankingbook_SBV[[#This Row],[Modified Duration]]*0.0001+0.5*Bankingbook_SBV[[#This Row],[Conv]]*(0.0001^2))</f>
        <v>0</v>
      </c>
      <c r="FQ158" s="32">
        <f>(Bankingbook_SBV[[#This Row],[MARKET_VALUE]]+Bankingbook_SBV[[#This Row],[Accr Int]]*Bankingbook_SBV[[#This Row],[Quantity_edited]])*(-Bankingbook_SBV[[#This Row],[Modified Duration]]*0.01+0.5*Bankingbook_SBV[[#This Row],[Conv]]*(0.01^2))</f>
        <v>0</v>
      </c>
    </row>
    <row r="159" spans="2:173" x14ac:dyDescent="0.3">
      <c r="B159" t="s">
        <v>166</v>
      </c>
      <c r="C159" t="s">
        <v>167</v>
      </c>
      <c r="D159" t="s">
        <v>336</v>
      </c>
      <c r="E159" t="s">
        <v>169</v>
      </c>
      <c r="F159" s="502">
        <v>42938</v>
      </c>
      <c r="G159" t="s">
        <v>3322</v>
      </c>
      <c r="H159"/>
      <c r="I159"/>
      <c r="J159" s="38">
        <v>0</v>
      </c>
      <c r="K159">
        <v>0</v>
      </c>
      <c r="L159">
        <v>0</v>
      </c>
      <c r="M159" s="38">
        <v>0</v>
      </c>
      <c r="N159">
        <v>6.2</v>
      </c>
      <c r="O159">
        <v>0</v>
      </c>
      <c r="P159" s="37">
        <v>0</v>
      </c>
      <c r="Q159" s="37">
        <v>0</v>
      </c>
      <c r="R159" s="37">
        <v>3105896.9444437027</v>
      </c>
      <c r="S159">
        <v>0</v>
      </c>
      <c r="T159" s="70">
        <v>0</v>
      </c>
      <c r="U159">
        <v>0</v>
      </c>
      <c r="V159">
        <v>0</v>
      </c>
      <c r="W159">
        <v>0</v>
      </c>
      <c r="X159" s="38">
        <v>0</v>
      </c>
      <c r="Y159">
        <v>0</v>
      </c>
      <c r="Z159" s="70">
        <v>105000000</v>
      </c>
      <c r="AA159" s="70">
        <v>0</v>
      </c>
      <c r="AB159" s="70">
        <v>105000000</v>
      </c>
      <c r="AC159" s="70">
        <v>105000000</v>
      </c>
      <c r="AD159" s="70">
        <v>105000000</v>
      </c>
      <c r="AE159" s="70">
        <v>105000000</v>
      </c>
      <c r="AF159">
        <v>0</v>
      </c>
      <c r="AG159" s="72">
        <f>Tradingbook_MSB[[#This Row],[Mat. Date]]-RPT</f>
        <v>-3314</v>
      </c>
      <c r="AH159" s="71">
        <f>IF(Tradingbook_MSB[[#This Row],[Days]]&lt;=0,0,YEARFRAC(RPT,Tradingbook_MSB[[#This Row],[Mat. Date]],3))</f>
        <v>0</v>
      </c>
      <c r="AI159" s="71">
        <f>IF(Tradingbook_MSB[[#This Row],[Days (year)]]=0,0,INDEX(Ref!$K$2:$K$13,MATCH(Tradingbook_MSB[[#This Row],[Days (year)]],Ref!$I$2:$I$13,1)))</f>
        <v>0</v>
      </c>
      <c r="AJ159" s="120" t="str">
        <f>VLOOKUP(Tradingbook_MSB[[#This Row],[Security Name]],Ref!X:Z,3,0)</f>
        <v>TPCPBL</v>
      </c>
      <c r="AK159" s="120" t="str">
        <f>VLOOKUP(Tradingbook_MSB[[#This Row],[Security Name]],Ref!X:Y,2,0)</f>
        <v>VBS</v>
      </c>
      <c r="AL159" s="71">
        <f>IF((Tradingbook_MSB[[#This Row],[Mat. Date]]-RPT)&lt;=0,0,Tradingbook_MSB[[#This Row],[QUANTITY]])</f>
        <v>0</v>
      </c>
      <c r="AM159" s="71">
        <f>IF(Tradingbook_MSB[[#This Row],[Quantity_edited]]=0,0,Tradingbook_MSB[[#This Row],[DURATION]])</f>
        <v>0</v>
      </c>
      <c r="AN159" s="71">
        <f>IF(Tradingbook_MSB[[#This Row],[Quantity_edited]]=0,0,Tradingbook_MSB[[#This Row],[Mod Dur]])</f>
        <v>0</v>
      </c>
      <c r="AO159" s="71">
        <f>IF(Tradingbook_MSB[[#This Row],[Quantity_edited]]=0,0,Tradingbook_MSB[[#This Row],[Cnvx.]])</f>
        <v>0</v>
      </c>
      <c r="AP159" s="71">
        <f>(Tradingbook_MSB[[#This Row],[MARKET_VALUE]]+Tradingbook_MSB[[#This Row],[Accr Int]]*Tradingbook_MSB[[#This Row],[Quantity_edited]])*(-Tradingbook_MSB[[#This Row],[Modified Duration]]*0.0001+0.5*Tradingbook_MSB[[#This Row],[Conv]]*(0.0001^2))</f>
        <v>0</v>
      </c>
      <c r="AQ159" s="72">
        <f>(Tradingbook_MSB[[#This Row],[MARKET_VALUE]]+Tradingbook_MSB[[#This Row],[Accr Int]]*Tradingbook_MSB[[#This Row],[Quantity_edited]])*(-Tradingbook_MSB[[#This Row],[Modified Duration]]*0.01+0.5*Tradingbook_MSB[[#This Row],[Conv]]*(0.01^2))</f>
        <v>0</v>
      </c>
      <c r="AR159" s="71"/>
      <c r="AT159" t="s">
        <v>166</v>
      </c>
      <c r="AU159" t="s">
        <v>3301</v>
      </c>
      <c r="AV159" t="s">
        <v>1204</v>
      </c>
      <c r="AW159" t="s">
        <v>169</v>
      </c>
      <c r="AX159" t="s">
        <v>2812</v>
      </c>
      <c r="AY159" t="s">
        <v>170</v>
      </c>
      <c r="AZ159">
        <v>105963</v>
      </c>
      <c r="BA159">
        <v>105963</v>
      </c>
      <c r="BB159">
        <v>500000</v>
      </c>
      <c r="BC159">
        <v>50000000000</v>
      </c>
      <c r="BD159">
        <v>120411</v>
      </c>
      <c r="BE159">
        <v>52981500000</v>
      </c>
      <c r="BF159">
        <v>5.3</v>
      </c>
      <c r="BG159">
        <v>4008</v>
      </c>
      <c r="BH159">
        <v>2650000000</v>
      </c>
      <c r="BI159">
        <v>2765657777.7777781</v>
      </c>
      <c r="BJ159">
        <v>-3605511700.0000105</v>
      </c>
      <c r="BK159">
        <v>4.320333196</v>
      </c>
      <c r="BL159">
        <v>5.7642829126548998</v>
      </c>
      <c r="BM159">
        <v>6.0133191400000001</v>
      </c>
      <c r="BN159">
        <v>43.155053225863298</v>
      </c>
      <c r="BO159">
        <v>23729.021791507101</v>
      </c>
      <c r="BP159">
        <v>-31695.197809378002</v>
      </c>
      <c r="BQ159">
        <v>6372.0749999999998</v>
      </c>
      <c r="BR159">
        <v>0</v>
      </c>
      <c r="BS159">
        <v>-7224000000</v>
      </c>
      <c r="BT159">
        <v>-7224000000</v>
      </c>
      <c r="BU159">
        <v>-7224000000</v>
      </c>
      <c r="BV159">
        <v>-7224000000</v>
      </c>
      <c r="BW159">
        <v>-7224000000</v>
      </c>
      <c r="BX159">
        <v>2.54</v>
      </c>
      <c r="BY159" s="32">
        <f>Bankingbook_MSB[[#This Row],[Mat. Date]]-RPT</f>
        <v>2646</v>
      </c>
      <c r="BZ159" s="71">
        <f>IF(Bankingbook_MSB[[#This Row],[Days]]&lt;=0,0,YEARFRAC(RPT,Bankingbook_MSB[[#This Row],[Mat. Date]],3))</f>
        <v>7.2493150684931509</v>
      </c>
      <c r="CA159" s="71" t="str">
        <f>IF(Bankingbook_MSB[[#This Row],[Days (year)]]=0,0,INDEX(Ref!$K$2:$K$13,MATCH(Bankingbook_MSB[[#This Row],[Days (year)]],Ref!$I$2:$I$13,1)))</f>
        <v>7Y</v>
      </c>
      <c r="CB159" s="32" t="str">
        <f>VLOOKUP(Bankingbook_MSB[[#This Row],[Security Name]],Ref!X:Z,3,0)</f>
        <v>TPCP</v>
      </c>
      <c r="CC159" s="32" t="str">
        <f>VLOOKUP(Bankingbook_MSB[[#This Row],[Security Name]],Ref!X:Y,2,0)</f>
        <v>KBNN</v>
      </c>
      <c r="CD159" s="72">
        <f>IF((Bankingbook_MSB[[#This Row],[Mat. Date]]-RPT)&lt;=0,0,Bankingbook_MSB[[#This Row],[QUANTITY]])</f>
        <v>500000</v>
      </c>
      <c r="CE159" s="71">
        <f>IF(Bankingbook_MSB[[#This Row],[Quantity_edited]]=0,0,Bankingbook_MSB[[#This Row],[DURATION]])</f>
        <v>6.0133191400000001</v>
      </c>
      <c r="CF159" s="71">
        <f>IF(Bankingbook_MSB[[#This Row],[Quantity_edited]]=0,0,Bankingbook_MSB[[#This Row],[Mod Dur]])</f>
        <v>5.7642829126548998</v>
      </c>
      <c r="CG159" s="71">
        <f>IF(Bankingbook_MSB[[#This Row],[Quantity_edited]]=0,0,Bankingbook_MSB[[#This Row],[Cnvx.]])</f>
        <v>43.155053225863298</v>
      </c>
      <c r="CH159" s="71">
        <f>(Bankingbook_MSB[[#This Row],[MARKET_VALUE]]+Bankingbook_MSB[[#This Row],[Accr Int]]*Bankingbook_MSB[[#This Row],[Quantity_edited]])*(-Bankingbook_MSB[[#This Row],[Modified Duration]]*0.0001+0.5*Bankingbook_MSB[[#This Row],[Conv]]*(0.0001^2))</f>
        <v>-31683333.29848285</v>
      </c>
      <c r="CI159" s="71">
        <f>(Bankingbook_MSB[[#This Row],[MARKET_VALUE]]+Bankingbook_MSB[[#This Row],[Accr Int]]*Bankingbook_MSB[[#This Row],[Quantity_edited]])*(-Bankingbook_MSB[[#This Row],[Modified Duration]]*0.01+0.5*Bankingbook_MSB[[#This Row],[Conv]]*(0.01^2))</f>
        <v>-3050874671.9803247</v>
      </c>
      <c r="CL159" t="s">
        <v>166</v>
      </c>
      <c r="CM159" t="s">
        <v>167</v>
      </c>
      <c r="CN159" t="s">
        <v>336</v>
      </c>
      <c r="CO159" t="s">
        <v>169</v>
      </c>
      <c r="CP159" s="35">
        <v>42938</v>
      </c>
      <c r="CQ159" t="s">
        <v>3322</v>
      </c>
      <c r="CR159" t="s">
        <v>174</v>
      </c>
      <c r="CS159" t="s">
        <v>174</v>
      </c>
      <c r="CT159" s="49">
        <v>0</v>
      </c>
      <c r="CU159">
        <v>0</v>
      </c>
      <c r="CV159">
        <v>0</v>
      </c>
      <c r="CW159" s="70">
        <v>0</v>
      </c>
      <c r="CX159">
        <v>6.2</v>
      </c>
      <c r="CY159">
        <v>0</v>
      </c>
      <c r="CZ159">
        <v>0</v>
      </c>
      <c r="DA159">
        <v>0</v>
      </c>
      <c r="DB159">
        <v>3105896.9444437027</v>
      </c>
      <c r="DC159">
        <v>0</v>
      </c>
      <c r="DD159">
        <v>0</v>
      </c>
      <c r="DE159">
        <v>0</v>
      </c>
      <c r="DF159">
        <v>0</v>
      </c>
      <c r="DG159">
        <v>0</v>
      </c>
      <c r="DH159">
        <v>0</v>
      </c>
      <c r="DI159">
        <v>0</v>
      </c>
      <c r="DJ159" s="500">
        <v>105000000</v>
      </c>
      <c r="DK159" s="500">
        <v>0</v>
      </c>
      <c r="DL159" s="37">
        <v>105000000</v>
      </c>
      <c r="DM159" s="37">
        <v>105000000</v>
      </c>
      <c r="DN159" s="37">
        <v>105000000</v>
      </c>
      <c r="DO159" s="37">
        <v>105000000</v>
      </c>
      <c r="DP159" s="32">
        <f>Tradingbook_SBV[[#This Row],[Mat. Date]]-RPT</f>
        <v>-3314</v>
      </c>
      <c r="DQ159" s="32">
        <f>IF(Tradingbook_SBV[[#This Row],[Days]]&lt;=0,0,YEARFRAC(RPT,Tradingbook_SBV[[#This Row],[Mat. Date]],3))</f>
        <v>0</v>
      </c>
      <c r="DR159" s="32">
        <f>IF(Tradingbook_SBV[[#This Row],[Days (year)]]=0,0,INDEX(Ref!$K$2:$K$13,MATCH(Tradingbook_SBV[[#This Row],[Days (year)]],Ref!$I$2:$I$13,1)))</f>
        <v>0</v>
      </c>
      <c r="DS159" s="32" t="str">
        <f>VLOOKUP(Tradingbook_SBV[[#This Row],[Security Name]],Ref!X:Z,3,0)</f>
        <v>TPCPBL</v>
      </c>
      <c r="DT159" s="32" t="str">
        <f>VLOOKUP(Tradingbook_SBV[[#This Row],[Security Name]],Ref!X:Y,2,0)</f>
        <v>VBS</v>
      </c>
      <c r="DU159" s="71">
        <f>IF((Tradingbook_SBV[[#This Row],[Mat. Date]]-RPT)&lt;=0,0,Tradingbook_SBV[[#This Row],[QUANTITY]])</f>
        <v>0</v>
      </c>
      <c r="DV159" s="71">
        <f>IF(Tradingbook_SBV[[#This Row],[Quantity_edited]]=0,0,Tradingbook_SBV[[#This Row],[DURATION]])</f>
        <v>0</v>
      </c>
      <c r="DW159" s="71">
        <f>IF(Tradingbook_SBV[[#This Row],[Quantity_edited]]=0,0,Tradingbook_SBV[[#This Row],[Mod Dur]])</f>
        <v>0</v>
      </c>
      <c r="DX159" s="71">
        <f>IF(Tradingbook_SBV[[#This Row],[Quantity_edited]]=0,0,Tradingbook_SBV[[#This Row],[Cnvx.]])</f>
        <v>0</v>
      </c>
      <c r="DY159" s="71">
        <f>(Tradingbook_SBV[[#This Row],[MARKET_VALUE]]+Tradingbook_SBV[[#This Row],[Accr Int]]*Tradingbook_SBV[[#This Row],[Quantity_edited]])*(-Tradingbook_SBV[[#This Row],[Modified Duration]]*0.0001+0.5*Tradingbook_SBV[[#This Row],[Conv]]*(0.0001^2))</f>
        <v>0</v>
      </c>
      <c r="DZ159" s="71">
        <f>(Tradingbook_SBV[[#This Row],[MARKET_VALUE]]+Tradingbook_SBV[[#This Row],[Accr Int]]*Tradingbook_SBV[[#This Row],[Quantity_edited]])*(-Tradingbook_SBV[[#This Row],[Modified Duration]]*0.01+0.5*Tradingbook_SBV[[#This Row],[Conv]]*(0.01^2))</f>
        <v>0</v>
      </c>
      <c r="EC159" t="s">
        <v>166</v>
      </c>
      <c r="ED159" t="s">
        <v>167</v>
      </c>
      <c r="EE159" t="s">
        <v>560</v>
      </c>
      <c r="EF159" t="s">
        <v>169</v>
      </c>
      <c r="EG159" s="35" t="s">
        <v>3405</v>
      </c>
      <c r="EH159" t="s">
        <v>3322</v>
      </c>
      <c r="EI159" s="500">
        <v>100289</v>
      </c>
      <c r="EJ159" s="500">
        <v>100289</v>
      </c>
      <c r="EK159" s="500">
        <v>0</v>
      </c>
      <c r="EL159" s="500">
        <v>0</v>
      </c>
      <c r="EM159" s="500">
        <v>0</v>
      </c>
      <c r="EN159" s="500">
        <v>0</v>
      </c>
      <c r="EO159">
        <v>6.2</v>
      </c>
      <c r="EP159">
        <v>5368</v>
      </c>
      <c r="EQ159">
        <v>49600000000</v>
      </c>
      <c r="ER159">
        <v>58657837902.777771</v>
      </c>
      <c r="ES159">
        <v>-12699221549.652637</v>
      </c>
      <c r="ET159">
        <v>3.8282327889999999</v>
      </c>
      <c r="EU159">
        <v>0.1335601733614</v>
      </c>
      <c r="EV159">
        <v>0.13867317000000001</v>
      </c>
      <c r="EW159">
        <v>3.5676639816599999E-2</v>
      </c>
      <c r="EX159">
        <v>0</v>
      </c>
      <c r="EY159">
        <v>0</v>
      </c>
      <c r="EZ159">
        <v>0</v>
      </c>
      <c r="FA159">
        <v>24260500000</v>
      </c>
      <c r="FB159">
        <v>0</v>
      </c>
      <c r="FC159">
        <v>24260500000</v>
      </c>
      <c r="FD159">
        <v>24260500000</v>
      </c>
      <c r="FE159">
        <v>24260500000</v>
      </c>
      <c r="FF159">
        <v>24260500000</v>
      </c>
      <c r="FG159" s="32">
        <f>Bankingbook_SBV[[#This Row],[Mat. Date]]-RPT</f>
        <v>49</v>
      </c>
      <c r="FH159" s="32">
        <f>IF(Bankingbook_SBV[[#This Row],[Days]]&lt;=0,0,YEARFRAC(RPT,Bankingbook_SBV[[#This Row],[Mat. Date]],3))</f>
        <v>0.13424657534246576</v>
      </c>
      <c r="FI159" s="32" t="str">
        <f>IF(Bankingbook_SBV[[#This Row],[Days (year)]]=0,0,INDEX(Ref!$K$2:$K$13,MATCH(Bankingbook_SBV[[#This Row],[Days (year)]],Ref!$I$2:$I$13,1)))</f>
        <v>3M</v>
      </c>
      <c r="FJ159" s="32" t="str">
        <f>VLOOKUP(Bankingbook_SBV[[#This Row],[Security Name]],Ref!X:Z,3,0)</f>
        <v>TPCP</v>
      </c>
      <c r="FK159" s="32" t="str">
        <f>VLOOKUP(Bankingbook_SBV[[#This Row],[Security Name]],Ref!X:Y,2,0)</f>
        <v>KBNN</v>
      </c>
      <c r="FL159" s="72">
        <f>IF((Bankingbook_SBV[[#This Row],[Mat. Date]]-RPT)&lt;=0,0,Bankingbook_SBV[[#This Row],[QUANTITY]])</f>
        <v>0</v>
      </c>
      <c r="FM159" s="32">
        <f>IF(Bankingbook_SBV[[#This Row],[Quantity_edited]]=0,0,Bankingbook_SBV[[#This Row],[DURATION]])</f>
        <v>0</v>
      </c>
      <c r="FN159" s="32">
        <f>IF(Bankingbook_SBV[[#This Row],[Quantity_edited]]=0,0,Bankingbook_SBV[[#This Row],[Mod Dur]])</f>
        <v>0</v>
      </c>
      <c r="FO159" s="32">
        <f>IF(Bankingbook_SBV[[#This Row],[Quantity_edited]]=0,0,Bankingbook_SBV[[#This Row],[Cnvx.]])</f>
        <v>0</v>
      </c>
      <c r="FP159" s="32">
        <f>(Bankingbook_SBV[[#This Row],[MARKET_VALUE]]+Bankingbook_SBV[[#This Row],[Accr Int]]*Bankingbook_SBV[[#This Row],[Quantity_edited]])*(-Bankingbook_SBV[[#This Row],[Modified Duration]]*0.0001+0.5*Bankingbook_SBV[[#This Row],[Conv]]*(0.0001^2))</f>
        <v>0</v>
      </c>
      <c r="FQ159" s="32">
        <f>(Bankingbook_SBV[[#This Row],[MARKET_VALUE]]+Bankingbook_SBV[[#This Row],[Accr Int]]*Bankingbook_SBV[[#This Row],[Quantity_edited]])*(-Bankingbook_SBV[[#This Row],[Modified Duration]]*0.01+0.5*Bankingbook_SBV[[#This Row],[Conv]]*(0.01^2))</f>
        <v>0</v>
      </c>
    </row>
    <row r="160" spans="2:173" x14ac:dyDescent="0.3">
      <c r="B160" t="s">
        <v>166</v>
      </c>
      <c r="C160" t="s">
        <v>167</v>
      </c>
      <c r="D160" t="s">
        <v>337</v>
      </c>
      <c r="E160" t="s">
        <v>169</v>
      </c>
      <c r="F160" s="502">
        <v>42978</v>
      </c>
      <c r="G160" t="s">
        <v>3322</v>
      </c>
      <c r="H160"/>
      <c r="I160"/>
      <c r="J160" s="38">
        <v>0</v>
      </c>
      <c r="K160">
        <v>0</v>
      </c>
      <c r="L160">
        <v>0</v>
      </c>
      <c r="M160" s="38">
        <v>0</v>
      </c>
      <c r="N160">
        <v>5.4</v>
      </c>
      <c r="O160">
        <v>0</v>
      </c>
      <c r="P160" s="37">
        <v>0</v>
      </c>
      <c r="Q160" s="37">
        <v>0</v>
      </c>
      <c r="R160" s="37">
        <v>-259225024.8611095</v>
      </c>
      <c r="S160">
        <v>0</v>
      </c>
      <c r="T160" s="70">
        <v>0</v>
      </c>
      <c r="U160">
        <v>0</v>
      </c>
      <c r="V160">
        <v>0</v>
      </c>
      <c r="W160">
        <v>0</v>
      </c>
      <c r="X160" s="38">
        <v>0</v>
      </c>
      <c r="Y160">
        <v>0</v>
      </c>
      <c r="Z160" s="70">
        <v>-357000000</v>
      </c>
      <c r="AA160" s="70">
        <v>0</v>
      </c>
      <c r="AB160" s="70">
        <v>-357000000</v>
      </c>
      <c r="AC160" s="70">
        <v>-357000000</v>
      </c>
      <c r="AD160" s="70">
        <v>-357000000</v>
      </c>
      <c r="AE160" s="70">
        <v>-357000000</v>
      </c>
      <c r="AF160">
        <v>0</v>
      </c>
      <c r="AG160" s="72">
        <f>Tradingbook_MSB[[#This Row],[Mat. Date]]-RPT</f>
        <v>-3274</v>
      </c>
      <c r="AH160" s="71">
        <f>IF(Tradingbook_MSB[[#This Row],[Days]]&lt;=0,0,YEARFRAC(RPT,Tradingbook_MSB[[#This Row],[Mat. Date]],3))</f>
        <v>0</v>
      </c>
      <c r="AI160" s="71">
        <f>IF(Tradingbook_MSB[[#This Row],[Days (year)]]=0,0,INDEX(Ref!$K$2:$K$13,MATCH(Tradingbook_MSB[[#This Row],[Days (year)]],Ref!$I$2:$I$13,1)))</f>
        <v>0</v>
      </c>
      <c r="AJ160" s="120" t="str">
        <f>VLOOKUP(Tradingbook_MSB[[#This Row],[Security Name]],Ref!X:Z,3,0)</f>
        <v>TPCP</v>
      </c>
      <c r="AK160" s="120" t="str">
        <f>VLOOKUP(Tradingbook_MSB[[#This Row],[Security Name]],Ref!X:Y,2,0)</f>
        <v>KBNN</v>
      </c>
      <c r="AL160" s="71">
        <f>IF((Tradingbook_MSB[[#This Row],[Mat. Date]]-RPT)&lt;=0,0,Tradingbook_MSB[[#This Row],[QUANTITY]])</f>
        <v>0</v>
      </c>
      <c r="AM160" s="71">
        <f>IF(Tradingbook_MSB[[#This Row],[Quantity_edited]]=0,0,Tradingbook_MSB[[#This Row],[DURATION]])</f>
        <v>0</v>
      </c>
      <c r="AN160" s="71">
        <f>IF(Tradingbook_MSB[[#This Row],[Quantity_edited]]=0,0,Tradingbook_MSB[[#This Row],[Mod Dur]])</f>
        <v>0</v>
      </c>
      <c r="AO160" s="71">
        <f>IF(Tradingbook_MSB[[#This Row],[Quantity_edited]]=0,0,Tradingbook_MSB[[#This Row],[Cnvx.]])</f>
        <v>0</v>
      </c>
      <c r="AP160" s="71">
        <f>(Tradingbook_MSB[[#This Row],[MARKET_VALUE]]+Tradingbook_MSB[[#This Row],[Accr Int]]*Tradingbook_MSB[[#This Row],[Quantity_edited]])*(-Tradingbook_MSB[[#This Row],[Modified Duration]]*0.0001+0.5*Tradingbook_MSB[[#This Row],[Conv]]*(0.0001^2))</f>
        <v>0</v>
      </c>
      <c r="AQ160" s="72">
        <f>(Tradingbook_MSB[[#This Row],[MARKET_VALUE]]+Tradingbook_MSB[[#This Row],[Accr Int]]*Tradingbook_MSB[[#This Row],[Quantity_edited]])*(-Tradingbook_MSB[[#This Row],[Modified Duration]]*0.01+0.5*Tradingbook_MSB[[#This Row],[Conv]]*(0.01^2))</f>
        <v>0</v>
      </c>
      <c r="AR160" s="71"/>
      <c r="AT160" t="s">
        <v>166</v>
      </c>
      <c r="AU160" t="s">
        <v>3301</v>
      </c>
      <c r="AV160" t="s">
        <v>2779</v>
      </c>
      <c r="AW160" t="s">
        <v>169</v>
      </c>
      <c r="AX160" t="s">
        <v>2780</v>
      </c>
      <c r="AY160" t="s">
        <v>170</v>
      </c>
      <c r="AZ160">
        <v>89666</v>
      </c>
      <c r="BA160">
        <v>89666</v>
      </c>
      <c r="BB160">
        <v>5000000</v>
      </c>
      <c r="BC160">
        <v>500000000000</v>
      </c>
      <c r="BD160">
        <v>102559.8</v>
      </c>
      <c r="BE160">
        <v>448330000000</v>
      </c>
      <c r="BF160">
        <v>3.1</v>
      </c>
      <c r="BG160">
        <v>2327</v>
      </c>
      <c r="BH160">
        <v>31000000000</v>
      </c>
      <c r="BI160">
        <v>33013945138.888912</v>
      </c>
      <c r="BJ160">
        <v>-51427982020.833328</v>
      </c>
      <c r="BK160">
        <v>4.8205569959999996</v>
      </c>
      <c r="BL160">
        <v>6.1035684561021002</v>
      </c>
      <c r="BM160">
        <v>6.3977944500000001</v>
      </c>
      <c r="BN160">
        <v>46.398306297195397</v>
      </c>
      <c r="BO160">
        <v>213415.9695598947</v>
      </c>
      <c r="BP160">
        <v>-280742.78649110202</v>
      </c>
      <c r="BQ160">
        <v>59332.659</v>
      </c>
      <c r="BR160">
        <v>0</v>
      </c>
      <c r="BS160">
        <v>-64469000000.000015</v>
      </c>
      <c r="BT160">
        <v>-64469000000.000015</v>
      </c>
      <c r="BU160">
        <v>-64469000000.000015</v>
      </c>
      <c r="BV160">
        <v>-64469000000</v>
      </c>
      <c r="BW160">
        <v>-64469000000.000015</v>
      </c>
      <c r="BX160">
        <v>2.7999593370000002</v>
      </c>
      <c r="BY160" s="32">
        <f>Bankingbook_MSB[[#This Row],[Mat. Date]]-RPT</f>
        <v>2648</v>
      </c>
      <c r="BZ160" s="71">
        <f>IF(Bankingbook_MSB[[#This Row],[Days]]&lt;=0,0,YEARFRAC(RPT,Bankingbook_MSB[[#This Row],[Mat. Date]],3))</f>
        <v>7.2547945205479456</v>
      </c>
      <c r="CA160" s="71" t="str">
        <f>IF(Bankingbook_MSB[[#This Row],[Days (year)]]=0,0,INDEX(Ref!$K$2:$K$13,MATCH(Bankingbook_MSB[[#This Row],[Days (year)]],Ref!$I$2:$I$13,1)))</f>
        <v>7Y</v>
      </c>
      <c r="CB160" s="32" t="str">
        <f>VLOOKUP(Bankingbook_MSB[[#This Row],[Security Name]],Ref!X:Z,3,0)</f>
        <v>TPCPBL</v>
      </c>
      <c r="CC160" s="32" t="str">
        <f>VLOOKUP(Bankingbook_MSB[[#This Row],[Security Name]],Ref!X:Y,2,0)</f>
        <v>VBS</v>
      </c>
      <c r="CD160" s="72">
        <f>IF((Bankingbook_MSB[[#This Row],[Mat. Date]]-RPT)&lt;=0,0,Bankingbook_MSB[[#This Row],[QUANTITY]])</f>
        <v>5000000</v>
      </c>
      <c r="CE160" s="71">
        <f>IF(Bankingbook_MSB[[#This Row],[Quantity_edited]]=0,0,Bankingbook_MSB[[#This Row],[DURATION]])</f>
        <v>6.3977944500000001</v>
      </c>
      <c r="CF160" s="71">
        <f>IF(Bankingbook_MSB[[#This Row],[Quantity_edited]]=0,0,Bankingbook_MSB[[#This Row],[Mod Dur]])</f>
        <v>6.1035684561021002</v>
      </c>
      <c r="CG160" s="71">
        <f>IF(Bankingbook_MSB[[#This Row],[Quantity_edited]]=0,0,Bankingbook_MSB[[#This Row],[Cnvx.]])</f>
        <v>46.398306297195397</v>
      </c>
      <c r="CH160" s="71">
        <f>(Bankingbook_MSB[[#This Row],[MARKET_VALUE]]+Bankingbook_MSB[[#This Row],[Accr Int]]*Bankingbook_MSB[[#This Row],[Quantity_edited]])*(-Bankingbook_MSB[[#This Row],[Modified Duration]]*0.0001+0.5*Bankingbook_MSB[[#This Row],[Conv]]*(0.0001^2))</f>
        <v>-280636078.5063203</v>
      </c>
      <c r="CI160" s="71">
        <f>(Bankingbook_MSB[[#This Row],[MARKET_VALUE]]+Bankingbook_MSB[[#This Row],[Accr Int]]*Bankingbook_MSB[[#This Row],[Quantity_edited]])*(-Bankingbook_MSB[[#This Row],[Modified Duration]]*0.01+0.5*Bankingbook_MSB[[#This Row],[Conv]]*(0.01^2))</f>
        <v>-27007198801.310551</v>
      </c>
      <c r="CL160" t="s">
        <v>166</v>
      </c>
      <c r="CM160" t="s">
        <v>167</v>
      </c>
      <c r="CN160" t="s">
        <v>337</v>
      </c>
      <c r="CO160" t="s">
        <v>169</v>
      </c>
      <c r="CP160" s="35">
        <v>42978</v>
      </c>
      <c r="CQ160" t="s">
        <v>3322</v>
      </c>
      <c r="CR160" t="s">
        <v>174</v>
      </c>
      <c r="CS160" t="s">
        <v>174</v>
      </c>
      <c r="CT160" s="49">
        <v>0</v>
      </c>
      <c r="CU160">
        <v>0</v>
      </c>
      <c r="CV160">
        <v>0</v>
      </c>
      <c r="CW160" s="70">
        <v>0</v>
      </c>
      <c r="CX160">
        <v>5.4</v>
      </c>
      <c r="CY160">
        <v>0</v>
      </c>
      <c r="CZ160">
        <v>0</v>
      </c>
      <c r="DA160">
        <v>0</v>
      </c>
      <c r="DB160">
        <v>-259225024.8611095</v>
      </c>
      <c r="DC160">
        <v>0</v>
      </c>
      <c r="DD160">
        <v>0</v>
      </c>
      <c r="DE160">
        <v>0</v>
      </c>
      <c r="DF160">
        <v>0</v>
      </c>
      <c r="DG160">
        <v>0</v>
      </c>
      <c r="DH160">
        <v>0</v>
      </c>
      <c r="DI160">
        <v>0</v>
      </c>
      <c r="DJ160" s="500">
        <v>-357000000</v>
      </c>
      <c r="DK160" s="500">
        <v>0</v>
      </c>
      <c r="DL160" s="37">
        <v>-357000000</v>
      </c>
      <c r="DM160" s="37">
        <v>-357000000</v>
      </c>
      <c r="DN160" s="37">
        <v>-357000000</v>
      </c>
      <c r="DO160" s="37">
        <v>-357000000</v>
      </c>
      <c r="DP160" s="32">
        <f>Tradingbook_SBV[[#This Row],[Mat. Date]]-RPT</f>
        <v>-3274</v>
      </c>
      <c r="DQ160" s="32">
        <f>IF(Tradingbook_SBV[[#This Row],[Days]]&lt;=0,0,YEARFRAC(RPT,Tradingbook_SBV[[#This Row],[Mat. Date]],3))</f>
        <v>0</v>
      </c>
      <c r="DR160" s="32">
        <f>IF(Tradingbook_SBV[[#This Row],[Days (year)]]=0,0,INDEX(Ref!$K$2:$K$13,MATCH(Tradingbook_SBV[[#This Row],[Days (year)]],Ref!$I$2:$I$13,1)))</f>
        <v>0</v>
      </c>
      <c r="DS160" s="32" t="str">
        <f>VLOOKUP(Tradingbook_SBV[[#This Row],[Security Name]],Ref!X:Z,3,0)</f>
        <v>TPCP</v>
      </c>
      <c r="DT160" s="32" t="str">
        <f>VLOOKUP(Tradingbook_SBV[[#This Row],[Security Name]],Ref!X:Y,2,0)</f>
        <v>KBNN</v>
      </c>
      <c r="DU160" s="71">
        <f>IF((Tradingbook_SBV[[#This Row],[Mat. Date]]-RPT)&lt;=0,0,Tradingbook_SBV[[#This Row],[QUANTITY]])</f>
        <v>0</v>
      </c>
      <c r="DV160" s="71">
        <f>IF(Tradingbook_SBV[[#This Row],[Quantity_edited]]=0,0,Tradingbook_SBV[[#This Row],[DURATION]])</f>
        <v>0</v>
      </c>
      <c r="DW160" s="71">
        <f>IF(Tradingbook_SBV[[#This Row],[Quantity_edited]]=0,0,Tradingbook_SBV[[#This Row],[Mod Dur]])</f>
        <v>0</v>
      </c>
      <c r="DX160" s="71">
        <f>IF(Tradingbook_SBV[[#This Row],[Quantity_edited]]=0,0,Tradingbook_SBV[[#This Row],[Cnvx.]])</f>
        <v>0</v>
      </c>
      <c r="DY160" s="71">
        <f>(Tradingbook_SBV[[#This Row],[MARKET_VALUE]]+Tradingbook_SBV[[#This Row],[Accr Int]]*Tradingbook_SBV[[#This Row],[Quantity_edited]])*(-Tradingbook_SBV[[#This Row],[Modified Duration]]*0.0001+0.5*Tradingbook_SBV[[#This Row],[Conv]]*(0.0001^2))</f>
        <v>0</v>
      </c>
      <c r="DZ160" s="71">
        <f>(Tradingbook_SBV[[#This Row],[MARKET_VALUE]]+Tradingbook_SBV[[#This Row],[Accr Int]]*Tradingbook_SBV[[#This Row],[Quantity_edited]])*(-Tradingbook_SBV[[#This Row],[Modified Duration]]*0.01+0.5*Tradingbook_SBV[[#This Row],[Conv]]*(0.01^2))</f>
        <v>0</v>
      </c>
      <c r="EC160" t="s">
        <v>166</v>
      </c>
      <c r="ED160" t="s">
        <v>167</v>
      </c>
      <c r="EE160" t="s">
        <v>561</v>
      </c>
      <c r="EF160" t="s">
        <v>169</v>
      </c>
      <c r="EG160" s="35" t="s">
        <v>3778</v>
      </c>
      <c r="EH160" t="s">
        <v>3322</v>
      </c>
      <c r="EI160" s="500">
        <v>99411</v>
      </c>
      <c r="EJ160" s="500">
        <v>99411</v>
      </c>
      <c r="EK160" s="500">
        <v>0</v>
      </c>
      <c r="EL160" s="500">
        <v>0</v>
      </c>
      <c r="EM160" s="500">
        <v>0</v>
      </c>
      <c r="EN160" s="500">
        <v>0</v>
      </c>
      <c r="EO160">
        <v>0.8</v>
      </c>
      <c r="EP160">
        <v>644</v>
      </c>
      <c r="EQ160">
        <v>0</v>
      </c>
      <c r="ER160">
        <v>-9.9999999999999995E-7</v>
      </c>
      <c r="ES160">
        <v>-224953145.83329582</v>
      </c>
      <c r="ET160">
        <v>3.8278242740000001</v>
      </c>
      <c r="EU160">
        <v>0.1930828712764</v>
      </c>
      <c r="EV160">
        <v>0.20047374000000001</v>
      </c>
      <c r="EW160">
        <v>7.4561990360700006E-2</v>
      </c>
      <c r="EX160">
        <v>0</v>
      </c>
      <c r="EY160">
        <v>0</v>
      </c>
      <c r="EZ160">
        <v>0</v>
      </c>
      <c r="FA160">
        <v>-458500000</v>
      </c>
      <c r="FB160">
        <v>0</v>
      </c>
      <c r="FC160">
        <v>-458500000</v>
      </c>
      <c r="FD160">
        <v>-458500000</v>
      </c>
      <c r="FE160">
        <v>-458500000</v>
      </c>
      <c r="FF160">
        <v>-458500000</v>
      </c>
      <c r="FG160" s="32">
        <f>Bankingbook_SBV[[#This Row],[Mat. Date]]-RPT</f>
        <v>71</v>
      </c>
      <c r="FH160" s="32">
        <f>IF(Bankingbook_SBV[[#This Row],[Days]]&lt;=0,0,YEARFRAC(RPT,Bankingbook_SBV[[#This Row],[Mat. Date]],3))</f>
        <v>0.19452054794520549</v>
      </c>
      <c r="FI160" s="32" t="str">
        <f>IF(Bankingbook_SBV[[#This Row],[Days (year)]]=0,0,INDEX(Ref!$K$2:$K$13,MATCH(Bankingbook_SBV[[#This Row],[Days (year)]],Ref!$I$2:$I$13,1)))</f>
        <v>3M</v>
      </c>
      <c r="FJ160" s="32" t="str">
        <f>VLOOKUP(Bankingbook_SBV[[#This Row],[Security Name]],Ref!X:Z,3,0)</f>
        <v>TPCP</v>
      </c>
      <c r="FK160" s="32" t="str">
        <f>VLOOKUP(Bankingbook_SBV[[#This Row],[Security Name]],Ref!X:Y,2,0)</f>
        <v>KBNN</v>
      </c>
      <c r="FL160" s="72">
        <f>IF((Bankingbook_SBV[[#This Row],[Mat. Date]]-RPT)&lt;=0,0,Bankingbook_SBV[[#This Row],[QUANTITY]])</f>
        <v>0</v>
      </c>
      <c r="FM160" s="32">
        <f>IF(Bankingbook_SBV[[#This Row],[Quantity_edited]]=0,0,Bankingbook_SBV[[#This Row],[DURATION]])</f>
        <v>0</v>
      </c>
      <c r="FN160" s="32">
        <f>IF(Bankingbook_SBV[[#This Row],[Quantity_edited]]=0,0,Bankingbook_SBV[[#This Row],[Mod Dur]])</f>
        <v>0</v>
      </c>
      <c r="FO160" s="32">
        <f>IF(Bankingbook_SBV[[#This Row],[Quantity_edited]]=0,0,Bankingbook_SBV[[#This Row],[Cnvx.]])</f>
        <v>0</v>
      </c>
      <c r="FP160" s="32">
        <f>(Bankingbook_SBV[[#This Row],[MARKET_VALUE]]+Bankingbook_SBV[[#This Row],[Accr Int]]*Bankingbook_SBV[[#This Row],[Quantity_edited]])*(-Bankingbook_SBV[[#This Row],[Modified Duration]]*0.0001+0.5*Bankingbook_SBV[[#This Row],[Conv]]*(0.0001^2))</f>
        <v>0</v>
      </c>
      <c r="FQ160" s="32">
        <f>(Bankingbook_SBV[[#This Row],[MARKET_VALUE]]+Bankingbook_SBV[[#This Row],[Accr Int]]*Bankingbook_SBV[[#This Row],[Quantity_edited]])*(-Bankingbook_SBV[[#This Row],[Modified Duration]]*0.01+0.5*Bankingbook_SBV[[#This Row],[Conv]]*(0.01^2))</f>
        <v>0</v>
      </c>
    </row>
    <row r="161" spans="2:173" x14ac:dyDescent="0.3">
      <c r="B161" t="s">
        <v>166</v>
      </c>
      <c r="C161" t="s">
        <v>167</v>
      </c>
      <c r="D161" t="s">
        <v>338</v>
      </c>
      <c r="E161" t="s">
        <v>169</v>
      </c>
      <c r="F161" s="502">
        <v>42990</v>
      </c>
      <c r="G161" t="s">
        <v>3322</v>
      </c>
      <c r="H161"/>
      <c r="I161"/>
      <c r="J161" s="38">
        <v>0</v>
      </c>
      <c r="K161">
        <v>0</v>
      </c>
      <c r="L161">
        <v>0</v>
      </c>
      <c r="M161" s="38">
        <v>0</v>
      </c>
      <c r="N161">
        <v>9.99</v>
      </c>
      <c r="O161">
        <v>0</v>
      </c>
      <c r="P161" s="37">
        <v>0</v>
      </c>
      <c r="Q161" s="37">
        <v>0</v>
      </c>
      <c r="R161" s="37">
        <v>-88222108.749993324</v>
      </c>
      <c r="S161">
        <v>0</v>
      </c>
      <c r="T161" s="70">
        <v>0</v>
      </c>
      <c r="U161">
        <v>0</v>
      </c>
      <c r="V161">
        <v>0</v>
      </c>
      <c r="W161">
        <v>0</v>
      </c>
      <c r="X161" s="38">
        <v>0</v>
      </c>
      <c r="Y161">
        <v>0</v>
      </c>
      <c r="Z161" s="70">
        <v>989500000</v>
      </c>
      <c r="AA161" s="70">
        <v>0</v>
      </c>
      <c r="AB161" s="70">
        <v>989500000</v>
      </c>
      <c r="AC161" s="70">
        <v>989500000</v>
      </c>
      <c r="AD161" s="70">
        <v>989500000</v>
      </c>
      <c r="AE161" s="70">
        <v>989500000</v>
      </c>
      <c r="AF161">
        <v>0</v>
      </c>
      <c r="AG161" s="72">
        <f>Tradingbook_MSB[[#This Row],[Mat. Date]]-RPT</f>
        <v>-3262</v>
      </c>
      <c r="AH161" s="71">
        <f>IF(Tradingbook_MSB[[#This Row],[Days]]&lt;=0,0,YEARFRAC(RPT,Tradingbook_MSB[[#This Row],[Mat. Date]],3))</f>
        <v>0</v>
      </c>
      <c r="AI161" s="71">
        <f>IF(Tradingbook_MSB[[#This Row],[Days (year)]]=0,0,INDEX(Ref!$K$2:$K$13,MATCH(Tradingbook_MSB[[#This Row],[Days (year)]],Ref!$I$2:$I$13,1)))</f>
        <v>0</v>
      </c>
      <c r="AJ161" s="120" t="str">
        <f>VLOOKUP(Tradingbook_MSB[[#This Row],[Security Name]],Ref!X:Z,3,0)</f>
        <v>TPCP</v>
      </c>
      <c r="AK161" s="120" t="str">
        <f>VLOOKUP(Tradingbook_MSB[[#This Row],[Security Name]],Ref!X:Y,2,0)</f>
        <v>VDB</v>
      </c>
      <c r="AL161" s="71">
        <f>IF((Tradingbook_MSB[[#This Row],[Mat. Date]]-RPT)&lt;=0,0,Tradingbook_MSB[[#This Row],[QUANTITY]])</f>
        <v>0</v>
      </c>
      <c r="AM161" s="71">
        <f>IF(Tradingbook_MSB[[#This Row],[Quantity_edited]]=0,0,Tradingbook_MSB[[#This Row],[DURATION]])</f>
        <v>0</v>
      </c>
      <c r="AN161" s="71">
        <f>IF(Tradingbook_MSB[[#This Row],[Quantity_edited]]=0,0,Tradingbook_MSB[[#This Row],[Mod Dur]])</f>
        <v>0</v>
      </c>
      <c r="AO161" s="71">
        <f>IF(Tradingbook_MSB[[#This Row],[Quantity_edited]]=0,0,Tradingbook_MSB[[#This Row],[Cnvx.]])</f>
        <v>0</v>
      </c>
      <c r="AP161" s="71">
        <f>(Tradingbook_MSB[[#This Row],[MARKET_VALUE]]+Tradingbook_MSB[[#This Row],[Accr Int]]*Tradingbook_MSB[[#This Row],[Quantity_edited]])*(-Tradingbook_MSB[[#This Row],[Modified Duration]]*0.0001+0.5*Tradingbook_MSB[[#This Row],[Conv]]*(0.0001^2))</f>
        <v>0</v>
      </c>
      <c r="AQ161" s="72">
        <f>(Tradingbook_MSB[[#This Row],[MARKET_VALUE]]+Tradingbook_MSB[[#This Row],[Accr Int]]*Tradingbook_MSB[[#This Row],[Quantity_edited]])*(-Tradingbook_MSB[[#This Row],[Modified Duration]]*0.01+0.5*Tradingbook_MSB[[#This Row],[Conv]]*(0.01^2))</f>
        <v>0</v>
      </c>
      <c r="AR161" s="71"/>
      <c r="AT161" t="s">
        <v>166</v>
      </c>
      <c r="AU161" t="s">
        <v>3301</v>
      </c>
      <c r="AV161" t="s">
        <v>2781</v>
      </c>
      <c r="AW161" t="s">
        <v>169</v>
      </c>
      <c r="AX161" t="s">
        <v>2784</v>
      </c>
      <c r="AY161" t="s">
        <v>170</v>
      </c>
      <c r="AZ161">
        <v>89050</v>
      </c>
      <c r="BA161">
        <v>89050</v>
      </c>
      <c r="BB161">
        <v>1000000</v>
      </c>
      <c r="BC161">
        <v>100000000000</v>
      </c>
      <c r="BD161">
        <v>101700.667</v>
      </c>
      <c r="BE161">
        <v>89050000000</v>
      </c>
      <c r="BF161">
        <v>3</v>
      </c>
      <c r="BG161">
        <v>2219</v>
      </c>
      <c r="BH161">
        <v>36000000000</v>
      </c>
      <c r="BI161">
        <v>38319825000.000031</v>
      </c>
      <c r="BJ161">
        <v>-60654823649.999969</v>
      </c>
      <c r="BK161">
        <v>4.8209929970000003</v>
      </c>
      <c r="BL161">
        <v>6.1343824948699002</v>
      </c>
      <c r="BM161">
        <v>6.4301206500000001</v>
      </c>
      <c r="BN161">
        <v>46.737549240753502</v>
      </c>
      <c r="BO161">
        <v>42656.893816543299</v>
      </c>
      <c r="BP161">
        <v>-55987.895592428002</v>
      </c>
      <c r="BQ161">
        <v>11774.181</v>
      </c>
      <c r="BR161">
        <v>-2043333333.3333576</v>
      </c>
      <c r="BS161">
        <v>-12650666666.666672</v>
      </c>
      <c r="BT161">
        <v>-14694000000.000029</v>
      </c>
      <c r="BU161">
        <v>-14694000000.000029</v>
      </c>
      <c r="BV161">
        <v>-14694000000</v>
      </c>
      <c r="BW161">
        <v>-14694000000.000029</v>
      </c>
      <c r="BX161">
        <v>2.800552309</v>
      </c>
      <c r="BY161" s="32">
        <f>Bankingbook_MSB[[#This Row],[Mat. Date]]-RPT</f>
        <v>2652</v>
      </c>
      <c r="BZ161" s="71">
        <f>IF(Bankingbook_MSB[[#This Row],[Days]]&lt;=0,0,YEARFRAC(RPT,Bankingbook_MSB[[#This Row],[Mat. Date]],3))</f>
        <v>7.2657534246575342</v>
      </c>
      <c r="CA161" s="71" t="str">
        <f>IF(Bankingbook_MSB[[#This Row],[Days (year)]]=0,0,INDEX(Ref!$K$2:$K$13,MATCH(Bankingbook_MSB[[#This Row],[Days (year)]],Ref!$I$2:$I$13,1)))</f>
        <v>7Y</v>
      </c>
      <c r="CB161" s="32" t="str">
        <f>VLOOKUP(Bankingbook_MSB[[#This Row],[Security Name]],Ref!X:Z,3,0)</f>
        <v>TPCPBL</v>
      </c>
      <c r="CC161" s="32" t="str">
        <f>VLOOKUP(Bankingbook_MSB[[#This Row],[Security Name]],Ref!X:Y,2,0)</f>
        <v>VBS</v>
      </c>
      <c r="CD161" s="72">
        <f>IF((Bankingbook_MSB[[#This Row],[Mat. Date]]-RPT)&lt;=0,0,Bankingbook_MSB[[#This Row],[QUANTITY]])</f>
        <v>1000000</v>
      </c>
      <c r="CE161" s="71">
        <f>IF(Bankingbook_MSB[[#This Row],[Quantity_edited]]=0,0,Bankingbook_MSB[[#This Row],[DURATION]])</f>
        <v>6.4301206500000001</v>
      </c>
      <c r="CF161" s="71">
        <f>IF(Bankingbook_MSB[[#This Row],[Quantity_edited]]=0,0,Bankingbook_MSB[[#This Row],[Mod Dur]])</f>
        <v>6.1343824948699002</v>
      </c>
      <c r="CG161" s="71">
        <f>IF(Bankingbook_MSB[[#This Row],[Quantity_edited]]=0,0,Bankingbook_MSB[[#This Row],[Cnvx.]])</f>
        <v>46.737549240753502</v>
      </c>
      <c r="CH161" s="71">
        <f>(Bankingbook_MSB[[#This Row],[MARKET_VALUE]]+Bankingbook_MSB[[#This Row],[Accr Int]]*Bankingbook_MSB[[#This Row],[Quantity_edited]])*(-Bankingbook_MSB[[#This Row],[Modified Duration]]*0.0001+0.5*Bankingbook_MSB[[#This Row],[Conv]]*(0.0001^2))</f>
        <v>-55966567.14551983</v>
      </c>
      <c r="CI161" s="71">
        <f>(Bankingbook_MSB[[#This Row],[MARKET_VALUE]]+Bankingbook_MSB[[#This Row],[Accr Int]]*Bankingbook_MSB[[#This Row],[Quantity_edited]])*(-Bankingbook_MSB[[#This Row],[Modified Duration]]*0.01+0.5*Bankingbook_MSB[[#This Row],[Conv]]*(0.01^2))</f>
        <v>-5385505090.1600933</v>
      </c>
      <c r="CL161" t="s">
        <v>166</v>
      </c>
      <c r="CM161" t="s">
        <v>167</v>
      </c>
      <c r="CN161" t="s">
        <v>338</v>
      </c>
      <c r="CO161" t="s">
        <v>169</v>
      </c>
      <c r="CP161" s="35">
        <v>42990</v>
      </c>
      <c r="CQ161" t="s">
        <v>3322</v>
      </c>
      <c r="CR161" t="s">
        <v>174</v>
      </c>
      <c r="CS161" t="s">
        <v>174</v>
      </c>
      <c r="CT161" s="49">
        <v>0</v>
      </c>
      <c r="CU161">
        <v>0</v>
      </c>
      <c r="CV161">
        <v>0</v>
      </c>
      <c r="CW161" s="70">
        <v>0</v>
      </c>
      <c r="CX161">
        <v>9.99</v>
      </c>
      <c r="CY161">
        <v>0</v>
      </c>
      <c r="CZ161">
        <v>0</v>
      </c>
      <c r="DA161">
        <v>0</v>
      </c>
      <c r="DB161">
        <v>-88222108.749993324</v>
      </c>
      <c r="DC161">
        <v>0</v>
      </c>
      <c r="DD161">
        <v>0</v>
      </c>
      <c r="DE161">
        <v>0</v>
      </c>
      <c r="DF161">
        <v>0</v>
      </c>
      <c r="DG161">
        <v>0</v>
      </c>
      <c r="DH161">
        <v>0</v>
      </c>
      <c r="DI161">
        <v>0</v>
      </c>
      <c r="DJ161" s="500">
        <v>989500000</v>
      </c>
      <c r="DK161" s="500">
        <v>0</v>
      </c>
      <c r="DL161" s="37">
        <v>989500000</v>
      </c>
      <c r="DM161" s="37">
        <v>989500000</v>
      </c>
      <c r="DN161" s="37">
        <v>989500000</v>
      </c>
      <c r="DO161" s="37">
        <v>989500000</v>
      </c>
      <c r="DP161" s="32">
        <f>Tradingbook_SBV[[#This Row],[Mat. Date]]-RPT</f>
        <v>-3262</v>
      </c>
      <c r="DQ161" s="32">
        <f>IF(Tradingbook_SBV[[#This Row],[Days]]&lt;=0,0,YEARFRAC(RPT,Tradingbook_SBV[[#This Row],[Mat. Date]],3))</f>
        <v>0</v>
      </c>
      <c r="DR161" s="32">
        <f>IF(Tradingbook_SBV[[#This Row],[Days (year)]]=0,0,INDEX(Ref!$K$2:$K$13,MATCH(Tradingbook_SBV[[#This Row],[Days (year)]],Ref!$I$2:$I$13,1)))</f>
        <v>0</v>
      </c>
      <c r="DS161" s="32" t="str">
        <f>VLOOKUP(Tradingbook_SBV[[#This Row],[Security Name]],Ref!X:Z,3,0)</f>
        <v>TPCP</v>
      </c>
      <c r="DT161" s="32" t="str">
        <f>VLOOKUP(Tradingbook_SBV[[#This Row],[Security Name]],Ref!X:Y,2,0)</f>
        <v>VDB</v>
      </c>
      <c r="DU161" s="71">
        <f>IF((Tradingbook_SBV[[#This Row],[Mat. Date]]-RPT)&lt;=0,0,Tradingbook_SBV[[#This Row],[QUANTITY]])</f>
        <v>0</v>
      </c>
      <c r="DV161" s="71">
        <f>IF(Tradingbook_SBV[[#This Row],[Quantity_edited]]=0,0,Tradingbook_SBV[[#This Row],[DURATION]])</f>
        <v>0</v>
      </c>
      <c r="DW161" s="71">
        <f>IF(Tradingbook_SBV[[#This Row],[Quantity_edited]]=0,0,Tradingbook_SBV[[#This Row],[Mod Dur]])</f>
        <v>0</v>
      </c>
      <c r="DX161" s="71">
        <f>IF(Tradingbook_SBV[[#This Row],[Quantity_edited]]=0,0,Tradingbook_SBV[[#This Row],[Cnvx.]])</f>
        <v>0</v>
      </c>
      <c r="DY161" s="71">
        <f>(Tradingbook_SBV[[#This Row],[MARKET_VALUE]]+Tradingbook_SBV[[#This Row],[Accr Int]]*Tradingbook_SBV[[#This Row],[Quantity_edited]])*(-Tradingbook_SBV[[#This Row],[Modified Duration]]*0.0001+0.5*Tradingbook_SBV[[#This Row],[Conv]]*(0.0001^2))</f>
        <v>0</v>
      </c>
      <c r="DZ161" s="71">
        <f>(Tradingbook_SBV[[#This Row],[MARKET_VALUE]]+Tradingbook_SBV[[#This Row],[Accr Int]]*Tradingbook_SBV[[#This Row],[Quantity_edited]])*(-Tradingbook_SBV[[#This Row],[Modified Duration]]*0.01+0.5*Tradingbook_SBV[[#This Row],[Conv]]*(0.01^2))</f>
        <v>0</v>
      </c>
      <c r="EC161" t="s">
        <v>166</v>
      </c>
      <c r="ED161" t="s">
        <v>167</v>
      </c>
      <c r="EE161" t="s">
        <v>562</v>
      </c>
      <c r="EF161" t="s">
        <v>169</v>
      </c>
      <c r="EG161" s="35" t="s">
        <v>3779</v>
      </c>
      <c r="EH161" t="s">
        <v>3322</v>
      </c>
      <c r="EI161" s="500">
        <v>99892</v>
      </c>
      <c r="EJ161" s="500">
        <v>99892</v>
      </c>
      <c r="EK161" s="500">
        <v>0</v>
      </c>
      <c r="EL161" s="500">
        <v>0</v>
      </c>
      <c r="EM161" s="500">
        <v>0</v>
      </c>
      <c r="EN161" s="500">
        <v>0</v>
      </c>
      <c r="EO161">
        <v>4</v>
      </c>
      <c r="EP161">
        <v>3047</v>
      </c>
      <c r="EQ161">
        <v>24000000000</v>
      </c>
      <c r="ER161">
        <v>27781284999.999886</v>
      </c>
      <c r="ES161">
        <v>-4371555320.4855537</v>
      </c>
      <c r="ET161">
        <v>4.3242326420000001</v>
      </c>
      <c r="EU161">
        <v>0.23592447312930001</v>
      </c>
      <c r="EV161">
        <v>0.2461264</v>
      </c>
      <c r="EW161">
        <v>0.1113207140428</v>
      </c>
      <c r="EX161">
        <v>0</v>
      </c>
      <c r="EY161">
        <v>0</v>
      </c>
      <c r="EZ161">
        <v>0</v>
      </c>
      <c r="FA161">
        <v>18977500000</v>
      </c>
      <c r="FB161">
        <v>0</v>
      </c>
      <c r="FC161">
        <v>18977500000</v>
      </c>
      <c r="FD161">
        <v>18977500000</v>
      </c>
      <c r="FE161">
        <v>18977500000</v>
      </c>
      <c r="FF161">
        <v>18977500000</v>
      </c>
      <c r="FG161" s="32">
        <f>Bankingbook_SBV[[#This Row],[Mat. Date]]-RPT</f>
        <v>87</v>
      </c>
      <c r="FH161" s="32">
        <f>IF(Bankingbook_SBV[[#This Row],[Days]]&lt;=0,0,YEARFRAC(RPT,Bankingbook_SBV[[#This Row],[Mat. Date]],3))</f>
        <v>0.23835616438356164</v>
      </c>
      <c r="FI161" s="32" t="str">
        <f>IF(Bankingbook_SBV[[#This Row],[Days (year)]]=0,0,INDEX(Ref!$K$2:$K$13,MATCH(Bankingbook_SBV[[#This Row],[Days (year)]],Ref!$I$2:$I$13,1)))</f>
        <v>3M</v>
      </c>
      <c r="FJ161" s="32" t="str">
        <f>VLOOKUP(Bankingbook_SBV[[#This Row],[Security Name]],Ref!X:Z,3,0)</f>
        <v>TPCPBL</v>
      </c>
      <c r="FK161" s="32" t="str">
        <f>VLOOKUP(Bankingbook_SBV[[#This Row],[Security Name]],Ref!X:Y,2,0)</f>
        <v>VDB</v>
      </c>
      <c r="FL161" s="72">
        <f>IF((Bankingbook_SBV[[#This Row],[Mat. Date]]-RPT)&lt;=0,0,Bankingbook_SBV[[#This Row],[QUANTITY]])</f>
        <v>0</v>
      </c>
      <c r="FM161" s="32">
        <f>IF(Bankingbook_SBV[[#This Row],[Quantity_edited]]=0,0,Bankingbook_SBV[[#This Row],[DURATION]])</f>
        <v>0</v>
      </c>
      <c r="FN161" s="32">
        <f>IF(Bankingbook_SBV[[#This Row],[Quantity_edited]]=0,0,Bankingbook_SBV[[#This Row],[Mod Dur]])</f>
        <v>0</v>
      </c>
      <c r="FO161" s="32">
        <f>IF(Bankingbook_SBV[[#This Row],[Quantity_edited]]=0,0,Bankingbook_SBV[[#This Row],[Cnvx.]])</f>
        <v>0</v>
      </c>
      <c r="FP161" s="32">
        <f>(Bankingbook_SBV[[#This Row],[MARKET_VALUE]]+Bankingbook_SBV[[#This Row],[Accr Int]]*Bankingbook_SBV[[#This Row],[Quantity_edited]])*(-Bankingbook_SBV[[#This Row],[Modified Duration]]*0.0001+0.5*Bankingbook_SBV[[#This Row],[Conv]]*(0.0001^2))</f>
        <v>0</v>
      </c>
      <c r="FQ161" s="32">
        <f>(Bankingbook_SBV[[#This Row],[MARKET_VALUE]]+Bankingbook_SBV[[#This Row],[Accr Int]]*Bankingbook_SBV[[#This Row],[Quantity_edited]])*(-Bankingbook_SBV[[#This Row],[Modified Duration]]*0.01+0.5*Bankingbook_SBV[[#This Row],[Conv]]*(0.01^2))</f>
        <v>0</v>
      </c>
    </row>
    <row r="162" spans="2:173" x14ac:dyDescent="0.3">
      <c r="B162" t="s">
        <v>166</v>
      </c>
      <c r="C162" t="s">
        <v>167</v>
      </c>
      <c r="D162" t="s">
        <v>339</v>
      </c>
      <c r="E162" t="s">
        <v>169</v>
      </c>
      <c r="F162" s="502">
        <v>43065</v>
      </c>
      <c r="G162" t="s">
        <v>3322</v>
      </c>
      <c r="H162"/>
      <c r="I162"/>
      <c r="J162" s="38">
        <v>0</v>
      </c>
      <c r="K162">
        <v>0</v>
      </c>
      <c r="L162">
        <v>0</v>
      </c>
      <c r="M162" s="38">
        <v>0</v>
      </c>
      <c r="N162">
        <v>10.7</v>
      </c>
      <c r="O162">
        <v>0</v>
      </c>
      <c r="P162" s="37">
        <v>0</v>
      </c>
      <c r="Q162" s="37">
        <v>0</v>
      </c>
      <c r="R162" s="37">
        <v>0</v>
      </c>
      <c r="S162">
        <v>0</v>
      </c>
      <c r="T162" s="70">
        <v>0</v>
      </c>
      <c r="U162">
        <v>0</v>
      </c>
      <c r="V162">
        <v>0</v>
      </c>
      <c r="W162">
        <v>0</v>
      </c>
      <c r="X162" s="38">
        <v>0</v>
      </c>
      <c r="Y162">
        <v>0</v>
      </c>
      <c r="Z162" s="70">
        <v>0</v>
      </c>
      <c r="AA162" s="70">
        <v>0</v>
      </c>
      <c r="AB162" s="70">
        <v>0</v>
      </c>
      <c r="AC162" s="70">
        <v>0</v>
      </c>
      <c r="AD162" s="70">
        <v>0</v>
      </c>
      <c r="AE162" s="70">
        <v>0</v>
      </c>
      <c r="AF162">
        <v>0</v>
      </c>
      <c r="AG162" s="72">
        <f>Tradingbook_MSB[[#This Row],[Mat. Date]]-RPT</f>
        <v>-3187</v>
      </c>
      <c r="AH162" s="71">
        <f>IF(Tradingbook_MSB[[#This Row],[Days]]&lt;=0,0,YEARFRAC(RPT,Tradingbook_MSB[[#This Row],[Mat. Date]],3))</f>
        <v>0</v>
      </c>
      <c r="AI162" s="71">
        <f>IF(Tradingbook_MSB[[#This Row],[Days (year)]]=0,0,INDEX(Ref!$K$2:$K$13,MATCH(Tradingbook_MSB[[#This Row],[Days (year)]],Ref!$I$2:$I$13,1)))</f>
        <v>0</v>
      </c>
      <c r="AJ162" s="120" t="str">
        <f>VLOOKUP(Tradingbook_MSB[[#This Row],[Security Name]],Ref!X:Z,3,0)</f>
        <v>TPCPBL</v>
      </c>
      <c r="AK162" s="120" t="str">
        <f>VLOOKUP(Tradingbook_MSB[[#This Row],[Security Name]],Ref!X:Y,2,0)</f>
        <v>VDB</v>
      </c>
      <c r="AL162" s="71">
        <f>IF((Tradingbook_MSB[[#This Row],[Mat. Date]]-RPT)&lt;=0,0,Tradingbook_MSB[[#This Row],[QUANTITY]])</f>
        <v>0</v>
      </c>
      <c r="AM162" s="71">
        <f>IF(Tradingbook_MSB[[#This Row],[Quantity_edited]]=0,0,Tradingbook_MSB[[#This Row],[DURATION]])</f>
        <v>0</v>
      </c>
      <c r="AN162" s="71">
        <f>IF(Tradingbook_MSB[[#This Row],[Quantity_edited]]=0,0,Tradingbook_MSB[[#This Row],[Mod Dur]])</f>
        <v>0</v>
      </c>
      <c r="AO162" s="71">
        <f>IF(Tradingbook_MSB[[#This Row],[Quantity_edited]]=0,0,Tradingbook_MSB[[#This Row],[Cnvx.]])</f>
        <v>0</v>
      </c>
      <c r="AP162" s="71">
        <f>(Tradingbook_MSB[[#This Row],[MARKET_VALUE]]+Tradingbook_MSB[[#This Row],[Accr Int]]*Tradingbook_MSB[[#This Row],[Quantity_edited]])*(-Tradingbook_MSB[[#This Row],[Modified Duration]]*0.0001+0.5*Tradingbook_MSB[[#This Row],[Conv]]*(0.0001^2))</f>
        <v>0</v>
      </c>
      <c r="AQ162" s="72">
        <f>(Tradingbook_MSB[[#This Row],[MARKET_VALUE]]+Tradingbook_MSB[[#This Row],[Accr Int]]*Tradingbook_MSB[[#This Row],[Quantity_edited]])*(-Tradingbook_MSB[[#This Row],[Modified Duration]]*0.01+0.5*Tradingbook_MSB[[#This Row],[Conv]]*(0.01^2))</f>
        <v>0</v>
      </c>
      <c r="AR162" s="71"/>
      <c r="AT162" t="s">
        <v>166</v>
      </c>
      <c r="AU162" t="s">
        <v>3301</v>
      </c>
      <c r="AV162" t="s">
        <v>2794</v>
      </c>
      <c r="AW162" t="s">
        <v>169</v>
      </c>
      <c r="AX162" t="s">
        <v>3449</v>
      </c>
      <c r="AY162" t="s">
        <v>170</v>
      </c>
      <c r="AZ162">
        <v>86931</v>
      </c>
      <c r="BA162">
        <v>86931</v>
      </c>
      <c r="BB162">
        <v>500000</v>
      </c>
      <c r="BC162">
        <v>50000000000</v>
      </c>
      <c r="BD162">
        <v>99998</v>
      </c>
      <c r="BE162">
        <v>43465500000</v>
      </c>
      <c r="BF162">
        <v>2.2000000000000002</v>
      </c>
      <c r="BG162">
        <v>1531</v>
      </c>
      <c r="BH162">
        <v>1100000000</v>
      </c>
      <c r="BI162">
        <v>1144238333.333333</v>
      </c>
      <c r="BJ162">
        <v>-4088579802.0833402</v>
      </c>
      <c r="BK162">
        <v>4.3230796659999999</v>
      </c>
      <c r="BL162">
        <v>6.3943559531145997</v>
      </c>
      <c r="BM162">
        <v>6.6707890599999997</v>
      </c>
      <c r="BN162">
        <v>49.630501505283299</v>
      </c>
      <c r="BO162">
        <v>21952.067120801901</v>
      </c>
      <c r="BP162">
        <v>-28282.875816221</v>
      </c>
      <c r="BQ162">
        <v>5128.9650000000001</v>
      </c>
      <c r="BR162">
        <v>0</v>
      </c>
      <c r="BS162">
        <v>-6533500000</v>
      </c>
      <c r="BT162">
        <v>-6533500000</v>
      </c>
      <c r="BU162">
        <v>-6533500000</v>
      </c>
      <c r="BV162">
        <v>-6533500000</v>
      </c>
      <c r="BW162">
        <v>-6533500000</v>
      </c>
      <c r="BX162">
        <v>2.2000000000000002</v>
      </c>
      <c r="BY162" s="32">
        <f>Bankingbook_MSB[[#This Row],[Mat. Date]]-RPT</f>
        <v>2668</v>
      </c>
      <c r="BZ162" s="71">
        <f>IF(Bankingbook_MSB[[#This Row],[Days]]&lt;=0,0,YEARFRAC(RPT,Bankingbook_MSB[[#This Row],[Mat. Date]],3))</f>
        <v>7.3095890410958901</v>
      </c>
      <c r="CA162" s="71" t="str">
        <f>IF(Bankingbook_MSB[[#This Row],[Days (year)]]=0,0,INDEX(Ref!$K$2:$K$13,MATCH(Bankingbook_MSB[[#This Row],[Days (year)]],Ref!$I$2:$I$13,1)))</f>
        <v>7Y</v>
      </c>
      <c r="CB162" s="32" t="str">
        <f>VLOOKUP(Bankingbook_MSB[[#This Row],[Security Name]],Ref!X:Z,3,0)</f>
        <v>TPCP</v>
      </c>
      <c r="CC162" s="32" t="str">
        <f>VLOOKUP(Bankingbook_MSB[[#This Row],[Security Name]],Ref!X:Y,2,0)</f>
        <v>KBNN</v>
      </c>
      <c r="CD162" s="72">
        <f>IF((Bankingbook_MSB[[#This Row],[Mat. Date]]-RPT)&lt;=0,0,Bankingbook_MSB[[#This Row],[QUANTITY]])</f>
        <v>500000</v>
      </c>
      <c r="CE162" s="71">
        <f>IF(Bankingbook_MSB[[#This Row],[Quantity_edited]]=0,0,Bankingbook_MSB[[#This Row],[DURATION]])</f>
        <v>6.6707890599999997</v>
      </c>
      <c r="CF162" s="71">
        <f>IF(Bankingbook_MSB[[#This Row],[Quantity_edited]]=0,0,Bankingbook_MSB[[#This Row],[Mod Dur]])</f>
        <v>6.3943559531145997</v>
      </c>
      <c r="CG162" s="71">
        <f>IF(Bankingbook_MSB[[#This Row],[Quantity_edited]]=0,0,Bankingbook_MSB[[#This Row],[Cnvx.]])</f>
        <v>49.630501505283299</v>
      </c>
      <c r="CH162" s="71">
        <f>(Bankingbook_MSB[[#This Row],[MARKET_VALUE]]+Bankingbook_MSB[[#This Row],[Accr Int]]*Bankingbook_MSB[[#This Row],[Quantity_edited]])*(-Bankingbook_MSB[[#This Row],[Modified Duration]]*0.0001+0.5*Bankingbook_MSB[[#This Row],[Conv]]*(0.0001^2))</f>
        <v>-28271899.782660786</v>
      </c>
      <c r="CI162" s="71">
        <f>(Bankingbook_MSB[[#This Row],[MARKET_VALUE]]+Bankingbook_MSB[[#This Row],[Accr Int]]*Bankingbook_MSB[[#This Row],[Quantity_edited]])*(-Bankingbook_MSB[[#This Row],[Modified Duration]]*0.01+0.5*Bankingbook_MSB[[#This Row],[Conv]]*(0.01^2))</f>
        <v>-2718527246.0181093</v>
      </c>
      <c r="CL162" t="s">
        <v>166</v>
      </c>
      <c r="CM162" t="s">
        <v>167</v>
      </c>
      <c r="CN162" t="s">
        <v>339</v>
      </c>
      <c r="CO162" t="s">
        <v>169</v>
      </c>
      <c r="CP162" s="35">
        <v>43065</v>
      </c>
      <c r="CQ162" t="s">
        <v>3322</v>
      </c>
      <c r="CR162" t="s">
        <v>174</v>
      </c>
      <c r="CS162" t="s">
        <v>174</v>
      </c>
      <c r="CT162" s="49">
        <v>0</v>
      </c>
      <c r="CU162">
        <v>0</v>
      </c>
      <c r="CV162">
        <v>0</v>
      </c>
      <c r="CW162" s="70">
        <v>0</v>
      </c>
      <c r="CX162">
        <v>10.7</v>
      </c>
      <c r="CY162">
        <v>0</v>
      </c>
      <c r="CZ162">
        <v>0</v>
      </c>
      <c r="DA162">
        <v>0</v>
      </c>
      <c r="DB162">
        <v>0</v>
      </c>
      <c r="DC162">
        <v>0</v>
      </c>
      <c r="DD162">
        <v>0</v>
      </c>
      <c r="DE162">
        <v>0</v>
      </c>
      <c r="DF162">
        <v>0</v>
      </c>
      <c r="DG162">
        <v>0</v>
      </c>
      <c r="DH162">
        <v>0</v>
      </c>
      <c r="DI162">
        <v>0</v>
      </c>
      <c r="DJ162" s="500">
        <v>0</v>
      </c>
      <c r="DK162" s="500">
        <v>0</v>
      </c>
      <c r="DL162" s="37">
        <v>0</v>
      </c>
      <c r="DM162" s="37">
        <v>0</v>
      </c>
      <c r="DN162" s="37">
        <v>0</v>
      </c>
      <c r="DO162" s="37">
        <v>0</v>
      </c>
      <c r="DP162" s="32">
        <f>Tradingbook_SBV[[#This Row],[Mat. Date]]-RPT</f>
        <v>-3187</v>
      </c>
      <c r="DQ162" s="32">
        <f>IF(Tradingbook_SBV[[#This Row],[Days]]&lt;=0,0,YEARFRAC(RPT,Tradingbook_SBV[[#This Row],[Mat. Date]],3))</f>
        <v>0</v>
      </c>
      <c r="DR162" s="32">
        <f>IF(Tradingbook_SBV[[#This Row],[Days (year)]]=0,0,INDEX(Ref!$K$2:$K$13,MATCH(Tradingbook_SBV[[#This Row],[Days (year)]],Ref!$I$2:$I$13,1)))</f>
        <v>0</v>
      </c>
      <c r="DS162" s="32" t="str">
        <f>VLOOKUP(Tradingbook_SBV[[#This Row],[Security Name]],Ref!X:Z,3,0)</f>
        <v>TPCPBL</v>
      </c>
      <c r="DT162" s="32" t="str">
        <f>VLOOKUP(Tradingbook_SBV[[#This Row],[Security Name]],Ref!X:Y,2,0)</f>
        <v>VDB</v>
      </c>
      <c r="DU162" s="71">
        <f>IF((Tradingbook_SBV[[#This Row],[Mat. Date]]-RPT)&lt;=0,0,Tradingbook_SBV[[#This Row],[QUANTITY]])</f>
        <v>0</v>
      </c>
      <c r="DV162" s="71">
        <f>IF(Tradingbook_SBV[[#This Row],[Quantity_edited]]=0,0,Tradingbook_SBV[[#This Row],[DURATION]])</f>
        <v>0</v>
      </c>
      <c r="DW162" s="71">
        <f>IF(Tradingbook_SBV[[#This Row],[Quantity_edited]]=0,0,Tradingbook_SBV[[#This Row],[Mod Dur]])</f>
        <v>0</v>
      </c>
      <c r="DX162" s="71">
        <f>IF(Tradingbook_SBV[[#This Row],[Quantity_edited]]=0,0,Tradingbook_SBV[[#This Row],[Cnvx.]])</f>
        <v>0</v>
      </c>
      <c r="DY162" s="71">
        <f>(Tradingbook_SBV[[#This Row],[MARKET_VALUE]]+Tradingbook_SBV[[#This Row],[Accr Int]]*Tradingbook_SBV[[#This Row],[Quantity_edited]])*(-Tradingbook_SBV[[#This Row],[Modified Duration]]*0.0001+0.5*Tradingbook_SBV[[#This Row],[Conv]]*(0.0001^2))</f>
        <v>0</v>
      </c>
      <c r="DZ162" s="71">
        <f>(Tradingbook_SBV[[#This Row],[MARKET_VALUE]]+Tradingbook_SBV[[#This Row],[Accr Int]]*Tradingbook_SBV[[#This Row],[Quantity_edited]])*(-Tradingbook_SBV[[#This Row],[Modified Duration]]*0.01+0.5*Tradingbook_SBV[[#This Row],[Conv]]*(0.01^2))</f>
        <v>0</v>
      </c>
      <c r="EC162" t="s">
        <v>166</v>
      </c>
      <c r="ED162" t="s">
        <v>167</v>
      </c>
      <c r="EE162" t="s">
        <v>563</v>
      </c>
      <c r="EF162" t="s">
        <v>169</v>
      </c>
      <c r="EG162" s="35" t="s">
        <v>564</v>
      </c>
      <c r="EH162" t="s">
        <v>170</v>
      </c>
      <c r="EI162" s="500">
        <v>99860</v>
      </c>
      <c r="EJ162" s="500">
        <v>99860</v>
      </c>
      <c r="EK162" s="500">
        <v>3000000</v>
      </c>
      <c r="EL162" s="500">
        <v>300000000000</v>
      </c>
      <c r="EM162" s="500">
        <v>100273.571</v>
      </c>
      <c r="EN162" s="500">
        <v>299580000000</v>
      </c>
      <c r="EO162">
        <v>3.9</v>
      </c>
      <c r="EP162">
        <v>2896</v>
      </c>
      <c r="EQ162">
        <v>83850000000</v>
      </c>
      <c r="ER162">
        <v>93922587958.333099</v>
      </c>
      <c r="ES162">
        <v>-55409527758.332413</v>
      </c>
      <c r="ET162">
        <v>4.3229861610000002</v>
      </c>
      <c r="EU162">
        <v>0.25469864332140002</v>
      </c>
      <c r="EV162">
        <v>0.26570923000000002</v>
      </c>
      <c r="EW162">
        <v>0.12974279781949999</v>
      </c>
      <c r="EX162">
        <v>399.9555279823</v>
      </c>
      <c r="EY162">
        <v>-7851.5441379399999</v>
      </c>
      <c r="EZ162">
        <v>36112.864999999998</v>
      </c>
      <c r="FA162">
        <v>8928714285.7141438</v>
      </c>
      <c r="FB162">
        <v>-1240714285.7143044</v>
      </c>
      <c r="FC162">
        <v>7687999999.9998398</v>
      </c>
      <c r="FD162">
        <v>7687999999.9998398</v>
      </c>
      <c r="FE162">
        <v>7688000000</v>
      </c>
      <c r="FF162">
        <v>7687999999.9998398</v>
      </c>
      <c r="FG162" s="32">
        <f>Bankingbook_SBV[[#This Row],[Mat. Date]]-RPT</f>
        <v>94</v>
      </c>
      <c r="FH162" s="32">
        <f>IF(Bankingbook_SBV[[#This Row],[Days]]&lt;=0,0,YEARFRAC(RPT,Bankingbook_SBV[[#This Row],[Mat. Date]],3))</f>
        <v>0.25753424657534246</v>
      </c>
      <c r="FI162" s="32" t="str">
        <f>IF(Bankingbook_SBV[[#This Row],[Days (year)]]=0,0,INDEX(Ref!$K$2:$K$13,MATCH(Bankingbook_SBV[[#This Row],[Days (year)]],Ref!$I$2:$I$13,1)))</f>
        <v>3M</v>
      </c>
      <c r="FJ162" s="32" t="str">
        <f>VLOOKUP(Bankingbook_SBV[[#This Row],[Security Name]],Ref!X:Z,3,0)</f>
        <v>TPCPBL</v>
      </c>
      <c r="FK162" s="32" t="str">
        <f>VLOOKUP(Bankingbook_SBV[[#This Row],[Security Name]],Ref!X:Y,2,0)</f>
        <v>VDB</v>
      </c>
      <c r="FL162" s="72">
        <f>IF((Bankingbook_SBV[[#This Row],[Mat. Date]]-RPT)&lt;=0,0,Bankingbook_SBV[[#This Row],[QUANTITY]])</f>
        <v>3000000</v>
      </c>
      <c r="FM162" s="32">
        <f>IF(Bankingbook_SBV[[#This Row],[Quantity_edited]]=0,0,Bankingbook_SBV[[#This Row],[DURATION]])</f>
        <v>0.26570923000000002</v>
      </c>
      <c r="FN162" s="32">
        <f>IF(Bankingbook_SBV[[#This Row],[Quantity_edited]]=0,0,Bankingbook_SBV[[#This Row],[Mod Dur]])</f>
        <v>0.25469864332140002</v>
      </c>
      <c r="FO162" s="32">
        <f>IF(Bankingbook_SBV[[#This Row],[Quantity_edited]]=0,0,Bankingbook_SBV[[#This Row],[Cnvx.]])</f>
        <v>0.12974279781949999</v>
      </c>
      <c r="FP162" s="32">
        <f>(Bankingbook_SBV[[#This Row],[MARKET_VALUE]]+Bankingbook_SBV[[#This Row],[Accr Int]]*Bankingbook_SBV[[#This Row],[Quantity_edited]])*(-Bankingbook_SBV[[#This Row],[Modified Duration]]*0.0001+0.5*Bankingbook_SBV[[#This Row],[Conv]]*(0.0001^2))</f>
        <v>-7851344.1601761431</v>
      </c>
      <c r="FQ162" s="32">
        <f>(Bankingbook_SBV[[#This Row],[MARKET_VALUE]]+Bankingbook_SBV[[#This Row],[Accr Int]]*Bankingbook_SBV[[#This Row],[Quantity_edited]])*(-Bankingbook_SBV[[#This Row],[Modified Duration]]*0.01+0.5*Bankingbook_SBV[[#This Row],[Conv]]*(0.01^2))</f>
        <v>-783154636.15410233</v>
      </c>
    </row>
    <row r="163" spans="2:173" x14ac:dyDescent="0.3">
      <c r="B163" t="s">
        <v>166</v>
      </c>
      <c r="C163" t="s">
        <v>167</v>
      </c>
      <c r="D163" t="s">
        <v>341</v>
      </c>
      <c r="E163" t="s">
        <v>169</v>
      </c>
      <c r="F163" s="502">
        <v>43076</v>
      </c>
      <c r="G163" t="s">
        <v>3322</v>
      </c>
      <c r="H163"/>
      <c r="I163"/>
      <c r="J163" s="38">
        <v>0</v>
      </c>
      <c r="K163">
        <v>0</v>
      </c>
      <c r="L163">
        <v>0</v>
      </c>
      <c r="M163" s="38">
        <v>0</v>
      </c>
      <c r="N163">
        <v>11</v>
      </c>
      <c r="O163">
        <v>0</v>
      </c>
      <c r="P163" s="37">
        <v>0</v>
      </c>
      <c r="Q163" s="37">
        <v>0</v>
      </c>
      <c r="R163" s="37">
        <v>37630485.277770996</v>
      </c>
      <c r="S163">
        <v>0</v>
      </c>
      <c r="T163" s="70">
        <v>0</v>
      </c>
      <c r="U163">
        <v>0</v>
      </c>
      <c r="V163">
        <v>0</v>
      </c>
      <c r="W163">
        <v>0</v>
      </c>
      <c r="X163" s="38">
        <v>0</v>
      </c>
      <c r="Y163">
        <v>0</v>
      </c>
      <c r="Z163" s="70">
        <v>606000000</v>
      </c>
      <c r="AA163" s="70">
        <v>0</v>
      </c>
      <c r="AB163" s="70">
        <v>606000000</v>
      </c>
      <c r="AC163" s="70">
        <v>606000000</v>
      </c>
      <c r="AD163" s="70">
        <v>606000000</v>
      </c>
      <c r="AE163" s="70">
        <v>606000000</v>
      </c>
      <c r="AF163">
        <v>0</v>
      </c>
      <c r="AG163" s="72">
        <f>Tradingbook_MSB[[#This Row],[Mat. Date]]-RPT</f>
        <v>-3176</v>
      </c>
      <c r="AH163" s="71">
        <f>IF(Tradingbook_MSB[[#This Row],[Days]]&lt;=0,0,YEARFRAC(RPT,Tradingbook_MSB[[#This Row],[Mat. Date]],3))</f>
        <v>0</v>
      </c>
      <c r="AI163" s="71">
        <f>IF(Tradingbook_MSB[[#This Row],[Days (year)]]=0,0,INDEX(Ref!$K$2:$K$13,MATCH(Tradingbook_MSB[[#This Row],[Days (year)]],Ref!$I$2:$I$13,1)))</f>
        <v>0</v>
      </c>
      <c r="AJ163" s="120" t="str">
        <f>VLOOKUP(Tradingbook_MSB[[#This Row],[Security Name]],Ref!X:Z,3,0)</f>
        <v>TPCPBL</v>
      </c>
      <c r="AK163" s="120" t="str">
        <f>VLOOKUP(Tradingbook_MSB[[#This Row],[Security Name]],Ref!X:Y,2,0)</f>
        <v>VBS</v>
      </c>
      <c r="AL163" s="71">
        <f>IF((Tradingbook_MSB[[#This Row],[Mat. Date]]-RPT)&lt;=0,0,Tradingbook_MSB[[#This Row],[QUANTITY]])</f>
        <v>0</v>
      </c>
      <c r="AM163" s="71">
        <f>IF(Tradingbook_MSB[[#This Row],[Quantity_edited]]=0,0,Tradingbook_MSB[[#This Row],[DURATION]])</f>
        <v>0</v>
      </c>
      <c r="AN163" s="71">
        <f>IF(Tradingbook_MSB[[#This Row],[Quantity_edited]]=0,0,Tradingbook_MSB[[#This Row],[Mod Dur]])</f>
        <v>0</v>
      </c>
      <c r="AO163" s="71">
        <f>IF(Tradingbook_MSB[[#This Row],[Quantity_edited]]=0,0,Tradingbook_MSB[[#This Row],[Cnvx.]])</f>
        <v>0</v>
      </c>
      <c r="AP163" s="71">
        <f>(Tradingbook_MSB[[#This Row],[MARKET_VALUE]]+Tradingbook_MSB[[#This Row],[Accr Int]]*Tradingbook_MSB[[#This Row],[Quantity_edited]])*(-Tradingbook_MSB[[#This Row],[Modified Duration]]*0.0001+0.5*Tradingbook_MSB[[#This Row],[Conv]]*(0.0001^2))</f>
        <v>0</v>
      </c>
      <c r="AQ163" s="72">
        <f>(Tradingbook_MSB[[#This Row],[MARKET_VALUE]]+Tradingbook_MSB[[#This Row],[Accr Int]]*Tradingbook_MSB[[#This Row],[Quantity_edited]])*(-Tradingbook_MSB[[#This Row],[Modified Duration]]*0.01+0.5*Tradingbook_MSB[[#This Row],[Conv]]*(0.01^2))</f>
        <v>0</v>
      </c>
      <c r="AR163" s="71"/>
      <c r="AT163" t="s">
        <v>166</v>
      </c>
      <c r="AU163" t="s">
        <v>3301</v>
      </c>
      <c r="AV163" t="s">
        <v>663</v>
      </c>
      <c r="AW163" t="s">
        <v>169</v>
      </c>
      <c r="AX163" t="s">
        <v>664</v>
      </c>
      <c r="AY163" t="s">
        <v>3322</v>
      </c>
      <c r="AZ163">
        <v>107080</v>
      </c>
      <c r="BA163">
        <v>107080</v>
      </c>
      <c r="BB163">
        <v>0</v>
      </c>
      <c r="BC163">
        <v>0</v>
      </c>
      <c r="BD163">
        <v>0</v>
      </c>
      <c r="BE163">
        <v>0</v>
      </c>
      <c r="BF163">
        <v>6</v>
      </c>
      <c r="BG163">
        <v>4093</v>
      </c>
      <c r="BH163">
        <v>39000000000</v>
      </c>
      <c r="BI163">
        <v>45684264166.666672</v>
      </c>
      <c r="BJ163">
        <v>-11463699646.91679</v>
      </c>
      <c r="BK163">
        <v>4.8237351080000002</v>
      </c>
      <c r="BL163">
        <v>5.6843248526084</v>
      </c>
      <c r="BM163">
        <v>5.9585216299999999</v>
      </c>
      <c r="BN163">
        <v>42.408683351731</v>
      </c>
      <c r="BO163">
        <v>0</v>
      </c>
      <c r="BP163">
        <v>0</v>
      </c>
      <c r="BQ163">
        <v>0</v>
      </c>
      <c r="BR163">
        <v>94850500000</v>
      </c>
      <c r="BS163">
        <v>0</v>
      </c>
      <c r="BT163">
        <v>94850500000</v>
      </c>
      <c r="BU163">
        <v>94850500000</v>
      </c>
      <c r="BV163">
        <v>94850500000</v>
      </c>
      <c r="BW163">
        <v>94850500000</v>
      </c>
      <c r="BX163">
        <v>0</v>
      </c>
      <c r="BY163" s="32">
        <f>Bankingbook_MSB[[#This Row],[Mat. Date]]-RPT</f>
        <v>2673</v>
      </c>
      <c r="BZ163" s="71">
        <f>IF(Bankingbook_MSB[[#This Row],[Days]]&lt;=0,0,YEARFRAC(RPT,Bankingbook_MSB[[#This Row],[Mat. Date]],3))</f>
        <v>7.3232876712328769</v>
      </c>
      <c r="CA163" s="71" t="str">
        <f>IF(Bankingbook_MSB[[#This Row],[Days (year)]]=0,0,INDEX(Ref!$K$2:$K$13,MATCH(Bankingbook_MSB[[#This Row],[Days (year)]],Ref!$I$2:$I$13,1)))</f>
        <v>7Y</v>
      </c>
      <c r="CB163" s="32" t="str">
        <f>VLOOKUP(Bankingbook_MSB[[#This Row],[Security Name]],Ref!X:Z,3,0)</f>
        <v>TPCPBL</v>
      </c>
      <c r="CC163" s="32" t="str">
        <f>VLOOKUP(Bankingbook_MSB[[#This Row],[Security Name]],Ref!X:Y,2,0)</f>
        <v>VDB</v>
      </c>
      <c r="CD163" s="72">
        <f>IF((Bankingbook_MSB[[#This Row],[Mat. Date]]-RPT)&lt;=0,0,Bankingbook_MSB[[#This Row],[QUANTITY]])</f>
        <v>0</v>
      </c>
      <c r="CE163" s="71">
        <f>IF(Bankingbook_MSB[[#This Row],[Quantity_edited]]=0,0,Bankingbook_MSB[[#This Row],[DURATION]])</f>
        <v>0</v>
      </c>
      <c r="CF163" s="71">
        <f>IF(Bankingbook_MSB[[#This Row],[Quantity_edited]]=0,0,Bankingbook_MSB[[#This Row],[Mod Dur]])</f>
        <v>0</v>
      </c>
      <c r="CG163" s="71">
        <f>IF(Bankingbook_MSB[[#This Row],[Quantity_edited]]=0,0,Bankingbook_MSB[[#This Row],[Cnvx.]])</f>
        <v>0</v>
      </c>
      <c r="CH163" s="71">
        <f>(Bankingbook_MSB[[#This Row],[MARKET_VALUE]]+Bankingbook_MSB[[#This Row],[Accr Int]]*Bankingbook_MSB[[#This Row],[Quantity_edited]])*(-Bankingbook_MSB[[#This Row],[Modified Duration]]*0.0001+0.5*Bankingbook_MSB[[#This Row],[Conv]]*(0.0001^2))</f>
        <v>0</v>
      </c>
      <c r="CI163" s="71">
        <f>(Bankingbook_MSB[[#This Row],[MARKET_VALUE]]+Bankingbook_MSB[[#This Row],[Accr Int]]*Bankingbook_MSB[[#This Row],[Quantity_edited]])*(-Bankingbook_MSB[[#This Row],[Modified Duration]]*0.01+0.5*Bankingbook_MSB[[#This Row],[Conv]]*(0.01^2))</f>
        <v>0</v>
      </c>
      <c r="CL163" t="s">
        <v>166</v>
      </c>
      <c r="CM163" t="s">
        <v>167</v>
      </c>
      <c r="CN163" t="s">
        <v>341</v>
      </c>
      <c r="CO163" t="s">
        <v>169</v>
      </c>
      <c r="CP163" s="35">
        <v>43076</v>
      </c>
      <c r="CQ163" t="s">
        <v>3322</v>
      </c>
      <c r="CR163" t="s">
        <v>174</v>
      </c>
      <c r="CS163" t="s">
        <v>174</v>
      </c>
      <c r="CT163" s="49">
        <v>0</v>
      </c>
      <c r="CU163">
        <v>0</v>
      </c>
      <c r="CV163">
        <v>0</v>
      </c>
      <c r="CW163" s="70">
        <v>0</v>
      </c>
      <c r="CX163">
        <v>11</v>
      </c>
      <c r="CY163">
        <v>0</v>
      </c>
      <c r="CZ163">
        <v>0</v>
      </c>
      <c r="DA163">
        <v>0</v>
      </c>
      <c r="DB163">
        <v>37630485.277770996</v>
      </c>
      <c r="DC163">
        <v>0</v>
      </c>
      <c r="DD163">
        <v>0</v>
      </c>
      <c r="DE163">
        <v>0</v>
      </c>
      <c r="DF163">
        <v>0</v>
      </c>
      <c r="DG163">
        <v>0</v>
      </c>
      <c r="DH163">
        <v>0</v>
      </c>
      <c r="DI163">
        <v>0</v>
      </c>
      <c r="DJ163" s="500">
        <v>606000000</v>
      </c>
      <c r="DK163" s="500">
        <v>0</v>
      </c>
      <c r="DL163" s="37">
        <v>606000000</v>
      </c>
      <c r="DM163" s="37">
        <v>606000000</v>
      </c>
      <c r="DN163" s="37">
        <v>606000000</v>
      </c>
      <c r="DO163" s="37">
        <v>606000000</v>
      </c>
      <c r="DP163" s="32">
        <f>Tradingbook_SBV[[#This Row],[Mat. Date]]-RPT</f>
        <v>-3176</v>
      </c>
      <c r="DQ163" s="32">
        <f>IF(Tradingbook_SBV[[#This Row],[Days]]&lt;=0,0,YEARFRAC(RPT,Tradingbook_SBV[[#This Row],[Mat. Date]],3))</f>
        <v>0</v>
      </c>
      <c r="DR163" s="32">
        <f>IF(Tradingbook_SBV[[#This Row],[Days (year)]]=0,0,INDEX(Ref!$K$2:$K$13,MATCH(Tradingbook_SBV[[#This Row],[Days (year)]],Ref!$I$2:$I$13,1)))</f>
        <v>0</v>
      </c>
      <c r="DS163" s="32" t="str">
        <f>VLOOKUP(Tradingbook_SBV[[#This Row],[Security Name]],Ref!X:Z,3,0)</f>
        <v>TPCPBL</v>
      </c>
      <c r="DT163" s="32" t="str">
        <f>VLOOKUP(Tradingbook_SBV[[#This Row],[Security Name]],Ref!X:Y,2,0)</f>
        <v>VBS</v>
      </c>
      <c r="DU163" s="71">
        <f>IF((Tradingbook_SBV[[#This Row],[Mat. Date]]-RPT)&lt;=0,0,Tradingbook_SBV[[#This Row],[QUANTITY]])</f>
        <v>0</v>
      </c>
      <c r="DV163" s="71">
        <f>IF(Tradingbook_SBV[[#This Row],[Quantity_edited]]=0,0,Tradingbook_SBV[[#This Row],[DURATION]])</f>
        <v>0</v>
      </c>
      <c r="DW163" s="71">
        <f>IF(Tradingbook_SBV[[#This Row],[Quantity_edited]]=0,0,Tradingbook_SBV[[#This Row],[Mod Dur]])</f>
        <v>0</v>
      </c>
      <c r="DX163" s="71">
        <f>IF(Tradingbook_SBV[[#This Row],[Quantity_edited]]=0,0,Tradingbook_SBV[[#This Row],[Cnvx.]])</f>
        <v>0</v>
      </c>
      <c r="DY163" s="71">
        <f>(Tradingbook_SBV[[#This Row],[MARKET_VALUE]]+Tradingbook_SBV[[#This Row],[Accr Int]]*Tradingbook_SBV[[#This Row],[Quantity_edited]])*(-Tradingbook_SBV[[#This Row],[Modified Duration]]*0.0001+0.5*Tradingbook_SBV[[#This Row],[Conv]]*(0.0001^2))</f>
        <v>0</v>
      </c>
      <c r="DZ163" s="71">
        <f>(Tradingbook_SBV[[#This Row],[MARKET_VALUE]]+Tradingbook_SBV[[#This Row],[Accr Int]]*Tradingbook_SBV[[#This Row],[Quantity_edited]])*(-Tradingbook_SBV[[#This Row],[Modified Duration]]*0.01+0.5*Tradingbook_SBV[[#This Row],[Conv]]*(0.01^2))</f>
        <v>0</v>
      </c>
      <c r="EC163" t="s">
        <v>166</v>
      </c>
      <c r="ED163" t="s">
        <v>167</v>
      </c>
      <c r="EE163" t="s">
        <v>565</v>
      </c>
      <c r="EF163" t="s">
        <v>169</v>
      </c>
      <c r="EG163" s="35" t="s">
        <v>3406</v>
      </c>
      <c r="EH163" t="s">
        <v>3322</v>
      </c>
      <c r="EI163" s="500">
        <v>100956</v>
      </c>
      <c r="EJ163" s="500">
        <v>100956</v>
      </c>
      <c r="EK163" s="500">
        <v>0</v>
      </c>
      <c r="EL163" s="500">
        <v>0</v>
      </c>
      <c r="EM163" s="500">
        <v>0</v>
      </c>
      <c r="EN163" s="500">
        <v>0</v>
      </c>
      <c r="EO163">
        <v>6.8</v>
      </c>
      <c r="EP163">
        <v>3987</v>
      </c>
      <c r="EQ163">
        <v>108800000000</v>
      </c>
      <c r="ER163">
        <v>127765348277.77771</v>
      </c>
      <c r="ES163">
        <v>-30695475801.73595</v>
      </c>
      <c r="ET163">
        <v>4.277345639</v>
      </c>
      <c r="EU163">
        <v>0.40650538710329998</v>
      </c>
      <c r="EV163">
        <v>0.42389303</v>
      </c>
      <c r="EW163">
        <v>0.33049325948739999</v>
      </c>
      <c r="EX163">
        <v>0</v>
      </c>
      <c r="EY163">
        <v>0</v>
      </c>
      <c r="EZ163">
        <v>0</v>
      </c>
      <c r="FA163">
        <v>62190500000</v>
      </c>
      <c r="FB163">
        <v>0</v>
      </c>
      <c r="FC163">
        <v>62190500000</v>
      </c>
      <c r="FD163">
        <v>62190500000</v>
      </c>
      <c r="FE163">
        <v>62190500000</v>
      </c>
      <c r="FF163">
        <v>62190500000</v>
      </c>
      <c r="FG163" s="32">
        <f>Bankingbook_SBV[[#This Row],[Mat. Date]]-RPT</f>
        <v>151</v>
      </c>
      <c r="FH163" s="32">
        <f>IF(Bankingbook_SBV[[#This Row],[Days]]&lt;=0,0,YEARFRAC(RPT,Bankingbook_SBV[[#This Row],[Mat. Date]],3))</f>
        <v>0.41369863013698632</v>
      </c>
      <c r="FI163" s="32" t="str">
        <f>IF(Bankingbook_SBV[[#This Row],[Days (year)]]=0,0,INDEX(Ref!$K$2:$K$13,MATCH(Bankingbook_SBV[[#This Row],[Days (year)]],Ref!$I$2:$I$13,1)))</f>
        <v>6M</v>
      </c>
      <c r="FJ163" s="32" t="str">
        <f>VLOOKUP(Bankingbook_SBV[[#This Row],[Security Name]],Ref!X:Z,3,0)</f>
        <v>TPCPBL</v>
      </c>
      <c r="FK163" s="32" t="str">
        <f>VLOOKUP(Bankingbook_SBV[[#This Row],[Security Name]],Ref!X:Y,2,0)</f>
        <v>VDB</v>
      </c>
      <c r="FL163" s="72">
        <f>IF((Bankingbook_SBV[[#This Row],[Mat. Date]]-RPT)&lt;=0,0,Bankingbook_SBV[[#This Row],[QUANTITY]])</f>
        <v>0</v>
      </c>
      <c r="FM163" s="32">
        <f>IF(Bankingbook_SBV[[#This Row],[Quantity_edited]]=0,0,Bankingbook_SBV[[#This Row],[DURATION]])</f>
        <v>0</v>
      </c>
      <c r="FN163" s="32">
        <f>IF(Bankingbook_SBV[[#This Row],[Quantity_edited]]=0,0,Bankingbook_SBV[[#This Row],[Mod Dur]])</f>
        <v>0</v>
      </c>
      <c r="FO163" s="32">
        <f>IF(Bankingbook_SBV[[#This Row],[Quantity_edited]]=0,0,Bankingbook_SBV[[#This Row],[Cnvx.]])</f>
        <v>0</v>
      </c>
      <c r="FP163" s="32">
        <f>(Bankingbook_SBV[[#This Row],[MARKET_VALUE]]+Bankingbook_SBV[[#This Row],[Accr Int]]*Bankingbook_SBV[[#This Row],[Quantity_edited]])*(-Bankingbook_SBV[[#This Row],[Modified Duration]]*0.0001+0.5*Bankingbook_SBV[[#This Row],[Conv]]*(0.0001^2))</f>
        <v>0</v>
      </c>
      <c r="FQ163" s="32">
        <f>(Bankingbook_SBV[[#This Row],[MARKET_VALUE]]+Bankingbook_SBV[[#This Row],[Accr Int]]*Bankingbook_SBV[[#This Row],[Quantity_edited]])*(-Bankingbook_SBV[[#This Row],[Modified Duration]]*0.01+0.5*Bankingbook_SBV[[#This Row],[Conv]]*(0.01^2))</f>
        <v>0</v>
      </c>
    </row>
    <row r="164" spans="2:173" x14ac:dyDescent="0.3">
      <c r="B164" t="s">
        <v>166</v>
      </c>
      <c r="C164" t="s">
        <v>167</v>
      </c>
      <c r="D164" t="s">
        <v>342</v>
      </c>
      <c r="E164" t="s">
        <v>169</v>
      </c>
      <c r="F164" s="502">
        <v>43081</v>
      </c>
      <c r="G164" t="s">
        <v>3322</v>
      </c>
      <c r="H164"/>
      <c r="I164"/>
      <c r="J164" s="38">
        <v>0</v>
      </c>
      <c r="K164">
        <v>0</v>
      </c>
      <c r="L164">
        <v>0</v>
      </c>
      <c r="M164" s="38">
        <v>0</v>
      </c>
      <c r="N164">
        <v>5.6</v>
      </c>
      <c r="O164">
        <v>0</v>
      </c>
      <c r="P164" s="37">
        <v>0</v>
      </c>
      <c r="Q164" s="37">
        <v>1.1E-5</v>
      </c>
      <c r="R164" s="37">
        <v>-6109518737.84725</v>
      </c>
      <c r="S164">
        <v>0</v>
      </c>
      <c r="T164" s="70">
        <v>0</v>
      </c>
      <c r="U164">
        <v>0</v>
      </c>
      <c r="V164">
        <v>0</v>
      </c>
      <c r="W164">
        <v>0</v>
      </c>
      <c r="X164" s="38">
        <v>0</v>
      </c>
      <c r="Y164">
        <v>0</v>
      </c>
      <c r="Z164" s="70">
        <v>-760700000</v>
      </c>
      <c r="AA164" s="70">
        <v>0</v>
      </c>
      <c r="AB164" s="70">
        <v>-760700000</v>
      </c>
      <c r="AC164" s="70">
        <v>-760700000</v>
      </c>
      <c r="AD164" s="70">
        <v>-760700000</v>
      </c>
      <c r="AE164" s="70">
        <v>-760700000</v>
      </c>
      <c r="AF164">
        <v>0</v>
      </c>
      <c r="AG164" s="72">
        <f>Tradingbook_MSB[[#This Row],[Mat. Date]]-RPT</f>
        <v>-3171</v>
      </c>
      <c r="AH164" s="71">
        <f>IF(Tradingbook_MSB[[#This Row],[Days]]&lt;=0,0,YEARFRAC(RPT,Tradingbook_MSB[[#This Row],[Mat. Date]],3))</f>
        <v>0</v>
      </c>
      <c r="AI164" s="71">
        <f>IF(Tradingbook_MSB[[#This Row],[Days (year)]]=0,0,INDEX(Ref!$K$2:$K$13,MATCH(Tradingbook_MSB[[#This Row],[Days (year)]],Ref!$I$2:$I$13,1)))</f>
        <v>0</v>
      </c>
      <c r="AJ164" s="120" t="str">
        <f>VLOOKUP(Tradingbook_MSB[[#This Row],[Security Name]],Ref!X:Z,3,0)</f>
        <v>TPCPBL</v>
      </c>
      <c r="AK164" s="120" t="str">
        <f>VLOOKUP(Tradingbook_MSB[[#This Row],[Security Name]],Ref!X:Y,2,0)</f>
        <v>VDB</v>
      </c>
      <c r="AL164" s="71">
        <f>IF((Tradingbook_MSB[[#This Row],[Mat. Date]]-RPT)&lt;=0,0,Tradingbook_MSB[[#This Row],[QUANTITY]])</f>
        <v>0</v>
      </c>
      <c r="AM164" s="71">
        <f>IF(Tradingbook_MSB[[#This Row],[Quantity_edited]]=0,0,Tradingbook_MSB[[#This Row],[DURATION]])</f>
        <v>0</v>
      </c>
      <c r="AN164" s="71">
        <f>IF(Tradingbook_MSB[[#This Row],[Quantity_edited]]=0,0,Tradingbook_MSB[[#This Row],[Mod Dur]])</f>
        <v>0</v>
      </c>
      <c r="AO164" s="71">
        <f>IF(Tradingbook_MSB[[#This Row],[Quantity_edited]]=0,0,Tradingbook_MSB[[#This Row],[Cnvx.]])</f>
        <v>0</v>
      </c>
      <c r="AP164" s="71">
        <f>(Tradingbook_MSB[[#This Row],[MARKET_VALUE]]+Tradingbook_MSB[[#This Row],[Accr Int]]*Tradingbook_MSB[[#This Row],[Quantity_edited]])*(-Tradingbook_MSB[[#This Row],[Modified Duration]]*0.0001+0.5*Tradingbook_MSB[[#This Row],[Conv]]*(0.0001^2))</f>
        <v>0</v>
      </c>
      <c r="AQ164" s="72">
        <f>(Tradingbook_MSB[[#This Row],[MARKET_VALUE]]+Tradingbook_MSB[[#This Row],[Accr Int]]*Tradingbook_MSB[[#This Row],[Quantity_edited]])*(-Tradingbook_MSB[[#This Row],[Modified Duration]]*0.01+0.5*Tradingbook_MSB[[#This Row],[Conv]]*(0.01^2))</f>
        <v>0</v>
      </c>
      <c r="AR164" s="71"/>
      <c r="AT164" t="s">
        <v>166</v>
      </c>
      <c r="AU164" t="s">
        <v>3301</v>
      </c>
      <c r="AV164" t="s">
        <v>665</v>
      </c>
      <c r="AW164" t="s">
        <v>169</v>
      </c>
      <c r="AX164" t="s">
        <v>3447</v>
      </c>
      <c r="AY164" t="s">
        <v>170</v>
      </c>
      <c r="AZ164">
        <v>106013</v>
      </c>
      <c r="BA164">
        <v>106013</v>
      </c>
      <c r="BB164">
        <v>3000000</v>
      </c>
      <c r="BC164">
        <v>300000000000</v>
      </c>
      <c r="BD164">
        <v>125527</v>
      </c>
      <c r="BE164">
        <v>318039000000</v>
      </c>
      <c r="BF164">
        <v>5.3</v>
      </c>
      <c r="BG164">
        <v>3296</v>
      </c>
      <c r="BH164">
        <v>31800000000</v>
      </c>
      <c r="BI164">
        <v>33659372500.000023</v>
      </c>
      <c r="BJ164">
        <v>-36797503216.666687</v>
      </c>
      <c r="BK164">
        <v>4.3264399989999998</v>
      </c>
      <c r="BL164">
        <v>5.8923559807907999</v>
      </c>
      <c r="BM164">
        <v>6.1472852299999996</v>
      </c>
      <c r="BN164">
        <v>44.770753837643902</v>
      </c>
      <c r="BO164">
        <v>146815.38993717061</v>
      </c>
      <c r="BP164">
        <v>-193226.26197127701</v>
      </c>
      <c r="BQ164">
        <v>38054.896000000001</v>
      </c>
      <c r="BR164">
        <v>0</v>
      </c>
      <c r="BS164">
        <v>-58542000000</v>
      </c>
      <c r="BT164">
        <v>-58542000000</v>
      </c>
      <c r="BU164">
        <v>-58542000000</v>
      </c>
      <c r="BV164">
        <v>-58542000000</v>
      </c>
      <c r="BW164">
        <v>-58542000000</v>
      </c>
      <c r="BX164">
        <v>2.33</v>
      </c>
      <c r="BY164" s="32">
        <f>Bankingbook_MSB[[#This Row],[Mat. Date]]-RPT</f>
        <v>2695</v>
      </c>
      <c r="BZ164" s="71">
        <f>IF(Bankingbook_MSB[[#This Row],[Days]]&lt;=0,0,YEARFRAC(RPT,Bankingbook_MSB[[#This Row],[Mat. Date]],3))</f>
        <v>7.3835616438356162</v>
      </c>
      <c r="CA164" s="71" t="str">
        <f>IF(Bankingbook_MSB[[#This Row],[Days (year)]]=0,0,INDEX(Ref!$K$2:$K$13,MATCH(Bankingbook_MSB[[#This Row],[Days (year)]],Ref!$I$2:$I$13,1)))</f>
        <v>7Y</v>
      </c>
      <c r="CB164" s="32" t="str">
        <f>VLOOKUP(Bankingbook_MSB[[#This Row],[Security Name]],Ref!X:Z,3,0)</f>
        <v>TPCP</v>
      </c>
      <c r="CC164" s="32" t="str">
        <f>VLOOKUP(Bankingbook_MSB[[#This Row],[Security Name]],Ref!X:Y,2,0)</f>
        <v>KBNN</v>
      </c>
      <c r="CD164" s="72">
        <f>IF((Bankingbook_MSB[[#This Row],[Mat. Date]]-RPT)&lt;=0,0,Bankingbook_MSB[[#This Row],[QUANTITY]])</f>
        <v>3000000</v>
      </c>
      <c r="CE164" s="71">
        <f>IF(Bankingbook_MSB[[#This Row],[Quantity_edited]]=0,0,Bankingbook_MSB[[#This Row],[DURATION]])</f>
        <v>6.1472852299999996</v>
      </c>
      <c r="CF164" s="71">
        <f>IF(Bankingbook_MSB[[#This Row],[Quantity_edited]]=0,0,Bankingbook_MSB[[#This Row],[Mod Dur]])</f>
        <v>5.8923559807907999</v>
      </c>
      <c r="CG164" s="71">
        <f>IF(Bankingbook_MSB[[#This Row],[Quantity_edited]]=0,0,Bankingbook_MSB[[#This Row],[Cnvx.]])</f>
        <v>44.770753837643902</v>
      </c>
      <c r="CH164" s="71">
        <f>(Bankingbook_MSB[[#This Row],[MARKET_VALUE]]+Bankingbook_MSB[[#This Row],[Accr Int]]*Bankingbook_MSB[[#This Row],[Quantity_edited]])*(-Bankingbook_MSB[[#This Row],[Modified Duration]]*0.0001+0.5*Bankingbook_MSB[[#This Row],[Conv]]*(0.0001^2))</f>
        <v>-193152854.27630988</v>
      </c>
      <c r="CI164" s="71">
        <f>(Bankingbook_MSB[[#This Row],[MARKET_VALUE]]+Bankingbook_MSB[[#This Row],[Accr Int]]*Bankingbook_MSB[[#This Row],[Quantity_edited]])*(-Bankingbook_MSB[[#This Row],[Modified Duration]]*0.01+0.5*Bankingbook_MSB[[#This Row],[Conv]]*(0.01^2))</f>
        <v>-18588549247.441994</v>
      </c>
      <c r="CL164" t="s">
        <v>166</v>
      </c>
      <c r="CM164" t="s">
        <v>167</v>
      </c>
      <c r="CN164" t="s">
        <v>342</v>
      </c>
      <c r="CO164" t="s">
        <v>169</v>
      </c>
      <c r="CP164" s="35">
        <v>43081</v>
      </c>
      <c r="CQ164" t="s">
        <v>3322</v>
      </c>
      <c r="CR164" t="s">
        <v>174</v>
      </c>
      <c r="CS164" t="s">
        <v>174</v>
      </c>
      <c r="CT164" s="49">
        <v>0</v>
      </c>
      <c r="CU164">
        <v>0</v>
      </c>
      <c r="CV164">
        <v>0</v>
      </c>
      <c r="CW164" s="70">
        <v>0</v>
      </c>
      <c r="CX164">
        <v>5.6</v>
      </c>
      <c r="CY164">
        <v>0</v>
      </c>
      <c r="CZ164">
        <v>0</v>
      </c>
      <c r="DA164">
        <v>1.1E-5</v>
      </c>
      <c r="DB164">
        <v>-6109518737.84725</v>
      </c>
      <c r="DC164">
        <v>0</v>
      </c>
      <c r="DD164">
        <v>0</v>
      </c>
      <c r="DE164">
        <v>0</v>
      </c>
      <c r="DF164">
        <v>0</v>
      </c>
      <c r="DG164">
        <v>0</v>
      </c>
      <c r="DH164">
        <v>0</v>
      </c>
      <c r="DI164">
        <v>0</v>
      </c>
      <c r="DJ164" s="500">
        <v>-760700000</v>
      </c>
      <c r="DK164" s="500">
        <v>0</v>
      </c>
      <c r="DL164" s="37">
        <v>-760700000</v>
      </c>
      <c r="DM164" s="37">
        <v>-760700000</v>
      </c>
      <c r="DN164" s="37">
        <v>-760700000</v>
      </c>
      <c r="DO164" s="37">
        <v>-760700000</v>
      </c>
      <c r="DP164" s="32">
        <f>Tradingbook_SBV[[#This Row],[Mat. Date]]-RPT</f>
        <v>-3171</v>
      </c>
      <c r="DQ164" s="32">
        <f>IF(Tradingbook_SBV[[#This Row],[Days]]&lt;=0,0,YEARFRAC(RPT,Tradingbook_SBV[[#This Row],[Mat. Date]],3))</f>
        <v>0</v>
      </c>
      <c r="DR164" s="32">
        <f>IF(Tradingbook_SBV[[#This Row],[Days (year)]]=0,0,INDEX(Ref!$K$2:$K$13,MATCH(Tradingbook_SBV[[#This Row],[Days (year)]],Ref!$I$2:$I$13,1)))</f>
        <v>0</v>
      </c>
      <c r="DS164" s="32" t="str">
        <f>VLOOKUP(Tradingbook_SBV[[#This Row],[Security Name]],Ref!X:Z,3,0)</f>
        <v>TPCPBL</v>
      </c>
      <c r="DT164" s="32" t="str">
        <f>VLOOKUP(Tradingbook_SBV[[#This Row],[Security Name]],Ref!X:Y,2,0)</f>
        <v>VDB</v>
      </c>
      <c r="DU164" s="71">
        <f>IF((Tradingbook_SBV[[#This Row],[Mat. Date]]-RPT)&lt;=0,0,Tradingbook_SBV[[#This Row],[QUANTITY]])</f>
        <v>0</v>
      </c>
      <c r="DV164" s="71">
        <f>IF(Tradingbook_SBV[[#This Row],[Quantity_edited]]=0,0,Tradingbook_SBV[[#This Row],[DURATION]])</f>
        <v>0</v>
      </c>
      <c r="DW164" s="71">
        <f>IF(Tradingbook_SBV[[#This Row],[Quantity_edited]]=0,0,Tradingbook_SBV[[#This Row],[Mod Dur]])</f>
        <v>0</v>
      </c>
      <c r="DX164" s="71">
        <f>IF(Tradingbook_SBV[[#This Row],[Quantity_edited]]=0,0,Tradingbook_SBV[[#This Row],[Cnvx.]])</f>
        <v>0</v>
      </c>
      <c r="DY164" s="71">
        <f>(Tradingbook_SBV[[#This Row],[MARKET_VALUE]]+Tradingbook_SBV[[#This Row],[Accr Int]]*Tradingbook_SBV[[#This Row],[Quantity_edited]])*(-Tradingbook_SBV[[#This Row],[Modified Duration]]*0.0001+0.5*Tradingbook_SBV[[#This Row],[Conv]]*(0.0001^2))</f>
        <v>0</v>
      </c>
      <c r="DZ164" s="71">
        <f>(Tradingbook_SBV[[#This Row],[MARKET_VALUE]]+Tradingbook_SBV[[#This Row],[Accr Int]]*Tradingbook_SBV[[#This Row],[Quantity_edited]])*(-Tradingbook_SBV[[#This Row],[Modified Duration]]*0.01+0.5*Tradingbook_SBV[[#This Row],[Conv]]*(0.01^2))</f>
        <v>0</v>
      </c>
      <c r="EC164" t="s">
        <v>166</v>
      </c>
      <c r="ED164" t="s">
        <v>167</v>
      </c>
      <c r="EE164" t="s">
        <v>566</v>
      </c>
      <c r="EF164" t="s">
        <v>169</v>
      </c>
      <c r="EG164" s="35" t="s">
        <v>3406</v>
      </c>
      <c r="EH164" t="s">
        <v>3322</v>
      </c>
      <c r="EI164" s="500">
        <v>99338</v>
      </c>
      <c r="EJ164" s="500">
        <v>99338</v>
      </c>
      <c r="EK164" s="500">
        <v>0</v>
      </c>
      <c r="EL164" s="500">
        <v>0</v>
      </c>
      <c r="EM164" s="500">
        <v>0</v>
      </c>
      <c r="EN164" s="500">
        <v>0</v>
      </c>
      <c r="EO164">
        <v>2.2000000000000002</v>
      </c>
      <c r="EP164">
        <v>1290</v>
      </c>
      <c r="EQ164">
        <v>7700000000</v>
      </c>
      <c r="ER164">
        <v>8910506305.5555305</v>
      </c>
      <c r="ES164">
        <v>-1380280542.5691624</v>
      </c>
      <c r="ET164">
        <v>3.776153307</v>
      </c>
      <c r="EU164">
        <v>0.40733528134430003</v>
      </c>
      <c r="EV164">
        <v>0.42271689000000001</v>
      </c>
      <c r="EW164">
        <v>0.33184406285590001</v>
      </c>
      <c r="EX164">
        <v>0</v>
      </c>
      <c r="EY164">
        <v>0</v>
      </c>
      <c r="EZ164">
        <v>0</v>
      </c>
      <c r="FA164">
        <v>13149000000</v>
      </c>
      <c r="FB164">
        <v>0</v>
      </c>
      <c r="FC164">
        <v>13149000000</v>
      </c>
      <c r="FD164">
        <v>13149000000</v>
      </c>
      <c r="FE164">
        <v>13149000000</v>
      </c>
      <c r="FF164">
        <v>13149000000</v>
      </c>
      <c r="FG164" s="32">
        <f>Bankingbook_SBV[[#This Row],[Mat. Date]]-RPT</f>
        <v>151</v>
      </c>
      <c r="FH164" s="32">
        <f>IF(Bankingbook_SBV[[#This Row],[Days]]&lt;=0,0,YEARFRAC(RPT,Bankingbook_SBV[[#This Row],[Mat. Date]],3))</f>
        <v>0.41369863013698632</v>
      </c>
      <c r="FI164" s="32" t="str">
        <f>IF(Bankingbook_SBV[[#This Row],[Days (year)]]=0,0,INDEX(Ref!$K$2:$K$13,MATCH(Bankingbook_SBV[[#This Row],[Days (year)]],Ref!$I$2:$I$13,1)))</f>
        <v>6M</v>
      </c>
      <c r="FJ164" s="32" t="str">
        <f>VLOOKUP(Bankingbook_SBV[[#This Row],[Security Name]],Ref!X:Z,3,0)</f>
        <v>TPCP</v>
      </c>
      <c r="FK164" s="32" t="str">
        <f>VLOOKUP(Bankingbook_SBV[[#This Row],[Security Name]],Ref!X:Y,2,0)</f>
        <v>KBNN</v>
      </c>
      <c r="FL164" s="72">
        <f>IF((Bankingbook_SBV[[#This Row],[Mat. Date]]-RPT)&lt;=0,0,Bankingbook_SBV[[#This Row],[QUANTITY]])</f>
        <v>0</v>
      </c>
      <c r="FM164" s="32">
        <f>IF(Bankingbook_SBV[[#This Row],[Quantity_edited]]=0,0,Bankingbook_SBV[[#This Row],[DURATION]])</f>
        <v>0</v>
      </c>
      <c r="FN164" s="32">
        <f>IF(Bankingbook_SBV[[#This Row],[Quantity_edited]]=0,0,Bankingbook_SBV[[#This Row],[Mod Dur]])</f>
        <v>0</v>
      </c>
      <c r="FO164" s="32">
        <f>IF(Bankingbook_SBV[[#This Row],[Quantity_edited]]=0,0,Bankingbook_SBV[[#This Row],[Cnvx.]])</f>
        <v>0</v>
      </c>
      <c r="FP164" s="32">
        <f>(Bankingbook_SBV[[#This Row],[MARKET_VALUE]]+Bankingbook_SBV[[#This Row],[Accr Int]]*Bankingbook_SBV[[#This Row],[Quantity_edited]])*(-Bankingbook_SBV[[#This Row],[Modified Duration]]*0.0001+0.5*Bankingbook_SBV[[#This Row],[Conv]]*(0.0001^2))</f>
        <v>0</v>
      </c>
      <c r="FQ164" s="32">
        <f>(Bankingbook_SBV[[#This Row],[MARKET_VALUE]]+Bankingbook_SBV[[#This Row],[Accr Int]]*Bankingbook_SBV[[#This Row],[Quantity_edited]])*(-Bankingbook_SBV[[#This Row],[Modified Duration]]*0.01+0.5*Bankingbook_SBV[[#This Row],[Conv]]*(0.01^2))</f>
        <v>0</v>
      </c>
    </row>
    <row r="165" spans="2:173" x14ac:dyDescent="0.3">
      <c r="B165" t="s">
        <v>166</v>
      </c>
      <c r="C165" t="s">
        <v>167</v>
      </c>
      <c r="D165" t="s">
        <v>343</v>
      </c>
      <c r="E165" t="s">
        <v>169</v>
      </c>
      <c r="F165" s="502">
        <v>43084</v>
      </c>
      <c r="G165" t="s">
        <v>3322</v>
      </c>
      <c r="H165"/>
      <c r="I165"/>
      <c r="J165" s="38">
        <v>0</v>
      </c>
      <c r="K165">
        <v>0</v>
      </c>
      <c r="L165">
        <v>0</v>
      </c>
      <c r="M165" s="38">
        <v>0</v>
      </c>
      <c r="N165">
        <v>5.2</v>
      </c>
      <c r="O165">
        <v>0</v>
      </c>
      <c r="P165" s="37">
        <v>0</v>
      </c>
      <c r="Q165" s="37">
        <v>3.9999999999999998E-6</v>
      </c>
      <c r="R165" s="37">
        <v>-664995264.09723318</v>
      </c>
      <c r="S165">
        <v>0</v>
      </c>
      <c r="T165" s="70">
        <v>0</v>
      </c>
      <c r="U165">
        <v>0</v>
      </c>
      <c r="V165">
        <v>0</v>
      </c>
      <c r="W165">
        <v>0</v>
      </c>
      <c r="X165" s="38">
        <v>0</v>
      </c>
      <c r="Y165">
        <v>0</v>
      </c>
      <c r="Z165" s="70">
        <v>-335000000</v>
      </c>
      <c r="AA165" s="70">
        <v>0</v>
      </c>
      <c r="AB165" s="70">
        <v>-335000000</v>
      </c>
      <c r="AC165" s="70">
        <v>-335000000</v>
      </c>
      <c r="AD165" s="70">
        <v>-335000000</v>
      </c>
      <c r="AE165" s="70">
        <v>-335000000</v>
      </c>
      <c r="AF165">
        <v>0</v>
      </c>
      <c r="AG165" s="72">
        <f>Tradingbook_MSB[[#This Row],[Mat. Date]]-RPT</f>
        <v>-3168</v>
      </c>
      <c r="AH165" s="71">
        <f>IF(Tradingbook_MSB[[#This Row],[Days]]&lt;=0,0,YEARFRAC(RPT,Tradingbook_MSB[[#This Row],[Mat. Date]],3))</f>
        <v>0</v>
      </c>
      <c r="AI165" s="71">
        <f>IF(Tradingbook_MSB[[#This Row],[Days (year)]]=0,0,INDEX(Ref!$K$2:$K$13,MATCH(Tradingbook_MSB[[#This Row],[Days (year)]],Ref!$I$2:$I$13,1)))</f>
        <v>0</v>
      </c>
      <c r="AJ165" s="120" t="str">
        <f>VLOOKUP(Tradingbook_MSB[[#This Row],[Security Name]],Ref!X:Z,3,0)</f>
        <v>TPCP</v>
      </c>
      <c r="AK165" s="120" t="str">
        <f>VLOOKUP(Tradingbook_MSB[[#This Row],[Security Name]],Ref!X:Y,2,0)</f>
        <v>KBNN</v>
      </c>
      <c r="AL165" s="71">
        <f>IF((Tradingbook_MSB[[#This Row],[Mat. Date]]-RPT)&lt;=0,0,Tradingbook_MSB[[#This Row],[QUANTITY]])</f>
        <v>0</v>
      </c>
      <c r="AM165" s="71">
        <f>IF(Tradingbook_MSB[[#This Row],[Quantity_edited]]=0,0,Tradingbook_MSB[[#This Row],[DURATION]])</f>
        <v>0</v>
      </c>
      <c r="AN165" s="71">
        <f>IF(Tradingbook_MSB[[#This Row],[Quantity_edited]]=0,0,Tradingbook_MSB[[#This Row],[Mod Dur]])</f>
        <v>0</v>
      </c>
      <c r="AO165" s="71">
        <f>IF(Tradingbook_MSB[[#This Row],[Quantity_edited]]=0,0,Tradingbook_MSB[[#This Row],[Cnvx.]])</f>
        <v>0</v>
      </c>
      <c r="AP165" s="71">
        <f>(Tradingbook_MSB[[#This Row],[MARKET_VALUE]]+Tradingbook_MSB[[#This Row],[Accr Int]]*Tradingbook_MSB[[#This Row],[Quantity_edited]])*(-Tradingbook_MSB[[#This Row],[Modified Duration]]*0.0001+0.5*Tradingbook_MSB[[#This Row],[Conv]]*(0.0001^2))</f>
        <v>0</v>
      </c>
      <c r="AQ165" s="72">
        <f>(Tradingbook_MSB[[#This Row],[MARKET_VALUE]]+Tradingbook_MSB[[#This Row],[Accr Int]]*Tradingbook_MSB[[#This Row],[Quantity_edited]])*(-Tradingbook_MSB[[#This Row],[Modified Duration]]*0.01+0.5*Tradingbook_MSB[[#This Row],[Conv]]*(0.01^2))</f>
        <v>0</v>
      </c>
      <c r="AR165" s="71"/>
      <c r="AT165" t="s">
        <v>166</v>
      </c>
      <c r="AU165" t="s">
        <v>3301</v>
      </c>
      <c r="AV165" t="s">
        <v>2799</v>
      </c>
      <c r="AW165" t="s">
        <v>169</v>
      </c>
      <c r="AX165" t="s">
        <v>3450</v>
      </c>
      <c r="AY165" t="s">
        <v>170</v>
      </c>
      <c r="AZ165">
        <v>86137</v>
      </c>
      <c r="BA165">
        <v>86137</v>
      </c>
      <c r="BB165">
        <v>3500000</v>
      </c>
      <c r="BC165">
        <v>350000000000</v>
      </c>
      <c r="BD165">
        <v>97342.857000000004</v>
      </c>
      <c r="BE165">
        <v>301479500000</v>
      </c>
      <c r="BF165">
        <v>2.1</v>
      </c>
      <c r="BG165">
        <v>1260</v>
      </c>
      <c r="BH165">
        <v>11550000000</v>
      </c>
      <c r="BI165">
        <v>12140944375.000008</v>
      </c>
      <c r="BJ165">
        <v>-24737375472.222248</v>
      </c>
      <c r="BK165">
        <v>4.3275177859999996</v>
      </c>
      <c r="BL165">
        <v>6.5089608663455998</v>
      </c>
      <c r="BM165">
        <v>6.7906373100000001</v>
      </c>
      <c r="BN165">
        <v>51.133283041925701</v>
      </c>
      <c r="BO165">
        <v>156411.34383053149</v>
      </c>
      <c r="BP165">
        <v>-199102.278492602</v>
      </c>
      <c r="BQ165">
        <v>35506.171999999999</v>
      </c>
      <c r="BR165">
        <v>0</v>
      </c>
      <c r="BS165">
        <v>-39220500000.000008</v>
      </c>
      <c r="BT165">
        <v>-39220500000.000008</v>
      </c>
      <c r="BU165">
        <v>-39220500000.000008</v>
      </c>
      <c r="BV165">
        <v>-39220500000</v>
      </c>
      <c r="BW165">
        <v>-39220500000.000008</v>
      </c>
      <c r="BX165">
        <v>2.4542857140000001</v>
      </c>
      <c r="BY165" s="32">
        <f>Bankingbook_MSB[[#This Row],[Mat. Date]]-RPT</f>
        <v>2703</v>
      </c>
      <c r="BZ165" s="71">
        <f>IF(Bankingbook_MSB[[#This Row],[Days]]&lt;=0,0,YEARFRAC(RPT,Bankingbook_MSB[[#This Row],[Mat. Date]],3))</f>
        <v>7.4054794520547942</v>
      </c>
      <c r="CA165" s="71" t="str">
        <f>IF(Bankingbook_MSB[[#This Row],[Days (year)]]=0,0,INDEX(Ref!$K$2:$K$13,MATCH(Bankingbook_MSB[[#This Row],[Days (year)]],Ref!$I$2:$I$13,1)))</f>
        <v>7Y</v>
      </c>
      <c r="CB165" s="32" t="str">
        <f>VLOOKUP(Bankingbook_MSB[[#This Row],[Security Name]],Ref!X:Z,3,0)</f>
        <v>TPCP</v>
      </c>
      <c r="CC165" s="32" t="str">
        <f>VLOOKUP(Bankingbook_MSB[[#This Row],[Security Name]],Ref!X:Y,2,0)</f>
        <v>KBNN</v>
      </c>
      <c r="CD165" s="72">
        <f>IF((Bankingbook_MSB[[#This Row],[Mat. Date]]-RPT)&lt;=0,0,Bankingbook_MSB[[#This Row],[QUANTITY]])</f>
        <v>3500000</v>
      </c>
      <c r="CE165" s="71">
        <f>IF(Bankingbook_MSB[[#This Row],[Quantity_edited]]=0,0,Bankingbook_MSB[[#This Row],[DURATION]])</f>
        <v>6.7906373100000001</v>
      </c>
      <c r="CF165" s="71">
        <f>IF(Bankingbook_MSB[[#This Row],[Quantity_edited]]=0,0,Bankingbook_MSB[[#This Row],[Mod Dur]])</f>
        <v>6.5089608663455998</v>
      </c>
      <c r="CG165" s="71">
        <f>IF(Bankingbook_MSB[[#This Row],[Quantity_edited]]=0,0,Bankingbook_MSB[[#This Row],[Cnvx.]])</f>
        <v>51.133283041925701</v>
      </c>
      <c r="CH165" s="71">
        <f>(Bankingbook_MSB[[#This Row],[MARKET_VALUE]]+Bankingbook_MSB[[#This Row],[Accr Int]]*Bankingbook_MSB[[#This Row],[Quantity_edited]])*(-Bankingbook_MSB[[#This Row],[Modified Duration]]*0.0001+0.5*Bankingbook_MSB[[#This Row],[Conv]]*(0.0001^2))</f>
        <v>-199024072.82068697</v>
      </c>
      <c r="CI165" s="71">
        <f>(Bankingbook_MSB[[#This Row],[MARKET_VALUE]]+Bankingbook_MSB[[#This Row],[Accr Int]]*Bankingbook_MSB[[#This Row],[Quantity_edited]])*(-Bankingbook_MSB[[#This Row],[Modified Duration]]*0.01+0.5*Bankingbook_MSB[[#This Row],[Conv]]*(0.01^2))</f>
        <v>-19128171130.107571</v>
      </c>
      <c r="CL165" t="s">
        <v>166</v>
      </c>
      <c r="CM165" t="s">
        <v>167</v>
      </c>
      <c r="CN165" t="s">
        <v>343</v>
      </c>
      <c r="CO165" t="s">
        <v>169</v>
      </c>
      <c r="CP165" s="35">
        <v>43084</v>
      </c>
      <c r="CQ165" t="s">
        <v>3322</v>
      </c>
      <c r="CR165" t="s">
        <v>174</v>
      </c>
      <c r="CS165" t="s">
        <v>174</v>
      </c>
      <c r="CT165" s="49">
        <v>0</v>
      </c>
      <c r="CU165">
        <v>0</v>
      </c>
      <c r="CV165">
        <v>0</v>
      </c>
      <c r="CW165" s="70">
        <v>0</v>
      </c>
      <c r="CX165">
        <v>5.2</v>
      </c>
      <c r="CY165">
        <v>0</v>
      </c>
      <c r="CZ165">
        <v>0</v>
      </c>
      <c r="DA165">
        <v>3.9999999999999998E-6</v>
      </c>
      <c r="DB165">
        <v>-664995264.09723318</v>
      </c>
      <c r="DC165">
        <v>0</v>
      </c>
      <c r="DD165">
        <v>0</v>
      </c>
      <c r="DE165">
        <v>0</v>
      </c>
      <c r="DF165">
        <v>0</v>
      </c>
      <c r="DG165">
        <v>0</v>
      </c>
      <c r="DH165">
        <v>0</v>
      </c>
      <c r="DI165">
        <v>0</v>
      </c>
      <c r="DJ165" s="500">
        <v>-335000000</v>
      </c>
      <c r="DK165" s="500">
        <v>0</v>
      </c>
      <c r="DL165" s="37">
        <v>-335000000</v>
      </c>
      <c r="DM165" s="37">
        <v>-335000000</v>
      </c>
      <c r="DN165" s="37">
        <v>-335000000</v>
      </c>
      <c r="DO165" s="37">
        <v>-335000000</v>
      </c>
      <c r="DP165" s="32">
        <f>Tradingbook_SBV[[#This Row],[Mat. Date]]-RPT</f>
        <v>-3168</v>
      </c>
      <c r="DQ165" s="32">
        <f>IF(Tradingbook_SBV[[#This Row],[Days]]&lt;=0,0,YEARFRAC(RPT,Tradingbook_SBV[[#This Row],[Mat. Date]],3))</f>
        <v>0</v>
      </c>
      <c r="DR165" s="32">
        <f>IF(Tradingbook_SBV[[#This Row],[Days (year)]]=0,0,INDEX(Ref!$K$2:$K$13,MATCH(Tradingbook_SBV[[#This Row],[Days (year)]],Ref!$I$2:$I$13,1)))</f>
        <v>0</v>
      </c>
      <c r="DS165" s="32" t="str">
        <f>VLOOKUP(Tradingbook_SBV[[#This Row],[Security Name]],Ref!X:Z,3,0)</f>
        <v>TPCP</v>
      </c>
      <c r="DT165" s="32" t="str">
        <f>VLOOKUP(Tradingbook_SBV[[#This Row],[Security Name]],Ref!X:Y,2,0)</f>
        <v>KBNN</v>
      </c>
      <c r="DU165" s="71">
        <f>IF((Tradingbook_SBV[[#This Row],[Mat. Date]]-RPT)&lt;=0,0,Tradingbook_SBV[[#This Row],[QUANTITY]])</f>
        <v>0</v>
      </c>
      <c r="DV165" s="71">
        <f>IF(Tradingbook_SBV[[#This Row],[Quantity_edited]]=0,0,Tradingbook_SBV[[#This Row],[DURATION]])</f>
        <v>0</v>
      </c>
      <c r="DW165" s="71">
        <f>IF(Tradingbook_SBV[[#This Row],[Quantity_edited]]=0,0,Tradingbook_SBV[[#This Row],[Mod Dur]])</f>
        <v>0</v>
      </c>
      <c r="DX165" s="71">
        <f>IF(Tradingbook_SBV[[#This Row],[Quantity_edited]]=0,0,Tradingbook_SBV[[#This Row],[Cnvx.]])</f>
        <v>0</v>
      </c>
      <c r="DY165" s="71">
        <f>(Tradingbook_SBV[[#This Row],[MARKET_VALUE]]+Tradingbook_SBV[[#This Row],[Accr Int]]*Tradingbook_SBV[[#This Row],[Quantity_edited]])*(-Tradingbook_SBV[[#This Row],[Modified Duration]]*0.0001+0.5*Tradingbook_SBV[[#This Row],[Conv]]*(0.0001^2))</f>
        <v>0</v>
      </c>
      <c r="DZ165" s="71">
        <f>(Tradingbook_SBV[[#This Row],[MARKET_VALUE]]+Tradingbook_SBV[[#This Row],[Accr Int]]*Tradingbook_SBV[[#This Row],[Quantity_edited]])*(-Tradingbook_SBV[[#This Row],[Modified Duration]]*0.01+0.5*Tradingbook_SBV[[#This Row],[Conv]]*(0.01^2))</f>
        <v>0</v>
      </c>
      <c r="EC165" t="s">
        <v>166</v>
      </c>
      <c r="ED165" t="s">
        <v>167</v>
      </c>
      <c r="EE165" t="s">
        <v>567</v>
      </c>
      <c r="EF165" t="s">
        <v>169</v>
      </c>
      <c r="EG165" s="35" t="s">
        <v>3780</v>
      </c>
      <c r="EH165" t="s">
        <v>3322</v>
      </c>
      <c r="EI165" s="500">
        <v>101071</v>
      </c>
      <c r="EJ165" s="500">
        <v>101071</v>
      </c>
      <c r="EK165" s="500">
        <v>0</v>
      </c>
      <c r="EL165" s="500">
        <v>0</v>
      </c>
      <c r="EM165" s="500">
        <v>0</v>
      </c>
      <c r="EN165" s="500">
        <v>0</v>
      </c>
      <c r="EO165">
        <v>6.7</v>
      </c>
      <c r="EP165">
        <v>3506</v>
      </c>
      <c r="EQ165">
        <v>6700000000</v>
      </c>
      <c r="ER165">
        <v>7362499722.222229</v>
      </c>
      <c r="ES165">
        <v>-2780790749.4444447</v>
      </c>
      <c r="ET165">
        <v>4.2585076449999999</v>
      </c>
      <c r="EU165">
        <v>0.467227227794</v>
      </c>
      <c r="EV165">
        <v>0.48712413999999998</v>
      </c>
      <c r="EW165">
        <v>0.43660256478350001</v>
      </c>
      <c r="EX165">
        <v>0</v>
      </c>
      <c r="EY165">
        <v>0</v>
      </c>
      <c r="EZ165">
        <v>0</v>
      </c>
      <c r="FA165">
        <v>-2463000000</v>
      </c>
      <c r="FB165">
        <v>0</v>
      </c>
      <c r="FC165">
        <v>-2463000000</v>
      </c>
      <c r="FD165">
        <v>-2463000000</v>
      </c>
      <c r="FE165">
        <v>-2463000000</v>
      </c>
      <c r="FF165">
        <v>-2463000000</v>
      </c>
      <c r="FG165" s="32">
        <f>Bankingbook_SBV[[#This Row],[Mat. Date]]-RPT</f>
        <v>174</v>
      </c>
      <c r="FH165" s="32">
        <f>IF(Bankingbook_SBV[[#This Row],[Days]]&lt;=0,0,YEARFRAC(RPT,Bankingbook_SBV[[#This Row],[Mat. Date]],3))</f>
        <v>0.47671232876712327</v>
      </c>
      <c r="FI165" s="32" t="str">
        <f>IF(Bankingbook_SBV[[#This Row],[Days (year)]]=0,0,INDEX(Ref!$K$2:$K$13,MATCH(Bankingbook_SBV[[#This Row],[Days (year)]],Ref!$I$2:$I$13,1)))</f>
        <v>6M</v>
      </c>
      <c r="FJ165" s="32" t="str">
        <f>VLOOKUP(Bankingbook_SBV[[#This Row],[Security Name]],Ref!X:Z,3,0)</f>
        <v>TPCPBL</v>
      </c>
      <c r="FK165" s="32" t="str">
        <f>VLOOKUP(Bankingbook_SBV[[#This Row],[Security Name]],Ref!X:Y,2,0)</f>
        <v>VDB</v>
      </c>
      <c r="FL165" s="72">
        <f>IF((Bankingbook_SBV[[#This Row],[Mat. Date]]-RPT)&lt;=0,0,Bankingbook_SBV[[#This Row],[QUANTITY]])</f>
        <v>0</v>
      </c>
      <c r="FM165" s="32">
        <f>IF(Bankingbook_SBV[[#This Row],[Quantity_edited]]=0,0,Bankingbook_SBV[[#This Row],[DURATION]])</f>
        <v>0</v>
      </c>
      <c r="FN165" s="32">
        <f>IF(Bankingbook_SBV[[#This Row],[Quantity_edited]]=0,0,Bankingbook_SBV[[#This Row],[Mod Dur]])</f>
        <v>0</v>
      </c>
      <c r="FO165" s="32">
        <f>IF(Bankingbook_SBV[[#This Row],[Quantity_edited]]=0,0,Bankingbook_SBV[[#This Row],[Cnvx.]])</f>
        <v>0</v>
      </c>
      <c r="FP165" s="32">
        <f>(Bankingbook_SBV[[#This Row],[MARKET_VALUE]]+Bankingbook_SBV[[#This Row],[Accr Int]]*Bankingbook_SBV[[#This Row],[Quantity_edited]])*(-Bankingbook_SBV[[#This Row],[Modified Duration]]*0.0001+0.5*Bankingbook_SBV[[#This Row],[Conv]]*(0.0001^2))</f>
        <v>0</v>
      </c>
      <c r="FQ165" s="32">
        <f>(Bankingbook_SBV[[#This Row],[MARKET_VALUE]]+Bankingbook_SBV[[#This Row],[Accr Int]]*Bankingbook_SBV[[#This Row],[Quantity_edited]])*(-Bankingbook_SBV[[#This Row],[Modified Duration]]*0.01+0.5*Bankingbook_SBV[[#This Row],[Conv]]*(0.01^2))</f>
        <v>0</v>
      </c>
    </row>
    <row r="166" spans="2:173" x14ac:dyDescent="0.3">
      <c r="B166" t="s">
        <v>166</v>
      </c>
      <c r="C166" t="s">
        <v>167</v>
      </c>
      <c r="D166" t="s">
        <v>344</v>
      </c>
      <c r="E166" t="s">
        <v>169</v>
      </c>
      <c r="F166" s="502">
        <v>43088</v>
      </c>
      <c r="G166" t="s">
        <v>3322</v>
      </c>
      <c r="H166"/>
      <c r="I166"/>
      <c r="J166" s="38">
        <v>0</v>
      </c>
      <c r="K166">
        <v>0</v>
      </c>
      <c r="L166">
        <v>0</v>
      </c>
      <c r="M166" s="38">
        <v>0</v>
      </c>
      <c r="N166">
        <v>6.2</v>
      </c>
      <c r="O166">
        <v>0</v>
      </c>
      <c r="P166" s="37">
        <v>6200000000</v>
      </c>
      <c r="Q166" s="37">
        <v>6528173750</v>
      </c>
      <c r="R166" s="37">
        <v>-2724573006.2500124</v>
      </c>
      <c r="S166">
        <v>0</v>
      </c>
      <c r="T166" s="70">
        <v>0</v>
      </c>
      <c r="U166">
        <v>0</v>
      </c>
      <c r="V166">
        <v>0</v>
      </c>
      <c r="W166">
        <v>0</v>
      </c>
      <c r="X166" s="38">
        <v>0</v>
      </c>
      <c r="Y166">
        <v>0</v>
      </c>
      <c r="Z166" s="70">
        <v>1328000000</v>
      </c>
      <c r="AA166" s="70">
        <v>0</v>
      </c>
      <c r="AB166" s="70">
        <v>1328000000</v>
      </c>
      <c r="AC166" s="70">
        <v>1328000000</v>
      </c>
      <c r="AD166" s="70">
        <v>1328000000</v>
      </c>
      <c r="AE166" s="70">
        <v>1328000000</v>
      </c>
      <c r="AF166">
        <v>0</v>
      </c>
      <c r="AG166" s="72">
        <f>Tradingbook_MSB[[#This Row],[Mat. Date]]-RPT</f>
        <v>-3164</v>
      </c>
      <c r="AH166" s="71">
        <f>IF(Tradingbook_MSB[[#This Row],[Days]]&lt;=0,0,YEARFRAC(RPT,Tradingbook_MSB[[#This Row],[Mat. Date]],3))</f>
        <v>0</v>
      </c>
      <c r="AI166" s="71">
        <f>IF(Tradingbook_MSB[[#This Row],[Days (year)]]=0,0,INDEX(Ref!$K$2:$K$13,MATCH(Tradingbook_MSB[[#This Row],[Days (year)]],Ref!$I$2:$I$13,1)))</f>
        <v>0</v>
      </c>
      <c r="AJ166" s="120" t="str">
        <f>VLOOKUP(Tradingbook_MSB[[#This Row],[Security Name]],Ref!X:Z,3,0)</f>
        <v>TPCPBL</v>
      </c>
      <c r="AK166" s="120" t="str">
        <f>VLOOKUP(Tradingbook_MSB[[#This Row],[Security Name]],Ref!X:Y,2,0)</f>
        <v>VDB</v>
      </c>
      <c r="AL166" s="71">
        <f>IF((Tradingbook_MSB[[#This Row],[Mat. Date]]-RPT)&lt;=0,0,Tradingbook_MSB[[#This Row],[QUANTITY]])</f>
        <v>0</v>
      </c>
      <c r="AM166" s="71">
        <f>IF(Tradingbook_MSB[[#This Row],[Quantity_edited]]=0,0,Tradingbook_MSB[[#This Row],[DURATION]])</f>
        <v>0</v>
      </c>
      <c r="AN166" s="71">
        <f>IF(Tradingbook_MSB[[#This Row],[Quantity_edited]]=0,0,Tradingbook_MSB[[#This Row],[Mod Dur]])</f>
        <v>0</v>
      </c>
      <c r="AO166" s="71">
        <f>IF(Tradingbook_MSB[[#This Row],[Quantity_edited]]=0,0,Tradingbook_MSB[[#This Row],[Cnvx.]])</f>
        <v>0</v>
      </c>
      <c r="AP166" s="71">
        <f>(Tradingbook_MSB[[#This Row],[MARKET_VALUE]]+Tradingbook_MSB[[#This Row],[Accr Int]]*Tradingbook_MSB[[#This Row],[Quantity_edited]])*(-Tradingbook_MSB[[#This Row],[Modified Duration]]*0.0001+0.5*Tradingbook_MSB[[#This Row],[Conv]]*(0.0001^2))</f>
        <v>0</v>
      </c>
      <c r="AQ166" s="72">
        <f>(Tradingbook_MSB[[#This Row],[MARKET_VALUE]]+Tradingbook_MSB[[#This Row],[Accr Int]]*Tradingbook_MSB[[#This Row],[Quantity_edited]])*(-Tradingbook_MSB[[#This Row],[Modified Duration]]*0.01+0.5*Tradingbook_MSB[[#This Row],[Conv]]*(0.01^2))</f>
        <v>0</v>
      </c>
      <c r="AR166" s="71"/>
      <c r="AT166" t="s">
        <v>166</v>
      </c>
      <c r="AU166" t="s">
        <v>3301</v>
      </c>
      <c r="AV166" t="s">
        <v>666</v>
      </c>
      <c r="AW166" t="s">
        <v>169</v>
      </c>
      <c r="AX166" t="s">
        <v>3448</v>
      </c>
      <c r="AY166" t="s">
        <v>170</v>
      </c>
      <c r="AZ166">
        <v>104787</v>
      </c>
      <c r="BA166">
        <v>104787</v>
      </c>
      <c r="BB166">
        <v>500000</v>
      </c>
      <c r="BC166">
        <v>50000000000</v>
      </c>
      <c r="BD166">
        <v>125089</v>
      </c>
      <c r="BE166">
        <v>52393500000</v>
      </c>
      <c r="BF166">
        <v>5.0999999999999996</v>
      </c>
      <c r="BG166">
        <v>2878</v>
      </c>
      <c r="BH166">
        <v>5100000000</v>
      </c>
      <c r="BI166">
        <v>5385564583.3333368</v>
      </c>
      <c r="BJ166">
        <v>-6091634358.3333368</v>
      </c>
      <c r="BK166">
        <v>4.329117353</v>
      </c>
      <c r="BL166">
        <v>5.9774087662172999</v>
      </c>
      <c r="BM166">
        <v>6.23617781</v>
      </c>
      <c r="BN166">
        <v>45.783928290290802</v>
      </c>
      <c r="BO166">
        <v>24646.6331968708</v>
      </c>
      <c r="BP166">
        <v>-32177.885740738999</v>
      </c>
      <c r="BQ166">
        <v>6250.8779999999997</v>
      </c>
      <c r="BR166">
        <v>0</v>
      </c>
      <c r="BS166">
        <v>-10151000000</v>
      </c>
      <c r="BT166">
        <v>-10151000000</v>
      </c>
      <c r="BU166">
        <v>-10151000000</v>
      </c>
      <c r="BV166">
        <v>-10151000000</v>
      </c>
      <c r="BW166">
        <v>-10151000000</v>
      </c>
      <c r="BX166">
        <v>2.2200000000000002</v>
      </c>
      <c r="BY166" s="32">
        <f>Bankingbook_MSB[[#This Row],[Mat. Date]]-RPT</f>
        <v>2716</v>
      </c>
      <c r="BZ166" s="71">
        <f>IF(Bankingbook_MSB[[#This Row],[Days]]&lt;=0,0,YEARFRAC(RPT,Bankingbook_MSB[[#This Row],[Mat. Date]],3))</f>
        <v>7.441095890410959</v>
      </c>
      <c r="CA166" s="71" t="str">
        <f>IF(Bankingbook_MSB[[#This Row],[Days (year)]]=0,0,INDEX(Ref!$K$2:$K$13,MATCH(Bankingbook_MSB[[#This Row],[Days (year)]],Ref!$I$2:$I$13,1)))</f>
        <v>7Y</v>
      </c>
      <c r="CB166" s="32" t="str">
        <f>VLOOKUP(Bankingbook_MSB[[#This Row],[Security Name]],Ref!X:Z,3,0)</f>
        <v>TPCP</v>
      </c>
      <c r="CC166" s="32" t="str">
        <f>VLOOKUP(Bankingbook_MSB[[#This Row],[Security Name]],Ref!X:Y,2,0)</f>
        <v>KBNN</v>
      </c>
      <c r="CD166" s="72">
        <f>IF((Bankingbook_MSB[[#This Row],[Mat. Date]]-RPT)&lt;=0,0,Bankingbook_MSB[[#This Row],[QUANTITY]])</f>
        <v>500000</v>
      </c>
      <c r="CE166" s="71">
        <f>IF(Bankingbook_MSB[[#This Row],[Quantity_edited]]=0,0,Bankingbook_MSB[[#This Row],[DURATION]])</f>
        <v>6.23617781</v>
      </c>
      <c r="CF166" s="71">
        <f>IF(Bankingbook_MSB[[#This Row],[Quantity_edited]]=0,0,Bankingbook_MSB[[#This Row],[Mod Dur]])</f>
        <v>5.9774087662172999</v>
      </c>
      <c r="CG166" s="71">
        <f>IF(Bankingbook_MSB[[#This Row],[Quantity_edited]]=0,0,Bankingbook_MSB[[#This Row],[Cnvx.]])</f>
        <v>45.783928290290802</v>
      </c>
      <c r="CH166" s="71">
        <f>(Bankingbook_MSB[[#This Row],[MARKET_VALUE]]+Bankingbook_MSB[[#This Row],[Accr Int]]*Bankingbook_MSB[[#This Row],[Quantity_edited]])*(-Bankingbook_MSB[[#This Row],[Modified Duration]]*0.0001+0.5*Bankingbook_MSB[[#This Row],[Conv]]*(0.0001^2))</f>
        <v>-32165562.424140844</v>
      </c>
      <c r="CI166" s="71">
        <f>(Bankingbook_MSB[[#This Row],[MARKET_VALUE]]+Bankingbook_MSB[[#This Row],[Accr Int]]*Bankingbook_MSB[[#This Row],[Quantity_edited]])*(-Bankingbook_MSB[[#This Row],[Modified Duration]]*0.01+0.5*Bankingbook_MSB[[#This Row],[Conv]]*(0.01^2))</f>
        <v>-3094555408.0895739</v>
      </c>
      <c r="CL166" t="s">
        <v>166</v>
      </c>
      <c r="CM166" t="s">
        <v>167</v>
      </c>
      <c r="CN166" t="s">
        <v>344</v>
      </c>
      <c r="CO166" t="s">
        <v>169</v>
      </c>
      <c r="CP166" s="35">
        <v>43088</v>
      </c>
      <c r="CQ166" t="s">
        <v>3322</v>
      </c>
      <c r="CR166" t="s">
        <v>174</v>
      </c>
      <c r="CS166" t="s">
        <v>174</v>
      </c>
      <c r="CT166" s="49">
        <v>0</v>
      </c>
      <c r="CU166">
        <v>0</v>
      </c>
      <c r="CV166">
        <v>0</v>
      </c>
      <c r="CW166" s="70">
        <v>0</v>
      </c>
      <c r="CX166">
        <v>6.2</v>
      </c>
      <c r="CY166">
        <v>0</v>
      </c>
      <c r="CZ166">
        <v>6200000000</v>
      </c>
      <c r="DA166">
        <v>6528173750</v>
      </c>
      <c r="DB166">
        <v>-2724573006.2500124</v>
      </c>
      <c r="DC166">
        <v>0</v>
      </c>
      <c r="DD166">
        <v>0</v>
      </c>
      <c r="DE166">
        <v>0</v>
      </c>
      <c r="DF166">
        <v>0</v>
      </c>
      <c r="DG166">
        <v>0</v>
      </c>
      <c r="DH166">
        <v>0</v>
      </c>
      <c r="DI166">
        <v>0</v>
      </c>
      <c r="DJ166" s="500">
        <v>1328000000</v>
      </c>
      <c r="DK166" s="500">
        <v>0</v>
      </c>
      <c r="DL166" s="37">
        <v>1328000000</v>
      </c>
      <c r="DM166" s="37">
        <v>1328000000</v>
      </c>
      <c r="DN166" s="37">
        <v>1328000000</v>
      </c>
      <c r="DO166" s="37">
        <v>1328000000</v>
      </c>
      <c r="DP166" s="32">
        <f>Tradingbook_SBV[[#This Row],[Mat. Date]]-RPT</f>
        <v>-3164</v>
      </c>
      <c r="DQ166" s="32">
        <f>IF(Tradingbook_SBV[[#This Row],[Days]]&lt;=0,0,YEARFRAC(RPT,Tradingbook_SBV[[#This Row],[Mat. Date]],3))</f>
        <v>0</v>
      </c>
      <c r="DR166" s="32">
        <f>IF(Tradingbook_SBV[[#This Row],[Days (year)]]=0,0,INDEX(Ref!$K$2:$K$13,MATCH(Tradingbook_SBV[[#This Row],[Days (year)]],Ref!$I$2:$I$13,1)))</f>
        <v>0</v>
      </c>
      <c r="DS166" s="32" t="str">
        <f>VLOOKUP(Tradingbook_SBV[[#This Row],[Security Name]],Ref!X:Z,3,0)</f>
        <v>TPCPBL</v>
      </c>
      <c r="DT166" s="32" t="str">
        <f>VLOOKUP(Tradingbook_SBV[[#This Row],[Security Name]],Ref!X:Y,2,0)</f>
        <v>VDB</v>
      </c>
      <c r="DU166" s="71">
        <f>IF((Tradingbook_SBV[[#This Row],[Mat. Date]]-RPT)&lt;=0,0,Tradingbook_SBV[[#This Row],[QUANTITY]])</f>
        <v>0</v>
      </c>
      <c r="DV166" s="71">
        <f>IF(Tradingbook_SBV[[#This Row],[Quantity_edited]]=0,0,Tradingbook_SBV[[#This Row],[DURATION]])</f>
        <v>0</v>
      </c>
      <c r="DW166" s="71">
        <f>IF(Tradingbook_SBV[[#This Row],[Quantity_edited]]=0,0,Tradingbook_SBV[[#This Row],[Mod Dur]])</f>
        <v>0</v>
      </c>
      <c r="DX166" s="71">
        <f>IF(Tradingbook_SBV[[#This Row],[Quantity_edited]]=0,0,Tradingbook_SBV[[#This Row],[Cnvx.]])</f>
        <v>0</v>
      </c>
      <c r="DY166" s="71">
        <f>(Tradingbook_SBV[[#This Row],[MARKET_VALUE]]+Tradingbook_SBV[[#This Row],[Accr Int]]*Tradingbook_SBV[[#This Row],[Quantity_edited]])*(-Tradingbook_SBV[[#This Row],[Modified Duration]]*0.0001+0.5*Tradingbook_SBV[[#This Row],[Conv]]*(0.0001^2))</f>
        <v>0</v>
      </c>
      <c r="DZ166" s="71">
        <f>(Tradingbook_SBV[[#This Row],[MARKET_VALUE]]+Tradingbook_SBV[[#This Row],[Accr Int]]*Tradingbook_SBV[[#This Row],[Quantity_edited]])*(-Tradingbook_SBV[[#This Row],[Modified Duration]]*0.01+0.5*Tradingbook_SBV[[#This Row],[Conv]]*(0.01^2))</f>
        <v>0</v>
      </c>
      <c r="EC166" t="s">
        <v>166</v>
      </c>
      <c r="ED166" t="s">
        <v>167</v>
      </c>
      <c r="EE166" t="s">
        <v>568</v>
      </c>
      <c r="EF166" t="s">
        <v>169</v>
      </c>
      <c r="EG166" s="35" t="s">
        <v>3407</v>
      </c>
      <c r="EH166" t="s">
        <v>170</v>
      </c>
      <c r="EI166" s="500">
        <v>101065</v>
      </c>
      <c r="EJ166" s="500">
        <v>101065</v>
      </c>
      <c r="EK166" s="500">
        <v>7020000</v>
      </c>
      <c r="EL166" s="500">
        <v>702000000000</v>
      </c>
      <c r="EM166" s="500">
        <v>105737.584</v>
      </c>
      <c r="EN166" s="500">
        <v>709476300000</v>
      </c>
      <c r="EO166">
        <v>6.6</v>
      </c>
      <c r="EP166">
        <v>3345</v>
      </c>
      <c r="EQ166">
        <v>489588000000</v>
      </c>
      <c r="ER166">
        <v>559927553533.33337</v>
      </c>
      <c r="ES166">
        <v>-194869873290.41318</v>
      </c>
      <c r="ET166">
        <v>4.2532643739999996</v>
      </c>
      <c r="EU166">
        <v>0.48301935285089997</v>
      </c>
      <c r="EV166">
        <v>0.50356343999999997</v>
      </c>
      <c r="EW166">
        <v>0.46661539045610001</v>
      </c>
      <c r="EX166">
        <v>3420.09576681</v>
      </c>
      <c r="EY166">
        <v>-35403.299543077999</v>
      </c>
      <c r="EZ166">
        <v>83664.877999999997</v>
      </c>
      <c r="FA166">
        <v>48335418054.105141</v>
      </c>
      <c r="FB166">
        <v>-32801538054.105377</v>
      </c>
      <c r="FC166">
        <v>15533879999.999763</v>
      </c>
      <c r="FD166">
        <v>15533879999.999763</v>
      </c>
      <c r="FE166">
        <v>15533880000</v>
      </c>
      <c r="FF166">
        <v>15533879999.999763</v>
      </c>
      <c r="FG166" s="32">
        <f>Bankingbook_SBV[[#This Row],[Mat. Date]]-RPT</f>
        <v>180</v>
      </c>
      <c r="FH166" s="32">
        <f>IF(Bankingbook_SBV[[#This Row],[Days]]&lt;=0,0,YEARFRAC(RPT,Bankingbook_SBV[[#This Row],[Mat. Date]],3))</f>
        <v>0.49315068493150682</v>
      </c>
      <c r="FI166" s="32" t="str">
        <f>IF(Bankingbook_SBV[[#This Row],[Days (year)]]=0,0,INDEX(Ref!$K$2:$K$13,MATCH(Bankingbook_SBV[[#This Row],[Days (year)]],Ref!$I$2:$I$13,1)))</f>
        <v>6M</v>
      </c>
      <c r="FJ166" s="32" t="str">
        <f>VLOOKUP(Bankingbook_SBV[[#This Row],[Security Name]],Ref!X:Z,3,0)</f>
        <v>TPCPBL</v>
      </c>
      <c r="FK166" s="32" t="str">
        <f>VLOOKUP(Bankingbook_SBV[[#This Row],[Security Name]],Ref!X:Y,2,0)</f>
        <v>VDB</v>
      </c>
      <c r="FL166" s="72">
        <f>IF((Bankingbook_SBV[[#This Row],[Mat. Date]]-RPT)&lt;=0,0,Bankingbook_SBV[[#This Row],[QUANTITY]])</f>
        <v>7020000</v>
      </c>
      <c r="FM166" s="32">
        <f>IF(Bankingbook_SBV[[#This Row],[Quantity_edited]]=0,0,Bankingbook_SBV[[#This Row],[DURATION]])</f>
        <v>0.50356343999999997</v>
      </c>
      <c r="FN166" s="32">
        <f>IF(Bankingbook_SBV[[#This Row],[Quantity_edited]]=0,0,Bankingbook_SBV[[#This Row],[Mod Dur]])</f>
        <v>0.48301935285089997</v>
      </c>
      <c r="FO166" s="32">
        <f>IF(Bankingbook_SBV[[#This Row],[Quantity_edited]]=0,0,Bankingbook_SBV[[#This Row],[Cnvx.]])</f>
        <v>0.46661539045610001</v>
      </c>
      <c r="FP166" s="32">
        <f>(Bankingbook_SBV[[#This Row],[MARKET_VALUE]]+Bankingbook_SBV[[#This Row],[Accr Int]]*Bankingbook_SBV[[#This Row],[Quantity_edited]])*(-Bankingbook_SBV[[#This Row],[Modified Duration]]*0.0001+0.5*Bankingbook_SBV[[#This Row],[Conv]]*(0.0001^2))</f>
        <v>-35401589.495192647</v>
      </c>
      <c r="FQ166" s="32">
        <f>(Bankingbook_SBV[[#This Row],[MARKET_VALUE]]+Bankingbook_SBV[[#This Row],[Accr Int]]*Bankingbook_SBV[[#This Row],[Quantity_edited]])*(-Bankingbook_SBV[[#This Row],[Modified Duration]]*0.01+0.5*Bankingbook_SBV[[#This Row],[Conv]]*(0.01^2))</f>
        <v>-3523229475.4735551</v>
      </c>
    </row>
    <row r="167" spans="2:173" x14ac:dyDescent="0.3">
      <c r="B167" t="s">
        <v>166</v>
      </c>
      <c r="C167" t="s">
        <v>167</v>
      </c>
      <c r="D167" t="s">
        <v>345</v>
      </c>
      <c r="E167" t="s">
        <v>169</v>
      </c>
      <c r="F167" s="502">
        <v>43090</v>
      </c>
      <c r="G167" t="s">
        <v>3322</v>
      </c>
      <c r="H167"/>
      <c r="I167"/>
      <c r="J167" s="38">
        <v>0</v>
      </c>
      <c r="K167">
        <v>0</v>
      </c>
      <c r="L167">
        <v>0</v>
      </c>
      <c r="M167" s="38">
        <v>0</v>
      </c>
      <c r="N167">
        <v>10.8</v>
      </c>
      <c r="O167">
        <v>0</v>
      </c>
      <c r="P167" s="37">
        <v>0</v>
      </c>
      <c r="Q167" s="37">
        <v>-6.0999999999999999E-5</v>
      </c>
      <c r="R167" s="37">
        <v>704153016.80564117</v>
      </c>
      <c r="S167">
        <v>0</v>
      </c>
      <c r="T167" s="70">
        <v>0</v>
      </c>
      <c r="U167">
        <v>0</v>
      </c>
      <c r="V167">
        <v>0</v>
      </c>
      <c r="W167">
        <v>0</v>
      </c>
      <c r="X167" s="38">
        <v>0</v>
      </c>
      <c r="Y167">
        <v>0</v>
      </c>
      <c r="Z167" s="70">
        <v>18959000000</v>
      </c>
      <c r="AA167" s="70">
        <v>0</v>
      </c>
      <c r="AB167" s="70">
        <v>18959000000</v>
      </c>
      <c r="AC167" s="70">
        <v>18959000000</v>
      </c>
      <c r="AD167" s="70">
        <v>18959000000</v>
      </c>
      <c r="AE167" s="70">
        <v>18959000000</v>
      </c>
      <c r="AF167">
        <v>0</v>
      </c>
      <c r="AG167" s="72">
        <f>Tradingbook_MSB[[#This Row],[Mat. Date]]-RPT</f>
        <v>-3162</v>
      </c>
      <c r="AH167" s="71">
        <f>IF(Tradingbook_MSB[[#This Row],[Days]]&lt;=0,0,YEARFRAC(RPT,Tradingbook_MSB[[#This Row],[Mat. Date]],3))</f>
        <v>0</v>
      </c>
      <c r="AI167" s="71">
        <f>IF(Tradingbook_MSB[[#This Row],[Days (year)]]=0,0,INDEX(Ref!$K$2:$K$13,MATCH(Tradingbook_MSB[[#This Row],[Days (year)]],Ref!$I$2:$I$13,1)))</f>
        <v>0</v>
      </c>
      <c r="AJ167" s="120" t="str">
        <f>VLOOKUP(Tradingbook_MSB[[#This Row],[Security Name]],Ref!X:Z,3,0)</f>
        <v>TPCPBL</v>
      </c>
      <c r="AK167" s="120" t="str">
        <f>VLOOKUP(Tradingbook_MSB[[#This Row],[Security Name]],Ref!X:Y,2,0)</f>
        <v>VDB</v>
      </c>
      <c r="AL167" s="71">
        <f>IF((Tradingbook_MSB[[#This Row],[Mat. Date]]-RPT)&lt;=0,0,Tradingbook_MSB[[#This Row],[QUANTITY]])</f>
        <v>0</v>
      </c>
      <c r="AM167" s="71">
        <f>IF(Tradingbook_MSB[[#This Row],[Quantity_edited]]=0,0,Tradingbook_MSB[[#This Row],[DURATION]])</f>
        <v>0</v>
      </c>
      <c r="AN167" s="71">
        <f>IF(Tradingbook_MSB[[#This Row],[Quantity_edited]]=0,0,Tradingbook_MSB[[#This Row],[Mod Dur]])</f>
        <v>0</v>
      </c>
      <c r="AO167" s="71">
        <f>IF(Tradingbook_MSB[[#This Row],[Quantity_edited]]=0,0,Tradingbook_MSB[[#This Row],[Cnvx.]])</f>
        <v>0</v>
      </c>
      <c r="AP167" s="71">
        <f>(Tradingbook_MSB[[#This Row],[MARKET_VALUE]]+Tradingbook_MSB[[#This Row],[Accr Int]]*Tradingbook_MSB[[#This Row],[Quantity_edited]])*(-Tradingbook_MSB[[#This Row],[Modified Duration]]*0.0001+0.5*Tradingbook_MSB[[#This Row],[Conv]]*(0.0001^2))</f>
        <v>0</v>
      </c>
      <c r="AQ167" s="72">
        <f>(Tradingbook_MSB[[#This Row],[MARKET_VALUE]]+Tradingbook_MSB[[#This Row],[Accr Int]]*Tradingbook_MSB[[#This Row],[Quantity_edited]])*(-Tradingbook_MSB[[#This Row],[Modified Duration]]*0.01+0.5*Tradingbook_MSB[[#This Row],[Conv]]*(0.01^2))</f>
        <v>0</v>
      </c>
      <c r="AR167" s="71"/>
      <c r="AT167" t="s">
        <v>166</v>
      </c>
      <c r="AU167" t="s">
        <v>3301</v>
      </c>
      <c r="AV167" t="s">
        <v>667</v>
      </c>
      <c r="AW167" t="s">
        <v>169</v>
      </c>
      <c r="AX167" t="s">
        <v>3451</v>
      </c>
      <c r="AY167" t="s">
        <v>3322</v>
      </c>
      <c r="AZ167">
        <v>104176</v>
      </c>
      <c r="BA167">
        <v>104176</v>
      </c>
      <c r="BB167">
        <v>0</v>
      </c>
      <c r="BC167">
        <v>0</v>
      </c>
      <c r="BD167">
        <v>0</v>
      </c>
      <c r="BE167">
        <v>0</v>
      </c>
      <c r="BF167">
        <v>5</v>
      </c>
      <c r="BG167">
        <v>2438</v>
      </c>
      <c r="BH167">
        <v>15000000000</v>
      </c>
      <c r="BI167">
        <v>16917735763.888861</v>
      </c>
      <c r="BJ167">
        <v>-6477168384.4442949</v>
      </c>
      <c r="BK167">
        <v>4.3327429889999998</v>
      </c>
      <c r="BL167">
        <v>6.0659470919293996</v>
      </c>
      <c r="BM167">
        <v>6.3287689900000004</v>
      </c>
      <c r="BN167">
        <v>46.894707441839699</v>
      </c>
      <c r="BO167">
        <v>0</v>
      </c>
      <c r="BP167">
        <v>0</v>
      </c>
      <c r="BQ167">
        <v>0</v>
      </c>
      <c r="BR167">
        <v>-372500000</v>
      </c>
      <c r="BS167">
        <v>0</v>
      </c>
      <c r="BT167">
        <v>-372500000</v>
      </c>
      <c r="BU167">
        <v>-372500000</v>
      </c>
      <c r="BV167">
        <v>-372500000</v>
      </c>
      <c r="BW167">
        <v>-372500000</v>
      </c>
      <c r="BX167">
        <v>0</v>
      </c>
      <c r="BY167" s="32">
        <f>Bankingbook_MSB[[#This Row],[Mat. Date]]-RPT</f>
        <v>2744</v>
      </c>
      <c r="BZ167" s="71">
        <f>IF(Bankingbook_MSB[[#This Row],[Days]]&lt;=0,0,YEARFRAC(RPT,Bankingbook_MSB[[#This Row],[Mat. Date]],3))</f>
        <v>7.5178082191780824</v>
      </c>
      <c r="CA167" s="71" t="str">
        <f>IF(Bankingbook_MSB[[#This Row],[Days (year)]]=0,0,INDEX(Ref!$K$2:$K$13,MATCH(Bankingbook_MSB[[#This Row],[Days (year)]],Ref!$I$2:$I$13,1)))</f>
        <v>10Y</v>
      </c>
      <c r="CB167" s="32" t="str">
        <f>VLOOKUP(Bankingbook_MSB[[#This Row],[Security Name]],Ref!X:Z,3,0)</f>
        <v>TPCP</v>
      </c>
      <c r="CC167" s="32" t="str">
        <f>VLOOKUP(Bankingbook_MSB[[#This Row],[Security Name]],Ref!X:Y,2,0)</f>
        <v>KBNN</v>
      </c>
      <c r="CD167" s="72">
        <f>IF((Bankingbook_MSB[[#This Row],[Mat. Date]]-RPT)&lt;=0,0,Bankingbook_MSB[[#This Row],[QUANTITY]])</f>
        <v>0</v>
      </c>
      <c r="CE167" s="71">
        <f>IF(Bankingbook_MSB[[#This Row],[Quantity_edited]]=0,0,Bankingbook_MSB[[#This Row],[DURATION]])</f>
        <v>0</v>
      </c>
      <c r="CF167" s="71">
        <f>IF(Bankingbook_MSB[[#This Row],[Quantity_edited]]=0,0,Bankingbook_MSB[[#This Row],[Mod Dur]])</f>
        <v>0</v>
      </c>
      <c r="CG167" s="71">
        <f>IF(Bankingbook_MSB[[#This Row],[Quantity_edited]]=0,0,Bankingbook_MSB[[#This Row],[Cnvx.]])</f>
        <v>0</v>
      </c>
      <c r="CH167" s="71">
        <f>(Bankingbook_MSB[[#This Row],[MARKET_VALUE]]+Bankingbook_MSB[[#This Row],[Accr Int]]*Bankingbook_MSB[[#This Row],[Quantity_edited]])*(-Bankingbook_MSB[[#This Row],[Modified Duration]]*0.0001+0.5*Bankingbook_MSB[[#This Row],[Conv]]*(0.0001^2))</f>
        <v>0</v>
      </c>
      <c r="CI167" s="71">
        <f>(Bankingbook_MSB[[#This Row],[MARKET_VALUE]]+Bankingbook_MSB[[#This Row],[Accr Int]]*Bankingbook_MSB[[#This Row],[Quantity_edited]])*(-Bankingbook_MSB[[#This Row],[Modified Duration]]*0.01+0.5*Bankingbook_MSB[[#This Row],[Conv]]*(0.01^2))</f>
        <v>0</v>
      </c>
      <c r="CL167" t="s">
        <v>166</v>
      </c>
      <c r="CM167" t="s">
        <v>167</v>
      </c>
      <c r="CN167" t="s">
        <v>345</v>
      </c>
      <c r="CO167" t="s">
        <v>169</v>
      </c>
      <c r="CP167" s="35">
        <v>43090</v>
      </c>
      <c r="CQ167" t="s">
        <v>3322</v>
      </c>
      <c r="CR167" t="s">
        <v>174</v>
      </c>
      <c r="CS167" t="s">
        <v>174</v>
      </c>
      <c r="CT167" s="49">
        <v>0</v>
      </c>
      <c r="CU167">
        <v>0</v>
      </c>
      <c r="CV167">
        <v>0</v>
      </c>
      <c r="CW167" s="70">
        <v>0</v>
      </c>
      <c r="CX167">
        <v>10.8</v>
      </c>
      <c r="CY167">
        <v>0</v>
      </c>
      <c r="CZ167">
        <v>0</v>
      </c>
      <c r="DA167">
        <v>-6.0999999999999999E-5</v>
      </c>
      <c r="DB167">
        <v>704153016.80564117</v>
      </c>
      <c r="DC167">
        <v>0</v>
      </c>
      <c r="DD167">
        <v>0</v>
      </c>
      <c r="DE167">
        <v>0</v>
      </c>
      <c r="DF167">
        <v>0</v>
      </c>
      <c r="DG167">
        <v>0</v>
      </c>
      <c r="DH167">
        <v>0</v>
      </c>
      <c r="DI167">
        <v>0</v>
      </c>
      <c r="DJ167" s="500">
        <v>18959000000</v>
      </c>
      <c r="DK167" s="500">
        <v>0</v>
      </c>
      <c r="DL167" s="37">
        <v>18959000000</v>
      </c>
      <c r="DM167" s="37">
        <v>18959000000</v>
      </c>
      <c r="DN167" s="37">
        <v>18959000000</v>
      </c>
      <c r="DO167" s="37">
        <v>18959000000</v>
      </c>
      <c r="DP167" s="32">
        <f>Tradingbook_SBV[[#This Row],[Mat. Date]]-RPT</f>
        <v>-3162</v>
      </c>
      <c r="DQ167" s="32">
        <f>IF(Tradingbook_SBV[[#This Row],[Days]]&lt;=0,0,YEARFRAC(RPT,Tradingbook_SBV[[#This Row],[Mat. Date]],3))</f>
        <v>0</v>
      </c>
      <c r="DR167" s="32">
        <f>IF(Tradingbook_SBV[[#This Row],[Days (year)]]=0,0,INDEX(Ref!$K$2:$K$13,MATCH(Tradingbook_SBV[[#This Row],[Days (year)]],Ref!$I$2:$I$13,1)))</f>
        <v>0</v>
      </c>
      <c r="DS167" s="32" t="str">
        <f>VLOOKUP(Tradingbook_SBV[[#This Row],[Security Name]],Ref!X:Z,3,0)</f>
        <v>TPCPBL</v>
      </c>
      <c r="DT167" s="32" t="str">
        <f>VLOOKUP(Tradingbook_SBV[[#This Row],[Security Name]],Ref!X:Y,2,0)</f>
        <v>VDB</v>
      </c>
      <c r="DU167" s="71">
        <f>IF((Tradingbook_SBV[[#This Row],[Mat. Date]]-RPT)&lt;=0,0,Tradingbook_SBV[[#This Row],[QUANTITY]])</f>
        <v>0</v>
      </c>
      <c r="DV167" s="71">
        <f>IF(Tradingbook_SBV[[#This Row],[Quantity_edited]]=0,0,Tradingbook_SBV[[#This Row],[DURATION]])</f>
        <v>0</v>
      </c>
      <c r="DW167" s="71">
        <f>IF(Tradingbook_SBV[[#This Row],[Quantity_edited]]=0,0,Tradingbook_SBV[[#This Row],[Mod Dur]])</f>
        <v>0</v>
      </c>
      <c r="DX167" s="71">
        <f>IF(Tradingbook_SBV[[#This Row],[Quantity_edited]]=0,0,Tradingbook_SBV[[#This Row],[Cnvx.]])</f>
        <v>0</v>
      </c>
      <c r="DY167" s="71">
        <f>(Tradingbook_SBV[[#This Row],[MARKET_VALUE]]+Tradingbook_SBV[[#This Row],[Accr Int]]*Tradingbook_SBV[[#This Row],[Quantity_edited]])*(-Tradingbook_SBV[[#This Row],[Modified Duration]]*0.0001+0.5*Tradingbook_SBV[[#This Row],[Conv]]*(0.0001^2))</f>
        <v>0</v>
      </c>
      <c r="DZ167" s="71">
        <f>(Tradingbook_SBV[[#This Row],[MARKET_VALUE]]+Tradingbook_SBV[[#This Row],[Accr Int]]*Tradingbook_SBV[[#This Row],[Quantity_edited]])*(-Tradingbook_SBV[[#This Row],[Modified Duration]]*0.01+0.5*Tradingbook_SBV[[#This Row],[Conv]]*(0.01^2))</f>
        <v>0</v>
      </c>
      <c r="EC167" t="s">
        <v>166</v>
      </c>
      <c r="ED167" t="s">
        <v>167</v>
      </c>
      <c r="EE167" t="s">
        <v>569</v>
      </c>
      <c r="EF167" t="s">
        <v>169</v>
      </c>
      <c r="EG167" s="35" t="s">
        <v>3408</v>
      </c>
      <c r="EH167" t="s">
        <v>3322</v>
      </c>
      <c r="EI167" s="500">
        <v>101045</v>
      </c>
      <c r="EJ167" s="500">
        <v>101045</v>
      </c>
      <c r="EK167" s="500">
        <v>0</v>
      </c>
      <c r="EL167" s="500">
        <v>0</v>
      </c>
      <c r="EM167" s="500">
        <v>0</v>
      </c>
      <c r="EN167" s="500">
        <v>0</v>
      </c>
      <c r="EO167">
        <v>6</v>
      </c>
      <c r="EP167">
        <v>3008</v>
      </c>
      <c r="EQ167">
        <v>198000000000</v>
      </c>
      <c r="ER167">
        <v>232349732916.66647</v>
      </c>
      <c r="ES167">
        <v>-47836245003.582481</v>
      </c>
      <c r="ET167">
        <v>3.752604732</v>
      </c>
      <c r="EU167">
        <v>0.48947133626450001</v>
      </c>
      <c r="EV167">
        <v>0.50783926000000001</v>
      </c>
      <c r="EW167">
        <v>0.4791643780482</v>
      </c>
      <c r="EX167">
        <v>0</v>
      </c>
      <c r="EY167">
        <v>0</v>
      </c>
      <c r="EZ167">
        <v>0</v>
      </c>
      <c r="FA167">
        <v>73733200000</v>
      </c>
      <c r="FB167">
        <v>0</v>
      </c>
      <c r="FC167">
        <v>73733200000</v>
      </c>
      <c r="FD167">
        <v>73733200000</v>
      </c>
      <c r="FE167">
        <v>73733200000</v>
      </c>
      <c r="FF167">
        <v>73733200000</v>
      </c>
      <c r="FG167" s="32">
        <f>Bankingbook_SBV[[#This Row],[Mat. Date]]-RPT</f>
        <v>182</v>
      </c>
      <c r="FH167" s="32">
        <f>IF(Bankingbook_SBV[[#This Row],[Days]]&lt;=0,0,YEARFRAC(RPT,Bankingbook_SBV[[#This Row],[Mat. Date]],3))</f>
        <v>0.49863013698630138</v>
      </c>
      <c r="FI167" s="32" t="str">
        <f>IF(Bankingbook_SBV[[#This Row],[Days (year)]]=0,0,INDEX(Ref!$K$2:$K$13,MATCH(Bankingbook_SBV[[#This Row],[Days (year)]],Ref!$I$2:$I$13,1)))</f>
        <v>6M</v>
      </c>
      <c r="FJ167" s="32" t="str">
        <f>VLOOKUP(Bankingbook_SBV[[#This Row],[Security Name]],Ref!X:Z,3,0)</f>
        <v>TPCP</v>
      </c>
      <c r="FK167" s="32" t="str">
        <f>VLOOKUP(Bankingbook_SBV[[#This Row],[Security Name]],Ref!X:Y,2,0)</f>
        <v>KBNN</v>
      </c>
      <c r="FL167" s="72">
        <f>IF((Bankingbook_SBV[[#This Row],[Mat. Date]]-RPT)&lt;=0,0,Bankingbook_SBV[[#This Row],[QUANTITY]])</f>
        <v>0</v>
      </c>
      <c r="FM167" s="32">
        <f>IF(Bankingbook_SBV[[#This Row],[Quantity_edited]]=0,0,Bankingbook_SBV[[#This Row],[DURATION]])</f>
        <v>0</v>
      </c>
      <c r="FN167" s="32">
        <f>IF(Bankingbook_SBV[[#This Row],[Quantity_edited]]=0,0,Bankingbook_SBV[[#This Row],[Mod Dur]])</f>
        <v>0</v>
      </c>
      <c r="FO167" s="32">
        <f>IF(Bankingbook_SBV[[#This Row],[Quantity_edited]]=0,0,Bankingbook_SBV[[#This Row],[Cnvx.]])</f>
        <v>0</v>
      </c>
      <c r="FP167" s="32">
        <f>(Bankingbook_SBV[[#This Row],[MARKET_VALUE]]+Bankingbook_SBV[[#This Row],[Accr Int]]*Bankingbook_SBV[[#This Row],[Quantity_edited]])*(-Bankingbook_SBV[[#This Row],[Modified Duration]]*0.0001+0.5*Bankingbook_SBV[[#This Row],[Conv]]*(0.0001^2))</f>
        <v>0</v>
      </c>
      <c r="FQ167" s="32">
        <f>(Bankingbook_SBV[[#This Row],[MARKET_VALUE]]+Bankingbook_SBV[[#This Row],[Accr Int]]*Bankingbook_SBV[[#This Row],[Quantity_edited]])*(-Bankingbook_SBV[[#This Row],[Modified Duration]]*0.01+0.5*Bankingbook_SBV[[#This Row],[Conv]]*(0.01^2))</f>
        <v>0</v>
      </c>
    </row>
    <row r="168" spans="2:173" x14ac:dyDescent="0.3">
      <c r="B168" t="s">
        <v>166</v>
      </c>
      <c r="C168" t="s">
        <v>167</v>
      </c>
      <c r="D168" t="s">
        <v>347</v>
      </c>
      <c r="E168" t="s">
        <v>169</v>
      </c>
      <c r="F168" s="502">
        <v>43095</v>
      </c>
      <c r="G168" t="s">
        <v>3322</v>
      </c>
      <c r="H168"/>
      <c r="I168"/>
      <c r="J168" s="38">
        <v>0</v>
      </c>
      <c r="K168">
        <v>0</v>
      </c>
      <c r="L168">
        <v>0</v>
      </c>
      <c r="M168" s="38">
        <v>0</v>
      </c>
      <c r="N168">
        <v>6.1</v>
      </c>
      <c r="O168">
        <v>0</v>
      </c>
      <c r="P168" s="37">
        <v>6100000000</v>
      </c>
      <c r="Q168" s="37">
        <v>6417856597.2222204</v>
      </c>
      <c r="R168" s="37">
        <v>-2693612935.7639017</v>
      </c>
      <c r="S168">
        <v>0</v>
      </c>
      <c r="T168" s="70">
        <v>0</v>
      </c>
      <c r="U168">
        <v>0</v>
      </c>
      <c r="V168">
        <v>0</v>
      </c>
      <c r="W168">
        <v>0</v>
      </c>
      <c r="X168" s="38">
        <v>0</v>
      </c>
      <c r="Y168">
        <v>0</v>
      </c>
      <c r="Z168" s="70">
        <v>1337000000</v>
      </c>
      <c r="AA168" s="70">
        <v>0</v>
      </c>
      <c r="AB168" s="70">
        <v>1337000000</v>
      </c>
      <c r="AC168" s="70">
        <v>1337000000</v>
      </c>
      <c r="AD168" s="70">
        <v>1337000000</v>
      </c>
      <c r="AE168" s="70">
        <v>1337000000</v>
      </c>
      <c r="AF168">
        <v>0</v>
      </c>
      <c r="AG168" s="72">
        <f>Tradingbook_MSB[[#This Row],[Mat. Date]]-RPT</f>
        <v>-3157</v>
      </c>
      <c r="AH168" s="71">
        <f>IF(Tradingbook_MSB[[#This Row],[Days]]&lt;=0,0,YEARFRAC(RPT,Tradingbook_MSB[[#This Row],[Mat. Date]],3))</f>
        <v>0</v>
      </c>
      <c r="AI168" s="71">
        <f>IF(Tradingbook_MSB[[#This Row],[Days (year)]]=0,0,INDEX(Ref!$K$2:$K$13,MATCH(Tradingbook_MSB[[#This Row],[Days (year)]],Ref!$I$2:$I$13,1)))</f>
        <v>0</v>
      </c>
      <c r="AJ168" s="120" t="str">
        <f>VLOOKUP(Tradingbook_MSB[[#This Row],[Security Name]],Ref!X:Z,3,0)</f>
        <v>TPCPBL</v>
      </c>
      <c r="AK168" s="120" t="str">
        <f>VLOOKUP(Tradingbook_MSB[[#This Row],[Security Name]],Ref!X:Y,2,0)</f>
        <v>VDB</v>
      </c>
      <c r="AL168" s="71">
        <f>IF((Tradingbook_MSB[[#This Row],[Mat. Date]]-RPT)&lt;=0,0,Tradingbook_MSB[[#This Row],[QUANTITY]])</f>
        <v>0</v>
      </c>
      <c r="AM168" s="71">
        <f>IF(Tradingbook_MSB[[#This Row],[Quantity_edited]]=0,0,Tradingbook_MSB[[#This Row],[DURATION]])</f>
        <v>0</v>
      </c>
      <c r="AN168" s="71">
        <f>IF(Tradingbook_MSB[[#This Row],[Quantity_edited]]=0,0,Tradingbook_MSB[[#This Row],[Mod Dur]])</f>
        <v>0</v>
      </c>
      <c r="AO168" s="71">
        <f>IF(Tradingbook_MSB[[#This Row],[Quantity_edited]]=0,0,Tradingbook_MSB[[#This Row],[Cnvx.]])</f>
        <v>0</v>
      </c>
      <c r="AP168" s="71">
        <f>(Tradingbook_MSB[[#This Row],[MARKET_VALUE]]+Tradingbook_MSB[[#This Row],[Accr Int]]*Tradingbook_MSB[[#This Row],[Quantity_edited]])*(-Tradingbook_MSB[[#This Row],[Modified Duration]]*0.0001+0.5*Tradingbook_MSB[[#This Row],[Conv]]*(0.0001^2))</f>
        <v>0</v>
      </c>
      <c r="AQ168" s="72">
        <f>(Tradingbook_MSB[[#This Row],[MARKET_VALUE]]+Tradingbook_MSB[[#This Row],[Accr Int]]*Tradingbook_MSB[[#This Row],[Quantity_edited]])*(-Tradingbook_MSB[[#This Row],[Modified Duration]]*0.01+0.5*Tradingbook_MSB[[#This Row],[Conv]]*(0.01^2))</f>
        <v>0</v>
      </c>
      <c r="AR168" s="71"/>
      <c r="AT168" t="s">
        <v>166</v>
      </c>
      <c r="AU168" t="s">
        <v>3301</v>
      </c>
      <c r="AV168" t="s">
        <v>2852</v>
      </c>
      <c r="AW168" t="s">
        <v>169</v>
      </c>
      <c r="AX168" t="s">
        <v>3491</v>
      </c>
      <c r="AY168" t="s">
        <v>3322</v>
      </c>
      <c r="AZ168">
        <v>87596</v>
      </c>
      <c r="BA168">
        <v>87596</v>
      </c>
      <c r="BB168">
        <v>0</v>
      </c>
      <c r="BC168">
        <v>0</v>
      </c>
      <c r="BD168">
        <v>0</v>
      </c>
      <c r="BE168">
        <v>0</v>
      </c>
      <c r="BF168">
        <v>2.4</v>
      </c>
      <c r="BG168">
        <v>848</v>
      </c>
      <c r="BH168">
        <v>1200000000</v>
      </c>
      <c r="BI168">
        <v>1224131666.666667</v>
      </c>
      <c r="BJ168">
        <v>-1853806330.5555587</v>
      </c>
      <c r="BK168">
        <v>4.3389673440000003</v>
      </c>
      <c r="BL168">
        <v>6.6760721790554003</v>
      </c>
      <c r="BM168">
        <v>6.9657447699999997</v>
      </c>
      <c r="BN168">
        <v>53.747472036617097</v>
      </c>
      <c r="BO168">
        <v>0</v>
      </c>
      <c r="BP168">
        <v>0</v>
      </c>
      <c r="BQ168">
        <v>0</v>
      </c>
      <c r="BR168">
        <v>72000000</v>
      </c>
      <c r="BS168">
        <v>0</v>
      </c>
      <c r="BT168">
        <v>72000000</v>
      </c>
      <c r="BU168">
        <v>72000000</v>
      </c>
      <c r="BV168">
        <v>72000000</v>
      </c>
      <c r="BW168">
        <v>72000000</v>
      </c>
      <c r="BX168">
        <v>0</v>
      </c>
      <c r="BY168" s="32">
        <f>Bankingbook_MSB[[#This Row],[Mat. Date]]-RPT</f>
        <v>2793</v>
      </c>
      <c r="BZ168" s="71">
        <f>IF(Bankingbook_MSB[[#This Row],[Days]]&lt;=0,0,YEARFRAC(RPT,Bankingbook_MSB[[#This Row],[Mat. Date]],3))</f>
        <v>7.6520547945205477</v>
      </c>
      <c r="CA168" s="71" t="str">
        <f>IF(Bankingbook_MSB[[#This Row],[Days (year)]]=0,0,INDEX(Ref!$K$2:$K$13,MATCH(Bankingbook_MSB[[#This Row],[Days (year)]],Ref!$I$2:$I$13,1)))</f>
        <v>10Y</v>
      </c>
      <c r="CB168" s="32" t="str">
        <f>VLOOKUP(Bankingbook_MSB[[#This Row],[Security Name]],Ref!X:Z,3,0)</f>
        <v>TPCP</v>
      </c>
      <c r="CC168" s="32" t="str">
        <f>VLOOKUP(Bankingbook_MSB[[#This Row],[Security Name]],Ref!X:Y,2,0)</f>
        <v>KBNN</v>
      </c>
      <c r="CD168" s="72">
        <f>IF((Bankingbook_MSB[[#This Row],[Mat. Date]]-RPT)&lt;=0,0,Bankingbook_MSB[[#This Row],[QUANTITY]])</f>
        <v>0</v>
      </c>
      <c r="CE168" s="71">
        <f>IF(Bankingbook_MSB[[#This Row],[Quantity_edited]]=0,0,Bankingbook_MSB[[#This Row],[DURATION]])</f>
        <v>0</v>
      </c>
      <c r="CF168" s="71">
        <f>IF(Bankingbook_MSB[[#This Row],[Quantity_edited]]=0,0,Bankingbook_MSB[[#This Row],[Mod Dur]])</f>
        <v>0</v>
      </c>
      <c r="CG168" s="71">
        <f>IF(Bankingbook_MSB[[#This Row],[Quantity_edited]]=0,0,Bankingbook_MSB[[#This Row],[Cnvx.]])</f>
        <v>0</v>
      </c>
      <c r="CH168" s="71">
        <f>(Bankingbook_MSB[[#This Row],[MARKET_VALUE]]+Bankingbook_MSB[[#This Row],[Accr Int]]*Bankingbook_MSB[[#This Row],[Quantity_edited]])*(-Bankingbook_MSB[[#This Row],[Modified Duration]]*0.0001+0.5*Bankingbook_MSB[[#This Row],[Conv]]*(0.0001^2))</f>
        <v>0</v>
      </c>
      <c r="CI168" s="71">
        <f>(Bankingbook_MSB[[#This Row],[MARKET_VALUE]]+Bankingbook_MSB[[#This Row],[Accr Int]]*Bankingbook_MSB[[#This Row],[Quantity_edited]])*(-Bankingbook_MSB[[#This Row],[Modified Duration]]*0.01+0.5*Bankingbook_MSB[[#This Row],[Conv]]*(0.01^2))</f>
        <v>0</v>
      </c>
      <c r="CL168" t="s">
        <v>166</v>
      </c>
      <c r="CM168" t="s">
        <v>167</v>
      </c>
      <c r="CN168" t="s">
        <v>347</v>
      </c>
      <c r="CO168" t="s">
        <v>169</v>
      </c>
      <c r="CP168" s="35">
        <v>43095</v>
      </c>
      <c r="CQ168" t="s">
        <v>3322</v>
      </c>
      <c r="CR168" t="s">
        <v>174</v>
      </c>
      <c r="CS168" t="s">
        <v>174</v>
      </c>
      <c r="CT168" s="49">
        <v>0</v>
      </c>
      <c r="CU168">
        <v>0</v>
      </c>
      <c r="CV168">
        <v>0</v>
      </c>
      <c r="CW168" s="70">
        <v>0</v>
      </c>
      <c r="CX168">
        <v>6.1</v>
      </c>
      <c r="CY168">
        <v>0</v>
      </c>
      <c r="CZ168">
        <v>6100000000</v>
      </c>
      <c r="DA168">
        <v>6417856597.2222204</v>
      </c>
      <c r="DB168">
        <v>-2693612935.7639017</v>
      </c>
      <c r="DC168">
        <v>0</v>
      </c>
      <c r="DD168">
        <v>0</v>
      </c>
      <c r="DE168">
        <v>0</v>
      </c>
      <c r="DF168">
        <v>0</v>
      </c>
      <c r="DG168">
        <v>0</v>
      </c>
      <c r="DH168">
        <v>0</v>
      </c>
      <c r="DI168">
        <v>0</v>
      </c>
      <c r="DJ168" s="500">
        <v>1337000000</v>
      </c>
      <c r="DK168" s="500">
        <v>0</v>
      </c>
      <c r="DL168" s="37">
        <v>1337000000</v>
      </c>
      <c r="DM168" s="37">
        <v>1337000000</v>
      </c>
      <c r="DN168" s="37">
        <v>1337000000</v>
      </c>
      <c r="DO168" s="37">
        <v>1337000000</v>
      </c>
      <c r="DP168" s="32">
        <f>Tradingbook_SBV[[#This Row],[Mat. Date]]-RPT</f>
        <v>-3157</v>
      </c>
      <c r="DQ168" s="32">
        <f>IF(Tradingbook_SBV[[#This Row],[Days]]&lt;=0,0,YEARFRAC(RPT,Tradingbook_SBV[[#This Row],[Mat. Date]],3))</f>
        <v>0</v>
      </c>
      <c r="DR168" s="32">
        <f>IF(Tradingbook_SBV[[#This Row],[Days (year)]]=0,0,INDEX(Ref!$K$2:$K$13,MATCH(Tradingbook_SBV[[#This Row],[Days (year)]],Ref!$I$2:$I$13,1)))</f>
        <v>0</v>
      </c>
      <c r="DS168" s="32" t="str">
        <f>VLOOKUP(Tradingbook_SBV[[#This Row],[Security Name]],Ref!X:Z,3,0)</f>
        <v>TPCPBL</v>
      </c>
      <c r="DT168" s="32" t="str">
        <f>VLOOKUP(Tradingbook_SBV[[#This Row],[Security Name]],Ref!X:Y,2,0)</f>
        <v>VDB</v>
      </c>
      <c r="DU168" s="71">
        <f>IF((Tradingbook_SBV[[#This Row],[Mat. Date]]-RPT)&lt;=0,0,Tradingbook_SBV[[#This Row],[QUANTITY]])</f>
        <v>0</v>
      </c>
      <c r="DV168" s="71">
        <f>IF(Tradingbook_SBV[[#This Row],[Quantity_edited]]=0,0,Tradingbook_SBV[[#This Row],[DURATION]])</f>
        <v>0</v>
      </c>
      <c r="DW168" s="71">
        <f>IF(Tradingbook_SBV[[#This Row],[Quantity_edited]]=0,0,Tradingbook_SBV[[#This Row],[Mod Dur]])</f>
        <v>0</v>
      </c>
      <c r="DX168" s="71">
        <f>IF(Tradingbook_SBV[[#This Row],[Quantity_edited]]=0,0,Tradingbook_SBV[[#This Row],[Cnvx.]])</f>
        <v>0</v>
      </c>
      <c r="DY168" s="71">
        <f>(Tradingbook_SBV[[#This Row],[MARKET_VALUE]]+Tradingbook_SBV[[#This Row],[Accr Int]]*Tradingbook_SBV[[#This Row],[Quantity_edited]])*(-Tradingbook_SBV[[#This Row],[Modified Duration]]*0.0001+0.5*Tradingbook_SBV[[#This Row],[Conv]]*(0.0001^2))</f>
        <v>0</v>
      </c>
      <c r="DZ168" s="71">
        <f>(Tradingbook_SBV[[#This Row],[MARKET_VALUE]]+Tradingbook_SBV[[#This Row],[Accr Int]]*Tradingbook_SBV[[#This Row],[Quantity_edited]])*(-Tradingbook_SBV[[#This Row],[Modified Duration]]*0.01+0.5*Tradingbook_SBV[[#This Row],[Conv]]*(0.01^2))</f>
        <v>0</v>
      </c>
      <c r="EC168" t="s">
        <v>166</v>
      </c>
      <c r="ED168" t="s">
        <v>167</v>
      </c>
      <c r="EE168" t="s">
        <v>571</v>
      </c>
      <c r="EF168" t="s">
        <v>169</v>
      </c>
      <c r="EG168" s="35" t="s">
        <v>3781</v>
      </c>
      <c r="EH168" t="s">
        <v>3322</v>
      </c>
      <c r="EI168" s="500">
        <v>101172</v>
      </c>
      <c r="EJ168" s="500">
        <v>101172</v>
      </c>
      <c r="EK168" s="500">
        <v>0</v>
      </c>
      <c r="EL168" s="500">
        <v>0</v>
      </c>
      <c r="EM168" s="500">
        <v>0</v>
      </c>
      <c r="EN168" s="500">
        <v>0</v>
      </c>
      <c r="EO168">
        <v>6.5</v>
      </c>
      <c r="EP168">
        <v>2796</v>
      </c>
      <c r="EQ168">
        <v>0</v>
      </c>
      <c r="ER168">
        <v>0</v>
      </c>
      <c r="ES168">
        <v>-15864145.97221756</v>
      </c>
      <c r="ET168">
        <v>4.2735967580000001</v>
      </c>
      <c r="EU168">
        <v>0.55631472120129999</v>
      </c>
      <c r="EV168">
        <v>0.58008937000000005</v>
      </c>
      <c r="EW168">
        <v>0.61897213805210005</v>
      </c>
      <c r="EX168">
        <v>0</v>
      </c>
      <c r="EY168">
        <v>0</v>
      </c>
      <c r="EZ168">
        <v>0</v>
      </c>
      <c r="FA168">
        <v>-43000000</v>
      </c>
      <c r="FB168">
        <v>0</v>
      </c>
      <c r="FC168">
        <v>-43000000</v>
      </c>
      <c r="FD168">
        <v>-43000000</v>
      </c>
      <c r="FE168">
        <v>-43000000</v>
      </c>
      <c r="FF168">
        <v>-43000000</v>
      </c>
      <c r="FG168" s="32">
        <f>Bankingbook_SBV[[#This Row],[Mat. Date]]-RPT</f>
        <v>208</v>
      </c>
      <c r="FH168" s="32">
        <f>IF(Bankingbook_SBV[[#This Row],[Days]]&lt;=0,0,YEARFRAC(RPT,Bankingbook_SBV[[#This Row],[Mat. Date]],3))</f>
        <v>0.56986301369863013</v>
      </c>
      <c r="FI168" s="32" t="str">
        <f>IF(Bankingbook_SBV[[#This Row],[Days (year)]]=0,0,INDEX(Ref!$K$2:$K$13,MATCH(Bankingbook_SBV[[#This Row],[Days (year)]],Ref!$I$2:$I$13,1)))</f>
        <v>6M</v>
      </c>
      <c r="FJ168" s="32" t="str">
        <f>VLOOKUP(Bankingbook_SBV[[#This Row],[Security Name]],Ref!X:Z,3,0)</f>
        <v>TPCPBL</v>
      </c>
      <c r="FK168" s="32" t="str">
        <f>VLOOKUP(Bankingbook_SBV[[#This Row],[Security Name]],Ref!X:Y,2,0)</f>
        <v>VBS</v>
      </c>
      <c r="FL168" s="72">
        <f>IF((Bankingbook_SBV[[#This Row],[Mat. Date]]-RPT)&lt;=0,0,Bankingbook_SBV[[#This Row],[QUANTITY]])</f>
        <v>0</v>
      </c>
      <c r="FM168" s="32">
        <f>IF(Bankingbook_SBV[[#This Row],[Quantity_edited]]=0,0,Bankingbook_SBV[[#This Row],[DURATION]])</f>
        <v>0</v>
      </c>
      <c r="FN168" s="32">
        <f>IF(Bankingbook_SBV[[#This Row],[Quantity_edited]]=0,0,Bankingbook_SBV[[#This Row],[Mod Dur]])</f>
        <v>0</v>
      </c>
      <c r="FO168" s="32">
        <f>IF(Bankingbook_SBV[[#This Row],[Quantity_edited]]=0,0,Bankingbook_SBV[[#This Row],[Cnvx.]])</f>
        <v>0</v>
      </c>
      <c r="FP168" s="32">
        <f>(Bankingbook_SBV[[#This Row],[MARKET_VALUE]]+Bankingbook_SBV[[#This Row],[Accr Int]]*Bankingbook_SBV[[#This Row],[Quantity_edited]])*(-Bankingbook_SBV[[#This Row],[Modified Duration]]*0.0001+0.5*Bankingbook_SBV[[#This Row],[Conv]]*(0.0001^2))</f>
        <v>0</v>
      </c>
      <c r="FQ168" s="32">
        <f>(Bankingbook_SBV[[#This Row],[MARKET_VALUE]]+Bankingbook_SBV[[#This Row],[Accr Int]]*Bankingbook_SBV[[#This Row],[Quantity_edited]])*(-Bankingbook_SBV[[#This Row],[Modified Duration]]*0.01+0.5*Bankingbook_SBV[[#This Row],[Conv]]*(0.01^2))</f>
        <v>0</v>
      </c>
    </row>
    <row r="169" spans="2:173" x14ac:dyDescent="0.3">
      <c r="B169" t="s">
        <v>166</v>
      </c>
      <c r="C169" t="s">
        <v>167</v>
      </c>
      <c r="D169" t="s">
        <v>348</v>
      </c>
      <c r="E169" t="s">
        <v>169</v>
      </c>
      <c r="F169" s="502">
        <v>43099</v>
      </c>
      <c r="G169" t="s">
        <v>3322</v>
      </c>
      <c r="H169"/>
      <c r="I169"/>
      <c r="J169" s="38">
        <v>0</v>
      </c>
      <c r="K169">
        <v>0</v>
      </c>
      <c r="L169">
        <v>0</v>
      </c>
      <c r="M169" s="38">
        <v>0</v>
      </c>
      <c r="N169">
        <v>6.1</v>
      </c>
      <c r="O169">
        <v>0</v>
      </c>
      <c r="P169" s="37">
        <v>3050000000</v>
      </c>
      <c r="Q169" s="37">
        <v>3207623576.388895</v>
      </c>
      <c r="R169" s="37">
        <v>-5015159332.7083454</v>
      </c>
      <c r="S169">
        <v>0</v>
      </c>
      <c r="T169" s="70">
        <v>0</v>
      </c>
      <c r="U169">
        <v>0</v>
      </c>
      <c r="V169">
        <v>0</v>
      </c>
      <c r="W169">
        <v>0</v>
      </c>
      <c r="X169" s="38">
        <v>0</v>
      </c>
      <c r="Y169">
        <v>0</v>
      </c>
      <c r="Z169" s="70">
        <v>3105000000</v>
      </c>
      <c r="AA169" s="70">
        <v>0</v>
      </c>
      <c r="AB169" s="70">
        <v>3105000000</v>
      </c>
      <c r="AC169" s="70">
        <v>3105000000</v>
      </c>
      <c r="AD169" s="70">
        <v>3105000000</v>
      </c>
      <c r="AE169" s="70">
        <v>3105000000</v>
      </c>
      <c r="AF169">
        <v>0</v>
      </c>
      <c r="AG169" s="72">
        <f>Tradingbook_MSB[[#This Row],[Mat. Date]]-RPT</f>
        <v>-3153</v>
      </c>
      <c r="AH169" s="71">
        <f>IF(Tradingbook_MSB[[#This Row],[Days]]&lt;=0,0,YEARFRAC(RPT,Tradingbook_MSB[[#This Row],[Mat. Date]],3))</f>
        <v>0</v>
      </c>
      <c r="AI169" s="71">
        <f>IF(Tradingbook_MSB[[#This Row],[Days (year)]]=0,0,INDEX(Ref!$K$2:$K$13,MATCH(Tradingbook_MSB[[#This Row],[Days (year)]],Ref!$I$2:$I$13,1)))</f>
        <v>0</v>
      </c>
      <c r="AJ169" s="120" t="str">
        <f>VLOOKUP(Tradingbook_MSB[[#This Row],[Security Name]],Ref!X:Z,3,0)</f>
        <v>TPCPBL</v>
      </c>
      <c r="AK169" s="120" t="str">
        <f>VLOOKUP(Tradingbook_MSB[[#This Row],[Security Name]],Ref!X:Y,2,0)</f>
        <v>VDB</v>
      </c>
      <c r="AL169" s="71">
        <f>IF((Tradingbook_MSB[[#This Row],[Mat. Date]]-RPT)&lt;=0,0,Tradingbook_MSB[[#This Row],[QUANTITY]])</f>
        <v>0</v>
      </c>
      <c r="AM169" s="71">
        <f>IF(Tradingbook_MSB[[#This Row],[Quantity_edited]]=0,0,Tradingbook_MSB[[#This Row],[DURATION]])</f>
        <v>0</v>
      </c>
      <c r="AN169" s="71">
        <f>IF(Tradingbook_MSB[[#This Row],[Quantity_edited]]=0,0,Tradingbook_MSB[[#This Row],[Mod Dur]])</f>
        <v>0</v>
      </c>
      <c r="AO169" s="71">
        <f>IF(Tradingbook_MSB[[#This Row],[Quantity_edited]]=0,0,Tradingbook_MSB[[#This Row],[Cnvx.]])</f>
        <v>0</v>
      </c>
      <c r="AP169" s="71">
        <f>(Tradingbook_MSB[[#This Row],[MARKET_VALUE]]+Tradingbook_MSB[[#This Row],[Accr Int]]*Tradingbook_MSB[[#This Row],[Quantity_edited]])*(-Tradingbook_MSB[[#This Row],[Modified Duration]]*0.0001+0.5*Tradingbook_MSB[[#This Row],[Conv]]*(0.0001^2))</f>
        <v>0</v>
      </c>
      <c r="AQ169" s="72">
        <f>(Tradingbook_MSB[[#This Row],[MARKET_VALUE]]+Tradingbook_MSB[[#This Row],[Accr Int]]*Tradingbook_MSB[[#This Row],[Quantity_edited]])*(-Tradingbook_MSB[[#This Row],[Modified Duration]]*0.01+0.5*Tradingbook_MSB[[#This Row],[Conv]]*(0.01^2))</f>
        <v>0</v>
      </c>
      <c r="AR169" s="71"/>
      <c r="AT169" t="s">
        <v>166</v>
      </c>
      <c r="AU169" t="s">
        <v>3301</v>
      </c>
      <c r="AV169" t="s">
        <v>668</v>
      </c>
      <c r="AW169" t="s">
        <v>169</v>
      </c>
      <c r="AX169" t="s">
        <v>3452</v>
      </c>
      <c r="AY169" t="s">
        <v>170</v>
      </c>
      <c r="AZ169">
        <v>104228</v>
      </c>
      <c r="BA169">
        <v>104228</v>
      </c>
      <c r="BB169">
        <v>2500000</v>
      </c>
      <c r="BC169">
        <v>250000000000</v>
      </c>
      <c r="BD169">
        <v>122676.625</v>
      </c>
      <c r="BE169">
        <v>260570000000</v>
      </c>
      <c r="BF169">
        <v>5</v>
      </c>
      <c r="BG169">
        <v>1096</v>
      </c>
      <c r="BH169">
        <v>45000000000</v>
      </c>
      <c r="BI169">
        <v>48349368402.777786</v>
      </c>
      <c r="BJ169">
        <v>-31028292371.111065</v>
      </c>
      <c r="BK169">
        <v>4.3451645149999996</v>
      </c>
      <c r="BL169">
        <v>6.3220052127777997</v>
      </c>
      <c r="BM169">
        <v>6.5967067400000001</v>
      </c>
      <c r="BN169">
        <v>50.312203828647803</v>
      </c>
      <c r="BO169">
        <v>132477.06390121239</v>
      </c>
      <c r="BP169">
        <v>-166464.719257652</v>
      </c>
      <c r="BQ169">
        <v>30685.776000000002</v>
      </c>
      <c r="BR169">
        <v>2559562500</v>
      </c>
      <c r="BS169">
        <v>-46121562500</v>
      </c>
      <c r="BT169">
        <v>-43562000000</v>
      </c>
      <c r="BU169">
        <v>-43562000000</v>
      </c>
      <c r="BV169">
        <v>-43562000000</v>
      </c>
      <c r="BW169">
        <v>-43562000000</v>
      </c>
      <c r="BX169">
        <v>2.6375000000000002</v>
      </c>
      <c r="BY169" s="32">
        <f>Bankingbook_MSB[[#This Row],[Mat. Date]]-RPT</f>
        <v>2842</v>
      </c>
      <c r="BZ169" s="71">
        <f>IF(Bankingbook_MSB[[#This Row],[Days]]&lt;=0,0,YEARFRAC(RPT,Bankingbook_MSB[[#This Row],[Mat. Date]],3))</f>
        <v>7.7863013698630139</v>
      </c>
      <c r="CA169" s="71" t="str">
        <f>IF(Bankingbook_MSB[[#This Row],[Days (year)]]=0,0,INDEX(Ref!$K$2:$K$13,MATCH(Bankingbook_MSB[[#This Row],[Days (year)]],Ref!$I$2:$I$13,1)))</f>
        <v>10Y</v>
      </c>
      <c r="CB169" s="32" t="str">
        <f>VLOOKUP(Bankingbook_MSB[[#This Row],[Security Name]],Ref!X:Z,3,0)</f>
        <v>TPCP</v>
      </c>
      <c r="CC169" s="32" t="str">
        <f>VLOOKUP(Bankingbook_MSB[[#This Row],[Security Name]],Ref!X:Y,2,0)</f>
        <v>KBNN</v>
      </c>
      <c r="CD169" s="72">
        <f>IF((Bankingbook_MSB[[#This Row],[Mat. Date]]-RPT)&lt;=0,0,Bankingbook_MSB[[#This Row],[QUANTITY]])</f>
        <v>2500000</v>
      </c>
      <c r="CE169" s="71">
        <f>IF(Bankingbook_MSB[[#This Row],[Quantity_edited]]=0,0,Bankingbook_MSB[[#This Row],[DURATION]])</f>
        <v>6.5967067400000001</v>
      </c>
      <c r="CF169" s="71">
        <f>IF(Bankingbook_MSB[[#This Row],[Quantity_edited]]=0,0,Bankingbook_MSB[[#This Row],[Mod Dur]])</f>
        <v>6.3220052127777997</v>
      </c>
      <c r="CG169" s="71">
        <f>IF(Bankingbook_MSB[[#This Row],[Quantity_edited]]=0,0,Bankingbook_MSB[[#This Row],[Cnvx.]])</f>
        <v>50.312203828647803</v>
      </c>
      <c r="CH169" s="71">
        <f>(Bankingbook_MSB[[#This Row],[MARKET_VALUE]]+Bankingbook_MSB[[#This Row],[Accr Int]]*Bankingbook_MSB[[#This Row],[Quantity_edited]])*(-Bankingbook_MSB[[#This Row],[Modified Duration]]*0.0001+0.5*Bankingbook_MSB[[#This Row],[Conv]]*(0.0001^2))</f>
        <v>-166398480.72570166</v>
      </c>
      <c r="CI169" s="71">
        <f>(Bankingbook_MSB[[#This Row],[MARKET_VALUE]]+Bankingbook_MSB[[#This Row],[Accr Int]]*Bankingbook_MSB[[#This Row],[Quantity_edited]])*(-Bankingbook_MSB[[#This Row],[Modified Duration]]*0.01+0.5*Bankingbook_MSB[[#This Row],[Conv]]*(0.01^2))</f>
        <v>-15984086606.259161</v>
      </c>
      <c r="CL169" t="s">
        <v>166</v>
      </c>
      <c r="CM169" t="s">
        <v>167</v>
      </c>
      <c r="CN169" t="s">
        <v>348</v>
      </c>
      <c r="CO169" t="s">
        <v>169</v>
      </c>
      <c r="CP169" s="35">
        <v>43099</v>
      </c>
      <c r="CQ169" t="s">
        <v>3322</v>
      </c>
      <c r="CR169" t="s">
        <v>174</v>
      </c>
      <c r="CS169" t="s">
        <v>174</v>
      </c>
      <c r="CT169" s="49">
        <v>0</v>
      </c>
      <c r="CU169">
        <v>0</v>
      </c>
      <c r="CV169">
        <v>0</v>
      </c>
      <c r="CW169" s="70">
        <v>0</v>
      </c>
      <c r="CX169">
        <v>6.1</v>
      </c>
      <c r="CY169">
        <v>0</v>
      </c>
      <c r="CZ169">
        <v>3050000000</v>
      </c>
      <c r="DA169">
        <v>3207623576.388895</v>
      </c>
      <c r="DB169">
        <v>-5015159332.7083454</v>
      </c>
      <c r="DC169">
        <v>0</v>
      </c>
      <c r="DD169">
        <v>0</v>
      </c>
      <c r="DE169">
        <v>0</v>
      </c>
      <c r="DF169">
        <v>0</v>
      </c>
      <c r="DG169">
        <v>0</v>
      </c>
      <c r="DH169">
        <v>0</v>
      </c>
      <c r="DI169">
        <v>0</v>
      </c>
      <c r="DJ169" s="500">
        <v>3105000000</v>
      </c>
      <c r="DK169" s="500">
        <v>0</v>
      </c>
      <c r="DL169" s="37">
        <v>3105000000</v>
      </c>
      <c r="DM169" s="37">
        <v>3105000000</v>
      </c>
      <c r="DN169" s="37">
        <v>3105000000</v>
      </c>
      <c r="DO169" s="37">
        <v>3105000000</v>
      </c>
      <c r="DP169" s="32">
        <f>Tradingbook_SBV[[#This Row],[Mat. Date]]-RPT</f>
        <v>-3153</v>
      </c>
      <c r="DQ169" s="32">
        <f>IF(Tradingbook_SBV[[#This Row],[Days]]&lt;=0,0,YEARFRAC(RPT,Tradingbook_SBV[[#This Row],[Mat. Date]],3))</f>
        <v>0</v>
      </c>
      <c r="DR169" s="32">
        <f>IF(Tradingbook_SBV[[#This Row],[Days (year)]]=0,0,INDEX(Ref!$K$2:$K$13,MATCH(Tradingbook_SBV[[#This Row],[Days (year)]],Ref!$I$2:$I$13,1)))</f>
        <v>0</v>
      </c>
      <c r="DS169" s="32" t="str">
        <f>VLOOKUP(Tradingbook_SBV[[#This Row],[Security Name]],Ref!X:Z,3,0)</f>
        <v>TPCPBL</v>
      </c>
      <c r="DT169" s="32" t="str">
        <f>VLOOKUP(Tradingbook_SBV[[#This Row],[Security Name]],Ref!X:Y,2,0)</f>
        <v>VDB</v>
      </c>
      <c r="DU169" s="71">
        <f>IF((Tradingbook_SBV[[#This Row],[Mat. Date]]-RPT)&lt;=0,0,Tradingbook_SBV[[#This Row],[QUANTITY]])</f>
        <v>0</v>
      </c>
      <c r="DV169" s="71">
        <f>IF(Tradingbook_SBV[[#This Row],[Quantity_edited]]=0,0,Tradingbook_SBV[[#This Row],[DURATION]])</f>
        <v>0</v>
      </c>
      <c r="DW169" s="71">
        <f>IF(Tradingbook_SBV[[#This Row],[Quantity_edited]]=0,0,Tradingbook_SBV[[#This Row],[Mod Dur]])</f>
        <v>0</v>
      </c>
      <c r="DX169" s="71">
        <f>IF(Tradingbook_SBV[[#This Row],[Quantity_edited]]=0,0,Tradingbook_SBV[[#This Row],[Cnvx.]])</f>
        <v>0</v>
      </c>
      <c r="DY169" s="71">
        <f>(Tradingbook_SBV[[#This Row],[MARKET_VALUE]]+Tradingbook_SBV[[#This Row],[Accr Int]]*Tradingbook_SBV[[#This Row],[Quantity_edited]])*(-Tradingbook_SBV[[#This Row],[Modified Duration]]*0.0001+0.5*Tradingbook_SBV[[#This Row],[Conv]]*(0.0001^2))</f>
        <v>0</v>
      </c>
      <c r="DZ169" s="71">
        <f>(Tradingbook_SBV[[#This Row],[MARKET_VALUE]]+Tradingbook_SBV[[#This Row],[Accr Int]]*Tradingbook_SBV[[#This Row],[Quantity_edited]])*(-Tradingbook_SBV[[#This Row],[Modified Duration]]*0.01+0.5*Tradingbook_SBV[[#This Row],[Conv]]*(0.01^2))</f>
        <v>0</v>
      </c>
      <c r="EC169" t="s">
        <v>166</v>
      </c>
      <c r="ED169" t="s">
        <v>167</v>
      </c>
      <c r="EE169" t="s">
        <v>572</v>
      </c>
      <c r="EF169" t="s">
        <v>169</v>
      </c>
      <c r="EG169" s="35" t="s">
        <v>3409</v>
      </c>
      <c r="EH169" t="s">
        <v>3322</v>
      </c>
      <c r="EI169" s="500">
        <v>101447</v>
      </c>
      <c r="EJ169" s="500">
        <v>101447</v>
      </c>
      <c r="EK169" s="500">
        <v>0</v>
      </c>
      <c r="EL169" s="500">
        <v>0</v>
      </c>
      <c r="EM169" s="500">
        <v>0</v>
      </c>
      <c r="EN169" s="500">
        <v>0</v>
      </c>
      <c r="EO169">
        <v>6</v>
      </c>
      <c r="EP169">
        <v>1742</v>
      </c>
      <c r="EQ169">
        <v>30000000000</v>
      </c>
      <c r="ER169">
        <v>35276256666.66658</v>
      </c>
      <c r="ES169">
        <v>-12125554580.763456</v>
      </c>
      <c r="ET169">
        <v>3.8390214810000001</v>
      </c>
      <c r="EU169">
        <v>0.69077154303819999</v>
      </c>
      <c r="EV169">
        <v>0.71729041000000004</v>
      </c>
      <c r="EW169">
        <v>0.95433064934019995</v>
      </c>
      <c r="EX169">
        <v>0</v>
      </c>
      <c r="EY169">
        <v>0</v>
      </c>
      <c r="EZ169">
        <v>0</v>
      </c>
      <c r="FA169">
        <v>2777250000</v>
      </c>
      <c r="FB169">
        <v>0</v>
      </c>
      <c r="FC169">
        <v>2777250000</v>
      </c>
      <c r="FD169">
        <v>2777250000</v>
      </c>
      <c r="FE169">
        <v>2777250000</v>
      </c>
      <c r="FF169">
        <v>2777250000</v>
      </c>
      <c r="FG169" s="32">
        <f>Bankingbook_SBV[[#This Row],[Mat. Date]]-RPT</f>
        <v>259</v>
      </c>
      <c r="FH169" s="32">
        <f>IF(Bankingbook_SBV[[#This Row],[Days]]&lt;=0,0,YEARFRAC(RPT,Bankingbook_SBV[[#This Row],[Mat. Date]],3))</f>
        <v>0.70958904109589038</v>
      </c>
      <c r="FI169" s="32" t="str">
        <f>IF(Bankingbook_SBV[[#This Row],[Days (year)]]=0,0,INDEX(Ref!$K$2:$K$13,MATCH(Bankingbook_SBV[[#This Row],[Days (year)]],Ref!$I$2:$I$13,1)))</f>
        <v>6M</v>
      </c>
      <c r="FJ169" s="32" t="str">
        <f>VLOOKUP(Bankingbook_SBV[[#This Row],[Security Name]],Ref!X:Z,3,0)</f>
        <v>TPCP</v>
      </c>
      <c r="FK169" s="32" t="str">
        <f>VLOOKUP(Bankingbook_SBV[[#This Row],[Security Name]],Ref!X:Y,2,0)</f>
        <v>KBNN</v>
      </c>
      <c r="FL169" s="72">
        <f>IF((Bankingbook_SBV[[#This Row],[Mat. Date]]-RPT)&lt;=0,0,Bankingbook_SBV[[#This Row],[QUANTITY]])</f>
        <v>0</v>
      </c>
      <c r="FM169" s="32">
        <f>IF(Bankingbook_SBV[[#This Row],[Quantity_edited]]=0,0,Bankingbook_SBV[[#This Row],[DURATION]])</f>
        <v>0</v>
      </c>
      <c r="FN169" s="32">
        <f>IF(Bankingbook_SBV[[#This Row],[Quantity_edited]]=0,0,Bankingbook_SBV[[#This Row],[Mod Dur]])</f>
        <v>0</v>
      </c>
      <c r="FO169" s="32">
        <f>IF(Bankingbook_SBV[[#This Row],[Quantity_edited]]=0,0,Bankingbook_SBV[[#This Row],[Cnvx.]])</f>
        <v>0</v>
      </c>
      <c r="FP169" s="32">
        <f>(Bankingbook_SBV[[#This Row],[MARKET_VALUE]]+Bankingbook_SBV[[#This Row],[Accr Int]]*Bankingbook_SBV[[#This Row],[Quantity_edited]])*(-Bankingbook_SBV[[#This Row],[Modified Duration]]*0.0001+0.5*Bankingbook_SBV[[#This Row],[Conv]]*(0.0001^2))</f>
        <v>0</v>
      </c>
      <c r="FQ169" s="32">
        <f>(Bankingbook_SBV[[#This Row],[MARKET_VALUE]]+Bankingbook_SBV[[#This Row],[Accr Int]]*Bankingbook_SBV[[#This Row],[Quantity_edited]])*(-Bankingbook_SBV[[#This Row],[Modified Duration]]*0.01+0.5*Bankingbook_SBV[[#This Row],[Conv]]*(0.01^2))</f>
        <v>0</v>
      </c>
    </row>
    <row r="170" spans="2:173" x14ac:dyDescent="0.3">
      <c r="B170" t="s">
        <v>166</v>
      </c>
      <c r="C170" t="s">
        <v>167</v>
      </c>
      <c r="D170" t="s">
        <v>349</v>
      </c>
      <c r="E170" t="s">
        <v>169</v>
      </c>
      <c r="F170" s="502">
        <v>43115</v>
      </c>
      <c r="G170" t="s">
        <v>3322</v>
      </c>
      <c r="H170"/>
      <c r="I170"/>
      <c r="J170" s="38">
        <v>0</v>
      </c>
      <c r="K170">
        <v>0</v>
      </c>
      <c r="L170">
        <v>0</v>
      </c>
      <c r="M170" s="38">
        <v>0</v>
      </c>
      <c r="N170">
        <v>9.3000000000000007</v>
      </c>
      <c r="O170">
        <v>0</v>
      </c>
      <c r="P170" s="37">
        <v>23250000000.000027</v>
      </c>
      <c r="Q170" s="37">
        <v>25544287395.833363</v>
      </c>
      <c r="R170" s="37">
        <v>-5193107653.0897846</v>
      </c>
      <c r="S170">
        <v>0</v>
      </c>
      <c r="T170" s="70">
        <v>0</v>
      </c>
      <c r="U170">
        <v>0</v>
      </c>
      <c r="V170">
        <v>0</v>
      </c>
      <c r="W170">
        <v>0</v>
      </c>
      <c r="X170" s="38">
        <v>0</v>
      </c>
      <c r="Y170">
        <v>0</v>
      </c>
      <c r="Z170" s="70">
        <v>15731614120</v>
      </c>
      <c r="AA170" s="70">
        <v>0</v>
      </c>
      <c r="AB170" s="70">
        <v>15731614120</v>
      </c>
      <c r="AC170" s="70">
        <v>15731614120</v>
      </c>
      <c r="AD170" s="70">
        <v>15731614120</v>
      </c>
      <c r="AE170" s="70">
        <v>15731614120</v>
      </c>
      <c r="AF170">
        <v>0</v>
      </c>
      <c r="AG170" s="72">
        <f>Tradingbook_MSB[[#This Row],[Mat. Date]]-RPT</f>
        <v>-3137</v>
      </c>
      <c r="AH170" s="71">
        <f>IF(Tradingbook_MSB[[#This Row],[Days]]&lt;=0,0,YEARFRAC(RPT,Tradingbook_MSB[[#This Row],[Mat. Date]],3))</f>
        <v>0</v>
      </c>
      <c r="AI170" s="71">
        <f>IF(Tradingbook_MSB[[#This Row],[Days (year)]]=0,0,INDEX(Ref!$K$2:$K$13,MATCH(Tradingbook_MSB[[#This Row],[Days (year)]],Ref!$I$2:$I$13,1)))</f>
        <v>0</v>
      </c>
      <c r="AJ170" s="120" t="str">
        <f>VLOOKUP(Tradingbook_MSB[[#This Row],[Security Name]],Ref!X:Z,3,0)</f>
        <v>TPCP</v>
      </c>
      <c r="AK170" s="120" t="str">
        <f>VLOOKUP(Tradingbook_MSB[[#This Row],[Security Name]],Ref!X:Y,2,0)</f>
        <v>KBNN</v>
      </c>
      <c r="AL170" s="71">
        <f>IF((Tradingbook_MSB[[#This Row],[Mat. Date]]-RPT)&lt;=0,0,Tradingbook_MSB[[#This Row],[QUANTITY]])</f>
        <v>0</v>
      </c>
      <c r="AM170" s="71">
        <f>IF(Tradingbook_MSB[[#This Row],[Quantity_edited]]=0,0,Tradingbook_MSB[[#This Row],[DURATION]])</f>
        <v>0</v>
      </c>
      <c r="AN170" s="71">
        <f>IF(Tradingbook_MSB[[#This Row],[Quantity_edited]]=0,0,Tradingbook_MSB[[#This Row],[Mod Dur]])</f>
        <v>0</v>
      </c>
      <c r="AO170" s="71">
        <f>IF(Tradingbook_MSB[[#This Row],[Quantity_edited]]=0,0,Tradingbook_MSB[[#This Row],[Cnvx.]])</f>
        <v>0</v>
      </c>
      <c r="AP170" s="71">
        <f>(Tradingbook_MSB[[#This Row],[MARKET_VALUE]]+Tradingbook_MSB[[#This Row],[Accr Int]]*Tradingbook_MSB[[#This Row],[Quantity_edited]])*(-Tradingbook_MSB[[#This Row],[Modified Duration]]*0.0001+0.5*Tradingbook_MSB[[#This Row],[Conv]]*(0.0001^2))</f>
        <v>0</v>
      </c>
      <c r="AQ170" s="72">
        <f>(Tradingbook_MSB[[#This Row],[MARKET_VALUE]]+Tradingbook_MSB[[#This Row],[Accr Int]]*Tradingbook_MSB[[#This Row],[Quantity_edited]])*(-Tradingbook_MSB[[#This Row],[Modified Duration]]*0.01+0.5*Tradingbook_MSB[[#This Row],[Conv]]*(0.01^2))</f>
        <v>0</v>
      </c>
      <c r="AR170" s="71"/>
      <c r="AT170" t="s">
        <v>166</v>
      </c>
      <c r="AU170" t="s">
        <v>3301</v>
      </c>
      <c r="AV170" t="s">
        <v>669</v>
      </c>
      <c r="AW170" t="s">
        <v>169</v>
      </c>
      <c r="AX170" t="s">
        <v>3453</v>
      </c>
      <c r="AY170" t="s">
        <v>170</v>
      </c>
      <c r="AZ170">
        <v>101627</v>
      </c>
      <c r="BA170">
        <v>101627</v>
      </c>
      <c r="BB170">
        <v>3500000</v>
      </c>
      <c r="BC170">
        <v>350000000000</v>
      </c>
      <c r="BD170">
        <v>117104</v>
      </c>
      <c r="BE170">
        <v>355694500000</v>
      </c>
      <c r="BF170">
        <v>4.5999999999999996</v>
      </c>
      <c r="BG170">
        <v>302</v>
      </c>
      <c r="BH170">
        <v>29900000000</v>
      </c>
      <c r="BI170">
        <v>31394717291.666656</v>
      </c>
      <c r="BJ170">
        <v>-29807031682.499958</v>
      </c>
      <c r="BK170">
        <v>4.3522751990000001</v>
      </c>
      <c r="BL170">
        <v>6.5318287642229</v>
      </c>
      <c r="BM170">
        <v>6.8161119299999999</v>
      </c>
      <c r="BN170">
        <v>53.038493299621301</v>
      </c>
      <c r="BO170">
        <v>189215.62042379851</v>
      </c>
      <c r="BP170">
        <v>-233023.970937965</v>
      </c>
      <c r="BQ170">
        <v>41641.928</v>
      </c>
      <c r="BR170">
        <v>-1441000000</v>
      </c>
      <c r="BS170">
        <v>-54169500000</v>
      </c>
      <c r="BT170">
        <v>-55610500000</v>
      </c>
      <c r="BU170">
        <v>-55610500000</v>
      </c>
      <c r="BV170">
        <v>-55610500000</v>
      </c>
      <c r="BW170">
        <v>-55610500000</v>
      </c>
      <c r="BX170">
        <v>2.6012499999999998</v>
      </c>
      <c r="BY170" s="32">
        <f>Bankingbook_MSB[[#This Row],[Mat. Date]]-RPT</f>
        <v>2898</v>
      </c>
      <c r="BZ170" s="71">
        <f>IF(Bankingbook_MSB[[#This Row],[Days]]&lt;=0,0,YEARFRAC(RPT,Bankingbook_MSB[[#This Row],[Mat. Date]],3))</f>
        <v>7.9397260273972599</v>
      </c>
      <c r="CA170" s="71" t="str">
        <f>IF(Bankingbook_MSB[[#This Row],[Days (year)]]=0,0,INDEX(Ref!$K$2:$K$13,MATCH(Bankingbook_MSB[[#This Row],[Days (year)]],Ref!$I$2:$I$13,1)))</f>
        <v>10Y</v>
      </c>
      <c r="CB170" s="32" t="str">
        <f>VLOOKUP(Bankingbook_MSB[[#This Row],[Security Name]],Ref!X:Z,3,0)</f>
        <v>TPCP</v>
      </c>
      <c r="CC170" s="32" t="str">
        <f>VLOOKUP(Bankingbook_MSB[[#This Row],[Security Name]],Ref!X:Y,2,0)</f>
        <v>KBNN</v>
      </c>
      <c r="CD170" s="72">
        <f>IF((Bankingbook_MSB[[#This Row],[Mat. Date]]-RPT)&lt;=0,0,Bankingbook_MSB[[#This Row],[QUANTITY]])</f>
        <v>3500000</v>
      </c>
      <c r="CE170" s="71">
        <f>IF(Bankingbook_MSB[[#This Row],[Quantity_edited]]=0,0,Bankingbook_MSB[[#This Row],[DURATION]])</f>
        <v>6.8161119299999999</v>
      </c>
      <c r="CF170" s="71">
        <f>IF(Bankingbook_MSB[[#This Row],[Quantity_edited]]=0,0,Bankingbook_MSB[[#This Row],[Mod Dur]])</f>
        <v>6.5318287642229</v>
      </c>
      <c r="CG170" s="71">
        <f>IF(Bankingbook_MSB[[#This Row],[Quantity_edited]]=0,0,Bankingbook_MSB[[#This Row],[Cnvx.]])</f>
        <v>53.038493299621301</v>
      </c>
      <c r="CH170" s="71">
        <f>(Bankingbook_MSB[[#This Row],[MARKET_VALUE]]+Bankingbook_MSB[[#This Row],[Accr Int]]*Bankingbook_MSB[[#This Row],[Quantity_edited]])*(-Bankingbook_MSB[[#This Row],[Modified Duration]]*0.0001+0.5*Bankingbook_MSB[[#This Row],[Conv]]*(0.0001^2))</f>
        <v>-232929363.12775472</v>
      </c>
      <c r="CI170" s="71">
        <f>(Bankingbook_MSB[[#This Row],[MARKET_VALUE]]+Bankingbook_MSB[[#This Row],[Accr Int]]*Bankingbook_MSB[[#This Row],[Quantity_edited]])*(-Bankingbook_MSB[[#This Row],[Modified Duration]]*0.01+0.5*Bankingbook_MSB[[#This Row],[Conv]]*(0.01^2))</f>
        <v>-22356318991.677662</v>
      </c>
      <c r="CL170" t="s">
        <v>166</v>
      </c>
      <c r="CM170" t="s">
        <v>167</v>
      </c>
      <c r="CN170" t="s">
        <v>349</v>
      </c>
      <c r="CO170" t="s">
        <v>169</v>
      </c>
      <c r="CP170" s="35">
        <v>43115</v>
      </c>
      <c r="CQ170" t="s">
        <v>3322</v>
      </c>
      <c r="CR170" t="s">
        <v>174</v>
      </c>
      <c r="CS170" t="s">
        <v>174</v>
      </c>
      <c r="CT170" s="49">
        <v>0</v>
      </c>
      <c r="CU170">
        <v>0</v>
      </c>
      <c r="CV170">
        <v>0</v>
      </c>
      <c r="CW170" s="70">
        <v>0</v>
      </c>
      <c r="CX170">
        <v>9.3000000000000007</v>
      </c>
      <c r="CY170">
        <v>0</v>
      </c>
      <c r="CZ170">
        <v>23250000000.000027</v>
      </c>
      <c r="DA170">
        <v>25544287395.833363</v>
      </c>
      <c r="DB170">
        <v>-5193107653.0897846</v>
      </c>
      <c r="DC170">
        <v>0</v>
      </c>
      <c r="DD170">
        <v>0</v>
      </c>
      <c r="DE170">
        <v>0</v>
      </c>
      <c r="DF170">
        <v>0</v>
      </c>
      <c r="DG170">
        <v>0</v>
      </c>
      <c r="DH170">
        <v>0</v>
      </c>
      <c r="DI170">
        <v>0</v>
      </c>
      <c r="DJ170" s="500">
        <v>15731614120</v>
      </c>
      <c r="DK170" s="500">
        <v>0</v>
      </c>
      <c r="DL170" s="37">
        <v>15731614120</v>
      </c>
      <c r="DM170" s="37">
        <v>15731614120</v>
      </c>
      <c r="DN170" s="37">
        <v>15731614120</v>
      </c>
      <c r="DO170" s="37">
        <v>15731614120</v>
      </c>
      <c r="DP170" s="32">
        <f>Tradingbook_SBV[[#This Row],[Mat. Date]]-RPT</f>
        <v>-3137</v>
      </c>
      <c r="DQ170" s="32">
        <f>IF(Tradingbook_SBV[[#This Row],[Days]]&lt;=0,0,YEARFRAC(RPT,Tradingbook_SBV[[#This Row],[Mat. Date]],3))</f>
        <v>0</v>
      </c>
      <c r="DR170" s="32">
        <f>IF(Tradingbook_SBV[[#This Row],[Days (year)]]=0,0,INDEX(Ref!$K$2:$K$13,MATCH(Tradingbook_SBV[[#This Row],[Days (year)]],Ref!$I$2:$I$13,1)))</f>
        <v>0</v>
      </c>
      <c r="DS170" s="32" t="str">
        <f>VLOOKUP(Tradingbook_SBV[[#This Row],[Security Name]],Ref!X:Z,3,0)</f>
        <v>TPCP</v>
      </c>
      <c r="DT170" s="32" t="str">
        <f>VLOOKUP(Tradingbook_SBV[[#This Row],[Security Name]],Ref!X:Y,2,0)</f>
        <v>KBNN</v>
      </c>
      <c r="DU170" s="71">
        <f>IF((Tradingbook_SBV[[#This Row],[Mat. Date]]-RPT)&lt;=0,0,Tradingbook_SBV[[#This Row],[QUANTITY]])</f>
        <v>0</v>
      </c>
      <c r="DV170" s="71">
        <f>IF(Tradingbook_SBV[[#This Row],[Quantity_edited]]=0,0,Tradingbook_SBV[[#This Row],[DURATION]])</f>
        <v>0</v>
      </c>
      <c r="DW170" s="71">
        <f>IF(Tradingbook_SBV[[#This Row],[Quantity_edited]]=0,0,Tradingbook_SBV[[#This Row],[Mod Dur]])</f>
        <v>0</v>
      </c>
      <c r="DX170" s="71">
        <f>IF(Tradingbook_SBV[[#This Row],[Quantity_edited]]=0,0,Tradingbook_SBV[[#This Row],[Cnvx.]])</f>
        <v>0</v>
      </c>
      <c r="DY170" s="71">
        <f>(Tradingbook_SBV[[#This Row],[MARKET_VALUE]]+Tradingbook_SBV[[#This Row],[Accr Int]]*Tradingbook_SBV[[#This Row],[Quantity_edited]])*(-Tradingbook_SBV[[#This Row],[Modified Duration]]*0.0001+0.5*Tradingbook_SBV[[#This Row],[Conv]]*(0.0001^2))</f>
        <v>0</v>
      </c>
      <c r="DZ170" s="71">
        <f>(Tradingbook_SBV[[#This Row],[MARKET_VALUE]]+Tradingbook_SBV[[#This Row],[Accr Int]]*Tradingbook_SBV[[#This Row],[Quantity_edited]])*(-Tradingbook_SBV[[#This Row],[Modified Duration]]*0.01+0.5*Tradingbook_SBV[[#This Row],[Conv]]*(0.01^2))</f>
        <v>0</v>
      </c>
      <c r="EC170" t="s">
        <v>166</v>
      </c>
      <c r="ED170" t="s">
        <v>167</v>
      </c>
      <c r="EE170" t="s">
        <v>574</v>
      </c>
      <c r="EF170" t="s">
        <v>169</v>
      </c>
      <c r="EG170" s="35" t="s">
        <v>3782</v>
      </c>
      <c r="EH170" t="s">
        <v>3322</v>
      </c>
      <c r="EI170" s="500">
        <v>101305</v>
      </c>
      <c r="EJ170" s="500">
        <v>101305</v>
      </c>
      <c r="EK170" s="500">
        <v>0</v>
      </c>
      <c r="EL170" s="500">
        <v>0</v>
      </c>
      <c r="EM170" s="500">
        <v>0</v>
      </c>
      <c r="EN170" s="500">
        <v>0</v>
      </c>
      <c r="EO170">
        <v>6.1</v>
      </c>
      <c r="EP170">
        <v>1337</v>
      </c>
      <c r="EQ170">
        <v>0</v>
      </c>
      <c r="ER170">
        <v>0</v>
      </c>
      <c r="ES170">
        <v>-12341161.388893127</v>
      </c>
      <c r="ET170">
        <v>4.3146730059999996</v>
      </c>
      <c r="EU170">
        <v>0.75537345228550001</v>
      </c>
      <c r="EV170">
        <v>0.78796535000000001</v>
      </c>
      <c r="EW170">
        <v>1.1411781048367</v>
      </c>
      <c r="EX170">
        <v>0</v>
      </c>
      <c r="EY170">
        <v>0</v>
      </c>
      <c r="EZ170">
        <v>0</v>
      </c>
      <c r="FA170">
        <v>-53000000</v>
      </c>
      <c r="FB170">
        <v>0</v>
      </c>
      <c r="FC170">
        <v>-53000000</v>
      </c>
      <c r="FD170">
        <v>-53000000</v>
      </c>
      <c r="FE170">
        <v>-53000000</v>
      </c>
      <c r="FF170">
        <v>-53000000</v>
      </c>
      <c r="FG170" s="32">
        <f>Bankingbook_SBV[[#This Row],[Mat. Date]]-RPT</f>
        <v>285</v>
      </c>
      <c r="FH170" s="32">
        <f>IF(Bankingbook_SBV[[#This Row],[Days]]&lt;=0,0,YEARFRAC(RPT,Bankingbook_SBV[[#This Row],[Mat. Date]],3))</f>
        <v>0.78082191780821919</v>
      </c>
      <c r="FI170" s="32" t="str">
        <f>IF(Bankingbook_SBV[[#This Row],[Days (year)]]=0,0,INDEX(Ref!$K$2:$K$13,MATCH(Bankingbook_SBV[[#This Row],[Days (year)]],Ref!$I$2:$I$13,1)))</f>
        <v>1Y</v>
      </c>
      <c r="FJ170" s="32" t="str">
        <f>VLOOKUP(Bankingbook_SBV[[#This Row],[Security Name]],Ref!X:Z,3,0)</f>
        <v>TPCPBL</v>
      </c>
      <c r="FK170" s="32" t="str">
        <f>VLOOKUP(Bankingbook_SBV[[#This Row],[Security Name]],Ref!X:Y,2,0)</f>
        <v>VBS</v>
      </c>
      <c r="FL170" s="72">
        <f>IF((Bankingbook_SBV[[#This Row],[Mat. Date]]-RPT)&lt;=0,0,Bankingbook_SBV[[#This Row],[QUANTITY]])</f>
        <v>0</v>
      </c>
      <c r="FM170" s="32">
        <f>IF(Bankingbook_SBV[[#This Row],[Quantity_edited]]=0,0,Bankingbook_SBV[[#This Row],[DURATION]])</f>
        <v>0</v>
      </c>
      <c r="FN170" s="32">
        <f>IF(Bankingbook_SBV[[#This Row],[Quantity_edited]]=0,0,Bankingbook_SBV[[#This Row],[Mod Dur]])</f>
        <v>0</v>
      </c>
      <c r="FO170" s="32">
        <f>IF(Bankingbook_SBV[[#This Row],[Quantity_edited]]=0,0,Bankingbook_SBV[[#This Row],[Cnvx.]])</f>
        <v>0</v>
      </c>
      <c r="FP170" s="32">
        <f>(Bankingbook_SBV[[#This Row],[MARKET_VALUE]]+Bankingbook_SBV[[#This Row],[Accr Int]]*Bankingbook_SBV[[#This Row],[Quantity_edited]])*(-Bankingbook_SBV[[#This Row],[Modified Duration]]*0.0001+0.5*Bankingbook_SBV[[#This Row],[Conv]]*(0.0001^2))</f>
        <v>0</v>
      </c>
      <c r="FQ170" s="32">
        <f>(Bankingbook_SBV[[#This Row],[MARKET_VALUE]]+Bankingbook_SBV[[#This Row],[Accr Int]]*Bankingbook_SBV[[#This Row],[Quantity_edited]])*(-Bankingbook_SBV[[#This Row],[Modified Duration]]*0.01+0.5*Bankingbook_SBV[[#This Row],[Conv]]*(0.01^2))</f>
        <v>0</v>
      </c>
    </row>
    <row r="171" spans="2:173" x14ac:dyDescent="0.3">
      <c r="B171" t="s">
        <v>166</v>
      </c>
      <c r="C171" t="s">
        <v>167</v>
      </c>
      <c r="D171" t="s">
        <v>350</v>
      </c>
      <c r="E171" t="s">
        <v>169</v>
      </c>
      <c r="F171" s="502">
        <v>43127</v>
      </c>
      <c r="G171" t="s">
        <v>3322</v>
      </c>
      <c r="H171"/>
      <c r="I171"/>
      <c r="J171" s="38">
        <v>0</v>
      </c>
      <c r="K171">
        <v>0</v>
      </c>
      <c r="L171">
        <v>0</v>
      </c>
      <c r="M171" s="38">
        <v>0</v>
      </c>
      <c r="N171">
        <v>5.4</v>
      </c>
      <c r="O171">
        <v>0</v>
      </c>
      <c r="P171" s="37">
        <v>0</v>
      </c>
      <c r="Q171" s="37">
        <v>0</v>
      </c>
      <c r="R171" s="37">
        <v>-940752658.61110878</v>
      </c>
      <c r="S171">
        <v>0</v>
      </c>
      <c r="T171" s="70">
        <v>0</v>
      </c>
      <c r="U171">
        <v>0</v>
      </c>
      <c r="V171">
        <v>0</v>
      </c>
      <c r="W171">
        <v>0</v>
      </c>
      <c r="X171" s="38">
        <v>0</v>
      </c>
      <c r="Y171">
        <v>0</v>
      </c>
      <c r="Z171" s="70">
        <v>1642000000</v>
      </c>
      <c r="AA171" s="70">
        <v>0</v>
      </c>
      <c r="AB171" s="70">
        <v>1642000000</v>
      </c>
      <c r="AC171" s="70">
        <v>1642000000</v>
      </c>
      <c r="AD171" s="70">
        <v>1642000000</v>
      </c>
      <c r="AE171" s="70">
        <v>1642000000</v>
      </c>
      <c r="AF171">
        <v>0</v>
      </c>
      <c r="AG171" s="72">
        <f>Tradingbook_MSB[[#This Row],[Mat. Date]]-RPT</f>
        <v>-3125</v>
      </c>
      <c r="AH171" s="71">
        <f>IF(Tradingbook_MSB[[#This Row],[Days]]&lt;=0,0,YEARFRAC(RPT,Tradingbook_MSB[[#This Row],[Mat. Date]],3))</f>
        <v>0</v>
      </c>
      <c r="AI171" s="71">
        <f>IF(Tradingbook_MSB[[#This Row],[Days (year)]]=0,0,INDEX(Ref!$K$2:$K$13,MATCH(Tradingbook_MSB[[#This Row],[Days (year)]],Ref!$I$2:$I$13,1)))</f>
        <v>0</v>
      </c>
      <c r="AJ171" s="120" t="str">
        <f>VLOOKUP(Tradingbook_MSB[[#This Row],[Security Name]],Ref!X:Z,3,0)</f>
        <v>TPCPBL</v>
      </c>
      <c r="AK171" s="120" t="str">
        <f>VLOOKUP(Tradingbook_MSB[[#This Row],[Security Name]],Ref!X:Y,2,0)</f>
        <v>VDB</v>
      </c>
      <c r="AL171" s="71">
        <f>IF((Tradingbook_MSB[[#This Row],[Mat. Date]]-RPT)&lt;=0,0,Tradingbook_MSB[[#This Row],[QUANTITY]])</f>
        <v>0</v>
      </c>
      <c r="AM171" s="71">
        <f>IF(Tradingbook_MSB[[#This Row],[Quantity_edited]]=0,0,Tradingbook_MSB[[#This Row],[DURATION]])</f>
        <v>0</v>
      </c>
      <c r="AN171" s="71">
        <f>IF(Tradingbook_MSB[[#This Row],[Quantity_edited]]=0,0,Tradingbook_MSB[[#This Row],[Mod Dur]])</f>
        <v>0</v>
      </c>
      <c r="AO171" s="71">
        <f>IF(Tradingbook_MSB[[#This Row],[Quantity_edited]]=0,0,Tradingbook_MSB[[#This Row],[Cnvx.]])</f>
        <v>0</v>
      </c>
      <c r="AP171" s="71">
        <f>(Tradingbook_MSB[[#This Row],[MARKET_VALUE]]+Tradingbook_MSB[[#This Row],[Accr Int]]*Tradingbook_MSB[[#This Row],[Quantity_edited]])*(-Tradingbook_MSB[[#This Row],[Modified Duration]]*0.0001+0.5*Tradingbook_MSB[[#This Row],[Conv]]*(0.0001^2))</f>
        <v>0</v>
      </c>
      <c r="AQ171" s="72">
        <f>(Tradingbook_MSB[[#This Row],[MARKET_VALUE]]+Tradingbook_MSB[[#This Row],[Accr Int]]*Tradingbook_MSB[[#This Row],[Quantity_edited]])*(-Tradingbook_MSB[[#This Row],[Modified Duration]]*0.01+0.5*Tradingbook_MSB[[#This Row],[Conv]]*(0.01^2))</f>
        <v>0</v>
      </c>
      <c r="AR171" s="71"/>
      <c r="AT171" t="s">
        <v>166</v>
      </c>
      <c r="AU171" t="s">
        <v>3301</v>
      </c>
      <c r="AV171" t="s">
        <v>672</v>
      </c>
      <c r="AW171" t="s">
        <v>169</v>
      </c>
      <c r="AX171" t="s">
        <v>673</v>
      </c>
      <c r="AY171" t="s">
        <v>170</v>
      </c>
      <c r="AZ171">
        <v>97540</v>
      </c>
      <c r="BA171">
        <v>97540</v>
      </c>
      <c r="BB171">
        <v>1000000</v>
      </c>
      <c r="BC171">
        <v>100000000000</v>
      </c>
      <c r="BD171">
        <v>110948.333</v>
      </c>
      <c r="BE171">
        <v>97540000000</v>
      </c>
      <c r="BF171">
        <v>4</v>
      </c>
      <c r="BG171">
        <v>3342</v>
      </c>
      <c r="BH171">
        <v>18000000000</v>
      </c>
      <c r="BI171">
        <v>20150403888.888863</v>
      </c>
      <c r="BJ171">
        <v>-12061168514.097073</v>
      </c>
      <c r="BK171">
        <v>4.3629329529999996</v>
      </c>
      <c r="BL171">
        <v>6.5894131111557996</v>
      </c>
      <c r="BM171">
        <v>6.8769047900000002</v>
      </c>
      <c r="BN171">
        <v>55.102285697367499</v>
      </c>
      <c r="BO171">
        <v>55588.287857218202</v>
      </c>
      <c r="BP171">
        <v>-66475.317347962002</v>
      </c>
      <c r="BQ171">
        <v>11803.713</v>
      </c>
      <c r="BR171">
        <v>3515333333.333343</v>
      </c>
      <c r="BS171">
        <v>-13408333333.333328</v>
      </c>
      <c r="BT171">
        <v>-9892999999.9999847</v>
      </c>
      <c r="BU171">
        <v>-9892999999.9999847</v>
      </c>
      <c r="BV171">
        <v>-9893000000</v>
      </c>
      <c r="BW171">
        <v>-9892999999.9999847</v>
      </c>
      <c r="BX171">
        <v>2.9333333330000002</v>
      </c>
      <c r="BY171" s="32">
        <f>Bankingbook_MSB[[#This Row],[Mat. Date]]-RPT</f>
        <v>2982</v>
      </c>
      <c r="BZ171" s="71">
        <f>IF(Bankingbook_MSB[[#This Row],[Days]]&lt;=0,0,YEARFRAC(RPT,Bankingbook_MSB[[#This Row],[Mat. Date]],3))</f>
        <v>8.169863013698631</v>
      </c>
      <c r="CA171" s="71" t="str">
        <f>IF(Bankingbook_MSB[[#This Row],[Days (year)]]=0,0,INDEX(Ref!$K$2:$K$13,MATCH(Bankingbook_MSB[[#This Row],[Days (year)]],Ref!$I$2:$I$13,1)))</f>
        <v>10Y</v>
      </c>
      <c r="CB171" s="32" t="str">
        <f>VLOOKUP(Bankingbook_MSB[[#This Row],[Security Name]],Ref!X:Z,3,0)</f>
        <v>TPCP</v>
      </c>
      <c r="CC171" s="32" t="str">
        <f>VLOOKUP(Bankingbook_MSB[[#This Row],[Security Name]],Ref!X:Y,2,0)</f>
        <v>KBNN</v>
      </c>
      <c r="CD171" s="72">
        <f>IF((Bankingbook_MSB[[#This Row],[Mat. Date]]-RPT)&lt;=0,0,Bankingbook_MSB[[#This Row],[QUANTITY]])</f>
        <v>1000000</v>
      </c>
      <c r="CE171" s="71">
        <f>IF(Bankingbook_MSB[[#This Row],[Quantity_edited]]=0,0,Bankingbook_MSB[[#This Row],[DURATION]])</f>
        <v>6.8769047900000002</v>
      </c>
      <c r="CF171" s="71">
        <f>IF(Bankingbook_MSB[[#This Row],[Quantity_edited]]=0,0,Bankingbook_MSB[[#This Row],[Mod Dur]])</f>
        <v>6.5894131111557996</v>
      </c>
      <c r="CG171" s="71">
        <f>IF(Bankingbook_MSB[[#This Row],[Quantity_edited]]=0,0,Bankingbook_MSB[[#This Row],[Cnvx.]])</f>
        <v>55.102285697367499</v>
      </c>
      <c r="CH171" s="71">
        <f>(Bankingbook_MSB[[#This Row],[MARKET_VALUE]]+Bankingbook_MSB[[#This Row],[Accr Int]]*Bankingbook_MSB[[#This Row],[Quantity_edited]])*(-Bankingbook_MSB[[#This Row],[Modified Duration]]*0.0001+0.5*Bankingbook_MSB[[#This Row],[Conv]]*(0.0001^2))</f>
        <v>-66447523.204033338</v>
      </c>
      <c r="CI171" s="71">
        <f>(Bankingbook_MSB[[#This Row],[MARKET_VALUE]]+Bankingbook_MSB[[#This Row],[Accr Int]]*Bankingbook_MSB[[#This Row],[Quantity_edited]])*(-Bankingbook_MSB[[#This Row],[Modified Duration]]*0.01+0.5*Bankingbook_MSB[[#This Row],[Conv]]*(0.01^2))</f>
        <v>-6369590295.5101032</v>
      </c>
      <c r="CL171" t="s">
        <v>166</v>
      </c>
      <c r="CM171" t="s">
        <v>167</v>
      </c>
      <c r="CN171" t="s">
        <v>350</v>
      </c>
      <c r="CO171" t="s">
        <v>169</v>
      </c>
      <c r="CP171" s="35">
        <v>43127</v>
      </c>
      <c r="CQ171" t="s">
        <v>3322</v>
      </c>
      <c r="CR171" t="s">
        <v>174</v>
      </c>
      <c r="CS171" t="s">
        <v>174</v>
      </c>
      <c r="CT171" s="49">
        <v>0</v>
      </c>
      <c r="CU171">
        <v>0</v>
      </c>
      <c r="CV171">
        <v>0</v>
      </c>
      <c r="CW171" s="70">
        <v>0</v>
      </c>
      <c r="CX171">
        <v>5.4</v>
      </c>
      <c r="CY171">
        <v>0</v>
      </c>
      <c r="CZ171">
        <v>0</v>
      </c>
      <c r="DA171">
        <v>0</v>
      </c>
      <c r="DB171">
        <v>-940752658.61110878</v>
      </c>
      <c r="DC171">
        <v>0</v>
      </c>
      <c r="DD171">
        <v>0</v>
      </c>
      <c r="DE171">
        <v>0</v>
      </c>
      <c r="DF171">
        <v>0</v>
      </c>
      <c r="DG171">
        <v>0</v>
      </c>
      <c r="DH171">
        <v>0</v>
      </c>
      <c r="DI171">
        <v>0</v>
      </c>
      <c r="DJ171" s="500">
        <v>1642000000</v>
      </c>
      <c r="DK171" s="500">
        <v>0</v>
      </c>
      <c r="DL171" s="37">
        <v>1642000000</v>
      </c>
      <c r="DM171" s="37">
        <v>1642000000</v>
      </c>
      <c r="DN171" s="37">
        <v>1642000000</v>
      </c>
      <c r="DO171" s="37">
        <v>1642000000</v>
      </c>
      <c r="DP171" s="32">
        <f>Tradingbook_SBV[[#This Row],[Mat. Date]]-RPT</f>
        <v>-3125</v>
      </c>
      <c r="DQ171" s="32">
        <f>IF(Tradingbook_SBV[[#This Row],[Days]]&lt;=0,0,YEARFRAC(RPT,Tradingbook_SBV[[#This Row],[Mat. Date]],3))</f>
        <v>0</v>
      </c>
      <c r="DR171" s="32">
        <f>IF(Tradingbook_SBV[[#This Row],[Days (year)]]=0,0,INDEX(Ref!$K$2:$K$13,MATCH(Tradingbook_SBV[[#This Row],[Days (year)]],Ref!$I$2:$I$13,1)))</f>
        <v>0</v>
      </c>
      <c r="DS171" s="32" t="str">
        <f>VLOOKUP(Tradingbook_SBV[[#This Row],[Security Name]],Ref!X:Z,3,0)</f>
        <v>TPCPBL</v>
      </c>
      <c r="DT171" s="32" t="str">
        <f>VLOOKUP(Tradingbook_SBV[[#This Row],[Security Name]],Ref!X:Y,2,0)</f>
        <v>VDB</v>
      </c>
      <c r="DU171" s="71">
        <f>IF((Tradingbook_SBV[[#This Row],[Mat. Date]]-RPT)&lt;=0,0,Tradingbook_SBV[[#This Row],[QUANTITY]])</f>
        <v>0</v>
      </c>
      <c r="DV171" s="71">
        <f>IF(Tradingbook_SBV[[#This Row],[Quantity_edited]]=0,0,Tradingbook_SBV[[#This Row],[DURATION]])</f>
        <v>0</v>
      </c>
      <c r="DW171" s="71">
        <f>IF(Tradingbook_SBV[[#This Row],[Quantity_edited]]=0,0,Tradingbook_SBV[[#This Row],[Mod Dur]])</f>
        <v>0</v>
      </c>
      <c r="DX171" s="71">
        <f>IF(Tradingbook_SBV[[#This Row],[Quantity_edited]]=0,0,Tradingbook_SBV[[#This Row],[Cnvx.]])</f>
        <v>0</v>
      </c>
      <c r="DY171" s="71">
        <f>(Tradingbook_SBV[[#This Row],[MARKET_VALUE]]+Tradingbook_SBV[[#This Row],[Accr Int]]*Tradingbook_SBV[[#This Row],[Quantity_edited]])*(-Tradingbook_SBV[[#This Row],[Modified Duration]]*0.0001+0.5*Tradingbook_SBV[[#This Row],[Conv]]*(0.0001^2))</f>
        <v>0</v>
      </c>
      <c r="DZ171" s="71">
        <f>(Tradingbook_SBV[[#This Row],[MARKET_VALUE]]+Tradingbook_SBV[[#This Row],[Accr Int]]*Tradingbook_SBV[[#This Row],[Quantity_edited]])*(-Tradingbook_SBV[[#This Row],[Modified Duration]]*0.01+0.5*Tradingbook_SBV[[#This Row],[Conv]]*(0.01^2))</f>
        <v>0</v>
      </c>
      <c r="EC171" t="s">
        <v>166</v>
      </c>
      <c r="ED171" t="s">
        <v>167</v>
      </c>
      <c r="EE171" t="s">
        <v>575</v>
      </c>
      <c r="EF171" t="s">
        <v>169</v>
      </c>
      <c r="EG171" s="35" t="s">
        <v>3410</v>
      </c>
      <c r="EH171" t="s">
        <v>3322</v>
      </c>
      <c r="EI171" s="500">
        <v>101416</v>
      </c>
      <c r="EJ171" s="500">
        <v>101416</v>
      </c>
      <c r="EK171" s="500">
        <v>0</v>
      </c>
      <c r="EL171" s="500">
        <v>0</v>
      </c>
      <c r="EM171" s="500">
        <v>0</v>
      </c>
      <c r="EN171" s="500">
        <v>0</v>
      </c>
      <c r="EO171">
        <v>5.3</v>
      </c>
      <c r="EP171">
        <v>523</v>
      </c>
      <c r="EQ171">
        <v>86178000000</v>
      </c>
      <c r="ER171">
        <v>101556079040.27765</v>
      </c>
      <c r="ES171">
        <v>-31237310458.230022</v>
      </c>
      <c r="ET171">
        <v>3.6578434130000002</v>
      </c>
      <c r="EU171">
        <v>0.87259964355209996</v>
      </c>
      <c r="EV171">
        <v>0.90451797</v>
      </c>
      <c r="EW171">
        <v>1.5228602758523</v>
      </c>
      <c r="EX171">
        <v>0</v>
      </c>
      <c r="EY171">
        <v>0</v>
      </c>
      <c r="EZ171">
        <v>0</v>
      </c>
      <c r="FA171">
        <v>43424550000</v>
      </c>
      <c r="FB171">
        <v>0</v>
      </c>
      <c r="FC171">
        <v>43424550000</v>
      </c>
      <c r="FD171">
        <v>43424550000</v>
      </c>
      <c r="FE171">
        <v>43424550000</v>
      </c>
      <c r="FF171">
        <v>43424550000</v>
      </c>
      <c r="FG171" s="32">
        <f>Bankingbook_SBV[[#This Row],[Mat. Date]]-RPT</f>
        <v>329</v>
      </c>
      <c r="FH171" s="32">
        <f>IF(Bankingbook_SBV[[#This Row],[Days]]&lt;=0,0,YEARFRAC(RPT,Bankingbook_SBV[[#This Row],[Mat. Date]],3))</f>
        <v>0.90136986301369859</v>
      </c>
      <c r="FI171" s="32" t="str">
        <f>IF(Bankingbook_SBV[[#This Row],[Days (year)]]=0,0,INDEX(Ref!$K$2:$K$13,MATCH(Bankingbook_SBV[[#This Row],[Days (year)]],Ref!$I$2:$I$13,1)))</f>
        <v>1Y</v>
      </c>
      <c r="FJ171" s="32" t="str">
        <f>VLOOKUP(Bankingbook_SBV[[#This Row],[Security Name]],Ref!X:Z,3,0)</f>
        <v>TPCP</v>
      </c>
      <c r="FK171" s="32" t="str">
        <f>VLOOKUP(Bankingbook_SBV[[#This Row],[Security Name]],Ref!X:Y,2,0)</f>
        <v>KBNN</v>
      </c>
      <c r="FL171" s="72">
        <f>IF((Bankingbook_SBV[[#This Row],[Mat. Date]]-RPT)&lt;=0,0,Bankingbook_SBV[[#This Row],[QUANTITY]])</f>
        <v>0</v>
      </c>
      <c r="FM171" s="32">
        <f>IF(Bankingbook_SBV[[#This Row],[Quantity_edited]]=0,0,Bankingbook_SBV[[#This Row],[DURATION]])</f>
        <v>0</v>
      </c>
      <c r="FN171" s="32">
        <f>IF(Bankingbook_SBV[[#This Row],[Quantity_edited]]=0,0,Bankingbook_SBV[[#This Row],[Mod Dur]])</f>
        <v>0</v>
      </c>
      <c r="FO171" s="32">
        <f>IF(Bankingbook_SBV[[#This Row],[Quantity_edited]]=0,0,Bankingbook_SBV[[#This Row],[Cnvx.]])</f>
        <v>0</v>
      </c>
      <c r="FP171" s="32">
        <f>(Bankingbook_SBV[[#This Row],[MARKET_VALUE]]+Bankingbook_SBV[[#This Row],[Accr Int]]*Bankingbook_SBV[[#This Row],[Quantity_edited]])*(-Bankingbook_SBV[[#This Row],[Modified Duration]]*0.0001+0.5*Bankingbook_SBV[[#This Row],[Conv]]*(0.0001^2))</f>
        <v>0</v>
      </c>
      <c r="FQ171" s="32">
        <f>(Bankingbook_SBV[[#This Row],[MARKET_VALUE]]+Bankingbook_SBV[[#This Row],[Accr Int]]*Bankingbook_SBV[[#This Row],[Quantity_edited]])*(-Bankingbook_SBV[[#This Row],[Modified Duration]]*0.01+0.5*Bankingbook_SBV[[#This Row],[Conv]]*(0.01^2))</f>
        <v>0</v>
      </c>
    </row>
    <row r="172" spans="2:173" x14ac:dyDescent="0.3">
      <c r="B172" t="s">
        <v>166</v>
      </c>
      <c r="C172" t="s">
        <v>167</v>
      </c>
      <c r="D172" t="s">
        <v>351</v>
      </c>
      <c r="E172" t="s">
        <v>169</v>
      </c>
      <c r="F172" s="502">
        <v>43174</v>
      </c>
      <c r="G172" t="s">
        <v>3322</v>
      </c>
      <c r="H172"/>
      <c r="I172"/>
      <c r="J172" s="38">
        <v>0</v>
      </c>
      <c r="K172">
        <v>0</v>
      </c>
      <c r="L172">
        <v>0</v>
      </c>
      <c r="M172" s="38">
        <v>0</v>
      </c>
      <c r="N172">
        <v>9.1999999999999993</v>
      </c>
      <c r="O172">
        <v>0</v>
      </c>
      <c r="P172" s="37">
        <v>23000000000</v>
      </c>
      <c r="Q172" s="37">
        <v>25066489305.555542</v>
      </c>
      <c r="R172" s="37">
        <v>-6611640390.6805325</v>
      </c>
      <c r="S172">
        <v>0</v>
      </c>
      <c r="T172" s="70">
        <v>0</v>
      </c>
      <c r="U172">
        <v>0</v>
      </c>
      <c r="V172">
        <v>0</v>
      </c>
      <c r="W172">
        <v>0</v>
      </c>
      <c r="X172" s="38">
        <v>0</v>
      </c>
      <c r="Y172">
        <v>0</v>
      </c>
      <c r="Z172" s="70">
        <v>7523400000</v>
      </c>
      <c r="AA172" s="70">
        <v>0</v>
      </c>
      <c r="AB172" s="70">
        <v>7523400000</v>
      </c>
      <c r="AC172" s="70">
        <v>7523400000</v>
      </c>
      <c r="AD172" s="70">
        <v>7523400000</v>
      </c>
      <c r="AE172" s="70">
        <v>7523400000</v>
      </c>
      <c r="AF172">
        <v>0</v>
      </c>
      <c r="AG172" s="72">
        <f>Tradingbook_MSB[[#This Row],[Mat. Date]]-RPT</f>
        <v>-3078</v>
      </c>
      <c r="AH172" s="71">
        <f>IF(Tradingbook_MSB[[#This Row],[Days]]&lt;=0,0,YEARFRAC(RPT,Tradingbook_MSB[[#This Row],[Mat. Date]],3))</f>
        <v>0</v>
      </c>
      <c r="AI172" s="71">
        <f>IF(Tradingbook_MSB[[#This Row],[Days (year)]]=0,0,INDEX(Ref!$K$2:$K$13,MATCH(Tradingbook_MSB[[#This Row],[Days (year)]],Ref!$I$2:$I$13,1)))</f>
        <v>0</v>
      </c>
      <c r="AJ172" s="120" t="str">
        <f>VLOOKUP(Tradingbook_MSB[[#This Row],[Security Name]],Ref!X:Z,3,0)</f>
        <v>TPCP</v>
      </c>
      <c r="AK172" s="120" t="str">
        <f>VLOOKUP(Tradingbook_MSB[[#This Row],[Security Name]],Ref!X:Y,2,0)</f>
        <v>KBNN</v>
      </c>
      <c r="AL172" s="71">
        <f>IF((Tradingbook_MSB[[#This Row],[Mat. Date]]-RPT)&lt;=0,0,Tradingbook_MSB[[#This Row],[QUANTITY]])</f>
        <v>0</v>
      </c>
      <c r="AM172" s="71">
        <f>IF(Tradingbook_MSB[[#This Row],[Quantity_edited]]=0,0,Tradingbook_MSB[[#This Row],[DURATION]])</f>
        <v>0</v>
      </c>
      <c r="AN172" s="71">
        <f>IF(Tradingbook_MSB[[#This Row],[Quantity_edited]]=0,0,Tradingbook_MSB[[#This Row],[Mod Dur]])</f>
        <v>0</v>
      </c>
      <c r="AO172" s="71">
        <f>IF(Tradingbook_MSB[[#This Row],[Quantity_edited]]=0,0,Tradingbook_MSB[[#This Row],[Cnvx.]])</f>
        <v>0</v>
      </c>
      <c r="AP172" s="71">
        <f>(Tradingbook_MSB[[#This Row],[MARKET_VALUE]]+Tradingbook_MSB[[#This Row],[Accr Int]]*Tradingbook_MSB[[#This Row],[Quantity_edited]])*(-Tradingbook_MSB[[#This Row],[Modified Duration]]*0.0001+0.5*Tradingbook_MSB[[#This Row],[Conv]]*(0.0001^2))</f>
        <v>0</v>
      </c>
      <c r="AQ172" s="72">
        <f>(Tradingbook_MSB[[#This Row],[MARKET_VALUE]]+Tradingbook_MSB[[#This Row],[Accr Int]]*Tradingbook_MSB[[#This Row],[Quantity_edited]])*(-Tradingbook_MSB[[#This Row],[Modified Duration]]*0.01+0.5*Tradingbook_MSB[[#This Row],[Conv]]*(0.01^2))</f>
        <v>0</v>
      </c>
      <c r="AR172" s="71"/>
      <c r="AT172" t="s">
        <v>166</v>
      </c>
      <c r="AU172" t="s">
        <v>3301</v>
      </c>
      <c r="AV172" t="s">
        <v>677</v>
      </c>
      <c r="AW172" t="s">
        <v>169</v>
      </c>
      <c r="AX172" t="s">
        <v>3454</v>
      </c>
      <c r="AY172" t="s">
        <v>3322</v>
      </c>
      <c r="AZ172">
        <v>96170</v>
      </c>
      <c r="BA172">
        <v>96170</v>
      </c>
      <c r="BB172">
        <v>0</v>
      </c>
      <c r="BC172">
        <v>0</v>
      </c>
      <c r="BD172">
        <v>0</v>
      </c>
      <c r="BE172">
        <v>0</v>
      </c>
      <c r="BF172">
        <v>4.3</v>
      </c>
      <c r="BG172">
        <v>3028</v>
      </c>
      <c r="BH172">
        <v>3999000000</v>
      </c>
      <c r="BI172">
        <v>4642316908.3333244</v>
      </c>
      <c r="BJ172">
        <v>847796639.70004082</v>
      </c>
      <c r="BK172">
        <v>4.8689372520000003</v>
      </c>
      <c r="BL172">
        <v>6.5918296841248001</v>
      </c>
      <c r="BM172">
        <v>6.9127817399999998</v>
      </c>
      <c r="BN172">
        <v>55.351302000844498</v>
      </c>
      <c r="BO172">
        <v>0</v>
      </c>
      <c r="BP172">
        <v>0</v>
      </c>
      <c r="BQ172">
        <v>0</v>
      </c>
      <c r="BR172">
        <v>11548740000</v>
      </c>
      <c r="BS172">
        <v>0</v>
      </c>
      <c r="BT172">
        <v>11548740000</v>
      </c>
      <c r="BU172">
        <v>11548740000</v>
      </c>
      <c r="BV172">
        <v>11548740000</v>
      </c>
      <c r="BW172">
        <v>11548740000</v>
      </c>
      <c r="BX172">
        <v>0</v>
      </c>
      <c r="BY172" s="32">
        <f>Bankingbook_MSB[[#This Row],[Mat. Date]]-RPT</f>
        <v>3030</v>
      </c>
      <c r="BZ172" s="71">
        <f>IF(Bankingbook_MSB[[#This Row],[Days]]&lt;=0,0,YEARFRAC(RPT,Bankingbook_MSB[[#This Row],[Mat. Date]],3))</f>
        <v>8.3013698630136989</v>
      </c>
      <c r="CA172" s="71" t="str">
        <f>IF(Bankingbook_MSB[[#This Row],[Days (year)]]=0,0,INDEX(Ref!$K$2:$K$13,MATCH(Bankingbook_MSB[[#This Row],[Days (year)]],Ref!$I$2:$I$13,1)))</f>
        <v>10Y</v>
      </c>
      <c r="CB172" s="32" t="str">
        <f>VLOOKUP(Bankingbook_MSB[[#This Row],[Security Name]],Ref!X:Z,3,0)</f>
        <v>TPCPBL</v>
      </c>
      <c r="CC172" s="32" t="str">
        <f>VLOOKUP(Bankingbook_MSB[[#This Row],[Security Name]],Ref!X:Y,2,0)</f>
        <v>VDB</v>
      </c>
      <c r="CD172" s="72">
        <f>IF((Bankingbook_MSB[[#This Row],[Mat. Date]]-RPT)&lt;=0,0,Bankingbook_MSB[[#This Row],[QUANTITY]])</f>
        <v>0</v>
      </c>
      <c r="CE172" s="71">
        <f>IF(Bankingbook_MSB[[#This Row],[Quantity_edited]]=0,0,Bankingbook_MSB[[#This Row],[DURATION]])</f>
        <v>0</v>
      </c>
      <c r="CF172" s="71">
        <f>IF(Bankingbook_MSB[[#This Row],[Quantity_edited]]=0,0,Bankingbook_MSB[[#This Row],[Mod Dur]])</f>
        <v>0</v>
      </c>
      <c r="CG172" s="71">
        <f>IF(Bankingbook_MSB[[#This Row],[Quantity_edited]]=0,0,Bankingbook_MSB[[#This Row],[Cnvx.]])</f>
        <v>0</v>
      </c>
      <c r="CH172" s="71">
        <f>(Bankingbook_MSB[[#This Row],[MARKET_VALUE]]+Bankingbook_MSB[[#This Row],[Accr Int]]*Bankingbook_MSB[[#This Row],[Quantity_edited]])*(-Bankingbook_MSB[[#This Row],[Modified Duration]]*0.0001+0.5*Bankingbook_MSB[[#This Row],[Conv]]*(0.0001^2))</f>
        <v>0</v>
      </c>
      <c r="CI172" s="71">
        <f>(Bankingbook_MSB[[#This Row],[MARKET_VALUE]]+Bankingbook_MSB[[#This Row],[Accr Int]]*Bankingbook_MSB[[#This Row],[Quantity_edited]])*(-Bankingbook_MSB[[#This Row],[Modified Duration]]*0.01+0.5*Bankingbook_MSB[[#This Row],[Conv]]*(0.01^2))</f>
        <v>0</v>
      </c>
      <c r="CL172" t="s">
        <v>166</v>
      </c>
      <c r="CM172" t="s">
        <v>167</v>
      </c>
      <c r="CN172" t="s">
        <v>351</v>
      </c>
      <c r="CO172" t="s">
        <v>169</v>
      </c>
      <c r="CP172" s="35">
        <v>43174</v>
      </c>
      <c r="CQ172" t="s">
        <v>3322</v>
      </c>
      <c r="CR172" t="s">
        <v>174</v>
      </c>
      <c r="CS172" t="s">
        <v>174</v>
      </c>
      <c r="CT172" s="49">
        <v>0</v>
      </c>
      <c r="CU172">
        <v>0</v>
      </c>
      <c r="CV172">
        <v>0</v>
      </c>
      <c r="CW172" s="70">
        <v>0</v>
      </c>
      <c r="CX172">
        <v>9.1999999999999993</v>
      </c>
      <c r="CY172">
        <v>0</v>
      </c>
      <c r="CZ172">
        <v>23000000000</v>
      </c>
      <c r="DA172">
        <v>25066489305.555542</v>
      </c>
      <c r="DB172">
        <v>-6611640390.6805325</v>
      </c>
      <c r="DC172">
        <v>0</v>
      </c>
      <c r="DD172">
        <v>0</v>
      </c>
      <c r="DE172">
        <v>0</v>
      </c>
      <c r="DF172">
        <v>0</v>
      </c>
      <c r="DG172">
        <v>0</v>
      </c>
      <c r="DH172">
        <v>0</v>
      </c>
      <c r="DI172">
        <v>0</v>
      </c>
      <c r="DJ172" s="500">
        <v>7523400000</v>
      </c>
      <c r="DK172" s="500">
        <v>0</v>
      </c>
      <c r="DL172" s="37">
        <v>7523400000</v>
      </c>
      <c r="DM172" s="37">
        <v>7523400000</v>
      </c>
      <c r="DN172" s="37">
        <v>7523400000</v>
      </c>
      <c r="DO172" s="37">
        <v>7523400000</v>
      </c>
      <c r="DP172" s="32">
        <f>Tradingbook_SBV[[#This Row],[Mat. Date]]-RPT</f>
        <v>-3078</v>
      </c>
      <c r="DQ172" s="32">
        <f>IF(Tradingbook_SBV[[#This Row],[Days]]&lt;=0,0,YEARFRAC(RPT,Tradingbook_SBV[[#This Row],[Mat. Date]],3))</f>
        <v>0</v>
      </c>
      <c r="DR172" s="32">
        <f>IF(Tradingbook_SBV[[#This Row],[Days (year)]]=0,0,INDEX(Ref!$K$2:$K$13,MATCH(Tradingbook_SBV[[#This Row],[Days (year)]],Ref!$I$2:$I$13,1)))</f>
        <v>0</v>
      </c>
      <c r="DS172" s="32" t="str">
        <f>VLOOKUP(Tradingbook_SBV[[#This Row],[Security Name]],Ref!X:Z,3,0)</f>
        <v>TPCP</v>
      </c>
      <c r="DT172" s="32" t="str">
        <f>VLOOKUP(Tradingbook_SBV[[#This Row],[Security Name]],Ref!X:Y,2,0)</f>
        <v>KBNN</v>
      </c>
      <c r="DU172" s="71">
        <f>IF((Tradingbook_SBV[[#This Row],[Mat. Date]]-RPT)&lt;=0,0,Tradingbook_SBV[[#This Row],[QUANTITY]])</f>
        <v>0</v>
      </c>
      <c r="DV172" s="71">
        <f>IF(Tradingbook_SBV[[#This Row],[Quantity_edited]]=0,0,Tradingbook_SBV[[#This Row],[DURATION]])</f>
        <v>0</v>
      </c>
      <c r="DW172" s="71">
        <f>IF(Tradingbook_SBV[[#This Row],[Quantity_edited]]=0,0,Tradingbook_SBV[[#This Row],[Mod Dur]])</f>
        <v>0</v>
      </c>
      <c r="DX172" s="71">
        <f>IF(Tradingbook_SBV[[#This Row],[Quantity_edited]]=0,0,Tradingbook_SBV[[#This Row],[Cnvx.]])</f>
        <v>0</v>
      </c>
      <c r="DY172" s="71">
        <f>(Tradingbook_SBV[[#This Row],[MARKET_VALUE]]+Tradingbook_SBV[[#This Row],[Accr Int]]*Tradingbook_SBV[[#This Row],[Quantity_edited]])*(-Tradingbook_SBV[[#This Row],[Modified Duration]]*0.0001+0.5*Tradingbook_SBV[[#This Row],[Conv]]*(0.0001^2))</f>
        <v>0</v>
      </c>
      <c r="DZ172" s="71">
        <f>(Tradingbook_SBV[[#This Row],[MARKET_VALUE]]+Tradingbook_SBV[[#This Row],[Accr Int]]*Tradingbook_SBV[[#This Row],[Quantity_edited]])*(-Tradingbook_SBV[[#This Row],[Modified Duration]]*0.01+0.5*Tradingbook_SBV[[#This Row],[Conv]]*(0.01^2))</f>
        <v>0</v>
      </c>
      <c r="EC172" t="s">
        <v>166</v>
      </c>
      <c r="ED172" t="s">
        <v>3299</v>
      </c>
      <c r="EE172" t="s">
        <v>576</v>
      </c>
      <c r="EF172" t="s">
        <v>169</v>
      </c>
      <c r="EG172" s="35" t="s">
        <v>3783</v>
      </c>
      <c r="EH172" t="s">
        <v>3322</v>
      </c>
      <c r="EI172" s="500">
        <v>97634</v>
      </c>
      <c r="EJ172" s="500">
        <v>97634</v>
      </c>
      <c r="EK172" s="500">
        <v>0</v>
      </c>
      <c r="EL172" s="500">
        <v>0</v>
      </c>
      <c r="EM172" s="500">
        <v>0</v>
      </c>
      <c r="EN172" s="500">
        <v>0</v>
      </c>
      <c r="EO172">
        <v>1.5</v>
      </c>
      <c r="EP172">
        <v>1204</v>
      </c>
      <c r="EQ172">
        <v>0</v>
      </c>
      <c r="ER172">
        <v>0</v>
      </c>
      <c r="ES172">
        <v>-73592570.763889313</v>
      </c>
      <c r="ET172">
        <v>3.5498239589999998</v>
      </c>
      <c r="EU172">
        <v>1.1416610373289999</v>
      </c>
      <c r="EV172">
        <v>1.1821879900000001</v>
      </c>
      <c r="EW172">
        <v>2.4197580543927</v>
      </c>
      <c r="EX172">
        <v>0</v>
      </c>
      <c r="EY172">
        <v>0</v>
      </c>
      <c r="EZ172">
        <v>0</v>
      </c>
      <c r="FA172">
        <v>-452000000</v>
      </c>
      <c r="FB172">
        <v>0</v>
      </c>
      <c r="FC172">
        <v>-452000000</v>
      </c>
      <c r="FD172">
        <v>-452000000</v>
      </c>
      <c r="FE172">
        <v>-452000000</v>
      </c>
      <c r="FF172">
        <v>-452000000</v>
      </c>
      <c r="FG172" s="32">
        <f>Bankingbook_SBV[[#This Row],[Mat. Date]]-RPT</f>
        <v>437</v>
      </c>
      <c r="FH172" s="32">
        <f>IF(Bankingbook_SBV[[#This Row],[Days]]&lt;=0,0,YEARFRAC(RPT,Bankingbook_SBV[[#This Row],[Mat. Date]],3))</f>
        <v>1.1972602739726028</v>
      </c>
      <c r="FI172" s="32" t="str">
        <f>IF(Bankingbook_SBV[[#This Row],[Days (year)]]=0,0,INDEX(Ref!$K$2:$K$13,MATCH(Bankingbook_SBV[[#This Row],[Days (year)]],Ref!$I$2:$I$13,1)))</f>
        <v>1Y</v>
      </c>
      <c r="FJ172" s="32" t="str">
        <f>VLOOKUP(Bankingbook_SBV[[#This Row],[Security Name]],Ref!X:Z,3,0)</f>
        <v>TPCP</v>
      </c>
      <c r="FK172" s="32" t="str">
        <f>VLOOKUP(Bankingbook_SBV[[#This Row],[Security Name]],Ref!X:Y,2,0)</f>
        <v>KBNN</v>
      </c>
      <c r="FL172" s="72">
        <f>IF((Bankingbook_SBV[[#This Row],[Mat. Date]]-RPT)&lt;=0,0,Bankingbook_SBV[[#This Row],[QUANTITY]])</f>
        <v>0</v>
      </c>
      <c r="FM172" s="32">
        <f>IF(Bankingbook_SBV[[#This Row],[Quantity_edited]]=0,0,Bankingbook_SBV[[#This Row],[DURATION]])</f>
        <v>0</v>
      </c>
      <c r="FN172" s="32">
        <f>IF(Bankingbook_SBV[[#This Row],[Quantity_edited]]=0,0,Bankingbook_SBV[[#This Row],[Mod Dur]])</f>
        <v>0</v>
      </c>
      <c r="FO172" s="32">
        <f>IF(Bankingbook_SBV[[#This Row],[Quantity_edited]]=0,0,Bankingbook_SBV[[#This Row],[Cnvx.]])</f>
        <v>0</v>
      </c>
      <c r="FP172" s="32">
        <f>(Bankingbook_SBV[[#This Row],[MARKET_VALUE]]+Bankingbook_SBV[[#This Row],[Accr Int]]*Bankingbook_SBV[[#This Row],[Quantity_edited]])*(-Bankingbook_SBV[[#This Row],[Modified Duration]]*0.0001+0.5*Bankingbook_SBV[[#This Row],[Conv]]*(0.0001^2))</f>
        <v>0</v>
      </c>
      <c r="FQ172" s="32">
        <f>(Bankingbook_SBV[[#This Row],[MARKET_VALUE]]+Bankingbook_SBV[[#This Row],[Accr Int]]*Bankingbook_SBV[[#This Row],[Quantity_edited]])*(-Bankingbook_SBV[[#This Row],[Modified Duration]]*0.01+0.5*Bankingbook_SBV[[#This Row],[Conv]]*(0.01^2))</f>
        <v>0</v>
      </c>
    </row>
    <row r="173" spans="2:173" x14ac:dyDescent="0.3">
      <c r="B173" t="s">
        <v>166</v>
      </c>
      <c r="C173" t="s">
        <v>167</v>
      </c>
      <c r="D173" t="s">
        <v>352</v>
      </c>
      <c r="E173" t="s">
        <v>169</v>
      </c>
      <c r="F173" s="502">
        <v>43184</v>
      </c>
      <c r="G173" t="s">
        <v>3322</v>
      </c>
      <c r="H173"/>
      <c r="I173"/>
      <c r="J173" s="38">
        <v>0</v>
      </c>
      <c r="K173">
        <v>0</v>
      </c>
      <c r="L173">
        <v>0</v>
      </c>
      <c r="M173" s="38">
        <v>0</v>
      </c>
      <c r="N173">
        <v>9.8000000000000007</v>
      </c>
      <c r="O173">
        <v>0</v>
      </c>
      <c r="P173" s="37">
        <v>58800000000</v>
      </c>
      <c r="Q173" s="37">
        <v>62689144972.222229</v>
      </c>
      <c r="R173" s="37">
        <v>-22851608359.861061</v>
      </c>
      <c r="S173">
        <v>0</v>
      </c>
      <c r="T173" s="70">
        <v>0</v>
      </c>
      <c r="U173">
        <v>0</v>
      </c>
      <c r="V173">
        <v>0</v>
      </c>
      <c r="W173">
        <v>0</v>
      </c>
      <c r="X173" s="38">
        <v>0</v>
      </c>
      <c r="Y173">
        <v>0</v>
      </c>
      <c r="Z173" s="70">
        <v>-1009000000</v>
      </c>
      <c r="AA173" s="70">
        <v>0</v>
      </c>
      <c r="AB173" s="70">
        <v>-1009000000</v>
      </c>
      <c r="AC173" s="70">
        <v>-1009000000</v>
      </c>
      <c r="AD173" s="70">
        <v>-1009000000</v>
      </c>
      <c r="AE173" s="70">
        <v>-1009000000</v>
      </c>
      <c r="AF173">
        <v>0</v>
      </c>
      <c r="AG173" s="72">
        <f>Tradingbook_MSB[[#This Row],[Mat. Date]]-RPT</f>
        <v>-3068</v>
      </c>
      <c r="AH173" s="71">
        <f>IF(Tradingbook_MSB[[#This Row],[Days]]&lt;=0,0,YEARFRAC(RPT,Tradingbook_MSB[[#This Row],[Mat. Date]],3))</f>
        <v>0</v>
      </c>
      <c r="AI173" s="71">
        <f>IF(Tradingbook_MSB[[#This Row],[Days (year)]]=0,0,INDEX(Ref!$K$2:$K$13,MATCH(Tradingbook_MSB[[#This Row],[Days (year)]],Ref!$I$2:$I$13,1)))</f>
        <v>0</v>
      </c>
      <c r="AJ173" s="120" t="str">
        <f>VLOOKUP(Tradingbook_MSB[[#This Row],[Security Name]],Ref!X:Z,3,0)</f>
        <v>TPCPBL</v>
      </c>
      <c r="AK173" s="120" t="str">
        <f>VLOOKUP(Tradingbook_MSB[[#This Row],[Security Name]],Ref!X:Y,2,0)</f>
        <v>VDB</v>
      </c>
      <c r="AL173" s="71">
        <f>IF((Tradingbook_MSB[[#This Row],[Mat. Date]]-RPT)&lt;=0,0,Tradingbook_MSB[[#This Row],[QUANTITY]])</f>
        <v>0</v>
      </c>
      <c r="AM173" s="71">
        <f>IF(Tradingbook_MSB[[#This Row],[Quantity_edited]]=0,0,Tradingbook_MSB[[#This Row],[DURATION]])</f>
        <v>0</v>
      </c>
      <c r="AN173" s="71">
        <f>IF(Tradingbook_MSB[[#This Row],[Quantity_edited]]=0,0,Tradingbook_MSB[[#This Row],[Mod Dur]])</f>
        <v>0</v>
      </c>
      <c r="AO173" s="71">
        <f>IF(Tradingbook_MSB[[#This Row],[Quantity_edited]]=0,0,Tradingbook_MSB[[#This Row],[Cnvx.]])</f>
        <v>0</v>
      </c>
      <c r="AP173" s="71">
        <f>(Tradingbook_MSB[[#This Row],[MARKET_VALUE]]+Tradingbook_MSB[[#This Row],[Accr Int]]*Tradingbook_MSB[[#This Row],[Quantity_edited]])*(-Tradingbook_MSB[[#This Row],[Modified Duration]]*0.0001+0.5*Tradingbook_MSB[[#This Row],[Conv]]*(0.0001^2))</f>
        <v>0</v>
      </c>
      <c r="AQ173" s="72">
        <f>(Tradingbook_MSB[[#This Row],[MARKET_VALUE]]+Tradingbook_MSB[[#This Row],[Accr Int]]*Tradingbook_MSB[[#This Row],[Quantity_edited]])*(-Tradingbook_MSB[[#This Row],[Modified Duration]]*0.01+0.5*Tradingbook_MSB[[#This Row],[Conv]]*(0.01^2))</f>
        <v>0</v>
      </c>
      <c r="AR173" s="71"/>
      <c r="AT173" t="s">
        <v>166</v>
      </c>
      <c r="AU173" t="s">
        <v>3302</v>
      </c>
      <c r="AV173" t="s">
        <v>2834</v>
      </c>
      <c r="AW173" t="s">
        <v>169</v>
      </c>
      <c r="AX173" t="s">
        <v>3493</v>
      </c>
      <c r="AY173" t="s">
        <v>170</v>
      </c>
      <c r="AZ173">
        <v>89188</v>
      </c>
      <c r="BA173">
        <v>89188</v>
      </c>
      <c r="BB173">
        <v>2000000</v>
      </c>
      <c r="BC173">
        <v>200000000000</v>
      </c>
      <c r="BD173">
        <v>99840</v>
      </c>
      <c r="BE173">
        <v>178376000000</v>
      </c>
      <c r="BF173">
        <v>2.7</v>
      </c>
      <c r="BG173">
        <v>333</v>
      </c>
      <c r="BH173">
        <v>5400000000</v>
      </c>
      <c r="BI173">
        <v>5433285000</v>
      </c>
      <c r="BJ173">
        <v>-7800730194.4444609</v>
      </c>
      <c r="BK173">
        <v>4.3495893649999999</v>
      </c>
      <c r="BL173">
        <v>6.8304662246465</v>
      </c>
      <c r="BM173">
        <v>7.1275634600000002</v>
      </c>
      <c r="BN173">
        <v>56.211552698706299</v>
      </c>
      <c r="BO173">
        <v>100642.28818281781</v>
      </c>
      <c r="BP173">
        <v>-122294.03337931501</v>
      </c>
      <c r="BQ173">
        <v>20886.106</v>
      </c>
      <c r="BR173">
        <v>0</v>
      </c>
      <c r="BS173">
        <v>-21304000000</v>
      </c>
      <c r="BT173">
        <v>-21304000000</v>
      </c>
      <c r="BU173">
        <v>-21304000000</v>
      </c>
      <c r="BV173">
        <v>-21304000000</v>
      </c>
      <c r="BW173">
        <v>-21304000000</v>
      </c>
      <c r="BX173">
        <v>2.7201</v>
      </c>
      <c r="BY173" s="32">
        <f>Bankingbook_MSB[[#This Row],[Mat. Date]]-RPT</f>
        <v>2877</v>
      </c>
      <c r="BZ173" s="71">
        <f>IF(Bankingbook_MSB[[#This Row],[Days]]&lt;=0,0,YEARFRAC(RPT,Bankingbook_MSB[[#This Row],[Mat. Date]],3))</f>
        <v>7.882191780821918</v>
      </c>
      <c r="CA173" s="71" t="str">
        <f>IF(Bankingbook_MSB[[#This Row],[Days (year)]]=0,0,INDEX(Ref!$K$2:$K$13,MATCH(Bankingbook_MSB[[#This Row],[Days (year)]],Ref!$I$2:$I$13,1)))</f>
        <v>10Y</v>
      </c>
      <c r="CB173" s="32" t="str">
        <f>VLOOKUP(Bankingbook_MSB[[#This Row],[Security Name]],Ref!X:Z,3,0)</f>
        <v>TPCP</v>
      </c>
      <c r="CC173" s="32" t="str">
        <f>VLOOKUP(Bankingbook_MSB[[#This Row],[Security Name]],Ref!X:Y,2,0)</f>
        <v>KBNN</v>
      </c>
      <c r="CD173" s="72">
        <f>IF((Bankingbook_MSB[[#This Row],[Mat. Date]]-RPT)&lt;=0,0,Bankingbook_MSB[[#This Row],[QUANTITY]])</f>
        <v>2000000</v>
      </c>
      <c r="CE173" s="71">
        <f>IF(Bankingbook_MSB[[#This Row],[Quantity_edited]]=0,0,Bankingbook_MSB[[#This Row],[DURATION]])</f>
        <v>7.1275634600000002</v>
      </c>
      <c r="CF173" s="71">
        <f>IF(Bankingbook_MSB[[#This Row],[Quantity_edited]]=0,0,Bankingbook_MSB[[#This Row],[Mod Dur]])</f>
        <v>6.8304662246465</v>
      </c>
      <c r="CG173" s="71">
        <f>IF(Bankingbook_MSB[[#This Row],[Quantity_edited]]=0,0,Bankingbook_MSB[[#This Row],[Cnvx.]])</f>
        <v>56.211552698706299</v>
      </c>
      <c r="CH173" s="71">
        <f>(Bankingbook_MSB[[#This Row],[MARKET_VALUE]]+Bankingbook_MSB[[#This Row],[Accr Int]]*Bankingbook_MSB[[#This Row],[Quantity_edited]])*(-Bankingbook_MSB[[#This Row],[Modified Duration]]*0.0001+0.5*Bankingbook_MSB[[#This Row],[Conv]]*(0.0001^2))</f>
        <v>-122243712.23522446</v>
      </c>
      <c r="CI173" s="71">
        <f>(Bankingbook_MSB[[#This Row],[MARKET_VALUE]]+Bankingbook_MSB[[#This Row],[Accr Int]]*Bankingbook_MSB[[#This Row],[Quantity_edited]])*(-Bankingbook_MSB[[#This Row],[Modified Duration]]*0.01+0.5*Bankingbook_MSB[[#This Row],[Conv]]*(0.01^2))</f>
        <v>-11726191897.017498</v>
      </c>
      <c r="CL173" t="s">
        <v>166</v>
      </c>
      <c r="CM173" t="s">
        <v>167</v>
      </c>
      <c r="CN173" t="s">
        <v>352</v>
      </c>
      <c r="CO173" t="s">
        <v>169</v>
      </c>
      <c r="CP173" s="35">
        <v>43184</v>
      </c>
      <c r="CQ173" t="s">
        <v>3322</v>
      </c>
      <c r="CR173" t="s">
        <v>174</v>
      </c>
      <c r="CS173" t="s">
        <v>174</v>
      </c>
      <c r="CT173" s="49">
        <v>0</v>
      </c>
      <c r="CU173">
        <v>0</v>
      </c>
      <c r="CV173">
        <v>0</v>
      </c>
      <c r="CW173" s="70">
        <v>0</v>
      </c>
      <c r="CX173">
        <v>9.8000000000000007</v>
      </c>
      <c r="CY173">
        <v>0</v>
      </c>
      <c r="CZ173">
        <v>58800000000</v>
      </c>
      <c r="DA173">
        <v>62689144972.222229</v>
      </c>
      <c r="DB173">
        <v>-22851608359.861061</v>
      </c>
      <c r="DC173">
        <v>0</v>
      </c>
      <c r="DD173">
        <v>0</v>
      </c>
      <c r="DE173">
        <v>0</v>
      </c>
      <c r="DF173">
        <v>0</v>
      </c>
      <c r="DG173">
        <v>0</v>
      </c>
      <c r="DH173">
        <v>0</v>
      </c>
      <c r="DI173">
        <v>0</v>
      </c>
      <c r="DJ173" s="500">
        <v>-1009000000</v>
      </c>
      <c r="DK173" s="500">
        <v>0</v>
      </c>
      <c r="DL173" s="37">
        <v>-1009000000</v>
      </c>
      <c r="DM173" s="37">
        <v>-1009000000</v>
      </c>
      <c r="DN173" s="37">
        <v>-1009000000</v>
      </c>
      <c r="DO173" s="37">
        <v>-1009000000</v>
      </c>
      <c r="DP173" s="32">
        <f>Tradingbook_SBV[[#This Row],[Mat. Date]]-RPT</f>
        <v>-3068</v>
      </c>
      <c r="DQ173" s="32">
        <f>IF(Tradingbook_SBV[[#This Row],[Days]]&lt;=0,0,YEARFRAC(RPT,Tradingbook_SBV[[#This Row],[Mat. Date]],3))</f>
        <v>0</v>
      </c>
      <c r="DR173" s="32">
        <f>IF(Tradingbook_SBV[[#This Row],[Days (year)]]=0,0,INDEX(Ref!$K$2:$K$13,MATCH(Tradingbook_SBV[[#This Row],[Days (year)]],Ref!$I$2:$I$13,1)))</f>
        <v>0</v>
      </c>
      <c r="DS173" s="32" t="str">
        <f>VLOOKUP(Tradingbook_SBV[[#This Row],[Security Name]],Ref!X:Z,3,0)</f>
        <v>TPCPBL</v>
      </c>
      <c r="DT173" s="32" t="str">
        <f>VLOOKUP(Tradingbook_SBV[[#This Row],[Security Name]],Ref!X:Y,2,0)</f>
        <v>VDB</v>
      </c>
      <c r="DU173" s="71">
        <f>IF((Tradingbook_SBV[[#This Row],[Mat. Date]]-RPT)&lt;=0,0,Tradingbook_SBV[[#This Row],[QUANTITY]])</f>
        <v>0</v>
      </c>
      <c r="DV173" s="71">
        <f>IF(Tradingbook_SBV[[#This Row],[Quantity_edited]]=0,0,Tradingbook_SBV[[#This Row],[DURATION]])</f>
        <v>0</v>
      </c>
      <c r="DW173" s="71">
        <f>IF(Tradingbook_SBV[[#This Row],[Quantity_edited]]=0,0,Tradingbook_SBV[[#This Row],[Mod Dur]])</f>
        <v>0</v>
      </c>
      <c r="DX173" s="71">
        <f>IF(Tradingbook_SBV[[#This Row],[Quantity_edited]]=0,0,Tradingbook_SBV[[#This Row],[Cnvx.]])</f>
        <v>0</v>
      </c>
      <c r="DY173" s="71">
        <f>(Tradingbook_SBV[[#This Row],[MARKET_VALUE]]+Tradingbook_SBV[[#This Row],[Accr Int]]*Tradingbook_SBV[[#This Row],[Quantity_edited]])*(-Tradingbook_SBV[[#This Row],[Modified Duration]]*0.0001+0.5*Tradingbook_SBV[[#This Row],[Conv]]*(0.0001^2))</f>
        <v>0</v>
      </c>
      <c r="DZ173" s="71">
        <f>(Tradingbook_SBV[[#This Row],[MARKET_VALUE]]+Tradingbook_SBV[[#This Row],[Accr Int]]*Tradingbook_SBV[[#This Row],[Quantity_edited]])*(-Tradingbook_SBV[[#This Row],[Modified Duration]]*0.01+0.5*Tradingbook_SBV[[#This Row],[Conv]]*(0.01^2))</f>
        <v>0</v>
      </c>
      <c r="EC173" t="s">
        <v>166</v>
      </c>
      <c r="ED173" t="s">
        <v>3299</v>
      </c>
      <c r="EE173" t="s">
        <v>781</v>
      </c>
      <c r="EF173" t="s">
        <v>169</v>
      </c>
      <c r="EG173" s="35" t="s">
        <v>782</v>
      </c>
      <c r="EH173" t="s">
        <v>3322</v>
      </c>
      <c r="EI173" s="500">
        <v>102111</v>
      </c>
      <c r="EJ173" s="500">
        <v>102111</v>
      </c>
      <c r="EK173" s="500">
        <v>0</v>
      </c>
      <c r="EL173" s="500">
        <v>0</v>
      </c>
      <c r="EM173" s="500">
        <v>0</v>
      </c>
      <c r="EN173" s="500">
        <v>0</v>
      </c>
      <c r="EO173">
        <v>5.9</v>
      </c>
      <c r="EP173">
        <v>4704</v>
      </c>
      <c r="EQ173">
        <v>59000000000</v>
      </c>
      <c r="ER173">
        <v>68825692833.333252</v>
      </c>
      <c r="ES173">
        <v>-20981654448.74963</v>
      </c>
      <c r="ET173">
        <v>4.0498007280000001</v>
      </c>
      <c r="EU173">
        <v>1.1032667231055</v>
      </c>
      <c r="EV173">
        <v>1.14794683</v>
      </c>
      <c r="EW173">
        <v>2.3253606398894999</v>
      </c>
      <c r="EX173">
        <v>0</v>
      </c>
      <c r="EY173">
        <v>0</v>
      </c>
      <c r="EZ173">
        <v>0</v>
      </c>
      <c r="FA173">
        <v>12367500000</v>
      </c>
      <c r="FB173">
        <v>0</v>
      </c>
      <c r="FC173">
        <v>12367500000</v>
      </c>
      <c r="FD173">
        <v>12367500000</v>
      </c>
      <c r="FE173">
        <v>12367500000</v>
      </c>
      <c r="FF173">
        <v>12367500000</v>
      </c>
      <c r="FG173" s="32">
        <f>Bankingbook_SBV[[#This Row],[Mat. Date]]-RPT</f>
        <v>439</v>
      </c>
      <c r="FH173" s="32">
        <f>IF(Bankingbook_SBV[[#This Row],[Days]]&lt;=0,0,YEARFRAC(RPT,Bankingbook_SBV[[#This Row],[Mat. Date]],3))</f>
        <v>1.2027397260273973</v>
      </c>
      <c r="FI173" s="32" t="str">
        <f>IF(Bankingbook_SBV[[#This Row],[Days (year)]]=0,0,INDEX(Ref!$K$2:$K$13,MATCH(Bankingbook_SBV[[#This Row],[Days (year)]],Ref!$I$2:$I$13,1)))</f>
        <v>1Y</v>
      </c>
      <c r="FJ173" s="32" t="str">
        <f>VLOOKUP(Bankingbook_SBV[[#This Row],[Security Name]],Ref!X:Z,3,0)</f>
        <v>TPCPBL</v>
      </c>
      <c r="FK173" s="32" t="str">
        <f>VLOOKUP(Bankingbook_SBV[[#This Row],[Security Name]],Ref!X:Y,2,0)</f>
        <v>VBS</v>
      </c>
      <c r="FL173" s="72">
        <f>IF((Bankingbook_SBV[[#This Row],[Mat. Date]]-RPT)&lt;=0,0,Bankingbook_SBV[[#This Row],[QUANTITY]])</f>
        <v>0</v>
      </c>
      <c r="FM173" s="32">
        <f>IF(Bankingbook_SBV[[#This Row],[Quantity_edited]]=0,0,Bankingbook_SBV[[#This Row],[DURATION]])</f>
        <v>0</v>
      </c>
      <c r="FN173" s="32">
        <f>IF(Bankingbook_SBV[[#This Row],[Quantity_edited]]=0,0,Bankingbook_SBV[[#This Row],[Mod Dur]])</f>
        <v>0</v>
      </c>
      <c r="FO173" s="32">
        <f>IF(Bankingbook_SBV[[#This Row],[Quantity_edited]]=0,0,Bankingbook_SBV[[#This Row],[Cnvx.]])</f>
        <v>0</v>
      </c>
      <c r="FP173" s="32">
        <f>(Bankingbook_SBV[[#This Row],[MARKET_VALUE]]+Bankingbook_SBV[[#This Row],[Accr Int]]*Bankingbook_SBV[[#This Row],[Quantity_edited]])*(-Bankingbook_SBV[[#This Row],[Modified Duration]]*0.0001+0.5*Bankingbook_SBV[[#This Row],[Conv]]*(0.0001^2))</f>
        <v>0</v>
      </c>
      <c r="FQ173" s="32">
        <f>(Bankingbook_SBV[[#This Row],[MARKET_VALUE]]+Bankingbook_SBV[[#This Row],[Accr Int]]*Bankingbook_SBV[[#This Row],[Quantity_edited]])*(-Bankingbook_SBV[[#This Row],[Modified Duration]]*0.01+0.5*Bankingbook_SBV[[#This Row],[Conv]]*(0.01^2))</f>
        <v>0</v>
      </c>
    </row>
    <row r="174" spans="2:173" x14ac:dyDescent="0.3">
      <c r="B174" t="s">
        <v>166</v>
      </c>
      <c r="C174" t="s">
        <v>167</v>
      </c>
      <c r="D174" t="s">
        <v>353</v>
      </c>
      <c r="E174" t="s">
        <v>169</v>
      </c>
      <c r="F174" s="502">
        <v>43190</v>
      </c>
      <c r="G174" t="s">
        <v>3322</v>
      </c>
      <c r="H174"/>
      <c r="I174"/>
      <c r="J174" s="38">
        <v>0</v>
      </c>
      <c r="K174">
        <v>0</v>
      </c>
      <c r="L174">
        <v>0</v>
      </c>
      <c r="M174" s="38">
        <v>0</v>
      </c>
      <c r="N174">
        <v>8.4</v>
      </c>
      <c r="O174">
        <v>0</v>
      </c>
      <c r="P174" s="37">
        <v>10920000000</v>
      </c>
      <c r="Q174" s="37">
        <v>12029962816.666636</v>
      </c>
      <c r="R174" s="37">
        <v>-3426909099.9027443</v>
      </c>
      <c r="S174">
        <v>0</v>
      </c>
      <c r="T174" s="70">
        <v>0</v>
      </c>
      <c r="U174">
        <v>0</v>
      </c>
      <c r="V174">
        <v>0</v>
      </c>
      <c r="W174">
        <v>0</v>
      </c>
      <c r="X174" s="38">
        <v>0</v>
      </c>
      <c r="Y174">
        <v>0</v>
      </c>
      <c r="Z174" s="70">
        <v>5184700000</v>
      </c>
      <c r="AA174" s="70">
        <v>0</v>
      </c>
      <c r="AB174" s="70">
        <v>5184700000</v>
      </c>
      <c r="AC174" s="70">
        <v>5184700000</v>
      </c>
      <c r="AD174" s="70">
        <v>5184700000</v>
      </c>
      <c r="AE174" s="70">
        <v>5184700000</v>
      </c>
      <c r="AF174">
        <v>0</v>
      </c>
      <c r="AG174" s="72">
        <f>Tradingbook_MSB[[#This Row],[Mat. Date]]-RPT</f>
        <v>-3062</v>
      </c>
      <c r="AH174" s="71">
        <f>IF(Tradingbook_MSB[[#This Row],[Days]]&lt;=0,0,YEARFRAC(RPT,Tradingbook_MSB[[#This Row],[Mat. Date]],3))</f>
        <v>0</v>
      </c>
      <c r="AI174" s="71">
        <f>IF(Tradingbook_MSB[[#This Row],[Days (year)]]=0,0,INDEX(Ref!$K$2:$K$13,MATCH(Tradingbook_MSB[[#This Row],[Days (year)]],Ref!$I$2:$I$13,1)))</f>
        <v>0</v>
      </c>
      <c r="AJ174" s="120" t="str">
        <f>VLOOKUP(Tradingbook_MSB[[#This Row],[Security Name]],Ref!X:Z,3,0)</f>
        <v>TPCP</v>
      </c>
      <c r="AK174" s="120" t="str">
        <f>VLOOKUP(Tradingbook_MSB[[#This Row],[Security Name]],Ref!X:Y,2,0)</f>
        <v>KBNN</v>
      </c>
      <c r="AL174" s="71">
        <f>IF((Tradingbook_MSB[[#This Row],[Mat. Date]]-RPT)&lt;=0,0,Tradingbook_MSB[[#This Row],[QUANTITY]])</f>
        <v>0</v>
      </c>
      <c r="AM174" s="71">
        <f>IF(Tradingbook_MSB[[#This Row],[Quantity_edited]]=0,0,Tradingbook_MSB[[#This Row],[DURATION]])</f>
        <v>0</v>
      </c>
      <c r="AN174" s="71">
        <f>IF(Tradingbook_MSB[[#This Row],[Quantity_edited]]=0,0,Tradingbook_MSB[[#This Row],[Mod Dur]])</f>
        <v>0</v>
      </c>
      <c r="AO174" s="71">
        <f>IF(Tradingbook_MSB[[#This Row],[Quantity_edited]]=0,0,Tradingbook_MSB[[#This Row],[Cnvx.]])</f>
        <v>0</v>
      </c>
      <c r="AP174" s="71">
        <f>(Tradingbook_MSB[[#This Row],[MARKET_VALUE]]+Tradingbook_MSB[[#This Row],[Accr Int]]*Tradingbook_MSB[[#This Row],[Quantity_edited]])*(-Tradingbook_MSB[[#This Row],[Modified Duration]]*0.0001+0.5*Tradingbook_MSB[[#This Row],[Conv]]*(0.0001^2))</f>
        <v>0</v>
      </c>
      <c r="AQ174" s="72">
        <f>(Tradingbook_MSB[[#This Row],[MARKET_VALUE]]+Tradingbook_MSB[[#This Row],[Accr Int]]*Tradingbook_MSB[[#This Row],[Quantity_edited]])*(-Tradingbook_MSB[[#This Row],[Modified Duration]]*0.01+0.5*Tradingbook_MSB[[#This Row],[Conv]]*(0.01^2))</f>
        <v>0</v>
      </c>
      <c r="AR174" s="71"/>
      <c r="AT174" t="s">
        <v>166</v>
      </c>
      <c r="AU174" t="s">
        <v>3302</v>
      </c>
      <c r="AV174" t="s">
        <v>2839</v>
      </c>
      <c r="AW174" t="s">
        <v>169</v>
      </c>
      <c r="AX174" t="s">
        <v>3495</v>
      </c>
      <c r="AY174" t="s">
        <v>3322</v>
      </c>
      <c r="AZ174">
        <v>89029</v>
      </c>
      <c r="BA174">
        <v>89029</v>
      </c>
      <c r="BB174">
        <v>0</v>
      </c>
      <c r="BC174">
        <v>0</v>
      </c>
      <c r="BD174">
        <v>0</v>
      </c>
      <c r="BE174">
        <v>0</v>
      </c>
      <c r="BF174">
        <v>2.7</v>
      </c>
      <c r="BG174">
        <v>22</v>
      </c>
      <c r="BH174">
        <v>5400000000</v>
      </c>
      <c r="BI174">
        <v>5402325000</v>
      </c>
      <c r="BJ174">
        <v>-7759045194.4444609</v>
      </c>
      <c r="BK174">
        <v>4.3548451960000003</v>
      </c>
      <c r="BL174">
        <v>6.9402305304957999</v>
      </c>
      <c r="BM174">
        <v>7.2424668299999997</v>
      </c>
      <c r="BN174">
        <v>57.828283716100103</v>
      </c>
      <c r="BO174">
        <v>0</v>
      </c>
      <c r="BP174">
        <v>0</v>
      </c>
      <c r="BQ174">
        <v>0</v>
      </c>
      <c r="BR174">
        <v>70000000</v>
      </c>
      <c r="BS174">
        <v>0</v>
      </c>
      <c r="BT174">
        <v>70000000</v>
      </c>
      <c r="BU174">
        <v>70000000</v>
      </c>
      <c r="BV174">
        <v>70000000</v>
      </c>
      <c r="BW174">
        <v>70000000</v>
      </c>
      <c r="BX174">
        <v>0</v>
      </c>
      <c r="BY174" s="32">
        <f>Bankingbook_MSB[[#This Row],[Mat. Date]]-RPT</f>
        <v>2919</v>
      </c>
      <c r="BZ174" s="71">
        <f>IF(Bankingbook_MSB[[#This Row],[Days]]&lt;=0,0,YEARFRAC(RPT,Bankingbook_MSB[[#This Row],[Mat. Date]],3))</f>
        <v>7.9972602739726026</v>
      </c>
      <c r="CA174" s="71" t="str">
        <f>IF(Bankingbook_MSB[[#This Row],[Days (year)]]=0,0,INDEX(Ref!$K$2:$K$13,MATCH(Bankingbook_MSB[[#This Row],[Days (year)]],Ref!$I$2:$I$13,1)))</f>
        <v>10Y</v>
      </c>
      <c r="CB174" s="32" t="str">
        <f>VLOOKUP(Bankingbook_MSB[[#This Row],[Security Name]],Ref!X:Z,3,0)</f>
        <v>TPCP</v>
      </c>
      <c r="CC174" s="32" t="str">
        <f>VLOOKUP(Bankingbook_MSB[[#This Row],[Security Name]],Ref!X:Y,2,0)</f>
        <v>KBNN</v>
      </c>
      <c r="CD174" s="72">
        <f>IF((Bankingbook_MSB[[#This Row],[Mat. Date]]-RPT)&lt;=0,0,Bankingbook_MSB[[#This Row],[QUANTITY]])</f>
        <v>0</v>
      </c>
      <c r="CE174" s="71">
        <f>IF(Bankingbook_MSB[[#This Row],[Quantity_edited]]=0,0,Bankingbook_MSB[[#This Row],[DURATION]])</f>
        <v>0</v>
      </c>
      <c r="CF174" s="71">
        <f>IF(Bankingbook_MSB[[#This Row],[Quantity_edited]]=0,0,Bankingbook_MSB[[#This Row],[Mod Dur]])</f>
        <v>0</v>
      </c>
      <c r="CG174" s="71">
        <f>IF(Bankingbook_MSB[[#This Row],[Quantity_edited]]=0,0,Bankingbook_MSB[[#This Row],[Cnvx.]])</f>
        <v>0</v>
      </c>
      <c r="CH174" s="71">
        <f>(Bankingbook_MSB[[#This Row],[MARKET_VALUE]]+Bankingbook_MSB[[#This Row],[Accr Int]]*Bankingbook_MSB[[#This Row],[Quantity_edited]])*(-Bankingbook_MSB[[#This Row],[Modified Duration]]*0.0001+0.5*Bankingbook_MSB[[#This Row],[Conv]]*(0.0001^2))</f>
        <v>0</v>
      </c>
      <c r="CI174" s="71">
        <f>(Bankingbook_MSB[[#This Row],[MARKET_VALUE]]+Bankingbook_MSB[[#This Row],[Accr Int]]*Bankingbook_MSB[[#This Row],[Quantity_edited]])*(-Bankingbook_MSB[[#This Row],[Modified Duration]]*0.01+0.5*Bankingbook_MSB[[#This Row],[Conv]]*(0.01^2))</f>
        <v>0</v>
      </c>
      <c r="CL174" t="s">
        <v>166</v>
      </c>
      <c r="CM174" t="s">
        <v>167</v>
      </c>
      <c r="CN174" t="s">
        <v>353</v>
      </c>
      <c r="CO174" t="s">
        <v>169</v>
      </c>
      <c r="CP174" s="35">
        <v>43190</v>
      </c>
      <c r="CQ174" t="s">
        <v>3322</v>
      </c>
      <c r="CR174" t="s">
        <v>174</v>
      </c>
      <c r="CS174" t="s">
        <v>174</v>
      </c>
      <c r="CT174" s="49">
        <v>0</v>
      </c>
      <c r="CU174">
        <v>0</v>
      </c>
      <c r="CV174">
        <v>0</v>
      </c>
      <c r="CW174" s="70">
        <v>0</v>
      </c>
      <c r="CX174">
        <v>8.4</v>
      </c>
      <c r="CY174">
        <v>0</v>
      </c>
      <c r="CZ174">
        <v>10920000000</v>
      </c>
      <c r="DA174">
        <v>12029962816.666636</v>
      </c>
      <c r="DB174">
        <v>-3426909099.9027443</v>
      </c>
      <c r="DC174">
        <v>0</v>
      </c>
      <c r="DD174">
        <v>0</v>
      </c>
      <c r="DE174">
        <v>0</v>
      </c>
      <c r="DF174">
        <v>0</v>
      </c>
      <c r="DG174">
        <v>0</v>
      </c>
      <c r="DH174">
        <v>0</v>
      </c>
      <c r="DI174">
        <v>0</v>
      </c>
      <c r="DJ174" s="500">
        <v>5184700000</v>
      </c>
      <c r="DK174" s="500">
        <v>0</v>
      </c>
      <c r="DL174" s="37">
        <v>5184700000</v>
      </c>
      <c r="DM174" s="37">
        <v>5184700000</v>
      </c>
      <c r="DN174" s="37">
        <v>5184700000</v>
      </c>
      <c r="DO174" s="37">
        <v>5184700000</v>
      </c>
      <c r="DP174" s="32">
        <f>Tradingbook_SBV[[#This Row],[Mat. Date]]-RPT</f>
        <v>-3062</v>
      </c>
      <c r="DQ174" s="32">
        <f>IF(Tradingbook_SBV[[#This Row],[Days]]&lt;=0,0,YEARFRAC(RPT,Tradingbook_SBV[[#This Row],[Mat. Date]],3))</f>
        <v>0</v>
      </c>
      <c r="DR174" s="32">
        <f>IF(Tradingbook_SBV[[#This Row],[Days (year)]]=0,0,INDEX(Ref!$K$2:$K$13,MATCH(Tradingbook_SBV[[#This Row],[Days (year)]],Ref!$I$2:$I$13,1)))</f>
        <v>0</v>
      </c>
      <c r="DS174" s="32" t="str">
        <f>VLOOKUP(Tradingbook_SBV[[#This Row],[Security Name]],Ref!X:Z,3,0)</f>
        <v>TPCP</v>
      </c>
      <c r="DT174" s="32" t="str">
        <f>VLOOKUP(Tradingbook_SBV[[#This Row],[Security Name]],Ref!X:Y,2,0)</f>
        <v>KBNN</v>
      </c>
      <c r="DU174" s="71">
        <f>IF((Tradingbook_SBV[[#This Row],[Mat. Date]]-RPT)&lt;=0,0,Tradingbook_SBV[[#This Row],[QUANTITY]])</f>
        <v>0</v>
      </c>
      <c r="DV174" s="71">
        <f>IF(Tradingbook_SBV[[#This Row],[Quantity_edited]]=0,0,Tradingbook_SBV[[#This Row],[DURATION]])</f>
        <v>0</v>
      </c>
      <c r="DW174" s="71">
        <f>IF(Tradingbook_SBV[[#This Row],[Quantity_edited]]=0,0,Tradingbook_SBV[[#This Row],[Mod Dur]])</f>
        <v>0</v>
      </c>
      <c r="DX174" s="71">
        <f>IF(Tradingbook_SBV[[#This Row],[Quantity_edited]]=0,0,Tradingbook_SBV[[#This Row],[Cnvx.]])</f>
        <v>0</v>
      </c>
      <c r="DY174" s="71">
        <f>(Tradingbook_SBV[[#This Row],[MARKET_VALUE]]+Tradingbook_SBV[[#This Row],[Accr Int]]*Tradingbook_SBV[[#This Row],[Quantity_edited]])*(-Tradingbook_SBV[[#This Row],[Modified Duration]]*0.0001+0.5*Tradingbook_SBV[[#This Row],[Conv]]*(0.0001^2))</f>
        <v>0</v>
      </c>
      <c r="DZ174" s="71">
        <f>(Tradingbook_SBV[[#This Row],[MARKET_VALUE]]+Tradingbook_SBV[[#This Row],[Accr Int]]*Tradingbook_SBV[[#This Row],[Quantity_edited]])*(-Tradingbook_SBV[[#This Row],[Modified Duration]]*0.01+0.5*Tradingbook_SBV[[#This Row],[Conv]]*(0.01^2))</f>
        <v>0</v>
      </c>
      <c r="EC174" t="s">
        <v>166</v>
      </c>
      <c r="ED174" t="s">
        <v>3299</v>
      </c>
      <c r="EE174" t="s">
        <v>577</v>
      </c>
      <c r="EF174" t="s">
        <v>169</v>
      </c>
      <c r="EG174" s="35" t="s">
        <v>3784</v>
      </c>
      <c r="EH174" t="s">
        <v>3322</v>
      </c>
      <c r="EI174" s="500">
        <v>102134</v>
      </c>
      <c r="EJ174" s="500">
        <v>102134</v>
      </c>
      <c r="EK174" s="500">
        <v>0</v>
      </c>
      <c r="EL174" s="500">
        <v>0</v>
      </c>
      <c r="EM174" s="500">
        <v>0</v>
      </c>
      <c r="EN174" s="500">
        <v>0</v>
      </c>
      <c r="EO174">
        <v>5.4</v>
      </c>
      <c r="EP174">
        <v>4276</v>
      </c>
      <c r="EQ174">
        <v>56700000000</v>
      </c>
      <c r="ER174">
        <v>67197876375.000031</v>
      </c>
      <c r="ES174">
        <v>-12000887373.819479</v>
      </c>
      <c r="ET174">
        <v>3.5507032160000001</v>
      </c>
      <c r="EU174">
        <v>1.1181376605314</v>
      </c>
      <c r="EV174">
        <v>1.15783941</v>
      </c>
      <c r="EW174">
        <v>2.3746460561720002</v>
      </c>
      <c r="EX174">
        <v>0</v>
      </c>
      <c r="EY174">
        <v>0</v>
      </c>
      <c r="EZ174">
        <v>0</v>
      </c>
      <c r="FA174">
        <v>82185000000</v>
      </c>
      <c r="FB174">
        <v>0</v>
      </c>
      <c r="FC174">
        <v>82185000000</v>
      </c>
      <c r="FD174">
        <v>82185000000</v>
      </c>
      <c r="FE174">
        <v>82185000000</v>
      </c>
      <c r="FF174">
        <v>82185000000</v>
      </c>
      <c r="FG174" s="32">
        <f>Bankingbook_SBV[[#This Row],[Mat. Date]]-RPT</f>
        <v>441</v>
      </c>
      <c r="FH174" s="32">
        <f>IF(Bankingbook_SBV[[#This Row],[Days]]&lt;=0,0,YEARFRAC(RPT,Bankingbook_SBV[[#This Row],[Mat. Date]],3))</f>
        <v>1.2082191780821918</v>
      </c>
      <c r="FI174" s="32" t="str">
        <f>IF(Bankingbook_SBV[[#This Row],[Days (year)]]=0,0,INDEX(Ref!$K$2:$K$13,MATCH(Bankingbook_SBV[[#This Row],[Days (year)]],Ref!$I$2:$I$13,1)))</f>
        <v>1Y</v>
      </c>
      <c r="FJ174" s="32" t="str">
        <f>VLOOKUP(Bankingbook_SBV[[#This Row],[Security Name]],Ref!X:Z,3,0)</f>
        <v>TPCP</v>
      </c>
      <c r="FK174" s="32" t="str">
        <f>VLOOKUP(Bankingbook_SBV[[#This Row],[Security Name]],Ref!X:Y,2,0)</f>
        <v>KBNN</v>
      </c>
      <c r="FL174" s="72">
        <f>IF((Bankingbook_SBV[[#This Row],[Mat. Date]]-RPT)&lt;=0,0,Bankingbook_SBV[[#This Row],[QUANTITY]])</f>
        <v>0</v>
      </c>
      <c r="FM174" s="32">
        <f>IF(Bankingbook_SBV[[#This Row],[Quantity_edited]]=0,0,Bankingbook_SBV[[#This Row],[DURATION]])</f>
        <v>0</v>
      </c>
      <c r="FN174" s="32">
        <f>IF(Bankingbook_SBV[[#This Row],[Quantity_edited]]=0,0,Bankingbook_SBV[[#This Row],[Mod Dur]])</f>
        <v>0</v>
      </c>
      <c r="FO174" s="32">
        <f>IF(Bankingbook_SBV[[#This Row],[Quantity_edited]]=0,0,Bankingbook_SBV[[#This Row],[Cnvx.]])</f>
        <v>0</v>
      </c>
      <c r="FP174" s="32">
        <f>(Bankingbook_SBV[[#This Row],[MARKET_VALUE]]+Bankingbook_SBV[[#This Row],[Accr Int]]*Bankingbook_SBV[[#This Row],[Quantity_edited]])*(-Bankingbook_SBV[[#This Row],[Modified Duration]]*0.0001+0.5*Bankingbook_SBV[[#This Row],[Conv]]*(0.0001^2))</f>
        <v>0</v>
      </c>
      <c r="FQ174" s="32">
        <f>(Bankingbook_SBV[[#This Row],[MARKET_VALUE]]+Bankingbook_SBV[[#This Row],[Accr Int]]*Bankingbook_SBV[[#This Row],[Quantity_edited]])*(-Bankingbook_SBV[[#This Row],[Modified Duration]]*0.01+0.5*Bankingbook_SBV[[#This Row],[Conv]]*(0.01^2))</f>
        <v>0</v>
      </c>
    </row>
    <row r="175" spans="2:173" x14ac:dyDescent="0.3">
      <c r="B175" t="s">
        <v>166</v>
      </c>
      <c r="C175" t="s">
        <v>167</v>
      </c>
      <c r="D175" t="s">
        <v>354</v>
      </c>
      <c r="E175" t="s">
        <v>169</v>
      </c>
      <c r="F175" s="502">
        <v>43205</v>
      </c>
      <c r="G175" t="s">
        <v>3322</v>
      </c>
      <c r="H175"/>
      <c r="I175"/>
      <c r="J175" s="38">
        <v>0</v>
      </c>
      <c r="K175">
        <v>0</v>
      </c>
      <c r="L175">
        <v>0</v>
      </c>
      <c r="M175" s="38">
        <v>0</v>
      </c>
      <c r="N175">
        <v>8.4</v>
      </c>
      <c r="O175">
        <v>0</v>
      </c>
      <c r="P175" s="37">
        <v>8400000000</v>
      </c>
      <c r="Q175" s="37">
        <v>9348382166.6666222</v>
      </c>
      <c r="R175" s="37">
        <v>-2592055144.2194223</v>
      </c>
      <c r="S175">
        <v>0</v>
      </c>
      <c r="T175" s="70">
        <v>0</v>
      </c>
      <c r="U175">
        <v>0</v>
      </c>
      <c r="V175">
        <v>0</v>
      </c>
      <c r="W175">
        <v>0</v>
      </c>
      <c r="X175" s="38">
        <v>0</v>
      </c>
      <c r="Y175">
        <v>0</v>
      </c>
      <c r="Z175" s="70">
        <v>22943680000</v>
      </c>
      <c r="AA175" s="70">
        <v>0</v>
      </c>
      <c r="AB175" s="70">
        <v>22943680000</v>
      </c>
      <c r="AC175" s="70">
        <v>22943680000</v>
      </c>
      <c r="AD175" s="70">
        <v>22943680000</v>
      </c>
      <c r="AE175" s="70">
        <v>22943680000</v>
      </c>
      <c r="AF175">
        <v>0</v>
      </c>
      <c r="AG175" s="72">
        <f>Tradingbook_MSB[[#This Row],[Mat. Date]]-RPT</f>
        <v>-3047</v>
      </c>
      <c r="AH175" s="71">
        <f>IF(Tradingbook_MSB[[#This Row],[Days]]&lt;=0,0,YEARFRAC(RPT,Tradingbook_MSB[[#This Row],[Mat. Date]],3))</f>
        <v>0</v>
      </c>
      <c r="AI175" s="71">
        <f>IF(Tradingbook_MSB[[#This Row],[Days (year)]]=0,0,INDEX(Ref!$K$2:$K$13,MATCH(Tradingbook_MSB[[#This Row],[Days (year)]],Ref!$I$2:$I$13,1)))</f>
        <v>0</v>
      </c>
      <c r="AJ175" s="120" t="str">
        <f>VLOOKUP(Tradingbook_MSB[[#This Row],[Security Name]],Ref!X:Z,3,0)</f>
        <v>TPCP</v>
      </c>
      <c r="AK175" s="120" t="str">
        <f>VLOOKUP(Tradingbook_MSB[[#This Row],[Security Name]],Ref!X:Y,2,0)</f>
        <v>KBNN</v>
      </c>
      <c r="AL175" s="71">
        <f>IF((Tradingbook_MSB[[#This Row],[Mat. Date]]-RPT)&lt;=0,0,Tradingbook_MSB[[#This Row],[QUANTITY]])</f>
        <v>0</v>
      </c>
      <c r="AM175" s="71">
        <f>IF(Tradingbook_MSB[[#This Row],[Quantity_edited]]=0,0,Tradingbook_MSB[[#This Row],[DURATION]])</f>
        <v>0</v>
      </c>
      <c r="AN175" s="71">
        <f>IF(Tradingbook_MSB[[#This Row],[Quantity_edited]]=0,0,Tradingbook_MSB[[#This Row],[Mod Dur]])</f>
        <v>0</v>
      </c>
      <c r="AO175" s="71">
        <f>IF(Tradingbook_MSB[[#This Row],[Quantity_edited]]=0,0,Tradingbook_MSB[[#This Row],[Cnvx.]])</f>
        <v>0</v>
      </c>
      <c r="AP175" s="71">
        <f>(Tradingbook_MSB[[#This Row],[MARKET_VALUE]]+Tradingbook_MSB[[#This Row],[Accr Int]]*Tradingbook_MSB[[#This Row],[Quantity_edited]])*(-Tradingbook_MSB[[#This Row],[Modified Duration]]*0.0001+0.5*Tradingbook_MSB[[#This Row],[Conv]]*(0.0001^2))</f>
        <v>0</v>
      </c>
      <c r="AQ175" s="72">
        <f>(Tradingbook_MSB[[#This Row],[MARKET_VALUE]]+Tradingbook_MSB[[#This Row],[Accr Int]]*Tradingbook_MSB[[#This Row],[Quantity_edited]])*(-Tradingbook_MSB[[#This Row],[Modified Duration]]*0.01+0.5*Tradingbook_MSB[[#This Row],[Conv]]*(0.01^2))</f>
        <v>0</v>
      </c>
      <c r="AR175" s="71"/>
      <c r="AT175" t="s">
        <v>166</v>
      </c>
      <c r="AU175" t="s">
        <v>3302</v>
      </c>
      <c r="AV175" t="s">
        <v>679</v>
      </c>
      <c r="AW175" t="s">
        <v>169</v>
      </c>
      <c r="AX175" t="s">
        <v>3455</v>
      </c>
      <c r="AY175" t="s">
        <v>170</v>
      </c>
      <c r="AZ175">
        <v>91883</v>
      </c>
      <c r="BA175">
        <v>91883</v>
      </c>
      <c r="BB175">
        <v>500000</v>
      </c>
      <c r="BC175">
        <v>50000000000</v>
      </c>
      <c r="BD175">
        <v>108282</v>
      </c>
      <c r="BE175">
        <v>45941500000</v>
      </c>
      <c r="BF175">
        <v>3.2</v>
      </c>
      <c r="BG175">
        <v>1938</v>
      </c>
      <c r="BH175">
        <v>3200000000</v>
      </c>
      <c r="BI175">
        <v>3384400000.0000019</v>
      </c>
      <c r="BJ175">
        <v>-5267331170.8333359</v>
      </c>
      <c r="BK175">
        <v>4.373603653</v>
      </c>
      <c r="BL175">
        <v>6.9923228555619996</v>
      </c>
      <c r="BM175">
        <v>7.2981393399999996</v>
      </c>
      <c r="BN175">
        <v>60.354893359262903</v>
      </c>
      <c r="BO175">
        <v>28312.782249297001</v>
      </c>
      <c r="BP175">
        <v>-32801.336131584001</v>
      </c>
      <c r="BQ175">
        <v>5501.9110000000001</v>
      </c>
      <c r="BR175">
        <v>0</v>
      </c>
      <c r="BS175">
        <v>-8199500000</v>
      </c>
      <c r="BT175">
        <v>-8199500000</v>
      </c>
      <c r="BU175">
        <v>-8199500000</v>
      </c>
      <c r="BV175">
        <v>-8199500000</v>
      </c>
      <c r="BW175">
        <v>-8199500000</v>
      </c>
      <c r="BX175">
        <v>2.3199999999999998</v>
      </c>
      <c r="BY175" s="32">
        <f>Bankingbook_MSB[[#This Row],[Mat. Date]]-RPT</f>
        <v>3066</v>
      </c>
      <c r="BZ175" s="71">
        <f>IF(Bankingbook_MSB[[#This Row],[Days]]&lt;=0,0,YEARFRAC(RPT,Bankingbook_MSB[[#This Row],[Mat. Date]],3))</f>
        <v>8.4</v>
      </c>
      <c r="CA175" s="71" t="str">
        <f>IF(Bankingbook_MSB[[#This Row],[Days (year)]]=0,0,INDEX(Ref!$K$2:$K$13,MATCH(Bankingbook_MSB[[#This Row],[Days (year)]],Ref!$I$2:$I$13,1)))</f>
        <v>10Y</v>
      </c>
      <c r="CB175" s="32" t="str">
        <f>VLOOKUP(Bankingbook_MSB[[#This Row],[Security Name]],Ref!X:Z,3,0)</f>
        <v>TPCP</v>
      </c>
      <c r="CC175" s="32" t="str">
        <f>VLOOKUP(Bankingbook_MSB[[#This Row],[Security Name]],Ref!X:Y,2,0)</f>
        <v>KBNN</v>
      </c>
      <c r="CD175" s="72">
        <f>IF((Bankingbook_MSB[[#This Row],[Mat. Date]]-RPT)&lt;=0,0,Bankingbook_MSB[[#This Row],[QUANTITY]])</f>
        <v>500000</v>
      </c>
      <c r="CE175" s="71">
        <f>IF(Bankingbook_MSB[[#This Row],[Quantity_edited]]=0,0,Bankingbook_MSB[[#This Row],[DURATION]])</f>
        <v>7.2981393399999996</v>
      </c>
      <c r="CF175" s="71">
        <f>IF(Bankingbook_MSB[[#This Row],[Quantity_edited]]=0,0,Bankingbook_MSB[[#This Row],[Mod Dur]])</f>
        <v>6.9923228555619996</v>
      </c>
      <c r="CG175" s="71">
        <f>IF(Bankingbook_MSB[[#This Row],[Quantity_edited]]=0,0,Bankingbook_MSB[[#This Row],[Cnvx.]])</f>
        <v>60.354893359262903</v>
      </c>
      <c r="CH175" s="71">
        <f>(Bankingbook_MSB[[#This Row],[MARKET_VALUE]]+Bankingbook_MSB[[#This Row],[Accr Int]]*Bankingbook_MSB[[#This Row],[Quantity_edited]])*(-Bankingbook_MSB[[#This Row],[Modified Duration]]*0.0001+0.5*Bankingbook_MSB[[#This Row],[Conv]]*(0.0001^2))</f>
        <v>-32787179.740459472</v>
      </c>
      <c r="CI175" s="71">
        <f>(Bankingbook_MSB[[#This Row],[MARKET_VALUE]]+Bankingbook_MSB[[#This Row],[Accr Int]]*Bankingbook_MSB[[#This Row],[Quantity_edited]])*(-Bankingbook_MSB[[#This Row],[Modified Duration]]*0.01+0.5*Bankingbook_MSB[[#This Row],[Conv]]*(0.01^2))</f>
        <v>-3138569701.9119267</v>
      </c>
      <c r="CL175" t="s">
        <v>166</v>
      </c>
      <c r="CM175" t="s">
        <v>167</v>
      </c>
      <c r="CN175" t="s">
        <v>354</v>
      </c>
      <c r="CO175" t="s">
        <v>169</v>
      </c>
      <c r="CP175" s="35">
        <v>43205</v>
      </c>
      <c r="CQ175" t="s">
        <v>3322</v>
      </c>
      <c r="CR175" t="s">
        <v>174</v>
      </c>
      <c r="CS175" t="s">
        <v>174</v>
      </c>
      <c r="CT175" s="49">
        <v>0</v>
      </c>
      <c r="CU175">
        <v>0</v>
      </c>
      <c r="CV175">
        <v>0</v>
      </c>
      <c r="CW175" s="70">
        <v>0</v>
      </c>
      <c r="CX175">
        <v>8.4</v>
      </c>
      <c r="CY175">
        <v>0</v>
      </c>
      <c r="CZ175">
        <v>8400000000</v>
      </c>
      <c r="DA175">
        <v>9348382166.6666222</v>
      </c>
      <c r="DB175">
        <v>-2592055144.2194223</v>
      </c>
      <c r="DC175">
        <v>0</v>
      </c>
      <c r="DD175">
        <v>0</v>
      </c>
      <c r="DE175">
        <v>0</v>
      </c>
      <c r="DF175">
        <v>0</v>
      </c>
      <c r="DG175">
        <v>0</v>
      </c>
      <c r="DH175">
        <v>0</v>
      </c>
      <c r="DI175">
        <v>0</v>
      </c>
      <c r="DJ175" s="500">
        <v>22943680000</v>
      </c>
      <c r="DK175" s="500">
        <v>0</v>
      </c>
      <c r="DL175" s="37">
        <v>22943680000</v>
      </c>
      <c r="DM175" s="37">
        <v>22943680000</v>
      </c>
      <c r="DN175" s="37">
        <v>22943680000</v>
      </c>
      <c r="DO175" s="37">
        <v>22943680000</v>
      </c>
      <c r="DP175" s="32">
        <f>Tradingbook_SBV[[#This Row],[Mat. Date]]-RPT</f>
        <v>-3047</v>
      </c>
      <c r="DQ175" s="32">
        <f>IF(Tradingbook_SBV[[#This Row],[Days]]&lt;=0,0,YEARFRAC(RPT,Tradingbook_SBV[[#This Row],[Mat. Date]],3))</f>
        <v>0</v>
      </c>
      <c r="DR175" s="32">
        <f>IF(Tradingbook_SBV[[#This Row],[Days (year)]]=0,0,INDEX(Ref!$K$2:$K$13,MATCH(Tradingbook_SBV[[#This Row],[Days (year)]],Ref!$I$2:$I$13,1)))</f>
        <v>0</v>
      </c>
      <c r="DS175" s="32" t="str">
        <f>VLOOKUP(Tradingbook_SBV[[#This Row],[Security Name]],Ref!X:Z,3,0)</f>
        <v>TPCP</v>
      </c>
      <c r="DT175" s="32" t="str">
        <f>VLOOKUP(Tradingbook_SBV[[#This Row],[Security Name]],Ref!X:Y,2,0)</f>
        <v>KBNN</v>
      </c>
      <c r="DU175" s="71">
        <f>IF((Tradingbook_SBV[[#This Row],[Mat. Date]]-RPT)&lt;=0,0,Tradingbook_SBV[[#This Row],[QUANTITY]])</f>
        <v>0</v>
      </c>
      <c r="DV175" s="71">
        <f>IF(Tradingbook_SBV[[#This Row],[Quantity_edited]]=0,0,Tradingbook_SBV[[#This Row],[DURATION]])</f>
        <v>0</v>
      </c>
      <c r="DW175" s="71">
        <f>IF(Tradingbook_SBV[[#This Row],[Quantity_edited]]=0,0,Tradingbook_SBV[[#This Row],[Mod Dur]])</f>
        <v>0</v>
      </c>
      <c r="DX175" s="71">
        <f>IF(Tradingbook_SBV[[#This Row],[Quantity_edited]]=0,0,Tradingbook_SBV[[#This Row],[Cnvx.]])</f>
        <v>0</v>
      </c>
      <c r="DY175" s="71">
        <f>(Tradingbook_SBV[[#This Row],[MARKET_VALUE]]+Tradingbook_SBV[[#This Row],[Accr Int]]*Tradingbook_SBV[[#This Row],[Quantity_edited]])*(-Tradingbook_SBV[[#This Row],[Modified Duration]]*0.0001+0.5*Tradingbook_SBV[[#This Row],[Conv]]*(0.0001^2))</f>
        <v>0</v>
      </c>
      <c r="DZ175" s="71">
        <f>(Tradingbook_SBV[[#This Row],[MARKET_VALUE]]+Tradingbook_SBV[[#This Row],[Accr Int]]*Tradingbook_SBV[[#This Row],[Quantity_edited]])*(-Tradingbook_SBV[[#This Row],[Modified Duration]]*0.01+0.5*Tradingbook_SBV[[#This Row],[Conv]]*(0.01^2))</f>
        <v>0</v>
      </c>
      <c r="EC175" t="s">
        <v>166</v>
      </c>
      <c r="ED175" t="s">
        <v>3299</v>
      </c>
      <c r="EE175" t="s">
        <v>783</v>
      </c>
      <c r="EF175" t="s">
        <v>169</v>
      </c>
      <c r="EG175" s="35" t="s">
        <v>3411</v>
      </c>
      <c r="EH175" t="s">
        <v>3322</v>
      </c>
      <c r="EI175" s="500">
        <v>102140</v>
      </c>
      <c r="EJ175" s="500">
        <v>102140</v>
      </c>
      <c r="EK175" s="500">
        <v>0</v>
      </c>
      <c r="EL175" s="500">
        <v>0</v>
      </c>
      <c r="EM175" s="500">
        <v>0</v>
      </c>
      <c r="EN175" s="500">
        <v>0</v>
      </c>
      <c r="EO175">
        <v>5.9</v>
      </c>
      <c r="EP175">
        <v>4591</v>
      </c>
      <c r="EQ175">
        <v>59000000000</v>
      </c>
      <c r="ER175">
        <v>68796389499.999908</v>
      </c>
      <c r="ES175">
        <v>-20886074928.475983</v>
      </c>
      <c r="ET175">
        <v>4.0520612930000004</v>
      </c>
      <c r="EU175">
        <v>1.1216729100702001</v>
      </c>
      <c r="EV175">
        <v>1.1671237800000001</v>
      </c>
      <c r="EW175">
        <v>2.3839785072323001</v>
      </c>
      <c r="EX175">
        <v>0</v>
      </c>
      <c r="EY175">
        <v>0</v>
      </c>
      <c r="EZ175">
        <v>0</v>
      </c>
      <c r="FA175">
        <v>12400000000</v>
      </c>
      <c r="FB175">
        <v>0</v>
      </c>
      <c r="FC175">
        <v>12400000000</v>
      </c>
      <c r="FD175">
        <v>12400000000</v>
      </c>
      <c r="FE175">
        <v>12400000000</v>
      </c>
      <c r="FF175">
        <v>12400000000</v>
      </c>
      <c r="FG175" s="32">
        <f>Bankingbook_SBV[[#This Row],[Mat. Date]]-RPT</f>
        <v>446</v>
      </c>
      <c r="FH175" s="32">
        <f>IF(Bankingbook_SBV[[#This Row],[Days]]&lt;=0,0,YEARFRAC(RPT,Bankingbook_SBV[[#This Row],[Mat. Date]],3))</f>
        <v>1.2219178082191782</v>
      </c>
      <c r="FI175" s="32" t="str">
        <f>IF(Bankingbook_SBV[[#This Row],[Days (year)]]=0,0,INDEX(Ref!$K$2:$K$13,MATCH(Bankingbook_SBV[[#This Row],[Days (year)]],Ref!$I$2:$I$13,1)))</f>
        <v>1Y</v>
      </c>
      <c r="FJ175" s="32" t="str">
        <f>VLOOKUP(Bankingbook_SBV[[#This Row],[Security Name]],Ref!X:Z,3,0)</f>
        <v>TPCPBL</v>
      </c>
      <c r="FK175" s="32" t="str">
        <f>VLOOKUP(Bankingbook_SBV[[#This Row],[Security Name]],Ref!X:Y,2,0)</f>
        <v>VBS</v>
      </c>
      <c r="FL175" s="72">
        <f>IF((Bankingbook_SBV[[#This Row],[Mat. Date]]-RPT)&lt;=0,0,Bankingbook_SBV[[#This Row],[QUANTITY]])</f>
        <v>0</v>
      </c>
      <c r="FM175" s="32">
        <f>IF(Bankingbook_SBV[[#This Row],[Quantity_edited]]=0,0,Bankingbook_SBV[[#This Row],[DURATION]])</f>
        <v>0</v>
      </c>
      <c r="FN175" s="32">
        <f>IF(Bankingbook_SBV[[#This Row],[Quantity_edited]]=0,0,Bankingbook_SBV[[#This Row],[Mod Dur]])</f>
        <v>0</v>
      </c>
      <c r="FO175" s="32">
        <f>IF(Bankingbook_SBV[[#This Row],[Quantity_edited]]=0,0,Bankingbook_SBV[[#This Row],[Cnvx.]])</f>
        <v>0</v>
      </c>
      <c r="FP175" s="32">
        <f>(Bankingbook_SBV[[#This Row],[MARKET_VALUE]]+Bankingbook_SBV[[#This Row],[Accr Int]]*Bankingbook_SBV[[#This Row],[Quantity_edited]])*(-Bankingbook_SBV[[#This Row],[Modified Duration]]*0.0001+0.5*Bankingbook_SBV[[#This Row],[Conv]]*(0.0001^2))</f>
        <v>0</v>
      </c>
      <c r="FQ175" s="32">
        <f>(Bankingbook_SBV[[#This Row],[MARKET_VALUE]]+Bankingbook_SBV[[#This Row],[Accr Int]]*Bankingbook_SBV[[#This Row],[Quantity_edited]])*(-Bankingbook_SBV[[#This Row],[Modified Duration]]*0.01+0.5*Bankingbook_SBV[[#This Row],[Conv]]*(0.01^2))</f>
        <v>0</v>
      </c>
    </row>
    <row r="176" spans="2:173" x14ac:dyDescent="0.3">
      <c r="B176" t="s">
        <v>166</v>
      </c>
      <c r="C176" t="s">
        <v>167</v>
      </c>
      <c r="D176" t="s">
        <v>355</v>
      </c>
      <c r="E176" t="s">
        <v>169</v>
      </c>
      <c r="F176" s="502">
        <v>43237</v>
      </c>
      <c r="G176" t="s">
        <v>3322</v>
      </c>
      <c r="H176"/>
      <c r="I176"/>
      <c r="J176" s="38">
        <v>0</v>
      </c>
      <c r="K176">
        <v>0</v>
      </c>
      <c r="L176">
        <v>0</v>
      </c>
      <c r="M176" s="38">
        <v>0</v>
      </c>
      <c r="N176">
        <v>9.1999999999999993</v>
      </c>
      <c r="O176">
        <v>0</v>
      </c>
      <c r="P176" s="37">
        <v>36800000000</v>
      </c>
      <c r="Q176" s="37">
        <v>40306114888.888916</v>
      </c>
      <c r="R176" s="37">
        <v>-10254943887.91666</v>
      </c>
      <c r="S176">
        <v>0</v>
      </c>
      <c r="T176" s="70">
        <v>0</v>
      </c>
      <c r="U176">
        <v>0</v>
      </c>
      <c r="V176">
        <v>0</v>
      </c>
      <c r="W176">
        <v>0</v>
      </c>
      <c r="X176" s="38">
        <v>0</v>
      </c>
      <c r="Y176">
        <v>0</v>
      </c>
      <c r="Z176" s="70">
        <v>18600500000</v>
      </c>
      <c r="AA176" s="70">
        <v>0</v>
      </c>
      <c r="AB176" s="70">
        <v>18600500000</v>
      </c>
      <c r="AC176" s="70">
        <v>18600500000</v>
      </c>
      <c r="AD176" s="70">
        <v>18600500000</v>
      </c>
      <c r="AE176" s="70">
        <v>18600500000</v>
      </c>
      <c r="AF176">
        <v>0</v>
      </c>
      <c r="AG176" s="72">
        <f>Tradingbook_MSB[[#This Row],[Mat. Date]]-RPT</f>
        <v>-3015</v>
      </c>
      <c r="AH176" s="71">
        <f>IF(Tradingbook_MSB[[#This Row],[Days]]&lt;=0,0,YEARFRAC(RPT,Tradingbook_MSB[[#This Row],[Mat. Date]],3))</f>
        <v>0</v>
      </c>
      <c r="AI176" s="71">
        <f>IF(Tradingbook_MSB[[#This Row],[Days (year)]]=0,0,INDEX(Ref!$K$2:$K$13,MATCH(Tradingbook_MSB[[#This Row],[Days (year)]],Ref!$I$2:$I$13,1)))</f>
        <v>0</v>
      </c>
      <c r="AJ176" s="120" t="str">
        <f>VLOOKUP(Tradingbook_MSB[[#This Row],[Security Name]],Ref!X:Z,3,0)</f>
        <v>TPCPBL</v>
      </c>
      <c r="AK176" s="120" t="str">
        <f>VLOOKUP(Tradingbook_MSB[[#This Row],[Security Name]],Ref!X:Y,2,0)</f>
        <v>VDB</v>
      </c>
      <c r="AL176" s="71">
        <f>IF((Tradingbook_MSB[[#This Row],[Mat. Date]]-RPT)&lt;=0,0,Tradingbook_MSB[[#This Row],[QUANTITY]])</f>
        <v>0</v>
      </c>
      <c r="AM176" s="71">
        <f>IF(Tradingbook_MSB[[#This Row],[Quantity_edited]]=0,0,Tradingbook_MSB[[#This Row],[DURATION]])</f>
        <v>0</v>
      </c>
      <c r="AN176" s="71">
        <f>IF(Tradingbook_MSB[[#This Row],[Quantity_edited]]=0,0,Tradingbook_MSB[[#This Row],[Mod Dur]])</f>
        <v>0</v>
      </c>
      <c r="AO176" s="71">
        <f>IF(Tradingbook_MSB[[#This Row],[Quantity_edited]]=0,0,Tradingbook_MSB[[#This Row],[Cnvx.]])</f>
        <v>0</v>
      </c>
      <c r="AP176" s="71">
        <f>(Tradingbook_MSB[[#This Row],[MARKET_VALUE]]+Tradingbook_MSB[[#This Row],[Accr Int]]*Tradingbook_MSB[[#This Row],[Quantity_edited]])*(-Tradingbook_MSB[[#This Row],[Modified Duration]]*0.0001+0.5*Tradingbook_MSB[[#This Row],[Conv]]*(0.0001^2))</f>
        <v>0</v>
      </c>
      <c r="AQ176" s="72">
        <f>(Tradingbook_MSB[[#This Row],[MARKET_VALUE]]+Tradingbook_MSB[[#This Row],[Accr Int]]*Tradingbook_MSB[[#This Row],[Quantity_edited]])*(-Tradingbook_MSB[[#This Row],[Modified Duration]]*0.01+0.5*Tradingbook_MSB[[#This Row],[Conv]]*(0.01^2))</f>
        <v>0</v>
      </c>
      <c r="AR176" s="71"/>
      <c r="AT176" t="s">
        <v>166</v>
      </c>
      <c r="AU176" t="s">
        <v>3302</v>
      </c>
      <c r="AV176" t="s">
        <v>687</v>
      </c>
      <c r="AW176" t="s">
        <v>169</v>
      </c>
      <c r="AX176" t="s">
        <v>3456</v>
      </c>
      <c r="AY176" t="s">
        <v>3322</v>
      </c>
      <c r="AZ176">
        <v>89897</v>
      </c>
      <c r="BA176">
        <v>89897</v>
      </c>
      <c r="BB176">
        <v>0</v>
      </c>
      <c r="BC176">
        <v>0</v>
      </c>
      <c r="BD176">
        <v>0</v>
      </c>
      <c r="BE176">
        <v>0</v>
      </c>
      <c r="BF176">
        <v>3</v>
      </c>
      <c r="BG176">
        <v>329</v>
      </c>
      <c r="BH176">
        <v>3000000000</v>
      </c>
      <c r="BI176">
        <v>3470077916.6666551</v>
      </c>
      <c r="BJ176">
        <v>-703996539.02773094</v>
      </c>
      <c r="BK176">
        <v>4.3965104589999999</v>
      </c>
      <c r="BL176">
        <v>7.5143803225949002</v>
      </c>
      <c r="BM176">
        <v>7.8447508399999997</v>
      </c>
      <c r="BN176">
        <v>68.253928868383397</v>
      </c>
      <c r="BO176">
        <v>0</v>
      </c>
      <c r="BP176">
        <v>0</v>
      </c>
      <c r="BQ176">
        <v>0</v>
      </c>
      <c r="BR176">
        <v>-24000000</v>
      </c>
      <c r="BS176">
        <v>0</v>
      </c>
      <c r="BT176">
        <v>-24000000</v>
      </c>
      <c r="BU176">
        <v>-24000000</v>
      </c>
      <c r="BV176">
        <v>-24000000</v>
      </c>
      <c r="BW176">
        <v>-24000000</v>
      </c>
      <c r="BX176">
        <v>0</v>
      </c>
      <c r="BY176" s="32">
        <f>Bankingbook_MSB[[#This Row],[Mat. Date]]-RPT</f>
        <v>3247</v>
      </c>
      <c r="BZ176" s="71">
        <f>IF(Bankingbook_MSB[[#This Row],[Days]]&lt;=0,0,YEARFRAC(RPT,Bankingbook_MSB[[#This Row],[Mat. Date]],3))</f>
        <v>8.8958904109589039</v>
      </c>
      <c r="CA176" s="71" t="str">
        <f>IF(Bankingbook_MSB[[#This Row],[Days (year)]]=0,0,INDEX(Ref!$K$2:$K$13,MATCH(Bankingbook_MSB[[#This Row],[Days (year)]],Ref!$I$2:$I$13,1)))</f>
        <v>10Y</v>
      </c>
      <c r="CB176" s="32" t="str">
        <f>VLOOKUP(Bankingbook_MSB[[#This Row],[Security Name]],Ref!X:Z,3,0)</f>
        <v>TPCP</v>
      </c>
      <c r="CC176" s="32" t="str">
        <f>VLOOKUP(Bankingbook_MSB[[#This Row],[Security Name]],Ref!X:Y,2,0)</f>
        <v>KBNN</v>
      </c>
      <c r="CD176" s="72">
        <f>IF((Bankingbook_MSB[[#This Row],[Mat. Date]]-RPT)&lt;=0,0,Bankingbook_MSB[[#This Row],[QUANTITY]])</f>
        <v>0</v>
      </c>
      <c r="CE176" s="71">
        <f>IF(Bankingbook_MSB[[#This Row],[Quantity_edited]]=0,0,Bankingbook_MSB[[#This Row],[DURATION]])</f>
        <v>0</v>
      </c>
      <c r="CF176" s="71">
        <f>IF(Bankingbook_MSB[[#This Row],[Quantity_edited]]=0,0,Bankingbook_MSB[[#This Row],[Mod Dur]])</f>
        <v>0</v>
      </c>
      <c r="CG176" s="71">
        <f>IF(Bankingbook_MSB[[#This Row],[Quantity_edited]]=0,0,Bankingbook_MSB[[#This Row],[Cnvx.]])</f>
        <v>0</v>
      </c>
      <c r="CH176" s="71">
        <f>(Bankingbook_MSB[[#This Row],[MARKET_VALUE]]+Bankingbook_MSB[[#This Row],[Accr Int]]*Bankingbook_MSB[[#This Row],[Quantity_edited]])*(-Bankingbook_MSB[[#This Row],[Modified Duration]]*0.0001+0.5*Bankingbook_MSB[[#This Row],[Conv]]*(0.0001^2))</f>
        <v>0</v>
      </c>
      <c r="CI176" s="71">
        <f>(Bankingbook_MSB[[#This Row],[MARKET_VALUE]]+Bankingbook_MSB[[#This Row],[Accr Int]]*Bankingbook_MSB[[#This Row],[Quantity_edited]])*(-Bankingbook_MSB[[#This Row],[Modified Duration]]*0.01+0.5*Bankingbook_MSB[[#This Row],[Conv]]*(0.01^2))</f>
        <v>0</v>
      </c>
      <c r="CL176" t="s">
        <v>166</v>
      </c>
      <c r="CM176" t="s">
        <v>167</v>
      </c>
      <c r="CN176" t="s">
        <v>355</v>
      </c>
      <c r="CO176" t="s">
        <v>169</v>
      </c>
      <c r="CP176" s="35">
        <v>43237</v>
      </c>
      <c r="CQ176" t="s">
        <v>3322</v>
      </c>
      <c r="CR176" t="s">
        <v>174</v>
      </c>
      <c r="CS176" t="s">
        <v>174</v>
      </c>
      <c r="CT176" s="49">
        <v>0</v>
      </c>
      <c r="CU176">
        <v>0</v>
      </c>
      <c r="CV176">
        <v>0</v>
      </c>
      <c r="CW176" s="70">
        <v>0</v>
      </c>
      <c r="CX176">
        <v>9.1999999999999993</v>
      </c>
      <c r="CY176">
        <v>0</v>
      </c>
      <c r="CZ176">
        <v>36800000000</v>
      </c>
      <c r="DA176">
        <v>40306114888.888916</v>
      </c>
      <c r="DB176">
        <v>-10254943887.91666</v>
      </c>
      <c r="DC176">
        <v>0</v>
      </c>
      <c r="DD176">
        <v>0</v>
      </c>
      <c r="DE176">
        <v>0</v>
      </c>
      <c r="DF176">
        <v>0</v>
      </c>
      <c r="DG176">
        <v>0</v>
      </c>
      <c r="DH176">
        <v>0</v>
      </c>
      <c r="DI176">
        <v>0</v>
      </c>
      <c r="DJ176" s="500">
        <v>18600500000</v>
      </c>
      <c r="DK176" s="500">
        <v>0</v>
      </c>
      <c r="DL176" s="37">
        <v>18600500000</v>
      </c>
      <c r="DM176" s="37">
        <v>18600500000</v>
      </c>
      <c r="DN176" s="37">
        <v>18600500000</v>
      </c>
      <c r="DO176" s="37">
        <v>18600500000</v>
      </c>
      <c r="DP176" s="32">
        <f>Tradingbook_SBV[[#This Row],[Mat. Date]]-RPT</f>
        <v>-3015</v>
      </c>
      <c r="DQ176" s="32">
        <f>IF(Tradingbook_SBV[[#This Row],[Days]]&lt;=0,0,YEARFRAC(RPT,Tradingbook_SBV[[#This Row],[Mat. Date]],3))</f>
        <v>0</v>
      </c>
      <c r="DR176" s="32">
        <f>IF(Tradingbook_SBV[[#This Row],[Days (year)]]=0,0,INDEX(Ref!$K$2:$K$13,MATCH(Tradingbook_SBV[[#This Row],[Days (year)]],Ref!$I$2:$I$13,1)))</f>
        <v>0</v>
      </c>
      <c r="DS176" s="32" t="str">
        <f>VLOOKUP(Tradingbook_SBV[[#This Row],[Security Name]],Ref!X:Z,3,0)</f>
        <v>TPCPBL</v>
      </c>
      <c r="DT176" s="32" t="str">
        <f>VLOOKUP(Tradingbook_SBV[[#This Row],[Security Name]],Ref!X:Y,2,0)</f>
        <v>VDB</v>
      </c>
      <c r="DU176" s="71">
        <f>IF((Tradingbook_SBV[[#This Row],[Mat. Date]]-RPT)&lt;=0,0,Tradingbook_SBV[[#This Row],[QUANTITY]])</f>
        <v>0</v>
      </c>
      <c r="DV176" s="71">
        <f>IF(Tradingbook_SBV[[#This Row],[Quantity_edited]]=0,0,Tradingbook_SBV[[#This Row],[DURATION]])</f>
        <v>0</v>
      </c>
      <c r="DW176" s="71">
        <f>IF(Tradingbook_SBV[[#This Row],[Quantity_edited]]=0,0,Tradingbook_SBV[[#This Row],[Mod Dur]])</f>
        <v>0</v>
      </c>
      <c r="DX176" s="71">
        <f>IF(Tradingbook_SBV[[#This Row],[Quantity_edited]]=0,0,Tradingbook_SBV[[#This Row],[Cnvx.]])</f>
        <v>0</v>
      </c>
      <c r="DY176" s="71">
        <f>(Tradingbook_SBV[[#This Row],[MARKET_VALUE]]+Tradingbook_SBV[[#This Row],[Accr Int]]*Tradingbook_SBV[[#This Row],[Quantity_edited]])*(-Tradingbook_SBV[[#This Row],[Modified Duration]]*0.0001+0.5*Tradingbook_SBV[[#This Row],[Conv]]*(0.0001^2))</f>
        <v>0</v>
      </c>
      <c r="DZ176" s="71">
        <f>(Tradingbook_SBV[[#This Row],[MARKET_VALUE]]+Tradingbook_SBV[[#This Row],[Accr Int]]*Tradingbook_SBV[[#This Row],[Quantity_edited]])*(-Tradingbook_SBV[[#This Row],[Modified Duration]]*0.01+0.5*Tradingbook_SBV[[#This Row],[Conv]]*(0.01^2))</f>
        <v>0</v>
      </c>
      <c r="EC176" t="s">
        <v>166</v>
      </c>
      <c r="ED176" t="s">
        <v>3299</v>
      </c>
      <c r="EE176" t="s">
        <v>578</v>
      </c>
      <c r="EF176" t="s">
        <v>169</v>
      </c>
      <c r="EG176" s="35" t="s">
        <v>3785</v>
      </c>
      <c r="EH176" t="s">
        <v>3322</v>
      </c>
      <c r="EI176" s="500">
        <v>102233</v>
      </c>
      <c r="EJ176" s="500">
        <v>102233</v>
      </c>
      <c r="EK176" s="500">
        <v>0</v>
      </c>
      <c r="EL176" s="500">
        <v>0</v>
      </c>
      <c r="EM176" s="500">
        <v>0</v>
      </c>
      <c r="EN176" s="500">
        <v>0</v>
      </c>
      <c r="EO176">
        <v>5.9</v>
      </c>
      <c r="EP176">
        <v>4235</v>
      </c>
      <c r="EQ176">
        <v>0</v>
      </c>
      <c r="ER176">
        <v>0</v>
      </c>
      <c r="ES176">
        <v>-16776526.666687012</v>
      </c>
      <c r="ET176">
        <v>4.058252285</v>
      </c>
      <c r="EU176">
        <v>1.1795265132756001</v>
      </c>
      <c r="EV176">
        <v>1.22739467</v>
      </c>
      <c r="EW176">
        <v>2.5726412155705001</v>
      </c>
      <c r="EX176">
        <v>0</v>
      </c>
      <c r="EY176">
        <v>0</v>
      </c>
      <c r="EZ176">
        <v>0</v>
      </c>
      <c r="FA176">
        <v>-8000000</v>
      </c>
      <c r="FB176">
        <v>0</v>
      </c>
      <c r="FC176">
        <v>-8000000</v>
      </c>
      <c r="FD176">
        <v>-8000000</v>
      </c>
      <c r="FE176">
        <v>-8000000</v>
      </c>
      <c r="FF176">
        <v>-8000000</v>
      </c>
      <c r="FG176" s="32">
        <f>Bankingbook_SBV[[#This Row],[Mat. Date]]-RPT</f>
        <v>468</v>
      </c>
      <c r="FH176" s="32">
        <f>IF(Bankingbook_SBV[[#This Row],[Days]]&lt;=0,0,YEARFRAC(RPT,Bankingbook_SBV[[#This Row],[Mat. Date]],3))</f>
        <v>1.2821917808219179</v>
      </c>
      <c r="FI176" s="32" t="str">
        <f>IF(Bankingbook_SBV[[#This Row],[Days (year)]]=0,0,INDEX(Ref!$K$2:$K$13,MATCH(Bankingbook_SBV[[#This Row],[Days (year)]],Ref!$I$2:$I$13,1)))</f>
        <v>1Y</v>
      </c>
      <c r="FJ176" s="32" t="str">
        <f>VLOOKUP(Bankingbook_SBV[[#This Row],[Security Name]],Ref!X:Z,3,0)</f>
        <v>TPCPBL</v>
      </c>
      <c r="FK176" s="32" t="str">
        <f>VLOOKUP(Bankingbook_SBV[[#This Row],[Security Name]],Ref!X:Y,2,0)</f>
        <v>VDB</v>
      </c>
      <c r="FL176" s="72">
        <f>IF((Bankingbook_SBV[[#This Row],[Mat. Date]]-RPT)&lt;=0,0,Bankingbook_SBV[[#This Row],[QUANTITY]])</f>
        <v>0</v>
      </c>
      <c r="FM176" s="32">
        <f>IF(Bankingbook_SBV[[#This Row],[Quantity_edited]]=0,0,Bankingbook_SBV[[#This Row],[DURATION]])</f>
        <v>0</v>
      </c>
      <c r="FN176" s="32">
        <f>IF(Bankingbook_SBV[[#This Row],[Quantity_edited]]=0,0,Bankingbook_SBV[[#This Row],[Mod Dur]])</f>
        <v>0</v>
      </c>
      <c r="FO176" s="32">
        <f>IF(Bankingbook_SBV[[#This Row],[Quantity_edited]]=0,0,Bankingbook_SBV[[#This Row],[Cnvx.]])</f>
        <v>0</v>
      </c>
      <c r="FP176" s="32">
        <f>(Bankingbook_SBV[[#This Row],[MARKET_VALUE]]+Bankingbook_SBV[[#This Row],[Accr Int]]*Bankingbook_SBV[[#This Row],[Quantity_edited]])*(-Bankingbook_SBV[[#This Row],[Modified Duration]]*0.0001+0.5*Bankingbook_SBV[[#This Row],[Conv]]*(0.0001^2))</f>
        <v>0</v>
      </c>
      <c r="FQ176" s="32">
        <f>(Bankingbook_SBV[[#This Row],[MARKET_VALUE]]+Bankingbook_SBV[[#This Row],[Accr Int]]*Bankingbook_SBV[[#This Row],[Quantity_edited]])*(-Bankingbook_SBV[[#This Row],[Modified Duration]]*0.01+0.5*Bankingbook_SBV[[#This Row],[Conv]]*(0.01^2))</f>
        <v>0</v>
      </c>
    </row>
    <row r="177" spans="2:173" x14ac:dyDescent="0.3">
      <c r="B177" t="s">
        <v>166</v>
      </c>
      <c r="C177" t="s">
        <v>167</v>
      </c>
      <c r="D177" t="s">
        <v>356</v>
      </c>
      <c r="E177" t="s">
        <v>169</v>
      </c>
      <c r="F177" s="502">
        <v>43251</v>
      </c>
      <c r="G177" t="s">
        <v>3322</v>
      </c>
      <c r="H177"/>
      <c r="I177"/>
      <c r="J177" s="38">
        <v>0</v>
      </c>
      <c r="K177">
        <v>0</v>
      </c>
      <c r="L177">
        <v>0</v>
      </c>
      <c r="M177" s="38">
        <v>0</v>
      </c>
      <c r="N177">
        <v>7.7</v>
      </c>
      <c r="O177">
        <v>0</v>
      </c>
      <c r="P177" s="37">
        <v>27720000000</v>
      </c>
      <c r="Q177" s="37">
        <v>30389760683.333328</v>
      </c>
      <c r="R177" s="37">
        <v>-12951309154.384756</v>
      </c>
      <c r="S177">
        <v>0</v>
      </c>
      <c r="T177" s="70">
        <v>0</v>
      </c>
      <c r="U177">
        <v>0</v>
      </c>
      <c r="V177">
        <v>0</v>
      </c>
      <c r="W177">
        <v>0</v>
      </c>
      <c r="X177" s="38">
        <v>0</v>
      </c>
      <c r="Y177">
        <v>0</v>
      </c>
      <c r="Z177" s="70">
        <v>29856200000</v>
      </c>
      <c r="AA177" s="70">
        <v>0</v>
      </c>
      <c r="AB177" s="70">
        <v>29856200000</v>
      </c>
      <c r="AC177" s="70">
        <v>29856200000</v>
      </c>
      <c r="AD177" s="70">
        <v>29856200000</v>
      </c>
      <c r="AE177" s="70">
        <v>29856200000</v>
      </c>
      <c r="AF177">
        <v>0</v>
      </c>
      <c r="AG177" s="72">
        <f>Tradingbook_MSB[[#This Row],[Mat. Date]]-RPT</f>
        <v>-3001</v>
      </c>
      <c r="AH177" s="71">
        <f>IF(Tradingbook_MSB[[#This Row],[Days]]&lt;=0,0,YEARFRAC(RPT,Tradingbook_MSB[[#This Row],[Mat. Date]],3))</f>
        <v>0</v>
      </c>
      <c r="AI177" s="71">
        <f>IF(Tradingbook_MSB[[#This Row],[Days (year)]]=0,0,INDEX(Ref!$K$2:$K$13,MATCH(Tradingbook_MSB[[#This Row],[Days (year)]],Ref!$I$2:$I$13,1)))</f>
        <v>0</v>
      </c>
      <c r="AJ177" s="120" t="str">
        <f>VLOOKUP(Tradingbook_MSB[[#This Row],[Security Name]],Ref!X:Z,3,0)</f>
        <v>TPCP</v>
      </c>
      <c r="AK177" s="120" t="str">
        <f>VLOOKUP(Tradingbook_MSB[[#This Row],[Security Name]],Ref!X:Y,2,0)</f>
        <v>KBNN</v>
      </c>
      <c r="AL177" s="71">
        <f>IF((Tradingbook_MSB[[#This Row],[Mat. Date]]-RPT)&lt;=0,0,Tradingbook_MSB[[#This Row],[QUANTITY]])</f>
        <v>0</v>
      </c>
      <c r="AM177" s="71">
        <f>IF(Tradingbook_MSB[[#This Row],[Quantity_edited]]=0,0,Tradingbook_MSB[[#This Row],[DURATION]])</f>
        <v>0</v>
      </c>
      <c r="AN177" s="71">
        <f>IF(Tradingbook_MSB[[#This Row],[Quantity_edited]]=0,0,Tradingbook_MSB[[#This Row],[Mod Dur]])</f>
        <v>0</v>
      </c>
      <c r="AO177" s="71">
        <f>IF(Tradingbook_MSB[[#This Row],[Quantity_edited]]=0,0,Tradingbook_MSB[[#This Row],[Cnvx.]])</f>
        <v>0</v>
      </c>
      <c r="AP177" s="71">
        <f>(Tradingbook_MSB[[#This Row],[MARKET_VALUE]]+Tradingbook_MSB[[#This Row],[Accr Int]]*Tradingbook_MSB[[#This Row],[Quantity_edited]])*(-Tradingbook_MSB[[#This Row],[Modified Duration]]*0.0001+0.5*Tradingbook_MSB[[#This Row],[Conv]]*(0.0001^2))</f>
        <v>0</v>
      </c>
      <c r="AQ177" s="72">
        <f>(Tradingbook_MSB[[#This Row],[MARKET_VALUE]]+Tradingbook_MSB[[#This Row],[Accr Int]]*Tradingbook_MSB[[#This Row],[Quantity_edited]])*(-Tradingbook_MSB[[#This Row],[Modified Duration]]*0.01+0.5*Tradingbook_MSB[[#This Row],[Conv]]*(0.01^2))</f>
        <v>0</v>
      </c>
      <c r="AR177" s="71"/>
      <c r="AT177" t="s">
        <v>166</v>
      </c>
      <c r="AU177" t="s">
        <v>3302</v>
      </c>
      <c r="AV177" t="s">
        <v>688</v>
      </c>
      <c r="AW177" t="s">
        <v>169</v>
      </c>
      <c r="AX177" t="s">
        <v>3457</v>
      </c>
      <c r="AY177" t="s">
        <v>170</v>
      </c>
      <c r="AZ177">
        <v>89735</v>
      </c>
      <c r="BA177">
        <v>89735</v>
      </c>
      <c r="BB177">
        <v>1000000</v>
      </c>
      <c r="BC177">
        <v>100000000000</v>
      </c>
      <c r="BD177">
        <v>105360.667</v>
      </c>
      <c r="BE177">
        <v>89735000000</v>
      </c>
      <c r="BF177">
        <v>3</v>
      </c>
      <c r="BG177">
        <v>2926</v>
      </c>
      <c r="BH177">
        <v>7500000000</v>
      </c>
      <c r="BI177">
        <v>8182701458.3333321</v>
      </c>
      <c r="BJ177">
        <v>-10797926012.708321</v>
      </c>
      <c r="BK177">
        <v>4.4026616780000003</v>
      </c>
      <c r="BL177">
        <v>7.3958413822480997</v>
      </c>
      <c r="BM177">
        <v>7.7214552599999999</v>
      </c>
      <c r="BN177">
        <v>68.0412384684535</v>
      </c>
      <c r="BO177">
        <v>63047.6919772537</v>
      </c>
      <c r="BP177">
        <v>-68530.605832048997</v>
      </c>
      <c r="BQ177">
        <v>10938.448</v>
      </c>
      <c r="BR177">
        <v>-954833333.33333576</v>
      </c>
      <c r="BS177">
        <v>-15625666666.666672</v>
      </c>
      <c r="BT177">
        <v>-16580500000.000008</v>
      </c>
      <c r="BU177">
        <v>-16580500000.000008</v>
      </c>
      <c r="BV177">
        <v>-16580500000</v>
      </c>
      <c r="BW177">
        <v>-16580500000.000008</v>
      </c>
      <c r="BX177">
        <v>2.4766666669999999</v>
      </c>
      <c r="BY177" s="32">
        <f>Bankingbook_MSB[[#This Row],[Mat. Date]]-RPT</f>
        <v>3296</v>
      </c>
      <c r="BZ177" s="71">
        <f>IF(Bankingbook_MSB[[#This Row],[Days]]&lt;=0,0,YEARFRAC(RPT,Bankingbook_MSB[[#This Row],[Mat. Date]],3))</f>
        <v>9.0301369863013701</v>
      </c>
      <c r="CA177" s="71" t="str">
        <f>IF(Bankingbook_MSB[[#This Row],[Days (year)]]=0,0,INDEX(Ref!$K$2:$K$13,MATCH(Bankingbook_MSB[[#This Row],[Days (year)]],Ref!$I$2:$I$13,1)))</f>
        <v>10Y</v>
      </c>
      <c r="CB177" s="32" t="str">
        <f>VLOOKUP(Bankingbook_MSB[[#This Row],[Security Name]],Ref!X:Z,3,0)</f>
        <v>TPCP</v>
      </c>
      <c r="CC177" s="32" t="str">
        <f>VLOOKUP(Bankingbook_MSB[[#This Row],[Security Name]],Ref!X:Y,2,0)</f>
        <v>KBNN</v>
      </c>
      <c r="CD177" s="72">
        <f>IF((Bankingbook_MSB[[#This Row],[Mat. Date]]-RPT)&lt;=0,0,Bankingbook_MSB[[#This Row],[QUANTITY]])</f>
        <v>1000000</v>
      </c>
      <c r="CE177" s="71">
        <f>IF(Bankingbook_MSB[[#This Row],[Quantity_edited]]=0,0,Bankingbook_MSB[[#This Row],[DURATION]])</f>
        <v>7.7214552599999999</v>
      </c>
      <c r="CF177" s="71">
        <f>IF(Bankingbook_MSB[[#This Row],[Quantity_edited]]=0,0,Bankingbook_MSB[[#This Row],[Mod Dur]])</f>
        <v>7.3958413822480997</v>
      </c>
      <c r="CG177" s="71">
        <f>IF(Bankingbook_MSB[[#This Row],[Quantity_edited]]=0,0,Bankingbook_MSB[[#This Row],[Cnvx.]])</f>
        <v>68.0412384684535</v>
      </c>
      <c r="CH177" s="71">
        <f>(Bankingbook_MSB[[#This Row],[MARKET_VALUE]]+Bankingbook_MSB[[#This Row],[Accr Int]]*Bankingbook_MSB[[#This Row],[Quantity_edited]])*(-Bankingbook_MSB[[#This Row],[Modified Duration]]*0.0001+0.5*Bankingbook_MSB[[#This Row],[Conv]]*(0.0001^2))</f>
        <v>-68499081.986060485</v>
      </c>
      <c r="CI177" s="71">
        <f>(Bankingbook_MSB[[#This Row],[MARKET_VALUE]]+Bankingbook_MSB[[#This Row],[Accr Int]]*Bankingbook_MSB[[#This Row],[Quantity_edited]])*(-Bankingbook_MSB[[#This Row],[Modified Duration]]*0.01+0.5*Bankingbook_MSB[[#This Row],[Conv]]*(0.01^2))</f>
        <v>-6537822123.3186436</v>
      </c>
      <c r="CL177" t="s">
        <v>166</v>
      </c>
      <c r="CM177" t="s">
        <v>167</v>
      </c>
      <c r="CN177" t="s">
        <v>356</v>
      </c>
      <c r="CO177" t="s">
        <v>169</v>
      </c>
      <c r="CP177" s="35">
        <v>43251</v>
      </c>
      <c r="CQ177" t="s">
        <v>3322</v>
      </c>
      <c r="CR177" t="s">
        <v>174</v>
      </c>
      <c r="CS177" t="s">
        <v>174</v>
      </c>
      <c r="CT177" s="49">
        <v>0</v>
      </c>
      <c r="CU177">
        <v>0</v>
      </c>
      <c r="CV177">
        <v>0</v>
      </c>
      <c r="CW177" s="70">
        <v>0</v>
      </c>
      <c r="CX177">
        <v>7.7</v>
      </c>
      <c r="CY177">
        <v>0</v>
      </c>
      <c r="CZ177">
        <v>27720000000</v>
      </c>
      <c r="DA177">
        <v>30389760683.333328</v>
      </c>
      <c r="DB177">
        <v>-12951309154.384756</v>
      </c>
      <c r="DC177">
        <v>0</v>
      </c>
      <c r="DD177">
        <v>0</v>
      </c>
      <c r="DE177">
        <v>0</v>
      </c>
      <c r="DF177">
        <v>0</v>
      </c>
      <c r="DG177">
        <v>0</v>
      </c>
      <c r="DH177">
        <v>0</v>
      </c>
      <c r="DI177">
        <v>0</v>
      </c>
      <c r="DJ177" s="500">
        <v>29856200000</v>
      </c>
      <c r="DK177" s="500">
        <v>0</v>
      </c>
      <c r="DL177" s="37">
        <v>29856200000</v>
      </c>
      <c r="DM177" s="37">
        <v>29856200000</v>
      </c>
      <c r="DN177" s="37">
        <v>29856200000</v>
      </c>
      <c r="DO177" s="37">
        <v>29856200000</v>
      </c>
      <c r="DP177" s="32">
        <f>Tradingbook_SBV[[#This Row],[Mat. Date]]-RPT</f>
        <v>-3001</v>
      </c>
      <c r="DQ177" s="32">
        <f>IF(Tradingbook_SBV[[#This Row],[Days]]&lt;=0,0,YEARFRAC(RPT,Tradingbook_SBV[[#This Row],[Mat. Date]],3))</f>
        <v>0</v>
      </c>
      <c r="DR177" s="32">
        <f>IF(Tradingbook_SBV[[#This Row],[Days (year)]]=0,0,INDEX(Ref!$K$2:$K$13,MATCH(Tradingbook_SBV[[#This Row],[Days (year)]],Ref!$I$2:$I$13,1)))</f>
        <v>0</v>
      </c>
      <c r="DS177" s="32" t="str">
        <f>VLOOKUP(Tradingbook_SBV[[#This Row],[Security Name]],Ref!X:Z,3,0)</f>
        <v>TPCP</v>
      </c>
      <c r="DT177" s="32" t="str">
        <f>VLOOKUP(Tradingbook_SBV[[#This Row],[Security Name]],Ref!X:Y,2,0)</f>
        <v>KBNN</v>
      </c>
      <c r="DU177" s="71">
        <f>IF((Tradingbook_SBV[[#This Row],[Mat. Date]]-RPT)&lt;=0,0,Tradingbook_SBV[[#This Row],[QUANTITY]])</f>
        <v>0</v>
      </c>
      <c r="DV177" s="71">
        <f>IF(Tradingbook_SBV[[#This Row],[Quantity_edited]]=0,0,Tradingbook_SBV[[#This Row],[DURATION]])</f>
        <v>0</v>
      </c>
      <c r="DW177" s="71">
        <f>IF(Tradingbook_SBV[[#This Row],[Quantity_edited]]=0,0,Tradingbook_SBV[[#This Row],[Mod Dur]])</f>
        <v>0</v>
      </c>
      <c r="DX177" s="71">
        <f>IF(Tradingbook_SBV[[#This Row],[Quantity_edited]]=0,0,Tradingbook_SBV[[#This Row],[Cnvx.]])</f>
        <v>0</v>
      </c>
      <c r="DY177" s="71">
        <f>(Tradingbook_SBV[[#This Row],[MARKET_VALUE]]+Tradingbook_SBV[[#This Row],[Accr Int]]*Tradingbook_SBV[[#This Row],[Quantity_edited]])*(-Tradingbook_SBV[[#This Row],[Modified Duration]]*0.0001+0.5*Tradingbook_SBV[[#This Row],[Conv]]*(0.0001^2))</f>
        <v>0</v>
      </c>
      <c r="DZ177" s="71">
        <f>(Tradingbook_SBV[[#This Row],[MARKET_VALUE]]+Tradingbook_SBV[[#This Row],[Accr Int]]*Tradingbook_SBV[[#This Row],[Quantity_edited]])*(-Tradingbook_SBV[[#This Row],[Modified Duration]]*0.01+0.5*Tradingbook_SBV[[#This Row],[Conv]]*(0.01^2))</f>
        <v>0</v>
      </c>
      <c r="EC177" t="s">
        <v>166</v>
      </c>
      <c r="ED177" t="s">
        <v>3299</v>
      </c>
      <c r="EE177" t="s">
        <v>579</v>
      </c>
      <c r="EF177" t="s">
        <v>169</v>
      </c>
      <c r="EG177" s="35" t="s">
        <v>3412</v>
      </c>
      <c r="EH177" t="s">
        <v>3322</v>
      </c>
      <c r="EI177" s="500">
        <v>102262</v>
      </c>
      <c r="EJ177" s="500">
        <v>102262</v>
      </c>
      <c r="EK177" s="500">
        <v>0</v>
      </c>
      <c r="EL177" s="500">
        <v>0</v>
      </c>
      <c r="EM177" s="500">
        <v>0</v>
      </c>
      <c r="EN177" s="500">
        <v>0</v>
      </c>
      <c r="EO177">
        <v>5.9</v>
      </c>
      <c r="EP177">
        <v>4122</v>
      </c>
      <c r="EQ177">
        <v>197001000000</v>
      </c>
      <c r="ER177">
        <v>231605084903.05542</v>
      </c>
      <c r="ES177">
        <v>-77868833155.60614</v>
      </c>
      <c r="ET177">
        <v>4.0604530409999997</v>
      </c>
      <c r="EU177">
        <v>1.1979302658232001</v>
      </c>
      <c r="EV177">
        <v>1.2465716600000001</v>
      </c>
      <c r="EW177">
        <v>2.6340558822393998</v>
      </c>
      <c r="EX177">
        <v>0</v>
      </c>
      <c r="EY177">
        <v>0</v>
      </c>
      <c r="EZ177">
        <v>0</v>
      </c>
      <c r="FA177">
        <v>66177490000</v>
      </c>
      <c r="FB177">
        <v>0</v>
      </c>
      <c r="FC177">
        <v>66177490000</v>
      </c>
      <c r="FD177">
        <v>66177490000</v>
      </c>
      <c r="FE177">
        <v>66177490000</v>
      </c>
      <c r="FF177">
        <v>66177490000</v>
      </c>
      <c r="FG177" s="32">
        <f>Bankingbook_SBV[[#This Row],[Mat. Date]]-RPT</f>
        <v>475</v>
      </c>
      <c r="FH177" s="32">
        <f>IF(Bankingbook_SBV[[#This Row],[Days]]&lt;=0,0,YEARFRAC(RPT,Bankingbook_SBV[[#This Row],[Mat. Date]],3))</f>
        <v>1.3013698630136987</v>
      </c>
      <c r="FI177" s="32" t="str">
        <f>IF(Bankingbook_SBV[[#This Row],[Days (year)]]=0,0,INDEX(Ref!$K$2:$K$13,MATCH(Bankingbook_SBV[[#This Row],[Days (year)]],Ref!$I$2:$I$13,1)))</f>
        <v>1Y</v>
      </c>
      <c r="FJ177" s="32" t="str">
        <f>VLOOKUP(Bankingbook_SBV[[#This Row],[Security Name]],Ref!X:Z,3,0)</f>
        <v>TPCPBL</v>
      </c>
      <c r="FK177" s="32" t="str">
        <f>VLOOKUP(Bankingbook_SBV[[#This Row],[Security Name]],Ref!X:Y,2,0)</f>
        <v>VDB</v>
      </c>
      <c r="FL177" s="72">
        <f>IF((Bankingbook_SBV[[#This Row],[Mat. Date]]-RPT)&lt;=0,0,Bankingbook_SBV[[#This Row],[QUANTITY]])</f>
        <v>0</v>
      </c>
      <c r="FM177" s="32">
        <f>IF(Bankingbook_SBV[[#This Row],[Quantity_edited]]=0,0,Bankingbook_SBV[[#This Row],[DURATION]])</f>
        <v>0</v>
      </c>
      <c r="FN177" s="32">
        <f>IF(Bankingbook_SBV[[#This Row],[Quantity_edited]]=0,0,Bankingbook_SBV[[#This Row],[Mod Dur]])</f>
        <v>0</v>
      </c>
      <c r="FO177" s="32">
        <f>IF(Bankingbook_SBV[[#This Row],[Quantity_edited]]=0,0,Bankingbook_SBV[[#This Row],[Cnvx.]])</f>
        <v>0</v>
      </c>
      <c r="FP177" s="32">
        <f>(Bankingbook_SBV[[#This Row],[MARKET_VALUE]]+Bankingbook_SBV[[#This Row],[Accr Int]]*Bankingbook_SBV[[#This Row],[Quantity_edited]])*(-Bankingbook_SBV[[#This Row],[Modified Duration]]*0.0001+0.5*Bankingbook_SBV[[#This Row],[Conv]]*(0.0001^2))</f>
        <v>0</v>
      </c>
      <c r="FQ177" s="32">
        <f>(Bankingbook_SBV[[#This Row],[MARKET_VALUE]]+Bankingbook_SBV[[#This Row],[Accr Int]]*Bankingbook_SBV[[#This Row],[Quantity_edited]])*(-Bankingbook_SBV[[#This Row],[Modified Duration]]*0.01+0.5*Bankingbook_SBV[[#This Row],[Conv]]*(0.01^2))</f>
        <v>0</v>
      </c>
    </row>
    <row r="178" spans="2:173" x14ac:dyDescent="0.3">
      <c r="B178" t="s">
        <v>166</v>
      </c>
      <c r="C178" t="s">
        <v>167</v>
      </c>
      <c r="D178" t="s">
        <v>357</v>
      </c>
      <c r="E178" t="s">
        <v>169</v>
      </c>
      <c r="F178" s="502">
        <v>43263</v>
      </c>
      <c r="G178" t="s">
        <v>170</v>
      </c>
      <c r="H178"/>
      <c r="I178"/>
      <c r="J178" s="38">
        <v>1500000</v>
      </c>
      <c r="K178">
        <v>150000000000</v>
      </c>
      <c r="L178">
        <v>104145.5</v>
      </c>
      <c r="M178" s="38">
        <v>0</v>
      </c>
      <c r="N178">
        <v>9.18</v>
      </c>
      <c r="O178">
        <v>0</v>
      </c>
      <c r="P178" s="37">
        <v>41310000000</v>
      </c>
      <c r="Q178" s="37">
        <v>42048311062.500008</v>
      </c>
      <c r="R178" s="37">
        <v>-12820488650.000065</v>
      </c>
      <c r="S178">
        <v>0</v>
      </c>
      <c r="T178" s="70">
        <v>0</v>
      </c>
      <c r="U178">
        <v>0</v>
      </c>
      <c r="V178">
        <v>0</v>
      </c>
      <c r="W178">
        <v>0</v>
      </c>
      <c r="X178" s="38">
        <v>0</v>
      </c>
      <c r="Y178">
        <v>0</v>
      </c>
      <c r="Z178" s="70">
        <v>-13311000000</v>
      </c>
      <c r="AA178" s="70">
        <v>0</v>
      </c>
      <c r="AB178" s="70">
        <v>-13311000000</v>
      </c>
      <c r="AC178" s="70">
        <v>-13311000000</v>
      </c>
      <c r="AD178" s="70">
        <v>-13311000000</v>
      </c>
      <c r="AE178" s="70">
        <v>-13311000000</v>
      </c>
      <c r="AF178">
        <v>9.0495453220000002</v>
      </c>
      <c r="AG178" s="72">
        <f>Tradingbook_MSB[[#This Row],[Mat. Date]]-RPT</f>
        <v>-2989</v>
      </c>
      <c r="AH178" s="71">
        <f>IF(Tradingbook_MSB[[#This Row],[Days]]&lt;=0,0,YEARFRAC(RPT,Tradingbook_MSB[[#This Row],[Mat. Date]],3))</f>
        <v>0</v>
      </c>
      <c r="AI178" s="71">
        <f>IF(Tradingbook_MSB[[#This Row],[Days (year)]]=0,0,INDEX(Ref!$K$2:$K$13,MATCH(Tradingbook_MSB[[#This Row],[Days (year)]],Ref!$I$2:$I$13,1)))</f>
        <v>0</v>
      </c>
      <c r="AJ178" s="120" t="str">
        <f>VLOOKUP(Tradingbook_MSB[[#This Row],[Security Name]],Ref!X:Z,3,0)</f>
        <v>TPCP</v>
      </c>
      <c r="AK178" s="120" t="str">
        <f>VLOOKUP(Tradingbook_MSB[[#This Row],[Security Name]],Ref!X:Y,2,0)</f>
        <v>VDB</v>
      </c>
      <c r="AL178" s="71">
        <f>IF((Tradingbook_MSB[[#This Row],[Mat. Date]]-RPT)&lt;=0,0,Tradingbook_MSB[[#This Row],[QUANTITY]])</f>
        <v>0</v>
      </c>
      <c r="AM178" s="71">
        <f>IF(Tradingbook_MSB[[#This Row],[Quantity_edited]]=0,0,Tradingbook_MSB[[#This Row],[DURATION]])</f>
        <v>0</v>
      </c>
      <c r="AN178" s="71">
        <f>IF(Tradingbook_MSB[[#This Row],[Quantity_edited]]=0,0,Tradingbook_MSB[[#This Row],[Mod Dur]])</f>
        <v>0</v>
      </c>
      <c r="AO178" s="71">
        <f>IF(Tradingbook_MSB[[#This Row],[Quantity_edited]]=0,0,Tradingbook_MSB[[#This Row],[Cnvx.]])</f>
        <v>0</v>
      </c>
      <c r="AP178" s="71">
        <f>(Tradingbook_MSB[[#This Row],[MARKET_VALUE]]+Tradingbook_MSB[[#This Row],[Accr Int]]*Tradingbook_MSB[[#This Row],[Quantity_edited]])*(-Tradingbook_MSB[[#This Row],[Modified Duration]]*0.0001+0.5*Tradingbook_MSB[[#This Row],[Conv]]*(0.0001^2))</f>
        <v>0</v>
      </c>
      <c r="AQ178" s="72">
        <f>(Tradingbook_MSB[[#This Row],[MARKET_VALUE]]+Tradingbook_MSB[[#This Row],[Accr Int]]*Tradingbook_MSB[[#This Row],[Quantity_edited]])*(-Tradingbook_MSB[[#This Row],[Modified Duration]]*0.01+0.5*Tradingbook_MSB[[#This Row],[Conv]]*(0.01^2))</f>
        <v>0</v>
      </c>
      <c r="AR178" s="71"/>
      <c r="AT178" t="s">
        <v>166</v>
      </c>
      <c r="AU178" t="s">
        <v>3302</v>
      </c>
      <c r="AV178" t="s">
        <v>689</v>
      </c>
      <c r="AW178" t="s">
        <v>169</v>
      </c>
      <c r="AX178" t="s">
        <v>3458</v>
      </c>
      <c r="AY178" t="s">
        <v>3322</v>
      </c>
      <c r="AZ178">
        <v>88872</v>
      </c>
      <c r="BA178">
        <v>88872</v>
      </c>
      <c r="BB178">
        <v>0</v>
      </c>
      <c r="BC178">
        <v>0</v>
      </c>
      <c r="BD178">
        <v>0</v>
      </c>
      <c r="BE178">
        <v>0</v>
      </c>
      <c r="BF178">
        <v>2.9</v>
      </c>
      <c r="BG178">
        <v>2550</v>
      </c>
      <c r="BH178">
        <v>0</v>
      </c>
      <c r="BI178">
        <v>-1.9999999999999999E-6</v>
      </c>
      <c r="BJ178">
        <v>-115663836.11108971</v>
      </c>
      <c r="BK178">
        <v>4.4071988129999999</v>
      </c>
      <c r="BL178">
        <v>7.5177955480977996</v>
      </c>
      <c r="BM178">
        <v>7.8491197399999999</v>
      </c>
      <c r="BN178">
        <v>69.860680456252993</v>
      </c>
      <c r="BO178">
        <v>0</v>
      </c>
      <c r="BP178">
        <v>0</v>
      </c>
      <c r="BQ178">
        <v>0</v>
      </c>
      <c r="BR178">
        <v>13500000</v>
      </c>
      <c r="BS178">
        <v>0</v>
      </c>
      <c r="BT178">
        <v>13500000</v>
      </c>
      <c r="BU178">
        <v>13500000</v>
      </c>
      <c r="BV178">
        <v>13500000</v>
      </c>
      <c r="BW178">
        <v>13500000</v>
      </c>
      <c r="BX178">
        <v>0</v>
      </c>
      <c r="BY178" s="32">
        <f>Bankingbook_MSB[[#This Row],[Mat. Date]]-RPT</f>
        <v>3331</v>
      </c>
      <c r="BZ178" s="71">
        <f>IF(Bankingbook_MSB[[#This Row],[Days]]&lt;=0,0,YEARFRAC(RPT,Bankingbook_MSB[[#This Row],[Mat. Date]],3))</f>
        <v>9.1260273972602732</v>
      </c>
      <c r="CA178" s="71" t="str">
        <f>IF(Bankingbook_MSB[[#This Row],[Days (year)]]=0,0,INDEX(Ref!$K$2:$K$13,MATCH(Bankingbook_MSB[[#This Row],[Days (year)]],Ref!$I$2:$I$13,1)))</f>
        <v>10Y</v>
      </c>
      <c r="CB178" s="32" t="str">
        <f>VLOOKUP(Bankingbook_MSB[[#This Row],[Security Name]],Ref!X:Z,3,0)</f>
        <v>TPCP</v>
      </c>
      <c r="CC178" s="32" t="str">
        <f>VLOOKUP(Bankingbook_MSB[[#This Row],[Security Name]],Ref!X:Y,2,0)</f>
        <v>KBNN</v>
      </c>
      <c r="CD178" s="72">
        <f>IF((Bankingbook_MSB[[#This Row],[Mat. Date]]-RPT)&lt;=0,0,Bankingbook_MSB[[#This Row],[QUANTITY]])</f>
        <v>0</v>
      </c>
      <c r="CE178" s="71">
        <f>IF(Bankingbook_MSB[[#This Row],[Quantity_edited]]=0,0,Bankingbook_MSB[[#This Row],[DURATION]])</f>
        <v>0</v>
      </c>
      <c r="CF178" s="71">
        <f>IF(Bankingbook_MSB[[#This Row],[Quantity_edited]]=0,0,Bankingbook_MSB[[#This Row],[Mod Dur]])</f>
        <v>0</v>
      </c>
      <c r="CG178" s="71">
        <f>IF(Bankingbook_MSB[[#This Row],[Quantity_edited]]=0,0,Bankingbook_MSB[[#This Row],[Cnvx.]])</f>
        <v>0</v>
      </c>
      <c r="CH178" s="71">
        <f>(Bankingbook_MSB[[#This Row],[MARKET_VALUE]]+Bankingbook_MSB[[#This Row],[Accr Int]]*Bankingbook_MSB[[#This Row],[Quantity_edited]])*(-Bankingbook_MSB[[#This Row],[Modified Duration]]*0.0001+0.5*Bankingbook_MSB[[#This Row],[Conv]]*(0.0001^2))</f>
        <v>0</v>
      </c>
      <c r="CI178" s="71">
        <f>(Bankingbook_MSB[[#This Row],[MARKET_VALUE]]+Bankingbook_MSB[[#This Row],[Accr Int]]*Bankingbook_MSB[[#This Row],[Quantity_edited]])*(-Bankingbook_MSB[[#This Row],[Modified Duration]]*0.01+0.5*Bankingbook_MSB[[#This Row],[Conv]]*(0.01^2))</f>
        <v>0</v>
      </c>
      <c r="CL178" t="s">
        <v>166</v>
      </c>
      <c r="CM178" t="s">
        <v>167</v>
      </c>
      <c r="CN178" t="s">
        <v>357</v>
      </c>
      <c r="CO178" t="s">
        <v>169</v>
      </c>
      <c r="CP178" s="35">
        <v>43263</v>
      </c>
      <c r="CQ178" t="s">
        <v>170</v>
      </c>
      <c r="CR178" t="s">
        <v>174</v>
      </c>
      <c r="CS178" t="s">
        <v>174</v>
      </c>
      <c r="CT178" s="49">
        <v>1500000</v>
      </c>
      <c r="CU178">
        <v>150000000000</v>
      </c>
      <c r="CV178">
        <v>104145.5</v>
      </c>
      <c r="CW178" s="70">
        <v>0</v>
      </c>
      <c r="CX178">
        <v>9.18</v>
      </c>
      <c r="CY178">
        <v>0</v>
      </c>
      <c r="CZ178">
        <v>41310000000</v>
      </c>
      <c r="DA178">
        <v>42048311062.500008</v>
      </c>
      <c r="DB178">
        <v>-12820488650.000065</v>
      </c>
      <c r="DC178">
        <v>0</v>
      </c>
      <c r="DD178">
        <v>0</v>
      </c>
      <c r="DE178">
        <v>0</v>
      </c>
      <c r="DF178">
        <v>0</v>
      </c>
      <c r="DG178">
        <v>0</v>
      </c>
      <c r="DH178">
        <v>0</v>
      </c>
      <c r="DI178">
        <v>0</v>
      </c>
      <c r="DJ178" s="500">
        <v>-13311000000</v>
      </c>
      <c r="DK178" s="500">
        <v>0</v>
      </c>
      <c r="DL178" s="37">
        <v>-13311000000</v>
      </c>
      <c r="DM178" s="37">
        <v>-13311000000</v>
      </c>
      <c r="DN178" s="37">
        <v>-13311000000</v>
      </c>
      <c r="DO178" s="37">
        <v>-13311000000</v>
      </c>
      <c r="DP178" s="32">
        <f>Tradingbook_SBV[[#This Row],[Mat. Date]]-RPT</f>
        <v>-2989</v>
      </c>
      <c r="DQ178" s="32">
        <f>IF(Tradingbook_SBV[[#This Row],[Days]]&lt;=0,0,YEARFRAC(RPT,Tradingbook_SBV[[#This Row],[Mat. Date]],3))</f>
        <v>0</v>
      </c>
      <c r="DR178" s="32">
        <f>IF(Tradingbook_SBV[[#This Row],[Days (year)]]=0,0,INDEX(Ref!$K$2:$K$13,MATCH(Tradingbook_SBV[[#This Row],[Days (year)]],Ref!$I$2:$I$13,1)))</f>
        <v>0</v>
      </c>
      <c r="DS178" s="32" t="str">
        <f>VLOOKUP(Tradingbook_SBV[[#This Row],[Security Name]],Ref!X:Z,3,0)</f>
        <v>TPCP</v>
      </c>
      <c r="DT178" s="32" t="str">
        <f>VLOOKUP(Tradingbook_SBV[[#This Row],[Security Name]],Ref!X:Y,2,0)</f>
        <v>VDB</v>
      </c>
      <c r="DU178" s="71">
        <f>IF((Tradingbook_SBV[[#This Row],[Mat. Date]]-RPT)&lt;=0,0,Tradingbook_SBV[[#This Row],[QUANTITY]])</f>
        <v>0</v>
      </c>
      <c r="DV178" s="71">
        <f>IF(Tradingbook_SBV[[#This Row],[Quantity_edited]]=0,0,Tradingbook_SBV[[#This Row],[DURATION]])</f>
        <v>0</v>
      </c>
      <c r="DW178" s="71">
        <f>IF(Tradingbook_SBV[[#This Row],[Quantity_edited]]=0,0,Tradingbook_SBV[[#This Row],[Mod Dur]])</f>
        <v>0</v>
      </c>
      <c r="DX178" s="71">
        <f>IF(Tradingbook_SBV[[#This Row],[Quantity_edited]]=0,0,Tradingbook_SBV[[#This Row],[Cnvx.]])</f>
        <v>0</v>
      </c>
      <c r="DY178" s="71">
        <f>(Tradingbook_SBV[[#This Row],[MARKET_VALUE]]+Tradingbook_SBV[[#This Row],[Accr Int]]*Tradingbook_SBV[[#This Row],[Quantity_edited]])*(-Tradingbook_SBV[[#This Row],[Modified Duration]]*0.0001+0.5*Tradingbook_SBV[[#This Row],[Conv]]*(0.0001^2))</f>
        <v>0</v>
      </c>
      <c r="DZ178" s="71">
        <f>(Tradingbook_SBV[[#This Row],[MARKET_VALUE]]+Tradingbook_SBV[[#This Row],[Accr Int]]*Tradingbook_SBV[[#This Row],[Quantity_edited]])*(-Tradingbook_SBV[[#This Row],[Modified Duration]]*0.01+0.5*Tradingbook_SBV[[#This Row],[Conv]]*(0.01^2))</f>
        <v>0</v>
      </c>
      <c r="EC178" t="s">
        <v>166</v>
      </c>
      <c r="ED178" t="s">
        <v>3299</v>
      </c>
      <c r="EE178" t="s">
        <v>2493</v>
      </c>
      <c r="EF178" t="s">
        <v>169</v>
      </c>
      <c r="EG178" s="35" t="s">
        <v>3786</v>
      </c>
      <c r="EH178" t="s">
        <v>3322</v>
      </c>
      <c r="EI178" s="500">
        <v>100920</v>
      </c>
      <c r="EJ178" s="500">
        <v>100920</v>
      </c>
      <c r="EK178" s="500">
        <v>0</v>
      </c>
      <c r="EL178" s="500">
        <v>0</v>
      </c>
      <c r="EM178" s="500">
        <v>0</v>
      </c>
      <c r="EN178" s="500">
        <v>0</v>
      </c>
      <c r="EO178">
        <v>4.8</v>
      </c>
      <c r="EP178">
        <v>3169</v>
      </c>
      <c r="EQ178">
        <v>0</v>
      </c>
      <c r="ER178">
        <v>3.0000000000000001E-6</v>
      </c>
      <c r="ES178">
        <v>-48700187.638908386</v>
      </c>
      <c r="ET178">
        <v>4.0640113060000003</v>
      </c>
      <c r="EU178">
        <v>1.2436879047430001</v>
      </c>
      <c r="EV178">
        <v>1.2942315200000001</v>
      </c>
      <c r="EW178">
        <v>2.7819770224194</v>
      </c>
      <c r="EX178">
        <v>0</v>
      </c>
      <c r="EY178">
        <v>0</v>
      </c>
      <c r="EZ178">
        <v>0</v>
      </c>
      <c r="FA178">
        <v>806500000</v>
      </c>
      <c r="FB178">
        <v>0</v>
      </c>
      <c r="FC178">
        <v>806500000</v>
      </c>
      <c r="FD178">
        <v>806500000</v>
      </c>
      <c r="FE178">
        <v>806500000</v>
      </c>
      <c r="FF178">
        <v>806500000</v>
      </c>
      <c r="FG178" s="32">
        <f>Bankingbook_SBV[[#This Row],[Mat. Date]]-RPT</f>
        <v>489</v>
      </c>
      <c r="FH178" s="32">
        <f>IF(Bankingbook_SBV[[#This Row],[Days]]&lt;=0,0,YEARFRAC(RPT,Bankingbook_SBV[[#This Row],[Mat. Date]],3))</f>
        <v>1.3397260273972602</v>
      </c>
      <c r="FI178" s="32" t="str">
        <f>IF(Bankingbook_SBV[[#This Row],[Days (year)]]=0,0,INDEX(Ref!$K$2:$K$13,MATCH(Bankingbook_SBV[[#This Row],[Days (year)]],Ref!$I$2:$I$13,1)))</f>
        <v>1Y</v>
      </c>
      <c r="FJ178" s="32" t="str">
        <f>VLOOKUP(Bankingbook_SBV[[#This Row],[Security Name]],Ref!X:Z,3,0)</f>
        <v>TPCPBL</v>
      </c>
      <c r="FK178" s="32" t="str">
        <f>VLOOKUP(Bankingbook_SBV[[#This Row],[Security Name]],Ref!X:Y,2,0)</f>
        <v>VBS</v>
      </c>
      <c r="FL178" s="72">
        <f>IF((Bankingbook_SBV[[#This Row],[Mat. Date]]-RPT)&lt;=0,0,Bankingbook_SBV[[#This Row],[QUANTITY]])</f>
        <v>0</v>
      </c>
      <c r="FM178" s="32">
        <f>IF(Bankingbook_SBV[[#This Row],[Quantity_edited]]=0,0,Bankingbook_SBV[[#This Row],[DURATION]])</f>
        <v>0</v>
      </c>
      <c r="FN178" s="32">
        <f>IF(Bankingbook_SBV[[#This Row],[Quantity_edited]]=0,0,Bankingbook_SBV[[#This Row],[Mod Dur]])</f>
        <v>0</v>
      </c>
      <c r="FO178" s="32">
        <f>IF(Bankingbook_SBV[[#This Row],[Quantity_edited]]=0,0,Bankingbook_SBV[[#This Row],[Cnvx.]])</f>
        <v>0</v>
      </c>
      <c r="FP178" s="32">
        <f>(Bankingbook_SBV[[#This Row],[MARKET_VALUE]]+Bankingbook_SBV[[#This Row],[Accr Int]]*Bankingbook_SBV[[#This Row],[Quantity_edited]])*(-Bankingbook_SBV[[#This Row],[Modified Duration]]*0.0001+0.5*Bankingbook_SBV[[#This Row],[Conv]]*(0.0001^2))</f>
        <v>0</v>
      </c>
      <c r="FQ178" s="32">
        <f>(Bankingbook_SBV[[#This Row],[MARKET_VALUE]]+Bankingbook_SBV[[#This Row],[Accr Int]]*Bankingbook_SBV[[#This Row],[Quantity_edited]])*(-Bankingbook_SBV[[#This Row],[Modified Duration]]*0.01+0.5*Bankingbook_SBV[[#This Row],[Conv]]*(0.01^2))</f>
        <v>0</v>
      </c>
    </row>
    <row r="179" spans="2:173" x14ac:dyDescent="0.3">
      <c r="B179" t="s">
        <v>166</v>
      </c>
      <c r="C179" t="s">
        <v>167</v>
      </c>
      <c r="D179" t="s">
        <v>358</v>
      </c>
      <c r="E179" t="s">
        <v>169</v>
      </c>
      <c r="F179" s="502">
        <v>43278</v>
      </c>
      <c r="G179" t="s">
        <v>170</v>
      </c>
      <c r="H179"/>
      <c r="I179"/>
      <c r="J179" s="38">
        <v>1000000</v>
      </c>
      <c r="K179">
        <v>100000000000</v>
      </c>
      <c r="L179">
        <v>100000</v>
      </c>
      <c r="M179" s="38">
        <v>0</v>
      </c>
      <c r="N179">
        <v>8.6999999999999993</v>
      </c>
      <c r="O179">
        <v>0</v>
      </c>
      <c r="P179" s="37">
        <v>43500000000</v>
      </c>
      <c r="Q179" s="37">
        <v>45586899208.333351</v>
      </c>
      <c r="R179" s="37">
        <v>-14171097222.222246</v>
      </c>
      <c r="S179">
        <v>0</v>
      </c>
      <c r="T179" s="70">
        <v>0</v>
      </c>
      <c r="U179">
        <v>0</v>
      </c>
      <c r="V179">
        <v>0</v>
      </c>
      <c r="W179">
        <v>0</v>
      </c>
      <c r="X179" s="38">
        <v>0</v>
      </c>
      <c r="Y179">
        <v>0</v>
      </c>
      <c r="Z179" s="70">
        <v>0</v>
      </c>
      <c r="AA179" s="70">
        <v>0</v>
      </c>
      <c r="AB179" s="70">
        <v>0</v>
      </c>
      <c r="AC179" s="70">
        <v>0</v>
      </c>
      <c r="AD179" s="70">
        <v>0</v>
      </c>
      <c r="AE179" s="70">
        <v>0</v>
      </c>
      <c r="AF179">
        <v>8.6999999999999993</v>
      </c>
      <c r="AG179" s="72">
        <f>Tradingbook_MSB[[#This Row],[Mat. Date]]-RPT</f>
        <v>-2974</v>
      </c>
      <c r="AH179" s="71">
        <f>IF(Tradingbook_MSB[[#This Row],[Days]]&lt;=0,0,YEARFRAC(RPT,Tradingbook_MSB[[#This Row],[Mat. Date]],3))</f>
        <v>0</v>
      </c>
      <c r="AI179" s="71">
        <f>IF(Tradingbook_MSB[[#This Row],[Days (year)]]=0,0,INDEX(Ref!$K$2:$K$13,MATCH(Tradingbook_MSB[[#This Row],[Days (year)]],Ref!$I$2:$I$13,1)))</f>
        <v>0</v>
      </c>
      <c r="AJ179" s="120" t="str">
        <f>VLOOKUP(Tradingbook_MSB[[#This Row],[Security Name]],Ref!X:Z,3,0)</f>
        <v>TPCQĐP</v>
      </c>
      <c r="AK179" s="120" t="str">
        <f>VLOOKUP(Tradingbook_MSB[[#This Row],[Security Name]],Ref!X:Y,2,0)</f>
        <v>KBHN</v>
      </c>
      <c r="AL179" s="71">
        <f>IF((Tradingbook_MSB[[#This Row],[Mat. Date]]-RPT)&lt;=0,0,Tradingbook_MSB[[#This Row],[QUANTITY]])</f>
        <v>0</v>
      </c>
      <c r="AM179" s="71">
        <f>IF(Tradingbook_MSB[[#This Row],[Quantity_edited]]=0,0,Tradingbook_MSB[[#This Row],[DURATION]])</f>
        <v>0</v>
      </c>
      <c r="AN179" s="71">
        <f>IF(Tradingbook_MSB[[#This Row],[Quantity_edited]]=0,0,Tradingbook_MSB[[#This Row],[Mod Dur]])</f>
        <v>0</v>
      </c>
      <c r="AO179" s="71">
        <f>IF(Tradingbook_MSB[[#This Row],[Quantity_edited]]=0,0,Tradingbook_MSB[[#This Row],[Cnvx.]])</f>
        <v>0</v>
      </c>
      <c r="AP179" s="71">
        <f>(Tradingbook_MSB[[#This Row],[MARKET_VALUE]]+Tradingbook_MSB[[#This Row],[Accr Int]]*Tradingbook_MSB[[#This Row],[Quantity_edited]])*(-Tradingbook_MSB[[#This Row],[Modified Duration]]*0.0001+0.5*Tradingbook_MSB[[#This Row],[Conv]]*(0.0001^2))</f>
        <v>0</v>
      </c>
      <c r="AQ179" s="72">
        <f>(Tradingbook_MSB[[#This Row],[MARKET_VALUE]]+Tradingbook_MSB[[#This Row],[Accr Int]]*Tradingbook_MSB[[#This Row],[Quantity_edited]])*(-Tradingbook_MSB[[#This Row],[Modified Duration]]*0.01+0.5*Tradingbook_MSB[[#This Row],[Conv]]*(0.01^2))</f>
        <v>0</v>
      </c>
      <c r="AR179" s="71"/>
      <c r="AT179" t="s">
        <v>166</v>
      </c>
      <c r="AU179" t="s">
        <v>3302</v>
      </c>
      <c r="AV179" t="s">
        <v>690</v>
      </c>
      <c r="AW179" t="s">
        <v>169</v>
      </c>
      <c r="AX179" t="s">
        <v>691</v>
      </c>
      <c r="AY179" t="s">
        <v>3322</v>
      </c>
      <c r="AZ179">
        <v>87340</v>
      </c>
      <c r="BA179">
        <v>87340</v>
      </c>
      <c r="BB179">
        <v>0</v>
      </c>
      <c r="BC179">
        <v>0</v>
      </c>
      <c r="BD179">
        <v>0</v>
      </c>
      <c r="BE179">
        <v>0</v>
      </c>
      <c r="BF179">
        <v>2.7</v>
      </c>
      <c r="BG179">
        <v>2271</v>
      </c>
      <c r="BH179">
        <v>0</v>
      </c>
      <c r="BI179">
        <v>-1.5E-5</v>
      </c>
      <c r="BJ179">
        <v>-597721549.3054657</v>
      </c>
      <c r="BK179">
        <v>4.4088647920000001</v>
      </c>
      <c r="BL179">
        <v>7.6174415014125998</v>
      </c>
      <c r="BM179">
        <v>7.9532841999999997</v>
      </c>
      <c r="BN179">
        <v>71.218888781557695</v>
      </c>
      <c r="BO179">
        <v>0</v>
      </c>
      <c r="BP179">
        <v>0</v>
      </c>
      <c r="BQ179">
        <v>0</v>
      </c>
      <c r="BR179">
        <v>309000000</v>
      </c>
      <c r="BS179">
        <v>0</v>
      </c>
      <c r="BT179">
        <v>309000000</v>
      </c>
      <c r="BU179">
        <v>309000000</v>
      </c>
      <c r="BV179">
        <v>309000000</v>
      </c>
      <c r="BW179">
        <v>309000000</v>
      </c>
      <c r="BX179">
        <v>0</v>
      </c>
      <c r="BY179" s="32">
        <f>Bankingbook_MSB[[#This Row],[Mat. Date]]-RPT</f>
        <v>3345</v>
      </c>
      <c r="BZ179" s="71">
        <f>IF(Bankingbook_MSB[[#This Row],[Days]]&lt;=0,0,YEARFRAC(RPT,Bankingbook_MSB[[#This Row],[Mat. Date]],3))</f>
        <v>9.1643835616438363</v>
      </c>
      <c r="CA179" s="71" t="str">
        <f>IF(Bankingbook_MSB[[#This Row],[Days (year)]]=0,0,INDEX(Ref!$K$2:$K$13,MATCH(Bankingbook_MSB[[#This Row],[Days (year)]],Ref!$I$2:$I$13,1)))</f>
        <v>10Y</v>
      </c>
      <c r="CB179" s="32" t="str">
        <f>VLOOKUP(Bankingbook_MSB[[#This Row],[Security Name]],Ref!X:Z,3,0)</f>
        <v>TPCP</v>
      </c>
      <c r="CC179" s="32" t="str">
        <f>VLOOKUP(Bankingbook_MSB[[#This Row],[Security Name]],Ref!X:Y,2,0)</f>
        <v>KBNN</v>
      </c>
      <c r="CD179" s="72">
        <f>IF((Bankingbook_MSB[[#This Row],[Mat. Date]]-RPT)&lt;=0,0,Bankingbook_MSB[[#This Row],[QUANTITY]])</f>
        <v>0</v>
      </c>
      <c r="CE179" s="71">
        <f>IF(Bankingbook_MSB[[#This Row],[Quantity_edited]]=0,0,Bankingbook_MSB[[#This Row],[DURATION]])</f>
        <v>0</v>
      </c>
      <c r="CF179" s="71">
        <f>IF(Bankingbook_MSB[[#This Row],[Quantity_edited]]=0,0,Bankingbook_MSB[[#This Row],[Mod Dur]])</f>
        <v>0</v>
      </c>
      <c r="CG179" s="71">
        <f>IF(Bankingbook_MSB[[#This Row],[Quantity_edited]]=0,0,Bankingbook_MSB[[#This Row],[Cnvx.]])</f>
        <v>0</v>
      </c>
      <c r="CH179" s="71">
        <f>(Bankingbook_MSB[[#This Row],[MARKET_VALUE]]+Bankingbook_MSB[[#This Row],[Accr Int]]*Bankingbook_MSB[[#This Row],[Quantity_edited]])*(-Bankingbook_MSB[[#This Row],[Modified Duration]]*0.0001+0.5*Bankingbook_MSB[[#This Row],[Conv]]*(0.0001^2))</f>
        <v>0</v>
      </c>
      <c r="CI179" s="71">
        <f>(Bankingbook_MSB[[#This Row],[MARKET_VALUE]]+Bankingbook_MSB[[#This Row],[Accr Int]]*Bankingbook_MSB[[#This Row],[Quantity_edited]])*(-Bankingbook_MSB[[#This Row],[Modified Duration]]*0.01+0.5*Bankingbook_MSB[[#This Row],[Conv]]*(0.01^2))</f>
        <v>0</v>
      </c>
      <c r="CL179" t="s">
        <v>166</v>
      </c>
      <c r="CM179" t="s">
        <v>167</v>
      </c>
      <c r="CN179" t="s">
        <v>358</v>
      </c>
      <c r="CO179" t="s">
        <v>169</v>
      </c>
      <c r="CP179" s="35">
        <v>43278</v>
      </c>
      <c r="CQ179" t="s">
        <v>170</v>
      </c>
      <c r="CR179" t="s">
        <v>174</v>
      </c>
      <c r="CS179" t="s">
        <v>174</v>
      </c>
      <c r="CT179" s="49">
        <v>1000000</v>
      </c>
      <c r="CU179">
        <v>100000000000</v>
      </c>
      <c r="CV179">
        <v>100000</v>
      </c>
      <c r="CW179" s="70">
        <v>0</v>
      </c>
      <c r="CX179">
        <v>8.6999999999999993</v>
      </c>
      <c r="CY179">
        <v>0</v>
      </c>
      <c r="CZ179">
        <v>43500000000</v>
      </c>
      <c r="DA179">
        <v>45586899208.333351</v>
      </c>
      <c r="DB179">
        <v>-14171097222.222246</v>
      </c>
      <c r="DC179">
        <v>0</v>
      </c>
      <c r="DD179">
        <v>0</v>
      </c>
      <c r="DE179">
        <v>0</v>
      </c>
      <c r="DF179">
        <v>0</v>
      </c>
      <c r="DG179">
        <v>0</v>
      </c>
      <c r="DH179">
        <v>0</v>
      </c>
      <c r="DI179">
        <v>0</v>
      </c>
      <c r="DJ179" s="500">
        <v>0</v>
      </c>
      <c r="DK179" s="500">
        <v>0</v>
      </c>
      <c r="DL179" s="37">
        <v>0</v>
      </c>
      <c r="DM179" s="37">
        <v>0</v>
      </c>
      <c r="DN179" s="37">
        <v>0</v>
      </c>
      <c r="DO179" s="37">
        <v>0</v>
      </c>
      <c r="DP179" s="32">
        <f>Tradingbook_SBV[[#This Row],[Mat. Date]]-RPT</f>
        <v>-2974</v>
      </c>
      <c r="DQ179" s="32">
        <f>IF(Tradingbook_SBV[[#This Row],[Days]]&lt;=0,0,YEARFRAC(RPT,Tradingbook_SBV[[#This Row],[Mat. Date]],3))</f>
        <v>0</v>
      </c>
      <c r="DR179" s="32">
        <f>IF(Tradingbook_SBV[[#This Row],[Days (year)]]=0,0,INDEX(Ref!$K$2:$K$13,MATCH(Tradingbook_SBV[[#This Row],[Days (year)]],Ref!$I$2:$I$13,1)))</f>
        <v>0</v>
      </c>
      <c r="DS179" s="32" t="str">
        <f>VLOOKUP(Tradingbook_SBV[[#This Row],[Security Name]],Ref!X:Z,3,0)</f>
        <v>TPCQĐP</v>
      </c>
      <c r="DT179" s="32" t="str">
        <f>VLOOKUP(Tradingbook_SBV[[#This Row],[Security Name]],Ref!X:Y,2,0)</f>
        <v>KBHN</v>
      </c>
      <c r="DU179" s="71">
        <f>IF((Tradingbook_SBV[[#This Row],[Mat. Date]]-RPT)&lt;=0,0,Tradingbook_SBV[[#This Row],[QUANTITY]])</f>
        <v>0</v>
      </c>
      <c r="DV179" s="71">
        <f>IF(Tradingbook_SBV[[#This Row],[Quantity_edited]]=0,0,Tradingbook_SBV[[#This Row],[DURATION]])</f>
        <v>0</v>
      </c>
      <c r="DW179" s="71">
        <f>IF(Tradingbook_SBV[[#This Row],[Quantity_edited]]=0,0,Tradingbook_SBV[[#This Row],[Mod Dur]])</f>
        <v>0</v>
      </c>
      <c r="DX179" s="71">
        <f>IF(Tradingbook_SBV[[#This Row],[Quantity_edited]]=0,0,Tradingbook_SBV[[#This Row],[Cnvx.]])</f>
        <v>0</v>
      </c>
      <c r="DY179" s="71">
        <f>(Tradingbook_SBV[[#This Row],[MARKET_VALUE]]+Tradingbook_SBV[[#This Row],[Accr Int]]*Tradingbook_SBV[[#This Row],[Quantity_edited]])*(-Tradingbook_SBV[[#This Row],[Modified Duration]]*0.0001+0.5*Tradingbook_SBV[[#This Row],[Conv]]*(0.0001^2))</f>
        <v>0</v>
      </c>
      <c r="DZ179" s="71">
        <f>(Tradingbook_SBV[[#This Row],[MARKET_VALUE]]+Tradingbook_SBV[[#This Row],[Accr Int]]*Tradingbook_SBV[[#This Row],[Quantity_edited]])*(-Tradingbook_SBV[[#This Row],[Modified Duration]]*0.01+0.5*Tradingbook_SBV[[#This Row],[Conv]]*(0.01^2))</f>
        <v>0</v>
      </c>
      <c r="EC179" t="s">
        <v>166</v>
      </c>
      <c r="ED179" t="s">
        <v>3299</v>
      </c>
      <c r="EE179" t="s">
        <v>580</v>
      </c>
      <c r="EF179" t="s">
        <v>169</v>
      </c>
      <c r="EG179" s="35" t="s">
        <v>3787</v>
      </c>
      <c r="EH179" t="s">
        <v>3322</v>
      </c>
      <c r="EI179" s="500">
        <v>102007</v>
      </c>
      <c r="EJ179" s="500">
        <v>102007</v>
      </c>
      <c r="EK179" s="500">
        <v>0</v>
      </c>
      <c r="EL179" s="500">
        <v>0</v>
      </c>
      <c r="EM179" s="500">
        <v>0</v>
      </c>
      <c r="EN179" s="500">
        <v>0</v>
      </c>
      <c r="EO179">
        <v>5.0999999999999996</v>
      </c>
      <c r="EP179">
        <v>3158</v>
      </c>
      <c r="EQ179">
        <v>20400000000</v>
      </c>
      <c r="ER179">
        <v>24086330645.833363</v>
      </c>
      <c r="ES179">
        <v>-6669358680.625061</v>
      </c>
      <c r="ET179">
        <v>3.5685508000000001</v>
      </c>
      <c r="EU179">
        <v>1.2870412266857001</v>
      </c>
      <c r="EV179">
        <v>1.3329699500000001</v>
      </c>
      <c r="EW179">
        <v>2.9416466213189998</v>
      </c>
      <c r="EX179">
        <v>0</v>
      </c>
      <c r="EY179">
        <v>0</v>
      </c>
      <c r="EZ179">
        <v>0</v>
      </c>
      <c r="FA179">
        <v>31483500000</v>
      </c>
      <c r="FB179">
        <v>0</v>
      </c>
      <c r="FC179">
        <v>31483500000</v>
      </c>
      <c r="FD179">
        <v>31483500000</v>
      </c>
      <c r="FE179">
        <v>31483500000</v>
      </c>
      <c r="FF179">
        <v>31483500000</v>
      </c>
      <c r="FG179" s="32">
        <f>Bankingbook_SBV[[#This Row],[Mat. Date]]-RPT</f>
        <v>504</v>
      </c>
      <c r="FH179" s="32">
        <f>IF(Bankingbook_SBV[[#This Row],[Days]]&lt;=0,0,YEARFRAC(RPT,Bankingbook_SBV[[#This Row],[Mat. Date]],3))</f>
        <v>1.3808219178082193</v>
      </c>
      <c r="FI179" s="32" t="str">
        <f>IF(Bankingbook_SBV[[#This Row],[Days (year)]]=0,0,INDEX(Ref!$K$2:$K$13,MATCH(Bankingbook_SBV[[#This Row],[Days (year)]],Ref!$I$2:$I$13,1)))</f>
        <v>1Y</v>
      </c>
      <c r="FJ179" s="32" t="str">
        <f>VLOOKUP(Bankingbook_SBV[[#This Row],[Security Name]],Ref!X:Z,3,0)</f>
        <v>TPCP</v>
      </c>
      <c r="FK179" s="32" t="str">
        <f>VLOOKUP(Bankingbook_SBV[[#This Row],[Security Name]],Ref!X:Y,2,0)</f>
        <v>KBNN</v>
      </c>
      <c r="FL179" s="72">
        <f>IF((Bankingbook_SBV[[#This Row],[Mat. Date]]-RPT)&lt;=0,0,Bankingbook_SBV[[#This Row],[QUANTITY]])</f>
        <v>0</v>
      </c>
      <c r="FM179" s="32">
        <f>IF(Bankingbook_SBV[[#This Row],[Quantity_edited]]=0,0,Bankingbook_SBV[[#This Row],[DURATION]])</f>
        <v>0</v>
      </c>
      <c r="FN179" s="32">
        <f>IF(Bankingbook_SBV[[#This Row],[Quantity_edited]]=0,0,Bankingbook_SBV[[#This Row],[Mod Dur]])</f>
        <v>0</v>
      </c>
      <c r="FO179" s="32">
        <f>IF(Bankingbook_SBV[[#This Row],[Quantity_edited]]=0,0,Bankingbook_SBV[[#This Row],[Cnvx.]])</f>
        <v>0</v>
      </c>
      <c r="FP179" s="32">
        <f>(Bankingbook_SBV[[#This Row],[MARKET_VALUE]]+Bankingbook_SBV[[#This Row],[Accr Int]]*Bankingbook_SBV[[#This Row],[Quantity_edited]])*(-Bankingbook_SBV[[#This Row],[Modified Duration]]*0.0001+0.5*Bankingbook_SBV[[#This Row],[Conv]]*(0.0001^2))</f>
        <v>0</v>
      </c>
      <c r="FQ179" s="32">
        <f>(Bankingbook_SBV[[#This Row],[MARKET_VALUE]]+Bankingbook_SBV[[#This Row],[Accr Int]]*Bankingbook_SBV[[#This Row],[Quantity_edited]])*(-Bankingbook_SBV[[#This Row],[Modified Duration]]*0.01+0.5*Bankingbook_SBV[[#This Row],[Conv]]*(0.01^2))</f>
        <v>0</v>
      </c>
    </row>
    <row r="180" spans="2:173" x14ac:dyDescent="0.3">
      <c r="B180" t="s">
        <v>166</v>
      </c>
      <c r="C180" t="s">
        <v>167</v>
      </c>
      <c r="D180" t="s">
        <v>359</v>
      </c>
      <c r="E180" t="s">
        <v>169</v>
      </c>
      <c r="F180" s="502">
        <v>43281</v>
      </c>
      <c r="G180" t="s">
        <v>170</v>
      </c>
      <c r="H180"/>
      <c r="I180"/>
      <c r="J180" s="38">
        <v>2000000</v>
      </c>
      <c r="K180">
        <v>200000000000</v>
      </c>
      <c r="L180">
        <v>103828.667</v>
      </c>
      <c r="M180" s="38">
        <v>0</v>
      </c>
      <c r="N180">
        <v>9.18</v>
      </c>
      <c r="O180">
        <v>0</v>
      </c>
      <c r="P180" s="37">
        <v>55080000000</v>
      </c>
      <c r="Q180" s="37">
        <v>56049854250.000015</v>
      </c>
      <c r="R180" s="37">
        <v>-17144024993.33342</v>
      </c>
      <c r="S180">
        <v>0</v>
      </c>
      <c r="T180" s="70">
        <v>0</v>
      </c>
      <c r="U180">
        <v>0</v>
      </c>
      <c r="V180">
        <v>0</v>
      </c>
      <c r="W180">
        <v>0</v>
      </c>
      <c r="X180" s="38">
        <v>0</v>
      </c>
      <c r="Y180">
        <v>0</v>
      </c>
      <c r="Z180" s="70">
        <v>-17266000000.000031</v>
      </c>
      <c r="AA180" s="70">
        <v>0</v>
      </c>
      <c r="AB180" s="70">
        <v>-17266000000.000031</v>
      </c>
      <c r="AC180" s="70">
        <v>-17266000000.000031</v>
      </c>
      <c r="AD180" s="70">
        <v>-17266000000</v>
      </c>
      <c r="AE180" s="70">
        <v>-17266000000.000031</v>
      </c>
      <c r="AF180">
        <v>12.272811597</v>
      </c>
      <c r="AG180" s="72">
        <f>Tradingbook_MSB[[#This Row],[Mat. Date]]-RPT</f>
        <v>-2971</v>
      </c>
      <c r="AH180" s="71">
        <f>IF(Tradingbook_MSB[[#This Row],[Days]]&lt;=0,0,YEARFRAC(RPT,Tradingbook_MSB[[#This Row],[Mat. Date]],3))</f>
        <v>0</v>
      </c>
      <c r="AI180" s="71">
        <f>IF(Tradingbook_MSB[[#This Row],[Days (year)]]=0,0,INDEX(Ref!$K$2:$K$13,MATCH(Tradingbook_MSB[[#This Row],[Days (year)]],Ref!$I$2:$I$13,1)))</f>
        <v>0</v>
      </c>
      <c r="AJ180" s="120" t="str">
        <f>VLOOKUP(Tradingbook_MSB[[#This Row],[Security Name]],Ref!X:Z,3,0)</f>
        <v>TPCP</v>
      </c>
      <c r="AK180" s="120" t="str">
        <f>VLOOKUP(Tradingbook_MSB[[#This Row],[Security Name]],Ref!X:Y,2,0)</f>
        <v>VDB</v>
      </c>
      <c r="AL180" s="71">
        <f>IF((Tradingbook_MSB[[#This Row],[Mat. Date]]-RPT)&lt;=0,0,Tradingbook_MSB[[#This Row],[QUANTITY]])</f>
        <v>0</v>
      </c>
      <c r="AM180" s="71">
        <f>IF(Tradingbook_MSB[[#This Row],[Quantity_edited]]=0,0,Tradingbook_MSB[[#This Row],[DURATION]])</f>
        <v>0</v>
      </c>
      <c r="AN180" s="71">
        <f>IF(Tradingbook_MSB[[#This Row],[Quantity_edited]]=0,0,Tradingbook_MSB[[#This Row],[Mod Dur]])</f>
        <v>0</v>
      </c>
      <c r="AO180" s="71">
        <f>IF(Tradingbook_MSB[[#This Row],[Quantity_edited]]=0,0,Tradingbook_MSB[[#This Row],[Cnvx.]])</f>
        <v>0</v>
      </c>
      <c r="AP180" s="71">
        <f>(Tradingbook_MSB[[#This Row],[MARKET_VALUE]]+Tradingbook_MSB[[#This Row],[Accr Int]]*Tradingbook_MSB[[#This Row],[Quantity_edited]])*(-Tradingbook_MSB[[#This Row],[Modified Duration]]*0.0001+0.5*Tradingbook_MSB[[#This Row],[Conv]]*(0.0001^2))</f>
        <v>0</v>
      </c>
      <c r="AQ180" s="72">
        <f>(Tradingbook_MSB[[#This Row],[MARKET_VALUE]]+Tradingbook_MSB[[#This Row],[Accr Int]]*Tradingbook_MSB[[#This Row],[Quantity_edited]])*(-Tradingbook_MSB[[#This Row],[Modified Duration]]*0.01+0.5*Tradingbook_MSB[[#This Row],[Conv]]*(0.01^2))</f>
        <v>0</v>
      </c>
      <c r="AR180" s="71"/>
      <c r="AT180" t="s">
        <v>166</v>
      </c>
      <c r="AU180" t="s">
        <v>3302</v>
      </c>
      <c r="AV180" t="s">
        <v>693</v>
      </c>
      <c r="AW180" t="s">
        <v>169</v>
      </c>
      <c r="AX180" t="s">
        <v>694</v>
      </c>
      <c r="AY180" t="s">
        <v>170</v>
      </c>
      <c r="AZ180">
        <v>87170</v>
      </c>
      <c r="BA180">
        <v>87170</v>
      </c>
      <c r="BB180">
        <v>500000</v>
      </c>
      <c r="BC180">
        <v>50000000000</v>
      </c>
      <c r="BD180">
        <v>100075.727</v>
      </c>
      <c r="BE180">
        <v>43585000000</v>
      </c>
      <c r="BF180">
        <v>2.7</v>
      </c>
      <c r="BG180">
        <v>1960</v>
      </c>
      <c r="BH180">
        <v>1350000000</v>
      </c>
      <c r="BI180">
        <v>1406928749.9999809</v>
      </c>
      <c r="BJ180">
        <v>-5376363438.3331633</v>
      </c>
      <c r="BK180">
        <v>4.4142682549999996</v>
      </c>
      <c r="BL180">
        <v>7.7269324025234001</v>
      </c>
      <c r="BM180">
        <v>8.0680199300000002</v>
      </c>
      <c r="BN180">
        <v>73.004355580913696</v>
      </c>
      <c r="BO180">
        <v>32534.391064634201</v>
      </c>
      <c r="BP180">
        <v>-34435.074251846003</v>
      </c>
      <c r="BQ180">
        <v>5274.384</v>
      </c>
      <c r="BR180">
        <v>-403636363.63639671</v>
      </c>
      <c r="BS180">
        <v>-6452863636.3636398</v>
      </c>
      <c r="BT180">
        <v>-6856500000.0000362</v>
      </c>
      <c r="BU180">
        <v>-6856500000.0000362</v>
      </c>
      <c r="BV180">
        <v>-6856500000</v>
      </c>
      <c r="BW180">
        <v>-6856500000.0000362</v>
      </c>
      <c r="BX180">
        <v>2.6890909089999999</v>
      </c>
      <c r="BY180" s="32">
        <f>Bankingbook_MSB[[#This Row],[Mat. Date]]-RPT</f>
        <v>3387</v>
      </c>
      <c r="BZ180" s="71">
        <f>IF(Bankingbook_MSB[[#This Row],[Days]]&lt;=0,0,YEARFRAC(RPT,Bankingbook_MSB[[#This Row],[Mat. Date]],3))</f>
        <v>9.2794520547945201</v>
      </c>
      <c r="CA180" s="71" t="str">
        <f>IF(Bankingbook_MSB[[#This Row],[Days (year)]]=0,0,INDEX(Ref!$K$2:$K$13,MATCH(Bankingbook_MSB[[#This Row],[Days (year)]],Ref!$I$2:$I$13,1)))</f>
        <v>10Y</v>
      </c>
      <c r="CB180" s="32" t="str">
        <f>VLOOKUP(Bankingbook_MSB[[#This Row],[Security Name]],Ref!X:Z,3,0)</f>
        <v>TPCP</v>
      </c>
      <c r="CC180" s="32" t="str">
        <f>VLOOKUP(Bankingbook_MSB[[#This Row],[Security Name]],Ref!X:Y,2,0)</f>
        <v>KBNN</v>
      </c>
      <c r="CD180" s="72">
        <f>IF((Bankingbook_MSB[[#This Row],[Mat. Date]]-RPT)&lt;=0,0,Bankingbook_MSB[[#This Row],[QUANTITY]])</f>
        <v>500000</v>
      </c>
      <c r="CE180" s="71">
        <f>IF(Bankingbook_MSB[[#This Row],[Quantity_edited]]=0,0,Bankingbook_MSB[[#This Row],[DURATION]])</f>
        <v>8.0680199300000002</v>
      </c>
      <c r="CF180" s="71">
        <f>IF(Bankingbook_MSB[[#This Row],[Quantity_edited]]=0,0,Bankingbook_MSB[[#This Row],[Mod Dur]])</f>
        <v>7.7269324025234001</v>
      </c>
      <c r="CG180" s="71">
        <f>IF(Bankingbook_MSB[[#This Row],[Quantity_edited]]=0,0,Bankingbook_MSB[[#This Row],[Cnvx.]])</f>
        <v>73.004355580913696</v>
      </c>
      <c r="CH180" s="71">
        <f>(Bankingbook_MSB[[#This Row],[MARKET_VALUE]]+Bankingbook_MSB[[#This Row],[Accr Int]]*Bankingbook_MSB[[#This Row],[Quantity_edited]])*(-Bankingbook_MSB[[#This Row],[Modified Duration]]*0.0001+0.5*Bankingbook_MSB[[#This Row],[Conv]]*(0.0001^2))</f>
        <v>-34418807.056313217</v>
      </c>
      <c r="CI180" s="71">
        <f>(Bankingbook_MSB[[#This Row],[MARKET_VALUE]]+Bankingbook_MSB[[#This Row],[Accr Int]]*Bankingbook_MSB[[#This Row],[Quantity_edited]])*(-Bankingbook_MSB[[#This Row],[Modified Duration]]*0.01+0.5*Bankingbook_MSB[[#This Row],[Conv]]*(0.01^2))</f>
        <v>-3280835469.861382</v>
      </c>
      <c r="CL180" t="s">
        <v>166</v>
      </c>
      <c r="CM180" t="s">
        <v>167</v>
      </c>
      <c r="CN180" t="s">
        <v>359</v>
      </c>
      <c r="CO180" t="s">
        <v>169</v>
      </c>
      <c r="CP180" s="35">
        <v>43281</v>
      </c>
      <c r="CQ180" t="s">
        <v>3322</v>
      </c>
      <c r="CR180" t="s">
        <v>174</v>
      </c>
      <c r="CS180" t="s">
        <v>174</v>
      </c>
      <c r="CT180" s="49">
        <v>0</v>
      </c>
      <c r="CU180">
        <v>0</v>
      </c>
      <c r="CV180">
        <v>0</v>
      </c>
      <c r="CW180" s="70">
        <v>0</v>
      </c>
      <c r="CX180">
        <v>9.18</v>
      </c>
      <c r="CY180">
        <v>0</v>
      </c>
      <c r="CZ180">
        <v>55080000000</v>
      </c>
      <c r="DA180">
        <v>56049854250.000015</v>
      </c>
      <c r="DB180">
        <v>-17135697910.000116</v>
      </c>
      <c r="DC180">
        <v>0</v>
      </c>
      <c r="DD180">
        <v>0</v>
      </c>
      <c r="DE180">
        <v>0</v>
      </c>
      <c r="DF180">
        <v>0</v>
      </c>
      <c r="DG180">
        <v>0</v>
      </c>
      <c r="DH180">
        <v>0</v>
      </c>
      <c r="DI180">
        <v>0</v>
      </c>
      <c r="DJ180" s="500">
        <v>-17316000000</v>
      </c>
      <c r="DK180" s="500">
        <v>0</v>
      </c>
      <c r="DL180" s="37">
        <v>-17316000000</v>
      </c>
      <c r="DM180" s="37">
        <v>-17316000000</v>
      </c>
      <c r="DN180" s="37">
        <v>-17316000000</v>
      </c>
      <c r="DO180" s="37">
        <v>-17316000000</v>
      </c>
      <c r="DP180" s="32">
        <f>Tradingbook_SBV[[#This Row],[Mat. Date]]-RPT</f>
        <v>-2971</v>
      </c>
      <c r="DQ180" s="32">
        <f>IF(Tradingbook_SBV[[#This Row],[Days]]&lt;=0,0,YEARFRAC(RPT,Tradingbook_SBV[[#This Row],[Mat. Date]],3))</f>
        <v>0</v>
      </c>
      <c r="DR180" s="32">
        <f>IF(Tradingbook_SBV[[#This Row],[Days (year)]]=0,0,INDEX(Ref!$K$2:$K$13,MATCH(Tradingbook_SBV[[#This Row],[Days (year)]],Ref!$I$2:$I$13,1)))</f>
        <v>0</v>
      </c>
      <c r="DS180" s="32" t="str">
        <f>VLOOKUP(Tradingbook_SBV[[#This Row],[Security Name]],Ref!X:Z,3,0)</f>
        <v>TPCP</v>
      </c>
      <c r="DT180" s="32" t="str">
        <f>VLOOKUP(Tradingbook_SBV[[#This Row],[Security Name]],Ref!X:Y,2,0)</f>
        <v>VDB</v>
      </c>
      <c r="DU180" s="71">
        <f>IF((Tradingbook_SBV[[#This Row],[Mat. Date]]-RPT)&lt;=0,0,Tradingbook_SBV[[#This Row],[QUANTITY]])</f>
        <v>0</v>
      </c>
      <c r="DV180" s="71">
        <f>IF(Tradingbook_SBV[[#This Row],[Quantity_edited]]=0,0,Tradingbook_SBV[[#This Row],[DURATION]])</f>
        <v>0</v>
      </c>
      <c r="DW180" s="71">
        <f>IF(Tradingbook_SBV[[#This Row],[Quantity_edited]]=0,0,Tradingbook_SBV[[#This Row],[Mod Dur]])</f>
        <v>0</v>
      </c>
      <c r="DX180" s="71">
        <f>IF(Tradingbook_SBV[[#This Row],[Quantity_edited]]=0,0,Tradingbook_SBV[[#This Row],[Cnvx.]])</f>
        <v>0</v>
      </c>
      <c r="DY180" s="71">
        <f>(Tradingbook_SBV[[#This Row],[MARKET_VALUE]]+Tradingbook_SBV[[#This Row],[Accr Int]]*Tradingbook_SBV[[#This Row],[Quantity_edited]])*(-Tradingbook_SBV[[#This Row],[Modified Duration]]*0.0001+0.5*Tradingbook_SBV[[#This Row],[Conv]]*(0.0001^2))</f>
        <v>0</v>
      </c>
      <c r="DZ180" s="71">
        <f>(Tradingbook_SBV[[#This Row],[MARKET_VALUE]]+Tradingbook_SBV[[#This Row],[Accr Int]]*Tradingbook_SBV[[#This Row],[Quantity_edited]])*(-Tradingbook_SBV[[#This Row],[Modified Duration]]*0.01+0.5*Tradingbook_SBV[[#This Row],[Conv]]*(0.01^2))</f>
        <v>0</v>
      </c>
      <c r="EC180" t="s">
        <v>166</v>
      </c>
      <c r="ED180" t="s">
        <v>3299</v>
      </c>
      <c r="EE180" t="s">
        <v>581</v>
      </c>
      <c r="EF180" t="s">
        <v>169</v>
      </c>
      <c r="EG180" s="35" t="s">
        <v>3413</v>
      </c>
      <c r="EH180" t="s">
        <v>3322</v>
      </c>
      <c r="EI180" s="500">
        <v>101001</v>
      </c>
      <c r="EJ180" s="500">
        <v>101001</v>
      </c>
      <c r="EK180" s="500">
        <v>0</v>
      </c>
      <c r="EL180" s="500">
        <v>0</v>
      </c>
      <c r="EM180" s="500">
        <v>0</v>
      </c>
      <c r="EN180" s="500">
        <v>0</v>
      </c>
      <c r="EO180">
        <v>4.3</v>
      </c>
      <c r="EP180">
        <v>2250</v>
      </c>
      <c r="EQ180">
        <v>38700000000</v>
      </c>
      <c r="ER180">
        <v>44682076388.888855</v>
      </c>
      <c r="ES180">
        <v>-13167722325.235897</v>
      </c>
      <c r="ET180">
        <v>3.578772995</v>
      </c>
      <c r="EU180">
        <v>1.3861512993239999</v>
      </c>
      <c r="EV180">
        <v>1.4357585100000001</v>
      </c>
      <c r="EW180">
        <v>3.2962828893601999</v>
      </c>
      <c r="EX180">
        <v>0</v>
      </c>
      <c r="EY180">
        <v>0</v>
      </c>
      <c r="EZ180">
        <v>0</v>
      </c>
      <c r="FA180">
        <v>45544900000</v>
      </c>
      <c r="FB180">
        <v>0</v>
      </c>
      <c r="FC180">
        <v>45544900000</v>
      </c>
      <c r="FD180">
        <v>45544900000</v>
      </c>
      <c r="FE180">
        <v>45544900000</v>
      </c>
      <c r="FF180">
        <v>45544900000</v>
      </c>
      <c r="FG180" s="32">
        <f>Bankingbook_SBV[[#This Row],[Mat. Date]]-RPT</f>
        <v>539</v>
      </c>
      <c r="FH180" s="32">
        <f>IF(Bankingbook_SBV[[#This Row],[Days]]&lt;=0,0,YEARFRAC(RPT,Bankingbook_SBV[[#This Row],[Mat. Date]],3))</f>
        <v>1.4767123287671233</v>
      </c>
      <c r="FI180" s="32" t="str">
        <f>IF(Bankingbook_SBV[[#This Row],[Days (year)]]=0,0,INDEX(Ref!$K$2:$K$13,MATCH(Bankingbook_SBV[[#This Row],[Days (year)]],Ref!$I$2:$I$13,1)))</f>
        <v>1Y</v>
      </c>
      <c r="FJ180" s="32" t="str">
        <f>VLOOKUP(Bankingbook_SBV[[#This Row],[Security Name]],Ref!X:Z,3,0)</f>
        <v>TPCP</v>
      </c>
      <c r="FK180" s="32" t="str">
        <f>VLOOKUP(Bankingbook_SBV[[#This Row],[Security Name]],Ref!X:Y,2,0)</f>
        <v>KBNN</v>
      </c>
      <c r="FL180" s="72">
        <f>IF((Bankingbook_SBV[[#This Row],[Mat. Date]]-RPT)&lt;=0,0,Bankingbook_SBV[[#This Row],[QUANTITY]])</f>
        <v>0</v>
      </c>
      <c r="FM180" s="32">
        <f>IF(Bankingbook_SBV[[#This Row],[Quantity_edited]]=0,0,Bankingbook_SBV[[#This Row],[DURATION]])</f>
        <v>0</v>
      </c>
      <c r="FN180" s="32">
        <f>IF(Bankingbook_SBV[[#This Row],[Quantity_edited]]=0,0,Bankingbook_SBV[[#This Row],[Mod Dur]])</f>
        <v>0</v>
      </c>
      <c r="FO180" s="32">
        <f>IF(Bankingbook_SBV[[#This Row],[Quantity_edited]]=0,0,Bankingbook_SBV[[#This Row],[Cnvx.]])</f>
        <v>0</v>
      </c>
      <c r="FP180" s="32">
        <f>(Bankingbook_SBV[[#This Row],[MARKET_VALUE]]+Bankingbook_SBV[[#This Row],[Accr Int]]*Bankingbook_SBV[[#This Row],[Quantity_edited]])*(-Bankingbook_SBV[[#This Row],[Modified Duration]]*0.0001+0.5*Bankingbook_SBV[[#This Row],[Conv]]*(0.0001^2))</f>
        <v>0</v>
      </c>
      <c r="FQ180" s="32">
        <f>(Bankingbook_SBV[[#This Row],[MARKET_VALUE]]+Bankingbook_SBV[[#This Row],[Accr Int]]*Bankingbook_SBV[[#This Row],[Quantity_edited]])*(-Bankingbook_SBV[[#This Row],[Modified Duration]]*0.01+0.5*Bankingbook_SBV[[#This Row],[Conv]]*(0.01^2))</f>
        <v>0</v>
      </c>
    </row>
    <row r="181" spans="2:173" x14ac:dyDescent="0.3">
      <c r="B181" t="s">
        <v>166</v>
      </c>
      <c r="C181" t="s">
        <v>167</v>
      </c>
      <c r="D181" t="s">
        <v>360</v>
      </c>
      <c r="E181" t="s">
        <v>169</v>
      </c>
      <c r="F181" s="502">
        <v>43332</v>
      </c>
      <c r="G181" t="s">
        <v>170</v>
      </c>
      <c r="H181"/>
      <c r="I181"/>
      <c r="J181" s="38">
        <v>1000000</v>
      </c>
      <c r="K181">
        <v>100000000000</v>
      </c>
      <c r="L181">
        <v>112425.333</v>
      </c>
      <c r="M181" s="38">
        <v>0</v>
      </c>
      <c r="N181">
        <v>15</v>
      </c>
      <c r="O181">
        <v>0</v>
      </c>
      <c r="P181" s="37">
        <v>60000000000</v>
      </c>
      <c r="Q181" s="37">
        <v>61978229166.666679</v>
      </c>
      <c r="R181" s="37">
        <v>-11186048825.277826</v>
      </c>
      <c r="S181">
        <v>0</v>
      </c>
      <c r="T181" s="70">
        <v>0</v>
      </c>
      <c r="U181">
        <v>0</v>
      </c>
      <c r="V181">
        <v>0</v>
      </c>
      <c r="W181">
        <v>0</v>
      </c>
      <c r="X181" s="38">
        <v>0</v>
      </c>
      <c r="Y181">
        <v>0</v>
      </c>
      <c r="Z181" s="70">
        <v>-23045999999.999985</v>
      </c>
      <c r="AA181" s="70">
        <v>0</v>
      </c>
      <c r="AB181" s="70">
        <v>-23045999999.999985</v>
      </c>
      <c r="AC181" s="70">
        <v>-23045999999.999985</v>
      </c>
      <c r="AD181" s="70">
        <v>-23046000000</v>
      </c>
      <c r="AE181" s="70">
        <v>-23045999999.999985</v>
      </c>
      <c r="AF181">
        <v>7.0733333329999999</v>
      </c>
      <c r="AG181" s="72">
        <f>Tradingbook_MSB[[#This Row],[Mat. Date]]-RPT</f>
        <v>-2920</v>
      </c>
      <c r="AH181" s="71">
        <f>IF(Tradingbook_MSB[[#This Row],[Days]]&lt;=0,0,YEARFRAC(RPT,Tradingbook_MSB[[#This Row],[Mat. Date]],3))</f>
        <v>0</v>
      </c>
      <c r="AI181" s="71">
        <f>IF(Tradingbook_MSB[[#This Row],[Days (year)]]=0,0,INDEX(Ref!$K$2:$K$13,MATCH(Tradingbook_MSB[[#This Row],[Days (year)]],Ref!$I$2:$I$13,1)))</f>
        <v>0</v>
      </c>
      <c r="AJ181" s="120" t="str">
        <f>VLOOKUP(Tradingbook_MSB[[#This Row],[Security Name]],Ref!X:Z,3,0)</f>
        <v>TPCP</v>
      </c>
      <c r="AK181" s="120" t="str">
        <f>VLOOKUP(Tradingbook_MSB[[#This Row],[Security Name]],Ref!X:Y,2,0)</f>
        <v>VDB</v>
      </c>
      <c r="AL181" s="71">
        <f>IF((Tradingbook_MSB[[#This Row],[Mat. Date]]-RPT)&lt;=0,0,Tradingbook_MSB[[#This Row],[QUANTITY]])</f>
        <v>0</v>
      </c>
      <c r="AM181" s="71">
        <f>IF(Tradingbook_MSB[[#This Row],[Quantity_edited]]=0,0,Tradingbook_MSB[[#This Row],[DURATION]])</f>
        <v>0</v>
      </c>
      <c r="AN181" s="71">
        <f>IF(Tradingbook_MSB[[#This Row],[Quantity_edited]]=0,0,Tradingbook_MSB[[#This Row],[Mod Dur]])</f>
        <v>0</v>
      </c>
      <c r="AO181" s="71">
        <f>IF(Tradingbook_MSB[[#This Row],[Quantity_edited]]=0,0,Tradingbook_MSB[[#This Row],[Cnvx.]])</f>
        <v>0</v>
      </c>
      <c r="AP181" s="71">
        <f>(Tradingbook_MSB[[#This Row],[MARKET_VALUE]]+Tradingbook_MSB[[#This Row],[Accr Int]]*Tradingbook_MSB[[#This Row],[Quantity_edited]])*(-Tradingbook_MSB[[#This Row],[Modified Duration]]*0.0001+0.5*Tradingbook_MSB[[#This Row],[Conv]]*(0.0001^2))</f>
        <v>0</v>
      </c>
      <c r="AQ181" s="72">
        <f>(Tradingbook_MSB[[#This Row],[MARKET_VALUE]]+Tradingbook_MSB[[#This Row],[Accr Int]]*Tradingbook_MSB[[#This Row],[Quantity_edited]])*(-Tradingbook_MSB[[#This Row],[Modified Duration]]*0.01+0.5*Tradingbook_MSB[[#This Row],[Conv]]*(0.01^2))</f>
        <v>0</v>
      </c>
      <c r="AR181" s="71"/>
      <c r="AT181" t="s">
        <v>166</v>
      </c>
      <c r="AU181" t="s">
        <v>3302</v>
      </c>
      <c r="AV181" t="s">
        <v>695</v>
      </c>
      <c r="AW181" t="s">
        <v>169</v>
      </c>
      <c r="AX181" t="s">
        <v>696</v>
      </c>
      <c r="AY181" t="s">
        <v>3322</v>
      </c>
      <c r="AZ181">
        <v>85262</v>
      </c>
      <c r="BA181">
        <v>85262</v>
      </c>
      <c r="BB181">
        <v>0</v>
      </c>
      <c r="BC181">
        <v>0</v>
      </c>
      <c r="BD181">
        <v>0</v>
      </c>
      <c r="BE181">
        <v>0</v>
      </c>
      <c r="BF181">
        <v>2.9</v>
      </c>
      <c r="BG181">
        <v>2098</v>
      </c>
      <c r="BH181">
        <v>14500000000</v>
      </c>
      <c r="BI181">
        <v>15979814683.333303</v>
      </c>
      <c r="BJ181">
        <v>-16070947630.833122</v>
      </c>
      <c r="BK181">
        <v>4.9143728690000001</v>
      </c>
      <c r="BL181">
        <v>7.5990060252990004</v>
      </c>
      <c r="BM181">
        <v>7.9724495199999996</v>
      </c>
      <c r="BN181">
        <v>71.216251050702198</v>
      </c>
      <c r="BO181">
        <v>0</v>
      </c>
      <c r="BP181">
        <v>0</v>
      </c>
      <c r="BQ181">
        <v>0</v>
      </c>
      <c r="BR181">
        <v>73000000</v>
      </c>
      <c r="BS181">
        <v>0</v>
      </c>
      <c r="BT181">
        <v>73000000</v>
      </c>
      <c r="BU181">
        <v>73000000</v>
      </c>
      <c r="BV181">
        <v>73000000</v>
      </c>
      <c r="BW181">
        <v>73000000</v>
      </c>
      <c r="BX181">
        <v>0</v>
      </c>
      <c r="BY181" s="32">
        <f>Bankingbook_MSB[[#This Row],[Mat. Date]]-RPT</f>
        <v>3388</v>
      </c>
      <c r="BZ181" s="71">
        <f>IF(Bankingbook_MSB[[#This Row],[Days]]&lt;=0,0,YEARFRAC(RPT,Bankingbook_MSB[[#This Row],[Mat. Date]],3))</f>
        <v>9.2821917808219183</v>
      </c>
      <c r="CA181" s="71" t="str">
        <f>IF(Bankingbook_MSB[[#This Row],[Days (year)]]=0,0,INDEX(Ref!$K$2:$K$13,MATCH(Bankingbook_MSB[[#This Row],[Days (year)]],Ref!$I$2:$I$13,1)))</f>
        <v>10Y</v>
      </c>
      <c r="CB181" s="32" t="str">
        <f>VLOOKUP(Bankingbook_MSB[[#This Row],[Security Name]],Ref!X:Z,3,0)</f>
        <v>TPCPBL</v>
      </c>
      <c r="CC181" s="32" t="str">
        <f>VLOOKUP(Bankingbook_MSB[[#This Row],[Security Name]],Ref!X:Y,2,0)</f>
        <v>VBS</v>
      </c>
      <c r="CD181" s="72">
        <f>IF((Bankingbook_MSB[[#This Row],[Mat. Date]]-RPT)&lt;=0,0,Bankingbook_MSB[[#This Row],[QUANTITY]])</f>
        <v>0</v>
      </c>
      <c r="CE181" s="71">
        <f>IF(Bankingbook_MSB[[#This Row],[Quantity_edited]]=0,0,Bankingbook_MSB[[#This Row],[DURATION]])</f>
        <v>0</v>
      </c>
      <c r="CF181" s="71">
        <f>IF(Bankingbook_MSB[[#This Row],[Quantity_edited]]=0,0,Bankingbook_MSB[[#This Row],[Mod Dur]])</f>
        <v>0</v>
      </c>
      <c r="CG181" s="71">
        <f>IF(Bankingbook_MSB[[#This Row],[Quantity_edited]]=0,0,Bankingbook_MSB[[#This Row],[Cnvx.]])</f>
        <v>0</v>
      </c>
      <c r="CH181" s="71">
        <f>(Bankingbook_MSB[[#This Row],[MARKET_VALUE]]+Bankingbook_MSB[[#This Row],[Accr Int]]*Bankingbook_MSB[[#This Row],[Quantity_edited]])*(-Bankingbook_MSB[[#This Row],[Modified Duration]]*0.0001+0.5*Bankingbook_MSB[[#This Row],[Conv]]*(0.0001^2))</f>
        <v>0</v>
      </c>
      <c r="CI181" s="71">
        <f>(Bankingbook_MSB[[#This Row],[MARKET_VALUE]]+Bankingbook_MSB[[#This Row],[Accr Int]]*Bankingbook_MSB[[#This Row],[Quantity_edited]])*(-Bankingbook_MSB[[#This Row],[Modified Duration]]*0.01+0.5*Bankingbook_MSB[[#This Row],[Conv]]*(0.01^2))</f>
        <v>0</v>
      </c>
      <c r="CL181" t="s">
        <v>166</v>
      </c>
      <c r="CM181" t="s">
        <v>167</v>
      </c>
      <c r="CN181" t="s">
        <v>360</v>
      </c>
      <c r="CO181" t="s">
        <v>169</v>
      </c>
      <c r="CP181" s="35">
        <v>43332</v>
      </c>
      <c r="CQ181" t="s">
        <v>3322</v>
      </c>
      <c r="CR181" t="s">
        <v>174</v>
      </c>
      <c r="CS181" t="s">
        <v>174</v>
      </c>
      <c r="CT181" s="49">
        <v>0</v>
      </c>
      <c r="CU181">
        <v>0</v>
      </c>
      <c r="CV181">
        <v>0</v>
      </c>
      <c r="CW181" s="70">
        <v>0</v>
      </c>
      <c r="CX181">
        <v>15</v>
      </c>
      <c r="CY181">
        <v>0</v>
      </c>
      <c r="CZ181">
        <v>45000000000</v>
      </c>
      <c r="DA181">
        <v>46978229166.666679</v>
      </c>
      <c r="DB181">
        <v>-10792387791.944525</v>
      </c>
      <c r="DC181">
        <v>0</v>
      </c>
      <c r="DD181">
        <v>0</v>
      </c>
      <c r="DE181">
        <v>0</v>
      </c>
      <c r="DF181">
        <v>0</v>
      </c>
      <c r="DG181">
        <v>0</v>
      </c>
      <c r="DH181">
        <v>0</v>
      </c>
      <c r="DI181">
        <v>0</v>
      </c>
      <c r="DJ181" s="500">
        <v>-22084000000</v>
      </c>
      <c r="DK181" s="500">
        <v>0</v>
      </c>
      <c r="DL181" s="37">
        <v>-22084000000</v>
      </c>
      <c r="DM181" s="37">
        <v>-22084000000</v>
      </c>
      <c r="DN181" s="37">
        <v>-22084000000</v>
      </c>
      <c r="DO181" s="37">
        <v>-22084000000</v>
      </c>
      <c r="DP181" s="32">
        <f>Tradingbook_SBV[[#This Row],[Mat. Date]]-RPT</f>
        <v>-2920</v>
      </c>
      <c r="DQ181" s="32">
        <f>IF(Tradingbook_SBV[[#This Row],[Days]]&lt;=0,0,YEARFRAC(RPT,Tradingbook_SBV[[#This Row],[Mat. Date]],3))</f>
        <v>0</v>
      </c>
      <c r="DR181" s="32">
        <f>IF(Tradingbook_SBV[[#This Row],[Days (year)]]=0,0,INDEX(Ref!$K$2:$K$13,MATCH(Tradingbook_SBV[[#This Row],[Days (year)]],Ref!$I$2:$I$13,1)))</f>
        <v>0</v>
      </c>
      <c r="DS181" s="32" t="str">
        <f>VLOOKUP(Tradingbook_SBV[[#This Row],[Security Name]],Ref!X:Z,3,0)</f>
        <v>TPCP</v>
      </c>
      <c r="DT181" s="32" t="str">
        <f>VLOOKUP(Tradingbook_SBV[[#This Row],[Security Name]],Ref!X:Y,2,0)</f>
        <v>VDB</v>
      </c>
      <c r="DU181" s="71">
        <f>IF((Tradingbook_SBV[[#This Row],[Mat. Date]]-RPT)&lt;=0,0,Tradingbook_SBV[[#This Row],[QUANTITY]])</f>
        <v>0</v>
      </c>
      <c r="DV181" s="71">
        <f>IF(Tradingbook_SBV[[#This Row],[Quantity_edited]]=0,0,Tradingbook_SBV[[#This Row],[DURATION]])</f>
        <v>0</v>
      </c>
      <c r="DW181" s="71">
        <f>IF(Tradingbook_SBV[[#This Row],[Quantity_edited]]=0,0,Tradingbook_SBV[[#This Row],[Mod Dur]])</f>
        <v>0</v>
      </c>
      <c r="DX181" s="71">
        <f>IF(Tradingbook_SBV[[#This Row],[Quantity_edited]]=0,0,Tradingbook_SBV[[#This Row],[Cnvx.]])</f>
        <v>0</v>
      </c>
      <c r="DY181" s="71">
        <f>(Tradingbook_SBV[[#This Row],[MARKET_VALUE]]+Tradingbook_SBV[[#This Row],[Accr Int]]*Tradingbook_SBV[[#This Row],[Quantity_edited]])*(-Tradingbook_SBV[[#This Row],[Modified Duration]]*0.0001+0.5*Tradingbook_SBV[[#This Row],[Conv]]*(0.0001^2))</f>
        <v>0</v>
      </c>
      <c r="DZ181" s="71">
        <f>(Tradingbook_SBV[[#This Row],[MARKET_VALUE]]+Tradingbook_SBV[[#This Row],[Accr Int]]*Tradingbook_SBV[[#This Row],[Quantity_edited]])*(-Tradingbook_SBV[[#This Row],[Modified Duration]]*0.01+0.5*Tradingbook_SBV[[#This Row],[Conv]]*(0.01^2))</f>
        <v>0</v>
      </c>
      <c r="EC181" t="s">
        <v>166</v>
      </c>
      <c r="ED181" t="s">
        <v>3299</v>
      </c>
      <c r="EE181" t="s">
        <v>2494</v>
      </c>
      <c r="EF181" t="s">
        <v>169</v>
      </c>
      <c r="EG181" s="35" t="s">
        <v>3788</v>
      </c>
      <c r="EH181" t="s">
        <v>3322</v>
      </c>
      <c r="EI181" s="500">
        <v>100012</v>
      </c>
      <c r="EJ181" s="500">
        <v>100012</v>
      </c>
      <c r="EK181" s="500">
        <v>0</v>
      </c>
      <c r="EL181" s="500">
        <v>0</v>
      </c>
      <c r="EM181" s="500">
        <v>0</v>
      </c>
      <c r="EN181" s="500">
        <v>0</v>
      </c>
      <c r="EO181">
        <v>3.6</v>
      </c>
      <c r="EP181">
        <v>1805</v>
      </c>
      <c r="EQ181">
        <v>0</v>
      </c>
      <c r="ER181">
        <v>0</v>
      </c>
      <c r="ES181">
        <v>-38351770.672225952</v>
      </c>
      <c r="ET181">
        <v>3.580548523</v>
      </c>
      <c r="EU181">
        <v>1.4132840777122</v>
      </c>
      <c r="EV181">
        <v>1.4638873999999999</v>
      </c>
      <c r="EW181">
        <v>3.3930591287060001</v>
      </c>
      <c r="EX181">
        <v>0</v>
      </c>
      <c r="EY181">
        <v>0</v>
      </c>
      <c r="EZ181">
        <v>0</v>
      </c>
      <c r="FA181">
        <v>55880000</v>
      </c>
      <c r="FB181">
        <v>0</v>
      </c>
      <c r="FC181">
        <v>55880000</v>
      </c>
      <c r="FD181">
        <v>55880000</v>
      </c>
      <c r="FE181">
        <v>55880000</v>
      </c>
      <c r="FF181">
        <v>55880000</v>
      </c>
      <c r="FG181" s="32">
        <f>Bankingbook_SBV[[#This Row],[Mat. Date]]-RPT</f>
        <v>547</v>
      </c>
      <c r="FH181" s="32">
        <f>IF(Bankingbook_SBV[[#This Row],[Days]]&lt;=0,0,YEARFRAC(RPT,Bankingbook_SBV[[#This Row],[Mat. Date]],3))</f>
        <v>1.4986301369863013</v>
      </c>
      <c r="FI181" s="32" t="str">
        <f>IF(Bankingbook_SBV[[#This Row],[Days (year)]]=0,0,INDEX(Ref!$K$2:$K$13,MATCH(Bankingbook_SBV[[#This Row],[Days (year)]],Ref!$I$2:$I$13,1)))</f>
        <v>1Y</v>
      </c>
      <c r="FJ181" s="32" t="str">
        <f>VLOOKUP(Bankingbook_SBV[[#This Row],[Security Name]],Ref!X:Z,3,0)</f>
        <v>TPCP</v>
      </c>
      <c r="FK181" s="32" t="str">
        <f>VLOOKUP(Bankingbook_SBV[[#This Row],[Security Name]],Ref!X:Y,2,0)</f>
        <v>KBNN</v>
      </c>
      <c r="FL181" s="72">
        <f>IF((Bankingbook_SBV[[#This Row],[Mat. Date]]-RPT)&lt;=0,0,Bankingbook_SBV[[#This Row],[QUANTITY]])</f>
        <v>0</v>
      </c>
      <c r="FM181" s="32">
        <f>IF(Bankingbook_SBV[[#This Row],[Quantity_edited]]=0,0,Bankingbook_SBV[[#This Row],[DURATION]])</f>
        <v>0</v>
      </c>
      <c r="FN181" s="32">
        <f>IF(Bankingbook_SBV[[#This Row],[Quantity_edited]]=0,0,Bankingbook_SBV[[#This Row],[Mod Dur]])</f>
        <v>0</v>
      </c>
      <c r="FO181" s="32">
        <f>IF(Bankingbook_SBV[[#This Row],[Quantity_edited]]=0,0,Bankingbook_SBV[[#This Row],[Cnvx.]])</f>
        <v>0</v>
      </c>
      <c r="FP181" s="32">
        <f>(Bankingbook_SBV[[#This Row],[MARKET_VALUE]]+Bankingbook_SBV[[#This Row],[Accr Int]]*Bankingbook_SBV[[#This Row],[Quantity_edited]])*(-Bankingbook_SBV[[#This Row],[Modified Duration]]*0.0001+0.5*Bankingbook_SBV[[#This Row],[Conv]]*(0.0001^2))</f>
        <v>0</v>
      </c>
      <c r="FQ181" s="32">
        <f>(Bankingbook_SBV[[#This Row],[MARKET_VALUE]]+Bankingbook_SBV[[#This Row],[Accr Int]]*Bankingbook_SBV[[#This Row],[Quantity_edited]])*(-Bankingbook_SBV[[#This Row],[Modified Duration]]*0.01+0.5*Bankingbook_SBV[[#This Row],[Conv]]*(0.01^2))</f>
        <v>0</v>
      </c>
    </row>
    <row r="182" spans="2:173" x14ac:dyDescent="0.3">
      <c r="B182" t="s">
        <v>166</v>
      </c>
      <c r="C182" t="s">
        <v>167</v>
      </c>
      <c r="D182" t="s">
        <v>361</v>
      </c>
      <c r="E182" t="s">
        <v>169</v>
      </c>
      <c r="F182" s="502">
        <v>43333</v>
      </c>
      <c r="G182" t="s">
        <v>170</v>
      </c>
      <c r="H182"/>
      <c r="I182"/>
      <c r="J182" s="38">
        <v>1000000</v>
      </c>
      <c r="K182">
        <v>100000000000</v>
      </c>
      <c r="L182">
        <v>100302.667</v>
      </c>
      <c r="M182" s="38">
        <v>0</v>
      </c>
      <c r="N182">
        <v>6.3</v>
      </c>
      <c r="O182">
        <v>0</v>
      </c>
      <c r="P182" s="37">
        <v>18900000000</v>
      </c>
      <c r="Q182" s="37">
        <v>19256864375.000004</v>
      </c>
      <c r="R182" s="37">
        <v>-7123630774.3055887</v>
      </c>
      <c r="S182">
        <v>0</v>
      </c>
      <c r="T182" s="70">
        <v>0</v>
      </c>
      <c r="U182">
        <v>0</v>
      </c>
      <c r="V182">
        <v>0</v>
      </c>
      <c r="W182">
        <v>0</v>
      </c>
      <c r="X182" s="38">
        <v>0</v>
      </c>
      <c r="Y182">
        <v>0</v>
      </c>
      <c r="Z182" s="70">
        <v>218999999.99998546</v>
      </c>
      <c r="AA182" s="70">
        <v>0</v>
      </c>
      <c r="AB182" s="70">
        <v>218999999.99998549</v>
      </c>
      <c r="AC182" s="70">
        <v>218999999.99998549</v>
      </c>
      <c r="AD182" s="70">
        <v>219000000</v>
      </c>
      <c r="AE182" s="70">
        <v>218999999.99998549</v>
      </c>
      <c r="AF182">
        <v>5.9001999999999999</v>
      </c>
      <c r="AG182" s="72">
        <f>Tradingbook_MSB[[#This Row],[Mat. Date]]-RPT</f>
        <v>-2919</v>
      </c>
      <c r="AH182" s="71">
        <f>IF(Tradingbook_MSB[[#This Row],[Days]]&lt;=0,0,YEARFRAC(RPT,Tradingbook_MSB[[#This Row],[Mat. Date]],3))</f>
        <v>0</v>
      </c>
      <c r="AI182" s="71">
        <f>IF(Tradingbook_MSB[[#This Row],[Days (year)]]=0,0,INDEX(Ref!$K$2:$K$13,MATCH(Tradingbook_MSB[[#This Row],[Days (year)]],Ref!$I$2:$I$13,1)))</f>
        <v>0</v>
      </c>
      <c r="AJ182" s="120" t="str">
        <f>VLOOKUP(Tradingbook_MSB[[#This Row],[Security Name]],Ref!X:Z,3,0)</f>
        <v>TPCPBL</v>
      </c>
      <c r="AK182" s="120" t="str">
        <f>VLOOKUP(Tradingbook_MSB[[#This Row],[Security Name]],Ref!X:Y,2,0)</f>
        <v>VDB</v>
      </c>
      <c r="AL182" s="71">
        <f>IF((Tradingbook_MSB[[#This Row],[Mat. Date]]-RPT)&lt;=0,0,Tradingbook_MSB[[#This Row],[QUANTITY]])</f>
        <v>0</v>
      </c>
      <c r="AM182" s="71">
        <f>IF(Tradingbook_MSB[[#This Row],[Quantity_edited]]=0,0,Tradingbook_MSB[[#This Row],[DURATION]])</f>
        <v>0</v>
      </c>
      <c r="AN182" s="71">
        <f>IF(Tradingbook_MSB[[#This Row],[Quantity_edited]]=0,0,Tradingbook_MSB[[#This Row],[Mod Dur]])</f>
        <v>0</v>
      </c>
      <c r="AO182" s="71">
        <f>IF(Tradingbook_MSB[[#This Row],[Quantity_edited]]=0,0,Tradingbook_MSB[[#This Row],[Cnvx.]])</f>
        <v>0</v>
      </c>
      <c r="AP182" s="71">
        <f>(Tradingbook_MSB[[#This Row],[MARKET_VALUE]]+Tradingbook_MSB[[#This Row],[Accr Int]]*Tradingbook_MSB[[#This Row],[Quantity_edited]])*(-Tradingbook_MSB[[#This Row],[Modified Duration]]*0.0001+0.5*Tradingbook_MSB[[#This Row],[Conv]]*(0.0001^2))</f>
        <v>0</v>
      </c>
      <c r="AQ182" s="72">
        <f>(Tradingbook_MSB[[#This Row],[MARKET_VALUE]]+Tradingbook_MSB[[#This Row],[Accr Int]]*Tradingbook_MSB[[#This Row],[Quantity_edited]])*(-Tradingbook_MSB[[#This Row],[Modified Duration]]*0.01+0.5*Tradingbook_MSB[[#This Row],[Conv]]*(0.01^2))</f>
        <v>0</v>
      </c>
      <c r="AR182" s="71"/>
      <c r="AT182" t="s">
        <v>166</v>
      </c>
      <c r="AU182" t="s">
        <v>3302</v>
      </c>
      <c r="AV182" t="s">
        <v>697</v>
      </c>
      <c r="AW182" t="s">
        <v>169</v>
      </c>
      <c r="AX182" t="s">
        <v>698</v>
      </c>
      <c r="AY182" t="s">
        <v>170</v>
      </c>
      <c r="AZ182">
        <v>85584</v>
      </c>
      <c r="BA182">
        <v>85584</v>
      </c>
      <c r="BB182">
        <v>870000</v>
      </c>
      <c r="BC182">
        <v>87000000000</v>
      </c>
      <c r="BD182">
        <v>95386.448000000004</v>
      </c>
      <c r="BE182">
        <v>74458080000</v>
      </c>
      <c r="BF182">
        <v>2.5</v>
      </c>
      <c r="BG182">
        <v>1671</v>
      </c>
      <c r="BH182">
        <v>6200000000</v>
      </c>
      <c r="BI182">
        <v>6672831229.1666708</v>
      </c>
      <c r="BJ182">
        <v>-9143645389.8749962</v>
      </c>
      <c r="BK182">
        <v>4.41689212</v>
      </c>
      <c r="BL182">
        <v>7.8471979742575</v>
      </c>
      <c r="BM182">
        <v>8.1938002399999998</v>
      </c>
      <c r="BN182">
        <v>74.729626893605399</v>
      </c>
      <c r="BO182">
        <v>56728.642273033402</v>
      </c>
      <c r="BP182">
        <v>-59569.531554214002</v>
      </c>
      <c r="BQ182">
        <v>8989.5930000000008</v>
      </c>
      <c r="BR182">
        <v>0</v>
      </c>
      <c r="BS182">
        <v>-8528130000.0000029</v>
      </c>
      <c r="BT182">
        <v>-8528130000.0000029</v>
      </c>
      <c r="BU182">
        <v>-8528130000.0000029</v>
      </c>
      <c r="BV182">
        <v>-8528130000</v>
      </c>
      <c r="BW182">
        <v>-8528130000.0000029</v>
      </c>
      <c r="BX182">
        <v>2.9551724140000002</v>
      </c>
      <c r="BY182" s="32">
        <f>Bankingbook_MSB[[#This Row],[Mat. Date]]-RPT</f>
        <v>3408</v>
      </c>
      <c r="BZ182" s="71">
        <f>IF(Bankingbook_MSB[[#This Row],[Days]]&lt;=0,0,YEARFRAC(RPT,Bankingbook_MSB[[#This Row],[Mat. Date]],3))</f>
        <v>9.3369863013698637</v>
      </c>
      <c r="CA182" s="71" t="str">
        <f>IF(Bankingbook_MSB[[#This Row],[Days (year)]]=0,0,INDEX(Ref!$K$2:$K$13,MATCH(Bankingbook_MSB[[#This Row],[Days (year)]],Ref!$I$2:$I$13,1)))</f>
        <v>10Y</v>
      </c>
      <c r="CB182" s="32" t="str">
        <f>VLOOKUP(Bankingbook_MSB[[#This Row],[Security Name]],Ref!X:Z,3,0)</f>
        <v>TPCP</v>
      </c>
      <c r="CC182" s="32" t="str">
        <f>VLOOKUP(Bankingbook_MSB[[#This Row],[Security Name]],Ref!X:Y,2,0)</f>
        <v>KBNN</v>
      </c>
      <c r="CD182" s="72">
        <f>IF((Bankingbook_MSB[[#This Row],[Mat. Date]]-RPT)&lt;=0,0,Bankingbook_MSB[[#This Row],[QUANTITY]])</f>
        <v>870000</v>
      </c>
      <c r="CE182" s="71">
        <f>IF(Bankingbook_MSB[[#This Row],[Quantity_edited]]=0,0,Bankingbook_MSB[[#This Row],[DURATION]])</f>
        <v>8.1938002399999998</v>
      </c>
      <c r="CF182" s="71">
        <f>IF(Bankingbook_MSB[[#This Row],[Quantity_edited]]=0,0,Bankingbook_MSB[[#This Row],[Mod Dur]])</f>
        <v>7.8471979742575</v>
      </c>
      <c r="CG182" s="71">
        <f>IF(Bankingbook_MSB[[#This Row],[Quantity_edited]]=0,0,Bankingbook_MSB[[#This Row],[Cnvx.]])</f>
        <v>74.729626893605399</v>
      </c>
      <c r="CH182" s="71">
        <f>(Bankingbook_MSB[[#This Row],[MARKET_VALUE]]+Bankingbook_MSB[[#This Row],[Accr Int]]*Bankingbook_MSB[[#This Row],[Quantity_edited]])*(-Bankingbook_MSB[[#This Row],[Modified Duration]]*0.0001+0.5*Bankingbook_MSB[[#This Row],[Conv]]*(0.0001^2))</f>
        <v>-59541167.233077407</v>
      </c>
      <c r="CI182" s="71">
        <f>(Bankingbook_MSB[[#This Row],[MARKET_VALUE]]+Bankingbook_MSB[[#This Row],[Accr Int]]*Bankingbook_MSB[[#This Row],[Quantity_edited]])*(-Bankingbook_MSB[[#This Row],[Modified Duration]]*0.01+0.5*Bankingbook_MSB[[#This Row],[Conv]]*(0.01^2))</f>
        <v>-5673309944.0562248</v>
      </c>
      <c r="CL182" t="s">
        <v>166</v>
      </c>
      <c r="CM182" t="s">
        <v>167</v>
      </c>
      <c r="CN182" t="s">
        <v>361</v>
      </c>
      <c r="CO182" t="s">
        <v>169</v>
      </c>
      <c r="CP182" s="35">
        <v>43333</v>
      </c>
      <c r="CQ182" t="s">
        <v>3322</v>
      </c>
      <c r="CR182" t="s">
        <v>174</v>
      </c>
      <c r="CS182" t="s">
        <v>174</v>
      </c>
      <c r="CT182" s="49">
        <v>0</v>
      </c>
      <c r="CU182">
        <v>0</v>
      </c>
      <c r="CV182">
        <v>0</v>
      </c>
      <c r="CW182" s="70">
        <v>0</v>
      </c>
      <c r="CX182">
        <v>6.3</v>
      </c>
      <c r="CY182">
        <v>0</v>
      </c>
      <c r="CZ182">
        <v>12600000000</v>
      </c>
      <c r="DA182">
        <v>12956864375.000004</v>
      </c>
      <c r="DB182">
        <v>-6745761620.1389236</v>
      </c>
      <c r="DC182">
        <v>0</v>
      </c>
      <c r="DD182">
        <v>0</v>
      </c>
      <c r="DE182">
        <v>0</v>
      </c>
      <c r="DF182">
        <v>0</v>
      </c>
      <c r="DG182">
        <v>0</v>
      </c>
      <c r="DH182">
        <v>0</v>
      </c>
      <c r="DI182">
        <v>0</v>
      </c>
      <c r="DJ182" s="500">
        <v>262000000</v>
      </c>
      <c r="DK182" s="500">
        <v>0</v>
      </c>
      <c r="DL182" s="37">
        <v>262000000</v>
      </c>
      <c r="DM182" s="37">
        <v>262000000</v>
      </c>
      <c r="DN182" s="37">
        <v>262000000</v>
      </c>
      <c r="DO182" s="37">
        <v>262000000</v>
      </c>
      <c r="DP182" s="32">
        <f>Tradingbook_SBV[[#This Row],[Mat. Date]]-RPT</f>
        <v>-2919</v>
      </c>
      <c r="DQ182" s="32">
        <f>IF(Tradingbook_SBV[[#This Row],[Days]]&lt;=0,0,YEARFRAC(RPT,Tradingbook_SBV[[#This Row],[Mat. Date]],3))</f>
        <v>0</v>
      </c>
      <c r="DR182" s="32">
        <f>IF(Tradingbook_SBV[[#This Row],[Days (year)]]=0,0,INDEX(Ref!$K$2:$K$13,MATCH(Tradingbook_SBV[[#This Row],[Days (year)]],Ref!$I$2:$I$13,1)))</f>
        <v>0</v>
      </c>
      <c r="DS182" s="32" t="str">
        <f>VLOOKUP(Tradingbook_SBV[[#This Row],[Security Name]],Ref!X:Z,3,0)</f>
        <v>TPCPBL</v>
      </c>
      <c r="DT182" s="32" t="str">
        <f>VLOOKUP(Tradingbook_SBV[[#This Row],[Security Name]],Ref!X:Y,2,0)</f>
        <v>VDB</v>
      </c>
      <c r="DU182" s="71">
        <f>IF((Tradingbook_SBV[[#This Row],[Mat. Date]]-RPT)&lt;=0,0,Tradingbook_SBV[[#This Row],[QUANTITY]])</f>
        <v>0</v>
      </c>
      <c r="DV182" s="71">
        <f>IF(Tradingbook_SBV[[#This Row],[Quantity_edited]]=0,0,Tradingbook_SBV[[#This Row],[DURATION]])</f>
        <v>0</v>
      </c>
      <c r="DW182" s="71">
        <f>IF(Tradingbook_SBV[[#This Row],[Quantity_edited]]=0,0,Tradingbook_SBV[[#This Row],[Mod Dur]])</f>
        <v>0</v>
      </c>
      <c r="DX182" s="71">
        <f>IF(Tradingbook_SBV[[#This Row],[Quantity_edited]]=0,0,Tradingbook_SBV[[#This Row],[Cnvx.]])</f>
        <v>0</v>
      </c>
      <c r="DY182" s="71">
        <f>(Tradingbook_SBV[[#This Row],[MARKET_VALUE]]+Tradingbook_SBV[[#This Row],[Accr Int]]*Tradingbook_SBV[[#This Row],[Quantity_edited]])*(-Tradingbook_SBV[[#This Row],[Modified Duration]]*0.0001+0.5*Tradingbook_SBV[[#This Row],[Conv]]*(0.0001^2))</f>
        <v>0</v>
      </c>
      <c r="DZ182" s="71">
        <f>(Tradingbook_SBV[[#This Row],[MARKET_VALUE]]+Tradingbook_SBV[[#This Row],[Accr Int]]*Tradingbook_SBV[[#This Row],[Quantity_edited]])*(-Tradingbook_SBV[[#This Row],[Modified Duration]]*0.01+0.5*Tradingbook_SBV[[#This Row],[Conv]]*(0.01^2))</f>
        <v>0</v>
      </c>
      <c r="EC182" t="s">
        <v>166</v>
      </c>
      <c r="ED182" t="s">
        <v>3299</v>
      </c>
      <c r="EE182" t="s">
        <v>583</v>
      </c>
      <c r="EF182" t="s">
        <v>169</v>
      </c>
      <c r="EG182" s="35" t="s">
        <v>3789</v>
      </c>
      <c r="EH182" t="s">
        <v>3322</v>
      </c>
      <c r="EI182" s="500">
        <v>96770</v>
      </c>
      <c r="EJ182" s="500">
        <v>96770</v>
      </c>
      <c r="EK182" s="500">
        <v>0</v>
      </c>
      <c r="EL182" s="500">
        <v>0</v>
      </c>
      <c r="EM182" s="500">
        <v>0</v>
      </c>
      <c r="EN182" s="500">
        <v>0</v>
      </c>
      <c r="EO182">
        <v>1.4</v>
      </c>
      <c r="EP182">
        <v>641</v>
      </c>
      <c r="EQ182">
        <v>0</v>
      </c>
      <c r="ER182">
        <v>0</v>
      </c>
      <c r="ES182">
        <v>16656497.022212029</v>
      </c>
      <c r="ET182">
        <v>3.5853429979999998</v>
      </c>
      <c r="EU182">
        <v>1.4754651967001999</v>
      </c>
      <c r="EV182">
        <v>1.5283656800000001</v>
      </c>
      <c r="EW182">
        <v>3.6143488684605001</v>
      </c>
      <c r="EX182">
        <v>0</v>
      </c>
      <c r="EY182">
        <v>0</v>
      </c>
      <c r="EZ182">
        <v>0</v>
      </c>
      <c r="FA182">
        <v>567110000</v>
      </c>
      <c r="FB182">
        <v>0</v>
      </c>
      <c r="FC182">
        <v>567110000</v>
      </c>
      <c r="FD182">
        <v>567110000</v>
      </c>
      <c r="FE182">
        <v>567110000</v>
      </c>
      <c r="FF182">
        <v>567110000</v>
      </c>
      <c r="FG182" s="32">
        <f>Bankingbook_SBV[[#This Row],[Mat. Date]]-RPT</f>
        <v>564</v>
      </c>
      <c r="FH182" s="32">
        <f>IF(Bankingbook_SBV[[#This Row],[Days]]&lt;=0,0,YEARFRAC(RPT,Bankingbook_SBV[[#This Row],[Mat. Date]],3))</f>
        <v>1.5452054794520549</v>
      </c>
      <c r="FI182" s="32" t="str">
        <f>IF(Bankingbook_SBV[[#This Row],[Days (year)]]=0,0,INDEX(Ref!$K$2:$K$13,MATCH(Bankingbook_SBV[[#This Row],[Days (year)]],Ref!$I$2:$I$13,1)))</f>
        <v>2Y</v>
      </c>
      <c r="FJ182" s="32" t="str">
        <f>VLOOKUP(Bankingbook_SBV[[#This Row],[Security Name]],Ref!X:Z,3,0)</f>
        <v>TPCP</v>
      </c>
      <c r="FK182" s="32" t="str">
        <f>VLOOKUP(Bankingbook_SBV[[#This Row],[Security Name]],Ref!X:Y,2,0)</f>
        <v>KBNN</v>
      </c>
      <c r="FL182" s="72">
        <f>IF((Bankingbook_SBV[[#This Row],[Mat. Date]]-RPT)&lt;=0,0,Bankingbook_SBV[[#This Row],[QUANTITY]])</f>
        <v>0</v>
      </c>
      <c r="FM182" s="32">
        <f>IF(Bankingbook_SBV[[#This Row],[Quantity_edited]]=0,0,Bankingbook_SBV[[#This Row],[DURATION]])</f>
        <v>0</v>
      </c>
      <c r="FN182" s="32">
        <f>IF(Bankingbook_SBV[[#This Row],[Quantity_edited]]=0,0,Bankingbook_SBV[[#This Row],[Mod Dur]])</f>
        <v>0</v>
      </c>
      <c r="FO182" s="32">
        <f>IF(Bankingbook_SBV[[#This Row],[Quantity_edited]]=0,0,Bankingbook_SBV[[#This Row],[Cnvx.]])</f>
        <v>0</v>
      </c>
      <c r="FP182" s="32">
        <f>(Bankingbook_SBV[[#This Row],[MARKET_VALUE]]+Bankingbook_SBV[[#This Row],[Accr Int]]*Bankingbook_SBV[[#This Row],[Quantity_edited]])*(-Bankingbook_SBV[[#This Row],[Modified Duration]]*0.0001+0.5*Bankingbook_SBV[[#This Row],[Conv]]*(0.0001^2))</f>
        <v>0</v>
      </c>
      <c r="FQ182" s="32">
        <f>(Bankingbook_SBV[[#This Row],[MARKET_VALUE]]+Bankingbook_SBV[[#This Row],[Accr Int]]*Bankingbook_SBV[[#This Row],[Quantity_edited]])*(-Bankingbook_SBV[[#This Row],[Modified Duration]]*0.01+0.5*Bankingbook_SBV[[#This Row],[Conv]]*(0.01^2))</f>
        <v>0</v>
      </c>
    </row>
    <row r="183" spans="2:173" x14ac:dyDescent="0.3">
      <c r="B183" t="s">
        <v>166</v>
      </c>
      <c r="C183" t="s">
        <v>167</v>
      </c>
      <c r="D183" t="s">
        <v>362</v>
      </c>
      <c r="E183" t="s">
        <v>169</v>
      </c>
      <c r="F183" s="502">
        <v>43353</v>
      </c>
      <c r="G183" t="s">
        <v>170</v>
      </c>
      <c r="H183"/>
      <c r="I183"/>
      <c r="J183" s="38">
        <v>500000</v>
      </c>
      <c r="K183">
        <v>50000000000</v>
      </c>
      <c r="L183">
        <v>101903</v>
      </c>
      <c r="M183" s="38">
        <v>0</v>
      </c>
      <c r="N183">
        <v>8.84</v>
      </c>
      <c r="O183">
        <v>0</v>
      </c>
      <c r="P183" s="37">
        <v>13260000000</v>
      </c>
      <c r="Q183" s="37">
        <v>13528106763.888893</v>
      </c>
      <c r="R183" s="37">
        <v>-4510305001.6666889</v>
      </c>
      <c r="S183">
        <v>0</v>
      </c>
      <c r="T183" s="70">
        <v>0</v>
      </c>
      <c r="U183">
        <v>0</v>
      </c>
      <c r="V183">
        <v>0</v>
      </c>
      <c r="W183">
        <v>0</v>
      </c>
      <c r="X183" s="38">
        <v>0</v>
      </c>
      <c r="Y183">
        <v>0</v>
      </c>
      <c r="Z183" s="70">
        <v>-4212000000</v>
      </c>
      <c r="AA183" s="70">
        <v>0</v>
      </c>
      <c r="AB183" s="70">
        <v>-4212000000</v>
      </c>
      <c r="AC183" s="70">
        <v>-4212000000</v>
      </c>
      <c r="AD183" s="70">
        <v>-4212000000</v>
      </c>
      <c r="AE183" s="70">
        <v>-4212000000</v>
      </c>
      <c r="AF183">
        <v>10.354595065</v>
      </c>
      <c r="AG183" s="72">
        <f>Tradingbook_MSB[[#This Row],[Mat. Date]]-RPT</f>
        <v>-2899</v>
      </c>
      <c r="AH183" s="71">
        <f>IF(Tradingbook_MSB[[#This Row],[Days]]&lt;=0,0,YEARFRAC(RPT,Tradingbook_MSB[[#This Row],[Mat. Date]],3))</f>
        <v>0</v>
      </c>
      <c r="AI183" s="71">
        <f>IF(Tradingbook_MSB[[#This Row],[Days (year)]]=0,0,INDEX(Ref!$K$2:$K$13,MATCH(Tradingbook_MSB[[#This Row],[Days (year)]],Ref!$I$2:$I$13,1)))</f>
        <v>0</v>
      </c>
      <c r="AJ183" s="120" t="str">
        <f>VLOOKUP(Tradingbook_MSB[[#This Row],[Security Name]],Ref!X:Z,3,0)</f>
        <v>TPCP</v>
      </c>
      <c r="AK183" s="120" t="str">
        <f>VLOOKUP(Tradingbook_MSB[[#This Row],[Security Name]],Ref!X:Y,2,0)</f>
        <v>VDB</v>
      </c>
      <c r="AL183" s="71">
        <f>IF((Tradingbook_MSB[[#This Row],[Mat. Date]]-RPT)&lt;=0,0,Tradingbook_MSB[[#This Row],[QUANTITY]])</f>
        <v>0</v>
      </c>
      <c r="AM183" s="71">
        <f>IF(Tradingbook_MSB[[#This Row],[Quantity_edited]]=0,0,Tradingbook_MSB[[#This Row],[DURATION]])</f>
        <v>0</v>
      </c>
      <c r="AN183" s="71">
        <f>IF(Tradingbook_MSB[[#This Row],[Quantity_edited]]=0,0,Tradingbook_MSB[[#This Row],[Mod Dur]])</f>
        <v>0</v>
      </c>
      <c r="AO183" s="71">
        <f>IF(Tradingbook_MSB[[#This Row],[Quantity_edited]]=0,0,Tradingbook_MSB[[#This Row],[Cnvx.]])</f>
        <v>0</v>
      </c>
      <c r="AP183" s="71">
        <f>(Tradingbook_MSB[[#This Row],[MARKET_VALUE]]+Tradingbook_MSB[[#This Row],[Accr Int]]*Tradingbook_MSB[[#This Row],[Quantity_edited]])*(-Tradingbook_MSB[[#This Row],[Modified Duration]]*0.0001+0.5*Tradingbook_MSB[[#This Row],[Conv]]*(0.0001^2))</f>
        <v>0</v>
      </c>
      <c r="AQ183" s="72">
        <f>(Tradingbook_MSB[[#This Row],[MARKET_VALUE]]+Tradingbook_MSB[[#This Row],[Accr Int]]*Tradingbook_MSB[[#This Row],[Quantity_edited]])*(-Tradingbook_MSB[[#This Row],[Modified Duration]]*0.01+0.5*Tradingbook_MSB[[#This Row],[Conv]]*(0.01^2))</f>
        <v>0</v>
      </c>
      <c r="AR183" s="71"/>
      <c r="AT183" t="s">
        <v>166</v>
      </c>
      <c r="AU183" t="s">
        <v>3302</v>
      </c>
      <c r="AV183" t="s">
        <v>700</v>
      </c>
      <c r="AW183" t="s">
        <v>169</v>
      </c>
      <c r="AX183" t="s">
        <v>3459</v>
      </c>
      <c r="AY183" t="s">
        <v>170</v>
      </c>
      <c r="AZ183">
        <v>85071</v>
      </c>
      <c r="BA183">
        <v>85071</v>
      </c>
      <c r="BB183">
        <v>60000</v>
      </c>
      <c r="BC183">
        <v>6000000000</v>
      </c>
      <c r="BD183">
        <v>86570</v>
      </c>
      <c r="BE183">
        <v>5104260000</v>
      </c>
      <c r="BF183">
        <v>2.5</v>
      </c>
      <c r="BG183">
        <v>856</v>
      </c>
      <c r="BH183">
        <v>600000000</v>
      </c>
      <c r="BI183">
        <v>644291708.33333397</v>
      </c>
      <c r="BJ183">
        <v>-671919999.09999907</v>
      </c>
      <c r="BK183">
        <v>4.4321579250000003</v>
      </c>
      <c r="BL183">
        <v>8.1573810019592994</v>
      </c>
      <c r="BM183">
        <v>8.5189290100000008</v>
      </c>
      <c r="BN183">
        <v>79.992463591564402</v>
      </c>
      <c r="BO183">
        <v>4124.1074514193997</v>
      </c>
      <c r="BP183">
        <v>-4205.6356641319999</v>
      </c>
      <c r="BQ183">
        <v>612.601</v>
      </c>
      <c r="BR183">
        <v>0</v>
      </c>
      <c r="BS183">
        <v>-89940000</v>
      </c>
      <c r="BT183">
        <v>-89940000</v>
      </c>
      <c r="BU183">
        <v>-89940000</v>
      </c>
      <c r="BV183">
        <v>-89940000</v>
      </c>
      <c r="BW183">
        <v>-89940000</v>
      </c>
      <c r="BX183">
        <v>3.8</v>
      </c>
      <c r="BY183" s="32">
        <f>Bankingbook_MSB[[#This Row],[Mat. Date]]-RPT</f>
        <v>3528</v>
      </c>
      <c r="BZ183" s="71">
        <f>IF(Bankingbook_MSB[[#This Row],[Days]]&lt;=0,0,YEARFRAC(RPT,Bankingbook_MSB[[#This Row],[Mat. Date]],3))</f>
        <v>9.6657534246575345</v>
      </c>
      <c r="CA183" s="71" t="str">
        <f>IF(Bankingbook_MSB[[#This Row],[Days (year)]]=0,0,INDEX(Ref!$K$2:$K$13,MATCH(Bankingbook_MSB[[#This Row],[Days (year)]],Ref!$I$2:$I$13,1)))</f>
        <v>10Y</v>
      </c>
      <c r="CB183" s="32" t="str">
        <f>VLOOKUP(Bankingbook_MSB[[#This Row],[Security Name]],Ref!X:Z,3,0)</f>
        <v>TPCP</v>
      </c>
      <c r="CC183" s="32" t="str">
        <f>VLOOKUP(Bankingbook_MSB[[#This Row],[Security Name]],Ref!X:Y,2,0)</f>
        <v>KBNN</v>
      </c>
      <c r="CD183" s="72">
        <f>IF((Bankingbook_MSB[[#This Row],[Mat. Date]]-RPT)&lt;=0,0,Bankingbook_MSB[[#This Row],[QUANTITY]])</f>
        <v>60000</v>
      </c>
      <c r="CE183" s="71">
        <f>IF(Bankingbook_MSB[[#This Row],[Quantity_edited]]=0,0,Bankingbook_MSB[[#This Row],[DURATION]])</f>
        <v>8.5189290100000008</v>
      </c>
      <c r="CF183" s="71">
        <f>IF(Bankingbook_MSB[[#This Row],[Quantity_edited]]=0,0,Bankingbook_MSB[[#This Row],[Mod Dur]])</f>
        <v>8.1573810019592994</v>
      </c>
      <c r="CG183" s="71">
        <f>IF(Bankingbook_MSB[[#This Row],[Quantity_edited]]=0,0,Bankingbook_MSB[[#This Row],[Cnvx.]])</f>
        <v>79.992463591564402</v>
      </c>
      <c r="CH183" s="71">
        <f>(Bankingbook_MSB[[#This Row],[MARKET_VALUE]]+Bankingbook_MSB[[#This Row],[Accr Int]]*Bankingbook_MSB[[#This Row],[Quantity_edited]])*(-Bankingbook_MSB[[#This Row],[Modified Duration]]*0.0001+0.5*Bankingbook_MSB[[#This Row],[Conv]]*(0.0001^2))</f>
        <v>-4203573.6104064304</v>
      </c>
      <c r="CI183" s="71">
        <f>(Bankingbook_MSB[[#This Row],[MARKET_VALUE]]+Bankingbook_MSB[[#This Row],[Accr Int]]*Bankingbook_MSB[[#This Row],[Quantity_edited]])*(-Bankingbook_MSB[[#This Row],[Modified Duration]]*0.01+0.5*Bankingbook_MSB[[#This Row],[Conv]]*(0.01^2))</f>
        <v>-399943029.15611696</v>
      </c>
      <c r="CL183" t="s">
        <v>166</v>
      </c>
      <c r="CM183" t="s">
        <v>167</v>
      </c>
      <c r="CN183" t="s">
        <v>362</v>
      </c>
      <c r="CO183" t="s">
        <v>169</v>
      </c>
      <c r="CP183" s="35">
        <v>43353</v>
      </c>
      <c r="CQ183" t="s">
        <v>3322</v>
      </c>
      <c r="CR183" t="s">
        <v>174</v>
      </c>
      <c r="CS183" t="s">
        <v>174</v>
      </c>
      <c r="CT183" s="49">
        <v>0</v>
      </c>
      <c r="CU183">
        <v>0</v>
      </c>
      <c r="CV183">
        <v>0</v>
      </c>
      <c r="CW183" s="70">
        <v>0</v>
      </c>
      <c r="CX183">
        <v>8.84</v>
      </c>
      <c r="CY183">
        <v>0</v>
      </c>
      <c r="CZ183">
        <v>13260000000</v>
      </c>
      <c r="DA183">
        <v>13528106763.888893</v>
      </c>
      <c r="DB183">
        <v>-4217399495.4166708</v>
      </c>
      <c r="DC183">
        <v>0</v>
      </c>
      <c r="DD183">
        <v>0</v>
      </c>
      <c r="DE183">
        <v>0</v>
      </c>
      <c r="DF183">
        <v>0</v>
      </c>
      <c r="DG183">
        <v>0</v>
      </c>
      <c r="DH183">
        <v>0</v>
      </c>
      <c r="DI183">
        <v>0</v>
      </c>
      <c r="DJ183" s="500">
        <v>-4396500000</v>
      </c>
      <c r="DK183" s="500">
        <v>0</v>
      </c>
      <c r="DL183" s="37">
        <v>-4396500000</v>
      </c>
      <c r="DM183" s="37">
        <v>-4396500000</v>
      </c>
      <c r="DN183" s="37">
        <v>-4396500000</v>
      </c>
      <c r="DO183" s="37">
        <v>-4396500000</v>
      </c>
      <c r="DP183" s="32">
        <f>Tradingbook_SBV[[#This Row],[Mat. Date]]-RPT</f>
        <v>-2899</v>
      </c>
      <c r="DQ183" s="32">
        <f>IF(Tradingbook_SBV[[#This Row],[Days]]&lt;=0,0,YEARFRAC(RPT,Tradingbook_SBV[[#This Row],[Mat. Date]],3))</f>
        <v>0</v>
      </c>
      <c r="DR183" s="32">
        <f>IF(Tradingbook_SBV[[#This Row],[Days (year)]]=0,0,INDEX(Ref!$K$2:$K$13,MATCH(Tradingbook_SBV[[#This Row],[Days (year)]],Ref!$I$2:$I$13,1)))</f>
        <v>0</v>
      </c>
      <c r="DS183" s="32" t="str">
        <f>VLOOKUP(Tradingbook_SBV[[#This Row],[Security Name]],Ref!X:Z,3,0)</f>
        <v>TPCP</v>
      </c>
      <c r="DT183" s="32" t="str">
        <f>VLOOKUP(Tradingbook_SBV[[#This Row],[Security Name]],Ref!X:Y,2,0)</f>
        <v>VDB</v>
      </c>
      <c r="DU183" s="71">
        <f>IF((Tradingbook_SBV[[#This Row],[Mat. Date]]-RPT)&lt;=0,0,Tradingbook_SBV[[#This Row],[QUANTITY]])</f>
        <v>0</v>
      </c>
      <c r="DV183" s="71">
        <f>IF(Tradingbook_SBV[[#This Row],[Quantity_edited]]=0,0,Tradingbook_SBV[[#This Row],[DURATION]])</f>
        <v>0</v>
      </c>
      <c r="DW183" s="71">
        <f>IF(Tradingbook_SBV[[#This Row],[Quantity_edited]]=0,0,Tradingbook_SBV[[#This Row],[Mod Dur]])</f>
        <v>0</v>
      </c>
      <c r="DX183" s="71">
        <f>IF(Tradingbook_SBV[[#This Row],[Quantity_edited]]=0,0,Tradingbook_SBV[[#This Row],[Cnvx.]])</f>
        <v>0</v>
      </c>
      <c r="DY183" s="71">
        <f>(Tradingbook_SBV[[#This Row],[MARKET_VALUE]]+Tradingbook_SBV[[#This Row],[Accr Int]]*Tradingbook_SBV[[#This Row],[Quantity_edited]])*(-Tradingbook_SBV[[#This Row],[Modified Duration]]*0.0001+0.5*Tradingbook_SBV[[#This Row],[Conv]]*(0.0001^2))</f>
        <v>0</v>
      </c>
      <c r="DZ183" s="71">
        <f>(Tradingbook_SBV[[#This Row],[MARKET_VALUE]]+Tradingbook_SBV[[#This Row],[Accr Int]]*Tradingbook_SBV[[#This Row],[Quantity_edited]])*(-Tradingbook_SBV[[#This Row],[Modified Duration]]*0.01+0.5*Tradingbook_SBV[[#This Row],[Conv]]*(0.01^2))</f>
        <v>0</v>
      </c>
      <c r="EC183" t="s">
        <v>166</v>
      </c>
      <c r="ED183" t="s">
        <v>3299</v>
      </c>
      <c r="EE183" t="s">
        <v>582</v>
      </c>
      <c r="EF183" t="s">
        <v>169</v>
      </c>
      <c r="EG183" s="35" t="s">
        <v>3790</v>
      </c>
      <c r="EH183" t="s">
        <v>3322</v>
      </c>
      <c r="EI183" s="500">
        <v>109346</v>
      </c>
      <c r="EJ183" s="500">
        <v>109346</v>
      </c>
      <c r="EK183" s="500">
        <v>0</v>
      </c>
      <c r="EL183" s="500">
        <v>0</v>
      </c>
      <c r="EM183" s="500">
        <v>0</v>
      </c>
      <c r="EN183" s="500">
        <v>0</v>
      </c>
      <c r="EO183">
        <v>8.9</v>
      </c>
      <c r="EP183">
        <v>1195</v>
      </c>
      <c r="EQ183">
        <v>13350000000</v>
      </c>
      <c r="ER183">
        <v>15507263583.333447</v>
      </c>
      <c r="ES183">
        <v>1377848442.7083492</v>
      </c>
      <c r="ET183">
        <v>3.619217533</v>
      </c>
      <c r="EU183">
        <v>1.7252405314667001</v>
      </c>
      <c r="EV183">
        <v>1.7876807400000001</v>
      </c>
      <c r="EW183">
        <v>4.7084732244819998</v>
      </c>
      <c r="EX183">
        <v>0</v>
      </c>
      <c r="EY183">
        <v>0</v>
      </c>
      <c r="EZ183">
        <v>0</v>
      </c>
      <c r="FA183">
        <v>-7905500000.0002441</v>
      </c>
      <c r="FB183">
        <v>0</v>
      </c>
      <c r="FC183">
        <v>-7905500000.0002441</v>
      </c>
      <c r="FD183">
        <v>-7905500000.0002441</v>
      </c>
      <c r="FE183">
        <v>-7905500000</v>
      </c>
      <c r="FF183">
        <v>-7905500000.0002441</v>
      </c>
      <c r="FG183" s="32">
        <f>Bankingbook_SBV[[#This Row],[Mat. Date]]-RPT</f>
        <v>682</v>
      </c>
      <c r="FH183" s="32">
        <f>IF(Bankingbook_SBV[[#This Row],[Days]]&lt;=0,0,YEARFRAC(RPT,Bankingbook_SBV[[#This Row],[Mat. Date]],3))</f>
        <v>1.8684931506849316</v>
      </c>
      <c r="FI183" s="32" t="str">
        <f>IF(Bankingbook_SBV[[#This Row],[Days (year)]]=0,0,INDEX(Ref!$K$2:$K$13,MATCH(Bankingbook_SBV[[#This Row],[Days (year)]],Ref!$I$2:$I$13,1)))</f>
        <v>2Y</v>
      </c>
      <c r="FJ183" s="32" t="str">
        <f>VLOOKUP(Bankingbook_SBV[[#This Row],[Security Name]],Ref!X:Z,3,0)</f>
        <v>TPCP</v>
      </c>
      <c r="FK183" s="32" t="str">
        <f>VLOOKUP(Bankingbook_SBV[[#This Row],[Security Name]],Ref!X:Y,2,0)</f>
        <v>KBNN</v>
      </c>
      <c r="FL183" s="72">
        <f>IF((Bankingbook_SBV[[#This Row],[Mat. Date]]-RPT)&lt;=0,0,Bankingbook_SBV[[#This Row],[QUANTITY]])</f>
        <v>0</v>
      </c>
      <c r="FM183" s="32">
        <f>IF(Bankingbook_SBV[[#This Row],[Quantity_edited]]=0,0,Bankingbook_SBV[[#This Row],[DURATION]])</f>
        <v>0</v>
      </c>
      <c r="FN183" s="32">
        <f>IF(Bankingbook_SBV[[#This Row],[Quantity_edited]]=0,0,Bankingbook_SBV[[#This Row],[Mod Dur]])</f>
        <v>0</v>
      </c>
      <c r="FO183" s="32">
        <f>IF(Bankingbook_SBV[[#This Row],[Quantity_edited]]=0,0,Bankingbook_SBV[[#This Row],[Cnvx.]])</f>
        <v>0</v>
      </c>
      <c r="FP183" s="32">
        <f>(Bankingbook_SBV[[#This Row],[MARKET_VALUE]]+Bankingbook_SBV[[#This Row],[Accr Int]]*Bankingbook_SBV[[#This Row],[Quantity_edited]])*(-Bankingbook_SBV[[#This Row],[Modified Duration]]*0.0001+0.5*Bankingbook_SBV[[#This Row],[Conv]]*(0.0001^2))</f>
        <v>0</v>
      </c>
      <c r="FQ183" s="32">
        <f>(Bankingbook_SBV[[#This Row],[MARKET_VALUE]]+Bankingbook_SBV[[#This Row],[Accr Int]]*Bankingbook_SBV[[#This Row],[Quantity_edited]])*(-Bankingbook_SBV[[#This Row],[Modified Duration]]*0.01+0.5*Bankingbook_SBV[[#This Row],[Conv]]*(0.01^2))</f>
        <v>0</v>
      </c>
    </row>
    <row r="184" spans="2:173" x14ac:dyDescent="0.3">
      <c r="B184" t="s">
        <v>166</v>
      </c>
      <c r="C184" t="s">
        <v>167</v>
      </c>
      <c r="D184" t="s">
        <v>363</v>
      </c>
      <c r="E184" t="s">
        <v>169</v>
      </c>
      <c r="F184" s="502">
        <v>43355</v>
      </c>
      <c r="G184" t="s">
        <v>3322</v>
      </c>
      <c r="H184"/>
      <c r="I184"/>
      <c r="J184" s="38">
        <v>0</v>
      </c>
      <c r="K184">
        <v>0</v>
      </c>
      <c r="L184">
        <v>0</v>
      </c>
      <c r="M184" s="38">
        <v>0</v>
      </c>
      <c r="N184">
        <v>8.84</v>
      </c>
      <c r="O184">
        <v>0</v>
      </c>
      <c r="P184" s="37">
        <v>17680000000</v>
      </c>
      <c r="Q184" s="37">
        <v>18742432944.444458</v>
      </c>
      <c r="R184" s="37">
        <v>-7386829214.5833817</v>
      </c>
      <c r="S184">
        <v>0</v>
      </c>
      <c r="T184" s="70">
        <v>0</v>
      </c>
      <c r="U184">
        <v>0</v>
      </c>
      <c r="V184">
        <v>0</v>
      </c>
      <c r="W184">
        <v>0</v>
      </c>
      <c r="X184" s="38">
        <v>0</v>
      </c>
      <c r="Y184">
        <v>0</v>
      </c>
      <c r="Z184" s="70">
        <v>-2876000000</v>
      </c>
      <c r="AA184" s="70">
        <v>0</v>
      </c>
      <c r="AB184" s="70">
        <v>-2876000000</v>
      </c>
      <c r="AC184" s="70">
        <v>-2876000000</v>
      </c>
      <c r="AD184" s="70">
        <v>-2876000000</v>
      </c>
      <c r="AE184" s="70">
        <v>-2876000000</v>
      </c>
      <c r="AF184">
        <v>0</v>
      </c>
      <c r="AG184" s="72">
        <f>Tradingbook_MSB[[#This Row],[Mat. Date]]-RPT</f>
        <v>-2897</v>
      </c>
      <c r="AH184" s="71">
        <f>IF(Tradingbook_MSB[[#This Row],[Days]]&lt;=0,0,YEARFRAC(RPT,Tradingbook_MSB[[#This Row],[Mat. Date]],3))</f>
        <v>0</v>
      </c>
      <c r="AI184" s="71">
        <f>IF(Tradingbook_MSB[[#This Row],[Days (year)]]=0,0,INDEX(Ref!$K$2:$K$13,MATCH(Tradingbook_MSB[[#This Row],[Days (year)]],Ref!$I$2:$I$13,1)))</f>
        <v>0</v>
      </c>
      <c r="AJ184" s="120" t="str">
        <f>VLOOKUP(Tradingbook_MSB[[#This Row],[Security Name]],Ref!X:Z,3,0)</f>
        <v>TPCP</v>
      </c>
      <c r="AK184" s="120" t="str">
        <f>VLOOKUP(Tradingbook_MSB[[#This Row],[Security Name]],Ref!X:Y,2,0)</f>
        <v>VDB</v>
      </c>
      <c r="AL184" s="71">
        <f>IF((Tradingbook_MSB[[#This Row],[Mat. Date]]-RPT)&lt;=0,0,Tradingbook_MSB[[#This Row],[QUANTITY]])</f>
        <v>0</v>
      </c>
      <c r="AM184" s="71">
        <f>IF(Tradingbook_MSB[[#This Row],[Quantity_edited]]=0,0,Tradingbook_MSB[[#This Row],[DURATION]])</f>
        <v>0</v>
      </c>
      <c r="AN184" s="71">
        <f>IF(Tradingbook_MSB[[#This Row],[Quantity_edited]]=0,0,Tradingbook_MSB[[#This Row],[Mod Dur]])</f>
        <v>0</v>
      </c>
      <c r="AO184" s="71">
        <f>IF(Tradingbook_MSB[[#This Row],[Quantity_edited]]=0,0,Tradingbook_MSB[[#This Row],[Cnvx.]])</f>
        <v>0</v>
      </c>
      <c r="AP184" s="71">
        <f>(Tradingbook_MSB[[#This Row],[MARKET_VALUE]]+Tradingbook_MSB[[#This Row],[Accr Int]]*Tradingbook_MSB[[#This Row],[Quantity_edited]])*(-Tradingbook_MSB[[#This Row],[Modified Duration]]*0.0001+0.5*Tradingbook_MSB[[#This Row],[Conv]]*(0.0001^2))</f>
        <v>0</v>
      </c>
      <c r="AQ184" s="72">
        <f>(Tradingbook_MSB[[#This Row],[MARKET_VALUE]]+Tradingbook_MSB[[#This Row],[Accr Int]]*Tradingbook_MSB[[#This Row],[Quantity_edited]])*(-Tradingbook_MSB[[#This Row],[Modified Duration]]*0.01+0.5*Tradingbook_MSB[[#This Row],[Conv]]*(0.01^2))</f>
        <v>0</v>
      </c>
      <c r="AR184" s="71"/>
      <c r="AT184" t="s">
        <v>166</v>
      </c>
      <c r="AU184" t="s">
        <v>3302</v>
      </c>
      <c r="AV184" t="s">
        <v>703</v>
      </c>
      <c r="AW184" t="s">
        <v>169</v>
      </c>
      <c r="AX184" t="s">
        <v>3460</v>
      </c>
      <c r="AY184" t="s">
        <v>170</v>
      </c>
      <c r="AZ184">
        <v>82068</v>
      </c>
      <c r="BA184">
        <v>82068</v>
      </c>
      <c r="BB184">
        <v>2500000</v>
      </c>
      <c r="BC184">
        <v>250000000000</v>
      </c>
      <c r="BD184">
        <v>97780.2</v>
      </c>
      <c r="BE184">
        <v>205170000000</v>
      </c>
      <c r="BF184">
        <v>2.2000000000000002</v>
      </c>
      <c r="BG184">
        <v>2067</v>
      </c>
      <c r="BH184">
        <v>9900000000</v>
      </c>
      <c r="BI184">
        <v>10603399583.33334</v>
      </c>
      <c r="BJ184">
        <v>-23688295819.444447</v>
      </c>
      <c r="BK184">
        <v>4.4495009530000003</v>
      </c>
      <c r="BL184">
        <v>8.4198262257775998</v>
      </c>
      <c r="BM184">
        <v>8.7944664699999997</v>
      </c>
      <c r="BN184">
        <v>85.901267535597</v>
      </c>
      <c r="BO184">
        <v>180682.57860268629</v>
      </c>
      <c r="BP184">
        <v>-177100.51987644899</v>
      </c>
      <c r="BQ184">
        <v>25088.435000000001</v>
      </c>
      <c r="BR184">
        <v>0</v>
      </c>
      <c r="BS184">
        <v>-39280499999.999992</v>
      </c>
      <c r="BT184">
        <v>-39280499999.999992</v>
      </c>
      <c r="BU184">
        <v>-39280499999.999992</v>
      </c>
      <c r="BV184">
        <v>-39280500000</v>
      </c>
      <c r="BW184">
        <v>-39280499999.999992</v>
      </c>
      <c r="BX184">
        <v>2.4073600000000002</v>
      </c>
      <c r="BY184" s="32">
        <f>Bankingbook_MSB[[#This Row],[Mat. Date]]-RPT</f>
        <v>3675</v>
      </c>
      <c r="BZ184" s="71">
        <f>IF(Bankingbook_MSB[[#This Row],[Days]]&lt;=0,0,YEARFRAC(RPT,Bankingbook_MSB[[#This Row],[Mat. Date]],3))</f>
        <v>10.068493150684931</v>
      </c>
      <c r="CA184" s="71" t="str">
        <f>IF(Bankingbook_MSB[[#This Row],[Days (year)]]=0,0,INDEX(Ref!$K$2:$K$13,MATCH(Bankingbook_MSB[[#This Row],[Days (year)]],Ref!$I$2:$I$13,1)))</f>
        <v>10Y</v>
      </c>
      <c r="CB184" s="32" t="str">
        <f>VLOOKUP(Bankingbook_MSB[[#This Row],[Security Name]],Ref!X:Z,3,0)</f>
        <v>TPCP</v>
      </c>
      <c r="CC184" s="32" t="str">
        <f>VLOOKUP(Bankingbook_MSB[[#This Row],[Security Name]],Ref!X:Y,2,0)</f>
        <v>KBNN</v>
      </c>
      <c r="CD184" s="72">
        <f>IF((Bankingbook_MSB[[#This Row],[Mat. Date]]-RPT)&lt;=0,0,Bankingbook_MSB[[#This Row],[QUANTITY]])</f>
        <v>2500000</v>
      </c>
      <c r="CE184" s="71">
        <f>IF(Bankingbook_MSB[[#This Row],[Quantity_edited]]=0,0,Bankingbook_MSB[[#This Row],[DURATION]])</f>
        <v>8.7944664699999997</v>
      </c>
      <c r="CF184" s="71">
        <f>IF(Bankingbook_MSB[[#This Row],[Quantity_edited]]=0,0,Bankingbook_MSB[[#This Row],[Mod Dur]])</f>
        <v>8.4198262257775998</v>
      </c>
      <c r="CG184" s="71">
        <f>IF(Bankingbook_MSB[[#This Row],[Quantity_edited]]=0,0,Bankingbook_MSB[[#This Row],[Cnvx.]])</f>
        <v>85.901267535597</v>
      </c>
      <c r="CH184" s="71">
        <f>(Bankingbook_MSB[[#This Row],[MARKET_VALUE]]+Bankingbook_MSB[[#This Row],[Accr Int]]*Bankingbook_MSB[[#This Row],[Quantity_edited]])*(-Bankingbook_MSB[[#This Row],[Modified Duration]]*0.0001+0.5*Bankingbook_MSB[[#This Row],[Conv]]*(0.0001^2))</f>
        <v>-177010178.58714825</v>
      </c>
      <c r="CI184" s="71">
        <f>(Bankingbook_MSB[[#This Row],[MARKET_VALUE]]+Bankingbook_MSB[[#This Row],[Accr Int]]*Bankingbook_MSB[[#This Row],[Quantity_edited]])*(-Bankingbook_MSB[[#This Row],[Modified Duration]]*0.01+0.5*Bankingbook_MSB[[#This Row],[Conv]]*(0.01^2))</f>
        <v>-16806639094.631529</v>
      </c>
      <c r="CL184" t="s">
        <v>166</v>
      </c>
      <c r="CM184" t="s">
        <v>167</v>
      </c>
      <c r="CN184" t="s">
        <v>363</v>
      </c>
      <c r="CO184" t="s">
        <v>169</v>
      </c>
      <c r="CP184" s="35">
        <v>43355</v>
      </c>
      <c r="CQ184" t="s">
        <v>3322</v>
      </c>
      <c r="CR184" t="s">
        <v>174</v>
      </c>
      <c r="CS184" t="s">
        <v>174</v>
      </c>
      <c r="CT184" s="49">
        <v>0</v>
      </c>
      <c r="CU184">
        <v>0</v>
      </c>
      <c r="CV184">
        <v>0</v>
      </c>
      <c r="CW184" s="70">
        <v>0</v>
      </c>
      <c r="CX184">
        <v>8.84</v>
      </c>
      <c r="CY184">
        <v>0</v>
      </c>
      <c r="CZ184">
        <v>17680000000</v>
      </c>
      <c r="DA184">
        <v>18742432944.444458</v>
      </c>
      <c r="DB184">
        <v>-7386829214.5833817</v>
      </c>
      <c r="DC184">
        <v>0</v>
      </c>
      <c r="DD184">
        <v>0</v>
      </c>
      <c r="DE184">
        <v>0</v>
      </c>
      <c r="DF184">
        <v>0</v>
      </c>
      <c r="DG184">
        <v>0</v>
      </c>
      <c r="DH184">
        <v>0</v>
      </c>
      <c r="DI184">
        <v>0</v>
      </c>
      <c r="DJ184" s="500">
        <v>-2876000000</v>
      </c>
      <c r="DK184" s="500">
        <v>0</v>
      </c>
      <c r="DL184" s="37">
        <v>-2876000000</v>
      </c>
      <c r="DM184" s="37">
        <v>-2876000000</v>
      </c>
      <c r="DN184" s="37">
        <v>-2876000000</v>
      </c>
      <c r="DO184" s="37">
        <v>-2876000000</v>
      </c>
      <c r="DP184" s="32">
        <f>Tradingbook_SBV[[#This Row],[Mat. Date]]-RPT</f>
        <v>-2897</v>
      </c>
      <c r="DQ184" s="32">
        <f>IF(Tradingbook_SBV[[#This Row],[Days]]&lt;=0,0,YEARFRAC(RPT,Tradingbook_SBV[[#This Row],[Mat. Date]],3))</f>
        <v>0</v>
      </c>
      <c r="DR184" s="32">
        <f>IF(Tradingbook_SBV[[#This Row],[Days (year)]]=0,0,INDEX(Ref!$K$2:$K$13,MATCH(Tradingbook_SBV[[#This Row],[Days (year)]],Ref!$I$2:$I$13,1)))</f>
        <v>0</v>
      </c>
      <c r="DS184" s="32" t="str">
        <f>VLOOKUP(Tradingbook_SBV[[#This Row],[Security Name]],Ref!X:Z,3,0)</f>
        <v>TPCP</v>
      </c>
      <c r="DT184" s="32" t="str">
        <f>VLOOKUP(Tradingbook_SBV[[#This Row],[Security Name]],Ref!X:Y,2,0)</f>
        <v>VDB</v>
      </c>
      <c r="DU184" s="71">
        <f>IF((Tradingbook_SBV[[#This Row],[Mat. Date]]-RPT)&lt;=0,0,Tradingbook_SBV[[#This Row],[QUANTITY]])</f>
        <v>0</v>
      </c>
      <c r="DV184" s="71">
        <f>IF(Tradingbook_SBV[[#This Row],[Quantity_edited]]=0,0,Tradingbook_SBV[[#This Row],[DURATION]])</f>
        <v>0</v>
      </c>
      <c r="DW184" s="71">
        <f>IF(Tradingbook_SBV[[#This Row],[Quantity_edited]]=0,0,Tradingbook_SBV[[#This Row],[Mod Dur]])</f>
        <v>0</v>
      </c>
      <c r="DX184" s="71">
        <f>IF(Tradingbook_SBV[[#This Row],[Quantity_edited]]=0,0,Tradingbook_SBV[[#This Row],[Cnvx.]])</f>
        <v>0</v>
      </c>
      <c r="DY184" s="71">
        <f>(Tradingbook_SBV[[#This Row],[MARKET_VALUE]]+Tradingbook_SBV[[#This Row],[Accr Int]]*Tradingbook_SBV[[#This Row],[Quantity_edited]])*(-Tradingbook_SBV[[#This Row],[Modified Duration]]*0.0001+0.5*Tradingbook_SBV[[#This Row],[Conv]]*(0.0001^2))</f>
        <v>0</v>
      </c>
      <c r="DZ184" s="71">
        <f>(Tradingbook_SBV[[#This Row],[MARKET_VALUE]]+Tradingbook_SBV[[#This Row],[Accr Int]]*Tradingbook_SBV[[#This Row],[Quantity_edited]])*(-Tradingbook_SBV[[#This Row],[Modified Duration]]*0.01+0.5*Tradingbook_SBV[[#This Row],[Conv]]*(0.01^2))</f>
        <v>0</v>
      </c>
      <c r="EC184" t="s">
        <v>166</v>
      </c>
      <c r="ED184" t="s">
        <v>3299</v>
      </c>
      <c r="EE184" t="s">
        <v>584</v>
      </c>
      <c r="EF184" t="s">
        <v>169</v>
      </c>
      <c r="EG184" s="35" t="s">
        <v>3791</v>
      </c>
      <c r="EH184" t="s">
        <v>3322</v>
      </c>
      <c r="EI184" s="500">
        <v>95048</v>
      </c>
      <c r="EJ184" s="500">
        <v>95048</v>
      </c>
      <c r="EK184" s="500">
        <v>0</v>
      </c>
      <c r="EL184" s="500">
        <v>0</v>
      </c>
      <c r="EM184" s="500">
        <v>0</v>
      </c>
      <c r="EN184" s="500">
        <v>0</v>
      </c>
      <c r="EO184">
        <v>1.1000000000000001</v>
      </c>
      <c r="EP184">
        <v>1034</v>
      </c>
      <c r="EQ184">
        <v>0</v>
      </c>
      <c r="ER184">
        <v>0</v>
      </c>
      <c r="ES184">
        <v>-109993720.97219849</v>
      </c>
      <c r="ET184">
        <v>3.6374581969999999</v>
      </c>
      <c r="EU184">
        <v>1.9552806338138</v>
      </c>
      <c r="EV184">
        <v>2.0264031500000002</v>
      </c>
      <c r="EW184">
        <v>5.7615157432831996</v>
      </c>
      <c r="EX184">
        <v>0</v>
      </c>
      <c r="EY184">
        <v>0</v>
      </c>
      <c r="EZ184">
        <v>0</v>
      </c>
      <c r="FA184">
        <v>-269000000</v>
      </c>
      <c r="FB184">
        <v>0</v>
      </c>
      <c r="FC184">
        <v>-269000000</v>
      </c>
      <c r="FD184">
        <v>-269000000</v>
      </c>
      <c r="FE184">
        <v>-269000000</v>
      </c>
      <c r="FF184">
        <v>-269000000</v>
      </c>
      <c r="FG184" s="32">
        <f>Bankingbook_SBV[[#This Row],[Mat. Date]]-RPT</f>
        <v>753</v>
      </c>
      <c r="FH184" s="32">
        <f>IF(Bankingbook_SBV[[#This Row],[Days]]&lt;=0,0,YEARFRAC(RPT,Bankingbook_SBV[[#This Row],[Mat. Date]],3))</f>
        <v>2.0630136986301371</v>
      </c>
      <c r="FI184" s="32" t="str">
        <f>IF(Bankingbook_SBV[[#This Row],[Days (year)]]=0,0,INDEX(Ref!$K$2:$K$13,MATCH(Bankingbook_SBV[[#This Row],[Days (year)]],Ref!$I$2:$I$13,1)))</f>
        <v>2Y</v>
      </c>
      <c r="FJ184" s="32" t="str">
        <f>VLOOKUP(Bankingbook_SBV[[#This Row],[Security Name]],Ref!X:Z,3,0)</f>
        <v>TPCP</v>
      </c>
      <c r="FK184" s="32" t="str">
        <f>VLOOKUP(Bankingbook_SBV[[#This Row],[Security Name]],Ref!X:Y,2,0)</f>
        <v>KBNN</v>
      </c>
      <c r="FL184" s="72">
        <f>IF((Bankingbook_SBV[[#This Row],[Mat. Date]]-RPT)&lt;=0,0,Bankingbook_SBV[[#This Row],[QUANTITY]])</f>
        <v>0</v>
      </c>
      <c r="FM184" s="32">
        <f>IF(Bankingbook_SBV[[#This Row],[Quantity_edited]]=0,0,Bankingbook_SBV[[#This Row],[DURATION]])</f>
        <v>0</v>
      </c>
      <c r="FN184" s="32">
        <f>IF(Bankingbook_SBV[[#This Row],[Quantity_edited]]=0,0,Bankingbook_SBV[[#This Row],[Mod Dur]])</f>
        <v>0</v>
      </c>
      <c r="FO184" s="32">
        <f>IF(Bankingbook_SBV[[#This Row],[Quantity_edited]]=0,0,Bankingbook_SBV[[#This Row],[Cnvx.]])</f>
        <v>0</v>
      </c>
      <c r="FP184" s="32">
        <f>(Bankingbook_SBV[[#This Row],[MARKET_VALUE]]+Bankingbook_SBV[[#This Row],[Accr Int]]*Bankingbook_SBV[[#This Row],[Quantity_edited]])*(-Bankingbook_SBV[[#This Row],[Modified Duration]]*0.0001+0.5*Bankingbook_SBV[[#This Row],[Conv]]*(0.0001^2))</f>
        <v>0</v>
      </c>
      <c r="FQ184" s="32">
        <f>(Bankingbook_SBV[[#This Row],[MARKET_VALUE]]+Bankingbook_SBV[[#This Row],[Accr Int]]*Bankingbook_SBV[[#This Row],[Quantity_edited]])*(-Bankingbook_SBV[[#This Row],[Modified Duration]]*0.01+0.5*Bankingbook_SBV[[#This Row],[Conv]]*(0.01^2))</f>
        <v>0</v>
      </c>
    </row>
    <row r="185" spans="2:173" x14ac:dyDescent="0.3">
      <c r="B185" t="s">
        <v>166</v>
      </c>
      <c r="C185" t="s">
        <v>167</v>
      </c>
      <c r="D185" t="s">
        <v>364</v>
      </c>
      <c r="E185" t="s">
        <v>169</v>
      </c>
      <c r="F185" s="502">
        <v>43356</v>
      </c>
      <c r="G185" t="s">
        <v>3322</v>
      </c>
      <c r="H185"/>
      <c r="I185"/>
      <c r="J185" s="38">
        <v>0</v>
      </c>
      <c r="K185">
        <v>0</v>
      </c>
      <c r="L185">
        <v>0</v>
      </c>
      <c r="M185" s="38">
        <v>0</v>
      </c>
      <c r="N185">
        <v>9.1</v>
      </c>
      <c r="O185">
        <v>0</v>
      </c>
      <c r="P185" s="37">
        <v>4550000000</v>
      </c>
      <c r="Q185" s="37">
        <v>5051409368.0555573</v>
      </c>
      <c r="R185" s="37">
        <v>-2383364641.3194399</v>
      </c>
      <c r="S185">
        <v>0</v>
      </c>
      <c r="T185" s="70">
        <v>0</v>
      </c>
      <c r="U185">
        <v>0</v>
      </c>
      <c r="V185">
        <v>0</v>
      </c>
      <c r="W185">
        <v>0</v>
      </c>
      <c r="X185" s="38">
        <v>0</v>
      </c>
      <c r="Y185">
        <v>0</v>
      </c>
      <c r="Z185" s="70">
        <v>3906500000</v>
      </c>
      <c r="AA185" s="70">
        <v>0</v>
      </c>
      <c r="AB185" s="70">
        <v>3906500000</v>
      </c>
      <c r="AC185" s="70">
        <v>3906500000</v>
      </c>
      <c r="AD185" s="70">
        <v>3906500000</v>
      </c>
      <c r="AE185" s="70">
        <v>3906500000</v>
      </c>
      <c r="AF185">
        <v>0</v>
      </c>
      <c r="AG185" s="72">
        <f>Tradingbook_MSB[[#This Row],[Mat. Date]]-RPT</f>
        <v>-2896</v>
      </c>
      <c r="AH185" s="71">
        <f>IF(Tradingbook_MSB[[#This Row],[Days]]&lt;=0,0,YEARFRAC(RPT,Tradingbook_MSB[[#This Row],[Mat. Date]],3))</f>
        <v>0</v>
      </c>
      <c r="AI185" s="71">
        <f>IF(Tradingbook_MSB[[#This Row],[Days (year)]]=0,0,INDEX(Ref!$K$2:$K$13,MATCH(Tradingbook_MSB[[#This Row],[Days (year)]],Ref!$I$2:$I$13,1)))</f>
        <v>0</v>
      </c>
      <c r="AJ185" s="120" t="str">
        <f>VLOOKUP(Tradingbook_MSB[[#This Row],[Security Name]],Ref!X:Z,3,0)</f>
        <v>TPCPBL</v>
      </c>
      <c r="AK185" s="120" t="str">
        <f>VLOOKUP(Tradingbook_MSB[[#This Row],[Security Name]],Ref!X:Y,2,0)</f>
        <v>VDB</v>
      </c>
      <c r="AL185" s="71">
        <f>IF((Tradingbook_MSB[[#This Row],[Mat. Date]]-RPT)&lt;=0,0,Tradingbook_MSB[[#This Row],[QUANTITY]])</f>
        <v>0</v>
      </c>
      <c r="AM185" s="71">
        <f>IF(Tradingbook_MSB[[#This Row],[Quantity_edited]]=0,0,Tradingbook_MSB[[#This Row],[DURATION]])</f>
        <v>0</v>
      </c>
      <c r="AN185" s="71">
        <f>IF(Tradingbook_MSB[[#This Row],[Quantity_edited]]=0,0,Tradingbook_MSB[[#This Row],[Mod Dur]])</f>
        <v>0</v>
      </c>
      <c r="AO185" s="71">
        <f>IF(Tradingbook_MSB[[#This Row],[Quantity_edited]]=0,0,Tradingbook_MSB[[#This Row],[Cnvx.]])</f>
        <v>0</v>
      </c>
      <c r="AP185" s="71">
        <f>(Tradingbook_MSB[[#This Row],[MARKET_VALUE]]+Tradingbook_MSB[[#This Row],[Accr Int]]*Tradingbook_MSB[[#This Row],[Quantity_edited]])*(-Tradingbook_MSB[[#This Row],[Modified Duration]]*0.0001+0.5*Tradingbook_MSB[[#This Row],[Conv]]*(0.0001^2))</f>
        <v>0</v>
      </c>
      <c r="AQ185" s="72">
        <f>(Tradingbook_MSB[[#This Row],[MARKET_VALUE]]+Tradingbook_MSB[[#This Row],[Accr Int]]*Tradingbook_MSB[[#This Row],[Quantity_edited]])*(-Tradingbook_MSB[[#This Row],[Modified Duration]]*0.01+0.5*Tradingbook_MSB[[#This Row],[Conv]]*(0.01^2))</f>
        <v>0</v>
      </c>
      <c r="AR185" s="71"/>
      <c r="AT185" t="s">
        <v>166</v>
      </c>
      <c r="AU185" t="s">
        <v>3302</v>
      </c>
      <c r="AV185" t="s">
        <v>704</v>
      </c>
      <c r="AW185" t="s">
        <v>169</v>
      </c>
      <c r="AX185" t="s">
        <v>705</v>
      </c>
      <c r="AY185" t="s">
        <v>170</v>
      </c>
      <c r="AZ185">
        <v>82533</v>
      </c>
      <c r="BA185">
        <v>82533</v>
      </c>
      <c r="BB185">
        <v>500000</v>
      </c>
      <c r="BC185">
        <v>50000000000</v>
      </c>
      <c r="BD185">
        <v>98872</v>
      </c>
      <c r="BE185">
        <v>41266500000</v>
      </c>
      <c r="BF185">
        <v>2.2999999999999998</v>
      </c>
      <c r="BG185">
        <v>1676</v>
      </c>
      <c r="BH185">
        <v>1150000000</v>
      </c>
      <c r="BI185">
        <v>1198708888.8888891</v>
      </c>
      <c r="BJ185">
        <v>-4005101802.7777834</v>
      </c>
      <c r="BK185">
        <v>4.454982824</v>
      </c>
      <c r="BL185">
        <v>8.5791466150302007</v>
      </c>
      <c r="BM185">
        <v>8.96134612</v>
      </c>
      <c r="BN185">
        <v>88.950236769704603</v>
      </c>
      <c r="BO185">
        <v>37452.052440700303</v>
      </c>
      <c r="BP185">
        <v>-36122.067865254001</v>
      </c>
      <c r="BQ185">
        <v>5028.1549999999997</v>
      </c>
      <c r="BR185">
        <v>0</v>
      </c>
      <c r="BS185">
        <v>-8169500000</v>
      </c>
      <c r="BT185">
        <v>-8169500000</v>
      </c>
      <c r="BU185">
        <v>-8169500000</v>
      </c>
      <c r="BV185">
        <v>-8169500000</v>
      </c>
      <c r="BW185">
        <v>-8169500000</v>
      </c>
      <c r="BX185">
        <v>2.41</v>
      </c>
      <c r="BY185" s="32">
        <f>Bankingbook_MSB[[#This Row],[Mat. Date]]-RPT</f>
        <v>3752</v>
      </c>
      <c r="BZ185" s="71">
        <f>IF(Bankingbook_MSB[[#This Row],[Days]]&lt;=0,0,YEARFRAC(RPT,Bankingbook_MSB[[#This Row],[Mat. Date]],3))</f>
        <v>10.27945205479452</v>
      </c>
      <c r="CA185" s="71" t="str">
        <f>IF(Bankingbook_MSB[[#This Row],[Days (year)]]=0,0,INDEX(Ref!$K$2:$K$13,MATCH(Bankingbook_MSB[[#This Row],[Days (year)]],Ref!$I$2:$I$13,1)))</f>
        <v>10Y</v>
      </c>
      <c r="CB185" s="32" t="str">
        <f>VLOOKUP(Bankingbook_MSB[[#This Row],[Security Name]],Ref!X:Z,3,0)</f>
        <v>TPCP</v>
      </c>
      <c r="CC185" s="32" t="str">
        <f>VLOOKUP(Bankingbook_MSB[[#This Row],[Security Name]],Ref!X:Y,2,0)</f>
        <v>KBNN</v>
      </c>
      <c r="CD185" s="72">
        <f>IF((Bankingbook_MSB[[#This Row],[Mat. Date]]-RPT)&lt;=0,0,Bankingbook_MSB[[#This Row],[QUANTITY]])</f>
        <v>500000</v>
      </c>
      <c r="CE185" s="71">
        <f>IF(Bankingbook_MSB[[#This Row],[Quantity_edited]]=0,0,Bankingbook_MSB[[#This Row],[DURATION]])</f>
        <v>8.96134612</v>
      </c>
      <c r="CF185" s="71">
        <f>IF(Bankingbook_MSB[[#This Row],[Quantity_edited]]=0,0,Bankingbook_MSB[[#This Row],[Mod Dur]])</f>
        <v>8.5791466150302007</v>
      </c>
      <c r="CG185" s="71">
        <f>IF(Bankingbook_MSB[[#This Row],[Quantity_edited]]=0,0,Bankingbook_MSB[[#This Row],[Cnvx.]])</f>
        <v>88.950236769704603</v>
      </c>
      <c r="CH185" s="71">
        <f>(Bankingbook_MSB[[#This Row],[MARKET_VALUE]]+Bankingbook_MSB[[#This Row],[Accr Int]]*Bankingbook_MSB[[#This Row],[Quantity_edited]])*(-Bankingbook_MSB[[#This Row],[Modified Duration]]*0.0001+0.5*Bankingbook_MSB[[#This Row],[Conv]]*(0.0001^2))</f>
        <v>-36103341.839033559</v>
      </c>
      <c r="CI185" s="71">
        <f>(Bankingbook_MSB[[#This Row],[MARKET_VALUE]]+Bankingbook_MSB[[#This Row],[Accr Int]]*Bankingbook_MSB[[#This Row],[Quantity_edited]])*(-Bankingbook_MSB[[#This Row],[Modified Duration]]*0.01+0.5*Bankingbook_MSB[[#This Row],[Conv]]*(0.01^2))</f>
        <v>-3424946524.3218894</v>
      </c>
      <c r="CL185" t="s">
        <v>166</v>
      </c>
      <c r="CM185" t="s">
        <v>167</v>
      </c>
      <c r="CN185" t="s">
        <v>364</v>
      </c>
      <c r="CO185" t="s">
        <v>169</v>
      </c>
      <c r="CP185" s="35">
        <v>43356</v>
      </c>
      <c r="CQ185" t="s">
        <v>3322</v>
      </c>
      <c r="CR185" t="s">
        <v>174</v>
      </c>
      <c r="CS185" t="s">
        <v>174</v>
      </c>
      <c r="CT185" s="49">
        <v>0</v>
      </c>
      <c r="CU185">
        <v>0</v>
      </c>
      <c r="CV185">
        <v>0</v>
      </c>
      <c r="CW185" s="70">
        <v>0</v>
      </c>
      <c r="CX185">
        <v>9.1</v>
      </c>
      <c r="CY185">
        <v>0</v>
      </c>
      <c r="CZ185">
        <v>4550000000</v>
      </c>
      <c r="DA185">
        <v>5051409368.0555573</v>
      </c>
      <c r="DB185">
        <v>-2383364641.3194399</v>
      </c>
      <c r="DC185">
        <v>0</v>
      </c>
      <c r="DD185">
        <v>0</v>
      </c>
      <c r="DE185">
        <v>0</v>
      </c>
      <c r="DF185">
        <v>0</v>
      </c>
      <c r="DG185">
        <v>0</v>
      </c>
      <c r="DH185">
        <v>0</v>
      </c>
      <c r="DI185">
        <v>0</v>
      </c>
      <c r="DJ185" s="500">
        <v>3906500000</v>
      </c>
      <c r="DK185" s="500">
        <v>0</v>
      </c>
      <c r="DL185" s="37">
        <v>3906500000</v>
      </c>
      <c r="DM185" s="37">
        <v>3906500000</v>
      </c>
      <c r="DN185" s="37">
        <v>3906500000</v>
      </c>
      <c r="DO185" s="37">
        <v>3906500000</v>
      </c>
      <c r="DP185" s="32">
        <f>Tradingbook_SBV[[#This Row],[Mat. Date]]-RPT</f>
        <v>-2896</v>
      </c>
      <c r="DQ185" s="32">
        <f>IF(Tradingbook_SBV[[#This Row],[Days]]&lt;=0,0,YEARFRAC(RPT,Tradingbook_SBV[[#This Row],[Mat. Date]],3))</f>
        <v>0</v>
      </c>
      <c r="DR185" s="32">
        <f>IF(Tradingbook_SBV[[#This Row],[Days (year)]]=0,0,INDEX(Ref!$K$2:$K$13,MATCH(Tradingbook_SBV[[#This Row],[Days (year)]],Ref!$I$2:$I$13,1)))</f>
        <v>0</v>
      </c>
      <c r="DS185" s="32" t="str">
        <f>VLOOKUP(Tradingbook_SBV[[#This Row],[Security Name]],Ref!X:Z,3,0)</f>
        <v>TPCPBL</v>
      </c>
      <c r="DT185" s="32" t="str">
        <f>VLOOKUP(Tradingbook_SBV[[#This Row],[Security Name]],Ref!X:Y,2,0)</f>
        <v>VDB</v>
      </c>
      <c r="DU185" s="71">
        <f>IF((Tradingbook_SBV[[#This Row],[Mat. Date]]-RPT)&lt;=0,0,Tradingbook_SBV[[#This Row],[QUANTITY]])</f>
        <v>0</v>
      </c>
      <c r="DV185" s="71">
        <f>IF(Tradingbook_SBV[[#This Row],[Quantity_edited]]=0,0,Tradingbook_SBV[[#This Row],[DURATION]])</f>
        <v>0</v>
      </c>
      <c r="DW185" s="71">
        <f>IF(Tradingbook_SBV[[#This Row],[Quantity_edited]]=0,0,Tradingbook_SBV[[#This Row],[Mod Dur]])</f>
        <v>0</v>
      </c>
      <c r="DX185" s="71">
        <f>IF(Tradingbook_SBV[[#This Row],[Quantity_edited]]=0,0,Tradingbook_SBV[[#This Row],[Cnvx.]])</f>
        <v>0</v>
      </c>
      <c r="DY185" s="71">
        <f>(Tradingbook_SBV[[#This Row],[MARKET_VALUE]]+Tradingbook_SBV[[#This Row],[Accr Int]]*Tradingbook_SBV[[#This Row],[Quantity_edited]])*(-Tradingbook_SBV[[#This Row],[Modified Duration]]*0.0001+0.5*Tradingbook_SBV[[#This Row],[Conv]]*(0.0001^2))</f>
        <v>0</v>
      </c>
      <c r="DZ185" s="71">
        <f>(Tradingbook_SBV[[#This Row],[MARKET_VALUE]]+Tradingbook_SBV[[#This Row],[Accr Int]]*Tradingbook_SBV[[#This Row],[Quantity_edited]])*(-Tradingbook_SBV[[#This Row],[Modified Duration]]*0.01+0.5*Tradingbook_SBV[[#This Row],[Conv]]*(0.01^2))</f>
        <v>0</v>
      </c>
      <c r="EC185" t="s">
        <v>166</v>
      </c>
      <c r="ED185" t="s">
        <v>3299</v>
      </c>
      <c r="EE185" t="s">
        <v>2773</v>
      </c>
      <c r="EF185" t="s">
        <v>169</v>
      </c>
      <c r="EG185" s="35" t="s">
        <v>2776</v>
      </c>
      <c r="EH185" t="s">
        <v>170</v>
      </c>
      <c r="EI185" s="500">
        <v>96319</v>
      </c>
      <c r="EJ185" s="500">
        <v>96319</v>
      </c>
      <c r="EK185" s="500">
        <v>5000000</v>
      </c>
      <c r="EL185" s="500">
        <v>500000000000</v>
      </c>
      <c r="EM185" s="500">
        <v>100918</v>
      </c>
      <c r="EN185" s="500">
        <v>481595000000</v>
      </c>
      <c r="EO185">
        <v>2.4</v>
      </c>
      <c r="EP185">
        <v>1821</v>
      </c>
      <c r="EQ185">
        <v>24000000000</v>
      </c>
      <c r="ER185">
        <v>25569633333.333351</v>
      </c>
      <c r="ES185">
        <v>-50605800791.666664</v>
      </c>
      <c r="ET185">
        <v>4.1497937489999996</v>
      </c>
      <c r="EU185">
        <v>2.0829727964862998</v>
      </c>
      <c r="EV185">
        <v>2.1694118699999998</v>
      </c>
      <c r="EW185">
        <v>6.4447515949219998</v>
      </c>
      <c r="EX185">
        <v>31624.396076282399</v>
      </c>
      <c r="EY185">
        <v>-102211.475123585</v>
      </c>
      <c r="EZ185">
        <v>54665.682000000001</v>
      </c>
      <c r="FA185">
        <v>0</v>
      </c>
      <c r="FB185">
        <v>-22995000000</v>
      </c>
      <c r="FC185">
        <v>-22995000000</v>
      </c>
      <c r="FD185">
        <v>-22995000000</v>
      </c>
      <c r="FE185">
        <v>-22995000000</v>
      </c>
      <c r="FF185">
        <v>-22995000000</v>
      </c>
      <c r="FG185" s="32">
        <f>Bankingbook_SBV[[#This Row],[Mat. Date]]-RPT</f>
        <v>819</v>
      </c>
      <c r="FH185" s="32">
        <f>IF(Bankingbook_SBV[[#This Row],[Days]]&lt;=0,0,YEARFRAC(RPT,Bankingbook_SBV[[#This Row],[Mat. Date]],3))</f>
        <v>2.2438356164383562</v>
      </c>
      <c r="FI185" s="32" t="str">
        <f>IF(Bankingbook_SBV[[#This Row],[Days (year)]]=0,0,INDEX(Ref!$K$2:$K$13,MATCH(Bankingbook_SBV[[#This Row],[Days (year)]],Ref!$I$2:$I$13,1)))</f>
        <v>2Y</v>
      </c>
      <c r="FJ185" s="32" t="str">
        <f>VLOOKUP(Bankingbook_SBV[[#This Row],[Security Name]],Ref!X:Z,3,0)</f>
        <v>TPCPBL</v>
      </c>
      <c r="FK185" s="32" t="str">
        <f>VLOOKUP(Bankingbook_SBV[[#This Row],[Security Name]],Ref!X:Y,2,0)</f>
        <v>VBS</v>
      </c>
      <c r="FL185" s="72">
        <f>IF((Bankingbook_SBV[[#This Row],[Mat. Date]]-RPT)&lt;=0,0,Bankingbook_SBV[[#This Row],[QUANTITY]])</f>
        <v>5000000</v>
      </c>
      <c r="FM185" s="32">
        <f>IF(Bankingbook_SBV[[#This Row],[Quantity_edited]]=0,0,Bankingbook_SBV[[#This Row],[DURATION]])</f>
        <v>2.1694118699999998</v>
      </c>
      <c r="FN185" s="32">
        <f>IF(Bankingbook_SBV[[#This Row],[Quantity_edited]]=0,0,Bankingbook_SBV[[#This Row],[Mod Dur]])</f>
        <v>2.0829727964862998</v>
      </c>
      <c r="FO185" s="32">
        <f>IF(Bankingbook_SBV[[#This Row],[Quantity_edited]]=0,0,Bankingbook_SBV[[#This Row],[Cnvx.]])</f>
        <v>6.4447515949219998</v>
      </c>
      <c r="FP185" s="32">
        <f>(Bankingbook_SBV[[#This Row],[MARKET_VALUE]]+Bankingbook_SBV[[#This Row],[Accr Int]]*Bankingbook_SBV[[#This Row],[Quantity_edited]])*(-Bankingbook_SBV[[#This Row],[Modified Duration]]*0.0001+0.5*Bankingbook_SBV[[#This Row],[Conv]]*(0.0001^2))</f>
        <v>-102195662.92554459</v>
      </c>
      <c r="FQ185" s="32">
        <f>(Bankingbook_SBV[[#This Row],[MARKET_VALUE]]+Bankingbook_SBV[[#This Row],[Accr Int]]*Bankingbook_SBV[[#This Row],[Quantity_edited]])*(-Bankingbook_SBV[[#This Row],[Modified Duration]]*0.01+0.5*Bankingbook_SBV[[#This Row],[Conv]]*(0.01^2))</f>
        <v>-10063025531.976862</v>
      </c>
    </row>
    <row r="186" spans="2:173" x14ac:dyDescent="0.3">
      <c r="B186" t="s">
        <v>166</v>
      </c>
      <c r="C186" t="s">
        <v>167</v>
      </c>
      <c r="D186" t="s">
        <v>365</v>
      </c>
      <c r="E186" t="s">
        <v>169</v>
      </c>
      <c r="F186" s="502">
        <v>43367</v>
      </c>
      <c r="G186" t="s">
        <v>170</v>
      </c>
      <c r="H186"/>
      <c r="I186"/>
      <c r="J186" s="38">
        <v>38700</v>
      </c>
      <c r="K186">
        <v>3870000000</v>
      </c>
      <c r="L186">
        <v>102352</v>
      </c>
      <c r="M186" s="38">
        <v>0</v>
      </c>
      <c r="N186">
        <v>9.6999999999999993</v>
      </c>
      <c r="O186">
        <v>0</v>
      </c>
      <c r="P186" s="37">
        <v>375390000</v>
      </c>
      <c r="Q186" s="37">
        <v>375390000</v>
      </c>
      <c r="R186" s="37">
        <v>-56338346.837500036</v>
      </c>
      <c r="S186">
        <v>0</v>
      </c>
      <c r="T186" s="70">
        <v>0</v>
      </c>
      <c r="U186">
        <v>0</v>
      </c>
      <c r="V186">
        <v>0</v>
      </c>
      <c r="W186">
        <v>0</v>
      </c>
      <c r="X186" s="38">
        <v>0</v>
      </c>
      <c r="Y186">
        <v>0</v>
      </c>
      <c r="Z186" s="70">
        <v>-135101700</v>
      </c>
      <c r="AA186" s="70">
        <v>0</v>
      </c>
      <c r="AB186" s="70">
        <v>-135101700</v>
      </c>
      <c r="AC186" s="70">
        <v>-135101700</v>
      </c>
      <c r="AD186" s="70">
        <v>-135101700</v>
      </c>
      <c r="AE186" s="70">
        <v>-135101700</v>
      </c>
      <c r="AF186">
        <v>4.3</v>
      </c>
      <c r="AG186" s="72">
        <f>Tradingbook_MSB[[#This Row],[Mat. Date]]-RPT</f>
        <v>-2885</v>
      </c>
      <c r="AH186" s="71">
        <f>IF(Tradingbook_MSB[[#This Row],[Days]]&lt;=0,0,YEARFRAC(RPT,Tradingbook_MSB[[#This Row],[Mat. Date]],3))</f>
        <v>0</v>
      </c>
      <c r="AI186" s="71">
        <f>IF(Tradingbook_MSB[[#This Row],[Days (year)]]=0,0,INDEX(Ref!$K$2:$K$13,MATCH(Tradingbook_MSB[[#This Row],[Days (year)]],Ref!$I$2:$I$13,1)))</f>
        <v>0</v>
      </c>
      <c r="AJ186" s="120" t="str">
        <f>VLOOKUP(Tradingbook_MSB[[#This Row],[Security Name]],Ref!X:Z,3,0)</f>
        <v>TPCP</v>
      </c>
      <c r="AK186" s="120" t="str">
        <f>VLOOKUP(Tradingbook_MSB[[#This Row],[Security Name]],Ref!X:Y,2,0)</f>
        <v>VDB</v>
      </c>
      <c r="AL186" s="71">
        <f>IF((Tradingbook_MSB[[#This Row],[Mat. Date]]-RPT)&lt;=0,0,Tradingbook_MSB[[#This Row],[QUANTITY]])</f>
        <v>0</v>
      </c>
      <c r="AM186" s="71">
        <f>IF(Tradingbook_MSB[[#This Row],[Quantity_edited]]=0,0,Tradingbook_MSB[[#This Row],[DURATION]])</f>
        <v>0</v>
      </c>
      <c r="AN186" s="71">
        <f>IF(Tradingbook_MSB[[#This Row],[Quantity_edited]]=0,0,Tradingbook_MSB[[#This Row],[Mod Dur]])</f>
        <v>0</v>
      </c>
      <c r="AO186" s="71">
        <f>IF(Tradingbook_MSB[[#This Row],[Quantity_edited]]=0,0,Tradingbook_MSB[[#This Row],[Cnvx.]])</f>
        <v>0</v>
      </c>
      <c r="AP186" s="71">
        <f>(Tradingbook_MSB[[#This Row],[MARKET_VALUE]]+Tradingbook_MSB[[#This Row],[Accr Int]]*Tradingbook_MSB[[#This Row],[Quantity_edited]])*(-Tradingbook_MSB[[#This Row],[Modified Duration]]*0.0001+0.5*Tradingbook_MSB[[#This Row],[Conv]]*(0.0001^2))</f>
        <v>0</v>
      </c>
      <c r="AQ186" s="72">
        <f>(Tradingbook_MSB[[#This Row],[MARKET_VALUE]]+Tradingbook_MSB[[#This Row],[Accr Int]]*Tradingbook_MSB[[#This Row],[Quantity_edited]])*(-Tradingbook_MSB[[#This Row],[Modified Duration]]*0.01+0.5*Tradingbook_MSB[[#This Row],[Conv]]*(0.01^2))</f>
        <v>0</v>
      </c>
      <c r="AR186" s="71"/>
      <c r="AT186" t="s">
        <v>166</v>
      </c>
      <c r="AU186" t="s">
        <v>3302</v>
      </c>
      <c r="AV186" t="s">
        <v>683</v>
      </c>
      <c r="AW186" t="s">
        <v>169</v>
      </c>
      <c r="AX186" t="s">
        <v>3461</v>
      </c>
      <c r="AY186" t="s">
        <v>170</v>
      </c>
      <c r="AZ186">
        <v>126513</v>
      </c>
      <c r="BA186">
        <v>126513</v>
      </c>
      <c r="BB186">
        <v>290000</v>
      </c>
      <c r="BC186">
        <v>29000000000</v>
      </c>
      <c r="BD186">
        <v>111283.75599999999</v>
      </c>
      <c r="BE186">
        <v>36688770000</v>
      </c>
      <c r="BF186">
        <v>7.7</v>
      </c>
      <c r="BG186">
        <v>4451</v>
      </c>
      <c r="BH186">
        <v>24332000000</v>
      </c>
      <c r="BI186">
        <v>27705568414.027847</v>
      </c>
      <c r="BJ186">
        <v>-13823361178.577847</v>
      </c>
      <c r="BK186">
        <v>4.4590061329999999</v>
      </c>
      <c r="BL186">
        <v>7.2957003197823003</v>
      </c>
      <c r="BM186">
        <v>7.6210160399999998</v>
      </c>
      <c r="BN186">
        <v>71.640741790773006</v>
      </c>
      <c r="BO186">
        <v>27208.838512871698</v>
      </c>
      <c r="BP186">
        <v>-27708.748803719001</v>
      </c>
      <c r="BQ186">
        <v>4539.5590000000002</v>
      </c>
      <c r="BR186">
        <v>-3331340827.6797953</v>
      </c>
      <c r="BS186">
        <v>4416480827.6797819</v>
      </c>
      <c r="BT186">
        <v>1085139999.9999866</v>
      </c>
      <c r="BU186">
        <v>1085139999.9999866</v>
      </c>
      <c r="BV186">
        <v>1085140000</v>
      </c>
      <c r="BW186">
        <v>1085139999.9999866</v>
      </c>
      <c r="BX186">
        <v>6.6922345999999999</v>
      </c>
      <c r="BY186" s="32">
        <f>Bankingbook_MSB[[#This Row],[Mat. Date]]-RPT</f>
        <v>3807</v>
      </c>
      <c r="BZ186" s="71">
        <f>IF(Bankingbook_MSB[[#This Row],[Days]]&lt;=0,0,YEARFRAC(RPT,Bankingbook_MSB[[#This Row],[Mat. Date]],3))</f>
        <v>10.43013698630137</v>
      </c>
      <c r="CA186" s="71" t="str">
        <f>IF(Bankingbook_MSB[[#This Row],[Days (year)]]=0,0,INDEX(Ref!$K$2:$K$13,MATCH(Bankingbook_MSB[[#This Row],[Days (year)]],Ref!$I$2:$I$13,1)))</f>
        <v>10Y</v>
      </c>
      <c r="CB186" s="32" t="str">
        <f>VLOOKUP(Bankingbook_MSB[[#This Row],[Security Name]],Ref!X:Z,3,0)</f>
        <v>TPCP</v>
      </c>
      <c r="CC186" s="32" t="str">
        <f>VLOOKUP(Bankingbook_MSB[[#This Row],[Security Name]],Ref!X:Y,2,0)</f>
        <v>KBNN</v>
      </c>
      <c r="CD186" s="72">
        <f>IF((Bankingbook_MSB[[#This Row],[Mat. Date]]-RPT)&lt;=0,0,Bankingbook_MSB[[#This Row],[QUANTITY]])</f>
        <v>290000</v>
      </c>
      <c r="CE186" s="71">
        <f>IF(Bankingbook_MSB[[#This Row],[Quantity_edited]]=0,0,Bankingbook_MSB[[#This Row],[DURATION]])</f>
        <v>7.6210160399999998</v>
      </c>
      <c r="CF186" s="71">
        <f>IF(Bankingbook_MSB[[#This Row],[Quantity_edited]]=0,0,Bankingbook_MSB[[#This Row],[Mod Dur]])</f>
        <v>7.2957003197823003</v>
      </c>
      <c r="CG186" s="71">
        <f>IF(Bankingbook_MSB[[#This Row],[Quantity_edited]]=0,0,Bankingbook_MSB[[#This Row],[Cnvx.]])</f>
        <v>71.640741790773006</v>
      </c>
      <c r="CH186" s="71">
        <f>(Bankingbook_MSB[[#This Row],[MARKET_VALUE]]+Bankingbook_MSB[[#This Row],[Accr Int]]*Bankingbook_MSB[[#This Row],[Quantity_edited]])*(-Bankingbook_MSB[[#This Row],[Modified Duration]]*0.0001+0.5*Bankingbook_MSB[[#This Row],[Conv]]*(0.0001^2))</f>
        <v>-27695144.384462673</v>
      </c>
      <c r="CI186" s="71">
        <f>(Bankingbook_MSB[[#This Row],[MARKET_VALUE]]+Bankingbook_MSB[[#This Row],[Accr Int]]*Bankingbook_MSB[[#This Row],[Quantity_edited]])*(-Bankingbook_MSB[[#This Row],[Modified Duration]]*0.01+0.5*Bankingbook_MSB[[#This Row],[Conv]]*(0.01^2))</f>
        <v>-2634830687.8075519</v>
      </c>
      <c r="CL186" t="s">
        <v>166</v>
      </c>
      <c r="CM186" t="s">
        <v>167</v>
      </c>
      <c r="CN186" t="s">
        <v>365</v>
      </c>
      <c r="CO186" t="s">
        <v>169</v>
      </c>
      <c r="CP186" s="35">
        <v>43367</v>
      </c>
      <c r="CQ186" t="s">
        <v>3322</v>
      </c>
      <c r="CR186" t="s">
        <v>174</v>
      </c>
      <c r="CS186" t="s">
        <v>174</v>
      </c>
      <c r="CT186" s="49">
        <v>0</v>
      </c>
      <c r="CU186">
        <v>0</v>
      </c>
      <c r="CV186">
        <v>0</v>
      </c>
      <c r="CW186" s="70">
        <v>0</v>
      </c>
      <c r="CX186">
        <v>9.6999999999999993</v>
      </c>
      <c r="CY186">
        <v>0</v>
      </c>
      <c r="CZ186">
        <v>0</v>
      </c>
      <c r="DA186">
        <v>0</v>
      </c>
      <c r="DB186">
        <v>-26155317.707500059</v>
      </c>
      <c r="DC186">
        <v>0</v>
      </c>
      <c r="DD186">
        <v>0</v>
      </c>
      <c r="DE186">
        <v>0</v>
      </c>
      <c r="DF186">
        <v>0</v>
      </c>
      <c r="DG186">
        <v>0</v>
      </c>
      <c r="DH186">
        <v>0</v>
      </c>
      <c r="DI186">
        <v>0</v>
      </c>
      <c r="DJ186" s="500">
        <v>-88158600</v>
      </c>
      <c r="DK186" s="500">
        <v>0</v>
      </c>
      <c r="DL186" s="37">
        <v>-88158600</v>
      </c>
      <c r="DM186" s="37">
        <v>-88158600</v>
      </c>
      <c r="DN186" s="37">
        <v>-88158600</v>
      </c>
      <c r="DO186" s="37">
        <v>-88158600</v>
      </c>
      <c r="DP186" s="32">
        <f>Tradingbook_SBV[[#This Row],[Mat. Date]]-RPT</f>
        <v>-2885</v>
      </c>
      <c r="DQ186" s="32">
        <f>IF(Tradingbook_SBV[[#This Row],[Days]]&lt;=0,0,YEARFRAC(RPT,Tradingbook_SBV[[#This Row],[Mat. Date]],3))</f>
        <v>0</v>
      </c>
      <c r="DR186" s="32">
        <f>IF(Tradingbook_SBV[[#This Row],[Days (year)]]=0,0,INDEX(Ref!$K$2:$K$13,MATCH(Tradingbook_SBV[[#This Row],[Days (year)]],Ref!$I$2:$I$13,1)))</f>
        <v>0</v>
      </c>
      <c r="DS186" s="32" t="str">
        <f>VLOOKUP(Tradingbook_SBV[[#This Row],[Security Name]],Ref!X:Z,3,0)</f>
        <v>TPCP</v>
      </c>
      <c r="DT186" s="32" t="str">
        <f>VLOOKUP(Tradingbook_SBV[[#This Row],[Security Name]],Ref!X:Y,2,0)</f>
        <v>VDB</v>
      </c>
      <c r="DU186" s="71">
        <f>IF((Tradingbook_SBV[[#This Row],[Mat. Date]]-RPT)&lt;=0,0,Tradingbook_SBV[[#This Row],[QUANTITY]])</f>
        <v>0</v>
      </c>
      <c r="DV186" s="71">
        <f>IF(Tradingbook_SBV[[#This Row],[Quantity_edited]]=0,0,Tradingbook_SBV[[#This Row],[DURATION]])</f>
        <v>0</v>
      </c>
      <c r="DW186" s="71">
        <f>IF(Tradingbook_SBV[[#This Row],[Quantity_edited]]=0,0,Tradingbook_SBV[[#This Row],[Mod Dur]])</f>
        <v>0</v>
      </c>
      <c r="DX186" s="71">
        <f>IF(Tradingbook_SBV[[#This Row],[Quantity_edited]]=0,0,Tradingbook_SBV[[#This Row],[Cnvx.]])</f>
        <v>0</v>
      </c>
      <c r="DY186" s="71">
        <f>(Tradingbook_SBV[[#This Row],[MARKET_VALUE]]+Tradingbook_SBV[[#This Row],[Accr Int]]*Tradingbook_SBV[[#This Row],[Quantity_edited]])*(-Tradingbook_SBV[[#This Row],[Modified Duration]]*0.0001+0.5*Tradingbook_SBV[[#This Row],[Conv]]*(0.0001^2))</f>
        <v>0</v>
      </c>
      <c r="DZ186" s="71">
        <f>(Tradingbook_SBV[[#This Row],[MARKET_VALUE]]+Tradingbook_SBV[[#This Row],[Accr Int]]*Tradingbook_SBV[[#This Row],[Quantity_edited]])*(-Tradingbook_SBV[[#This Row],[Modified Duration]]*0.01+0.5*Tradingbook_SBV[[#This Row],[Conv]]*(0.01^2))</f>
        <v>0</v>
      </c>
      <c r="EC186" t="s">
        <v>166</v>
      </c>
      <c r="ED186" t="s">
        <v>3299</v>
      </c>
      <c r="EE186" t="s">
        <v>585</v>
      </c>
      <c r="EF186" t="s">
        <v>169</v>
      </c>
      <c r="EG186" s="35" t="s">
        <v>3792</v>
      </c>
      <c r="EH186" t="s">
        <v>3322</v>
      </c>
      <c r="EI186" s="500">
        <v>102841</v>
      </c>
      <c r="EJ186" s="500">
        <v>102841</v>
      </c>
      <c r="EK186" s="500">
        <v>0</v>
      </c>
      <c r="EL186" s="500">
        <v>0</v>
      </c>
      <c r="EM186" s="500">
        <v>0</v>
      </c>
      <c r="EN186" s="500">
        <v>0</v>
      </c>
      <c r="EO186">
        <v>5</v>
      </c>
      <c r="EP186">
        <v>3781</v>
      </c>
      <c r="EQ186">
        <v>0</v>
      </c>
      <c r="ER186">
        <v>0</v>
      </c>
      <c r="ES186">
        <v>-39471298.055561066</v>
      </c>
      <c r="ET186">
        <v>3.6504307009999999</v>
      </c>
      <c r="EU186">
        <v>2.0318424548396998</v>
      </c>
      <c r="EV186">
        <v>2.1060134599999998</v>
      </c>
      <c r="EW186">
        <v>6.2858116028491997</v>
      </c>
      <c r="EX186">
        <v>0</v>
      </c>
      <c r="EY186">
        <v>0</v>
      </c>
      <c r="EZ186">
        <v>0</v>
      </c>
      <c r="FA186">
        <v>85500000</v>
      </c>
      <c r="FB186">
        <v>0</v>
      </c>
      <c r="FC186">
        <v>85500000</v>
      </c>
      <c r="FD186">
        <v>85500000</v>
      </c>
      <c r="FE186">
        <v>85500000</v>
      </c>
      <c r="FF186">
        <v>85500000</v>
      </c>
      <c r="FG186" s="32">
        <f>Bankingbook_SBV[[#This Row],[Mat. Date]]-RPT</f>
        <v>820</v>
      </c>
      <c r="FH186" s="32">
        <f>IF(Bankingbook_SBV[[#This Row],[Days]]&lt;=0,0,YEARFRAC(RPT,Bankingbook_SBV[[#This Row],[Mat. Date]],3))</f>
        <v>2.2465753424657535</v>
      </c>
      <c r="FI186" s="32" t="str">
        <f>IF(Bankingbook_SBV[[#This Row],[Days (year)]]=0,0,INDEX(Ref!$K$2:$K$13,MATCH(Bankingbook_SBV[[#This Row],[Days (year)]],Ref!$I$2:$I$13,1)))</f>
        <v>2Y</v>
      </c>
      <c r="FJ186" s="32" t="str">
        <f>VLOOKUP(Bankingbook_SBV[[#This Row],[Security Name]],Ref!X:Z,3,0)</f>
        <v>TPCP</v>
      </c>
      <c r="FK186" s="32" t="str">
        <f>VLOOKUP(Bankingbook_SBV[[#This Row],[Security Name]],Ref!X:Y,2,0)</f>
        <v>KBNN</v>
      </c>
      <c r="FL186" s="72">
        <f>IF((Bankingbook_SBV[[#This Row],[Mat. Date]]-RPT)&lt;=0,0,Bankingbook_SBV[[#This Row],[QUANTITY]])</f>
        <v>0</v>
      </c>
      <c r="FM186" s="32">
        <f>IF(Bankingbook_SBV[[#This Row],[Quantity_edited]]=0,0,Bankingbook_SBV[[#This Row],[DURATION]])</f>
        <v>0</v>
      </c>
      <c r="FN186" s="32">
        <f>IF(Bankingbook_SBV[[#This Row],[Quantity_edited]]=0,0,Bankingbook_SBV[[#This Row],[Mod Dur]])</f>
        <v>0</v>
      </c>
      <c r="FO186" s="32">
        <f>IF(Bankingbook_SBV[[#This Row],[Quantity_edited]]=0,0,Bankingbook_SBV[[#This Row],[Cnvx.]])</f>
        <v>0</v>
      </c>
      <c r="FP186" s="32">
        <f>(Bankingbook_SBV[[#This Row],[MARKET_VALUE]]+Bankingbook_SBV[[#This Row],[Accr Int]]*Bankingbook_SBV[[#This Row],[Quantity_edited]])*(-Bankingbook_SBV[[#This Row],[Modified Duration]]*0.0001+0.5*Bankingbook_SBV[[#This Row],[Conv]]*(0.0001^2))</f>
        <v>0</v>
      </c>
      <c r="FQ186" s="32">
        <f>(Bankingbook_SBV[[#This Row],[MARKET_VALUE]]+Bankingbook_SBV[[#This Row],[Accr Int]]*Bankingbook_SBV[[#This Row],[Quantity_edited]])*(-Bankingbook_SBV[[#This Row],[Modified Duration]]*0.01+0.5*Bankingbook_SBV[[#This Row],[Conv]]*(0.01^2))</f>
        <v>0</v>
      </c>
    </row>
    <row r="187" spans="2:173" x14ac:dyDescent="0.3">
      <c r="B187" t="s">
        <v>166</v>
      </c>
      <c r="C187" t="s">
        <v>167</v>
      </c>
      <c r="D187" t="s">
        <v>366</v>
      </c>
      <c r="E187" t="s">
        <v>169</v>
      </c>
      <c r="F187" s="502">
        <v>43389</v>
      </c>
      <c r="G187" t="s">
        <v>3322</v>
      </c>
      <c r="H187"/>
      <c r="I187"/>
      <c r="J187" s="38">
        <v>0</v>
      </c>
      <c r="K187">
        <v>0</v>
      </c>
      <c r="L187">
        <v>0</v>
      </c>
      <c r="M187" s="38">
        <v>0</v>
      </c>
      <c r="N187">
        <v>6.7</v>
      </c>
      <c r="O187">
        <v>0</v>
      </c>
      <c r="P187" s="37">
        <v>3350000000</v>
      </c>
      <c r="Q187" s="37">
        <v>3506531076.3889141</v>
      </c>
      <c r="R187" s="37">
        <v>-7297478235.4167738</v>
      </c>
      <c r="S187">
        <v>0</v>
      </c>
      <c r="T187" s="70">
        <v>0</v>
      </c>
      <c r="U187">
        <v>0</v>
      </c>
      <c r="V187">
        <v>0</v>
      </c>
      <c r="W187">
        <v>0</v>
      </c>
      <c r="X187" s="38">
        <v>0</v>
      </c>
      <c r="Y187">
        <v>0</v>
      </c>
      <c r="Z187" s="70">
        <v>7460500000</v>
      </c>
      <c r="AA187" s="70">
        <v>0</v>
      </c>
      <c r="AB187" s="70">
        <v>7460500000</v>
      </c>
      <c r="AC187" s="70">
        <v>7460500000</v>
      </c>
      <c r="AD187" s="70">
        <v>7460500000</v>
      </c>
      <c r="AE187" s="70">
        <v>7460500000</v>
      </c>
      <c r="AF187">
        <v>0</v>
      </c>
      <c r="AG187" s="72">
        <f>Tradingbook_MSB[[#This Row],[Mat. Date]]-RPT</f>
        <v>-2863</v>
      </c>
      <c r="AH187" s="71">
        <f>IF(Tradingbook_MSB[[#This Row],[Days]]&lt;=0,0,YEARFRAC(RPT,Tradingbook_MSB[[#This Row],[Mat. Date]],3))</f>
        <v>0</v>
      </c>
      <c r="AI187" s="71">
        <f>IF(Tradingbook_MSB[[#This Row],[Days (year)]]=0,0,INDEX(Ref!$K$2:$K$13,MATCH(Tradingbook_MSB[[#This Row],[Days (year)]],Ref!$I$2:$I$13,1)))</f>
        <v>0</v>
      </c>
      <c r="AJ187" s="120" t="str">
        <f>VLOOKUP(Tradingbook_MSB[[#This Row],[Security Name]],Ref!X:Z,3,0)</f>
        <v>TPCPBL</v>
      </c>
      <c r="AK187" s="120" t="str">
        <f>VLOOKUP(Tradingbook_MSB[[#This Row],[Security Name]],Ref!X:Y,2,0)</f>
        <v>VDB</v>
      </c>
      <c r="AL187" s="71">
        <f>IF((Tradingbook_MSB[[#This Row],[Mat. Date]]-RPT)&lt;=0,0,Tradingbook_MSB[[#This Row],[QUANTITY]])</f>
        <v>0</v>
      </c>
      <c r="AM187" s="71">
        <f>IF(Tradingbook_MSB[[#This Row],[Quantity_edited]]=0,0,Tradingbook_MSB[[#This Row],[DURATION]])</f>
        <v>0</v>
      </c>
      <c r="AN187" s="71">
        <f>IF(Tradingbook_MSB[[#This Row],[Quantity_edited]]=0,0,Tradingbook_MSB[[#This Row],[Mod Dur]])</f>
        <v>0</v>
      </c>
      <c r="AO187" s="71">
        <f>IF(Tradingbook_MSB[[#This Row],[Quantity_edited]]=0,0,Tradingbook_MSB[[#This Row],[Cnvx.]])</f>
        <v>0</v>
      </c>
      <c r="AP187" s="71">
        <f>(Tradingbook_MSB[[#This Row],[MARKET_VALUE]]+Tradingbook_MSB[[#This Row],[Accr Int]]*Tradingbook_MSB[[#This Row],[Quantity_edited]])*(-Tradingbook_MSB[[#This Row],[Modified Duration]]*0.0001+0.5*Tradingbook_MSB[[#This Row],[Conv]]*(0.0001^2))</f>
        <v>0</v>
      </c>
      <c r="AQ187" s="72">
        <f>(Tradingbook_MSB[[#This Row],[MARKET_VALUE]]+Tradingbook_MSB[[#This Row],[Accr Int]]*Tradingbook_MSB[[#This Row],[Quantity_edited]])*(-Tradingbook_MSB[[#This Row],[Modified Duration]]*0.01+0.5*Tradingbook_MSB[[#This Row],[Conv]]*(0.01^2))</f>
        <v>0</v>
      </c>
      <c r="AR187" s="71"/>
      <c r="AT187" t="s">
        <v>166</v>
      </c>
      <c r="AU187" t="s">
        <v>3302</v>
      </c>
      <c r="AV187" t="s">
        <v>684</v>
      </c>
      <c r="AW187" t="s">
        <v>169</v>
      </c>
      <c r="AX187" t="s">
        <v>3462</v>
      </c>
      <c r="AY187" t="s">
        <v>170</v>
      </c>
      <c r="AZ187">
        <v>124359</v>
      </c>
      <c r="BA187">
        <v>124359</v>
      </c>
      <c r="BB187">
        <v>120000</v>
      </c>
      <c r="BC187">
        <v>12000000000</v>
      </c>
      <c r="BD187">
        <v>121773.908</v>
      </c>
      <c r="BE187">
        <v>14923080000</v>
      </c>
      <c r="BF187">
        <v>7.4</v>
      </c>
      <c r="BG187">
        <v>2859</v>
      </c>
      <c r="BH187">
        <v>55352000000</v>
      </c>
      <c r="BI187">
        <v>64652437618.888878</v>
      </c>
      <c r="BJ187">
        <v>-21969812746.024704</v>
      </c>
      <c r="BK187">
        <v>4.4639147689999996</v>
      </c>
      <c r="BL187">
        <v>7.5300478420710997</v>
      </c>
      <c r="BM187">
        <v>7.8661827600000001</v>
      </c>
      <c r="BN187">
        <v>75.255301922906199</v>
      </c>
      <c r="BO187">
        <v>11488.594800033899</v>
      </c>
      <c r="BP187">
        <v>-11495.491516471</v>
      </c>
      <c r="BQ187">
        <v>1826.674</v>
      </c>
      <c r="BR187">
        <v>8105868932.0388365</v>
      </c>
      <c r="BS187">
        <v>310211067.96116507</v>
      </c>
      <c r="BT187">
        <v>8416080000.0000019</v>
      </c>
      <c r="BU187">
        <v>8416080000.0000019</v>
      </c>
      <c r="BV187">
        <v>8416080000</v>
      </c>
      <c r="BW187">
        <v>8416080000.0000019</v>
      </c>
      <c r="BX187">
        <v>5.5009587379999996</v>
      </c>
      <c r="BY187" s="32">
        <f>Bankingbook_MSB[[#This Row],[Mat. Date]]-RPT</f>
        <v>3877</v>
      </c>
      <c r="BZ187" s="71">
        <f>IF(Bankingbook_MSB[[#This Row],[Days]]&lt;=0,0,YEARFRAC(RPT,Bankingbook_MSB[[#This Row],[Mat. Date]],3))</f>
        <v>10.621917808219179</v>
      </c>
      <c r="CA187" s="71" t="str">
        <f>IF(Bankingbook_MSB[[#This Row],[Days (year)]]=0,0,INDEX(Ref!$K$2:$K$13,MATCH(Bankingbook_MSB[[#This Row],[Days (year)]],Ref!$I$2:$I$13,1)))</f>
        <v>15Y</v>
      </c>
      <c r="CB187" s="32" t="str">
        <f>VLOOKUP(Bankingbook_MSB[[#This Row],[Security Name]],Ref!X:Z,3,0)</f>
        <v>TPCP</v>
      </c>
      <c r="CC187" s="32" t="str">
        <f>VLOOKUP(Bankingbook_MSB[[#This Row],[Security Name]],Ref!X:Y,2,0)</f>
        <v>KBNN</v>
      </c>
      <c r="CD187" s="72">
        <f>IF((Bankingbook_MSB[[#This Row],[Mat. Date]]-RPT)&lt;=0,0,Bankingbook_MSB[[#This Row],[QUANTITY]])</f>
        <v>120000</v>
      </c>
      <c r="CE187" s="71">
        <f>IF(Bankingbook_MSB[[#This Row],[Quantity_edited]]=0,0,Bankingbook_MSB[[#This Row],[DURATION]])</f>
        <v>7.8661827600000001</v>
      </c>
      <c r="CF187" s="71">
        <f>IF(Bankingbook_MSB[[#This Row],[Quantity_edited]]=0,0,Bankingbook_MSB[[#This Row],[Mod Dur]])</f>
        <v>7.5300478420710997</v>
      </c>
      <c r="CG187" s="71">
        <f>IF(Bankingbook_MSB[[#This Row],[Quantity_edited]]=0,0,Bankingbook_MSB[[#This Row],[Cnvx.]])</f>
        <v>75.255301922906199</v>
      </c>
      <c r="CH187" s="71">
        <f>(Bankingbook_MSB[[#This Row],[MARKET_VALUE]]+Bankingbook_MSB[[#This Row],[Accr Int]]*Bankingbook_MSB[[#This Row],[Quantity_edited]])*(-Bankingbook_MSB[[#This Row],[Modified Duration]]*0.0001+0.5*Bankingbook_MSB[[#This Row],[Conv]]*(0.0001^2))</f>
        <v>-11489747.219071196</v>
      </c>
      <c r="CI187" s="71">
        <f>(Bankingbook_MSB[[#This Row],[MARKET_VALUE]]+Bankingbook_MSB[[#This Row],[Accr Int]]*Bankingbook_MSB[[#This Row],[Quantity_edited]])*(-Bankingbook_MSB[[#This Row],[Modified Duration]]*0.01+0.5*Bankingbook_MSB[[#This Row],[Conv]]*(0.01^2))</f>
        <v>-1092106177.6469517</v>
      </c>
      <c r="CL187" t="s">
        <v>166</v>
      </c>
      <c r="CM187" t="s">
        <v>167</v>
      </c>
      <c r="CN187" t="s">
        <v>366</v>
      </c>
      <c r="CO187" t="s">
        <v>169</v>
      </c>
      <c r="CP187" s="35">
        <v>43389</v>
      </c>
      <c r="CQ187" t="s">
        <v>3322</v>
      </c>
      <c r="CR187" t="s">
        <v>174</v>
      </c>
      <c r="CS187" t="s">
        <v>174</v>
      </c>
      <c r="CT187" s="49">
        <v>0</v>
      </c>
      <c r="CU187">
        <v>0</v>
      </c>
      <c r="CV187">
        <v>0</v>
      </c>
      <c r="CW187" s="70">
        <v>0</v>
      </c>
      <c r="CX187">
        <v>6.7</v>
      </c>
      <c r="CY187">
        <v>0</v>
      </c>
      <c r="CZ187">
        <v>3350000000</v>
      </c>
      <c r="DA187">
        <v>3506531076.3889141</v>
      </c>
      <c r="DB187">
        <v>-7297478235.4167738</v>
      </c>
      <c r="DC187">
        <v>0</v>
      </c>
      <c r="DD187">
        <v>0</v>
      </c>
      <c r="DE187">
        <v>0</v>
      </c>
      <c r="DF187">
        <v>0</v>
      </c>
      <c r="DG187">
        <v>0</v>
      </c>
      <c r="DH187">
        <v>0</v>
      </c>
      <c r="DI187">
        <v>0</v>
      </c>
      <c r="DJ187" s="500">
        <v>7460500000</v>
      </c>
      <c r="DK187" s="500">
        <v>0</v>
      </c>
      <c r="DL187" s="37">
        <v>7460500000</v>
      </c>
      <c r="DM187" s="37">
        <v>7460500000</v>
      </c>
      <c r="DN187" s="37">
        <v>7460500000</v>
      </c>
      <c r="DO187" s="37">
        <v>7460500000</v>
      </c>
      <c r="DP187" s="32">
        <f>Tradingbook_SBV[[#This Row],[Mat. Date]]-RPT</f>
        <v>-2863</v>
      </c>
      <c r="DQ187" s="32">
        <f>IF(Tradingbook_SBV[[#This Row],[Days]]&lt;=0,0,YEARFRAC(RPT,Tradingbook_SBV[[#This Row],[Mat. Date]],3))</f>
        <v>0</v>
      </c>
      <c r="DR187" s="32">
        <f>IF(Tradingbook_SBV[[#This Row],[Days (year)]]=0,0,INDEX(Ref!$K$2:$K$13,MATCH(Tradingbook_SBV[[#This Row],[Days (year)]],Ref!$I$2:$I$13,1)))</f>
        <v>0</v>
      </c>
      <c r="DS187" s="32" t="str">
        <f>VLOOKUP(Tradingbook_SBV[[#This Row],[Security Name]],Ref!X:Z,3,0)</f>
        <v>TPCPBL</v>
      </c>
      <c r="DT187" s="32" t="str">
        <f>VLOOKUP(Tradingbook_SBV[[#This Row],[Security Name]],Ref!X:Y,2,0)</f>
        <v>VDB</v>
      </c>
      <c r="DU187" s="71">
        <f>IF((Tradingbook_SBV[[#This Row],[Mat. Date]]-RPT)&lt;=0,0,Tradingbook_SBV[[#This Row],[QUANTITY]])</f>
        <v>0</v>
      </c>
      <c r="DV187" s="71">
        <f>IF(Tradingbook_SBV[[#This Row],[Quantity_edited]]=0,0,Tradingbook_SBV[[#This Row],[DURATION]])</f>
        <v>0</v>
      </c>
      <c r="DW187" s="71">
        <f>IF(Tradingbook_SBV[[#This Row],[Quantity_edited]]=0,0,Tradingbook_SBV[[#This Row],[Mod Dur]])</f>
        <v>0</v>
      </c>
      <c r="DX187" s="71">
        <f>IF(Tradingbook_SBV[[#This Row],[Quantity_edited]]=0,0,Tradingbook_SBV[[#This Row],[Cnvx.]])</f>
        <v>0</v>
      </c>
      <c r="DY187" s="71">
        <f>(Tradingbook_SBV[[#This Row],[MARKET_VALUE]]+Tradingbook_SBV[[#This Row],[Accr Int]]*Tradingbook_SBV[[#This Row],[Quantity_edited]])*(-Tradingbook_SBV[[#This Row],[Modified Duration]]*0.0001+0.5*Tradingbook_SBV[[#This Row],[Conv]]*(0.0001^2))</f>
        <v>0</v>
      </c>
      <c r="DZ187" s="71">
        <f>(Tradingbook_SBV[[#This Row],[MARKET_VALUE]]+Tradingbook_SBV[[#This Row],[Accr Int]]*Tradingbook_SBV[[#This Row],[Quantity_edited]])*(-Tradingbook_SBV[[#This Row],[Modified Duration]]*0.01+0.5*Tradingbook_SBV[[#This Row],[Conv]]*(0.01^2))</f>
        <v>0</v>
      </c>
      <c r="EC187" t="s">
        <v>166</v>
      </c>
      <c r="ED187" t="s">
        <v>3299</v>
      </c>
      <c r="EE187" t="s">
        <v>2801</v>
      </c>
      <c r="EF187" t="s">
        <v>169</v>
      </c>
      <c r="EG187" s="35" t="s">
        <v>3793</v>
      </c>
      <c r="EH187" t="s">
        <v>3322</v>
      </c>
      <c r="EI187" s="500">
        <v>95570</v>
      </c>
      <c r="EJ187" s="500">
        <v>95570</v>
      </c>
      <c r="EK187" s="500">
        <v>0</v>
      </c>
      <c r="EL187" s="500">
        <v>0</v>
      </c>
      <c r="EM187" s="500">
        <v>0</v>
      </c>
      <c r="EN187" s="500">
        <v>0</v>
      </c>
      <c r="EO187">
        <v>1.6</v>
      </c>
      <c r="EP187">
        <v>1144</v>
      </c>
      <c r="EQ187">
        <v>0</v>
      </c>
      <c r="ER187">
        <v>0</v>
      </c>
      <c r="ES187">
        <v>46393381.250000954</v>
      </c>
      <c r="ET187">
        <v>3.6533493890000002</v>
      </c>
      <c r="EU187">
        <v>2.1575594503599</v>
      </c>
      <c r="EV187">
        <v>2.23638264</v>
      </c>
      <c r="EW187">
        <v>6.8100530783030004</v>
      </c>
      <c r="EX187">
        <v>0</v>
      </c>
      <c r="EY187">
        <v>0</v>
      </c>
      <c r="EZ187">
        <v>0</v>
      </c>
      <c r="FA187">
        <v>463000000</v>
      </c>
      <c r="FB187">
        <v>0</v>
      </c>
      <c r="FC187">
        <v>463000000</v>
      </c>
      <c r="FD187">
        <v>463000000</v>
      </c>
      <c r="FE187">
        <v>463000000</v>
      </c>
      <c r="FF187">
        <v>463000000</v>
      </c>
      <c r="FG187" s="32">
        <f>Bankingbook_SBV[[#This Row],[Mat. Date]]-RPT</f>
        <v>835</v>
      </c>
      <c r="FH187" s="32">
        <f>IF(Bankingbook_SBV[[#This Row],[Days]]&lt;=0,0,YEARFRAC(RPT,Bankingbook_SBV[[#This Row],[Mat. Date]],3))</f>
        <v>2.2876712328767121</v>
      </c>
      <c r="FI187" s="32" t="str">
        <f>IF(Bankingbook_SBV[[#This Row],[Days (year)]]=0,0,INDEX(Ref!$K$2:$K$13,MATCH(Bankingbook_SBV[[#This Row],[Days (year)]],Ref!$I$2:$I$13,1)))</f>
        <v>2Y</v>
      </c>
      <c r="FJ187" s="32" t="str">
        <f>VLOOKUP(Bankingbook_SBV[[#This Row],[Security Name]],Ref!X:Z,3,0)</f>
        <v>TPCP</v>
      </c>
      <c r="FK187" s="32" t="str">
        <f>VLOOKUP(Bankingbook_SBV[[#This Row],[Security Name]],Ref!X:Y,2,0)</f>
        <v>KBNN</v>
      </c>
      <c r="FL187" s="72">
        <f>IF((Bankingbook_SBV[[#This Row],[Mat. Date]]-RPT)&lt;=0,0,Bankingbook_SBV[[#This Row],[QUANTITY]])</f>
        <v>0</v>
      </c>
      <c r="FM187" s="32">
        <f>IF(Bankingbook_SBV[[#This Row],[Quantity_edited]]=0,0,Bankingbook_SBV[[#This Row],[DURATION]])</f>
        <v>0</v>
      </c>
      <c r="FN187" s="32">
        <f>IF(Bankingbook_SBV[[#This Row],[Quantity_edited]]=0,0,Bankingbook_SBV[[#This Row],[Mod Dur]])</f>
        <v>0</v>
      </c>
      <c r="FO187" s="32">
        <f>IF(Bankingbook_SBV[[#This Row],[Quantity_edited]]=0,0,Bankingbook_SBV[[#This Row],[Cnvx.]])</f>
        <v>0</v>
      </c>
      <c r="FP187" s="32">
        <f>(Bankingbook_SBV[[#This Row],[MARKET_VALUE]]+Bankingbook_SBV[[#This Row],[Accr Int]]*Bankingbook_SBV[[#This Row],[Quantity_edited]])*(-Bankingbook_SBV[[#This Row],[Modified Duration]]*0.0001+0.5*Bankingbook_SBV[[#This Row],[Conv]]*(0.0001^2))</f>
        <v>0</v>
      </c>
      <c r="FQ187" s="32">
        <f>(Bankingbook_SBV[[#This Row],[MARKET_VALUE]]+Bankingbook_SBV[[#This Row],[Accr Int]]*Bankingbook_SBV[[#This Row],[Quantity_edited]])*(-Bankingbook_SBV[[#This Row],[Modified Duration]]*0.01+0.5*Bankingbook_SBV[[#This Row],[Conv]]*(0.01^2))</f>
        <v>0</v>
      </c>
    </row>
    <row r="188" spans="2:173" x14ac:dyDescent="0.3">
      <c r="B188" t="s">
        <v>166</v>
      </c>
      <c r="C188" t="s">
        <v>167</v>
      </c>
      <c r="D188" t="s">
        <v>367</v>
      </c>
      <c r="E188" t="s">
        <v>169</v>
      </c>
      <c r="F188" s="502">
        <v>43396</v>
      </c>
      <c r="G188" t="s">
        <v>3322</v>
      </c>
      <c r="H188"/>
      <c r="I188"/>
      <c r="J188" s="38">
        <v>0</v>
      </c>
      <c r="K188">
        <v>0</v>
      </c>
      <c r="L188">
        <v>0</v>
      </c>
      <c r="M188" s="38">
        <v>0</v>
      </c>
      <c r="N188">
        <v>6.6</v>
      </c>
      <c r="O188">
        <v>0</v>
      </c>
      <c r="P188" s="37">
        <v>0</v>
      </c>
      <c r="Q188" s="37">
        <v>0</v>
      </c>
      <c r="R188" s="37">
        <v>-22393099.999999523</v>
      </c>
      <c r="S188">
        <v>0</v>
      </c>
      <c r="T188" s="70">
        <v>0</v>
      </c>
      <c r="U188">
        <v>0</v>
      </c>
      <c r="V188">
        <v>0</v>
      </c>
      <c r="W188">
        <v>0</v>
      </c>
      <c r="X188" s="38">
        <v>0</v>
      </c>
      <c r="Y188">
        <v>0</v>
      </c>
      <c r="Z188" s="70">
        <v>-78000000</v>
      </c>
      <c r="AA188" s="70">
        <v>0</v>
      </c>
      <c r="AB188" s="70">
        <v>-78000000</v>
      </c>
      <c r="AC188" s="70">
        <v>-78000000</v>
      </c>
      <c r="AD188" s="70">
        <v>-78000000</v>
      </c>
      <c r="AE188" s="70">
        <v>-78000000</v>
      </c>
      <c r="AF188">
        <v>0</v>
      </c>
      <c r="AG188" s="72">
        <f>Tradingbook_MSB[[#This Row],[Mat. Date]]-RPT</f>
        <v>-2856</v>
      </c>
      <c r="AH188" s="71">
        <f>IF(Tradingbook_MSB[[#This Row],[Days]]&lt;=0,0,YEARFRAC(RPT,Tradingbook_MSB[[#This Row],[Mat. Date]],3))</f>
        <v>0</v>
      </c>
      <c r="AI188" s="71">
        <f>IF(Tradingbook_MSB[[#This Row],[Days (year)]]=0,0,INDEX(Ref!$K$2:$K$13,MATCH(Tradingbook_MSB[[#This Row],[Days (year)]],Ref!$I$2:$I$13,1)))</f>
        <v>0</v>
      </c>
      <c r="AJ188" s="120" t="str">
        <f>VLOOKUP(Tradingbook_MSB[[#This Row],[Security Name]],Ref!X:Z,3,0)</f>
        <v>TPCPBL</v>
      </c>
      <c r="AK188" s="120" t="str">
        <f>VLOOKUP(Tradingbook_MSB[[#This Row],[Security Name]],Ref!X:Y,2,0)</f>
        <v>VDB</v>
      </c>
      <c r="AL188" s="71">
        <f>IF((Tradingbook_MSB[[#This Row],[Mat. Date]]-RPT)&lt;=0,0,Tradingbook_MSB[[#This Row],[QUANTITY]])</f>
        <v>0</v>
      </c>
      <c r="AM188" s="71">
        <f>IF(Tradingbook_MSB[[#This Row],[Quantity_edited]]=0,0,Tradingbook_MSB[[#This Row],[DURATION]])</f>
        <v>0</v>
      </c>
      <c r="AN188" s="71">
        <f>IF(Tradingbook_MSB[[#This Row],[Quantity_edited]]=0,0,Tradingbook_MSB[[#This Row],[Mod Dur]])</f>
        <v>0</v>
      </c>
      <c r="AO188" s="71">
        <f>IF(Tradingbook_MSB[[#This Row],[Quantity_edited]]=0,0,Tradingbook_MSB[[#This Row],[Cnvx.]])</f>
        <v>0</v>
      </c>
      <c r="AP188" s="71">
        <f>(Tradingbook_MSB[[#This Row],[MARKET_VALUE]]+Tradingbook_MSB[[#This Row],[Accr Int]]*Tradingbook_MSB[[#This Row],[Quantity_edited]])*(-Tradingbook_MSB[[#This Row],[Modified Duration]]*0.0001+0.5*Tradingbook_MSB[[#This Row],[Conv]]*(0.0001^2))</f>
        <v>0</v>
      </c>
      <c r="AQ188" s="72">
        <f>(Tradingbook_MSB[[#This Row],[MARKET_VALUE]]+Tradingbook_MSB[[#This Row],[Accr Int]]*Tradingbook_MSB[[#This Row],[Quantity_edited]])*(-Tradingbook_MSB[[#This Row],[Modified Duration]]*0.01+0.5*Tradingbook_MSB[[#This Row],[Conv]]*(0.01^2))</f>
        <v>0</v>
      </c>
      <c r="AR188" s="71"/>
      <c r="AT188" t="s">
        <v>166</v>
      </c>
      <c r="AU188" t="s">
        <v>3302</v>
      </c>
      <c r="AV188" t="s">
        <v>707</v>
      </c>
      <c r="AW188" t="s">
        <v>169</v>
      </c>
      <c r="AX188" t="s">
        <v>3463</v>
      </c>
      <c r="AY188" t="s">
        <v>3322</v>
      </c>
      <c r="AZ188">
        <v>121194</v>
      </c>
      <c r="BA188">
        <v>121194</v>
      </c>
      <c r="BB188">
        <v>0</v>
      </c>
      <c r="BC188">
        <v>0</v>
      </c>
      <c r="BD188">
        <v>0</v>
      </c>
      <c r="BE188">
        <v>0</v>
      </c>
      <c r="BF188">
        <v>7</v>
      </c>
      <c r="BG188">
        <v>1899</v>
      </c>
      <c r="BH188">
        <v>0</v>
      </c>
      <c r="BI188">
        <v>3.9999999999999998E-6</v>
      </c>
      <c r="BJ188">
        <v>-3062975624.8611145</v>
      </c>
      <c r="BK188">
        <v>4.4669111839999998</v>
      </c>
      <c r="BL188">
        <v>7.7119161309484996</v>
      </c>
      <c r="BM188">
        <v>8.05640058</v>
      </c>
      <c r="BN188">
        <v>78.074681048238503</v>
      </c>
      <c r="BO188">
        <v>0</v>
      </c>
      <c r="BP188">
        <v>0</v>
      </c>
      <c r="BQ188">
        <v>0</v>
      </c>
      <c r="BR188">
        <v>-9956000000</v>
      </c>
      <c r="BS188">
        <v>0</v>
      </c>
      <c r="BT188">
        <v>-9956000000</v>
      </c>
      <c r="BU188">
        <v>-9956000000</v>
      </c>
      <c r="BV188">
        <v>-9956000000</v>
      </c>
      <c r="BW188">
        <v>-9956000000</v>
      </c>
      <c r="BX188">
        <v>0</v>
      </c>
      <c r="BY188" s="32">
        <f>Bankingbook_MSB[[#This Row],[Mat. Date]]-RPT</f>
        <v>3919</v>
      </c>
      <c r="BZ188" s="71">
        <f>IF(Bankingbook_MSB[[#This Row],[Days]]&lt;=0,0,YEARFRAC(RPT,Bankingbook_MSB[[#This Row],[Mat. Date]],3))</f>
        <v>10.736986301369862</v>
      </c>
      <c r="CA188" s="71" t="str">
        <f>IF(Bankingbook_MSB[[#This Row],[Days (year)]]=0,0,INDEX(Ref!$K$2:$K$13,MATCH(Bankingbook_MSB[[#This Row],[Days (year)]],Ref!$I$2:$I$13,1)))</f>
        <v>15Y</v>
      </c>
      <c r="CB188" s="32" t="str">
        <f>VLOOKUP(Bankingbook_MSB[[#This Row],[Security Name]],Ref!X:Z,3,0)</f>
        <v>TPCP</v>
      </c>
      <c r="CC188" s="32" t="str">
        <f>VLOOKUP(Bankingbook_MSB[[#This Row],[Security Name]],Ref!X:Y,2,0)</f>
        <v>KBNN</v>
      </c>
      <c r="CD188" s="72">
        <f>IF((Bankingbook_MSB[[#This Row],[Mat. Date]]-RPT)&lt;=0,0,Bankingbook_MSB[[#This Row],[QUANTITY]])</f>
        <v>0</v>
      </c>
      <c r="CE188" s="71">
        <f>IF(Bankingbook_MSB[[#This Row],[Quantity_edited]]=0,0,Bankingbook_MSB[[#This Row],[DURATION]])</f>
        <v>0</v>
      </c>
      <c r="CF188" s="71">
        <f>IF(Bankingbook_MSB[[#This Row],[Quantity_edited]]=0,0,Bankingbook_MSB[[#This Row],[Mod Dur]])</f>
        <v>0</v>
      </c>
      <c r="CG188" s="71">
        <f>IF(Bankingbook_MSB[[#This Row],[Quantity_edited]]=0,0,Bankingbook_MSB[[#This Row],[Cnvx.]])</f>
        <v>0</v>
      </c>
      <c r="CH188" s="71">
        <f>(Bankingbook_MSB[[#This Row],[MARKET_VALUE]]+Bankingbook_MSB[[#This Row],[Accr Int]]*Bankingbook_MSB[[#This Row],[Quantity_edited]])*(-Bankingbook_MSB[[#This Row],[Modified Duration]]*0.0001+0.5*Bankingbook_MSB[[#This Row],[Conv]]*(0.0001^2))</f>
        <v>0</v>
      </c>
      <c r="CI188" s="71">
        <f>(Bankingbook_MSB[[#This Row],[MARKET_VALUE]]+Bankingbook_MSB[[#This Row],[Accr Int]]*Bankingbook_MSB[[#This Row],[Quantity_edited]])*(-Bankingbook_MSB[[#This Row],[Modified Duration]]*0.01+0.5*Bankingbook_MSB[[#This Row],[Conv]]*(0.01^2))</f>
        <v>0</v>
      </c>
      <c r="CL188" t="s">
        <v>166</v>
      </c>
      <c r="CM188" t="s">
        <v>167</v>
      </c>
      <c r="CN188" t="s">
        <v>367</v>
      </c>
      <c r="CO188" t="s">
        <v>169</v>
      </c>
      <c r="CP188" s="35">
        <v>43396</v>
      </c>
      <c r="CQ188" t="s">
        <v>3322</v>
      </c>
      <c r="CR188" t="s">
        <v>174</v>
      </c>
      <c r="CS188" t="s">
        <v>174</v>
      </c>
      <c r="CT188" s="49">
        <v>0</v>
      </c>
      <c r="CU188">
        <v>0</v>
      </c>
      <c r="CV188">
        <v>0</v>
      </c>
      <c r="CW188" s="70">
        <v>0</v>
      </c>
      <c r="CX188">
        <v>6.6</v>
      </c>
      <c r="CY188">
        <v>0</v>
      </c>
      <c r="CZ188">
        <v>0</v>
      </c>
      <c r="DA188">
        <v>0</v>
      </c>
      <c r="DB188">
        <v>-22393099.999999523</v>
      </c>
      <c r="DC188">
        <v>0</v>
      </c>
      <c r="DD188">
        <v>0</v>
      </c>
      <c r="DE188">
        <v>0</v>
      </c>
      <c r="DF188">
        <v>0</v>
      </c>
      <c r="DG188">
        <v>0</v>
      </c>
      <c r="DH188">
        <v>0</v>
      </c>
      <c r="DI188">
        <v>0</v>
      </c>
      <c r="DJ188" s="500">
        <v>-78000000</v>
      </c>
      <c r="DK188" s="500">
        <v>0</v>
      </c>
      <c r="DL188" s="37">
        <v>-78000000</v>
      </c>
      <c r="DM188" s="37">
        <v>-78000000</v>
      </c>
      <c r="DN188" s="37">
        <v>-78000000</v>
      </c>
      <c r="DO188" s="37">
        <v>-78000000</v>
      </c>
      <c r="DP188" s="32">
        <f>Tradingbook_SBV[[#This Row],[Mat. Date]]-RPT</f>
        <v>-2856</v>
      </c>
      <c r="DQ188" s="32">
        <f>IF(Tradingbook_SBV[[#This Row],[Days]]&lt;=0,0,YEARFRAC(RPT,Tradingbook_SBV[[#This Row],[Mat. Date]],3))</f>
        <v>0</v>
      </c>
      <c r="DR188" s="32">
        <f>IF(Tradingbook_SBV[[#This Row],[Days (year)]]=0,0,INDEX(Ref!$K$2:$K$13,MATCH(Tradingbook_SBV[[#This Row],[Days (year)]],Ref!$I$2:$I$13,1)))</f>
        <v>0</v>
      </c>
      <c r="DS188" s="32" t="str">
        <f>VLOOKUP(Tradingbook_SBV[[#This Row],[Security Name]],Ref!X:Z,3,0)</f>
        <v>TPCPBL</v>
      </c>
      <c r="DT188" s="32" t="str">
        <f>VLOOKUP(Tradingbook_SBV[[#This Row],[Security Name]],Ref!X:Y,2,0)</f>
        <v>VDB</v>
      </c>
      <c r="DU188" s="71">
        <f>IF((Tradingbook_SBV[[#This Row],[Mat. Date]]-RPT)&lt;=0,0,Tradingbook_SBV[[#This Row],[QUANTITY]])</f>
        <v>0</v>
      </c>
      <c r="DV188" s="71">
        <f>IF(Tradingbook_SBV[[#This Row],[Quantity_edited]]=0,0,Tradingbook_SBV[[#This Row],[DURATION]])</f>
        <v>0</v>
      </c>
      <c r="DW188" s="71">
        <f>IF(Tradingbook_SBV[[#This Row],[Quantity_edited]]=0,0,Tradingbook_SBV[[#This Row],[Mod Dur]])</f>
        <v>0</v>
      </c>
      <c r="DX188" s="71">
        <f>IF(Tradingbook_SBV[[#This Row],[Quantity_edited]]=0,0,Tradingbook_SBV[[#This Row],[Cnvx.]])</f>
        <v>0</v>
      </c>
      <c r="DY188" s="71">
        <f>(Tradingbook_SBV[[#This Row],[MARKET_VALUE]]+Tradingbook_SBV[[#This Row],[Accr Int]]*Tradingbook_SBV[[#This Row],[Quantity_edited]])*(-Tradingbook_SBV[[#This Row],[Modified Duration]]*0.0001+0.5*Tradingbook_SBV[[#This Row],[Conv]]*(0.0001^2))</f>
        <v>0</v>
      </c>
      <c r="DZ188" s="71">
        <f>(Tradingbook_SBV[[#This Row],[MARKET_VALUE]]+Tradingbook_SBV[[#This Row],[Accr Int]]*Tradingbook_SBV[[#This Row],[Quantity_edited]])*(-Tradingbook_SBV[[#This Row],[Modified Duration]]*0.01+0.5*Tradingbook_SBV[[#This Row],[Conv]]*(0.01^2))</f>
        <v>0</v>
      </c>
      <c r="EC188" t="s">
        <v>166</v>
      </c>
      <c r="ED188" t="s">
        <v>3299</v>
      </c>
      <c r="EE188" t="s">
        <v>586</v>
      </c>
      <c r="EF188" t="s">
        <v>169</v>
      </c>
      <c r="EG188" s="35" t="s">
        <v>3794</v>
      </c>
      <c r="EH188" t="s">
        <v>3322</v>
      </c>
      <c r="EI188" s="500">
        <v>103538</v>
      </c>
      <c r="EJ188" s="500">
        <v>103538</v>
      </c>
      <c r="EK188" s="500">
        <v>0</v>
      </c>
      <c r="EL188" s="500">
        <v>0</v>
      </c>
      <c r="EM188" s="500">
        <v>0</v>
      </c>
      <c r="EN188" s="500">
        <v>0</v>
      </c>
      <c r="EO188">
        <v>5.8</v>
      </c>
      <c r="EP188">
        <v>3957</v>
      </c>
      <c r="EQ188">
        <v>2900000000</v>
      </c>
      <c r="ER188">
        <v>3397035027.777771</v>
      </c>
      <c r="ES188">
        <v>-939671150.13887596</v>
      </c>
      <c r="ET188">
        <v>4.1554187819999999</v>
      </c>
      <c r="EU188">
        <v>2.0739642549875001</v>
      </c>
      <c r="EV188">
        <v>2.16014616</v>
      </c>
      <c r="EW188">
        <v>6.5131620692650998</v>
      </c>
      <c r="EX188">
        <v>0</v>
      </c>
      <c r="EY188">
        <v>0</v>
      </c>
      <c r="EZ188">
        <v>0</v>
      </c>
      <c r="FA188">
        <v>-747500000</v>
      </c>
      <c r="FB188">
        <v>0</v>
      </c>
      <c r="FC188">
        <v>-747500000</v>
      </c>
      <c r="FD188">
        <v>-747500000</v>
      </c>
      <c r="FE188">
        <v>-747500000</v>
      </c>
      <c r="FF188">
        <v>-747500000</v>
      </c>
      <c r="FG188" s="32">
        <f>Bankingbook_SBV[[#This Row],[Mat. Date]]-RPT</f>
        <v>847</v>
      </c>
      <c r="FH188" s="32">
        <f>IF(Bankingbook_SBV[[#This Row],[Days]]&lt;=0,0,YEARFRAC(RPT,Bankingbook_SBV[[#This Row],[Mat. Date]],3))</f>
        <v>2.3205479452054796</v>
      </c>
      <c r="FI188" s="32" t="str">
        <f>IF(Bankingbook_SBV[[#This Row],[Days (year)]]=0,0,INDEX(Ref!$K$2:$K$13,MATCH(Bankingbook_SBV[[#This Row],[Days (year)]],Ref!$I$2:$I$13,1)))</f>
        <v>2Y</v>
      </c>
      <c r="FJ188" s="32" t="str">
        <f>VLOOKUP(Bankingbook_SBV[[#This Row],[Security Name]],Ref!X:Z,3,0)</f>
        <v>TPCPBL</v>
      </c>
      <c r="FK188" s="32" t="str">
        <f>VLOOKUP(Bankingbook_SBV[[#This Row],[Security Name]],Ref!X:Y,2,0)</f>
        <v>VDB</v>
      </c>
      <c r="FL188" s="72">
        <f>IF((Bankingbook_SBV[[#This Row],[Mat. Date]]-RPT)&lt;=0,0,Bankingbook_SBV[[#This Row],[QUANTITY]])</f>
        <v>0</v>
      </c>
      <c r="FM188" s="32">
        <f>IF(Bankingbook_SBV[[#This Row],[Quantity_edited]]=0,0,Bankingbook_SBV[[#This Row],[DURATION]])</f>
        <v>0</v>
      </c>
      <c r="FN188" s="32">
        <f>IF(Bankingbook_SBV[[#This Row],[Quantity_edited]]=0,0,Bankingbook_SBV[[#This Row],[Mod Dur]])</f>
        <v>0</v>
      </c>
      <c r="FO188" s="32">
        <f>IF(Bankingbook_SBV[[#This Row],[Quantity_edited]]=0,0,Bankingbook_SBV[[#This Row],[Cnvx.]])</f>
        <v>0</v>
      </c>
      <c r="FP188" s="32">
        <f>(Bankingbook_SBV[[#This Row],[MARKET_VALUE]]+Bankingbook_SBV[[#This Row],[Accr Int]]*Bankingbook_SBV[[#This Row],[Quantity_edited]])*(-Bankingbook_SBV[[#This Row],[Modified Duration]]*0.0001+0.5*Bankingbook_SBV[[#This Row],[Conv]]*(0.0001^2))</f>
        <v>0</v>
      </c>
      <c r="FQ188" s="32">
        <f>(Bankingbook_SBV[[#This Row],[MARKET_VALUE]]+Bankingbook_SBV[[#This Row],[Accr Int]]*Bankingbook_SBV[[#This Row],[Quantity_edited]])*(-Bankingbook_SBV[[#This Row],[Modified Duration]]*0.01+0.5*Bankingbook_SBV[[#This Row],[Conv]]*(0.01^2))</f>
        <v>0</v>
      </c>
    </row>
    <row r="189" spans="2:173" x14ac:dyDescent="0.3">
      <c r="B189" t="s">
        <v>166</v>
      </c>
      <c r="C189" t="s">
        <v>167</v>
      </c>
      <c r="D189" t="s">
        <v>368</v>
      </c>
      <c r="E189" t="s">
        <v>169</v>
      </c>
      <c r="F189" s="502">
        <v>43403</v>
      </c>
      <c r="G189" t="s">
        <v>3322</v>
      </c>
      <c r="H189"/>
      <c r="I189"/>
      <c r="J189" s="38">
        <v>0</v>
      </c>
      <c r="K189">
        <v>0</v>
      </c>
      <c r="L189">
        <v>0</v>
      </c>
      <c r="M189" s="38">
        <v>0</v>
      </c>
      <c r="N189">
        <v>6.5</v>
      </c>
      <c r="O189">
        <v>0</v>
      </c>
      <c r="P189" s="37">
        <v>29250000000</v>
      </c>
      <c r="Q189" s="37">
        <v>30556946875.000015</v>
      </c>
      <c r="R189" s="37">
        <v>-23732152088.194588</v>
      </c>
      <c r="S189">
        <v>0</v>
      </c>
      <c r="T189" s="70">
        <v>0</v>
      </c>
      <c r="U189">
        <v>0</v>
      </c>
      <c r="V189">
        <v>0</v>
      </c>
      <c r="W189">
        <v>0</v>
      </c>
      <c r="X189" s="38">
        <v>0</v>
      </c>
      <c r="Y189">
        <v>0</v>
      </c>
      <c r="Z189" s="70">
        <v>12514500000</v>
      </c>
      <c r="AA189" s="70">
        <v>0</v>
      </c>
      <c r="AB189" s="70">
        <v>12514500000</v>
      </c>
      <c r="AC189" s="70">
        <v>12514500000</v>
      </c>
      <c r="AD189" s="70">
        <v>12514500000</v>
      </c>
      <c r="AE189" s="70">
        <v>12514500000</v>
      </c>
      <c r="AF189">
        <v>0</v>
      </c>
      <c r="AG189" s="72">
        <f>Tradingbook_MSB[[#This Row],[Mat. Date]]-RPT</f>
        <v>-2849</v>
      </c>
      <c r="AH189" s="71">
        <f>IF(Tradingbook_MSB[[#This Row],[Days]]&lt;=0,0,YEARFRAC(RPT,Tradingbook_MSB[[#This Row],[Mat. Date]],3))</f>
        <v>0</v>
      </c>
      <c r="AI189" s="71">
        <f>IF(Tradingbook_MSB[[#This Row],[Days (year)]]=0,0,INDEX(Ref!$K$2:$K$13,MATCH(Tradingbook_MSB[[#This Row],[Days (year)]],Ref!$I$2:$I$13,1)))</f>
        <v>0</v>
      </c>
      <c r="AJ189" s="120" t="str">
        <f>VLOOKUP(Tradingbook_MSB[[#This Row],[Security Name]],Ref!X:Z,3,0)</f>
        <v>TPCPBL</v>
      </c>
      <c r="AK189" s="120" t="str">
        <f>VLOOKUP(Tradingbook_MSB[[#This Row],[Security Name]],Ref!X:Y,2,0)</f>
        <v>VDB</v>
      </c>
      <c r="AL189" s="71">
        <f>IF((Tradingbook_MSB[[#This Row],[Mat. Date]]-RPT)&lt;=0,0,Tradingbook_MSB[[#This Row],[QUANTITY]])</f>
        <v>0</v>
      </c>
      <c r="AM189" s="71">
        <f>IF(Tradingbook_MSB[[#This Row],[Quantity_edited]]=0,0,Tradingbook_MSB[[#This Row],[DURATION]])</f>
        <v>0</v>
      </c>
      <c r="AN189" s="71">
        <f>IF(Tradingbook_MSB[[#This Row],[Quantity_edited]]=0,0,Tradingbook_MSB[[#This Row],[Mod Dur]])</f>
        <v>0</v>
      </c>
      <c r="AO189" s="71">
        <f>IF(Tradingbook_MSB[[#This Row],[Quantity_edited]]=0,0,Tradingbook_MSB[[#This Row],[Cnvx.]])</f>
        <v>0</v>
      </c>
      <c r="AP189" s="71">
        <f>(Tradingbook_MSB[[#This Row],[MARKET_VALUE]]+Tradingbook_MSB[[#This Row],[Accr Int]]*Tradingbook_MSB[[#This Row],[Quantity_edited]])*(-Tradingbook_MSB[[#This Row],[Modified Duration]]*0.0001+0.5*Tradingbook_MSB[[#This Row],[Conv]]*(0.0001^2))</f>
        <v>0</v>
      </c>
      <c r="AQ189" s="72">
        <f>(Tradingbook_MSB[[#This Row],[MARKET_VALUE]]+Tradingbook_MSB[[#This Row],[Accr Int]]*Tradingbook_MSB[[#This Row],[Quantity_edited]])*(-Tradingbook_MSB[[#This Row],[Modified Duration]]*0.01+0.5*Tradingbook_MSB[[#This Row],[Conv]]*(0.01^2))</f>
        <v>0</v>
      </c>
      <c r="AR189" s="71"/>
      <c r="AT189" t="s">
        <v>166</v>
      </c>
      <c r="AU189" t="s">
        <v>3302</v>
      </c>
      <c r="AV189" t="s">
        <v>708</v>
      </c>
      <c r="AW189" t="s">
        <v>169</v>
      </c>
      <c r="AX189" t="s">
        <v>3464</v>
      </c>
      <c r="AY189" t="s">
        <v>3322</v>
      </c>
      <c r="AZ189">
        <v>112969</v>
      </c>
      <c r="BA189">
        <v>112969</v>
      </c>
      <c r="BB189">
        <v>0</v>
      </c>
      <c r="BC189">
        <v>0</v>
      </c>
      <c r="BD189">
        <v>0</v>
      </c>
      <c r="BE189">
        <v>0</v>
      </c>
      <c r="BF189">
        <v>6</v>
      </c>
      <c r="BG189">
        <v>477</v>
      </c>
      <c r="BH189">
        <v>6000000000</v>
      </c>
      <c r="BI189">
        <v>7318960833.3333588</v>
      </c>
      <c r="BJ189">
        <v>-2217388137.0833817</v>
      </c>
      <c r="BK189">
        <v>4.471920667</v>
      </c>
      <c r="BL189">
        <v>8.0943667087720002</v>
      </c>
      <c r="BM189">
        <v>8.4563403699999995</v>
      </c>
      <c r="BN189">
        <v>84.081245228954003</v>
      </c>
      <c r="BO189">
        <v>0</v>
      </c>
      <c r="BP189">
        <v>0</v>
      </c>
      <c r="BQ189">
        <v>0</v>
      </c>
      <c r="BR189">
        <v>-897000000</v>
      </c>
      <c r="BS189">
        <v>0</v>
      </c>
      <c r="BT189">
        <v>-897000000</v>
      </c>
      <c r="BU189">
        <v>-897000000</v>
      </c>
      <c r="BV189">
        <v>-897000000</v>
      </c>
      <c r="BW189">
        <v>-897000000</v>
      </c>
      <c r="BX189">
        <v>0</v>
      </c>
      <c r="BY189" s="32">
        <f>Bankingbook_MSB[[#This Row],[Mat. Date]]-RPT</f>
        <v>3989</v>
      </c>
      <c r="BZ189" s="71">
        <f>IF(Bankingbook_MSB[[#This Row],[Days]]&lt;=0,0,YEARFRAC(RPT,Bankingbook_MSB[[#This Row],[Mat. Date]],3))</f>
        <v>10.92876712328767</v>
      </c>
      <c r="CA189" s="71" t="str">
        <f>IF(Bankingbook_MSB[[#This Row],[Days (year)]]=0,0,INDEX(Ref!$K$2:$K$13,MATCH(Bankingbook_MSB[[#This Row],[Days (year)]],Ref!$I$2:$I$13,1)))</f>
        <v>15Y</v>
      </c>
      <c r="CB189" s="32" t="str">
        <f>VLOOKUP(Bankingbook_MSB[[#This Row],[Security Name]],Ref!X:Z,3,0)</f>
        <v>TPCP</v>
      </c>
      <c r="CC189" s="32" t="str">
        <f>VLOOKUP(Bankingbook_MSB[[#This Row],[Security Name]],Ref!X:Y,2,0)</f>
        <v>KBNN</v>
      </c>
      <c r="CD189" s="72">
        <f>IF((Bankingbook_MSB[[#This Row],[Mat. Date]]-RPT)&lt;=0,0,Bankingbook_MSB[[#This Row],[QUANTITY]])</f>
        <v>0</v>
      </c>
      <c r="CE189" s="71">
        <f>IF(Bankingbook_MSB[[#This Row],[Quantity_edited]]=0,0,Bankingbook_MSB[[#This Row],[DURATION]])</f>
        <v>0</v>
      </c>
      <c r="CF189" s="71">
        <f>IF(Bankingbook_MSB[[#This Row],[Quantity_edited]]=0,0,Bankingbook_MSB[[#This Row],[Mod Dur]])</f>
        <v>0</v>
      </c>
      <c r="CG189" s="71">
        <f>IF(Bankingbook_MSB[[#This Row],[Quantity_edited]]=0,0,Bankingbook_MSB[[#This Row],[Cnvx.]])</f>
        <v>0</v>
      </c>
      <c r="CH189" s="71">
        <f>(Bankingbook_MSB[[#This Row],[MARKET_VALUE]]+Bankingbook_MSB[[#This Row],[Accr Int]]*Bankingbook_MSB[[#This Row],[Quantity_edited]])*(-Bankingbook_MSB[[#This Row],[Modified Duration]]*0.0001+0.5*Bankingbook_MSB[[#This Row],[Conv]]*(0.0001^2))</f>
        <v>0</v>
      </c>
      <c r="CI189" s="71">
        <f>(Bankingbook_MSB[[#This Row],[MARKET_VALUE]]+Bankingbook_MSB[[#This Row],[Accr Int]]*Bankingbook_MSB[[#This Row],[Quantity_edited]])*(-Bankingbook_MSB[[#This Row],[Modified Duration]]*0.01+0.5*Bankingbook_MSB[[#This Row],[Conv]]*(0.01^2))</f>
        <v>0</v>
      </c>
      <c r="CL189" t="s">
        <v>166</v>
      </c>
      <c r="CM189" t="s">
        <v>167</v>
      </c>
      <c r="CN189" t="s">
        <v>368</v>
      </c>
      <c r="CO189" t="s">
        <v>169</v>
      </c>
      <c r="CP189" s="35">
        <v>43403</v>
      </c>
      <c r="CQ189" t="s">
        <v>3322</v>
      </c>
      <c r="CR189" t="s">
        <v>174</v>
      </c>
      <c r="CS189" t="s">
        <v>174</v>
      </c>
      <c r="CT189" s="49">
        <v>0</v>
      </c>
      <c r="CU189">
        <v>0</v>
      </c>
      <c r="CV189">
        <v>0</v>
      </c>
      <c r="CW189" s="70">
        <v>0</v>
      </c>
      <c r="CX189">
        <v>6.5</v>
      </c>
      <c r="CY189">
        <v>0</v>
      </c>
      <c r="CZ189">
        <v>29250000000</v>
      </c>
      <c r="DA189">
        <v>30556946875.000015</v>
      </c>
      <c r="DB189">
        <v>-23732152088.194588</v>
      </c>
      <c r="DC189">
        <v>0</v>
      </c>
      <c r="DD189">
        <v>0</v>
      </c>
      <c r="DE189">
        <v>0</v>
      </c>
      <c r="DF189">
        <v>0</v>
      </c>
      <c r="DG189">
        <v>0</v>
      </c>
      <c r="DH189">
        <v>0</v>
      </c>
      <c r="DI189">
        <v>0</v>
      </c>
      <c r="DJ189" s="500">
        <v>12514500000</v>
      </c>
      <c r="DK189" s="500">
        <v>0</v>
      </c>
      <c r="DL189" s="37">
        <v>12514500000</v>
      </c>
      <c r="DM189" s="37">
        <v>12514500000</v>
      </c>
      <c r="DN189" s="37">
        <v>12514500000</v>
      </c>
      <c r="DO189" s="37">
        <v>12514500000</v>
      </c>
      <c r="DP189" s="32">
        <f>Tradingbook_SBV[[#This Row],[Mat. Date]]-RPT</f>
        <v>-2849</v>
      </c>
      <c r="DQ189" s="32">
        <f>IF(Tradingbook_SBV[[#This Row],[Days]]&lt;=0,0,YEARFRAC(RPT,Tradingbook_SBV[[#This Row],[Mat. Date]],3))</f>
        <v>0</v>
      </c>
      <c r="DR189" s="32">
        <f>IF(Tradingbook_SBV[[#This Row],[Days (year)]]=0,0,INDEX(Ref!$K$2:$K$13,MATCH(Tradingbook_SBV[[#This Row],[Days (year)]],Ref!$I$2:$I$13,1)))</f>
        <v>0</v>
      </c>
      <c r="DS189" s="32" t="str">
        <f>VLOOKUP(Tradingbook_SBV[[#This Row],[Security Name]],Ref!X:Z,3,0)</f>
        <v>TPCPBL</v>
      </c>
      <c r="DT189" s="32" t="str">
        <f>VLOOKUP(Tradingbook_SBV[[#This Row],[Security Name]],Ref!X:Y,2,0)</f>
        <v>VDB</v>
      </c>
      <c r="DU189" s="71">
        <f>IF((Tradingbook_SBV[[#This Row],[Mat. Date]]-RPT)&lt;=0,0,Tradingbook_SBV[[#This Row],[QUANTITY]])</f>
        <v>0</v>
      </c>
      <c r="DV189" s="71">
        <f>IF(Tradingbook_SBV[[#This Row],[Quantity_edited]]=0,0,Tradingbook_SBV[[#This Row],[DURATION]])</f>
        <v>0</v>
      </c>
      <c r="DW189" s="71">
        <f>IF(Tradingbook_SBV[[#This Row],[Quantity_edited]]=0,0,Tradingbook_SBV[[#This Row],[Mod Dur]])</f>
        <v>0</v>
      </c>
      <c r="DX189" s="71">
        <f>IF(Tradingbook_SBV[[#This Row],[Quantity_edited]]=0,0,Tradingbook_SBV[[#This Row],[Cnvx.]])</f>
        <v>0</v>
      </c>
      <c r="DY189" s="71">
        <f>(Tradingbook_SBV[[#This Row],[MARKET_VALUE]]+Tradingbook_SBV[[#This Row],[Accr Int]]*Tradingbook_SBV[[#This Row],[Quantity_edited]])*(-Tradingbook_SBV[[#This Row],[Modified Duration]]*0.0001+0.5*Tradingbook_SBV[[#This Row],[Conv]]*(0.0001^2))</f>
        <v>0</v>
      </c>
      <c r="DZ189" s="71">
        <f>(Tradingbook_SBV[[#This Row],[MARKET_VALUE]]+Tradingbook_SBV[[#This Row],[Accr Int]]*Tradingbook_SBV[[#This Row],[Quantity_edited]])*(-Tradingbook_SBV[[#This Row],[Modified Duration]]*0.01+0.5*Tradingbook_SBV[[#This Row],[Conv]]*(0.01^2))</f>
        <v>0</v>
      </c>
      <c r="EC189" t="s">
        <v>166</v>
      </c>
      <c r="ED189" t="s">
        <v>3299</v>
      </c>
      <c r="EE189" t="s">
        <v>587</v>
      </c>
      <c r="EF189" t="s">
        <v>169</v>
      </c>
      <c r="EG189" s="35" t="s">
        <v>588</v>
      </c>
      <c r="EH189" t="s">
        <v>3322</v>
      </c>
      <c r="EI189" s="500">
        <v>103139</v>
      </c>
      <c r="EJ189" s="500">
        <v>103139</v>
      </c>
      <c r="EK189" s="500">
        <v>0</v>
      </c>
      <c r="EL189" s="500">
        <v>0</v>
      </c>
      <c r="EM189" s="500">
        <v>0</v>
      </c>
      <c r="EN189" s="500">
        <v>0</v>
      </c>
      <c r="EO189">
        <v>5.0999999999999996</v>
      </c>
      <c r="EP189">
        <v>3465</v>
      </c>
      <c r="EQ189">
        <v>33150000000</v>
      </c>
      <c r="ER189">
        <v>37564309604.166595</v>
      </c>
      <c r="ES189">
        <v>-9879920600.5497246</v>
      </c>
      <c r="ET189">
        <v>3.6555125789999998</v>
      </c>
      <c r="EU189">
        <v>2.1034445504059001</v>
      </c>
      <c r="EV189">
        <v>2.18033623</v>
      </c>
      <c r="EW189">
        <v>6.6539756765506999</v>
      </c>
      <c r="EX189">
        <v>0</v>
      </c>
      <c r="EY189">
        <v>0</v>
      </c>
      <c r="EZ189">
        <v>0</v>
      </c>
      <c r="FA189">
        <v>6378140000</v>
      </c>
      <c r="FB189">
        <v>0</v>
      </c>
      <c r="FC189">
        <v>6378140000</v>
      </c>
      <c r="FD189">
        <v>6378140000</v>
      </c>
      <c r="FE189">
        <v>6378140000</v>
      </c>
      <c r="FF189">
        <v>6378140000</v>
      </c>
      <c r="FG189" s="32">
        <f>Bankingbook_SBV[[#This Row],[Mat. Date]]-RPT</f>
        <v>848</v>
      </c>
      <c r="FH189" s="32">
        <f>IF(Bankingbook_SBV[[#This Row],[Days]]&lt;=0,0,YEARFRAC(RPT,Bankingbook_SBV[[#This Row],[Mat. Date]],3))</f>
        <v>2.3232876712328765</v>
      </c>
      <c r="FI189" s="32" t="str">
        <f>IF(Bankingbook_SBV[[#This Row],[Days (year)]]=0,0,INDEX(Ref!$K$2:$K$13,MATCH(Bankingbook_SBV[[#This Row],[Days (year)]],Ref!$I$2:$I$13,1)))</f>
        <v>2Y</v>
      </c>
      <c r="FJ189" s="32" t="str">
        <f>VLOOKUP(Bankingbook_SBV[[#This Row],[Security Name]],Ref!X:Z,3,0)</f>
        <v>TPCP</v>
      </c>
      <c r="FK189" s="32" t="str">
        <f>VLOOKUP(Bankingbook_SBV[[#This Row],[Security Name]],Ref!X:Y,2,0)</f>
        <v>KBNN</v>
      </c>
      <c r="FL189" s="72">
        <f>IF((Bankingbook_SBV[[#This Row],[Mat. Date]]-RPT)&lt;=0,0,Bankingbook_SBV[[#This Row],[QUANTITY]])</f>
        <v>0</v>
      </c>
      <c r="FM189" s="32">
        <f>IF(Bankingbook_SBV[[#This Row],[Quantity_edited]]=0,0,Bankingbook_SBV[[#This Row],[DURATION]])</f>
        <v>0</v>
      </c>
      <c r="FN189" s="32">
        <f>IF(Bankingbook_SBV[[#This Row],[Quantity_edited]]=0,0,Bankingbook_SBV[[#This Row],[Mod Dur]])</f>
        <v>0</v>
      </c>
      <c r="FO189" s="32">
        <f>IF(Bankingbook_SBV[[#This Row],[Quantity_edited]]=0,0,Bankingbook_SBV[[#This Row],[Cnvx.]])</f>
        <v>0</v>
      </c>
      <c r="FP189" s="32">
        <f>(Bankingbook_SBV[[#This Row],[MARKET_VALUE]]+Bankingbook_SBV[[#This Row],[Accr Int]]*Bankingbook_SBV[[#This Row],[Quantity_edited]])*(-Bankingbook_SBV[[#This Row],[Modified Duration]]*0.0001+0.5*Bankingbook_SBV[[#This Row],[Conv]]*(0.0001^2))</f>
        <v>0</v>
      </c>
      <c r="FQ189" s="32">
        <f>(Bankingbook_SBV[[#This Row],[MARKET_VALUE]]+Bankingbook_SBV[[#This Row],[Accr Int]]*Bankingbook_SBV[[#This Row],[Quantity_edited]])*(-Bankingbook_SBV[[#This Row],[Modified Duration]]*0.01+0.5*Bankingbook_SBV[[#This Row],[Conv]]*(0.01^2))</f>
        <v>0</v>
      </c>
    </row>
    <row r="190" spans="2:173" x14ac:dyDescent="0.3">
      <c r="B190" t="s">
        <v>166</v>
      </c>
      <c r="C190" t="s">
        <v>167</v>
      </c>
      <c r="D190" t="s">
        <v>369</v>
      </c>
      <c r="E190" t="s">
        <v>169</v>
      </c>
      <c r="F190" s="502">
        <v>43410</v>
      </c>
      <c r="G190" t="s">
        <v>3322</v>
      </c>
      <c r="H190"/>
      <c r="I190"/>
      <c r="J190" s="38">
        <v>0</v>
      </c>
      <c r="K190">
        <v>0</v>
      </c>
      <c r="L190">
        <v>0</v>
      </c>
      <c r="M190" s="38">
        <v>0</v>
      </c>
      <c r="N190">
        <v>6.3</v>
      </c>
      <c r="O190">
        <v>0</v>
      </c>
      <c r="P190" s="37">
        <v>0</v>
      </c>
      <c r="Q190" s="37">
        <v>0</v>
      </c>
      <c r="R190" s="37">
        <v>-15521475.694440603</v>
      </c>
      <c r="S190">
        <v>0</v>
      </c>
      <c r="T190" s="70">
        <v>0</v>
      </c>
      <c r="U190">
        <v>0</v>
      </c>
      <c r="V190">
        <v>0</v>
      </c>
      <c r="W190">
        <v>0</v>
      </c>
      <c r="X190" s="38">
        <v>0</v>
      </c>
      <c r="Y190">
        <v>0</v>
      </c>
      <c r="Z190" s="70">
        <v>-39500000</v>
      </c>
      <c r="AA190" s="70">
        <v>0</v>
      </c>
      <c r="AB190" s="70">
        <v>-39500000</v>
      </c>
      <c r="AC190" s="70">
        <v>-39500000</v>
      </c>
      <c r="AD190" s="70">
        <v>-39500000</v>
      </c>
      <c r="AE190" s="70">
        <v>-39500000</v>
      </c>
      <c r="AF190">
        <v>0</v>
      </c>
      <c r="AG190" s="72">
        <f>Tradingbook_MSB[[#This Row],[Mat. Date]]-RPT</f>
        <v>-2842</v>
      </c>
      <c r="AH190" s="71">
        <f>IF(Tradingbook_MSB[[#This Row],[Days]]&lt;=0,0,YEARFRAC(RPT,Tradingbook_MSB[[#This Row],[Mat. Date]],3))</f>
        <v>0</v>
      </c>
      <c r="AI190" s="71">
        <f>IF(Tradingbook_MSB[[#This Row],[Days (year)]]=0,0,INDEX(Ref!$K$2:$K$13,MATCH(Tradingbook_MSB[[#This Row],[Days (year)]],Ref!$I$2:$I$13,1)))</f>
        <v>0</v>
      </c>
      <c r="AJ190" s="120" t="str">
        <f>VLOOKUP(Tradingbook_MSB[[#This Row],[Security Name]],Ref!X:Z,3,0)</f>
        <v>TPCPBL</v>
      </c>
      <c r="AK190" s="120" t="str">
        <f>VLOOKUP(Tradingbook_MSB[[#This Row],[Security Name]],Ref!X:Y,2,0)</f>
        <v>VDB</v>
      </c>
      <c r="AL190" s="71">
        <f>IF((Tradingbook_MSB[[#This Row],[Mat. Date]]-RPT)&lt;=0,0,Tradingbook_MSB[[#This Row],[QUANTITY]])</f>
        <v>0</v>
      </c>
      <c r="AM190" s="71">
        <f>IF(Tradingbook_MSB[[#This Row],[Quantity_edited]]=0,0,Tradingbook_MSB[[#This Row],[DURATION]])</f>
        <v>0</v>
      </c>
      <c r="AN190" s="71">
        <f>IF(Tradingbook_MSB[[#This Row],[Quantity_edited]]=0,0,Tradingbook_MSB[[#This Row],[Mod Dur]])</f>
        <v>0</v>
      </c>
      <c r="AO190" s="71">
        <f>IF(Tradingbook_MSB[[#This Row],[Quantity_edited]]=0,0,Tradingbook_MSB[[#This Row],[Cnvx.]])</f>
        <v>0</v>
      </c>
      <c r="AP190" s="71">
        <f>(Tradingbook_MSB[[#This Row],[MARKET_VALUE]]+Tradingbook_MSB[[#This Row],[Accr Int]]*Tradingbook_MSB[[#This Row],[Quantity_edited]])*(-Tradingbook_MSB[[#This Row],[Modified Duration]]*0.0001+0.5*Tradingbook_MSB[[#This Row],[Conv]]*(0.0001^2))</f>
        <v>0</v>
      </c>
      <c r="AQ190" s="72">
        <f>(Tradingbook_MSB[[#This Row],[MARKET_VALUE]]+Tradingbook_MSB[[#This Row],[Accr Int]]*Tradingbook_MSB[[#This Row],[Quantity_edited]])*(-Tradingbook_MSB[[#This Row],[Modified Duration]]*0.01+0.5*Tradingbook_MSB[[#This Row],[Conv]]*(0.01^2))</f>
        <v>0</v>
      </c>
      <c r="AR190" s="71"/>
      <c r="AT190" t="s">
        <v>166</v>
      </c>
      <c r="AU190" t="s">
        <v>3302</v>
      </c>
      <c r="AV190" t="s">
        <v>2303</v>
      </c>
      <c r="AW190" t="s">
        <v>169</v>
      </c>
      <c r="AX190" t="s">
        <v>2304</v>
      </c>
      <c r="AY190" t="s">
        <v>170</v>
      </c>
      <c r="AZ190">
        <v>103625</v>
      </c>
      <c r="BA190">
        <v>103625</v>
      </c>
      <c r="BB190">
        <v>1000000</v>
      </c>
      <c r="BC190">
        <v>100000000000</v>
      </c>
      <c r="BD190">
        <v>126429</v>
      </c>
      <c r="BE190">
        <v>103625000000</v>
      </c>
      <c r="BF190">
        <v>4.9000000000000004</v>
      </c>
      <c r="BG190">
        <v>3678</v>
      </c>
      <c r="BH190">
        <v>9800000000</v>
      </c>
      <c r="BI190">
        <v>10436666527.777786</v>
      </c>
      <c r="BJ190">
        <v>-12400057195.833342</v>
      </c>
      <c r="BK190">
        <v>4.4804564119999997</v>
      </c>
      <c r="BL190">
        <v>8.2846874092664997</v>
      </c>
      <c r="BM190">
        <v>8.6558792199999992</v>
      </c>
      <c r="BN190">
        <v>89.344129949468794</v>
      </c>
      <c r="BO190">
        <v>95868.931759678497</v>
      </c>
      <c r="BP190">
        <v>-88897.181307652005</v>
      </c>
      <c r="BQ190">
        <v>12885.907999999999</v>
      </c>
      <c r="BR190">
        <v>0</v>
      </c>
      <c r="BS190">
        <v>-22804000000</v>
      </c>
      <c r="BT190">
        <v>-22804000000</v>
      </c>
      <c r="BU190">
        <v>-22804000000</v>
      </c>
      <c r="BV190">
        <v>-22804000000</v>
      </c>
      <c r="BW190">
        <v>-22804000000</v>
      </c>
      <c r="BX190">
        <v>2.57</v>
      </c>
      <c r="BY190" s="32">
        <f>Bankingbook_MSB[[#This Row],[Mat. Date]]-RPT</f>
        <v>4109</v>
      </c>
      <c r="BZ190" s="71">
        <f>IF(Bankingbook_MSB[[#This Row],[Days]]&lt;=0,0,YEARFRAC(RPT,Bankingbook_MSB[[#This Row],[Mat. Date]],3))</f>
        <v>11.257534246575343</v>
      </c>
      <c r="CA190" s="71" t="str">
        <f>IF(Bankingbook_MSB[[#This Row],[Days (year)]]=0,0,INDEX(Ref!$K$2:$K$13,MATCH(Bankingbook_MSB[[#This Row],[Days (year)]],Ref!$I$2:$I$13,1)))</f>
        <v>15Y</v>
      </c>
      <c r="CB190" s="32" t="str">
        <f>VLOOKUP(Bankingbook_MSB[[#This Row],[Security Name]],Ref!X:Z,3,0)</f>
        <v>TPCP</v>
      </c>
      <c r="CC190" s="32" t="str">
        <f>VLOOKUP(Bankingbook_MSB[[#This Row],[Security Name]],Ref!X:Y,2,0)</f>
        <v>KBNN</v>
      </c>
      <c r="CD190" s="72">
        <f>IF((Bankingbook_MSB[[#This Row],[Mat. Date]]-RPT)&lt;=0,0,Bankingbook_MSB[[#This Row],[QUANTITY]])</f>
        <v>1000000</v>
      </c>
      <c r="CE190" s="71">
        <f>IF(Bankingbook_MSB[[#This Row],[Quantity_edited]]=0,0,Bankingbook_MSB[[#This Row],[DURATION]])</f>
        <v>8.6558792199999992</v>
      </c>
      <c r="CF190" s="71">
        <f>IF(Bankingbook_MSB[[#This Row],[Quantity_edited]]=0,0,Bankingbook_MSB[[#This Row],[Mod Dur]])</f>
        <v>8.2846874092664997</v>
      </c>
      <c r="CG190" s="71">
        <f>IF(Bankingbook_MSB[[#This Row],[Quantity_edited]]=0,0,Bankingbook_MSB[[#This Row],[Cnvx.]])</f>
        <v>89.344129949468794</v>
      </c>
      <c r="CH190" s="71">
        <f>(Bankingbook_MSB[[#This Row],[MARKET_VALUE]]+Bankingbook_MSB[[#This Row],[Accr Int]]*Bankingbook_MSB[[#This Row],[Quantity_edited]])*(-Bankingbook_MSB[[#This Row],[Modified Duration]]*0.0001+0.5*Bankingbook_MSB[[#This Row],[Conv]]*(0.0001^2))</f>
        <v>-88849246.841772482</v>
      </c>
      <c r="CI190" s="71">
        <f>(Bankingbook_MSB[[#This Row],[MARKET_VALUE]]+Bankingbook_MSB[[#This Row],[Accr Int]]*Bankingbook_MSB[[#This Row],[Quantity_edited]])*(-Bankingbook_MSB[[#This Row],[Modified Duration]]*0.01+0.5*Bankingbook_MSB[[#This Row],[Conv]]*(0.01^2))</f>
        <v>-8410373471.9668398</v>
      </c>
      <c r="CL190" t="s">
        <v>166</v>
      </c>
      <c r="CM190" t="s">
        <v>167</v>
      </c>
      <c r="CN190" t="s">
        <v>369</v>
      </c>
      <c r="CO190" t="s">
        <v>169</v>
      </c>
      <c r="CP190" s="35">
        <v>43410</v>
      </c>
      <c r="CQ190" t="s">
        <v>3322</v>
      </c>
      <c r="CR190" t="s">
        <v>174</v>
      </c>
      <c r="CS190" t="s">
        <v>174</v>
      </c>
      <c r="CT190" s="49">
        <v>0</v>
      </c>
      <c r="CU190">
        <v>0</v>
      </c>
      <c r="CV190">
        <v>0</v>
      </c>
      <c r="CW190" s="70">
        <v>0</v>
      </c>
      <c r="CX190">
        <v>6.3</v>
      </c>
      <c r="CY190">
        <v>0</v>
      </c>
      <c r="CZ190">
        <v>0</v>
      </c>
      <c r="DA190">
        <v>0</v>
      </c>
      <c r="DB190">
        <v>-15521475.694440603</v>
      </c>
      <c r="DC190">
        <v>0</v>
      </c>
      <c r="DD190">
        <v>0</v>
      </c>
      <c r="DE190">
        <v>0</v>
      </c>
      <c r="DF190">
        <v>0</v>
      </c>
      <c r="DG190">
        <v>0</v>
      </c>
      <c r="DH190">
        <v>0</v>
      </c>
      <c r="DI190">
        <v>0</v>
      </c>
      <c r="DJ190" s="500">
        <v>-39500000</v>
      </c>
      <c r="DK190" s="500">
        <v>0</v>
      </c>
      <c r="DL190" s="37">
        <v>-39500000</v>
      </c>
      <c r="DM190" s="37">
        <v>-39500000</v>
      </c>
      <c r="DN190" s="37">
        <v>-39500000</v>
      </c>
      <c r="DO190" s="37">
        <v>-39500000</v>
      </c>
      <c r="DP190" s="32">
        <f>Tradingbook_SBV[[#This Row],[Mat. Date]]-RPT</f>
        <v>-2842</v>
      </c>
      <c r="DQ190" s="32">
        <f>IF(Tradingbook_SBV[[#This Row],[Days]]&lt;=0,0,YEARFRAC(RPT,Tradingbook_SBV[[#This Row],[Mat. Date]],3))</f>
        <v>0</v>
      </c>
      <c r="DR190" s="32">
        <f>IF(Tradingbook_SBV[[#This Row],[Days (year)]]=0,0,INDEX(Ref!$K$2:$K$13,MATCH(Tradingbook_SBV[[#This Row],[Days (year)]],Ref!$I$2:$I$13,1)))</f>
        <v>0</v>
      </c>
      <c r="DS190" s="32" t="str">
        <f>VLOOKUP(Tradingbook_SBV[[#This Row],[Security Name]],Ref!X:Z,3,0)</f>
        <v>TPCPBL</v>
      </c>
      <c r="DT190" s="32" t="str">
        <f>VLOOKUP(Tradingbook_SBV[[#This Row],[Security Name]],Ref!X:Y,2,0)</f>
        <v>VDB</v>
      </c>
      <c r="DU190" s="71">
        <f>IF((Tradingbook_SBV[[#This Row],[Mat. Date]]-RPT)&lt;=0,0,Tradingbook_SBV[[#This Row],[QUANTITY]])</f>
        <v>0</v>
      </c>
      <c r="DV190" s="71">
        <f>IF(Tradingbook_SBV[[#This Row],[Quantity_edited]]=0,0,Tradingbook_SBV[[#This Row],[DURATION]])</f>
        <v>0</v>
      </c>
      <c r="DW190" s="71">
        <f>IF(Tradingbook_SBV[[#This Row],[Quantity_edited]]=0,0,Tradingbook_SBV[[#This Row],[Mod Dur]])</f>
        <v>0</v>
      </c>
      <c r="DX190" s="71">
        <f>IF(Tradingbook_SBV[[#This Row],[Quantity_edited]]=0,0,Tradingbook_SBV[[#This Row],[Cnvx.]])</f>
        <v>0</v>
      </c>
      <c r="DY190" s="71">
        <f>(Tradingbook_SBV[[#This Row],[MARKET_VALUE]]+Tradingbook_SBV[[#This Row],[Accr Int]]*Tradingbook_SBV[[#This Row],[Quantity_edited]])*(-Tradingbook_SBV[[#This Row],[Modified Duration]]*0.0001+0.5*Tradingbook_SBV[[#This Row],[Conv]]*(0.0001^2))</f>
        <v>0</v>
      </c>
      <c r="DZ190" s="71">
        <f>(Tradingbook_SBV[[#This Row],[MARKET_VALUE]]+Tradingbook_SBV[[#This Row],[Accr Int]]*Tradingbook_SBV[[#This Row],[Quantity_edited]])*(-Tradingbook_SBV[[#This Row],[Modified Duration]]*0.01+0.5*Tradingbook_SBV[[#This Row],[Conv]]*(0.01^2))</f>
        <v>0</v>
      </c>
      <c r="EC190" t="s">
        <v>166</v>
      </c>
      <c r="ED190" t="s">
        <v>3299</v>
      </c>
      <c r="EE190" t="s">
        <v>784</v>
      </c>
      <c r="EF190" t="s">
        <v>169</v>
      </c>
      <c r="EG190" s="35" t="s">
        <v>785</v>
      </c>
      <c r="EH190" t="s">
        <v>170</v>
      </c>
      <c r="EI190" s="500">
        <v>103587</v>
      </c>
      <c r="EJ190" s="500">
        <v>103587</v>
      </c>
      <c r="EK190" s="500">
        <v>1000000</v>
      </c>
      <c r="EL190" s="500">
        <v>100000000000</v>
      </c>
      <c r="EM190" s="500">
        <v>103272.6</v>
      </c>
      <c r="EN190" s="500">
        <v>103587000000</v>
      </c>
      <c r="EO190">
        <v>5.8</v>
      </c>
      <c r="EP190">
        <v>3734</v>
      </c>
      <c r="EQ190">
        <v>75400000000</v>
      </c>
      <c r="ER190">
        <v>85958658333.333282</v>
      </c>
      <c r="ES190">
        <v>-21881975419.860863</v>
      </c>
      <c r="ET190">
        <v>4.158183578</v>
      </c>
      <c r="EU190">
        <v>2.1107280206303001</v>
      </c>
      <c r="EV190">
        <v>2.1984959700000002</v>
      </c>
      <c r="EW190">
        <v>6.7022474488428996</v>
      </c>
      <c r="EX190">
        <v>7192.9189845726996</v>
      </c>
      <c r="EY190">
        <v>-22652.544190206001</v>
      </c>
      <c r="EZ190">
        <v>11979.619000000001</v>
      </c>
      <c r="FA190">
        <v>73022599999.999969</v>
      </c>
      <c r="FB190">
        <v>314399999.99999416</v>
      </c>
      <c r="FC190">
        <v>73336999999.999969</v>
      </c>
      <c r="FD190">
        <v>73336999999.999969</v>
      </c>
      <c r="FE190">
        <v>73337000000</v>
      </c>
      <c r="FF190">
        <v>73336999999.999969</v>
      </c>
      <c r="FG190" s="32">
        <f>Bankingbook_SBV[[#This Row],[Mat. Date]]-RPT</f>
        <v>861</v>
      </c>
      <c r="FH190" s="32">
        <f>IF(Bankingbook_SBV[[#This Row],[Days]]&lt;=0,0,YEARFRAC(RPT,Bankingbook_SBV[[#This Row],[Mat. Date]],3))</f>
        <v>2.3589041095890413</v>
      </c>
      <c r="FI190" s="32" t="str">
        <f>IF(Bankingbook_SBV[[#This Row],[Days (year)]]=0,0,INDEX(Ref!$K$2:$K$13,MATCH(Bankingbook_SBV[[#This Row],[Days (year)]],Ref!$I$2:$I$13,1)))</f>
        <v>2Y</v>
      </c>
      <c r="FJ190" s="32" t="str">
        <f>VLOOKUP(Bankingbook_SBV[[#This Row],[Security Name]],Ref!X:Z,3,0)</f>
        <v>TPCPBL</v>
      </c>
      <c r="FK190" s="32" t="str">
        <f>VLOOKUP(Bankingbook_SBV[[#This Row],[Security Name]],Ref!X:Y,2,0)</f>
        <v>VDB</v>
      </c>
      <c r="FL190" s="72">
        <f>IF((Bankingbook_SBV[[#This Row],[Mat. Date]]-RPT)&lt;=0,0,Bankingbook_SBV[[#This Row],[QUANTITY]])</f>
        <v>1000000</v>
      </c>
      <c r="FM190" s="32">
        <f>IF(Bankingbook_SBV[[#This Row],[Quantity_edited]]=0,0,Bankingbook_SBV[[#This Row],[DURATION]])</f>
        <v>2.1984959700000002</v>
      </c>
      <c r="FN190" s="32">
        <f>IF(Bankingbook_SBV[[#This Row],[Quantity_edited]]=0,0,Bankingbook_SBV[[#This Row],[Mod Dur]])</f>
        <v>2.1107280206303001</v>
      </c>
      <c r="FO190" s="32">
        <f>IF(Bankingbook_SBV[[#This Row],[Quantity_edited]]=0,0,Bankingbook_SBV[[#This Row],[Cnvx.]])</f>
        <v>6.7022474488428996</v>
      </c>
      <c r="FP190" s="32">
        <f>(Bankingbook_SBV[[#This Row],[MARKET_VALUE]]+Bankingbook_SBV[[#This Row],[Accr Int]]*Bankingbook_SBV[[#This Row],[Quantity_edited]])*(-Bankingbook_SBV[[#This Row],[Modified Duration]]*0.0001+0.5*Bankingbook_SBV[[#This Row],[Conv]]*(0.0001^2))</f>
        <v>-22648947.730714157</v>
      </c>
      <c r="FQ190" s="32">
        <f>(Bankingbook_SBV[[#This Row],[MARKET_VALUE]]+Bankingbook_SBV[[#This Row],[Accr Int]]*Bankingbook_SBV[[#This Row],[Quantity_edited]])*(-Bankingbook_SBV[[#This Row],[Modified Duration]]*0.01+0.5*Bankingbook_SBV[[#This Row],[Conv]]*(0.01^2))</f>
        <v>-2229289824.0977812</v>
      </c>
    </row>
    <row r="191" spans="2:173" x14ac:dyDescent="0.3">
      <c r="B191" t="s">
        <v>166</v>
      </c>
      <c r="C191" t="s">
        <v>167</v>
      </c>
      <c r="D191" t="s">
        <v>370</v>
      </c>
      <c r="E191" t="s">
        <v>169</v>
      </c>
      <c r="F191" s="502">
        <v>43423</v>
      </c>
      <c r="G191" t="s">
        <v>3322</v>
      </c>
      <c r="H191"/>
      <c r="I191"/>
      <c r="J191" s="38">
        <v>0</v>
      </c>
      <c r="K191">
        <v>0</v>
      </c>
      <c r="L191">
        <v>0</v>
      </c>
      <c r="M191" s="38">
        <v>0</v>
      </c>
      <c r="N191">
        <v>5.9</v>
      </c>
      <c r="O191">
        <v>0</v>
      </c>
      <c r="P191" s="37">
        <v>0</v>
      </c>
      <c r="Q191" s="37">
        <v>3.9999999999999998E-6</v>
      </c>
      <c r="R191" s="37">
        <v>-109618264.16666842</v>
      </c>
      <c r="S191">
        <v>0</v>
      </c>
      <c r="T191" s="70">
        <v>0</v>
      </c>
      <c r="U191">
        <v>0</v>
      </c>
      <c r="V191">
        <v>0</v>
      </c>
      <c r="W191">
        <v>0</v>
      </c>
      <c r="X191" s="38">
        <v>0</v>
      </c>
      <c r="Y191">
        <v>0</v>
      </c>
      <c r="Z191" s="70">
        <v>122460000</v>
      </c>
      <c r="AA191" s="70">
        <v>0</v>
      </c>
      <c r="AB191" s="70">
        <v>122460000</v>
      </c>
      <c r="AC191" s="70">
        <v>122460000</v>
      </c>
      <c r="AD191" s="70">
        <v>122460000</v>
      </c>
      <c r="AE191" s="70">
        <v>122460000</v>
      </c>
      <c r="AF191">
        <v>0</v>
      </c>
      <c r="AG191" s="72">
        <f>Tradingbook_MSB[[#This Row],[Mat. Date]]-RPT</f>
        <v>-2829</v>
      </c>
      <c r="AH191" s="71">
        <f>IF(Tradingbook_MSB[[#This Row],[Days]]&lt;=0,0,YEARFRAC(RPT,Tradingbook_MSB[[#This Row],[Mat. Date]],3))</f>
        <v>0</v>
      </c>
      <c r="AI191" s="71">
        <f>IF(Tradingbook_MSB[[#This Row],[Days (year)]]=0,0,INDEX(Ref!$K$2:$K$13,MATCH(Tradingbook_MSB[[#This Row],[Days (year)]],Ref!$I$2:$I$13,1)))</f>
        <v>0</v>
      </c>
      <c r="AJ191" s="120" t="str">
        <f>VLOOKUP(Tradingbook_MSB[[#This Row],[Security Name]],Ref!X:Z,3,0)</f>
        <v>TPCP</v>
      </c>
      <c r="AK191" s="120" t="str">
        <f>VLOOKUP(Tradingbook_MSB[[#This Row],[Security Name]],Ref!X:Y,2,0)</f>
        <v>KBNN</v>
      </c>
      <c r="AL191" s="71">
        <f>IF((Tradingbook_MSB[[#This Row],[Mat. Date]]-RPT)&lt;=0,0,Tradingbook_MSB[[#This Row],[QUANTITY]])</f>
        <v>0</v>
      </c>
      <c r="AM191" s="71">
        <f>IF(Tradingbook_MSB[[#This Row],[Quantity_edited]]=0,0,Tradingbook_MSB[[#This Row],[DURATION]])</f>
        <v>0</v>
      </c>
      <c r="AN191" s="71">
        <f>IF(Tradingbook_MSB[[#This Row],[Quantity_edited]]=0,0,Tradingbook_MSB[[#This Row],[Mod Dur]])</f>
        <v>0</v>
      </c>
      <c r="AO191" s="71">
        <f>IF(Tradingbook_MSB[[#This Row],[Quantity_edited]]=0,0,Tradingbook_MSB[[#This Row],[Cnvx.]])</f>
        <v>0</v>
      </c>
      <c r="AP191" s="71">
        <f>(Tradingbook_MSB[[#This Row],[MARKET_VALUE]]+Tradingbook_MSB[[#This Row],[Accr Int]]*Tradingbook_MSB[[#This Row],[Quantity_edited]])*(-Tradingbook_MSB[[#This Row],[Modified Duration]]*0.0001+0.5*Tradingbook_MSB[[#This Row],[Conv]]*(0.0001^2))</f>
        <v>0</v>
      </c>
      <c r="AQ191" s="72">
        <f>(Tradingbook_MSB[[#This Row],[MARKET_VALUE]]+Tradingbook_MSB[[#This Row],[Accr Int]]*Tradingbook_MSB[[#This Row],[Quantity_edited]])*(-Tradingbook_MSB[[#This Row],[Modified Duration]]*0.01+0.5*Tradingbook_MSB[[#This Row],[Conv]]*(0.01^2))</f>
        <v>0</v>
      </c>
      <c r="AR191" s="71"/>
      <c r="AT191" t="s">
        <v>166</v>
      </c>
      <c r="AU191" t="s">
        <v>3302</v>
      </c>
      <c r="AV191" t="s">
        <v>2380</v>
      </c>
      <c r="AW191" t="s">
        <v>169</v>
      </c>
      <c r="AX191" t="s">
        <v>3465</v>
      </c>
      <c r="AY191" t="s">
        <v>170</v>
      </c>
      <c r="AZ191">
        <v>101870</v>
      </c>
      <c r="BA191">
        <v>101870</v>
      </c>
      <c r="BB191">
        <v>9000000</v>
      </c>
      <c r="BC191">
        <v>900000000000</v>
      </c>
      <c r="BD191">
        <v>123576.611</v>
      </c>
      <c r="BE191">
        <v>916830000000</v>
      </c>
      <c r="BF191">
        <v>4.7</v>
      </c>
      <c r="BG191">
        <v>2897</v>
      </c>
      <c r="BH191">
        <v>49350000000</v>
      </c>
      <c r="BI191">
        <v>51414465208.333351</v>
      </c>
      <c r="BJ191">
        <v>-84952724609.027924</v>
      </c>
      <c r="BK191">
        <v>4.4839176289999996</v>
      </c>
      <c r="BL191">
        <v>8.4711593242684007</v>
      </c>
      <c r="BM191">
        <v>8.8509991299999999</v>
      </c>
      <c r="BN191">
        <v>92.487795968746894</v>
      </c>
      <c r="BO191">
        <v>872070.20282319316</v>
      </c>
      <c r="BP191">
        <v>-798748.15403306298</v>
      </c>
      <c r="BQ191">
        <v>113317.853</v>
      </c>
      <c r="BR191">
        <v>0</v>
      </c>
      <c r="BS191">
        <v>-195359500000</v>
      </c>
      <c r="BT191">
        <v>-195359500000</v>
      </c>
      <c r="BU191">
        <v>-195359500000</v>
      </c>
      <c r="BV191">
        <v>-195359500000</v>
      </c>
      <c r="BW191">
        <v>-195359500000</v>
      </c>
      <c r="BX191">
        <v>2.5416666669999999</v>
      </c>
      <c r="BY191" s="32">
        <f>Bankingbook_MSB[[#This Row],[Mat. Date]]-RPT</f>
        <v>4158</v>
      </c>
      <c r="BZ191" s="71">
        <f>IF(Bankingbook_MSB[[#This Row],[Days]]&lt;=0,0,YEARFRAC(RPT,Bankingbook_MSB[[#This Row],[Mat. Date]],3))</f>
        <v>11.391780821917807</v>
      </c>
      <c r="CA191" s="71" t="str">
        <f>IF(Bankingbook_MSB[[#This Row],[Days (year)]]=0,0,INDEX(Ref!$K$2:$K$13,MATCH(Bankingbook_MSB[[#This Row],[Days (year)]],Ref!$I$2:$I$13,1)))</f>
        <v>15Y</v>
      </c>
      <c r="CB191" s="32" t="str">
        <f>VLOOKUP(Bankingbook_MSB[[#This Row],[Security Name]],Ref!X:Z,3,0)</f>
        <v>TPCP</v>
      </c>
      <c r="CC191" s="32" t="str">
        <f>VLOOKUP(Bankingbook_MSB[[#This Row],[Security Name]],Ref!X:Y,2,0)</f>
        <v>KBNN</v>
      </c>
      <c r="CD191" s="72">
        <f>IF((Bankingbook_MSB[[#This Row],[Mat. Date]]-RPT)&lt;=0,0,Bankingbook_MSB[[#This Row],[QUANTITY]])</f>
        <v>9000000</v>
      </c>
      <c r="CE191" s="71">
        <f>IF(Bankingbook_MSB[[#This Row],[Quantity_edited]]=0,0,Bankingbook_MSB[[#This Row],[DURATION]])</f>
        <v>8.8509991299999999</v>
      </c>
      <c r="CF191" s="71">
        <f>IF(Bankingbook_MSB[[#This Row],[Quantity_edited]]=0,0,Bankingbook_MSB[[#This Row],[Mod Dur]])</f>
        <v>8.4711593242684007</v>
      </c>
      <c r="CG191" s="71">
        <f>IF(Bankingbook_MSB[[#This Row],[Quantity_edited]]=0,0,Bankingbook_MSB[[#This Row],[Cnvx.]])</f>
        <v>92.487795968746894</v>
      </c>
      <c r="CH191" s="71">
        <f>(Bankingbook_MSB[[#This Row],[MARKET_VALUE]]+Bankingbook_MSB[[#This Row],[Accr Int]]*Bankingbook_MSB[[#This Row],[Quantity_edited]])*(-Bankingbook_MSB[[#This Row],[Modified Duration]]*0.0001+0.5*Bankingbook_MSB[[#This Row],[Conv]]*(0.0001^2))</f>
        <v>-798312118.93165326</v>
      </c>
      <c r="CI191" s="71">
        <f>(Bankingbook_MSB[[#This Row],[MARKET_VALUE]]+Bankingbook_MSB[[#This Row],[Accr Int]]*Bankingbook_MSB[[#This Row],[Quantity_edited]])*(-Bankingbook_MSB[[#This Row],[Modified Duration]]*0.01+0.5*Bankingbook_MSB[[#This Row],[Conv]]*(0.01^2))</f>
        <v>-75514464389.190506</v>
      </c>
      <c r="CL191" t="s">
        <v>166</v>
      </c>
      <c r="CM191" t="s">
        <v>167</v>
      </c>
      <c r="CN191" t="s">
        <v>370</v>
      </c>
      <c r="CO191" t="s">
        <v>169</v>
      </c>
      <c r="CP191" s="35">
        <v>43423</v>
      </c>
      <c r="CQ191" t="s">
        <v>3322</v>
      </c>
      <c r="CR191" t="s">
        <v>174</v>
      </c>
      <c r="CS191" t="s">
        <v>174</v>
      </c>
      <c r="CT191" s="49">
        <v>0</v>
      </c>
      <c r="CU191">
        <v>0</v>
      </c>
      <c r="CV191">
        <v>0</v>
      </c>
      <c r="CW191" s="70">
        <v>0</v>
      </c>
      <c r="CX191">
        <v>5.9</v>
      </c>
      <c r="CY191">
        <v>0</v>
      </c>
      <c r="CZ191">
        <v>0</v>
      </c>
      <c r="DA191">
        <v>3.9999999999999998E-6</v>
      </c>
      <c r="DB191">
        <v>-109618264.16666842</v>
      </c>
      <c r="DC191">
        <v>0</v>
      </c>
      <c r="DD191">
        <v>0</v>
      </c>
      <c r="DE191">
        <v>0</v>
      </c>
      <c r="DF191">
        <v>0</v>
      </c>
      <c r="DG191">
        <v>0</v>
      </c>
      <c r="DH191">
        <v>0</v>
      </c>
      <c r="DI191">
        <v>0</v>
      </c>
      <c r="DJ191" s="500">
        <v>122460000</v>
      </c>
      <c r="DK191" s="500">
        <v>0</v>
      </c>
      <c r="DL191" s="37">
        <v>122460000</v>
      </c>
      <c r="DM191" s="37">
        <v>122460000</v>
      </c>
      <c r="DN191" s="37">
        <v>122460000</v>
      </c>
      <c r="DO191" s="37">
        <v>122460000</v>
      </c>
      <c r="DP191" s="32">
        <f>Tradingbook_SBV[[#This Row],[Mat. Date]]-RPT</f>
        <v>-2829</v>
      </c>
      <c r="DQ191" s="32">
        <f>IF(Tradingbook_SBV[[#This Row],[Days]]&lt;=0,0,YEARFRAC(RPT,Tradingbook_SBV[[#This Row],[Mat. Date]],3))</f>
        <v>0</v>
      </c>
      <c r="DR191" s="32">
        <f>IF(Tradingbook_SBV[[#This Row],[Days (year)]]=0,0,INDEX(Ref!$K$2:$K$13,MATCH(Tradingbook_SBV[[#This Row],[Days (year)]],Ref!$I$2:$I$13,1)))</f>
        <v>0</v>
      </c>
      <c r="DS191" s="32" t="str">
        <f>VLOOKUP(Tradingbook_SBV[[#This Row],[Security Name]],Ref!X:Z,3,0)</f>
        <v>TPCP</v>
      </c>
      <c r="DT191" s="32" t="str">
        <f>VLOOKUP(Tradingbook_SBV[[#This Row],[Security Name]],Ref!X:Y,2,0)</f>
        <v>KBNN</v>
      </c>
      <c r="DU191" s="71">
        <f>IF((Tradingbook_SBV[[#This Row],[Mat. Date]]-RPT)&lt;=0,0,Tradingbook_SBV[[#This Row],[QUANTITY]])</f>
        <v>0</v>
      </c>
      <c r="DV191" s="71">
        <f>IF(Tradingbook_SBV[[#This Row],[Quantity_edited]]=0,0,Tradingbook_SBV[[#This Row],[DURATION]])</f>
        <v>0</v>
      </c>
      <c r="DW191" s="71">
        <f>IF(Tradingbook_SBV[[#This Row],[Quantity_edited]]=0,0,Tradingbook_SBV[[#This Row],[Mod Dur]])</f>
        <v>0</v>
      </c>
      <c r="DX191" s="71">
        <f>IF(Tradingbook_SBV[[#This Row],[Quantity_edited]]=0,0,Tradingbook_SBV[[#This Row],[Cnvx.]])</f>
        <v>0</v>
      </c>
      <c r="DY191" s="71">
        <f>(Tradingbook_SBV[[#This Row],[MARKET_VALUE]]+Tradingbook_SBV[[#This Row],[Accr Int]]*Tradingbook_SBV[[#This Row],[Quantity_edited]])*(-Tradingbook_SBV[[#This Row],[Modified Duration]]*0.0001+0.5*Tradingbook_SBV[[#This Row],[Conv]]*(0.0001^2))</f>
        <v>0</v>
      </c>
      <c r="DZ191" s="71">
        <f>(Tradingbook_SBV[[#This Row],[MARKET_VALUE]]+Tradingbook_SBV[[#This Row],[Accr Int]]*Tradingbook_SBV[[#This Row],[Quantity_edited]])*(-Tradingbook_SBV[[#This Row],[Modified Duration]]*0.01+0.5*Tradingbook_SBV[[#This Row],[Conv]]*(0.01^2))</f>
        <v>0</v>
      </c>
      <c r="EC191" t="s">
        <v>166</v>
      </c>
      <c r="ED191" t="s">
        <v>3299</v>
      </c>
      <c r="EE191" t="s">
        <v>589</v>
      </c>
      <c r="EF191" t="s">
        <v>169</v>
      </c>
      <c r="EG191" s="35" t="s">
        <v>3795</v>
      </c>
      <c r="EH191" t="s">
        <v>3322</v>
      </c>
      <c r="EI191" s="500">
        <v>103181</v>
      </c>
      <c r="EJ191" s="500">
        <v>103181</v>
      </c>
      <c r="EK191" s="500">
        <v>0</v>
      </c>
      <c r="EL191" s="500">
        <v>0</v>
      </c>
      <c r="EM191" s="500">
        <v>0</v>
      </c>
      <c r="EN191" s="500">
        <v>0</v>
      </c>
      <c r="EO191">
        <v>5.0999999999999996</v>
      </c>
      <c r="EP191">
        <v>3270</v>
      </c>
      <c r="EQ191">
        <v>0</v>
      </c>
      <c r="ER191">
        <v>0</v>
      </c>
      <c r="ES191">
        <v>-208684935.1388855</v>
      </c>
      <c r="ET191">
        <v>3.6582762469999999</v>
      </c>
      <c r="EU191">
        <v>2.1403854464793</v>
      </c>
      <c r="EV191">
        <v>2.2186866599999999</v>
      </c>
      <c r="EW191">
        <v>6.8463271752491002</v>
      </c>
      <c r="EX191">
        <v>0</v>
      </c>
      <c r="EY191">
        <v>0</v>
      </c>
      <c r="EZ191">
        <v>0</v>
      </c>
      <c r="FA191">
        <v>-985000000</v>
      </c>
      <c r="FB191">
        <v>0</v>
      </c>
      <c r="FC191">
        <v>-985000000</v>
      </c>
      <c r="FD191">
        <v>-985000000</v>
      </c>
      <c r="FE191">
        <v>-985000000</v>
      </c>
      <c r="FF191">
        <v>-985000000</v>
      </c>
      <c r="FG191" s="32">
        <f>Bankingbook_SBV[[#This Row],[Mat. Date]]-RPT</f>
        <v>862</v>
      </c>
      <c r="FH191" s="32">
        <f>IF(Bankingbook_SBV[[#This Row],[Days]]&lt;=0,0,YEARFRAC(RPT,Bankingbook_SBV[[#This Row],[Mat. Date]],3))</f>
        <v>2.3616438356164382</v>
      </c>
      <c r="FI191" s="32" t="str">
        <f>IF(Bankingbook_SBV[[#This Row],[Days (year)]]=0,0,INDEX(Ref!$K$2:$K$13,MATCH(Bankingbook_SBV[[#This Row],[Days (year)]],Ref!$I$2:$I$13,1)))</f>
        <v>2Y</v>
      </c>
      <c r="FJ191" s="32" t="str">
        <f>VLOOKUP(Bankingbook_SBV[[#This Row],[Security Name]],Ref!X:Z,3,0)</f>
        <v>TPCP</v>
      </c>
      <c r="FK191" s="32" t="str">
        <f>VLOOKUP(Bankingbook_SBV[[#This Row],[Security Name]],Ref!X:Y,2,0)</f>
        <v>KBNN</v>
      </c>
      <c r="FL191" s="72">
        <f>IF((Bankingbook_SBV[[#This Row],[Mat. Date]]-RPT)&lt;=0,0,Bankingbook_SBV[[#This Row],[QUANTITY]])</f>
        <v>0</v>
      </c>
      <c r="FM191" s="32">
        <f>IF(Bankingbook_SBV[[#This Row],[Quantity_edited]]=0,0,Bankingbook_SBV[[#This Row],[DURATION]])</f>
        <v>0</v>
      </c>
      <c r="FN191" s="32">
        <f>IF(Bankingbook_SBV[[#This Row],[Quantity_edited]]=0,0,Bankingbook_SBV[[#This Row],[Mod Dur]])</f>
        <v>0</v>
      </c>
      <c r="FO191" s="32">
        <f>IF(Bankingbook_SBV[[#This Row],[Quantity_edited]]=0,0,Bankingbook_SBV[[#This Row],[Cnvx.]])</f>
        <v>0</v>
      </c>
      <c r="FP191" s="32">
        <f>(Bankingbook_SBV[[#This Row],[MARKET_VALUE]]+Bankingbook_SBV[[#This Row],[Accr Int]]*Bankingbook_SBV[[#This Row],[Quantity_edited]])*(-Bankingbook_SBV[[#This Row],[Modified Duration]]*0.0001+0.5*Bankingbook_SBV[[#This Row],[Conv]]*(0.0001^2))</f>
        <v>0</v>
      </c>
      <c r="FQ191" s="32">
        <f>(Bankingbook_SBV[[#This Row],[MARKET_VALUE]]+Bankingbook_SBV[[#This Row],[Accr Int]]*Bankingbook_SBV[[#This Row],[Quantity_edited]])*(-Bankingbook_SBV[[#This Row],[Modified Duration]]*0.01+0.5*Bankingbook_SBV[[#This Row],[Conv]]*(0.01^2))</f>
        <v>0</v>
      </c>
    </row>
    <row r="192" spans="2:173" x14ac:dyDescent="0.3">
      <c r="B192" t="s">
        <v>166</v>
      </c>
      <c r="C192" t="s">
        <v>167</v>
      </c>
      <c r="D192" t="s">
        <v>371</v>
      </c>
      <c r="E192" t="s">
        <v>169</v>
      </c>
      <c r="F192" s="502">
        <v>43424</v>
      </c>
      <c r="G192" t="s">
        <v>3322</v>
      </c>
      <c r="H192"/>
      <c r="I192"/>
      <c r="J192" s="38">
        <v>0</v>
      </c>
      <c r="K192">
        <v>0</v>
      </c>
      <c r="L192">
        <v>0</v>
      </c>
      <c r="M192" s="38">
        <v>0</v>
      </c>
      <c r="N192">
        <v>9.4</v>
      </c>
      <c r="O192">
        <v>0</v>
      </c>
      <c r="P192" s="37">
        <v>18800000000</v>
      </c>
      <c r="Q192" s="37">
        <v>20916942666.666641</v>
      </c>
      <c r="R192" s="37">
        <v>-8509079353.3333206</v>
      </c>
      <c r="S192">
        <v>0</v>
      </c>
      <c r="T192" s="70">
        <v>0</v>
      </c>
      <c r="U192">
        <v>0</v>
      </c>
      <c r="V192">
        <v>0</v>
      </c>
      <c r="W192">
        <v>0</v>
      </c>
      <c r="X192" s="38">
        <v>0</v>
      </c>
      <c r="Y192">
        <v>0</v>
      </c>
      <c r="Z192" s="70">
        <v>16238000000</v>
      </c>
      <c r="AA192" s="70">
        <v>0</v>
      </c>
      <c r="AB192" s="70">
        <v>16238000000</v>
      </c>
      <c r="AC192" s="70">
        <v>16238000000</v>
      </c>
      <c r="AD192" s="70">
        <v>16238000000</v>
      </c>
      <c r="AE192" s="70">
        <v>16238000000</v>
      </c>
      <c r="AF192">
        <v>0</v>
      </c>
      <c r="AG192" s="72">
        <f>Tradingbook_MSB[[#This Row],[Mat. Date]]-RPT</f>
        <v>-2828</v>
      </c>
      <c r="AH192" s="71">
        <f>IF(Tradingbook_MSB[[#This Row],[Days]]&lt;=0,0,YEARFRAC(RPT,Tradingbook_MSB[[#This Row],[Mat. Date]],3))</f>
        <v>0</v>
      </c>
      <c r="AI192" s="71">
        <f>IF(Tradingbook_MSB[[#This Row],[Days (year)]]=0,0,INDEX(Ref!$K$2:$K$13,MATCH(Tradingbook_MSB[[#This Row],[Days (year)]],Ref!$I$2:$I$13,1)))</f>
        <v>0</v>
      </c>
      <c r="AJ192" s="120" t="str">
        <f>VLOOKUP(Tradingbook_MSB[[#This Row],[Security Name]],Ref!X:Z,3,0)</f>
        <v>TPCPBL</v>
      </c>
      <c r="AK192" s="120" t="str">
        <f>VLOOKUP(Tradingbook_MSB[[#This Row],[Security Name]],Ref!X:Y,2,0)</f>
        <v>VDB</v>
      </c>
      <c r="AL192" s="71">
        <f>IF((Tradingbook_MSB[[#This Row],[Mat. Date]]-RPT)&lt;=0,0,Tradingbook_MSB[[#This Row],[QUANTITY]])</f>
        <v>0</v>
      </c>
      <c r="AM192" s="71">
        <f>IF(Tradingbook_MSB[[#This Row],[Quantity_edited]]=0,0,Tradingbook_MSB[[#This Row],[DURATION]])</f>
        <v>0</v>
      </c>
      <c r="AN192" s="71">
        <f>IF(Tradingbook_MSB[[#This Row],[Quantity_edited]]=0,0,Tradingbook_MSB[[#This Row],[Mod Dur]])</f>
        <v>0</v>
      </c>
      <c r="AO192" s="71">
        <f>IF(Tradingbook_MSB[[#This Row],[Quantity_edited]]=0,0,Tradingbook_MSB[[#This Row],[Cnvx.]])</f>
        <v>0</v>
      </c>
      <c r="AP192" s="71">
        <f>(Tradingbook_MSB[[#This Row],[MARKET_VALUE]]+Tradingbook_MSB[[#This Row],[Accr Int]]*Tradingbook_MSB[[#This Row],[Quantity_edited]])*(-Tradingbook_MSB[[#This Row],[Modified Duration]]*0.0001+0.5*Tradingbook_MSB[[#This Row],[Conv]]*(0.0001^2))</f>
        <v>0</v>
      </c>
      <c r="AQ192" s="72">
        <f>(Tradingbook_MSB[[#This Row],[MARKET_VALUE]]+Tradingbook_MSB[[#This Row],[Accr Int]]*Tradingbook_MSB[[#This Row],[Quantity_edited]])*(-Tradingbook_MSB[[#This Row],[Modified Duration]]*0.01+0.5*Tradingbook_MSB[[#This Row],[Conv]]*(0.01^2))</f>
        <v>0</v>
      </c>
      <c r="AR192" s="71"/>
      <c r="AT192" t="s">
        <v>166</v>
      </c>
      <c r="AU192" t="s">
        <v>3302</v>
      </c>
      <c r="AV192" t="s">
        <v>709</v>
      </c>
      <c r="AW192" t="s">
        <v>169</v>
      </c>
      <c r="AX192" t="s">
        <v>3466</v>
      </c>
      <c r="AY192" t="s">
        <v>170</v>
      </c>
      <c r="AZ192">
        <v>106262</v>
      </c>
      <c r="BA192">
        <v>106262</v>
      </c>
      <c r="BB192">
        <v>1000000</v>
      </c>
      <c r="BC192">
        <v>100000000000</v>
      </c>
      <c r="BD192">
        <v>103391.6</v>
      </c>
      <c r="BE192">
        <v>106262000000</v>
      </c>
      <c r="BF192">
        <v>5.2</v>
      </c>
      <c r="BG192">
        <v>2821</v>
      </c>
      <c r="BH192">
        <v>59800000000</v>
      </c>
      <c r="BI192">
        <v>69003472777.777695</v>
      </c>
      <c r="BJ192">
        <v>-22886441389.096825</v>
      </c>
      <c r="BK192">
        <v>4.4858813160000004</v>
      </c>
      <c r="BL192">
        <v>8.3985580141317993</v>
      </c>
      <c r="BM192">
        <v>8.7753073599999993</v>
      </c>
      <c r="BN192">
        <v>91.571269095185102</v>
      </c>
      <c r="BO192">
        <v>99888.687467100797</v>
      </c>
      <c r="BP192">
        <v>-91613.990385554003</v>
      </c>
      <c r="BQ192">
        <v>13115.186</v>
      </c>
      <c r="BR192">
        <v>17685599999.999977</v>
      </c>
      <c r="BS192">
        <v>2870399999.9999943</v>
      </c>
      <c r="BT192">
        <v>20555999999.999969</v>
      </c>
      <c r="BU192">
        <v>20555999999.999969</v>
      </c>
      <c r="BV192">
        <v>20556000000</v>
      </c>
      <c r="BW192">
        <v>20555999999.999969</v>
      </c>
      <c r="BX192">
        <v>4.8794000000000004</v>
      </c>
      <c r="BY192" s="32">
        <f>Bankingbook_MSB[[#This Row],[Mat. Date]]-RPT</f>
        <v>4185</v>
      </c>
      <c r="BZ192" s="71">
        <f>IF(Bankingbook_MSB[[#This Row],[Days]]&lt;=0,0,YEARFRAC(RPT,Bankingbook_MSB[[#This Row],[Mat. Date]],3))</f>
        <v>11.465753424657533</v>
      </c>
      <c r="CA192" s="71" t="str">
        <f>IF(Bankingbook_MSB[[#This Row],[Days (year)]]=0,0,INDEX(Ref!$K$2:$K$13,MATCH(Bankingbook_MSB[[#This Row],[Days (year)]],Ref!$I$2:$I$13,1)))</f>
        <v>15Y</v>
      </c>
      <c r="CB192" s="32" t="str">
        <f>VLOOKUP(Bankingbook_MSB[[#This Row],[Security Name]],Ref!X:Z,3,0)</f>
        <v>TPCP</v>
      </c>
      <c r="CC192" s="32" t="str">
        <f>VLOOKUP(Bankingbook_MSB[[#This Row],[Security Name]],Ref!X:Y,2,0)</f>
        <v>KBNN</v>
      </c>
      <c r="CD192" s="72">
        <f>IF((Bankingbook_MSB[[#This Row],[Mat. Date]]-RPT)&lt;=0,0,Bankingbook_MSB[[#This Row],[QUANTITY]])</f>
        <v>1000000</v>
      </c>
      <c r="CE192" s="71">
        <f>IF(Bankingbook_MSB[[#This Row],[Quantity_edited]]=0,0,Bankingbook_MSB[[#This Row],[DURATION]])</f>
        <v>8.7753073599999993</v>
      </c>
      <c r="CF192" s="71">
        <f>IF(Bankingbook_MSB[[#This Row],[Quantity_edited]]=0,0,Bankingbook_MSB[[#This Row],[Mod Dur]])</f>
        <v>8.3985580141317993</v>
      </c>
      <c r="CG192" s="71">
        <f>IF(Bankingbook_MSB[[#This Row],[Quantity_edited]]=0,0,Bankingbook_MSB[[#This Row],[Cnvx.]])</f>
        <v>91.571269095185102</v>
      </c>
      <c r="CH192" s="71">
        <f>(Bankingbook_MSB[[#This Row],[MARKET_VALUE]]+Bankingbook_MSB[[#This Row],[Accr Int]]*Bankingbook_MSB[[#This Row],[Quantity_edited]])*(-Bankingbook_MSB[[#This Row],[Modified Duration]]*0.0001+0.5*Bankingbook_MSB[[#This Row],[Conv]]*(0.0001^2))</f>
        <v>-91564046.041820362</v>
      </c>
      <c r="CI192" s="71">
        <f>(Bankingbook_MSB[[#This Row],[MARKET_VALUE]]+Bankingbook_MSB[[#This Row],[Accr Int]]*Bankingbook_MSB[[#This Row],[Quantity_edited]])*(-Bankingbook_MSB[[#This Row],[Modified Duration]]*0.01+0.5*Bankingbook_MSB[[#This Row],[Conv]]*(0.01^2))</f>
        <v>-8661955601.2198868</v>
      </c>
      <c r="CL192" t="s">
        <v>166</v>
      </c>
      <c r="CM192" t="s">
        <v>167</v>
      </c>
      <c r="CN192" t="s">
        <v>371</v>
      </c>
      <c r="CO192" t="s">
        <v>169</v>
      </c>
      <c r="CP192" s="35">
        <v>43424</v>
      </c>
      <c r="CQ192" t="s">
        <v>3322</v>
      </c>
      <c r="CR192" t="s">
        <v>174</v>
      </c>
      <c r="CS192" t="s">
        <v>174</v>
      </c>
      <c r="CT192" s="49">
        <v>0</v>
      </c>
      <c r="CU192">
        <v>0</v>
      </c>
      <c r="CV192">
        <v>0</v>
      </c>
      <c r="CW192" s="70">
        <v>0</v>
      </c>
      <c r="CX192">
        <v>9.4</v>
      </c>
      <c r="CY192">
        <v>0</v>
      </c>
      <c r="CZ192">
        <v>18800000000</v>
      </c>
      <c r="DA192">
        <v>20916942666.666641</v>
      </c>
      <c r="DB192">
        <v>-8509079353.3333206</v>
      </c>
      <c r="DC192">
        <v>0</v>
      </c>
      <c r="DD192">
        <v>0</v>
      </c>
      <c r="DE192">
        <v>0</v>
      </c>
      <c r="DF192">
        <v>0</v>
      </c>
      <c r="DG192">
        <v>0</v>
      </c>
      <c r="DH192">
        <v>0</v>
      </c>
      <c r="DI192">
        <v>0</v>
      </c>
      <c r="DJ192" s="500">
        <v>16238000000</v>
      </c>
      <c r="DK192" s="500">
        <v>0</v>
      </c>
      <c r="DL192" s="37">
        <v>16238000000</v>
      </c>
      <c r="DM192" s="37">
        <v>16238000000</v>
      </c>
      <c r="DN192" s="37">
        <v>16238000000</v>
      </c>
      <c r="DO192" s="37">
        <v>16238000000</v>
      </c>
      <c r="DP192" s="32">
        <f>Tradingbook_SBV[[#This Row],[Mat. Date]]-RPT</f>
        <v>-2828</v>
      </c>
      <c r="DQ192" s="32">
        <f>IF(Tradingbook_SBV[[#This Row],[Days]]&lt;=0,0,YEARFRAC(RPT,Tradingbook_SBV[[#This Row],[Mat. Date]],3))</f>
        <v>0</v>
      </c>
      <c r="DR192" s="32">
        <f>IF(Tradingbook_SBV[[#This Row],[Days (year)]]=0,0,INDEX(Ref!$K$2:$K$13,MATCH(Tradingbook_SBV[[#This Row],[Days (year)]],Ref!$I$2:$I$13,1)))</f>
        <v>0</v>
      </c>
      <c r="DS192" s="32" t="str">
        <f>VLOOKUP(Tradingbook_SBV[[#This Row],[Security Name]],Ref!X:Z,3,0)</f>
        <v>TPCPBL</v>
      </c>
      <c r="DT192" s="32" t="str">
        <f>VLOOKUP(Tradingbook_SBV[[#This Row],[Security Name]],Ref!X:Y,2,0)</f>
        <v>VDB</v>
      </c>
      <c r="DU192" s="71">
        <f>IF((Tradingbook_SBV[[#This Row],[Mat. Date]]-RPT)&lt;=0,0,Tradingbook_SBV[[#This Row],[QUANTITY]])</f>
        <v>0</v>
      </c>
      <c r="DV192" s="71">
        <f>IF(Tradingbook_SBV[[#This Row],[Quantity_edited]]=0,0,Tradingbook_SBV[[#This Row],[DURATION]])</f>
        <v>0</v>
      </c>
      <c r="DW192" s="71">
        <f>IF(Tradingbook_SBV[[#This Row],[Quantity_edited]]=0,0,Tradingbook_SBV[[#This Row],[Mod Dur]])</f>
        <v>0</v>
      </c>
      <c r="DX192" s="71">
        <f>IF(Tradingbook_SBV[[#This Row],[Quantity_edited]]=0,0,Tradingbook_SBV[[#This Row],[Cnvx.]])</f>
        <v>0</v>
      </c>
      <c r="DY192" s="71">
        <f>(Tradingbook_SBV[[#This Row],[MARKET_VALUE]]+Tradingbook_SBV[[#This Row],[Accr Int]]*Tradingbook_SBV[[#This Row],[Quantity_edited]])*(-Tradingbook_SBV[[#This Row],[Modified Duration]]*0.0001+0.5*Tradingbook_SBV[[#This Row],[Conv]]*(0.0001^2))</f>
        <v>0</v>
      </c>
      <c r="DZ192" s="71">
        <f>(Tradingbook_SBV[[#This Row],[MARKET_VALUE]]+Tradingbook_SBV[[#This Row],[Accr Int]]*Tradingbook_SBV[[#This Row],[Quantity_edited]])*(-Tradingbook_SBV[[#This Row],[Modified Duration]]*0.01+0.5*Tradingbook_SBV[[#This Row],[Conv]]*(0.01^2))</f>
        <v>0</v>
      </c>
      <c r="EC192" t="s">
        <v>166</v>
      </c>
      <c r="ED192" t="s">
        <v>3299</v>
      </c>
      <c r="EE192" t="s">
        <v>590</v>
      </c>
      <c r="EF192" t="s">
        <v>169</v>
      </c>
      <c r="EG192" s="35" t="s">
        <v>3414</v>
      </c>
      <c r="EH192" t="s">
        <v>3322</v>
      </c>
      <c r="EI192" s="500">
        <v>103202</v>
      </c>
      <c r="EJ192" s="500">
        <v>103202</v>
      </c>
      <c r="EK192" s="500">
        <v>0</v>
      </c>
      <c r="EL192" s="500">
        <v>0</v>
      </c>
      <c r="EM192" s="500">
        <v>0</v>
      </c>
      <c r="EN192" s="500">
        <v>0</v>
      </c>
      <c r="EO192">
        <v>5.0999999999999996</v>
      </c>
      <c r="EP192">
        <v>3172</v>
      </c>
      <c r="EQ192">
        <v>45900000000</v>
      </c>
      <c r="ER192">
        <v>52706485499.999893</v>
      </c>
      <c r="ES192">
        <v>-11246539566.382702</v>
      </c>
      <c r="ET192">
        <v>3.6598761770000001</v>
      </c>
      <c r="EU192">
        <v>2.1588501769616002</v>
      </c>
      <c r="EV192">
        <v>2.2378614200000002</v>
      </c>
      <c r="EW192">
        <v>6.9434909063905002</v>
      </c>
      <c r="EX192">
        <v>0</v>
      </c>
      <c r="EY192">
        <v>0</v>
      </c>
      <c r="EZ192">
        <v>0</v>
      </c>
      <c r="FA192">
        <v>19400390000</v>
      </c>
      <c r="FB192">
        <v>0</v>
      </c>
      <c r="FC192">
        <v>19400390000</v>
      </c>
      <c r="FD192">
        <v>19400390000</v>
      </c>
      <c r="FE192">
        <v>19400390000</v>
      </c>
      <c r="FF192">
        <v>19400390000</v>
      </c>
      <c r="FG192" s="32">
        <f>Bankingbook_SBV[[#This Row],[Mat. Date]]-RPT</f>
        <v>869</v>
      </c>
      <c r="FH192" s="32">
        <f>IF(Bankingbook_SBV[[#This Row],[Days]]&lt;=0,0,YEARFRAC(RPT,Bankingbook_SBV[[#This Row],[Mat. Date]],3))</f>
        <v>2.3808219178082193</v>
      </c>
      <c r="FI192" s="32" t="str">
        <f>IF(Bankingbook_SBV[[#This Row],[Days (year)]]=0,0,INDEX(Ref!$K$2:$K$13,MATCH(Bankingbook_SBV[[#This Row],[Days (year)]],Ref!$I$2:$I$13,1)))</f>
        <v>2Y</v>
      </c>
      <c r="FJ192" s="32" t="str">
        <f>VLOOKUP(Bankingbook_SBV[[#This Row],[Security Name]],Ref!X:Z,3,0)</f>
        <v>TPCP</v>
      </c>
      <c r="FK192" s="32" t="str">
        <f>VLOOKUP(Bankingbook_SBV[[#This Row],[Security Name]],Ref!X:Y,2,0)</f>
        <v>KBNN</v>
      </c>
      <c r="FL192" s="72">
        <f>IF((Bankingbook_SBV[[#This Row],[Mat. Date]]-RPT)&lt;=0,0,Bankingbook_SBV[[#This Row],[QUANTITY]])</f>
        <v>0</v>
      </c>
      <c r="FM192" s="32">
        <f>IF(Bankingbook_SBV[[#This Row],[Quantity_edited]]=0,0,Bankingbook_SBV[[#This Row],[DURATION]])</f>
        <v>0</v>
      </c>
      <c r="FN192" s="32">
        <f>IF(Bankingbook_SBV[[#This Row],[Quantity_edited]]=0,0,Bankingbook_SBV[[#This Row],[Mod Dur]])</f>
        <v>0</v>
      </c>
      <c r="FO192" s="32">
        <f>IF(Bankingbook_SBV[[#This Row],[Quantity_edited]]=0,0,Bankingbook_SBV[[#This Row],[Cnvx.]])</f>
        <v>0</v>
      </c>
      <c r="FP192" s="32">
        <f>(Bankingbook_SBV[[#This Row],[MARKET_VALUE]]+Bankingbook_SBV[[#This Row],[Accr Int]]*Bankingbook_SBV[[#This Row],[Quantity_edited]])*(-Bankingbook_SBV[[#This Row],[Modified Duration]]*0.0001+0.5*Bankingbook_SBV[[#This Row],[Conv]]*(0.0001^2))</f>
        <v>0</v>
      </c>
      <c r="FQ192" s="32">
        <f>(Bankingbook_SBV[[#This Row],[MARKET_VALUE]]+Bankingbook_SBV[[#This Row],[Accr Int]]*Bankingbook_SBV[[#This Row],[Quantity_edited]])*(-Bankingbook_SBV[[#This Row],[Modified Duration]]*0.01+0.5*Bankingbook_SBV[[#This Row],[Conv]]*(0.01^2))</f>
        <v>0</v>
      </c>
    </row>
    <row r="193" spans="2:173" x14ac:dyDescent="0.3">
      <c r="B193" t="s">
        <v>166</v>
      </c>
      <c r="C193" t="s">
        <v>167</v>
      </c>
      <c r="D193" t="s">
        <v>372</v>
      </c>
      <c r="E193" t="s">
        <v>169</v>
      </c>
      <c r="F193" s="502">
        <v>43430</v>
      </c>
      <c r="G193" t="s">
        <v>3322</v>
      </c>
      <c r="H193"/>
      <c r="I193"/>
      <c r="J193" s="38">
        <v>0</v>
      </c>
      <c r="K193">
        <v>0</v>
      </c>
      <c r="L193">
        <v>0</v>
      </c>
      <c r="M193" s="38">
        <v>0</v>
      </c>
      <c r="N193">
        <v>5.8</v>
      </c>
      <c r="O193">
        <v>0</v>
      </c>
      <c r="P193" s="37">
        <v>5800000000</v>
      </c>
      <c r="Q193" s="37">
        <v>6010610486.1111183</v>
      </c>
      <c r="R193" s="37">
        <v>-4196412982.6389351</v>
      </c>
      <c r="S193">
        <v>0</v>
      </c>
      <c r="T193" s="70">
        <v>0</v>
      </c>
      <c r="U193">
        <v>0</v>
      </c>
      <c r="V193">
        <v>0</v>
      </c>
      <c r="W193">
        <v>0</v>
      </c>
      <c r="X193" s="38">
        <v>0</v>
      </c>
      <c r="Y193">
        <v>0</v>
      </c>
      <c r="Z193" s="70">
        <v>2784000000</v>
      </c>
      <c r="AA193" s="70">
        <v>0</v>
      </c>
      <c r="AB193" s="70">
        <v>2784000000</v>
      </c>
      <c r="AC193" s="70">
        <v>2784000000</v>
      </c>
      <c r="AD193" s="70">
        <v>2784000000</v>
      </c>
      <c r="AE193" s="70">
        <v>2784000000</v>
      </c>
      <c r="AF193">
        <v>0</v>
      </c>
      <c r="AG193" s="72">
        <f>Tradingbook_MSB[[#This Row],[Mat. Date]]-RPT</f>
        <v>-2822</v>
      </c>
      <c r="AH193" s="71">
        <f>IF(Tradingbook_MSB[[#This Row],[Days]]&lt;=0,0,YEARFRAC(RPT,Tradingbook_MSB[[#This Row],[Mat. Date]],3))</f>
        <v>0</v>
      </c>
      <c r="AI193" s="71">
        <f>IF(Tradingbook_MSB[[#This Row],[Days (year)]]=0,0,INDEX(Ref!$K$2:$K$13,MATCH(Tradingbook_MSB[[#This Row],[Days (year)]],Ref!$I$2:$I$13,1)))</f>
        <v>0</v>
      </c>
      <c r="AJ193" s="120" t="str">
        <f>VLOOKUP(Tradingbook_MSB[[#This Row],[Security Name]],Ref!X:Z,3,0)</f>
        <v>TPCP</v>
      </c>
      <c r="AK193" s="120" t="str">
        <f>VLOOKUP(Tradingbook_MSB[[#This Row],[Security Name]],Ref!X:Y,2,0)</f>
        <v>KBNN</v>
      </c>
      <c r="AL193" s="71">
        <f>IF((Tradingbook_MSB[[#This Row],[Mat. Date]]-RPT)&lt;=0,0,Tradingbook_MSB[[#This Row],[QUANTITY]])</f>
        <v>0</v>
      </c>
      <c r="AM193" s="71">
        <f>IF(Tradingbook_MSB[[#This Row],[Quantity_edited]]=0,0,Tradingbook_MSB[[#This Row],[DURATION]])</f>
        <v>0</v>
      </c>
      <c r="AN193" s="71">
        <f>IF(Tradingbook_MSB[[#This Row],[Quantity_edited]]=0,0,Tradingbook_MSB[[#This Row],[Mod Dur]])</f>
        <v>0</v>
      </c>
      <c r="AO193" s="71">
        <f>IF(Tradingbook_MSB[[#This Row],[Quantity_edited]]=0,0,Tradingbook_MSB[[#This Row],[Cnvx.]])</f>
        <v>0</v>
      </c>
      <c r="AP193" s="71">
        <f>(Tradingbook_MSB[[#This Row],[MARKET_VALUE]]+Tradingbook_MSB[[#This Row],[Accr Int]]*Tradingbook_MSB[[#This Row],[Quantity_edited]])*(-Tradingbook_MSB[[#This Row],[Modified Duration]]*0.0001+0.5*Tradingbook_MSB[[#This Row],[Conv]]*(0.0001^2))</f>
        <v>0</v>
      </c>
      <c r="AQ193" s="72">
        <f>(Tradingbook_MSB[[#This Row],[MARKET_VALUE]]+Tradingbook_MSB[[#This Row],[Accr Int]]*Tradingbook_MSB[[#This Row],[Quantity_edited]])*(-Tradingbook_MSB[[#This Row],[Modified Duration]]*0.01+0.5*Tradingbook_MSB[[#This Row],[Conv]]*(0.01^2))</f>
        <v>0</v>
      </c>
      <c r="AR193" s="71"/>
      <c r="AT193" t="s">
        <v>166</v>
      </c>
      <c r="AU193" t="s">
        <v>3302</v>
      </c>
      <c r="AV193" t="s">
        <v>2386</v>
      </c>
      <c r="AW193" t="s">
        <v>169</v>
      </c>
      <c r="AX193" t="s">
        <v>3467</v>
      </c>
      <c r="AY193" t="s">
        <v>170</v>
      </c>
      <c r="AZ193">
        <v>99219</v>
      </c>
      <c r="BA193">
        <v>99219</v>
      </c>
      <c r="BB193">
        <v>3500000</v>
      </c>
      <c r="BC193">
        <v>350000000000</v>
      </c>
      <c r="BD193">
        <v>122405.143</v>
      </c>
      <c r="BE193">
        <v>347266500000</v>
      </c>
      <c r="BF193">
        <v>4.4000000000000004</v>
      </c>
      <c r="BG193">
        <v>2375</v>
      </c>
      <c r="BH193">
        <v>30800000000</v>
      </c>
      <c r="BI193">
        <v>32486578055.555573</v>
      </c>
      <c r="BJ193">
        <v>-40735247890.277817</v>
      </c>
      <c r="BK193">
        <v>4.4858984570000002</v>
      </c>
      <c r="BL193">
        <v>8.6362753779566006</v>
      </c>
      <c r="BM193">
        <v>9.0236899200000007</v>
      </c>
      <c r="BN193">
        <v>95.206159095758807</v>
      </c>
      <c r="BO193">
        <v>338533.10845110839</v>
      </c>
      <c r="BP193">
        <v>-307087.81626184401</v>
      </c>
      <c r="BQ193">
        <v>42751.868000000002</v>
      </c>
      <c r="BR193">
        <v>0</v>
      </c>
      <c r="BS193">
        <v>-81151500000</v>
      </c>
      <c r="BT193">
        <v>-81151500000</v>
      </c>
      <c r="BU193">
        <v>-81151500000</v>
      </c>
      <c r="BV193">
        <v>-81151500000</v>
      </c>
      <c r="BW193">
        <v>-81151500000</v>
      </c>
      <c r="BX193">
        <v>2.4528571430000001</v>
      </c>
      <c r="BY193" s="32">
        <f>Bankingbook_MSB[[#This Row],[Mat. Date]]-RPT</f>
        <v>4186</v>
      </c>
      <c r="BZ193" s="71">
        <f>IF(Bankingbook_MSB[[#This Row],[Days]]&lt;=0,0,YEARFRAC(RPT,Bankingbook_MSB[[#This Row],[Mat. Date]],3))</f>
        <v>11.468493150684932</v>
      </c>
      <c r="CA193" s="71" t="str">
        <f>IF(Bankingbook_MSB[[#This Row],[Days (year)]]=0,0,INDEX(Ref!$K$2:$K$13,MATCH(Bankingbook_MSB[[#This Row],[Days (year)]],Ref!$I$2:$I$13,1)))</f>
        <v>15Y</v>
      </c>
      <c r="CB193" s="32" t="str">
        <f>VLOOKUP(Bankingbook_MSB[[#This Row],[Security Name]],Ref!X:Z,3,0)</f>
        <v>TPCP</v>
      </c>
      <c r="CC193" s="32" t="str">
        <f>VLOOKUP(Bankingbook_MSB[[#This Row],[Security Name]],Ref!X:Y,2,0)</f>
        <v>KBNN</v>
      </c>
      <c r="CD193" s="72">
        <f>IF((Bankingbook_MSB[[#This Row],[Mat. Date]]-RPT)&lt;=0,0,Bankingbook_MSB[[#This Row],[QUANTITY]])</f>
        <v>3500000</v>
      </c>
      <c r="CE193" s="71">
        <f>IF(Bankingbook_MSB[[#This Row],[Quantity_edited]]=0,0,Bankingbook_MSB[[#This Row],[DURATION]])</f>
        <v>9.0236899200000007</v>
      </c>
      <c r="CF193" s="71">
        <f>IF(Bankingbook_MSB[[#This Row],[Quantity_edited]]=0,0,Bankingbook_MSB[[#This Row],[Mod Dur]])</f>
        <v>8.6362753779566006</v>
      </c>
      <c r="CG193" s="71">
        <f>IF(Bankingbook_MSB[[#This Row],[Quantity_edited]]=0,0,Bankingbook_MSB[[#This Row],[Cnvx.]])</f>
        <v>95.206159095758807</v>
      </c>
      <c r="CH193" s="71">
        <f>(Bankingbook_MSB[[#This Row],[MARKET_VALUE]]+Bankingbook_MSB[[#This Row],[Accr Int]]*Bankingbook_MSB[[#This Row],[Quantity_edited]])*(-Bankingbook_MSB[[#This Row],[Modified Duration]]*0.0001+0.5*Bankingbook_MSB[[#This Row],[Conv]]*(0.0001^2))</f>
        <v>-306918549.70761746</v>
      </c>
      <c r="CI193" s="71">
        <f>(Bankingbook_MSB[[#This Row],[MARKET_VALUE]]+Bankingbook_MSB[[#This Row],[Accr Int]]*Bankingbook_MSB[[#This Row],[Quantity_edited]])*(-Bankingbook_MSB[[#This Row],[Modified Duration]]*0.01+0.5*Bankingbook_MSB[[#This Row],[Conv]]*(0.01^2))</f>
        <v>-29016116083.928764</v>
      </c>
      <c r="CL193" t="s">
        <v>166</v>
      </c>
      <c r="CM193" t="s">
        <v>167</v>
      </c>
      <c r="CN193" t="s">
        <v>372</v>
      </c>
      <c r="CO193" t="s">
        <v>169</v>
      </c>
      <c r="CP193" s="35">
        <v>43430</v>
      </c>
      <c r="CQ193" t="s">
        <v>3322</v>
      </c>
      <c r="CR193" t="s">
        <v>174</v>
      </c>
      <c r="CS193" t="s">
        <v>174</v>
      </c>
      <c r="CT193" s="49">
        <v>0</v>
      </c>
      <c r="CU193">
        <v>0</v>
      </c>
      <c r="CV193">
        <v>0</v>
      </c>
      <c r="CW193" s="70">
        <v>0</v>
      </c>
      <c r="CX193">
        <v>5.8</v>
      </c>
      <c r="CY193">
        <v>0</v>
      </c>
      <c r="CZ193">
        <v>5800000000</v>
      </c>
      <c r="DA193">
        <v>6010610486.1111183</v>
      </c>
      <c r="DB193">
        <v>-4196412982.6389351</v>
      </c>
      <c r="DC193">
        <v>0</v>
      </c>
      <c r="DD193">
        <v>0</v>
      </c>
      <c r="DE193">
        <v>0</v>
      </c>
      <c r="DF193">
        <v>0</v>
      </c>
      <c r="DG193">
        <v>0</v>
      </c>
      <c r="DH193">
        <v>0</v>
      </c>
      <c r="DI193">
        <v>0</v>
      </c>
      <c r="DJ193" s="500">
        <v>2784000000</v>
      </c>
      <c r="DK193" s="500">
        <v>0</v>
      </c>
      <c r="DL193" s="37">
        <v>2784000000</v>
      </c>
      <c r="DM193" s="37">
        <v>2784000000</v>
      </c>
      <c r="DN193" s="37">
        <v>2784000000</v>
      </c>
      <c r="DO193" s="37">
        <v>2784000000</v>
      </c>
      <c r="DP193" s="32">
        <f>Tradingbook_SBV[[#This Row],[Mat. Date]]-RPT</f>
        <v>-2822</v>
      </c>
      <c r="DQ193" s="32">
        <f>IF(Tradingbook_SBV[[#This Row],[Days]]&lt;=0,0,YEARFRAC(RPT,Tradingbook_SBV[[#This Row],[Mat. Date]],3))</f>
        <v>0</v>
      </c>
      <c r="DR193" s="32">
        <f>IF(Tradingbook_SBV[[#This Row],[Days (year)]]=0,0,INDEX(Ref!$K$2:$K$13,MATCH(Tradingbook_SBV[[#This Row],[Days (year)]],Ref!$I$2:$I$13,1)))</f>
        <v>0</v>
      </c>
      <c r="DS193" s="32" t="str">
        <f>VLOOKUP(Tradingbook_SBV[[#This Row],[Security Name]],Ref!X:Z,3,0)</f>
        <v>TPCP</v>
      </c>
      <c r="DT193" s="32" t="str">
        <f>VLOOKUP(Tradingbook_SBV[[#This Row],[Security Name]],Ref!X:Y,2,0)</f>
        <v>KBNN</v>
      </c>
      <c r="DU193" s="71">
        <f>IF((Tradingbook_SBV[[#This Row],[Mat. Date]]-RPT)&lt;=0,0,Tradingbook_SBV[[#This Row],[QUANTITY]])</f>
        <v>0</v>
      </c>
      <c r="DV193" s="71">
        <f>IF(Tradingbook_SBV[[#This Row],[Quantity_edited]]=0,0,Tradingbook_SBV[[#This Row],[DURATION]])</f>
        <v>0</v>
      </c>
      <c r="DW193" s="71">
        <f>IF(Tradingbook_SBV[[#This Row],[Quantity_edited]]=0,0,Tradingbook_SBV[[#This Row],[Mod Dur]])</f>
        <v>0</v>
      </c>
      <c r="DX193" s="71">
        <f>IF(Tradingbook_SBV[[#This Row],[Quantity_edited]]=0,0,Tradingbook_SBV[[#This Row],[Cnvx.]])</f>
        <v>0</v>
      </c>
      <c r="DY193" s="71">
        <f>(Tradingbook_SBV[[#This Row],[MARKET_VALUE]]+Tradingbook_SBV[[#This Row],[Accr Int]]*Tradingbook_SBV[[#This Row],[Quantity_edited]])*(-Tradingbook_SBV[[#This Row],[Modified Duration]]*0.0001+0.5*Tradingbook_SBV[[#This Row],[Conv]]*(0.0001^2))</f>
        <v>0</v>
      </c>
      <c r="DZ193" s="71">
        <f>(Tradingbook_SBV[[#This Row],[MARKET_VALUE]]+Tradingbook_SBV[[#This Row],[Accr Int]]*Tradingbook_SBV[[#This Row],[Quantity_edited]])*(-Tradingbook_SBV[[#This Row],[Modified Duration]]*0.01+0.5*Tradingbook_SBV[[#This Row],[Conv]]*(0.01^2))</f>
        <v>0</v>
      </c>
      <c r="EC193" t="s">
        <v>166</v>
      </c>
      <c r="ED193" t="s">
        <v>3299</v>
      </c>
      <c r="EE193" t="s">
        <v>2798</v>
      </c>
      <c r="EF193" t="s">
        <v>169</v>
      </c>
      <c r="EG193" s="35" t="s">
        <v>3796</v>
      </c>
      <c r="EH193" t="s">
        <v>3322</v>
      </c>
      <c r="EI193" s="500">
        <v>95113</v>
      </c>
      <c r="EJ193" s="500">
        <v>95113</v>
      </c>
      <c r="EK193" s="500">
        <v>0</v>
      </c>
      <c r="EL193" s="500">
        <v>0</v>
      </c>
      <c r="EM193" s="500">
        <v>0</v>
      </c>
      <c r="EN193" s="500">
        <v>0</v>
      </c>
      <c r="EO193">
        <v>1.5</v>
      </c>
      <c r="EP193">
        <v>900</v>
      </c>
      <c r="EQ193">
        <v>0</v>
      </c>
      <c r="ER193">
        <v>1.9999999999999999E-6</v>
      </c>
      <c r="ES193">
        <v>-658055713.51388359</v>
      </c>
      <c r="ET193">
        <v>3.661180066</v>
      </c>
      <c r="EU193">
        <v>2.2711921024096999</v>
      </c>
      <c r="EV193">
        <v>2.3543445300000001</v>
      </c>
      <c r="EW193">
        <v>7.4185001148724998</v>
      </c>
      <c r="EX193">
        <v>0</v>
      </c>
      <c r="EY193">
        <v>0</v>
      </c>
      <c r="EZ193">
        <v>0</v>
      </c>
      <c r="FA193">
        <v>-424279999.99975586</v>
      </c>
      <c r="FB193">
        <v>0</v>
      </c>
      <c r="FC193">
        <v>-424279999.99975592</v>
      </c>
      <c r="FD193">
        <v>-424279999.99975592</v>
      </c>
      <c r="FE193">
        <v>-424280000</v>
      </c>
      <c r="FF193">
        <v>-424279999.99975592</v>
      </c>
      <c r="FG193" s="32">
        <f>Bankingbook_SBV[[#This Row],[Mat. Date]]-RPT</f>
        <v>877</v>
      </c>
      <c r="FH193" s="32">
        <f>IF(Bankingbook_SBV[[#This Row],[Days]]&lt;=0,0,YEARFRAC(RPT,Bankingbook_SBV[[#This Row],[Mat. Date]],3))</f>
        <v>2.4027397260273973</v>
      </c>
      <c r="FI193" s="32" t="str">
        <f>IF(Bankingbook_SBV[[#This Row],[Days (year)]]=0,0,INDEX(Ref!$K$2:$K$13,MATCH(Bankingbook_SBV[[#This Row],[Days (year)]],Ref!$I$2:$I$13,1)))</f>
        <v>2Y</v>
      </c>
      <c r="FJ193" s="32" t="str">
        <f>VLOOKUP(Bankingbook_SBV[[#This Row],[Security Name]],Ref!X:Z,3,0)</f>
        <v>TPCP</v>
      </c>
      <c r="FK193" s="32" t="str">
        <f>VLOOKUP(Bankingbook_SBV[[#This Row],[Security Name]],Ref!X:Y,2,0)</f>
        <v>KBNN</v>
      </c>
      <c r="FL193" s="72">
        <f>IF((Bankingbook_SBV[[#This Row],[Mat. Date]]-RPT)&lt;=0,0,Bankingbook_SBV[[#This Row],[QUANTITY]])</f>
        <v>0</v>
      </c>
      <c r="FM193" s="32">
        <f>IF(Bankingbook_SBV[[#This Row],[Quantity_edited]]=0,0,Bankingbook_SBV[[#This Row],[DURATION]])</f>
        <v>0</v>
      </c>
      <c r="FN193" s="32">
        <f>IF(Bankingbook_SBV[[#This Row],[Quantity_edited]]=0,0,Bankingbook_SBV[[#This Row],[Mod Dur]])</f>
        <v>0</v>
      </c>
      <c r="FO193" s="32">
        <f>IF(Bankingbook_SBV[[#This Row],[Quantity_edited]]=0,0,Bankingbook_SBV[[#This Row],[Cnvx.]])</f>
        <v>0</v>
      </c>
      <c r="FP193" s="32">
        <f>(Bankingbook_SBV[[#This Row],[MARKET_VALUE]]+Bankingbook_SBV[[#This Row],[Accr Int]]*Bankingbook_SBV[[#This Row],[Quantity_edited]])*(-Bankingbook_SBV[[#This Row],[Modified Duration]]*0.0001+0.5*Bankingbook_SBV[[#This Row],[Conv]]*(0.0001^2))</f>
        <v>0</v>
      </c>
      <c r="FQ193" s="32">
        <f>(Bankingbook_SBV[[#This Row],[MARKET_VALUE]]+Bankingbook_SBV[[#This Row],[Accr Int]]*Bankingbook_SBV[[#This Row],[Quantity_edited]])*(-Bankingbook_SBV[[#This Row],[Modified Duration]]*0.01+0.5*Bankingbook_SBV[[#This Row],[Conv]]*(0.01^2))</f>
        <v>0</v>
      </c>
    </row>
    <row r="194" spans="2:173" x14ac:dyDescent="0.3">
      <c r="B194" t="s">
        <v>166</v>
      </c>
      <c r="C194" t="s">
        <v>167</v>
      </c>
      <c r="D194" t="s">
        <v>373</v>
      </c>
      <c r="E194" t="s">
        <v>169</v>
      </c>
      <c r="F194" s="502">
        <v>43433</v>
      </c>
      <c r="G194" t="s">
        <v>3322</v>
      </c>
      <c r="H194"/>
      <c r="I194"/>
      <c r="J194" s="38">
        <v>0</v>
      </c>
      <c r="K194">
        <v>0</v>
      </c>
      <c r="L194">
        <v>0</v>
      </c>
      <c r="M194" s="38">
        <v>0</v>
      </c>
      <c r="N194">
        <v>9.5</v>
      </c>
      <c r="O194">
        <v>0</v>
      </c>
      <c r="P194" s="37">
        <v>0</v>
      </c>
      <c r="Q194" s="37">
        <v>0</v>
      </c>
      <c r="R194" s="37">
        <v>-53329321.041666299</v>
      </c>
      <c r="S194">
        <v>0</v>
      </c>
      <c r="T194" s="70">
        <v>0</v>
      </c>
      <c r="U194">
        <v>0</v>
      </c>
      <c r="V194">
        <v>0</v>
      </c>
      <c r="W194">
        <v>0</v>
      </c>
      <c r="X194" s="38">
        <v>0</v>
      </c>
      <c r="Y194">
        <v>0</v>
      </c>
      <c r="Z194" s="70">
        <v>-21900000</v>
      </c>
      <c r="AA194" s="70">
        <v>0</v>
      </c>
      <c r="AB194" s="70">
        <v>-21900000</v>
      </c>
      <c r="AC194" s="70">
        <v>-21900000</v>
      </c>
      <c r="AD194" s="70">
        <v>-21900000</v>
      </c>
      <c r="AE194" s="70">
        <v>-21900000</v>
      </c>
      <c r="AF194">
        <v>0</v>
      </c>
      <c r="AG194" s="72">
        <f>Tradingbook_MSB[[#This Row],[Mat. Date]]-RPT</f>
        <v>-2819</v>
      </c>
      <c r="AH194" s="71">
        <f>IF(Tradingbook_MSB[[#This Row],[Days]]&lt;=0,0,YEARFRAC(RPT,Tradingbook_MSB[[#This Row],[Mat. Date]],3))</f>
        <v>0</v>
      </c>
      <c r="AI194" s="71">
        <f>IF(Tradingbook_MSB[[#This Row],[Days (year)]]=0,0,INDEX(Ref!$K$2:$K$13,MATCH(Tradingbook_MSB[[#This Row],[Days (year)]],Ref!$I$2:$I$13,1)))</f>
        <v>0</v>
      </c>
      <c r="AJ194" s="120" t="str">
        <f>VLOOKUP(Tradingbook_MSB[[#This Row],[Security Name]],Ref!X:Z,3,0)</f>
        <v>TPCP</v>
      </c>
      <c r="AK194" s="120" t="str">
        <f>VLOOKUP(Tradingbook_MSB[[#This Row],[Security Name]],Ref!X:Y,2,0)</f>
        <v>VDB</v>
      </c>
      <c r="AL194" s="71">
        <f>IF((Tradingbook_MSB[[#This Row],[Mat. Date]]-RPT)&lt;=0,0,Tradingbook_MSB[[#This Row],[QUANTITY]])</f>
        <v>0</v>
      </c>
      <c r="AM194" s="71">
        <f>IF(Tradingbook_MSB[[#This Row],[Quantity_edited]]=0,0,Tradingbook_MSB[[#This Row],[DURATION]])</f>
        <v>0</v>
      </c>
      <c r="AN194" s="71">
        <f>IF(Tradingbook_MSB[[#This Row],[Quantity_edited]]=0,0,Tradingbook_MSB[[#This Row],[Mod Dur]])</f>
        <v>0</v>
      </c>
      <c r="AO194" s="71">
        <f>IF(Tradingbook_MSB[[#This Row],[Quantity_edited]]=0,0,Tradingbook_MSB[[#This Row],[Cnvx.]])</f>
        <v>0</v>
      </c>
      <c r="AP194" s="71">
        <f>(Tradingbook_MSB[[#This Row],[MARKET_VALUE]]+Tradingbook_MSB[[#This Row],[Accr Int]]*Tradingbook_MSB[[#This Row],[Quantity_edited]])*(-Tradingbook_MSB[[#This Row],[Modified Duration]]*0.0001+0.5*Tradingbook_MSB[[#This Row],[Conv]]*(0.0001^2))</f>
        <v>0</v>
      </c>
      <c r="AQ194" s="72">
        <f>(Tradingbook_MSB[[#This Row],[MARKET_VALUE]]+Tradingbook_MSB[[#This Row],[Accr Int]]*Tradingbook_MSB[[#This Row],[Quantity_edited]])*(-Tradingbook_MSB[[#This Row],[Modified Duration]]*0.01+0.5*Tradingbook_MSB[[#This Row],[Conv]]*(0.01^2))</f>
        <v>0</v>
      </c>
      <c r="AR194" s="71"/>
      <c r="AT194" t="s">
        <v>166</v>
      </c>
      <c r="AU194" t="s">
        <v>3302</v>
      </c>
      <c r="AV194" t="s">
        <v>2496</v>
      </c>
      <c r="AW194" t="s">
        <v>169</v>
      </c>
      <c r="AX194" t="s">
        <v>3469</v>
      </c>
      <c r="AY194" t="s">
        <v>170</v>
      </c>
      <c r="AZ194">
        <v>93852</v>
      </c>
      <c r="BA194">
        <v>93852</v>
      </c>
      <c r="BB194">
        <v>3500000</v>
      </c>
      <c r="BC194">
        <v>350000000000</v>
      </c>
      <c r="BD194">
        <v>112888.143</v>
      </c>
      <c r="BE194">
        <v>328482000000</v>
      </c>
      <c r="BF194">
        <v>3.8</v>
      </c>
      <c r="BG194">
        <v>1541</v>
      </c>
      <c r="BH194">
        <v>26600000000</v>
      </c>
      <c r="BI194">
        <v>27868912361.111115</v>
      </c>
      <c r="BJ194">
        <v>-32801748253.472275</v>
      </c>
      <c r="BK194">
        <v>4.4894532749999998</v>
      </c>
      <c r="BL194">
        <v>8.9643928284124001</v>
      </c>
      <c r="BM194">
        <v>9.3668450599999993</v>
      </c>
      <c r="BN194">
        <v>100.66159795803</v>
      </c>
      <c r="BO194">
        <v>336084.41349036229</v>
      </c>
      <c r="BP194">
        <v>-299299.11377826199</v>
      </c>
      <c r="BQ194">
        <v>40173.544000000002</v>
      </c>
      <c r="BR194">
        <v>0</v>
      </c>
      <c r="BS194">
        <v>-66626499999.999992</v>
      </c>
      <c r="BT194">
        <v>-66626499999.999992</v>
      </c>
      <c r="BU194">
        <v>-66626499999.999992</v>
      </c>
      <c r="BV194">
        <v>-66626500000</v>
      </c>
      <c r="BW194">
        <v>-66626499999.999992</v>
      </c>
      <c r="BX194">
        <v>2.6314285709999998</v>
      </c>
      <c r="BY194" s="32">
        <f>Bankingbook_MSB[[#This Row],[Mat. Date]]-RPT</f>
        <v>4235</v>
      </c>
      <c r="BZ194" s="71">
        <f>IF(Bankingbook_MSB[[#This Row],[Days]]&lt;=0,0,YEARFRAC(RPT,Bankingbook_MSB[[#This Row],[Mat. Date]],3))</f>
        <v>11.602739726027398</v>
      </c>
      <c r="CA194" s="71" t="str">
        <f>IF(Bankingbook_MSB[[#This Row],[Days (year)]]=0,0,INDEX(Ref!$K$2:$K$13,MATCH(Bankingbook_MSB[[#This Row],[Days (year)]],Ref!$I$2:$I$13,1)))</f>
        <v>15Y</v>
      </c>
      <c r="CB194" s="32" t="str">
        <f>VLOOKUP(Bankingbook_MSB[[#This Row],[Security Name]],Ref!X:Z,3,0)</f>
        <v>TPCP</v>
      </c>
      <c r="CC194" s="32" t="str">
        <f>VLOOKUP(Bankingbook_MSB[[#This Row],[Security Name]],Ref!X:Y,2,0)</f>
        <v>KBNN</v>
      </c>
      <c r="CD194" s="72">
        <f>IF((Bankingbook_MSB[[#This Row],[Mat. Date]]-RPT)&lt;=0,0,Bankingbook_MSB[[#This Row],[QUANTITY]])</f>
        <v>3500000</v>
      </c>
      <c r="CE194" s="71">
        <f>IF(Bankingbook_MSB[[#This Row],[Quantity_edited]]=0,0,Bankingbook_MSB[[#This Row],[DURATION]])</f>
        <v>9.3668450599999993</v>
      </c>
      <c r="CF194" s="71">
        <f>IF(Bankingbook_MSB[[#This Row],[Quantity_edited]]=0,0,Bankingbook_MSB[[#This Row],[Mod Dur]])</f>
        <v>8.9643928284124001</v>
      </c>
      <c r="CG194" s="71">
        <f>IF(Bankingbook_MSB[[#This Row],[Quantity_edited]]=0,0,Bankingbook_MSB[[#This Row],[Cnvx.]])</f>
        <v>100.66159795803</v>
      </c>
      <c r="CH194" s="71">
        <f>(Bankingbook_MSB[[#This Row],[MARKET_VALUE]]+Bankingbook_MSB[[#This Row],[Accr Int]]*Bankingbook_MSB[[#This Row],[Quantity_edited]])*(-Bankingbook_MSB[[#This Row],[Modified Duration]]*0.0001+0.5*Bankingbook_MSB[[#This Row],[Conv]]*(0.0001^2))</f>
        <v>-299131071.57151526</v>
      </c>
      <c r="CI194" s="71">
        <f>(Bankingbook_MSB[[#This Row],[MARKET_VALUE]]+Bankingbook_MSB[[#This Row],[Accr Int]]*Bankingbook_MSB[[#This Row],[Quantity_edited]])*(-Bankingbook_MSB[[#This Row],[Modified Duration]]*0.01+0.5*Bankingbook_MSB[[#This Row],[Conv]]*(0.01^2))</f>
        <v>-28249489310.374229</v>
      </c>
      <c r="CL194" t="s">
        <v>166</v>
      </c>
      <c r="CM194" t="s">
        <v>167</v>
      </c>
      <c r="CN194" t="s">
        <v>373</v>
      </c>
      <c r="CO194" t="s">
        <v>169</v>
      </c>
      <c r="CP194" s="35">
        <v>43433</v>
      </c>
      <c r="CQ194" t="s">
        <v>3322</v>
      </c>
      <c r="CR194" t="s">
        <v>174</v>
      </c>
      <c r="CS194" t="s">
        <v>174</v>
      </c>
      <c r="CT194" s="49">
        <v>0</v>
      </c>
      <c r="CU194">
        <v>0</v>
      </c>
      <c r="CV194">
        <v>0</v>
      </c>
      <c r="CW194" s="70">
        <v>0</v>
      </c>
      <c r="CX194">
        <v>9.5</v>
      </c>
      <c r="CY194">
        <v>0</v>
      </c>
      <c r="CZ194">
        <v>0</v>
      </c>
      <c r="DA194">
        <v>0</v>
      </c>
      <c r="DB194">
        <v>-53329321.041666299</v>
      </c>
      <c r="DC194">
        <v>0</v>
      </c>
      <c r="DD194">
        <v>0</v>
      </c>
      <c r="DE194">
        <v>0</v>
      </c>
      <c r="DF194">
        <v>0</v>
      </c>
      <c r="DG194">
        <v>0</v>
      </c>
      <c r="DH194">
        <v>0</v>
      </c>
      <c r="DI194">
        <v>0</v>
      </c>
      <c r="DJ194" s="500">
        <v>-21900000</v>
      </c>
      <c r="DK194" s="500">
        <v>0</v>
      </c>
      <c r="DL194" s="37">
        <v>-21900000</v>
      </c>
      <c r="DM194" s="37">
        <v>-21900000</v>
      </c>
      <c r="DN194" s="37">
        <v>-21900000</v>
      </c>
      <c r="DO194" s="37">
        <v>-21900000</v>
      </c>
      <c r="DP194" s="32">
        <f>Tradingbook_SBV[[#This Row],[Mat. Date]]-RPT</f>
        <v>-2819</v>
      </c>
      <c r="DQ194" s="32">
        <f>IF(Tradingbook_SBV[[#This Row],[Days]]&lt;=0,0,YEARFRAC(RPT,Tradingbook_SBV[[#This Row],[Mat. Date]],3))</f>
        <v>0</v>
      </c>
      <c r="DR194" s="32">
        <f>IF(Tradingbook_SBV[[#This Row],[Days (year)]]=0,0,INDEX(Ref!$K$2:$K$13,MATCH(Tradingbook_SBV[[#This Row],[Days (year)]],Ref!$I$2:$I$13,1)))</f>
        <v>0</v>
      </c>
      <c r="DS194" s="32" t="str">
        <f>VLOOKUP(Tradingbook_SBV[[#This Row],[Security Name]],Ref!X:Z,3,0)</f>
        <v>TPCP</v>
      </c>
      <c r="DT194" s="32" t="str">
        <f>VLOOKUP(Tradingbook_SBV[[#This Row],[Security Name]],Ref!X:Y,2,0)</f>
        <v>VDB</v>
      </c>
      <c r="DU194" s="71">
        <f>IF((Tradingbook_SBV[[#This Row],[Mat. Date]]-RPT)&lt;=0,0,Tradingbook_SBV[[#This Row],[QUANTITY]])</f>
        <v>0</v>
      </c>
      <c r="DV194" s="71">
        <f>IF(Tradingbook_SBV[[#This Row],[Quantity_edited]]=0,0,Tradingbook_SBV[[#This Row],[DURATION]])</f>
        <v>0</v>
      </c>
      <c r="DW194" s="71">
        <f>IF(Tradingbook_SBV[[#This Row],[Quantity_edited]]=0,0,Tradingbook_SBV[[#This Row],[Mod Dur]])</f>
        <v>0</v>
      </c>
      <c r="DX194" s="71">
        <f>IF(Tradingbook_SBV[[#This Row],[Quantity_edited]]=0,0,Tradingbook_SBV[[#This Row],[Cnvx.]])</f>
        <v>0</v>
      </c>
      <c r="DY194" s="71">
        <f>(Tradingbook_SBV[[#This Row],[MARKET_VALUE]]+Tradingbook_SBV[[#This Row],[Accr Int]]*Tradingbook_SBV[[#This Row],[Quantity_edited]])*(-Tradingbook_SBV[[#This Row],[Modified Duration]]*0.0001+0.5*Tradingbook_SBV[[#This Row],[Conv]]*(0.0001^2))</f>
        <v>0</v>
      </c>
      <c r="DZ194" s="71">
        <f>(Tradingbook_SBV[[#This Row],[MARKET_VALUE]]+Tradingbook_SBV[[#This Row],[Accr Int]]*Tradingbook_SBV[[#This Row],[Quantity_edited]])*(-Tradingbook_SBV[[#This Row],[Modified Duration]]*0.01+0.5*Tradingbook_SBV[[#This Row],[Conv]]*(0.01^2))</f>
        <v>0</v>
      </c>
      <c r="EC194" t="s">
        <v>166</v>
      </c>
      <c r="ED194" t="s">
        <v>3299</v>
      </c>
      <c r="EE194" t="s">
        <v>591</v>
      </c>
      <c r="EF194" t="s">
        <v>169</v>
      </c>
      <c r="EG194" s="35" t="s">
        <v>3415</v>
      </c>
      <c r="EH194" t="s">
        <v>3322</v>
      </c>
      <c r="EI194" s="500">
        <v>102597</v>
      </c>
      <c r="EJ194" s="500">
        <v>102597</v>
      </c>
      <c r="EK194" s="500">
        <v>0</v>
      </c>
      <c r="EL194" s="500">
        <v>0</v>
      </c>
      <c r="EM194" s="500">
        <v>0</v>
      </c>
      <c r="EN194" s="500">
        <v>0</v>
      </c>
      <c r="EO194">
        <v>4.8</v>
      </c>
      <c r="EP194">
        <v>2617</v>
      </c>
      <c r="EQ194">
        <v>36000000000</v>
      </c>
      <c r="ER194">
        <v>41699594999.999756</v>
      </c>
      <c r="ES194">
        <v>701933965.62529278</v>
      </c>
      <c r="ET194">
        <v>3.6652110200000001</v>
      </c>
      <c r="EU194">
        <v>2.2396518000459</v>
      </c>
      <c r="EV194">
        <v>2.3217397599999998</v>
      </c>
      <c r="EW194">
        <v>7.3673709839542001</v>
      </c>
      <c r="EX194">
        <v>0</v>
      </c>
      <c r="EY194">
        <v>0</v>
      </c>
      <c r="EZ194">
        <v>0</v>
      </c>
      <c r="FA194">
        <v>39695000000</v>
      </c>
      <c r="FB194">
        <v>0</v>
      </c>
      <c r="FC194">
        <v>39695000000</v>
      </c>
      <c r="FD194">
        <v>39695000000</v>
      </c>
      <c r="FE194">
        <v>39695000000</v>
      </c>
      <c r="FF194">
        <v>39695000000</v>
      </c>
      <c r="FG194" s="32">
        <f>Bankingbook_SBV[[#This Row],[Mat. Date]]-RPT</f>
        <v>897</v>
      </c>
      <c r="FH194" s="32">
        <f>IF(Bankingbook_SBV[[#This Row],[Days]]&lt;=0,0,YEARFRAC(RPT,Bankingbook_SBV[[#This Row],[Mat. Date]],3))</f>
        <v>2.4575342465753423</v>
      </c>
      <c r="FI194" s="32" t="str">
        <f>IF(Bankingbook_SBV[[#This Row],[Days (year)]]=0,0,INDEX(Ref!$K$2:$K$13,MATCH(Bankingbook_SBV[[#This Row],[Days (year)]],Ref!$I$2:$I$13,1)))</f>
        <v>2Y</v>
      </c>
      <c r="FJ194" s="32" t="str">
        <f>VLOOKUP(Bankingbook_SBV[[#This Row],[Security Name]],Ref!X:Z,3,0)</f>
        <v>TPCP</v>
      </c>
      <c r="FK194" s="32" t="str">
        <f>VLOOKUP(Bankingbook_SBV[[#This Row],[Security Name]],Ref!X:Y,2,0)</f>
        <v>KBNN</v>
      </c>
      <c r="FL194" s="72">
        <f>IF((Bankingbook_SBV[[#This Row],[Mat. Date]]-RPT)&lt;=0,0,Bankingbook_SBV[[#This Row],[QUANTITY]])</f>
        <v>0</v>
      </c>
      <c r="FM194" s="32">
        <f>IF(Bankingbook_SBV[[#This Row],[Quantity_edited]]=0,0,Bankingbook_SBV[[#This Row],[DURATION]])</f>
        <v>0</v>
      </c>
      <c r="FN194" s="32">
        <f>IF(Bankingbook_SBV[[#This Row],[Quantity_edited]]=0,0,Bankingbook_SBV[[#This Row],[Mod Dur]])</f>
        <v>0</v>
      </c>
      <c r="FO194" s="32">
        <f>IF(Bankingbook_SBV[[#This Row],[Quantity_edited]]=0,0,Bankingbook_SBV[[#This Row],[Cnvx.]])</f>
        <v>0</v>
      </c>
      <c r="FP194" s="32">
        <f>(Bankingbook_SBV[[#This Row],[MARKET_VALUE]]+Bankingbook_SBV[[#This Row],[Accr Int]]*Bankingbook_SBV[[#This Row],[Quantity_edited]])*(-Bankingbook_SBV[[#This Row],[Modified Duration]]*0.0001+0.5*Bankingbook_SBV[[#This Row],[Conv]]*(0.0001^2))</f>
        <v>0</v>
      </c>
      <c r="FQ194" s="32">
        <f>(Bankingbook_SBV[[#This Row],[MARKET_VALUE]]+Bankingbook_SBV[[#This Row],[Accr Int]]*Bankingbook_SBV[[#This Row],[Quantity_edited]])*(-Bankingbook_SBV[[#This Row],[Modified Duration]]*0.01+0.5*Bankingbook_SBV[[#This Row],[Conv]]*(0.01^2))</f>
        <v>0</v>
      </c>
    </row>
    <row r="195" spans="2:173" x14ac:dyDescent="0.3">
      <c r="B195" t="s">
        <v>166</v>
      </c>
      <c r="C195" t="s">
        <v>167</v>
      </c>
      <c r="D195" t="s">
        <v>374</v>
      </c>
      <c r="E195" t="s">
        <v>169</v>
      </c>
      <c r="F195" s="502">
        <v>43437</v>
      </c>
      <c r="G195" t="s">
        <v>3322</v>
      </c>
      <c r="H195"/>
      <c r="I195"/>
      <c r="J195" s="38">
        <v>0</v>
      </c>
      <c r="K195">
        <v>0</v>
      </c>
      <c r="L195">
        <v>0</v>
      </c>
      <c r="M195" s="38">
        <v>0</v>
      </c>
      <c r="N195">
        <v>5.8</v>
      </c>
      <c r="O195">
        <v>0</v>
      </c>
      <c r="P195" s="37">
        <v>2900000000</v>
      </c>
      <c r="Q195" s="37">
        <v>3047618055.555563</v>
      </c>
      <c r="R195" s="37">
        <v>-4683379834.680583</v>
      </c>
      <c r="S195">
        <v>0</v>
      </c>
      <c r="T195" s="70">
        <v>0</v>
      </c>
      <c r="U195">
        <v>0</v>
      </c>
      <c r="V195">
        <v>0</v>
      </c>
      <c r="W195">
        <v>0</v>
      </c>
      <c r="X195" s="38">
        <v>0</v>
      </c>
      <c r="Y195">
        <v>0</v>
      </c>
      <c r="Z195" s="70">
        <v>3089390000.0001221</v>
      </c>
      <c r="AA195" s="70">
        <v>0</v>
      </c>
      <c r="AB195" s="70">
        <v>3089390000.0001221</v>
      </c>
      <c r="AC195" s="70">
        <v>3089390000.0001221</v>
      </c>
      <c r="AD195" s="70">
        <v>3089390000</v>
      </c>
      <c r="AE195" s="70">
        <v>3089390000.0001221</v>
      </c>
      <c r="AF195">
        <v>0</v>
      </c>
      <c r="AG195" s="72">
        <f>Tradingbook_MSB[[#This Row],[Mat. Date]]-RPT</f>
        <v>-2815</v>
      </c>
      <c r="AH195" s="71">
        <f>IF(Tradingbook_MSB[[#This Row],[Days]]&lt;=0,0,YEARFRAC(RPT,Tradingbook_MSB[[#This Row],[Mat. Date]],3))</f>
        <v>0</v>
      </c>
      <c r="AI195" s="71">
        <f>IF(Tradingbook_MSB[[#This Row],[Days (year)]]=0,0,INDEX(Ref!$K$2:$K$13,MATCH(Tradingbook_MSB[[#This Row],[Days (year)]],Ref!$I$2:$I$13,1)))</f>
        <v>0</v>
      </c>
      <c r="AJ195" s="120" t="str">
        <f>VLOOKUP(Tradingbook_MSB[[#This Row],[Security Name]],Ref!X:Z,3,0)</f>
        <v>TPCP</v>
      </c>
      <c r="AK195" s="120" t="str">
        <f>VLOOKUP(Tradingbook_MSB[[#This Row],[Security Name]],Ref!X:Y,2,0)</f>
        <v>KBNN</v>
      </c>
      <c r="AL195" s="71">
        <f>IF((Tradingbook_MSB[[#This Row],[Mat. Date]]-RPT)&lt;=0,0,Tradingbook_MSB[[#This Row],[QUANTITY]])</f>
        <v>0</v>
      </c>
      <c r="AM195" s="71">
        <f>IF(Tradingbook_MSB[[#This Row],[Quantity_edited]]=0,0,Tradingbook_MSB[[#This Row],[DURATION]])</f>
        <v>0</v>
      </c>
      <c r="AN195" s="71">
        <f>IF(Tradingbook_MSB[[#This Row],[Quantity_edited]]=0,0,Tradingbook_MSB[[#This Row],[Mod Dur]])</f>
        <v>0</v>
      </c>
      <c r="AO195" s="71">
        <f>IF(Tradingbook_MSB[[#This Row],[Quantity_edited]]=0,0,Tradingbook_MSB[[#This Row],[Cnvx.]])</f>
        <v>0</v>
      </c>
      <c r="AP195" s="71">
        <f>(Tradingbook_MSB[[#This Row],[MARKET_VALUE]]+Tradingbook_MSB[[#This Row],[Accr Int]]*Tradingbook_MSB[[#This Row],[Quantity_edited]])*(-Tradingbook_MSB[[#This Row],[Modified Duration]]*0.0001+0.5*Tradingbook_MSB[[#This Row],[Conv]]*(0.0001^2))</f>
        <v>0</v>
      </c>
      <c r="AQ195" s="72">
        <f>(Tradingbook_MSB[[#This Row],[MARKET_VALUE]]+Tradingbook_MSB[[#This Row],[Accr Int]]*Tradingbook_MSB[[#This Row],[Quantity_edited]])*(-Tradingbook_MSB[[#This Row],[Modified Duration]]*0.01+0.5*Tradingbook_MSB[[#This Row],[Conv]]*(0.01^2))</f>
        <v>0</v>
      </c>
      <c r="AR195" s="71"/>
      <c r="AT195" t="s">
        <v>166</v>
      </c>
      <c r="AU195" t="s">
        <v>3302</v>
      </c>
      <c r="AV195" t="s">
        <v>2503</v>
      </c>
      <c r="AW195" t="s">
        <v>169</v>
      </c>
      <c r="AX195" t="s">
        <v>3470</v>
      </c>
      <c r="AY195" t="s">
        <v>170</v>
      </c>
      <c r="AZ195">
        <v>90235</v>
      </c>
      <c r="BA195">
        <v>90235</v>
      </c>
      <c r="BB195">
        <v>7500000</v>
      </c>
      <c r="BC195">
        <v>750000000000</v>
      </c>
      <c r="BD195">
        <v>108470.364</v>
      </c>
      <c r="BE195">
        <v>676762500000</v>
      </c>
      <c r="BF195">
        <v>3.4</v>
      </c>
      <c r="BG195">
        <v>1118</v>
      </c>
      <c r="BH195">
        <v>79900000000</v>
      </c>
      <c r="BI195">
        <v>83666196527.777786</v>
      </c>
      <c r="BJ195">
        <v>-97998463020.139023</v>
      </c>
      <c r="BK195">
        <v>4.4914150399999997</v>
      </c>
      <c r="BL195">
        <v>9.1845314798450008</v>
      </c>
      <c r="BM195">
        <v>9.5970469099999995</v>
      </c>
      <c r="BN195">
        <v>104.35114563357671</v>
      </c>
      <c r="BO195">
        <v>714959.2655298101</v>
      </c>
      <c r="BP195">
        <v>-629275.87820871302</v>
      </c>
      <c r="BQ195">
        <v>82475.566000000006</v>
      </c>
      <c r="BR195">
        <v>-5401772727.2727137</v>
      </c>
      <c r="BS195">
        <v>-136765227272.72725</v>
      </c>
      <c r="BT195">
        <v>-142166999999.99997</v>
      </c>
      <c r="BU195">
        <v>-142166999999.99997</v>
      </c>
      <c r="BV195">
        <v>-142167000000</v>
      </c>
      <c r="BW195">
        <v>-142166999999.99997</v>
      </c>
      <c r="BX195">
        <v>2.6395</v>
      </c>
      <c r="BY195" s="32">
        <f>Bankingbook_MSB[[#This Row],[Mat. Date]]-RPT</f>
        <v>4263</v>
      </c>
      <c r="BZ195" s="71">
        <f>IF(Bankingbook_MSB[[#This Row],[Days]]&lt;=0,0,YEARFRAC(RPT,Bankingbook_MSB[[#This Row],[Mat. Date]],3))</f>
        <v>11.67945205479452</v>
      </c>
      <c r="CA195" s="71" t="str">
        <f>IF(Bankingbook_MSB[[#This Row],[Days (year)]]=0,0,INDEX(Ref!$K$2:$K$13,MATCH(Bankingbook_MSB[[#This Row],[Days (year)]],Ref!$I$2:$I$13,1)))</f>
        <v>15Y</v>
      </c>
      <c r="CB195" s="32" t="str">
        <f>VLOOKUP(Bankingbook_MSB[[#This Row],[Security Name]],Ref!X:Z,3,0)</f>
        <v>TPCP</v>
      </c>
      <c r="CC195" s="32" t="str">
        <f>VLOOKUP(Bankingbook_MSB[[#This Row],[Security Name]],Ref!X:Y,2,0)</f>
        <v>KBNN</v>
      </c>
      <c r="CD195" s="72">
        <f>IF((Bankingbook_MSB[[#This Row],[Mat. Date]]-RPT)&lt;=0,0,Bankingbook_MSB[[#This Row],[QUANTITY]])</f>
        <v>7500000</v>
      </c>
      <c r="CE195" s="71">
        <f>IF(Bankingbook_MSB[[#This Row],[Quantity_edited]]=0,0,Bankingbook_MSB[[#This Row],[DURATION]])</f>
        <v>9.5970469099999995</v>
      </c>
      <c r="CF195" s="71">
        <f>IF(Bankingbook_MSB[[#This Row],[Quantity_edited]]=0,0,Bankingbook_MSB[[#This Row],[Mod Dur]])</f>
        <v>9.1845314798450008</v>
      </c>
      <c r="CG195" s="71">
        <f>IF(Bankingbook_MSB[[#This Row],[Quantity_edited]]=0,0,Bankingbook_MSB[[#This Row],[Cnvx.]])</f>
        <v>104.35114563357671</v>
      </c>
      <c r="CH195" s="71">
        <f>(Bankingbook_MSB[[#This Row],[MARKET_VALUE]]+Bankingbook_MSB[[#This Row],[Accr Int]]*Bankingbook_MSB[[#This Row],[Quantity_edited]])*(-Bankingbook_MSB[[#This Row],[Modified Duration]]*0.0001+0.5*Bankingbook_MSB[[#This Row],[Conv]]*(0.0001^2))</f>
        <v>-628918398.5759455</v>
      </c>
      <c r="CI195" s="71">
        <f>(Bankingbook_MSB[[#This Row],[MARKET_VALUE]]+Bankingbook_MSB[[#This Row],[Accr Int]]*Bankingbook_MSB[[#This Row],[Quantity_edited]])*(-Bankingbook_MSB[[#This Row],[Modified Duration]]*0.01+0.5*Bankingbook_MSB[[#This Row],[Conv]]*(0.01^2))</f>
        <v>-59352791493.221985</v>
      </c>
      <c r="CL195" t="s">
        <v>166</v>
      </c>
      <c r="CM195" t="s">
        <v>167</v>
      </c>
      <c r="CN195" t="s">
        <v>374</v>
      </c>
      <c r="CO195" t="s">
        <v>169</v>
      </c>
      <c r="CP195" s="35">
        <v>43437</v>
      </c>
      <c r="CQ195" t="s">
        <v>3322</v>
      </c>
      <c r="CR195" t="s">
        <v>174</v>
      </c>
      <c r="CS195" t="s">
        <v>174</v>
      </c>
      <c r="CT195" s="49">
        <v>0</v>
      </c>
      <c r="CU195">
        <v>0</v>
      </c>
      <c r="CV195">
        <v>0</v>
      </c>
      <c r="CW195" s="70">
        <v>0</v>
      </c>
      <c r="CX195">
        <v>5.8</v>
      </c>
      <c r="CY195">
        <v>0</v>
      </c>
      <c r="CZ195">
        <v>2900000000</v>
      </c>
      <c r="DA195">
        <v>3047618055.555563</v>
      </c>
      <c r="DB195">
        <v>-4683379834.680583</v>
      </c>
      <c r="DC195">
        <v>0</v>
      </c>
      <c r="DD195">
        <v>0</v>
      </c>
      <c r="DE195">
        <v>0</v>
      </c>
      <c r="DF195">
        <v>0</v>
      </c>
      <c r="DG195">
        <v>0</v>
      </c>
      <c r="DH195">
        <v>0</v>
      </c>
      <c r="DI195">
        <v>0</v>
      </c>
      <c r="DJ195" s="500">
        <v>3089390000.0001221</v>
      </c>
      <c r="DK195" s="500">
        <v>0</v>
      </c>
      <c r="DL195" s="37">
        <v>3089390000.0001221</v>
      </c>
      <c r="DM195" s="37">
        <v>3089390000.0001221</v>
      </c>
      <c r="DN195" s="37">
        <v>3089390000</v>
      </c>
      <c r="DO195" s="37">
        <v>3089390000.0001221</v>
      </c>
      <c r="DP195" s="32">
        <f>Tradingbook_SBV[[#This Row],[Mat. Date]]-RPT</f>
        <v>-2815</v>
      </c>
      <c r="DQ195" s="32">
        <f>IF(Tradingbook_SBV[[#This Row],[Days]]&lt;=0,0,YEARFRAC(RPT,Tradingbook_SBV[[#This Row],[Mat. Date]],3))</f>
        <v>0</v>
      </c>
      <c r="DR195" s="32">
        <f>IF(Tradingbook_SBV[[#This Row],[Days (year)]]=0,0,INDEX(Ref!$K$2:$K$13,MATCH(Tradingbook_SBV[[#This Row],[Days (year)]],Ref!$I$2:$I$13,1)))</f>
        <v>0</v>
      </c>
      <c r="DS195" s="32" t="str">
        <f>VLOOKUP(Tradingbook_SBV[[#This Row],[Security Name]],Ref!X:Z,3,0)</f>
        <v>TPCP</v>
      </c>
      <c r="DT195" s="32" t="str">
        <f>VLOOKUP(Tradingbook_SBV[[#This Row],[Security Name]],Ref!X:Y,2,0)</f>
        <v>KBNN</v>
      </c>
      <c r="DU195" s="71">
        <f>IF((Tradingbook_SBV[[#This Row],[Mat. Date]]-RPT)&lt;=0,0,Tradingbook_SBV[[#This Row],[QUANTITY]])</f>
        <v>0</v>
      </c>
      <c r="DV195" s="71">
        <f>IF(Tradingbook_SBV[[#This Row],[Quantity_edited]]=0,0,Tradingbook_SBV[[#This Row],[DURATION]])</f>
        <v>0</v>
      </c>
      <c r="DW195" s="71">
        <f>IF(Tradingbook_SBV[[#This Row],[Quantity_edited]]=0,0,Tradingbook_SBV[[#This Row],[Mod Dur]])</f>
        <v>0</v>
      </c>
      <c r="DX195" s="71">
        <f>IF(Tradingbook_SBV[[#This Row],[Quantity_edited]]=0,0,Tradingbook_SBV[[#This Row],[Cnvx.]])</f>
        <v>0</v>
      </c>
      <c r="DY195" s="71">
        <f>(Tradingbook_SBV[[#This Row],[MARKET_VALUE]]+Tradingbook_SBV[[#This Row],[Accr Int]]*Tradingbook_SBV[[#This Row],[Quantity_edited]])*(-Tradingbook_SBV[[#This Row],[Modified Duration]]*0.0001+0.5*Tradingbook_SBV[[#This Row],[Conv]]*(0.0001^2))</f>
        <v>0</v>
      </c>
      <c r="DZ195" s="71">
        <f>(Tradingbook_SBV[[#This Row],[MARKET_VALUE]]+Tradingbook_SBV[[#This Row],[Accr Int]]*Tradingbook_SBV[[#This Row],[Quantity_edited]])*(-Tradingbook_SBV[[#This Row],[Modified Duration]]*0.01+0.5*Tradingbook_SBV[[#This Row],[Conv]]*(0.01^2))</f>
        <v>0</v>
      </c>
      <c r="EC195" t="s">
        <v>166</v>
      </c>
      <c r="ED195" t="s">
        <v>3299</v>
      </c>
      <c r="EE195" t="s">
        <v>592</v>
      </c>
      <c r="EF195" t="s">
        <v>169</v>
      </c>
      <c r="EG195" s="35" t="s">
        <v>3797</v>
      </c>
      <c r="EH195" t="s">
        <v>3322</v>
      </c>
      <c r="EI195" s="500">
        <v>102439</v>
      </c>
      <c r="EJ195" s="500">
        <v>102439</v>
      </c>
      <c r="EK195" s="500">
        <v>0</v>
      </c>
      <c r="EL195" s="500">
        <v>0</v>
      </c>
      <c r="EM195" s="500">
        <v>0</v>
      </c>
      <c r="EN195" s="500">
        <v>0</v>
      </c>
      <c r="EO195">
        <v>4.7</v>
      </c>
      <c r="EP195">
        <v>2112</v>
      </c>
      <c r="EQ195">
        <v>0</v>
      </c>
      <c r="ER195">
        <v>3.9999999999999998E-6</v>
      </c>
      <c r="ES195">
        <v>-1623903201.3166618</v>
      </c>
      <c r="ET195">
        <v>3.6720211109999998</v>
      </c>
      <c r="EU195">
        <v>2.3343185914493998</v>
      </c>
      <c r="EV195">
        <v>2.4200352600000001</v>
      </c>
      <c r="EW195">
        <v>7.8883653343095999</v>
      </c>
      <c r="EX195">
        <v>0</v>
      </c>
      <c r="EY195">
        <v>0</v>
      </c>
      <c r="EZ195">
        <v>0</v>
      </c>
      <c r="FA195">
        <v>-8479240000</v>
      </c>
      <c r="FB195">
        <v>0</v>
      </c>
      <c r="FC195">
        <v>-8479240000</v>
      </c>
      <c r="FD195">
        <v>-8479240000</v>
      </c>
      <c r="FE195">
        <v>-8479240000</v>
      </c>
      <c r="FF195">
        <v>-8479240000</v>
      </c>
      <c r="FG195" s="32">
        <f>Bankingbook_SBV[[#This Row],[Mat. Date]]-RPT</f>
        <v>932</v>
      </c>
      <c r="FH195" s="32">
        <f>IF(Bankingbook_SBV[[#This Row],[Days]]&lt;=0,0,YEARFRAC(RPT,Bankingbook_SBV[[#This Row],[Mat. Date]],3))</f>
        <v>2.5534246575342467</v>
      </c>
      <c r="FI195" s="32" t="str">
        <f>IF(Bankingbook_SBV[[#This Row],[Days (year)]]=0,0,INDEX(Ref!$K$2:$K$13,MATCH(Bankingbook_SBV[[#This Row],[Days (year)]],Ref!$I$2:$I$13,1)))</f>
        <v>3Y</v>
      </c>
      <c r="FJ195" s="32" t="str">
        <f>VLOOKUP(Bankingbook_SBV[[#This Row],[Security Name]],Ref!X:Z,3,0)</f>
        <v>TPCP</v>
      </c>
      <c r="FK195" s="32" t="str">
        <f>VLOOKUP(Bankingbook_SBV[[#This Row],[Security Name]],Ref!X:Y,2,0)</f>
        <v>KBNN</v>
      </c>
      <c r="FL195" s="72">
        <f>IF((Bankingbook_SBV[[#This Row],[Mat. Date]]-RPT)&lt;=0,0,Bankingbook_SBV[[#This Row],[QUANTITY]])</f>
        <v>0</v>
      </c>
      <c r="FM195" s="32">
        <f>IF(Bankingbook_SBV[[#This Row],[Quantity_edited]]=0,0,Bankingbook_SBV[[#This Row],[DURATION]])</f>
        <v>0</v>
      </c>
      <c r="FN195" s="32">
        <f>IF(Bankingbook_SBV[[#This Row],[Quantity_edited]]=0,0,Bankingbook_SBV[[#This Row],[Mod Dur]])</f>
        <v>0</v>
      </c>
      <c r="FO195" s="32">
        <f>IF(Bankingbook_SBV[[#This Row],[Quantity_edited]]=0,0,Bankingbook_SBV[[#This Row],[Cnvx.]])</f>
        <v>0</v>
      </c>
      <c r="FP195" s="32">
        <f>(Bankingbook_SBV[[#This Row],[MARKET_VALUE]]+Bankingbook_SBV[[#This Row],[Accr Int]]*Bankingbook_SBV[[#This Row],[Quantity_edited]])*(-Bankingbook_SBV[[#This Row],[Modified Duration]]*0.0001+0.5*Bankingbook_SBV[[#This Row],[Conv]]*(0.0001^2))</f>
        <v>0</v>
      </c>
      <c r="FQ195" s="32">
        <f>(Bankingbook_SBV[[#This Row],[MARKET_VALUE]]+Bankingbook_SBV[[#This Row],[Accr Int]]*Bankingbook_SBV[[#This Row],[Quantity_edited]])*(-Bankingbook_SBV[[#This Row],[Modified Duration]]*0.01+0.5*Bankingbook_SBV[[#This Row],[Conv]]*(0.01^2))</f>
        <v>0</v>
      </c>
    </row>
    <row r="196" spans="2:173" x14ac:dyDescent="0.3">
      <c r="B196" t="s">
        <v>166</v>
      </c>
      <c r="C196" t="s">
        <v>167</v>
      </c>
      <c r="D196" t="s">
        <v>375</v>
      </c>
      <c r="E196" t="s">
        <v>169</v>
      </c>
      <c r="F196" s="502">
        <v>43439</v>
      </c>
      <c r="G196" t="s">
        <v>3322</v>
      </c>
      <c r="H196"/>
      <c r="I196"/>
      <c r="J196" s="38">
        <v>0</v>
      </c>
      <c r="K196">
        <v>0</v>
      </c>
      <c r="L196">
        <v>0</v>
      </c>
      <c r="M196" s="38">
        <v>0</v>
      </c>
      <c r="N196">
        <v>9.4</v>
      </c>
      <c r="O196">
        <v>0</v>
      </c>
      <c r="P196" s="37">
        <v>28200000000</v>
      </c>
      <c r="Q196" s="37">
        <v>30468969388.888905</v>
      </c>
      <c r="R196" s="37">
        <v>-11223357787.083351</v>
      </c>
      <c r="S196">
        <v>0</v>
      </c>
      <c r="T196" s="70">
        <v>0</v>
      </c>
      <c r="U196">
        <v>0</v>
      </c>
      <c r="V196">
        <v>0</v>
      </c>
      <c r="W196">
        <v>0</v>
      </c>
      <c r="X196" s="38">
        <v>0</v>
      </c>
      <c r="Y196">
        <v>0</v>
      </c>
      <c r="Z196" s="70">
        <v>6806000000</v>
      </c>
      <c r="AA196" s="70">
        <v>0</v>
      </c>
      <c r="AB196" s="70">
        <v>6806000000</v>
      </c>
      <c r="AC196" s="70">
        <v>6806000000</v>
      </c>
      <c r="AD196" s="70">
        <v>6806000000</v>
      </c>
      <c r="AE196" s="70">
        <v>6806000000</v>
      </c>
      <c r="AF196">
        <v>0</v>
      </c>
      <c r="AG196" s="72">
        <f>Tradingbook_MSB[[#This Row],[Mat. Date]]-RPT</f>
        <v>-2813</v>
      </c>
      <c r="AH196" s="71">
        <f>IF(Tradingbook_MSB[[#This Row],[Days]]&lt;=0,0,YEARFRAC(RPT,Tradingbook_MSB[[#This Row],[Mat. Date]],3))</f>
        <v>0</v>
      </c>
      <c r="AI196" s="71">
        <f>IF(Tradingbook_MSB[[#This Row],[Days (year)]]=0,0,INDEX(Ref!$K$2:$K$13,MATCH(Tradingbook_MSB[[#This Row],[Days (year)]],Ref!$I$2:$I$13,1)))</f>
        <v>0</v>
      </c>
      <c r="AJ196" s="120" t="str">
        <f>VLOOKUP(Tradingbook_MSB[[#This Row],[Security Name]],Ref!X:Z,3,0)</f>
        <v>TPCPBL</v>
      </c>
      <c r="AK196" s="120" t="str">
        <f>VLOOKUP(Tradingbook_MSB[[#This Row],[Security Name]],Ref!X:Y,2,0)</f>
        <v>VDB</v>
      </c>
      <c r="AL196" s="71">
        <f>IF((Tradingbook_MSB[[#This Row],[Mat. Date]]-RPT)&lt;=0,0,Tradingbook_MSB[[#This Row],[QUANTITY]])</f>
        <v>0</v>
      </c>
      <c r="AM196" s="71">
        <f>IF(Tradingbook_MSB[[#This Row],[Quantity_edited]]=0,0,Tradingbook_MSB[[#This Row],[DURATION]])</f>
        <v>0</v>
      </c>
      <c r="AN196" s="71">
        <f>IF(Tradingbook_MSB[[#This Row],[Quantity_edited]]=0,0,Tradingbook_MSB[[#This Row],[Mod Dur]])</f>
        <v>0</v>
      </c>
      <c r="AO196" s="71">
        <f>IF(Tradingbook_MSB[[#This Row],[Quantity_edited]]=0,0,Tradingbook_MSB[[#This Row],[Cnvx.]])</f>
        <v>0</v>
      </c>
      <c r="AP196" s="71">
        <f>(Tradingbook_MSB[[#This Row],[MARKET_VALUE]]+Tradingbook_MSB[[#This Row],[Accr Int]]*Tradingbook_MSB[[#This Row],[Quantity_edited]])*(-Tradingbook_MSB[[#This Row],[Modified Duration]]*0.0001+0.5*Tradingbook_MSB[[#This Row],[Conv]]*(0.0001^2))</f>
        <v>0</v>
      </c>
      <c r="AQ196" s="72">
        <f>(Tradingbook_MSB[[#This Row],[MARKET_VALUE]]+Tradingbook_MSB[[#This Row],[Accr Int]]*Tradingbook_MSB[[#This Row],[Quantity_edited]])*(-Tradingbook_MSB[[#This Row],[Modified Duration]]*0.01+0.5*Tradingbook_MSB[[#This Row],[Conv]]*(0.01^2))</f>
        <v>0</v>
      </c>
      <c r="AR196" s="71"/>
      <c r="AT196" t="s">
        <v>166</v>
      </c>
      <c r="AU196" t="s">
        <v>3302</v>
      </c>
      <c r="AV196" t="s">
        <v>2775</v>
      </c>
      <c r="AW196" t="s">
        <v>169</v>
      </c>
      <c r="AX196" t="s">
        <v>2778</v>
      </c>
      <c r="AY196" t="s">
        <v>170</v>
      </c>
      <c r="AZ196">
        <v>87342</v>
      </c>
      <c r="BA196">
        <v>87342</v>
      </c>
      <c r="BB196">
        <v>4580000</v>
      </c>
      <c r="BC196">
        <v>458000000000</v>
      </c>
      <c r="BD196">
        <v>104051.603</v>
      </c>
      <c r="BE196">
        <v>400026360000</v>
      </c>
      <c r="BF196">
        <v>3.6</v>
      </c>
      <c r="BG196">
        <v>2732</v>
      </c>
      <c r="BH196">
        <v>9288000000</v>
      </c>
      <c r="BI196">
        <v>9694582200.0000019</v>
      </c>
      <c r="BJ196">
        <v>-23806062172.805737</v>
      </c>
      <c r="BK196">
        <v>5.0061699549999998</v>
      </c>
      <c r="BL196">
        <v>9.1801420201183994</v>
      </c>
      <c r="BM196">
        <v>9.6397155300000001</v>
      </c>
      <c r="BN196">
        <v>107.48467223472591</v>
      </c>
      <c r="BO196">
        <v>443416.10600267787</v>
      </c>
      <c r="BP196">
        <v>-378716.58744262601</v>
      </c>
      <c r="BQ196">
        <v>55214.879000000001</v>
      </c>
      <c r="BR196">
        <v>0</v>
      </c>
      <c r="BS196">
        <v>-76529979999.999969</v>
      </c>
      <c r="BT196">
        <v>-76529979999.999969</v>
      </c>
      <c r="BU196">
        <v>-76529979999.999969</v>
      </c>
      <c r="BV196">
        <v>-76529980000</v>
      </c>
      <c r="BW196">
        <v>-76529979999.999969</v>
      </c>
      <c r="BX196">
        <v>3.216200873</v>
      </c>
      <c r="BY196" s="32">
        <f>Bankingbook_MSB[[#This Row],[Mat. Date]]-RPT</f>
        <v>4471</v>
      </c>
      <c r="BZ196" s="71">
        <f>IF(Bankingbook_MSB[[#This Row],[Days]]&lt;=0,0,YEARFRAC(RPT,Bankingbook_MSB[[#This Row],[Mat. Date]],3))</f>
        <v>12.24931506849315</v>
      </c>
      <c r="CA196" s="71" t="str">
        <f>IF(Bankingbook_MSB[[#This Row],[Days (year)]]=0,0,INDEX(Ref!$K$2:$K$13,MATCH(Bankingbook_MSB[[#This Row],[Days (year)]],Ref!$I$2:$I$13,1)))</f>
        <v>15Y</v>
      </c>
      <c r="CB196" s="32" t="str">
        <f>VLOOKUP(Bankingbook_MSB[[#This Row],[Security Name]],Ref!X:Z,3,0)</f>
        <v>TPCPBL</v>
      </c>
      <c r="CC196" s="32" t="str">
        <f>VLOOKUP(Bankingbook_MSB[[#This Row],[Security Name]],Ref!X:Y,2,0)</f>
        <v>VBS</v>
      </c>
      <c r="CD196" s="72">
        <f>IF((Bankingbook_MSB[[#This Row],[Mat. Date]]-RPT)&lt;=0,0,Bankingbook_MSB[[#This Row],[QUANTITY]])</f>
        <v>4580000</v>
      </c>
      <c r="CE196" s="71">
        <f>IF(Bankingbook_MSB[[#This Row],[Quantity_edited]]=0,0,Bankingbook_MSB[[#This Row],[DURATION]])</f>
        <v>9.6397155300000001</v>
      </c>
      <c r="CF196" s="71">
        <f>IF(Bankingbook_MSB[[#This Row],[Quantity_edited]]=0,0,Bankingbook_MSB[[#This Row],[Mod Dur]])</f>
        <v>9.1801420201183994</v>
      </c>
      <c r="CG196" s="71">
        <f>IF(Bankingbook_MSB[[#This Row],[Quantity_edited]]=0,0,Bankingbook_MSB[[#This Row],[Cnvx.]])</f>
        <v>107.48467223472591</v>
      </c>
      <c r="CH196" s="71">
        <f>(Bankingbook_MSB[[#This Row],[MARKET_VALUE]]+Bankingbook_MSB[[#This Row],[Accr Int]]*Bankingbook_MSB[[#This Row],[Quantity_edited]])*(-Bankingbook_MSB[[#This Row],[Modified Duration]]*0.0001+0.5*Bankingbook_MSB[[#This Row],[Conv]]*(0.0001^2))</f>
        <v>-378494879.38962495</v>
      </c>
      <c r="CI196" s="71">
        <f>(Bankingbook_MSB[[#This Row],[MARKET_VALUE]]+Bankingbook_MSB[[#This Row],[Accr Int]]*Bankingbook_MSB[[#This Row],[Quantity_edited]])*(-Bankingbook_MSB[[#This Row],[Modified Duration]]*0.01+0.5*Bankingbook_MSB[[#This Row],[Conv]]*(0.01^2))</f>
        <v>-35654578214.249237</v>
      </c>
      <c r="CL196" t="s">
        <v>166</v>
      </c>
      <c r="CM196" t="s">
        <v>167</v>
      </c>
      <c r="CN196" t="s">
        <v>375</v>
      </c>
      <c r="CO196" t="s">
        <v>169</v>
      </c>
      <c r="CP196" s="35">
        <v>43439</v>
      </c>
      <c r="CQ196" t="s">
        <v>3322</v>
      </c>
      <c r="CR196" t="s">
        <v>174</v>
      </c>
      <c r="CS196" t="s">
        <v>174</v>
      </c>
      <c r="CT196" s="49">
        <v>0</v>
      </c>
      <c r="CU196">
        <v>0</v>
      </c>
      <c r="CV196">
        <v>0</v>
      </c>
      <c r="CW196" s="70">
        <v>0</v>
      </c>
      <c r="CX196">
        <v>9.4</v>
      </c>
      <c r="CY196">
        <v>0</v>
      </c>
      <c r="CZ196">
        <v>28200000000</v>
      </c>
      <c r="DA196">
        <v>30468969388.888905</v>
      </c>
      <c r="DB196">
        <v>-11223357787.083351</v>
      </c>
      <c r="DC196">
        <v>0</v>
      </c>
      <c r="DD196">
        <v>0</v>
      </c>
      <c r="DE196">
        <v>0</v>
      </c>
      <c r="DF196">
        <v>0</v>
      </c>
      <c r="DG196">
        <v>0</v>
      </c>
      <c r="DH196">
        <v>0</v>
      </c>
      <c r="DI196">
        <v>0</v>
      </c>
      <c r="DJ196" s="500">
        <v>6806000000</v>
      </c>
      <c r="DK196" s="500">
        <v>0</v>
      </c>
      <c r="DL196" s="37">
        <v>6806000000</v>
      </c>
      <c r="DM196" s="37">
        <v>6806000000</v>
      </c>
      <c r="DN196" s="37">
        <v>6806000000</v>
      </c>
      <c r="DO196" s="37">
        <v>6806000000</v>
      </c>
      <c r="DP196" s="32">
        <f>Tradingbook_SBV[[#This Row],[Mat. Date]]-RPT</f>
        <v>-2813</v>
      </c>
      <c r="DQ196" s="32">
        <f>IF(Tradingbook_SBV[[#This Row],[Days]]&lt;=0,0,YEARFRAC(RPT,Tradingbook_SBV[[#This Row],[Mat. Date]],3))</f>
        <v>0</v>
      </c>
      <c r="DR196" s="32">
        <f>IF(Tradingbook_SBV[[#This Row],[Days (year)]]=0,0,INDEX(Ref!$K$2:$K$13,MATCH(Tradingbook_SBV[[#This Row],[Days (year)]],Ref!$I$2:$I$13,1)))</f>
        <v>0</v>
      </c>
      <c r="DS196" s="32" t="str">
        <f>VLOOKUP(Tradingbook_SBV[[#This Row],[Security Name]],Ref!X:Z,3,0)</f>
        <v>TPCPBL</v>
      </c>
      <c r="DT196" s="32" t="str">
        <f>VLOOKUP(Tradingbook_SBV[[#This Row],[Security Name]],Ref!X:Y,2,0)</f>
        <v>VDB</v>
      </c>
      <c r="DU196" s="71">
        <f>IF((Tradingbook_SBV[[#This Row],[Mat. Date]]-RPT)&lt;=0,0,Tradingbook_SBV[[#This Row],[QUANTITY]])</f>
        <v>0</v>
      </c>
      <c r="DV196" s="71">
        <f>IF(Tradingbook_SBV[[#This Row],[Quantity_edited]]=0,0,Tradingbook_SBV[[#This Row],[DURATION]])</f>
        <v>0</v>
      </c>
      <c r="DW196" s="71">
        <f>IF(Tradingbook_SBV[[#This Row],[Quantity_edited]]=0,0,Tradingbook_SBV[[#This Row],[Mod Dur]])</f>
        <v>0</v>
      </c>
      <c r="DX196" s="71">
        <f>IF(Tradingbook_SBV[[#This Row],[Quantity_edited]]=0,0,Tradingbook_SBV[[#This Row],[Cnvx.]])</f>
        <v>0</v>
      </c>
      <c r="DY196" s="71">
        <f>(Tradingbook_SBV[[#This Row],[MARKET_VALUE]]+Tradingbook_SBV[[#This Row],[Accr Int]]*Tradingbook_SBV[[#This Row],[Quantity_edited]])*(-Tradingbook_SBV[[#This Row],[Modified Duration]]*0.0001+0.5*Tradingbook_SBV[[#This Row],[Conv]]*(0.0001^2))</f>
        <v>0</v>
      </c>
      <c r="DZ196" s="71">
        <f>(Tradingbook_SBV[[#This Row],[MARKET_VALUE]]+Tradingbook_SBV[[#This Row],[Accr Int]]*Tradingbook_SBV[[#This Row],[Quantity_edited]])*(-Tradingbook_SBV[[#This Row],[Modified Duration]]*0.01+0.5*Tradingbook_SBV[[#This Row],[Conv]]*(0.01^2))</f>
        <v>0</v>
      </c>
      <c r="EC196" t="s">
        <v>166</v>
      </c>
      <c r="ED196" t="s">
        <v>3299</v>
      </c>
      <c r="EE196" t="s">
        <v>593</v>
      </c>
      <c r="EF196" t="s">
        <v>169</v>
      </c>
      <c r="EG196" s="35" t="s">
        <v>3416</v>
      </c>
      <c r="EH196" t="s">
        <v>170</v>
      </c>
      <c r="EI196" s="500">
        <v>112331</v>
      </c>
      <c r="EJ196" s="500">
        <v>112331</v>
      </c>
      <c r="EK196" s="500">
        <v>14904</v>
      </c>
      <c r="EL196" s="500">
        <v>1490400000</v>
      </c>
      <c r="EM196" s="500">
        <v>131681.068</v>
      </c>
      <c r="EN196" s="500">
        <v>1674181224</v>
      </c>
      <c r="EO196">
        <v>8.8000000000000007</v>
      </c>
      <c r="EP196">
        <v>3761</v>
      </c>
      <c r="EQ196">
        <v>476785862400</v>
      </c>
      <c r="ER196">
        <v>570580266918.45703</v>
      </c>
      <c r="ES196">
        <v>-151291632148.85986</v>
      </c>
      <c r="ET196">
        <v>3.6732719949999999</v>
      </c>
      <c r="EU196">
        <v>2.2691257268527001</v>
      </c>
      <c r="EV196">
        <v>2.3524768900000002</v>
      </c>
      <c r="EW196">
        <v>7.6355478479801997</v>
      </c>
      <c r="EX196">
        <v>132.11293413519999</v>
      </c>
      <c r="EY196">
        <v>-392.61211332099998</v>
      </c>
      <c r="EZ196">
        <v>171.01300000000001</v>
      </c>
      <c r="FA196">
        <v>73605996108.059021</v>
      </c>
      <c r="FB196">
        <v>-288393414.05855972</v>
      </c>
      <c r="FC196">
        <v>73317602694.000458</v>
      </c>
      <c r="FD196">
        <v>73317602694.000458</v>
      </c>
      <c r="FE196">
        <v>73317602694</v>
      </c>
      <c r="FF196">
        <v>73317602694.000458</v>
      </c>
      <c r="FG196" s="32">
        <f>Bankingbook_SBV[[#This Row],[Mat. Date]]-RPT</f>
        <v>940</v>
      </c>
      <c r="FH196" s="32">
        <f>IF(Bankingbook_SBV[[#This Row],[Days]]&lt;=0,0,YEARFRAC(RPT,Bankingbook_SBV[[#This Row],[Mat. Date]],3))</f>
        <v>2.5753424657534247</v>
      </c>
      <c r="FI196" s="32" t="str">
        <f>IF(Bankingbook_SBV[[#This Row],[Days (year)]]=0,0,INDEX(Ref!$K$2:$K$13,MATCH(Bankingbook_SBV[[#This Row],[Days (year)]],Ref!$I$2:$I$13,1)))</f>
        <v>3Y</v>
      </c>
      <c r="FJ196" s="32" t="str">
        <f>VLOOKUP(Bankingbook_SBV[[#This Row],[Security Name]],Ref!X:Z,3,0)</f>
        <v>TPCP</v>
      </c>
      <c r="FK196" s="32" t="str">
        <f>VLOOKUP(Bankingbook_SBV[[#This Row],[Security Name]],Ref!X:Y,2,0)</f>
        <v>KBNN</v>
      </c>
      <c r="FL196" s="72">
        <f>IF((Bankingbook_SBV[[#This Row],[Mat. Date]]-RPT)&lt;=0,0,Bankingbook_SBV[[#This Row],[QUANTITY]])</f>
        <v>14904</v>
      </c>
      <c r="FM196" s="32">
        <f>IF(Bankingbook_SBV[[#This Row],[Quantity_edited]]=0,0,Bankingbook_SBV[[#This Row],[DURATION]])</f>
        <v>2.3524768900000002</v>
      </c>
      <c r="FN196" s="32">
        <f>IF(Bankingbook_SBV[[#This Row],[Quantity_edited]]=0,0,Bankingbook_SBV[[#This Row],[Mod Dur]])</f>
        <v>2.2691257268527001</v>
      </c>
      <c r="FO196" s="32">
        <f>IF(Bankingbook_SBV[[#This Row],[Quantity_edited]]=0,0,Bankingbook_SBV[[#This Row],[Cnvx.]])</f>
        <v>7.6355478479801997</v>
      </c>
      <c r="FP196" s="32">
        <f>(Bankingbook_SBV[[#This Row],[MARKET_VALUE]]+Bankingbook_SBV[[#This Row],[Accr Int]]*Bankingbook_SBV[[#This Row],[Quantity_edited]])*(-Bankingbook_SBV[[#This Row],[Modified Duration]]*0.0001+0.5*Bankingbook_SBV[[#This Row],[Conv]]*(0.0001^2))</f>
        <v>-392546.05685434275</v>
      </c>
      <c r="FQ196" s="32">
        <f>(Bankingbook_SBV[[#This Row],[MARKET_VALUE]]+Bankingbook_SBV[[#This Row],[Accr Int]]*Bankingbook_SBV[[#This Row],[Quantity_edited]])*(-Bankingbook_SBV[[#This Row],[Modified Duration]]*0.01+0.5*Bankingbook_SBV[[#This Row],[Conv]]*(0.01^2))</f>
        <v>-38600646.661464937</v>
      </c>
    </row>
    <row r="197" spans="2:173" x14ac:dyDescent="0.3">
      <c r="B197" t="s">
        <v>166</v>
      </c>
      <c r="C197" t="s">
        <v>167</v>
      </c>
      <c r="D197" t="s">
        <v>376</v>
      </c>
      <c r="E197" t="s">
        <v>169</v>
      </c>
      <c r="F197" s="502">
        <v>43442</v>
      </c>
      <c r="G197" t="s">
        <v>3322</v>
      </c>
      <c r="H197"/>
      <c r="I197"/>
      <c r="J197" s="38">
        <v>0</v>
      </c>
      <c r="K197">
        <v>0</v>
      </c>
      <c r="L197">
        <v>0</v>
      </c>
      <c r="M197" s="38">
        <v>0</v>
      </c>
      <c r="N197">
        <v>9.4</v>
      </c>
      <c r="O197">
        <v>0</v>
      </c>
      <c r="P197" s="37">
        <v>0</v>
      </c>
      <c r="Q197" s="37">
        <v>0</v>
      </c>
      <c r="R197" s="37">
        <v>-15937200.395833269</v>
      </c>
      <c r="S197">
        <v>0</v>
      </c>
      <c r="T197" s="70">
        <v>0</v>
      </c>
      <c r="U197">
        <v>0</v>
      </c>
      <c r="V197">
        <v>0</v>
      </c>
      <c r="W197">
        <v>0</v>
      </c>
      <c r="X197" s="38">
        <v>0</v>
      </c>
      <c r="Y197">
        <v>0</v>
      </c>
      <c r="Z197" s="70">
        <v>-29760000</v>
      </c>
      <c r="AA197" s="70">
        <v>0</v>
      </c>
      <c r="AB197" s="70">
        <v>-29760000</v>
      </c>
      <c r="AC197" s="70">
        <v>-29760000</v>
      </c>
      <c r="AD197" s="70">
        <v>-29760000</v>
      </c>
      <c r="AE197" s="70">
        <v>-29760000</v>
      </c>
      <c r="AF197">
        <v>0</v>
      </c>
      <c r="AG197" s="72">
        <f>Tradingbook_MSB[[#This Row],[Mat. Date]]-RPT</f>
        <v>-2810</v>
      </c>
      <c r="AH197" s="71">
        <f>IF(Tradingbook_MSB[[#This Row],[Days]]&lt;=0,0,YEARFRAC(RPT,Tradingbook_MSB[[#This Row],[Mat. Date]],3))</f>
        <v>0</v>
      </c>
      <c r="AI197" s="71">
        <f>IF(Tradingbook_MSB[[#This Row],[Days (year)]]=0,0,INDEX(Ref!$K$2:$K$13,MATCH(Tradingbook_MSB[[#This Row],[Days (year)]],Ref!$I$2:$I$13,1)))</f>
        <v>0</v>
      </c>
      <c r="AJ197" s="120" t="str">
        <f>VLOOKUP(Tradingbook_MSB[[#This Row],[Security Name]],Ref!X:Z,3,0)</f>
        <v>TPCP</v>
      </c>
      <c r="AK197" s="120" t="str">
        <f>VLOOKUP(Tradingbook_MSB[[#This Row],[Security Name]],Ref!X:Y,2,0)</f>
        <v>VDB</v>
      </c>
      <c r="AL197" s="71">
        <f>IF((Tradingbook_MSB[[#This Row],[Mat. Date]]-RPT)&lt;=0,0,Tradingbook_MSB[[#This Row],[QUANTITY]])</f>
        <v>0</v>
      </c>
      <c r="AM197" s="71">
        <f>IF(Tradingbook_MSB[[#This Row],[Quantity_edited]]=0,0,Tradingbook_MSB[[#This Row],[DURATION]])</f>
        <v>0</v>
      </c>
      <c r="AN197" s="71">
        <f>IF(Tradingbook_MSB[[#This Row],[Quantity_edited]]=0,0,Tradingbook_MSB[[#This Row],[Mod Dur]])</f>
        <v>0</v>
      </c>
      <c r="AO197" s="71">
        <f>IF(Tradingbook_MSB[[#This Row],[Quantity_edited]]=0,0,Tradingbook_MSB[[#This Row],[Cnvx.]])</f>
        <v>0</v>
      </c>
      <c r="AP197" s="71">
        <f>(Tradingbook_MSB[[#This Row],[MARKET_VALUE]]+Tradingbook_MSB[[#This Row],[Accr Int]]*Tradingbook_MSB[[#This Row],[Quantity_edited]])*(-Tradingbook_MSB[[#This Row],[Modified Duration]]*0.0001+0.5*Tradingbook_MSB[[#This Row],[Conv]]*(0.0001^2))</f>
        <v>0</v>
      </c>
      <c r="AQ197" s="72">
        <f>(Tradingbook_MSB[[#This Row],[MARKET_VALUE]]+Tradingbook_MSB[[#This Row],[Accr Int]]*Tradingbook_MSB[[#This Row],[Quantity_edited]])*(-Tradingbook_MSB[[#This Row],[Modified Duration]]*0.01+0.5*Tradingbook_MSB[[#This Row],[Conv]]*(0.01^2))</f>
        <v>0</v>
      </c>
      <c r="AR197" s="71"/>
      <c r="AT197" t="s">
        <v>166</v>
      </c>
      <c r="AU197" t="s">
        <v>3302</v>
      </c>
      <c r="AV197" t="s">
        <v>2843</v>
      </c>
      <c r="AW197" t="s">
        <v>169</v>
      </c>
      <c r="AX197" t="s">
        <v>2844</v>
      </c>
      <c r="AY197" t="s">
        <v>170</v>
      </c>
      <c r="AZ197">
        <v>87334</v>
      </c>
      <c r="BA197">
        <v>87334</v>
      </c>
      <c r="BB197">
        <v>2000000</v>
      </c>
      <c r="BC197">
        <v>200000000000</v>
      </c>
      <c r="BD197">
        <v>104714</v>
      </c>
      <c r="BE197">
        <v>174668000000</v>
      </c>
      <c r="BF197">
        <v>3.6</v>
      </c>
      <c r="BG197">
        <v>2702</v>
      </c>
      <c r="BH197">
        <v>7180000000</v>
      </c>
      <c r="BI197">
        <v>7491492333.3333349</v>
      </c>
      <c r="BJ197">
        <v>-15800121333.333364</v>
      </c>
      <c r="BK197">
        <v>5.0063927069999998</v>
      </c>
      <c r="BL197">
        <v>9.1879176324688991</v>
      </c>
      <c r="BM197">
        <v>9.6479008700000009</v>
      </c>
      <c r="BN197">
        <v>107.6349675806204</v>
      </c>
      <c r="BO197">
        <v>193820.43882177479</v>
      </c>
      <c r="BP197">
        <v>-165448.670391394</v>
      </c>
      <c r="BQ197">
        <v>24102.175999999999</v>
      </c>
      <c r="BR197">
        <v>0</v>
      </c>
      <c r="BS197">
        <v>-34760000000</v>
      </c>
      <c r="BT197">
        <v>-34760000000</v>
      </c>
      <c r="BU197">
        <v>-34760000000</v>
      </c>
      <c r="BV197">
        <v>-34760000000</v>
      </c>
      <c r="BW197">
        <v>-34760000000</v>
      </c>
      <c r="BX197">
        <v>3.1691747920000002</v>
      </c>
      <c r="BY197" s="32">
        <f>Bankingbook_MSB[[#This Row],[Mat. Date]]-RPT</f>
        <v>4474</v>
      </c>
      <c r="BZ197" s="71">
        <f>IF(Bankingbook_MSB[[#This Row],[Days]]&lt;=0,0,YEARFRAC(RPT,Bankingbook_MSB[[#This Row],[Mat. Date]],3))</f>
        <v>12.257534246575343</v>
      </c>
      <c r="CA197" s="71" t="str">
        <f>IF(Bankingbook_MSB[[#This Row],[Days (year)]]=0,0,INDEX(Ref!$K$2:$K$13,MATCH(Bankingbook_MSB[[#This Row],[Days (year)]],Ref!$I$2:$I$13,1)))</f>
        <v>15Y</v>
      </c>
      <c r="CB197" s="32" t="str">
        <f>VLOOKUP(Bankingbook_MSB[[#This Row],[Security Name]],Ref!X:Z,3,0)</f>
        <v>TPCPBL</v>
      </c>
      <c r="CC197" s="32" t="str">
        <f>VLOOKUP(Bankingbook_MSB[[#This Row],[Security Name]],Ref!X:Y,2,0)</f>
        <v>VBS</v>
      </c>
      <c r="CD197" s="72">
        <f>IF((Bankingbook_MSB[[#This Row],[Mat. Date]]-RPT)&lt;=0,0,Bankingbook_MSB[[#This Row],[QUANTITY]])</f>
        <v>2000000</v>
      </c>
      <c r="CE197" s="71">
        <f>IF(Bankingbook_MSB[[#This Row],[Quantity_edited]]=0,0,Bankingbook_MSB[[#This Row],[DURATION]])</f>
        <v>9.6479008700000009</v>
      </c>
      <c r="CF197" s="71">
        <f>IF(Bankingbook_MSB[[#This Row],[Quantity_edited]]=0,0,Bankingbook_MSB[[#This Row],[Mod Dur]])</f>
        <v>9.1879176324688991</v>
      </c>
      <c r="CG197" s="71">
        <f>IF(Bankingbook_MSB[[#This Row],[Quantity_edited]]=0,0,Bankingbook_MSB[[#This Row],[Cnvx.]])</f>
        <v>107.6349675806204</v>
      </c>
      <c r="CH197" s="71">
        <f>(Bankingbook_MSB[[#This Row],[MARKET_VALUE]]+Bankingbook_MSB[[#This Row],[Accr Int]]*Bankingbook_MSB[[#This Row],[Quantity_edited]])*(-Bankingbook_MSB[[#This Row],[Modified Duration]]*0.0001+0.5*Bankingbook_MSB[[#This Row],[Conv]]*(0.0001^2))</f>
        <v>-165351760.17198309</v>
      </c>
      <c r="CI197" s="71">
        <f>(Bankingbook_MSB[[#This Row],[MARKET_VALUE]]+Bankingbook_MSB[[#This Row],[Accr Int]]*Bankingbook_MSB[[#This Row],[Quantity_edited]])*(-Bankingbook_MSB[[#This Row],[Modified Duration]]*0.01+0.5*Bankingbook_MSB[[#This Row],[Conv]]*(0.01^2))</f>
        <v>-15575764845.030521</v>
      </c>
      <c r="CL197" t="s">
        <v>166</v>
      </c>
      <c r="CM197" t="s">
        <v>167</v>
      </c>
      <c r="CN197" t="s">
        <v>376</v>
      </c>
      <c r="CO197" t="s">
        <v>169</v>
      </c>
      <c r="CP197" s="35">
        <v>43442</v>
      </c>
      <c r="CQ197" t="s">
        <v>3322</v>
      </c>
      <c r="CR197" t="s">
        <v>174</v>
      </c>
      <c r="CS197" t="s">
        <v>174</v>
      </c>
      <c r="CT197" s="49">
        <v>0</v>
      </c>
      <c r="CU197">
        <v>0</v>
      </c>
      <c r="CV197">
        <v>0</v>
      </c>
      <c r="CW197" s="70">
        <v>0</v>
      </c>
      <c r="CX197">
        <v>9.4</v>
      </c>
      <c r="CY197">
        <v>0</v>
      </c>
      <c r="CZ197">
        <v>0</v>
      </c>
      <c r="DA197">
        <v>0</v>
      </c>
      <c r="DB197">
        <v>-15937200.395833269</v>
      </c>
      <c r="DC197">
        <v>0</v>
      </c>
      <c r="DD197">
        <v>0</v>
      </c>
      <c r="DE197">
        <v>0</v>
      </c>
      <c r="DF197">
        <v>0</v>
      </c>
      <c r="DG197">
        <v>0</v>
      </c>
      <c r="DH197">
        <v>0</v>
      </c>
      <c r="DI197">
        <v>0</v>
      </c>
      <c r="DJ197" s="500">
        <v>-29760000</v>
      </c>
      <c r="DK197" s="500">
        <v>0</v>
      </c>
      <c r="DL197" s="37">
        <v>-29760000</v>
      </c>
      <c r="DM197" s="37">
        <v>-29760000</v>
      </c>
      <c r="DN197" s="37">
        <v>-29760000</v>
      </c>
      <c r="DO197" s="37">
        <v>-29760000</v>
      </c>
      <c r="DP197" s="32">
        <f>Tradingbook_SBV[[#This Row],[Mat. Date]]-RPT</f>
        <v>-2810</v>
      </c>
      <c r="DQ197" s="32">
        <f>IF(Tradingbook_SBV[[#This Row],[Days]]&lt;=0,0,YEARFRAC(RPT,Tradingbook_SBV[[#This Row],[Mat. Date]],3))</f>
        <v>0</v>
      </c>
      <c r="DR197" s="32">
        <f>IF(Tradingbook_SBV[[#This Row],[Days (year)]]=0,0,INDEX(Ref!$K$2:$K$13,MATCH(Tradingbook_SBV[[#This Row],[Days (year)]],Ref!$I$2:$I$13,1)))</f>
        <v>0</v>
      </c>
      <c r="DS197" s="32" t="str">
        <f>VLOOKUP(Tradingbook_SBV[[#This Row],[Security Name]],Ref!X:Z,3,0)</f>
        <v>TPCP</v>
      </c>
      <c r="DT197" s="32" t="str">
        <f>VLOOKUP(Tradingbook_SBV[[#This Row],[Security Name]],Ref!X:Y,2,0)</f>
        <v>VDB</v>
      </c>
      <c r="DU197" s="71">
        <f>IF((Tradingbook_SBV[[#This Row],[Mat. Date]]-RPT)&lt;=0,0,Tradingbook_SBV[[#This Row],[QUANTITY]])</f>
        <v>0</v>
      </c>
      <c r="DV197" s="71">
        <f>IF(Tradingbook_SBV[[#This Row],[Quantity_edited]]=0,0,Tradingbook_SBV[[#This Row],[DURATION]])</f>
        <v>0</v>
      </c>
      <c r="DW197" s="71">
        <f>IF(Tradingbook_SBV[[#This Row],[Quantity_edited]]=0,0,Tradingbook_SBV[[#This Row],[Mod Dur]])</f>
        <v>0</v>
      </c>
      <c r="DX197" s="71">
        <f>IF(Tradingbook_SBV[[#This Row],[Quantity_edited]]=0,0,Tradingbook_SBV[[#This Row],[Cnvx.]])</f>
        <v>0</v>
      </c>
      <c r="DY197" s="71">
        <f>(Tradingbook_SBV[[#This Row],[MARKET_VALUE]]+Tradingbook_SBV[[#This Row],[Accr Int]]*Tradingbook_SBV[[#This Row],[Quantity_edited]])*(-Tradingbook_SBV[[#This Row],[Modified Duration]]*0.0001+0.5*Tradingbook_SBV[[#This Row],[Conv]]*(0.0001^2))</f>
        <v>0</v>
      </c>
      <c r="DZ197" s="71">
        <f>(Tradingbook_SBV[[#This Row],[MARKET_VALUE]]+Tradingbook_SBV[[#This Row],[Accr Int]]*Tradingbook_SBV[[#This Row],[Quantity_edited]])*(-Tradingbook_SBV[[#This Row],[Modified Duration]]*0.01+0.5*Tradingbook_SBV[[#This Row],[Conv]]*(0.01^2))</f>
        <v>0</v>
      </c>
      <c r="EC197" t="s">
        <v>166</v>
      </c>
      <c r="ED197" t="s">
        <v>3299</v>
      </c>
      <c r="EE197" t="s">
        <v>594</v>
      </c>
      <c r="EF197" t="s">
        <v>169</v>
      </c>
      <c r="EG197" s="35" t="s">
        <v>3798</v>
      </c>
      <c r="EH197" t="s">
        <v>3322</v>
      </c>
      <c r="EI197" s="500">
        <v>102570</v>
      </c>
      <c r="EJ197" s="500">
        <v>102570</v>
      </c>
      <c r="EK197" s="500">
        <v>0</v>
      </c>
      <c r="EL197" s="500">
        <v>0</v>
      </c>
      <c r="EM197" s="500">
        <v>0</v>
      </c>
      <c r="EN197" s="500">
        <v>0</v>
      </c>
      <c r="EO197">
        <v>4.7</v>
      </c>
      <c r="EP197">
        <v>1301</v>
      </c>
      <c r="EQ197">
        <v>16450000000</v>
      </c>
      <c r="ER197">
        <v>18991417618.055481</v>
      </c>
      <c r="ES197">
        <v>-7506436200.1275282</v>
      </c>
      <c r="ET197">
        <v>3.684051218</v>
      </c>
      <c r="EU197">
        <v>2.5004950749380002</v>
      </c>
      <c r="EV197">
        <v>2.5926145900000002</v>
      </c>
      <c r="EW197">
        <v>8.8517987192511001</v>
      </c>
      <c r="EX197">
        <v>0</v>
      </c>
      <c r="EY197">
        <v>0</v>
      </c>
      <c r="EZ197">
        <v>0</v>
      </c>
      <c r="FA197">
        <v>-20626420000</v>
      </c>
      <c r="FB197">
        <v>0</v>
      </c>
      <c r="FC197">
        <v>-20626420000</v>
      </c>
      <c r="FD197">
        <v>-20626420000</v>
      </c>
      <c r="FE197">
        <v>-20626420000</v>
      </c>
      <c r="FF197">
        <v>-20626420000</v>
      </c>
      <c r="FG197" s="32">
        <f>Bankingbook_SBV[[#This Row],[Mat. Date]]-RPT</f>
        <v>995</v>
      </c>
      <c r="FH197" s="32">
        <f>IF(Bankingbook_SBV[[#This Row],[Days]]&lt;=0,0,YEARFRAC(RPT,Bankingbook_SBV[[#This Row],[Mat. Date]],3))</f>
        <v>2.7260273972602738</v>
      </c>
      <c r="FI197" s="32" t="str">
        <f>IF(Bankingbook_SBV[[#This Row],[Days (year)]]=0,0,INDEX(Ref!$K$2:$K$13,MATCH(Bankingbook_SBV[[#This Row],[Days (year)]],Ref!$I$2:$I$13,1)))</f>
        <v>3Y</v>
      </c>
      <c r="FJ197" s="32" t="str">
        <f>VLOOKUP(Bankingbook_SBV[[#This Row],[Security Name]],Ref!X:Z,3,0)</f>
        <v>TPCP</v>
      </c>
      <c r="FK197" s="32" t="str">
        <f>VLOOKUP(Bankingbook_SBV[[#This Row],[Security Name]],Ref!X:Y,2,0)</f>
        <v>KBNN</v>
      </c>
      <c r="FL197" s="72">
        <f>IF((Bankingbook_SBV[[#This Row],[Mat. Date]]-RPT)&lt;=0,0,Bankingbook_SBV[[#This Row],[QUANTITY]])</f>
        <v>0</v>
      </c>
      <c r="FM197" s="32">
        <f>IF(Bankingbook_SBV[[#This Row],[Quantity_edited]]=0,0,Bankingbook_SBV[[#This Row],[DURATION]])</f>
        <v>0</v>
      </c>
      <c r="FN197" s="32">
        <f>IF(Bankingbook_SBV[[#This Row],[Quantity_edited]]=0,0,Bankingbook_SBV[[#This Row],[Mod Dur]])</f>
        <v>0</v>
      </c>
      <c r="FO197" s="32">
        <f>IF(Bankingbook_SBV[[#This Row],[Quantity_edited]]=0,0,Bankingbook_SBV[[#This Row],[Cnvx.]])</f>
        <v>0</v>
      </c>
      <c r="FP197" s="32">
        <f>(Bankingbook_SBV[[#This Row],[MARKET_VALUE]]+Bankingbook_SBV[[#This Row],[Accr Int]]*Bankingbook_SBV[[#This Row],[Quantity_edited]])*(-Bankingbook_SBV[[#This Row],[Modified Duration]]*0.0001+0.5*Bankingbook_SBV[[#This Row],[Conv]]*(0.0001^2))</f>
        <v>0</v>
      </c>
      <c r="FQ197" s="32">
        <f>(Bankingbook_SBV[[#This Row],[MARKET_VALUE]]+Bankingbook_SBV[[#This Row],[Accr Int]]*Bankingbook_SBV[[#This Row],[Quantity_edited]])*(-Bankingbook_SBV[[#This Row],[Modified Duration]]*0.01+0.5*Bankingbook_SBV[[#This Row],[Conv]]*(0.01^2))</f>
        <v>0</v>
      </c>
    </row>
    <row r="198" spans="2:173" x14ac:dyDescent="0.3">
      <c r="B198" t="s">
        <v>166</v>
      </c>
      <c r="C198" t="s">
        <v>167</v>
      </c>
      <c r="D198" t="s">
        <v>377</v>
      </c>
      <c r="E198" t="s">
        <v>169</v>
      </c>
      <c r="F198" s="502">
        <v>43444</v>
      </c>
      <c r="G198" t="s">
        <v>3322</v>
      </c>
      <c r="H198"/>
      <c r="I198"/>
      <c r="J198" s="38">
        <v>0</v>
      </c>
      <c r="K198">
        <v>0</v>
      </c>
      <c r="L198">
        <v>0</v>
      </c>
      <c r="M198" s="38">
        <v>0</v>
      </c>
      <c r="N198">
        <v>9.4</v>
      </c>
      <c r="O198">
        <v>0</v>
      </c>
      <c r="P198" s="37">
        <v>0</v>
      </c>
      <c r="Q198" s="37">
        <v>0</v>
      </c>
      <c r="R198" s="37">
        <v>-19192887.222223282</v>
      </c>
      <c r="S198">
        <v>0</v>
      </c>
      <c r="T198" s="70">
        <v>0</v>
      </c>
      <c r="U198">
        <v>0</v>
      </c>
      <c r="V198">
        <v>0</v>
      </c>
      <c r="W198">
        <v>0</v>
      </c>
      <c r="X198" s="38">
        <v>0</v>
      </c>
      <c r="Y198">
        <v>0</v>
      </c>
      <c r="Z198" s="70">
        <v>7638000000</v>
      </c>
      <c r="AA198" s="70">
        <v>0</v>
      </c>
      <c r="AB198" s="70">
        <v>7638000000</v>
      </c>
      <c r="AC198" s="70">
        <v>7638000000</v>
      </c>
      <c r="AD198" s="70">
        <v>7638000000</v>
      </c>
      <c r="AE198" s="70">
        <v>7638000000</v>
      </c>
      <c r="AF198">
        <v>0</v>
      </c>
      <c r="AG198" s="72">
        <f>Tradingbook_MSB[[#This Row],[Mat. Date]]-RPT</f>
        <v>-2808</v>
      </c>
      <c r="AH198" s="71">
        <f>IF(Tradingbook_MSB[[#This Row],[Days]]&lt;=0,0,YEARFRAC(RPT,Tradingbook_MSB[[#This Row],[Mat. Date]],3))</f>
        <v>0</v>
      </c>
      <c r="AI198" s="71">
        <f>IF(Tradingbook_MSB[[#This Row],[Days (year)]]=0,0,INDEX(Ref!$K$2:$K$13,MATCH(Tradingbook_MSB[[#This Row],[Days (year)]],Ref!$I$2:$I$13,1)))</f>
        <v>0</v>
      </c>
      <c r="AJ198" s="120" t="str">
        <f>VLOOKUP(Tradingbook_MSB[[#This Row],[Security Name]],Ref!X:Z,3,0)</f>
        <v>TPCPBL</v>
      </c>
      <c r="AK198" s="120" t="str">
        <f>VLOOKUP(Tradingbook_MSB[[#This Row],[Security Name]],Ref!X:Y,2,0)</f>
        <v>VDB</v>
      </c>
      <c r="AL198" s="71">
        <f>IF((Tradingbook_MSB[[#This Row],[Mat. Date]]-RPT)&lt;=0,0,Tradingbook_MSB[[#This Row],[QUANTITY]])</f>
        <v>0</v>
      </c>
      <c r="AM198" s="71">
        <f>IF(Tradingbook_MSB[[#This Row],[Quantity_edited]]=0,0,Tradingbook_MSB[[#This Row],[DURATION]])</f>
        <v>0</v>
      </c>
      <c r="AN198" s="71">
        <f>IF(Tradingbook_MSB[[#This Row],[Quantity_edited]]=0,0,Tradingbook_MSB[[#This Row],[Mod Dur]])</f>
        <v>0</v>
      </c>
      <c r="AO198" s="71">
        <f>IF(Tradingbook_MSB[[#This Row],[Quantity_edited]]=0,0,Tradingbook_MSB[[#This Row],[Cnvx.]])</f>
        <v>0</v>
      </c>
      <c r="AP198" s="71">
        <f>(Tradingbook_MSB[[#This Row],[MARKET_VALUE]]+Tradingbook_MSB[[#This Row],[Accr Int]]*Tradingbook_MSB[[#This Row],[Quantity_edited]])*(-Tradingbook_MSB[[#This Row],[Modified Duration]]*0.0001+0.5*Tradingbook_MSB[[#This Row],[Conv]]*(0.0001^2))</f>
        <v>0</v>
      </c>
      <c r="AQ198" s="72">
        <f>(Tradingbook_MSB[[#This Row],[MARKET_VALUE]]+Tradingbook_MSB[[#This Row],[Accr Int]]*Tradingbook_MSB[[#This Row],[Quantity_edited]])*(-Tradingbook_MSB[[#This Row],[Modified Duration]]*0.01+0.5*Tradingbook_MSB[[#This Row],[Conv]]*(0.01^2))</f>
        <v>0</v>
      </c>
      <c r="AR198" s="71"/>
      <c r="AT198" t="s">
        <v>166</v>
      </c>
      <c r="AU198" t="s">
        <v>3302</v>
      </c>
      <c r="AV198" t="s">
        <v>2782</v>
      </c>
      <c r="AW198" t="s">
        <v>169</v>
      </c>
      <c r="AX198" t="s">
        <v>2783</v>
      </c>
      <c r="AY198" t="s">
        <v>170</v>
      </c>
      <c r="AZ198">
        <v>85523</v>
      </c>
      <c r="BA198">
        <v>85523</v>
      </c>
      <c r="BB198">
        <v>1370000</v>
      </c>
      <c r="BC198">
        <v>137000000000</v>
      </c>
      <c r="BD198">
        <v>105955.416</v>
      </c>
      <c r="BE198">
        <v>117166510000</v>
      </c>
      <c r="BF198">
        <v>3.4</v>
      </c>
      <c r="BG198">
        <v>2515</v>
      </c>
      <c r="BH198">
        <v>9316000000</v>
      </c>
      <c r="BI198">
        <v>9916319158.3333397</v>
      </c>
      <c r="BJ198">
        <v>-14496494628.33334</v>
      </c>
      <c r="BK198">
        <v>5.0067248810000002</v>
      </c>
      <c r="BL198">
        <v>9.2841645054785999</v>
      </c>
      <c r="BM198">
        <v>9.7489970800000005</v>
      </c>
      <c r="BN198">
        <v>109.2084529167216</v>
      </c>
      <c r="BO198">
        <v>131718.56475698799</v>
      </c>
      <c r="BP198">
        <v>-111978.22063846599</v>
      </c>
      <c r="BQ198">
        <v>16144.661</v>
      </c>
      <c r="BR198">
        <v>0</v>
      </c>
      <c r="BS198">
        <v>-27992409999.999992</v>
      </c>
      <c r="BT198">
        <v>-27992409999.999992</v>
      </c>
      <c r="BU198">
        <v>-27992409999.999992</v>
      </c>
      <c r="BV198">
        <v>-27992410000</v>
      </c>
      <c r="BW198">
        <v>-27992409999.999992</v>
      </c>
      <c r="BX198">
        <v>2.901281022</v>
      </c>
      <c r="BY198" s="32">
        <f>Bankingbook_MSB[[#This Row],[Mat. Date]]-RPT</f>
        <v>4478</v>
      </c>
      <c r="BZ198" s="71">
        <f>IF(Bankingbook_MSB[[#This Row],[Days]]&lt;=0,0,YEARFRAC(RPT,Bankingbook_MSB[[#This Row],[Mat. Date]],3))</f>
        <v>12.268493150684931</v>
      </c>
      <c r="CA198" s="71" t="str">
        <f>IF(Bankingbook_MSB[[#This Row],[Days (year)]]=0,0,INDEX(Ref!$K$2:$K$13,MATCH(Bankingbook_MSB[[#This Row],[Days (year)]],Ref!$I$2:$I$13,1)))</f>
        <v>15Y</v>
      </c>
      <c r="CB198" s="32" t="str">
        <f>VLOOKUP(Bankingbook_MSB[[#This Row],[Security Name]],Ref!X:Z,3,0)</f>
        <v>TPCPBL</v>
      </c>
      <c r="CC198" s="32" t="str">
        <f>VLOOKUP(Bankingbook_MSB[[#This Row],[Security Name]],Ref!X:Y,2,0)</f>
        <v>VBS</v>
      </c>
      <c r="CD198" s="72">
        <f>IF((Bankingbook_MSB[[#This Row],[Mat. Date]]-RPT)&lt;=0,0,Bankingbook_MSB[[#This Row],[QUANTITY]])</f>
        <v>1370000</v>
      </c>
      <c r="CE198" s="71">
        <f>IF(Bankingbook_MSB[[#This Row],[Quantity_edited]]=0,0,Bankingbook_MSB[[#This Row],[DURATION]])</f>
        <v>9.7489970800000005</v>
      </c>
      <c r="CF198" s="71">
        <f>IF(Bankingbook_MSB[[#This Row],[Quantity_edited]]=0,0,Bankingbook_MSB[[#This Row],[Mod Dur]])</f>
        <v>9.2841645054785999</v>
      </c>
      <c r="CG198" s="71">
        <f>IF(Bankingbook_MSB[[#This Row],[Quantity_edited]]=0,0,Bankingbook_MSB[[#This Row],[Cnvx.]])</f>
        <v>109.2084529167216</v>
      </c>
      <c r="CH198" s="71">
        <f>(Bankingbook_MSB[[#This Row],[MARKET_VALUE]]+Bankingbook_MSB[[#This Row],[Accr Int]]*Bankingbook_MSB[[#This Row],[Quantity_edited]])*(-Bankingbook_MSB[[#This Row],[Modified Duration]]*0.0001+0.5*Bankingbook_MSB[[#This Row],[Conv]]*(0.0001^2))</f>
        <v>-111912361.35608704</v>
      </c>
      <c r="CI198" s="71">
        <f>(Bankingbook_MSB[[#This Row],[MARKET_VALUE]]+Bankingbook_MSB[[#This Row],[Accr Int]]*Bankingbook_MSB[[#This Row],[Quantity_edited]])*(-Bankingbook_MSB[[#This Row],[Modified Duration]]*0.01+0.5*Bankingbook_MSB[[#This Row],[Conv]]*(0.01^2))</f>
        <v>-10539229240.061611</v>
      </c>
      <c r="CL198" t="s">
        <v>166</v>
      </c>
      <c r="CM198" t="s">
        <v>167</v>
      </c>
      <c r="CN198" t="s">
        <v>377</v>
      </c>
      <c r="CO198" t="s">
        <v>169</v>
      </c>
      <c r="CP198" s="35">
        <v>43444</v>
      </c>
      <c r="CQ198" t="s">
        <v>3322</v>
      </c>
      <c r="CR198" t="s">
        <v>174</v>
      </c>
      <c r="CS198" t="s">
        <v>174</v>
      </c>
      <c r="CT198" s="49">
        <v>0</v>
      </c>
      <c r="CU198">
        <v>0</v>
      </c>
      <c r="CV198">
        <v>0</v>
      </c>
      <c r="CW198" s="70">
        <v>0</v>
      </c>
      <c r="CX198">
        <v>9.4</v>
      </c>
      <c r="CY198">
        <v>0</v>
      </c>
      <c r="CZ198">
        <v>0</v>
      </c>
      <c r="DA198">
        <v>0</v>
      </c>
      <c r="DB198">
        <v>-19192887.222223282</v>
      </c>
      <c r="DC198">
        <v>0</v>
      </c>
      <c r="DD198">
        <v>0</v>
      </c>
      <c r="DE198">
        <v>0</v>
      </c>
      <c r="DF198">
        <v>0</v>
      </c>
      <c r="DG198">
        <v>0</v>
      </c>
      <c r="DH198">
        <v>0</v>
      </c>
      <c r="DI198">
        <v>0</v>
      </c>
      <c r="DJ198" s="500">
        <v>7638000000</v>
      </c>
      <c r="DK198" s="500">
        <v>0</v>
      </c>
      <c r="DL198" s="37">
        <v>7638000000</v>
      </c>
      <c r="DM198" s="37">
        <v>7638000000</v>
      </c>
      <c r="DN198" s="37">
        <v>7638000000</v>
      </c>
      <c r="DO198" s="37">
        <v>7638000000</v>
      </c>
      <c r="DP198" s="32">
        <f>Tradingbook_SBV[[#This Row],[Mat. Date]]-RPT</f>
        <v>-2808</v>
      </c>
      <c r="DQ198" s="32">
        <f>IF(Tradingbook_SBV[[#This Row],[Days]]&lt;=0,0,YEARFRAC(RPT,Tradingbook_SBV[[#This Row],[Mat. Date]],3))</f>
        <v>0</v>
      </c>
      <c r="DR198" s="32">
        <f>IF(Tradingbook_SBV[[#This Row],[Days (year)]]=0,0,INDEX(Ref!$K$2:$K$13,MATCH(Tradingbook_SBV[[#This Row],[Days (year)]],Ref!$I$2:$I$13,1)))</f>
        <v>0</v>
      </c>
      <c r="DS198" s="32" t="str">
        <f>VLOOKUP(Tradingbook_SBV[[#This Row],[Security Name]],Ref!X:Z,3,0)</f>
        <v>TPCPBL</v>
      </c>
      <c r="DT198" s="32" t="str">
        <f>VLOOKUP(Tradingbook_SBV[[#This Row],[Security Name]],Ref!X:Y,2,0)</f>
        <v>VDB</v>
      </c>
      <c r="DU198" s="71">
        <f>IF((Tradingbook_SBV[[#This Row],[Mat. Date]]-RPT)&lt;=0,0,Tradingbook_SBV[[#This Row],[QUANTITY]])</f>
        <v>0</v>
      </c>
      <c r="DV198" s="71">
        <f>IF(Tradingbook_SBV[[#This Row],[Quantity_edited]]=0,0,Tradingbook_SBV[[#This Row],[DURATION]])</f>
        <v>0</v>
      </c>
      <c r="DW198" s="71">
        <f>IF(Tradingbook_SBV[[#This Row],[Quantity_edited]]=0,0,Tradingbook_SBV[[#This Row],[Mod Dur]])</f>
        <v>0</v>
      </c>
      <c r="DX198" s="71">
        <f>IF(Tradingbook_SBV[[#This Row],[Quantity_edited]]=0,0,Tradingbook_SBV[[#This Row],[Cnvx.]])</f>
        <v>0</v>
      </c>
      <c r="DY198" s="71">
        <f>(Tradingbook_SBV[[#This Row],[MARKET_VALUE]]+Tradingbook_SBV[[#This Row],[Accr Int]]*Tradingbook_SBV[[#This Row],[Quantity_edited]])*(-Tradingbook_SBV[[#This Row],[Modified Duration]]*0.0001+0.5*Tradingbook_SBV[[#This Row],[Conv]]*(0.0001^2))</f>
        <v>0</v>
      </c>
      <c r="DZ198" s="71">
        <f>(Tradingbook_SBV[[#This Row],[MARKET_VALUE]]+Tradingbook_SBV[[#This Row],[Accr Int]]*Tradingbook_SBV[[#This Row],[Quantity_edited]])*(-Tradingbook_SBV[[#This Row],[Modified Duration]]*0.01+0.5*Tradingbook_SBV[[#This Row],[Conv]]*(0.01^2))</f>
        <v>0</v>
      </c>
      <c r="EC198" t="s">
        <v>166</v>
      </c>
      <c r="ED198" t="s">
        <v>3299</v>
      </c>
      <c r="EE198" t="s">
        <v>595</v>
      </c>
      <c r="EF198" t="s">
        <v>169</v>
      </c>
      <c r="EG198" s="35" t="s">
        <v>3799</v>
      </c>
      <c r="EH198" t="s">
        <v>3322</v>
      </c>
      <c r="EI198" s="500">
        <v>101911</v>
      </c>
      <c r="EJ198" s="500">
        <v>101911</v>
      </c>
      <c r="EK198" s="500">
        <v>0</v>
      </c>
      <c r="EL198" s="500">
        <v>0</v>
      </c>
      <c r="EM198" s="500">
        <v>0</v>
      </c>
      <c r="EN198" s="500">
        <v>0</v>
      </c>
      <c r="EO198">
        <v>4.4000000000000004</v>
      </c>
      <c r="EP198">
        <v>289</v>
      </c>
      <c r="EQ198">
        <v>2188000000</v>
      </c>
      <c r="ER198">
        <v>2529901438.3333168</v>
      </c>
      <c r="ES198">
        <v>-1851083236.2749045</v>
      </c>
      <c r="ET198">
        <v>3.699108609</v>
      </c>
      <c r="EU198">
        <v>2.7106134990010999</v>
      </c>
      <c r="EV198">
        <v>2.8108820400000001</v>
      </c>
      <c r="EW198">
        <v>10.1393156610952</v>
      </c>
      <c r="EX198">
        <v>0</v>
      </c>
      <c r="EY198">
        <v>0</v>
      </c>
      <c r="EZ198">
        <v>0</v>
      </c>
      <c r="FA198">
        <v>-4436340000</v>
      </c>
      <c r="FB198">
        <v>0</v>
      </c>
      <c r="FC198">
        <v>-4436340000</v>
      </c>
      <c r="FD198">
        <v>-4436340000</v>
      </c>
      <c r="FE198">
        <v>-4436340000</v>
      </c>
      <c r="FF198">
        <v>-4436340000</v>
      </c>
      <c r="FG198" s="32">
        <f>Bankingbook_SBV[[#This Row],[Mat. Date]]-RPT</f>
        <v>1072</v>
      </c>
      <c r="FH198" s="32">
        <f>IF(Bankingbook_SBV[[#This Row],[Days]]&lt;=0,0,YEARFRAC(RPT,Bankingbook_SBV[[#This Row],[Mat. Date]],3))</f>
        <v>2.9369863013698629</v>
      </c>
      <c r="FI198" s="32" t="str">
        <f>IF(Bankingbook_SBV[[#This Row],[Days (year)]]=0,0,INDEX(Ref!$K$2:$K$13,MATCH(Bankingbook_SBV[[#This Row],[Days (year)]],Ref!$I$2:$I$13,1)))</f>
        <v>3Y</v>
      </c>
      <c r="FJ198" s="32" t="str">
        <f>VLOOKUP(Bankingbook_SBV[[#This Row],[Security Name]],Ref!X:Z,3,0)</f>
        <v>TPCP</v>
      </c>
      <c r="FK198" s="32" t="str">
        <f>VLOOKUP(Bankingbook_SBV[[#This Row],[Security Name]],Ref!X:Y,2,0)</f>
        <v>KBNN</v>
      </c>
      <c r="FL198" s="72">
        <f>IF((Bankingbook_SBV[[#This Row],[Mat. Date]]-RPT)&lt;=0,0,Bankingbook_SBV[[#This Row],[QUANTITY]])</f>
        <v>0</v>
      </c>
      <c r="FM198" s="32">
        <f>IF(Bankingbook_SBV[[#This Row],[Quantity_edited]]=0,0,Bankingbook_SBV[[#This Row],[DURATION]])</f>
        <v>0</v>
      </c>
      <c r="FN198" s="32">
        <f>IF(Bankingbook_SBV[[#This Row],[Quantity_edited]]=0,0,Bankingbook_SBV[[#This Row],[Mod Dur]])</f>
        <v>0</v>
      </c>
      <c r="FO198" s="32">
        <f>IF(Bankingbook_SBV[[#This Row],[Quantity_edited]]=0,0,Bankingbook_SBV[[#This Row],[Cnvx.]])</f>
        <v>0</v>
      </c>
      <c r="FP198" s="32">
        <f>(Bankingbook_SBV[[#This Row],[MARKET_VALUE]]+Bankingbook_SBV[[#This Row],[Accr Int]]*Bankingbook_SBV[[#This Row],[Quantity_edited]])*(-Bankingbook_SBV[[#This Row],[Modified Duration]]*0.0001+0.5*Bankingbook_SBV[[#This Row],[Conv]]*(0.0001^2))</f>
        <v>0</v>
      </c>
      <c r="FQ198" s="32">
        <f>(Bankingbook_SBV[[#This Row],[MARKET_VALUE]]+Bankingbook_SBV[[#This Row],[Accr Int]]*Bankingbook_SBV[[#This Row],[Quantity_edited]])*(-Bankingbook_SBV[[#This Row],[Modified Duration]]*0.01+0.5*Bankingbook_SBV[[#This Row],[Conv]]*(0.01^2))</f>
        <v>0</v>
      </c>
    </row>
    <row r="199" spans="2:173" x14ac:dyDescent="0.3">
      <c r="B199" t="s">
        <v>166</v>
      </c>
      <c r="C199" t="s">
        <v>167</v>
      </c>
      <c r="D199" t="s">
        <v>378</v>
      </c>
      <c r="E199" t="s">
        <v>169</v>
      </c>
      <c r="F199" s="502">
        <v>43449</v>
      </c>
      <c r="G199" t="s">
        <v>3322</v>
      </c>
      <c r="H199"/>
      <c r="I199"/>
      <c r="J199" s="38">
        <v>0</v>
      </c>
      <c r="K199">
        <v>0</v>
      </c>
      <c r="L199">
        <v>0</v>
      </c>
      <c r="M199" s="38">
        <v>0</v>
      </c>
      <c r="N199">
        <v>8.5</v>
      </c>
      <c r="O199">
        <v>0</v>
      </c>
      <c r="P199" s="37">
        <v>8500000000</v>
      </c>
      <c r="Q199" s="37">
        <v>9461708888.8888168</v>
      </c>
      <c r="R199" s="37">
        <v>-5997745129.4884615</v>
      </c>
      <c r="S199">
        <v>0</v>
      </c>
      <c r="T199" s="70">
        <v>0</v>
      </c>
      <c r="U199">
        <v>0</v>
      </c>
      <c r="V199">
        <v>0</v>
      </c>
      <c r="W199">
        <v>0</v>
      </c>
      <c r="X199" s="38">
        <v>0</v>
      </c>
      <c r="Y199">
        <v>0</v>
      </c>
      <c r="Z199" s="70">
        <v>18040588870</v>
      </c>
      <c r="AA199" s="70">
        <v>0</v>
      </c>
      <c r="AB199" s="70">
        <v>18040588870</v>
      </c>
      <c r="AC199" s="70">
        <v>18040588870</v>
      </c>
      <c r="AD199" s="70">
        <v>18040588870</v>
      </c>
      <c r="AE199" s="70">
        <v>18040588870</v>
      </c>
      <c r="AF199">
        <v>0</v>
      </c>
      <c r="AG199" s="72">
        <f>Tradingbook_MSB[[#This Row],[Mat. Date]]-RPT</f>
        <v>-2803</v>
      </c>
      <c r="AH199" s="71">
        <f>IF(Tradingbook_MSB[[#This Row],[Days]]&lt;=0,0,YEARFRAC(RPT,Tradingbook_MSB[[#This Row],[Mat. Date]],3))</f>
        <v>0</v>
      </c>
      <c r="AI199" s="71">
        <f>IF(Tradingbook_MSB[[#This Row],[Days (year)]]=0,0,INDEX(Ref!$K$2:$K$13,MATCH(Tradingbook_MSB[[#This Row],[Days (year)]],Ref!$I$2:$I$13,1)))</f>
        <v>0</v>
      </c>
      <c r="AJ199" s="120" t="str">
        <f>VLOOKUP(Tradingbook_MSB[[#This Row],[Security Name]],Ref!X:Z,3,0)</f>
        <v>TPCP</v>
      </c>
      <c r="AK199" s="120" t="str">
        <f>VLOOKUP(Tradingbook_MSB[[#This Row],[Security Name]],Ref!X:Y,2,0)</f>
        <v>KBNN</v>
      </c>
      <c r="AL199" s="71">
        <f>IF((Tradingbook_MSB[[#This Row],[Mat. Date]]-RPT)&lt;=0,0,Tradingbook_MSB[[#This Row],[QUANTITY]])</f>
        <v>0</v>
      </c>
      <c r="AM199" s="71">
        <f>IF(Tradingbook_MSB[[#This Row],[Quantity_edited]]=0,0,Tradingbook_MSB[[#This Row],[DURATION]])</f>
        <v>0</v>
      </c>
      <c r="AN199" s="71">
        <f>IF(Tradingbook_MSB[[#This Row],[Quantity_edited]]=0,0,Tradingbook_MSB[[#This Row],[Mod Dur]])</f>
        <v>0</v>
      </c>
      <c r="AO199" s="71">
        <f>IF(Tradingbook_MSB[[#This Row],[Quantity_edited]]=0,0,Tradingbook_MSB[[#This Row],[Cnvx.]])</f>
        <v>0</v>
      </c>
      <c r="AP199" s="71">
        <f>(Tradingbook_MSB[[#This Row],[MARKET_VALUE]]+Tradingbook_MSB[[#This Row],[Accr Int]]*Tradingbook_MSB[[#This Row],[Quantity_edited]])*(-Tradingbook_MSB[[#This Row],[Modified Duration]]*0.0001+0.5*Tradingbook_MSB[[#This Row],[Conv]]*(0.0001^2))</f>
        <v>0</v>
      </c>
      <c r="AQ199" s="72">
        <f>(Tradingbook_MSB[[#This Row],[MARKET_VALUE]]+Tradingbook_MSB[[#This Row],[Accr Int]]*Tradingbook_MSB[[#This Row],[Quantity_edited]])*(-Tradingbook_MSB[[#This Row],[Modified Duration]]*0.01+0.5*Tradingbook_MSB[[#This Row],[Conv]]*(0.01^2))</f>
        <v>0</v>
      </c>
      <c r="AR199" s="71"/>
      <c r="AT199" t="s">
        <v>166</v>
      </c>
      <c r="AU199" t="s">
        <v>3302</v>
      </c>
      <c r="AV199" t="s">
        <v>2788</v>
      </c>
      <c r="AW199" t="s">
        <v>169</v>
      </c>
      <c r="AX199" t="s">
        <v>3472</v>
      </c>
      <c r="AY199" t="s">
        <v>170</v>
      </c>
      <c r="AZ199">
        <v>82776</v>
      </c>
      <c r="BA199">
        <v>82776</v>
      </c>
      <c r="BB199">
        <v>9650000</v>
      </c>
      <c r="BC199">
        <v>965000000000</v>
      </c>
      <c r="BD199">
        <v>100825.409</v>
      </c>
      <c r="BE199">
        <v>798788400000</v>
      </c>
      <c r="BF199">
        <v>3.1</v>
      </c>
      <c r="BG199">
        <v>2174</v>
      </c>
      <c r="BH199">
        <v>53630000000</v>
      </c>
      <c r="BI199">
        <v>56847420034.72226</v>
      </c>
      <c r="BJ199">
        <v>-92462121979.583344</v>
      </c>
      <c r="BK199">
        <v>5.0077278539999996</v>
      </c>
      <c r="BL199">
        <v>9.4566633678730998</v>
      </c>
      <c r="BM199">
        <v>9.9302273299999992</v>
      </c>
      <c r="BN199">
        <v>112.1059512090015</v>
      </c>
      <c r="BO199">
        <v>919008.15357725148</v>
      </c>
      <c r="BP199">
        <v>-775226.52874228801</v>
      </c>
      <c r="BQ199">
        <v>109752.33900000001</v>
      </c>
      <c r="BR199">
        <v>0</v>
      </c>
      <c r="BS199">
        <v>-174176799999.99997</v>
      </c>
      <c r="BT199">
        <v>-174176799999.99997</v>
      </c>
      <c r="BU199">
        <v>-174176799999.99997</v>
      </c>
      <c r="BV199">
        <v>-174176800000</v>
      </c>
      <c r="BW199">
        <v>-174176799999.99997</v>
      </c>
      <c r="BX199">
        <v>3.0310821259999998</v>
      </c>
      <c r="BY199" s="32">
        <f>Bankingbook_MSB[[#This Row],[Mat. Date]]-RPT</f>
        <v>4492</v>
      </c>
      <c r="BZ199" s="71">
        <f>IF(Bankingbook_MSB[[#This Row],[Days]]&lt;=0,0,YEARFRAC(RPT,Bankingbook_MSB[[#This Row],[Mat. Date]],3))</f>
        <v>12.306849315068494</v>
      </c>
      <c r="CA199" s="71" t="str">
        <f>IF(Bankingbook_MSB[[#This Row],[Days (year)]]=0,0,INDEX(Ref!$K$2:$K$13,MATCH(Bankingbook_MSB[[#This Row],[Days (year)]],Ref!$I$2:$I$13,1)))</f>
        <v>15Y</v>
      </c>
      <c r="CB199" s="32" t="str">
        <f>VLOOKUP(Bankingbook_MSB[[#This Row],[Security Name]],Ref!X:Z,3,0)</f>
        <v>TPCPBL</v>
      </c>
      <c r="CC199" s="32" t="str">
        <f>VLOOKUP(Bankingbook_MSB[[#This Row],[Security Name]],Ref!X:Y,2,0)</f>
        <v>VDB</v>
      </c>
      <c r="CD199" s="72">
        <f>IF((Bankingbook_MSB[[#This Row],[Mat. Date]]-RPT)&lt;=0,0,Bankingbook_MSB[[#This Row],[QUANTITY]])</f>
        <v>9650000</v>
      </c>
      <c r="CE199" s="71">
        <f>IF(Bankingbook_MSB[[#This Row],[Quantity_edited]]=0,0,Bankingbook_MSB[[#This Row],[DURATION]])</f>
        <v>9.9302273299999992</v>
      </c>
      <c r="CF199" s="71">
        <f>IF(Bankingbook_MSB[[#This Row],[Quantity_edited]]=0,0,Bankingbook_MSB[[#This Row],[Mod Dur]])</f>
        <v>9.4566633678730998</v>
      </c>
      <c r="CG199" s="71">
        <f>IF(Bankingbook_MSB[[#This Row],[Quantity_edited]]=0,0,Bankingbook_MSB[[#This Row],[Cnvx.]])</f>
        <v>112.1059512090015</v>
      </c>
      <c r="CH199" s="71">
        <f>(Bankingbook_MSB[[#This Row],[MARKET_VALUE]]+Bankingbook_MSB[[#This Row],[Accr Int]]*Bankingbook_MSB[[#This Row],[Quantity_edited]])*(-Bankingbook_MSB[[#This Row],[Modified Duration]]*0.0001+0.5*Bankingbook_MSB[[#This Row],[Conv]]*(0.0001^2))</f>
        <v>-774767024.66550255</v>
      </c>
      <c r="CI199" s="71">
        <f>(Bankingbook_MSB[[#This Row],[MARKET_VALUE]]+Bankingbook_MSB[[#This Row],[Accr Int]]*Bankingbook_MSB[[#This Row],[Quantity_edited]])*(-Bankingbook_MSB[[#This Row],[Modified Duration]]*0.01+0.5*Bankingbook_MSB[[#This Row],[Conv]]*(0.01^2))</f>
        <v>-72927612106.342865</v>
      </c>
      <c r="CL199" t="s">
        <v>166</v>
      </c>
      <c r="CM199" t="s">
        <v>167</v>
      </c>
      <c r="CN199" t="s">
        <v>378</v>
      </c>
      <c r="CO199" t="s">
        <v>169</v>
      </c>
      <c r="CP199" s="35">
        <v>43449</v>
      </c>
      <c r="CQ199" t="s">
        <v>3322</v>
      </c>
      <c r="CR199" t="s">
        <v>174</v>
      </c>
      <c r="CS199" t="s">
        <v>174</v>
      </c>
      <c r="CT199" s="49">
        <v>0</v>
      </c>
      <c r="CU199">
        <v>0</v>
      </c>
      <c r="CV199">
        <v>0</v>
      </c>
      <c r="CW199" s="70">
        <v>0</v>
      </c>
      <c r="CX199">
        <v>8.5</v>
      </c>
      <c r="CY199">
        <v>0</v>
      </c>
      <c r="CZ199">
        <v>8500000000</v>
      </c>
      <c r="DA199">
        <v>9461708888.8888168</v>
      </c>
      <c r="DB199">
        <v>-5997745129.4884615</v>
      </c>
      <c r="DC199">
        <v>0</v>
      </c>
      <c r="DD199">
        <v>0</v>
      </c>
      <c r="DE199">
        <v>0</v>
      </c>
      <c r="DF199">
        <v>0</v>
      </c>
      <c r="DG199">
        <v>0</v>
      </c>
      <c r="DH199">
        <v>0</v>
      </c>
      <c r="DI199">
        <v>0</v>
      </c>
      <c r="DJ199" s="500">
        <v>18040588870</v>
      </c>
      <c r="DK199" s="500">
        <v>0</v>
      </c>
      <c r="DL199" s="37">
        <v>18040588870</v>
      </c>
      <c r="DM199" s="37">
        <v>18040588870</v>
      </c>
      <c r="DN199" s="37">
        <v>18040588870</v>
      </c>
      <c r="DO199" s="37">
        <v>18040588870</v>
      </c>
      <c r="DP199" s="32">
        <f>Tradingbook_SBV[[#This Row],[Mat. Date]]-RPT</f>
        <v>-2803</v>
      </c>
      <c r="DQ199" s="32">
        <f>IF(Tradingbook_SBV[[#This Row],[Days]]&lt;=0,0,YEARFRAC(RPT,Tradingbook_SBV[[#This Row],[Mat. Date]],3))</f>
        <v>0</v>
      </c>
      <c r="DR199" s="32">
        <f>IF(Tradingbook_SBV[[#This Row],[Days (year)]]=0,0,INDEX(Ref!$K$2:$K$13,MATCH(Tradingbook_SBV[[#This Row],[Days (year)]],Ref!$I$2:$I$13,1)))</f>
        <v>0</v>
      </c>
      <c r="DS199" s="32" t="str">
        <f>VLOOKUP(Tradingbook_SBV[[#This Row],[Security Name]],Ref!X:Z,3,0)</f>
        <v>TPCP</v>
      </c>
      <c r="DT199" s="32" t="str">
        <f>VLOOKUP(Tradingbook_SBV[[#This Row],[Security Name]],Ref!X:Y,2,0)</f>
        <v>KBNN</v>
      </c>
      <c r="DU199" s="71">
        <f>IF((Tradingbook_SBV[[#This Row],[Mat. Date]]-RPT)&lt;=0,0,Tradingbook_SBV[[#This Row],[QUANTITY]])</f>
        <v>0</v>
      </c>
      <c r="DV199" s="71">
        <f>IF(Tradingbook_SBV[[#This Row],[Quantity_edited]]=0,0,Tradingbook_SBV[[#This Row],[DURATION]])</f>
        <v>0</v>
      </c>
      <c r="DW199" s="71">
        <f>IF(Tradingbook_SBV[[#This Row],[Quantity_edited]]=0,0,Tradingbook_SBV[[#This Row],[Mod Dur]])</f>
        <v>0</v>
      </c>
      <c r="DX199" s="71">
        <f>IF(Tradingbook_SBV[[#This Row],[Quantity_edited]]=0,0,Tradingbook_SBV[[#This Row],[Cnvx.]])</f>
        <v>0</v>
      </c>
      <c r="DY199" s="71">
        <f>(Tradingbook_SBV[[#This Row],[MARKET_VALUE]]+Tradingbook_SBV[[#This Row],[Accr Int]]*Tradingbook_SBV[[#This Row],[Quantity_edited]])*(-Tradingbook_SBV[[#This Row],[Modified Duration]]*0.0001+0.5*Tradingbook_SBV[[#This Row],[Conv]]*(0.0001^2))</f>
        <v>0</v>
      </c>
      <c r="DZ199" s="71">
        <f>(Tradingbook_SBV[[#This Row],[MARKET_VALUE]]+Tradingbook_SBV[[#This Row],[Accr Int]]*Tradingbook_SBV[[#This Row],[Quantity_edited]])*(-Tradingbook_SBV[[#This Row],[Modified Duration]]*0.01+0.5*Tradingbook_SBV[[#This Row],[Conv]]*(0.01^2))</f>
        <v>0</v>
      </c>
      <c r="EC199" t="s">
        <v>166</v>
      </c>
      <c r="ED199" t="s">
        <v>3299</v>
      </c>
      <c r="EE199" t="s">
        <v>596</v>
      </c>
      <c r="EF199" t="s">
        <v>169</v>
      </c>
      <c r="EG199" s="35" t="s">
        <v>3417</v>
      </c>
      <c r="EH199" t="s">
        <v>170</v>
      </c>
      <c r="EI199" s="500">
        <v>110295</v>
      </c>
      <c r="EJ199" s="500">
        <v>110295</v>
      </c>
      <c r="EK199" s="500">
        <v>3000000</v>
      </c>
      <c r="EL199" s="500">
        <v>300000000000</v>
      </c>
      <c r="EM199" s="500">
        <v>107749.143</v>
      </c>
      <c r="EN199" s="500">
        <v>330885000000</v>
      </c>
      <c r="EO199">
        <v>7.83</v>
      </c>
      <c r="EP199">
        <v>6865</v>
      </c>
      <c r="EQ199">
        <v>258390000000</v>
      </c>
      <c r="ER199">
        <v>302126823787.49963</v>
      </c>
      <c r="ES199">
        <v>-96760007579.999512</v>
      </c>
      <c r="ET199">
        <v>4.235474484</v>
      </c>
      <c r="EU199">
        <v>2.6239055386625001</v>
      </c>
      <c r="EV199">
        <v>2.73504039</v>
      </c>
      <c r="EW199">
        <v>10.105371098622699</v>
      </c>
      <c r="EX199">
        <v>35518.358337439</v>
      </c>
      <c r="EY199">
        <v>-92225.031872909007</v>
      </c>
      <c r="EZ199">
        <v>39948.050000000003</v>
      </c>
      <c r="FA199">
        <v>23243428571.428581</v>
      </c>
      <c r="FB199">
        <v>7637571428.571435</v>
      </c>
      <c r="FC199">
        <v>30881000000.000015</v>
      </c>
      <c r="FD199">
        <v>30881000000.000015</v>
      </c>
      <c r="FE199">
        <v>30881000000</v>
      </c>
      <c r="FF199">
        <v>30881000000.000015</v>
      </c>
      <c r="FG199" s="32">
        <f>Bankingbook_SBV[[#This Row],[Mat. Date]]-RPT</f>
        <v>1141</v>
      </c>
      <c r="FH199" s="32">
        <f>IF(Bankingbook_SBV[[#This Row],[Days]]&lt;=0,0,YEARFRAC(RPT,Bankingbook_SBV[[#This Row],[Mat. Date]],3))</f>
        <v>3.1260273972602741</v>
      </c>
      <c r="FI199" s="32" t="str">
        <f>IF(Bankingbook_SBV[[#This Row],[Days (year)]]=0,0,INDEX(Ref!$K$2:$K$13,MATCH(Bankingbook_SBV[[#This Row],[Days (year)]],Ref!$I$2:$I$13,1)))</f>
        <v>3Y</v>
      </c>
      <c r="FJ199" s="32" t="str">
        <f>VLOOKUP(Bankingbook_SBV[[#This Row],[Security Name]],Ref!X:Z,3,0)</f>
        <v>TPCQĐP</v>
      </c>
      <c r="FK199" s="32" t="str">
        <f>VLOOKUP(Bankingbook_SBV[[#This Row],[Security Name]],Ref!X:Y,2,0)</f>
        <v>HIFU</v>
      </c>
      <c r="FL199" s="72">
        <f>IF((Bankingbook_SBV[[#This Row],[Mat. Date]]-RPT)&lt;=0,0,Bankingbook_SBV[[#This Row],[QUANTITY]])</f>
        <v>3000000</v>
      </c>
      <c r="FM199" s="32">
        <f>IF(Bankingbook_SBV[[#This Row],[Quantity_edited]]=0,0,Bankingbook_SBV[[#This Row],[DURATION]])</f>
        <v>2.73504039</v>
      </c>
      <c r="FN199" s="32">
        <f>IF(Bankingbook_SBV[[#This Row],[Quantity_edited]]=0,0,Bankingbook_SBV[[#This Row],[Mod Dur]])</f>
        <v>2.6239055386625001</v>
      </c>
      <c r="FO199" s="32">
        <f>IF(Bankingbook_SBV[[#This Row],[Quantity_edited]]=0,0,Bankingbook_SBV[[#This Row],[Cnvx.]])</f>
        <v>10.105371098622699</v>
      </c>
      <c r="FP199" s="32">
        <f>(Bankingbook_SBV[[#This Row],[MARKET_VALUE]]+Bankingbook_SBV[[#This Row],[Accr Int]]*Bankingbook_SBV[[#This Row],[Quantity_edited]])*(-Bankingbook_SBV[[#This Row],[Modified Duration]]*0.0001+0.5*Bankingbook_SBV[[#This Row],[Conv]]*(0.0001^2))</f>
        <v>-92207272.69374083</v>
      </c>
      <c r="FQ199" s="32">
        <f>(Bankingbook_SBV[[#This Row],[MARKET_VALUE]]+Bankingbook_SBV[[#This Row],[Accr Int]]*Bankingbook_SBV[[#This Row],[Quantity_edited]])*(-Bankingbook_SBV[[#This Row],[Modified Duration]]*0.01+0.5*Bankingbook_SBV[[#This Row],[Conv]]*(0.01^2))</f>
        <v>-9044911395.6037598</v>
      </c>
    </row>
    <row r="200" spans="2:173" x14ac:dyDescent="0.3">
      <c r="B200" t="s">
        <v>166</v>
      </c>
      <c r="C200" t="s">
        <v>167</v>
      </c>
      <c r="D200" t="s">
        <v>379</v>
      </c>
      <c r="E200" t="s">
        <v>169</v>
      </c>
      <c r="F200" s="502">
        <v>43453</v>
      </c>
      <c r="G200" t="s">
        <v>3322</v>
      </c>
      <c r="H200"/>
      <c r="I200"/>
      <c r="J200" s="38">
        <v>0</v>
      </c>
      <c r="K200">
        <v>0</v>
      </c>
      <c r="L200">
        <v>0</v>
      </c>
      <c r="M200" s="38">
        <v>0</v>
      </c>
      <c r="N200">
        <v>9.4</v>
      </c>
      <c r="O200">
        <v>0</v>
      </c>
      <c r="P200" s="37">
        <v>0</v>
      </c>
      <c r="Q200" s="37">
        <v>0</v>
      </c>
      <c r="R200" s="37">
        <v>-21068605.916666597</v>
      </c>
      <c r="S200">
        <v>0</v>
      </c>
      <c r="T200" s="70">
        <v>0</v>
      </c>
      <c r="U200">
        <v>0</v>
      </c>
      <c r="V200">
        <v>0</v>
      </c>
      <c r="W200">
        <v>0</v>
      </c>
      <c r="X200" s="38">
        <v>0</v>
      </c>
      <c r="Y200">
        <v>0</v>
      </c>
      <c r="Z200" s="70">
        <v>-38200000</v>
      </c>
      <c r="AA200" s="70">
        <v>0</v>
      </c>
      <c r="AB200" s="70">
        <v>-38200000</v>
      </c>
      <c r="AC200" s="70">
        <v>-38200000</v>
      </c>
      <c r="AD200" s="70">
        <v>-38200000</v>
      </c>
      <c r="AE200" s="70">
        <v>-38200000</v>
      </c>
      <c r="AF200">
        <v>0</v>
      </c>
      <c r="AG200" s="72">
        <f>Tradingbook_MSB[[#This Row],[Mat. Date]]-RPT</f>
        <v>-2799</v>
      </c>
      <c r="AH200" s="71">
        <f>IF(Tradingbook_MSB[[#This Row],[Days]]&lt;=0,0,YEARFRAC(RPT,Tradingbook_MSB[[#This Row],[Mat. Date]],3))</f>
        <v>0</v>
      </c>
      <c r="AI200" s="71">
        <f>IF(Tradingbook_MSB[[#This Row],[Days (year)]]=0,0,INDEX(Ref!$K$2:$K$13,MATCH(Tradingbook_MSB[[#This Row],[Days (year)]],Ref!$I$2:$I$13,1)))</f>
        <v>0</v>
      </c>
      <c r="AJ200" s="120" t="str">
        <f>VLOOKUP(Tradingbook_MSB[[#This Row],[Security Name]],Ref!X:Z,3,0)</f>
        <v>TPCP</v>
      </c>
      <c r="AK200" s="120" t="str">
        <f>VLOOKUP(Tradingbook_MSB[[#This Row],[Security Name]],Ref!X:Y,2,0)</f>
        <v>VDB</v>
      </c>
      <c r="AL200" s="71">
        <f>IF((Tradingbook_MSB[[#This Row],[Mat. Date]]-RPT)&lt;=0,0,Tradingbook_MSB[[#This Row],[QUANTITY]])</f>
        <v>0</v>
      </c>
      <c r="AM200" s="71">
        <f>IF(Tradingbook_MSB[[#This Row],[Quantity_edited]]=0,0,Tradingbook_MSB[[#This Row],[DURATION]])</f>
        <v>0</v>
      </c>
      <c r="AN200" s="71">
        <f>IF(Tradingbook_MSB[[#This Row],[Quantity_edited]]=0,0,Tradingbook_MSB[[#This Row],[Mod Dur]])</f>
        <v>0</v>
      </c>
      <c r="AO200" s="71">
        <f>IF(Tradingbook_MSB[[#This Row],[Quantity_edited]]=0,0,Tradingbook_MSB[[#This Row],[Cnvx.]])</f>
        <v>0</v>
      </c>
      <c r="AP200" s="71">
        <f>(Tradingbook_MSB[[#This Row],[MARKET_VALUE]]+Tradingbook_MSB[[#This Row],[Accr Int]]*Tradingbook_MSB[[#This Row],[Quantity_edited]])*(-Tradingbook_MSB[[#This Row],[Modified Duration]]*0.0001+0.5*Tradingbook_MSB[[#This Row],[Conv]]*(0.0001^2))</f>
        <v>0</v>
      </c>
      <c r="AQ200" s="72">
        <f>(Tradingbook_MSB[[#This Row],[MARKET_VALUE]]+Tradingbook_MSB[[#This Row],[Accr Int]]*Tradingbook_MSB[[#This Row],[Quantity_edited]])*(-Tradingbook_MSB[[#This Row],[Modified Duration]]*0.01+0.5*Tradingbook_MSB[[#This Row],[Conv]]*(0.01^2))</f>
        <v>0</v>
      </c>
      <c r="AR200" s="71"/>
      <c r="AT200" t="s">
        <v>166</v>
      </c>
      <c r="AU200" t="s">
        <v>3302</v>
      </c>
      <c r="AV200" t="s">
        <v>710</v>
      </c>
      <c r="AW200" t="s">
        <v>169</v>
      </c>
      <c r="AX200" t="s">
        <v>3468</v>
      </c>
      <c r="AY200" t="s">
        <v>170</v>
      </c>
      <c r="AZ200">
        <v>110155</v>
      </c>
      <c r="BA200">
        <v>110155</v>
      </c>
      <c r="BB200">
        <v>1000000</v>
      </c>
      <c r="BC200">
        <v>100000000000</v>
      </c>
      <c r="BD200">
        <v>130339</v>
      </c>
      <c r="BE200">
        <v>110155000000</v>
      </c>
      <c r="BF200">
        <v>5.6</v>
      </c>
      <c r="BG200">
        <v>3268</v>
      </c>
      <c r="BH200">
        <v>5600000000</v>
      </c>
      <c r="BI200">
        <v>5789591111.1111116</v>
      </c>
      <c r="BJ200">
        <v>-7548121169.4444695</v>
      </c>
      <c r="BK200">
        <v>4.5107606870000003</v>
      </c>
      <c r="BL200">
        <v>8.7780558725125992</v>
      </c>
      <c r="BM200">
        <v>9.1740129699999997</v>
      </c>
      <c r="BN200">
        <v>101.6438516309988</v>
      </c>
      <c r="BO200">
        <v>115287.5058354278</v>
      </c>
      <c r="BP200">
        <v>-99563.343122799997</v>
      </c>
      <c r="BQ200">
        <v>13710.982</v>
      </c>
      <c r="BR200">
        <v>0</v>
      </c>
      <c r="BS200">
        <v>-20184000000</v>
      </c>
      <c r="BT200">
        <v>-20184000000</v>
      </c>
      <c r="BU200">
        <v>-20184000000</v>
      </c>
      <c r="BV200">
        <v>-20184000000</v>
      </c>
      <c r="BW200">
        <v>-20184000000</v>
      </c>
      <c r="BX200">
        <v>2.85</v>
      </c>
      <c r="BY200" s="32">
        <f>Bankingbook_MSB[[#This Row],[Mat. Date]]-RPT</f>
        <v>4535</v>
      </c>
      <c r="BZ200" s="71">
        <f>IF(Bankingbook_MSB[[#This Row],[Days]]&lt;=0,0,YEARFRAC(RPT,Bankingbook_MSB[[#This Row],[Mat. Date]],3))</f>
        <v>12.424657534246576</v>
      </c>
      <c r="CA200" s="71" t="str">
        <f>IF(Bankingbook_MSB[[#This Row],[Days (year)]]=0,0,INDEX(Ref!$K$2:$K$13,MATCH(Bankingbook_MSB[[#This Row],[Days (year)]],Ref!$I$2:$I$13,1)))</f>
        <v>15Y</v>
      </c>
      <c r="CB200" s="32" t="str">
        <f>VLOOKUP(Bankingbook_MSB[[#This Row],[Security Name]],Ref!X:Z,3,0)</f>
        <v>TPCP</v>
      </c>
      <c r="CC200" s="32" t="str">
        <f>VLOOKUP(Bankingbook_MSB[[#This Row],[Security Name]],Ref!X:Y,2,0)</f>
        <v>KBNN</v>
      </c>
      <c r="CD200" s="72">
        <f>IF((Bankingbook_MSB[[#This Row],[Mat. Date]]-RPT)&lt;=0,0,Bankingbook_MSB[[#This Row],[QUANTITY]])</f>
        <v>1000000</v>
      </c>
      <c r="CE200" s="71">
        <f>IF(Bankingbook_MSB[[#This Row],[Quantity_edited]]=0,0,Bankingbook_MSB[[#This Row],[DURATION]])</f>
        <v>9.1740129699999997</v>
      </c>
      <c r="CF200" s="71">
        <f>IF(Bankingbook_MSB[[#This Row],[Quantity_edited]]=0,0,Bankingbook_MSB[[#This Row],[Mod Dur]])</f>
        <v>8.7780558725125992</v>
      </c>
      <c r="CG200" s="71">
        <f>IF(Bankingbook_MSB[[#This Row],[Quantity_edited]]=0,0,Bankingbook_MSB[[#This Row],[Cnvx.]])</f>
        <v>101.6438516309988</v>
      </c>
      <c r="CH200" s="71">
        <f>(Bankingbook_MSB[[#This Row],[MARKET_VALUE]]+Bankingbook_MSB[[#This Row],[Accr Int]]*Bankingbook_MSB[[#This Row],[Quantity_edited]])*(-Bankingbook_MSB[[#This Row],[Modified Duration]]*0.0001+0.5*Bankingbook_MSB[[#This Row],[Conv]]*(0.0001^2))</f>
        <v>-99505699.369881943</v>
      </c>
      <c r="CI200" s="71">
        <f>(Bankingbook_MSB[[#This Row],[MARKET_VALUE]]+Bankingbook_MSB[[#This Row],[Accr Int]]*Bankingbook_MSB[[#This Row],[Quantity_edited]])*(-Bankingbook_MSB[[#This Row],[Modified Duration]]*0.01+0.5*Bankingbook_MSB[[#This Row],[Conv]]*(0.01^2))</f>
        <v>-9379896783.1028271</v>
      </c>
      <c r="CL200" t="s">
        <v>166</v>
      </c>
      <c r="CM200" t="s">
        <v>167</v>
      </c>
      <c r="CN200" t="s">
        <v>379</v>
      </c>
      <c r="CO200" t="s">
        <v>169</v>
      </c>
      <c r="CP200" s="35">
        <v>43453</v>
      </c>
      <c r="CQ200" t="s">
        <v>3322</v>
      </c>
      <c r="CR200" t="s">
        <v>174</v>
      </c>
      <c r="CS200" t="s">
        <v>174</v>
      </c>
      <c r="CT200" s="49">
        <v>0</v>
      </c>
      <c r="CU200">
        <v>0</v>
      </c>
      <c r="CV200">
        <v>0</v>
      </c>
      <c r="CW200" s="70">
        <v>0</v>
      </c>
      <c r="CX200">
        <v>9.4</v>
      </c>
      <c r="CY200">
        <v>0</v>
      </c>
      <c r="CZ200">
        <v>0</v>
      </c>
      <c r="DA200">
        <v>0</v>
      </c>
      <c r="DB200">
        <v>-21068605.916666597</v>
      </c>
      <c r="DC200">
        <v>0</v>
      </c>
      <c r="DD200">
        <v>0</v>
      </c>
      <c r="DE200">
        <v>0</v>
      </c>
      <c r="DF200">
        <v>0</v>
      </c>
      <c r="DG200">
        <v>0</v>
      </c>
      <c r="DH200">
        <v>0</v>
      </c>
      <c r="DI200">
        <v>0</v>
      </c>
      <c r="DJ200" s="500">
        <v>-38200000</v>
      </c>
      <c r="DK200" s="500">
        <v>0</v>
      </c>
      <c r="DL200" s="37">
        <v>-38200000</v>
      </c>
      <c r="DM200" s="37">
        <v>-38200000</v>
      </c>
      <c r="DN200" s="37">
        <v>-38200000</v>
      </c>
      <c r="DO200" s="37">
        <v>-38200000</v>
      </c>
      <c r="DP200" s="32">
        <f>Tradingbook_SBV[[#This Row],[Mat. Date]]-RPT</f>
        <v>-2799</v>
      </c>
      <c r="DQ200" s="32">
        <f>IF(Tradingbook_SBV[[#This Row],[Days]]&lt;=0,0,YEARFRAC(RPT,Tradingbook_SBV[[#This Row],[Mat. Date]],3))</f>
        <v>0</v>
      </c>
      <c r="DR200" s="32">
        <f>IF(Tradingbook_SBV[[#This Row],[Days (year)]]=0,0,INDEX(Ref!$K$2:$K$13,MATCH(Tradingbook_SBV[[#This Row],[Days (year)]],Ref!$I$2:$I$13,1)))</f>
        <v>0</v>
      </c>
      <c r="DS200" s="32" t="str">
        <f>VLOOKUP(Tradingbook_SBV[[#This Row],[Security Name]],Ref!X:Z,3,0)</f>
        <v>TPCP</v>
      </c>
      <c r="DT200" s="32" t="str">
        <f>VLOOKUP(Tradingbook_SBV[[#This Row],[Security Name]],Ref!X:Y,2,0)</f>
        <v>VDB</v>
      </c>
      <c r="DU200" s="71">
        <f>IF((Tradingbook_SBV[[#This Row],[Mat. Date]]-RPT)&lt;=0,0,Tradingbook_SBV[[#This Row],[QUANTITY]])</f>
        <v>0</v>
      </c>
      <c r="DV200" s="71">
        <f>IF(Tradingbook_SBV[[#This Row],[Quantity_edited]]=0,0,Tradingbook_SBV[[#This Row],[DURATION]])</f>
        <v>0</v>
      </c>
      <c r="DW200" s="71">
        <f>IF(Tradingbook_SBV[[#This Row],[Quantity_edited]]=0,0,Tradingbook_SBV[[#This Row],[Mod Dur]])</f>
        <v>0</v>
      </c>
      <c r="DX200" s="71">
        <f>IF(Tradingbook_SBV[[#This Row],[Quantity_edited]]=0,0,Tradingbook_SBV[[#This Row],[Cnvx.]])</f>
        <v>0</v>
      </c>
      <c r="DY200" s="71">
        <f>(Tradingbook_SBV[[#This Row],[MARKET_VALUE]]+Tradingbook_SBV[[#This Row],[Accr Int]]*Tradingbook_SBV[[#This Row],[Quantity_edited]])*(-Tradingbook_SBV[[#This Row],[Modified Duration]]*0.0001+0.5*Tradingbook_SBV[[#This Row],[Conv]]*(0.0001^2))</f>
        <v>0</v>
      </c>
      <c r="DZ200" s="71">
        <f>(Tradingbook_SBV[[#This Row],[MARKET_VALUE]]+Tradingbook_SBV[[#This Row],[Accr Int]]*Tradingbook_SBV[[#This Row],[Quantity_edited]])*(-Tradingbook_SBV[[#This Row],[Modified Duration]]*0.01+0.5*Tradingbook_SBV[[#This Row],[Conv]]*(0.01^2))</f>
        <v>0</v>
      </c>
      <c r="EC200" t="s">
        <v>166</v>
      </c>
      <c r="ED200" t="s">
        <v>3299</v>
      </c>
      <c r="EE200" t="s">
        <v>597</v>
      </c>
      <c r="EF200" t="s">
        <v>169</v>
      </c>
      <c r="EG200" s="35" t="s">
        <v>3800</v>
      </c>
      <c r="EH200" t="s">
        <v>3322</v>
      </c>
      <c r="EI200" s="500">
        <v>100467</v>
      </c>
      <c r="EJ200" s="500">
        <v>100467</v>
      </c>
      <c r="EK200" s="500">
        <v>0</v>
      </c>
      <c r="EL200" s="500">
        <v>0</v>
      </c>
      <c r="EM200" s="500">
        <v>0</v>
      </c>
      <c r="EN200" s="500">
        <v>0</v>
      </c>
      <c r="EO200">
        <v>3.9</v>
      </c>
      <c r="EP200">
        <v>3408</v>
      </c>
      <c r="EQ200">
        <v>3900000000</v>
      </c>
      <c r="ER200">
        <v>4503910666.6666412</v>
      </c>
      <c r="ES200">
        <v>-3390744344.6525726</v>
      </c>
      <c r="ET200">
        <v>3.7363846070000002</v>
      </c>
      <c r="EU200">
        <v>2.8024221783507</v>
      </c>
      <c r="EV200">
        <v>2.9071314500000001</v>
      </c>
      <c r="EW200">
        <v>10.989264701426</v>
      </c>
      <c r="EX200">
        <v>0</v>
      </c>
      <c r="EY200">
        <v>0</v>
      </c>
      <c r="EZ200">
        <v>0</v>
      </c>
      <c r="FA200">
        <v>-11937500000</v>
      </c>
      <c r="FB200">
        <v>0</v>
      </c>
      <c r="FC200">
        <v>-11937500000</v>
      </c>
      <c r="FD200">
        <v>-11937500000</v>
      </c>
      <c r="FE200">
        <v>-11937500000</v>
      </c>
      <c r="FF200">
        <v>-11937500000</v>
      </c>
      <c r="FG200" s="32">
        <f>Bankingbook_SBV[[#This Row],[Mat. Date]]-RPT</f>
        <v>1142</v>
      </c>
      <c r="FH200" s="32">
        <f>IF(Bankingbook_SBV[[#This Row],[Days]]&lt;=0,0,YEARFRAC(RPT,Bankingbook_SBV[[#This Row],[Mat. Date]],3))</f>
        <v>3.128767123287671</v>
      </c>
      <c r="FI200" s="32" t="str">
        <f>IF(Bankingbook_SBV[[#This Row],[Days (year)]]=0,0,INDEX(Ref!$K$2:$K$13,MATCH(Bankingbook_SBV[[#This Row],[Days (year)]],Ref!$I$2:$I$13,1)))</f>
        <v>3Y</v>
      </c>
      <c r="FJ200" s="32" t="str">
        <f>VLOOKUP(Bankingbook_SBV[[#This Row],[Security Name]],Ref!X:Z,3,0)</f>
        <v>TPCP</v>
      </c>
      <c r="FK200" s="32" t="str">
        <f>VLOOKUP(Bankingbook_SBV[[#This Row],[Security Name]],Ref!X:Y,2,0)</f>
        <v>KBNN</v>
      </c>
      <c r="FL200" s="72">
        <f>IF((Bankingbook_SBV[[#This Row],[Mat. Date]]-RPT)&lt;=0,0,Bankingbook_SBV[[#This Row],[QUANTITY]])</f>
        <v>0</v>
      </c>
      <c r="FM200" s="32">
        <f>IF(Bankingbook_SBV[[#This Row],[Quantity_edited]]=0,0,Bankingbook_SBV[[#This Row],[DURATION]])</f>
        <v>0</v>
      </c>
      <c r="FN200" s="32">
        <f>IF(Bankingbook_SBV[[#This Row],[Quantity_edited]]=0,0,Bankingbook_SBV[[#This Row],[Mod Dur]])</f>
        <v>0</v>
      </c>
      <c r="FO200" s="32">
        <f>IF(Bankingbook_SBV[[#This Row],[Quantity_edited]]=0,0,Bankingbook_SBV[[#This Row],[Cnvx.]])</f>
        <v>0</v>
      </c>
      <c r="FP200" s="32">
        <f>(Bankingbook_SBV[[#This Row],[MARKET_VALUE]]+Bankingbook_SBV[[#This Row],[Accr Int]]*Bankingbook_SBV[[#This Row],[Quantity_edited]])*(-Bankingbook_SBV[[#This Row],[Modified Duration]]*0.0001+0.5*Bankingbook_SBV[[#This Row],[Conv]]*(0.0001^2))</f>
        <v>0</v>
      </c>
      <c r="FQ200" s="32">
        <f>(Bankingbook_SBV[[#This Row],[MARKET_VALUE]]+Bankingbook_SBV[[#This Row],[Accr Int]]*Bankingbook_SBV[[#This Row],[Quantity_edited]])*(-Bankingbook_SBV[[#This Row],[Modified Duration]]*0.01+0.5*Bankingbook_SBV[[#This Row],[Conv]]*(0.01^2))</f>
        <v>0</v>
      </c>
    </row>
    <row r="201" spans="2:173" x14ac:dyDescent="0.3">
      <c r="B201" t="s">
        <v>166</v>
      </c>
      <c r="C201" t="s">
        <v>167</v>
      </c>
      <c r="D201" t="s">
        <v>381</v>
      </c>
      <c r="E201" t="s">
        <v>169</v>
      </c>
      <c r="F201" s="502">
        <v>43453</v>
      </c>
      <c r="G201" t="s">
        <v>3322</v>
      </c>
      <c r="H201"/>
      <c r="I201"/>
      <c r="J201" s="38">
        <v>0</v>
      </c>
      <c r="K201">
        <v>0</v>
      </c>
      <c r="L201">
        <v>0</v>
      </c>
      <c r="M201" s="38">
        <v>0</v>
      </c>
      <c r="N201">
        <v>9.4</v>
      </c>
      <c r="O201">
        <v>0</v>
      </c>
      <c r="P201" s="37">
        <v>0</v>
      </c>
      <c r="Q201" s="37">
        <v>0</v>
      </c>
      <c r="R201" s="37">
        <v>0</v>
      </c>
      <c r="S201">
        <v>0</v>
      </c>
      <c r="T201" s="70">
        <v>0</v>
      </c>
      <c r="U201">
        <v>0</v>
      </c>
      <c r="V201">
        <v>0</v>
      </c>
      <c r="W201">
        <v>0</v>
      </c>
      <c r="X201" s="38">
        <v>0</v>
      </c>
      <c r="Y201">
        <v>0</v>
      </c>
      <c r="Z201" s="70">
        <v>0</v>
      </c>
      <c r="AA201" s="70">
        <v>0</v>
      </c>
      <c r="AB201" s="70">
        <v>0</v>
      </c>
      <c r="AC201" s="70">
        <v>0</v>
      </c>
      <c r="AD201" s="70">
        <v>0</v>
      </c>
      <c r="AE201" s="70">
        <v>0</v>
      </c>
      <c r="AF201">
        <v>0</v>
      </c>
      <c r="AG201" s="72">
        <f>Tradingbook_MSB[[#This Row],[Mat. Date]]-RPT</f>
        <v>-2799</v>
      </c>
      <c r="AH201" s="71">
        <f>IF(Tradingbook_MSB[[#This Row],[Days]]&lt;=0,0,YEARFRAC(RPT,Tradingbook_MSB[[#This Row],[Mat. Date]],3))</f>
        <v>0</v>
      </c>
      <c r="AI201" s="71">
        <f>IF(Tradingbook_MSB[[#This Row],[Days (year)]]=0,0,INDEX(Ref!$K$2:$K$13,MATCH(Tradingbook_MSB[[#This Row],[Days (year)]],Ref!$I$2:$I$13,1)))</f>
        <v>0</v>
      </c>
      <c r="AJ201" s="120" t="str">
        <f>VLOOKUP(Tradingbook_MSB[[#This Row],[Security Name]],Ref!X:Z,3,0)</f>
        <v>TPCPBL</v>
      </c>
      <c r="AK201" s="120" t="str">
        <f>VLOOKUP(Tradingbook_MSB[[#This Row],[Security Name]],Ref!X:Y,2,0)</f>
        <v>VDB</v>
      </c>
      <c r="AL201" s="71">
        <f>IF((Tradingbook_MSB[[#This Row],[Mat. Date]]-RPT)&lt;=0,0,Tradingbook_MSB[[#This Row],[QUANTITY]])</f>
        <v>0</v>
      </c>
      <c r="AM201" s="71">
        <f>IF(Tradingbook_MSB[[#This Row],[Quantity_edited]]=0,0,Tradingbook_MSB[[#This Row],[DURATION]])</f>
        <v>0</v>
      </c>
      <c r="AN201" s="71">
        <f>IF(Tradingbook_MSB[[#This Row],[Quantity_edited]]=0,0,Tradingbook_MSB[[#This Row],[Mod Dur]])</f>
        <v>0</v>
      </c>
      <c r="AO201" s="71">
        <f>IF(Tradingbook_MSB[[#This Row],[Quantity_edited]]=0,0,Tradingbook_MSB[[#This Row],[Cnvx.]])</f>
        <v>0</v>
      </c>
      <c r="AP201" s="71">
        <f>(Tradingbook_MSB[[#This Row],[MARKET_VALUE]]+Tradingbook_MSB[[#This Row],[Accr Int]]*Tradingbook_MSB[[#This Row],[Quantity_edited]])*(-Tradingbook_MSB[[#This Row],[Modified Duration]]*0.0001+0.5*Tradingbook_MSB[[#This Row],[Conv]]*(0.0001^2))</f>
        <v>0</v>
      </c>
      <c r="AQ201" s="72">
        <f>(Tradingbook_MSB[[#This Row],[MARKET_VALUE]]+Tradingbook_MSB[[#This Row],[Accr Int]]*Tradingbook_MSB[[#This Row],[Quantity_edited]])*(-Tradingbook_MSB[[#This Row],[Modified Duration]]*0.01+0.5*Tradingbook_MSB[[#This Row],[Conv]]*(0.01^2))</f>
        <v>0</v>
      </c>
      <c r="AR201" s="71"/>
      <c r="AT201" t="s">
        <v>166</v>
      </c>
      <c r="AU201" t="s">
        <v>3302</v>
      </c>
      <c r="AV201" t="s">
        <v>711</v>
      </c>
      <c r="AW201" t="s">
        <v>169</v>
      </c>
      <c r="AX201" t="s">
        <v>3476</v>
      </c>
      <c r="AY201" t="s">
        <v>170</v>
      </c>
      <c r="AZ201">
        <v>103606</v>
      </c>
      <c r="BA201">
        <v>103606</v>
      </c>
      <c r="BB201">
        <v>1428209</v>
      </c>
      <c r="BC201">
        <v>142820900000</v>
      </c>
      <c r="BD201">
        <v>116746.558</v>
      </c>
      <c r="BE201">
        <v>147971021654</v>
      </c>
      <c r="BF201">
        <v>4.9000000000000004</v>
      </c>
      <c r="BG201">
        <v>4564</v>
      </c>
      <c r="BH201">
        <v>37089344600</v>
      </c>
      <c r="BI201">
        <v>41424786070.678032</v>
      </c>
      <c r="BJ201">
        <v>-25593722307.741016</v>
      </c>
      <c r="BK201">
        <v>4.5277252890000002</v>
      </c>
      <c r="BL201">
        <v>9.1773769399468001</v>
      </c>
      <c r="BM201">
        <v>9.5929033599999993</v>
      </c>
      <c r="BN201">
        <v>111.9273450544646</v>
      </c>
      <c r="BO201">
        <v>172915.84746776309</v>
      </c>
      <c r="BP201">
        <v>-141780.715903679</v>
      </c>
      <c r="BQ201">
        <v>18743.940999999999</v>
      </c>
      <c r="BR201">
        <v>-543778950.31088698</v>
      </c>
      <c r="BS201">
        <v>-18767463058.689125</v>
      </c>
      <c r="BT201">
        <v>-19311242009.000011</v>
      </c>
      <c r="BU201">
        <v>-19311242009.000011</v>
      </c>
      <c r="BV201">
        <v>-19311242009</v>
      </c>
      <c r="BW201">
        <v>-19311242009.000011</v>
      </c>
      <c r="BX201">
        <v>3.6258518550000001</v>
      </c>
      <c r="BY201" s="32">
        <f>Bankingbook_MSB[[#This Row],[Mat. Date]]-RPT</f>
        <v>4773</v>
      </c>
      <c r="BZ201" s="71">
        <f>IF(Bankingbook_MSB[[#This Row],[Days]]&lt;=0,0,YEARFRAC(RPT,Bankingbook_MSB[[#This Row],[Mat. Date]],3))</f>
        <v>13.076712328767123</v>
      </c>
      <c r="CA201" s="71" t="str">
        <f>IF(Bankingbook_MSB[[#This Row],[Days (year)]]=0,0,INDEX(Ref!$K$2:$K$13,MATCH(Bankingbook_MSB[[#This Row],[Days (year)]],Ref!$I$2:$I$13,1)))</f>
        <v>15Y</v>
      </c>
      <c r="CB201" s="32" t="str">
        <f>VLOOKUP(Bankingbook_MSB[[#This Row],[Security Name]],Ref!X:Z,3,0)</f>
        <v>TPCP</v>
      </c>
      <c r="CC201" s="32" t="str">
        <f>VLOOKUP(Bankingbook_MSB[[#This Row],[Security Name]],Ref!X:Y,2,0)</f>
        <v>KBNN</v>
      </c>
      <c r="CD201" s="72">
        <f>IF((Bankingbook_MSB[[#This Row],[Mat. Date]]-RPT)&lt;=0,0,Bankingbook_MSB[[#This Row],[QUANTITY]])</f>
        <v>1428209</v>
      </c>
      <c r="CE201" s="71">
        <f>IF(Bankingbook_MSB[[#This Row],[Quantity_edited]]=0,0,Bankingbook_MSB[[#This Row],[DURATION]])</f>
        <v>9.5929033599999993</v>
      </c>
      <c r="CF201" s="71">
        <f>IF(Bankingbook_MSB[[#This Row],[Quantity_edited]]=0,0,Bankingbook_MSB[[#This Row],[Mod Dur]])</f>
        <v>9.1773769399468001</v>
      </c>
      <c r="CG201" s="71">
        <f>IF(Bankingbook_MSB[[#This Row],[Quantity_edited]]=0,0,Bankingbook_MSB[[#This Row],[Cnvx.]])</f>
        <v>111.9273450544646</v>
      </c>
      <c r="CH201" s="71">
        <f>(Bankingbook_MSB[[#This Row],[MARKET_VALUE]]+Bankingbook_MSB[[#This Row],[Accr Int]]*Bankingbook_MSB[[#This Row],[Quantity_edited]])*(-Bankingbook_MSB[[#This Row],[Modified Duration]]*0.0001+0.5*Bankingbook_MSB[[#This Row],[Conv]]*(0.0001^2))</f>
        <v>-141694257.97994491</v>
      </c>
      <c r="CI201" s="71">
        <f>(Bankingbook_MSB[[#This Row],[MARKET_VALUE]]+Bankingbook_MSB[[#This Row],[Accr Int]]*Bankingbook_MSB[[#This Row],[Quantity_edited]])*(-Bankingbook_MSB[[#This Row],[Modified Duration]]*0.01+0.5*Bankingbook_MSB[[#This Row],[Conv]]*(0.01^2))</f>
        <v>-13313492353.029064</v>
      </c>
      <c r="CL201" t="s">
        <v>166</v>
      </c>
      <c r="CM201" t="s">
        <v>167</v>
      </c>
      <c r="CN201" t="s">
        <v>381</v>
      </c>
      <c r="CO201" t="s">
        <v>169</v>
      </c>
      <c r="CP201" s="35">
        <v>43453</v>
      </c>
      <c r="CQ201" t="s">
        <v>3322</v>
      </c>
      <c r="CR201" t="s">
        <v>174</v>
      </c>
      <c r="CS201" t="s">
        <v>174</v>
      </c>
      <c r="CT201" s="49">
        <v>0</v>
      </c>
      <c r="CU201">
        <v>0</v>
      </c>
      <c r="CV201">
        <v>0</v>
      </c>
      <c r="CW201" s="70">
        <v>0</v>
      </c>
      <c r="CX201">
        <v>9.4</v>
      </c>
      <c r="CY201">
        <v>0</v>
      </c>
      <c r="CZ201">
        <v>0</v>
      </c>
      <c r="DA201">
        <v>0</v>
      </c>
      <c r="DB201">
        <v>0</v>
      </c>
      <c r="DC201">
        <v>0</v>
      </c>
      <c r="DD201">
        <v>0</v>
      </c>
      <c r="DE201">
        <v>0</v>
      </c>
      <c r="DF201">
        <v>0</v>
      </c>
      <c r="DG201">
        <v>0</v>
      </c>
      <c r="DH201">
        <v>0</v>
      </c>
      <c r="DI201">
        <v>0</v>
      </c>
      <c r="DJ201" s="500">
        <v>0</v>
      </c>
      <c r="DK201" s="500">
        <v>0</v>
      </c>
      <c r="DL201" s="37">
        <v>0</v>
      </c>
      <c r="DM201" s="37">
        <v>0</v>
      </c>
      <c r="DN201" s="37">
        <v>0</v>
      </c>
      <c r="DO201" s="37">
        <v>0</v>
      </c>
      <c r="DP201" s="32">
        <f>Tradingbook_SBV[[#This Row],[Mat. Date]]-RPT</f>
        <v>-2799</v>
      </c>
      <c r="DQ201" s="32">
        <f>IF(Tradingbook_SBV[[#This Row],[Days]]&lt;=0,0,YEARFRAC(RPT,Tradingbook_SBV[[#This Row],[Mat. Date]],3))</f>
        <v>0</v>
      </c>
      <c r="DR201" s="32">
        <f>IF(Tradingbook_SBV[[#This Row],[Days (year)]]=0,0,INDEX(Ref!$K$2:$K$13,MATCH(Tradingbook_SBV[[#This Row],[Days (year)]],Ref!$I$2:$I$13,1)))</f>
        <v>0</v>
      </c>
      <c r="DS201" s="32" t="str">
        <f>VLOOKUP(Tradingbook_SBV[[#This Row],[Security Name]],Ref!X:Z,3,0)</f>
        <v>TPCPBL</v>
      </c>
      <c r="DT201" s="32" t="str">
        <f>VLOOKUP(Tradingbook_SBV[[#This Row],[Security Name]],Ref!X:Y,2,0)</f>
        <v>VDB</v>
      </c>
      <c r="DU201" s="71">
        <f>IF((Tradingbook_SBV[[#This Row],[Mat. Date]]-RPT)&lt;=0,0,Tradingbook_SBV[[#This Row],[QUANTITY]])</f>
        <v>0</v>
      </c>
      <c r="DV201" s="71">
        <f>IF(Tradingbook_SBV[[#This Row],[Quantity_edited]]=0,0,Tradingbook_SBV[[#This Row],[DURATION]])</f>
        <v>0</v>
      </c>
      <c r="DW201" s="71">
        <f>IF(Tradingbook_SBV[[#This Row],[Quantity_edited]]=0,0,Tradingbook_SBV[[#This Row],[Mod Dur]])</f>
        <v>0</v>
      </c>
      <c r="DX201" s="71">
        <f>IF(Tradingbook_SBV[[#This Row],[Quantity_edited]]=0,0,Tradingbook_SBV[[#This Row],[Cnvx.]])</f>
        <v>0</v>
      </c>
      <c r="DY201" s="71">
        <f>(Tradingbook_SBV[[#This Row],[MARKET_VALUE]]+Tradingbook_SBV[[#This Row],[Accr Int]]*Tradingbook_SBV[[#This Row],[Quantity_edited]])*(-Tradingbook_SBV[[#This Row],[Modified Duration]]*0.0001+0.5*Tradingbook_SBV[[#This Row],[Conv]]*(0.0001^2))</f>
        <v>0</v>
      </c>
      <c r="DZ201" s="71">
        <f>(Tradingbook_SBV[[#This Row],[MARKET_VALUE]]+Tradingbook_SBV[[#This Row],[Accr Int]]*Tradingbook_SBV[[#This Row],[Quantity_edited]])*(-Tradingbook_SBV[[#This Row],[Modified Duration]]*0.01+0.5*Tradingbook_SBV[[#This Row],[Conv]]*(0.01^2))</f>
        <v>0</v>
      </c>
      <c r="EC201" t="s">
        <v>166</v>
      </c>
      <c r="ED201" t="s">
        <v>3299</v>
      </c>
      <c r="EE201" t="s">
        <v>598</v>
      </c>
      <c r="EF201" t="s">
        <v>169</v>
      </c>
      <c r="EG201" s="35" t="s">
        <v>599</v>
      </c>
      <c r="EH201" t="s">
        <v>3322</v>
      </c>
      <c r="EI201" s="500">
        <v>109512</v>
      </c>
      <c r="EJ201" s="500">
        <v>109512</v>
      </c>
      <c r="EK201" s="500">
        <v>0</v>
      </c>
      <c r="EL201" s="500">
        <v>0</v>
      </c>
      <c r="EM201" s="500">
        <v>0</v>
      </c>
      <c r="EN201" s="500">
        <v>0</v>
      </c>
      <c r="EO201">
        <v>7</v>
      </c>
      <c r="EP201">
        <v>5888</v>
      </c>
      <c r="EQ201">
        <v>7000000000</v>
      </c>
      <c r="ER201">
        <v>9006810555.5554352</v>
      </c>
      <c r="ES201">
        <v>-25714410826.59716</v>
      </c>
      <c r="ET201">
        <v>3.7452069200000002</v>
      </c>
      <c r="EU201">
        <v>2.7044163468010001</v>
      </c>
      <c r="EV201">
        <v>2.8057023299999999</v>
      </c>
      <c r="EW201">
        <v>10.5771011580701</v>
      </c>
      <c r="EX201">
        <v>0</v>
      </c>
      <c r="EY201">
        <v>0</v>
      </c>
      <c r="EZ201">
        <v>0</v>
      </c>
      <c r="FA201">
        <v>-7489650000</v>
      </c>
      <c r="FB201">
        <v>0</v>
      </c>
      <c r="FC201">
        <v>-7489650000</v>
      </c>
      <c r="FD201">
        <v>-7489650000</v>
      </c>
      <c r="FE201">
        <v>-7489650000</v>
      </c>
      <c r="FF201">
        <v>-7489650000</v>
      </c>
      <c r="FG201" s="32">
        <f>Bankingbook_SBV[[#This Row],[Mat. Date]]-RPT</f>
        <v>1154</v>
      </c>
      <c r="FH201" s="32">
        <f>IF(Bankingbook_SBV[[#This Row],[Days]]&lt;=0,0,YEARFRAC(RPT,Bankingbook_SBV[[#This Row],[Mat. Date]],3))</f>
        <v>3.1616438356164385</v>
      </c>
      <c r="FI201" s="32" t="str">
        <f>IF(Bankingbook_SBV[[#This Row],[Days (year)]]=0,0,INDEX(Ref!$K$2:$K$13,MATCH(Bankingbook_SBV[[#This Row],[Days (year)]],Ref!$I$2:$I$13,1)))</f>
        <v>3Y</v>
      </c>
      <c r="FJ201" s="32" t="str">
        <f>VLOOKUP(Bankingbook_SBV[[#This Row],[Security Name]],Ref!X:Z,3,0)</f>
        <v>TPCP</v>
      </c>
      <c r="FK201" s="32" t="str">
        <f>VLOOKUP(Bankingbook_SBV[[#This Row],[Security Name]],Ref!X:Y,2,0)</f>
        <v>KBNN</v>
      </c>
      <c r="FL201" s="72">
        <f>IF((Bankingbook_SBV[[#This Row],[Mat. Date]]-RPT)&lt;=0,0,Bankingbook_SBV[[#This Row],[QUANTITY]])</f>
        <v>0</v>
      </c>
      <c r="FM201" s="32">
        <f>IF(Bankingbook_SBV[[#This Row],[Quantity_edited]]=0,0,Bankingbook_SBV[[#This Row],[DURATION]])</f>
        <v>0</v>
      </c>
      <c r="FN201" s="32">
        <f>IF(Bankingbook_SBV[[#This Row],[Quantity_edited]]=0,0,Bankingbook_SBV[[#This Row],[Mod Dur]])</f>
        <v>0</v>
      </c>
      <c r="FO201" s="32">
        <f>IF(Bankingbook_SBV[[#This Row],[Quantity_edited]]=0,0,Bankingbook_SBV[[#This Row],[Cnvx.]])</f>
        <v>0</v>
      </c>
      <c r="FP201" s="32">
        <f>(Bankingbook_SBV[[#This Row],[MARKET_VALUE]]+Bankingbook_SBV[[#This Row],[Accr Int]]*Bankingbook_SBV[[#This Row],[Quantity_edited]])*(-Bankingbook_SBV[[#This Row],[Modified Duration]]*0.0001+0.5*Bankingbook_SBV[[#This Row],[Conv]]*(0.0001^2))</f>
        <v>0</v>
      </c>
      <c r="FQ201" s="32">
        <f>(Bankingbook_SBV[[#This Row],[MARKET_VALUE]]+Bankingbook_SBV[[#This Row],[Accr Int]]*Bankingbook_SBV[[#This Row],[Quantity_edited]])*(-Bankingbook_SBV[[#This Row],[Modified Duration]]*0.01+0.5*Bankingbook_SBV[[#This Row],[Conv]]*(0.01^2))</f>
        <v>0</v>
      </c>
    </row>
    <row r="202" spans="2:173" x14ac:dyDescent="0.3">
      <c r="B202" t="s">
        <v>166</v>
      </c>
      <c r="C202" t="s">
        <v>167</v>
      </c>
      <c r="D202" t="s">
        <v>382</v>
      </c>
      <c r="E202" t="s">
        <v>169</v>
      </c>
      <c r="F202" s="502">
        <v>43462</v>
      </c>
      <c r="G202" t="s">
        <v>3322</v>
      </c>
      <c r="H202"/>
      <c r="I202"/>
      <c r="J202" s="38">
        <v>0</v>
      </c>
      <c r="K202">
        <v>0</v>
      </c>
      <c r="L202">
        <v>0</v>
      </c>
      <c r="M202" s="38">
        <v>0</v>
      </c>
      <c r="N202">
        <v>0</v>
      </c>
      <c r="O202">
        <v>0</v>
      </c>
      <c r="P202" s="37">
        <v>0</v>
      </c>
      <c r="Q202" s="37">
        <v>0</v>
      </c>
      <c r="R202" s="37">
        <v>-2173313998.3611116</v>
      </c>
      <c r="S202">
        <v>0</v>
      </c>
      <c r="T202" s="70">
        <v>0</v>
      </c>
      <c r="U202">
        <v>0</v>
      </c>
      <c r="V202">
        <v>0</v>
      </c>
      <c r="W202">
        <v>0</v>
      </c>
      <c r="X202" s="38">
        <v>0</v>
      </c>
      <c r="Y202">
        <v>0</v>
      </c>
      <c r="Z202" s="70">
        <v>5016760000</v>
      </c>
      <c r="AA202" s="70">
        <v>0</v>
      </c>
      <c r="AB202" s="70">
        <v>5016760000</v>
      </c>
      <c r="AC202" s="70">
        <v>5016760000</v>
      </c>
      <c r="AD202" s="70">
        <v>5016760000</v>
      </c>
      <c r="AE202" s="70">
        <v>5016760000</v>
      </c>
      <c r="AF202">
        <v>0</v>
      </c>
      <c r="AG202" s="72">
        <f>Tradingbook_MSB[[#This Row],[Mat. Date]]-RPT</f>
        <v>-2790</v>
      </c>
      <c r="AH202" s="71">
        <f>IF(Tradingbook_MSB[[#This Row],[Days]]&lt;=0,0,YEARFRAC(RPT,Tradingbook_MSB[[#This Row],[Mat. Date]],3))</f>
        <v>0</v>
      </c>
      <c r="AI202" s="71">
        <f>IF(Tradingbook_MSB[[#This Row],[Days (year)]]=0,0,INDEX(Ref!$K$2:$K$13,MATCH(Tradingbook_MSB[[#This Row],[Days (year)]],Ref!$I$2:$I$13,1)))</f>
        <v>0</v>
      </c>
      <c r="AJ202" s="120" t="str">
        <f>VLOOKUP(Tradingbook_MSB[[#This Row],[Security Name]],Ref!X:Z,3,0)</f>
        <v>TPCP</v>
      </c>
      <c r="AK202" s="120" t="str">
        <f>VLOOKUP(Tradingbook_MSB[[#This Row],[Security Name]],Ref!X:Y,2,0)</f>
        <v>KBNN</v>
      </c>
      <c r="AL202" s="71">
        <f>IF((Tradingbook_MSB[[#This Row],[Mat. Date]]-RPT)&lt;=0,0,Tradingbook_MSB[[#This Row],[QUANTITY]])</f>
        <v>0</v>
      </c>
      <c r="AM202" s="71">
        <f>IF(Tradingbook_MSB[[#This Row],[Quantity_edited]]=0,0,Tradingbook_MSB[[#This Row],[DURATION]])</f>
        <v>0</v>
      </c>
      <c r="AN202" s="71">
        <f>IF(Tradingbook_MSB[[#This Row],[Quantity_edited]]=0,0,Tradingbook_MSB[[#This Row],[Mod Dur]])</f>
        <v>0</v>
      </c>
      <c r="AO202" s="71">
        <f>IF(Tradingbook_MSB[[#This Row],[Quantity_edited]]=0,0,Tradingbook_MSB[[#This Row],[Cnvx.]])</f>
        <v>0</v>
      </c>
      <c r="AP202" s="71">
        <f>(Tradingbook_MSB[[#This Row],[MARKET_VALUE]]+Tradingbook_MSB[[#This Row],[Accr Int]]*Tradingbook_MSB[[#This Row],[Quantity_edited]])*(-Tradingbook_MSB[[#This Row],[Modified Duration]]*0.0001+0.5*Tradingbook_MSB[[#This Row],[Conv]]*(0.0001^2))</f>
        <v>0</v>
      </c>
      <c r="AQ202" s="72">
        <f>(Tradingbook_MSB[[#This Row],[MARKET_VALUE]]+Tradingbook_MSB[[#This Row],[Accr Int]]*Tradingbook_MSB[[#This Row],[Quantity_edited]])*(-Tradingbook_MSB[[#This Row],[Modified Duration]]*0.01+0.5*Tradingbook_MSB[[#This Row],[Conv]]*(0.01^2))</f>
        <v>0</v>
      </c>
      <c r="AR202" s="71"/>
      <c r="AT202" t="s">
        <v>166</v>
      </c>
      <c r="AU202" t="s">
        <v>3303</v>
      </c>
      <c r="AV202" t="s">
        <v>2741</v>
      </c>
      <c r="AW202" t="s">
        <v>169</v>
      </c>
      <c r="AX202" t="s">
        <v>3471</v>
      </c>
      <c r="AY202" t="s">
        <v>170</v>
      </c>
      <c r="AZ202">
        <v>84678</v>
      </c>
      <c r="BA202">
        <v>84678</v>
      </c>
      <c r="BB202">
        <v>8500000</v>
      </c>
      <c r="BC202">
        <v>850000000000</v>
      </c>
      <c r="BD202">
        <v>100711.353</v>
      </c>
      <c r="BE202">
        <v>719763000000</v>
      </c>
      <c r="BF202">
        <v>2.8</v>
      </c>
      <c r="BG202">
        <v>437</v>
      </c>
      <c r="BH202">
        <v>46200000000</v>
      </c>
      <c r="BI202">
        <v>47799313333.333336</v>
      </c>
      <c r="BJ202">
        <v>-63764016704.861221</v>
      </c>
      <c r="BK202">
        <v>4.4958650389999999</v>
      </c>
      <c r="BL202">
        <v>9.5933399052079</v>
      </c>
      <c r="BM202">
        <v>10.02464352</v>
      </c>
      <c r="BN202">
        <v>111.465403856297</v>
      </c>
      <c r="BO202">
        <v>806427.11718444095</v>
      </c>
      <c r="BP202">
        <v>-694056.55712700798</v>
      </c>
      <c r="BQ202">
        <v>87174.013999999996</v>
      </c>
      <c r="BR202">
        <v>0</v>
      </c>
      <c r="BS202">
        <v>-136283500000.00005</v>
      </c>
      <c r="BT202">
        <v>-136283500000.00005</v>
      </c>
      <c r="BU202">
        <v>-136283500000.00005</v>
      </c>
      <c r="BV202">
        <v>-136283500000</v>
      </c>
      <c r="BW202">
        <v>-136283500000.00005</v>
      </c>
      <c r="BX202">
        <v>2.735882353</v>
      </c>
      <c r="BY202" s="32">
        <f>Bankingbook_MSB[[#This Row],[Mat. Date]]-RPT</f>
        <v>4326</v>
      </c>
      <c r="BZ202" s="71">
        <f>IF(Bankingbook_MSB[[#This Row],[Days]]&lt;=0,0,YEARFRAC(RPT,Bankingbook_MSB[[#This Row],[Mat. Date]],3))</f>
        <v>11.852054794520548</v>
      </c>
      <c r="CA202" s="71" t="str">
        <f>IF(Bankingbook_MSB[[#This Row],[Days (year)]]=0,0,INDEX(Ref!$K$2:$K$13,MATCH(Bankingbook_MSB[[#This Row],[Days (year)]],Ref!$I$2:$I$13,1)))</f>
        <v>15Y</v>
      </c>
      <c r="CB202" s="32" t="str">
        <f>VLOOKUP(Bankingbook_MSB[[#This Row],[Security Name]],Ref!X:Z,3,0)</f>
        <v>TPCP</v>
      </c>
      <c r="CC202" s="32" t="str">
        <f>VLOOKUP(Bankingbook_MSB[[#This Row],[Security Name]],Ref!X:Y,2,0)</f>
        <v>KBNN</v>
      </c>
      <c r="CD202" s="72">
        <f>IF((Bankingbook_MSB[[#This Row],[Mat. Date]]-RPT)&lt;=0,0,Bankingbook_MSB[[#This Row],[QUANTITY]])</f>
        <v>8500000</v>
      </c>
      <c r="CE202" s="71">
        <f>IF(Bankingbook_MSB[[#This Row],[Quantity_edited]]=0,0,Bankingbook_MSB[[#This Row],[DURATION]])</f>
        <v>10.02464352</v>
      </c>
      <c r="CF202" s="71">
        <f>IF(Bankingbook_MSB[[#This Row],[Quantity_edited]]=0,0,Bankingbook_MSB[[#This Row],[Mod Dur]])</f>
        <v>9.5933399052079</v>
      </c>
      <c r="CG202" s="71">
        <f>IF(Bankingbook_MSB[[#This Row],[Quantity_edited]]=0,0,Bankingbook_MSB[[#This Row],[Cnvx.]])</f>
        <v>111.465403856297</v>
      </c>
      <c r="CH202" s="71">
        <f>(Bankingbook_MSB[[#This Row],[MARKET_VALUE]]+Bankingbook_MSB[[#This Row],[Accr Int]]*Bankingbook_MSB[[#This Row],[Quantity_edited]])*(-Bankingbook_MSB[[#This Row],[Modified Duration]]*0.0001+0.5*Bankingbook_MSB[[#This Row],[Conv]]*(0.0001^2))</f>
        <v>-693653343.56841278</v>
      </c>
      <c r="CI202" s="71">
        <f>(Bankingbook_MSB[[#This Row],[MARKET_VALUE]]+Bankingbook_MSB[[#This Row],[Accr Int]]*Bankingbook_MSB[[#This Row],[Quantity_edited]])*(-Bankingbook_MSB[[#This Row],[Modified Duration]]*0.01+0.5*Bankingbook_MSB[[#This Row],[Conv]]*(0.01^2))</f>
        <v>-65373520126.778275</v>
      </c>
      <c r="CL202" t="s">
        <v>166</v>
      </c>
      <c r="CM202" t="s">
        <v>167</v>
      </c>
      <c r="CN202" t="s">
        <v>382</v>
      </c>
      <c r="CO202" t="s">
        <v>169</v>
      </c>
      <c r="CP202" s="35">
        <v>43462</v>
      </c>
      <c r="CQ202" t="s">
        <v>3322</v>
      </c>
      <c r="CR202" t="s">
        <v>174</v>
      </c>
      <c r="CS202" t="s">
        <v>174</v>
      </c>
      <c r="CT202" s="49">
        <v>0</v>
      </c>
      <c r="CU202">
        <v>0</v>
      </c>
      <c r="CV202">
        <v>0</v>
      </c>
      <c r="CW202" s="70">
        <v>0</v>
      </c>
      <c r="CX202">
        <v>0</v>
      </c>
      <c r="CY202">
        <v>0</v>
      </c>
      <c r="CZ202">
        <v>0</v>
      </c>
      <c r="DA202">
        <v>0</v>
      </c>
      <c r="DB202">
        <v>-2173313998.3611116</v>
      </c>
      <c r="DC202">
        <v>0</v>
      </c>
      <c r="DD202">
        <v>0</v>
      </c>
      <c r="DE202">
        <v>0</v>
      </c>
      <c r="DF202">
        <v>0</v>
      </c>
      <c r="DG202">
        <v>0</v>
      </c>
      <c r="DH202">
        <v>0</v>
      </c>
      <c r="DI202">
        <v>0</v>
      </c>
      <c r="DJ202" s="500">
        <v>5016760000</v>
      </c>
      <c r="DK202" s="500">
        <v>0</v>
      </c>
      <c r="DL202" s="37">
        <v>5016760000</v>
      </c>
      <c r="DM202" s="37">
        <v>5016760000</v>
      </c>
      <c r="DN202" s="37">
        <v>5016760000</v>
      </c>
      <c r="DO202" s="37">
        <v>5016760000</v>
      </c>
      <c r="DP202" s="32">
        <f>Tradingbook_SBV[[#This Row],[Mat. Date]]-RPT</f>
        <v>-2790</v>
      </c>
      <c r="DQ202" s="32">
        <f>IF(Tradingbook_SBV[[#This Row],[Days]]&lt;=0,0,YEARFRAC(RPT,Tradingbook_SBV[[#This Row],[Mat. Date]],3))</f>
        <v>0</v>
      </c>
      <c r="DR202" s="32">
        <f>IF(Tradingbook_SBV[[#This Row],[Days (year)]]=0,0,INDEX(Ref!$K$2:$K$13,MATCH(Tradingbook_SBV[[#This Row],[Days (year)]],Ref!$I$2:$I$13,1)))</f>
        <v>0</v>
      </c>
      <c r="DS202" s="32" t="str">
        <f>VLOOKUP(Tradingbook_SBV[[#This Row],[Security Name]],Ref!X:Z,3,0)</f>
        <v>TPCP</v>
      </c>
      <c r="DT202" s="32" t="str">
        <f>VLOOKUP(Tradingbook_SBV[[#This Row],[Security Name]],Ref!X:Y,2,0)</f>
        <v>KBNN</v>
      </c>
      <c r="DU202" s="71">
        <f>IF((Tradingbook_SBV[[#This Row],[Mat. Date]]-RPT)&lt;=0,0,Tradingbook_SBV[[#This Row],[QUANTITY]])</f>
        <v>0</v>
      </c>
      <c r="DV202" s="71">
        <f>IF(Tradingbook_SBV[[#This Row],[Quantity_edited]]=0,0,Tradingbook_SBV[[#This Row],[DURATION]])</f>
        <v>0</v>
      </c>
      <c r="DW202" s="71">
        <f>IF(Tradingbook_SBV[[#This Row],[Quantity_edited]]=0,0,Tradingbook_SBV[[#This Row],[Mod Dur]])</f>
        <v>0</v>
      </c>
      <c r="DX202" s="71">
        <f>IF(Tradingbook_SBV[[#This Row],[Quantity_edited]]=0,0,Tradingbook_SBV[[#This Row],[Cnvx.]])</f>
        <v>0</v>
      </c>
      <c r="DY202" s="71">
        <f>(Tradingbook_SBV[[#This Row],[MARKET_VALUE]]+Tradingbook_SBV[[#This Row],[Accr Int]]*Tradingbook_SBV[[#This Row],[Quantity_edited]])*(-Tradingbook_SBV[[#This Row],[Modified Duration]]*0.0001+0.5*Tradingbook_SBV[[#This Row],[Conv]]*(0.0001^2))</f>
        <v>0</v>
      </c>
      <c r="DZ202" s="71">
        <f>(Tradingbook_SBV[[#This Row],[MARKET_VALUE]]+Tradingbook_SBV[[#This Row],[Accr Int]]*Tradingbook_SBV[[#This Row],[Quantity_edited]])*(-Tradingbook_SBV[[#This Row],[Modified Duration]]*0.01+0.5*Tradingbook_SBV[[#This Row],[Conv]]*(0.01^2))</f>
        <v>0</v>
      </c>
      <c r="EC202" t="s">
        <v>166</v>
      </c>
      <c r="ED202" t="s">
        <v>3299</v>
      </c>
      <c r="EE202" t="s">
        <v>600</v>
      </c>
      <c r="EF202" t="s">
        <v>169</v>
      </c>
      <c r="EG202" s="35" t="s">
        <v>601</v>
      </c>
      <c r="EH202" t="s">
        <v>170</v>
      </c>
      <c r="EI202" s="500">
        <v>100676</v>
      </c>
      <c r="EJ202" s="500">
        <v>100676</v>
      </c>
      <c r="EK202" s="500">
        <v>2000000</v>
      </c>
      <c r="EL202" s="500">
        <v>200000000000</v>
      </c>
      <c r="EM202" s="500">
        <v>98304.625</v>
      </c>
      <c r="EN202" s="500">
        <v>201352000000</v>
      </c>
      <c r="EO202">
        <v>4.5</v>
      </c>
      <c r="EP202">
        <v>3427</v>
      </c>
      <c r="EQ202">
        <v>63000000000</v>
      </c>
      <c r="ER202">
        <v>70545864999.999908</v>
      </c>
      <c r="ES202">
        <v>-34890913837.916138</v>
      </c>
      <c r="ET202">
        <v>4.2664437929999997</v>
      </c>
      <c r="EU202">
        <v>2.8662154503155</v>
      </c>
      <c r="EV202">
        <v>2.9885009199999999</v>
      </c>
      <c r="EW202">
        <v>11.448244020492901</v>
      </c>
      <c r="EX202">
        <v>23835.930945307398</v>
      </c>
      <c r="EY202">
        <v>-59676.325404839001</v>
      </c>
      <c r="EZ202">
        <v>23833.475999999999</v>
      </c>
      <c r="FA202">
        <v>15609749999.999941</v>
      </c>
      <c r="FB202">
        <v>4742750000</v>
      </c>
      <c r="FC202">
        <v>20352499999.999939</v>
      </c>
      <c r="FD202">
        <v>20352499999.999939</v>
      </c>
      <c r="FE202">
        <v>20352500000</v>
      </c>
      <c r="FF202">
        <v>20352499999.999939</v>
      </c>
      <c r="FG202" s="32">
        <f>Bankingbook_SBV[[#This Row],[Mat. Date]]-RPT</f>
        <v>1183</v>
      </c>
      <c r="FH202" s="32">
        <f>IF(Bankingbook_SBV[[#This Row],[Days]]&lt;=0,0,YEARFRAC(RPT,Bankingbook_SBV[[#This Row],[Mat. Date]],3))</f>
        <v>3.2410958904109588</v>
      </c>
      <c r="FI202" s="32" t="str">
        <f>IF(Bankingbook_SBV[[#This Row],[Days (year)]]=0,0,INDEX(Ref!$K$2:$K$13,MATCH(Bankingbook_SBV[[#This Row],[Days (year)]],Ref!$I$2:$I$13,1)))</f>
        <v>3Y</v>
      </c>
      <c r="FJ202" s="32" t="str">
        <f>VLOOKUP(Bankingbook_SBV[[#This Row],[Security Name]],Ref!X:Z,3,0)</f>
        <v>TPCPBL</v>
      </c>
      <c r="FK202" s="32" t="str">
        <f>VLOOKUP(Bankingbook_SBV[[#This Row],[Security Name]],Ref!X:Y,2,0)</f>
        <v>VDB</v>
      </c>
      <c r="FL202" s="72">
        <f>IF((Bankingbook_SBV[[#This Row],[Mat. Date]]-RPT)&lt;=0,0,Bankingbook_SBV[[#This Row],[QUANTITY]])</f>
        <v>2000000</v>
      </c>
      <c r="FM202" s="32">
        <f>IF(Bankingbook_SBV[[#This Row],[Quantity_edited]]=0,0,Bankingbook_SBV[[#This Row],[DURATION]])</f>
        <v>2.9885009199999999</v>
      </c>
      <c r="FN202" s="32">
        <f>IF(Bankingbook_SBV[[#This Row],[Quantity_edited]]=0,0,Bankingbook_SBV[[#This Row],[Mod Dur]])</f>
        <v>2.8662154503155</v>
      </c>
      <c r="FO202" s="32">
        <f>IF(Bankingbook_SBV[[#This Row],[Quantity_edited]]=0,0,Bankingbook_SBV[[#This Row],[Cnvx.]])</f>
        <v>11.448244020492901</v>
      </c>
      <c r="FP202" s="32">
        <f>(Bankingbook_SBV[[#This Row],[MARKET_VALUE]]+Bankingbook_SBV[[#This Row],[Accr Int]]*Bankingbook_SBV[[#This Row],[Quantity_edited]])*(-Bankingbook_SBV[[#This Row],[Modified Duration]]*0.0001+0.5*Bankingbook_SBV[[#This Row],[Conv]]*(0.0001^2))</f>
        <v>-59664407.439366251</v>
      </c>
      <c r="FQ202" s="32">
        <f>(Bankingbook_SBV[[#This Row],[MARKET_VALUE]]+Bankingbook_SBV[[#This Row],[Accr Int]]*Bankingbook_SBV[[#This Row],[Quantity_edited]])*(-Bankingbook_SBV[[#This Row],[Modified Duration]]*0.01+0.5*Bankingbook_SBV[[#This Row],[Conv]]*(0.01^2))</f>
        <v>-5848452885.7573519</v>
      </c>
    </row>
    <row r="203" spans="2:173" x14ac:dyDescent="0.3">
      <c r="B203" t="s">
        <v>166</v>
      </c>
      <c r="C203" t="s">
        <v>167</v>
      </c>
      <c r="D203" t="s">
        <v>383</v>
      </c>
      <c r="E203" t="s">
        <v>169</v>
      </c>
      <c r="F203" s="502">
        <v>43464</v>
      </c>
      <c r="G203" t="s">
        <v>3322</v>
      </c>
      <c r="H203"/>
      <c r="I203"/>
      <c r="J203" s="38">
        <v>0</v>
      </c>
      <c r="K203">
        <v>0</v>
      </c>
      <c r="L203">
        <v>0</v>
      </c>
      <c r="M203" s="38">
        <v>0</v>
      </c>
      <c r="N203">
        <v>5.7</v>
      </c>
      <c r="O203">
        <v>0</v>
      </c>
      <c r="P203" s="37">
        <v>2850000000</v>
      </c>
      <c r="Q203" s="37">
        <v>2922336562.5</v>
      </c>
      <c r="R203" s="37">
        <v>-4632933007.638876</v>
      </c>
      <c r="S203">
        <v>0</v>
      </c>
      <c r="T203" s="70">
        <v>0</v>
      </c>
      <c r="U203">
        <v>0</v>
      </c>
      <c r="V203">
        <v>0</v>
      </c>
      <c r="W203">
        <v>0</v>
      </c>
      <c r="X203" s="38">
        <v>0</v>
      </c>
      <c r="Y203">
        <v>0</v>
      </c>
      <c r="Z203" s="70">
        <v>3102500000</v>
      </c>
      <c r="AA203" s="70">
        <v>0</v>
      </c>
      <c r="AB203" s="70">
        <v>3102500000</v>
      </c>
      <c r="AC203" s="70">
        <v>3102500000</v>
      </c>
      <c r="AD203" s="70">
        <v>3102500000</v>
      </c>
      <c r="AE203" s="70">
        <v>3102500000</v>
      </c>
      <c r="AF203">
        <v>0</v>
      </c>
      <c r="AG203" s="72">
        <f>Tradingbook_MSB[[#This Row],[Mat. Date]]-RPT</f>
        <v>-2788</v>
      </c>
      <c r="AH203" s="71">
        <f>IF(Tradingbook_MSB[[#This Row],[Days]]&lt;=0,0,YEARFRAC(RPT,Tradingbook_MSB[[#This Row],[Mat. Date]],3))</f>
        <v>0</v>
      </c>
      <c r="AI203" s="71">
        <f>IF(Tradingbook_MSB[[#This Row],[Days (year)]]=0,0,INDEX(Ref!$K$2:$K$13,MATCH(Tradingbook_MSB[[#This Row],[Days (year)]],Ref!$I$2:$I$13,1)))</f>
        <v>0</v>
      </c>
      <c r="AJ203" s="120" t="str">
        <f>VLOOKUP(Tradingbook_MSB[[#This Row],[Security Name]],Ref!X:Z,3,0)</f>
        <v>TPCP</v>
      </c>
      <c r="AK203" s="120" t="str">
        <f>VLOOKUP(Tradingbook_MSB[[#This Row],[Security Name]],Ref!X:Y,2,0)</f>
        <v>KBNN</v>
      </c>
      <c r="AL203" s="71">
        <f>IF((Tradingbook_MSB[[#This Row],[Mat. Date]]-RPT)&lt;=0,0,Tradingbook_MSB[[#This Row],[QUANTITY]])</f>
        <v>0</v>
      </c>
      <c r="AM203" s="71">
        <f>IF(Tradingbook_MSB[[#This Row],[Quantity_edited]]=0,0,Tradingbook_MSB[[#This Row],[DURATION]])</f>
        <v>0</v>
      </c>
      <c r="AN203" s="71">
        <f>IF(Tradingbook_MSB[[#This Row],[Quantity_edited]]=0,0,Tradingbook_MSB[[#This Row],[Mod Dur]])</f>
        <v>0</v>
      </c>
      <c r="AO203" s="71">
        <f>IF(Tradingbook_MSB[[#This Row],[Quantity_edited]]=0,0,Tradingbook_MSB[[#This Row],[Cnvx.]])</f>
        <v>0</v>
      </c>
      <c r="AP203" s="71">
        <f>(Tradingbook_MSB[[#This Row],[MARKET_VALUE]]+Tradingbook_MSB[[#This Row],[Accr Int]]*Tradingbook_MSB[[#This Row],[Quantity_edited]])*(-Tradingbook_MSB[[#This Row],[Modified Duration]]*0.0001+0.5*Tradingbook_MSB[[#This Row],[Conv]]*(0.0001^2))</f>
        <v>0</v>
      </c>
      <c r="AQ203" s="72">
        <f>(Tradingbook_MSB[[#This Row],[MARKET_VALUE]]+Tradingbook_MSB[[#This Row],[Accr Int]]*Tradingbook_MSB[[#This Row],[Quantity_edited]])*(-Tradingbook_MSB[[#This Row],[Modified Duration]]*0.01+0.5*Tradingbook_MSB[[#This Row],[Conv]]*(0.01^2))</f>
        <v>0</v>
      </c>
      <c r="AR203" s="71"/>
      <c r="AT203" t="s">
        <v>166</v>
      </c>
      <c r="AU203" t="s">
        <v>3303</v>
      </c>
      <c r="AV203" t="s">
        <v>2786</v>
      </c>
      <c r="AW203" t="s">
        <v>169</v>
      </c>
      <c r="AX203" t="s">
        <v>2787</v>
      </c>
      <c r="AY203" t="s">
        <v>170</v>
      </c>
      <c r="AZ203">
        <v>82446</v>
      </c>
      <c r="BA203">
        <v>82446</v>
      </c>
      <c r="BB203">
        <v>4000000</v>
      </c>
      <c r="BC203">
        <v>400000000000</v>
      </c>
      <c r="BD203">
        <v>99385</v>
      </c>
      <c r="BE203">
        <v>329784000000</v>
      </c>
      <c r="BF203">
        <v>2.6</v>
      </c>
      <c r="BG203">
        <v>2158</v>
      </c>
      <c r="BH203">
        <v>13000000000</v>
      </c>
      <c r="BI203">
        <v>13729986111.111116</v>
      </c>
      <c r="BJ203">
        <v>-32440651008.333374</v>
      </c>
      <c r="BK203">
        <v>4.5043266329999998</v>
      </c>
      <c r="BL203">
        <v>9.6925601503940992</v>
      </c>
      <c r="BM203">
        <v>10.129144719999999</v>
      </c>
      <c r="BN203">
        <v>115.6562787559466</v>
      </c>
      <c r="BO203">
        <v>391399.35231472441</v>
      </c>
      <c r="BP203">
        <v>-328011.743585577</v>
      </c>
      <c r="BQ203">
        <v>40851.860999999997</v>
      </c>
      <c r="BR203">
        <v>0</v>
      </c>
      <c r="BS203">
        <v>-67756000000</v>
      </c>
      <c r="BT203">
        <v>-67756000000</v>
      </c>
      <c r="BU203">
        <v>-67756000000</v>
      </c>
      <c r="BV203">
        <v>-67756000000</v>
      </c>
      <c r="BW203">
        <v>-67756000000</v>
      </c>
      <c r="BX203">
        <v>2.6575000000000002</v>
      </c>
      <c r="BY203" s="32">
        <f>Bankingbook_MSB[[#This Row],[Mat. Date]]-RPT</f>
        <v>4445</v>
      </c>
      <c r="BZ203" s="71">
        <f>IF(Bankingbook_MSB[[#This Row],[Days]]&lt;=0,0,YEARFRAC(RPT,Bankingbook_MSB[[#This Row],[Mat. Date]],3))</f>
        <v>12.178082191780822</v>
      </c>
      <c r="CA203" s="71" t="str">
        <f>IF(Bankingbook_MSB[[#This Row],[Days (year)]]=0,0,INDEX(Ref!$K$2:$K$13,MATCH(Bankingbook_MSB[[#This Row],[Days (year)]],Ref!$I$2:$I$13,1)))</f>
        <v>15Y</v>
      </c>
      <c r="CB203" s="32" t="str">
        <f>VLOOKUP(Bankingbook_MSB[[#This Row],[Security Name]],Ref!X:Z,3,0)</f>
        <v>TPCP</v>
      </c>
      <c r="CC203" s="32" t="str">
        <f>VLOOKUP(Bankingbook_MSB[[#This Row],[Security Name]],Ref!X:Y,2,0)</f>
        <v>KBNN</v>
      </c>
      <c r="CD203" s="72">
        <f>IF((Bankingbook_MSB[[#This Row],[Mat. Date]]-RPT)&lt;=0,0,Bankingbook_MSB[[#This Row],[QUANTITY]])</f>
        <v>4000000</v>
      </c>
      <c r="CE203" s="71">
        <f>IF(Bankingbook_MSB[[#This Row],[Quantity_edited]]=0,0,Bankingbook_MSB[[#This Row],[DURATION]])</f>
        <v>10.129144719999999</v>
      </c>
      <c r="CF203" s="71">
        <f>IF(Bankingbook_MSB[[#This Row],[Quantity_edited]]=0,0,Bankingbook_MSB[[#This Row],[Mod Dur]])</f>
        <v>9.6925601503940992</v>
      </c>
      <c r="CG203" s="71">
        <f>IF(Bankingbook_MSB[[#This Row],[Quantity_edited]]=0,0,Bankingbook_MSB[[#This Row],[Cnvx.]])</f>
        <v>115.6562787559466</v>
      </c>
      <c r="CH203" s="71">
        <f>(Bankingbook_MSB[[#This Row],[MARKET_VALUE]]+Bankingbook_MSB[[#This Row],[Accr Int]]*Bankingbook_MSB[[#This Row],[Quantity_edited]])*(-Bankingbook_MSB[[#This Row],[Modified Duration]]*0.0001+0.5*Bankingbook_MSB[[#This Row],[Conv]]*(0.0001^2))</f>
        <v>-327816043.9094196</v>
      </c>
      <c r="CI203" s="71">
        <f>(Bankingbook_MSB[[#This Row],[MARKET_VALUE]]+Bankingbook_MSB[[#This Row],[Accr Int]]*Bankingbook_MSB[[#This Row],[Quantity_edited]])*(-Bankingbook_MSB[[#This Row],[Modified Duration]]*0.01+0.5*Bankingbook_MSB[[#This Row],[Conv]]*(0.01^2))</f>
        <v>-30844177596.984074</v>
      </c>
      <c r="CL203" t="s">
        <v>166</v>
      </c>
      <c r="CM203" t="s">
        <v>167</v>
      </c>
      <c r="CN203" t="s">
        <v>383</v>
      </c>
      <c r="CO203" t="s">
        <v>169</v>
      </c>
      <c r="CP203" s="35">
        <v>43464</v>
      </c>
      <c r="CQ203" t="s">
        <v>3322</v>
      </c>
      <c r="CR203" t="s">
        <v>174</v>
      </c>
      <c r="CS203" t="s">
        <v>174</v>
      </c>
      <c r="CT203" s="49">
        <v>0</v>
      </c>
      <c r="CU203">
        <v>0</v>
      </c>
      <c r="CV203">
        <v>0</v>
      </c>
      <c r="CW203" s="70">
        <v>0</v>
      </c>
      <c r="CX203">
        <v>5.7</v>
      </c>
      <c r="CY203">
        <v>0</v>
      </c>
      <c r="CZ203">
        <v>2850000000</v>
      </c>
      <c r="DA203">
        <v>2922336562.5</v>
      </c>
      <c r="DB203">
        <v>-4632933007.638876</v>
      </c>
      <c r="DC203">
        <v>0</v>
      </c>
      <c r="DD203">
        <v>0</v>
      </c>
      <c r="DE203">
        <v>0</v>
      </c>
      <c r="DF203">
        <v>0</v>
      </c>
      <c r="DG203">
        <v>0</v>
      </c>
      <c r="DH203">
        <v>0</v>
      </c>
      <c r="DI203">
        <v>0</v>
      </c>
      <c r="DJ203" s="500">
        <v>3102500000</v>
      </c>
      <c r="DK203" s="500">
        <v>0</v>
      </c>
      <c r="DL203" s="37">
        <v>3102500000</v>
      </c>
      <c r="DM203" s="37">
        <v>3102500000</v>
      </c>
      <c r="DN203" s="37">
        <v>3102500000</v>
      </c>
      <c r="DO203" s="37">
        <v>3102500000</v>
      </c>
      <c r="DP203" s="32">
        <f>Tradingbook_SBV[[#This Row],[Mat. Date]]-RPT</f>
        <v>-2788</v>
      </c>
      <c r="DQ203" s="32">
        <f>IF(Tradingbook_SBV[[#This Row],[Days]]&lt;=0,0,YEARFRAC(RPT,Tradingbook_SBV[[#This Row],[Mat. Date]],3))</f>
        <v>0</v>
      </c>
      <c r="DR203" s="32">
        <f>IF(Tradingbook_SBV[[#This Row],[Days (year)]]=0,0,INDEX(Ref!$K$2:$K$13,MATCH(Tradingbook_SBV[[#This Row],[Days (year)]],Ref!$I$2:$I$13,1)))</f>
        <v>0</v>
      </c>
      <c r="DS203" s="32" t="str">
        <f>VLOOKUP(Tradingbook_SBV[[#This Row],[Security Name]],Ref!X:Z,3,0)</f>
        <v>TPCP</v>
      </c>
      <c r="DT203" s="32" t="str">
        <f>VLOOKUP(Tradingbook_SBV[[#This Row],[Security Name]],Ref!X:Y,2,0)</f>
        <v>KBNN</v>
      </c>
      <c r="DU203" s="71">
        <f>IF((Tradingbook_SBV[[#This Row],[Mat. Date]]-RPT)&lt;=0,0,Tradingbook_SBV[[#This Row],[QUANTITY]])</f>
        <v>0</v>
      </c>
      <c r="DV203" s="71">
        <f>IF(Tradingbook_SBV[[#This Row],[Quantity_edited]]=0,0,Tradingbook_SBV[[#This Row],[DURATION]])</f>
        <v>0</v>
      </c>
      <c r="DW203" s="71">
        <f>IF(Tradingbook_SBV[[#This Row],[Quantity_edited]]=0,0,Tradingbook_SBV[[#This Row],[Mod Dur]])</f>
        <v>0</v>
      </c>
      <c r="DX203" s="71">
        <f>IF(Tradingbook_SBV[[#This Row],[Quantity_edited]]=0,0,Tradingbook_SBV[[#This Row],[Cnvx.]])</f>
        <v>0</v>
      </c>
      <c r="DY203" s="71">
        <f>(Tradingbook_SBV[[#This Row],[MARKET_VALUE]]+Tradingbook_SBV[[#This Row],[Accr Int]]*Tradingbook_SBV[[#This Row],[Quantity_edited]])*(-Tradingbook_SBV[[#This Row],[Modified Duration]]*0.0001+0.5*Tradingbook_SBV[[#This Row],[Conv]]*(0.0001^2))</f>
        <v>0</v>
      </c>
      <c r="DZ203" s="71">
        <f>(Tradingbook_SBV[[#This Row],[MARKET_VALUE]]+Tradingbook_SBV[[#This Row],[Accr Int]]*Tradingbook_SBV[[#This Row],[Quantity_edited]])*(-Tradingbook_SBV[[#This Row],[Modified Duration]]*0.01+0.5*Tradingbook_SBV[[#This Row],[Conv]]*(0.01^2))</f>
        <v>0</v>
      </c>
      <c r="EC203" t="s">
        <v>166</v>
      </c>
      <c r="ED203" t="s">
        <v>3300</v>
      </c>
      <c r="EE203" t="s">
        <v>602</v>
      </c>
      <c r="EF203" t="s">
        <v>169</v>
      </c>
      <c r="EG203" s="35" t="s">
        <v>3801</v>
      </c>
      <c r="EH203" t="s">
        <v>3322</v>
      </c>
      <c r="EI203" s="500">
        <v>100365</v>
      </c>
      <c r="EJ203" s="500">
        <v>100365</v>
      </c>
      <c r="EK203" s="500">
        <v>0</v>
      </c>
      <c r="EL203" s="500">
        <v>0</v>
      </c>
      <c r="EM203" s="500">
        <v>0</v>
      </c>
      <c r="EN203" s="500">
        <v>0</v>
      </c>
      <c r="EO203">
        <v>4.4000000000000004</v>
      </c>
      <c r="EP203">
        <v>3267</v>
      </c>
      <c r="EQ203">
        <v>0</v>
      </c>
      <c r="ER203">
        <v>0</v>
      </c>
      <c r="ES203">
        <v>-993350522.98609543</v>
      </c>
      <c r="ET203">
        <v>4.2716320430000003</v>
      </c>
      <c r="EU203">
        <v>2.8889243395855999</v>
      </c>
      <c r="EV203">
        <v>3.0123285599999998</v>
      </c>
      <c r="EW203">
        <v>11.592577121293001</v>
      </c>
      <c r="EX203">
        <v>0</v>
      </c>
      <c r="EY203">
        <v>0</v>
      </c>
      <c r="EZ203">
        <v>0</v>
      </c>
      <c r="FA203">
        <v>12809750000</v>
      </c>
      <c r="FB203">
        <v>0</v>
      </c>
      <c r="FC203">
        <v>12809750000</v>
      </c>
      <c r="FD203">
        <v>12809750000</v>
      </c>
      <c r="FE203">
        <v>12809750000</v>
      </c>
      <c r="FF203">
        <v>12809750000</v>
      </c>
      <c r="FG203" s="32">
        <f>Bankingbook_SBV[[#This Row],[Mat. Date]]-RPT</f>
        <v>1190</v>
      </c>
      <c r="FH203" s="32">
        <f>IF(Bankingbook_SBV[[#This Row],[Days]]&lt;=0,0,YEARFRAC(RPT,Bankingbook_SBV[[#This Row],[Mat. Date]],3))</f>
        <v>3.2602739726027399</v>
      </c>
      <c r="FI203" s="32" t="str">
        <f>IF(Bankingbook_SBV[[#This Row],[Days (year)]]=0,0,INDEX(Ref!$K$2:$K$13,MATCH(Bankingbook_SBV[[#This Row],[Days (year)]],Ref!$I$2:$I$13,1)))</f>
        <v>3Y</v>
      </c>
      <c r="FJ203" s="32" t="str">
        <f>VLOOKUP(Bankingbook_SBV[[#This Row],[Security Name]],Ref!X:Z,3,0)</f>
        <v>TPCPBL</v>
      </c>
      <c r="FK203" s="32" t="str">
        <f>VLOOKUP(Bankingbook_SBV[[#This Row],[Security Name]],Ref!X:Y,2,0)</f>
        <v>VDB</v>
      </c>
      <c r="FL203" s="72">
        <f>IF((Bankingbook_SBV[[#This Row],[Mat. Date]]-RPT)&lt;=0,0,Bankingbook_SBV[[#This Row],[QUANTITY]])</f>
        <v>0</v>
      </c>
      <c r="FM203" s="32">
        <f>IF(Bankingbook_SBV[[#This Row],[Quantity_edited]]=0,0,Bankingbook_SBV[[#This Row],[DURATION]])</f>
        <v>0</v>
      </c>
      <c r="FN203" s="32">
        <f>IF(Bankingbook_SBV[[#This Row],[Quantity_edited]]=0,0,Bankingbook_SBV[[#This Row],[Mod Dur]])</f>
        <v>0</v>
      </c>
      <c r="FO203" s="32">
        <f>IF(Bankingbook_SBV[[#This Row],[Quantity_edited]]=0,0,Bankingbook_SBV[[#This Row],[Cnvx.]])</f>
        <v>0</v>
      </c>
      <c r="FP203" s="32">
        <f>(Bankingbook_SBV[[#This Row],[MARKET_VALUE]]+Bankingbook_SBV[[#This Row],[Accr Int]]*Bankingbook_SBV[[#This Row],[Quantity_edited]])*(-Bankingbook_SBV[[#This Row],[Modified Duration]]*0.0001+0.5*Bankingbook_SBV[[#This Row],[Conv]]*(0.0001^2))</f>
        <v>0</v>
      </c>
      <c r="FQ203" s="32">
        <f>(Bankingbook_SBV[[#This Row],[MARKET_VALUE]]+Bankingbook_SBV[[#This Row],[Accr Int]]*Bankingbook_SBV[[#This Row],[Quantity_edited]])*(-Bankingbook_SBV[[#This Row],[Modified Duration]]*0.01+0.5*Bankingbook_SBV[[#This Row],[Conv]]*(0.01^2))</f>
        <v>0</v>
      </c>
    </row>
    <row r="204" spans="2:173" x14ac:dyDescent="0.3">
      <c r="B204" t="s">
        <v>166</v>
      </c>
      <c r="C204" t="s">
        <v>167</v>
      </c>
      <c r="D204" t="s">
        <v>384</v>
      </c>
      <c r="E204" t="s">
        <v>169</v>
      </c>
      <c r="F204" s="502">
        <v>43471</v>
      </c>
      <c r="G204" t="s">
        <v>3322</v>
      </c>
      <c r="H204"/>
      <c r="I204"/>
      <c r="J204" s="38">
        <v>0</v>
      </c>
      <c r="K204">
        <v>0</v>
      </c>
      <c r="L204">
        <v>0</v>
      </c>
      <c r="M204" s="38">
        <v>0</v>
      </c>
      <c r="N204">
        <v>6.2</v>
      </c>
      <c r="O204">
        <v>0</v>
      </c>
      <c r="P204" s="37">
        <v>12400000000</v>
      </c>
      <c r="Q204" s="37">
        <v>13030806944.444427</v>
      </c>
      <c r="R204" s="37">
        <v>-4951192388.8888626</v>
      </c>
      <c r="S204">
        <v>0</v>
      </c>
      <c r="T204" s="70">
        <v>0</v>
      </c>
      <c r="U204">
        <v>0</v>
      </c>
      <c r="V204">
        <v>0</v>
      </c>
      <c r="W204">
        <v>0</v>
      </c>
      <c r="X204" s="38">
        <v>0</v>
      </c>
      <c r="Y204">
        <v>0</v>
      </c>
      <c r="Z204" s="70">
        <v>7503000000</v>
      </c>
      <c r="AA204" s="70">
        <v>0</v>
      </c>
      <c r="AB204" s="70">
        <v>7503000000</v>
      </c>
      <c r="AC204" s="70">
        <v>7503000000</v>
      </c>
      <c r="AD204" s="70">
        <v>7503000000</v>
      </c>
      <c r="AE204" s="70">
        <v>7503000000</v>
      </c>
      <c r="AF204">
        <v>0</v>
      </c>
      <c r="AG204" s="72">
        <f>Tradingbook_MSB[[#This Row],[Mat. Date]]-RPT</f>
        <v>-2781</v>
      </c>
      <c r="AH204" s="71">
        <f>IF(Tradingbook_MSB[[#This Row],[Days]]&lt;=0,0,YEARFRAC(RPT,Tradingbook_MSB[[#This Row],[Mat. Date]],3))</f>
        <v>0</v>
      </c>
      <c r="AI204" s="71">
        <f>IF(Tradingbook_MSB[[#This Row],[Days (year)]]=0,0,INDEX(Ref!$K$2:$K$13,MATCH(Tradingbook_MSB[[#This Row],[Days (year)]],Ref!$I$2:$I$13,1)))</f>
        <v>0</v>
      </c>
      <c r="AJ204" s="120" t="str">
        <f>VLOOKUP(Tradingbook_MSB[[#This Row],[Security Name]],Ref!X:Z,3,0)</f>
        <v>TPCPBL</v>
      </c>
      <c r="AK204" s="120" t="str">
        <f>VLOOKUP(Tradingbook_MSB[[#This Row],[Security Name]],Ref!X:Y,2,0)</f>
        <v>VDB</v>
      </c>
      <c r="AL204" s="71">
        <f>IF((Tradingbook_MSB[[#This Row],[Mat. Date]]-RPT)&lt;=0,0,Tradingbook_MSB[[#This Row],[QUANTITY]])</f>
        <v>0</v>
      </c>
      <c r="AM204" s="71">
        <f>IF(Tradingbook_MSB[[#This Row],[Quantity_edited]]=0,0,Tradingbook_MSB[[#This Row],[DURATION]])</f>
        <v>0</v>
      </c>
      <c r="AN204" s="71">
        <f>IF(Tradingbook_MSB[[#This Row],[Quantity_edited]]=0,0,Tradingbook_MSB[[#This Row],[Mod Dur]])</f>
        <v>0</v>
      </c>
      <c r="AO204" s="71">
        <f>IF(Tradingbook_MSB[[#This Row],[Quantity_edited]]=0,0,Tradingbook_MSB[[#This Row],[Cnvx.]])</f>
        <v>0</v>
      </c>
      <c r="AP204" s="71">
        <f>(Tradingbook_MSB[[#This Row],[MARKET_VALUE]]+Tradingbook_MSB[[#This Row],[Accr Int]]*Tradingbook_MSB[[#This Row],[Quantity_edited]])*(-Tradingbook_MSB[[#This Row],[Modified Duration]]*0.0001+0.5*Tradingbook_MSB[[#This Row],[Conv]]*(0.0001^2))</f>
        <v>0</v>
      </c>
      <c r="AQ204" s="72">
        <f>(Tradingbook_MSB[[#This Row],[MARKET_VALUE]]+Tradingbook_MSB[[#This Row],[Accr Int]]*Tradingbook_MSB[[#This Row],[Quantity_edited]])*(-Tradingbook_MSB[[#This Row],[Modified Duration]]*0.01+0.5*Tradingbook_MSB[[#This Row],[Conv]]*(0.01^2))</f>
        <v>0</v>
      </c>
      <c r="AR204" s="71"/>
      <c r="AT204" t="s">
        <v>166</v>
      </c>
      <c r="AU204" t="s">
        <v>3303</v>
      </c>
      <c r="AV204" t="s">
        <v>2800</v>
      </c>
      <c r="AW204" t="s">
        <v>169</v>
      </c>
      <c r="AX204" t="s">
        <v>3473</v>
      </c>
      <c r="AY204" t="s">
        <v>170</v>
      </c>
      <c r="AZ204">
        <v>79340</v>
      </c>
      <c r="BA204">
        <v>79340</v>
      </c>
      <c r="BB204">
        <v>6000000</v>
      </c>
      <c r="BC204">
        <v>600000000000</v>
      </c>
      <c r="BD204">
        <v>96527.167000000001</v>
      </c>
      <c r="BE204">
        <v>476040000000</v>
      </c>
      <c r="BF204">
        <v>2.2999999999999998</v>
      </c>
      <c r="BG204">
        <v>1380</v>
      </c>
      <c r="BH204">
        <v>24150000000</v>
      </c>
      <c r="BI204">
        <v>25457492500.000015</v>
      </c>
      <c r="BJ204">
        <v>-48220517122.22226</v>
      </c>
      <c r="BK204">
        <v>4.5103035919999996</v>
      </c>
      <c r="BL204">
        <v>10.0730458643232</v>
      </c>
      <c r="BM204">
        <v>10.527370810000001</v>
      </c>
      <c r="BN204">
        <v>122.80369470974399</v>
      </c>
      <c r="BO204">
        <v>594762.85421823221</v>
      </c>
      <c r="BP204">
        <v>-487857.75730090099</v>
      </c>
      <c r="BQ204">
        <v>58540.548999999999</v>
      </c>
      <c r="BR204">
        <v>0</v>
      </c>
      <c r="BS204">
        <v>-103123000000.00003</v>
      </c>
      <c r="BT204">
        <v>-103123000000.00003</v>
      </c>
      <c r="BU204">
        <v>-103123000000.00003</v>
      </c>
      <c r="BV204">
        <v>-103123000000</v>
      </c>
      <c r="BW204">
        <v>-103123000000.00003</v>
      </c>
      <c r="BX204">
        <v>2.6041666669999999</v>
      </c>
      <c r="BY204" s="32">
        <f>Bankingbook_MSB[[#This Row],[Mat. Date]]-RPT</f>
        <v>4529</v>
      </c>
      <c r="BZ204" s="71">
        <f>IF(Bankingbook_MSB[[#This Row],[Days]]&lt;=0,0,YEARFRAC(RPT,Bankingbook_MSB[[#This Row],[Mat. Date]],3))</f>
        <v>12.408219178082192</v>
      </c>
      <c r="CA204" s="71" t="str">
        <f>IF(Bankingbook_MSB[[#This Row],[Days (year)]]=0,0,INDEX(Ref!$K$2:$K$13,MATCH(Bankingbook_MSB[[#This Row],[Days (year)]],Ref!$I$2:$I$13,1)))</f>
        <v>15Y</v>
      </c>
      <c r="CB204" s="32" t="str">
        <f>VLOOKUP(Bankingbook_MSB[[#This Row],[Security Name]],Ref!X:Z,3,0)</f>
        <v>TPCP</v>
      </c>
      <c r="CC204" s="32" t="str">
        <f>VLOOKUP(Bankingbook_MSB[[#This Row],[Security Name]],Ref!X:Y,2,0)</f>
        <v>KBNN</v>
      </c>
      <c r="CD204" s="72">
        <f>IF((Bankingbook_MSB[[#This Row],[Mat. Date]]-RPT)&lt;=0,0,Bankingbook_MSB[[#This Row],[QUANTITY]])</f>
        <v>6000000</v>
      </c>
      <c r="CE204" s="71">
        <f>IF(Bankingbook_MSB[[#This Row],[Quantity_edited]]=0,0,Bankingbook_MSB[[#This Row],[DURATION]])</f>
        <v>10.527370810000001</v>
      </c>
      <c r="CF204" s="71">
        <f>IF(Bankingbook_MSB[[#This Row],[Quantity_edited]]=0,0,Bankingbook_MSB[[#This Row],[Mod Dur]])</f>
        <v>10.0730458643232</v>
      </c>
      <c r="CG204" s="71">
        <f>IF(Bankingbook_MSB[[#This Row],[Quantity_edited]]=0,0,Bankingbook_MSB[[#This Row],[Cnvx.]])</f>
        <v>122.80369470974399</v>
      </c>
      <c r="CH204" s="71">
        <f>(Bankingbook_MSB[[#This Row],[MARKET_VALUE]]+Bankingbook_MSB[[#This Row],[Accr Int]]*Bankingbook_MSB[[#This Row],[Quantity_edited]])*(-Bankingbook_MSB[[#This Row],[Modified Duration]]*0.0001+0.5*Bankingbook_MSB[[#This Row],[Conv]]*(0.0001^2))</f>
        <v>-487560375.87379211</v>
      </c>
      <c r="CI204" s="71">
        <f>(Bankingbook_MSB[[#This Row],[MARKET_VALUE]]+Bankingbook_MSB[[#This Row],[Accr Int]]*Bankingbook_MSB[[#This Row],[Quantity_edited]])*(-Bankingbook_MSB[[#This Row],[Modified Duration]]*0.01+0.5*Bankingbook_MSB[[#This Row],[Conv]]*(0.01^2))</f>
        <v>-45811961458.998962</v>
      </c>
      <c r="CL204" t="s">
        <v>166</v>
      </c>
      <c r="CM204" t="s">
        <v>167</v>
      </c>
      <c r="CN204" t="s">
        <v>384</v>
      </c>
      <c r="CO204" t="s">
        <v>169</v>
      </c>
      <c r="CP204" s="35">
        <v>43471</v>
      </c>
      <c r="CQ204" t="s">
        <v>3322</v>
      </c>
      <c r="CR204" t="s">
        <v>174</v>
      </c>
      <c r="CS204" t="s">
        <v>174</v>
      </c>
      <c r="CT204" s="49">
        <v>0</v>
      </c>
      <c r="CU204">
        <v>0</v>
      </c>
      <c r="CV204">
        <v>0</v>
      </c>
      <c r="CW204" s="70">
        <v>0</v>
      </c>
      <c r="CX204">
        <v>6.2</v>
      </c>
      <c r="CY204">
        <v>0</v>
      </c>
      <c r="CZ204">
        <v>12400000000</v>
      </c>
      <c r="DA204">
        <v>13030806944.444427</v>
      </c>
      <c r="DB204">
        <v>-4951192388.8888626</v>
      </c>
      <c r="DC204">
        <v>0</v>
      </c>
      <c r="DD204">
        <v>0</v>
      </c>
      <c r="DE204">
        <v>0</v>
      </c>
      <c r="DF204">
        <v>0</v>
      </c>
      <c r="DG204">
        <v>0</v>
      </c>
      <c r="DH204">
        <v>0</v>
      </c>
      <c r="DI204">
        <v>0</v>
      </c>
      <c r="DJ204" s="500">
        <v>7503000000</v>
      </c>
      <c r="DK204" s="500">
        <v>0</v>
      </c>
      <c r="DL204" s="37">
        <v>7503000000</v>
      </c>
      <c r="DM204" s="37">
        <v>7503000000</v>
      </c>
      <c r="DN204" s="37">
        <v>7503000000</v>
      </c>
      <c r="DO204" s="37">
        <v>7503000000</v>
      </c>
      <c r="DP204" s="32">
        <f>Tradingbook_SBV[[#This Row],[Mat. Date]]-RPT</f>
        <v>-2781</v>
      </c>
      <c r="DQ204" s="32">
        <f>IF(Tradingbook_SBV[[#This Row],[Days]]&lt;=0,0,YEARFRAC(RPT,Tradingbook_SBV[[#This Row],[Mat. Date]],3))</f>
        <v>0</v>
      </c>
      <c r="DR204" s="32">
        <f>IF(Tradingbook_SBV[[#This Row],[Days (year)]]=0,0,INDEX(Ref!$K$2:$K$13,MATCH(Tradingbook_SBV[[#This Row],[Days (year)]],Ref!$I$2:$I$13,1)))</f>
        <v>0</v>
      </c>
      <c r="DS204" s="32" t="str">
        <f>VLOOKUP(Tradingbook_SBV[[#This Row],[Security Name]],Ref!X:Z,3,0)</f>
        <v>TPCPBL</v>
      </c>
      <c r="DT204" s="32" t="str">
        <f>VLOOKUP(Tradingbook_SBV[[#This Row],[Security Name]],Ref!X:Y,2,0)</f>
        <v>VDB</v>
      </c>
      <c r="DU204" s="71">
        <f>IF((Tradingbook_SBV[[#This Row],[Mat. Date]]-RPT)&lt;=0,0,Tradingbook_SBV[[#This Row],[QUANTITY]])</f>
        <v>0</v>
      </c>
      <c r="DV204" s="71">
        <f>IF(Tradingbook_SBV[[#This Row],[Quantity_edited]]=0,0,Tradingbook_SBV[[#This Row],[DURATION]])</f>
        <v>0</v>
      </c>
      <c r="DW204" s="71">
        <f>IF(Tradingbook_SBV[[#This Row],[Quantity_edited]]=0,0,Tradingbook_SBV[[#This Row],[Mod Dur]])</f>
        <v>0</v>
      </c>
      <c r="DX204" s="71">
        <f>IF(Tradingbook_SBV[[#This Row],[Quantity_edited]]=0,0,Tradingbook_SBV[[#This Row],[Cnvx.]])</f>
        <v>0</v>
      </c>
      <c r="DY204" s="71">
        <f>(Tradingbook_SBV[[#This Row],[MARKET_VALUE]]+Tradingbook_SBV[[#This Row],[Accr Int]]*Tradingbook_SBV[[#This Row],[Quantity_edited]])*(-Tradingbook_SBV[[#This Row],[Modified Duration]]*0.0001+0.5*Tradingbook_SBV[[#This Row],[Conv]]*(0.0001^2))</f>
        <v>0</v>
      </c>
      <c r="DZ204" s="71">
        <f>(Tradingbook_SBV[[#This Row],[MARKET_VALUE]]+Tradingbook_SBV[[#This Row],[Accr Int]]*Tradingbook_SBV[[#This Row],[Quantity_edited]])*(-Tradingbook_SBV[[#This Row],[Modified Duration]]*0.01+0.5*Tradingbook_SBV[[#This Row],[Conv]]*(0.01^2))</f>
        <v>0</v>
      </c>
      <c r="EC204" t="s">
        <v>166</v>
      </c>
      <c r="ED204" t="s">
        <v>3300</v>
      </c>
      <c r="EE204" t="s">
        <v>603</v>
      </c>
      <c r="EF204" t="s">
        <v>169</v>
      </c>
      <c r="EG204" s="35" t="s">
        <v>3802</v>
      </c>
      <c r="EH204" t="s">
        <v>3322</v>
      </c>
      <c r="EI204" s="500">
        <v>100052</v>
      </c>
      <c r="EJ204" s="500">
        <v>100052</v>
      </c>
      <c r="EK204" s="500">
        <v>0</v>
      </c>
      <c r="EL204" s="500">
        <v>0</v>
      </c>
      <c r="EM204" s="500">
        <v>0</v>
      </c>
      <c r="EN204" s="500">
        <v>0</v>
      </c>
      <c r="EO204">
        <v>4.3</v>
      </c>
      <c r="EP204">
        <v>3110</v>
      </c>
      <c r="EQ204">
        <v>0</v>
      </c>
      <c r="ER204">
        <v>7.9999999999999996E-6</v>
      </c>
      <c r="ES204">
        <v>-202516634.16666412</v>
      </c>
      <c r="ET204">
        <v>4.2766728519999999</v>
      </c>
      <c r="EU204">
        <v>2.9116689226732002</v>
      </c>
      <c r="EV204">
        <v>3.0361914799999998</v>
      </c>
      <c r="EW204">
        <v>11.738087386867299</v>
      </c>
      <c r="EX204">
        <v>0</v>
      </c>
      <c r="EY204">
        <v>0</v>
      </c>
      <c r="EZ204">
        <v>0</v>
      </c>
      <c r="FA204">
        <v>-707000000</v>
      </c>
      <c r="FB204">
        <v>0</v>
      </c>
      <c r="FC204">
        <v>-707000000</v>
      </c>
      <c r="FD204">
        <v>-707000000</v>
      </c>
      <c r="FE204">
        <v>-707000000</v>
      </c>
      <c r="FF204">
        <v>-707000000</v>
      </c>
      <c r="FG204" s="32">
        <f>Bankingbook_SBV[[#This Row],[Mat. Date]]-RPT</f>
        <v>1197</v>
      </c>
      <c r="FH204" s="32">
        <f>IF(Bankingbook_SBV[[#This Row],[Days]]&lt;=0,0,YEARFRAC(RPT,Bankingbook_SBV[[#This Row],[Mat. Date]],3))</f>
        <v>3.2794520547945205</v>
      </c>
      <c r="FI204" s="32" t="str">
        <f>IF(Bankingbook_SBV[[#This Row],[Days (year)]]=0,0,INDEX(Ref!$K$2:$K$13,MATCH(Bankingbook_SBV[[#This Row],[Days (year)]],Ref!$I$2:$I$13,1)))</f>
        <v>3Y</v>
      </c>
      <c r="FJ204" s="32" t="str">
        <f>VLOOKUP(Bankingbook_SBV[[#This Row],[Security Name]],Ref!X:Z,3,0)</f>
        <v>TPCPBL</v>
      </c>
      <c r="FK204" s="32" t="str">
        <f>VLOOKUP(Bankingbook_SBV[[#This Row],[Security Name]],Ref!X:Y,2,0)</f>
        <v>VDB</v>
      </c>
      <c r="FL204" s="72">
        <f>IF((Bankingbook_SBV[[#This Row],[Mat. Date]]-RPT)&lt;=0,0,Bankingbook_SBV[[#This Row],[QUANTITY]])</f>
        <v>0</v>
      </c>
      <c r="FM204" s="32">
        <f>IF(Bankingbook_SBV[[#This Row],[Quantity_edited]]=0,0,Bankingbook_SBV[[#This Row],[DURATION]])</f>
        <v>0</v>
      </c>
      <c r="FN204" s="32">
        <f>IF(Bankingbook_SBV[[#This Row],[Quantity_edited]]=0,0,Bankingbook_SBV[[#This Row],[Mod Dur]])</f>
        <v>0</v>
      </c>
      <c r="FO204" s="32">
        <f>IF(Bankingbook_SBV[[#This Row],[Quantity_edited]]=0,0,Bankingbook_SBV[[#This Row],[Cnvx.]])</f>
        <v>0</v>
      </c>
      <c r="FP204" s="32">
        <f>(Bankingbook_SBV[[#This Row],[MARKET_VALUE]]+Bankingbook_SBV[[#This Row],[Accr Int]]*Bankingbook_SBV[[#This Row],[Quantity_edited]])*(-Bankingbook_SBV[[#This Row],[Modified Duration]]*0.0001+0.5*Bankingbook_SBV[[#This Row],[Conv]]*(0.0001^2))</f>
        <v>0</v>
      </c>
      <c r="FQ204" s="32">
        <f>(Bankingbook_SBV[[#This Row],[MARKET_VALUE]]+Bankingbook_SBV[[#This Row],[Accr Int]]*Bankingbook_SBV[[#This Row],[Quantity_edited]])*(-Bankingbook_SBV[[#This Row],[Modified Duration]]*0.01+0.5*Bankingbook_SBV[[#This Row],[Conv]]*(0.01^2))</f>
        <v>0</v>
      </c>
    </row>
    <row r="205" spans="2:173" x14ac:dyDescent="0.3">
      <c r="B205" t="s">
        <v>166</v>
      </c>
      <c r="C205" t="s">
        <v>167</v>
      </c>
      <c r="D205" t="s">
        <v>385</v>
      </c>
      <c r="E205" t="s">
        <v>169</v>
      </c>
      <c r="F205" s="502">
        <v>43472</v>
      </c>
      <c r="G205" t="s">
        <v>3322</v>
      </c>
      <c r="H205"/>
      <c r="I205"/>
      <c r="J205" s="38">
        <v>0</v>
      </c>
      <c r="K205">
        <v>0</v>
      </c>
      <c r="L205">
        <v>0</v>
      </c>
      <c r="M205" s="38">
        <v>0</v>
      </c>
      <c r="N205">
        <v>5.7</v>
      </c>
      <c r="O205">
        <v>0</v>
      </c>
      <c r="P205" s="37">
        <v>2850000000</v>
      </c>
      <c r="Q205" s="37">
        <v>2994983854.166667</v>
      </c>
      <c r="R205" s="37">
        <v>-1759898071.1805561</v>
      </c>
      <c r="S205">
        <v>0</v>
      </c>
      <c r="T205" s="70">
        <v>0</v>
      </c>
      <c r="U205">
        <v>0</v>
      </c>
      <c r="V205">
        <v>0</v>
      </c>
      <c r="W205">
        <v>0</v>
      </c>
      <c r="X205" s="38">
        <v>0</v>
      </c>
      <c r="Y205">
        <v>0</v>
      </c>
      <c r="Z205" s="70">
        <v>533500000</v>
      </c>
      <c r="AA205" s="70">
        <v>0</v>
      </c>
      <c r="AB205" s="70">
        <v>533500000</v>
      </c>
      <c r="AC205" s="70">
        <v>533500000</v>
      </c>
      <c r="AD205" s="70">
        <v>533500000</v>
      </c>
      <c r="AE205" s="70">
        <v>533500000</v>
      </c>
      <c r="AF205">
        <v>0</v>
      </c>
      <c r="AG205" s="72">
        <f>Tradingbook_MSB[[#This Row],[Mat. Date]]-RPT</f>
        <v>-2780</v>
      </c>
      <c r="AH205" s="71">
        <f>IF(Tradingbook_MSB[[#This Row],[Days]]&lt;=0,0,YEARFRAC(RPT,Tradingbook_MSB[[#This Row],[Mat. Date]],3))</f>
        <v>0</v>
      </c>
      <c r="AI205" s="71">
        <f>IF(Tradingbook_MSB[[#This Row],[Days (year)]]=0,0,INDEX(Ref!$K$2:$K$13,MATCH(Tradingbook_MSB[[#This Row],[Days (year)]],Ref!$I$2:$I$13,1)))</f>
        <v>0</v>
      </c>
      <c r="AJ205" s="120" t="str">
        <f>VLOOKUP(Tradingbook_MSB[[#This Row],[Security Name]],Ref!X:Z,3,0)</f>
        <v>TPCP</v>
      </c>
      <c r="AK205" s="120" t="str">
        <f>VLOOKUP(Tradingbook_MSB[[#This Row],[Security Name]],Ref!X:Y,2,0)</f>
        <v>KBNN</v>
      </c>
      <c r="AL205" s="71">
        <f>IF((Tradingbook_MSB[[#This Row],[Mat. Date]]-RPT)&lt;=0,0,Tradingbook_MSB[[#This Row],[QUANTITY]])</f>
        <v>0</v>
      </c>
      <c r="AM205" s="71">
        <f>IF(Tradingbook_MSB[[#This Row],[Quantity_edited]]=0,0,Tradingbook_MSB[[#This Row],[DURATION]])</f>
        <v>0</v>
      </c>
      <c r="AN205" s="71">
        <f>IF(Tradingbook_MSB[[#This Row],[Quantity_edited]]=0,0,Tradingbook_MSB[[#This Row],[Mod Dur]])</f>
        <v>0</v>
      </c>
      <c r="AO205" s="71">
        <f>IF(Tradingbook_MSB[[#This Row],[Quantity_edited]]=0,0,Tradingbook_MSB[[#This Row],[Cnvx.]])</f>
        <v>0</v>
      </c>
      <c r="AP205" s="71">
        <f>(Tradingbook_MSB[[#This Row],[MARKET_VALUE]]+Tradingbook_MSB[[#This Row],[Accr Int]]*Tradingbook_MSB[[#This Row],[Quantity_edited]])*(-Tradingbook_MSB[[#This Row],[Modified Duration]]*0.0001+0.5*Tradingbook_MSB[[#This Row],[Conv]]*(0.0001^2))</f>
        <v>0</v>
      </c>
      <c r="AQ205" s="72">
        <f>(Tradingbook_MSB[[#This Row],[MARKET_VALUE]]+Tradingbook_MSB[[#This Row],[Accr Int]]*Tradingbook_MSB[[#This Row],[Quantity_edited]])*(-Tradingbook_MSB[[#This Row],[Modified Duration]]*0.01+0.5*Tradingbook_MSB[[#This Row],[Conv]]*(0.01^2))</f>
        <v>0</v>
      </c>
      <c r="AR205" s="71"/>
      <c r="AT205" t="s">
        <v>166</v>
      </c>
      <c r="AU205" t="s">
        <v>3303</v>
      </c>
      <c r="AV205" t="s">
        <v>2835</v>
      </c>
      <c r="AW205" t="s">
        <v>169</v>
      </c>
      <c r="AX205" t="s">
        <v>3474</v>
      </c>
      <c r="AY205" t="s">
        <v>170</v>
      </c>
      <c r="AZ205">
        <v>82677</v>
      </c>
      <c r="BA205">
        <v>82677</v>
      </c>
      <c r="BB205">
        <v>6500000</v>
      </c>
      <c r="BC205">
        <v>650000000000</v>
      </c>
      <c r="BD205">
        <v>97745.285999999993</v>
      </c>
      <c r="BE205">
        <v>537400500000</v>
      </c>
      <c r="BF205">
        <v>2.7</v>
      </c>
      <c r="BG205">
        <v>747</v>
      </c>
      <c r="BH205">
        <v>45900000000</v>
      </c>
      <c r="BI205">
        <v>47526163125</v>
      </c>
      <c r="BJ205">
        <v>-63749450250.694572</v>
      </c>
      <c r="BK205">
        <v>4.5186916220000004</v>
      </c>
      <c r="BL205">
        <v>10.1675929399412</v>
      </c>
      <c r="BM205">
        <v>10.62703511</v>
      </c>
      <c r="BN205">
        <v>125.7741433700055</v>
      </c>
      <c r="BO205">
        <v>682017.83887245704</v>
      </c>
      <c r="BP205">
        <v>-551343.82772407599</v>
      </c>
      <c r="BQ205">
        <v>65662.615000000005</v>
      </c>
      <c r="BR205">
        <v>-665142857.1428405</v>
      </c>
      <c r="BS205">
        <v>-97943857142.857117</v>
      </c>
      <c r="BT205">
        <v>-98608999999.999954</v>
      </c>
      <c r="BU205">
        <v>-98608999999.999954</v>
      </c>
      <c r="BV205">
        <v>-98609000000</v>
      </c>
      <c r="BW205">
        <v>-98608999999.999954</v>
      </c>
      <c r="BX205">
        <v>2.8995065649999998</v>
      </c>
      <c r="BY205" s="32">
        <f>Bankingbook_MSB[[#This Row],[Mat. Date]]-RPT</f>
        <v>4647</v>
      </c>
      <c r="BZ205" s="71">
        <f>IF(Bankingbook_MSB[[#This Row],[Days]]&lt;=0,0,YEARFRAC(RPT,Bankingbook_MSB[[#This Row],[Mat. Date]],3))</f>
        <v>12.731506849315069</v>
      </c>
      <c r="CA205" s="71" t="str">
        <f>IF(Bankingbook_MSB[[#This Row],[Days (year)]]=0,0,INDEX(Ref!$K$2:$K$13,MATCH(Bankingbook_MSB[[#This Row],[Days (year)]],Ref!$I$2:$I$13,1)))</f>
        <v>15Y</v>
      </c>
      <c r="CB205" s="32" t="str">
        <f>VLOOKUP(Bankingbook_MSB[[#This Row],[Security Name]],Ref!X:Z,3,0)</f>
        <v>TPCP</v>
      </c>
      <c r="CC205" s="32" t="str">
        <f>VLOOKUP(Bankingbook_MSB[[#This Row],[Security Name]],Ref!X:Y,2,0)</f>
        <v>KBNN</v>
      </c>
      <c r="CD205" s="72">
        <f>IF((Bankingbook_MSB[[#This Row],[Mat. Date]]-RPT)&lt;=0,0,Bankingbook_MSB[[#This Row],[QUANTITY]])</f>
        <v>6500000</v>
      </c>
      <c r="CE205" s="71">
        <f>IF(Bankingbook_MSB[[#This Row],[Quantity_edited]]=0,0,Bankingbook_MSB[[#This Row],[DURATION]])</f>
        <v>10.62703511</v>
      </c>
      <c r="CF205" s="71">
        <f>IF(Bankingbook_MSB[[#This Row],[Quantity_edited]]=0,0,Bankingbook_MSB[[#This Row],[Mod Dur]])</f>
        <v>10.1675929399412</v>
      </c>
      <c r="CG205" s="71">
        <f>IF(Bankingbook_MSB[[#This Row],[Quantity_edited]]=0,0,Bankingbook_MSB[[#This Row],[Cnvx.]])</f>
        <v>125.7741433700055</v>
      </c>
      <c r="CH205" s="71">
        <f>(Bankingbook_MSB[[#This Row],[MARKET_VALUE]]+Bankingbook_MSB[[#This Row],[Accr Int]]*Bankingbook_MSB[[#This Row],[Quantity_edited]])*(-Bankingbook_MSB[[#This Row],[Modified Duration]]*0.0001+0.5*Bankingbook_MSB[[#This Row],[Conv]]*(0.0001^2))</f>
        <v>-551002818.80463922</v>
      </c>
      <c r="CI205" s="71">
        <f>(Bankingbook_MSB[[#This Row],[MARKET_VALUE]]+Bankingbook_MSB[[#This Row],[Accr Int]]*Bankingbook_MSB[[#This Row],[Quantity_edited]])*(-Bankingbook_MSB[[#This Row],[Modified Duration]]*0.01+0.5*Bankingbook_MSB[[#This Row],[Conv]]*(0.01^2))</f>
        <v>-51724293578.045273</v>
      </c>
      <c r="CL205" t="s">
        <v>166</v>
      </c>
      <c r="CM205" t="s">
        <v>167</v>
      </c>
      <c r="CN205" t="s">
        <v>385</v>
      </c>
      <c r="CO205" t="s">
        <v>169</v>
      </c>
      <c r="CP205" s="35">
        <v>43472</v>
      </c>
      <c r="CQ205" t="s">
        <v>3322</v>
      </c>
      <c r="CR205" t="s">
        <v>174</v>
      </c>
      <c r="CS205" t="s">
        <v>174</v>
      </c>
      <c r="CT205" s="49">
        <v>0</v>
      </c>
      <c r="CU205">
        <v>0</v>
      </c>
      <c r="CV205">
        <v>0</v>
      </c>
      <c r="CW205" s="70">
        <v>0</v>
      </c>
      <c r="CX205">
        <v>5.7</v>
      </c>
      <c r="CY205">
        <v>0</v>
      </c>
      <c r="CZ205">
        <v>2850000000</v>
      </c>
      <c r="DA205">
        <v>2994983854.166667</v>
      </c>
      <c r="DB205">
        <v>-1759898071.1805561</v>
      </c>
      <c r="DC205">
        <v>0</v>
      </c>
      <c r="DD205">
        <v>0</v>
      </c>
      <c r="DE205">
        <v>0</v>
      </c>
      <c r="DF205">
        <v>0</v>
      </c>
      <c r="DG205">
        <v>0</v>
      </c>
      <c r="DH205">
        <v>0</v>
      </c>
      <c r="DI205">
        <v>0</v>
      </c>
      <c r="DJ205" s="500">
        <v>533500000</v>
      </c>
      <c r="DK205" s="500">
        <v>0</v>
      </c>
      <c r="DL205" s="37">
        <v>533500000</v>
      </c>
      <c r="DM205" s="37">
        <v>533500000</v>
      </c>
      <c r="DN205" s="37">
        <v>533500000</v>
      </c>
      <c r="DO205" s="37">
        <v>533500000</v>
      </c>
      <c r="DP205" s="32">
        <f>Tradingbook_SBV[[#This Row],[Mat. Date]]-RPT</f>
        <v>-2780</v>
      </c>
      <c r="DQ205" s="32">
        <f>IF(Tradingbook_SBV[[#This Row],[Days]]&lt;=0,0,YEARFRAC(RPT,Tradingbook_SBV[[#This Row],[Mat. Date]],3))</f>
        <v>0</v>
      </c>
      <c r="DR205" s="32">
        <f>IF(Tradingbook_SBV[[#This Row],[Days (year)]]=0,0,INDEX(Ref!$K$2:$K$13,MATCH(Tradingbook_SBV[[#This Row],[Days (year)]],Ref!$I$2:$I$13,1)))</f>
        <v>0</v>
      </c>
      <c r="DS205" s="32" t="str">
        <f>VLOOKUP(Tradingbook_SBV[[#This Row],[Security Name]],Ref!X:Z,3,0)</f>
        <v>TPCP</v>
      </c>
      <c r="DT205" s="32" t="str">
        <f>VLOOKUP(Tradingbook_SBV[[#This Row],[Security Name]],Ref!X:Y,2,0)</f>
        <v>KBNN</v>
      </c>
      <c r="DU205" s="71">
        <f>IF((Tradingbook_SBV[[#This Row],[Mat. Date]]-RPT)&lt;=0,0,Tradingbook_SBV[[#This Row],[QUANTITY]])</f>
        <v>0</v>
      </c>
      <c r="DV205" s="71">
        <f>IF(Tradingbook_SBV[[#This Row],[Quantity_edited]]=0,0,Tradingbook_SBV[[#This Row],[DURATION]])</f>
        <v>0</v>
      </c>
      <c r="DW205" s="71">
        <f>IF(Tradingbook_SBV[[#This Row],[Quantity_edited]]=0,0,Tradingbook_SBV[[#This Row],[Mod Dur]])</f>
        <v>0</v>
      </c>
      <c r="DX205" s="71">
        <f>IF(Tradingbook_SBV[[#This Row],[Quantity_edited]]=0,0,Tradingbook_SBV[[#This Row],[Cnvx.]])</f>
        <v>0</v>
      </c>
      <c r="DY205" s="71">
        <f>(Tradingbook_SBV[[#This Row],[MARKET_VALUE]]+Tradingbook_SBV[[#This Row],[Accr Int]]*Tradingbook_SBV[[#This Row],[Quantity_edited]])*(-Tradingbook_SBV[[#This Row],[Modified Duration]]*0.0001+0.5*Tradingbook_SBV[[#This Row],[Conv]]*(0.0001^2))</f>
        <v>0</v>
      </c>
      <c r="DZ205" s="71">
        <f>(Tradingbook_SBV[[#This Row],[MARKET_VALUE]]+Tradingbook_SBV[[#This Row],[Accr Int]]*Tradingbook_SBV[[#This Row],[Quantity_edited]])*(-Tradingbook_SBV[[#This Row],[Modified Duration]]*0.01+0.5*Tradingbook_SBV[[#This Row],[Conv]]*(0.01^2))</f>
        <v>0</v>
      </c>
      <c r="EC205" t="s">
        <v>166</v>
      </c>
      <c r="ED205" t="s">
        <v>3300</v>
      </c>
      <c r="EE205" t="s">
        <v>604</v>
      </c>
      <c r="EF205" t="s">
        <v>169</v>
      </c>
      <c r="EG205" s="35" t="s">
        <v>3418</v>
      </c>
      <c r="EH205" t="s">
        <v>3322</v>
      </c>
      <c r="EI205" s="500">
        <v>99735</v>
      </c>
      <c r="EJ205" s="500">
        <v>99735</v>
      </c>
      <c r="EK205" s="500">
        <v>0</v>
      </c>
      <c r="EL205" s="500">
        <v>0</v>
      </c>
      <c r="EM205" s="500">
        <v>0</v>
      </c>
      <c r="EN205" s="500">
        <v>0</v>
      </c>
      <c r="EO205">
        <v>4.2</v>
      </c>
      <c r="EP205">
        <v>2957</v>
      </c>
      <c r="EQ205">
        <v>8400000000</v>
      </c>
      <c r="ER205">
        <v>9721644916.666626</v>
      </c>
      <c r="ES205">
        <v>-1287390146.0164719</v>
      </c>
      <c r="ET205">
        <v>4.2819000650000003</v>
      </c>
      <c r="EU205">
        <v>2.9344386914189999</v>
      </c>
      <c r="EV205">
        <v>3.06008842</v>
      </c>
      <c r="EW205">
        <v>11.8846976860916</v>
      </c>
      <c r="EX205">
        <v>0</v>
      </c>
      <c r="EY205">
        <v>0</v>
      </c>
      <c r="EZ205">
        <v>0</v>
      </c>
      <c r="FA205">
        <v>7232000000</v>
      </c>
      <c r="FB205">
        <v>0</v>
      </c>
      <c r="FC205">
        <v>7232000000</v>
      </c>
      <c r="FD205">
        <v>7232000000</v>
      </c>
      <c r="FE205">
        <v>7232000000</v>
      </c>
      <c r="FF205">
        <v>7232000000</v>
      </c>
      <c r="FG205" s="32">
        <f>Bankingbook_SBV[[#This Row],[Mat. Date]]-RPT</f>
        <v>1204</v>
      </c>
      <c r="FH205" s="32">
        <f>IF(Bankingbook_SBV[[#This Row],[Days]]&lt;=0,0,YEARFRAC(RPT,Bankingbook_SBV[[#This Row],[Mat. Date]],3))</f>
        <v>3.2986301369863016</v>
      </c>
      <c r="FI205" s="32" t="str">
        <f>IF(Bankingbook_SBV[[#This Row],[Days (year)]]=0,0,INDEX(Ref!$K$2:$K$13,MATCH(Bankingbook_SBV[[#This Row],[Days (year)]],Ref!$I$2:$I$13,1)))</f>
        <v>3Y</v>
      </c>
      <c r="FJ205" s="32" t="str">
        <f>VLOOKUP(Bankingbook_SBV[[#This Row],[Security Name]],Ref!X:Z,3,0)</f>
        <v>TPCPBL</v>
      </c>
      <c r="FK205" s="32" t="str">
        <f>VLOOKUP(Bankingbook_SBV[[#This Row],[Security Name]],Ref!X:Y,2,0)</f>
        <v>VDB</v>
      </c>
      <c r="FL205" s="72">
        <f>IF((Bankingbook_SBV[[#This Row],[Mat. Date]]-RPT)&lt;=0,0,Bankingbook_SBV[[#This Row],[QUANTITY]])</f>
        <v>0</v>
      </c>
      <c r="FM205" s="32">
        <f>IF(Bankingbook_SBV[[#This Row],[Quantity_edited]]=0,0,Bankingbook_SBV[[#This Row],[DURATION]])</f>
        <v>0</v>
      </c>
      <c r="FN205" s="32">
        <f>IF(Bankingbook_SBV[[#This Row],[Quantity_edited]]=0,0,Bankingbook_SBV[[#This Row],[Mod Dur]])</f>
        <v>0</v>
      </c>
      <c r="FO205" s="32">
        <f>IF(Bankingbook_SBV[[#This Row],[Quantity_edited]]=0,0,Bankingbook_SBV[[#This Row],[Cnvx.]])</f>
        <v>0</v>
      </c>
      <c r="FP205" s="32">
        <f>(Bankingbook_SBV[[#This Row],[MARKET_VALUE]]+Bankingbook_SBV[[#This Row],[Accr Int]]*Bankingbook_SBV[[#This Row],[Quantity_edited]])*(-Bankingbook_SBV[[#This Row],[Modified Duration]]*0.0001+0.5*Bankingbook_SBV[[#This Row],[Conv]]*(0.0001^2))</f>
        <v>0</v>
      </c>
      <c r="FQ205" s="32">
        <f>(Bankingbook_SBV[[#This Row],[MARKET_VALUE]]+Bankingbook_SBV[[#This Row],[Accr Int]]*Bankingbook_SBV[[#This Row],[Quantity_edited]])*(-Bankingbook_SBV[[#This Row],[Modified Duration]]*0.01+0.5*Bankingbook_SBV[[#This Row],[Conv]]*(0.01^2))</f>
        <v>0</v>
      </c>
    </row>
    <row r="206" spans="2:173" x14ac:dyDescent="0.3">
      <c r="B206" t="s">
        <v>166</v>
      </c>
      <c r="C206" t="s">
        <v>167</v>
      </c>
      <c r="D206" t="s">
        <v>386</v>
      </c>
      <c r="E206" t="s">
        <v>169</v>
      </c>
      <c r="F206" s="502">
        <v>43476</v>
      </c>
      <c r="G206" t="s">
        <v>3322</v>
      </c>
      <c r="H206"/>
      <c r="I206"/>
      <c r="J206" s="38">
        <v>0</v>
      </c>
      <c r="K206">
        <v>0</v>
      </c>
      <c r="L206">
        <v>0</v>
      </c>
      <c r="M206" s="38">
        <v>0</v>
      </c>
      <c r="N206">
        <v>5.7</v>
      </c>
      <c r="O206">
        <v>0</v>
      </c>
      <c r="P206" s="37">
        <v>0</v>
      </c>
      <c r="Q206" s="37">
        <v>-1.0000000000000001E-5</v>
      </c>
      <c r="R206" s="37">
        <v>-1083364297.2222261</v>
      </c>
      <c r="S206">
        <v>0</v>
      </c>
      <c r="T206" s="70">
        <v>0</v>
      </c>
      <c r="U206">
        <v>0</v>
      </c>
      <c r="V206">
        <v>0</v>
      </c>
      <c r="W206">
        <v>0</v>
      </c>
      <c r="X206" s="38">
        <v>0</v>
      </c>
      <c r="Y206">
        <v>0</v>
      </c>
      <c r="Z206" s="70">
        <v>1171000000</v>
      </c>
      <c r="AA206" s="70">
        <v>0</v>
      </c>
      <c r="AB206" s="70">
        <v>1171000000</v>
      </c>
      <c r="AC206" s="70">
        <v>1171000000</v>
      </c>
      <c r="AD206" s="70">
        <v>1171000000</v>
      </c>
      <c r="AE206" s="70">
        <v>1171000000</v>
      </c>
      <c r="AF206">
        <v>0</v>
      </c>
      <c r="AG206" s="72">
        <f>Tradingbook_MSB[[#This Row],[Mat. Date]]-RPT</f>
        <v>-2776</v>
      </c>
      <c r="AH206" s="71">
        <f>IF(Tradingbook_MSB[[#This Row],[Days]]&lt;=0,0,YEARFRAC(RPT,Tradingbook_MSB[[#This Row],[Mat. Date]],3))</f>
        <v>0</v>
      </c>
      <c r="AI206" s="71">
        <f>IF(Tradingbook_MSB[[#This Row],[Days (year)]]=0,0,INDEX(Ref!$K$2:$K$13,MATCH(Tradingbook_MSB[[#This Row],[Days (year)]],Ref!$I$2:$I$13,1)))</f>
        <v>0</v>
      </c>
      <c r="AJ206" s="120" t="str">
        <f>VLOOKUP(Tradingbook_MSB[[#This Row],[Security Name]],Ref!X:Z,3,0)</f>
        <v>TPCP</v>
      </c>
      <c r="AK206" s="120" t="str">
        <f>VLOOKUP(Tradingbook_MSB[[#This Row],[Security Name]],Ref!X:Y,2,0)</f>
        <v>KBNN</v>
      </c>
      <c r="AL206" s="71">
        <f>IF((Tradingbook_MSB[[#This Row],[Mat. Date]]-RPT)&lt;=0,0,Tradingbook_MSB[[#This Row],[QUANTITY]])</f>
        <v>0</v>
      </c>
      <c r="AM206" s="71">
        <f>IF(Tradingbook_MSB[[#This Row],[Quantity_edited]]=0,0,Tradingbook_MSB[[#This Row],[DURATION]])</f>
        <v>0</v>
      </c>
      <c r="AN206" s="71">
        <f>IF(Tradingbook_MSB[[#This Row],[Quantity_edited]]=0,0,Tradingbook_MSB[[#This Row],[Mod Dur]])</f>
        <v>0</v>
      </c>
      <c r="AO206" s="71">
        <f>IF(Tradingbook_MSB[[#This Row],[Quantity_edited]]=0,0,Tradingbook_MSB[[#This Row],[Cnvx.]])</f>
        <v>0</v>
      </c>
      <c r="AP206" s="71">
        <f>(Tradingbook_MSB[[#This Row],[MARKET_VALUE]]+Tradingbook_MSB[[#This Row],[Accr Int]]*Tradingbook_MSB[[#This Row],[Quantity_edited]])*(-Tradingbook_MSB[[#This Row],[Modified Duration]]*0.0001+0.5*Tradingbook_MSB[[#This Row],[Conv]]*(0.0001^2))</f>
        <v>0</v>
      </c>
      <c r="AQ206" s="72">
        <f>(Tradingbook_MSB[[#This Row],[MARKET_VALUE]]+Tradingbook_MSB[[#This Row],[Accr Int]]*Tradingbook_MSB[[#This Row],[Quantity_edited]])*(-Tradingbook_MSB[[#This Row],[Modified Duration]]*0.01+0.5*Tradingbook_MSB[[#This Row],[Conv]]*(0.01^2))</f>
        <v>0</v>
      </c>
      <c r="AR206" s="71"/>
      <c r="AT206" t="s">
        <v>166</v>
      </c>
      <c r="AU206" t="s">
        <v>3303</v>
      </c>
      <c r="AV206" t="s">
        <v>2840</v>
      </c>
      <c r="AW206" t="s">
        <v>169</v>
      </c>
      <c r="AX206" t="s">
        <v>3475</v>
      </c>
      <c r="AY206" t="s">
        <v>170</v>
      </c>
      <c r="AZ206">
        <v>84269</v>
      </c>
      <c r="BA206">
        <v>84269</v>
      </c>
      <c r="BB206">
        <v>3000000</v>
      </c>
      <c r="BC206">
        <v>300000000000</v>
      </c>
      <c r="BD206">
        <v>100685</v>
      </c>
      <c r="BE206">
        <v>252807000000</v>
      </c>
      <c r="BF206">
        <v>2.9</v>
      </c>
      <c r="BG206">
        <v>2868</v>
      </c>
      <c r="BH206">
        <v>8700000000</v>
      </c>
      <c r="BI206">
        <v>9175805416.6666679</v>
      </c>
      <c r="BJ206">
        <v>-18176383550.00005</v>
      </c>
      <c r="BK206">
        <v>4.5261596429999997</v>
      </c>
      <c r="BL206">
        <v>9.9982765652124996</v>
      </c>
      <c r="BM206">
        <v>10.45081452</v>
      </c>
      <c r="BN206">
        <v>125.61506209779949</v>
      </c>
      <c r="BO206">
        <v>328371.58998047851</v>
      </c>
      <c r="BP206">
        <v>-261365.94751887501</v>
      </c>
      <c r="BQ206">
        <v>31705.838</v>
      </c>
      <c r="BR206">
        <v>0</v>
      </c>
      <c r="BS206">
        <v>-49248000000</v>
      </c>
      <c r="BT206">
        <v>-49248000000</v>
      </c>
      <c r="BU206">
        <v>-49248000000</v>
      </c>
      <c r="BV206">
        <v>-49248000000</v>
      </c>
      <c r="BW206">
        <v>-49248000000</v>
      </c>
      <c r="BX206">
        <v>2.84</v>
      </c>
      <c r="BY206" s="32">
        <f>Bankingbook_MSB[[#This Row],[Mat. Date]]-RPT</f>
        <v>4752</v>
      </c>
      <c r="BZ206" s="71">
        <f>IF(Bankingbook_MSB[[#This Row],[Days]]&lt;=0,0,YEARFRAC(RPT,Bankingbook_MSB[[#This Row],[Mat. Date]],3))</f>
        <v>13.019178082191781</v>
      </c>
      <c r="CA206" s="71" t="str">
        <f>IF(Bankingbook_MSB[[#This Row],[Days (year)]]=0,0,INDEX(Ref!$K$2:$K$13,MATCH(Bankingbook_MSB[[#This Row],[Days (year)]],Ref!$I$2:$I$13,1)))</f>
        <v>15Y</v>
      </c>
      <c r="CB206" s="32" t="str">
        <f>VLOOKUP(Bankingbook_MSB[[#This Row],[Security Name]],Ref!X:Z,3,0)</f>
        <v>TPCP</v>
      </c>
      <c r="CC206" s="32" t="str">
        <f>VLOOKUP(Bankingbook_MSB[[#This Row],[Security Name]],Ref!X:Y,2,0)</f>
        <v>KBNN</v>
      </c>
      <c r="CD206" s="72">
        <f>IF((Bankingbook_MSB[[#This Row],[Mat. Date]]-RPT)&lt;=0,0,Bankingbook_MSB[[#This Row],[QUANTITY]])</f>
        <v>3000000</v>
      </c>
      <c r="CE206" s="71">
        <f>IF(Bankingbook_MSB[[#This Row],[Quantity_edited]]=0,0,Bankingbook_MSB[[#This Row],[DURATION]])</f>
        <v>10.45081452</v>
      </c>
      <c r="CF206" s="71">
        <f>IF(Bankingbook_MSB[[#This Row],[Quantity_edited]]=0,0,Bankingbook_MSB[[#This Row],[Mod Dur]])</f>
        <v>9.9982765652124996</v>
      </c>
      <c r="CG206" s="71">
        <f>IF(Bankingbook_MSB[[#This Row],[Quantity_edited]]=0,0,Bankingbook_MSB[[#This Row],[Cnvx.]])</f>
        <v>125.61506209779949</v>
      </c>
      <c r="CH206" s="71">
        <f>(Bankingbook_MSB[[#This Row],[MARKET_VALUE]]+Bankingbook_MSB[[#This Row],[Accr Int]]*Bankingbook_MSB[[#This Row],[Quantity_edited]])*(-Bankingbook_MSB[[#This Row],[Modified Duration]]*0.0001+0.5*Bankingbook_MSB[[#This Row],[Conv]]*(0.0001^2))</f>
        <v>-261201761.72388619</v>
      </c>
      <c r="CI206" s="71">
        <f>(Bankingbook_MSB[[#This Row],[MARKET_VALUE]]+Bankingbook_MSB[[#This Row],[Accr Int]]*Bankingbook_MSB[[#This Row],[Quantity_edited]])*(-Bankingbook_MSB[[#This Row],[Modified Duration]]*0.01+0.5*Bankingbook_MSB[[#This Row],[Conv]]*(0.01^2))</f>
        <v>-24494736801.985256</v>
      </c>
      <c r="CL206" t="s">
        <v>166</v>
      </c>
      <c r="CM206" t="s">
        <v>167</v>
      </c>
      <c r="CN206" t="s">
        <v>386</v>
      </c>
      <c r="CO206" t="s">
        <v>169</v>
      </c>
      <c r="CP206" s="35">
        <v>43476</v>
      </c>
      <c r="CQ206" t="s">
        <v>3322</v>
      </c>
      <c r="CR206" t="s">
        <v>174</v>
      </c>
      <c r="CS206" t="s">
        <v>174</v>
      </c>
      <c r="CT206" s="49">
        <v>0</v>
      </c>
      <c r="CU206">
        <v>0</v>
      </c>
      <c r="CV206">
        <v>0</v>
      </c>
      <c r="CW206" s="70">
        <v>0</v>
      </c>
      <c r="CX206">
        <v>5.7</v>
      </c>
      <c r="CY206">
        <v>0</v>
      </c>
      <c r="CZ206">
        <v>0</v>
      </c>
      <c r="DA206">
        <v>-1.0000000000000001E-5</v>
      </c>
      <c r="DB206">
        <v>-1083364297.2222261</v>
      </c>
      <c r="DC206">
        <v>0</v>
      </c>
      <c r="DD206">
        <v>0</v>
      </c>
      <c r="DE206">
        <v>0</v>
      </c>
      <c r="DF206">
        <v>0</v>
      </c>
      <c r="DG206">
        <v>0</v>
      </c>
      <c r="DH206">
        <v>0</v>
      </c>
      <c r="DI206">
        <v>0</v>
      </c>
      <c r="DJ206" s="500">
        <v>1171000000</v>
      </c>
      <c r="DK206" s="500">
        <v>0</v>
      </c>
      <c r="DL206" s="37">
        <v>1171000000</v>
      </c>
      <c r="DM206" s="37">
        <v>1171000000</v>
      </c>
      <c r="DN206" s="37">
        <v>1171000000</v>
      </c>
      <c r="DO206" s="37">
        <v>1171000000</v>
      </c>
      <c r="DP206" s="32">
        <f>Tradingbook_SBV[[#This Row],[Mat. Date]]-RPT</f>
        <v>-2776</v>
      </c>
      <c r="DQ206" s="32">
        <f>IF(Tradingbook_SBV[[#This Row],[Days]]&lt;=0,0,YEARFRAC(RPT,Tradingbook_SBV[[#This Row],[Mat. Date]],3))</f>
        <v>0</v>
      </c>
      <c r="DR206" s="32">
        <f>IF(Tradingbook_SBV[[#This Row],[Days (year)]]=0,0,INDEX(Ref!$K$2:$K$13,MATCH(Tradingbook_SBV[[#This Row],[Days (year)]],Ref!$I$2:$I$13,1)))</f>
        <v>0</v>
      </c>
      <c r="DS206" s="32" t="str">
        <f>VLOOKUP(Tradingbook_SBV[[#This Row],[Security Name]],Ref!X:Z,3,0)</f>
        <v>TPCP</v>
      </c>
      <c r="DT206" s="32" t="str">
        <f>VLOOKUP(Tradingbook_SBV[[#This Row],[Security Name]],Ref!X:Y,2,0)</f>
        <v>KBNN</v>
      </c>
      <c r="DU206" s="71">
        <f>IF((Tradingbook_SBV[[#This Row],[Mat. Date]]-RPT)&lt;=0,0,Tradingbook_SBV[[#This Row],[QUANTITY]])</f>
        <v>0</v>
      </c>
      <c r="DV206" s="71">
        <f>IF(Tradingbook_SBV[[#This Row],[Quantity_edited]]=0,0,Tradingbook_SBV[[#This Row],[DURATION]])</f>
        <v>0</v>
      </c>
      <c r="DW206" s="71">
        <f>IF(Tradingbook_SBV[[#This Row],[Quantity_edited]]=0,0,Tradingbook_SBV[[#This Row],[Mod Dur]])</f>
        <v>0</v>
      </c>
      <c r="DX206" s="71">
        <f>IF(Tradingbook_SBV[[#This Row],[Quantity_edited]]=0,0,Tradingbook_SBV[[#This Row],[Cnvx.]])</f>
        <v>0</v>
      </c>
      <c r="DY206" s="71">
        <f>(Tradingbook_SBV[[#This Row],[MARKET_VALUE]]+Tradingbook_SBV[[#This Row],[Accr Int]]*Tradingbook_SBV[[#This Row],[Quantity_edited]])*(-Tradingbook_SBV[[#This Row],[Modified Duration]]*0.0001+0.5*Tradingbook_SBV[[#This Row],[Conv]]*(0.0001^2))</f>
        <v>0</v>
      </c>
      <c r="DZ206" s="71">
        <f>(Tradingbook_SBV[[#This Row],[MARKET_VALUE]]+Tradingbook_SBV[[#This Row],[Accr Int]]*Tradingbook_SBV[[#This Row],[Quantity_edited]])*(-Tradingbook_SBV[[#This Row],[Modified Duration]]*0.01+0.5*Tradingbook_SBV[[#This Row],[Conv]]*(0.01^2))</f>
        <v>0</v>
      </c>
      <c r="EC206" t="s">
        <v>166</v>
      </c>
      <c r="ED206" t="s">
        <v>3300</v>
      </c>
      <c r="EE206" t="s">
        <v>605</v>
      </c>
      <c r="EF206" t="s">
        <v>169</v>
      </c>
      <c r="EG206" s="35" t="s">
        <v>3803</v>
      </c>
      <c r="EH206" t="s">
        <v>3322</v>
      </c>
      <c r="EI206" s="500">
        <v>99125</v>
      </c>
      <c r="EJ206" s="500">
        <v>99125</v>
      </c>
      <c r="EK206" s="500">
        <v>0</v>
      </c>
      <c r="EL206" s="500">
        <v>0</v>
      </c>
      <c r="EM206" s="500">
        <v>0</v>
      </c>
      <c r="EN206" s="500">
        <v>0</v>
      </c>
      <c r="EO206">
        <v>3.5</v>
      </c>
      <c r="EP206">
        <v>2455</v>
      </c>
      <c r="EQ206">
        <v>0</v>
      </c>
      <c r="ER206">
        <v>0</v>
      </c>
      <c r="ES206">
        <v>-4283213.8888864517</v>
      </c>
      <c r="ET206">
        <v>3.7825897720000001</v>
      </c>
      <c r="EU206">
        <v>2.9861450146904001</v>
      </c>
      <c r="EV206">
        <v>3.0990986299999999</v>
      </c>
      <c r="EW206">
        <v>12.1934485312331</v>
      </c>
      <c r="EX206">
        <v>0</v>
      </c>
      <c r="EY206">
        <v>0</v>
      </c>
      <c r="EZ206">
        <v>0</v>
      </c>
      <c r="FA206">
        <v>500000</v>
      </c>
      <c r="FB206">
        <v>0</v>
      </c>
      <c r="FC206">
        <v>500000</v>
      </c>
      <c r="FD206">
        <v>500000</v>
      </c>
      <c r="FE206">
        <v>500000</v>
      </c>
      <c r="FF206">
        <v>500000</v>
      </c>
      <c r="FG206" s="32">
        <f>Bankingbook_SBV[[#This Row],[Mat. Date]]-RPT</f>
        <v>1205</v>
      </c>
      <c r="FH206" s="32">
        <f>IF(Bankingbook_SBV[[#This Row],[Days]]&lt;=0,0,YEARFRAC(RPT,Bankingbook_SBV[[#This Row],[Mat. Date]],3))</f>
        <v>3.3013698630136985</v>
      </c>
      <c r="FI206" s="32" t="str">
        <f>IF(Bankingbook_SBV[[#This Row],[Days (year)]]=0,0,INDEX(Ref!$K$2:$K$13,MATCH(Bankingbook_SBV[[#This Row],[Days (year)]],Ref!$I$2:$I$13,1)))</f>
        <v>3Y</v>
      </c>
      <c r="FJ206" s="32" t="str">
        <f>VLOOKUP(Bankingbook_SBV[[#This Row],[Security Name]],Ref!X:Z,3,0)</f>
        <v>TPCP</v>
      </c>
      <c r="FK206" s="32" t="str">
        <f>VLOOKUP(Bankingbook_SBV[[#This Row],[Security Name]],Ref!X:Y,2,0)</f>
        <v>KBNN</v>
      </c>
      <c r="FL206" s="72">
        <f>IF((Bankingbook_SBV[[#This Row],[Mat. Date]]-RPT)&lt;=0,0,Bankingbook_SBV[[#This Row],[QUANTITY]])</f>
        <v>0</v>
      </c>
      <c r="FM206" s="32">
        <f>IF(Bankingbook_SBV[[#This Row],[Quantity_edited]]=0,0,Bankingbook_SBV[[#This Row],[DURATION]])</f>
        <v>0</v>
      </c>
      <c r="FN206" s="32">
        <f>IF(Bankingbook_SBV[[#This Row],[Quantity_edited]]=0,0,Bankingbook_SBV[[#This Row],[Mod Dur]])</f>
        <v>0</v>
      </c>
      <c r="FO206" s="32">
        <f>IF(Bankingbook_SBV[[#This Row],[Quantity_edited]]=0,0,Bankingbook_SBV[[#This Row],[Cnvx.]])</f>
        <v>0</v>
      </c>
      <c r="FP206" s="32">
        <f>(Bankingbook_SBV[[#This Row],[MARKET_VALUE]]+Bankingbook_SBV[[#This Row],[Accr Int]]*Bankingbook_SBV[[#This Row],[Quantity_edited]])*(-Bankingbook_SBV[[#This Row],[Modified Duration]]*0.0001+0.5*Bankingbook_SBV[[#This Row],[Conv]]*(0.0001^2))</f>
        <v>0</v>
      </c>
      <c r="FQ206" s="32">
        <f>(Bankingbook_SBV[[#This Row],[MARKET_VALUE]]+Bankingbook_SBV[[#This Row],[Accr Int]]*Bankingbook_SBV[[#This Row],[Quantity_edited]])*(-Bankingbook_SBV[[#This Row],[Modified Duration]]*0.01+0.5*Bankingbook_SBV[[#This Row],[Conv]]*(0.01^2))</f>
        <v>0</v>
      </c>
    </row>
    <row r="207" spans="2:173" x14ac:dyDescent="0.3">
      <c r="B207" t="s">
        <v>166</v>
      </c>
      <c r="C207" t="s">
        <v>167</v>
      </c>
      <c r="D207" t="s">
        <v>387</v>
      </c>
      <c r="E207" t="s">
        <v>169</v>
      </c>
      <c r="F207" s="502">
        <v>43478</v>
      </c>
      <c r="G207" t="s">
        <v>3322</v>
      </c>
      <c r="H207"/>
      <c r="I207"/>
      <c r="J207" s="38">
        <v>0</v>
      </c>
      <c r="K207">
        <v>0</v>
      </c>
      <c r="L207">
        <v>0</v>
      </c>
      <c r="M207" s="38">
        <v>0</v>
      </c>
      <c r="N207">
        <v>6.2</v>
      </c>
      <c r="O207">
        <v>0</v>
      </c>
      <c r="P207" s="37">
        <v>0</v>
      </c>
      <c r="Q207" s="37">
        <v>1.5E-5</v>
      </c>
      <c r="R207" s="37">
        <v>-1857238547.9166574</v>
      </c>
      <c r="S207">
        <v>0</v>
      </c>
      <c r="T207" s="70">
        <v>0</v>
      </c>
      <c r="U207">
        <v>0</v>
      </c>
      <c r="V207">
        <v>0</v>
      </c>
      <c r="W207">
        <v>0</v>
      </c>
      <c r="X207" s="38">
        <v>0</v>
      </c>
      <c r="Y207">
        <v>0</v>
      </c>
      <c r="Z207" s="70">
        <v>3927500000</v>
      </c>
      <c r="AA207" s="70">
        <v>0</v>
      </c>
      <c r="AB207" s="70">
        <v>3927500000</v>
      </c>
      <c r="AC207" s="70">
        <v>3927500000</v>
      </c>
      <c r="AD207" s="70">
        <v>3927500000</v>
      </c>
      <c r="AE207" s="70">
        <v>3927500000</v>
      </c>
      <c r="AF207">
        <v>0</v>
      </c>
      <c r="AG207" s="72">
        <f>Tradingbook_MSB[[#This Row],[Mat. Date]]-RPT</f>
        <v>-2774</v>
      </c>
      <c r="AH207" s="71">
        <f>IF(Tradingbook_MSB[[#This Row],[Days]]&lt;=0,0,YEARFRAC(RPT,Tradingbook_MSB[[#This Row],[Mat. Date]],3))</f>
        <v>0</v>
      </c>
      <c r="AI207" s="71">
        <f>IF(Tradingbook_MSB[[#This Row],[Days (year)]]=0,0,INDEX(Ref!$K$2:$K$13,MATCH(Tradingbook_MSB[[#This Row],[Days (year)]],Ref!$I$2:$I$13,1)))</f>
        <v>0</v>
      </c>
      <c r="AJ207" s="120" t="str">
        <f>VLOOKUP(Tradingbook_MSB[[#This Row],[Security Name]],Ref!X:Z,3,0)</f>
        <v>TPCPBL</v>
      </c>
      <c r="AK207" s="120" t="str">
        <f>VLOOKUP(Tradingbook_MSB[[#This Row],[Security Name]],Ref!X:Y,2,0)</f>
        <v>VDB</v>
      </c>
      <c r="AL207" s="71">
        <f>IF((Tradingbook_MSB[[#This Row],[Mat. Date]]-RPT)&lt;=0,0,Tradingbook_MSB[[#This Row],[QUANTITY]])</f>
        <v>0</v>
      </c>
      <c r="AM207" s="71">
        <f>IF(Tradingbook_MSB[[#This Row],[Quantity_edited]]=0,0,Tradingbook_MSB[[#This Row],[DURATION]])</f>
        <v>0</v>
      </c>
      <c r="AN207" s="71">
        <f>IF(Tradingbook_MSB[[#This Row],[Quantity_edited]]=0,0,Tradingbook_MSB[[#This Row],[Mod Dur]])</f>
        <v>0</v>
      </c>
      <c r="AO207" s="71">
        <f>IF(Tradingbook_MSB[[#This Row],[Quantity_edited]]=0,0,Tradingbook_MSB[[#This Row],[Cnvx.]])</f>
        <v>0</v>
      </c>
      <c r="AP207" s="71">
        <f>(Tradingbook_MSB[[#This Row],[MARKET_VALUE]]+Tradingbook_MSB[[#This Row],[Accr Int]]*Tradingbook_MSB[[#This Row],[Quantity_edited]])*(-Tradingbook_MSB[[#This Row],[Modified Duration]]*0.0001+0.5*Tradingbook_MSB[[#This Row],[Conv]]*(0.0001^2))</f>
        <v>0</v>
      </c>
      <c r="AQ207" s="72">
        <f>(Tradingbook_MSB[[#This Row],[MARKET_VALUE]]+Tradingbook_MSB[[#This Row],[Accr Int]]*Tradingbook_MSB[[#This Row],[Quantity_edited]])*(-Tradingbook_MSB[[#This Row],[Modified Duration]]*0.01+0.5*Tradingbook_MSB[[#This Row],[Conv]]*(0.01^2))</f>
        <v>0</v>
      </c>
      <c r="AR207" s="71"/>
      <c r="AT207" t="s">
        <v>166</v>
      </c>
      <c r="AU207" t="s">
        <v>3303</v>
      </c>
      <c r="AV207" t="s">
        <v>712</v>
      </c>
      <c r="AW207" t="s">
        <v>169</v>
      </c>
      <c r="AX207" t="s">
        <v>3477</v>
      </c>
      <c r="AY207" t="s">
        <v>170</v>
      </c>
      <c r="AZ207">
        <v>90735</v>
      </c>
      <c r="BA207">
        <v>90735</v>
      </c>
      <c r="BB207">
        <v>4000000</v>
      </c>
      <c r="BC207">
        <v>400000000000</v>
      </c>
      <c r="BD207">
        <v>108893</v>
      </c>
      <c r="BE207">
        <v>362940000000</v>
      </c>
      <c r="BF207">
        <v>3.6</v>
      </c>
      <c r="BG207">
        <v>2180</v>
      </c>
      <c r="BH207">
        <v>68400000000</v>
      </c>
      <c r="BI207">
        <v>75556941499.999878</v>
      </c>
      <c r="BJ207">
        <v>-60639263469.443748</v>
      </c>
      <c r="BK207">
        <v>4.5361371769999996</v>
      </c>
      <c r="BL207">
        <v>10.0112106148161</v>
      </c>
      <c r="BM207">
        <v>10.46533286</v>
      </c>
      <c r="BN207">
        <v>127.213464513856</v>
      </c>
      <c r="BO207">
        <v>472801.56221219711</v>
      </c>
      <c r="BP207">
        <v>-372076.65371025499</v>
      </c>
      <c r="BQ207">
        <v>45174.847000000002</v>
      </c>
      <c r="BR207">
        <v>0</v>
      </c>
      <c r="BS207">
        <v>-72632000000</v>
      </c>
      <c r="BT207">
        <v>-72632000000</v>
      </c>
      <c r="BU207">
        <v>-72632000000</v>
      </c>
      <c r="BV207">
        <v>-72632000000</v>
      </c>
      <c r="BW207">
        <v>-72632000000</v>
      </c>
      <c r="BX207">
        <v>2.9449999999999998</v>
      </c>
      <c r="BY207" s="32">
        <f>Bankingbook_MSB[[#This Row],[Mat. Date]]-RPT</f>
        <v>4892</v>
      </c>
      <c r="BZ207" s="71">
        <f>IF(Bankingbook_MSB[[#This Row],[Days]]&lt;=0,0,YEARFRAC(RPT,Bankingbook_MSB[[#This Row],[Mat. Date]],3))</f>
        <v>13.402739726027397</v>
      </c>
      <c r="CA207" s="71" t="str">
        <f>IF(Bankingbook_MSB[[#This Row],[Days (year)]]=0,0,INDEX(Ref!$K$2:$K$13,MATCH(Bankingbook_MSB[[#This Row],[Days (year)]],Ref!$I$2:$I$13,1)))</f>
        <v>15Y</v>
      </c>
      <c r="CB207" s="32" t="str">
        <f>VLOOKUP(Bankingbook_MSB[[#This Row],[Security Name]],Ref!X:Z,3,0)</f>
        <v>TPCP</v>
      </c>
      <c r="CC207" s="32" t="str">
        <f>VLOOKUP(Bankingbook_MSB[[#This Row],[Security Name]],Ref!X:Y,2,0)</f>
        <v>KBNN</v>
      </c>
      <c r="CD207" s="72">
        <f>IF((Bankingbook_MSB[[#This Row],[Mat. Date]]-RPT)&lt;=0,0,Bankingbook_MSB[[#This Row],[QUANTITY]])</f>
        <v>4000000</v>
      </c>
      <c r="CE207" s="71">
        <f>IF(Bankingbook_MSB[[#This Row],[Quantity_edited]]=0,0,Bankingbook_MSB[[#This Row],[DURATION]])</f>
        <v>10.46533286</v>
      </c>
      <c r="CF207" s="71">
        <f>IF(Bankingbook_MSB[[#This Row],[Quantity_edited]]=0,0,Bankingbook_MSB[[#This Row],[Mod Dur]])</f>
        <v>10.0112106148161</v>
      </c>
      <c r="CG207" s="71">
        <f>IF(Bankingbook_MSB[[#This Row],[Quantity_edited]]=0,0,Bankingbook_MSB[[#This Row],[Cnvx.]])</f>
        <v>127.213464513856</v>
      </c>
      <c r="CH207" s="71">
        <f>(Bankingbook_MSB[[#This Row],[MARKET_VALUE]]+Bankingbook_MSB[[#This Row],[Accr Int]]*Bankingbook_MSB[[#This Row],[Quantity_edited]])*(-Bankingbook_MSB[[#This Row],[Modified Duration]]*0.0001+0.5*Bankingbook_MSB[[#This Row],[Conv]]*(0.0001^2))</f>
        <v>-371840252.92914915</v>
      </c>
      <c r="CI207" s="71">
        <f>(Bankingbook_MSB[[#This Row],[MARKET_VALUE]]+Bankingbook_MSB[[#This Row],[Accr Int]]*Bankingbook_MSB[[#This Row],[Quantity_edited]])*(-Bankingbook_MSB[[#This Row],[Modified Duration]]*0.01+0.5*Bankingbook_MSB[[#This Row],[Conv]]*(0.01^2))</f>
        <v>-34843657559.964531</v>
      </c>
      <c r="CL207" t="s">
        <v>166</v>
      </c>
      <c r="CM207" t="s">
        <v>167</v>
      </c>
      <c r="CN207" t="s">
        <v>387</v>
      </c>
      <c r="CO207" t="s">
        <v>169</v>
      </c>
      <c r="CP207" s="35">
        <v>43478</v>
      </c>
      <c r="CQ207" t="s">
        <v>3322</v>
      </c>
      <c r="CR207" t="s">
        <v>174</v>
      </c>
      <c r="CS207" t="s">
        <v>174</v>
      </c>
      <c r="CT207" s="49">
        <v>0</v>
      </c>
      <c r="CU207">
        <v>0</v>
      </c>
      <c r="CV207">
        <v>0</v>
      </c>
      <c r="CW207" s="70">
        <v>0</v>
      </c>
      <c r="CX207">
        <v>6.2</v>
      </c>
      <c r="CY207">
        <v>0</v>
      </c>
      <c r="CZ207">
        <v>0</v>
      </c>
      <c r="DA207">
        <v>1.5E-5</v>
      </c>
      <c r="DB207">
        <v>-1857238547.9166574</v>
      </c>
      <c r="DC207">
        <v>0</v>
      </c>
      <c r="DD207">
        <v>0</v>
      </c>
      <c r="DE207">
        <v>0</v>
      </c>
      <c r="DF207">
        <v>0</v>
      </c>
      <c r="DG207">
        <v>0</v>
      </c>
      <c r="DH207">
        <v>0</v>
      </c>
      <c r="DI207">
        <v>0</v>
      </c>
      <c r="DJ207" s="500">
        <v>3927500000</v>
      </c>
      <c r="DK207" s="500">
        <v>0</v>
      </c>
      <c r="DL207" s="37">
        <v>3927500000</v>
      </c>
      <c r="DM207" s="37">
        <v>3927500000</v>
      </c>
      <c r="DN207" s="37">
        <v>3927500000</v>
      </c>
      <c r="DO207" s="37">
        <v>3927500000</v>
      </c>
      <c r="DP207" s="32">
        <f>Tradingbook_SBV[[#This Row],[Mat. Date]]-RPT</f>
        <v>-2774</v>
      </c>
      <c r="DQ207" s="32">
        <f>IF(Tradingbook_SBV[[#This Row],[Days]]&lt;=0,0,YEARFRAC(RPT,Tradingbook_SBV[[#This Row],[Mat. Date]],3))</f>
        <v>0</v>
      </c>
      <c r="DR207" s="32">
        <f>IF(Tradingbook_SBV[[#This Row],[Days (year)]]=0,0,INDEX(Ref!$K$2:$K$13,MATCH(Tradingbook_SBV[[#This Row],[Days (year)]],Ref!$I$2:$I$13,1)))</f>
        <v>0</v>
      </c>
      <c r="DS207" s="32" t="str">
        <f>VLOOKUP(Tradingbook_SBV[[#This Row],[Security Name]],Ref!X:Z,3,0)</f>
        <v>TPCPBL</v>
      </c>
      <c r="DT207" s="32" t="str">
        <f>VLOOKUP(Tradingbook_SBV[[#This Row],[Security Name]],Ref!X:Y,2,0)</f>
        <v>VDB</v>
      </c>
      <c r="DU207" s="71">
        <f>IF((Tradingbook_SBV[[#This Row],[Mat. Date]]-RPT)&lt;=0,0,Tradingbook_SBV[[#This Row],[QUANTITY]])</f>
        <v>0</v>
      </c>
      <c r="DV207" s="71">
        <f>IF(Tradingbook_SBV[[#This Row],[Quantity_edited]]=0,0,Tradingbook_SBV[[#This Row],[DURATION]])</f>
        <v>0</v>
      </c>
      <c r="DW207" s="71">
        <f>IF(Tradingbook_SBV[[#This Row],[Quantity_edited]]=0,0,Tradingbook_SBV[[#This Row],[Mod Dur]])</f>
        <v>0</v>
      </c>
      <c r="DX207" s="71">
        <f>IF(Tradingbook_SBV[[#This Row],[Quantity_edited]]=0,0,Tradingbook_SBV[[#This Row],[Cnvx.]])</f>
        <v>0</v>
      </c>
      <c r="DY207" s="71">
        <f>(Tradingbook_SBV[[#This Row],[MARKET_VALUE]]+Tradingbook_SBV[[#This Row],[Accr Int]]*Tradingbook_SBV[[#This Row],[Quantity_edited]])*(-Tradingbook_SBV[[#This Row],[Modified Duration]]*0.0001+0.5*Tradingbook_SBV[[#This Row],[Conv]]*(0.0001^2))</f>
        <v>0</v>
      </c>
      <c r="DZ207" s="71">
        <f>(Tradingbook_SBV[[#This Row],[MARKET_VALUE]]+Tradingbook_SBV[[#This Row],[Accr Int]]*Tradingbook_SBV[[#This Row],[Quantity_edited]])*(-Tradingbook_SBV[[#This Row],[Modified Duration]]*0.01+0.5*Tradingbook_SBV[[#This Row],[Conv]]*(0.01^2))</f>
        <v>0</v>
      </c>
      <c r="EC207" t="s">
        <v>166</v>
      </c>
      <c r="ED207" t="s">
        <v>3300</v>
      </c>
      <c r="EE207" t="s">
        <v>606</v>
      </c>
      <c r="EF207" t="s">
        <v>169</v>
      </c>
      <c r="EG207" s="35" t="s">
        <v>3419</v>
      </c>
      <c r="EH207" t="s">
        <v>3322</v>
      </c>
      <c r="EI207" s="500">
        <v>97770</v>
      </c>
      <c r="EJ207" s="500">
        <v>97770</v>
      </c>
      <c r="EK207" s="500">
        <v>0</v>
      </c>
      <c r="EL207" s="500">
        <v>0</v>
      </c>
      <c r="EM207" s="500">
        <v>0</v>
      </c>
      <c r="EN207" s="500">
        <v>0</v>
      </c>
      <c r="EO207">
        <v>3.1</v>
      </c>
      <c r="EP207">
        <v>1877</v>
      </c>
      <c r="EQ207">
        <v>26350000000</v>
      </c>
      <c r="ER207">
        <v>30283887513.888786</v>
      </c>
      <c r="ES207">
        <v>-21167059465.312675</v>
      </c>
      <c r="ET207">
        <v>3.8082994710000002</v>
      </c>
      <c r="EU207">
        <v>3.0971039215367999</v>
      </c>
      <c r="EV207">
        <v>3.21505091</v>
      </c>
      <c r="EW207">
        <v>12.937675480988601</v>
      </c>
      <c r="EX207">
        <v>0</v>
      </c>
      <c r="EY207">
        <v>0</v>
      </c>
      <c r="EZ207">
        <v>0</v>
      </c>
      <c r="FA207">
        <v>-49918180000</v>
      </c>
      <c r="FB207">
        <v>0</v>
      </c>
      <c r="FC207">
        <v>-49918180000</v>
      </c>
      <c r="FD207">
        <v>-49918180000</v>
      </c>
      <c r="FE207">
        <v>-49918180000</v>
      </c>
      <c r="FF207">
        <v>-49918180000</v>
      </c>
      <c r="FG207" s="32">
        <f>Bankingbook_SBV[[#This Row],[Mat. Date]]-RPT</f>
        <v>1240</v>
      </c>
      <c r="FH207" s="32">
        <f>IF(Bankingbook_SBV[[#This Row],[Days]]&lt;=0,0,YEARFRAC(RPT,Bankingbook_SBV[[#This Row],[Mat. Date]],3))</f>
        <v>3.3972602739726026</v>
      </c>
      <c r="FI207" s="32" t="str">
        <f>IF(Bankingbook_SBV[[#This Row],[Days (year)]]=0,0,INDEX(Ref!$K$2:$K$13,MATCH(Bankingbook_SBV[[#This Row],[Days (year)]],Ref!$I$2:$I$13,1)))</f>
        <v>3Y</v>
      </c>
      <c r="FJ207" s="32" t="str">
        <f>VLOOKUP(Bankingbook_SBV[[#This Row],[Security Name]],Ref!X:Z,3,0)</f>
        <v>TPCP</v>
      </c>
      <c r="FK207" s="32" t="str">
        <f>VLOOKUP(Bankingbook_SBV[[#This Row],[Security Name]],Ref!X:Y,2,0)</f>
        <v>KBNN</v>
      </c>
      <c r="FL207" s="72">
        <f>IF((Bankingbook_SBV[[#This Row],[Mat. Date]]-RPT)&lt;=0,0,Bankingbook_SBV[[#This Row],[QUANTITY]])</f>
        <v>0</v>
      </c>
      <c r="FM207" s="32">
        <f>IF(Bankingbook_SBV[[#This Row],[Quantity_edited]]=0,0,Bankingbook_SBV[[#This Row],[DURATION]])</f>
        <v>0</v>
      </c>
      <c r="FN207" s="32">
        <f>IF(Bankingbook_SBV[[#This Row],[Quantity_edited]]=0,0,Bankingbook_SBV[[#This Row],[Mod Dur]])</f>
        <v>0</v>
      </c>
      <c r="FO207" s="32">
        <f>IF(Bankingbook_SBV[[#This Row],[Quantity_edited]]=0,0,Bankingbook_SBV[[#This Row],[Cnvx.]])</f>
        <v>0</v>
      </c>
      <c r="FP207" s="32">
        <f>(Bankingbook_SBV[[#This Row],[MARKET_VALUE]]+Bankingbook_SBV[[#This Row],[Accr Int]]*Bankingbook_SBV[[#This Row],[Quantity_edited]])*(-Bankingbook_SBV[[#This Row],[Modified Duration]]*0.0001+0.5*Bankingbook_SBV[[#This Row],[Conv]]*(0.0001^2))</f>
        <v>0</v>
      </c>
      <c r="FQ207" s="32">
        <f>(Bankingbook_SBV[[#This Row],[MARKET_VALUE]]+Bankingbook_SBV[[#This Row],[Accr Int]]*Bankingbook_SBV[[#This Row],[Quantity_edited]])*(-Bankingbook_SBV[[#This Row],[Modified Duration]]*0.01+0.5*Bankingbook_SBV[[#This Row],[Conv]]*(0.01^2))</f>
        <v>0</v>
      </c>
    </row>
    <row r="208" spans="2:173" x14ac:dyDescent="0.3">
      <c r="B208" t="s">
        <v>166</v>
      </c>
      <c r="C208" t="s">
        <v>167</v>
      </c>
      <c r="D208" t="s">
        <v>388</v>
      </c>
      <c r="E208" t="s">
        <v>169</v>
      </c>
      <c r="F208" s="502">
        <v>43479</v>
      </c>
      <c r="G208" t="s">
        <v>3322</v>
      </c>
      <c r="H208"/>
      <c r="I208"/>
      <c r="J208" s="38">
        <v>0</v>
      </c>
      <c r="K208">
        <v>0</v>
      </c>
      <c r="L208">
        <v>0</v>
      </c>
      <c r="M208" s="38">
        <v>0</v>
      </c>
      <c r="N208">
        <v>9.1999999999999993</v>
      </c>
      <c r="O208">
        <v>0</v>
      </c>
      <c r="P208" s="37">
        <v>46000000000</v>
      </c>
      <c r="Q208" s="37">
        <v>49852596472.222275</v>
      </c>
      <c r="R208" s="37">
        <v>-18171556493.940945</v>
      </c>
      <c r="S208">
        <v>0</v>
      </c>
      <c r="T208" s="70">
        <v>0</v>
      </c>
      <c r="U208">
        <v>0</v>
      </c>
      <c r="V208">
        <v>0</v>
      </c>
      <c r="W208">
        <v>0</v>
      </c>
      <c r="X208" s="38">
        <v>0</v>
      </c>
      <c r="Y208">
        <v>0</v>
      </c>
      <c r="Z208" s="70">
        <v>19079404958</v>
      </c>
      <c r="AA208" s="70">
        <v>0</v>
      </c>
      <c r="AB208" s="70">
        <v>19079404958</v>
      </c>
      <c r="AC208" s="70">
        <v>19079404958</v>
      </c>
      <c r="AD208" s="70">
        <v>19079404958</v>
      </c>
      <c r="AE208" s="70">
        <v>19079404958</v>
      </c>
      <c r="AF208">
        <v>0</v>
      </c>
      <c r="AG208" s="72">
        <f>Tradingbook_MSB[[#This Row],[Mat. Date]]-RPT</f>
        <v>-2773</v>
      </c>
      <c r="AH208" s="71">
        <f>IF(Tradingbook_MSB[[#This Row],[Days]]&lt;=0,0,YEARFRAC(RPT,Tradingbook_MSB[[#This Row],[Mat. Date]],3))</f>
        <v>0</v>
      </c>
      <c r="AI208" s="71">
        <f>IF(Tradingbook_MSB[[#This Row],[Days (year)]]=0,0,INDEX(Ref!$K$2:$K$13,MATCH(Tradingbook_MSB[[#This Row],[Days (year)]],Ref!$I$2:$I$13,1)))</f>
        <v>0</v>
      </c>
      <c r="AJ208" s="120" t="str">
        <f>VLOOKUP(Tradingbook_MSB[[#This Row],[Security Name]],Ref!X:Z,3,0)</f>
        <v>TPCPBL</v>
      </c>
      <c r="AK208" s="120" t="str">
        <f>VLOOKUP(Tradingbook_MSB[[#This Row],[Security Name]],Ref!X:Y,2,0)</f>
        <v>VDB</v>
      </c>
      <c r="AL208" s="71">
        <f>IF((Tradingbook_MSB[[#This Row],[Mat. Date]]-RPT)&lt;=0,0,Tradingbook_MSB[[#This Row],[QUANTITY]])</f>
        <v>0</v>
      </c>
      <c r="AM208" s="71">
        <f>IF(Tradingbook_MSB[[#This Row],[Quantity_edited]]=0,0,Tradingbook_MSB[[#This Row],[DURATION]])</f>
        <v>0</v>
      </c>
      <c r="AN208" s="71">
        <f>IF(Tradingbook_MSB[[#This Row],[Quantity_edited]]=0,0,Tradingbook_MSB[[#This Row],[Mod Dur]])</f>
        <v>0</v>
      </c>
      <c r="AO208" s="71">
        <f>IF(Tradingbook_MSB[[#This Row],[Quantity_edited]]=0,0,Tradingbook_MSB[[#This Row],[Cnvx.]])</f>
        <v>0</v>
      </c>
      <c r="AP208" s="71">
        <f>(Tradingbook_MSB[[#This Row],[MARKET_VALUE]]+Tradingbook_MSB[[#This Row],[Accr Int]]*Tradingbook_MSB[[#This Row],[Quantity_edited]])*(-Tradingbook_MSB[[#This Row],[Modified Duration]]*0.0001+0.5*Tradingbook_MSB[[#This Row],[Conv]]*(0.0001^2))</f>
        <v>0</v>
      </c>
      <c r="AQ208" s="72">
        <f>(Tradingbook_MSB[[#This Row],[MARKET_VALUE]]+Tradingbook_MSB[[#This Row],[Accr Int]]*Tradingbook_MSB[[#This Row],[Quantity_edited]])*(-Tradingbook_MSB[[#This Row],[Modified Duration]]*0.01+0.5*Tradingbook_MSB[[#This Row],[Conv]]*(0.01^2))</f>
        <v>0</v>
      </c>
      <c r="AR208" s="71"/>
      <c r="AT208" t="s">
        <v>166</v>
      </c>
      <c r="AU208" t="s">
        <v>3303</v>
      </c>
      <c r="AV208" t="s">
        <v>713</v>
      </c>
      <c r="AW208" t="s">
        <v>169</v>
      </c>
      <c r="AX208" t="s">
        <v>3478</v>
      </c>
      <c r="AY208" t="s">
        <v>170</v>
      </c>
      <c r="AZ208">
        <v>87240</v>
      </c>
      <c r="BA208">
        <v>87240</v>
      </c>
      <c r="BB208">
        <v>10000000</v>
      </c>
      <c r="BC208">
        <v>1000000000000</v>
      </c>
      <c r="BD208">
        <v>107427.9</v>
      </c>
      <c r="BE208">
        <v>872400000000</v>
      </c>
      <c r="BF208">
        <v>3.3</v>
      </c>
      <c r="BG208">
        <v>-18</v>
      </c>
      <c r="BH208">
        <v>95700000000</v>
      </c>
      <c r="BI208">
        <v>100358477083.33336</v>
      </c>
      <c r="BJ208">
        <v>-105732158104.16667</v>
      </c>
      <c r="BK208">
        <v>4.5520935729999996</v>
      </c>
      <c r="BL208">
        <v>10.734901679093401</v>
      </c>
      <c r="BM208">
        <v>11.22356445</v>
      </c>
      <c r="BN208">
        <v>142.41581795648381</v>
      </c>
      <c r="BO208">
        <v>1242179.2473800427</v>
      </c>
      <c r="BP208">
        <v>-936319.594253883</v>
      </c>
      <c r="BQ208">
        <v>106382.114</v>
      </c>
      <c r="BR208">
        <v>0</v>
      </c>
      <c r="BS208">
        <v>-201878999999.99994</v>
      </c>
      <c r="BT208">
        <v>-201878999999.99994</v>
      </c>
      <c r="BU208">
        <v>-201878999999.99994</v>
      </c>
      <c r="BV208">
        <v>-201879000000</v>
      </c>
      <c r="BW208">
        <v>-201878999999.99994</v>
      </c>
      <c r="BX208">
        <v>2.7331300000000001</v>
      </c>
      <c r="BY208" s="32">
        <f>Bankingbook_MSB[[#This Row],[Mat. Date]]-RPT</f>
        <v>5116</v>
      </c>
      <c r="BZ208" s="71">
        <f>IF(Bankingbook_MSB[[#This Row],[Days]]&lt;=0,0,YEARFRAC(RPT,Bankingbook_MSB[[#This Row],[Mat. Date]],3))</f>
        <v>14.016438356164384</v>
      </c>
      <c r="CA208" s="71" t="str">
        <f>IF(Bankingbook_MSB[[#This Row],[Days (year)]]=0,0,INDEX(Ref!$K$2:$K$13,MATCH(Bankingbook_MSB[[#This Row],[Days (year)]],Ref!$I$2:$I$13,1)))</f>
        <v>15Y</v>
      </c>
      <c r="CB208" s="32" t="str">
        <f>VLOOKUP(Bankingbook_MSB[[#This Row],[Security Name]],Ref!X:Z,3,0)</f>
        <v>TPCP</v>
      </c>
      <c r="CC208" s="32" t="str">
        <f>VLOOKUP(Bankingbook_MSB[[#This Row],[Security Name]],Ref!X:Y,2,0)</f>
        <v>KBNN</v>
      </c>
      <c r="CD208" s="72">
        <f>IF((Bankingbook_MSB[[#This Row],[Mat. Date]]-RPT)&lt;=0,0,Bankingbook_MSB[[#This Row],[QUANTITY]])</f>
        <v>10000000</v>
      </c>
      <c r="CE208" s="71">
        <f>IF(Bankingbook_MSB[[#This Row],[Quantity_edited]]=0,0,Bankingbook_MSB[[#This Row],[DURATION]])</f>
        <v>11.22356445</v>
      </c>
      <c r="CF208" s="71">
        <f>IF(Bankingbook_MSB[[#This Row],[Quantity_edited]]=0,0,Bankingbook_MSB[[#This Row],[Mod Dur]])</f>
        <v>10.734901679093401</v>
      </c>
      <c r="CG208" s="71">
        <f>IF(Bankingbook_MSB[[#This Row],[Quantity_edited]]=0,0,Bankingbook_MSB[[#This Row],[Cnvx.]])</f>
        <v>142.41581795648381</v>
      </c>
      <c r="CH208" s="71">
        <f>(Bankingbook_MSB[[#This Row],[MARKET_VALUE]]+Bankingbook_MSB[[#This Row],[Accr Int]]*Bankingbook_MSB[[#This Row],[Quantity_edited]])*(-Bankingbook_MSB[[#This Row],[Modified Duration]]*0.0001+0.5*Bankingbook_MSB[[#This Row],[Conv]]*(0.0001^2))</f>
        <v>-935698504.63019466</v>
      </c>
      <c r="CI208" s="71">
        <f>(Bankingbook_MSB[[#This Row],[MARKET_VALUE]]+Bankingbook_MSB[[#This Row],[Accr Int]]*Bankingbook_MSB[[#This Row],[Quantity_edited]])*(-Bankingbook_MSB[[#This Row],[Modified Duration]]*0.01+0.5*Bankingbook_MSB[[#This Row],[Conv]]*(0.01^2))</f>
        <v>-87421063188.488235</v>
      </c>
      <c r="CK208" s="70"/>
      <c r="CL208" t="s">
        <v>166</v>
      </c>
      <c r="CM208" t="s">
        <v>167</v>
      </c>
      <c r="CN208" t="s">
        <v>388</v>
      </c>
      <c r="CO208" t="s">
        <v>169</v>
      </c>
      <c r="CP208" s="35">
        <v>43479</v>
      </c>
      <c r="CQ208" t="s">
        <v>3322</v>
      </c>
      <c r="CR208" t="s">
        <v>174</v>
      </c>
      <c r="CS208" t="s">
        <v>174</v>
      </c>
      <c r="CT208" s="49">
        <v>0</v>
      </c>
      <c r="CU208">
        <v>0</v>
      </c>
      <c r="CV208">
        <v>0</v>
      </c>
      <c r="CW208" s="70">
        <v>0</v>
      </c>
      <c r="CX208">
        <v>9.1999999999999993</v>
      </c>
      <c r="CY208">
        <v>0</v>
      </c>
      <c r="CZ208">
        <v>46000000000</v>
      </c>
      <c r="DA208">
        <v>49852596472.222275</v>
      </c>
      <c r="DB208">
        <v>-18171556493.940945</v>
      </c>
      <c r="DC208">
        <v>0</v>
      </c>
      <c r="DD208">
        <v>0</v>
      </c>
      <c r="DE208">
        <v>0</v>
      </c>
      <c r="DF208">
        <v>0</v>
      </c>
      <c r="DG208">
        <v>0</v>
      </c>
      <c r="DH208">
        <v>0</v>
      </c>
      <c r="DI208">
        <v>0</v>
      </c>
      <c r="DJ208" s="500">
        <v>19079404958</v>
      </c>
      <c r="DK208" s="500">
        <v>0</v>
      </c>
      <c r="DL208" s="37">
        <v>19079404958</v>
      </c>
      <c r="DM208" s="37">
        <v>19079404958</v>
      </c>
      <c r="DN208" s="37">
        <v>19079404958</v>
      </c>
      <c r="DO208" s="37">
        <v>19079404958</v>
      </c>
      <c r="DP208" s="32">
        <f>Tradingbook_SBV[[#This Row],[Mat. Date]]-RPT</f>
        <v>-2773</v>
      </c>
      <c r="DQ208" s="32">
        <f>IF(Tradingbook_SBV[[#This Row],[Days]]&lt;=0,0,YEARFRAC(RPT,Tradingbook_SBV[[#This Row],[Mat. Date]],3))</f>
        <v>0</v>
      </c>
      <c r="DR208" s="32">
        <f>IF(Tradingbook_SBV[[#This Row],[Days (year)]]=0,0,INDEX(Ref!$K$2:$K$13,MATCH(Tradingbook_SBV[[#This Row],[Days (year)]],Ref!$I$2:$I$13,1)))</f>
        <v>0</v>
      </c>
      <c r="DS208" s="32" t="str">
        <f>VLOOKUP(Tradingbook_SBV[[#This Row],[Security Name]],Ref!X:Z,3,0)</f>
        <v>TPCPBL</v>
      </c>
      <c r="DT208" s="32" t="str">
        <f>VLOOKUP(Tradingbook_SBV[[#This Row],[Security Name]],Ref!X:Y,2,0)</f>
        <v>VDB</v>
      </c>
      <c r="DU208" s="71">
        <f>IF((Tradingbook_SBV[[#This Row],[Mat. Date]]-RPT)&lt;=0,0,Tradingbook_SBV[[#This Row],[QUANTITY]])</f>
        <v>0</v>
      </c>
      <c r="DV208" s="71">
        <f>IF(Tradingbook_SBV[[#This Row],[Quantity_edited]]=0,0,Tradingbook_SBV[[#This Row],[DURATION]])</f>
        <v>0</v>
      </c>
      <c r="DW208" s="71">
        <f>IF(Tradingbook_SBV[[#This Row],[Quantity_edited]]=0,0,Tradingbook_SBV[[#This Row],[Mod Dur]])</f>
        <v>0</v>
      </c>
      <c r="DX208" s="71">
        <f>IF(Tradingbook_SBV[[#This Row],[Quantity_edited]]=0,0,Tradingbook_SBV[[#This Row],[Cnvx.]])</f>
        <v>0</v>
      </c>
      <c r="DY208" s="71">
        <f>(Tradingbook_SBV[[#This Row],[MARKET_VALUE]]+Tradingbook_SBV[[#This Row],[Accr Int]]*Tradingbook_SBV[[#This Row],[Quantity_edited]])*(-Tradingbook_SBV[[#This Row],[Modified Duration]]*0.0001+0.5*Tradingbook_SBV[[#This Row],[Conv]]*(0.0001^2))</f>
        <v>0</v>
      </c>
      <c r="DZ208" s="71">
        <f>(Tradingbook_SBV[[#This Row],[MARKET_VALUE]]+Tradingbook_SBV[[#This Row],[Accr Int]]*Tradingbook_SBV[[#This Row],[Quantity_edited]])*(-Tradingbook_SBV[[#This Row],[Modified Duration]]*0.01+0.5*Tradingbook_SBV[[#This Row],[Conv]]*(0.01^2))</f>
        <v>0</v>
      </c>
      <c r="EC208" t="s">
        <v>166</v>
      </c>
      <c r="ED208" t="s">
        <v>3300</v>
      </c>
      <c r="EE208" t="s">
        <v>607</v>
      </c>
      <c r="EF208" t="s">
        <v>169</v>
      </c>
      <c r="EG208" s="35" t="s">
        <v>3804</v>
      </c>
      <c r="EH208" t="s">
        <v>3322</v>
      </c>
      <c r="EI208" s="500">
        <v>111970</v>
      </c>
      <c r="EJ208" s="500">
        <v>111970</v>
      </c>
      <c r="EK208" s="500">
        <v>0</v>
      </c>
      <c r="EL208" s="500">
        <v>0</v>
      </c>
      <c r="EM208" s="500">
        <v>0</v>
      </c>
      <c r="EN208" s="500">
        <v>0</v>
      </c>
      <c r="EO208">
        <v>7.6</v>
      </c>
      <c r="EP208">
        <v>4144</v>
      </c>
      <c r="EQ208">
        <v>7600000000</v>
      </c>
      <c r="ER208">
        <v>8788037805.5555573</v>
      </c>
      <c r="ES208">
        <v>-24475322637.458225</v>
      </c>
      <c r="ET208">
        <v>3.8243177140000002</v>
      </c>
      <c r="EU208">
        <v>2.9647355076893001</v>
      </c>
      <c r="EV208">
        <v>3.0781164099999998</v>
      </c>
      <c r="EW208">
        <v>12.3361416545442</v>
      </c>
      <c r="EX208">
        <v>0</v>
      </c>
      <c r="EY208">
        <v>0</v>
      </c>
      <c r="EZ208">
        <v>0</v>
      </c>
      <c r="FA208">
        <v>-9136450000</v>
      </c>
      <c r="FB208">
        <v>0</v>
      </c>
      <c r="FC208">
        <v>-9136450000</v>
      </c>
      <c r="FD208">
        <v>-9136450000</v>
      </c>
      <c r="FE208">
        <v>-9136450000</v>
      </c>
      <c r="FF208">
        <v>-9136450000</v>
      </c>
      <c r="FG208" s="32">
        <f>Bankingbook_SBV[[#This Row],[Mat. Date]]-RPT</f>
        <v>1262</v>
      </c>
      <c r="FH208" s="32">
        <f>IF(Bankingbook_SBV[[#This Row],[Days]]&lt;=0,0,YEARFRAC(RPT,Bankingbook_SBV[[#This Row],[Mat. Date]],3))</f>
        <v>3.4575342465753423</v>
      </c>
      <c r="FI208" s="32" t="str">
        <f>IF(Bankingbook_SBV[[#This Row],[Days (year)]]=0,0,INDEX(Ref!$K$2:$K$13,MATCH(Bankingbook_SBV[[#This Row],[Days (year)]],Ref!$I$2:$I$13,1)))</f>
        <v>3Y</v>
      </c>
      <c r="FJ208" s="32" t="str">
        <f>VLOOKUP(Bankingbook_SBV[[#This Row],[Security Name]],Ref!X:Z,3,0)</f>
        <v>TPCP</v>
      </c>
      <c r="FK208" s="32" t="str">
        <f>VLOOKUP(Bankingbook_SBV[[#This Row],[Security Name]],Ref!X:Y,2,0)</f>
        <v>KBNN</v>
      </c>
      <c r="FL208" s="72">
        <f>IF((Bankingbook_SBV[[#This Row],[Mat. Date]]-RPT)&lt;=0,0,Bankingbook_SBV[[#This Row],[QUANTITY]])</f>
        <v>0</v>
      </c>
      <c r="FM208" s="32">
        <f>IF(Bankingbook_SBV[[#This Row],[Quantity_edited]]=0,0,Bankingbook_SBV[[#This Row],[DURATION]])</f>
        <v>0</v>
      </c>
      <c r="FN208" s="32">
        <f>IF(Bankingbook_SBV[[#This Row],[Quantity_edited]]=0,0,Bankingbook_SBV[[#This Row],[Mod Dur]])</f>
        <v>0</v>
      </c>
      <c r="FO208" s="32">
        <f>IF(Bankingbook_SBV[[#This Row],[Quantity_edited]]=0,0,Bankingbook_SBV[[#This Row],[Cnvx.]])</f>
        <v>0</v>
      </c>
      <c r="FP208" s="32">
        <f>(Bankingbook_SBV[[#This Row],[MARKET_VALUE]]+Bankingbook_SBV[[#This Row],[Accr Int]]*Bankingbook_SBV[[#This Row],[Quantity_edited]])*(-Bankingbook_SBV[[#This Row],[Modified Duration]]*0.0001+0.5*Bankingbook_SBV[[#This Row],[Conv]]*(0.0001^2))</f>
        <v>0</v>
      </c>
      <c r="FQ208" s="32">
        <f>(Bankingbook_SBV[[#This Row],[MARKET_VALUE]]+Bankingbook_SBV[[#This Row],[Accr Int]]*Bankingbook_SBV[[#This Row],[Quantity_edited]])*(-Bankingbook_SBV[[#This Row],[Modified Duration]]*0.01+0.5*Bankingbook_SBV[[#This Row],[Conv]]*(0.01^2))</f>
        <v>0</v>
      </c>
    </row>
    <row r="209" spans="2:173" x14ac:dyDescent="0.3">
      <c r="B209" t="s">
        <v>166</v>
      </c>
      <c r="C209" t="s">
        <v>167</v>
      </c>
      <c r="D209" t="s">
        <v>389</v>
      </c>
      <c r="E209" t="s">
        <v>169</v>
      </c>
      <c r="F209" s="502">
        <v>43480</v>
      </c>
      <c r="G209" t="s">
        <v>3322</v>
      </c>
      <c r="H209"/>
      <c r="I209"/>
      <c r="J209" s="38">
        <v>0</v>
      </c>
      <c r="K209">
        <v>0</v>
      </c>
      <c r="L209">
        <v>0</v>
      </c>
      <c r="M209" s="38">
        <v>0</v>
      </c>
      <c r="N209">
        <v>8.1999999999999993</v>
      </c>
      <c r="O209">
        <v>0</v>
      </c>
      <c r="P209" s="37">
        <v>61500000000</v>
      </c>
      <c r="Q209" s="37">
        <v>67477646819.444458</v>
      </c>
      <c r="R209" s="37">
        <v>-29401812001.766792</v>
      </c>
      <c r="S209">
        <v>0</v>
      </c>
      <c r="T209" s="70">
        <v>0</v>
      </c>
      <c r="U209">
        <v>0</v>
      </c>
      <c r="V209">
        <v>0</v>
      </c>
      <c r="W209">
        <v>0</v>
      </c>
      <c r="X209" s="38">
        <v>0</v>
      </c>
      <c r="Y209">
        <v>0</v>
      </c>
      <c r="Z209" s="70">
        <v>8533966678</v>
      </c>
      <c r="AA209" s="70">
        <v>0</v>
      </c>
      <c r="AB209" s="70">
        <v>8533966678</v>
      </c>
      <c r="AC209" s="70">
        <v>8533966678</v>
      </c>
      <c r="AD209" s="70">
        <v>8533966678</v>
      </c>
      <c r="AE209" s="70">
        <v>8533966678</v>
      </c>
      <c r="AF209">
        <v>0</v>
      </c>
      <c r="AG209" s="72">
        <f>Tradingbook_MSB[[#This Row],[Mat. Date]]-RPT</f>
        <v>-2772</v>
      </c>
      <c r="AH209" s="71">
        <f>IF(Tradingbook_MSB[[#This Row],[Days]]&lt;=0,0,YEARFRAC(RPT,Tradingbook_MSB[[#This Row],[Mat. Date]],3))</f>
        <v>0</v>
      </c>
      <c r="AI209" s="71">
        <f>IF(Tradingbook_MSB[[#This Row],[Days (year)]]=0,0,INDEX(Ref!$K$2:$K$13,MATCH(Tradingbook_MSB[[#This Row],[Days (year)]],Ref!$I$2:$I$13,1)))</f>
        <v>0</v>
      </c>
      <c r="AJ209" s="120" t="str">
        <f>VLOOKUP(Tradingbook_MSB[[#This Row],[Security Name]],Ref!X:Z,3,0)</f>
        <v>TPCP</v>
      </c>
      <c r="AK209" s="120" t="str">
        <f>VLOOKUP(Tradingbook_MSB[[#This Row],[Security Name]],Ref!X:Y,2,0)</f>
        <v>KBNN</v>
      </c>
      <c r="AL209" s="71">
        <f>IF((Tradingbook_MSB[[#This Row],[Mat. Date]]-RPT)&lt;=0,0,Tradingbook_MSB[[#This Row],[QUANTITY]])</f>
        <v>0</v>
      </c>
      <c r="AM209" s="71">
        <f>IF(Tradingbook_MSB[[#This Row],[Quantity_edited]]=0,0,Tradingbook_MSB[[#This Row],[DURATION]])</f>
        <v>0</v>
      </c>
      <c r="AN209" s="71">
        <f>IF(Tradingbook_MSB[[#This Row],[Quantity_edited]]=0,0,Tradingbook_MSB[[#This Row],[Mod Dur]])</f>
        <v>0</v>
      </c>
      <c r="AO209" s="71">
        <f>IF(Tradingbook_MSB[[#This Row],[Quantity_edited]]=0,0,Tradingbook_MSB[[#This Row],[Cnvx.]])</f>
        <v>0</v>
      </c>
      <c r="AP209" s="71">
        <f>(Tradingbook_MSB[[#This Row],[MARKET_VALUE]]+Tradingbook_MSB[[#This Row],[Accr Int]]*Tradingbook_MSB[[#This Row],[Quantity_edited]])*(-Tradingbook_MSB[[#This Row],[Modified Duration]]*0.0001+0.5*Tradingbook_MSB[[#This Row],[Conv]]*(0.0001^2))</f>
        <v>0</v>
      </c>
      <c r="AQ209" s="72">
        <f>(Tradingbook_MSB[[#This Row],[MARKET_VALUE]]+Tradingbook_MSB[[#This Row],[Accr Int]]*Tradingbook_MSB[[#This Row],[Quantity_edited]])*(-Tradingbook_MSB[[#This Row],[Modified Duration]]*0.01+0.5*Tradingbook_MSB[[#This Row],[Conv]]*(0.01^2))</f>
        <v>0</v>
      </c>
      <c r="AR209" s="71"/>
      <c r="AT209" t="s">
        <v>166</v>
      </c>
      <c r="AU209" t="s">
        <v>3303</v>
      </c>
      <c r="AV209" t="s">
        <v>2498</v>
      </c>
      <c r="AW209" t="s">
        <v>169</v>
      </c>
      <c r="AX209" t="s">
        <v>3500</v>
      </c>
      <c r="AY209" t="s">
        <v>170</v>
      </c>
      <c r="AZ209">
        <v>89616</v>
      </c>
      <c r="BA209">
        <v>89616</v>
      </c>
      <c r="BB209">
        <v>500000</v>
      </c>
      <c r="BC209">
        <v>50000000000</v>
      </c>
      <c r="BD209">
        <v>109747</v>
      </c>
      <c r="BE209">
        <v>44808000000</v>
      </c>
      <c r="BF209">
        <v>3.7</v>
      </c>
      <c r="BG209">
        <v>1429</v>
      </c>
      <c r="BH209">
        <v>1850000000</v>
      </c>
      <c r="BI209">
        <v>1891663541.666667</v>
      </c>
      <c r="BJ209">
        <v>-2159818816.6666708</v>
      </c>
      <c r="BK209">
        <v>4.6063254560000004</v>
      </c>
      <c r="BL209">
        <v>11.7180954083719</v>
      </c>
      <c r="BM209">
        <v>12.257869019999999</v>
      </c>
      <c r="BN209">
        <v>177.51287295957289</v>
      </c>
      <c r="BO209">
        <v>80808.297593021605</v>
      </c>
      <c r="BP209">
        <v>-53343.699822761002</v>
      </c>
      <c r="BQ209">
        <v>5616.93</v>
      </c>
      <c r="BR209">
        <v>0</v>
      </c>
      <c r="BS209">
        <v>-10065500000</v>
      </c>
      <c r="BT209">
        <v>-10065500000</v>
      </c>
      <c r="BU209">
        <v>-10065500000</v>
      </c>
      <c r="BV209">
        <v>-10065500000</v>
      </c>
      <c r="BW209">
        <v>-10065500000</v>
      </c>
      <c r="BX209">
        <v>2.97</v>
      </c>
      <c r="BY209" s="32">
        <f>Bankingbook_MSB[[#This Row],[Mat. Date]]-RPT</f>
        <v>6068</v>
      </c>
      <c r="BZ209" s="71">
        <f>IF(Bankingbook_MSB[[#This Row],[Days]]&lt;=0,0,YEARFRAC(RPT,Bankingbook_MSB[[#This Row],[Mat. Date]],3))</f>
        <v>16.624657534246577</v>
      </c>
      <c r="CA209" s="71" t="str">
        <f>IF(Bankingbook_MSB[[#This Row],[Days (year)]]=0,0,INDEX(Ref!$K$2:$K$13,MATCH(Bankingbook_MSB[[#This Row],[Days (year)]],Ref!$I$2:$I$13,1)))</f>
        <v>20Y</v>
      </c>
      <c r="CB209" s="32" t="str">
        <f>VLOOKUP(Bankingbook_MSB[[#This Row],[Security Name]],Ref!X:Z,3,0)</f>
        <v>TPCP</v>
      </c>
      <c r="CC209" s="32" t="str">
        <f>VLOOKUP(Bankingbook_MSB[[#This Row],[Security Name]],Ref!X:Y,2,0)</f>
        <v>KBNN</v>
      </c>
      <c r="CD209" s="72">
        <f>IF((Bankingbook_MSB[[#This Row],[Mat. Date]]-RPT)&lt;=0,0,Bankingbook_MSB[[#This Row],[QUANTITY]])</f>
        <v>500000</v>
      </c>
      <c r="CE209" s="71">
        <f>IF(Bankingbook_MSB[[#This Row],[Quantity_edited]]=0,0,Bankingbook_MSB[[#This Row],[DURATION]])</f>
        <v>12.257869019999999</v>
      </c>
      <c r="CF209" s="71">
        <f>IF(Bankingbook_MSB[[#This Row],[Quantity_edited]]=0,0,Bankingbook_MSB[[#This Row],[Mod Dur]])</f>
        <v>11.7180954083719</v>
      </c>
      <c r="CG209" s="71">
        <f>IF(Bankingbook_MSB[[#This Row],[Quantity_edited]]=0,0,Bankingbook_MSB[[#This Row],[Cnvx.]])</f>
        <v>177.51287295957289</v>
      </c>
      <c r="CH209" s="71">
        <f>(Bankingbook_MSB[[#This Row],[MARKET_VALUE]]+Bankingbook_MSB[[#This Row],[Accr Int]]*Bankingbook_MSB[[#This Row],[Quantity_edited]])*(-Bankingbook_MSB[[#This Row],[Modified Duration]]*0.0001+0.5*Bankingbook_MSB[[#This Row],[Conv]]*(0.0001^2))</f>
        <v>-53303295.673964471</v>
      </c>
      <c r="CI209" s="71">
        <f>(Bankingbook_MSB[[#This Row],[MARKET_VALUE]]+Bankingbook_MSB[[#This Row],[Accr Int]]*Bankingbook_MSB[[#This Row],[Quantity_edited]])*(-Bankingbook_MSB[[#This Row],[Modified Duration]]*0.01+0.5*Bankingbook_MSB[[#This Row],[Conv]]*(0.01^2))</f>
        <v>-4930328494.3109903</v>
      </c>
      <c r="CL209" t="s">
        <v>166</v>
      </c>
      <c r="CM209" t="s">
        <v>167</v>
      </c>
      <c r="CN209" t="s">
        <v>389</v>
      </c>
      <c r="CO209" t="s">
        <v>169</v>
      </c>
      <c r="CP209" s="35">
        <v>43480</v>
      </c>
      <c r="CQ209" t="s">
        <v>3322</v>
      </c>
      <c r="CR209" t="s">
        <v>174</v>
      </c>
      <c r="CS209" t="s">
        <v>174</v>
      </c>
      <c r="CT209" s="49">
        <v>0</v>
      </c>
      <c r="CU209">
        <v>0</v>
      </c>
      <c r="CV209">
        <v>0</v>
      </c>
      <c r="CW209" s="70">
        <v>0</v>
      </c>
      <c r="CX209">
        <v>8.1999999999999993</v>
      </c>
      <c r="CY209">
        <v>0</v>
      </c>
      <c r="CZ209">
        <v>61500000000</v>
      </c>
      <c r="DA209">
        <v>67477646819.444458</v>
      </c>
      <c r="DB209">
        <v>-29401812001.766792</v>
      </c>
      <c r="DC209">
        <v>0</v>
      </c>
      <c r="DD209">
        <v>0</v>
      </c>
      <c r="DE209">
        <v>0</v>
      </c>
      <c r="DF209">
        <v>0</v>
      </c>
      <c r="DG209">
        <v>0</v>
      </c>
      <c r="DH209">
        <v>0</v>
      </c>
      <c r="DI209">
        <v>0</v>
      </c>
      <c r="DJ209" s="500">
        <v>8533966678</v>
      </c>
      <c r="DK209" s="500">
        <v>0</v>
      </c>
      <c r="DL209" s="37">
        <v>8533966678</v>
      </c>
      <c r="DM209" s="37">
        <v>8533966678</v>
      </c>
      <c r="DN209" s="37">
        <v>8533966678</v>
      </c>
      <c r="DO209" s="37">
        <v>8533966678</v>
      </c>
      <c r="DP209" s="32">
        <f>Tradingbook_SBV[[#This Row],[Mat. Date]]-RPT</f>
        <v>-2772</v>
      </c>
      <c r="DQ209" s="32">
        <f>IF(Tradingbook_SBV[[#This Row],[Days]]&lt;=0,0,YEARFRAC(RPT,Tradingbook_SBV[[#This Row],[Mat. Date]],3))</f>
        <v>0</v>
      </c>
      <c r="DR209" s="32">
        <f>IF(Tradingbook_SBV[[#This Row],[Days (year)]]=0,0,INDEX(Ref!$K$2:$K$13,MATCH(Tradingbook_SBV[[#This Row],[Days (year)]],Ref!$I$2:$I$13,1)))</f>
        <v>0</v>
      </c>
      <c r="DS209" s="32" t="str">
        <f>VLOOKUP(Tradingbook_SBV[[#This Row],[Security Name]],Ref!X:Z,3,0)</f>
        <v>TPCP</v>
      </c>
      <c r="DT209" s="32" t="str">
        <f>VLOOKUP(Tradingbook_SBV[[#This Row],[Security Name]],Ref!X:Y,2,0)</f>
        <v>KBNN</v>
      </c>
      <c r="DU209" s="71">
        <f>IF((Tradingbook_SBV[[#This Row],[Mat. Date]]-RPT)&lt;=0,0,Tradingbook_SBV[[#This Row],[QUANTITY]])</f>
        <v>0</v>
      </c>
      <c r="DV209" s="71">
        <f>IF(Tradingbook_SBV[[#This Row],[Quantity_edited]]=0,0,Tradingbook_SBV[[#This Row],[DURATION]])</f>
        <v>0</v>
      </c>
      <c r="DW209" s="71">
        <f>IF(Tradingbook_SBV[[#This Row],[Quantity_edited]]=0,0,Tradingbook_SBV[[#This Row],[Mod Dur]])</f>
        <v>0</v>
      </c>
      <c r="DX209" s="71">
        <f>IF(Tradingbook_SBV[[#This Row],[Quantity_edited]]=0,0,Tradingbook_SBV[[#This Row],[Cnvx.]])</f>
        <v>0</v>
      </c>
      <c r="DY209" s="71">
        <f>(Tradingbook_SBV[[#This Row],[MARKET_VALUE]]+Tradingbook_SBV[[#This Row],[Accr Int]]*Tradingbook_SBV[[#This Row],[Quantity_edited]])*(-Tradingbook_SBV[[#This Row],[Modified Duration]]*0.0001+0.5*Tradingbook_SBV[[#This Row],[Conv]]*(0.0001^2))</f>
        <v>0</v>
      </c>
      <c r="DZ209" s="71">
        <f>(Tradingbook_SBV[[#This Row],[MARKET_VALUE]]+Tradingbook_SBV[[#This Row],[Accr Int]]*Tradingbook_SBV[[#This Row],[Quantity_edited]])*(-Tradingbook_SBV[[#This Row],[Modified Duration]]*0.01+0.5*Tradingbook_SBV[[#This Row],[Conv]]*(0.01^2))</f>
        <v>0</v>
      </c>
      <c r="EC209" t="s">
        <v>166</v>
      </c>
      <c r="ED209" t="s">
        <v>3300</v>
      </c>
      <c r="EE209" t="s">
        <v>2397</v>
      </c>
      <c r="EF209" t="s">
        <v>169</v>
      </c>
      <c r="EG209" s="35" t="s">
        <v>3805</v>
      </c>
      <c r="EH209" t="s">
        <v>3322</v>
      </c>
      <c r="EI209" s="500">
        <v>99883</v>
      </c>
      <c r="EJ209" s="500">
        <v>99883</v>
      </c>
      <c r="EK209" s="500">
        <v>0</v>
      </c>
      <c r="EL209" s="500">
        <v>0</v>
      </c>
      <c r="EM209" s="500">
        <v>0</v>
      </c>
      <c r="EN209" s="500">
        <v>0</v>
      </c>
      <c r="EO209">
        <v>3.8</v>
      </c>
      <c r="EP209">
        <v>1978</v>
      </c>
      <c r="EQ209">
        <v>0</v>
      </c>
      <c r="ER209">
        <v>0</v>
      </c>
      <c r="ES209">
        <v>-64333916.666679382</v>
      </c>
      <c r="ET209">
        <v>3.831010429</v>
      </c>
      <c r="EU209">
        <v>3.1445072194326</v>
      </c>
      <c r="EV209">
        <v>3.2649736200000001</v>
      </c>
      <c r="EW209">
        <v>13.3420615487403</v>
      </c>
      <c r="EX209">
        <v>0</v>
      </c>
      <c r="EY209">
        <v>0</v>
      </c>
      <c r="EZ209">
        <v>0</v>
      </c>
      <c r="FA209">
        <v>299500000</v>
      </c>
      <c r="FB209">
        <v>0</v>
      </c>
      <c r="FC209">
        <v>299500000</v>
      </c>
      <c r="FD209">
        <v>299500000</v>
      </c>
      <c r="FE209">
        <v>299500000</v>
      </c>
      <c r="FF209">
        <v>299500000</v>
      </c>
      <c r="FG209" s="32">
        <f>Bankingbook_SBV[[#This Row],[Mat. Date]]-RPT</f>
        <v>1271</v>
      </c>
      <c r="FH209" s="32">
        <f>IF(Bankingbook_SBV[[#This Row],[Days]]&lt;=0,0,YEARFRAC(RPT,Bankingbook_SBV[[#This Row],[Mat. Date]],3))</f>
        <v>3.4821917808219176</v>
      </c>
      <c r="FI209" s="32" t="str">
        <f>IF(Bankingbook_SBV[[#This Row],[Days (year)]]=0,0,INDEX(Ref!$K$2:$K$13,MATCH(Bankingbook_SBV[[#This Row],[Days (year)]],Ref!$I$2:$I$13,1)))</f>
        <v>3Y</v>
      </c>
      <c r="FJ209" s="32" t="str">
        <f>VLOOKUP(Bankingbook_SBV[[#This Row],[Security Name]],Ref!X:Z,3,0)</f>
        <v>TPCP</v>
      </c>
      <c r="FK209" s="32" t="str">
        <f>VLOOKUP(Bankingbook_SBV[[#This Row],[Security Name]],Ref!X:Y,2,0)</f>
        <v>KBNN</v>
      </c>
      <c r="FL209" s="72">
        <f>IF((Bankingbook_SBV[[#This Row],[Mat. Date]]-RPT)&lt;=0,0,Bankingbook_SBV[[#This Row],[QUANTITY]])</f>
        <v>0</v>
      </c>
      <c r="FM209" s="32">
        <f>IF(Bankingbook_SBV[[#This Row],[Quantity_edited]]=0,0,Bankingbook_SBV[[#This Row],[DURATION]])</f>
        <v>0</v>
      </c>
      <c r="FN209" s="32">
        <f>IF(Bankingbook_SBV[[#This Row],[Quantity_edited]]=0,0,Bankingbook_SBV[[#This Row],[Mod Dur]])</f>
        <v>0</v>
      </c>
      <c r="FO209" s="32">
        <f>IF(Bankingbook_SBV[[#This Row],[Quantity_edited]]=0,0,Bankingbook_SBV[[#This Row],[Cnvx.]])</f>
        <v>0</v>
      </c>
      <c r="FP209" s="32">
        <f>(Bankingbook_SBV[[#This Row],[MARKET_VALUE]]+Bankingbook_SBV[[#This Row],[Accr Int]]*Bankingbook_SBV[[#This Row],[Quantity_edited]])*(-Bankingbook_SBV[[#This Row],[Modified Duration]]*0.0001+0.5*Bankingbook_SBV[[#This Row],[Conv]]*(0.0001^2))</f>
        <v>0</v>
      </c>
      <c r="FQ209" s="32">
        <f>(Bankingbook_SBV[[#This Row],[MARKET_VALUE]]+Bankingbook_SBV[[#This Row],[Accr Int]]*Bankingbook_SBV[[#This Row],[Quantity_edited]])*(-Bankingbook_SBV[[#This Row],[Modified Duration]]*0.01+0.5*Bankingbook_SBV[[#This Row],[Conv]]*(0.01^2))</f>
        <v>0</v>
      </c>
    </row>
    <row r="210" spans="2:173" x14ac:dyDescent="0.3">
      <c r="B210" t="s">
        <v>166</v>
      </c>
      <c r="C210" t="s">
        <v>167</v>
      </c>
      <c r="D210" t="s">
        <v>390</v>
      </c>
      <c r="E210" t="s">
        <v>169</v>
      </c>
      <c r="F210" s="502">
        <v>43486</v>
      </c>
      <c r="G210" t="s">
        <v>3322</v>
      </c>
      <c r="H210"/>
      <c r="I210"/>
      <c r="J210" s="38">
        <v>0</v>
      </c>
      <c r="K210">
        <v>0</v>
      </c>
      <c r="L210">
        <v>0</v>
      </c>
      <c r="M210" s="38">
        <v>0</v>
      </c>
      <c r="N210">
        <v>9.1999999999999993</v>
      </c>
      <c r="O210">
        <v>0</v>
      </c>
      <c r="P210" s="37">
        <v>0</v>
      </c>
      <c r="Q210" s="37">
        <v>0</v>
      </c>
      <c r="R210" s="37">
        <v>112354884.65564537</v>
      </c>
      <c r="S210">
        <v>0</v>
      </c>
      <c r="T210" s="70">
        <v>0</v>
      </c>
      <c r="U210">
        <v>0</v>
      </c>
      <c r="V210">
        <v>0</v>
      </c>
      <c r="W210">
        <v>0</v>
      </c>
      <c r="X210" s="38">
        <v>0</v>
      </c>
      <c r="Y210">
        <v>0</v>
      </c>
      <c r="Z210" s="70">
        <v>4520162106.9999847</v>
      </c>
      <c r="AA210" s="70">
        <v>0</v>
      </c>
      <c r="AB210" s="70">
        <v>4520162106.9999847</v>
      </c>
      <c r="AC210" s="70">
        <v>4520162106.9999847</v>
      </c>
      <c r="AD210" s="70">
        <v>4520162107</v>
      </c>
      <c r="AE210" s="70">
        <v>4520162106.9999847</v>
      </c>
      <c r="AF210">
        <v>0</v>
      </c>
      <c r="AG210" s="72">
        <f>Tradingbook_MSB[[#This Row],[Mat. Date]]-RPT</f>
        <v>-2766</v>
      </c>
      <c r="AH210" s="71">
        <f>IF(Tradingbook_MSB[[#This Row],[Days]]&lt;=0,0,YEARFRAC(RPT,Tradingbook_MSB[[#This Row],[Mat. Date]],3))</f>
        <v>0</v>
      </c>
      <c r="AI210" s="71">
        <f>IF(Tradingbook_MSB[[#This Row],[Days (year)]]=0,0,INDEX(Ref!$K$2:$K$13,MATCH(Tradingbook_MSB[[#This Row],[Days (year)]],Ref!$I$2:$I$13,1)))</f>
        <v>0</v>
      </c>
      <c r="AJ210" s="120" t="str">
        <f>VLOOKUP(Tradingbook_MSB[[#This Row],[Security Name]],Ref!X:Z,3,0)</f>
        <v>TPCPBL</v>
      </c>
      <c r="AK210" s="120" t="str">
        <f>VLOOKUP(Tradingbook_MSB[[#This Row],[Security Name]],Ref!X:Y,2,0)</f>
        <v>VDB</v>
      </c>
      <c r="AL210" s="71">
        <f>IF((Tradingbook_MSB[[#This Row],[Mat. Date]]-RPT)&lt;=0,0,Tradingbook_MSB[[#This Row],[QUANTITY]])</f>
        <v>0</v>
      </c>
      <c r="AM210" s="71">
        <f>IF(Tradingbook_MSB[[#This Row],[Quantity_edited]]=0,0,Tradingbook_MSB[[#This Row],[DURATION]])</f>
        <v>0</v>
      </c>
      <c r="AN210" s="71">
        <f>IF(Tradingbook_MSB[[#This Row],[Quantity_edited]]=0,0,Tradingbook_MSB[[#This Row],[Mod Dur]])</f>
        <v>0</v>
      </c>
      <c r="AO210" s="71">
        <f>IF(Tradingbook_MSB[[#This Row],[Quantity_edited]]=0,0,Tradingbook_MSB[[#This Row],[Cnvx.]])</f>
        <v>0</v>
      </c>
      <c r="AP210" s="71">
        <f>(Tradingbook_MSB[[#This Row],[MARKET_VALUE]]+Tradingbook_MSB[[#This Row],[Accr Int]]*Tradingbook_MSB[[#This Row],[Quantity_edited]])*(-Tradingbook_MSB[[#This Row],[Modified Duration]]*0.0001+0.5*Tradingbook_MSB[[#This Row],[Conv]]*(0.0001^2))</f>
        <v>0</v>
      </c>
      <c r="AQ210" s="72">
        <f>(Tradingbook_MSB[[#This Row],[MARKET_VALUE]]+Tradingbook_MSB[[#This Row],[Accr Int]]*Tradingbook_MSB[[#This Row],[Quantity_edited]])*(-Tradingbook_MSB[[#This Row],[Modified Duration]]*0.01+0.5*Tradingbook_MSB[[#This Row],[Conv]]*(0.01^2))</f>
        <v>0</v>
      </c>
      <c r="AR210" s="71"/>
      <c r="AT210" t="s">
        <v>166</v>
      </c>
      <c r="AU210" t="s">
        <v>3303</v>
      </c>
      <c r="AV210" t="s">
        <v>722</v>
      </c>
      <c r="AW210" t="s">
        <v>169</v>
      </c>
      <c r="AX210" t="s">
        <v>3479</v>
      </c>
      <c r="AY210" t="s">
        <v>3322</v>
      </c>
      <c r="AZ210">
        <v>142082</v>
      </c>
      <c r="BA210">
        <v>142082</v>
      </c>
      <c r="BB210">
        <v>0</v>
      </c>
      <c r="BC210">
        <v>0</v>
      </c>
      <c r="BD210">
        <v>0</v>
      </c>
      <c r="BE210">
        <v>0</v>
      </c>
      <c r="BF210">
        <v>7.9</v>
      </c>
      <c r="BG210">
        <v>3355</v>
      </c>
      <c r="BH210">
        <v>0</v>
      </c>
      <c r="BI210">
        <v>1.5E-5</v>
      </c>
      <c r="BJ210">
        <v>-11752224477.222183</v>
      </c>
      <c r="BK210">
        <v>4.669810129</v>
      </c>
      <c r="BL210">
        <v>11.520531958846799</v>
      </c>
      <c r="BM210">
        <v>12.05851893</v>
      </c>
      <c r="BN210">
        <v>191.45688893852449</v>
      </c>
      <c r="BO210">
        <v>0</v>
      </c>
      <c r="BP210">
        <v>0</v>
      </c>
      <c r="BQ210">
        <v>0</v>
      </c>
      <c r="BR210">
        <v>-39268000000</v>
      </c>
      <c r="BS210">
        <v>0</v>
      </c>
      <c r="BT210">
        <v>-39268000000</v>
      </c>
      <c r="BU210">
        <v>-39268000000</v>
      </c>
      <c r="BV210">
        <v>-39268000000</v>
      </c>
      <c r="BW210">
        <v>-39268000000</v>
      </c>
      <c r="BX210">
        <v>0</v>
      </c>
      <c r="BY210" s="32">
        <f>Bankingbook_MSB[[#This Row],[Mat. Date]]-RPT</f>
        <v>7515</v>
      </c>
      <c r="BZ210" s="71">
        <f>IF(Bankingbook_MSB[[#This Row],[Days]]&lt;=0,0,YEARFRAC(RPT,Bankingbook_MSB[[#This Row],[Mat. Date]],3))</f>
        <v>20.589041095890412</v>
      </c>
      <c r="CA210" s="71" t="str">
        <f>IF(Bankingbook_MSB[[#This Row],[Days (year)]]=0,0,INDEX(Ref!$K$2:$K$13,MATCH(Bankingbook_MSB[[#This Row],[Days (year)]],Ref!$I$2:$I$13,1)))</f>
        <v>30Y</v>
      </c>
      <c r="CB210" s="32" t="str">
        <f>VLOOKUP(Bankingbook_MSB[[#This Row],[Security Name]],Ref!X:Z,3,0)</f>
        <v>TPCP</v>
      </c>
      <c r="CC210" s="32" t="str">
        <f>VLOOKUP(Bankingbook_MSB[[#This Row],[Security Name]],Ref!X:Y,2,0)</f>
        <v>KBNN</v>
      </c>
      <c r="CD210" s="72">
        <f>IF((Bankingbook_MSB[[#This Row],[Mat. Date]]-RPT)&lt;=0,0,Bankingbook_MSB[[#This Row],[QUANTITY]])</f>
        <v>0</v>
      </c>
      <c r="CE210" s="71">
        <f>IF(Bankingbook_MSB[[#This Row],[Quantity_edited]]=0,0,Bankingbook_MSB[[#This Row],[DURATION]])</f>
        <v>0</v>
      </c>
      <c r="CF210" s="71">
        <f>IF(Bankingbook_MSB[[#This Row],[Quantity_edited]]=0,0,Bankingbook_MSB[[#This Row],[Mod Dur]])</f>
        <v>0</v>
      </c>
      <c r="CG210" s="71">
        <f>IF(Bankingbook_MSB[[#This Row],[Quantity_edited]]=0,0,Bankingbook_MSB[[#This Row],[Cnvx.]])</f>
        <v>0</v>
      </c>
      <c r="CH210" s="71">
        <f>(Bankingbook_MSB[[#This Row],[MARKET_VALUE]]+Bankingbook_MSB[[#This Row],[Accr Int]]*Bankingbook_MSB[[#This Row],[Quantity_edited]])*(-Bankingbook_MSB[[#This Row],[Modified Duration]]*0.0001+0.5*Bankingbook_MSB[[#This Row],[Conv]]*(0.0001^2))</f>
        <v>0</v>
      </c>
      <c r="CI210" s="71">
        <f>(Bankingbook_MSB[[#This Row],[MARKET_VALUE]]+Bankingbook_MSB[[#This Row],[Accr Int]]*Bankingbook_MSB[[#This Row],[Quantity_edited]])*(-Bankingbook_MSB[[#This Row],[Modified Duration]]*0.01+0.5*Bankingbook_MSB[[#This Row],[Conv]]*(0.01^2))</f>
        <v>0</v>
      </c>
      <c r="CL210" t="s">
        <v>166</v>
      </c>
      <c r="CM210" t="s">
        <v>167</v>
      </c>
      <c r="CN210" t="s">
        <v>390</v>
      </c>
      <c r="CO210" t="s">
        <v>169</v>
      </c>
      <c r="CP210" s="35">
        <v>43486</v>
      </c>
      <c r="CQ210" t="s">
        <v>3322</v>
      </c>
      <c r="CR210" t="s">
        <v>174</v>
      </c>
      <c r="CS210" t="s">
        <v>174</v>
      </c>
      <c r="CT210" s="49">
        <v>0</v>
      </c>
      <c r="CU210">
        <v>0</v>
      </c>
      <c r="CV210">
        <v>0</v>
      </c>
      <c r="CW210" s="70">
        <v>0</v>
      </c>
      <c r="CX210">
        <v>9.1999999999999993</v>
      </c>
      <c r="CY210">
        <v>0</v>
      </c>
      <c r="CZ210">
        <v>0</v>
      </c>
      <c r="DA210">
        <v>0</v>
      </c>
      <c r="DB210">
        <v>112354884.65564537</v>
      </c>
      <c r="DC210">
        <v>0</v>
      </c>
      <c r="DD210">
        <v>0</v>
      </c>
      <c r="DE210">
        <v>0</v>
      </c>
      <c r="DF210">
        <v>0</v>
      </c>
      <c r="DG210">
        <v>0</v>
      </c>
      <c r="DH210">
        <v>0</v>
      </c>
      <c r="DI210">
        <v>0</v>
      </c>
      <c r="DJ210" s="500">
        <v>4520162106.9999847</v>
      </c>
      <c r="DK210" s="500">
        <v>0</v>
      </c>
      <c r="DL210" s="37">
        <v>4520162106.9999847</v>
      </c>
      <c r="DM210" s="37">
        <v>4520162106.9999847</v>
      </c>
      <c r="DN210" s="37">
        <v>4520162107</v>
      </c>
      <c r="DO210" s="37">
        <v>4520162106.9999847</v>
      </c>
      <c r="DP210" s="32">
        <f>Tradingbook_SBV[[#This Row],[Mat. Date]]-RPT</f>
        <v>-2766</v>
      </c>
      <c r="DQ210" s="32">
        <f>IF(Tradingbook_SBV[[#This Row],[Days]]&lt;=0,0,YEARFRAC(RPT,Tradingbook_SBV[[#This Row],[Mat. Date]],3))</f>
        <v>0</v>
      </c>
      <c r="DR210" s="32">
        <f>IF(Tradingbook_SBV[[#This Row],[Days (year)]]=0,0,INDEX(Ref!$K$2:$K$13,MATCH(Tradingbook_SBV[[#This Row],[Days (year)]],Ref!$I$2:$I$13,1)))</f>
        <v>0</v>
      </c>
      <c r="DS210" s="32" t="str">
        <f>VLOOKUP(Tradingbook_SBV[[#This Row],[Security Name]],Ref!X:Z,3,0)</f>
        <v>TPCPBL</v>
      </c>
      <c r="DT210" s="32" t="str">
        <f>VLOOKUP(Tradingbook_SBV[[#This Row],[Security Name]],Ref!X:Y,2,0)</f>
        <v>VDB</v>
      </c>
      <c r="DU210" s="71">
        <f>IF((Tradingbook_SBV[[#This Row],[Mat. Date]]-RPT)&lt;=0,0,Tradingbook_SBV[[#This Row],[QUANTITY]])</f>
        <v>0</v>
      </c>
      <c r="DV210" s="71">
        <f>IF(Tradingbook_SBV[[#This Row],[Quantity_edited]]=0,0,Tradingbook_SBV[[#This Row],[DURATION]])</f>
        <v>0</v>
      </c>
      <c r="DW210" s="71">
        <f>IF(Tradingbook_SBV[[#This Row],[Quantity_edited]]=0,0,Tradingbook_SBV[[#This Row],[Mod Dur]])</f>
        <v>0</v>
      </c>
      <c r="DX210" s="71">
        <f>IF(Tradingbook_SBV[[#This Row],[Quantity_edited]]=0,0,Tradingbook_SBV[[#This Row],[Cnvx.]])</f>
        <v>0</v>
      </c>
      <c r="DY210" s="71">
        <f>(Tradingbook_SBV[[#This Row],[MARKET_VALUE]]+Tradingbook_SBV[[#This Row],[Accr Int]]*Tradingbook_SBV[[#This Row],[Quantity_edited]])*(-Tradingbook_SBV[[#This Row],[Modified Duration]]*0.0001+0.5*Tradingbook_SBV[[#This Row],[Conv]]*(0.0001^2))</f>
        <v>0</v>
      </c>
      <c r="DZ210" s="71">
        <f>(Tradingbook_SBV[[#This Row],[MARKET_VALUE]]+Tradingbook_SBV[[#This Row],[Accr Int]]*Tradingbook_SBV[[#This Row],[Quantity_edited]])*(-Tradingbook_SBV[[#This Row],[Modified Duration]]*0.01+0.5*Tradingbook_SBV[[#This Row],[Conv]]*(0.01^2))</f>
        <v>0</v>
      </c>
      <c r="EC210" t="s">
        <v>166</v>
      </c>
      <c r="ED210" t="s">
        <v>3300</v>
      </c>
      <c r="EE210" t="s">
        <v>608</v>
      </c>
      <c r="EF210" t="s">
        <v>169</v>
      </c>
      <c r="EG210" s="35" t="s">
        <v>3420</v>
      </c>
      <c r="EH210" t="s">
        <v>3322</v>
      </c>
      <c r="EI210" s="500">
        <v>111831</v>
      </c>
      <c r="EJ210" s="500">
        <v>111831</v>
      </c>
      <c r="EK210" s="500">
        <v>0</v>
      </c>
      <c r="EL210" s="500">
        <v>0</v>
      </c>
      <c r="EM210" s="500">
        <v>0</v>
      </c>
      <c r="EN210" s="500">
        <v>0</v>
      </c>
      <c r="EO210">
        <v>7.5</v>
      </c>
      <c r="EP210">
        <v>3514</v>
      </c>
      <c r="EQ210">
        <v>60000000000</v>
      </c>
      <c r="ER210">
        <v>74933280208.333344</v>
      </c>
      <c r="ES210">
        <v>-55326815919.375168</v>
      </c>
      <c r="ET210">
        <v>3.8426167800000002</v>
      </c>
      <c r="EU210">
        <v>3.0415835763121</v>
      </c>
      <c r="EV210">
        <v>3.1584599799999999</v>
      </c>
      <c r="EW210">
        <v>12.865604272612201</v>
      </c>
      <c r="EX210">
        <v>0</v>
      </c>
      <c r="EY210">
        <v>0</v>
      </c>
      <c r="EZ210">
        <v>0</v>
      </c>
      <c r="FA210">
        <v>13235600000</v>
      </c>
      <c r="FB210">
        <v>0</v>
      </c>
      <c r="FC210">
        <v>13235600000</v>
      </c>
      <c r="FD210">
        <v>13235600000</v>
      </c>
      <c r="FE210">
        <v>13235600000</v>
      </c>
      <c r="FF210">
        <v>13235600000</v>
      </c>
      <c r="FG210" s="32">
        <f>Bankingbook_SBV[[#This Row],[Mat. Date]]-RPT</f>
        <v>1290</v>
      </c>
      <c r="FH210" s="32">
        <f>IF(Bankingbook_SBV[[#This Row],[Days]]&lt;=0,0,YEARFRAC(RPT,Bankingbook_SBV[[#This Row],[Mat. Date]],3))</f>
        <v>3.5342465753424657</v>
      </c>
      <c r="FI210" s="32" t="str">
        <f>IF(Bankingbook_SBV[[#This Row],[Days (year)]]=0,0,INDEX(Ref!$K$2:$K$13,MATCH(Bankingbook_SBV[[#This Row],[Days (year)]],Ref!$I$2:$I$13,1)))</f>
        <v>4Y</v>
      </c>
      <c r="FJ210" s="32" t="str">
        <f>VLOOKUP(Bankingbook_SBV[[#This Row],[Security Name]],Ref!X:Z,3,0)</f>
        <v>TPCP</v>
      </c>
      <c r="FK210" s="32" t="str">
        <f>VLOOKUP(Bankingbook_SBV[[#This Row],[Security Name]],Ref!X:Y,2,0)</f>
        <v>KBNN</v>
      </c>
      <c r="FL210" s="72">
        <f>IF((Bankingbook_SBV[[#This Row],[Mat. Date]]-RPT)&lt;=0,0,Bankingbook_SBV[[#This Row],[QUANTITY]])</f>
        <v>0</v>
      </c>
      <c r="FM210" s="32">
        <f>IF(Bankingbook_SBV[[#This Row],[Quantity_edited]]=0,0,Bankingbook_SBV[[#This Row],[DURATION]])</f>
        <v>0</v>
      </c>
      <c r="FN210" s="32">
        <f>IF(Bankingbook_SBV[[#This Row],[Quantity_edited]]=0,0,Bankingbook_SBV[[#This Row],[Mod Dur]])</f>
        <v>0</v>
      </c>
      <c r="FO210" s="32">
        <f>IF(Bankingbook_SBV[[#This Row],[Quantity_edited]]=0,0,Bankingbook_SBV[[#This Row],[Cnvx.]])</f>
        <v>0</v>
      </c>
      <c r="FP210" s="32">
        <f>(Bankingbook_SBV[[#This Row],[MARKET_VALUE]]+Bankingbook_SBV[[#This Row],[Accr Int]]*Bankingbook_SBV[[#This Row],[Quantity_edited]])*(-Bankingbook_SBV[[#This Row],[Modified Duration]]*0.0001+0.5*Bankingbook_SBV[[#This Row],[Conv]]*(0.0001^2))</f>
        <v>0</v>
      </c>
      <c r="FQ210" s="32">
        <f>(Bankingbook_SBV[[#This Row],[MARKET_VALUE]]+Bankingbook_SBV[[#This Row],[Accr Int]]*Bankingbook_SBV[[#This Row],[Quantity_edited]])*(-Bankingbook_SBV[[#This Row],[Modified Duration]]*0.01+0.5*Bankingbook_SBV[[#This Row],[Conv]]*(0.01^2))</f>
        <v>0</v>
      </c>
    </row>
    <row r="211" spans="2:173" x14ac:dyDescent="0.3">
      <c r="B211" t="s">
        <v>166</v>
      </c>
      <c r="C211" t="s">
        <v>167</v>
      </c>
      <c r="D211" t="s">
        <v>391</v>
      </c>
      <c r="E211" t="s">
        <v>169</v>
      </c>
      <c r="F211" s="502">
        <v>43492</v>
      </c>
      <c r="G211" t="s">
        <v>3322</v>
      </c>
      <c r="H211"/>
      <c r="I211"/>
      <c r="J211" s="38">
        <v>0</v>
      </c>
      <c r="K211">
        <v>0</v>
      </c>
      <c r="L211">
        <v>0</v>
      </c>
      <c r="M211" s="38">
        <v>0</v>
      </c>
      <c r="N211">
        <v>9.1999999999999993</v>
      </c>
      <c r="O211">
        <v>0</v>
      </c>
      <c r="P211" s="37">
        <v>9200000000</v>
      </c>
      <c r="Q211" s="37">
        <v>10076155611.111109</v>
      </c>
      <c r="R211" s="37">
        <v>-5103847002.5000172</v>
      </c>
      <c r="S211">
        <v>0</v>
      </c>
      <c r="T211" s="70">
        <v>0</v>
      </c>
      <c r="U211">
        <v>0</v>
      </c>
      <c r="V211">
        <v>0</v>
      </c>
      <c r="W211">
        <v>0</v>
      </c>
      <c r="X211" s="38">
        <v>0</v>
      </c>
      <c r="Y211">
        <v>0</v>
      </c>
      <c r="Z211" s="70">
        <v>19990000000</v>
      </c>
      <c r="AA211" s="70">
        <v>0</v>
      </c>
      <c r="AB211" s="70">
        <v>19990000000</v>
      </c>
      <c r="AC211" s="70">
        <v>19990000000</v>
      </c>
      <c r="AD211" s="70">
        <v>19990000000</v>
      </c>
      <c r="AE211" s="70">
        <v>19990000000</v>
      </c>
      <c r="AF211">
        <v>0</v>
      </c>
      <c r="AG211" s="72">
        <f>Tradingbook_MSB[[#This Row],[Mat. Date]]-RPT</f>
        <v>-2760</v>
      </c>
      <c r="AH211" s="71">
        <f>IF(Tradingbook_MSB[[#This Row],[Days]]&lt;=0,0,YEARFRAC(RPT,Tradingbook_MSB[[#This Row],[Mat. Date]],3))</f>
        <v>0</v>
      </c>
      <c r="AI211" s="71">
        <f>IF(Tradingbook_MSB[[#This Row],[Days (year)]]=0,0,INDEX(Ref!$K$2:$K$13,MATCH(Tradingbook_MSB[[#This Row],[Days (year)]],Ref!$I$2:$I$13,1)))</f>
        <v>0</v>
      </c>
      <c r="AJ211" s="120" t="str">
        <f>VLOOKUP(Tradingbook_MSB[[#This Row],[Security Name]],Ref!X:Z,3,0)</f>
        <v>TPCPBL</v>
      </c>
      <c r="AK211" s="120" t="str">
        <f>VLOOKUP(Tradingbook_MSB[[#This Row],[Security Name]],Ref!X:Y,2,0)</f>
        <v>VDB</v>
      </c>
      <c r="AL211" s="71">
        <f>IF((Tradingbook_MSB[[#This Row],[Mat. Date]]-RPT)&lt;=0,0,Tradingbook_MSB[[#This Row],[QUANTITY]])</f>
        <v>0</v>
      </c>
      <c r="AM211" s="71">
        <f>IF(Tradingbook_MSB[[#This Row],[Quantity_edited]]=0,0,Tradingbook_MSB[[#This Row],[DURATION]])</f>
        <v>0</v>
      </c>
      <c r="AN211" s="71">
        <f>IF(Tradingbook_MSB[[#This Row],[Quantity_edited]]=0,0,Tradingbook_MSB[[#This Row],[Mod Dur]])</f>
        <v>0</v>
      </c>
      <c r="AO211" s="71">
        <f>IF(Tradingbook_MSB[[#This Row],[Quantity_edited]]=0,0,Tradingbook_MSB[[#This Row],[Cnvx.]])</f>
        <v>0</v>
      </c>
      <c r="AP211" s="71">
        <f>(Tradingbook_MSB[[#This Row],[MARKET_VALUE]]+Tradingbook_MSB[[#This Row],[Accr Int]]*Tradingbook_MSB[[#This Row],[Quantity_edited]])*(-Tradingbook_MSB[[#This Row],[Modified Duration]]*0.0001+0.5*Tradingbook_MSB[[#This Row],[Conv]]*(0.0001^2))</f>
        <v>0</v>
      </c>
      <c r="AQ211" s="72">
        <f>(Tradingbook_MSB[[#This Row],[MARKET_VALUE]]+Tradingbook_MSB[[#This Row],[Accr Int]]*Tradingbook_MSB[[#This Row],[Quantity_edited]])*(-Tradingbook_MSB[[#This Row],[Modified Duration]]*0.01+0.5*Tradingbook_MSB[[#This Row],[Conv]]*(0.01^2))</f>
        <v>0</v>
      </c>
      <c r="AR211" s="71"/>
      <c r="AT211" t="s">
        <v>166</v>
      </c>
      <c r="AU211" t="s">
        <v>3303</v>
      </c>
      <c r="AV211" t="s">
        <v>723</v>
      </c>
      <c r="AW211" t="s">
        <v>169</v>
      </c>
      <c r="AX211" t="s">
        <v>3480</v>
      </c>
      <c r="AY211" t="s">
        <v>3322</v>
      </c>
      <c r="AZ211">
        <v>140846</v>
      </c>
      <c r="BA211">
        <v>140846</v>
      </c>
      <c r="BB211">
        <v>0</v>
      </c>
      <c r="BC211">
        <v>0</v>
      </c>
      <c r="BD211">
        <v>0</v>
      </c>
      <c r="BE211">
        <v>0</v>
      </c>
      <c r="BF211">
        <v>7.8</v>
      </c>
      <c r="BG211">
        <v>2842</v>
      </c>
      <c r="BH211">
        <v>0</v>
      </c>
      <c r="BI211">
        <v>2.3E-5</v>
      </c>
      <c r="BJ211">
        <v>-4037372052.7083511</v>
      </c>
      <c r="BK211">
        <v>4.6702365119999998</v>
      </c>
      <c r="BL211">
        <v>11.605814348993899</v>
      </c>
      <c r="BM211">
        <v>12.147833329999999</v>
      </c>
      <c r="BN211">
        <v>193.573080709615</v>
      </c>
      <c r="BO211">
        <v>0</v>
      </c>
      <c r="BP211">
        <v>0</v>
      </c>
      <c r="BQ211">
        <v>0</v>
      </c>
      <c r="BR211">
        <v>-12359500000</v>
      </c>
      <c r="BS211">
        <v>0</v>
      </c>
      <c r="BT211">
        <v>-12359500000</v>
      </c>
      <c r="BU211">
        <v>-12359500000</v>
      </c>
      <c r="BV211">
        <v>-12359500000</v>
      </c>
      <c r="BW211">
        <v>-12359500000</v>
      </c>
      <c r="BX211">
        <v>0</v>
      </c>
      <c r="BY211" s="32">
        <f>Bankingbook_MSB[[#This Row],[Mat. Date]]-RPT</f>
        <v>7537</v>
      </c>
      <c r="BZ211" s="71">
        <f>IF(Bankingbook_MSB[[#This Row],[Days]]&lt;=0,0,YEARFRAC(RPT,Bankingbook_MSB[[#This Row],[Mat. Date]],3))</f>
        <v>20.649315068493152</v>
      </c>
      <c r="CA211" s="71" t="str">
        <f>IF(Bankingbook_MSB[[#This Row],[Days (year)]]=0,0,INDEX(Ref!$K$2:$K$13,MATCH(Bankingbook_MSB[[#This Row],[Days (year)]],Ref!$I$2:$I$13,1)))</f>
        <v>30Y</v>
      </c>
      <c r="CB211" s="32" t="str">
        <f>VLOOKUP(Bankingbook_MSB[[#This Row],[Security Name]],Ref!X:Z,3,0)</f>
        <v>TPCP</v>
      </c>
      <c r="CC211" s="32" t="str">
        <f>VLOOKUP(Bankingbook_MSB[[#This Row],[Security Name]],Ref!X:Y,2,0)</f>
        <v>KBNN</v>
      </c>
      <c r="CD211" s="72">
        <f>IF((Bankingbook_MSB[[#This Row],[Mat. Date]]-RPT)&lt;=0,0,Bankingbook_MSB[[#This Row],[QUANTITY]])</f>
        <v>0</v>
      </c>
      <c r="CE211" s="71">
        <f>IF(Bankingbook_MSB[[#This Row],[Quantity_edited]]=0,0,Bankingbook_MSB[[#This Row],[DURATION]])</f>
        <v>0</v>
      </c>
      <c r="CF211" s="71">
        <f>IF(Bankingbook_MSB[[#This Row],[Quantity_edited]]=0,0,Bankingbook_MSB[[#This Row],[Mod Dur]])</f>
        <v>0</v>
      </c>
      <c r="CG211" s="71">
        <f>IF(Bankingbook_MSB[[#This Row],[Quantity_edited]]=0,0,Bankingbook_MSB[[#This Row],[Cnvx.]])</f>
        <v>0</v>
      </c>
      <c r="CH211" s="71">
        <f>(Bankingbook_MSB[[#This Row],[MARKET_VALUE]]+Bankingbook_MSB[[#This Row],[Accr Int]]*Bankingbook_MSB[[#This Row],[Quantity_edited]])*(-Bankingbook_MSB[[#This Row],[Modified Duration]]*0.0001+0.5*Bankingbook_MSB[[#This Row],[Conv]]*(0.0001^2))</f>
        <v>0</v>
      </c>
      <c r="CI211" s="71">
        <f>(Bankingbook_MSB[[#This Row],[MARKET_VALUE]]+Bankingbook_MSB[[#This Row],[Accr Int]]*Bankingbook_MSB[[#This Row],[Quantity_edited]])*(-Bankingbook_MSB[[#This Row],[Modified Duration]]*0.01+0.5*Bankingbook_MSB[[#This Row],[Conv]]*(0.01^2))</f>
        <v>0</v>
      </c>
      <c r="CL211" t="s">
        <v>166</v>
      </c>
      <c r="CM211" t="s">
        <v>167</v>
      </c>
      <c r="CN211" t="s">
        <v>391</v>
      </c>
      <c r="CO211" t="s">
        <v>169</v>
      </c>
      <c r="CP211" s="35">
        <v>43492</v>
      </c>
      <c r="CQ211" t="s">
        <v>3322</v>
      </c>
      <c r="CR211" t="s">
        <v>174</v>
      </c>
      <c r="CS211" t="s">
        <v>174</v>
      </c>
      <c r="CT211" s="49">
        <v>0</v>
      </c>
      <c r="CU211">
        <v>0</v>
      </c>
      <c r="CV211">
        <v>0</v>
      </c>
      <c r="CW211" s="70">
        <v>0</v>
      </c>
      <c r="CX211">
        <v>9.1999999999999993</v>
      </c>
      <c r="CY211">
        <v>0</v>
      </c>
      <c r="CZ211">
        <v>9200000000</v>
      </c>
      <c r="DA211">
        <v>10076155611.111109</v>
      </c>
      <c r="DB211">
        <v>-5103847002.5000172</v>
      </c>
      <c r="DC211">
        <v>0</v>
      </c>
      <c r="DD211">
        <v>0</v>
      </c>
      <c r="DE211">
        <v>0</v>
      </c>
      <c r="DF211">
        <v>0</v>
      </c>
      <c r="DG211">
        <v>0</v>
      </c>
      <c r="DH211">
        <v>0</v>
      </c>
      <c r="DI211">
        <v>0</v>
      </c>
      <c r="DJ211" s="500">
        <v>19990000000</v>
      </c>
      <c r="DK211" s="500">
        <v>0</v>
      </c>
      <c r="DL211" s="37">
        <v>19990000000</v>
      </c>
      <c r="DM211" s="37">
        <v>19990000000</v>
      </c>
      <c r="DN211" s="37">
        <v>19990000000</v>
      </c>
      <c r="DO211" s="37">
        <v>19990000000</v>
      </c>
      <c r="DP211" s="32">
        <f>Tradingbook_SBV[[#This Row],[Mat. Date]]-RPT</f>
        <v>-2760</v>
      </c>
      <c r="DQ211" s="32">
        <f>IF(Tradingbook_SBV[[#This Row],[Days]]&lt;=0,0,YEARFRAC(RPT,Tradingbook_SBV[[#This Row],[Mat. Date]],3))</f>
        <v>0</v>
      </c>
      <c r="DR211" s="32">
        <f>IF(Tradingbook_SBV[[#This Row],[Days (year)]]=0,0,INDEX(Ref!$K$2:$K$13,MATCH(Tradingbook_SBV[[#This Row],[Days (year)]],Ref!$I$2:$I$13,1)))</f>
        <v>0</v>
      </c>
      <c r="DS211" s="32" t="str">
        <f>VLOOKUP(Tradingbook_SBV[[#This Row],[Security Name]],Ref!X:Z,3,0)</f>
        <v>TPCPBL</v>
      </c>
      <c r="DT211" s="32" t="str">
        <f>VLOOKUP(Tradingbook_SBV[[#This Row],[Security Name]],Ref!X:Y,2,0)</f>
        <v>VDB</v>
      </c>
      <c r="DU211" s="71">
        <f>IF((Tradingbook_SBV[[#This Row],[Mat. Date]]-RPT)&lt;=0,0,Tradingbook_SBV[[#This Row],[QUANTITY]])</f>
        <v>0</v>
      </c>
      <c r="DV211" s="71">
        <f>IF(Tradingbook_SBV[[#This Row],[Quantity_edited]]=0,0,Tradingbook_SBV[[#This Row],[DURATION]])</f>
        <v>0</v>
      </c>
      <c r="DW211" s="71">
        <f>IF(Tradingbook_SBV[[#This Row],[Quantity_edited]]=0,0,Tradingbook_SBV[[#This Row],[Mod Dur]])</f>
        <v>0</v>
      </c>
      <c r="DX211" s="71">
        <f>IF(Tradingbook_SBV[[#This Row],[Quantity_edited]]=0,0,Tradingbook_SBV[[#This Row],[Cnvx.]])</f>
        <v>0</v>
      </c>
      <c r="DY211" s="71">
        <f>(Tradingbook_SBV[[#This Row],[MARKET_VALUE]]+Tradingbook_SBV[[#This Row],[Accr Int]]*Tradingbook_SBV[[#This Row],[Quantity_edited]])*(-Tradingbook_SBV[[#This Row],[Modified Duration]]*0.0001+0.5*Tradingbook_SBV[[#This Row],[Conv]]*(0.0001^2))</f>
        <v>0</v>
      </c>
      <c r="DZ211" s="71">
        <f>(Tradingbook_SBV[[#This Row],[MARKET_VALUE]]+Tradingbook_SBV[[#This Row],[Accr Int]]*Tradingbook_SBV[[#This Row],[Quantity_edited]])*(-Tradingbook_SBV[[#This Row],[Modified Duration]]*0.01+0.5*Tradingbook_SBV[[#This Row],[Conv]]*(0.01^2))</f>
        <v>0</v>
      </c>
      <c r="EC211" t="s">
        <v>166</v>
      </c>
      <c r="ED211" t="s">
        <v>3300</v>
      </c>
      <c r="EE211" t="s">
        <v>609</v>
      </c>
      <c r="EF211" t="s">
        <v>169</v>
      </c>
      <c r="EG211" s="35" t="s">
        <v>3421</v>
      </c>
      <c r="EH211" t="s">
        <v>3322</v>
      </c>
      <c r="EI211" s="500">
        <v>110932</v>
      </c>
      <c r="EJ211" s="500">
        <v>110932</v>
      </c>
      <c r="EK211" s="500">
        <v>0</v>
      </c>
      <c r="EL211" s="500">
        <v>0</v>
      </c>
      <c r="EM211" s="500">
        <v>0</v>
      </c>
      <c r="EN211" s="500">
        <v>0</v>
      </c>
      <c r="EO211">
        <v>7.2</v>
      </c>
      <c r="EP211">
        <v>3077</v>
      </c>
      <c r="EQ211">
        <v>10800000000</v>
      </c>
      <c r="ER211">
        <v>13717211999.999878</v>
      </c>
      <c r="ES211">
        <v>-7338403210.3471146</v>
      </c>
      <c r="ET211">
        <v>3.8558409789999999</v>
      </c>
      <c r="EU211">
        <v>3.0916876754317002</v>
      </c>
      <c r="EV211">
        <v>3.2108982400000001</v>
      </c>
      <c r="EW211">
        <v>13.2035973402257</v>
      </c>
      <c r="EX211">
        <v>0</v>
      </c>
      <c r="EY211">
        <v>0</v>
      </c>
      <c r="EZ211">
        <v>0</v>
      </c>
      <c r="FA211">
        <v>-6048500000</v>
      </c>
      <c r="FB211">
        <v>0</v>
      </c>
      <c r="FC211">
        <v>-6048500000</v>
      </c>
      <c r="FD211">
        <v>-6048500000</v>
      </c>
      <c r="FE211">
        <v>-6048500000</v>
      </c>
      <c r="FF211">
        <v>-6048500000</v>
      </c>
      <c r="FG211" s="32">
        <f>Bankingbook_SBV[[#This Row],[Mat. Date]]-RPT</f>
        <v>1305</v>
      </c>
      <c r="FH211" s="32">
        <f>IF(Bankingbook_SBV[[#This Row],[Days]]&lt;=0,0,YEARFRAC(RPT,Bankingbook_SBV[[#This Row],[Mat. Date]],3))</f>
        <v>3.5753424657534247</v>
      </c>
      <c r="FI211" s="32" t="str">
        <f>IF(Bankingbook_SBV[[#This Row],[Days (year)]]=0,0,INDEX(Ref!$K$2:$K$13,MATCH(Bankingbook_SBV[[#This Row],[Days (year)]],Ref!$I$2:$I$13,1)))</f>
        <v>4Y</v>
      </c>
      <c r="FJ211" s="32" t="str">
        <f>VLOOKUP(Bankingbook_SBV[[#This Row],[Security Name]],Ref!X:Z,3,0)</f>
        <v>TPCP</v>
      </c>
      <c r="FK211" s="32" t="str">
        <f>VLOOKUP(Bankingbook_SBV[[#This Row],[Security Name]],Ref!X:Y,2,0)</f>
        <v>KBNN</v>
      </c>
      <c r="FL211" s="72">
        <f>IF((Bankingbook_SBV[[#This Row],[Mat. Date]]-RPT)&lt;=0,0,Bankingbook_SBV[[#This Row],[QUANTITY]])</f>
        <v>0</v>
      </c>
      <c r="FM211" s="32">
        <f>IF(Bankingbook_SBV[[#This Row],[Quantity_edited]]=0,0,Bankingbook_SBV[[#This Row],[DURATION]])</f>
        <v>0</v>
      </c>
      <c r="FN211" s="32">
        <f>IF(Bankingbook_SBV[[#This Row],[Quantity_edited]]=0,0,Bankingbook_SBV[[#This Row],[Mod Dur]])</f>
        <v>0</v>
      </c>
      <c r="FO211" s="32">
        <f>IF(Bankingbook_SBV[[#This Row],[Quantity_edited]]=0,0,Bankingbook_SBV[[#This Row],[Cnvx.]])</f>
        <v>0</v>
      </c>
      <c r="FP211" s="32">
        <f>(Bankingbook_SBV[[#This Row],[MARKET_VALUE]]+Bankingbook_SBV[[#This Row],[Accr Int]]*Bankingbook_SBV[[#This Row],[Quantity_edited]])*(-Bankingbook_SBV[[#This Row],[Modified Duration]]*0.0001+0.5*Bankingbook_SBV[[#This Row],[Conv]]*(0.0001^2))</f>
        <v>0</v>
      </c>
      <c r="FQ211" s="32">
        <f>(Bankingbook_SBV[[#This Row],[MARKET_VALUE]]+Bankingbook_SBV[[#This Row],[Accr Int]]*Bankingbook_SBV[[#This Row],[Quantity_edited]])*(-Bankingbook_SBV[[#This Row],[Modified Duration]]*0.01+0.5*Bankingbook_SBV[[#This Row],[Conv]]*(0.01^2))</f>
        <v>0</v>
      </c>
    </row>
    <row r="212" spans="2:173" x14ac:dyDescent="0.3">
      <c r="B212" t="s">
        <v>166</v>
      </c>
      <c r="C212" t="s">
        <v>167</v>
      </c>
      <c r="D212" t="s">
        <v>392</v>
      </c>
      <c r="E212" t="s">
        <v>169</v>
      </c>
      <c r="F212" s="502">
        <v>43511</v>
      </c>
      <c r="G212" t="s">
        <v>3322</v>
      </c>
      <c r="H212"/>
      <c r="I212"/>
      <c r="J212" s="38">
        <v>0</v>
      </c>
      <c r="K212">
        <v>0</v>
      </c>
      <c r="L212">
        <v>0</v>
      </c>
      <c r="M212" s="38">
        <v>0</v>
      </c>
      <c r="N212">
        <v>7.9</v>
      </c>
      <c r="O212">
        <v>0</v>
      </c>
      <c r="P212" s="37">
        <v>67150000000</v>
      </c>
      <c r="Q212" s="37">
        <v>74513419930.555527</v>
      </c>
      <c r="R212" s="37">
        <v>-30386983460.167507</v>
      </c>
      <c r="S212">
        <v>0</v>
      </c>
      <c r="T212" s="70">
        <v>0</v>
      </c>
      <c r="U212">
        <v>0</v>
      </c>
      <c r="V212">
        <v>0</v>
      </c>
      <c r="W212">
        <v>0</v>
      </c>
      <c r="X212" s="38">
        <v>0</v>
      </c>
      <c r="Y212">
        <v>0</v>
      </c>
      <c r="Z212" s="70">
        <v>37959219308</v>
      </c>
      <c r="AA212" s="70">
        <v>0</v>
      </c>
      <c r="AB212" s="70">
        <v>37959219308</v>
      </c>
      <c r="AC212" s="70">
        <v>37959219308</v>
      </c>
      <c r="AD212" s="70">
        <v>37959219308</v>
      </c>
      <c r="AE212" s="70">
        <v>37959219308</v>
      </c>
      <c r="AF212">
        <v>0</v>
      </c>
      <c r="AG212" s="72">
        <f>Tradingbook_MSB[[#This Row],[Mat. Date]]-RPT</f>
        <v>-2741</v>
      </c>
      <c r="AH212" s="71">
        <f>IF(Tradingbook_MSB[[#This Row],[Days]]&lt;=0,0,YEARFRAC(RPT,Tradingbook_MSB[[#This Row],[Mat. Date]],3))</f>
        <v>0</v>
      </c>
      <c r="AI212" s="71">
        <f>IF(Tradingbook_MSB[[#This Row],[Days (year)]]=0,0,INDEX(Ref!$K$2:$K$13,MATCH(Tradingbook_MSB[[#This Row],[Days (year)]],Ref!$I$2:$I$13,1)))</f>
        <v>0</v>
      </c>
      <c r="AJ212" s="120" t="str">
        <f>VLOOKUP(Tradingbook_MSB[[#This Row],[Security Name]],Ref!X:Z,3,0)</f>
        <v>TPCP</v>
      </c>
      <c r="AK212" s="120" t="str">
        <f>VLOOKUP(Tradingbook_MSB[[#This Row],[Security Name]],Ref!X:Y,2,0)</f>
        <v>KBNN</v>
      </c>
      <c r="AL212" s="71">
        <f>IF((Tradingbook_MSB[[#This Row],[Mat. Date]]-RPT)&lt;=0,0,Tradingbook_MSB[[#This Row],[QUANTITY]])</f>
        <v>0</v>
      </c>
      <c r="AM212" s="71">
        <f>IF(Tradingbook_MSB[[#This Row],[Quantity_edited]]=0,0,Tradingbook_MSB[[#This Row],[DURATION]])</f>
        <v>0</v>
      </c>
      <c r="AN212" s="71">
        <f>IF(Tradingbook_MSB[[#This Row],[Quantity_edited]]=0,0,Tradingbook_MSB[[#This Row],[Mod Dur]])</f>
        <v>0</v>
      </c>
      <c r="AO212" s="71">
        <f>IF(Tradingbook_MSB[[#This Row],[Quantity_edited]]=0,0,Tradingbook_MSB[[#This Row],[Cnvx.]])</f>
        <v>0</v>
      </c>
      <c r="AP212" s="71">
        <f>(Tradingbook_MSB[[#This Row],[MARKET_VALUE]]+Tradingbook_MSB[[#This Row],[Accr Int]]*Tradingbook_MSB[[#This Row],[Quantity_edited]])*(-Tradingbook_MSB[[#This Row],[Modified Duration]]*0.0001+0.5*Tradingbook_MSB[[#This Row],[Conv]]*(0.0001^2))</f>
        <v>0</v>
      </c>
      <c r="AQ212" s="72">
        <f>(Tradingbook_MSB[[#This Row],[MARKET_VALUE]]+Tradingbook_MSB[[#This Row],[Accr Int]]*Tradingbook_MSB[[#This Row],[Quantity_edited]])*(-Tradingbook_MSB[[#This Row],[Modified Duration]]*0.01+0.5*Tradingbook_MSB[[#This Row],[Conv]]*(0.01^2))</f>
        <v>0</v>
      </c>
      <c r="AR212" s="71"/>
      <c r="AT212" t="s">
        <v>166</v>
      </c>
      <c r="AU212" t="s">
        <v>3303</v>
      </c>
      <c r="AV212" t="s">
        <v>725</v>
      </c>
      <c r="AW212" t="s">
        <v>169</v>
      </c>
      <c r="AX212" t="s">
        <v>3481</v>
      </c>
      <c r="AY212" t="s">
        <v>3322</v>
      </c>
      <c r="AZ212">
        <v>134499</v>
      </c>
      <c r="BA212">
        <v>134499</v>
      </c>
      <c r="BB212">
        <v>0</v>
      </c>
      <c r="BC212">
        <v>0</v>
      </c>
      <c r="BD212">
        <v>0</v>
      </c>
      <c r="BE212">
        <v>0</v>
      </c>
      <c r="BF212">
        <v>7.3</v>
      </c>
      <c r="BG212">
        <v>1280</v>
      </c>
      <c r="BH212">
        <v>20586000000</v>
      </c>
      <c r="BI212">
        <v>25132026394.166809</v>
      </c>
      <c r="BJ212">
        <v>-4042973090.74189</v>
      </c>
      <c r="BK212">
        <v>4.6715104700000003</v>
      </c>
      <c r="BL212">
        <v>11.933620020607</v>
      </c>
      <c r="BM212">
        <v>12.49110033</v>
      </c>
      <c r="BN212">
        <v>201.90792310541639</v>
      </c>
      <c r="BO212">
        <v>0</v>
      </c>
      <c r="BP212">
        <v>0</v>
      </c>
      <c r="BQ212">
        <v>0</v>
      </c>
      <c r="BR212">
        <v>13863120000</v>
      </c>
      <c r="BS212">
        <v>0</v>
      </c>
      <c r="BT212">
        <v>13863120000</v>
      </c>
      <c r="BU212">
        <v>13863120000</v>
      </c>
      <c r="BV212">
        <v>13863120000</v>
      </c>
      <c r="BW212">
        <v>13863120000</v>
      </c>
      <c r="BX212">
        <v>0</v>
      </c>
      <c r="BY212" s="32">
        <f>Bankingbook_MSB[[#This Row],[Mat. Date]]-RPT</f>
        <v>7606</v>
      </c>
      <c r="BZ212" s="71">
        <f>IF(Bankingbook_MSB[[#This Row],[Days]]&lt;=0,0,YEARFRAC(RPT,Bankingbook_MSB[[#This Row],[Mat. Date]],3))</f>
        <v>20.838356164383562</v>
      </c>
      <c r="CA212" s="71" t="str">
        <f>IF(Bankingbook_MSB[[#This Row],[Days (year)]]=0,0,INDEX(Ref!$K$2:$K$13,MATCH(Bankingbook_MSB[[#This Row],[Days (year)]],Ref!$I$2:$I$13,1)))</f>
        <v>30Y</v>
      </c>
      <c r="CB212" s="32" t="str">
        <f>VLOOKUP(Bankingbook_MSB[[#This Row],[Security Name]],Ref!X:Z,3,0)</f>
        <v>TPCP</v>
      </c>
      <c r="CC212" s="32" t="str">
        <f>VLOOKUP(Bankingbook_MSB[[#This Row],[Security Name]],Ref!X:Y,2,0)</f>
        <v>KBNN</v>
      </c>
      <c r="CD212" s="72">
        <f>IF((Bankingbook_MSB[[#This Row],[Mat. Date]]-RPT)&lt;=0,0,Bankingbook_MSB[[#This Row],[QUANTITY]])</f>
        <v>0</v>
      </c>
      <c r="CE212" s="71">
        <f>IF(Bankingbook_MSB[[#This Row],[Quantity_edited]]=0,0,Bankingbook_MSB[[#This Row],[DURATION]])</f>
        <v>0</v>
      </c>
      <c r="CF212" s="71">
        <f>IF(Bankingbook_MSB[[#This Row],[Quantity_edited]]=0,0,Bankingbook_MSB[[#This Row],[Mod Dur]])</f>
        <v>0</v>
      </c>
      <c r="CG212" s="71">
        <f>IF(Bankingbook_MSB[[#This Row],[Quantity_edited]]=0,0,Bankingbook_MSB[[#This Row],[Cnvx.]])</f>
        <v>0</v>
      </c>
      <c r="CH212" s="71">
        <f>(Bankingbook_MSB[[#This Row],[MARKET_VALUE]]+Bankingbook_MSB[[#This Row],[Accr Int]]*Bankingbook_MSB[[#This Row],[Quantity_edited]])*(-Bankingbook_MSB[[#This Row],[Modified Duration]]*0.0001+0.5*Bankingbook_MSB[[#This Row],[Conv]]*(0.0001^2))</f>
        <v>0</v>
      </c>
      <c r="CI212" s="71">
        <f>(Bankingbook_MSB[[#This Row],[MARKET_VALUE]]+Bankingbook_MSB[[#This Row],[Accr Int]]*Bankingbook_MSB[[#This Row],[Quantity_edited]])*(-Bankingbook_MSB[[#This Row],[Modified Duration]]*0.01+0.5*Bankingbook_MSB[[#This Row],[Conv]]*(0.01^2))</f>
        <v>0</v>
      </c>
      <c r="CL212" t="s">
        <v>166</v>
      </c>
      <c r="CM212" t="s">
        <v>167</v>
      </c>
      <c r="CN212" t="s">
        <v>392</v>
      </c>
      <c r="CO212" t="s">
        <v>169</v>
      </c>
      <c r="CP212" s="35">
        <v>43511</v>
      </c>
      <c r="CQ212" t="s">
        <v>3322</v>
      </c>
      <c r="CR212" t="s">
        <v>174</v>
      </c>
      <c r="CS212" t="s">
        <v>174</v>
      </c>
      <c r="CT212" s="49">
        <v>0</v>
      </c>
      <c r="CU212">
        <v>0</v>
      </c>
      <c r="CV212">
        <v>0</v>
      </c>
      <c r="CW212" s="70">
        <v>0</v>
      </c>
      <c r="CX212">
        <v>7.9</v>
      </c>
      <c r="CY212">
        <v>0</v>
      </c>
      <c r="CZ212">
        <v>67150000000</v>
      </c>
      <c r="DA212">
        <v>74513419930.555527</v>
      </c>
      <c r="DB212">
        <v>-30386983460.167507</v>
      </c>
      <c r="DC212">
        <v>0</v>
      </c>
      <c r="DD212">
        <v>0</v>
      </c>
      <c r="DE212">
        <v>0</v>
      </c>
      <c r="DF212">
        <v>0</v>
      </c>
      <c r="DG212">
        <v>0</v>
      </c>
      <c r="DH212">
        <v>0</v>
      </c>
      <c r="DI212">
        <v>0</v>
      </c>
      <c r="DJ212" s="500">
        <v>37959219308</v>
      </c>
      <c r="DK212" s="500">
        <v>0</v>
      </c>
      <c r="DL212" s="37">
        <v>37959219308</v>
      </c>
      <c r="DM212" s="37">
        <v>37959219308</v>
      </c>
      <c r="DN212" s="37">
        <v>37959219308</v>
      </c>
      <c r="DO212" s="37">
        <v>37959219308</v>
      </c>
      <c r="DP212" s="32">
        <f>Tradingbook_SBV[[#This Row],[Mat. Date]]-RPT</f>
        <v>-2741</v>
      </c>
      <c r="DQ212" s="32">
        <f>IF(Tradingbook_SBV[[#This Row],[Days]]&lt;=0,0,YEARFRAC(RPT,Tradingbook_SBV[[#This Row],[Mat. Date]],3))</f>
        <v>0</v>
      </c>
      <c r="DR212" s="32">
        <f>IF(Tradingbook_SBV[[#This Row],[Days (year)]]=0,0,INDEX(Ref!$K$2:$K$13,MATCH(Tradingbook_SBV[[#This Row],[Days (year)]],Ref!$I$2:$I$13,1)))</f>
        <v>0</v>
      </c>
      <c r="DS212" s="32" t="str">
        <f>VLOOKUP(Tradingbook_SBV[[#This Row],[Security Name]],Ref!X:Z,3,0)</f>
        <v>TPCP</v>
      </c>
      <c r="DT212" s="32" t="str">
        <f>VLOOKUP(Tradingbook_SBV[[#This Row],[Security Name]],Ref!X:Y,2,0)</f>
        <v>KBNN</v>
      </c>
      <c r="DU212" s="71">
        <f>IF((Tradingbook_SBV[[#This Row],[Mat. Date]]-RPT)&lt;=0,0,Tradingbook_SBV[[#This Row],[QUANTITY]])</f>
        <v>0</v>
      </c>
      <c r="DV212" s="71">
        <f>IF(Tradingbook_SBV[[#This Row],[Quantity_edited]]=0,0,Tradingbook_SBV[[#This Row],[DURATION]])</f>
        <v>0</v>
      </c>
      <c r="DW212" s="71">
        <f>IF(Tradingbook_SBV[[#This Row],[Quantity_edited]]=0,0,Tradingbook_SBV[[#This Row],[Mod Dur]])</f>
        <v>0</v>
      </c>
      <c r="DX212" s="71">
        <f>IF(Tradingbook_SBV[[#This Row],[Quantity_edited]]=0,0,Tradingbook_SBV[[#This Row],[Cnvx.]])</f>
        <v>0</v>
      </c>
      <c r="DY212" s="71">
        <f>(Tradingbook_SBV[[#This Row],[MARKET_VALUE]]+Tradingbook_SBV[[#This Row],[Accr Int]]*Tradingbook_SBV[[#This Row],[Quantity_edited]])*(-Tradingbook_SBV[[#This Row],[Modified Duration]]*0.0001+0.5*Tradingbook_SBV[[#This Row],[Conv]]*(0.0001^2))</f>
        <v>0</v>
      </c>
      <c r="DZ212" s="71">
        <f>(Tradingbook_SBV[[#This Row],[MARKET_VALUE]]+Tradingbook_SBV[[#This Row],[Accr Int]]*Tradingbook_SBV[[#This Row],[Quantity_edited]])*(-Tradingbook_SBV[[#This Row],[Modified Duration]]*0.01+0.5*Tradingbook_SBV[[#This Row],[Conv]]*(0.01^2))</f>
        <v>0</v>
      </c>
      <c r="EC212" t="s">
        <v>166</v>
      </c>
      <c r="ED212" t="s">
        <v>3300</v>
      </c>
      <c r="EE212" t="s">
        <v>610</v>
      </c>
      <c r="EF212" t="s">
        <v>169</v>
      </c>
      <c r="EG212" s="35" t="s">
        <v>3422</v>
      </c>
      <c r="EH212" t="s">
        <v>170</v>
      </c>
      <c r="EI212" s="500">
        <v>95892</v>
      </c>
      <c r="EJ212" s="500">
        <v>95892</v>
      </c>
      <c r="EK212" s="500">
        <v>1770000</v>
      </c>
      <c r="EL212" s="500">
        <v>177000000000</v>
      </c>
      <c r="EM212" s="500">
        <v>98954.770999999993</v>
      </c>
      <c r="EN212" s="500">
        <v>169728840000</v>
      </c>
      <c r="EO212">
        <v>2.7</v>
      </c>
      <c r="EP212">
        <v>710</v>
      </c>
      <c r="EQ212">
        <v>24624000000</v>
      </c>
      <c r="ER212">
        <v>26797784444.999992</v>
      </c>
      <c r="ES212">
        <v>-29048531440.062336</v>
      </c>
      <c r="ET212">
        <v>3.899705505</v>
      </c>
      <c r="EU212">
        <v>3.4436971841810999</v>
      </c>
      <c r="EV212">
        <v>3.5779912299999999</v>
      </c>
      <c r="EW212">
        <v>15.4968406946813</v>
      </c>
      <c r="EX212">
        <v>26497.356744740599</v>
      </c>
      <c r="EY212">
        <v>-58882.242263368003</v>
      </c>
      <c r="EZ212">
        <v>17922.04</v>
      </c>
      <c r="FA212">
        <v>-16060894487.072741</v>
      </c>
      <c r="FB212">
        <v>-5421105512.9274387</v>
      </c>
      <c r="FC212">
        <v>-21482000000.000179</v>
      </c>
      <c r="FD212">
        <v>-21482000000.000179</v>
      </c>
      <c r="FE212">
        <v>-21482000000</v>
      </c>
      <c r="FF212">
        <v>-21482000000.000179</v>
      </c>
      <c r="FG212" s="32">
        <f>Bankingbook_SBV[[#This Row],[Mat. Date]]-RPT</f>
        <v>1365</v>
      </c>
      <c r="FH212" s="32">
        <f>IF(Bankingbook_SBV[[#This Row],[Days]]&lt;=0,0,YEARFRAC(RPT,Bankingbook_SBV[[#This Row],[Mat. Date]],3))</f>
        <v>3.7397260273972601</v>
      </c>
      <c r="FI212" s="32" t="str">
        <f>IF(Bankingbook_SBV[[#This Row],[Days (year)]]=0,0,INDEX(Ref!$K$2:$K$13,MATCH(Bankingbook_SBV[[#This Row],[Days (year)]],Ref!$I$2:$I$13,1)))</f>
        <v>4Y</v>
      </c>
      <c r="FJ212" s="32" t="str">
        <f>VLOOKUP(Bankingbook_SBV[[#This Row],[Security Name]],Ref!X:Z,3,0)</f>
        <v>TPCP</v>
      </c>
      <c r="FK212" s="32" t="str">
        <f>VLOOKUP(Bankingbook_SBV[[#This Row],[Security Name]],Ref!X:Y,2,0)</f>
        <v>KBNN</v>
      </c>
      <c r="FL212" s="72">
        <f>IF((Bankingbook_SBV[[#This Row],[Mat. Date]]-RPT)&lt;=0,0,Bankingbook_SBV[[#This Row],[QUANTITY]])</f>
        <v>1770000</v>
      </c>
      <c r="FM212" s="32">
        <f>IF(Bankingbook_SBV[[#This Row],[Quantity_edited]]=0,0,Bankingbook_SBV[[#This Row],[DURATION]])</f>
        <v>3.5779912299999999</v>
      </c>
      <c r="FN212" s="32">
        <f>IF(Bankingbook_SBV[[#This Row],[Quantity_edited]]=0,0,Bankingbook_SBV[[#This Row],[Mod Dur]])</f>
        <v>3.4436971841810999</v>
      </c>
      <c r="FO212" s="32">
        <f>IF(Bankingbook_SBV[[#This Row],[Quantity_edited]]=0,0,Bankingbook_SBV[[#This Row],[Cnvx.]])</f>
        <v>15.4968406946813</v>
      </c>
      <c r="FP212" s="32">
        <f>(Bankingbook_SBV[[#This Row],[MARKET_VALUE]]+Bankingbook_SBV[[#This Row],[Accr Int]]*Bankingbook_SBV[[#This Row],[Quantity_edited]])*(-Bankingbook_SBV[[#This Row],[Modified Duration]]*0.0001+0.5*Bankingbook_SBV[[#This Row],[Conv]]*(0.0001^2))</f>
        <v>-58868993.584996119</v>
      </c>
      <c r="FQ212" s="32">
        <f>(Bankingbook_SBV[[#This Row],[MARKET_VALUE]]+Bankingbook_SBV[[#This Row],[Accr Int]]*Bankingbook_SBV[[#This Row],[Quantity_edited]])*(-Bankingbook_SBV[[#This Row],[Modified Duration]]*0.01+0.5*Bankingbook_SBV[[#This Row],[Conv]]*(0.01^2))</f>
        <v>-5755737442.6131449</v>
      </c>
    </row>
    <row r="213" spans="2:173" x14ac:dyDescent="0.3">
      <c r="B213" t="s">
        <v>166</v>
      </c>
      <c r="C213" t="s">
        <v>167</v>
      </c>
      <c r="D213" t="s">
        <v>393</v>
      </c>
      <c r="E213" t="s">
        <v>169</v>
      </c>
      <c r="F213" s="502">
        <v>43521</v>
      </c>
      <c r="G213" t="s">
        <v>3322</v>
      </c>
      <c r="H213"/>
      <c r="I213"/>
      <c r="J213" s="38">
        <v>0</v>
      </c>
      <c r="K213">
        <v>0</v>
      </c>
      <c r="L213">
        <v>0</v>
      </c>
      <c r="M213" s="38">
        <v>0</v>
      </c>
      <c r="N213">
        <v>9.4</v>
      </c>
      <c r="O213">
        <v>0</v>
      </c>
      <c r="P213" s="37">
        <v>639200000</v>
      </c>
      <c r="Q213" s="37">
        <v>657462032.77777803</v>
      </c>
      <c r="R213" s="37">
        <v>-53763862.502777487</v>
      </c>
      <c r="S213">
        <v>0</v>
      </c>
      <c r="T213" s="70">
        <v>0</v>
      </c>
      <c r="U213">
        <v>0</v>
      </c>
      <c r="V213">
        <v>0</v>
      </c>
      <c r="W213">
        <v>0</v>
      </c>
      <c r="X213" s="38">
        <v>0</v>
      </c>
      <c r="Y213">
        <v>0</v>
      </c>
      <c r="Z213" s="70">
        <v>-46784000</v>
      </c>
      <c r="AA213" s="70">
        <v>0</v>
      </c>
      <c r="AB213" s="70">
        <v>-46784000</v>
      </c>
      <c r="AC213" s="70">
        <v>-46784000</v>
      </c>
      <c r="AD213" s="70">
        <v>-46784000</v>
      </c>
      <c r="AE213" s="70">
        <v>-46784000</v>
      </c>
      <c r="AF213">
        <v>0</v>
      </c>
      <c r="AG213" s="72">
        <f>Tradingbook_MSB[[#This Row],[Mat. Date]]-RPT</f>
        <v>-2731</v>
      </c>
      <c r="AH213" s="71">
        <f>IF(Tradingbook_MSB[[#This Row],[Days]]&lt;=0,0,YEARFRAC(RPT,Tradingbook_MSB[[#This Row],[Mat. Date]],3))</f>
        <v>0</v>
      </c>
      <c r="AI213" s="71">
        <f>IF(Tradingbook_MSB[[#This Row],[Days (year)]]=0,0,INDEX(Ref!$K$2:$K$13,MATCH(Tradingbook_MSB[[#This Row],[Days (year)]],Ref!$I$2:$I$13,1)))</f>
        <v>0</v>
      </c>
      <c r="AJ213" s="120" t="str">
        <f>VLOOKUP(Tradingbook_MSB[[#This Row],[Security Name]],Ref!X:Z,3,0)</f>
        <v>TPCP</v>
      </c>
      <c r="AK213" s="120" t="str">
        <f>VLOOKUP(Tradingbook_MSB[[#This Row],[Security Name]],Ref!X:Y,2,0)</f>
        <v>VDB</v>
      </c>
      <c r="AL213" s="71">
        <f>IF((Tradingbook_MSB[[#This Row],[Mat. Date]]-RPT)&lt;=0,0,Tradingbook_MSB[[#This Row],[QUANTITY]])</f>
        <v>0</v>
      </c>
      <c r="AM213" s="71">
        <f>IF(Tradingbook_MSB[[#This Row],[Quantity_edited]]=0,0,Tradingbook_MSB[[#This Row],[DURATION]])</f>
        <v>0</v>
      </c>
      <c r="AN213" s="71">
        <f>IF(Tradingbook_MSB[[#This Row],[Quantity_edited]]=0,0,Tradingbook_MSB[[#This Row],[Mod Dur]])</f>
        <v>0</v>
      </c>
      <c r="AO213" s="71">
        <f>IF(Tradingbook_MSB[[#This Row],[Quantity_edited]]=0,0,Tradingbook_MSB[[#This Row],[Cnvx.]])</f>
        <v>0</v>
      </c>
      <c r="AP213" s="71">
        <f>(Tradingbook_MSB[[#This Row],[MARKET_VALUE]]+Tradingbook_MSB[[#This Row],[Accr Int]]*Tradingbook_MSB[[#This Row],[Quantity_edited]])*(-Tradingbook_MSB[[#This Row],[Modified Duration]]*0.0001+0.5*Tradingbook_MSB[[#This Row],[Conv]]*(0.0001^2))</f>
        <v>0</v>
      </c>
      <c r="AQ213" s="72">
        <f>(Tradingbook_MSB[[#This Row],[MARKET_VALUE]]+Tradingbook_MSB[[#This Row],[Accr Int]]*Tradingbook_MSB[[#This Row],[Quantity_edited]])*(-Tradingbook_MSB[[#This Row],[Modified Duration]]*0.01+0.5*Tradingbook_MSB[[#This Row],[Conv]]*(0.01^2))</f>
        <v>0</v>
      </c>
      <c r="AR213" s="71"/>
      <c r="AT213" t="s">
        <v>166</v>
      </c>
      <c r="AU213" t="s">
        <v>3303</v>
      </c>
      <c r="AV213" t="s">
        <v>727</v>
      </c>
      <c r="AW213" t="s">
        <v>169</v>
      </c>
      <c r="AX213" t="s">
        <v>3482</v>
      </c>
      <c r="AY213" t="s">
        <v>3322</v>
      </c>
      <c r="AZ213">
        <v>109643</v>
      </c>
      <c r="BA213">
        <v>109643</v>
      </c>
      <c r="BB213">
        <v>0</v>
      </c>
      <c r="BC213">
        <v>0</v>
      </c>
      <c r="BD213">
        <v>0</v>
      </c>
      <c r="BE213">
        <v>0</v>
      </c>
      <c r="BF213">
        <v>5.4</v>
      </c>
      <c r="BG213">
        <v>3136</v>
      </c>
      <c r="BH213">
        <v>54000000000</v>
      </c>
      <c r="BI213">
        <v>63217096874.999908</v>
      </c>
      <c r="BJ213">
        <v>-4605640177.7218285</v>
      </c>
      <c r="BK213">
        <v>4.6755032840000004</v>
      </c>
      <c r="BL213">
        <v>12.621498746741601</v>
      </c>
      <c r="BM213">
        <v>13.21161734</v>
      </c>
      <c r="BN213">
        <v>225.38439749715431</v>
      </c>
      <c r="BO213">
        <v>0</v>
      </c>
      <c r="BP213">
        <v>0</v>
      </c>
      <c r="BQ213">
        <v>0</v>
      </c>
      <c r="BR213">
        <v>89030100000</v>
      </c>
      <c r="BS213">
        <v>0</v>
      </c>
      <c r="BT213">
        <v>89030100000</v>
      </c>
      <c r="BU213">
        <v>89030100000</v>
      </c>
      <c r="BV213">
        <v>89030100000</v>
      </c>
      <c r="BW213">
        <v>89030100000</v>
      </c>
      <c r="BX213">
        <v>0</v>
      </c>
      <c r="BY213" s="32">
        <f>Bankingbook_MSB[[#This Row],[Mat. Date]]-RPT</f>
        <v>7823</v>
      </c>
      <c r="BZ213" s="71">
        <f>IF(Bankingbook_MSB[[#This Row],[Days]]&lt;=0,0,YEARFRAC(RPT,Bankingbook_MSB[[#This Row],[Mat. Date]],3))</f>
        <v>21.432876712328767</v>
      </c>
      <c r="CA213" s="71" t="str">
        <f>IF(Bankingbook_MSB[[#This Row],[Days (year)]]=0,0,INDEX(Ref!$K$2:$K$13,MATCH(Bankingbook_MSB[[#This Row],[Days (year)]],Ref!$I$2:$I$13,1)))</f>
        <v>30Y</v>
      </c>
      <c r="CB213" s="32" t="str">
        <f>VLOOKUP(Bankingbook_MSB[[#This Row],[Security Name]],Ref!X:Z,3,0)</f>
        <v>TPCP</v>
      </c>
      <c r="CC213" s="32" t="str">
        <f>VLOOKUP(Bankingbook_MSB[[#This Row],[Security Name]],Ref!X:Y,2,0)</f>
        <v>KBNN</v>
      </c>
      <c r="CD213" s="72">
        <f>IF((Bankingbook_MSB[[#This Row],[Mat. Date]]-RPT)&lt;=0,0,Bankingbook_MSB[[#This Row],[QUANTITY]])</f>
        <v>0</v>
      </c>
      <c r="CE213" s="71">
        <f>IF(Bankingbook_MSB[[#This Row],[Quantity_edited]]=0,0,Bankingbook_MSB[[#This Row],[DURATION]])</f>
        <v>0</v>
      </c>
      <c r="CF213" s="71">
        <f>IF(Bankingbook_MSB[[#This Row],[Quantity_edited]]=0,0,Bankingbook_MSB[[#This Row],[Mod Dur]])</f>
        <v>0</v>
      </c>
      <c r="CG213" s="71">
        <f>IF(Bankingbook_MSB[[#This Row],[Quantity_edited]]=0,0,Bankingbook_MSB[[#This Row],[Cnvx.]])</f>
        <v>0</v>
      </c>
      <c r="CH213" s="71">
        <f>(Bankingbook_MSB[[#This Row],[MARKET_VALUE]]+Bankingbook_MSB[[#This Row],[Accr Int]]*Bankingbook_MSB[[#This Row],[Quantity_edited]])*(-Bankingbook_MSB[[#This Row],[Modified Duration]]*0.0001+0.5*Bankingbook_MSB[[#This Row],[Conv]]*(0.0001^2))</f>
        <v>0</v>
      </c>
      <c r="CI213" s="71">
        <f>(Bankingbook_MSB[[#This Row],[MARKET_VALUE]]+Bankingbook_MSB[[#This Row],[Accr Int]]*Bankingbook_MSB[[#This Row],[Quantity_edited]])*(-Bankingbook_MSB[[#This Row],[Modified Duration]]*0.01+0.5*Bankingbook_MSB[[#This Row],[Conv]]*(0.01^2))</f>
        <v>0</v>
      </c>
      <c r="CL213" t="s">
        <v>166</v>
      </c>
      <c r="CM213" t="s">
        <v>167</v>
      </c>
      <c r="CN213" t="s">
        <v>393</v>
      </c>
      <c r="CO213" t="s">
        <v>169</v>
      </c>
      <c r="CP213" s="35">
        <v>43521</v>
      </c>
      <c r="CQ213" t="s">
        <v>3322</v>
      </c>
      <c r="CR213" t="s">
        <v>174</v>
      </c>
      <c r="CS213" t="s">
        <v>174</v>
      </c>
      <c r="CT213" s="49">
        <v>0</v>
      </c>
      <c r="CU213">
        <v>0</v>
      </c>
      <c r="CV213">
        <v>0</v>
      </c>
      <c r="CW213" s="70">
        <v>0</v>
      </c>
      <c r="CX213">
        <v>9.4</v>
      </c>
      <c r="CY213">
        <v>0</v>
      </c>
      <c r="CZ213">
        <v>639200000</v>
      </c>
      <c r="DA213">
        <v>657462032.77777803</v>
      </c>
      <c r="DB213">
        <v>-53763862.502777487</v>
      </c>
      <c r="DC213">
        <v>0</v>
      </c>
      <c r="DD213">
        <v>0</v>
      </c>
      <c r="DE213">
        <v>0</v>
      </c>
      <c r="DF213">
        <v>0</v>
      </c>
      <c r="DG213">
        <v>0</v>
      </c>
      <c r="DH213">
        <v>0</v>
      </c>
      <c r="DI213">
        <v>0</v>
      </c>
      <c r="DJ213" s="500">
        <v>-46784000</v>
      </c>
      <c r="DK213" s="500">
        <v>0</v>
      </c>
      <c r="DL213" s="37">
        <v>-46784000</v>
      </c>
      <c r="DM213" s="37">
        <v>-46784000</v>
      </c>
      <c r="DN213" s="37">
        <v>-46784000</v>
      </c>
      <c r="DO213" s="37">
        <v>-46784000</v>
      </c>
      <c r="DP213" s="32">
        <f>Tradingbook_SBV[[#This Row],[Mat. Date]]-RPT</f>
        <v>-2731</v>
      </c>
      <c r="DQ213" s="32">
        <f>IF(Tradingbook_SBV[[#This Row],[Days]]&lt;=0,0,YEARFRAC(RPT,Tradingbook_SBV[[#This Row],[Mat. Date]],3))</f>
        <v>0</v>
      </c>
      <c r="DR213" s="32">
        <f>IF(Tradingbook_SBV[[#This Row],[Days (year)]]=0,0,INDEX(Ref!$K$2:$K$13,MATCH(Tradingbook_SBV[[#This Row],[Days (year)]],Ref!$I$2:$I$13,1)))</f>
        <v>0</v>
      </c>
      <c r="DS213" s="32" t="str">
        <f>VLOOKUP(Tradingbook_SBV[[#This Row],[Security Name]],Ref!X:Z,3,0)</f>
        <v>TPCP</v>
      </c>
      <c r="DT213" s="32" t="str">
        <f>VLOOKUP(Tradingbook_SBV[[#This Row],[Security Name]],Ref!X:Y,2,0)</f>
        <v>VDB</v>
      </c>
      <c r="DU213" s="71">
        <f>IF((Tradingbook_SBV[[#This Row],[Mat. Date]]-RPT)&lt;=0,0,Tradingbook_SBV[[#This Row],[QUANTITY]])</f>
        <v>0</v>
      </c>
      <c r="DV213" s="71">
        <f>IF(Tradingbook_SBV[[#This Row],[Quantity_edited]]=0,0,Tradingbook_SBV[[#This Row],[DURATION]])</f>
        <v>0</v>
      </c>
      <c r="DW213" s="71">
        <f>IF(Tradingbook_SBV[[#This Row],[Quantity_edited]]=0,0,Tradingbook_SBV[[#This Row],[Mod Dur]])</f>
        <v>0</v>
      </c>
      <c r="DX213" s="71">
        <f>IF(Tradingbook_SBV[[#This Row],[Quantity_edited]]=0,0,Tradingbook_SBV[[#This Row],[Cnvx.]])</f>
        <v>0</v>
      </c>
      <c r="DY213" s="71">
        <f>(Tradingbook_SBV[[#This Row],[MARKET_VALUE]]+Tradingbook_SBV[[#This Row],[Accr Int]]*Tradingbook_SBV[[#This Row],[Quantity_edited]])*(-Tradingbook_SBV[[#This Row],[Modified Duration]]*0.0001+0.5*Tradingbook_SBV[[#This Row],[Conv]]*(0.0001^2))</f>
        <v>0</v>
      </c>
      <c r="DZ213" s="71">
        <f>(Tradingbook_SBV[[#This Row],[MARKET_VALUE]]+Tradingbook_SBV[[#This Row],[Accr Int]]*Tradingbook_SBV[[#This Row],[Quantity_edited]])*(-Tradingbook_SBV[[#This Row],[Modified Duration]]*0.01+0.5*Tradingbook_SBV[[#This Row],[Conv]]*(0.01^2))</f>
        <v>0</v>
      </c>
      <c r="EC213" t="s">
        <v>166</v>
      </c>
      <c r="ED213" t="s">
        <v>3300</v>
      </c>
      <c r="EE213" t="s">
        <v>611</v>
      </c>
      <c r="EF213" t="s">
        <v>169</v>
      </c>
      <c r="EG213" s="35" t="s">
        <v>3423</v>
      </c>
      <c r="EH213" t="s">
        <v>170</v>
      </c>
      <c r="EI213" s="500">
        <v>112715</v>
      </c>
      <c r="EJ213" s="500">
        <v>112715</v>
      </c>
      <c r="EK213" s="500">
        <v>1000000</v>
      </c>
      <c r="EL213" s="500">
        <v>100000000000</v>
      </c>
      <c r="EM213" s="500">
        <v>127237.997</v>
      </c>
      <c r="EN213" s="500">
        <v>112715000000</v>
      </c>
      <c r="EO213">
        <v>7.6</v>
      </c>
      <c r="EP213">
        <v>1645</v>
      </c>
      <c r="EQ213">
        <v>60800000000</v>
      </c>
      <c r="ER213">
        <v>67674861833.333191</v>
      </c>
      <c r="ES213">
        <v>-63483606916.041237</v>
      </c>
      <c r="ET213">
        <v>3.912205573</v>
      </c>
      <c r="EU213">
        <v>3.2780103117218</v>
      </c>
      <c r="EV213">
        <v>3.4062528099999998</v>
      </c>
      <c r="EW213">
        <v>14.590829313101301</v>
      </c>
      <c r="EX213">
        <v>16686.0724024626</v>
      </c>
      <c r="EY213">
        <v>-37487.325924851</v>
      </c>
      <c r="EZ213">
        <v>12024.467000000001</v>
      </c>
      <c r="FA213">
        <v>-41183502998.500427</v>
      </c>
      <c r="FB213">
        <v>-14522997001.499243</v>
      </c>
      <c r="FC213">
        <v>-55706499999.999672</v>
      </c>
      <c r="FD213">
        <v>-55706499999.999672</v>
      </c>
      <c r="FE213">
        <v>-55706500000</v>
      </c>
      <c r="FF213">
        <v>-55706499999.999672</v>
      </c>
      <c r="FG213" s="32">
        <f>Bankingbook_SBV[[#This Row],[Mat. Date]]-RPT</f>
        <v>1382</v>
      </c>
      <c r="FH213" s="32">
        <f>IF(Bankingbook_SBV[[#This Row],[Days]]&lt;=0,0,YEARFRAC(RPT,Bankingbook_SBV[[#This Row],[Mat. Date]],3))</f>
        <v>3.7863013698630139</v>
      </c>
      <c r="FI213" s="32" t="str">
        <f>IF(Bankingbook_SBV[[#This Row],[Days (year)]]=0,0,INDEX(Ref!$K$2:$K$13,MATCH(Bankingbook_SBV[[#This Row],[Days (year)]],Ref!$I$2:$I$13,1)))</f>
        <v>4Y</v>
      </c>
      <c r="FJ213" s="32" t="str">
        <f>VLOOKUP(Bankingbook_SBV[[#This Row],[Security Name]],Ref!X:Z,3,0)</f>
        <v>TPCP</v>
      </c>
      <c r="FK213" s="32" t="str">
        <f>VLOOKUP(Bankingbook_SBV[[#This Row],[Security Name]],Ref!X:Y,2,0)</f>
        <v>KBNN</v>
      </c>
      <c r="FL213" s="72">
        <f>IF((Bankingbook_SBV[[#This Row],[Mat. Date]]-RPT)&lt;=0,0,Bankingbook_SBV[[#This Row],[QUANTITY]])</f>
        <v>1000000</v>
      </c>
      <c r="FM213" s="32">
        <f>IF(Bankingbook_SBV[[#This Row],[Quantity_edited]]=0,0,Bankingbook_SBV[[#This Row],[DURATION]])</f>
        <v>3.4062528099999998</v>
      </c>
      <c r="FN213" s="32">
        <f>IF(Bankingbook_SBV[[#This Row],[Quantity_edited]]=0,0,Bankingbook_SBV[[#This Row],[Mod Dur]])</f>
        <v>3.2780103117218</v>
      </c>
      <c r="FO213" s="32">
        <f>IF(Bankingbook_SBV[[#This Row],[Quantity_edited]]=0,0,Bankingbook_SBV[[#This Row],[Cnvx.]])</f>
        <v>14.590829313101301</v>
      </c>
      <c r="FP213" s="32">
        <f>(Bankingbook_SBV[[#This Row],[MARKET_VALUE]]+Bankingbook_SBV[[#This Row],[Accr Int]]*Bankingbook_SBV[[#This Row],[Quantity_edited]])*(-Bankingbook_SBV[[#This Row],[Modified Duration]]*0.0001+0.5*Bankingbook_SBV[[#This Row],[Conv]]*(0.0001^2))</f>
        <v>-37478982.888649277</v>
      </c>
      <c r="FQ213" s="32">
        <f>(Bankingbook_SBV[[#This Row],[MARKET_VALUE]]+Bankingbook_SBV[[#This Row],[Accr Int]]*Bankingbook_SBV[[#This Row],[Quantity_edited]])*(-Bankingbook_SBV[[#This Row],[Modified Duration]]*0.01+0.5*Bankingbook_SBV[[#This Row],[Conv]]*(0.01^2))</f>
        <v>-3665302230.4727378</v>
      </c>
    </row>
    <row r="214" spans="2:173" x14ac:dyDescent="0.3">
      <c r="B214" t="s">
        <v>166</v>
      </c>
      <c r="C214" t="s">
        <v>167</v>
      </c>
      <c r="D214" t="s">
        <v>394</v>
      </c>
      <c r="E214" t="s">
        <v>169</v>
      </c>
      <c r="F214" s="502">
        <v>43524</v>
      </c>
      <c r="G214" t="s">
        <v>3322</v>
      </c>
      <c r="H214"/>
      <c r="I214"/>
      <c r="J214" s="38">
        <v>0</v>
      </c>
      <c r="K214">
        <v>0</v>
      </c>
      <c r="L214">
        <v>0</v>
      </c>
      <c r="M214" s="38">
        <v>0</v>
      </c>
      <c r="N214">
        <v>7.6</v>
      </c>
      <c r="O214">
        <v>0</v>
      </c>
      <c r="P214" s="37">
        <v>49400000000</v>
      </c>
      <c r="Q214" s="37">
        <v>55021267166.666672</v>
      </c>
      <c r="R214" s="37">
        <v>-13412748360.277649</v>
      </c>
      <c r="S214">
        <v>0</v>
      </c>
      <c r="T214" s="70">
        <v>0</v>
      </c>
      <c r="U214">
        <v>0</v>
      </c>
      <c r="V214">
        <v>0</v>
      </c>
      <c r="W214">
        <v>0</v>
      </c>
      <c r="X214" s="38">
        <v>0</v>
      </c>
      <c r="Y214">
        <v>0</v>
      </c>
      <c r="Z214" s="70">
        <v>20242500000</v>
      </c>
      <c r="AA214" s="70">
        <v>0</v>
      </c>
      <c r="AB214" s="70">
        <v>20242500000</v>
      </c>
      <c r="AC214" s="70">
        <v>20242500000</v>
      </c>
      <c r="AD214" s="70">
        <v>20242500000</v>
      </c>
      <c r="AE214" s="70">
        <v>20242500000</v>
      </c>
      <c r="AF214">
        <v>0</v>
      </c>
      <c r="AG214" s="72">
        <f>Tradingbook_MSB[[#This Row],[Mat. Date]]-RPT</f>
        <v>-2728</v>
      </c>
      <c r="AH214" s="71">
        <f>IF(Tradingbook_MSB[[#This Row],[Days]]&lt;=0,0,YEARFRAC(RPT,Tradingbook_MSB[[#This Row],[Mat. Date]],3))</f>
        <v>0</v>
      </c>
      <c r="AI214" s="71">
        <f>IF(Tradingbook_MSB[[#This Row],[Days (year)]]=0,0,INDEX(Ref!$K$2:$K$13,MATCH(Tradingbook_MSB[[#This Row],[Days (year)]],Ref!$I$2:$I$13,1)))</f>
        <v>0</v>
      </c>
      <c r="AJ214" s="120" t="str">
        <f>VLOOKUP(Tradingbook_MSB[[#This Row],[Security Name]],Ref!X:Z,3,0)</f>
        <v>TPCP</v>
      </c>
      <c r="AK214" s="120" t="str">
        <f>VLOOKUP(Tradingbook_MSB[[#This Row],[Security Name]],Ref!X:Y,2,0)</f>
        <v>KBNN</v>
      </c>
      <c r="AL214" s="71">
        <f>IF((Tradingbook_MSB[[#This Row],[Mat. Date]]-RPT)&lt;=0,0,Tradingbook_MSB[[#This Row],[QUANTITY]])</f>
        <v>0</v>
      </c>
      <c r="AM214" s="71">
        <f>IF(Tradingbook_MSB[[#This Row],[Quantity_edited]]=0,0,Tradingbook_MSB[[#This Row],[DURATION]])</f>
        <v>0</v>
      </c>
      <c r="AN214" s="71">
        <f>IF(Tradingbook_MSB[[#This Row],[Quantity_edited]]=0,0,Tradingbook_MSB[[#This Row],[Mod Dur]])</f>
        <v>0</v>
      </c>
      <c r="AO214" s="71">
        <f>IF(Tradingbook_MSB[[#This Row],[Quantity_edited]]=0,0,Tradingbook_MSB[[#This Row],[Cnvx.]])</f>
        <v>0</v>
      </c>
      <c r="AP214" s="71">
        <f>(Tradingbook_MSB[[#This Row],[MARKET_VALUE]]+Tradingbook_MSB[[#This Row],[Accr Int]]*Tradingbook_MSB[[#This Row],[Quantity_edited]])*(-Tradingbook_MSB[[#This Row],[Modified Duration]]*0.0001+0.5*Tradingbook_MSB[[#This Row],[Conv]]*(0.0001^2))</f>
        <v>0</v>
      </c>
      <c r="AQ214" s="72">
        <f>(Tradingbook_MSB[[#This Row],[MARKET_VALUE]]+Tradingbook_MSB[[#This Row],[Accr Int]]*Tradingbook_MSB[[#This Row],[Quantity_edited]])*(-Tradingbook_MSB[[#This Row],[Modified Duration]]*0.01+0.5*Tradingbook_MSB[[#This Row],[Conv]]*(0.01^2))</f>
        <v>0</v>
      </c>
      <c r="AR214" s="71"/>
      <c r="AT214" t="s">
        <v>166</v>
      </c>
      <c r="AU214" t="s">
        <v>3303</v>
      </c>
      <c r="AV214" t="s">
        <v>729</v>
      </c>
      <c r="AW214" t="s">
        <v>169</v>
      </c>
      <c r="AX214" t="s">
        <v>3483</v>
      </c>
      <c r="AY214" t="s">
        <v>3322</v>
      </c>
      <c r="AZ214">
        <v>107139</v>
      </c>
      <c r="BA214">
        <v>107139</v>
      </c>
      <c r="BB214">
        <v>0</v>
      </c>
      <c r="BC214">
        <v>0</v>
      </c>
      <c r="BD214">
        <v>0</v>
      </c>
      <c r="BE214">
        <v>0</v>
      </c>
      <c r="BF214">
        <v>5.2</v>
      </c>
      <c r="BG214">
        <v>4644</v>
      </c>
      <c r="BH214">
        <v>26000000000</v>
      </c>
      <c r="BI214">
        <v>30109769444.444313</v>
      </c>
      <c r="BJ214">
        <v>4067614368.9588289</v>
      </c>
      <c r="BK214">
        <v>4.6867977439999997</v>
      </c>
      <c r="BL214">
        <v>13.080224004397399</v>
      </c>
      <c r="BM214">
        <v>13.693267649999999</v>
      </c>
      <c r="BN214">
        <v>248.39838340353759</v>
      </c>
      <c r="BO214">
        <v>0</v>
      </c>
      <c r="BP214">
        <v>0</v>
      </c>
      <c r="BQ214">
        <v>0</v>
      </c>
      <c r="BR214">
        <v>66108250000</v>
      </c>
      <c r="BS214">
        <v>0</v>
      </c>
      <c r="BT214">
        <v>66108250000</v>
      </c>
      <c r="BU214">
        <v>66108250000</v>
      </c>
      <c r="BV214">
        <v>66108250000</v>
      </c>
      <c r="BW214">
        <v>66108250000</v>
      </c>
      <c r="BX214">
        <v>0</v>
      </c>
      <c r="BY214" s="32">
        <f>Bankingbook_MSB[[#This Row],[Mat. Date]]-RPT</f>
        <v>8440</v>
      </c>
      <c r="BZ214" s="71">
        <f>IF(Bankingbook_MSB[[#This Row],[Days]]&lt;=0,0,YEARFRAC(RPT,Bankingbook_MSB[[#This Row],[Mat. Date]],3))</f>
        <v>23.123287671232877</v>
      </c>
      <c r="CA214" s="71" t="str">
        <f>IF(Bankingbook_MSB[[#This Row],[Days (year)]]=0,0,INDEX(Ref!$K$2:$K$13,MATCH(Bankingbook_MSB[[#This Row],[Days (year)]],Ref!$I$2:$I$13,1)))</f>
        <v>30Y</v>
      </c>
      <c r="CB214" s="32" t="str">
        <f>VLOOKUP(Bankingbook_MSB[[#This Row],[Security Name]],Ref!X:Z,3,0)</f>
        <v>TPCP</v>
      </c>
      <c r="CC214" s="32" t="str">
        <f>VLOOKUP(Bankingbook_MSB[[#This Row],[Security Name]],Ref!X:Y,2,0)</f>
        <v>KBNN</v>
      </c>
      <c r="CD214" s="72">
        <f>IF((Bankingbook_MSB[[#This Row],[Mat. Date]]-RPT)&lt;=0,0,Bankingbook_MSB[[#This Row],[QUANTITY]])</f>
        <v>0</v>
      </c>
      <c r="CE214" s="71">
        <f>IF(Bankingbook_MSB[[#This Row],[Quantity_edited]]=0,0,Bankingbook_MSB[[#This Row],[DURATION]])</f>
        <v>0</v>
      </c>
      <c r="CF214" s="71">
        <f>IF(Bankingbook_MSB[[#This Row],[Quantity_edited]]=0,0,Bankingbook_MSB[[#This Row],[Mod Dur]])</f>
        <v>0</v>
      </c>
      <c r="CG214" s="71">
        <f>IF(Bankingbook_MSB[[#This Row],[Quantity_edited]]=0,0,Bankingbook_MSB[[#This Row],[Cnvx.]])</f>
        <v>0</v>
      </c>
      <c r="CH214" s="71">
        <f>(Bankingbook_MSB[[#This Row],[MARKET_VALUE]]+Bankingbook_MSB[[#This Row],[Accr Int]]*Bankingbook_MSB[[#This Row],[Quantity_edited]])*(-Bankingbook_MSB[[#This Row],[Modified Duration]]*0.0001+0.5*Bankingbook_MSB[[#This Row],[Conv]]*(0.0001^2))</f>
        <v>0</v>
      </c>
      <c r="CI214" s="71">
        <f>(Bankingbook_MSB[[#This Row],[MARKET_VALUE]]+Bankingbook_MSB[[#This Row],[Accr Int]]*Bankingbook_MSB[[#This Row],[Quantity_edited]])*(-Bankingbook_MSB[[#This Row],[Modified Duration]]*0.01+0.5*Bankingbook_MSB[[#This Row],[Conv]]*(0.01^2))</f>
        <v>0</v>
      </c>
      <c r="CL214" t="s">
        <v>166</v>
      </c>
      <c r="CM214" t="s">
        <v>167</v>
      </c>
      <c r="CN214" t="s">
        <v>394</v>
      </c>
      <c r="CO214" t="s">
        <v>169</v>
      </c>
      <c r="CP214" s="35">
        <v>43524</v>
      </c>
      <c r="CQ214" t="s">
        <v>3322</v>
      </c>
      <c r="CR214" t="s">
        <v>174</v>
      </c>
      <c r="CS214" t="s">
        <v>174</v>
      </c>
      <c r="CT214" s="49">
        <v>0</v>
      </c>
      <c r="CU214">
        <v>0</v>
      </c>
      <c r="CV214">
        <v>0</v>
      </c>
      <c r="CW214" s="70">
        <v>0</v>
      </c>
      <c r="CX214">
        <v>7.6</v>
      </c>
      <c r="CY214">
        <v>0</v>
      </c>
      <c r="CZ214">
        <v>49400000000</v>
      </c>
      <c r="DA214">
        <v>55021267166.666672</v>
      </c>
      <c r="DB214">
        <v>-13412748360.277649</v>
      </c>
      <c r="DC214">
        <v>0</v>
      </c>
      <c r="DD214">
        <v>0</v>
      </c>
      <c r="DE214">
        <v>0</v>
      </c>
      <c r="DF214">
        <v>0</v>
      </c>
      <c r="DG214">
        <v>0</v>
      </c>
      <c r="DH214">
        <v>0</v>
      </c>
      <c r="DI214">
        <v>0</v>
      </c>
      <c r="DJ214" s="500">
        <v>20242500000</v>
      </c>
      <c r="DK214" s="500">
        <v>0</v>
      </c>
      <c r="DL214" s="37">
        <v>20242500000</v>
      </c>
      <c r="DM214" s="37">
        <v>20242500000</v>
      </c>
      <c r="DN214" s="37">
        <v>20242500000</v>
      </c>
      <c r="DO214" s="37">
        <v>20242500000</v>
      </c>
      <c r="DP214" s="32">
        <f>Tradingbook_SBV[[#This Row],[Mat. Date]]-RPT</f>
        <v>-2728</v>
      </c>
      <c r="DQ214" s="32">
        <f>IF(Tradingbook_SBV[[#This Row],[Days]]&lt;=0,0,YEARFRAC(RPT,Tradingbook_SBV[[#This Row],[Mat. Date]],3))</f>
        <v>0</v>
      </c>
      <c r="DR214" s="32">
        <f>IF(Tradingbook_SBV[[#This Row],[Days (year)]]=0,0,INDEX(Ref!$K$2:$K$13,MATCH(Tradingbook_SBV[[#This Row],[Days (year)]],Ref!$I$2:$I$13,1)))</f>
        <v>0</v>
      </c>
      <c r="DS214" s="32" t="str">
        <f>VLOOKUP(Tradingbook_SBV[[#This Row],[Security Name]],Ref!X:Z,3,0)</f>
        <v>TPCP</v>
      </c>
      <c r="DT214" s="32" t="str">
        <f>VLOOKUP(Tradingbook_SBV[[#This Row],[Security Name]],Ref!X:Y,2,0)</f>
        <v>KBNN</v>
      </c>
      <c r="DU214" s="71">
        <f>IF((Tradingbook_SBV[[#This Row],[Mat. Date]]-RPT)&lt;=0,0,Tradingbook_SBV[[#This Row],[QUANTITY]])</f>
        <v>0</v>
      </c>
      <c r="DV214" s="71">
        <f>IF(Tradingbook_SBV[[#This Row],[Quantity_edited]]=0,0,Tradingbook_SBV[[#This Row],[DURATION]])</f>
        <v>0</v>
      </c>
      <c r="DW214" s="71">
        <f>IF(Tradingbook_SBV[[#This Row],[Quantity_edited]]=0,0,Tradingbook_SBV[[#This Row],[Mod Dur]])</f>
        <v>0</v>
      </c>
      <c r="DX214" s="71">
        <f>IF(Tradingbook_SBV[[#This Row],[Quantity_edited]]=0,0,Tradingbook_SBV[[#This Row],[Cnvx.]])</f>
        <v>0</v>
      </c>
      <c r="DY214" s="71">
        <f>(Tradingbook_SBV[[#This Row],[MARKET_VALUE]]+Tradingbook_SBV[[#This Row],[Accr Int]]*Tradingbook_SBV[[#This Row],[Quantity_edited]])*(-Tradingbook_SBV[[#This Row],[Modified Duration]]*0.0001+0.5*Tradingbook_SBV[[#This Row],[Conv]]*(0.0001^2))</f>
        <v>0</v>
      </c>
      <c r="DZ214" s="71">
        <f>(Tradingbook_SBV[[#This Row],[MARKET_VALUE]]+Tradingbook_SBV[[#This Row],[Accr Int]]*Tradingbook_SBV[[#This Row],[Quantity_edited]])*(-Tradingbook_SBV[[#This Row],[Modified Duration]]*0.01+0.5*Tradingbook_SBV[[#This Row],[Conv]]*(0.01^2))</f>
        <v>0</v>
      </c>
      <c r="EC214" t="s">
        <v>166</v>
      </c>
      <c r="ED214" t="s">
        <v>3300</v>
      </c>
      <c r="EE214" t="s">
        <v>612</v>
      </c>
      <c r="EF214" t="s">
        <v>169</v>
      </c>
      <c r="EG214" s="35" t="s">
        <v>3424</v>
      </c>
      <c r="EH214" t="s">
        <v>3322</v>
      </c>
      <c r="EI214" s="500">
        <v>96757</v>
      </c>
      <c r="EJ214" s="500">
        <v>96757</v>
      </c>
      <c r="EK214" s="500">
        <v>0</v>
      </c>
      <c r="EL214" s="500">
        <v>0</v>
      </c>
      <c r="EM214" s="500">
        <v>0</v>
      </c>
      <c r="EN214" s="500">
        <v>0</v>
      </c>
      <c r="EO214">
        <v>3</v>
      </c>
      <c r="EP214">
        <v>501</v>
      </c>
      <c r="EQ214">
        <v>37500000000</v>
      </c>
      <c r="ER214">
        <v>42235962083.333221</v>
      </c>
      <c r="ES214">
        <v>-27787056823.774269</v>
      </c>
      <c r="ET214">
        <v>3.9256365870000001</v>
      </c>
      <c r="EU214">
        <v>3.5199342643425</v>
      </c>
      <c r="EV214">
        <v>3.6581140900000002</v>
      </c>
      <c r="EW214">
        <v>16.1296176235102</v>
      </c>
      <c r="EX214">
        <v>0</v>
      </c>
      <c r="EY214">
        <v>0</v>
      </c>
      <c r="EZ214">
        <v>0</v>
      </c>
      <c r="FA214">
        <v>-17678470000</v>
      </c>
      <c r="FB214">
        <v>0</v>
      </c>
      <c r="FC214">
        <v>-17678470000</v>
      </c>
      <c r="FD214">
        <v>-17678470000</v>
      </c>
      <c r="FE214">
        <v>-17678470000</v>
      </c>
      <c r="FF214">
        <v>-17678470000</v>
      </c>
      <c r="FG214" s="32">
        <f>Bankingbook_SBV[[#This Row],[Mat. Date]]-RPT</f>
        <v>1400</v>
      </c>
      <c r="FH214" s="32">
        <f>IF(Bankingbook_SBV[[#This Row],[Days]]&lt;=0,0,YEARFRAC(RPT,Bankingbook_SBV[[#This Row],[Mat. Date]],3))</f>
        <v>3.8356164383561642</v>
      </c>
      <c r="FI214" s="32" t="str">
        <f>IF(Bankingbook_SBV[[#This Row],[Days (year)]]=0,0,INDEX(Ref!$K$2:$K$13,MATCH(Bankingbook_SBV[[#This Row],[Days (year)]],Ref!$I$2:$I$13,1)))</f>
        <v>4Y</v>
      </c>
      <c r="FJ214" s="32" t="str">
        <f>VLOOKUP(Bankingbook_SBV[[#This Row],[Security Name]],Ref!X:Z,3,0)</f>
        <v>TPCP</v>
      </c>
      <c r="FK214" s="32" t="str">
        <f>VLOOKUP(Bankingbook_SBV[[#This Row],[Security Name]],Ref!X:Y,2,0)</f>
        <v>KBNN</v>
      </c>
      <c r="FL214" s="72">
        <f>IF((Bankingbook_SBV[[#This Row],[Mat. Date]]-RPT)&lt;=0,0,Bankingbook_SBV[[#This Row],[QUANTITY]])</f>
        <v>0</v>
      </c>
      <c r="FM214" s="32">
        <f>IF(Bankingbook_SBV[[#This Row],[Quantity_edited]]=0,0,Bankingbook_SBV[[#This Row],[DURATION]])</f>
        <v>0</v>
      </c>
      <c r="FN214" s="32">
        <f>IF(Bankingbook_SBV[[#This Row],[Quantity_edited]]=0,0,Bankingbook_SBV[[#This Row],[Mod Dur]])</f>
        <v>0</v>
      </c>
      <c r="FO214" s="32">
        <f>IF(Bankingbook_SBV[[#This Row],[Quantity_edited]]=0,0,Bankingbook_SBV[[#This Row],[Cnvx.]])</f>
        <v>0</v>
      </c>
      <c r="FP214" s="32">
        <f>(Bankingbook_SBV[[#This Row],[MARKET_VALUE]]+Bankingbook_SBV[[#This Row],[Accr Int]]*Bankingbook_SBV[[#This Row],[Quantity_edited]])*(-Bankingbook_SBV[[#This Row],[Modified Duration]]*0.0001+0.5*Bankingbook_SBV[[#This Row],[Conv]]*(0.0001^2))</f>
        <v>0</v>
      </c>
      <c r="FQ214" s="32">
        <f>(Bankingbook_SBV[[#This Row],[MARKET_VALUE]]+Bankingbook_SBV[[#This Row],[Accr Int]]*Bankingbook_SBV[[#This Row],[Quantity_edited]])*(-Bankingbook_SBV[[#This Row],[Modified Duration]]*0.01+0.5*Bankingbook_SBV[[#This Row],[Conv]]*(0.01^2))</f>
        <v>0</v>
      </c>
    </row>
    <row r="215" spans="2:173" x14ac:dyDescent="0.3">
      <c r="B215" t="s">
        <v>166</v>
      </c>
      <c r="C215" t="s">
        <v>167</v>
      </c>
      <c r="D215" t="s">
        <v>395</v>
      </c>
      <c r="E215" t="s">
        <v>169</v>
      </c>
      <c r="F215" s="502">
        <v>43528</v>
      </c>
      <c r="G215" t="s">
        <v>3322</v>
      </c>
      <c r="H215"/>
      <c r="I215"/>
      <c r="J215" s="38">
        <v>0</v>
      </c>
      <c r="K215">
        <v>0</v>
      </c>
      <c r="L215">
        <v>0</v>
      </c>
      <c r="M215" s="38">
        <v>0</v>
      </c>
      <c r="N215">
        <v>5.7</v>
      </c>
      <c r="O215">
        <v>0</v>
      </c>
      <c r="P215" s="37">
        <v>0</v>
      </c>
      <c r="Q215" s="37">
        <v>0</v>
      </c>
      <c r="R215" s="37">
        <v>-4310076.7361104488</v>
      </c>
      <c r="S215">
        <v>0</v>
      </c>
      <c r="T215" s="70">
        <v>0</v>
      </c>
      <c r="U215">
        <v>0</v>
      </c>
      <c r="V215">
        <v>0</v>
      </c>
      <c r="W215">
        <v>0</v>
      </c>
      <c r="X215" s="38">
        <v>0</v>
      </c>
      <c r="Y215">
        <v>0</v>
      </c>
      <c r="Z215" s="70">
        <v>-23500000</v>
      </c>
      <c r="AA215" s="70">
        <v>0</v>
      </c>
      <c r="AB215" s="70">
        <v>-23500000</v>
      </c>
      <c r="AC215" s="70">
        <v>-23500000</v>
      </c>
      <c r="AD215" s="70">
        <v>-23500000</v>
      </c>
      <c r="AE215" s="70">
        <v>-23500000</v>
      </c>
      <c r="AF215">
        <v>0</v>
      </c>
      <c r="AG215" s="72">
        <f>Tradingbook_MSB[[#This Row],[Mat. Date]]-RPT</f>
        <v>-2724</v>
      </c>
      <c r="AH215" s="71">
        <f>IF(Tradingbook_MSB[[#This Row],[Days]]&lt;=0,0,YEARFRAC(RPT,Tradingbook_MSB[[#This Row],[Mat. Date]],3))</f>
        <v>0</v>
      </c>
      <c r="AI215" s="71">
        <f>IF(Tradingbook_MSB[[#This Row],[Days (year)]]=0,0,INDEX(Ref!$K$2:$K$13,MATCH(Tradingbook_MSB[[#This Row],[Days (year)]],Ref!$I$2:$I$13,1)))</f>
        <v>0</v>
      </c>
      <c r="AJ215" s="120" t="str">
        <f>VLOOKUP(Tradingbook_MSB[[#This Row],[Security Name]],Ref!X:Z,3,0)</f>
        <v>TPCP</v>
      </c>
      <c r="AK215" s="120" t="str">
        <f>VLOOKUP(Tradingbook_MSB[[#This Row],[Security Name]],Ref!X:Y,2,0)</f>
        <v>KBNN</v>
      </c>
      <c r="AL215" s="71">
        <f>IF((Tradingbook_MSB[[#This Row],[Mat. Date]]-RPT)&lt;=0,0,Tradingbook_MSB[[#This Row],[QUANTITY]])</f>
        <v>0</v>
      </c>
      <c r="AM215" s="71">
        <f>IF(Tradingbook_MSB[[#This Row],[Quantity_edited]]=0,0,Tradingbook_MSB[[#This Row],[DURATION]])</f>
        <v>0</v>
      </c>
      <c r="AN215" s="71">
        <f>IF(Tradingbook_MSB[[#This Row],[Quantity_edited]]=0,0,Tradingbook_MSB[[#This Row],[Mod Dur]])</f>
        <v>0</v>
      </c>
      <c r="AO215" s="71">
        <f>IF(Tradingbook_MSB[[#This Row],[Quantity_edited]]=0,0,Tradingbook_MSB[[#This Row],[Cnvx.]])</f>
        <v>0</v>
      </c>
      <c r="AP215" s="71">
        <f>(Tradingbook_MSB[[#This Row],[MARKET_VALUE]]+Tradingbook_MSB[[#This Row],[Accr Int]]*Tradingbook_MSB[[#This Row],[Quantity_edited]])*(-Tradingbook_MSB[[#This Row],[Modified Duration]]*0.0001+0.5*Tradingbook_MSB[[#This Row],[Conv]]*(0.0001^2))</f>
        <v>0</v>
      </c>
      <c r="AQ215" s="72">
        <f>(Tradingbook_MSB[[#This Row],[MARKET_VALUE]]+Tradingbook_MSB[[#This Row],[Accr Int]]*Tradingbook_MSB[[#This Row],[Quantity_edited]])*(-Tradingbook_MSB[[#This Row],[Modified Duration]]*0.01+0.5*Tradingbook_MSB[[#This Row],[Conv]]*(0.01^2))</f>
        <v>0</v>
      </c>
      <c r="AR215" s="71"/>
      <c r="AT215" t="s">
        <v>166</v>
      </c>
      <c r="AU215" t="s">
        <v>3303</v>
      </c>
      <c r="AV215" t="s">
        <v>2497</v>
      </c>
      <c r="AW215" t="s">
        <v>169</v>
      </c>
      <c r="AX215" t="s">
        <v>3484</v>
      </c>
      <c r="AY215" t="s">
        <v>170</v>
      </c>
      <c r="AZ215">
        <v>92330</v>
      </c>
      <c r="BA215">
        <v>92330</v>
      </c>
      <c r="BB215">
        <v>6000000</v>
      </c>
      <c r="BC215">
        <v>600000000000</v>
      </c>
      <c r="BD215">
        <v>122796.583</v>
      </c>
      <c r="BE215">
        <v>553980000000</v>
      </c>
      <c r="BF215">
        <v>4.2</v>
      </c>
      <c r="BG215">
        <v>1703</v>
      </c>
      <c r="BH215">
        <v>46200000000</v>
      </c>
      <c r="BI215">
        <v>48302893333.333336</v>
      </c>
      <c r="BJ215">
        <v>-57598129303.472343</v>
      </c>
      <c r="BK215">
        <v>4.7101924540000004</v>
      </c>
      <c r="BL215">
        <v>15.0779556773807</v>
      </c>
      <c r="BM215">
        <v>15.788156409999999</v>
      </c>
      <c r="BN215">
        <v>325.46127060580602</v>
      </c>
      <c r="BO215">
        <v>1836245.9795325452</v>
      </c>
      <c r="BP215">
        <v>-850695.24372668401</v>
      </c>
      <c r="BQ215">
        <v>71149.508000000002</v>
      </c>
      <c r="BR215">
        <v>0</v>
      </c>
      <c r="BS215">
        <v>-182799499999.99997</v>
      </c>
      <c r="BT215">
        <v>-182799499999.99997</v>
      </c>
      <c r="BU215">
        <v>-182799499999.99997</v>
      </c>
      <c r="BV215">
        <v>-182799500000</v>
      </c>
      <c r="BW215">
        <v>-182799499999.99997</v>
      </c>
      <c r="BX215">
        <v>2.9891666670000001</v>
      </c>
      <c r="BY215" s="32">
        <f>Bankingbook_MSB[[#This Row],[Mat. Date]]-RPT</f>
        <v>9714</v>
      </c>
      <c r="BZ215" s="71">
        <f>IF(Bankingbook_MSB[[#This Row],[Days]]&lt;=0,0,YEARFRAC(RPT,Bankingbook_MSB[[#This Row],[Mat. Date]],3))</f>
        <v>26.613698630136987</v>
      </c>
      <c r="CA215" s="71" t="str">
        <f>IF(Bankingbook_MSB[[#This Row],[Days (year)]]=0,0,INDEX(Ref!$K$2:$K$13,MATCH(Bankingbook_MSB[[#This Row],[Days (year)]],Ref!$I$2:$I$13,1)))</f>
        <v>30Y</v>
      </c>
      <c r="CB215" s="32" t="str">
        <f>VLOOKUP(Bankingbook_MSB[[#This Row],[Security Name]],Ref!X:Z,3,0)</f>
        <v>TPCP</v>
      </c>
      <c r="CC215" s="32" t="str">
        <f>VLOOKUP(Bankingbook_MSB[[#This Row],[Security Name]],Ref!X:Y,2,0)</f>
        <v>KBNN</v>
      </c>
      <c r="CD215" s="72">
        <f>IF((Bankingbook_MSB[[#This Row],[Mat. Date]]-RPT)&lt;=0,0,Bankingbook_MSB[[#This Row],[QUANTITY]])</f>
        <v>6000000</v>
      </c>
      <c r="CE215" s="71">
        <f>IF(Bankingbook_MSB[[#This Row],[Quantity_edited]]=0,0,Bankingbook_MSB[[#This Row],[DURATION]])</f>
        <v>15.788156409999999</v>
      </c>
      <c r="CF215" s="71">
        <f>IF(Bankingbook_MSB[[#This Row],[Quantity_edited]]=0,0,Bankingbook_MSB[[#This Row],[Mod Dur]])</f>
        <v>15.0779556773807</v>
      </c>
      <c r="CG215" s="71">
        <f>IF(Bankingbook_MSB[[#This Row],[Quantity_edited]]=0,0,Bankingbook_MSB[[#This Row],[Cnvx.]])</f>
        <v>325.46127060580602</v>
      </c>
      <c r="CH215" s="71">
        <f>(Bankingbook_MSB[[#This Row],[MARKET_VALUE]]+Bankingbook_MSB[[#This Row],[Accr Int]]*Bankingbook_MSB[[#This Row],[Quantity_edited]])*(-Bankingbook_MSB[[#This Row],[Modified Duration]]*0.0001+0.5*Bankingbook_MSB[[#This Row],[Conv]]*(0.0001^2))</f>
        <v>-849777120.73691738</v>
      </c>
      <c r="CI215" s="71">
        <f>(Bankingbook_MSB[[#This Row],[MARKET_VALUE]]+Bankingbook_MSB[[#This Row],[Accr Int]]*Bankingbook_MSB[[#This Row],[Quantity_edited]])*(-Bankingbook_MSB[[#This Row],[Modified Duration]]*0.01+0.5*Bankingbook_MSB[[#This Row],[Conv]]*(0.01^2))</f>
        <v>-75888294475.005646</v>
      </c>
      <c r="CL215" t="s">
        <v>166</v>
      </c>
      <c r="CM215" t="s">
        <v>167</v>
      </c>
      <c r="CN215" t="s">
        <v>395</v>
      </c>
      <c r="CO215" t="s">
        <v>169</v>
      </c>
      <c r="CP215" s="35">
        <v>43528</v>
      </c>
      <c r="CQ215" t="s">
        <v>3322</v>
      </c>
      <c r="CR215" t="s">
        <v>174</v>
      </c>
      <c r="CS215" t="s">
        <v>174</v>
      </c>
      <c r="CT215" s="49">
        <v>0</v>
      </c>
      <c r="CU215">
        <v>0</v>
      </c>
      <c r="CV215">
        <v>0</v>
      </c>
      <c r="CW215" s="70">
        <v>0</v>
      </c>
      <c r="CX215">
        <v>5.7</v>
      </c>
      <c r="CY215">
        <v>0</v>
      </c>
      <c r="CZ215">
        <v>0</v>
      </c>
      <c r="DA215">
        <v>0</v>
      </c>
      <c r="DB215">
        <v>-4310076.7361104488</v>
      </c>
      <c r="DC215">
        <v>0</v>
      </c>
      <c r="DD215">
        <v>0</v>
      </c>
      <c r="DE215">
        <v>0</v>
      </c>
      <c r="DF215">
        <v>0</v>
      </c>
      <c r="DG215">
        <v>0</v>
      </c>
      <c r="DH215">
        <v>0</v>
      </c>
      <c r="DI215">
        <v>0</v>
      </c>
      <c r="DJ215" s="500">
        <v>-23500000</v>
      </c>
      <c r="DK215" s="500">
        <v>0</v>
      </c>
      <c r="DL215" s="37">
        <v>-23500000</v>
      </c>
      <c r="DM215" s="37">
        <v>-23500000</v>
      </c>
      <c r="DN215" s="37">
        <v>-23500000</v>
      </c>
      <c r="DO215" s="37">
        <v>-23500000</v>
      </c>
      <c r="DP215" s="32">
        <f>Tradingbook_SBV[[#This Row],[Mat. Date]]-RPT</f>
        <v>-2724</v>
      </c>
      <c r="DQ215" s="32">
        <f>IF(Tradingbook_SBV[[#This Row],[Days]]&lt;=0,0,YEARFRAC(RPT,Tradingbook_SBV[[#This Row],[Mat. Date]],3))</f>
        <v>0</v>
      </c>
      <c r="DR215" s="32">
        <f>IF(Tradingbook_SBV[[#This Row],[Days (year)]]=0,0,INDEX(Ref!$K$2:$K$13,MATCH(Tradingbook_SBV[[#This Row],[Days (year)]],Ref!$I$2:$I$13,1)))</f>
        <v>0</v>
      </c>
      <c r="DS215" s="32" t="str">
        <f>VLOOKUP(Tradingbook_SBV[[#This Row],[Security Name]],Ref!X:Z,3,0)</f>
        <v>TPCP</v>
      </c>
      <c r="DT215" s="32" t="str">
        <f>VLOOKUP(Tradingbook_SBV[[#This Row],[Security Name]],Ref!X:Y,2,0)</f>
        <v>KBNN</v>
      </c>
      <c r="DU215" s="71">
        <f>IF((Tradingbook_SBV[[#This Row],[Mat. Date]]-RPT)&lt;=0,0,Tradingbook_SBV[[#This Row],[QUANTITY]])</f>
        <v>0</v>
      </c>
      <c r="DV215" s="71">
        <f>IF(Tradingbook_SBV[[#This Row],[Quantity_edited]]=0,0,Tradingbook_SBV[[#This Row],[DURATION]])</f>
        <v>0</v>
      </c>
      <c r="DW215" s="71">
        <f>IF(Tradingbook_SBV[[#This Row],[Quantity_edited]]=0,0,Tradingbook_SBV[[#This Row],[Mod Dur]])</f>
        <v>0</v>
      </c>
      <c r="DX215" s="71">
        <f>IF(Tradingbook_SBV[[#This Row],[Quantity_edited]]=0,0,Tradingbook_SBV[[#This Row],[Cnvx.]])</f>
        <v>0</v>
      </c>
      <c r="DY215" s="71">
        <f>(Tradingbook_SBV[[#This Row],[MARKET_VALUE]]+Tradingbook_SBV[[#This Row],[Accr Int]]*Tradingbook_SBV[[#This Row],[Quantity_edited]])*(-Tradingbook_SBV[[#This Row],[Modified Duration]]*0.0001+0.5*Tradingbook_SBV[[#This Row],[Conv]]*(0.0001^2))</f>
        <v>0</v>
      </c>
      <c r="DZ215" s="71">
        <f>(Tradingbook_SBV[[#This Row],[MARKET_VALUE]]+Tradingbook_SBV[[#This Row],[Accr Int]]*Tradingbook_SBV[[#This Row],[Quantity_edited]])*(-Tradingbook_SBV[[#This Row],[Modified Duration]]*0.01+0.5*Tradingbook_SBV[[#This Row],[Conv]]*(0.01^2))</f>
        <v>0</v>
      </c>
      <c r="EC215" t="s">
        <v>166</v>
      </c>
      <c r="ED215" t="s">
        <v>3300</v>
      </c>
      <c r="EE215" t="s">
        <v>613</v>
      </c>
      <c r="EF215" t="s">
        <v>169</v>
      </c>
      <c r="EG215" s="35" t="s">
        <v>3425</v>
      </c>
      <c r="EH215" t="s">
        <v>3322</v>
      </c>
      <c r="EI215" s="500">
        <v>112895</v>
      </c>
      <c r="EJ215" s="500">
        <v>112895</v>
      </c>
      <c r="EK215" s="500">
        <v>0</v>
      </c>
      <c r="EL215" s="500">
        <v>0</v>
      </c>
      <c r="EM215" s="500">
        <v>0</v>
      </c>
      <c r="EN215" s="500">
        <v>0</v>
      </c>
      <c r="EO215">
        <v>7.6</v>
      </c>
      <c r="EP215">
        <v>1020</v>
      </c>
      <c r="EQ215">
        <v>11400000000</v>
      </c>
      <c r="ER215">
        <v>12707864472.222183</v>
      </c>
      <c r="ES215">
        <v>-8640805739.9611855</v>
      </c>
      <c r="ET215">
        <v>3.9343883929999999</v>
      </c>
      <c r="EU215">
        <v>3.3562378928925001</v>
      </c>
      <c r="EV215">
        <v>3.4882853300000001</v>
      </c>
      <c r="EW215">
        <v>15.184385178254599</v>
      </c>
      <c r="EX215">
        <v>0</v>
      </c>
      <c r="EY215">
        <v>0</v>
      </c>
      <c r="EZ215">
        <v>0</v>
      </c>
      <c r="FA215">
        <v>-15697562800</v>
      </c>
      <c r="FB215">
        <v>0</v>
      </c>
      <c r="FC215">
        <v>-15697562800</v>
      </c>
      <c r="FD215">
        <v>-15697562800</v>
      </c>
      <c r="FE215">
        <v>-15697562800</v>
      </c>
      <c r="FF215">
        <v>-15697562800</v>
      </c>
      <c r="FG215" s="32">
        <f>Bankingbook_SBV[[#This Row],[Mat. Date]]-RPT</f>
        <v>1412</v>
      </c>
      <c r="FH215" s="32">
        <f>IF(Bankingbook_SBV[[#This Row],[Days]]&lt;=0,0,YEARFRAC(RPT,Bankingbook_SBV[[#This Row],[Mat. Date]],3))</f>
        <v>3.8684931506849316</v>
      </c>
      <c r="FI215" s="32" t="str">
        <f>IF(Bankingbook_SBV[[#This Row],[Days (year)]]=0,0,INDEX(Ref!$K$2:$K$13,MATCH(Bankingbook_SBV[[#This Row],[Days (year)]],Ref!$I$2:$I$13,1)))</f>
        <v>4Y</v>
      </c>
      <c r="FJ215" s="32" t="str">
        <f>VLOOKUP(Bankingbook_SBV[[#This Row],[Security Name]],Ref!X:Z,3,0)</f>
        <v>TPCP</v>
      </c>
      <c r="FK215" s="32" t="str">
        <f>VLOOKUP(Bankingbook_SBV[[#This Row],[Security Name]],Ref!X:Y,2,0)</f>
        <v>KBNN</v>
      </c>
      <c r="FL215" s="72">
        <f>IF((Bankingbook_SBV[[#This Row],[Mat. Date]]-RPT)&lt;=0,0,Bankingbook_SBV[[#This Row],[QUANTITY]])</f>
        <v>0</v>
      </c>
      <c r="FM215" s="32">
        <f>IF(Bankingbook_SBV[[#This Row],[Quantity_edited]]=0,0,Bankingbook_SBV[[#This Row],[DURATION]])</f>
        <v>0</v>
      </c>
      <c r="FN215" s="32">
        <f>IF(Bankingbook_SBV[[#This Row],[Quantity_edited]]=0,0,Bankingbook_SBV[[#This Row],[Mod Dur]])</f>
        <v>0</v>
      </c>
      <c r="FO215" s="32">
        <f>IF(Bankingbook_SBV[[#This Row],[Quantity_edited]]=0,0,Bankingbook_SBV[[#This Row],[Cnvx.]])</f>
        <v>0</v>
      </c>
      <c r="FP215" s="32">
        <f>(Bankingbook_SBV[[#This Row],[MARKET_VALUE]]+Bankingbook_SBV[[#This Row],[Accr Int]]*Bankingbook_SBV[[#This Row],[Quantity_edited]])*(-Bankingbook_SBV[[#This Row],[Modified Duration]]*0.0001+0.5*Bankingbook_SBV[[#This Row],[Conv]]*(0.0001^2))</f>
        <v>0</v>
      </c>
      <c r="FQ215" s="32">
        <f>(Bankingbook_SBV[[#This Row],[MARKET_VALUE]]+Bankingbook_SBV[[#This Row],[Accr Int]]*Bankingbook_SBV[[#This Row],[Quantity_edited]])*(-Bankingbook_SBV[[#This Row],[Modified Duration]]*0.01+0.5*Bankingbook_SBV[[#This Row],[Conv]]*(0.01^2))</f>
        <v>0</v>
      </c>
    </row>
    <row r="216" spans="2:173" x14ac:dyDescent="0.3">
      <c r="B216" t="s">
        <v>166</v>
      </c>
      <c r="C216" t="s">
        <v>167</v>
      </c>
      <c r="D216" t="s">
        <v>396</v>
      </c>
      <c r="E216" t="s">
        <v>169</v>
      </c>
      <c r="F216" s="502">
        <v>43534</v>
      </c>
      <c r="G216" t="s">
        <v>3322</v>
      </c>
      <c r="H216"/>
      <c r="I216"/>
      <c r="J216" s="38">
        <v>0</v>
      </c>
      <c r="K216">
        <v>0</v>
      </c>
      <c r="L216">
        <v>0</v>
      </c>
      <c r="M216" s="38">
        <v>0</v>
      </c>
      <c r="N216">
        <v>5.8</v>
      </c>
      <c r="O216">
        <v>0</v>
      </c>
      <c r="P216" s="37">
        <v>0</v>
      </c>
      <c r="Q216" s="37">
        <v>2.6999999999999999E-5</v>
      </c>
      <c r="R216" s="37">
        <v>-9037492201.041729</v>
      </c>
      <c r="S216">
        <v>0</v>
      </c>
      <c r="T216" s="70">
        <v>0</v>
      </c>
      <c r="U216">
        <v>0</v>
      </c>
      <c r="V216">
        <v>0</v>
      </c>
      <c r="W216">
        <v>0</v>
      </c>
      <c r="X216" s="38">
        <v>0</v>
      </c>
      <c r="Y216">
        <v>0</v>
      </c>
      <c r="Z216" s="70">
        <v>8001000000</v>
      </c>
      <c r="AA216" s="70">
        <v>0</v>
      </c>
      <c r="AB216" s="70">
        <v>8001000000</v>
      </c>
      <c r="AC216" s="70">
        <v>8001000000</v>
      </c>
      <c r="AD216" s="70">
        <v>8001000000</v>
      </c>
      <c r="AE216" s="70">
        <v>8001000000</v>
      </c>
      <c r="AF216">
        <v>0</v>
      </c>
      <c r="AG216" s="72">
        <f>Tradingbook_MSB[[#This Row],[Mat. Date]]-RPT</f>
        <v>-2718</v>
      </c>
      <c r="AH216" s="71">
        <f>IF(Tradingbook_MSB[[#This Row],[Days]]&lt;=0,0,YEARFRAC(RPT,Tradingbook_MSB[[#This Row],[Mat. Date]],3))</f>
        <v>0</v>
      </c>
      <c r="AI216" s="71">
        <f>IF(Tradingbook_MSB[[#This Row],[Days (year)]]=0,0,INDEX(Ref!$K$2:$K$13,MATCH(Tradingbook_MSB[[#This Row],[Days (year)]],Ref!$I$2:$I$13,1)))</f>
        <v>0</v>
      </c>
      <c r="AJ216" s="120" t="str">
        <f>VLOOKUP(Tradingbook_MSB[[#This Row],[Security Name]],Ref!X:Z,3,0)</f>
        <v>TPCP</v>
      </c>
      <c r="AK216" s="120" t="str">
        <f>VLOOKUP(Tradingbook_MSB[[#This Row],[Security Name]],Ref!X:Y,2,0)</f>
        <v>KBNN</v>
      </c>
      <c r="AL216" s="71">
        <f>IF((Tradingbook_MSB[[#This Row],[Mat. Date]]-RPT)&lt;=0,0,Tradingbook_MSB[[#This Row],[QUANTITY]])</f>
        <v>0</v>
      </c>
      <c r="AM216" s="71">
        <f>IF(Tradingbook_MSB[[#This Row],[Quantity_edited]]=0,0,Tradingbook_MSB[[#This Row],[DURATION]])</f>
        <v>0</v>
      </c>
      <c r="AN216" s="71">
        <f>IF(Tradingbook_MSB[[#This Row],[Quantity_edited]]=0,0,Tradingbook_MSB[[#This Row],[Mod Dur]])</f>
        <v>0</v>
      </c>
      <c r="AO216" s="71">
        <f>IF(Tradingbook_MSB[[#This Row],[Quantity_edited]]=0,0,Tradingbook_MSB[[#This Row],[Cnvx.]])</f>
        <v>0</v>
      </c>
      <c r="AP216" s="71">
        <f>(Tradingbook_MSB[[#This Row],[MARKET_VALUE]]+Tradingbook_MSB[[#This Row],[Accr Int]]*Tradingbook_MSB[[#This Row],[Quantity_edited]])*(-Tradingbook_MSB[[#This Row],[Modified Duration]]*0.0001+0.5*Tradingbook_MSB[[#This Row],[Conv]]*(0.0001^2))</f>
        <v>0</v>
      </c>
      <c r="AQ216" s="72">
        <f>(Tradingbook_MSB[[#This Row],[MARKET_VALUE]]+Tradingbook_MSB[[#This Row],[Accr Int]]*Tradingbook_MSB[[#This Row],[Quantity_edited]])*(-Tradingbook_MSB[[#This Row],[Modified Duration]]*0.01+0.5*Tradingbook_MSB[[#This Row],[Conv]]*(0.01^2))</f>
        <v>0</v>
      </c>
      <c r="AR216" s="71"/>
      <c r="CL216" t="s">
        <v>166</v>
      </c>
      <c r="CM216" t="s">
        <v>167</v>
      </c>
      <c r="CN216" t="s">
        <v>396</v>
      </c>
      <c r="CO216" t="s">
        <v>169</v>
      </c>
      <c r="CP216" s="35">
        <v>43534</v>
      </c>
      <c r="CQ216" t="s">
        <v>3322</v>
      </c>
      <c r="CR216" t="s">
        <v>174</v>
      </c>
      <c r="CS216" t="s">
        <v>174</v>
      </c>
      <c r="CT216" s="49">
        <v>0</v>
      </c>
      <c r="CU216">
        <v>0</v>
      </c>
      <c r="CV216">
        <v>0</v>
      </c>
      <c r="CW216" s="70">
        <v>0</v>
      </c>
      <c r="CX216">
        <v>5.8</v>
      </c>
      <c r="CY216">
        <v>0</v>
      </c>
      <c r="CZ216">
        <v>0</v>
      </c>
      <c r="DA216">
        <v>2.6999999999999999E-5</v>
      </c>
      <c r="DB216">
        <v>-9037492201.041729</v>
      </c>
      <c r="DC216">
        <v>0</v>
      </c>
      <c r="DD216">
        <v>0</v>
      </c>
      <c r="DE216">
        <v>0</v>
      </c>
      <c r="DF216">
        <v>0</v>
      </c>
      <c r="DG216">
        <v>0</v>
      </c>
      <c r="DH216">
        <v>0</v>
      </c>
      <c r="DI216">
        <v>0</v>
      </c>
      <c r="DJ216" s="500">
        <v>8001000000</v>
      </c>
      <c r="DK216" s="500">
        <v>0</v>
      </c>
      <c r="DL216" s="37">
        <v>8001000000</v>
      </c>
      <c r="DM216" s="37">
        <v>8001000000</v>
      </c>
      <c r="DN216" s="37">
        <v>8001000000</v>
      </c>
      <c r="DO216" s="37">
        <v>8001000000</v>
      </c>
      <c r="DP216" s="32">
        <f>Tradingbook_SBV[[#This Row],[Mat. Date]]-RPT</f>
        <v>-2718</v>
      </c>
      <c r="DQ216" s="32">
        <f>IF(Tradingbook_SBV[[#This Row],[Days]]&lt;=0,0,YEARFRAC(RPT,Tradingbook_SBV[[#This Row],[Mat. Date]],3))</f>
        <v>0</v>
      </c>
      <c r="DR216" s="32">
        <f>IF(Tradingbook_SBV[[#This Row],[Days (year)]]=0,0,INDEX(Ref!$K$2:$K$13,MATCH(Tradingbook_SBV[[#This Row],[Days (year)]],Ref!$I$2:$I$13,1)))</f>
        <v>0</v>
      </c>
      <c r="DS216" s="32" t="str">
        <f>VLOOKUP(Tradingbook_SBV[[#This Row],[Security Name]],Ref!X:Z,3,0)</f>
        <v>TPCP</v>
      </c>
      <c r="DT216" s="32" t="str">
        <f>VLOOKUP(Tradingbook_SBV[[#This Row],[Security Name]],Ref!X:Y,2,0)</f>
        <v>KBNN</v>
      </c>
      <c r="DU216" s="71">
        <f>IF((Tradingbook_SBV[[#This Row],[Mat. Date]]-RPT)&lt;=0,0,Tradingbook_SBV[[#This Row],[QUANTITY]])</f>
        <v>0</v>
      </c>
      <c r="DV216" s="71">
        <f>IF(Tradingbook_SBV[[#This Row],[Quantity_edited]]=0,0,Tradingbook_SBV[[#This Row],[DURATION]])</f>
        <v>0</v>
      </c>
      <c r="DW216" s="71">
        <f>IF(Tradingbook_SBV[[#This Row],[Quantity_edited]]=0,0,Tradingbook_SBV[[#This Row],[Mod Dur]])</f>
        <v>0</v>
      </c>
      <c r="DX216" s="71">
        <f>IF(Tradingbook_SBV[[#This Row],[Quantity_edited]]=0,0,Tradingbook_SBV[[#This Row],[Cnvx.]])</f>
        <v>0</v>
      </c>
      <c r="DY216" s="71">
        <f>(Tradingbook_SBV[[#This Row],[MARKET_VALUE]]+Tradingbook_SBV[[#This Row],[Accr Int]]*Tradingbook_SBV[[#This Row],[Quantity_edited]])*(-Tradingbook_SBV[[#This Row],[Modified Duration]]*0.0001+0.5*Tradingbook_SBV[[#This Row],[Conv]]*(0.0001^2))</f>
        <v>0</v>
      </c>
      <c r="DZ216" s="71">
        <f>(Tradingbook_SBV[[#This Row],[MARKET_VALUE]]+Tradingbook_SBV[[#This Row],[Accr Int]]*Tradingbook_SBV[[#This Row],[Quantity_edited]])*(-Tradingbook_SBV[[#This Row],[Modified Duration]]*0.01+0.5*Tradingbook_SBV[[#This Row],[Conv]]*(0.01^2))</f>
        <v>0</v>
      </c>
      <c r="EC216" t="s">
        <v>166</v>
      </c>
      <c r="ED216" t="s">
        <v>3300</v>
      </c>
      <c r="EE216" t="s">
        <v>614</v>
      </c>
      <c r="EF216" t="s">
        <v>169</v>
      </c>
      <c r="EG216" s="35" t="s">
        <v>3426</v>
      </c>
      <c r="EH216" t="s">
        <v>3322</v>
      </c>
      <c r="EI216" s="500">
        <v>96341</v>
      </c>
      <c r="EJ216" s="500">
        <v>96341</v>
      </c>
      <c r="EK216" s="500">
        <v>0</v>
      </c>
      <c r="EL216" s="500">
        <v>0</v>
      </c>
      <c r="EM216" s="500">
        <v>0</v>
      </c>
      <c r="EN216" s="500">
        <v>0</v>
      </c>
      <c r="EO216">
        <v>2.9</v>
      </c>
      <c r="EP216">
        <v>373</v>
      </c>
      <c r="EQ216">
        <v>23200000000</v>
      </c>
      <c r="ER216">
        <v>26404612374.999908</v>
      </c>
      <c r="ES216">
        <v>-17661124039.764664</v>
      </c>
      <c r="ET216">
        <v>3.935804182</v>
      </c>
      <c r="EU216">
        <v>3.5614496427140998</v>
      </c>
      <c r="EV216">
        <v>3.70162133</v>
      </c>
      <c r="EW216">
        <v>16.4535701777084</v>
      </c>
      <c r="EX216">
        <v>0</v>
      </c>
      <c r="EY216">
        <v>0</v>
      </c>
      <c r="EZ216">
        <v>0</v>
      </c>
      <c r="FA216">
        <v>-29625740000</v>
      </c>
      <c r="FB216">
        <v>0</v>
      </c>
      <c r="FC216">
        <v>-29625740000</v>
      </c>
      <c r="FD216">
        <v>-29625740000</v>
      </c>
      <c r="FE216">
        <v>-29625740000</v>
      </c>
      <c r="FF216">
        <v>-29625740000</v>
      </c>
      <c r="FG216" s="32">
        <f>Bankingbook_SBV[[#This Row],[Mat. Date]]-RPT</f>
        <v>1414</v>
      </c>
      <c r="FH216" s="32">
        <f>IF(Bankingbook_SBV[[#This Row],[Days]]&lt;=0,0,YEARFRAC(RPT,Bankingbook_SBV[[#This Row],[Mat. Date]],3))</f>
        <v>3.8739726027397259</v>
      </c>
      <c r="FI216" s="32" t="str">
        <f>IF(Bankingbook_SBV[[#This Row],[Days (year)]]=0,0,INDEX(Ref!$K$2:$K$13,MATCH(Bankingbook_SBV[[#This Row],[Days (year)]],Ref!$I$2:$I$13,1)))</f>
        <v>4Y</v>
      </c>
      <c r="FJ216" s="32" t="str">
        <f>VLOOKUP(Bankingbook_SBV[[#This Row],[Security Name]],Ref!X:Z,3,0)</f>
        <v>TPCP</v>
      </c>
      <c r="FK216" s="32" t="str">
        <f>VLOOKUP(Bankingbook_SBV[[#This Row],[Security Name]],Ref!X:Y,2,0)</f>
        <v>KBNN</v>
      </c>
      <c r="FL216" s="72">
        <f>IF((Bankingbook_SBV[[#This Row],[Mat. Date]]-RPT)&lt;=0,0,Bankingbook_SBV[[#This Row],[QUANTITY]])</f>
        <v>0</v>
      </c>
      <c r="FM216" s="32">
        <f>IF(Bankingbook_SBV[[#This Row],[Quantity_edited]]=0,0,Bankingbook_SBV[[#This Row],[DURATION]])</f>
        <v>0</v>
      </c>
      <c r="FN216" s="32">
        <f>IF(Bankingbook_SBV[[#This Row],[Quantity_edited]]=0,0,Bankingbook_SBV[[#This Row],[Mod Dur]])</f>
        <v>0</v>
      </c>
      <c r="FO216" s="32">
        <f>IF(Bankingbook_SBV[[#This Row],[Quantity_edited]]=0,0,Bankingbook_SBV[[#This Row],[Cnvx.]])</f>
        <v>0</v>
      </c>
      <c r="FP216" s="32">
        <f>(Bankingbook_SBV[[#This Row],[MARKET_VALUE]]+Bankingbook_SBV[[#This Row],[Accr Int]]*Bankingbook_SBV[[#This Row],[Quantity_edited]])*(-Bankingbook_SBV[[#This Row],[Modified Duration]]*0.0001+0.5*Bankingbook_SBV[[#This Row],[Conv]]*(0.0001^2))</f>
        <v>0</v>
      </c>
      <c r="FQ216" s="32">
        <f>(Bankingbook_SBV[[#This Row],[MARKET_VALUE]]+Bankingbook_SBV[[#This Row],[Accr Int]]*Bankingbook_SBV[[#This Row],[Quantity_edited]])*(-Bankingbook_SBV[[#This Row],[Modified Duration]]*0.01+0.5*Bankingbook_SBV[[#This Row],[Conv]]*(0.01^2))</f>
        <v>0</v>
      </c>
    </row>
    <row r="217" spans="2:173" x14ac:dyDescent="0.3">
      <c r="B217" t="s">
        <v>166</v>
      </c>
      <c r="C217" t="s">
        <v>167</v>
      </c>
      <c r="D217" t="s">
        <v>397</v>
      </c>
      <c r="E217" t="s">
        <v>169</v>
      </c>
      <c r="F217" s="502">
        <v>43541</v>
      </c>
      <c r="G217" t="s">
        <v>3322</v>
      </c>
      <c r="H217"/>
      <c r="I217"/>
      <c r="J217" s="38">
        <v>0</v>
      </c>
      <c r="K217">
        <v>0</v>
      </c>
      <c r="L217">
        <v>0</v>
      </c>
      <c r="M217" s="38">
        <v>0</v>
      </c>
      <c r="N217">
        <v>5.8</v>
      </c>
      <c r="O217">
        <v>0</v>
      </c>
      <c r="P217" s="37">
        <v>0</v>
      </c>
      <c r="Q217" s="37">
        <v>0</v>
      </c>
      <c r="R217" s="37">
        <v>-697440652.43055534</v>
      </c>
      <c r="S217">
        <v>0</v>
      </c>
      <c r="T217" s="70">
        <v>0</v>
      </c>
      <c r="U217">
        <v>0</v>
      </c>
      <c r="V217">
        <v>0</v>
      </c>
      <c r="W217">
        <v>0</v>
      </c>
      <c r="X217" s="38">
        <v>0</v>
      </c>
      <c r="Y217">
        <v>0</v>
      </c>
      <c r="Z217" s="70">
        <v>1085500000</v>
      </c>
      <c r="AA217" s="70">
        <v>0</v>
      </c>
      <c r="AB217" s="70">
        <v>1085500000</v>
      </c>
      <c r="AC217" s="70">
        <v>1085500000</v>
      </c>
      <c r="AD217" s="70">
        <v>1085500000</v>
      </c>
      <c r="AE217" s="70">
        <v>1085500000</v>
      </c>
      <c r="AF217">
        <v>0</v>
      </c>
      <c r="AG217" s="72">
        <f>Tradingbook_MSB[[#This Row],[Mat. Date]]-RPT</f>
        <v>-2711</v>
      </c>
      <c r="AH217" s="71">
        <f>IF(Tradingbook_MSB[[#This Row],[Days]]&lt;=0,0,YEARFRAC(RPT,Tradingbook_MSB[[#This Row],[Mat. Date]],3))</f>
        <v>0</v>
      </c>
      <c r="AI217" s="71">
        <f>IF(Tradingbook_MSB[[#This Row],[Days (year)]]=0,0,INDEX(Ref!$K$2:$K$13,MATCH(Tradingbook_MSB[[#This Row],[Days (year)]],Ref!$I$2:$I$13,1)))</f>
        <v>0</v>
      </c>
      <c r="AJ217" s="120" t="str">
        <f>VLOOKUP(Tradingbook_MSB[[#This Row],[Security Name]],Ref!X:Z,3,0)</f>
        <v>TPCP</v>
      </c>
      <c r="AK217" s="120" t="str">
        <f>VLOOKUP(Tradingbook_MSB[[#This Row],[Security Name]],Ref!X:Y,2,0)</f>
        <v>KBNN</v>
      </c>
      <c r="AL217" s="71">
        <f>IF((Tradingbook_MSB[[#This Row],[Mat. Date]]-RPT)&lt;=0,0,Tradingbook_MSB[[#This Row],[QUANTITY]])</f>
        <v>0</v>
      </c>
      <c r="AM217" s="71">
        <f>IF(Tradingbook_MSB[[#This Row],[Quantity_edited]]=0,0,Tradingbook_MSB[[#This Row],[DURATION]])</f>
        <v>0</v>
      </c>
      <c r="AN217" s="71">
        <f>IF(Tradingbook_MSB[[#This Row],[Quantity_edited]]=0,0,Tradingbook_MSB[[#This Row],[Mod Dur]])</f>
        <v>0</v>
      </c>
      <c r="AO217" s="71">
        <f>IF(Tradingbook_MSB[[#This Row],[Quantity_edited]]=0,0,Tradingbook_MSB[[#This Row],[Cnvx.]])</f>
        <v>0</v>
      </c>
      <c r="AP217" s="71">
        <f>(Tradingbook_MSB[[#This Row],[MARKET_VALUE]]+Tradingbook_MSB[[#This Row],[Accr Int]]*Tradingbook_MSB[[#This Row],[Quantity_edited]])*(-Tradingbook_MSB[[#This Row],[Modified Duration]]*0.0001+0.5*Tradingbook_MSB[[#This Row],[Conv]]*(0.0001^2))</f>
        <v>0</v>
      </c>
      <c r="AQ217" s="72">
        <f>(Tradingbook_MSB[[#This Row],[MARKET_VALUE]]+Tradingbook_MSB[[#This Row],[Accr Int]]*Tradingbook_MSB[[#This Row],[Quantity_edited]])*(-Tradingbook_MSB[[#This Row],[Modified Duration]]*0.01+0.5*Tradingbook_MSB[[#This Row],[Conv]]*(0.01^2))</f>
        <v>0</v>
      </c>
      <c r="AR217" s="71"/>
      <c r="CL217" t="s">
        <v>166</v>
      </c>
      <c r="CM217" t="s">
        <v>167</v>
      </c>
      <c r="CN217" t="s">
        <v>397</v>
      </c>
      <c r="CO217" t="s">
        <v>169</v>
      </c>
      <c r="CP217" s="35">
        <v>43541</v>
      </c>
      <c r="CQ217" t="s">
        <v>3322</v>
      </c>
      <c r="CR217" t="s">
        <v>174</v>
      </c>
      <c r="CS217" t="s">
        <v>174</v>
      </c>
      <c r="CT217" s="49">
        <v>0</v>
      </c>
      <c r="CU217">
        <v>0</v>
      </c>
      <c r="CV217">
        <v>0</v>
      </c>
      <c r="CW217" s="70">
        <v>0</v>
      </c>
      <c r="CX217">
        <v>5.8</v>
      </c>
      <c r="CY217">
        <v>0</v>
      </c>
      <c r="CZ217">
        <v>0</v>
      </c>
      <c r="DA217">
        <v>0</v>
      </c>
      <c r="DB217">
        <v>-697440652.43055534</v>
      </c>
      <c r="DC217">
        <v>0</v>
      </c>
      <c r="DD217">
        <v>0</v>
      </c>
      <c r="DE217">
        <v>0</v>
      </c>
      <c r="DF217">
        <v>0</v>
      </c>
      <c r="DG217">
        <v>0</v>
      </c>
      <c r="DH217">
        <v>0</v>
      </c>
      <c r="DI217">
        <v>0</v>
      </c>
      <c r="DJ217" s="500">
        <v>1085500000</v>
      </c>
      <c r="DK217" s="500">
        <v>0</v>
      </c>
      <c r="DL217" s="37">
        <v>1085500000</v>
      </c>
      <c r="DM217" s="37">
        <v>1085500000</v>
      </c>
      <c r="DN217" s="37">
        <v>1085500000</v>
      </c>
      <c r="DO217" s="37">
        <v>1085500000</v>
      </c>
      <c r="DP217" s="32">
        <f>Tradingbook_SBV[[#This Row],[Mat. Date]]-RPT</f>
        <v>-2711</v>
      </c>
      <c r="DQ217" s="32">
        <f>IF(Tradingbook_SBV[[#This Row],[Days]]&lt;=0,0,YEARFRAC(RPT,Tradingbook_SBV[[#This Row],[Mat. Date]],3))</f>
        <v>0</v>
      </c>
      <c r="DR217" s="32">
        <f>IF(Tradingbook_SBV[[#This Row],[Days (year)]]=0,0,INDEX(Ref!$K$2:$K$13,MATCH(Tradingbook_SBV[[#This Row],[Days (year)]],Ref!$I$2:$I$13,1)))</f>
        <v>0</v>
      </c>
      <c r="DS217" s="32" t="str">
        <f>VLOOKUP(Tradingbook_SBV[[#This Row],[Security Name]],Ref!X:Z,3,0)</f>
        <v>TPCP</v>
      </c>
      <c r="DT217" s="32" t="str">
        <f>VLOOKUP(Tradingbook_SBV[[#This Row],[Security Name]],Ref!X:Y,2,0)</f>
        <v>KBNN</v>
      </c>
      <c r="DU217" s="71">
        <f>IF((Tradingbook_SBV[[#This Row],[Mat. Date]]-RPT)&lt;=0,0,Tradingbook_SBV[[#This Row],[QUANTITY]])</f>
        <v>0</v>
      </c>
      <c r="DV217" s="71">
        <f>IF(Tradingbook_SBV[[#This Row],[Quantity_edited]]=0,0,Tradingbook_SBV[[#This Row],[DURATION]])</f>
        <v>0</v>
      </c>
      <c r="DW217" s="71">
        <f>IF(Tradingbook_SBV[[#This Row],[Quantity_edited]]=0,0,Tradingbook_SBV[[#This Row],[Mod Dur]])</f>
        <v>0</v>
      </c>
      <c r="DX217" s="71">
        <f>IF(Tradingbook_SBV[[#This Row],[Quantity_edited]]=0,0,Tradingbook_SBV[[#This Row],[Cnvx.]])</f>
        <v>0</v>
      </c>
      <c r="DY217" s="71">
        <f>(Tradingbook_SBV[[#This Row],[MARKET_VALUE]]+Tradingbook_SBV[[#This Row],[Accr Int]]*Tradingbook_SBV[[#This Row],[Quantity_edited]])*(-Tradingbook_SBV[[#This Row],[Modified Duration]]*0.0001+0.5*Tradingbook_SBV[[#This Row],[Conv]]*(0.0001^2))</f>
        <v>0</v>
      </c>
      <c r="DZ217" s="71">
        <f>(Tradingbook_SBV[[#This Row],[MARKET_VALUE]]+Tradingbook_SBV[[#This Row],[Accr Int]]*Tradingbook_SBV[[#This Row],[Quantity_edited]])*(-Tradingbook_SBV[[#This Row],[Modified Duration]]*0.01+0.5*Tradingbook_SBV[[#This Row],[Conv]]*(0.01^2))</f>
        <v>0</v>
      </c>
      <c r="EC217" t="s">
        <v>166</v>
      </c>
      <c r="ED217" t="s">
        <v>3300</v>
      </c>
      <c r="EE217" t="s">
        <v>626</v>
      </c>
      <c r="EF217" t="s">
        <v>169</v>
      </c>
      <c r="EG217" s="35" t="s">
        <v>3427</v>
      </c>
      <c r="EH217" t="s">
        <v>3322</v>
      </c>
      <c r="EI217" s="500">
        <v>95953</v>
      </c>
      <c r="EJ217" s="500">
        <v>95953</v>
      </c>
      <c r="EK217" s="500">
        <v>0</v>
      </c>
      <c r="EL217" s="500">
        <v>0</v>
      </c>
      <c r="EM217" s="500">
        <v>0</v>
      </c>
      <c r="EN217" s="500">
        <v>0</v>
      </c>
      <c r="EO217">
        <v>2.8</v>
      </c>
      <c r="EP217">
        <v>307</v>
      </c>
      <c r="EQ217">
        <v>22400000000</v>
      </c>
      <c r="ER217">
        <v>25202726888.888817</v>
      </c>
      <c r="ES217">
        <v>-17793362566.73571</v>
      </c>
      <c r="ET217">
        <v>3.94083016</v>
      </c>
      <c r="EU217">
        <v>3.5847411295101002</v>
      </c>
      <c r="EV217">
        <v>3.7260096900000002</v>
      </c>
      <c r="EW217">
        <v>16.632484569084699</v>
      </c>
      <c r="EX217">
        <v>0</v>
      </c>
      <c r="EY217">
        <v>0</v>
      </c>
      <c r="EZ217">
        <v>0</v>
      </c>
      <c r="FA217">
        <v>-3748999999.9995117</v>
      </c>
      <c r="FB217">
        <v>0</v>
      </c>
      <c r="FC217">
        <v>-3748999999.9995117</v>
      </c>
      <c r="FD217">
        <v>-3748999999.9995117</v>
      </c>
      <c r="FE217">
        <v>-3749000000</v>
      </c>
      <c r="FF217">
        <v>-3748999999.9995117</v>
      </c>
      <c r="FG217" s="32">
        <f>Bankingbook_SBV[[#This Row],[Mat. Date]]-RPT</f>
        <v>1421</v>
      </c>
      <c r="FH217" s="32">
        <f>IF(Bankingbook_SBV[[#This Row],[Days]]&lt;=0,0,YEARFRAC(RPT,Bankingbook_SBV[[#This Row],[Mat. Date]],3))</f>
        <v>3.893150684931507</v>
      </c>
      <c r="FI217" s="32" t="str">
        <f>IF(Bankingbook_SBV[[#This Row],[Days (year)]]=0,0,INDEX(Ref!$K$2:$K$13,MATCH(Bankingbook_SBV[[#This Row],[Days (year)]],Ref!$I$2:$I$13,1)))</f>
        <v>4Y</v>
      </c>
      <c r="FJ217" s="32" t="str">
        <f>VLOOKUP(Bankingbook_SBV[[#This Row],[Security Name]],Ref!X:Z,3,0)</f>
        <v>TPCP</v>
      </c>
      <c r="FK217" s="32" t="str">
        <f>VLOOKUP(Bankingbook_SBV[[#This Row],[Security Name]],Ref!X:Y,2,0)</f>
        <v>KBNN</v>
      </c>
      <c r="FL217" s="72">
        <f>IF((Bankingbook_SBV[[#This Row],[Mat. Date]]-RPT)&lt;=0,0,Bankingbook_SBV[[#This Row],[QUANTITY]])</f>
        <v>0</v>
      </c>
      <c r="FM217" s="32">
        <f>IF(Bankingbook_SBV[[#This Row],[Quantity_edited]]=0,0,Bankingbook_SBV[[#This Row],[DURATION]])</f>
        <v>0</v>
      </c>
      <c r="FN217" s="32">
        <f>IF(Bankingbook_SBV[[#This Row],[Quantity_edited]]=0,0,Bankingbook_SBV[[#This Row],[Mod Dur]])</f>
        <v>0</v>
      </c>
      <c r="FO217" s="32">
        <f>IF(Bankingbook_SBV[[#This Row],[Quantity_edited]]=0,0,Bankingbook_SBV[[#This Row],[Cnvx.]])</f>
        <v>0</v>
      </c>
      <c r="FP217" s="32">
        <f>(Bankingbook_SBV[[#This Row],[MARKET_VALUE]]+Bankingbook_SBV[[#This Row],[Accr Int]]*Bankingbook_SBV[[#This Row],[Quantity_edited]])*(-Bankingbook_SBV[[#This Row],[Modified Duration]]*0.0001+0.5*Bankingbook_SBV[[#This Row],[Conv]]*(0.0001^2))</f>
        <v>0</v>
      </c>
      <c r="FQ217" s="32">
        <f>(Bankingbook_SBV[[#This Row],[MARKET_VALUE]]+Bankingbook_SBV[[#This Row],[Accr Int]]*Bankingbook_SBV[[#This Row],[Quantity_edited]])*(-Bankingbook_SBV[[#This Row],[Modified Duration]]*0.01+0.5*Bankingbook_SBV[[#This Row],[Conv]]*(0.01^2))</f>
        <v>0</v>
      </c>
    </row>
    <row r="218" spans="2:173" x14ac:dyDescent="0.3">
      <c r="B218" t="s">
        <v>166</v>
      </c>
      <c r="C218" t="s">
        <v>167</v>
      </c>
      <c r="D218" t="s">
        <v>398</v>
      </c>
      <c r="E218" t="s">
        <v>169</v>
      </c>
      <c r="F218" s="502">
        <v>43555</v>
      </c>
      <c r="G218" t="s">
        <v>3322</v>
      </c>
      <c r="H218"/>
      <c r="I218"/>
      <c r="J218" s="38">
        <v>0</v>
      </c>
      <c r="K218">
        <v>0</v>
      </c>
      <c r="L218">
        <v>0</v>
      </c>
      <c r="M218" s="38">
        <v>0</v>
      </c>
      <c r="N218">
        <v>7.1</v>
      </c>
      <c r="O218">
        <v>0</v>
      </c>
      <c r="P218" s="37">
        <v>3550000000</v>
      </c>
      <c r="Q218" s="37">
        <v>3820608611.111115</v>
      </c>
      <c r="R218" s="37">
        <v>805487184.16668844</v>
      </c>
      <c r="S218">
        <v>0</v>
      </c>
      <c r="T218" s="70">
        <v>0</v>
      </c>
      <c r="U218">
        <v>0</v>
      </c>
      <c r="V218">
        <v>0</v>
      </c>
      <c r="W218">
        <v>0</v>
      </c>
      <c r="X218" s="38">
        <v>0</v>
      </c>
      <c r="Y218">
        <v>0</v>
      </c>
      <c r="Z218" s="70">
        <v>13093500000</v>
      </c>
      <c r="AA218" s="70">
        <v>0</v>
      </c>
      <c r="AB218" s="70">
        <v>13093500000</v>
      </c>
      <c r="AC218" s="70">
        <v>13093500000</v>
      </c>
      <c r="AD218" s="70">
        <v>13093500000</v>
      </c>
      <c r="AE218" s="70">
        <v>13093500000</v>
      </c>
      <c r="AF218">
        <v>0</v>
      </c>
      <c r="AG218" s="72">
        <f>Tradingbook_MSB[[#This Row],[Mat. Date]]-RPT</f>
        <v>-2697</v>
      </c>
      <c r="AH218" s="71">
        <f>IF(Tradingbook_MSB[[#This Row],[Days]]&lt;=0,0,YEARFRAC(RPT,Tradingbook_MSB[[#This Row],[Mat. Date]],3))</f>
        <v>0</v>
      </c>
      <c r="AI218" s="71">
        <f>IF(Tradingbook_MSB[[#This Row],[Days (year)]]=0,0,INDEX(Ref!$K$2:$K$13,MATCH(Tradingbook_MSB[[#This Row],[Days (year)]],Ref!$I$2:$I$13,1)))</f>
        <v>0</v>
      </c>
      <c r="AJ218" s="120" t="str">
        <f>VLOOKUP(Tradingbook_MSB[[#This Row],[Security Name]],Ref!X:Z,3,0)</f>
        <v>TPCP</v>
      </c>
      <c r="AK218" s="120" t="str">
        <f>VLOOKUP(Tradingbook_MSB[[#This Row],[Security Name]],Ref!X:Y,2,0)</f>
        <v>KBNN</v>
      </c>
      <c r="AL218" s="71">
        <f>IF((Tradingbook_MSB[[#This Row],[Mat. Date]]-RPT)&lt;=0,0,Tradingbook_MSB[[#This Row],[QUANTITY]])</f>
        <v>0</v>
      </c>
      <c r="AM218" s="71">
        <f>IF(Tradingbook_MSB[[#This Row],[Quantity_edited]]=0,0,Tradingbook_MSB[[#This Row],[DURATION]])</f>
        <v>0</v>
      </c>
      <c r="AN218" s="71">
        <f>IF(Tradingbook_MSB[[#This Row],[Quantity_edited]]=0,0,Tradingbook_MSB[[#This Row],[Mod Dur]])</f>
        <v>0</v>
      </c>
      <c r="AO218" s="71">
        <f>IF(Tradingbook_MSB[[#This Row],[Quantity_edited]]=0,0,Tradingbook_MSB[[#This Row],[Cnvx.]])</f>
        <v>0</v>
      </c>
      <c r="AP218" s="71">
        <f>(Tradingbook_MSB[[#This Row],[MARKET_VALUE]]+Tradingbook_MSB[[#This Row],[Accr Int]]*Tradingbook_MSB[[#This Row],[Quantity_edited]])*(-Tradingbook_MSB[[#This Row],[Modified Duration]]*0.0001+0.5*Tradingbook_MSB[[#This Row],[Conv]]*(0.0001^2))</f>
        <v>0</v>
      </c>
      <c r="AQ218" s="72">
        <f>(Tradingbook_MSB[[#This Row],[MARKET_VALUE]]+Tradingbook_MSB[[#This Row],[Accr Int]]*Tradingbook_MSB[[#This Row],[Quantity_edited]])*(-Tradingbook_MSB[[#This Row],[Modified Duration]]*0.01+0.5*Tradingbook_MSB[[#This Row],[Conv]]*(0.01^2))</f>
        <v>0</v>
      </c>
      <c r="AR218" s="71"/>
      <c r="CL218" t="s">
        <v>166</v>
      </c>
      <c r="CM218" t="s">
        <v>167</v>
      </c>
      <c r="CN218" t="s">
        <v>398</v>
      </c>
      <c r="CO218" t="s">
        <v>169</v>
      </c>
      <c r="CP218" s="35">
        <v>43555</v>
      </c>
      <c r="CQ218" t="s">
        <v>3322</v>
      </c>
      <c r="CR218" t="s">
        <v>174</v>
      </c>
      <c r="CS218" t="s">
        <v>174</v>
      </c>
      <c r="CT218" s="49">
        <v>0</v>
      </c>
      <c r="CU218">
        <v>0</v>
      </c>
      <c r="CV218">
        <v>0</v>
      </c>
      <c r="CW218" s="70">
        <v>0</v>
      </c>
      <c r="CX218">
        <v>7.1</v>
      </c>
      <c r="CY218">
        <v>0</v>
      </c>
      <c r="CZ218">
        <v>3550000000</v>
      </c>
      <c r="DA218">
        <v>3820608611.111115</v>
      </c>
      <c r="DB218">
        <v>805487184.16668844</v>
      </c>
      <c r="DC218">
        <v>0</v>
      </c>
      <c r="DD218">
        <v>0</v>
      </c>
      <c r="DE218">
        <v>0</v>
      </c>
      <c r="DF218">
        <v>0</v>
      </c>
      <c r="DG218">
        <v>0</v>
      </c>
      <c r="DH218">
        <v>0</v>
      </c>
      <c r="DI218">
        <v>0</v>
      </c>
      <c r="DJ218" s="500">
        <v>13093500000</v>
      </c>
      <c r="DK218" s="500">
        <v>0</v>
      </c>
      <c r="DL218" s="37">
        <v>13093500000</v>
      </c>
      <c r="DM218" s="37">
        <v>13093500000</v>
      </c>
      <c r="DN218" s="37">
        <v>13093500000</v>
      </c>
      <c r="DO218" s="37">
        <v>13093500000</v>
      </c>
      <c r="DP218" s="32">
        <f>Tradingbook_SBV[[#This Row],[Mat. Date]]-RPT</f>
        <v>-2697</v>
      </c>
      <c r="DQ218" s="32">
        <f>IF(Tradingbook_SBV[[#This Row],[Days]]&lt;=0,0,YEARFRAC(RPT,Tradingbook_SBV[[#This Row],[Mat. Date]],3))</f>
        <v>0</v>
      </c>
      <c r="DR218" s="32">
        <f>IF(Tradingbook_SBV[[#This Row],[Days (year)]]=0,0,INDEX(Ref!$K$2:$K$13,MATCH(Tradingbook_SBV[[#This Row],[Days (year)]],Ref!$I$2:$I$13,1)))</f>
        <v>0</v>
      </c>
      <c r="DS218" s="32" t="str">
        <f>VLOOKUP(Tradingbook_SBV[[#This Row],[Security Name]],Ref!X:Z,3,0)</f>
        <v>TPCP</v>
      </c>
      <c r="DT218" s="32" t="str">
        <f>VLOOKUP(Tradingbook_SBV[[#This Row],[Security Name]],Ref!X:Y,2,0)</f>
        <v>KBNN</v>
      </c>
      <c r="DU218" s="71">
        <f>IF((Tradingbook_SBV[[#This Row],[Mat. Date]]-RPT)&lt;=0,0,Tradingbook_SBV[[#This Row],[QUANTITY]])</f>
        <v>0</v>
      </c>
      <c r="DV218" s="71">
        <f>IF(Tradingbook_SBV[[#This Row],[Quantity_edited]]=0,0,Tradingbook_SBV[[#This Row],[DURATION]])</f>
        <v>0</v>
      </c>
      <c r="DW218" s="71">
        <f>IF(Tradingbook_SBV[[#This Row],[Quantity_edited]]=0,0,Tradingbook_SBV[[#This Row],[Mod Dur]])</f>
        <v>0</v>
      </c>
      <c r="DX218" s="71">
        <f>IF(Tradingbook_SBV[[#This Row],[Quantity_edited]]=0,0,Tradingbook_SBV[[#This Row],[Cnvx.]])</f>
        <v>0</v>
      </c>
      <c r="DY218" s="71">
        <f>(Tradingbook_SBV[[#This Row],[MARKET_VALUE]]+Tradingbook_SBV[[#This Row],[Accr Int]]*Tradingbook_SBV[[#This Row],[Quantity_edited]])*(-Tradingbook_SBV[[#This Row],[Modified Duration]]*0.0001+0.5*Tradingbook_SBV[[#This Row],[Conv]]*(0.0001^2))</f>
        <v>0</v>
      </c>
      <c r="DZ218" s="71">
        <f>(Tradingbook_SBV[[#This Row],[MARKET_VALUE]]+Tradingbook_SBV[[#This Row],[Accr Int]]*Tradingbook_SBV[[#This Row],[Quantity_edited]])*(-Tradingbook_SBV[[#This Row],[Modified Duration]]*0.01+0.5*Tradingbook_SBV[[#This Row],[Conv]]*(0.01^2))</f>
        <v>0</v>
      </c>
      <c r="EC218" t="s">
        <v>166</v>
      </c>
      <c r="ED218" t="s">
        <v>3300</v>
      </c>
      <c r="EE218" t="s">
        <v>627</v>
      </c>
      <c r="EF218" t="s">
        <v>169</v>
      </c>
      <c r="EG218" s="35" t="s">
        <v>3428</v>
      </c>
      <c r="EH218" t="s">
        <v>170</v>
      </c>
      <c r="EI218" s="500">
        <v>95562</v>
      </c>
      <c r="EJ218" s="500">
        <v>95562</v>
      </c>
      <c r="EK218" s="500">
        <v>1000000</v>
      </c>
      <c r="EL218" s="500">
        <v>100000000000</v>
      </c>
      <c r="EM218" s="500">
        <v>99170.798999999999</v>
      </c>
      <c r="EN218" s="500">
        <v>95562000000</v>
      </c>
      <c r="EO218">
        <v>2.7</v>
      </c>
      <c r="EP218">
        <v>244</v>
      </c>
      <c r="EQ218">
        <v>28350000000</v>
      </c>
      <c r="ER218">
        <v>31573750874.999901</v>
      </c>
      <c r="ES218">
        <v>-28596668182.117458</v>
      </c>
      <c r="ET218">
        <v>3.9460088780000002</v>
      </c>
      <c r="EU218">
        <v>3.6080638490951</v>
      </c>
      <c r="EV218">
        <v>3.7504383699999999</v>
      </c>
      <c r="EW218">
        <v>16.812606690156599</v>
      </c>
      <c r="EX218">
        <v>16107.485965571401</v>
      </c>
      <c r="EY218">
        <v>-34567.416512641001</v>
      </c>
      <c r="EZ218">
        <v>10158.976000000001</v>
      </c>
      <c r="FA218">
        <v>-31450201058.201054</v>
      </c>
      <c r="FB218">
        <v>-3608798941.798945</v>
      </c>
      <c r="FC218">
        <v>-35059000000</v>
      </c>
      <c r="FD218">
        <v>-35059000000</v>
      </c>
      <c r="FE218">
        <v>-35059000000</v>
      </c>
      <c r="FF218">
        <v>-35059000000</v>
      </c>
      <c r="FG218" s="32">
        <f>Bankingbook_SBV[[#This Row],[Mat. Date]]-RPT</f>
        <v>1428</v>
      </c>
      <c r="FH218" s="32">
        <f>IF(Bankingbook_SBV[[#This Row],[Days]]&lt;=0,0,YEARFRAC(RPT,Bankingbook_SBV[[#This Row],[Mat. Date]],3))</f>
        <v>3.9123287671232876</v>
      </c>
      <c r="FI218" s="32" t="str">
        <f>IF(Bankingbook_SBV[[#This Row],[Days (year)]]=0,0,INDEX(Ref!$K$2:$K$13,MATCH(Bankingbook_SBV[[#This Row],[Days (year)]],Ref!$I$2:$I$13,1)))</f>
        <v>4Y</v>
      </c>
      <c r="FJ218" s="32" t="str">
        <f>VLOOKUP(Bankingbook_SBV[[#This Row],[Security Name]],Ref!X:Z,3,0)</f>
        <v>TPCP</v>
      </c>
      <c r="FK218" s="32" t="str">
        <f>VLOOKUP(Bankingbook_SBV[[#This Row],[Security Name]],Ref!X:Y,2,0)</f>
        <v>KBNN</v>
      </c>
      <c r="FL218" s="72">
        <f>IF((Bankingbook_SBV[[#This Row],[Mat. Date]]-RPT)&lt;=0,0,Bankingbook_SBV[[#This Row],[QUANTITY]])</f>
        <v>1000000</v>
      </c>
      <c r="FM218" s="32">
        <f>IF(Bankingbook_SBV[[#This Row],[Quantity_edited]]=0,0,Bankingbook_SBV[[#This Row],[DURATION]])</f>
        <v>3.7504383699999999</v>
      </c>
      <c r="FN218" s="32">
        <f>IF(Bankingbook_SBV[[#This Row],[Quantity_edited]]=0,0,Bankingbook_SBV[[#This Row],[Mod Dur]])</f>
        <v>3.6080638490951</v>
      </c>
      <c r="FO218" s="32">
        <f>IF(Bankingbook_SBV[[#This Row],[Quantity_edited]]=0,0,Bankingbook_SBV[[#This Row],[Cnvx.]])</f>
        <v>16.812606690156599</v>
      </c>
      <c r="FP218" s="32">
        <f>(Bankingbook_SBV[[#This Row],[MARKET_VALUE]]+Bankingbook_SBV[[#This Row],[Accr Int]]*Bankingbook_SBV[[#This Row],[Quantity_edited]])*(-Bankingbook_SBV[[#This Row],[Modified Duration]]*0.0001+0.5*Bankingbook_SBV[[#This Row],[Conv]]*(0.0001^2))</f>
        <v>-34559362.769657731</v>
      </c>
      <c r="FQ218" s="32">
        <f>(Bankingbook_SBV[[#This Row],[MARKET_VALUE]]+Bankingbook_SBV[[#This Row],[Accr Int]]*Bankingbook_SBV[[#This Row],[Quantity_edited]])*(-Bankingbook_SBV[[#This Row],[Modified Duration]]*0.01+0.5*Bankingbook_SBV[[#This Row],[Conv]]*(0.01^2))</f>
        <v>-3376204221.4361939</v>
      </c>
    </row>
    <row r="219" spans="2:173" x14ac:dyDescent="0.3">
      <c r="B219" t="s">
        <v>166</v>
      </c>
      <c r="C219" t="s">
        <v>167</v>
      </c>
      <c r="D219" t="s">
        <v>399</v>
      </c>
      <c r="E219" t="s">
        <v>169</v>
      </c>
      <c r="F219" s="502">
        <v>43576</v>
      </c>
      <c r="G219" t="s">
        <v>3322</v>
      </c>
      <c r="H219"/>
      <c r="I219"/>
      <c r="J219" s="38">
        <v>0</v>
      </c>
      <c r="K219">
        <v>0</v>
      </c>
      <c r="L219">
        <v>0</v>
      </c>
      <c r="M219" s="38">
        <v>0</v>
      </c>
      <c r="N219">
        <v>5.5</v>
      </c>
      <c r="O219">
        <v>0</v>
      </c>
      <c r="P219" s="37">
        <v>0</v>
      </c>
      <c r="Q219" s="37">
        <v>0</v>
      </c>
      <c r="R219" s="37">
        <v>-366310668.40276599</v>
      </c>
      <c r="S219">
        <v>0</v>
      </c>
      <c r="T219" s="70">
        <v>0</v>
      </c>
      <c r="U219">
        <v>0</v>
      </c>
      <c r="V219">
        <v>0</v>
      </c>
      <c r="W219">
        <v>0</v>
      </c>
      <c r="X219" s="38">
        <v>0</v>
      </c>
      <c r="Y219">
        <v>0</v>
      </c>
      <c r="Z219" s="70">
        <v>-291500000</v>
      </c>
      <c r="AA219" s="70">
        <v>0</v>
      </c>
      <c r="AB219" s="70">
        <v>-291500000</v>
      </c>
      <c r="AC219" s="70">
        <v>-291500000</v>
      </c>
      <c r="AD219" s="70">
        <v>-291500000</v>
      </c>
      <c r="AE219" s="70">
        <v>-291500000</v>
      </c>
      <c r="AF219">
        <v>0</v>
      </c>
      <c r="AG219" s="72">
        <f>Tradingbook_MSB[[#This Row],[Mat. Date]]-RPT</f>
        <v>-2676</v>
      </c>
      <c r="AH219" s="71">
        <f>IF(Tradingbook_MSB[[#This Row],[Days]]&lt;=0,0,YEARFRAC(RPT,Tradingbook_MSB[[#This Row],[Mat. Date]],3))</f>
        <v>0</v>
      </c>
      <c r="AI219" s="71">
        <f>IF(Tradingbook_MSB[[#This Row],[Days (year)]]=0,0,INDEX(Ref!$K$2:$K$13,MATCH(Tradingbook_MSB[[#This Row],[Days (year)]],Ref!$I$2:$I$13,1)))</f>
        <v>0</v>
      </c>
      <c r="AJ219" s="120" t="str">
        <f>VLOOKUP(Tradingbook_MSB[[#This Row],[Security Name]],Ref!X:Z,3,0)</f>
        <v>TPCP</v>
      </c>
      <c r="AK219" s="120" t="str">
        <f>VLOOKUP(Tradingbook_MSB[[#This Row],[Security Name]],Ref!X:Y,2,0)</f>
        <v>KBNN</v>
      </c>
      <c r="AL219" s="71">
        <f>IF((Tradingbook_MSB[[#This Row],[Mat. Date]]-RPT)&lt;=0,0,Tradingbook_MSB[[#This Row],[QUANTITY]])</f>
        <v>0</v>
      </c>
      <c r="AM219" s="71">
        <f>IF(Tradingbook_MSB[[#This Row],[Quantity_edited]]=0,0,Tradingbook_MSB[[#This Row],[DURATION]])</f>
        <v>0</v>
      </c>
      <c r="AN219" s="71">
        <f>IF(Tradingbook_MSB[[#This Row],[Quantity_edited]]=0,0,Tradingbook_MSB[[#This Row],[Mod Dur]])</f>
        <v>0</v>
      </c>
      <c r="AO219" s="71">
        <f>IF(Tradingbook_MSB[[#This Row],[Quantity_edited]]=0,0,Tradingbook_MSB[[#This Row],[Cnvx.]])</f>
        <v>0</v>
      </c>
      <c r="AP219" s="71">
        <f>(Tradingbook_MSB[[#This Row],[MARKET_VALUE]]+Tradingbook_MSB[[#This Row],[Accr Int]]*Tradingbook_MSB[[#This Row],[Quantity_edited]])*(-Tradingbook_MSB[[#This Row],[Modified Duration]]*0.0001+0.5*Tradingbook_MSB[[#This Row],[Conv]]*(0.0001^2))</f>
        <v>0</v>
      </c>
      <c r="AQ219" s="72">
        <f>(Tradingbook_MSB[[#This Row],[MARKET_VALUE]]+Tradingbook_MSB[[#This Row],[Accr Int]]*Tradingbook_MSB[[#This Row],[Quantity_edited]])*(-Tradingbook_MSB[[#This Row],[Modified Duration]]*0.01+0.5*Tradingbook_MSB[[#This Row],[Conv]]*(0.01^2))</f>
        <v>0</v>
      </c>
      <c r="AR219" s="71"/>
      <c r="CL219" t="s">
        <v>166</v>
      </c>
      <c r="CM219" t="s">
        <v>167</v>
      </c>
      <c r="CN219" t="s">
        <v>399</v>
      </c>
      <c r="CO219" t="s">
        <v>169</v>
      </c>
      <c r="CP219" s="35">
        <v>43576</v>
      </c>
      <c r="CQ219" t="s">
        <v>3322</v>
      </c>
      <c r="CR219" t="s">
        <v>174</v>
      </c>
      <c r="CS219" t="s">
        <v>174</v>
      </c>
      <c r="CT219" s="49">
        <v>0</v>
      </c>
      <c r="CU219">
        <v>0</v>
      </c>
      <c r="CV219">
        <v>0</v>
      </c>
      <c r="CW219" s="70">
        <v>0</v>
      </c>
      <c r="CX219">
        <v>5.5</v>
      </c>
      <c r="CY219">
        <v>0</v>
      </c>
      <c r="CZ219">
        <v>0</v>
      </c>
      <c r="DA219">
        <v>0</v>
      </c>
      <c r="DB219">
        <v>-366310668.40276599</v>
      </c>
      <c r="DC219">
        <v>0</v>
      </c>
      <c r="DD219">
        <v>0</v>
      </c>
      <c r="DE219">
        <v>0</v>
      </c>
      <c r="DF219">
        <v>0</v>
      </c>
      <c r="DG219">
        <v>0</v>
      </c>
      <c r="DH219">
        <v>0</v>
      </c>
      <c r="DI219">
        <v>0</v>
      </c>
      <c r="DJ219" s="500">
        <v>-291500000</v>
      </c>
      <c r="DK219" s="500">
        <v>0</v>
      </c>
      <c r="DL219" s="37">
        <v>-291500000</v>
      </c>
      <c r="DM219" s="37">
        <v>-291500000</v>
      </c>
      <c r="DN219" s="37">
        <v>-291500000</v>
      </c>
      <c r="DO219" s="37">
        <v>-291500000</v>
      </c>
      <c r="DP219" s="32">
        <f>Tradingbook_SBV[[#This Row],[Mat. Date]]-RPT</f>
        <v>-2676</v>
      </c>
      <c r="DQ219" s="32">
        <f>IF(Tradingbook_SBV[[#This Row],[Days]]&lt;=0,0,YEARFRAC(RPT,Tradingbook_SBV[[#This Row],[Mat. Date]],3))</f>
        <v>0</v>
      </c>
      <c r="DR219" s="32">
        <f>IF(Tradingbook_SBV[[#This Row],[Days (year)]]=0,0,INDEX(Ref!$K$2:$K$13,MATCH(Tradingbook_SBV[[#This Row],[Days (year)]],Ref!$I$2:$I$13,1)))</f>
        <v>0</v>
      </c>
      <c r="DS219" s="32" t="str">
        <f>VLOOKUP(Tradingbook_SBV[[#This Row],[Security Name]],Ref!X:Z,3,0)</f>
        <v>TPCP</v>
      </c>
      <c r="DT219" s="32" t="str">
        <f>VLOOKUP(Tradingbook_SBV[[#This Row],[Security Name]],Ref!X:Y,2,0)</f>
        <v>KBNN</v>
      </c>
      <c r="DU219" s="71">
        <f>IF((Tradingbook_SBV[[#This Row],[Mat. Date]]-RPT)&lt;=0,0,Tradingbook_SBV[[#This Row],[QUANTITY]])</f>
        <v>0</v>
      </c>
      <c r="DV219" s="71">
        <f>IF(Tradingbook_SBV[[#This Row],[Quantity_edited]]=0,0,Tradingbook_SBV[[#This Row],[DURATION]])</f>
        <v>0</v>
      </c>
      <c r="DW219" s="71">
        <f>IF(Tradingbook_SBV[[#This Row],[Quantity_edited]]=0,0,Tradingbook_SBV[[#This Row],[Mod Dur]])</f>
        <v>0</v>
      </c>
      <c r="DX219" s="71">
        <f>IF(Tradingbook_SBV[[#This Row],[Quantity_edited]]=0,0,Tradingbook_SBV[[#This Row],[Cnvx.]])</f>
        <v>0</v>
      </c>
      <c r="DY219" s="71">
        <f>(Tradingbook_SBV[[#This Row],[MARKET_VALUE]]+Tradingbook_SBV[[#This Row],[Accr Int]]*Tradingbook_SBV[[#This Row],[Quantity_edited]])*(-Tradingbook_SBV[[#This Row],[Modified Duration]]*0.0001+0.5*Tradingbook_SBV[[#This Row],[Conv]]*(0.0001^2))</f>
        <v>0</v>
      </c>
      <c r="DZ219" s="71">
        <f>(Tradingbook_SBV[[#This Row],[MARKET_VALUE]]+Tradingbook_SBV[[#This Row],[Accr Int]]*Tradingbook_SBV[[#This Row],[Quantity_edited]])*(-Tradingbook_SBV[[#This Row],[Modified Duration]]*0.01+0.5*Tradingbook_SBV[[#This Row],[Conv]]*(0.01^2))</f>
        <v>0</v>
      </c>
      <c r="EC219" t="s">
        <v>166</v>
      </c>
      <c r="ED219" t="s">
        <v>3300</v>
      </c>
      <c r="EE219" t="s">
        <v>3517</v>
      </c>
      <c r="EF219" t="s">
        <v>169</v>
      </c>
      <c r="EG219" s="35" t="s">
        <v>3586</v>
      </c>
      <c r="EH219" t="s">
        <v>170</v>
      </c>
      <c r="EI219" s="500">
        <v>95519</v>
      </c>
      <c r="EJ219" s="500">
        <v>95519</v>
      </c>
      <c r="EK219" s="500">
        <v>4000000</v>
      </c>
      <c r="EL219" s="500">
        <v>400000000000</v>
      </c>
      <c r="EM219" s="500">
        <v>98384.25</v>
      </c>
      <c r="EN219" s="500">
        <v>382076000000</v>
      </c>
      <c r="EO219">
        <v>2.7</v>
      </c>
      <c r="EP219">
        <v>185</v>
      </c>
      <c r="EQ219">
        <v>10800000000</v>
      </c>
      <c r="ER219">
        <v>10836780000</v>
      </c>
      <c r="ES219">
        <v>-12613992452.777781</v>
      </c>
      <c r="ET219">
        <v>3.9519875469999999</v>
      </c>
      <c r="EU219">
        <v>3.6289215514238</v>
      </c>
      <c r="EV219">
        <v>3.7723360800000001</v>
      </c>
      <c r="EW219">
        <v>16.983423983065201</v>
      </c>
      <c r="EX219">
        <v>65015.264355010797</v>
      </c>
      <c r="EY219">
        <v>-138920.923262984</v>
      </c>
      <c r="EZ219">
        <v>40652.968000000001</v>
      </c>
      <c r="FA219">
        <v>-339000000</v>
      </c>
      <c r="FB219">
        <v>-11461000000</v>
      </c>
      <c r="FC219">
        <v>-11800000000</v>
      </c>
      <c r="FD219">
        <v>-11800000000</v>
      </c>
      <c r="FE219">
        <v>-11800000000</v>
      </c>
      <c r="FF219">
        <v>-11800000000</v>
      </c>
      <c r="FG219" s="32">
        <f>Bankingbook_SBV[[#This Row],[Mat. Date]]-RPT</f>
        <v>1436</v>
      </c>
      <c r="FH219" s="32">
        <f>IF(Bankingbook_SBV[[#This Row],[Days]]&lt;=0,0,YEARFRAC(RPT,Bankingbook_SBV[[#This Row],[Mat. Date]],3))</f>
        <v>3.9342465753424656</v>
      </c>
      <c r="FI219" s="32" t="str">
        <f>IF(Bankingbook_SBV[[#This Row],[Days (year)]]=0,0,INDEX(Ref!$K$2:$K$13,MATCH(Bankingbook_SBV[[#This Row],[Days (year)]],Ref!$I$2:$I$13,1)))</f>
        <v>4Y</v>
      </c>
      <c r="FJ219" s="32" t="str">
        <f>VLOOKUP(Bankingbook_SBV[[#This Row],[Security Name]],Ref!X:Z,3,0)</f>
        <v>TPCP</v>
      </c>
      <c r="FK219" s="32" t="str">
        <f>VLOOKUP(Bankingbook_SBV[[#This Row],[Security Name]],Ref!X:Y,2,0)</f>
        <v>KBNN</v>
      </c>
      <c r="FL219" s="72">
        <f>IF((Bankingbook_SBV[[#This Row],[Mat. Date]]-RPT)&lt;=0,0,Bankingbook_SBV[[#This Row],[QUANTITY]])</f>
        <v>4000000</v>
      </c>
      <c r="FM219" s="32">
        <f>IF(Bankingbook_SBV[[#This Row],[Quantity_edited]]=0,0,Bankingbook_SBV[[#This Row],[DURATION]])</f>
        <v>3.7723360800000001</v>
      </c>
      <c r="FN219" s="32">
        <f>IF(Bankingbook_SBV[[#This Row],[Quantity_edited]]=0,0,Bankingbook_SBV[[#This Row],[Mod Dur]])</f>
        <v>3.6289215514238</v>
      </c>
      <c r="FO219" s="32">
        <f>IF(Bankingbook_SBV[[#This Row],[Quantity_edited]]=0,0,Bankingbook_SBV[[#This Row],[Cnvx.]])</f>
        <v>16.983423983065201</v>
      </c>
      <c r="FP219" s="32">
        <f>(Bankingbook_SBV[[#This Row],[MARKET_VALUE]]+Bankingbook_SBV[[#This Row],[Accr Int]]*Bankingbook_SBV[[#This Row],[Quantity_edited]])*(-Bankingbook_SBV[[#This Row],[Modified Duration]]*0.0001+0.5*Bankingbook_SBV[[#This Row],[Conv]]*(0.0001^2))</f>
        <v>-138888415.63080785</v>
      </c>
      <c r="FQ219" s="32">
        <f>(Bankingbook_SBV[[#This Row],[MARKET_VALUE]]+Bankingbook_SBV[[#This Row],[Accr Int]]*Bankingbook_SBV[[#This Row],[Quantity_edited]])*(-Bankingbook_SBV[[#This Row],[Modified Duration]]*0.01+0.5*Bankingbook_SBV[[#This Row],[Conv]]*(0.01^2))</f>
        <v>-13567016004.523479</v>
      </c>
    </row>
    <row r="220" spans="2:173" x14ac:dyDescent="0.3">
      <c r="B220" t="s">
        <v>166</v>
      </c>
      <c r="C220" t="s">
        <v>167</v>
      </c>
      <c r="D220" t="s">
        <v>400</v>
      </c>
      <c r="E220" t="s">
        <v>169</v>
      </c>
      <c r="F220" s="502">
        <v>43600</v>
      </c>
      <c r="G220" t="s">
        <v>3322</v>
      </c>
      <c r="H220"/>
      <c r="I220"/>
      <c r="J220" s="38">
        <v>0</v>
      </c>
      <c r="K220">
        <v>0</v>
      </c>
      <c r="L220">
        <v>0</v>
      </c>
      <c r="M220" s="38">
        <v>0</v>
      </c>
      <c r="N220">
        <v>7.1</v>
      </c>
      <c r="O220">
        <v>0</v>
      </c>
      <c r="P220" s="37">
        <v>14200000000</v>
      </c>
      <c r="Q220" s="37">
        <v>15572246090.277779</v>
      </c>
      <c r="R220" s="37">
        <v>-7715824669.6527205</v>
      </c>
      <c r="S220">
        <v>0</v>
      </c>
      <c r="T220" s="70">
        <v>0</v>
      </c>
      <c r="U220">
        <v>0</v>
      </c>
      <c r="V220">
        <v>0</v>
      </c>
      <c r="W220">
        <v>0</v>
      </c>
      <c r="X220" s="38">
        <v>0</v>
      </c>
      <c r="Y220">
        <v>0</v>
      </c>
      <c r="Z220" s="70">
        <v>9690500000</v>
      </c>
      <c r="AA220" s="70">
        <v>0</v>
      </c>
      <c r="AB220" s="70">
        <v>9690500000</v>
      </c>
      <c r="AC220" s="70">
        <v>9690500000</v>
      </c>
      <c r="AD220" s="70">
        <v>9690500000</v>
      </c>
      <c r="AE220" s="70">
        <v>9690500000</v>
      </c>
      <c r="AF220">
        <v>0</v>
      </c>
      <c r="AG220" s="72">
        <f>Tradingbook_MSB[[#This Row],[Mat. Date]]-RPT</f>
        <v>-2652</v>
      </c>
      <c r="AH220" s="71">
        <f>IF(Tradingbook_MSB[[#This Row],[Days]]&lt;=0,0,YEARFRAC(RPT,Tradingbook_MSB[[#This Row],[Mat. Date]],3))</f>
        <v>0</v>
      </c>
      <c r="AI220" s="71">
        <f>IF(Tradingbook_MSB[[#This Row],[Days (year)]]=0,0,INDEX(Ref!$K$2:$K$13,MATCH(Tradingbook_MSB[[#This Row],[Days (year)]],Ref!$I$2:$I$13,1)))</f>
        <v>0</v>
      </c>
      <c r="AJ220" s="120" t="str">
        <f>VLOOKUP(Tradingbook_MSB[[#This Row],[Security Name]],Ref!X:Z,3,0)</f>
        <v>TPCP</v>
      </c>
      <c r="AK220" s="120" t="str">
        <f>VLOOKUP(Tradingbook_MSB[[#This Row],[Security Name]],Ref!X:Y,2,0)</f>
        <v>KBNN</v>
      </c>
      <c r="AL220" s="71">
        <f>IF((Tradingbook_MSB[[#This Row],[Mat. Date]]-RPT)&lt;=0,0,Tradingbook_MSB[[#This Row],[QUANTITY]])</f>
        <v>0</v>
      </c>
      <c r="AM220" s="71">
        <f>IF(Tradingbook_MSB[[#This Row],[Quantity_edited]]=0,0,Tradingbook_MSB[[#This Row],[DURATION]])</f>
        <v>0</v>
      </c>
      <c r="AN220" s="71">
        <f>IF(Tradingbook_MSB[[#This Row],[Quantity_edited]]=0,0,Tradingbook_MSB[[#This Row],[Mod Dur]])</f>
        <v>0</v>
      </c>
      <c r="AO220" s="71">
        <f>IF(Tradingbook_MSB[[#This Row],[Quantity_edited]]=0,0,Tradingbook_MSB[[#This Row],[Cnvx.]])</f>
        <v>0</v>
      </c>
      <c r="AP220" s="71">
        <f>(Tradingbook_MSB[[#This Row],[MARKET_VALUE]]+Tradingbook_MSB[[#This Row],[Accr Int]]*Tradingbook_MSB[[#This Row],[Quantity_edited]])*(-Tradingbook_MSB[[#This Row],[Modified Duration]]*0.0001+0.5*Tradingbook_MSB[[#This Row],[Conv]]*(0.0001^2))</f>
        <v>0</v>
      </c>
      <c r="AQ220" s="72">
        <f>(Tradingbook_MSB[[#This Row],[MARKET_VALUE]]+Tradingbook_MSB[[#This Row],[Accr Int]]*Tradingbook_MSB[[#This Row],[Quantity_edited]])*(-Tradingbook_MSB[[#This Row],[Modified Duration]]*0.01+0.5*Tradingbook_MSB[[#This Row],[Conv]]*(0.01^2))</f>
        <v>0</v>
      </c>
      <c r="AR220" s="71"/>
      <c r="CL220" t="s">
        <v>166</v>
      </c>
      <c r="CM220" t="s">
        <v>167</v>
      </c>
      <c r="CN220" t="s">
        <v>400</v>
      </c>
      <c r="CO220" t="s">
        <v>169</v>
      </c>
      <c r="CP220" s="35">
        <v>43600</v>
      </c>
      <c r="CQ220" t="s">
        <v>3322</v>
      </c>
      <c r="CR220" t="s">
        <v>174</v>
      </c>
      <c r="CS220" t="s">
        <v>174</v>
      </c>
      <c r="CT220" s="49">
        <v>0</v>
      </c>
      <c r="CU220">
        <v>0</v>
      </c>
      <c r="CV220">
        <v>0</v>
      </c>
      <c r="CW220" s="70">
        <v>0</v>
      </c>
      <c r="CX220">
        <v>7.1</v>
      </c>
      <c r="CY220">
        <v>0</v>
      </c>
      <c r="CZ220">
        <v>14200000000</v>
      </c>
      <c r="DA220">
        <v>15572246090.277779</v>
      </c>
      <c r="DB220">
        <v>-7715824669.6527205</v>
      </c>
      <c r="DC220">
        <v>0</v>
      </c>
      <c r="DD220">
        <v>0</v>
      </c>
      <c r="DE220">
        <v>0</v>
      </c>
      <c r="DF220">
        <v>0</v>
      </c>
      <c r="DG220">
        <v>0</v>
      </c>
      <c r="DH220">
        <v>0</v>
      </c>
      <c r="DI220">
        <v>0</v>
      </c>
      <c r="DJ220" s="500">
        <v>9690500000</v>
      </c>
      <c r="DK220" s="500">
        <v>0</v>
      </c>
      <c r="DL220" s="37">
        <v>9690500000</v>
      </c>
      <c r="DM220" s="37">
        <v>9690500000</v>
      </c>
      <c r="DN220" s="37">
        <v>9690500000</v>
      </c>
      <c r="DO220" s="37">
        <v>9690500000</v>
      </c>
      <c r="DP220" s="32">
        <f>Tradingbook_SBV[[#This Row],[Mat. Date]]-RPT</f>
        <v>-2652</v>
      </c>
      <c r="DQ220" s="32">
        <f>IF(Tradingbook_SBV[[#This Row],[Days]]&lt;=0,0,YEARFRAC(RPT,Tradingbook_SBV[[#This Row],[Mat. Date]],3))</f>
        <v>0</v>
      </c>
      <c r="DR220" s="32">
        <f>IF(Tradingbook_SBV[[#This Row],[Days (year)]]=0,0,INDEX(Ref!$K$2:$K$13,MATCH(Tradingbook_SBV[[#This Row],[Days (year)]],Ref!$I$2:$I$13,1)))</f>
        <v>0</v>
      </c>
      <c r="DS220" s="32" t="str">
        <f>VLOOKUP(Tradingbook_SBV[[#This Row],[Security Name]],Ref!X:Z,3,0)</f>
        <v>TPCP</v>
      </c>
      <c r="DT220" s="32" t="str">
        <f>VLOOKUP(Tradingbook_SBV[[#This Row],[Security Name]],Ref!X:Y,2,0)</f>
        <v>KBNN</v>
      </c>
      <c r="DU220" s="71">
        <f>IF((Tradingbook_SBV[[#This Row],[Mat. Date]]-RPT)&lt;=0,0,Tradingbook_SBV[[#This Row],[QUANTITY]])</f>
        <v>0</v>
      </c>
      <c r="DV220" s="71">
        <f>IF(Tradingbook_SBV[[#This Row],[Quantity_edited]]=0,0,Tradingbook_SBV[[#This Row],[DURATION]])</f>
        <v>0</v>
      </c>
      <c r="DW220" s="71">
        <f>IF(Tradingbook_SBV[[#This Row],[Quantity_edited]]=0,0,Tradingbook_SBV[[#This Row],[Mod Dur]])</f>
        <v>0</v>
      </c>
      <c r="DX220" s="71">
        <f>IF(Tradingbook_SBV[[#This Row],[Quantity_edited]]=0,0,Tradingbook_SBV[[#This Row],[Cnvx.]])</f>
        <v>0</v>
      </c>
      <c r="DY220" s="71">
        <f>(Tradingbook_SBV[[#This Row],[MARKET_VALUE]]+Tradingbook_SBV[[#This Row],[Accr Int]]*Tradingbook_SBV[[#This Row],[Quantity_edited]])*(-Tradingbook_SBV[[#This Row],[Modified Duration]]*0.0001+0.5*Tradingbook_SBV[[#This Row],[Conv]]*(0.0001^2))</f>
        <v>0</v>
      </c>
      <c r="DZ220" s="71">
        <f>(Tradingbook_SBV[[#This Row],[MARKET_VALUE]]+Tradingbook_SBV[[#This Row],[Accr Int]]*Tradingbook_SBV[[#This Row],[Quantity_edited]])*(-Tradingbook_SBV[[#This Row],[Modified Duration]]*0.01+0.5*Tradingbook_SBV[[#This Row],[Conv]]*(0.01^2))</f>
        <v>0</v>
      </c>
      <c r="EC220" t="s">
        <v>166</v>
      </c>
      <c r="ED220" t="s">
        <v>3300</v>
      </c>
      <c r="EE220" t="s">
        <v>628</v>
      </c>
      <c r="EF220" t="s">
        <v>169</v>
      </c>
      <c r="EG220" s="35" t="s">
        <v>3429</v>
      </c>
      <c r="EH220" t="s">
        <v>3322</v>
      </c>
      <c r="EI220" s="500">
        <v>96066</v>
      </c>
      <c r="EJ220" s="500">
        <v>96066</v>
      </c>
      <c r="EK220" s="500">
        <v>0</v>
      </c>
      <c r="EL220" s="500">
        <v>0</v>
      </c>
      <c r="EM220" s="500">
        <v>0</v>
      </c>
      <c r="EN220" s="500">
        <v>0</v>
      </c>
      <c r="EO220">
        <v>2.9</v>
      </c>
      <c r="EP220">
        <v>2828</v>
      </c>
      <c r="EQ220">
        <v>68150000000</v>
      </c>
      <c r="ER220">
        <v>77140303895.833099</v>
      </c>
      <c r="ES220">
        <v>-53822478154.296875</v>
      </c>
      <c r="ET220">
        <v>3.976814048</v>
      </c>
      <c r="EU220">
        <v>3.5995413347162</v>
      </c>
      <c r="EV220">
        <v>3.7426884</v>
      </c>
      <c r="EW220">
        <v>17.1375138549027</v>
      </c>
      <c r="EX220">
        <v>0</v>
      </c>
      <c r="EY220">
        <v>0</v>
      </c>
      <c r="EZ220">
        <v>0</v>
      </c>
      <c r="FA220">
        <v>-36042020000</v>
      </c>
      <c r="FB220">
        <v>0</v>
      </c>
      <c r="FC220">
        <v>-36042020000</v>
      </c>
      <c r="FD220">
        <v>-36042020000</v>
      </c>
      <c r="FE220">
        <v>-36042020000</v>
      </c>
      <c r="FF220">
        <v>-36042020000</v>
      </c>
      <c r="FG220" s="32">
        <f>Bankingbook_SBV[[#This Row],[Mat. Date]]-RPT</f>
        <v>1470</v>
      </c>
      <c r="FH220" s="32">
        <f>IF(Bankingbook_SBV[[#This Row],[Days]]&lt;=0,0,YEARFRAC(RPT,Bankingbook_SBV[[#This Row],[Mat. Date]],3))</f>
        <v>4.0273972602739727</v>
      </c>
      <c r="FI220" s="32" t="str">
        <f>IF(Bankingbook_SBV[[#This Row],[Days (year)]]=0,0,INDEX(Ref!$K$2:$K$13,MATCH(Bankingbook_SBV[[#This Row],[Days (year)]],Ref!$I$2:$I$13,1)))</f>
        <v>4Y</v>
      </c>
      <c r="FJ220" s="32" t="str">
        <f>VLOOKUP(Bankingbook_SBV[[#This Row],[Security Name]],Ref!X:Z,3,0)</f>
        <v>TPCP</v>
      </c>
      <c r="FK220" s="32" t="str">
        <f>VLOOKUP(Bankingbook_SBV[[#This Row],[Security Name]],Ref!X:Y,2,0)</f>
        <v>KBNN</v>
      </c>
      <c r="FL220" s="72">
        <f>IF((Bankingbook_SBV[[#This Row],[Mat. Date]]-RPT)&lt;=0,0,Bankingbook_SBV[[#This Row],[QUANTITY]])</f>
        <v>0</v>
      </c>
      <c r="FM220" s="32">
        <f>IF(Bankingbook_SBV[[#This Row],[Quantity_edited]]=0,0,Bankingbook_SBV[[#This Row],[DURATION]])</f>
        <v>0</v>
      </c>
      <c r="FN220" s="32">
        <f>IF(Bankingbook_SBV[[#This Row],[Quantity_edited]]=0,0,Bankingbook_SBV[[#This Row],[Mod Dur]])</f>
        <v>0</v>
      </c>
      <c r="FO220" s="32">
        <f>IF(Bankingbook_SBV[[#This Row],[Quantity_edited]]=0,0,Bankingbook_SBV[[#This Row],[Cnvx.]])</f>
        <v>0</v>
      </c>
      <c r="FP220" s="32">
        <f>(Bankingbook_SBV[[#This Row],[MARKET_VALUE]]+Bankingbook_SBV[[#This Row],[Accr Int]]*Bankingbook_SBV[[#This Row],[Quantity_edited]])*(-Bankingbook_SBV[[#This Row],[Modified Duration]]*0.0001+0.5*Bankingbook_SBV[[#This Row],[Conv]]*(0.0001^2))</f>
        <v>0</v>
      </c>
      <c r="FQ220" s="32">
        <f>(Bankingbook_SBV[[#This Row],[MARKET_VALUE]]+Bankingbook_SBV[[#This Row],[Accr Int]]*Bankingbook_SBV[[#This Row],[Quantity_edited]])*(-Bankingbook_SBV[[#This Row],[Modified Duration]]*0.01+0.5*Bankingbook_SBV[[#This Row],[Conv]]*(0.01^2))</f>
        <v>0</v>
      </c>
    </row>
    <row r="221" spans="2:173" x14ac:dyDescent="0.3">
      <c r="B221" t="s">
        <v>166</v>
      </c>
      <c r="C221" t="s">
        <v>167</v>
      </c>
      <c r="D221" t="s">
        <v>401</v>
      </c>
      <c r="E221" t="s">
        <v>169</v>
      </c>
      <c r="F221" s="502">
        <v>43604</v>
      </c>
      <c r="G221" t="s">
        <v>3322</v>
      </c>
      <c r="H221"/>
      <c r="I221"/>
      <c r="J221" s="38">
        <v>0</v>
      </c>
      <c r="K221">
        <v>0</v>
      </c>
      <c r="L221">
        <v>0</v>
      </c>
      <c r="M221" s="38">
        <v>0</v>
      </c>
      <c r="N221">
        <v>5.5</v>
      </c>
      <c r="O221">
        <v>0</v>
      </c>
      <c r="P221" s="37">
        <v>0</v>
      </c>
      <c r="Q221" s="37">
        <v>0</v>
      </c>
      <c r="R221" s="37">
        <v>-129200461.11111212</v>
      </c>
      <c r="S221">
        <v>0</v>
      </c>
      <c r="T221" s="70">
        <v>0</v>
      </c>
      <c r="U221">
        <v>0</v>
      </c>
      <c r="V221">
        <v>0</v>
      </c>
      <c r="W221">
        <v>0</v>
      </c>
      <c r="X221" s="38">
        <v>0</v>
      </c>
      <c r="Y221">
        <v>0</v>
      </c>
      <c r="Z221" s="70">
        <v>-330500000</v>
      </c>
      <c r="AA221" s="70">
        <v>0</v>
      </c>
      <c r="AB221" s="70">
        <v>-330500000</v>
      </c>
      <c r="AC221" s="70">
        <v>-330500000</v>
      </c>
      <c r="AD221" s="70">
        <v>-330500000</v>
      </c>
      <c r="AE221" s="70">
        <v>-330500000</v>
      </c>
      <c r="AF221">
        <v>0</v>
      </c>
      <c r="AG221" s="72">
        <f>Tradingbook_MSB[[#This Row],[Mat. Date]]-RPT</f>
        <v>-2648</v>
      </c>
      <c r="AH221" s="71">
        <f>IF(Tradingbook_MSB[[#This Row],[Days]]&lt;=0,0,YEARFRAC(RPT,Tradingbook_MSB[[#This Row],[Mat. Date]],3))</f>
        <v>0</v>
      </c>
      <c r="AI221" s="71">
        <f>IF(Tradingbook_MSB[[#This Row],[Days (year)]]=0,0,INDEX(Ref!$K$2:$K$13,MATCH(Tradingbook_MSB[[#This Row],[Days (year)]],Ref!$I$2:$I$13,1)))</f>
        <v>0</v>
      </c>
      <c r="AJ221" s="120" t="str">
        <f>VLOOKUP(Tradingbook_MSB[[#This Row],[Security Name]],Ref!X:Z,3,0)</f>
        <v>TPCP</v>
      </c>
      <c r="AK221" s="120" t="str">
        <f>VLOOKUP(Tradingbook_MSB[[#This Row],[Security Name]],Ref!X:Y,2,0)</f>
        <v>KBNN</v>
      </c>
      <c r="AL221" s="71">
        <f>IF((Tradingbook_MSB[[#This Row],[Mat. Date]]-RPT)&lt;=0,0,Tradingbook_MSB[[#This Row],[QUANTITY]])</f>
        <v>0</v>
      </c>
      <c r="AM221" s="71">
        <f>IF(Tradingbook_MSB[[#This Row],[Quantity_edited]]=0,0,Tradingbook_MSB[[#This Row],[DURATION]])</f>
        <v>0</v>
      </c>
      <c r="AN221" s="71">
        <f>IF(Tradingbook_MSB[[#This Row],[Quantity_edited]]=0,0,Tradingbook_MSB[[#This Row],[Mod Dur]])</f>
        <v>0</v>
      </c>
      <c r="AO221" s="71">
        <f>IF(Tradingbook_MSB[[#This Row],[Quantity_edited]]=0,0,Tradingbook_MSB[[#This Row],[Cnvx.]])</f>
        <v>0</v>
      </c>
      <c r="AP221" s="71">
        <f>(Tradingbook_MSB[[#This Row],[MARKET_VALUE]]+Tradingbook_MSB[[#This Row],[Accr Int]]*Tradingbook_MSB[[#This Row],[Quantity_edited]])*(-Tradingbook_MSB[[#This Row],[Modified Duration]]*0.0001+0.5*Tradingbook_MSB[[#This Row],[Conv]]*(0.0001^2))</f>
        <v>0</v>
      </c>
      <c r="AQ221" s="72">
        <f>(Tradingbook_MSB[[#This Row],[MARKET_VALUE]]+Tradingbook_MSB[[#This Row],[Accr Int]]*Tradingbook_MSB[[#This Row],[Quantity_edited]])*(-Tradingbook_MSB[[#This Row],[Modified Duration]]*0.01+0.5*Tradingbook_MSB[[#This Row],[Conv]]*(0.01^2))</f>
        <v>0</v>
      </c>
      <c r="AR221" s="71"/>
      <c r="CL221" t="s">
        <v>166</v>
      </c>
      <c r="CM221" t="s">
        <v>167</v>
      </c>
      <c r="CN221" t="s">
        <v>401</v>
      </c>
      <c r="CO221" t="s">
        <v>169</v>
      </c>
      <c r="CP221" s="35">
        <v>43604</v>
      </c>
      <c r="CQ221" t="s">
        <v>3322</v>
      </c>
      <c r="CR221" t="s">
        <v>174</v>
      </c>
      <c r="CS221" t="s">
        <v>174</v>
      </c>
      <c r="CT221" s="49">
        <v>0</v>
      </c>
      <c r="CU221">
        <v>0</v>
      </c>
      <c r="CV221">
        <v>0</v>
      </c>
      <c r="CW221" s="70">
        <v>0</v>
      </c>
      <c r="CX221">
        <v>5.5</v>
      </c>
      <c r="CY221">
        <v>0</v>
      </c>
      <c r="CZ221">
        <v>0</v>
      </c>
      <c r="DA221">
        <v>0</v>
      </c>
      <c r="DB221">
        <v>-129200461.11111212</v>
      </c>
      <c r="DC221">
        <v>0</v>
      </c>
      <c r="DD221">
        <v>0</v>
      </c>
      <c r="DE221">
        <v>0</v>
      </c>
      <c r="DF221">
        <v>0</v>
      </c>
      <c r="DG221">
        <v>0</v>
      </c>
      <c r="DH221">
        <v>0</v>
      </c>
      <c r="DI221">
        <v>0</v>
      </c>
      <c r="DJ221" s="500">
        <v>-330500000</v>
      </c>
      <c r="DK221" s="500">
        <v>0</v>
      </c>
      <c r="DL221" s="37">
        <v>-330500000</v>
      </c>
      <c r="DM221" s="37">
        <v>-330500000</v>
      </c>
      <c r="DN221" s="37">
        <v>-330500000</v>
      </c>
      <c r="DO221" s="37">
        <v>-330500000</v>
      </c>
      <c r="DP221" s="32">
        <f>Tradingbook_SBV[[#This Row],[Mat. Date]]-RPT</f>
        <v>-2648</v>
      </c>
      <c r="DQ221" s="32">
        <f>IF(Tradingbook_SBV[[#This Row],[Days]]&lt;=0,0,YEARFRAC(RPT,Tradingbook_SBV[[#This Row],[Mat. Date]],3))</f>
        <v>0</v>
      </c>
      <c r="DR221" s="32">
        <f>IF(Tradingbook_SBV[[#This Row],[Days (year)]]=0,0,INDEX(Ref!$K$2:$K$13,MATCH(Tradingbook_SBV[[#This Row],[Days (year)]],Ref!$I$2:$I$13,1)))</f>
        <v>0</v>
      </c>
      <c r="DS221" s="32" t="str">
        <f>VLOOKUP(Tradingbook_SBV[[#This Row],[Security Name]],Ref!X:Z,3,0)</f>
        <v>TPCP</v>
      </c>
      <c r="DT221" s="32" t="str">
        <f>VLOOKUP(Tradingbook_SBV[[#This Row],[Security Name]],Ref!X:Y,2,0)</f>
        <v>KBNN</v>
      </c>
      <c r="DU221" s="71">
        <f>IF((Tradingbook_SBV[[#This Row],[Mat. Date]]-RPT)&lt;=0,0,Tradingbook_SBV[[#This Row],[QUANTITY]])</f>
        <v>0</v>
      </c>
      <c r="DV221" s="71">
        <f>IF(Tradingbook_SBV[[#This Row],[Quantity_edited]]=0,0,Tradingbook_SBV[[#This Row],[DURATION]])</f>
        <v>0</v>
      </c>
      <c r="DW221" s="71">
        <f>IF(Tradingbook_SBV[[#This Row],[Quantity_edited]]=0,0,Tradingbook_SBV[[#This Row],[Mod Dur]])</f>
        <v>0</v>
      </c>
      <c r="DX221" s="71">
        <f>IF(Tradingbook_SBV[[#This Row],[Quantity_edited]]=0,0,Tradingbook_SBV[[#This Row],[Cnvx.]])</f>
        <v>0</v>
      </c>
      <c r="DY221" s="71">
        <f>(Tradingbook_SBV[[#This Row],[MARKET_VALUE]]+Tradingbook_SBV[[#This Row],[Accr Int]]*Tradingbook_SBV[[#This Row],[Quantity_edited]])*(-Tradingbook_SBV[[#This Row],[Modified Duration]]*0.0001+0.5*Tradingbook_SBV[[#This Row],[Conv]]*(0.0001^2))</f>
        <v>0</v>
      </c>
      <c r="DZ221" s="71">
        <f>(Tradingbook_SBV[[#This Row],[MARKET_VALUE]]+Tradingbook_SBV[[#This Row],[Accr Int]]*Tradingbook_SBV[[#This Row],[Quantity_edited]])*(-Tradingbook_SBV[[#This Row],[Modified Duration]]*0.01+0.5*Tradingbook_SBV[[#This Row],[Conv]]*(0.01^2))</f>
        <v>0</v>
      </c>
      <c r="EC221" t="s">
        <v>166</v>
      </c>
      <c r="ED221" t="s">
        <v>3300</v>
      </c>
      <c r="EE221" t="s">
        <v>629</v>
      </c>
      <c r="EF221" t="s">
        <v>169</v>
      </c>
      <c r="EG221" s="35" t="s">
        <v>3430</v>
      </c>
      <c r="EH221" t="s">
        <v>3322</v>
      </c>
      <c r="EI221" s="500">
        <v>96029</v>
      </c>
      <c r="EJ221" s="500">
        <v>96029</v>
      </c>
      <c r="EK221" s="500">
        <v>0</v>
      </c>
      <c r="EL221" s="500">
        <v>0</v>
      </c>
      <c r="EM221" s="500">
        <v>0</v>
      </c>
      <c r="EN221" s="500">
        <v>0</v>
      </c>
      <c r="EO221">
        <v>2.9</v>
      </c>
      <c r="EP221">
        <v>2773</v>
      </c>
      <c r="EQ221">
        <v>37700000000</v>
      </c>
      <c r="ER221">
        <v>43004440347.222038</v>
      </c>
      <c r="ES221">
        <v>-34438624241.585075</v>
      </c>
      <c r="ET221">
        <v>3.9818672839999998</v>
      </c>
      <c r="EU221">
        <v>3.6177737561919998</v>
      </c>
      <c r="EV221">
        <v>3.7618287100000001</v>
      </c>
      <c r="EW221">
        <v>17.286497933175099</v>
      </c>
      <c r="EX221">
        <v>0</v>
      </c>
      <c r="EY221">
        <v>0</v>
      </c>
      <c r="EZ221">
        <v>0</v>
      </c>
      <c r="FA221">
        <v>-75261180000</v>
      </c>
      <c r="FB221">
        <v>0</v>
      </c>
      <c r="FC221">
        <v>-75261180000</v>
      </c>
      <c r="FD221">
        <v>-75261180000</v>
      </c>
      <c r="FE221">
        <v>-75261180000</v>
      </c>
      <c r="FF221">
        <v>-75261180000</v>
      </c>
      <c r="FG221" s="32">
        <f>Bankingbook_SBV[[#This Row],[Mat. Date]]-RPT</f>
        <v>1477</v>
      </c>
      <c r="FH221" s="32">
        <f>IF(Bankingbook_SBV[[#This Row],[Days]]&lt;=0,0,YEARFRAC(RPT,Bankingbook_SBV[[#This Row],[Mat. Date]],3))</f>
        <v>4.0465753424657533</v>
      </c>
      <c r="FI221" s="32" t="str">
        <f>IF(Bankingbook_SBV[[#This Row],[Days (year)]]=0,0,INDEX(Ref!$K$2:$K$13,MATCH(Bankingbook_SBV[[#This Row],[Days (year)]],Ref!$I$2:$I$13,1)))</f>
        <v>4Y</v>
      </c>
      <c r="FJ221" s="32" t="str">
        <f>VLOOKUP(Bankingbook_SBV[[#This Row],[Security Name]],Ref!X:Z,3,0)</f>
        <v>TPCP</v>
      </c>
      <c r="FK221" s="32" t="str">
        <f>VLOOKUP(Bankingbook_SBV[[#This Row],[Security Name]],Ref!X:Y,2,0)</f>
        <v>KBNN</v>
      </c>
      <c r="FL221" s="72">
        <f>IF((Bankingbook_SBV[[#This Row],[Mat. Date]]-RPT)&lt;=0,0,Bankingbook_SBV[[#This Row],[QUANTITY]])</f>
        <v>0</v>
      </c>
      <c r="FM221" s="32">
        <f>IF(Bankingbook_SBV[[#This Row],[Quantity_edited]]=0,0,Bankingbook_SBV[[#This Row],[DURATION]])</f>
        <v>0</v>
      </c>
      <c r="FN221" s="32">
        <f>IF(Bankingbook_SBV[[#This Row],[Quantity_edited]]=0,0,Bankingbook_SBV[[#This Row],[Mod Dur]])</f>
        <v>0</v>
      </c>
      <c r="FO221" s="32">
        <f>IF(Bankingbook_SBV[[#This Row],[Quantity_edited]]=0,0,Bankingbook_SBV[[#This Row],[Cnvx.]])</f>
        <v>0</v>
      </c>
      <c r="FP221" s="32">
        <f>(Bankingbook_SBV[[#This Row],[MARKET_VALUE]]+Bankingbook_SBV[[#This Row],[Accr Int]]*Bankingbook_SBV[[#This Row],[Quantity_edited]])*(-Bankingbook_SBV[[#This Row],[Modified Duration]]*0.0001+0.5*Bankingbook_SBV[[#This Row],[Conv]]*(0.0001^2))</f>
        <v>0</v>
      </c>
      <c r="FQ221" s="32">
        <f>(Bankingbook_SBV[[#This Row],[MARKET_VALUE]]+Bankingbook_SBV[[#This Row],[Accr Int]]*Bankingbook_SBV[[#This Row],[Quantity_edited]])*(-Bankingbook_SBV[[#This Row],[Modified Duration]]*0.01+0.5*Bankingbook_SBV[[#This Row],[Conv]]*(0.01^2))</f>
        <v>0</v>
      </c>
    </row>
    <row r="222" spans="2:173" x14ac:dyDescent="0.3">
      <c r="B222" t="s">
        <v>166</v>
      </c>
      <c r="C222" t="s">
        <v>167</v>
      </c>
      <c r="D222" t="s">
        <v>402</v>
      </c>
      <c r="E222" t="s">
        <v>169</v>
      </c>
      <c r="F222" s="502">
        <v>43638</v>
      </c>
      <c r="G222" t="s">
        <v>3322</v>
      </c>
      <c r="H222"/>
      <c r="I222"/>
      <c r="J222" s="38">
        <v>0</v>
      </c>
      <c r="K222">
        <v>0</v>
      </c>
      <c r="L222">
        <v>0</v>
      </c>
      <c r="M222" s="38">
        <v>0</v>
      </c>
      <c r="N222">
        <v>5.7</v>
      </c>
      <c r="O222">
        <v>0</v>
      </c>
      <c r="P222" s="37">
        <v>7638000000</v>
      </c>
      <c r="Q222" s="37">
        <v>8009201495.8333321</v>
      </c>
      <c r="R222" s="37">
        <v>-3722798081.5972023</v>
      </c>
      <c r="S222">
        <v>0</v>
      </c>
      <c r="T222" s="70">
        <v>0</v>
      </c>
      <c r="U222">
        <v>0</v>
      </c>
      <c r="V222">
        <v>0</v>
      </c>
      <c r="W222">
        <v>0</v>
      </c>
      <c r="X222" s="38">
        <v>0</v>
      </c>
      <c r="Y222">
        <v>0</v>
      </c>
      <c r="Z222" s="70">
        <v>3211780000</v>
      </c>
      <c r="AA222" s="70">
        <v>0</v>
      </c>
      <c r="AB222" s="70">
        <v>3211780000</v>
      </c>
      <c r="AC222" s="70">
        <v>3211780000</v>
      </c>
      <c r="AD222" s="70">
        <v>3211780000</v>
      </c>
      <c r="AE222" s="70">
        <v>3211780000</v>
      </c>
      <c r="AF222">
        <v>0</v>
      </c>
      <c r="AG222" s="72">
        <f>Tradingbook_MSB[[#This Row],[Mat. Date]]-RPT</f>
        <v>-2614</v>
      </c>
      <c r="AH222" s="71">
        <f>IF(Tradingbook_MSB[[#This Row],[Days]]&lt;=0,0,YEARFRAC(RPT,Tradingbook_MSB[[#This Row],[Mat. Date]],3))</f>
        <v>0</v>
      </c>
      <c r="AI222" s="71">
        <f>IF(Tradingbook_MSB[[#This Row],[Days (year)]]=0,0,INDEX(Ref!$K$2:$K$13,MATCH(Tradingbook_MSB[[#This Row],[Days (year)]],Ref!$I$2:$I$13,1)))</f>
        <v>0</v>
      </c>
      <c r="AJ222" s="120" t="str">
        <f>VLOOKUP(Tradingbook_MSB[[#This Row],[Security Name]],Ref!X:Z,3,0)</f>
        <v>TPCPBL</v>
      </c>
      <c r="AK222" s="120" t="str">
        <f>VLOOKUP(Tradingbook_MSB[[#This Row],[Security Name]],Ref!X:Y,2,0)</f>
        <v>VBS</v>
      </c>
      <c r="AL222" s="71">
        <f>IF((Tradingbook_MSB[[#This Row],[Mat. Date]]-RPT)&lt;=0,0,Tradingbook_MSB[[#This Row],[QUANTITY]])</f>
        <v>0</v>
      </c>
      <c r="AM222" s="71">
        <f>IF(Tradingbook_MSB[[#This Row],[Quantity_edited]]=0,0,Tradingbook_MSB[[#This Row],[DURATION]])</f>
        <v>0</v>
      </c>
      <c r="AN222" s="71">
        <f>IF(Tradingbook_MSB[[#This Row],[Quantity_edited]]=0,0,Tradingbook_MSB[[#This Row],[Mod Dur]])</f>
        <v>0</v>
      </c>
      <c r="AO222" s="71">
        <f>IF(Tradingbook_MSB[[#This Row],[Quantity_edited]]=0,0,Tradingbook_MSB[[#This Row],[Cnvx.]])</f>
        <v>0</v>
      </c>
      <c r="AP222" s="71">
        <f>(Tradingbook_MSB[[#This Row],[MARKET_VALUE]]+Tradingbook_MSB[[#This Row],[Accr Int]]*Tradingbook_MSB[[#This Row],[Quantity_edited]])*(-Tradingbook_MSB[[#This Row],[Modified Duration]]*0.0001+0.5*Tradingbook_MSB[[#This Row],[Conv]]*(0.0001^2))</f>
        <v>0</v>
      </c>
      <c r="AQ222" s="72">
        <f>(Tradingbook_MSB[[#This Row],[MARKET_VALUE]]+Tradingbook_MSB[[#This Row],[Accr Int]]*Tradingbook_MSB[[#This Row],[Quantity_edited]])*(-Tradingbook_MSB[[#This Row],[Modified Duration]]*0.01+0.5*Tradingbook_MSB[[#This Row],[Conv]]*(0.01^2))</f>
        <v>0</v>
      </c>
      <c r="AR222" s="71"/>
      <c r="CL222" t="s">
        <v>166</v>
      </c>
      <c r="CM222" t="s">
        <v>167</v>
      </c>
      <c r="CN222" t="s">
        <v>402</v>
      </c>
      <c r="CO222" t="s">
        <v>169</v>
      </c>
      <c r="CP222" s="35">
        <v>43638</v>
      </c>
      <c r="CQ222" t="s">
        <v>3322</v>
      </c>
      <c r="CR222" t="s">
        <v>174</v>
      </c>
      <c r="CS222" t="s">
        <v>174</v>
      </c>
      <c r="CT222" s="49">
        <v>0</v>
      </c>
      <c r="CU222">
        <v>0</v>
      </c>
      <c r="CV222">
        <v>0</v>
      </c>
      <c r="CW222" s="70">
        <v>0</v>
      </c>
      <c r="CX222">
        <v>5.7</v>
      </c>
      <c r="CY222">
        <v>0</v>
      </c>
      <c r="CZ222">
        <v>7638000000</v>
      </c>
      <c r="DA222">
        <v>8009201495.8333321</v>
      </c>
      <c r="DB222">
        <v>-3722798081.5972023</v>
      </c>
      <c r="DC222">
        <v>0</v>
      </c>
      <c r="DD222">
        <v>0</v>
      </c>
      <c r="DE222">
        <v>0</v>
      </c>
      <c r="DF222">
        <v>0</v>
      </c>
      <c r="DG222">
        <v>0</v>
      </c>
      <c r="DH222">
        <v>0</v>
      </c>
      <c r="DI222">
        <v>0</v>
      </c>
      <c r="DJ222" s="500">
        <v>3211780000</v>
      </c>
      <c r="DK222" s="500">
        <v>0</v>
      </c>
      <c r="DL222" s="37">
        <v>3211780000</v>
      </c>
      <c r="DM222" s="37">
        <v>3211780000</v>
      </c>
      <c r="DN222" s="37">
        <v>3211780000</v>
      </c>
      <c r="DO222" s="37">
        <v>3211780000</v>
      </c>
      <c r="DP222" s="32">
        <f>Tradingbook_SBV[[#This Row],[Mat. Date]]-RPT</f>
        <v>-2614</v>
      </c>
      <c r="DQ222" s="32">
        <f>IF(Tradingbook_SBV[[#This Row],[Days]]&lt;=0,0,YEARFRAC(RPT,Tradingbook_SBV[[#This Row],[Mat. Date]],3))</f>
        <v>0</v>
      </c>
      <c r="DR222" s="32">
        <f>IF(Tradingbook_SBV[[#This Row],[Days (year)]]=0,0,INDEX(Ref!$K$2:$K$13,MATCH(Tradingbook_SBV[[#This Row],[Days (year)]],Ref!$I$2:$I$13,1)))</f>
        <v>0</v>
      </c>
      <c r="DS222" s="32" t="str">
        <f>VLOOKUP(Tradingbook_SBV[[#This Row],[Security Name]],Ref!X:Z,3,0)</f>
        <v>TPCPBL</v>
      </c>
      <c r="DT222" s="32" t="str">
        <f>VLOOKUP(Tradingbook_SBV[[#This Row],[Security Name]],Ref!X:Y,2,0)</f>
        <v>VBS</v>
      </c>
      <c r="DU222" s="71">
        <f>IF((Tradingbook_SBV[[#This Row],[Mat. Date]]-RPT)&lt;=0,0,Tradingbook_SBV[[#This Row],[QUANTITY]])</f>
        <v>0</v>
      </c>
      <c r="DV222" s="71">
        <f>IF(Tradingbook_SBV[[#This Row],[Quantity_edited]]=0,0,Tradingbook_SBV[[#This Row],[DURATION]])</f>
        <v>0</v>
      </c>
      <c r="DW222" s="71">
        <f>IF(Tradingbook_SBV[[#This Row],[Quantity_edited]]=0,0,Tradingbook_SBV[[#This Row],[Mod Dur]])</f>
        <v>0</v>
      </c>
      <c r="DX222" s="71">
        <f>IF(Tradingbook_SBV[[#This Row],[Quantity_edited]]=0,0,Tradingbook_SBV[[#This Row],[Cnvx.]])</f>
        <v>0</v>
      </c>
      <c r="DY222" s="71">
        <f>(Tradingbook_SBV[[#This Row],[MARKET_VALUE]]+Tradingbook_SBV[[#This Row],[Accr Int]]*Tradingbook_SBV[[#This Row],[Quantity_edited]])*(-Tradingbook_SBV[[#This Row],[Modified Duration]]*0.0001+0.5*Tradingbook_SBV[[#This Row],[Conv]]*(0.0001^2))</f>
        <v>0</v>
      </c>
      <c r="DZ222" s="71">
        <f>(Tradingbook_SBV[[#This Row],[MARKET_VALUE]]+Tradingbook_SBV[[#This Row],[Accr Int]]*Tradingbook_SBV[[#This Row],[Quantity_edited]])*(-Tradingbook_SBV[[#This Row],[Modified Duration]]*0.01+0.5*Tradingbook_SBV[[#This Row],[Conv]]*(0.01^2))</f>
        <v>0</v>
      </c>
      <c r="EC222" t="s">
        <v>166</v>
      </c>
      <c r="ED222" t="s">
        <v>3300</v>
      </c>
      <c r="EE222" t="s">
        <v>630</v>
      </c>
      <c r="EF222" t="s">
        <v>169</v>
      </c>
      <c r="EG222" s="35" t="s">
        <v>3806</v>
      </c>
      <c r="EH222" t="s">
        <v>3322</v>
      </c>
      <c r="EI222" s="500">
        <v>94580</v>
      </c>
      <c r="EJ222" s="500">
        <v>94580</v>
      </c>
      <c r="EK222" s="500">
        <v>0</v>
      </c>
      <c r="EL222" s="500">
        <v>0</v>
      </c>
      <c r="EM222" s="500">
        <v>0</v>
      </c>
      <c r="EN222" s="500">
        <v>0</v>
      </c>
      <c r="EO222">
        <v>3.1</v>
      </c>
      <c r="EP222">
        <v>2378</v>
      </c>
      <c r="EQ222">
        <v>0</v>
      </c>
      <c r="ER222">
        <v>2.3E-5</v>
      </c>
      <c r="ES222">
        <v>-135225472.22223663</v>
      </c>
      <c r="ET222">
        <v>4.5326903710000002</v>
      </c>
      <c r="EU222">
        <v>3.7594562918561998</v>
      </c>
      <c r="EV222">
        <v>3.9298608100000001</v>
      </c>
      <c r="EW222">
        <v>18.4899718958523</v>
      </c>
      <c r="EX222">
        <v>0</v>
      </c>
      <c r="EY222">
        <v>0</v>
      </c>
      <c r="EZ222">
        <v>0</v>
      </c>
      <c r="FA222">
        <v>-2652000000</v>
      </c>
      <c r="FB222">
        <v>0</v>
      </c>
      <c r="FC222">
        <v>-2652000000</v>
      </c>
      <c r="FD222">
        <v>-2652000000</v>
      </c>
      <c r="FE222">
        <v>-2652000000</v>
      </c>
      <c r="FF222">
        <v>-2652000000</v>
      </c>
      <c r="FG222" s="32">
        <f>Bankingbook_SBV[[#This Row],[Mat. Date]]-RPT</f>
        <v>1546</v>
      </c>
      <c r="FH222" s="32">
        <f>IF(Bankingbook_SBV[[#This Row],[Days]]&lt;=0,0,YEARFRAC(RPT,Bankingbook_SBV[[#This Row],[Mat. Date]],3))</f>
        <v>4.2356164383561641</v>
      </c>
      <c r="FI222" s="32" t="str">
        <f>IF(Bankingbook_SBV[[#This Row],[Days (year)]]=0,0,INDEX(Ref!$K$2:$K$13,MATCH(Bankingbook_SBV[[#This Row],[Days (year)]],Ref!$I$2:$I$13,1)))</f>
        <v>4Y</v>
      </c>
      <c r="FJ222" s="32" t="str">
        <f>VLOOKUP(Bankingbook_SBV[[#This Row],[Security Name]],Ref!X:Z,3,0)</f>
        <v>TPCPBL</v>
      </c>
      <c r="FK222" s="32" t="str">
        <f>VLOOKUP(Bankingbook_SBV[[#This Row],[Security Name]],Ref!X:Y,2,0)</f>
        <v>VDB</v>
      </c>
      <c r="FL222" s="72">
        <f>IF((Bankingbook_SBV[[#This Row],[Mat. Date]]-RPT)&lt;=0,0,Bankingbook_SBV[[#This Row],[QUANTITY]])</f>
        <v>0</v>
      </c>
      <c r="FM222" s="32">
        <f>IF(Bankingbook_SBV[[#This Row],[Quantity_edited]]=0,0,Bankingbook_SBV[[#This Row],[DURATION]])</f>
        <v>0</v>
      </c>
      <c r="FN222" s="32">
        <f>IF(Bankingbook_SBV[[#This Row],[Quantity_edited]]=0,0,Bankingbook_SBV[[#This Row],[Mod Dur]])</f>
        <v>0</v>
      </c>
      <c r="FO222" s="32">
        <f>IF(Bankingbook_SBV[[#This Row],[Quantity_edited]]=0,0,Bankingbook_SBV[[#This Row],[Cnvx.]])</f>
        <v>0</v>
      </c>
      <c r="FP222" s="32">
        <f>(Bankingbook_SBV[[#This Row],[MARKET_VALUE]]+Bankingbook_SBV[[#This Row],[Accr Int]]*Bankingbook_SBV[[#This Row],[Quantity_edited]])*(-Bankingbook_SBV[[#This Row],[Modified Duration]]*0.0001+0.5*Bankingbook_SBV[[#This Row],[Conv]]*(0.0001^2))</f>
        <v>0</v>
      </c>
      <c r="FQ222" s="32">
        <f>(Bankingbook_SBV[[#This Row],[MARKET_VALUE]]+Bankingbook_SBV[[#This Row],[Accr Int]]*Bankingbook_SBV[[#This Row],[Quantity_edited]])*(-Bankingbook_SBV[[#This Row],[Modified Duration]]*0.01+0.5*Bankingbook_SBV[[#This Row],[Conv]]*(0.01^2))</f>
        <v>0</v>
      </c>
    </row>
    <row r="223" spans="2:173" x14ac:dyDescent="0.3">
      <c r="B223" t="s">
        <v>166</v>
      </c>
      <c r="C223" t="s">
        <v>167</v>
      </c>
      <c r="D223" t="s">
        <v>403</v>
      </c>
      <c r="E223" t="s">
        <v>169</v>
      </c>
      <c r="F223" s="502">
        <v>43639</v>
      </c>
      <c r="G223" t="s">
        <v>3322</v>
      </c>
      <c r="H223"/>
      <c r="I223"/>
      <c r="J223" s="38">
        <v>0</v>
      </c>
      <c r="K223">
        <v>0</v>
      </c>
      <c r="L223">
        <v>0</v>
      </c>
      <c r="M223" s="38">
        <v>0</v>
      </c>
      <c r="N223">
        <v>5.2</v>
      </c>
      <c r="O223">
        <v>0</v>
      </c>
      <c r="P223" s="37">
        <v>0</v>
      </c>
      <c r="Q223" s="37">
        <v>0</v>
      </c>
      <c r="R223" s="37">
        <v>-1997402.4305565357</v>
      </c>
      <c r="S223">
        <v>0</v>
      </c>
      <c r="T223" s="70">
        <v>0</v>
      </c>
      <c r="U223">
        <v>0</v>
      </c>
      <c r="V223">
        <v>0</v>
      </c>
      <c r="W223">
        <v>0</v>
      </c>
      <c r="X223" s="38">
        <v>0</v>
      </c>
      <c r="Y223">
        <v>0</v>
      </c>
      <c r="Z223" s="70">
        <v>-13500000</v>
      </c>
      <c r="AA223" s="70">
        <v>0</v>
      </c>
      <c r="AB223" s="70">
        <v>-13500000</v>
      </c>
      <c r="AC223" s="70">
        <v>-13500000</v>
      </c>
      <c r="AD223" s="70">
        <v>-13500000</v>
      </c>
      <c r="AE223" s="70">
        <v>-13500000</v>
      </c>
      <c r="AF223">
        <v>0</v>
      </c>
      <c r="AG223" s="72">
        <f>Tradingbook_MSB[[#This Row],[Mat. Date]]-RPT</f>
        <v>-2613</v>
      </c>
      <c r="AH223" s="71">
        <f>IF(Tradingbook_MSB[[#This Row],[Days]]&lt;=0,0,YEARFRAC(RPT,Tradingbook_MSB[[#This Row],[Mat. Date]],3))</f>
        <v>0</v>
      </c>
      <c r="AI223" s="71">
        <f>IF(Tradingbook_MSB[[#This Row],[Days (year)]]=0,0,INDEX(Ref!$K$2:$K$13,MATCH(Tradingbook_MSB[[#This Row],[Days (year)]],Ref!$I$2:$I$13,1)))</f>
        <v>0</v>
      </c>
      <c r="AJ223" s="120" t="str">
        <f>VLOOKUP(Tradingbook_MSB[[#This Row],[Security Name]],Ref!X:Z,3,0)</f>
        <v>TPCP</v>
      </c>
      <c r="AK223" s="120" t="str">
        <f>VLOOKUP(Tradingbook_MSB[[#This Row],[Security Name]],Ref!X:Y,2,0)</f>
        <v>KBNN</v>
      </c>
      <c r="AL223" s="71">
        <f>IF((Tradingbook_MSB[[#This Row],[Mat. Date]]-RPT)&lt;=0,0,Tradingbook_MSB[[#This Row],[QUANTITY]])</f>
        <v>0</v>
      </c>
      <c r="AM223" s="71">
        <f>IF(Tradingbook_MSB[[#This Row],[Quantity_edited]]=0,0,Tradingbook_MSB[[#This Row],[DURATION]])</f>
        <v>0</v>
      </c>
      <c r="AN223" s="71">
        <f>IF(Tradingbook_MSB[[#This Row],[Quantity_edited]]=0,0,Tradingbook_MSB[[#This Row],[Mod Dur]])</f>
        <v>0</v>
      </c>
      <c r="AO223" s="71">
        <f>IF(Tradingbook_MSB[[#This Row],[Quantity_edited]]=0,0,Tradingbook_MSB[[#This Row],[Cnvx.]])</f>
        <v>0</v>
      </c>
      <c r="AP223" s="71">
        <f>(Tradingbook_MSB[[#This Row],[MARKET_VALUE]]+Tradingbook_MSB[[#This Row],[Accr Int]]*Tradingbook_MSB[[#This Row],[Quantity_edited]])*(-Tradingbook_MSB[[#This Row],[Modified Duration]]*0.0001+0.5*Tradingbook_MSB[[#This Row],[Conv]]*(0.0001^2))</f>
        <v>0</v>
      </c>
      <c r="AQ223" s="72">
        <f>(Tradingbook_MSB[[#This Row],[MARKET_VALUE]]+Tradingbook_MSB[[#This Row],[Accr Int]]*Tradingbook_MSB[[#This Row],[Quantity_edited]])*(-Tradingbook_MSB[[#This Row],[Modified Duration]]*0.01+0.5*Tradingbook_MSB[[#This Row],[Conv]]*(0.01^2))</f>
        <v>0</v>
      </c>
      <c r="AR223" s="71"/>
      <c r="CL223" t="s">
        <v>166</v>
      </c>
      <c r="CM223" t="s">
        <v>167</v>
      </c>
      <c r="CN223" t="s">
        <v>403</v>
      </c>
      <c r="CO223" t="s">
        <v>169</v>
      </c>
      <c r="CP223" s="35">
        <v>43639</v>
      </c>
      <c r="CQ223" t="s">
        <v>3322</v>
      </c>
      <c r="CR223" t="s">
        <v>174</v>
      </c>
      <c r="CS223" t="s">
        <v>174</v>
      </c>
      <c r="CT223" s="49">
        <v>0</v>
      </c>
      <c r="CU223">
        <v>0</v>
      </c>
      <c r="CV223">
        <v>0</v>
      </c>
      <c r="CW223" s="70">
        <v>0</v>
      </c>
      <c r="CX223">
        <v>5.2</v>
      </c>
      <c r="CY223">
        <v>0</v>
      </c>
      <c r="CZ223">
        <v>0</v>
      </c>
      <c r="DA223">
        <v>0</v>
      </c>
      <c r="DB223">
        <v>-1997402.4305565357</v>
      </c>
      <c r="DC223">
        <v>0</v>
      </c>
      <c r="DD223">
        <v>0</v>
      </c>
      <c r="DE223">
        <v>0</v>
      </c>
      <c r="DF223">
        <v>0</v>
      </c>
      <c r="DG223">
        <v>0</v>
      </c>
      <c r="DH223">
        <v>0</v>
      </c>
      <c r="DI223">
        <v>0</v>
      </c>
      <c r="DJ223" s="500">
        <v>-13500000</v>
      </c>
      <c r="DK223" s="500">
        <v>0</v>
      </c>
      <c r="DL223" s="37">
        <v>-13500000</v>
      </c>
      <c r="DM223" s="37">
        <v>-13500000</v>
      </c>
      <c r="DN223" s="37">
        <v>-13500000</v>
      </c>
      <c r="DO223" s="37">
        <v>-13500000</v>
      </c>
      <c r="DP223" s="32">
        <f>Tradingbook_SBV[[#This Row],[Mat. Date]]-RPT</f>
        <v>-2613</v>
      </c>
      <c r="DQ223" s="32">
        <f>IF(Tradingbook_SBV[[#This Row],[Days]]&lt;=0,0,YEARFRAC(RPT,Tradingbook_SBV[[#This Row],[Mat. Date]],3))</f>
        <v>0</v>
      </c>
      <c r="DR223" s="32">
        <f>IF(Tradingbook_SBV[[#This Row],[Days (year)]]=0,0,INDEX(Ref!$K$2:$K$13,MATCH(Tradingbook_SBV[[#This Row],[Days (year)]],Ref!$I$2:$I$13,1)))</f>
        <v>0</v>
      </c>
      <c r="DS223" s="32" t="str">
        <f>VLOOKUP(Tradingbook_SBV[[#This Row],[Security Name]],Ref!X:Z,3,0)</f>
        <v>TPCP</v>
      </c>
      <c r="DT223" s="32" t="str">
        <f>VLOOKUP(Tradingbook_SBV[[#This Row],[Security Name]],Ref!X:Y,2,0)</f>
        <v>KBNN</v>
      </c>
      <c r="DU223" s="71">
        <f>IF((Tradingbook_SBV[[#This Row],[Mat. Date]]-RPT)&lt;=0,0,Tradingbook_SBV[[#This Row],[QUANTITY]])</f>
        <v>0</v>
      </c>
      <c r="DV223" s="71">
        <f>IF(Tradingbook_SBV[[#This Row],[Quantity_edited]]=0,0,Tradingbook_SBV[[#This Row],[DURATION]])</f>
        <v>0</v>
      </c>
      <c r="DW223" s="71">
        <f>IF(Tradingbook_SBV[[#This Row],[Quantity_edited]]=0,0,Tradingbook_SBV[[#This Row],[Mod Dur]])</f>
        <v>0</v>
      </c>
      <c r="DX223" s="71">
        <f>IF(Tradingbook_SBV[[#This Row],[Quantity_edited]]=0,0,Tradingbook_SBV[[#This Row],[Cnvx.]])</f>
        <v>0</v>
      </c>
      <c r="DY223" s="71">
        <f>(Tradingbook_SBV[[#This Row],[MARKET_VALUE]]+Tradingbook_SBV[[#This Row],[Accr Int]]*Tradingbook_SBV[[#This Row],[Quantity_edited]])*(-Tradingbook_SBV[[#This Row],[Modified Duration]]*0.0001+0.5*Tradingbook_SBV[[#This Row],[Conv]]*(0.0001^2))</f>
        <v>0</v>
      </c>
      <c r="DZ223" s="71">
        <f>(Tradingbook_SBV[[#This Row],[MARKET_VALUE]]+Tradingbook_SBV[[#This Row],[Accr Int]]*Tradingbook_SBV[[#This Row],[Quantity_edited]])*(-Tradingbook_SBV[[#This Row],[Modified Duration]]*0.01+0.5*Tradingbook_SBV[[#This Row],[Conv]]*(0.01^2))</f>
        <v>0</v>
      </c>
      <c r="EC223" t="s">
        <v>166</v>
      </c>
      <c r="ED223" t="s">
        <v>3300</v>
      </c>
      <c r="EE223" t="s">
        <v>631</v>
      </c>
      <c r="EF223" t="s">
        <v>169</v>
      </c>
      <c r="EG223" s="35" t="s">
        <v>3807</v>
      </c>
      <c r="EH223" t="s">
        <v>3322</v>
      </c>
      <c r="EI223" s="500">
        <v>94129</v>
      </c>
      <c r="EJ223" s="500">
        <v>94129</v>
      </c>
      <c r="EK223" s="500">
        <v>0</v>
      </c>
      <c r="EL223" s="500">
        <v>0</v>
      </c>
      <c r="EM223" s="500">
        <v>0</v>
      </c>
      <c r="EN223" s="500">
        <v>0</v>
      </c>
      <c r="EO223">
        <v>2.5</v>
      </c>
      <c r="EP223">
        <v>1911</v>
      </c>
      <c r="EQ223">
        <v>11250000000</v>
      </c>
      <c r="ER223">
        <v>12896164583.333296</v>
      </c>
      <c r="ES223">
        <v>-16030481892.963387</v>
      </c>
      <c r="ET223">
        <v>4.0332223730000001</v>
      </c>
      <c r="EU223">
        <v>3.8329371021324001</v>
      </c>
      <c r="EV223">
        <v>3.9875279799999999</v>
      </c>
      <c r="EW223">
        <v>19.0155082047246</v>
      </c>
      <c r="EX223">
        <v>0</v>
      </c>
      <c r="EY223">
        <v>0</v>
      </c>
      <c r="EZ223">
        <v>0</v>
      </c>
      <c r="FA223">
        <v>-59464010000</v>
      </c>
      <c r="FB223">
        <v>0</v>
      </c>
      <c r="FC223">
        <v>-59464010000</v>
      </c>
      <c r="FD223">
        <v>-59464010000</v>
      </c>
      <c r="FE223">
        <v>-59464010000</v>
      </c>
      <c r="FF223">
        <v>-59464010000</v>
      </c>
      <c r="FG223" s="32">
        <f>Bankingbook_SBV[[#This Row],[Mat. Date]]-RPT</f>
        <v>1547</v>
      </c>
      <c r="FH223" s="32">
        <f>IF(Bankingbook_SBV[[#This Row],[Days]]&lt;=0,0,YEARFRAC(RPT,Bankingbook_SBV[[#This Row],[Mat. Date]],3))</f>
        <v>4.2383561643835614</v>
      </c>
      <c r="FI223" s="32" t="str">
        <f>IF(Bankingbook_SBV[[#This Row],[Days (year)]]=0,0,INDEX(Ref!$K$2:$K$13,MATCH(Bankingbook_SBV[[#This Row],[Days (year)]],Ref!$I$2:$I$13,1)))</f>
        <v>4Y</v>
      </c>
      <c r="FJ223" s="32" t="str">
        <f>VLOOKUP(Bankingbook_SBV[[#This Row],[Security Name]],Ref!X:Z,3,0)</f>
        <v>TPCP</v>
      </c>
      <c r="FK223" s="32" t="str">
        <f>VLOOKUP(Bankingbook_SBV[[#This Row],[Security Name]],Ref!X:Y,2,0)</f>
        <v>KBNN</v>
      </c>
      <c r="FL223" s="72">
        <f>IF((Bankingbook_SBV[[#This Row],[Mat. Date]]-RPT)&lt;=0,0,Bankingbook_SBV[[#This Row],[QUANTITY]])</f>
        <v>0</v>
      </c>
      <c r="FM223" s="32">
        <f>IF(Bankingbook_SBV[[#This Row],[Quantity_edited]]=0,0,Bankingbook_SBV[[#This Row],[DURATION]])</f>
        <v>0</v>
      </c>
      <c r="FN223" s="32">
        <f>IF(Bankingbook_SBV[[#This Row],[Quantity_edited]]=0,0,Bankingbook_SBV[[#This Row],[Mod Dur]])</f>
        <v>0</v>
      </c>
      <c r="FO223" s="32">
        <f>IF(Bankingbook_SBV[[#This Row],[Quantity_edited]]=0,0,Bankingbook_SBV[[#This Row],[Cnvx.]])</f>
        <v>0</v>
      </c>
      <c r="FP223" s="32">
        <f>(Bankingbook_SBV[[#This Row],[MARKET_VALUE]]+Bankingbook_SBV[[#This Row],[Accr Int]]*Bankingbook_SBV[[#This Row],[Quantity_edited]])*(-Bankingbook_SBV[[#This Row],[Modified Duration]]*0.0001+0.5*Bankingbook_SBV[[#This Row],[Conv]]*(0.0001^2))</f>
        <v>0</v>
      </c>
      <c r="FQ223" s="32">
        <f>(Bankingbook_SBV[[#This Row],[MARKET_VALUE]]+Bankingbook_SBV[[#This Row],[Accr Int]]*Bankingbook_SBV[[#This Row],[Quantity_edited]])*(-Bankingbook_SBV[[#This Row],[Modified Duration]]*0.01+0.5*Bankingbook_SBV[[#This Row],[Conv]]*(0.01^2))</f>
        <v>0</v>
      </c>
    </row>
    <row r="224" spans="2:173" x14ac:dyDescent="0.3">
      <c r="B224" t="s">
        <v>166</v>
      </c>
      <c r="C224" t="s">
        <v>167</v>
      </c>
      <c r="D224" t="s">
        <v>404</v>
      </c>
      <c r="E224" t="s">
        <v>169</v>
      </c>
      <c r="F224" s="502">
        <v>43646</v>
      </c>
      <c r="G224" t="s">
        <v>3322</v>
      </c>
      <c r="H224"/>
      <c r="I224"/>
      <c r="J224" s="38">
        <v>0</v>
      </c>
      <c r="K224">
        <v>0</v>
      </c>
      <c r="L224">
        <v>0</v>
      </c>
      <c r="M224" s="38">
        <v>0</v>
      </c>
      <c r="N224">
        <v>7.1</v>
      </c>
      <c r="O224">
        <v>0</v>
      </c>
      <c r="P224" s="37">
        <v>14200000000</v>
      </c>
      <c r="Q224" s="37">
        <v>15577308784.722237</v>
      </c>
      <c r="R224" s="37">
        <v>-6536265804.6527367</v>
      </c>
      <c r="S224">
        <v>0</v>
      </c>
      <c r="T224" s="70">
        <v>0</v>
      </c>
      <c r="U224">
        <v>0</v>
      </c>
      <c r="V224">
        <v>0</v>
      </c>
      <c r="W224">
        <v>0</v>
      </c>
      <c r="X224" s="38">
        <v>0</v>
      </c>
      <c r="Y224">
        <v>0</v>
      </c>
      <c r="Z224" s="70">
        <v>1506500000</v>
      </c>
      <c r="AA224" s="70">
        <v>0</v>
      </c>
      <c r="AB224" s="70">
        <v>1506500000</v>
      </c>
      <c r="AC224" s="70">
        <v>1506500000</v>
      </c>
      <c r="AD224" s="70">
        <v>1506500000</v>
      </c>
      <c r="AE224" s="70">
        <v>1506500000</v>
      </c>
      <c r="AF224">
        <v>0</v>
      </c>
      <c r="AG224" s="72">
        <f>Tradingbook_MSB[[#This Row],[Mat. Date]]-RPT</f>
        <v>-2606</v>
      </c>
      <c r="AH224" s="71">
        <f>IF(Tradingbook_MSB[[#This Row],[Days]]&lt;=0,0,YEARFRAC(RPT,Tradingbook_MSB[[#This Row],[Mat. Date]],3))</f>
        <v>0</v>
      </c>
      <c r="AI224" s="71">
        <f>IF(Tradingbook_MSB[[#This Row],[Days (year)]]=0,0,INDEX(Ref!$K$2:$K$13,MATCH(Tradingbook_MSB[[#This Row],[Days (year)]],Ref!$I$2:$I$13,1)))</f>
        <v>0</v>
      </c>
      <c r="AJ224" s="120" t="str">
        <f>VLOOKUP(Tradingbook_MSB[[#This Row],[Security Name]],Ref!X:Z,3,0)</f>
        <v>TPCP</v>
      </c>
      <c r="AK224" s="120" t="str">
        <f>VLOOKUP(Tradingbook_MSB[[#This Row],[Security Name]],Ref!X:Y,2,0)</f>
        <v>KBNN</v>
      </c>
      <c r="AL224" s="71">
        <f>IF((Tradingbook_MSB[[#This Row],[Mat. Date]]-RPT)&lt;=0,0,Tradingbook_MSB[[#This Row],[QUANTITY]])</f>
        <v>0</v>
      </c>
      <c r="AM224" s="71">
        <f>IF(Tradingbook_MSB[[#This Row],[Quantity_edited]]=0,0,Tradingbook_MSB[[#This Row],[DURATION]])</f>
        <v>0</v>
      </c>
      <c r="AN224" s="71">
        <f>IF(Tradingbook_MSB[[#This Row],[Quantity_edited]]=0,0,Tradingbook_MSB[[#This Row],[Mod Dur]])</f>
        <v>0</v>
      </c>
      <c r="AO224" s="71">
        <f>IF(Tradingbook_MSB[[#This Row],[Quantity_edited]]=0,0,Tradingbook_MSB[[#This Row],[Cnvx.]])</f>
        <v>0</v>
      </c>
      <c r="AP224" s="71">
        <f>(Tradingbook_MSB[[#This Row],[MARKET_VALUE]]+Tradingbook_MSB[[#This Row],[Accr Int]]*Tradingbook_MSB[[#This Row],[Quantity_edited]])*(-Tradingbook_MSB[[#This Row],[Modified Duration]]*0.0001+0.5*Tradingbook_MSB[[#This Row],[Conv]]*(0.0001^2))</f>
        <v>0</v>
      </c>
      <c r="AQ224" s="72">
        <f>(Tradingbook_MSB[[#This Row],[MARKET_VALUE]]+Tradingbook_MSB[[#This Row],[Accr Int]]*Tradingbook_MSB[[#This Row],[Quantity_edited]])*(-Tradingbook_MSB[[#This Row],[Modified Duration]]*0.01+0.5*Tradingbook_MSB[[#This Row],[Conv]]*(0.01^2))</f>
        <v>0</v>
      </c>
      <c r="AR224" s="71"/>
      <c r="CL224" t="s">
        <v>166</v>
      </c>
      <c r="CM224" t="s">
        <v>167</v>
      </c>
      <c r="CN224" t="s">
        <v>404</v>
      </c>
      <c r="CO224" t="s">
        <v>169</v>
      </c>
      <c r="CP224" s="35">
        <v>43646</v>
      </c>
      <c r="CQ224" t="s">
        <v>3322</v>
      </c>
      <c r="CR224" t="s">
        <v>174</v>
      </c>
      <c r="CS224" t="s">
        <v>174</v>
      </c>
      <c r="CT224" s="49">
        <v>0</v>
      </c>
      <c r="CU224">
        <v>0</v>
      </c>
      <c r="CV224">
        <v>0</v>
      </c>
      <c r="CW224" s="70">
        <v>0</v>
      </c>
      <c r="CX224">
        <v>7.1</v>
      </c>
      <c r="CY224">
        <v>0</v>
      </c>
      <c r="CZ224">
        <v>14200000000</v>
      </c>
      <c r="DA224">
        <v>15577308784.722237</v>
      </c>
      <c r="DB224">
        <v>-6536265804.6527367</v>
      </c>
      <c r="DC224">
        <v>0</v>
      </c>
      <c r="DD224">
        <v>0</v>
      </c>
      <c r="DE224">
        <v>0</v>
      </c>
      <c r="DF224">
        <v>0</v>
      </c>
      <c r="DG224">
        <v>0</v>
      </c>
      <c r="DH224">
        <v>0</v>
      </c>
      <c r="DI224">
        <v>0</v>
      </c>
      <c r="DJ224" s="500">
        <v>1506500000</v>
      </c>
      <c r="DK224" s="500">
        <v>0</v>
      </c>
      <c r="DL224" s="37">
        <v>1506500000</v>
      </c>
      <c r="DM224" s="37">
        <v>1506500000</v>
      </c>
      <c r="DN224" s="37">
        <v>1506500000</v>
      </c>
      <c r="DO224" s="37">
        <v>1506500000</v>
      </c>
      <c r="DP224" s="32">
        <f>Tradingbook_SBV[[#This Row],[Mat. Date]]-RPT</f>
        <v>-2606</v>
      </c>
      <c r="DQ224" s="32">
        <f>IF(Tradingbook_SBV[[#This Row],[Days]]&lt;=0,0,YEARFRAC(RPT,Tradingbook_SBV[[#This Row],[Mat. Date]],3))</f>
        <v>0</v>
      </c>
      <c r="DR224" s="32">
        <f>IF(Tradingbook_SBV[[#This Row],[Days (year)]]=0,0,INDEX(Ref!$K$2:$K$13,MATCH(Tradingbook_SBV[[#This Row],[Days (year)]],Ref!$I$2:$I$13,1)))</f>
        <v>0</v>
      </c>
      <c r="DS224" s="32" t="str">
        <f>VLOOKUP(Tradingbook_SBV[[#This Row],[Security Name]],Ref!X:Z,3,0)</f>
        <v>TPCP</v>
      </c>
      <c r="DT224" s="32" t="str">
        <f>VLOOKUP(Tradingbook_SBV[[#This Row],[Security Name]],Ref!X:Y,2,0)</f>
        <v>KBNN</v>
      </c>
      <c r="DU224" s="71">
        <f>IF((Tradingbook_SBV[[#This Row],[Mat. Date]]-RPT)&lt;=0,0,Tradingbook_SBV[[#This Row],[QUANTITY]])</f>
        <v>0</v>
      </c>
      <c r="DV224" s="71">
        <f>IF(Tradingbook_SBV[[#This Row],[Quantity_edited]]=0,0,Tradingbook_SBV[[#This Row],[DURATION]])</f>
        <v>0</v>
      </c>
      <c r="DW224" s="71">
        <f>IF(Tradingbook_SBV[[#This Row],[Quantity_edited]]=0,0,Tradingbook_SBV[[#This Row],[Mod Dur]])</f>
        <v>0</v>
      </c>
      <c r="DX224" s="71">
        <f>IF(Tradingbook_SBV[[#This Row],[Quantity_edited]]=0,0,Tradingbook_SBV[[#This Row],[Cnvx.]])</f>
        <v>0</v>
      </c>
      <c r="DY224" s="71">
        <f>(Tradingbook_SBV[[#This Row],[MARKET_VALUE]]+Tradingbook_SBV[[#This Row],[Accr Int]]*Tradingbook_SBV[[#This Row],[Quantity_edited]])*(-Tradingbook_SBV[[#This Row],[Modified Duration]]*0.0001+0.5*Tradingbook_SBV[[#This Row],[Conv]]*(0.0001^2))</f>
        <v>0</v>
      </c>
      <c r="DZ224" s="71">
        <f>(Tradingbook_SBV[[#This Row],[MARKET_VALUE]]+Tradingbook_SBV[[#This Row],[Accr Int]]*Tradingbook_SBV[[#This Row],[Quantity_edited]])*(-Tradingbook_SBV[[#This Row],[Modified Duration]]*0.01+0.5*Tradingbook_SBV[[#This Row],[Conv]]*(0.01^2))</f>
        <v>0</v>
      </c>
      <c r="EC224" t="s">
        <v>166</v>
      </c>
      <c r="ED224" t="s">
        <v>3300</v>
      </c>
      <c r="EE224" t="s">
        <v>632</v>
      </c>
      <c r="EF224" t="s">
        <v>169</v>
      </c>
      <c r="EG224" s="35" t="s">
        <v>633</v>
      </c>
      <c r="EH224" t="s">
        <v>170</v>
      </c>
      <c r="EI224" s="500">
        <v>92963</v>
      </c>
      <c r="EJ224" s="500">
        <v>92963</v>
      </c>
      <c r="EK224" s="500">
        <v>1000000</v>
      </c>
      <c r="EL224" s="500">
        <v>100000000000</v>
      </c>
      <c r="EM224" s="500">
        <v>99567.5</v>
      </c>
      <c r="EN224" s="500">
        <v>92963000000</v>
      </c>
      <c r="EO224">
        <v>2.7</v>
      </c>
      <c r="EP224">
        <v>1953</v>
      </c>
      <c r="EQ224">
        <v>13500000000</v>
      </c>
      <c r="ER224">
        <v>14877761124.999973</v>
      </c>
      <c r="ES224">
        <v>-16020763691.24979</v>
      </c>
      <c r="ET224">
        <v>4.5442897530000002</v>
      </c>
      <c r="EU224">
        <v>3.8334734394144001</v>
      </c>
      <c r="EV224">
        <v>4.0076775800000002</v>
      </c>
      <c r="EW224">
        <v>19.045390130641302</v>
      </c>
      <c r="EX224">
        <v>18077.122496399501</v>
      </c>
      <c r="EY224">
        <v>-36385.796497545001</v>
      </c>
      <c r="EZ224">
        <v>11557.213</v>
      </c>
      <c r="FA224">
        <v>500000</v>
      </c>
      <c r="FB224">
        <v>-6604500000</v>
      </c>
      <c r="FC224">
        <v>-6604000000</v>
      </c>
      <c r="FD224">
        <v>-6604000000</v>
      </c>
      <c r="FE224">
        <v>-6604000000</v>
      </c>
      <c r="FF224">
        <v>-6604000000</v>
      </c>
      <c r="FG224" s="32">
        <f>Bankingbook_SBV[[#This Row],[Mat. Date]]-RPT</f>
        <v>1562</v>
      </c>
      <c r="FH224" s="32">
        <f>IF(Bankingbook_SBV[[#This Row],[Days]]&lt;=0,0,YEARFRAC(RPT,Bankingbook_SBV[[#This Row],[Mat. Date]],3))</f>
        <v>4.279452054794521</v>
      </c>
      <c r="FI224" s="32" t="str">
        <f>IF(Bankingbook_SBV[[#This Row],[Days (year)]]=0,0,INDEX(Ref!$K$2:$K$13,MATCH(Bankingbook_SBV[[#This Row],[Days (year)]],Ref!$I$2:$I$13,1)))</f>
        <v>4Y</v>
      </c>
      <c r="FJ224" s="32" t="str">
        <f>VLOOKUP(Bankingbook_SBV[[#This Row],[Security Name]],Ref!X:Z,3,0)</f>
        <v>TPCPBL</v>
      </c>
      <c r="FK224" s="32" t="str">
        <f>VLOOKUP(Bankingbook_SBV[[#This Row],[Security Name]],Ref!X:Y,2,0)</f>
        <v>VBS</v>
      </c>
      <c r="FL224" s="72">
        <f>IF((Bankingbook_SBV[[#This Row],[Mat. Date]]-RPT)&lt;=0,0,Bankingbook_SBV[[#This Row],[QUANTITY]])</f>
        <v>1000000</v>
      </c>
      <c r="FM224" s="32">
        <f>IF(Bankingbook_SBV[[#This Row],[Quantity_edited]]=0,0,Bankingbook_SBV[[#This Row],[DURATION]])</f>
        <v>4.0076775800000002</v>
      </c>
      <c r="FN224" s="32">
        <f>IF(Bankingbook_SBV[[#This Row],[Quantity_edited]]=0,0,Bankingbook_SBV[[#This Row],[Mod Dur]])</f>
        <v>3.8334734394144001</v>
      </c>
      <c r="FO224" s="32">
        <f>IF(Bankingbook_SBV[[#This Row],[Quantity_edited]]=0,0,Bankingbook_SBV[[#This Row],[Cnvx.]])</f>
        <v>19.045390130641302</v>
      </c>
      <c r="FP224" s="32">
        <f>(Bankingbook_SBV[[#This Row],[MARKET_VALUE]]+Bankingbook_SBV[[#This Row],[Accr Int]]*Bankingbook_SBV[[#This Row],[Quantity_edited]])*(-Bankingbook_SBV[[#This Row],[Modified Duration]]*0.0001+0.5*Bankingbook_SBV[[#This Row],[Conv]]*(0.0001^2))</f>
        <v>-36376757.936297521</v>
      </c>
      <c r="FQ224" s="32">
        <f>(Bankingbook_SBV[[#This Row],[MARKET_VALUE]]+Bankingbook_SBV[[#This Row],[Accr Int]]*Bankingbook_SBV[[#This Row],[Quantity_edited]])*(-Bankingbook_SBV[[#This Row],[Modified Duration]]*0.01+0.5*Bankingbook_SBV[[#This Row],[Conv]]*(0.01^2))</f>
        <v>-3548194037.2725749</v>
      </c>
    </row>
    <row r="225" spans="2:173" x14ac:dyDescent="0.3">
      <c r="B225" t="s">
        <v>166</v>
      </c>
      <c r="C225" t="s">
        <v>167</v>
      </c>
      <c r="D225" t="s">
        <v>405</v>
      </c>
      <c r="E225" t="s">
        <v>169</v>
      </c>
      <c r="F225" s="502">
        <v>43661</v>
      </c>
      <c r="G225" t="s">
        <v>3322</v>
      </c>
      <c r="H225"/>
      <c r="I225"/>
      <c r="J225" s="38">
        <v>0</v>
      </c>
      <c r="K225">
        <v>0</v>
      </c>
      <c r="L225">
        <v>0</v>
      </c>
      <c r="M225" s="38">
        <v>0</v>
      </c>
      <c r="N225">
        <v>6.9</v>
      </c>
      <c r="O225">
        <v>0</v>
      </c>
      <c r="P225" s="37">
        <v>20700000000</v>
      </c>
      <c r="Q225" s="37">
        <v>22262641562.499992</v>
      </c>
      <c r="R225" s="37">
        <v>-10461630637.569235</v>
      </c>
      <c r="S225">
        <v>0</v>
      </c>
      <c r="T225" s="70">
        <v>0</v>
      </c>
      <c r="U225">
        <v>0</v>
      </c>
      <c r="V225">
        <v>0</v>
      </c>
      <c r="W225">
        <v>0</v>
      </c>
      <c r="X225" s="38">
        <v>0</v>
      </c>
      <c r="Y225">
        <v>0</v>
      </c>
      <c r="Z225" s="70">
        <v>26042200000</v>
      </c>
      <c r="AA225" s="70">
        <v>0</v>
      </c>
      <c r="AB225" s="70">
        <v>26042200000</v>
      </c>
      <c r="AC225" s="70">
        <v>26042200000</v>
      </c>
      <c r="AD225" s="70">
        <v>26042200000</v>
      </c>
      <c r="AE225" s="70">
        <v>26042200000</v>
      </c>
      <c r="AF225">
        <v>0</v>
      </c>
      <c r="AG225" s="72">
        <f>Tradingbook_MSB[[#This Row],[Mat. Date]]-RPT</f>
        <v>-2591</v>
      </c>
      <c r="AH225" s="71">
        <f>IF(Tradingbook_MSB[[#This Row],[Days]]&lt;=0,0,YEARFRAC(RPT,Tradingbook_MSB[[#This Row],[Mat. Date]],3))</f>
        <v>0</v>
      </c>
      <c r="AI225" s="71">
        <f>IF(Tradingbook_MSB[[#This Row],[Days (year)]]=0,0,INDEX(Ref!$K$2:$K$13,MATCH(Tradingbook_MSB[[#This Row],[Days (year)]],Ref!$I$2:$I$13,1)))</f>
        <v>0</v>
      </c>
      <c r="AJ225" s="120" t="str">
        <f>VLOOKUP(Tradingbook_MSB[[#This Row],[Security Name]],Ref!X:Z,3,0)</f>
        <v>TPCP</v>
      </c>
      <c r="AK225" s="120" t="str">
        <f>VLOOKUP(Tradingbook_MSB[[#This Row],[Security Name]],Ref!X:Y,2,0)</f>
        <v>KBNN</v>
      </c>
      <c r="AL225" s="71">
        <f>IF((Tradingbook_MSB[[#This Row],[Mat. Date]]-RPT)&lt;=0,0,Tradingbook_MSB[[#This Row],[QUANTITY]])</f>
        <v>0</v>
      </c>
      <c r="AM225" s="71">
        <f>IF(Tradingbook_MSB[[#This Row],[Quantity_edited]]=0,0,Tradingbook_MSB[[#This Row],[DURATION]])</f>
        <v>0</v>
      </c>
      <c r="AN225" s="71">
        <f>IF(Tradingbook_MSB[[#This Row],[Quantity_edited]]=0,0,Tradingbook_MSB[[#This Row],[Mod Dur]])</f>
        <v>0</v>
      </c>
      <c r="AO225" s="71">
        <f>IF(Tradingbook_MSB[[#This Row],[Quantity_edited]]=0,0,Tradingbook_MSB[[#This Row],[Cnvx.]])</f>
        <v>0</v>
      </c>
      <c r="AP225" s="71">
        <f>(Tradingbook_MSB[[#This Row],[MARKET_VALUE]]+Tradingbook_MSB[[#This Row],[Accr Int]]*Tradingbook_MSB[[#This Row],[Quantity_edited]])*(-Tradingbook_MSB[[#This Row],[Modified Duration]]*0.0001+0.5*Tradingbook_MSB[[#This Row],[Conv]]*(0.0001^2))</f>
        <v>0</v>
      </c>
      <c r="AQ225" s="72">
        <f>(Tradingbook_MSB[[#This Row],[MARKET_VALUE]]+Tradingbook_MSB[[#This Row],[Accr Int]]*Tradingbook_MSB[[#This Row],[Quantity_edited]])*(-Tradingbook_MSB[[#This Row],[Modified Duration]]*0.01+0.5*Tradingbook_MSB[[#This Row],[Conv]]*(0.01^2))</f>
        <v>0</v>
      </c>
      <c r="AR225" s="71"/>
      <c r="CL225" t="s">
        <v>166</v>
      </c>
      <c r="CM225" t="s">
        <v>167</v>
      </c>
      <c r="CN225" t="s">
        <v>405</v>
      </c>
      <c r="CO225" t="s">
        <v>169</v>
      </c>
      <c r="CP225" s="35">
        <v>43661</v>
      </c>
      <c r="CQ225" t="s">
        <v>3322</v>
      </c>
      <c r="CR225" t="s">
        <v>174</v>
      </c>
      <c r="CS225" t="s">
        <v>174</v>
      </c>
      <c r="CT225" s="49">
        <v>0</v>
      </c>
      <c r="CU225">
        <v>0</v>
      </c>
      <c r="CV225">
        <v>0</v>
      </c>
      <c r="CW225" s="70">
        <v>0</v>
      </c>
      <c r="CX225">
        <v>6.9</v>
      </c>
      <c r="CY225">
        <v>0</v>
      </c>
      <c r="CZ225">
        <v>20700000000</v>
      </c>
      <c r="DA225">
        <v>22262641562.499992</v>
      </c>
      <c r="DB225">
        <v>-10461630637.569235</v>
      </c>
      <c r="DC225">
        <v>0</v>
      </c>
      <c r="DD225">
        <v>0</v>
      </c>
      <c r="DE225">
        <v>0</v>
      </c>
      <c r="DF225">
        <v>0</v>
      </c>
      <c r="DG225">
        <v>0</v>
      </c>
      <c r="DH225">
        <v>0</v>
      </c>
      <c r="DI225">
        <v>0</v>
      </c>
      <c r="DJ225" s="500">
        <v>26042200000</v>
      </c>
      <c r="DK225" s="500">
        <v>0</v>
      </c>
      <c r="DL225" s="37">
        <v>26042200000</v>
      </c>
      <c r="DM225" s="37">
        <v>26042200000</v>
      </c>
      <c r="DN225" s="37">
        <v>26042200000</v>
      </c>
      <c r="DO225" s="37">
        <v>26042200000</v>
      </c>
      <c r="DP225" s="32">
        <f>Tradingbook_SBV[[#This Row],[Mat. Date]]-RPT</f>
        <v>-2591</v>
      </c>
      <c r="DQ225" s="32">
        <f>IF(Tradingbook_SBV[[#This Row],[Days]]&lt;=0,0,YEARFRAC(RPT,Tradingbook_SBV[[#This Row],[Mat. Date]],3))</f>
        <v>0</v>
      </c>
      <c r="DR225" s="32">
        <f>IF(Tradingbook_SBV[[#This Row],[Days (year)]]=0,0,INDEX(Ref!$K$2:$K$13,MATCH(Tradingbook_SBV[[#This Row],[Days (year)]],Ref!$I$2:$I$13,1)))</f>
        <v>0</v>
      </c>
      <c r="DS225" s="32" t="str">
        <f>VLOOKUP(Tradingbook_SBV[[#This Row],[Security Name]],Ref!X:Z,3,0)</f>
        <v>TPCP</v>
      </c>
      <c r="DT225" s="32" t="str">
        <f>VLOOKUP(Tradingbook_SBV[[#This Row],[Security Name]],Ref!X:Y,2,0)</f>
        <v>KBNN</v>
      </c>
      <c r="DU225" s="71">
        <f>IF((Tradingbook_SBV[[#This Row],[Mat. Date]]-RPT)&lt;=0,0,Tradingbook_SBV[[#This Row],[QUANTITY]])</f>
        <v>0</v>
      </c>
      <c r="DV225" s="71">
        <f>IF(Tradingbook_SBV[[#This Row],[Quantity_edited]]=0,0,Tradingbook_SBV[[#This Row],[DURATION]])</f>
        <v>0</v>
      </c>
      <c r="DW225" s="71">
        <f>IF(Tradingbook_SBV[[#This Row],[Quantity_edited]]=0,0,Tradingbook_SBV[[#This Row],[Mod Dur]])</f>
        <v>0</v>
      </c>
      <c r="DX225" s="71">
        <f>IF(Tradingbook_SBV[[#This Row],[Quantity_edited]]=0,0,Tradingbook_SBV[[#This Row],[Cnvx.]])</f>
        <v>0</v>
      </c>
      <c r="DY225" s="71">
        <f>(Tradingbook_SBV[[#This Row],[MARKET_VALUE]]+Tradingbook_SBV[[#This Row],[Accr Int]]*Tradingbook_SBV[[#This Row],[Quantity_edited]])*(-Tradingbook_SBV[[#This Row],[Modified Duration]]*0.0001+0.5*Tradingbook_SBV[[#This Row],[Conv]]*(0.0001^2))</f>
        <v>0</v>
      </c>
      <c r="DZ225" s="71">
        <f>(Tradingbook_SBV[[#This Row],[MARKET_VALUE]]+Tradingbook_SBV[[#This Row],[Accr Int]]*Tradingbook_SBV[[#This Row],[Quantity_edited]])*(-Tradingbook_SBV[[#This Row],[Modified Duration]]*0.01+0.5*Tradingbook_SBV[[#This Row],[Conv]]*(0.01^2))</f>
        <v>0</v>
      </c>
      <c r="EC225" t="s">
        <v>166</v>
      </c>
      <c r="ED225" t="s">
        <v>3300</v>
      </c>
      <c r="EE225" t="s">
        <v>635</v>
      </c>
      <c r="EF225" t="s">
        <v>169</v>
      </c>
      <c r="EG225" s="35" t="s">
        <v>3808</v>
      </c>
      <c r="EH225" t="s">
        <v>3322</v>
      </c>
      <c r="EI225" s="500">
        <v>93129</v>
      </c>
      <c r="EJ225" s="500">
        <v>93129</v>
      </c>
      <c r="EK225" s="500">
        <v>0</v>
      </c>
      <c r="EL225" s="500">
        <v>0</v>
      </c>
      <c r="EM225" s="500">
        <v>0</v>
      </c>
      <c r="EN225" s="500">
        <v>0</v>
      </c>
      <c r="EO225">
        <v>2.2999999999999998</v>
      </c>
      <c r="EP225">
        <v>1538</v>
      </c>
      <c r="EQ225">
        <v>2300000000</v>
      </c>
      <c r="ER225">
        <v>2653232722.2222099</v>
      </c>
      <c r="ES225">
        <v>-4608811246.7081623</v>
      </c>
      <c r="ET225">
        <v>4.0589890180000001</v>
      </c>
      <c r="EU225">
        <v>3.9409428213525</v>
      </c>
      <c r="EV225">
        <v>4.1009052600000002</v>
      </c>
      <c r="EW225">
        <v>19.916398690445099</v>
      </c>
      <c r="EX225">
        <v>0</v>
      </c>
      <c r="EY225">
        <v>0</v>
      </c>
      <c r="EZ225">
        <v>0</v>
      </c>
      <c r="FA225">
        <v>-17727900000</v>
      </c>
      <c r="FB225">
        <v>0</v>
      </c>
      <c r="FC225">
        <v>-17727900000</v>
      </c>
      <c r="FD225">
        <v>-17727900000</v>
      </c>
      <c r="FE225">
        <v>-17727900000</v>
      </c>
      <c r="FF225">
        <v>-17727900000</v>
      </c>
      <c r="FG225" s="32">
        <f>Bankingbook_SBV[[#This Row],[Mat. Date]]-RPT</f>
        <v>1582</v>
      </c>
      <c r="FH225" s="32">
        <f>IF(Bankingbook_SBV[[#This Row],[Days]]&lt;=0,0,YEARFRAC(RPT,Bankingbook_SBV[[#This Row],[Mat. Date]],3))</f>
        <v>4.3342465753424655</v>
      </c>
      <c r="FI225" s="32" t="str">
        <f>IF(Bankingbook_SBV[[#This Row],[Days (year)]]=0,0,INDEX(Ref!$K$2:$K$13,MATCH(Bankingbook_SBV[[#This Row],[Days (year)]],Ref!$I$2:$I$13,1)))</f>
        <v>4Y</v>
      </c>
      <c r="FJ225" s="32" t="str">
        <f>VLOOKUP(Bankingbook_SBV[[#This Row],[Security Name]],Ref!X:Z,3,0)</f>
        <v>TPCP</v>
      </c>
      <c r="FK225" s="32" t="str">
        <f>VLOOKUP(Bankingbook_SBV[[#This Row],[Security Name]],Ref!X:Y,2,0)</f>
        <v>KBNN</v>
      </c>
      <c r="FL225" s="72">
        <f>IF((Bankingbook_SBV[[#This Row],[Mat. Date]]-RPT)&lt;=0,0,Bankingbook_SBV[[#This Row],[QUANTITY]])</f>
        <v>0</v>
      </c>
      <c r="FM225" s="32">
        <f>IF(Bankingbook_SBV[[#This Row],[Quantity_edited]]=0,0,Bankingbook_SBV[[#This Row],[DURATION]])</f>
        <v>0</v>
      </c>
      <c r="FN225" s="32">
        <f>IF(Bankingbook_SBV[[#This Row],[Quantity_edited]]=0,0,Bankingbook_SBV[[#This Row],[Mod Dur]])</f>
        <v>0</v>
      </c>
      <c r="FO225" s="32">
        <f>IF(Bankingbook_SBV[[#This Row],[Quantity_edited]]=0,0,Bankingbook_SBV[[#This Row],[Cnvx.]])</f>
        <v>0</v>
      </c>
      <c r="FP225" s="32">
        <f>(Bankingbook_SBV[[#This Row],[MARKET_VALUE]]+Bankingbook_SBV[[#This Row],[Accr Int]]*Bankingbook_SBV[[#This Row],[Quantity_edited]])*(-Bankingbook_SBV[[#This Row],[Modified Duration]]*0.0001+0.5*Bankingbook_SBV[[#This Row],[Conv]]*(0.0001^2))</f>
        <v>0</v>
      </c>
      <c r="FQ225" s="32">
        <f>(Bankingbook_SBV[[#This Row],[MARKET_VALUE]]+Bankingbook_SBV[[#This Row],[Accr Int]]*Bankingbook_SBV[[#This Row],[Quantity_edited]])*(-Bankingbook_SBV[[#This Row],[Modified Duration]]*0.01+0.5*Bankingbook_SBV[[#This Row],[Conv]]*(0.01^2))</f>
        <v>0</v>
      </c>
    </row>
    <row r="226" spans="2:173" x14ac:dyDescent="0.3">
      <c r="B226" t="s">
        <v>166</v>
      </c>
      <c r="C226" t="s">
        <v>167</v>
      </c>
      <c r="D226" t="s">
        <v>406</v>
      </c>
      <c r="E226" t="s">
        <v>169</v>
      </c>
      <c r="F226" s="502">
        <v>43667</v>
      </c>
      <c r="G226" t="s">
        <v>3322</v>
      </c>
      <c r="H226"/>
      <c r="I226"/>
      <c r="J226" s="38">
        <v>0</v>
      </c>
      <c r="K226">
        <v>0</v>
      </c>
      <c r="L226">
        <v>0</v>
      </c>
      <c r="M226" s="38">
        <v>0</v>
      </c>
      <c r="N226">
        <v>9.3000000000000007</v>
      </c>
      <c r="O226">
        <v>0</v>
      </c>
      <c r="P226" s="37">
        <v>0</v>
      </c>
      <c r="Q226" s="37">
        <v>-3.1000000000000001E-5</v>
      </c>
      <c r="R226" s="37">
        <v>-1431105187.4999428</v>
      </c>
      <c r="S226">
        <v>0</v>
      </c>
      <c r="T226" s="70">
        <v>0</v>
      </c>
      <c r="U226">
        <v>0</v>
      </c>
      <c r="V226">
        <v>0</v>
      </c>
      <c r="W226">
        <v>0</v>
      </c>
      <c r="X226" s="38">
        <v>0</v>
      </c>
      <c r="Y226">
        <v>0</v>
      </c>
      <c r="Z226" s="70">
        <v>2254000000</v>
      </c>
      <c r="AA226" s="70">
        <v>0</v>
      </c>
      <c r="AB226" s="70">
        <v>2254000000</v>
      </c>
      <c r="AC226" s="70">
        <v>2254000000</v>
      </c>
      <c r="AD226" s="70">
        <v>2254000000</v>
      </c>
      <c r="AE226" s="70">
        <v>2254000000</v>
      </c>
      <c r="AF226">
        <v>0</v>
      </c>
      <c r="AG226" s="72">
        <f>Tradingbook_MSB[[#This Row],[Mat. Date]]-RPT</f>
        <v>-2585</v>
      </c>
      <c r="AH226" s="71">
        <f>IF(Tradingbook_MSB[[#This Row],[Days]]&lt;=0,0,YEARFRAC(RPT,Tradingbook_MSB[[#This Row],[Mat. Date]],3))</f>
        <v>0</v>
      </c>
      <c r="AI226" s="71">
        <f>IF(Tradingbook_MSB[[#This Row],[Days (year)]]=0,0,INDEX(Ref!$K$2:$K$13,MATCH(Tradingbook_MSB[[#This Row],[Days (year)]],Ref!$I$2:$I$13,1)))</f>
        <v>0</v>
      </c>
      <c r="AJ226" s="120" t="str">
        <f>VLOOKUP(Tradingbook_MSB[[#This Row],[Security Name]],Ref!X:Z,3,0)</f>
        <v>TPCP</v>
      </c>
      <c r="AK226" s="120" t="str">
        <f>VLOOKUP(Tradingbook_MSB[[#This Row],[Security Name]],Ref!X:Y,2,0)</f>
        <v>VDB</v>
      </c>
      <c r="AL226" s="71">
        <f>IF((Tradingbook_MSB[[#This Row],[Mat. Date]]-RPT)&lt;=0,0,Tradingbook_MSB[[#This Row],[QUANTITY]])</f>
        <v>0</v>
      </c>
      <c r="AM226" s="71">
        <f>IF(Tradingbook_MSB[[#This Row],[Quantity_edited]]=0,0,Tradingbook_MSB[[#This Row],[DURATION]])</f>
        <v>0</v>
      </c>
      <c r="AN226" s="71">
        <f>IF(Tradingbook_MSB[[#This Row],[Quantity_edited]]=0,0,Tradingbook_MSB[[#This Row],[Mod Dur]])</f>
        <v>0</v>
      </c>
      <c r="AO226" s="71">
        <f>IF(Tradingbook_MSB[[#This Row],[Quantity_edited]]=0,0,Tradingbook_MSB[[#This Row],[Cnvx.]])</f>
        <v>0</v>
      </c>
      <c r="AP226" s="71">
        <f>(Tradingbook_MSB[[#This Row],[MARKET_VALUE]]+Tradingbook_MSB[[#This Row],[Accr Int]]*Tradingbook_MSB[[#This Row],[Quantity_edited]])*(-Tradingbook_MSB[[#This Row],[Modified Duration]]*0.0001+0.5*Tradingbook_MSB[[#This Row],[Conv]]*(0.0001^2))</f>
        <v>0</v>
      </c>
      <c r="AQ226" s="72">
        <f>(Tradingbook_MSB[[#This Row],[MARKET_VALUE]]+Tradingbook_MSB[[#This Row],[Accr Int]]*Tradingbook_MSB[[#This Row],[Quantity_edited]])*(-Tradingbook_MSB[[#This Row],[Modified Duration]]*0.01+0.5*Tradingbook_MSB[[#This Row],[Conv]]*(0.01^2))</f>
        <v>0</v>
      </c>
      <c r="AR226" s="71"/>
      <c r="CL226" t="s">
        <v>166</v>
      </c>
      <c r="CM226" t="s">
        <v>167</v>
      </c>
      <c r="CN226" t="s">
        <v>406</v>
      </c>
      <c r="CO226" t="s">
        <v>169</v>
      </c>
      <c r="CP226" s="35">
        <v>43667</v>
      </c>
      <c r="CQ226" t="s">
        <v>3322</v>
      </c>
      <c r="CR226" t="s">
        <v>174</v>
      </c>
      <c r="CS226" t="s">
        <v>174</v>
      </c>
      <c r="CT226" s="49">
        <v>0</v>
      </c>
      <c r="CU226">
        <v>0</v>
      </c>
      <c r="CV226">
        <v>0</v>
      </c>
      <c r="CW226" s="70">
        <v>0</v>
      </c>
      <c r="CX226">
        <v>9.3000000000000007</v>
      </c>
      <c r="CY226">
        <v>0</v>
      </c>
      <c r="CZ226">
        <v>0</v>
      </c>
      <c r="DA226">
        <v>-3.1000000000000001E-5</v>
      </c>
      <c r="DB226">
        <v>-1431105187.4999428</v>
      </c>
      <c r="DC226">
        <v>0</v>
      </c>
      <c r="DD226">
        <v>0</v>
      </c>
      <c r="DE226">
        <v>0</v>
      </c>
      <c r="DF226">
        <v>0</v>
      </c>
      <c r="DG226">
        <v>0</v>
      </c>
      <c r="DH226">
        <v>0</v>
      </c>
      <c r="DI226">
        <v>0</v>
      </c>
      <c r="DJ226" s="500">
        <v>2254000000</v>
      </c>
      <c r="DK226" s="500">
        <v>0</v>
      </c>
      <c r="DL226" s="37">
        <v>2254000000</v>
      </c>
      <c r="DM226" s="37">
        <v>2254000000</v>
      </c>
      <c r="DN226" s="37">
        <v>2254000000</v>
      </c>
      <c r="DO226" s="37">
        <v>2254000000</v>
      </c>
      <c r="DP226" s="32">
        <f>Tradingbook_SBV[[#This Row],[Mat. Date]]-RPT</f>
        <v>-2585</v>
      </c>
      <c r="DQ226" s="32">
        <f>IF(Tradingbook_SBV[[#This Row],[Days]]&lt;=0,0,YEARFRAC(RPT,Tradingbook_SBV[[#This Row],[Mat. Date]],3))</f>
        <v>0</v>
      </c>
      <c r="DR226" s="32">
        <f>IF(Tradingbook_SBV[[#This Row],[Days (year)]]=0,0,INDEX(Ref!$K$2:$K$13,MATCH(Tradingbook_SBV[[#This Row],[Days (year)]],Ref!$I$2:$I$13,1)))</f>
        <v>0</v>
      </c>
      <c r="DS226" s="32" t="str">
        <f>VLOOKUP(Tradingbook_SBV[[#This Row],[Security Name]],Ref!X:Z,3,0)</f>
        <v>TPCP</v>
      </c>
      <c r="DT226" s="32" t="str">
        <f>VLOOKUP(Tradingbook_SBV[[#This Row],[Security Name]],Ref!X:Y,2,0)</f>
        <v>VDB</v>
      </c>
      <c r="DU226" s="71">
        <f>IF((Tradingbook_SBV[[#This Row],[Mat. Date]]-RPT)&lt;=0,0,Tradingbook_SBV[[#This Row],[QUANTITY]])</f>
        <v>0</v>
      </c>
      <c r="DV226" s="71">
        <f>IF(Tradingbook_SBV[[#This Row],[Quantity_edited]]=0,0,Tradingbook_SBV[[#This Row],[DURATION]])</f>
        <v>0</v>
      </c>
      <c r="DW226" s="71">
        <f>IF(Tradingbook_SBV[[#This Row],[Quantity_edited]]=0,0,Tradingbook_SBV[[#This Row],[Mod Dur]])</f>
        <v>0</v>
      </c>
      <c r="DX226" s="71">
        <f>IF(Tradingbook_SBV[[#This Row],[Quantity_edited]]=0,0,Tradingbook_SBV[[#This Row],[Cnvx.]])</f>
        <v>0</v>
      </c>
      <c r="DY226" s="71">
        <f>(Tradingbook_SBV[[#This Row],[MARKET_VALUE]]+Tradingbook_SBV[[#This Row],[Accr Int]]*Tradingbook_SBV[[#This Row],[Quantity_edited]])*(-Tradingbook_SBV[[#This Row],[Modified Duration]]*0.0001+0.5*Tradingbook_SBV[[#This Row],[Conv]]*(0.0001^2))</f>
        <v>0</v>
      </c>
      <c r="DZ226" s="71">
        <f>(Tradingbook_SBV[[#This Row],[MARKET_VALUE]]+Tradingbook_SBV[[#This Row],[Accr Int]]*Tradingbook_SBV[[#This Row],[Quantity_edited]])*(-Tradingbook_SBV[[#This Row],[Modified Duration]]*0.01+0.5*Tradingbook_SBV[[#This Row],[Conv]]*(0.01^2))</f>
        <v>0</v>
      </c>
      <c r="EC226" t="s">
        <v>166</v>
      </c>
      <c r="ED226" t="s">
        <v>3300</v>
      </c>
      <c r="EE226" t="s">
        <v>615</v>
      </c>
      <c r="EF226" t="s">
        <v>169</v>
      </c>
      <c r="EG226" s="35" t="s">
        <v>3809</v>
      </c>
      <c r="EH226" t="s">
        <v>3322</v>
      </c>
      <c r="EI226" s="500">
        <v>113876</v>
      </c>
      <c r="EJ226" s="500">
        <v>113876</v>
      </c>
      <c r="EK226" s="500">
        <v>0</v>
      </c>
      <c r="EL226" s="500">
        <v>0</v>
      </c>
      <c r="EM226" s="500">
        <v>0</v>
      </c>
      <c r="EN226" s="500">
        <v>0</v>
      </c>
      <c r="EO226">
        <v>7.6</v>
      </c>
      <c r="EP226">
        <v>4643</v>
      </c>
      <c r="EQ226">
        <v>7600000000</v>
      </c>
      <c r="ER226">
        <v>8791507944.4444885</v>
      </c>
      <c r="ES226">
        <v>-69515737279.716354</v>
      </c>
      <c r="ET226">
        <v>4.0744868490000004</v>
      </c>
      <c r="EU226">
        <v>3.6338563326200002</v>
      </c>
      <c r="EV226">
        <v>3.7819173300000002</v>
      </c>
      <c r="EW226">
        <v>18.059863589655201</v>
      </c>
      <c r="EX226">
        <v>0</v>
      </c>
      <c r="EY226">
        <v>0</v>
      </c>
      <c r="EZ226">
        <v>0</v>
      </c>
      <c r="FA226">
        <v>-43595660000</v>
      </c>
      <c r="FB226">
        <v>0</v>
      </c>
      <c r="FC226">
        <v>-43595660000</v>
      </c>
      <c r="FD226">
        <v>-43595660000</v>
      </c>
      <c r="FE226">
        <v>-43595660000</v>
      </c>
      <c r="FF226">
        <v>-43595660000</v>
      </c>
      <c r="FG226" s="32">
        <f>Bankingbook_SBV[[#This Row],[Mat. Date]]-RPT</f>
        <v>1603</v>
      </c>
      <c r="FH226" s="32">
        <f>IF(Bankingbook_SBV[[#This Row],[Days]]&lt;=0,0,YEARFRAC(RPT,Bankingbook_SBV[[#This Row],[Mat. Date]],3))</f>
        <v>4.3917808219178083</v>
      </c>
      <c r="FI226" s="32" t="str">
        <f>IF(Bankingbook_SBV[[#This Row],[Days (year)]]=0,0,INDEX(Ref!$K$2:$K$13,MATCH(Bankingbook_SBV[[#This Row],[Days (year)]],Ref!$I$2:$I$13,1)))</f>
        <v>4Y</v>
      </c>
      <c r="FJ226" s="32" t="str">
        <f>VLOOKUP(Bankingbook_SBV[[#This Row],[Security Name]],Ref!X:Z,3,0)</f>
        <v>TPCP</v>
      </c>
      <c r="FK226" s="32" t="str">
        <f>VLOOKUP(Bankingbook_SBV[[#This Row],[Security Name]],Ref!X:Y,2,0)</f>
        <v>KBNN</v>
      </c>
      <c r="FL226" s="72">
        <f>IF((Bankingbook_SBV[[#This Row],[Mat. Date]]-RPT)&lt;=0,0,Bankingbook_SBV[[#This Row],[QUANTITY]])</f>
        <v>0</v>
      </c>
      <c r="FM226" s="32">
        <f>IF(Bankingbook_SBV[[#This Row],[Quantity_edited]]=0,0,Bankingbook_SBV[[#This Row],[DURATION]])</f>
        <v>0</v>
      </c>
      <c r="FN226" s="32">
        <f>IF(Bankingbook_SBV[[#This Row],[Quantity_edited]]=0,0,Bankingbook_SBV[[#This Row],[Mod Dur]])</f>
        <v>0</v>
      </c>
      <c r="FO226" s="32">
        <f>IF(Bankingbook_SBV[[#This Row],[Quantity_edited]]=0,0,Bankingbook_SBV[[#This Row],[Cnvx.]])</f>
        <v>0</v>
      </c>
      <c r="FP226" s="32">
        <f>(Bankingbook_SBV[[#This Row],[MARKET_VALUE]]+Bankingbook_SBV[[#This Row],[Accr Int]]*Bankingbook_SBV[[#This Row],[Quantity_edited]])*(-Bankingbook_SBV[[#This Row],[Modified Duration]]*0.0001+0.5*Bankingbook_SBV[[#This Row],[Conv]]*(0.0001^2))</f>
        <v>0</v>
      </c>
      <c r="FQ226" s="32">
        <f>(Bankingbook_SBV[[#This Row],[MARKET_VALUE]]+Bankingbook_SBV[[#This Row],[Accr Int]]*Bankingbook_SBV[[#This Row],[Quantity_edited]])*(-Bankingbook_SBV[[#This Row],[Modified Duration]]*0.01+0.5*Bankingbook_SBV[[#This Row],[Conv]]*(0.01^2))</f>
        <v>0</v>
      </c>
    </row>
    <row r="227" spans="2:173" x14ac:dyDescent="0.3">
      <c r="B227" t="s">
        <v>166</v>
      </c>
      <c r="C227" t="s">
        <v>167</v>
      </c>
      <c r="D227" t="s">
        <v>407</v>
      </c>
      <c r="E227" t="s">
        <v>169</v>
      </c>
      <c r="F227" s="502">
        <v>43676</v>
      </c>
      <c r="G227" t="s">
        <v>3322</v>
      </c>
      <c r="H227"/>
      <c r="I227"/>
      <c r="J227" s="38">
        <v>0</v>
      </c>
      <c r="K227">
        <v>0</v>
      </c>
      <c r="L227">
        <v>0</v>
      </c>
      <c r="M227" s="38">
        <v>0</v>
      </c>
      <c r="N227">
        <v>9</v>
      </c>
      <c r="O227">
        <v>0</v>
      </c>
      <c r="P227" s="37">
        <v>0</v>
      </c>
      <c r="Q227" s="37">
        <v>-1.1E-5</v>
      </c>
      <c r="R227" s="37">
        <v>-276740671.31942177</v>
      </c>
      <c r="S227">
        <v>0</v>
      </c>
      <c r="T227" s="70">
        <v>0</v>
      </c>
      <c r="U227">
        <v>0</v>
      </c>
      <c r="V227">
        <v>0</v>
      </c>
      <c r="W227">
        <v>0</v>
      </c>
      <c r="X227" s="38">
        <v>0</v>
      </c>
      <c r="Y227">
        <v>0</v>
      </c>
      <c r="Z227" s="70">
        <v>-243000000</v>
      </c>
      <c r="AA227" s="70">
        <v>0</v>
      </c>
      <c r="AB227" s="70">
        <v>-243000000</v>
      </c>
      <c r="AC227" s="70">
        <v>-243000000</v>
      </c>
      <c r="AD227" s="70">
        <v>-243000000</v>
      </c>
      <c r="AE227" s="70">
        <v>-243000000</v>
      </c>
      <c r="AF227">
        <v>0</v>
      </c>
      <c r="AG227" s="72">
        <f>Tradingbook_MSB[[#This Row],[Mat. Date]]-RPT</f>
        <v>-2576</v>
      </c>
      <c r="AH227" s="71">
        <f>IF(Tradingbook_MSB[[#This Row],[Days]]&lt;=0,0,YEARFRAC(RPT,Tradingbook_MSB[[#This Row],[Mat. Date]],3))</f>
        <v>0</v>
      </c>
      <c r="AI227" s="71">
        <f>IF(Tradingbook_MSB[[#This Row],[Days (year)]]=0,0,INDEX(Ref!$K$2:$K$13,MATCH(Tradingbook_MSB[[#This Row],[Days (year)]],Ref!$I$2:$I$13,1)))</f>
        <v>0</v>
      </c>
      <c r="AJ227" s="120" t="str">
        <f>VLOOKUP(Tradingbook_MSB[[#This Row],[Security Name]],Ref!X:Z,3,0)</f>
        <v>TPCP</v>
      </c>
      <c r="AK227" s="120" t="str">
        <f>VLOOKUP(Tradingbook_MSB[[#This Row],[Security Name]],Ref!X:Y,2,0)</f>
        <v>VDB</v>
      </c>
      <c r="AL227" s="71">
        <f>IF((Tradingbook_MSB[[#This Row],[Mat. Date]]-RPT)&lt;=0,0,Tradingbook_MSB[[#This Row],[QUANTITY]])</f>
        <v>0</v>
      </c>
      <c r="AM227" s="71">
        <f>IF(Tradingbook_MSB[[#This Row],[Quantity_edited]]=0,0,Tradingbook_MSB[[#This Row],[DURATION]])</f>
        <v>0</v>
      </c>
      <c r="AN227" s="71">
        <f>IF(Tradingbook_MSB[[#This Row],[Quantity_edited]]=0,0,Tradingbook_MSB[[#This Row],[Mod Dur]])</f>
        <v>0</v>
      </c>
      <c r="AO227" s="71">
        <f>IF(Tradingbook_MSB[[#This Row],[Quantity_edited]]=0,0,Tradingbook_MSB[[#This Row],[Cnvx.]])</f>
        <v>0</v>
      </c>
      <c r="AP227" s="71">
        <f>(Tradingbook_MSB[[#This Row],[MARKET_VALUE]]+Tradingbook_MSB[[#This Row],[Accr Int]]*Tradingbook_MSB[[#This Row],[Quantity_edited]])*(-Tradingbook_MSB[[#This Row],[Modified Duration]]*0.0001+0.5*Tradingbook_MSB[[#This Row],[Conv]]*(0.0001^2))</f>
        <v>0</v>
      </c>
      <c r="AQ227" s="72">
        <f>(Tradingbook_MSB[[#This Row],[MARKET_VALUE]]+Tradingbook_MSB[[#This Row],[Accr Int]]*Tradingbook_MSB[[#This Row],[Quantity_edited]])*(-Tradingbook_MSB[[#This Row],[Modified Duration]]*0.01+0.5*Tradingbook_MSB[[#This Row],[Conv]]*(0.01^2))</f>
        <v>0</v>
      </c>
      <c r="AR227" s="71"/>
      <c r="CL227" t="s">
        <v>166</v>
      </c>
      <c r="CM227" t="s">
        <v>167</v>
      </c>
      <c r="CN227" t="s">
        <v>407</v>
      </c>
      <c r="CO227" t="s">
        <v>169</v>
      </c>
      <c r="CP227" s="35">
        <v>43676</v>
      </c>
      <c r="CQ227" t="s">
        <v>3322</v>
      </c>
      <c r="CR227" t="s">
        <v>174</v>
      </c>
      <c r="CS227" t="s">
        <v>174</v>
      </c>
      <c r="CT227" s="49">
        <v>0</v>
      </c>
      <c r="CU227">
        <v>0</v>
      </c>
      <c r="CV227">
        <v>0</v>
      </c>
      <c r="CW227" s="70">
        <v>0</v>
      </c>
      <c r="CX227">
        <v>9</v>
      </c>
      <c r="CY227">
        <v>0</v>
      </c>
      <c r="CZ227">
        <v>0</v>
      </c>
      <c r="DA227">
        <v>-1.1E-5</v>
      </c>
      <c r="DB227">
        <v>-276740671.31942177</v>
      </c>
      <c r="DC227">
        <v>0</v>
      </c>
      <c r="DD227">
        <v>0</v>
      </c>
      <c r="DE227">
        <v>0</v>
      </c>
      <c r="DF227">
        <v>0</v>
      </c>
      <c r="DG227">
        <v>0</v>
      </c>
      <c r="DH227">
        <v>0</v>
      </c>
      <c r="DI227">
        <v>0</v>
      </c>
      <c r="DJ227" s="500">
        <v>-243000000</v>
      </c>
      <c r="DK227" s="500">
        <v>0</v>
      </c>
      <c r="DL227" s="37">
        <v>-243000000</v>
      </c>
      <c r="DM227" s="37">
        <v>-243000000</v>
      </c>
      <c r="DN227" s="37">
        <v>-243000000</v>
      </c>
      <c r="DO227" s="37">
        <v>-243000000</v>
      </c>
      <c r="DP227" s="32">
        <f>Tradingbook_SBV[[#This Row],[Mat. Date]]-RPT</f>
        <v>-2576</v>
      </c>
      <c r="DQ227" s="32">
        <f>IF(Tradingbook_SBV[[#This Row],[Days]]&lt;=0,0,YEARFRAC(RPT,Tradingbook_SBV[[#This Row],[Mat. Date]],3))</f>
        <v>0</v>
      </c>
      <c r="DR227" s="32">
        <f>IF(Tradingbook_SBV[[#This Row],[Days (year)]]=0,0,INDEX(Ref!$K$2:$K$13,MATCH(Tradingbook_SBV[[#This Row],[Days (year)]],Ref!$I$2:$I$13,1)))</f>
        <v>0</v>
      </c>
      <c r="DS227" s="32" t="str">
        <f>VLOOKUP(Tradingbook_SBV[[#This Row],[Security Name]],Ref!X:Z,3,0)</f>
        <v>TPCP</v>
      </c>
      <c r="DT227" s="32" t="str">
        <f>VLOOKUP(Tradingbook_SBV[[#This Row],[Security Name]],Ref!X:Y,2,0)</f>
        <v>VDB</v>
      </c>
      <c r="DU227" s="71">
        <f>IF((Tradingbook_SBV[[#This Row],[Mat. Date]]-RPT)&lt;=0,0,Tradingbook_SBV[[#This Row],[QUANTITY]])</f>
        <v>0</v>
      </c>
      <c r="DV227" s="71">
        <f>IF(Tradingbook_SBV[[#This Row],[Quantity_edited]]=0,0,Tradingbook_SBV[[#This Row],[DURATION]])</f>
        <v>0</v>
      </c>
      <c r="DW227" s="71">
        <f>IF(Tradingbook_SBV[[#This Row],[Quantity_edited]]=0,0,Tradingbook_SBV[[#This Row],[Mod Dur]])</f>
        <v>0</v>
      </c>
      <c r="DX227" s="71">
        <f>IF(Tradingbook_SBV[[#This Row],[Quantity_edited]]=0,0,Tradingbook_SBV[[#This Row],[Cnvx.]])</f>
        <v>0</v>
      </c>
      <c r="DY227" s="71">
        <f>(Tradingbook_SBV[[#This Row],[MARKET_VALUE]]+Tradingbook_SBV[[#This Row],[Accr Int]]*Tradingbook_SBV[[#This Row],[Quantity_edited]])*(-Tradingbook_SBV[[#This Row],[Modified Duration]]*0.0001+0.5*Tradingbook_SBV[[#This Row],[Conv]]*(0.0001^2))</f>
        <v>0</v>
      </c>
      <c r="DZ227" s="71">
        <f>(Tradingbook_SBV[[#This Row],[MARKET_VALUE]]+Tradingbook_SBV[[#This Row],[Accr Int]]*Tradingbook_SBV[[#This Row],[Quantity_edited]])*(-Tradingbook_SBV[[#This Row],[Modified Duration]]*0.01+0.5*Tradingbook_SBV[[#This Row],[Conv]]*(0.01^2))</f>
        <v>0</v>
      </c>
      <c r="EC227" t="s">
        <v>166</v>
      </c>
      <c r="ED227" t="s">
        <v>3300</v>
      </c>
      <c r="EE227" t="s">
        <v>636</v>
      </c>
      <c r="EF227" t="s">
        <v>169</v>
      </c>
      <c r="EG227" s="35" t="s">
        <v>3485</v>
      </c>
      <c r="EH227" t="s">
        <v>170</v>
      </c>
      <c r="EI227" s="500">
        <v>92544</v>
      </c>
      <c r="EJ227" s="500">
        <v>92544</v>
      </c>
      <c r="EK227" s="500">
        <v>3000000</v>
      </c>
      <c r="EL227" s="500">
        <v>300000000000</v>
      </c>
      <c r="EM227" s="500">
        <v>97820.684999999998</v>
      </c>
      <c r="EN227" s="500">
        <v>277632000000</v>
      </c>
      <c r="EO227">
        <v>2.2000000000000002</v>
      </c>
      <c r="EP227">
        <v>1302</v>
      </c>
      <c r="EQ227">
        <v>4400000000</v>
      </c>
      <c r="ER227">
        <v>4651111666.666666</v>
      </c>
      <c r="ES227">
        <v>-14981219775.363863</v>
      </c>
      <c r="ET227">
        <v>4.0794990389999999</v>
      </c>
      <c r="EU227">
        <v>4.0223598648980996</v>
      </c>
      <c r="EV227">
        <v>4.1864520000000001</v>
      </c>
      <c r="EW227">
        <v>20.620932805683299</v>
      </c>
      <c r="EX227">
        <v>58055.7618024646</v>
      </c>
      <c r="EY227">
        <v>-113244.715164369</v>
      </c>
      <c r="EZ227">
        <v>30843.471000000001</v>
      </c>
      <c r="FA227">
        <v>1376553637.2779374</v>
      </c>
      <c r="FB227">
        <v>-15830053637.277903</v>
      </c>
      <c r="FC227">
        <v>-14453499999.999966</v>
      </c>
      <c r="FD227">
        <v>-14453499999.999966</v>
      </c>
      <c r="FE227">
        <v>-14453500000</v>
      </c>
      <c r="FF227">
        <v>-14453499999.999966</v>
      </c>
      <c r="FG227" s="32">
        <f>Bankingbook_SBV[[#This Row],[Mat. Date]]-RPT</f>
        <v>1610</v>
      </c>
      <c r="FH227" s="32">
        <f>IF(Bankingbook_SBV[[#This Row],[Days]]&lt;=0,0,YEARFRAC(RPT,Bankingbook_SBV[[#This Row],[Mat. Date]],3))</f>
        <v>4.4109589041095889</v>
      </c>
      <c r="FI227" s="32" t="str">
        <f>IF(Bankingbook_SBV[[#This Row],[Days (year)]]=0,0,INDEX(Ref!$K$2:$K$13,MATCH(Bankingbook_SBV[[#This Row],[Days (year)]],Ref!$I$2:$I$13,1)))</f>
        <v>4Y</v>
      </c>
      <c r="FJ227" s="32" t="str">
        <f>VLOOKUP(Bankingbook_SBV[[#This Row],[Security Name]],Ref!X:Z,3,0)</f>
        <v>TPCP</v>
      </c>
      <c r="FK227" s="32" t="str">
        <f>VLOOKUP(Bankingbook_SBV[[#This Row],[Security Name]],Ref!X:Y,2,0)</f>
        <v>KBNN</v>
      </c>
      <c r="FL227" s="72">
        <f>IF((Bankingbook_SBV[[#This Row],[Mat. Date]]-RPT)&lt;=0,0,Bankingbook_SBV[[#This Row],[QUANTITY]])</f>
        <v>3000000</v>
      </c>
      <c r="FM227" s="32">
        <f>IF(Bankingbook_SBV[[#This Row],[Quantity_edited]]=0,0,Bankingbook_SBV[[#This Row],[DURATION]])</f>
        <v>4.1864520000000001</v>
      </c>
      <c r="FN227" s="32">
        <f>IF(Bankingbook_SBV[[#This Row],[Quantity_edited]]=0,0,Bankingbook_SBV[[#This Row],[Mod Dur]])</f>
        <v>4.0223598648980996</v>
      </c>
      <c r="FO227" s="32">
        <f>IF(Bankingbook_SBV[[#This Row],[Quantity_edited]]=0,0,Bankingbook_SBV[[#This Row],[Cnvx.]])</f>
        <v>20.620932805683299</v>
      </c>
      <c r="FP227" s="32">
        <f>(Bankingbook_SBV[[#This Row],[MARKET_VALUE]]+Bankingbook_SBV[[#This Row],[Accr Int]]*Bankingbook_SBV[[#This Row],[Quantity_edited]])*(-Bankingbook_SBV[[#This Row],[Modified Duration]]*0.0001+0.5*Bankingbook_SBV[[#This Row],[Conv]]*(0.0001^2))</f>
        <v>-113215687.28346689</v>
      </c>
      <c r="FQ227" s="32">
        <f>(Bankingbook_SBV[[#This Row],[MARKET_VALUE]]+Bankingbook_SBV[[#This Row],[Accr Int]]*Bankingbook_SBV[[#This Row],[Quantity_edited]])*(-Bankingbook_SBV[[#This Row],[Modified Duration]]*0.01+0.5*Bankingbook_SBV[[#This Row],[Conv]]*(0.01^2))</f>
        <v>-11034192707.42449</v>
      </c>
    </row>
    <row r="228" spans="2:173" x14ac:dyDescent="0.3">
      <c r="B228" t="s">
        <v>166</v>
      </c>
      <c r="C228" t="s">
        <v>167</v>
      </c>
      <c r="D228" t="s">
        <v>408</v>
      </c>
      <c r="E228" t="s">
        <v>169</v>
      </c>
      <c r="F228" s="502">
        <v>43677</v>
      </c>
      <c r="G228" t="s">
        <v>3322</v>
      </c>
      <c r="H228"/>
      <c r="I228"/>
      <c r="J228" s="38">
        <v>0</v>
      </c>
      <c r="K228">
        <v>0</v>
      </c>
      <c r="L228">
        <v>0</v>
      </c>
      <c r="M228" s="38">
        <v>0</v>
      </c>
      <c r="N228">
        <v>6.6</v>
      </c>
      <c r="O228">
        <v>0</v>
      </c>
      <c r="P228" s="37">
        <v>36300000000</v>
      </c>
      <c r="Q228" s="37">
        <v>39525733958.333382</v>
      </c>
      <c r="R228" s="37">
        <v>-18415607021.227978</v>
      </c>
      <c r="S228">
        <v>0</v>
      </c>
      <c r="T228" s="70">
        <v>0</v>
      </c>
      <c r="U228">
        <v>0</v>
      </c>
      <c r="V228">
        <v>0</v>
      </c>
      <c r="W228">
        <v>0</v>
      </c>
      <c r="X228" s="38">
        <v>0</v>
      </c>
      <c r="Y228">
        <v>0</v>
      </c>
      <c r="Z228" s="70">
        <v>7874201928</v>
      </c>
      <c r="AA228" s="70">
        <v>0</v>
      </c>
      <c r="AB228" s="70">
        <v>7874201928</v>
      </c>
      <c r="AC228" s="70">
        <v>7874201928</v>
      </c>
      <c r="AD228" s="70">
        <v>7874201928</v>
      </c>
      <c r="AE228" s="70">
        <v>7874201928</v>
      </c>
      <c r="AF228">
        <v>0</v>
      </c>
      <c r="AG228" s="72">
        <f>Tradingbook_MSB[[#This Row],[Mat. Date]]-RPT</f>
        <v>-2575</v>
      </c>
      <c r="AH228" s="71">
        <f>IF(Tradingbook_MSB[[#This Row],[Days]]&lt;=0,0,YEARFRAC(RPT,Tradingbook_MSB[[#This Row],[Mat. Date]],3))</f>
        <v>0</v>
      </c>
      <c r="AI228" s="71">
        <f>IF(Tradingbook_MSB[[#This Row],[Days (year)]]=0,0,INDEX(Ref!$K$2:$K$13,MATCH(Tradingbook_MSB[[#This Row],[Days (year)]],Ref!$I$2:$I$13,1)))</f>
        <v>0</v>
      </c>
      <c r="AJ228" s="120" t="str">
        <f>VLOOKUP(Tradingbook_MSB[[#This Row],[Security Name]],Ref!X:Z,3,0)</f>
        <v>TPCP</v>
      </c>
      <c r="AK228" s="120" t="str">
        <f>VLOOKUP(Tradingbook_MSB[[#This Row],[Security Name]],Ref!X:Y,2,0)</f>
        <v>KBNN</v>
      </c>
      <c r="AL228" s="71">
        <f>IF((Tradingbook_MSB[[#This Row],[Mat. Date]]-RPT)&lt;=0,0,Tradingbook_MSB[[#This Row],[QUANTITY]])</f>
        <v>0</v>
      </c>
      <c r="AM228" s="71">
        <f>IF(Tradingbook_MSB[[#This Row],[Quantity_edited]]=0,0,Tradingbook_MSB[[#This Row],[DURATION]])</f>
        <v>0</v>
      </c>
      <c r="AN228" s="71">
        <f>IF(Tradingbook_MSB[[#This Row],[Quantity_edited]]=0,0,Tradingbook_MSB[[#This Row],[Mod Dur]])</f>
        <v>0</v>
      </c>
      <c r="AO228" s="71">
        <f>IF(Tradingbook_MSB[[#This Row],[Quantity_edited]]=0,0,Tradingbook_MSB[[#This Row],[Cnvx.]])</f>
        <v>0</v>
      </c>
      <c r="AP228" s="71">
        <f>(Tradingbook_MSB[[#This Row],[MARKET_VALUE]]+Tradingbook_MSB[[#This Row],[Accr Int]]*Tradingbook_MSB[[#This Row],[Quantity_edited]])*(-Tradingbook_MSB[[#This Row],[Modified Duration]]*0.0001+0.5*Tradingbook_MSB[[#This Row],[Conv]]*(0.0001^2))</f>
        <v>0</v>
      </c>
      <c r="AQ228" s="72">
        <f>(Tradingbook_MSB[[#This Row],[MARKET_VALUE]]+Tradingbook_MSB[[#This Row],[Accr Int]]*Tradingbook_MSB[[#This Row],[Quantity_edited]])*(-Tradingbook_MSB[[#This Row],[Modified Duration]]*0.01+0.5*Tradingbook_MSB[[#This Row],[Conv]]*(0.01^2))</f>
        <v>0</v>
      </c>
      <c r="AR228" s="71"/>
      <c r="CL228" t="s">
        <v>166</v>
      </c>
      <c r="CM228" t="s">
        <v>167</v>
      </c>
      <c r="CN228" t="s">
        <v>408</v>
      </c>
      <c r="CO228" t="s">
        <v>169</v>
      </c>
      <c r="CP228" s="35">
        <v>43677</v>
      </c>
      <c r="CQ228" t="s">
        <v>3322</v>
      </c>
      <c r="CR228" t="s">
        <v>174</v>
      </c>
      <c r="CS228" t="s">
        <v>174</v>
      </c>
      <c r="CT228" s="49">
        <v>0</v>
      </c>
      <c r="CU228">
        <v>0</v>
      </c>
      <c r="CV228">
        <v>0</v>
      </c>
      <c r="CW228" s="70">
        <v>0</v>
      </c>
      <c r="CX228">
        <v>6.6</v>
      </c>
      <c r="CY228">
        <v>0</v>
      </c>
      <c r="CZ228">
        <v>36300000000</v>
      </c>
      <c r="DA228">
        <v>39525733958.333382</v>
      </c>
      <c r="DB228">
        <v>-18415607021.227978</v>
      </c>
      <c r="DC228">
        <v>0</v>
      </c>
      <c r="DD228">
        <v>0</v>
      </c>
      <c r="DE228">
        <v>0</v>
      </c>
      <c r="DF228">
        <v>0</v>
      </c>
      <c r="DG228">
        <v>0</v>
      </c>
      <c r="DH228">
        <v>0</v>
      </c>
      <c r="DI228">
        <v>0</v>
      </c>
      <c r="DJ228" s="500">
        <v>7874201928</v>
      </c>
      <c r="DK228" s="500">
        <v>0</v>
      </c>
      <c r="DL228" s="37">
        <v>7874201928</v>
      </c>
      <c r="DM228" s="37">
        <v>7874201928</v>
      </c>
      <c r="DN228" s="37">
        <v>7874201928</v>
      </c>
      <c r="DO228" s="37">
        <v>7874201928</v>
      </c>
      <c r="DP228" s="32">
        <f>Tradingbook_SBV[[#This Row],[Mat. Date]]-RPT</f>
        <v>-2575</v>
      </c>
      <c r="DQ228" s="32">
        <f>IF(Tradingbook_SBV[[#This Row],[Days]]&lt;=0,0,YEARFRAC(RPT,Tradingbook_SBV[[#This Row],[Mat. Date]],3))</f>
        <v>0</v>
      </c>
      <c r="DR228" s="32">
        <f>IF(Tradingbook_SBV[[#This Row],[Days (year)]]=0,0,INDEX(Ref!$K$2:$K$13,MATCH(Tradingbook_SBV[[#This Row],[Days (year)]],Ref!$I$2:$I$13,1)))</f>
        <v>0</v>
      </c>
      <c r="DS228" s="32" t="str">
        <f>VLOOKUP(Tradingbook_SBV[[#This Row],[Security Name]],Ref!X:Z,3,0)</f>
        <v>TPCP</v>
      </c>
      <c r="DT228" s="32" t="str">
        <f>VLOOKUP(Tradingbook_SBV[[#This Row],[Security Name]],Ref!X:Y,2,0)</f>
        <v>KBNN</v>
      </c>
      <c r="DU228" s="71">
        <f>IF((Tradingbook_SBV[[#This Row],[Mat. Date]]-RPT)&lt;=0,0,Tradingbook_SBV[[#This Row],[QUANTITY]])</f>
        <v>0</v>
      </c>
      <c r="DV228" s="71">
        <f>IF(Tradingbook_SBV[[#This Row],[Quantity_edited]]=0,0,Tradingbook_SBV[[#This Row],[DURATION]])</f>
        <v>0</v>
      </c>
      <c r="DW228" s="71">
        <f>IF(Tradingbook_SBV[[#This Row],[Quantity_edited]]=0,0,Tradingbook_SBV[[#This Row],[Mod Dur]])</f>
        <v>0</v>
      </c>
      <c r="DX228" s="71">
        <f>IF(Tradingbook_SBV[[#This Row],[Quantity_edited]]=0,0,Tradingbook_SBV[[#This Row],[Cnvx.]])</f>
        <v>0</v>
      </c>
      <c r="DY228" s="71">
        <f>(Tradingbook_SBV[[#This Row],[MARKET_VALUE]]+Tradingbook_SBV[[#This Row],[Accr Int]]*Tradingbook_SBV[[#This Row],[Quantity_edited]])*(-Tradingbook_SBV[[#This Row],[Modified Duration]]*0.0001+0.5*Tradingbook_SBV[[#This Row],[Conv]]*(0.0001^2))</f>
        <v>0</v>
      </c>
      <c r="DZ228" s="71">
        <f>(Tradingbook_SBV[[#This Row],[MARKET_VALUE]]+Tradingbook_SBV[[#This Row],[Accr Int]]*Tradingbook_SBV[[#This Row],[Quantity_edited]])*(-Tradingbook_SBV[[#This Row],[Modified Duration]]*0.01+0.5*Tradingbook_SBV[[#This Row],[Conv]]*(0.01^2))</f>
        <v>0</v>
      </c>
      <c r="EC228" t="s">
        <v>166</v>
      </c>
      <c r="ED228" t="s">
        <v>3300</v>
      </c>
      <c r="EE228" t="s">
        <v>637</v>
      </c>
      <c r="EF228" t="s">
        <v>169</v>
      </c>
      <c r="EG228" s="35" t="s">
        <v>3486</v>
      </c>
      <c r="EH228" t="s">
        <v>170</v>
      </c>
      <c r="EI228" s="500">
        <v>92361</v>
      </c>
      <c r="EJ228" s="500">
        <v>92361</v>
      </c>
      <c r="EK228" s="500">
        <v>500000</v>
      </c>
      <c r="EL228" s="500">
        <v>50000000000</v>
      </c>
      <c r="EM228" s="500">
        <v>98745.611000000004</v>
      </c>
      <c r="EN228" s="500">
        <v>46180500000</v>
      </c>
      <c r="EO228">
        <v>2.2999999999999998</v>
      </c>
      <c r="EP228">
        <v>832</v>
      </c>
      <c r="EQ228">
        <v>9200000000</v>
      </c>
      <c r="ER228">
        <v>10266291180.55551</v>
      </c>
      <c r="ES228">
        <v>-8970489484.8344727</v>
      </c>
      <c r="ET228">
        <v>4.1412774849999998</v>
      </c>
      <c r="EU228">
        <v>4.2319838045329004</v>
      </c>
      <c r="EV228">
        <v>4.4072420000000001</v>
      </c>
      <c r="EW228">
        <v>22.571967844735799</v>
      </c>
      <c r="EX228">
        <v>10517.746996772299</v>
      </c>
      <c r="EY228">
        <v>-19719.563334792001</v>
      </c>
      <c r="EZ228">
        <v>5180.5709999999999</v>
      </c>
      <c r="FA228">
        <v>-8221884542.9474449</v>
      </c>
      <c r="FB228">
        <v>-3192305457.0527964</v>
      </c>
      <c r="FC228">
        <v>-11414190000.00024</v>
      </c>
      <c r="FD228">
        <v>-11414190000.00024</v>
      </c>
      <c r="FE228">
        <v>-11414190000</v>
      </c>
      <c r="FF228">
        <v>-11414190000.00024</v>
      </c>
      <c r="FG228" s="32">
        <f>Bankingbook_SBV[[#This Row],[Mat. Date]]-RPT</f>
        <v>1694</v>
      </c>
      <c r="FH228" s="32">
        <f>IF(Bankingbook_SBV[[#This Row],[Days]]&lt;=0,0,YEARFRAC(RPT,Bankingbook_SBV[[#This Row],[Mat. Date]],3))</f>
        <v>4.6410958904109592</v>
      </c>
      <c r="FI228" s="32" t="str">
        <f>IF(Bankingbook_SBV[[#This Row],[Days (year)]]=0,0,INDEX(Ref!$K$2:$K$13,MATCH(Bankingbook_SBV[[#This Row],[Days (year)]],Ref!$I$2:$I$13,1)))</f>
        <v>5Y</v>
      </c>
      <c r="FJ228" s="32" t="str">
        <f>VLOOKUP(Bankingbook_SBV[[#This Row],[Security Name]],Ref!X:Z,3,0)</f>
        <v>TPCP</v>
      </c>
      <c r="FK228" s="32" t="str">
        <f>VLOOKUP(Bankingbook_SBV[[#This Row],[Security Name]],Ref!X:Y,2,0)</f>
        <v>KBNN</v>
      </c>
      <c r="FL228" s="72">
        <f>IF((Bankingbook_SBV[[#This Row],[Mat. Date]]-RPT)&lt;=0,0,Bankingbook_SBV[[#This Row],[QUANTITY]])</f>
        <v>500000</v>
      </c>
      <c r="FM228" s="32">
        <f>IF(Bankingbook_SBV[[#This Row],[Quantity_edited]]=0,0,Bankingbook_SBV[[#This Row],[DURATION]])</f>
        <v>4.4072420000000001</v>
      </c>
      <c r="FN228" s="32">
        <f>IF(Bankingbook_SBV[[#This Row],[Quantity_edited]]=0,0,Bankingbook_SBV[[#This Row],[Mod Dur]])</f>
        <v>4.2319838045329004</v>
      </c>
      <c r="FO228" s="32">
        <f>IF(Bankingbook_SBV[[#This Row],[Quantity_edited]]=0,0,Bankingbook_SBV[[#This Row],[Cnvx.]])</f>
        <v>22.571967844735799</v>
      </c>
      <c r="FP228" s="32">
        <f>(Bankingbook_SBV[[#This Row],[MARKET_VALUE]]+Bankingbook_SBV[[#This Row],[Accr Int]]*Bankingbook_SBV[[#This Row],[Quantity_edited]])*(-Bankingbook_SBV[[#This Row],[Modified Duration]]*0.0001+0.5*Bankingbook_SBV[[#This Row],[Conv]]*(0.0001^2))</f>
        <v>-19714304.461293343</v>
      </c>
      <c r="FQ228" s="32">
        <f>(Bankingbook_SBV[[#This Row],[MARKET_VALUE]]+Bankingbook_SBV[[#This Row],[Accr Int]]*Bankingbook_SBV[[#This Row],[Quantity_edited]])*(-Bankingbook_SBV[[#This Row],[Modified Duration]]*0.01+0.5*Bankingbook_SBV[[#This Row],[Conv]]*(0.01^2))</f>
        <v>-1919367598.4953113</v>
      </c>
    </row>
    <row r="229" spans="2:173" x14ac:dyDescent="0.3">
      <c r="B229" t="s">
        <v>166</v>
      </c>
      <c r="C229" t="s">
        <v>167</v>
      </c>
      <c r="D229" t="s">
        <v>409</v>
      </c>
      <c r="E229" t="s">
        <v>169</v>
      </c>
      <c r="F229" s="502">
        <v>43696</v>
      </c>
      <c r="G229" t="s">
        <v>3322</v>
      </c>
      <c r="H229"/>
      <c r="I229"/>
      <c r="J229" s="38">
        <v>0</v>
      </c>
      <c r="K229">
        <v>0</v>
      </c>
      <c r="L229">
        <v>0</v>
      </c>
      <c r="M229" s="38">
        <v>0</v>
      </c>
      <c r="N229">
        <v>7.2</v>
      </c>
      <c r="O229">
        <v>0</v>
      </c>
      <c r="P229" s="37">
        <v>0</v>
      </c>
      <c r="Q229" s="37">
        <v>-3.1000000000000001E-5</v>
      </c>
      <c r="R229" s="37">
        <v>-754613121.59993744</v>
      </c>
      <c r="S229">
        <v>0</v>
      </c>
      <c r="T229" s="70">
        <v>0</v>
      </c>
      <c r="U229">
        <v>0</v>
      </c>
      <c r="V229">
        <v>0</v>
      </c>
      <c r="W229">
        <v>0</v>
      </c>
      <c r="X229" s="38">
        <v>0</v>
      </c>
      <c r="Y229">
        <v>0</v>
      </c>
      <c r="Z229" s="70">
        <v>1511280000</v>
      </c>
      <c r="AA229" s="70">
        <v>0</v>
      </c>
      <c r="AB229" s="70">
        <v>1511280000</v>
      </c>
      <c r="AC229" s="70">
        <v>1511280000</v>
      </c>
      <c r="AD229" s="70">
        <v>1511280000</v>
      </c>
      <c r="AE229" s="70">
        <v>1511280000</v>
      </c>
      <c r="AF229">
        <v>0</v>
      </c>
      <c r="AG229" s="72">
        <f>Tradingbook_MSB[[#This Row],[Mat. Date]]-RPT</f>
        <v>-2556</v>
      </c>
      <c r="AH229" s="71">
        <f>IF(Tradingbook_MSB[[#This Row],[Days]]&lt;=0,0,YEARFRAC(RPT,Tradingbook_MSB[[#This Row],[Mat. Date]],3))</f>
        <v>0</v>
      </c>
      <c r="AI229" s="71">
        <f>IF(Tradingbook_MSB[[#This Row],[Days (year)]]=0,0,INDEX(Ref!$K$2:$K$13,MATCH(Tradingbook_MSB[[#This Row],[Days (year)]],Ref!$I$2:$I$13,1)))</f>
        <v>0</v>
      </c>
      <c r="AJ229" s="120" t="str">
        <f>VLOOKUP(Tradingbook_MSB[[#This Row],[Security Name]],Ref!X:Z,3,0)</f>
        <v>TPCQĐP</v>
      </c>
      <c r="AK229" s="120" t="str">
        <f>VLOOKUP(Tradingbook_MSB[[#This Row],[Security Name]],Ref!X:Y,2,0)</f>
        <v>KBHN</v>
      </c>
      <c r="AL229" s="71">
        <f>IF((Tradingbook_MSB[[#This Row],[Mat. Date]]-RPT)&lt;=0,0,Tradingbook_MSB[[#This Row],[QUANTITY]])</f>
        <v>0</v>
      </c>
      <c r="AM229" s="71">
        <f>IF(Tradingbook_MSB[[#This Row],[Quantity_edited]]=0,0,Tradingbook_MSB[[#This Row],[DURATION]])</f>
        <v>0</v>
      </c>
      <c r="AN229" s="71">
        <f>IF(Tradingbook_MSB[[#This Row],[Quantity_edited]]=0,0,Tradingbook_MSB[[#This Row],[Mod Dur]])</f>
        <v>0</v>
      </c>
      <c r="AO229" s="71">
        <f>IF(Tradingbook_MSB[[#This Row],[Quantity_edited]]=0,0,Tradingbook_MSB[[#This Row],[Cnvx.]])</f>
        <v>0</v>
      </c>
      <c r="AP229" s="71">
        <f>(Tradingbook_MSB[[#This Row],[MARKET_VALUE]]+Tradingbook_MSB[[#This Row],[Accr Int]]*Tradingbook_MSB[[#This Row],[Quantity_edited]])*(-Tradingbook_MSB[[#This Row],[Modified Duration]]*0.0001+0.5*Tradingbook_MSB[[#This Row],[Conv]]*(0.0001^2))</f>
        <v>0</v>
      </c>
      <c r="AQ229" s="72">
        <f>(Tradingbook_MSB[[#This Row],[MARKET_VALUE]]+Tradingbook_MSB[[#This Row],[Accr Int]]*Tradingbook_MSB[[#This Row],[Quantity_edited]])*(-Tradingbook_MSB[[#This Row],[Modified Duration]]*0.01+0.5*Tradingbook_MSB[[#This Row],[Conv]]*(0.01^2))</f>
        <v>0</v>
      </c>
      <c r="AR229" s="71"/>
      <c r="CL229" t="s">
        <v>166</v>
      </c>
      <c r="CM229" t="s">
        <v>167</v>
      </c>
      <c r="CN229" t="s">
        <v>409</v>
      </c>
      <c r="CO229" t="s">
        <v>169</v>
      </c>
      <c r="CP229" s="35">
        <v>43696</v>
      </c>
      <c r="CQ229" t="s">
        <v>3322</v>
      </c>
      <c r="CR229" t="s">
        <v>174</v>
      </c>
      <c r="CS229" t="s">
        <v>174</v>
      </c>
      <c r="CT229" s="49">
        <v>0</v>
      </c>
      <c r="CU229">
        <v>0</v>
      </c>
      <c r="CV229">
        <v>0</v>
      </c>
      <c r="CW229" s="70">
        <v>0</v>
      </c>
      <c r="CX229">
        <v>7.2</v>
      </c>
      <c r="CY229">
        <v>0</v>
      </c>
      <c r="CZ229">
        <v>0</v>
      </c>
      <c r="DA229">
        <v>-3.1000000000000001E-5</v>
      </c>
      <c r="DB229">
        <v>-754613121.59993744</v>
      </c>
      <c r="DC229">
        <v>0</v>
      </c>
      <c r="DD229">
        <v>0</v>
      </c>
      <c r="DE229">
        <v>0</v>
      </c>
      <c r="DF229">
        <v>0</v>
      </c>
      <c r="DG229">
        <v>0</v>
      </c>
      <c r="DH229">
        <v>0</v>
      </c>
      <c r="DI229">
        <v>0</v>
      </c>
      <c r="DJ229" s="500">
        <v>1511280000</v>
      </c>
      <c r="DK229" s="500">
        <v>0</v>
      </c>
      <c r="DL229" s="37">
        <v>1511280000</v>
      </c>
      <c r="DM229" s="37">
        <v>1511280000</v>
      </c>
      <c r="DN229" s="37">
        <v>1511280000</v>
      </c>
      <c r="DO229" s="37">
        <v>1511280000</v>
      </c>
      <c r="DP229" s="32">
        <f>Tradingbook_SBV[[#This Row],[Mat. Date]]-RPT</f>
        <v>-2556</v>
      </c>
      <c r="DQ229" s="32">
        <f>IF(Tradingbook_SBV[[#This Row],[Days]]&lt;=0,0,YEARFRAC(RPT,Tradingbook_SBV[[#This Row],[Mat. Date]],3))</f>
        <v>0</v>
      </c>
      <c r="DR229" s="32">
        <f>IF(Tradingbook_SBV[[#This Row],[Days (year)]]=0,0,INDEX(Ref!$K$2:$K$13,MATCH(Tradingbook_SBV[[#This Row],[Days (year)]],Ref!$I$2:$I$13,1)))</f>
        <v>0</v>
      </c>
      <c r="DS229" s="32" t="str">
        <f>VLOOKUP(Tradingbook_SBV[[#This Row],[Security Name]],Ref!X:Z,3,0)</f>
        <v>TPCQĐP</v>
      </c>
      <c r="DT229" s="32" t="str">
        <f>VLOOKUP(Tradingbook_SBV[[#This Row],[Security Name]],Ref!X:Y,2,0)</f>
        <v>KBHN</v>
      </c>
      <c r="DU229" s="71">
        <f>IF((Tradingbook_SBV[[#This Row],[Mat. Date]]-RPT)&lt;=0,0,Tradingbook_SBV[[#This Row],[QUANTITY]])</f>
        <v>0</v>
      </c>
      <c r="DV229" s="71">
        <f>IF(Tradingbook_SBV[[#This Row],[Quantity_edited]]=0,0,Tradingbook_SBV[[#This Row],[DURATION]])</f>
        <v>0</v>
      </c>
      <c r="DW229" s="71">
        <f>IF(Tradingbook_SBV[[#This Row],[Quantity_edited]]=0,0,Tradingbook_SBV[[#This Row],[Mod Dur]])</f>
        <v>0</v>
      </c>
      <c r="DX229" s="71">
        <f>IF(Tradingbook_SBV[[#This Row],[Quantity_edited]]=0,0,Tradingbook_SBV[[#This Row],[Cnvx.]])</f>
        <v>0</v>
      </c>
      <c r="DY229" s="71">
        <f>(Tradingbook_SBV[[#This Row],[MARKET_VALUE]]+Tradingbook_SBV[[#This Row],[Accr Int]]*Tradingbook_SBV[[#This Row],[Quantity_edited]])*(-Tradingbook_SBV[[#This Row],[Modified Duration]]*0.0001+0.5*Tradingbook_SBV[[#This Row],[Conv]]*(0.0001^2))</f>
        <v>0</v>
      </c>
      <c r="DZ229" s="71">
        <f>(Tradingbook_SBV[[#This Row],[MARKET_VALUE]]+Tradingbook_SBV[[#This Row],[Accr Int]]*Tradingbook_SBV[[#This Row],[Quantity_edited]])*(-Tradingbook_SBV[[#This Row],[Modified Duration]]*0.01+0.5*Tradingbook_SBV[[#This Row],[Conv]]*(0.01^2))</f>
        <v>0</v>
      </c>
      <c r="EC229" t="s">
        <v>166</v>
      </c>
      <c r="ED229" t="s">
        <v>3300</v>
      </c>
      <c r="EE229" t="s">
        <v>616</v>
      </c>
      <c r="EF229" t="s">
        <v>169</v>
      </c>
      <c r="EG229" s="35" t="s">
        <v>3431</v>
      </c>
      <c r="EH229" t="s">
        <v>170</v>
      </c>
      <c r="EI229" s="500">
        <v>114320</v>
      </c>
      <c r="EJ229" s="500">
        <v>114320</v>
      </c>
      <c r="EK229" s="500">
        <v>500000</v>
      </c>
      <c r="EL229" s="500">
        <v>50000000000</v>
      </c>
      <c r="EM229" s="500">
        <v>118858.64200000001</v>
      </c>
      <c r="EN229" s="500">
        <v>57160000000</v>
      </c>
      <c r="EO229">
        <v>7.6</v>
      </c>
      <c r="EP229">
        <v>2624</v>
      </c>
      <c r="EQ229">
        <v>205124000000</v>
      </c>
      <c r="ER229">
        <v>243458361430.00009</v>
      </c>
      <c r="ES229">
        <v>-93864475566.059479</v>
      </c>
      <c r="ET229">
        <v>4.1456087889999997</v>
      </c>
      <c r="EU229">
        <v>3.8855802215974999</v>
      </c>
      <c r="EV229">
        <v>4.0466611800000001</v>
      </c>
      <c r="EW229">
        <v>20.192214793641799</v>
      </c>
      <c r="EX229">
        <v>11806.791834138299</v>
      </c>
      <c r="EY229">
        <v>-22719.764671724999</v>
      </c>
      <c r="EZ229">
        <v>6507.5460000000003</v>
      </c>
      <c r="FA229">
        <v>65664401044.965805</v>
      </c>
      <c r="FB229">
        <v>-2269321044.9663239</v>
      </c>
      <c r="FC229">
        <v>63395079999.999481</v>
      </c>
      <c r="FD229">
        <v>63395079999.999481</v>
      </c>
      <c r="FE229">
        <v>63395079999.999001</v>
      </c>
      <c r="FF229">
        <v>63395079999.999481</v>
      </c>
      <c r="FG229" s="32">
        <f>Bankingbook_SBV[[#This Row],[Mat. Date]]-RPT</f>
        <v>1700</v>
      </c>
      <c r="FH229" s="32">
        <f>IF(Bankingbook_SBV[[#This Row],[Days]]&lt;=0,0,YEARFRAC(RPT,Bankingbook_SBV[[#This Row],[Mat. Date]],3))</f>
        <v>4.6575342465753424</v>
      </c>
      <c r="FI229" s="32" t="str">
        <f>IF(Bankingbook_SBV[[#This Row],[Days (year)]]=0,0,INDEX(Ref!$K$2:$K$13,MATCH(Bankingbook_SBV[[#This Row],[Days (year)]],Ref!$I$2:$I$13,1)))</f>
        <v>5Y</v>
      </c>
      <c r="FJ229" s="32" t="str">
        <f>VLOOKUP(Bankingbook_SBV[[#This Row],[Security Name]],Ref!X:Z,3,0)</f>
        <v>TPCP</v>
      </c>
      <c r="FK229" s="32" t="str">
        <f>VLOOKUP(Bankingbook_SBV[[#This Row],[Security Name]],Ref!X:Y,2,0)</f>
        <v>KBNN</v>
      </c>
      <c r="FL229" s="72">
        <f>IF((Bankingbook_SBV[[#This Row],[Mat. Date]]-RPT)&lt;=0,0,Bankingbook_SBV[[#This Row],[QUANTITY]])</f>
        <v>500000</v>
      </c>
      <c r="FM229" s="32">
        <f>IF(Bankingbook_SBV[[#This Row],[Quantity_edited]]=0,0,Bankingbook_SBV[[#This Row],[DURATION]])</f>
        <v>4.0466611800000001</v>
      </c>
      <c r="FN229" s="32">
        <f>IF(Bankingbook_SBV[[#This Row],[Quantity_edited]]=0,0,Bankingbook_SBV[[#This Row],[Mod Dur]])</f>
        <v>3.8855802215974999</v>
      </c>
      <c r="FO229" s="32">
        <f>IF(Bankingbook_SBV[[#This Row],[Quantity_edited]]=0,0,Bankingbook_SBV[[#This Row],[Cnvx.]])</f>
        <v>20.192214793641799</v>
      </c>
      <c r="FP229" s="32">
        <f>(Bankingbook_SBV[[#This Row],[MARKET_VALUE]]+Bankingbook_SBV[[#This Row],[Accr Int]]*Bankingbook_SBV[[#This Row],[Quantity_edited]])*(-Bankingbook_SBV[[#This Row],[Modified Duration]]*0.0001+0.5*Bankingbook_SBV[[#This Row],[Conv]]*(0.0001^2))</f>
        <v>-22713861.275807835</v>
      </c>
      <c r="FQ229" s="32">
        <f>(Bankingbook_SBV[[#This Row],[MARKET_VALUE]]+Bankingbook_SBV[[#This Row],[Accr Int]]*Bankingbook_SBV[[#This Row],[Quantity_edited]])*(-Bankingbook_SBV[[#This Row],[Modified Duration]]*0.01+0.5*Bankingbook_SBV[[#This Row],[Conv]]*(0.01^2))</f>
        <v>-2212942508.0017996</v>
      </c>
    </row>
    <row r="230" spans="2:173" x14ac:dyDescent="0.3">
      <c r="B230" t="s">
        <v>166</v>
      </c>
      <c r="C230" t="s">
        <v>167</v>
      </c>
      <c r="D230" t="s">
        <v>410</v>
      </c>
      <c r="E230" t="s">
        <v>169</v>
      </c>
      <c r="F230" s="502">
        <v>43708</v>
      </c>
      <c r="G230" t="s">
        <v>3322</v>
      </c>
      <c r="H230"/>
      <c r="I230"/>
      <c r="J230" s="38">
        <v>0</v>
      </c>
      <c r="K230">
        <v>0</v>
      </c>
      <c r="L230">
        <v>0</v>
      </c>
      <c r="M230" s="38">
        <v>0</v>
      </c>
      <c r="N230">
        <v>9</v>
      </c>
      <c r="O230">
        <v>0</v>
      </c>
      <c r="P230" s="37">
        <v>0</v>
      </c>
      <c r="Q230" s="37">
        <v>0</v>
      </c>
      <c r="R230" s="37">
        <v>14623529.166666985</v>
      </c>
      <c r="S230">
        <v>0</v>
      </c>
      <c r="T230" s="70">
        <v>0</v>
      </c>
      <c r="U230">
        <v>0</v>
      </c>
      <c r="V230">
        <v>0</v>
      </c>
      <c r="W230">
        <v>0</v>
      </c>
      <c r="X230" s="38">
        <v>0</v>
      </c>
      <c r="Y230">
        <v>0</v>
      </c>
      <c r="Z230" s="70">
        <v>190000000</v>
      </c>
      <c r="AA230" s="70">
        <v>0</v>
      </c>
      <c r="AB230" s="70">
        <v>190000000</v>
      </c>
      <c r="AC230" s="70">
        <v>190000000</v>
      </c>
      <c r="AD230" s="70">
        <v>190000000</v>
      </c>
      <c r="AE230" s="70">
        <v>190000000</v>
      </c>
      <c r="AF230">
        <v>0</v>
      </c>
      <c r="AG230" s="72">
        <f>Tradingbook_MSB[[#This Row],[Mat. Date]]-RPT</f>
        <v>-2544</v>
      </c>
      <c r="AH230" s="71">
        <f>IF(Tradingbook_MSB[[#This Row],[Days]]&lt;=0,0,YEARFRAC(RPT,Tradingbook_MSB[[#This Row],[Mat. Date]],3))</f>
        <v>0</v>
      </c>
      <c r="AI230" s="71">
        <f>IF(Tradingbook_MSB[[#This Row],[Days (year)]]=0,0,INDEX(Ref!$K$2:$K$13,MATCH(Tradingbook_MSB[[#This Row],[Days (year)]],Ref!$I$2:$I$13,1)))</f>
        <v>0</v>
      </c>
      <c r="AJ230" s="120" t="str">
        <f>VLOOKUP(Tradingbook_MSB[[#This Row],[Security Name]],Ref!X:Z,3,0)</f>
        <v>TPCP</v>
      </c>
      <c r="AK230" s="120" t="str">
        <f>VLOOKUP(Tradingbook_MSB[[#This Row],[Security Name]],Ref!X:Y,2,0)</f>
        <v>VDB</v>
      </c>
      <c r="AL230" s="71">
        <f>IF((Tradingbook_MSB[[#This Row],[Mat. Date]]-RPT)&lt;=0,0,Tradingbook_MSB[[#This Row],[QUANTITY]])</f>
        <v>0</v>
      </c>
      <c r="AM230" s="71">
        <f>IF(Tradingbook_MSB[[#This Row],[Quantity_edited]]=0,0,Tradingbook_MSB[[#This Row],[DURATION]])</f>
        <v>0</v>
      </c>
      <c r="AN230" s="71">
        <f>IF(Tradingbook_MSB[[#This Row],[Quantity_edited]]=0,0,Tradingbook_MSB[[#This Row],[Mod Dur]])</f>
        <v>0</v>
      </c>
      <c r="AO230" s="71">
        <f>IF(Tradingbook_MSB[[#This Row],[Quantity_edited]]=0,0,Tradingbook_MSB[[#This Row],[Cnvx.]])</f>
        <v>0</v>
      </c>
      <c r="AP230" s="71">
        <f>(Tradingbook_MSB[[#This Row],[MARKET_VALUE]]+Tradingbook_MSB[[#This Row],[Accr Int]]*Tradingbook_MSB[[#This Row],[Quantity_edited]])*(-Tradingbook_MSB[[#This Row],[Modified Duration]]*0.0001+0.5*Tradingbook_MSB[[#This Row],[Conv]]*(0.0001^2))</f>
        <v>0</v>
      </c>
      <c r="AQ230" s="72">
        <f>(Tradingbook_MSB[[#This Row],[MARKET_VALUE]]+Tradingbook_MSB[[#This Row],[Accr Int]]*Tradingbook_MSB[[#This Row],[Quantity_edited]])*(-Tradingbook_MSB[[#This Row],[Modified Duration]]*0.01+0.5*Tradingbook_MSB[[#This Row],[Conv]]*(0.01^2))</f>
        <v>0</v>
      </c>
      <c r="AR230" s="71"/>
      <c r="CL230" t="s">
        <v>166</v>
      </c>
      <c r="CM230" t="s">
        <v>167</v>
      </c>
      <c r="CN230" t="s">
        <v>410</v>
      </c>
      <c r="CO230" t="s">
        <v>169</v>
      </c>
      <c r="CP230" s="35">
        <v>43708</v>
      </c>
      <c r="CQ230" t="s">
        <v>3322</v>
      </c>
      <c r="CR230" t="s">
        <v>174</v>
      </c>
      <c r="CS230" t="s">
        <v>174</v>
      </c>
      <c r="CT230" s="49">
        <v>0</v>
      </c>
      <c r="CU230">
        <v>0</v>
      </c>
      <c r="CV230">
        <v>0</v>
      </c>
      <c r="CW230" s="70">
        <v>0</v>
      </c>
      <c r="CX230">
        <v>9</v>
      </c>
      <c r="CY230">
        <v>0</v>
      </c>
      <c r="CZ230">
        <v>0</v>
      </c>
      <c r="DA230">
        <v>0</v>
      </c>
      <c r="DB230">
        <v>14623529.166666985</v>
      </c>
      <c r="DC230">
        <v>0</v>
      </c>
      <c r="DD230">
        <v>0</v>
      </c>
      <c r="DE230">
        <v>0</v>
      </c>
      <c r="DF230">
        <v>0</v>
      </c>
      <c r="DG230">
        <v>0</v>
      </c>
      <c r="DH230">
        <v>0</v>
      </c>
      <c r="DI230">
        <v>0</v>
      </c>
      <c r="DJ230" s="500">
        <v>190000000</v>
      </c>
      <c r="DK230" s="500">
        <v>0</v>
      </c>
      <c r="DL230" s="37">
        <v>190000000</v>
      </c>
      <c r="DM230" s="37">
        <v>190000000</v>
      </c>
      <c r="DN230" s="37">
        <v>190000000</v>
      </c>
      <c r="DO230" s="37">
        <v>190000000</v>
      </c>
      <c r="DP230" s="32">
        <f>Tradingbook_SBV[[#This Row],[Mat. Date]]-RPT</f>
        <v>-2544</v>
      </c>
      <c r="DQ230" s="32">
        <f>IF(Tradingbook_SBV[[#This Row],[Days]]&lt;=0,0,YEARFRAC(RPT,Tradingbook_SBV[[#This Row],[Mat. Date]],3))</f>
        <v>0</v>
      </c>
      <c r="DR230" s="32">
        <f>IF(Tradingbook_SBV[[#This Row],[Days (year)]]=0,0,INDEX(Ref!$K$2:$K$13,MATCH(Tradingbook_SBV[[#This Row],[Days (year)]],Ref!$I$2:$I$13,1)))</f>
        <v>0</v>
      </c>
      <c r="DS230" s="32" t="str">
        <f>VLOOKUP(Tradingbook_SBV[[#This Row],[Security Name]],Ref!X:Z,3,0)</f>
        <v>TPCP</v>
      </c>
      <c r="DT230" s="32" t="str">
        <f>VLOOKUP(Tradingbook_SBV[[#This Row],[Security Name]],Ref!X:Y,2,0)</f>
        <v>VDB</v>
      </c>
      <c r="DU230" s="71">
        <f>IF((Tradingbook_SBV[[#This Row],[Mat. Date]]-RPT)&lt;=0,0,Tradingbook_SBV[[#This Row],[QUANTITY]])</f>
        <v>0</v>
      </c>
      <c r="DV230" s="71">
        <f>IF(Tradingbook_SBV[[#This Row],[Quantity_edited]]=0,0,Tradingbook_SBV[[#This Row],[DURATION]])</f>
        <v>0</v>
      </c>
      <c r="DW230" s="71">
        <f>IF(Tradingbook_SBV[[#This Row],[Quantity_edited]]=0,0,Tradingbook_SBV[[#This Row],[Mod Dur]])</f>
        <v>0</v>
      </c>
      <c r="DX230" s="71">
        <f>IF(Tradingbook_SBV[[#This Row],[Quantity_edited]]=0,0,Tradingbook_SBV[[#This Row],[Cnvx.]])</f>
        <v>0</v>
      </c>
      <c r="DY230" s="71">
        <f>(Tradingbook_SBV[[#This Row],[MARKET_VALUE]]+Tradingbook_SBV[[#This Row],[Accr Int]]*Tradingbook_SBV[[#This Row],[Quantity_edited]])*(-Tradingbook_SBV[[#This Row],[Modified Duration]]*0.0001+0.5*Tradingbook_SBV[[#This Row],[Conv]]*(0.0001^2))</f>
        <v>0</v>
      </c>
      <c r="DZ230" s="71">
        <f>(Tradingbook_SBV[[#This Row],[MARKET_VALUE]]+Tradingbook_SBV[[#This Row],[Accr Int]]*Tradingbook_SBV[[#This Row],[Quantity_edited]])*(-Tradingbook_SBV[[#This Row],[Modified Duration]]*0.01+0.5*Tradingbook_SBV[[#This Row],[Conv]]*(0.01^2))</f>
        <v>0</v>
      </c>
      <c r="EC230" t="s">
        <v>166</v>
      </c>
      <c r="ED230" t="s">
        <v>3300</v>
      </c>
      <c r="EE230" t="s">
        <v>638</v>
      </c>
      <c r="EF230" t="s">
        <v>169</v>
      </c>
      <c r="EG230" s="35" t="s">
        <v>3487</v>
      </c>
      <c r="EH230" t="s">
        <v>170</v>
      </c>
      <c r="EI230" s="500">
        <v>92167</v>
      </c>
      <c r="EJ230" s="500">
        <v>92167</v>
      </c>
      <c r="EK230" s="500">
        <v>500000</v>
      </c>
      <c r="EL230" s="500">
        <v>50000000000</v>
      </c>
      <c r="EM230" s="500">
        <v>99802.107999999993</v>
      </c>
      <c r="EN230" s="500">
        <v>46083500000</v>
      </c>
      <c r="EO230">
        <v>2.2999999999999998</v>
      </c>
      <c r="EP230">
        <v>655</v>
      </c>
      <c r="EQ230">
        <v>11500000000</v>
      </c>
      <c r="ER230">
        <v>12656754812.499996</v>
      </c>
      <c r="ES230">
        <v>-7855387757.0069199</v>
      </c>
      <c r="ET230">
        <v>4.1616270110000002</v>
      </c>
      <c r="EU230">
        <v>4.3046826136918002</v>
      </c>
      <c r="EV230">
        <v>4.4838274499999997</v>
      </c>
      <c r="EW230">
        <v>23.261681838454901</v>
      </c>
      <c r="EX230">
        <v>10795.9791580453</v>
      </c>
      <c r="EY230">
        <v>-19978.462478404999</v>
      </c>
      <c r="EZ230">
        <v>5184.7939999999999</v>
      </c>
      <c r="FA230">
        <v>-6822575945.9458218</v>
      </c>
      <c r="FB230">
        <v>-3817554054.0540533</v>
      </c>
      <c r="FC230">
        <v>-10640129999.999874</v>
      </c>
      <c r="FD230">
        <v>-10640129999.999874</v>
      </c>
      <c r="FE230">
        <v>-10640130000</v>
      </c>
      <c r="FF230">
        <v>-10640129999.999874</v>
      </c>
      <c r="FG230" s="32">
        <f>Bankingbook_SBV[[#This Row],[Mat. Date]]-RPT</f>
        <v>1722</v>
      </c>
      <c r="FH230" s="32">
        <f>IF(Bankingbook_SBV[[#This Row],[Days]]&lt;=0,0,YEARFRAC(RPT,Bankingbook_SBV[[#This Row],[Mat. Date]],3))</f>
        <v>4.7178082191780826</v>
      </c>
      <c r="FI230" s="32" t="str">
        <f>IF(Bankingbook_SBV[[#This Row],[Days (year)]]=0,0,INDEX(Ref!$K$2:$K$13,MATCH(Bankingbook_SBV[[#This Row],[Days (year)]],Ref!$I$2:$I$13,1)))</f>
        <v>5Y</v>
      </c>
      <c r="FJ230" s="32" t="str">
        <f>VLOOKUP(Bankingbook_SBV[[#This Row],[Security Name]],Ref!X:Z,3,0)</f>
        <v>TPCP</v>
      </c>
      <c r="FK230" s="32" t="str">
        <f>VLOOKUP(Bankingbook_SBV[[#This Row],[Security Name]],Ref!X:Y,2,0)</f>
        <v>KBNN</v>
      </c>
      <c r="FL230" s="72">
        <f>IF((Bankingbook_SBV[[#This Row],[Mat. Date]]-RPT)&lt;=0,0,Bankingbook_SBV[[#This Row],[QUANTITY]])</f>
        <v>500000</v>
      </c>
      <c r="FM230" s="32">
        <f>IF(Bankingbook_SBV[[#This Row],[Quantity_edited]]=0,0,Bankingbook_SBV[[#This Row],[DURATION]])</f>
        <v>4.4838274499999997</v>
      </c>
      <c r="FN230" s="32">
        <f>IF(Bankingbook_SBV[[#This Row],[Quantity_edited]]=0,0,Bankingbook_SBV[[#This Row],[Mod Dur]])</f>
        <v>4.3046826136918002</v>
      </c>
      <c r="FO230" s="32">
        <f>IF(Bankingbook_SBV[[#This Row],[Quantity_edited]]=0,0,Bankingbook_SBV[[#This Row],[Cnvx.]])</f>
        <v>23.261681838454901</v>
      </c>
      <c r="FP230" s="32">
        <f>(Bankingbook_SBV[[#This Row],[MARKET_VALUE]]+Bankingbook_SBV[[#This Row],[Accr Int]]*Bankingbook_SBV[[#This Row],[Quantity_edited]])*(-Bankingbook_SBV[[#This Row],[Modified Duration]]*0.0001+0.5*Bankingbook_SBV[[#This Row],[Conv]]*(0.0001^2))</f>
        <v>-19973064.488825992</v>
      </c>
      <c r="FQ230" s="32">
        <f>(Bankingbook_SBV[[#This Row],[MARKET_VALUE]]+Bankingbook_SBV[[#This Row],[Accr Int]]*Bankingbook_SBV[[#This Row],[Quantity_edited]])*(-Bankingbook_SBV[[#This Row],[Modified Duration]]*0.01+0.5*Bankingbook_SBV[[#This Row],[Conv]]*(0.01^2))</f>
        <v>-1943866352.0502751</v>
      </c>
    </row>
    <row r="231" spans="2:173" x14ac:dyDescent="0.3">
      <c r="B231" t="s">
        <v>166</v>
      </c>
      <c r="C231" t="s">
        <v>167</v>
      </c>
      <c r="D231" t="s">
        <v>411</v>
      </c>
      <c r="E231" t="s">
        <v>169</v>
      </c>
      <c r="F231" s="502">
        <v>43708</v>
      </c>
      <c r="G231" t="s">
        <v>3322</v>
      </c>
      <c r="H231"/>
      <c r="I231"/>
      <c r="J231" s="38">
        <v>0</v>
      </c>
      <c r="K231">
        <v>0</v>
      </c>
      <c r="L231">
        <v>0</v>
      </c>
      <c r="M231" s="38">
        <v>0</v>
      </c>
      <c r="N231">
        <v>6.3</v>
      </c>
      <c r="O231">
        <v>0</v>
      </c>
      <c r="P231" s="37">
        <v>18900000000</v>
      </c>
      <c r="Q231" s="37">
        <v>20154205312.499969</v>
      </c>
      <c r="R231" s="37">
        <v>-7774313107.9721832</v>
      </c>
      <c r="S231">
        <v>0</v>
      </c>
      <c r="T231" s="70">
        <v>0</v>
      </c>
      <c r="U231">
        <v>0</v>
      </c>
      <c r="V231">
        <v>0</v>
      </c>
      <c r="W231">
        <v>0</v>
      </c>
      <c r="X231" s="38">
        <v>0</v>
      </c>
      <c r="Y231">
        <v>0</v>
      </c>
      <c r="Z231" s="70">
        <v>7095100000</v>
      </c>
      <c r="AA231" s="70">
        <v>0</v>
      </c>
      <c r="AB231" s="70">
        <v>7095100000</v>
      </c>
      <c r="AC231" s="70">
        <v>7095100000</v>
      </c>
      <c r="AD231" s="70">
        <v>7095100000</v>
      </c>
      <c r="AE231" s="70">
        <v>7095100000</v>
      </c>
      <c r="AF231">
        <v>0</v>
      </c>
      <c r="AG231" s="72">
        <f>Tradingbook_MSB[[#This Row],[Mat. Date]]-RPT</f>
        <v>-2544</v>
      </c>
      <c r="AH231" s="71">
        <f>IF(Tradingbook_MSB[[#This Row],[Days]]&lt;=0,0,YEARFRAC(RPT,Tradingbook_MSB[[#This Row],[Mat. Date]],3))</f>
        <v>0</v>
      </c>
      <c r="AI231" s="71">
        <f>IF(Tradingbook_MSB[[#This Row],[Days (year)]]=0,0,INDEX(Ref!$K$2:$K$13,MATCH(Tradingbook_MSB[[#This Row],[Days (year)]],Ref!$I$2:$I$13,1)))</f>
        <v>0</v>
      </c>
      <c r="AJ231" s="120" t="str">
        <f>VLOOKUP(Tradingbook_MSB[[#This Row],[Security Name]],Ref!X:Z,3,0)</f>
        <v>TPCP</v>
      </c>
      <c r="AK231" s="120" t="str">
        <f>VLOOKUP(Tradingbook_MSB[[#This Row],[Security Name]],Ref!X:Y,2,0)</f>
        <v>KBNN</v>
      </c>
      <c r="AL231" s="71">
        <f>IF((Tradingbook_MSB[[#This Row],[Mat. Date]]-RPT)&lt;=0,0,Tradingbook_MSB[[#This Row],[QUANTITY]])</f>
        <v>0</v>
      </c>
      <c r="AM231" s="71">
        <f>IF(Tradingbook_MSB[[#This Row],[Quantity_edited]]=0,0,Tradingbook_MSB[[#This Row],[DURATION]])</f>
        <v>0</v>
      </c>
      <c r="AN231" s="71">
        <f>IF(Tradingbook_MSB[[#This Row],[Quantity_edited]]=0,0,Tradingbook_MSB[[#This Row],[Mod Dur]])</f>
        <v>0</v>
      </c>
      <c r="AO231" s="71">
        <f>IF(Tradingbook_MSB[[#This Row],[Quantity_edited]]=0,0,Tradingbook_MSB[[#This Row],[Cnvx.]])</f>
        <v>0</v>
      </c>
      <c r="AP231" s="71">
        <f>(Tradingbook_MSB[[#This Row],[MARKET_VALUE]]+Tradingbook_MSB[[#This Row],[Accr Int]]*Tradingbook_MSB[[#This Row],[Quantity_edited]])*(-Tradingbook_MSB[[#This Row],[Modified Duration]]*0.0001+0.5*Tradingbook_MSB[[#This Row],[Conv]]*(0.0001^2))</f>
        <v>0</v>
      </c>
      <c r="AQ231" s="72">
        <f>(Tradingbook_MSB[[#This Row],[MARKET_VALUE]]+Tradingbook_MSB[[#This Row],[Accr Int]]*Tradingbook_MSB[[#This Row],[Quantity_edited]])*(-Tradingbook_MSB[[#This Row],[Modified Duration]]*0.01+0.5*Tradingbook_MSB[[#This Row],[Conv]]*(0.01^2))</f>
        <v>0</v>
      </c>
      <c r="AR231" s="71"/>
      <c r="CL231" t="s">
        <v>166</v>
      </c>
      <c r="CM231" t="s">
        <v>167</v>
      </c>
      <c r="CN231" t="s">
        <v>411</v>
      </c>
      <c r="CO231" t="s">
        <v>169</v>
      </c>
      <c r="CP231" s="35">
        <v>43708</v>
      </c>
      <c r="CQ231" t="s">
        <v>3322</v>
      </c>
      <c r="CR231" t="s">
        <v>174</v>
      </c>
      <c r="CS231" t="s">
        <v>174</v>
      </c>
      <c r="CT231" s="49">
        <v>0</v>
      </c>
      <c r="CU231">
        <v>0</v>
      </c>
      <c r="CV231">
        <v>0</v>
      </c>
      <c r="CW231" s="70">
        <v>0</v>
      </c>
      <c r="CX231">
        <v>6.3</v>
      </c>
      <c r="CY231">
        <v>0</v>
      </c>
      <c r="CZ231">
        <v>18900000000</v>
      </c>
      <c r="DA231">
        <v>20154205312.499969</v>
      </c>
      <c r="DB231">
        <v>-7774313107.9721832</v>
      </c>
      <c r="DC231">
        <v>0</v>
      </c>
      <c r="DD231">
        <v>0</v>
      </c>
      <c r="DE231">
        <v>0</v>
      </c>
      <c r="DF231">
        <v>0</v>
      </c>
      <c r="DG231">
        <v>0</v>
      </c>
      <c r="DH231">
        <v>0</v>
      </c>
      <c r="DI231">
        <v>0</v>
      </c>
      <c r="DJ231" s="500">
        <v>7095100000</v>
      </c>
      <c r="DK231" s="500">
        <v>0</v>
      </c>
      <c r="DL231" s="37">
        <v>7095100000</v>
      </c>
      <c r="DM231" s="37">
        <v>7095100000</v>
      </c>
      <c r="DN231" s="37">
        <v>7095100000</v>
      </c>
      <c r="DO231" s="37">
        <v>7095100000</v>
      </c>
      <c r="DP231" s="32">
        <f>Tradingbook_SBV[[#This Row],[Mat. Date]]-RPT</f>
        <v>-2544</v>
      </c>
      <c r="DQ231" s="32">
        <f>IF(Tradingbook_SBV[[#This Row],[Days]]&lt;=0,0,YEARFRAC(RPT,Tradingbook_SBV[[#This Row],[Mat. Date]],3))</f>
        <v>0</v>
      </c>
      <c r="DR231" s="32">
        <f>IF(Tradingbook_SBV[[#This Row],[Days (year)]]=0,0,INDEX(Ref!$K$2:$K$13,MATCH(Tradingbook_SBV[[#This Row],[Days (year)]],Ref!$I$2:$I$13,1)))</f>
        <v>0</v>
      </c>
      <c r="DS231" s="32" t="str">
        <f>VLOOKUP(Tradingbook_SBV[[#This Row],[Security Name]],Ref!X:Z,3,0)</f>
        <v>TPCP</v>
      </c>
      <c r="DT231" s="32" t="str">
        <f>VLOOKUP(Tradingbook_SBV[[#This Row],[Security Name]],Ref!X:Y,2,0)</f>
        <v>KBNN</v>
      </c>
      <c r="DU231" s="71">
        <f>IF((Tradingbook_SBV[[#This Row],[Mat. Date]]-RPT)&lt;=0,0,Tradingbook_SBV[[#This Row],[QUANTITY]])</f>
        <v>0</v>
      </c>
      <c r="DV231" s="71">
        <f>IF(Tradingbook_SBV[[#This Row],[Quantity_edited]]=0,0,Tradingbook_SBV[[#This Row],[DURATION]])</f>
        <v>0</v>
      </c>
      <c r="DW231" s="71">
        <f>IF(Tradingbook_SBV[[#This Row],[Quantity_edited]]=0,0,Tradingbook_SBV[[#This Row],[Mod Dur]])</f>
        <v>0</v>
      </c>
      <c r="DX231" s="71">
        <f>IF(Tradingbook_SBV[[#This Row],[Quantity_edited]]=0,0,Tradingbook_SBV[[#This Row],[Cnvx.]])</f>
        <v>0</v>
      </c>
      <c r="DY231" s="71">
        <f>(Tradingbook_SBV[[#This Row],[MARKET_VALUE]]+Tradingbook_SBV[[#This Row],[Accr Int]]*Tradingbook_SBV[[#This Row],[Quantity_edited]])*(-Tradingbook_SBV[[#This Row],[Modified Duration]]*0.0001+0.5*Tradingbook_SBV[[#This Row],[Conv]]*(0.0001^2))</f>
        <v>0</v>
      </c>
      <c r="DZ231" s="71">
        <f>(Tradingbook_SBV[[#This Row],[MARKET_VALUE]]+Tradingbook_SBV[[#This Row],[Accr Int]]*Tradingbook_SBV[[#This Row],[Quantity_edited]])*(-Tradingbook_SBV[[#This Row],[Modified Duration]]*0.01+0.5*Tradingbook_SBV[[#This Row],[Conv]]*(0.01^2))</f>
        <v>0</v>
      </c>
      <c r="EC231" t="s">
        <v>166</v>
      </c>
      <c r="ED231" t="s">
        <v>3300</v>
      </c>
      <c r="EE231" t="s">
        <v>617</v>
      </c>
      <c r="EF231" t="s">
        <v>169</v>
      </c>
      <c r="EG231" s="35" t="s">
        <v>3432</v>
      </c>
      <c r="EH231" t="s">
        <v>3322</v>
      </c>
      <c r="EI231" s="500">
        <v>114538</v>
      </c>
      <c r="EJ231" s="500">
        <v>114538</v>
      </c>
      <c r="EK231" s="500">
        <v>0</v>
      </c>
      <c r="EL231" s="500">
        <v>0</v>
      </c>
      <c r="EM231" s="500">
        <v>0</v>
      </c>
      <c r="EN231" s="500">
        <v>0</v>
      </c>
      <c r="EO231">
        <v>7.6</v>
      </c>
      <c r="EP231">
        <v>1603</v>
      </c>
      <c r="EQ231">
        <v>22800000000</v>
      </c>
      <c r="ER231">
        <v>26644552888.888939</v>
      </c>
      <c r="ES231">
        <v>-10936137241.530525</v>
      </c>
      <c r="ET231">
        <v>4.1814161509999996</v>
      </c>
      <c r="EU231">
        <v>4.0126150132375997</v>
      </c>
      <c r="EV231">
        <v>4.1803991500000004</v>
      </c>
      <c r="EW231">
        <v>21.316319375466701</v>
      </c>
      <c r="EX231">
        <v>0</v>
      </c>
      <c r="EY231">
        <v>0</v>
      </c>
      <c r="EZ231">
        <v>0</v>
      </c>
      <c r="FA231">
        <v>1204433600</v>
      </c>
      <c r="FB231">
        <v>0</v>
      </c>
      <c r="FC231">
        <v>1204433600</v>
      </c>
      <c r="FD231">
        <v>1204433600</v>
      </c>
      <c r="FE231">
        <v>1204433600</v>
      </c>
      <c r="FF231">
        <v>1204433600</v>
      </c>
      <c r="FG231" s="32">
        <f>Bankingbook_SBV[[#This Row],[Mat. Date]]-RPT</f>
        <v>1749</v>
      </c>
      <c r="FH231" s="32">
        <f>IF(Bankingbook_SBV[[#This Row],[Days]]&lt;=0,0,YEARFRAC(RPT,Bankingbook_SBV[[#This Row],[Mat. Date]],3))</f>
        <v>4.7917808219178086</v>
      </c>
      <c r="FI231" s="32" t="str">
        <f>IF(Bankingbook_SBV[[#This Row],[Days (year)]]=0,0,INDEX(Ref!$K$2:$K$13,MATCH(Bankingbook_SBV[[#This Row],[Days (year)]],Ref!$I$2:$I$13,1)))</f>
        <v>5Y</v>
      </c>
      <c r="FJ231" s="32" t="str">
        <f>VLOOKUP(Bankingbook_SBV[[#This Row],[Security Name]],Ref!X:Z,3,0)</f>
        <v>TPCP</v>
      </c>
      <c r="FK231" s="32" t="str">
        <f>VLOOKUP(Bankingbook_SBV[[#This Row],[Security Name]],Ref!X:Y,2,0)</f>
        <v>KBNN</v>
      </c>
      <c r="FL231" s="72">
        <f>IF((Bankingbook_SBV[[#This Row],[Mat. Date]]-RPT)&lt;=0,0,Bankingbook_SBV[[#This Row],[QUANTITY]])</f>
        <v>0</v>
      </c>
      <c r="FM231" s="32">
        <f>IF(Bankingbook_SBV[[#This Row],[Quantity_edited]]=0,0,Bankingbook_SBV[[#This Row],[DURATION]])</f>
        <v>0</v>
      </c>
      <c r="FN231" s="32">
        <f>IF(Bankingbook_SBV[[#This Row],[Quantity_edited]]=0,0,Bankingbook_SBV[[#This Row],[Mod Dur]])</f>
        <v>0</v>
      </c>
      <c r="FO231" s="32">
        <f>IF(Bankingbook_SBV[[#This Row],[Quantity_edited]]=0,0,Bankingbook_SBV[[#This Row],[Cnvx.]])</f>
        <v>0</v>
      </c>
      <c r="FP231" s="32">
        <f>(Bankingbook_SBV[[#This Row],[MARKET_VALUE]]+Bankingbook_SBV[[#This Row],[Accr Int]]*Bankingbook_SBV[[#This Row],[Quantity_edited]])*(-Bankingbook_SBV[[#This Row],[Modified Duration]]*0.0001+0.5*Bankingbook_SBV[[#This Row],[Conv]]*(0.0001^2))</f>
        <v>0</v>
      </c>
      <c r="FQ231" s="32">
        <f>(Bankingbook_SBV[[#This Row],[MARKET_VALUE]]+Bankingbook_SBV[[#This Row],[Accr Int]]*Bankingbook_SBV[[#This Row],[Quantity_edited]])*(-Bankingbook_SBV[[#This Row],[Modified Duration]]*0.01+0.5*Bankingbook_SBV[[#This Row],[Conv]]*(0.01^2))</f>
        <v>0</v>
      </c>
    </row>
    <row r="232" spans="2:173" x14ac:dyDescent="0.3">
      <c r="B232" t="s">
        <v>166</v>
      </c>
      <c r="C232" t="s">
        <v>167</v>
      </c>
      <c r="D232" t="s">
        <v>412</v>
      </c>
      <c r="E232" t="s">
        <v>169</v>
      </c>
      <c r="F232" s="502">
        <v>43725</v>
      </c>
      <c r="G232" t="s">
        <v>3322</v>
      </c>
      <c r="H232"/>
      <c r="I232"/>
      <c r="J232" s="38">
        <v>0</v>
      </c>
      <c r="K232">
        <v>0</v>
      </c>
      <c r="L232">
        <v>0</v>
      </c>
      <c r="M232" s="38">
        <v>0</v>
      </c>
      <c r="N232">
        <v>9</v>
      </c>
      <c r="O232">
        <v>0</v>
      </c>
      <c r="P232" s="37">
        <v>0</v>
      </c>
      <c r="Q232" s="37">
        <v>-1.5E-5</v>
      </c>
      <c r="R232" s="37">
        <v>-304320820.01387024</v>
      </c>
      <c r="S232">
        <v>0</v>
      </c>
      <c r="T232" s="70">
        <v>0</v>
      </c>
      <c r="U232">
        <v>0</v>
      </c>
      <c r="V232">
        <v>0</v>
      </c>
      <c r="W232">
        <v>0</v>
      </c>
      <c r="X232" s="38">
        <v>0</v>
      </c>
      <c r="Y232">
        <v>0</v>
      </c>
      <c r="Z232" s="70">
        <v>-437950000</v>
      </c>
      <c r="AA232" s="70">
        <v>0</v>
      </c>
      <c r="AB232" s="70">
        <v>-437950000</v>
      </c>
      <c r="AC232" s="70">
        <v>-437950000</v>
      </c>
      <c r="AD232" s="70">
        <v>-437950000</v>
      </c>
      <c r="AE232" s="70">
        <v>-437950000</v>
      </c>
      <c r="AF232">
        <v>0</v>
      </c>
      <c r="AG232" s="72">
        <f>Tradingbook_MSB[[#This Row],[Mat. Date]]-RPT</f>
        <v>-2527</v>
      </c>
      <c r="AH232" s="71">
        <f>IF(Tradingbook_MSB[[#This Row],[Days]]&lt;=0,0,YEARFRAC(RPT,Tradingbook_MSB[[#This Row],[Mat. Date]],3))</f>
        <v>0</v>
      </c>
      <c r="AI232" s="71">
        <f>IF(Tradingbook_MSB[[#This Row],[Days (year)]]=0,0,INDEX(Ref!$K$2:$K$13,MATCH(Tradingbook_MSB[[#This Row],[Days (year)]],Ref!$I$2:$I$13,1)))</f>
        <v>0</v>
      </c>
      <c r="AJ232" s="120" t="str">
        <f>VLOOKUP(Tradingbook_MSB[[#This Row],[Security Name]],Ref!X:Z,3,0)</f>
        <v>TPCP</v>
      </c>
      <c r="AK232" s="120" t="str">
        <f>VLOOKUP(Tradingbook_MSB[[#This Row],[Security Name]],Ref!X:Y,2,0)</f>
        <v>VDB</v>
      </c>
      <c r="AL232" s="71">
        <f>IF((Tradingbook_MSB[[#This Row],[Mat. Date]]-RPT)&lt;=0,0,Tradingbook_MSB[[#This Row],[QUANTITY]])</f>
        <v>0</v>
      </c>
      <c r="AM232" s="71">
        <f>IF(Tradingbook_MSB[[#This Row],[Quantity_edited]]=0,0,Tradingbook_MSB[[#This Row],[DURATION]])</f>
        <v>0</v>
      </c>
      <c r="AN232" s="71">
        <f>IF(Tradingbook_MSB[[#This Row],[Quantity_edited]]=0,0,Tradingbook_MSB[[#This Row],[Mod Dur]])</f>
        <v>0</v>
      </c>
      <c r="AO232" s="71">
        <f>IF(Tradingbook_MSB[[#This Row],[Quantity_edited]]=0,0,Tradingbook_MSB[[#This Row],[Cnvx.]])</f>
        <v>0</v>
      </c>
      <c r="AP232" s="71">
        <f>(Tradingbook_MSB[[#This Row],[MARKET_VALUE]]+Tradingbook_MSB[[#This Row],[Accr Int]]*Tradingbook_MSB[[#This Row],[Quantity_edited]])*(-Tradingbook_MSB[[#This Row],[Modified Duration]]*0.0001+0.5*Tradingbook_MSB[[#This Row],[Conv]]*(0.0001^2))</f>
        <v>0</v>
      </c>
      <c r="AQ232" s="72">
        <f>(Tradingbook_MSB[[#This Row],[MARKET_VALUE]]+Tradingbook_MSB[[#This Row],[Accr Int]]*Tradingbook_MSB[[#This Row],[Quantity_edited]])*(-Tradingbook_MSB[[#This Row],[Modified Duration]]*0.01+0.5*Tradingbook_MSB[[#This Row],[Conv]]*(0.01^2))</f>
        <v>0</v>
      </c>
      <c r="AR232" s="71"/>
      <c r="CL232" t="s">
        <v>166</v>
      </c>
      <c r="CM232" t="s">
        <v>167</v>
      </c>
      <c r="CN232" t="s">
        <v>412</v>
      </c>
      <c r="CO232" t="s">
        <v>169</v>
      </c>
      <c r="CP232" s="35">
        <v>43725</v>
      </c>
      <c r="CQ232" t="s">
        <v>3322</v>
      </c>
      <c r="CR232" t="s">
        <v>174</v>
      </c>
      <c r="CS232" t="s">
        <v>174</v>
      </c>
      <c r="CT232" s="49">
        <v>0</v>
      </c>
      <c r="CU232">
        <v>0</v>
      </c>
      <c r="CV232">
        <v>0</v>
      </c>
      <c r="CW232" s="70">
        <v>0</v>
      </c>
      <c r="CX232">
        <v>9</v>
      </c>
      <c r="CY232">
        <v>0</v>
      </c>
      <c r="CZ232">
        <v>0</v>
      </c>
      <c r="DA232">
        <v>-1.5E-5</v>
      </c>
      <c r="DB232">
        <v>-304320820.01387024</v>
      </c>
      <c r="DC232">
        <v>0</v>
      </c>
      <c r="DD232">
        <v>0</v>
      </c>
      <c r="DE232">
        <v>0</v>
      </c>
      <c r="DF232">
        <v>0</v>
      </c>
      <c r="DG232">
        <v>0</v>
      </c>
      <c r="DH232">
        <v>0</v>
      </c>
      <c r="DI232">
        <v>0</v>
      </c>
      <c r="DJ232" s="500">
        <v>-437950000</v>
      </c>
      <c r="DK232" s="500">
        <v>0</v>
      </c>
      <c r="DL232" s="37">
        <v>-437950000</v>
      </c>
      <c r="DM232" s="37">
        <v>-437950000</v>
      </c>
      <c r="DN232" s="37">
        <v>-437950000</v>
      </c>
      <c r="DO232" s="37">
        <v>-437950000</v>
      </c>
      <c r="DP232" s="32">
        <f>Tradingbook_SBV[[#This Row],[Mat. Date]]-RPT</f>
        <v>-2527</v>
      </c>
      <c r="DQ232" s="32">
        <f>IF(Tradingbook_SBV[[#This Row],[Days]]&lt;=0,0,YEARFRAC(RPT,Tradingbook_SBV[[#This Row],[Mat. Date]],3))</f>
        <v>0</v>
      </c>
      <c r="DR232" s="32">
        <f>IF(Tradingbook_SBV[[#This Row],[Days (year)]]=0,0,INDEX(Ref!$K$2:$K$13,MATCH(Tradingbook_SBV[[#This Row],[Days (year)]],Ref!$I$2:$I$13,1)))</f>
        <v>0</v>
      </c>
      <c r="DS232" s="32" t="str">
        <f>VLOOKUP(Tradingbook_SBV[[#This Row],[Security Name]],Ref!X:Z,3,0)</f>
        <v>TPCP</v>
      </c>
      <c r="DT232" s="32" t="str">
        <f>VLOOKUP(Tradingbook_SBV[[#This Row],[Security Name]],Ref!X:Y,2,0)</f>
        <v>VDB</v>
      </c>
      <c r="DU232" s="71">
        <f>IF((Tradingbook_SBV[[#This Row],[Mat. Date]]-RPT)&lt;=0,0,Tradingbook_SBV[[#This Row],[QUANTITY]])</f>
        <v>0</v>
      </c>
      <c r="DV232" s="71">
        <f>IF(Tradingbook_SBV[[#This Row],[Quantity_edited]]=0,0,Tradingbook_SBV[[#This Row],[DURATION]])</f>
        <v>0</v>
      </c>
      <c r="DW232" s="71">
        <f>IF(Tradingbook_SBV[[#This Row],[Quantity_edited]]=0,0,Tradingbook_SBV[[#This Row],[Mod Dur]])</f>
        <v>0</v>
      </c>
      <c r="DX232" s="71">
        <f>IF(Tradingbook_SBV[[#This Row],[Quantity_edited]]=0,0,Tradingbook_SBV[[#This Row],[Cnvx.]])</f>
        <v>0</v>
      </c>
      <c r="DY232" s="71">
        <f>(Tradingbook_SBV[[#This Row],[MARKET_VALUE]]+Tradingbook_SBV[[#This Row],[Accr Int]]*Tradingbook_SBV[[#This Row],[Quantity_edited]])*(-Tradingbook_SBV[[#This Row],[Modified Duration]]*0.0001+0.5*Tradingbook_SBV[[#This Row],[Conv]]*(0.0001^2))</f>
        <v>0</v>
      </c>
      <c r="DZ232" s="71">
        <f>(Tradingbook_SBV[[#This Row],[MARKET_VALUE]]+Tradingbook_SBV[[#This Row],[Accr Int]]*Tradingbook_SBV[[#This Row],[Quantity_edited]])*(-Tradingbook_SBV[[#This Row],[Modified Duration]]*0.01+0.5*Tradingbook_SBV[[#This Row],[Conv]]*(0.01^2))</f>
        <v>0</v>
      </c>
      <c r="EC232" t="s">
        <v>166</v>
      </c>
      <c r="ED232" t="s">
        <v>3300</v>
      </c>
      <c r="EE232" t="s">
        <v>639</v>
      </c>
      <c r="EF232" t="s">
        <v>169</v>
      </c>
      <c r="EG232" s="35" t="s">
        <v>3810</v>
      </c>
      <c r="EH232" t="s">
        <v>3322</v>
      </c>
      <c r="EI232" s="500">
        <v>91493</v>
      </c>
      <c r="EJ232" s="500">
        <v>91493</v>
      </c>
      <c r="EK232" s="500">
        <v>0</v>
      </c>
      <c r="EL232" s="500">
        <v>0</v>
      </c>
      <c r="EM232" s="500">
        <v>0</v>
      </c>
      <c r="EN232" s="500">
        <v>0</v>
      </c>
      <c r="EO232">
        <v>2.2000000000000002</v>
      </c>
      <c r="EP232">
        <v>416</v>
      </c>
      <c r="EQ232">
        <v>2200000000</v>
      </c>
      <c r="ER232">
        <v>2411716388.8888922</v>
      </c>
      <c r="ES232">
        <v>-1982625275.9221988</v>
      </c>
      <c r="ET232">
        <v>4.1873502890000003</v>
      </c>
      <c r="EU232">
        <v>4.4041273084675003</v>
      </c>
      <c r="EV232">
        <v>4.5885435499999998</v>
      </c>
      <c r="EW232">
        <v>24.200877633875098</v>
      </c>
      <c r="EX232">
        <v>0</v>
      </c>
      <c r="EY232">
        <v>0</v>
      </c>
      <c r="EZ232">
        <v>0</v>
      </c>
      <c r="FA232">
        <v>-5002500000</v>
      </c>
      <c r="FB232">
        <v>0</v>
      </c>
      <c r="FC232">
        <v>-5002500000</v>
      </c>
      <c r="FD232">
        <v>-5002500000</v>
      </c>
      <c r="FE232">
        <v>-5002500000</v>
      </c>
      <c r="FF232">
        <v>-5002500000</v>
      </c>
      <c r="FG232" s="32">
        <f>Bankingbook_SBV[[#This Row],[Mat. Date]]-RPT</f>
        <v>1757</v>
      </c>
      <c r="FH232" s="32">
        <f>IF(Bankingbook_SBV[[#This Row],[Days]]&lt;=0,0,YEARFRAC(RPT,Bankingbook_SBV[[#This Row],[Mat. Date]],3))</f>
        <v>4.8136986301369866</v>
      </c>
      <c r="FI232" s="32" t="str">
        <f>IF(Bankingbook_SBV[[#This Row],[Days (year)]]=0,0,INDEX(Ref!$K$2:$K$13,MATCH(Bankingbook_SBV[[#This Row],[Days (year)]],Ref!$I$2:$I$13,1)))</f>
        <v>5Y</v>
      </c>
      <c r="FJ232" s="32" t="str">
        <f>VLOOKUP(Bankingbook_SBV[[#This Row],[Security Name]],Ref!X:Z,3,0)</f>
        <v>TPCP</v>
      </c>
      <c r="FK232" s="32" t="str">
        <f>VLOOKUP(Bankingbook_SBV[[#This Row],[Security Name]],Ref!X:Y,2,0)</f>
        <v>KBNN</v>
      </c>
      <c r="FL232" s="72">
        <f>IF((Bankingbook_SBV[[#This Row],[Mat. Date]]-RPT)&lt;=0,0,Bankingbook_SBV[[#This Row],[QUANTITY]])</f>
        <v>0</v>
      </c>
      <c r="FM232" s="32">
        <f>IF(Bankingbook_SBV[[#This Row],[Quantity_edited]]=0,0,Bankingbook_SBV[[#This Row],[DURATION]])</f>
        <v>0</v>
      </c>
      <c r="FN232" s="32">
        <f>IF(Bankingbook_SBV[[#This Row],[Quantity_edited]]=0,0,Bankingbook_SBV[[#This Row],[Mod Dur]])</f>
        <v>0</v>
      </c>
      <c r="FO232" s="32">
        <f>IF(Bankingbook_SBV[[#This Row],[Quantity_edited]]=0,0,Bankingbook_SBV[[#This Row],[Cnvx.]])</f>
        <v>0</v>
      </c>
      <c r="FP232" s="32">
        <f>(Bankingbook_SBV[[#This Row],[MARKET_VALUE]]+Bankingbook_SBV[[#This Row],[Accr Int]]*Bankingbook_SBV[[#This Row],[Quantity_edited]])*(-Bankingbook_SBV[[#This Row],[Modified Duration]]*0.0001+0.5*Bankingbook_SBV[[#This Row],[Conv]]*(0.0001^2))</f>
        <v>0</v>
      </c>
      <c r="FQ232" s="32">
        <f>(Bankingbook_SBV[[#This Row],[MARKET_VALUE]]+Bankingbook_SBV[[#This Row],[Accr Int]]*Bankingbook_SBV[[#This Row],[Quantity_edited]])*(-Bankingbook_SBV[[#This Row],[Modified Duration]]*0.01+0.5*Bankingbook_SBV[[#This Row],[Conv]]*(0.01^2))</f>
        <v>0</v>
      </c>
    </row>
    <row r="233" spans="2:173" x14ac:dyDescent="0.3">
      <c r="B233" t="s">
        <v>166</v>
      </c>
      <c r="C233" t="s">
        <v>167</v>
      </c>
      <c r="D233" t="s">
        <v>413</v>
      </c>
      <c r="E233" t="s">
        <v>169</v>
      </c>
      <c r="F233" s="502">
        <v>43751</v>
      </c>
      <c r="G233" t="s">
        <v>3322</v>
      </c>
      <c r="H233"/>
      <c r="I233"/>
      <c r="J233" s="38">
        <v>0</v>
      </c>
      <c r="K233">
        <v>0</v>
      </c>
      <c r="L233">
        <v>0</v>
      </c>
      <c r="M233" s="38">
        <v>0</v>
      </c>
      <c r="N233">
        <v>9</v>
      </c>
      <c r="O233">
        <v>0</v>
      </c>
      <c r="P233" s="37">
        <v>0</v>
      </c>
      <c r="Q233" s="37">
        <v>-3.1000000000000001E-5</v>
      </c>
      <c r="R233" s="37">
        <v>-798237515.62493515</v>
      </c>
      <c r="S233">
        <v>0</v>
      </c>
      <c r="T233" s="70">
        <v>0</v>
      </c>
      <c r="U233">
        <v>0</v>
      </c>
      <c r="V233">
        <v>0</v>
      </c>
      <c r="W233">
        <v>0</v>
      </c>
      <c r="X233" s="38">
        <v>0</v>
      </c>
      <c r="Y233">
        <v>0</v>
      </c>
      <c r="Z233" s="70">
        <v>-784500000</v>
      </c>
      <c r="AA233" s="70">
        <v>0</v>
      </c>
      <c r="AB233" s="70">
        <v>-784500000</v>
      </c>
      <c r="AC233" s="70">
        <v>-784500000</v>
      </c>
      <c r="AD233" s="70">
        <v>-784500000</v>
      </c>
      <c r="AE233" s="70">
        <v>-784500000</v>
      </c>
      <c r="AF233">
        <v>0</v>
      </c>
      <c r="AG233" s="72">
        <f>Tradingbook_MSB[[#This Row],[Mat. Date]]-RPT</f>
        <v>-2501</v>
      </c>
      <c r="AH233" s="71">
        <f>IF(Tradingbook_MSB[[#This Row],[Days]]&lt;=0,0,YEARFRAC(RPT,Tradingbook_MSB[[#This Row],[Mat. Date]],3))</f>
        <v>0</v>
      </c>
      <c r="AI233" s="71">
        <f>IF(Tradingbook_MSB[[#This Row],[Days (year)]]=0,0,INDEX(Ref!$K$2:$K$13,MATCH(Tradingbook_MSB[[#This Row],[Days (year)]],Ref!$I$2:$I$13,1)))</f>
        <v>0</v>
      </c>
      <c r="AJ233" s="120" t="str">
        <f>VLOOKUP(Tradingbook_MSB[[#This Row],[Security Name]],Ref!X:Z,3,0)</f>
        <v>TPCP</v>
      </c>
      <c r="AK233" s="120" t="str">
        <f>VLOOKUP(Tradingbook_MSB[[#This Row],[Security Name]],Ref!X:Y,2,0)</f>
        <v>VDB</v>
      </c>
      <c r="AL233" s="71">
        <f>IF((Tradingbook_MSB[[#This Row],[Mat. Date]]-RPT)&lt;=0,0,Tradingbook_MSB[[#This Row],[QUANTITY]])</f>
        <v>0</v>
      </c>
      <c r="AM233" s="71">
        <f>IF(Tradingbook_MSB[[#This Row],[Quantity_edited]]=0,0,Tradingbook_MSB[[#This Row],[DURATION]])</f>
        <v>0</v>
      </c>
      <c r="AN233" s="71">
        <f>IF(Tradingbook_MSB[[#This Row],[Quantity_edited]]=0,0,Tradingbook_MSB[[#This Row],[Mod Dur]])</f>
        <v>0</v>
      </c>
      <c r="AO233" s="71">
        <f>IF(Tradingbook_MSB[[#This Row],[Quantity_edited]]=0,0,Tradingbook_MSB[[#This Row],[Cnvx.]])</f>
        <v>0</v>
      </c>
      <c r="AP233" s="71">
        <f>(Tradingbook_MSB[[#This Row],[MARKET_VALUE]]+Tradingbook_MSB[[#This Row],[Accr Int]]*Tradingbook_MSB[[#This Row],[Quantity_edited]])*(-Tradingbook_MSB[[#This Row],[Modified Duration]]*0.0001+0.5*Tradingbook_MSB[[#This Row],[Conv]]*(0.0001^2))</f>
        <v>0</v>
      </c>
      <c r="AQ233" s="72">
        <f>(Tradingbook_MSB[[#This Row],[MARKET_VALUE]]+Tradingbook_MSB[[#This Row],[Accr Int]]*Tradingbook_MSB[[#This Row],[Quantity_edited]])*(-Tradingbook_MSB[[#This Row],[Modified Duration]]*0.01+0.5*Tradingbook_MSB[[#This Row],[Conv]]*(0.01^2))</f>
        <v>0</v>
      </c>
      <c r="AR233" s="71"/>
      <c r="CL233" t="s">
        <v>166</v>
      </c>
      <c r="CM233" t="s">
        <v>167</v>
      </c>
      <c r="CN233" t="s">
        <v>413</v>
      </c>
      <c r="CO233" t="s">
        <v>169</v>
      </c>
      <c r="CP233" s="35">
        <v>43751</v>
      </c>
      <c r="CQ233" t="s">
        <v>3322</v>
      </c>
      <c r="CR233" t="s">
        <v>174</v>
      </c>
      <c r="CS233" t="s">
        <v>174</v>
      </c>
      <c r="CT233" s="49">
        <v>0</v>
      </c>
      <c r="CU233">
        <v>0</v>
      </c>
      <c r="CV233">
        <v>0</v>
      </c>
      <c r="CW233" s="70">
        <v>0</v>
      </c>
      <c r="CX233">
        <v>9</v>
      </c>
      <c r="CY233">
        <v>0</v>
      </c>
      <c r="CZ233">
        <v>0</v>
      </c>
      <c r="DA233">
        <v>-3.1000000000000001E-5</v>
      </c>
      <c r="DB233">
        <v>-798237515.62493515</v>
      </c>
      <c r="DC233">
        <v>0</v>
      </c>
      <c r="DD233">
        <v>0</v>
      </c>
      <c r="DE233">
        <v>0</v>
      </c>
      <c r="DF233">
        <v>0</v>
      </c>
      <c r="DG233">
        <v>0</v>
      </c>
      <c r="DH233">
        <v>0</v>
      </c>
      <c r="DI233">
        <v>0</v>
      </c>
      <c r="DJ233" s="500">
        <v>-784500000</v>
      </c>
      <c r="DK233" s="500">
        <v>0</v>
      </c>
      <c r="DL233" s="37">
        <v>-784500000</v>
      </c>
      <c r="DM233" s="37">
        <v>-784500000</v>
      </c>
      <c r="DN233" s="37">
        <v>-784500000</v>
      </c>
      <c r="DO233" s="37">
        <v>-784500000</v>
      </c>
      <c r="DP233" s="32">
        <f>Tradingbook_SBV[[#This Row],[Mat. Date]]-RPT</f>
        <v>-2501</v>
      </c>
      <c r="DQ233" s="32">
        <f>IF(Tradingbook_SBV[[#This Row],[Days]]&lt;=0,0,YEARFRAC(RPT,Tradingbook_SBV[[#This Row],[Mat. Date]],3))</f>
        <v>0</v>
      </c>
      <c r="DR233" s="32">
        <f>IF(Tradingbook_SBV[[#This Row],[Days (year)]]=0,0,INDEX(Ref!$K$2:$K$13,MATCH(Tradingbook_SBV[[#This Row],[Days (year)]],Ref!$I$2:$I$13,1)))</f>
        <v>0</v>
      </c>
      <c r="DS233" s="32" t="str">
        <f>VLOOKUP(Tradingbook_SBV[[#This Row],[Security Name]],Ref!X:Z,3,0)</f>
        <v>TPCP</v>
      </c>
      <c r="DT233" s="32" t="str">
        <f>VLOOKUP(Tradingbook_SBV[[#This Row],[Security Name]],Ref!X:Y,2,0)</f>
        <v>VDB</v>
      </c>
      <c r="DU233" s="71">
        <f>IF((Tradingbook_SBV[[#This Row],[Mat. Date]]-RPT)&lt;=0,0,Tradingbook_SBV[[#This Row],[QUANTITY]])</f>
        <v>0</v>
      </c>
      <c r="DV233" s="71">
        <f>IF(Tradingbook_SBV[[#This Row],[Quantity_edited]]=0,0,Tradingbook_SBV[[#This Row],[DURATION]])</f>
        <v>0</v>
      </c>
      <c r="DW233" s="71">
        <f>IF(Tradingbook_SBV[[#This Row],[Quantity_edited]]=0,0,Tradingbook_SBV[[#This Row],[Mod Dur]])</f>
        <v>0</v>
      </c>
      <c r="DX233" s="71">
        <f>IF(Tradingbook_SBV[[#This Row],[Quantity_edited]]=0,0,Tradingbook_SBV[[#This Row],[Cnvx.]])</f>
        <v>0</v>
      </c>
      <c r="DY233" s="71">
        <f>(Tradingbook_SBV[[#This Row],[MARKET_VALUE]]+Tradingbook_SBV[[#This Row],[Accr Int]]*Tradingbook_SBV[[#This Row],[Quantity_edited]])*(-Tradingbook_SBV[[#This Row],[Modified Duration]]*0.0001+0.5*Tradingbook_SBV[[#This Row],[Conv]]*(0.0001^2))</f>
        <v>0</v>
      </c>
      <c r="DZ233" s="71">
        <f>(Tradingbook_SBV[[#This Row],[MARKET_VALUE]]+Tradingbook_SBV[[#This Row],[Accr Int]]*Tradingbook_SBV[[#This Row],[Quantity_edited]])*(-Tradingbook_SBV[[#This Row],[Modified Duration]]*0.01+0.5*Tradingbook_SBV[[#This Row],[Conv]]*(0.01^2))</f>
        <v>0</v>
      </c>
      <c r="EC233" t="s">
        <v>166</v>
      </c>
      <c r="ED233" t="s">
        <v>3300</v>
      </c>
      <c r="EE233" t="s">
        <v>618</v>
      </c>
      <c r="EF233" t="s">
        <v>169</v>
      </c>
      <c r="EG233" s="35" t="s">
        <v>3433</v>
      </c>
      <c r="EH233" t="s">
        <v>3322</v>
      </c>
      <c r="EI233" s="500">
        <v>114401</v>
      </c>
      <c r="EJ233" s="500">
        <v>114401</v>
      </c>
      <c r="EK233" s="500">
        <v>0</v>
      </c>
      <c r="EL233" s="500">
        <v>0</v>
      </c>
      <c r="EM233" s="500">
        <v>0</v>
      </c>
      <c r="EN233" s="500">
        <v>0</v>
      </c>
      <c r="EO233">
        <v>8.1</v>
      </c>
      <c r="EP233">
        <v>1376</v>
      </c>
      <c r="EQ233">
        <v>32400000000</v>
      </c>
      <c r="ER233">
        <v>39759111000.000214</v>
      </c>
      <c r="ES233">
        <v>-3748531365.2780991</v>
      </c>
      <c r="ET233">
        <v>4.6925604339999998</v>
      </c>
      <c r="EU233">
        <v>3.9985322454377998</v>
      </c>
      <c r="EV233">
        <v>4.1861657900000004</v>
      </c>
      <c r="EW233">
        <v>21.2183870166098</v>
      </c>
      <c r="EX233">
        <v>0</v>
      </c>
      <c r="EY233">
        <v>0</v>
      </c>
      <c r="EZ233">
        <v>0</v>
      </c>
      <c r="FA233">
        <v>25054000000</v>
      </c>
      <c r="FB233">
        <v>0</v>
      </c>
      <c r="FC233">
        <v>25054000000</v>
      </c>
      <c r="FD233">
        <v>25054000000</v>
      </c>
      <c r="FE233">
        <v>25054000000</v>
      </c>
      <c r="FF233">
        <v>25054000000</v>
      </c>
      <c r="FG233" s="32">
        <f>Bankingbook_SBV[[#This Row],[Mat. Date]]-RPT</f>
        <v>1764</v>
      </c>
      <c r="FH233" s="32">
        <f>IF(Bankingbook_SBV[[#This Row],[Days]]&lt;=0,0,YEARFRAC(RPT,Bankingbook_SBV[[#This Row],[Mat. Date]],3))</f>
        <v>4.8328767123287673</v>
      </c>
      <c r="FI233" s="32" t="str">
        <f>IF(Bankingbook_SBV[[#This Row],[Days (year)]]=0,0,INDEX(Ref!$K$2:$K$13,MATCH(Bankingbook_SBV[[#This Row],[Days (year)]],Ref!$I$2:$I$13,1)))</f>
        <v>5Y</v>
      </c>
      <c r="FJ233" s="32" t="str">
        <f>VLOOKUP(Bankingbook_SBV[[#This Row],[Security Name]],Ref!X:Z,3,0)</f>
        <v>TPCPBL</v>
      </c>
      <c r="FK233" s="32" t="str">
        <f>VLOOKUP(Bankingbook_SBV[[#This Row],[Security Name]],Ref!X:Y,2,0)</f>
        <v>VBS</v>
      </c>
      <c r="FL233" s="72">
        <f>IF((Bankingbook_SBV[[#This Row],[Mat. Date]]-RPT)&lt;=0,0,Bankingbook_SBV[[#This Row],[QUANTITY]])</f>
        <v>0</v>
      </c>
      <c r="FM233" s="32">
        <f>IF(Bankingbook_SBV[[#This Row],[Quantity_edited]]=0,0,Bankingbook_SBV[[#This Row],[DURATION]])</f>
        <v>0</v>
      </c>
      <c r="FN233" s="32">
        <f>IF(Bankingbook_SBV[[#This Row],[Quantity_edited]]=0,0,Bankingbook_SBV[[#This Row],[Mod Dur]])</f>
        <v>0</v>
      </c>
      <c r="FO233" s="32">
        <f>IF(Bankingbook_SBV[[#This Row],[Quantity_edited]]=0,0,Bankingbook_SBV[[#This Row],[Cnvx.]])</f>
        <v>0</v>
      </c>
      <c r="FP233" s="32">
        <f>(Bankingbook_SBV[[#This Row],[MARKET_VALUE]]+Bankingbook_SBV[[#This Row],[Accr Int]]*Bankingbook_SBV[[#This Row],[Quantity_edited]])*(-Bankingbook_SBV[[#This Row],[Modified Duration]]*0.0001+0.5*Bankingbook_SBV[[#This Row],[Conv]]*(0.0001^2))</f>
        <v>0</v>
      </c>
      <c r="FQ233" s="32">
        <f>(Bankingbook_SBV[[#This Row],[MARKET_VALUE]]+Bankingbook_SBV[[#This Row],[Accr Int]]*Bankingbook_SBV[[#This Row],[Quantity_edited]])*(-Bankingbook_SBV[[#This Row],[Modified Duration]]*0.01+0.5*Bankingbook_SBV[[#This Row],[Conv]]*(0.01^2))</f>
        <v>0</v>
      </c>
    </row>
    <row r="234" spans="2:173" x14ac:dyDescent="0.3">
      <c r="B234" t="s">
        <v>166</v>
      </c>
      <c r="C234" t="s">
        <v>167</v>
      </c>
      <c r="D234" t="s">
        <v>415</v>
      </c>
      <c r="E234" t="s">
        <v>169</v>
      </c>
      <c r="F234" s="502">
        <v>43751</v>
      </c>
      <c r="G234" t="s">
        <v>3322</v>
      </c>
      <c r="H234"/>
      <c r="I234"/>
      <c r="J234" s="38">
        <v>0</v>
      </c>
      <c r="K234">
        <v>0</v>
      </c>
      <c r="L234">
        <v>0</v>
      </c>
      <c r="M234" s="38">
        <v>0</v>
      </c>
      <c r="N234">
        <v>5.6</v>
      </c>
      <c r="O234">
        <v>0</v>
      </c>
      <c r="P234" s="37">
        <v>0</v>
      </c>
      <c r="Q234" s="37">
        <v>0</v>
      </c>
      <c r="R234" s="37">
        <v>-305215136.66664505</v>
      </c>
      <c r="S234">
        <v>0</v>
      </c>
      <c r="T234" s="70">
        <v>0</v>
      </c>
      <c r="U234">
        <v>0</v>
      </c>
      <c r="V234">
        <v>0</v>
      </c>
      <c r="W234">
        <v>0</v>
      </c>
      <c r="X234" s="38">
        <v>0</v>
      </c>
      <c r="Y234">
        <v>0</v>
      </c>
      <c r="Z234" s="70">
        <v>-19000000</v>
      </c>
      <c r="AA234" s="70">
        <v>0</v>
      </c>
      <c r="AB234" s="70">
        <v>-19000000</v>
      </c>
      <c r="AC234" s="70">
        <v>-19000000</v>
      </c>
      <c r="AD234" s="70">
        <v>-19000000</v>
      </c>
      <c r="AE234" s="70">
        <v>-19000000</v>
      </c>
      <c r="AF234">
        <v>0</v>
      </c>
      <c r="AG234" s="72">
        <f>Tradingbook_MSB[[#This Row],[Mat. Date]]-RPT</f>
        <v>-2501</v>
      </c>
      <c r="AH234" s="71">
        <f>IF(Tradingbook_MSB[[#This Row],[Days]]&lt;=0,0,YEARFRAC(RPT,Tradingbook_MSB[[#This Row],[Mat. Date]],3))</f>
        <v>0</v>
      </c>
      <c r="AI234" s="71">
        <f>IF(Tradingbook_MSB[[#This Row],[Days (year)]]=0,0,INDEX(Ref!$K$2:$K$13,MATCH(Tradingbook_MSB[[#This Row],[Days (year)]],Ref!$I$2:$I$13,1)))</f>
        <v>0</v>
      </c>
      <c r="AJ234" s="120" t="str">
        <f>VLOOKUP(Tradingbook_MSB[[#This Row],[Security Name]],Ref!X:Z,3,0)</f>
        <v>TPCQĐP</v>
      </c>
      <c r="AK234" s="120" t="str">
        <f>VLOOKUP(Tradingbook_MSB[[#This Row],[Security Name]],Ref!X:Y,2,0)</f>
        <v>DNGTP</v>
      </c>
      <c r="AL234" s="71">
        <f>IF((Tradingbook_MSB[[#This Row],[Mat. Date]]-RPT)&lt;=0,0,Tradingbook_MSB[[#This Row],[QUANTITY]])</f>
        <v>0</v>
      </c>
      <c r="AM234" s="71">
        <f>IF(Tradingbook_MSB[[#This Row],[Quantity_edited]]=0,0,Tradingbook_MSB[[#This Row],[DURATION]])</f>
        <v>0</v>
      </c>
      <c r="AN234" s="71">
        <f>IF(Tradingbook_MSB[[#This Row],[Quantity_edited]]=0,0,Tradingbook_MSB[[#This Row],[Mod Dur]])</f>
        <v>0</v>
      </c>
      <c r="AO234" s="71">
        <f>IF(Tradingbook_MSB[[#This Row],[Quantity_edited]]=0,0,Tradingbook_MSB[[#This Row],[Cnvx.]])</f>
        <v>0</v>
      </c>
      <c r="AP234" s="71">
        <f>(Tradingbook_MSB[[#This Row],[MARKET_VALUE]]+Tradingbook_MSB[[#This Row],[Accr Int]]*Tradingbook_MSB[[#This Row],[Quantity_edited]])*(-Tradingbook_MSB[[#This Row],[Modified Duration]]*0.0001+0.5*Tradingbook_MSB[[#This Row],[Conv]]*(0.0001^2))</f>
        <v>0</v>
      </c>
      <c r="AQ234" s="72">
        <f>(Tradingbook_MSB[[#This Row],[MARKET_VALUE]]+Tradingbook_MSB[[#This Row],[Accr Int]]*Tradingbook_MSB[[#This Row],[Quantity_edited]])*(-Tradingbook_MSB[[#This Row],[Modified Duration]]*0.01+0.5*Tradingbook_MSB[[#This Row],[Conv]]*(0.01^2))</f>
        <v>0</v>
      </c>
      <c r="AR234" s="71"/>
      <c r="CL234" t="s">
        <v>166</v>
      </c>
      <c r="CM234" t="s">
        <v>167</v>
      </c>
      <c r="CN234" t="s">
        <v>415</v>
      </c>
      <c r="CO234" t="s">
        <v>169</v>
      </c>
      <c r="CP234" s="35">
        <v>43751</v>
      </c>
      <c r="CQ234" t="s">
        <v>3322</v>
      </c>
      <c r="CR234" t="s">
        <v>174</v>
      </c>
      <c r="CS234" t="s">
        <v>174</v>
      </c>
      <c r="CT234" s="49">
        <v>0</v>
      </c>
      <c r="CU234">
        <v>0</v>
      </c>
      <c r="CV234">
        <v>0</v>
      </c>
      <c r="CW234" s="70">
        <v>0</v>
      </c>
      <c r="CX234">
        <v>5.6</v>
      </c>
      <c r="CY234">
        <v>0</v>
      </c>
      <c r="CZ234">
        <v>0</v>
      </c>
      <c r="DA234">
        <v>0</v>
      </c>
      <c r="DB234">
        <v>-305215136.66664505</v>
      </c>
      <c r="DC234">
        <v>0</v>
      </c>
      <c r="DD234">
        <v>0</v>
      </c>
      <c r="DE234">
        <v>0</v>
      </c>
      <c r="DF234">
        <v>0</v>
      </c>
      <c r="DG234">
        <v>0</v>
      </c>
      <c r="DH234">
        <v>0</v>
      </c>
      <c r="DI234">
        <v>0</v>
      </c>
      <c r="DJ234" s="500">
        <v>-19000000</v>
      </c>
      <c r="DK234" s="500">
        <v>0</v>
      </c>
      <c r="DL234" s="37">
        <v>-19000000</v>
      </c>
      <c r="DM234" s="37">
        <v>-19000000</v>
      </c>
      <c r="DN234" s="37">
        <v>-19000000</v>
      </c>
      <c r="DO234" s="37">
        <v>-19000000</v>
      </c>
      <c r="DP234" s="32">
        <f>Tradingbook_SBV[[#This Row],[Mat. Date]]-RPT</f>
        <v>-2501</v>
      </c>
      <c r="DQ234" s="32">
        <f>IF(Tradingbook_SBV[[#This Row],[Days]]&lt;=0,0,YEARFRAC(RPT,Tradingbook_SBV[[#This Row],[Mat. Date]],3))</f>
        <v>0</v>
      </c>
      <c r="DR234" s="32">
        <f>IF(Tradingbook_SBV[[#This Row],[Days (year)]]=0,0,INDEX(Ref!$K$2:$K$13,MATCH(Tradingbook_SBV[[#This Row],[Days (year)]],Ref!$I$2:$I$13,1)))</f>
        <v>0</v>
      </c>
      <c r="DS234" s="32" t="str">
        <f>VLOOKUP(Tradingbook_SBV[[#This Row],[Security Name]],Ref!X:Z,3,0)</f>
        <v>TPCQĐP</v>
      </c>
      <c r="DT234" s="32" t="str">
        <f>VLOOKUP(Tradingbook_SBV[[#This Row],[Security Name]],Ref!X:Y,2,0)</f>
        <v>DNGTP</v>
      </c>
      <c r="DU234" s="71">
        <f>IF((Tradingbook_SBV[[#This Row],[Mat. Date]]-RPT)&lt;=0,0,Tradingbook_SBV[[#This Row],[QUANTITY]])</f>
        <v>0</v>
      </c>
      <c r="DV234" s="71">
        <f>IF(Tradingbook_SBV[[#This Row],[Quantity_edited]]=0,0,Tradingbook_SBV[[#This Row],[DURATION]])</f>
        <v>0</v>
      </c>
      <c r="DW234" s="71">
        <f>IF(Tradingbook_SBV[[#This Row],[Quantity_edited]]=0,0,Tradingbook_SBV[[#This Row],[Mod Dur]])</f>
        <v>0</v>
      </c>
      <c r="DX234" s="71">
        <f>IF(Tradingbook_SBV[[#This Row],[Quantity_edited]]=0,0,Tradingbook_SBV[[#This Row],[Cnvx.]])</f>
        <v>0</v>
      </c>
      <c r="DY234" s="71">
        <f>(Tradingbook_SBV[[#This Row],[MARKET_VALUE]]+Tradingbook_SBV[[#This Row],[Accr Int]]*Tradingbook_SBV[[#This Row],[Quantity_edited]])*(-Tradingbook_SBV[[#This Row],[Modified Duration]]*0.0001+0.5*Tradingbook_SBV[[#This Row],[Conv]]*(0.0001^2))</f>
        <v>0</v>
      </c>
      <c r="DZ234" s="71">
        <f>(Tradingbook_SBV[[#This Row],[MARKET_VALUE]]+Tradingbook_SBV[[#This Row],[Accr Int]]*Tradingbook_SBV[[#This Row],[Quantity_edited]])*(-Tradingbook_SBV[[#This Row],[Modified Duration]]*0.01+0.5*Tradingbook_SBV[[#This Row],[Conv]]*(0.01^2))</f>
        <v>0</v>
      </c>
      <c r="EC234" t="s">
        <v>166</v>
      </c>
      <c r="ED234" t="s">
        <v>3300</v>
      </c>
      <c r="EE234" t="s">
        <v>619</v>
      </c>
      <c r="EF234" t="s">
        <v>169</v>
      </c>
      <c r="EG234" s="35" t="s">
        <v>3434</v>
      </c>
      <c r="EH234" t="s">
        <v>3322</v>
      </c>
      <c r="EI234" s="500">
        <v>114422</v>
      </c>
      <c r="EJ234" s="500">
        <v>114422</v>
      </c>
      <c r="EK234" s="500">
        <v>0</v>
      </c>
      <c r="EL234" s="500">
        <v>0</v>
      </c>
      <c r="EM234" s="500">
        <v>0</v>
      </c>
      <c r="EN234" s="500">
        <v>0</v>
      </c>
      <c r="EO234">
        <v>8.1</v>
      </c>
      <c r="EP234">
        <v>1265</v>
      </c>
      <c r="EQ234">
        <v>32400000000</v>
      </c>
      <c r="ER234">
        <v>39752113500.000214</v>
      </c>
      <c r="ES234">
        <v>-3807220587.9169884</v>
      </c>
      <c r="ET234">
        <v>4.696286422</v>
      </c>
      <c r="EU234">
        <v>4.0114215378628</v>
      </c>
      <c r="EV234">
        <v>4.1998093799999996</v>
      </c>
      <c r="EW234">
        <v>21.333812984971299</v>
      </c>
      <c r="EX234">
        <v>0</v>
      </c>
      <c r="EY234">
        <v>0</v>
      </c>
      <c r="EZ234">
        <v>0</v>
      </c>
      <c r="FA234">
        <v>25062000000</v>
      </c>
      <c r="FB234">
        <v>0</v>
      </c>
      <c r="FC234">
        <v>25062000000</v>
      </c>
      <c r="FD234">
        <v>25062000000</v>
      </c>
      <c r="FE234">
        <v>25062000000</v>
      </c>
      <c r="FF234">
        <v>25062000000</v>
      </c>
      <c r="FG234" s="32">
        <f>Bankingbook_SBV[[#This Row],[Mat. Date]]-RPT</f>
        <v>1769</v>
      </c>
      <c r="FH234" s="32">
        <f>IF(Bankingbook_SBV[[#This Row],[Days]]&lt;=0,0,YEARFRAC(RPT,Bankingbook_SBV[[#This Row],[Mat. Date]],3))</f>
        <v>4.8465753424657532</v>
      </c>
      <c r="FI234" s="32" t="str">
        <f>IF(Bankingbook_SBV[[#This Row],[Days (year)]]=0,0,INDEX(Ref!$K$2:$K$13,MATCH(Bankingbook_SBV[[#This Row],[Days (year)]],Ref!$I$2:$I$13,1)))</f>
        <v>5Y</v>
      </c>
      <c r="FJ234" s="32" t="str">
        <f>VLOOKUP(Bankingbook_SBV[[#This Row],[Security Name]],Ref!X:Z,3,0)</f>
        <v>TPCPBL</v>
      </c>
      <c r="FK234" s="32" t="str">
        <f>VLOOKUP(Bankingbook_SBV[[#This Row],[Security Name]],Ref!X:Y,2,0)</f>
        <v>VBS</v>
      </c>
      <c r="FL234" s="72">
        <f>IF((Bankingbook_SBV[[#This Row],[Mat. Date]]-RPT)&lt;=0,0,Bankingbook_SBV[[#This Row],[QUANTITY]])</f>
        <v>0</v>
      </c>
      <c r="FM234" s="32">
        <f>IF(Bankingbook_SBV[[#This Row],[Quantity_edited]]=0,0,Bankingbook_SBV[[#This Row],[DURATION]])</f>
        <v>0</v>
      </c>
      <c r="FN234" s="32">
        <f>IF(Bankingbook_SBV[[#This Row],[Quantity_edited]]=0,0,Bankingbook_SBV[[#This Row],[Mod Dur]])</f>
        <v>0</v>
      </c>
      <c r="FO234" s="32">
        <f>IF(Bankingbook_SBV[[#This Row],[Quantity_edited]]=0,0,Bankingbook_SBV[[#This Row],[Cnvx.]])</f>
        <v>0</v>
      </c>
      <c r="FP234" s="32">
        <f>(Bankingbook_SBV[[#This Row],[MARKET_VALUE]]+Bankingbook_SBV[[#This Row],[Accr Int]]*Bankingbook_SBV[[#This Row],[Quantity_edited]])*(-Bankingbook_SBV[[#This Row],[Modified Duration]]*0.0001+0.5*Bankingbook_SBV[[#This Row],[Conv]]*(0.0001^2))</f>
        <v>0</v>
      </c>
      <c r="FQ234" s="32">
        <f>(Bankingbook_SBV[[#This Row],[MARKET_VALUE]]+Bankingbook_SBV[[#This Row],[Accr Int]]*Bankingbook_SBV[[#This Row],[Quantity_edited]])*(-Bankingbook_SBV[[#This Row],[Modified Duration]]*0.01+0.5*Bankingbook_SBV[[#This Row],[Conv]]*(0.01^2))</f>
        <v>0</v>
      </c>
    </row>
    <row r="235" spans="2:173" x14ac:dyDescent="0.3">
      <c r="B235" t="s">
        <v>166</v>
      </c>
      <c r="C235" t="s">
        <v>167</v>
      </c>
      <c r="D235" t="s">
        <v>416</v>
      </c>
      <c r="E235" t="s">
        <v>169</v>
      </c>
      <c r="F235" s="502">
        <v>43759</v>
      </c>
      <c r="G235" t="s">
        <v>3322</v>
      </c>
      <c r="H235"/>
      <c r="I235"/>
      <c r="J235" s="38">
        <v>0</v>
      </c>
      <c r="K235">
        <v>0</v>
      </c>
      <c r="L235">
        <v>0</v>
      </c>
      <c r="M235" s="38">
        <v>0</v>
      </c>
      <c r="N235">
        <v>9</v>
      </c>
      <c r="O235">
        <v>0</v>
      </c>
      <c r="P235" s="37">
        <v>0</v>
      </c>
      <c r="Q235" s="37">
        <v>-1.5E-5</v>
      </c>
      <c r="R235" s="37">
        <v>-376854909.33330536</v>
      </c>
      <c r="S235">
        <v>0</v>
      </c>
      <c r="T235" s="70">
        <v>0</v>
      </c>
      <c r="U235">
        <v>0</v>
      </c>
      <c r="V235">
        <v>0</v>
      </c>
      <c r="W235">
        <v>0</v>
      </c>
      <c r="X235" s="38">
        <v>0</v>
      </c>
      <c r="Y235">
        <v>0</v>
      </c>
      <c r="Z235" s="70">
        <v>-573600000</v>
      </c>
      <c r="AA235" s="70">
        <v>0</v>
      </c>
      <c r="AB235" s="70">
        <v>-573600000</v>
      </c>
      <c r="AC235" s="70">
        <v>-573600000</v>
      </c>
      <c r="AD235" s="70">
        <v>-573600000</v>
      </c>
      <c r="AE235" s="70">
        <v>-573600000</v>
      </c>
      <c r="AF235">
        <v>0</v>
      </c>
      <c r="AG235" s="72">
        <f>Tradingbook_MSB[[#This Row],[Mat. Date]]-RPT</f>
        <v>-2493</v>
      </c>
      <c r="AH235" s="71">
        <f>IF(Tradingbook_MSB[[#This Row],[Days]]&lt;=0,0,YEARFRAC(RPT,Tradingbook_MSB[[#This Row],[Mat. Date]],3))</f>
        <v>0</v>
      </c>
      <c r="AI235" s="71">
        <f>IF(Tradingbook_MSB[[#This Row],[Days (year)]]=0,0,INDEX(Ref!$K$2:$K$13,MATCH(Tradingbook_MSB[[#This Row],[Days (year)]],Ref!$I$2:$I$13,1)))</f>
        <v>0</v>
      </c>
      <c r="AJ235" s="120" t="str">
        <f>VLOOKUP(Tradingbook_MSB[[#This Row],[Security Name]],Ref!X:Z,3,0)</f>
        <v>TPCP</v>
      </c>
      <c r="AK235" s="120" t="str">
        <f>VLOOKUP(Tradingbook_MSB[[#This Row],[Security Name]],Ref!X:Y,2,0)</f>
        <v>VDB</v>
      </c>
      <c r="AL235" s="71">
        <f>IF((Tradingbook_MSB[[#This Row],[Mat. Date]]-RPT)&lt;=0,0,Tradingbook_MSB[[#This Row],[QUANTITY]])</f>
        <v>0</v>
      </c>
      <c r="AM235" s="71">
        <f>IF(Tradingbook_MSB[[#This Row],[Quantity_edited]]=0,0,Tradingbook_MSB[[#This Row],[DURATION]])</f>
        <v>0</v>
      </c>
      <c r="AN235" s="71">
        <f>IF(Tradingbook_MSB[[#This Row],[Quantity_edited]]=0,0,Tradingbook_MSB[[#This Row],[Mod Dur]])</f>
        <v>0</v>
      </c>
      <c r="AO235" s="71">
        <f>IF(Tradingbook_MSB[[#This Row],[Quantity_edited]]=0,0,Tradingbook_MSB[[#This Row],[Cnvx.]])</f>
        <v>0</v>
      </c>
      <c r="AP235" s="71">
        <f>(Tradingbook_MSB[[#This Row],[MARKET_VALUE]]+Tradingbook_MSB[[#This Row],[Accr Int]]*Tradingbook_MSB[[#This Row],[Quantity_edited]])*(-Tradingbook_MSB[[#This Row],[Modified Duration]]*0.0001+0.5*Tradingbook_MSB[[#This Row],[Conv]]*(0.0001^2))</f>
        <v>0</v>
      </c>
      <c r="AQ235" s="72">
        <f>(Tradingbook_MSB[[#This Row],[MARKET_VALUE]]+Tradingbook_MSB[[#This Row],[Accr Int]]*Tradingbook_MSB[[#This Row],[Quantity_edited]])*(-Tradingbook_MSB[[#This Row],[Modified Duration]]*0.01+0.5*Tradingbook_MSB[[#This Row],[Conv]]*(0.01^2))</f>
        <v>0</v>
      </c>
      <c r="AR235" s="71"/>
      <c r="CL235" t="s">
        <v>166</v>
      </c>
      <c r="CM235" t="s">
        <v>167</v>
      </c>
      <c r="CN235" t="s">
        <v>416</v>
      </c>
      <c r="CO235" t="s">
        <v>169</v>
      </c>
      <c r="CP235" s="35">
        <v>43759</v>
      </c>
      <c r="CQ235" t="s">
        <v>3322</v>
      </c>
      <c r="CR235" t="s">
        <v>174</v>
      </c>
      <c r="CS235" t="s">
        <v>174</v>
      </c>
      <c r="CT235" s="49">
        <v>0</v>
      </c>
      <c r="CU235">
        <v>0</v>
      </c>
      <c r="CV235">
        <v>0</v>
      </c>
      <c r="CW235" s="70">
        <v>0</v>
      </c>
      <c r="CX235">
        <v>9</v>
      </c>
      <c r="CY235">
        <v>0</v>
      </c>
      <c r="CZ235">
        <v>0</v>
      </c>
      <c r="DA235">
        <v>-1.5E-5</v>
      </c>
      <c r="DB235">
        <v>-376854909.33330536</v>
      </c>
      <c r="DC235">
        <v>0</v>
      </c>
      <c r="DD235">
        <v>0</v>
      </c>
      <c r="DE235">
        <v>0</v>
      </c>
      <c r="DF235">
        <v>0</v>
      </c>
      <c r="DG235">
        <v>0</v>
      </c>
      <c r="DH235">
        <v>0</v>
      </c>
      <c r="DI235">
        <v>0</v>
      </c>
      <c r="DJ235" s="500">
        <v>-573600000</v>
      </c>
      <c r="DK235" s="500">
        <v>0</v>
      </c>
      <c r="DL235" s="37">
        <v>-573600000</v>
      </c>
      <c r="DM235" s="37">
        <v>-573600000</v>
      </c>
      <c r="DN235" s="37">
        <v>-573600000</v>
      </c>
      <c r="DO235" s="37">
        <v>-573600000</v>
      </c>
      <c r="DP235" s="32">
        <f>Tradingbook_SBV[[#This Row],[Mat. Date]]-RPT</f>
        <v>-2493</v>
      </c>
      <c r="DQ235" s="32">
        <f>IF(Tradingbook_SBV[[#This Row],[Days]]&lt;=0,0,YEARFRAC(RPT,Tradingbook_SBV[[#This Row],[Mat. Date]],3))</f>
        <v>0</v>
      </c>
      <c r="DR235" s="32">
        <f>IF(Tradingbook_SBV[[#This Row],[Days (year)]]=0,0,INDEX(Ref!$K$2:$K$13,MATCH(Tradingbook_SBV[[#This Row],[Days (year)]],Ref!$I$2:$I$13,1)))</f>
        <v>0</v>
      </c>
      <c r="DS235" s="32" t="str">
        <f>VLOOKUP(Tradingbook_SBV[[#This Row],[Security Name]],Ref!X:Z,3,0)</f>
        <v>TPCP</v>
      </c>
      <c r="DT235" s="32" t="str">
        <f>VLOOKUP(Tradingbook_SBV[[#This Row],[Security Name]],Ref!X:Y,2,0)</f>
        <v>VDB</v>
      </c>
      <c r="DU235" s="71">
        <f>IF((Tradingbook_SBV[[#This Row],[Mat. Date]]-RPT)&lt;=0,0,Tradingbook_SBV[[#This Row],[QUANTITY]])</f>
        <v>0</v>
      </c>
      <c r="DV235" s="71">
        <f>IF(Tradingbook_SBV[[#This Row],[Quantity_edited]]=0,0,Tradingbook_SBV[[#This Row],[DURATION]])</f>
        <v>0</v>
      </c>
      <c r="DW235" s="71">
        <f>IF(Tradingbook_SBV[[#This Row],[Quantity_edited]]=0,0,Tradingbook_SBV[[#This Row],[Mod Dur]])</f>
        <v>0</v>
      </c>
      <c r="DX235" s="71">
        <f>IF(Tradingbook_SBV[[#This Row],[Quantity_edited]]=0,0,Tradingbook_SBV[[#This Row],[Cnvx.]])</f>
        <v>0</v>
      </c>
      <c r="DY235" s="71">
        <f>(Tradingbook_SBV[[#This Row],[MARKET_VALUE]]+Tradingbook_SBV[[#This Row],[Accr Int]]*Tradingbook_SBV[[#This Row],[Quantity_edited]])*(-Tradingbook_SBV[[#This Row],[Modified Duration]]*0.0001+0.5*Tradingbook_SBV[[#This Row],[Conv]]*(0.0001^2))</f>
        <v>0</v>
      </c>
      <c r="DZ235" s="71">
        <f>(Tradingbook_SBV[[#This Row],[MARKET_VALUE]]+Tradingbook_SBV[[#This Row],[Accr Int]]*Tradingbook_SBV[[#This Row],[Quantity_edited]])*(-Tradingbook_SBV[[#This Row],[Modified Duration]]*0.01+0.5*Tradingbook_SBV[[#This Row],[Conv]]*(0.01^2))</f>
        <v>0</v>
      </c>
      <c r="EC235" t="s">
        <v>166</v>
      </c>
      <c r="ED235" t="s">
        <v>3300</v>
      </c>
      <c r="EE235" t="s">
        <v>640</v>
      </c>
      <c r="EF235" t="s">
        <v>169</v>
      </c>
      <c r="EG235" s="35" t="s">
        <v>3435</v>
      </c>
      <c r="EH235" t="s">
        <v>170</v>
      </c>
      <c r="EI235" s="500">
        <v>91370</v>
      </c>
      <c r="EJ235" s="500">
        <v>91370</v>
      </c>
      <c r="EK235" s="500">
        <v>100000</v>
      </c>
      <c r="EL235" s="500">
        <v>10000000000</v>
      </c>
      <c r="EM235" s="500">
        <v>98399.070999999996</v>
      </c>
      <c r="EN235" s="500">
        <v>9137000000</v>
      </c>
      <c r="EO235">
        <v>2.2000000000000002</v>
      </c>
      <c r="EP235">
        <v>313</v>
      </c>
      <c r="EQ235">
        <v>1118700000</v>
      </c>
      <c r="ER235">
        <v>1212524057.5555019</v>
      </c>
      <c r="ES235">
        <v>-5040724333.374794</v>
      </c>
      <c r="ET235">
        <v>4.1997462160000003</v>
      </c>
      <c r="EU235">
        <v>4.4482299380006003</v>
      </c>
      <c r="EV235">
        <v>4.6350443099999996</v>
      </c>
      <c r="EW235">
        <v>24.6331767604687</v>
      </c>
      <c r="EX235">
        <v>2258.4435449301</v>
      </c>
      <c r="EY235">
        <v>-4078.2706540569998</v>
      </c>
      <c r="EZ235">
        <v>1033.4259999999999</v>
      </c>
      <c r="FA235">
        <v>-16499992865.388954</v>
      </c>
      <c r="FB235">
        <v>-702907134.61094415</v>
      </c>
      <c r="FC235">
        <v>-17202899999.999897</v>
      </c>
      <c r="FD235">
        <v>-17202899999.999897</v>
      </c>
      <c r="FE235">
        <v>-17202900000</v>
      </c>
      <c r="FF235">
        <v>-17202899999.999897</v>
      </c>
      <c r="FG235" s="32">
        <f>Bankingbook_SBV[[#This Row],[Mat. Date]]-RPT</f>
        <v>1774</v>
      </c>
      <c r="FH235" s="32">
        <f>IF(Bankingbook_SBV[[#This Row],[Days]]&lt;=0,0,YEARFRAC(RPT,Bankingbook_SBV[[#This Row],[Mat. Date]],3))</f>
        <v>4.86027397260274</v>
      </c>
      <c r="FI235" s="32" t="str">
        <f>IF(Bankingbook_SBV[[#This Row],[Days (year)]]=0,0,INDEX(Ref!$K$2:$K$13,MATCH(Bankingbook_SBV[[#This Row],[Days (year)]],Ref!$I$2:$I$13,1)))</f>
        <v>5Y</v>
      </c>
      <c r="FJ235" s="32" t="str">
        <f>VLOOKUP(Bankingbook_SBV[[#This Row],[Security Name]],Ref!X:Z,3,0)</f>
        <v>TPCP</v>
      </c>
      <c r="FK235" s="32" t="str">
        <f>VLOOKUP(Bankingbook_SBV[[#This Row],[Security Name]],Ref!X:Y,2,0)</f>
        <v>KBNN</v>
      </c>
      <c r="FL235" s="72">
        <f>IF((Bankingbook_SBV[[#This Row],[Mat. Date]]-RPT)&lt;=0,0,Bankingbook_SBV[[#This Row],[QUANTITY]])</f>
        <v>100000</v>
      </c>
      <c r="FM235" s="32">
        <f>IF(Bankingbook_SBV[[#This Row],[Quantity_edited]]=0,0,Bankingbook_SBV[[#This Row],[DURATION]])</f>
        <v>4.6350443099999996</v>
      </c>
      <c r="FN235" s="32">
        <f>IF(Bankingbook_SBV[[#This Row],[Quantity_edited]]=0,0,Bankingbook_SBV[[#This Row],[Mod Dur]])</f>
        <v>4.4482299380006003</v>
      </c>
      <c r="FO235" s="32">
        <f>IF(Bankingbook_SBV[[#This Row],[Quantity_edited]]=0,0,Bankingbook_SBV[[#This Row],[Cnvx.]])</f>
        <v>24.6331767604687</v>
      </c>
      <c r="FP235" s="32">
        <f>(Bankingbook_SBV[[#This Row],[MARKET_VALUE]]+Bankingbook_SBV[[#This Row],[Accr Int]]*Bankingbook_SBV[[#This Row],[Quantity_edited]])*(-Bankingbook_SBV[[#This Row],[Modified Duration]]*0.0001+0.5*Bankingbook_SBV[[#This Row],[Conv]]*(0.0001^2))</f>
        <v>-4077141.4322846252</v>
      </c>
      <c r="FQ235" s="32">
        <f>(Bankingbook_SBV[[#This Row],[MARKET_VALUE]]+Bankingbook_SBV[[#This Row],[Accr Int]]*Bankingbook_SBV[[#This Row],[Quantity_edited]])*(-Bankingbook_SBV[[#This Row],[Modified Duration]]*0.01+0.5*Bankingbook_SBV[[#This Row],[Conv]]*(0.01^2))</f>
        <v>-396534847.68105882</v>
      </c>
    </row>
    <row r="236" spans="2:173" x14ac:dyDescent="0.3">
      <c r="B236" t="s">
        <v>166</v>
      </c>
      <c r="C236" t="s">
        <v>167</v>
      </c>
      <c r="D236" t="s">
        <v>417</v>
      </c>
      <c r="E236" t="s">
        <v>169</v>
      </c>
      <c r="F236" s="502">
        <v>43769</v>
      </c>
      <c r="G236" t="s">
        <v>3322</v>
      </c>
      <c r="H236"/>
      <c r="I236"/>
      <c r="J236" s="38">
        <v>0</v>
      </c>
      <c r="K236">
        <v>0</v>
      </c>
      <c r="L236">
        <v>0</v>
      </c>
      <c r="M236" s="38">
        <v>0</v>
      </c>
      <c r="N236">
        <v>5</v>
      </c>
      <c r="O236">
        <v>0</v>
      </c>
      <c r="P236" s="37">
        <v>65000000000</v>
      </c>
      <c r="Q236" s="37">
        <v>71094480902.777924</v>
      </c>
      <c r="R236" s="37">
        <v>-46601416386.722237</v>
      </c>
      <c r="S236">
        <v>0</v>
      </c>
      <c r="T236" s="70">
        <v>0</v>
      </c>
      <c r="U236">
        <v>0</v>
      </c>
      <c r="V236">
        <v>0</v>
      </c>
      <c r="W236">
        <v>0</v>
      </c>
      <c r="X236" s="38">
        <v>0</v>
      </c>
      <c r="Y236">
        <v>0</v>
      </c>
      <c r="Z236" s="70">
        <v>26481480000</v>
      </c>
      <c r="AA236" s="70">
        <v>0</v>
      </c>
      <c r="AB236" s="70">
        <v>26481480000</v>
      </c>
      <c r="AC236" s="70">
        <v>26481480000</v>
      </c>
      <c r="AD236" s="70">
        <v>26481480000</v>
      </c>
      <c r="AE236" s="70">
        <v>26481480000</v>
      </c>
      <c r="AF236">
        <v>0</v>
      </c>
      <c r="AG236" s="72">
        <f>Tradingbook_MSB[[#This Row],[Mat. Date]]-RPT</f>
        <v>-2483</v>
      </c>
      <c r="AH236" s="71">
        <f>IF(Tradingbook_MSB[[#This Row],[Days]]&lt;=0,0,YEARFRAC(RPT,Tradingbook_MSB[[#This Row],[Mat. Date]],3))</f>
        <v>0</v>
      </c>
      <c r="AI236" s="71">
        <f>IF(Tradingbook_MSB[[#This Row],[Days (year)]]=0,0,INDEX(Ref!$K$2:$K$13,MATCH(Tradingbook_MSB[[#This Row],[Days (year)]],Ref!$I$2:$I$13,1)))</f>
        <v>0</v>
      </c>
      <c r="AJ236" s="120" t="str">
        <f>VLOOKUP(Tradingbook_MSB[[#This Row],[Security Name]],Ref!X:Z,3,0)</f>
        <v>TPCP</v>
      </c>
      <c r="AK236" s="120" t="str">
        <f>VLOOKUP(Tradingbook_MSB[[#This Row],[Security Name]],Ref!X:Y,2,0)</f>
        <v>KBNN</v>
      </c>
      <c r="AL236" s="71">
        <f>IF((Tradingbook_MSB[[#This Row],[Mat. Date]]-RPT)&lt;=0,0,Tradingbook_MSB[[#This Row],[QUANTITY]])</f>
        <v>0</v>
      </c>
      <c r="AM236" s="71">
        <f>IF(Tradingbook_MSB[[#This Row],[Quantity_edited]]=0,0,Tradingbook_MSB[[#This Row],[DURATION]])</f>
        <v>0</v>
      </c>
      <c r="AN236" s="71">
        <f>IF(Tradingbook_MSB[[#This Row],[Quantity_edited]]=0,0,Tradingbook_MSB[[#This Row],[Mod Dur]])</f>
        <v>0</v>
      </c>
      <c r="AO236" s="71">
        <f>IF(Tradingbook_MSB[[#This Row],[Quantity_edited]]=0,0,Tradingbook_MSB[[#This Row],[Cnvx.]])</f>
        <v>0</v>
      </c>
      <c r="AP236" s="71">
        <f>(Tradingbook_MSB[[#This Row],[MARKET_VALUE]]+Tradingbook_MSB[[#This Row],[Accr Int]]*Tradingbook_MSB[[#This Row],[Quantity_edited]])*(-Tradingbook_MSB[[#This Row],[Modified Duration]]*0.0001+0.5*Tradingbook_MSB[[#This Row],[Conv]]*(0.0001^2))</f>
        <v>0</v>
      </c>
      <c r="AQ236" s="72">
        <f>(Tradingbook_MSB[[#This Row],[MARKET_VALUE]]+Tradingbook_MSB[[#This Row],[Accr Int]]*Tradingbook_MSB[[#This Row],[Quantity_edited]])*(-Tradingbook_MSB[[#This Row],[Modified Duration]]*0.01+0.5*Tradingbook_MSB[[#This Row],[Conv]]*(0.01^2))</f>
        <v>0</v>
      </c>
      <c r="AR236" s="71"/>
      <c r="CL236" t="s">
        <v>166</v>
      </c>
      <c r="CM236" t="s">
        <v>167</v>
      </c>
      <c r="CN236" t="s">
        <v>417</v>
      </c>
      <c r="CO236" t="s">
        <v>169</v>
      </c>
      <c r="CP236" s="35">
        <v>43769</v>
      </c>
      <c r="CQ236" t="s">
        <v>3322</v>
      </c>
      <c r="CR236" t="s">
        <v>174</v>
      </c>
      <c r="CS236" t="s">
        <v>174</v>
      </c>
      <c r="CT236" s="49">
        <v>0</v>
      </c>
      <c r="CU236">
        <v>0</v>
      </c>
      <c r="CV236">
        <v>0</v>
      </c>
      <c r="CW236" s="70">
        <v>0</v>
      </c>
      <c r="CX236">
        <v>5</v>
      </c>
      <c r="CY236">
        <v>0</v>
      </c>
      <c r="CZ236">
        <v>65000000000</v>
      </c>
      <c r="DA236">
        <v>71094480902.777924</v>
      </c>
      <c r="DB236">
        <v>-46780336350.61113</v>
      </c>
      <c r="DC236">
        <v>0</v>
      </c>
      <c r="DD236">
        <v>0</v>
      </c>
      <c r="DE236">
        <v>0</v>
      </c>
      <c r="DF236">
        <v>0</v>
      </c>
      <c r="DG236">
        <v>0</v>
      </c>
      <c r="DH236">
        <v>0</v>
      </c>
      <c r="DI236">
        <v>0</v>
      </c>
      <c r="DJ236" s="500">
        <v>26603980000</v>
      </c>
      <c r="DK236" s="500">
        <v>0</v>
      </c>
      <c r="DL236" s="37">
        <v>26603980000</v>
      </c>
      <c r="DM236" s="37">
        <v>26603980000</v>
      </c>
      <c r="DN236" s="37">
        <v>26603980000</v>
      </c>
      <c r="DO236" s="37">
        <v>26603980000</v>
      </c>
      <c r="DP236" s="32">
        <f>Tradingbook_SBV[[#This Row],[Mat. Date]]-RPT</f>
        <v>-2483</v>
      </c>
      <c r="DQ236" s="32">
        <f>IF(Tradingbook_SBV[[#This Row],[Days]]&lt;=0,0,YEARFRAC(RPT,Tradingbook_SBV[[#This Row],[Mat. Date]],3))</f>
        <v>0</v>
      </c>
      <c r="DR236" s="32">
        <f>IF(Tradingbook_SBV[[#This Row],[Days (year)]]=0,0,INDEX(Ref!$K$2:$K$13,MATCH(Tradingbook_SBV[[#This Row],[Days (year)]],Ref!$I$2:$I$13,1)))</f>
        <v>0</v>
      </c>
      <c r="DS236" s="32" t="str">
        <f>VLOOKUP(Tradingbook_SBV[[#This Row],[Security Name]],Ref!X:Z,3,0)</f>
        <v>TPCP</v>
      </c>
      <c r="DT236" s="32" t="str">
        <f>VLOOKUP(Tradingbook_SBV[[#This Row],[Security Name]],Ref!X:Y,2,0)</f>
        <v>KBNN</v>
      </c>
      <c r="DU236" s="71">
        <f>IF((Tradingbook_SBV[[#This Row],[Mat. Date]]-RPT)&lt;=0,0,Tradingbook_SBV[[#This Row],[QUANTITY]])</f>
        <v>0</v>
      </c>
      <c r="DV236" s="71">
        <f>IF(Tradingbook_SBV[[#This Row],[Quantity_edited]]=0,0,Tradingbook_SBV[[#This Row],[DURATION]])</f>
        <v>0</v>
      </c>
      <c r="DW236" s="71">
        <f>IF(Tradingbook_SBV[[#This Row],[Quantity_edited]]=0,0,Tradingbook_SBV[[#This Row],[Mod Dur]])</f>
        <v>0</v>
      </c>
      <c r="DX236" s="71">
        <f>IF(Tradingbook_SBV[[#This Row],[Quantity_edited]]=0,0,Tradingbook_SBV[[#This Row],[Cnvx.]])</f>
        <v>0</v>
      </c>
      <c r="DY236" s="71">
        <f>(Tradingbook_SBV[[#This Row],[MARKET_VALUE]]+Tradingbook_SBV[[#This Row],[Accr Int]]*Tradingbook_SBV[[#This Row],[Quantity_edited]])*(-Tradingbook_SBV[[#This Row],[Modified Duration]]*0.0001+0.5*Tradingbook_SBV[[#This Row],[Conv]]*(0.0001^2))</f>
        <v>0</v>
      </c>
      <c r="DZ236" s="71">
        <f>(Tradingbook_SBV[[#This Row],[MARKET_VALUE]]+Tradingbook_SBV[[#This Row],[Accr Int]]*Tradingbook_SBV[[#This Row],[Quantity_edited]])*(-Tradingbook_SBV[[#This Row],[Modified Duration]]*0.01+0.5*Tradingbook_SBV[[#This Row],[Conv]]*(0.01^2))</f>
        <v>0</v>
      </c>
      <c r="EC236" t="s">
        <v>166</v>
      </c>
      <c r="ED236" t="s">
        <v>3300</v>
      </c>
      <c r="EE236" t="s">
        <v>641</v>
      </c>
      <c r="EF236" t="s">
        <v>169</v>
      </c>
      <c r="EG236" s="35" t="s">
        <v>3811</v>
      </c>
      <c r="EH236" t="s">
        <v>3322</v>
      </c>
      <c r="EI236" s="500">
        <v>90750</v>
      </c>
      <c r="EJ236" s="500">
        <v>90750</v>
      </c>
      <c r="EK236" s="500">
        <v>0</v>
      </c>
      <c r="EL236" s="500">
        <v>0</v>
      </c>
      <c r="EM236" s="500">
        <v>0</v>
      </c>
      <c r="EN236" s="500">
        <v>0</v>
      </c>
      <c r="EO236">
        <v>2.1</v>
      </c>
      <c r="EP236">
        <v>155</v>
      </c>
      <c r="EQ236">
        <v>0</v>
      </c>
      <c r="ER236">
        <v>-2.0000000000000002E-5</v>
      </c>
      <c r="ES236">
        <v>-3055060570.7541361</v>
      </c>
      <c r="ET236">
        <v>4.2182202709999999</v>
      </c>
      <c r="EU236">
        <v>4.5217689383219</v>
      </c>
      <c r="EV236">
        <v>4.7125071099999998</v>
      </c>
      <c r="EW236">
        <v>25.340946990487499</v>
      </c>
      <c r="EX236">
        <v>0</v>
      </c>
      <c r="EY236">
        <v>0</v>
      </c>
      <c r="EZ236">
        <v>0</v>
      </c>
      <c r="FA236">
        <v>-15626500000</v>
      </c>
      <c r="FB236">
        <v>0</v>
      </c>
      <c r="FC236">
        <v>-15626500000</v>
      </c>
      <c r="FD236">
        <v>-15626500000</v>
      </c>
      <c r="FE236">
        <v>-15626500000</v>
      </c>
      <c r="FF236">
        <v>-15626500000</v>
      </c>
      <c r="FG236" s="32">
        <f>Bankingbook_SBV[[#This Row],[Mat. Date]]-RPT</f>
        <v>1799</v>
      </c>
      <c r="FH236" s="32">
        <f>IF(Bankingbook_SBV[[#This Row],[Days]]&lt;=0,0,YEARFRAC(RPT,Bankingbook_SBV[[#This Row],[Mat. Date]],3))</f>
        <v>4.9287671232876713</v>
      </c>
      <c r="FI236" s="32" t="str">
        <f>IF(Bankingbook_SBV[[#This Row],[Days (year)]]=0,0,INDEX(Ref!$K$2:$K$13,MATCH(Bankingbook_SBV[[#This Row],[Days (year)]],Ref!$I$2:$I$13,1)))</f>
        <v>5Y</v>
      </c>
      <c r="FJ236" s="32" t="str">
        <f>VLOOKUP(Bankingbook_SBV[[#This Row],[Security Name]],Ref!X:Z,3,0)</f>
        <v>TPCP</v>
      </c>
      <c r="FK236" s="32" t="str">
        <f>VLOOKUP(Bankingbook_SBV[[#This Row],[Security Name]],Ref!X:Y,2,0)</f>
        <v>KBNN</v>
      </c>
      <c r="FL236" s="72">
        <f>IF((Bankingbook_SBV[[#This Row],[Mat. Date]]-RPT)&lt;=0,0,Bankingbook_SBV[[#This Row],[QUANTITY]])</f>
        <v>0</v>
      </c>
      <c r="FM236" s="32">
        <f>IF(Bankingbook_SBV[[#This Row],[Quantity_edited]]=0,0,Bankingbook_SBV[[#This Row],[DURATION]])</f>
        <v>0</v>
      </c>
      <c r="FN236" s="32">
        <f>IF(Bankingbook_SBV[[#This Row],[Quantity_edited]]=0,0,Bankingbook_SBV[[#This Row],[Mod Dur]])</f>
        <v>0</v>
      </c>
      <c r="FO236" s="32">
        <f>IF(Bankingbook_SBV[[#This Row],[Quantity_edited]]=0,0,Bankingbook_SBV[[#This Row],[Cnvx.]])</f>
        <v>0</v>
      </c>
      <c r="FP236" s="32">
        <f>(Bankingbook_SBV[[#This Row],[MARKET_VALUE]]+Bankingbook_SBV[[#This Row],[Accr Int]]*Bankingbook_SBV[[#This Row],[Quantity_edited]])*(-Bankingbook_SBV[[#This Row],[Modified Duration]]*0.0001+0.5*Bankingbook_SBV[[#This Row],[Conv]]*(0.0001^2))</f>
        <v>0</v>
      </c>
      <c r="FQ236" s="32">
        <f>(Bankingbook_SBV[[#This Row],[MARKET_VALUE]]+Bankingbook_SBV[[#This Row],[Accr Int]]*Bankingbook_SBV[[#This Row],[Quantity_edited]])*(-Bankingbook_SBV[[#This Row],[Modified Duration]]*0.01+0.5*Bankingbook_SBV[[#This Row],[Conv]]*(0.01^2))</f>
        <v>0</v>
      </c>
    </row>
    <row r="237" spans="2:173" x14ac:dyDescent="0.3">
      <c r="B237" t="s">
        <v>166</v>
      </c>
      <c r="C237" t="s">
        <v>167</v>
      </c>
      <c r="D237" t="s">
        <v>419</v>
      </c>
      <c r="E237" t="s">
        <v>169</v>
      </c>
      <c r="F237" s="502">
        <v>43811</v>
      </c>
      <c r="G237" t="s">
        <v>3322</v>
      </c>
      <c r="H237"/>
      <c r="I237"/>
      <c r="J237" s="38">
        <v>0</v>
      </c>
      <c r="K237">
        <v>0</v>
      </c>
      <c r="L237">
        <v>0</v>
      </c>
      <c r="M237" s="38">
        <v>0</v>
      </c>
      <c r="N237">
        <v>6.4</v>
      </c>
      <c r="O237">
        <v>0</v>
      </c>
      <c r="P237" s="37">
        <v>0</v>
      </c>
      <c r="Q237" s="37">
        <v>3.9999999999999998E-6</v>
      </c>
      <c r="R237" s="37">
        <v>-459594925.55554962</v>
      </c>
      <c r="S237">
        <v>0</v>
      </c>
      <c r="T237" s="70">
        <v>0</v>
      </c>
      <c r="U237">
        <v>0</v>
      </c>
      <c r="V237">
        <v>0</v>
      </c>
      <c r="W237">
        <v>0</v>
      </c>
      <c r="X237" s="38">
        <v>0</v>
      </c>
      <c r="Y237">
        <v>0</v>
      </c>
      <c r="Z237" s="70">
        <v>2966000000</v>
      </c>
      <c r="AA237" s="70">
        <v>0</v>
      </c>
      <c r="AB237" s="70">
        <v>2966000000</v>
      </c>
      <c r="AC237" s="70">
        <v>2966000000</v>
      </c>
      <c r="AD237" s="70">
        <v>2966000000</v>
      </c>
      <c r="AE237" s="70">
        <v>2966000000</v>
      </c>
      <c r="AF237">
        <v>0</v>
      </c>
      <c r="AG237" s="72">
        <f>Tradingbook_MSB[[#This Row],[Mat. Date]]-RPT</f>
        <v>-2441</v>
      </c>
      <c r="AH237" s="71">
        <f>IF(Tradingbook_MSB[[#This Row],[Days]]&lt;=0,0,YEARFRAC(RPT,Tradingbook_MSB[[#This Row],[Mat. Date]],3))</f>
        <v>0</v>
      </c>
      <c r="AI237" s="71">
        <f>IF(Tradingbook_MSB[[#This Row],[Days (year)]]=0,0,INDEX(Ref!$K$2:$K$13,MATCH(Tradingbook_MSB[[#This Row],[Days (year)]],Ref!$I$2:$I$13,1)))</f>
        <v>0</v>
      </c>
      <c r="AJ237" s="120" t="str">
        <f>VLOOKUP(Tradingbook_MSB[[#This Row],[Security Name]],Ref!X:Z,3,0)</f>
        <v>TPCPBL</v>
      </c>
      <c r="AK237" s="120" t="str">
        <f>VLOOKUP(Tradingbook_MSB[[#This Row],[Security Name]],Ref!X:Y,2,0)</f>
        <v>VDB</v>
      </c>
      <c r="AL237" s="71">
        <f>IF((Tradingbook_MSB[[#This Row],[Mat. Date]]-RPT)&lt;=0,0,Tradingbook_MSB[[#This Row],[QUANTITY]])</f>
        <v>0</v>
      </c>
      <c r="AM237" s="71">
        <f>IF(Tradingbook_MSB[[#This Row],[Quantity_edited]]=0,0,Tradingbook_MSB[[#This Row],[DURATION]])</f>
        <v>0</v>
      </c>
      <c r="AN237" s="71">
        <f>IF(Tradingbook_MSB[[#This Row],[Quantity_edited]]=0,0,Tradingbook_MSB[[#This Row],[Mod Dur]])</f>
        <v>0</v>
      </c>
      <c r="AO237" s="71">
        <f>IF(Tradingbook_MSB[[#This Row],[Quantity_edited]]=0,0,Tradingbook_MSB[[#This Row],[Cnvx.]])</f>
        <v>0</v>
      </c>
      <c r="AP237" s="71">
        <f>(Tradingbook_MSB[[#This Row],[MARKET_VALUE]]+Tradingbook_MSB[[#This Row],[Accr Int]]*Tradingbook_MSB[[#This Row],[Quantity_edited]])*(-Tradingbook_MSB[[#This Row],[Modified Duration]]*0.0001+0.5*Tradingbook_MSB[[#This Row],[Conv]]*(0.0001^2))</f>
        <v>0</v>
      </c>
      <c r="AQ237" s="72">
        <f>(Tradingbook_MSB[[#This Row],[MARKET_VALUE]]+Tradingbook_MSB[[#This Row],[Accr Int]]*Tradingbook_MSB[[#This Row],[Quantity_edited]])*(-Tradingbook_MSB[[#This Row],[Modified Duration]]*0.01+0.5*Tradingbook_MSB[[#This Row],[Conv]]*(0.01^2))</f>
        <v>0</v>
      </c>
      <c r="AR237" s="71"/>
      <c r="CL237" t="s">
        <v>166</v>
      </c>
      <c r="CM237" t="s">
        <v>167</v>
      </c>
      <c r="CN237" t="s">
        <v>419</v>
      </c>
      <c r="CO237" t="s">
        <v>169</v>
      </c>
      <c r="CP237" s="35">
        <v>43811</v>
      </c>
      <c r="CQ237" t="s">
        <v>3322</v>
      </c>
      <c r="CR237" t="s">
        <v>174</v>
      </c>
      <c r="CS237" t="s">
        <v>174</v>
      </c>
      <c r="CT237" s="49">
        <v>0</v>
      </c>
      <c r="CU237">
        <v>0</v>
      </c>
      <c r="CV237">
        <v>0</v>
      </c>
      <c r="CW237" s="70">
        <v>0</v>
      </c>
      <c r="CX237">
        <v>6.4</v>
      </c>
      <c r="CY237">
        <v>0</v>
      </c>
      <c r="CZ237">
        <v>0</v>
      </c>
      <c r="DA237">
        <v>3.9999999999999998E-6</v>
      </c>
      <c r="DB237">
        <v>-459594925.55554962</v>
      </c>
      <c r="DC237">
        <v>0</v>
      </c>
      <c r="DD237">
        <v>0</v>
      </c>
      <c r="DE237">
        <v>0</v>
      </c>
      <c r="DF237">
        <v>0</v>
      </c>
      <c r="DG237">
        <v>0</v>
      </c>
      <c r="DH237">
        <v>0</v>
      </c>
      <c r="DI237">
        <v>0</v>
      </c>
      <c r="DJ237" s="500">
        <v>2966000000</v>
      </c>
      <c r="DK237" s="500">
        <v>0</v>
      </c>
      <c r="DL237" s="37">
        <v>2966000000</v>
      </c>
      <c r="DM237" s="37">
        <v>2966000000</v>
      </c>
      <c r="DN237" s="37">
        <v>2966000000</v>
      </c>
      <c r="DO237" s="37">
        <v>2966000000</v>
      </c>
      <c r="DP237" s="32">
        <f>Tradingbook_SBV[[#This Row],[Mat. Date]]-RPT</f>
        <v>-2441</v>
      </c>
      <c r="DQ237" s="32">
        <f>IF(Tradingbook_SBV[[#This Row],[Days]]&lt;=0,0,YEARFRAC(RPT,Tradingbook_SBV[[#This Row],[Mat. Date]],3))</f>
        <v>0</v>
      </c>
      <c r="DR237" s="32">
        <f>IF(Tradingbook_SBV[[#This Row],[Days (year)]]=0,0,INDEX(Ref!$K$2:$K$13,MATCH(Tradingbook_SBV[[#This Row],[Days (year)]],Ref!$I$2:$I$13,1)))</f>
        <v>0</v>
      </c>
      <c r="DS237" s="32" t="str">
        <f>VLOOKUP(Tradingbook_SBV[[#This Row],[Security Name]],Ref!X:Z,3,0)</f>
        <v>TPCPBL</v>
      </c>
      <c r="DT237" s="32" t="str">
        <f>VLOOKUP(Tradingbook_SBV[[#This Row],[Security Name]],Ref!X:Y,2,0)</f>
        <v>VDB</v>
      </c>
      <c r="DU237" s="71">
        <f>IF((Tradingbook_SBV[[#This Row],[Mat. Date]]-RPT)&lt;=0,0,Tradingbook_SBV[[#This Row],[QUANTITY]])</f>
        <v>0</v>
      </c>
      <c r="DV237" s="71">
        <f>IF(Tradingbook_SBV[[#This Row],[Quantity_edited]]=0,0,Tradingbook_SBV[[#This Row],[DURATION]])</f>
        <v>0</v>
      </c>
      <c r="DW237" s="71">
        <f>IF(Tradingbook_SBV[[#This Row],[Quantity_edited]]=0,0,Tradingbook_SBV[[#This Row],[Mod Dur]])</f>
        <v>0</v>
      </c>
      <c r="DX237" s="71">
        <f>IF(Tradingbook_SBV[[#This Row],[Quantity_edited]]=0,0,Tradingbook_SBV[[#This Row],[Cnvx.]])</f>
        <v>0</v>
      </c>
      <c r="DY237" s="71">
        <f>(Tradingbook_SBV[[#This Row],[MARKET_VALUE]]+Tradingbook_SBV[[#This Row],[Accr Int]]*Tradingbook_SBV[[#This Row],[Quantity_edited]])*(-Tradingbook_SBV[[#This Row],[Modified Duration]]*0.0001+0.5*Tradingbook_SBV[[#This Row],[Conv]]*(0.0001^2))</f>
        <v>0</v>
      </c>
      <c r="DZ237" s="71">
        <f>(Tradingbook_SBV[[#This Row],[MARKET_VALUE]]+Tradingbook_SBV[[#This Row],[Accr Int]]*Tradingbook_SBV[[#This Row],[Quantity_edited]])*(-Tradingbook_SBV[[#This Row],[Modified Duration]]*0.01+0.5*Tradingbook_SBV[[#This Row],[Conv]]*(0.01^2))</f>
        <v>0</v>
      </c>
      <c r="EC237" t="s">
        <v>166</v>
      </c>
      <c r="ED237" t="s">
        <v>3300</v>
      </c>
      <c r="EE237" t="s">
        <v>620</v>
      </c>
      <c r="EF237" t="s">
        <v>169</v>
      </c>
      <c r="EG237" s="35" t="s">
        <v>3812</v>
      </c>
      <c r="EH237" t="s">
        <v>3322</v>
      </c>
      <c r="EI237" s="500">
        <v>114808</v>
      </c>
      <c r="EJ237" s="500">
        <v>114808</v>
      </c>
      <c r="EK237" s="500">
        <v>0</v>
      </c>
      <c r="EL237" s="500">
        <v>0</v>
      </c>
      <c r="EM237" s="500">
        <v>0</v>
      </c>
      <c r="EN237" s="500">
        <v>0</v>
      </c>
      <c r="EO237">
        <v>7.6</v>
      </c>
      <c r="EP237">
        <v>292</v>
      </c>
      <c r="EQ237">
        <v>19000000000</v>
      </c>
      <c r="ER237">
        <v>22089527194.44442</v>
      </c>
      <c r="ES237">
        <v>-3530195370.6248999</v>
      </c>
      <c r="ET237">
        <v>4.2276983330000002</v>
      </c>
      <c r="EU237">
        <v>4.1758037901435996</v>
      </c>
      <c r="EV237">
        <v>4.3523441800000002</v>
      </c>
      <c r="EW237">
        <v>22.807572028852601</v>
      </c>
      <c r="EX237">
        <v>0</v>
      </c>
      <c r="EY237">
        <v>0</v>
      </c>
      <c r="EZ237">
        <v>0</v>
      </c>
      <c r="FA237">
        <v>9457500000</v>
      </c>
      <c r="FB237">
        <v>0</v>
      </c>
      <c r="FC237">
        <v>9457500000</v>
      </c>
      <c r="FD237">
        <v>9457500000</v>
      </c>
      <c r="FE237">
        <v>9457500000</v>
      </c>
      <c r="FF237">
        <v>9457500000</v>
      </c>
      <c r="FG237" s="32">
        <f>Bankingbook_SBV[[#This Row],[Mat. Date]]-RPT</f>
        <v>1812</v>
      </c>
      <c r="FH237" s="32">
        <f>IF(Bankingbook_SBV[[#This Row],[Days]]&lt;=0,0,YEARFRAC(RPT,Bankingbook_SBV[[#This Row],[Mat. Date]],3))</f>
        <v>4.9643835616438352</v>
      </c>
      <c r="FI237" s="32" t="str">
        <f>IF(Bankingbook_SBV[[#This Row],[Days (year)]]=0,0,INDEX(Ref!$K$2:$K$13,MATCH(Bankingbook_SBV[[#This Row],[Days (year)]],Ref!$I$2:$I$13,1)))</f>
        <v>5Y</v>
      </c>
      <c r="FJ237" s="32" t="str">
        <f>VLOOKUP(Bankingbook_SBV[[#This Row],[Security Name]],Ref!X:Z,3,0)</f>
        <v>TPCP</v>
      </c>
      <c r="FK237" s="32" t="str">
        <f>VLOOKUP(Bankingbook_SBV[[#This Row],[Security Name]],Ref!X:Y,2,0)</f>
        <v>KBNN</v>
      </c>
      <c r="FL237" s="72">
        <f>IF((Bankingbook_SBV[[#This Row],[Mat. Date]]-RPT)&lt;=0,0,Bankingbook_SBV[[#This Row],[QUANTITY]])</f>
        <v>0</v>
      </c>
      <c r="FM237" s="32">
        <f>IF(Bankingbook_SBV[[#This Row],[Quantity_edited]]=0,0,Bankingbook_SBV[[#This Row],[DURATION]])</f>
        <v>0</v>
      </c>
      <c r="FN237" s="32">
        <f>IF(Bankingbook_SBV[[#This Row],[Quantity_edited]]=0,0,Bankingbook_SBV[[#This Row],[Mod Dur]])</f>
        <v>0</v>
      </c>
      <c r="FO237" s="32">
        <f>IF(Bankingbook_SBV[[#This Row],[Quantity_edited]]=0,0,Bankingbook_SBV[[#This Row],[Cnvx.]])</f>
        <v>0</v>
      </c>
      <c r="FP237" s="32">
        <f>(Bankingbook_SBV[[#This Row],[MARKET_VALUE]]+Bankingbook_SBV[[#This Row],[Accr Int]]*Bankingbook_SBV[[#This Row],[Quantity_edited]])*(-Bankingbook_SBV[[#This Row],[Modified Duration]]*0.0001+0.5*Bankingbook_SBV[[#This Row],[Conv]]*(0.0001^2))</f>
        <v>0</v>
      </c>
      <c r="FQ237" s="32">
        <f>(Bankingbook_SBV[[#This Row],[MARKET_VALUE]]+Bankingbook_SBV[[#This Row],[Accr Int]]*Bankingbook_SBV[[#This Row],[Quantity_edited]])*(-Bankingbook_SBV[[#This Row],[Modified Duration]]*0.01+0.5*Bankingbook_SBV[[#This Row],[Conv]]*(0.01^2))</f>
        <v>0</v>
      </c>
    </row>
    <row r="238" spans="2:173" x14ac:dyDescent="0.3">
      <c r="B238" t="s">
        <v>166</v>
      </c>
      <c r="C238" t="s">
        <v>167</v>
      </c>
      <c r="D238" t="s">
        <v>420</v>
      </c>
      <c r="E238" t="s">
        <v>169</v>
      </c>
      <c r="F238" s="502">
        <v>43818</v>
      </c>
      <c r="G238" t="s">
        <v>3322</v>
      </c>
      <c r="H238"/>
      <c r="I238"/>
      <c r="J238" s="38">
        <v>0</v>
      </c>
      <c r="K238">
        <v>0</v>
      </c>
      <c r="L238">
        <v>0</v>
      </c>
      <c r="M238" s="38">
        <v>0</v>
      </c>
      <c r="N238">
        <v>7</v>
      </c>
      <c r="O238">
        <v>0</v>
      </c>
      <c r="P238" s="37">
        <v>14000000000</v>
      </c>
      <c r="Q238" s="37">
        <v>15363512500.000015</v>
      </c>
      <c r="R238" s="37">
        <v>-7226203335.4166546</v>
      </c>
      <c r="S238">
        <v>0</v>
      </c>
      <c r="T238" s="70">
        <v>0</v>
      </c>
      <c r="U238">
        <v>0</v>
      </c>
      <c r="V238">
        <v>0</v>
      </c>
      <c r="W238">
        <v>0</v>
      </c>
      <c r="X238" s="38">
        <v>0</v>
      </c>
      <c r="Y238">
        <v>0</v>
      </c>
      <c r="Z238" s="70">
        <v>3306000000</v>
      </c>
      <c r="AA238" s="70">
        <v>0</v>
      </c>
      <c r="AB238" s="70">
        <v>3306000000</v>
      </c>
      <c r="AC238" s="70">
        <v>3306000000</v>
      </c>
      <c r="AD238" s="70">
        <v>3306000000</v>
      </c>
      <c r="AE238" s="70">
        <v>3306000000</v>
      </c>
      <c r="AF238">
        <v>0</v>
      </c>
      <c r="AG238" s="72">
        <f>Tradingbook_MSB[[#This Row],[Mat. Date]]-RPT</f>
        <v>-2434</v>
      </c>
      <c r="AH238" s="71">
        <f>IF(Tradingbook_MSB[[#This Row],[Days]]&lt;=0,0,YEARFRAC(RPT,Tradingbook_MSB[[#This Row],[Mat. Date]],3))</f>
        <v>0</v>
      </c>
      <c r="AI238" s="71">
        <f>IF(Tradingbook_MSB[[#This Row],[Days (year)]]=0,0,INDEX(Ref!$K$2:$K$13,MATCH(Tradingbook_MSB[[#This Row],[Days (year)]],Ref!$I$2:$I$13,1)))</f>
        <v>0</v>
      </c>
      <c r="AJ238" s="120" t="str">
        <f>VLOOKUP(Tradingbook_MSB[[#This Row],[Security Name]],Ref!X:Z,3,0)</f>
        <v>TPCPBL</v>
      </c>
      <c r="AK238" s="120" t="str">
        <f>VLOOKUP(Tradingbook_MSB[[#This Row],[Security Name]],Ref!X:Y,2,0)</f>
        <v>VDB</v>
      </c>
      <c r="AL238" s="71">
        <f>IF((Tradingbook_MSB[[#This Row],[Mat. Date]]-RPT)&lt;=0,0,Tradingbook_MSB[[#This Row],[QUANTITY]])</f>
        <v>0</v>
      </c>
      <c r="AM238" s="71">
        <f>IF(Tradingbook_MSB[[#This Row],[Quantity_edited]]=0,0,Tradingbook_MSB[[#This Row],[DURATION]])</f>
        <v>0</v>
      </c>
      <c r="AN238" s="71">
        <f>IF(Tradingbook_MSB[[#This Row],[Quantity_edited]]=0,0,Tradingbook_MSB[[#This Row],[Mod Dur]])</f>
        <v>0</v>
      </c>
      <c r="AO238" s="71">
        <f>IF(Tradingbook_MSB[[#This Row],[Quantity_edited]]=0,0,Tradingbook_MSB[[#This Row],[Cnvx.]])</f>
        <v>0</v>
      </c>
      <c r="AP238" s="71">
        <f>(Tradingbook_MSB[[#This Row],[MARKET_VALUE]]+Tradingbook_MSB[[#This Row],[Accr Int]]*Tradingbook_MSB[[#This Row],[Quantity_edited]])*(-Tradingbook_MSB[[#This Row],[Modified Duration]]*0.0001+0.5*Tradingbook_MSB[[#This Row],[Conv]]*(0.0001^2))</f>
        <v>0</v>
      </c>
      <c r="AQ238" s="72">
        <f>(Tradingbook_MSB[[#This Row],[MARKET_VALUE]]+Tradingbook_MSB[[#This Row],[Accr Int]]*Tradingbook_MSB[[#This Row],[Quantity_edited]])*(-Tradingbook_MSB[[#This Row],[Modified Duration]]*0.01+0.5*Tradingbook_MSB[[#This Row],[Conv]]*(0.01^2))</f>
        <v>0</v>
      </c>
      <c r="AR238" s="71"/>
      <c r="CL238" t="s">
        <v>166</v>
      </c>
      <c r="CM238" t="s">
        <v>167</v>
      </c>
      <c r="CN238" t="s">
        <v>420</v>
      </c>
      <c r="CO238" t="s">
        <v>169</v>
      </c>
      <c r="CP238" s="35">
        <v>43818</v>
      </c>
      <c r="CQ238" t="s">
        <v>3322</v>
      </c>
      <c r="CR238" t="s">
        <v>174</v>
      </c>
      <c r="CS238" t="s">
        <v>174</v>
      </c>
      <c r="CT238" s="49">
        <v>0</v>
      </c>
      <c r="CU238">
        <v>0</v>
      </c>
      <c r="CV238">
        <v>0</v>
      </c>
      <c r="CW238" s="70">
        <v>0</v>
      </c>
      <c r="CX238">
        <v>7</v>
      </c>
      <c r="CY238">
        <v>0</v>
      </c>
      <c r="CZ238">
        <v>14000000000</v>
      </c>
      <c r="DA238">
        <v>15363512500.000015</v>
      </c>
      <c r="DB238">
        <v>-7226203335.4166546</v>
      </c>
      <c r="DC238">
        <v>0</v>
      </c>
      <c r="DD238">
        <v>0</v>
      </c>
      <c r="DE238">
        <v>0</v>
      </c>
      <c r="DF238">
        <v>0</v>
      </c>
      <c r="DG238">
        <v>0</v>
      </c>
      <c r="DH238">
        <v>0</v>
      </c>
      <c r="DI238">
        <v>0</v>
      </c>
      <c r="DJ238" s="500">
        <v>3306000000</v>
      </c>
      <c r="DK238" s="500">
        <v>0</v>
      </c>
      <c r="DL238" s="37">
        <v>3306000000</v>
      </c>
      <c r="DM238" s="37">
        <v>3306000000</v>
      </c>
      <c r="DN238" s="37">
        <v>3306000000</v>
      </c>
      <c r="DO238" s="37">
        <v>3306000000</v>
      </c>
      <c r="DP238" s="32">
        <f>Tradingbook_SBV[[#This Row],[Mat. Date]]-RPT</f>
        <v>-2434</v>
      </c>
      <c r="DQ238" s="32">
        <f>IF(Tradingbook_SBV[[#This Row],[Days]]&lt;=0,0,YEARFRAC(RPT,Tradingbook_SBV[[#This Row],[Mat. Date]],3))</f>
        <v>0</v>
      </c>
      <c r="DR238" s="32">
        <f>IF(Tradingbook_SBV[[#This Row],[Days (year)]]=0,0,INDEX(Ref!$K$2:$K$13,MATCH(Tradingbook_SBV[[#This Row],[Days (year)]],Ref!$I$2:$I$13,1)))</f>
        <v>0</v>
      </c>
      <c r="DS238" s="32" t="str">
        <f>VLOOKUP(Tradingbook_SBV[[#This Row],[Security Name]],Ref!X:Z,3,0)</f>
        <v>TPCPBL</v>
      </c>
      <c r="DT238" s="32" t="str">
        <f>VLOOKUP(Tradingbook_SBV[[#This Row],[Security Name]],Ref!X:Y,2,0)</f>
        <v>VDB</v>
      </c>
      <c r="DU238" s="71">
        <f>IF((Tradingbook_SBV[[#This Row],[Mat. Date]]-RPT)&lt;=0,0,Tradingbook_SBV[[#This Row],[QUANTITY]])</f>
        <v>0</v>
      </c>
      <c r="DV238" s="71">
        <f>IF(Tradingbook_SBV[[#This Row],[Quantity_edited]]=0,0,Tradingbook_SBV[[#This Row],[DURATION]])</f>
        <v>0</v>
      </c>
      <c r="DW238" s="71">
        <f>IF(Tradingbook_SBV[[#This Row],[Quantity_edited]]=0,0,Tradingbook_SBV[[#This Row],[Mod Dur]])</f>
        <v>0</v>
      </c>
      <c r="DX238" s="71">
        <f>IF(Tradingbook_SBV[[#This Row],[Quantity_edited]]=0,0,Tradingbook_SBV[[#This Row],[Cnvx.]])</f>
        <v>0</v>
      </c>
      <c r="DY238" s="71">
        <f>(Tradingbook_SBV[[#This Row],[MARKET_VALUE]]+Tradingbook_SBV[[#This Row],[Accr Int]]*Tradingbook_SBV[[#This Row],[Quantity_edited]])*(-Tradingbook_SBV[[#This Row],[Modified Duration]]*0.0001+0.5*Tradingbook_SBV[[#This Row],[Conv]]*(0.0001^2))</f>
        <v>0</v>
      </c>
      <c r="DZ238" s="71">
        <f>(Tradingbook_SBV[[#This Row],[MARKET_VALUE]]+Tradingbook_SBV[[#This Row],[Accr Int]]*Tradingbook_SBV[[#This Row],[Quantity_edited]])*(-Tradingbook_SBV[[#This Row],[Modified Duration]]*0.01+0.5*Tradingbook_SBV[[#This Row],[Conv]]*(0.01^2))</f>
        <v>0</v>
      </c>
      <c r="EC238" t="s">
        <v>166</v>
      </c>
      <c r="ED238" t="s">
        <v>3300</v>
      </c>
      <c r="EE238" t="s">
        <v>642</v>
      </c>
      <c r="EF238" t="s">
        <v>169</v>
      </c>
      <c r="EG238" s="35" t="s">
        <v>3813</v>
      </c>
      <c r="EH238" t="s">
        <v>3322</v>
      </c>
      <c r="EI238" s="500">
        <v>114152</v>
      </c>
      <c r="EJ238" s="500">
        <v>114152</v>
      </c>
      <c r="EK238" s="500">
        <v>0</v>
      </c>
      <c r="EL238" s="500">
        <v>0</v>
      </c>
      <c r="EM238" s="500">
        <v>0</v>
      </c>
      <c r="EN238" s="500">
        <v>0</v>
      </c>
      <c r="EO238">
        <v>7.4</v>
      </c>
      <c r="EP238">
        <v>6832</v>
      </c>
      <c r="EQ238">
        <v>0</v>
      </c>
      <c r="ER238">
        <v>0</v>
      </c>
      <c r="ES238">
        <v>-2860292.4999980927</v>
      </c>
      <c r="ET238">
        <v>4.2406934390000002</v>
      </c>
      <c r="EU238">
        <v>4.0389914950814001</v>
      </c>
      <c r="EV238">
        <v>4.2102727399999997</v>
      </c>
      <c r="EW238">
        <v>22.471682071238899</v>
      </c>
      <c r="EX238">
        <v>0</v>
      </c>
      <c r="EY238">
        <v>0</v>
      </c>
      <c r="EZ238">
        <v>0</v>
      </c>
      <c r="FA238">
        <v>2500000</v>
      </c>
      <c r="FB238">
        <v>0</v>
      </c>
      <c r="FC238">
        <v>2500000</v>
      </c>
      <c r="FD238">
        <v>2500000</v>
      </c>
      <c r="FE238">
        <v>2500000</v>
      </c>
      <c r="FF238">
        <v>2500000</v>
      </c>
      <c r="FG238" s="32">
        <f>Bankingbook_SBV[[#This Row],[Mat. Date]]-RPT</f>
        <v>1854</v>
      </c>
      <c r="FH238" s="32">
        <f>IF(Bankingbook_SBV[[#This Row],[Days]]&lt;=0,0,YEARFRAC(RPT,Bankingbook_SBV[[#This Row],[Mat. Date]],3))</f>
        <v>5.0794520547945208</v>
      </c>
      <c r="FI238" s="32" t="str">
        <f>IF(Bankingbook_SBV[[#This Row],[Days (year)]]=0,0,INDEX(Ref!$K$2:$K$13,MATCH(Bankingbook_SBV[[#This Row],[Days (year)]],Ref!$I$2:$I$13,1)))</f>
        <v>5Y</v>
      </c>
      <c r="FJ238" s="32" t="str">
        <f>VLOOKUP(Bankingbook_SBV[[#This Row],[Security Name]],Ref!X:Z,3,0)</f>
        <v>TPCP</v>
      </c>
      <c r="FK238" s="32" t="str">
        <f>VLOOKUP(Bankingbook_SBV[[#This Row],[Security Name]],Ref!X:Y,2,0)</f>
        <v>KBNN</v>
      </c>
      <c r="FL238" s="72">
        <f>IF((Bankingbook_SBV[[#This Row],[Mat. Date]]-RPT)&lt;=0,0,Bankingbook_SBV[[#This Row],[QUANTITY]])</f>
        <v>0</v>
      </c>
      <c r="FM238" s="32">
        <f>IF(Bankingbook_SBV[[#This Row],[Quantity_edited]]=0,0,Bankingbook_SBV[[#This Row],[DURATION]])</f>
        <v>0</v>
      </c>
      <c r="FN238" s="32">
        <f>IF(Bankingbook_SBV[[#This Row],[Quantity_edited]]=0,0,Bankingbook_SBV[[#This Row],[Mod Dur]])</f>
        <v>0</v>
      </c>
      <c r="FO238" s="32">
        <f>IF(Bankingbook_SBV[[#This Row],[Quantity_edited]]=0,0,Bankingbook_SBV[[#This Row],[Cnvx.]])</f>
        <v>0</v>
      </c>
      <c r="FP238" s="32">
        <f>(Bankingbook_SBV[[#This Row],[MARKET_VALUE]]+Bankingbook_SBV[[#This Row],[Accr Int]]*Bankingbook_SBV[[#This Row],[Quantity_edited]])*(-Bankingbook_SBV[[#This Row],[Modified Duration]]*0.0001+0.5*Bankingbook_SBV[[#This Row],[Conv]]*(0.0001^2))</f>
        <v>0</v>
      </c>
      <c r="FQ238" s="32">
        <f>(Bankingbook_SBV[[#This Row],[MARKET_VALUE]]+Bankingbook_SBV[[#This Row],[Accr Int]]*Bankingbook_SBV[[#This Row],[Quantity_edited]])*(-Bankingbook_SBV[[#This Row],[Modified Duration]]*0.01+0.5*Bankingbook_SBV[[#This Row],[Conv]]*(0.01^2))</f>
        <v>0</v>
      </c>
    </row>
    <row r="239" spans="2:173" x14ac:dyDescent="0.3">
      <c r="B239" t="s">
        <v>166</v>
      </c>
      <c r="C239" t="s">
        <v>167</v>
      </c>
      <c r="D239" t="s">
        <v>421</v>
      </c>
      <c r="E239" t="s">
        <v>169</v>
      </c>
      <c r="F239" s="502">
        <v>43829</v>
      </c>
      <c r="G239" t="s">
        <v>3322</v>
      </c>
      <c r="H239"/>
      <c r="I239"/>
      <c r="J239" s="38">
        <v>0</v>
      </c>
      <c r="K239">
        <v>0</v>
      </c>
      <c r="L239">
        <v>0</v>
      </c>
      <c r="M239" s="38">
        <v>0</v>
      </c>
      <c r="N239">
        <v>7</v>
      </c>
      <c r="O239">
        <v>0</v>
      </c>
      <c r="P239" s="37">
        <v>21000000000</v>
      </c>
      <c r="Q239" s="37">
        <v>23120703472.222252</v>
      </c>
      <c r="R239" s="37">
        <v>-11198939997.222227</v>
      </c>
      <c r="S239">
        <v>0</v>
      </c>
      <c r="T239" s="70">
        <v>0</v>
      </c>
      <c r="U239">
        <v>0</v>
      </c>
      <c r="V239">
        <v>0</v>
      </c>
      <c r="W239">
        <v>0</v>
      </c>
      <c r="X239" s="38">
        <v>0</v>
      </c>
      <c r="Y239">
        <v>0</v>
      </c>
      <c r="Z239" s="70">
        <v>6626000000</v>
      </c>
      <c r="AA239" s="70">
        <v>0</v>
      </c>
      <c r="AB239" s="70">
        <v>6626000000</v>
      </c>
      <c r="AC239" s="70">
        <v>6626000000</v>
      </c>
      <c r="AD239" s="70">
        <v>6626000000</v>
      </c>
      <c r="AE239" s="70">
        <v>6626000000</v>
      </c>
      <c r="AF239">
        <v>0</v>
      </c>
      <c r="AG239" s="72">
        <f>Tradingbook_MSB[[#This Row],[Mat. Date]]-RPT</f>
        <v>-2423</v>
      </c>
      <c r="AH239" s="71">
        <f>IF(Tradingbook_MSB[[#This Row],[Days]]&lt;=0,0,YEARFRAC(RPT,Tradingbook_MSB[[#This Row],[Mat. Date]],3))</f>
        <v>0</v>
      </c>
      <c r="AI239" s="71">
        <f>IF(Tradingbook_MSB[[#This Row],[Days (year)]]=0,0,INDEX(Ref!$K$2:$K$13,MATCH(Tradingbook_MSB[[#This Row],[Days (year)]],Ref!$I$2:$I$13,1)))</f>
        <v>0</v>
      </c>
      <c r="AJ239" s="120" t="str">
        <f>VLOOKUP(Tradingbook_MSB[[#This Row],[Security Name]],Ref!X:Z,3,0)</f>
        <v>TPCPBL</v>
      </c>
      <c r="AK239" s="120" t="str">
        <f>VLOOKUP(Tradingbook_MSB[[#This Row],[Security Name]],Ref!X:Y,2,0)</f>
        <v>VDB</v>
      </c>
      <c r="AL239" s="71">
        <f>IF((Tradingbook_MSB[[#This Row],[Mat. Date]]-RPT)&lt;=0,0,Tradingbook_MSB[[#This Row],[QUANTITY]])</f>
        <v>0</v>
      </c>
      <c r="AM239" s="71">
        <f>IF(Tradingbook_MSB[[#This Row],[Quantity_edited]]=0,0,Tradingbook_MSB[[#This Row],[DURATION]])</f>
        <v>0</v>
      </c>
      <c r="AN239" s="71">
        <f>IF(Tradingbook_MSB[[#This Row],[Quantity_edited]]=0,0,Tradingbook_MSB[[#This Row],[Mod Dur]])</f>
        <v>0</v>
      </c>
      <c r="AO239" s="71">
        <f>IF(Tradingbook_MSB[[#This Row],[Quantity_edited]]=0,0,Tradingbook_MSB[[#This Row],[Cnvx.]])</f>
        <v>0</v>
      </c>
      <c r="AP239" s="71">
        <f>(Tradingbook_MSB[[#This Row],[MARKET_VALUE]]+Tradingbook_MSB[[#This Row],[Accr Int]]*Tradingbook_MSB[[#This Row],[Quantity_edited]])*(-Tradingbook_MSB[[#This Row],[Modified Duration]]*0.0001+0.5*Tradingbook_MSB[[#This Row],[Conv]]*(0.0001^2))</f>
        <v>0</v>
      </c>
      <c r="AQ239" s="72">
        <f>(Tradingbook_MSB[[#This Row],[MARKET_VALUE]]+Tradingbook_MSB[[#This Row],[Accr Int]]*Tradingbook_MSB[[#This Row],[Quantity_edited]])*(-Tradingbook_MSB[[#This Row],[Modified Duration]]*0.01+0.5*Tradingbook_MSB[[#This Row],[Conv]]*(0.01^2))</f>
        <v>0</v>
      </c>
      <c r="AR239" s="71"/>
      <c r="CL239" t="s">
        <v>166</v>
      </c>
      <c r="CM239" t="s">
        <v>167</v>
      </c>
      <c r="CN239" t="s">
        <v>421</v>
      </c>
      <c r="CO239" t="s">
        <v>169</v>
      </c>
      <c r="CP239" s="35">
        <v>43829</v>
      </c>
      <c r="CQ239" t="s">
        <v>3322</v>
      </c>
      <c r="CR239" t="s">
        <v>174</v>
      </c>
      <c r="CS239" t="s">
        <v>174</v>
      </c>
      <c r="CT239" s="49">
        <v>0</v>
      </c>
      <c r="CU239">
        <v>0</v>
      </c>
      <c r="CV239">
        <v>0</v>
      </c>
      <c r="CW239" s="70">
        <v>0</v>
      </c>
      <c r="CX239">
        <v>7</v>
      </c>
      <c r="CY239">
        <v>0</v>
      </c>
      <c r="CZ239">
        <v>21000000000</v>
      </c>
      <c r="DA239">
        <v>23120703472.222252</v>
      </c>
      <c r="DB239">
        <v>-11198939997.222227</v>
      </c>
      <c r="DC239">
        <v>0</v>
      </c>
      <c r="DD239">
        <v>0</v>
      </c>
      <c r="DE239">
        <v>0</v>
      </c>
      <c r="DF239">
        <v>0</v>
      </c>
      <c r="DG239">
        <v>0</v>
      </c>
      <c r="DH239">
        <v>0</v>
      </c>
      <c r="DI239">
        <v>0</v>
      </c>
      <c r="DJ239" s="500">
        <v>6626000000</v>
      </c>
      <c r="DK239" s="500">
        <v>0</v>
      </c>
      <c r="DL239" s="37">
        <v>6626000000</v>
      </c>
      <c r="DM239" s="37">
        <v>6626000000</v>
      </c>
      <c r="DN239" s="37">
        <v>6626000000</v>
      </c>
      <c r="DO239" s="37">
        <v>6626000000</v>
      </c>
      <c r="DP239" s="32">
        <f>Tradingbook_SBV[[#This Row],[Mat. Date]]-RPT</f>
        <v>-2423</v>
      </c>
      <c r="DQ239" s="32">
        <f>IF(Tradingbook_SBV[[#This Row],[Days]]&lt;=0,0,YEARFRAC(RPT,Tradingbook_SBV[[#This Row],[Mat. Date]],3))</f>
        <v>0</v>
      </c>
      <c r="DR239" s="32">
        <f>IF(Tradingbook_SBV[[#This Row],[Days (year)]]=0,0,INDEX(Ref!$K$2:$K$13,MATCH(Tradingbook_SBV[[#This Row],[Days (year)]],Ref!$I$2:$I$13,1)))</f>
        <v>0</v>
      </c>
      <c r="DS239" s="32" t="str">
        <f>VLOOKUP(Tradingbook_SBV[[#This Row],[Security Name]],Ref!X:Z,3,0)</f>
        <v>TPCPBL</v>
      </c>
      <c r="DT239" s="32" t="str">
        <f>VLOOKUP(Tradingbook_SBV[[#This Row],[Security Name]],Ref!X:Y,2,0)</f>
        <v>VDB</v>
      </c>
      <c r="DU239" s="71">
        <f>IF((Tradingbook_SBV[[#This Row],[Mat. Date]]-RPT)&lt;=0,0,Tradingbook_SBV[[#This Row],[QUANTITY]])</f>
        <v>0</v>
      </c>
      <c r="DV239" s="71">
        <f>IF(Tradingbook_SBV[[#This Row],[Quantity_edited]]=0,0,Tradingbook_SBV[[#This Row],[DURATION]])</f>
        <v>0</v>
      </c>
      <c r="DW239" s="71">
        <f>IF(Tradingbook_SBV[[#This Row],[Quantity_edited]]=0,0,Tradingbook_SBV[[#This Row],[Mod Dur]])</f>
        <v>0</v>
      </c>
      <c r="DX239" s="71">
        <f>IF(Tradingbook_SBV[[#This Row],[Quantity_edited]]=0,0,Tradingbook_SBV[[#This Row],[Cnvx.]])</f>
        <v>0</v>
      </c>
      <c r="DY239" s="71">
        <f>(Tradingbook_SBV[[#This Row],[MARKET_VALUE]]+Tradingbook_SBV[[#This Row],[Accr Int]]*Tradingbook_SBV[[#This Row],[Quantity_edited]])*(-Tradingbook_SBV[[#This Row],[Modified Duration]]*0.0001+0.5*Tradingbook_SBV[[#This Row],[Conv]]*(0.0001^2))</f>
        <v>0</v>
      </c>
      <c r="DZ239" s="71">
        <f>(Tradingbook_SBV[[#This Row],[MARKET_VALUE]]+Tradingbook_SBV[[#This Row],[Accr Int]]*Tradingbook_SBV[[#This Row],[Quantity_edited]])*(-Tradingbook_SBV[[#This Row],[Modified Duration]]*0.01+0.5*Tradingbook_SBV[[#This Row],[Conv]]*(0.01^2))</f>
        <v>0</v>
      </c>
      <c r="EC239" t="s">
        <v>166</v>
      </c>
      <c r="ED239" t="s">
        <v>3300</v>
      </c>
      <c r="EE239" t="s">
        <v>643</v>
      </c>
      <c r="EF239" t="s">
        <v>169</v>
      </c>
      <c r="EG239" s="35" t="s">
        <v>3814</v>
      </c>
      <c r="EH239" t="s">
        <v>3322</v>
      </c>
      <c r="EI239" s="500">
        <v>112688</v>
      </c>
      <c r="EJ239" s="500">
        <v>112688</v>
      </c>
      <c r="EK239" s="500">
        <v>0</v>
      </c>
      <c r="EL239" s="500">
        <v>0</v>
      </c>
      <c r="EM239" s="500">
        <v>0</v>
      </c>
      <c r="EN239" s="500">
        <v>0</v>
      </c>
      <c r="EO239">
        <v>7.6</v>
      </c>
      <c r="EP239">
        <v>6767</v>
      </c>
      <c r="EQ239">
        <v>0</v>
      </c>
      <c r="ER239">
        <v>0</v>
      </c>
      <c r="ES239">
        <v>-1467565926.2499733</v>
      </c>
      <c r="ET239">
        <v>4.7418645770000003</v>
      </c>
      <c r="EU239">
        <v>4.0246476666494004</v>
      </c>
      <c r="EV239">
        <v>4.21549101</v>
      </c>
      <c r="EW239">
        <v>22.357520971994902</v>
      </c>
      <c r="EX239">
        <v>0</v>
      </c>
      <c r="EY239">
        <v>0</v>
      </c>
      <c r="EZ239">
        <v>0</v>
      </c>
      <c r="FA239">
        <v>-5025000000</v>
      </c>
      <c r="FB239">
        <v>0</v>
      </c>
      <c r="FC239">
        <v>-5025000000</v>
      </c>
      <c r="FD239">
        <v>-5025000000</v>
      </c>
      <c r="FE239">
        <v>-5025000000</v>
      </c>
      <c r="FF239">
        <v>-5025000000</v>
      </c>
      <c r="FG239" s="32">
        <f>Bankingbook_SBV[[#This Row],[Mat. Date]]-RPT</f>
        <v>1866</v>
      </c>
      <c r="FH239" s="32">
        <f>IF(Bankingbook_SBV[[#This Row],[Days]]&lt;=0,0,YEARFRAC(RPT,Bankingbook_SBV[[#This Row],[Mat. Date]],3))</f>
        <v>5.1123287671232873</v>
      </c>
      <c r="FI239" s="32" t="str">
        <f>IF(Bankingbook_SBV[[#This Row],[Days (year)]]=0,0,INDEX(Ref!$K$2:$K$13,MATCH(Bankingbook_SBV[[#This Row],[Days (year)]],Ref!$I$2:$I$13,1)))</f>
        <v>5Y</v>
      </c>
      <c r="FJ239" s="32" t="str">
        <f>VLOOKUP(Bankingbook_SBV[[#This Row],[Security Name]],Ref!X:Z,3,0)</f>
        <v>TPCPBL</v>
      </c>
      <c r="FK239" s="32" t="str">
        <f>VLOOKUP(Bankingbook_SBV[[#This Row],[Security Name]],Ref!X:Y,2,0)</f>
        <v>VBS</v>
      </c>
      <c r="FL239" s="72">
        <f>IF((Bankingbook_SBV[[#This Row],[Mat. Date]]-RPT)&lt;=0,0,Bankingbook_SBV[[#This Row],[QUANTITY]])</f>
        <v>0</v>
      </c>
      <c r="FM239" s="32">
        <f>IF(Bankingbook_SBV[[#This Row],[Quantity_edited]]=0,0,Bankingbook_SBV[[#This Row],[DURATION]])</f>
        <v>0</v>
      </c>
      <c r="FN239" s="32">
        <f>IF(Bankingbook_SBV[[#This Row],[Quantity_edited]]=0,0,Bankingbook_SBV[[#This Row],[Mod Dur]])</f>
        <v>0</v>
      </c>
      <c r="FO239" s="32">
        <f>IF(Bankingbook_SBV[[#This Row],[Quantity_edited]]=0,0,Bankingbook_SBV[[#This Row],[Cnvx.]])</f>
        <v>0</v>
      </c>
      <c r="FP239" s="32">
        <f>(Bankingbook_SBV[[#This Row],[MARKET_VALUE]]+Bankingbook_SBV[[#This Row],[Accr Int]]*Bankingbook_SBV[[#This Row],[Quantity_edited]])*(-Bankingbook_SBV[[#This Row],[Modified Duration]]*0.0001+0.5*Bankingbook_SBV[[#This Row],[Conv]]*(0.0001^2))</f>
        <v>0</v>
      </c>
      <c r="FQ239" s="32">
        <f>(Bankingbook_SBV[[#This Row],[MARKET_VALUE]]+Bankingbook_SBV[[#This Row],[Accr Int]]*Bankingbook_SBV[[#This Row],[Quantity_edited]])*(-Bankingbook_SBV[[#This Row],[Modified Duration]]*0.01+0.5*Bankingbook_SBV[[#This Row],[Conv]]*(0.01^2))</f>
        <v>0</v>
      </c>
    </row>
    <row r="240" spans="2:173" x14ac:dyDescent="0.3">
      <c r="B240" t="s">
        <v>166</v>
      </c>
      <c r="C240" t="s">
        <v>167</v>
      </c>
      <c r="D240" t="s">
        <v>422</v>
      </c>
      <c r="E240" t="s">
        <v>169</v>
      </c>
      <c r="F240" s="502">
        <v>43845</v>
      </c>
      <c r="G240" t="s">
        <v>3322</v>
      </c>
      <c r="H240"/>
      <c r="I240"/>
      <c r="J240" s="38">
        <v>0</v>
      </c>
      <c r="K240">
        <v>0</v>
      </c>
      <c r="L240">
        <v>0</v>
      </c>
      <c r="M240" s="38">
        <v>0</v>
      </c>
      <c r="N240">
        <v>6</v>
      </c>
      <c r="O240">
        <v>0</v>
      </c>
      <c r="P240" s="37">
        <v>47301174000</v>
      </c>
      <c r="Q240" s="37">
        <v>51905264277.14994</v>
      </c>
      <c r="R240" s="37">
        <v>-29654354751.942059</v>
      </c>
      <c r="S240">
        <v>0</v>
      </c>
      <c r="T240" s="70">
        <v>0</v>
      </c>
      <c r="U240">
        <v>0</v>
      </c>
      <c r="V240">
        <v>0</v>
      </c>
      <c r="W240">
        <v>0</v>
      </c>
      <c r="X240" s="38">
        <v>0</v>
      </c>
      <c r="Y240">
        <v>0</v>
      </c>
      <c r="Z240" s="70">
        <v>7270298840</v>
      </c>
      <c r="AA240" s="70">
        <v>0</v>
      </c>
      <c r="AB240" s="70">
        <v>7270298840</v>
      </c>
      <c r="AC240" s="70">
        <v>7270298840</v>
      </c>
      <c r="AD240" s="70">
        <v>7270298840</v>
      </c>
      <c r="AE240" s="70">
        <v>7270298840</v>
      </c>
      <c r="AF240">
        <v>0</v>
      </c>
      <c r="AG240" s="72">
        <f>Tradingbook_MSB[[#This Row],[Mat. Date]]-RPT</f>
        <v>-2407</v>
      </c>
      <c r="AH240" s="71">
        <f>IF(Tradingbook_MSB[[#This Row],[Days]]&lt;=0,0,YEARFRAC(RPT,Tradingbook_MSB[[#This Row],[Mat. Date]],3))</f>
        <v>0</v>
      </c>
      <c r="AI240" s="71">
        <f>IF(Tradingbook_MSB[[#This Row],[Days (year)]]=0,0,INDEX(Ref!$K$2:$K$13,MATCH(Tradingbook_MSB[[#This Row],[Days (year)]],Ref!$I$2:$I$13,1)))</f>
        <v>0</v>
      </c>
      <c r="AJ240" s="120" t="str">
        <f>VLOOKUP(Tradingbook_MSB[[#This Row],[Security Name]],Ref!X:Z,3,0)</f>
        <v>TPCP</v>
      </c>
      <c r="AK240" s="120" t="str">
        <f>VLOOKUP(Tradingbook_MSB[[#This Row],[Security Name]],Ref!X:Y,2,0)</f>
        <v>KBNN</v>
      </c>
      <c r="AL240" s="71">
        <f>IF((Tradingbook_MSB[[#This Row],[Mat. Date]]-RPT)&lt;=0,0,Tradingbook_MSB[[#This Row],[QUANTITY]])</f>
        <v>0</v>
      </c>
      <c r="AM240" s="71">
        <f>IF(Tradingbook_MSB[[#This Row],[Quantity_edited]]=0,0,Tradingbook_MSB[[#This Row],[DURATION]])</f>
        <v>0</v>
      </c>
      <c r="AN240" s="71">
        <f>IF(Tradingbook_MSB[[#This Row],[Quantity_edited]]=0,0,Tradingbook_MSB[[#This Row],[Mod Dur]])</f>
        <v>0</v>
      </c>
      <c r="AO240" s="71">
        <f>IF(Tradingbook_MSB[[#This Row],[Quantity_edited]]=0,0,Tradingbook_MSB[[#This Row],[Cnvx.]])</f>
        <v>0</v>
      </c>
      <c r="AP240" s="71">
        <f>(Tradingbook_MSB[[#This Row],[MARKET_VALUE]]+Tradingbook_MSB[[#This Row],[Accr Int]]*Tradingbook_MSB[[#This Row],[Quantity_edited]])*(-Tradingbook_MSB[[#This Row],[Modified Duration]]*0.0001+0.5*Tradingbook_MSB[[#This Row],[Conv]]*(0.0001^2))</f>
        <v>0</v>
      </c>
      <c r="AQ240" s="72">
        <f>(Tradingbook_MSB[[#This Row],[MARKET_VALUE]]+Tradingbook_MSB[[#This Row],[Accr Int]]*Tradingbook_MSB[[#This Row],[Quantity_edited]])*(-Tradingbook_MSB[[#This Row],[Modified Duration]]*0.01+0.5*Tradingbook_MSB[[#This Row],[Conv]]*(0.01^2))</f>
        <v>0</v>
      </c>
      <c r="AR240" s="71"/>
      <c r="CL240" t="s">
        <v>166</v>
      </c>
      <c r="CM240" t="s">
        <v>167</v>
      </c>
      <c r="CN240" t="s">
        <v>422</v>
      </c>
      <c r="CO240" t="s">
        <v>169</v>
      </c>
      <c r="CP240" s="35">
        <v>43845</v>
      </c>
      <c r="CQ240" t="s">
        <v>3322</v>
      </c>
      <c r="CR240" t="s">
        <v>174</v>
      </c>
      <c r="CS240" t="s">
        <v>174</v>
      </c>
      <c r="CT240" s="49">
        <v>0</v>
      </c>
      <c r="CU240">
        <v>0</v>
      </c>
      <c r="CV240">
        <v>0</v>
      </c>
      <c r="CW240" s="70">
        <v>0</v>
      </c>
      <c r="CX240">
        <v>6</v>
      </c>
      <c r="CY240">
        <v>0</v>
      </c>
      <c r="CZ240">
        <v>47301174000</v>
      </c>
      <c r="DA240">
        <v>51905264277.149933</v>
      </c>
      <c r="DB240">
        <v>-29506691869.983723</v>
      </c>
      <c r="DC240">
        <v>0</v>
      </c>
      <c r="DD240">
        <v>0</v>
      </c>
      <c r="DE240">
        <v>0</v>
      </c>
      <c r="DF240">
        <v>0</v>
      </c>
      <c r="DG240">
        <v>0</v>
      </c>
      <c r="DH240">
        <v>0</v>
      </c>
      <c r="DI240">
        <v>0</v>
      </c>
      <c r="DJ240" s="500">
        <v>7291478840</v>
      </c>
      <c r="DK240" s="500">
        <v>0</v>
      </c>
      <c r="DL240" s="37">
        <v>7291478840</v>
      </c>
      <c r="DM240" s="37">
        <v>7291478840</v>
      </c>
      <c r="DN240" s="37">
        <v>7291478840</v>
      </c>
      <c r="DO240" s="37">
        <v>7291478840</v>
      </c>
      <c r="DP240" s="32">
        <f>Tradingbook_SBV[[#This Row],[Mat. Date]]-RPT</f>
        <v>-2407</v>
      </c>
      <c r="DQ240" s="32">
        <f>IF(Tradingbook_SBV[[#This Row],[Days]]&lt;=0,0,YEARFRAC(RPT,Tradingbook_SBV[[#This Row],[Mat. Date]],3))</f>
        <v>0</v>
      </c>
      <c r="DR240" s="32">
        <f>IF(Tradingbook_SBV[[#This Row],[Days (year)]]=0,0,INDEX(Ref!$K$2:$K$13,MATCH(Tradingbook_SBV[[#This Row],[Days (year)]],Ref!$I$2:$I$13,1)))</f>
        <v>0</v>
      </c>
      <c r="DS240" s="32" t="str">
        <f>VLOOKUP(Tradingbook_SBV[[#This Row],[Security Name]],Ref!X:Z,3,0)</f>
        <v>TPCP</v>
      </c>
      <c r="DT240" s="32" t="str">
        <f>VLOOKUP(Tradingbook_SBV[[#This Row],[Security Name]],Ref!X:Y,2,0)</f>
        <v>KBNN</v>
      </c>
      <c r="DU240" s="71">
        <f>IF((Tradingbook_SBV[[#This Row],[Mat. Date]]-RPT)&lt;=0,0,Tradingbook_SBV[[#This Row],[QUANTITY]])</f>
        <v>0</v>
      </c>
      <c r="DV240" s="71">
        <f>IF(Tradingbook_SBV[[#This Row],[Quantity_edited]]=0,0,Tradingbook_SBV[[#This Row],[DURATION]])</f>
        <v>0</v>
      </c>
      <c r="DW240" s="71">
        <f>IF(Tradingbook_SBV[[#This Row],[Quantity_edited]]=0,0,Tradingbook_SBV[[#This Row],[Mod Dur]])</f>
        <v>0</v>
      </c>
      <c r="DX240" s="71">
        <f>IF(Tradingbook_SBV[[#This Row],[Quantity_edited]]=0,0,Tradingbook_SBV[[#This Row],[Cnvx.]])</f>
        <v>0</v>
      </c>
      <c r="DY240" s="71">
        <f>(Tradingbook_SBV[[#This Row],[MARKET_VALUE]]+Tradingbook_SBV[[#This Row],[Accr Int]]*Tradingbook_SBV[[#This Row],[Quantity_edited]])*(-Tradingbook_SBV[[#This Row],[Modified Duration]]*0.0001+0.5*Tradingbook_SBV[[#This Row],[Conv]]*(0.0001^2))</f>
        <v>0</v>
      </c>
      <c r="DZ240" s="71">
        <f>(Tradingbook_SBV[[#This Row],[MARKET_VALUE]]+Tradingbook_SBV[[#This Row],[Accr Int]]*Tradingbook_SBV[[#This Row],[Quantity_edited]])*(-Tradingbook_SBV[[#This Row],[Modified Duration]]*0.01+0.5*Tradingbook_SBV[[#This Row],[Conv]]*(0.01^2))</f>
        <v>0</v>
      </c>
      <c r="EC240" t="s">
        <v>166</v>
      </c>
      <c r="ED240" t="s">
        <v>3300</v>
      </c>
      <c r="EE240" t="s">
        <v>644</v>
      </c>
      <c r="EF240" t="s">
        <v>169</v>
      </c>
      <c r="EG240" s="35" t="s">
        <v>3820</v>
      </c>
      <c r="EH240" t="s">
        <v>3322</v>
      </c>
      <c r="EI240" s="500">
        <v>90323</v>
      </c>
      <c r="EJ240" s="500">
        <v>90323</v>
      </c>
      <c r="EK240" s="500">
        <v>0</v>
      </c>
      <c r="EL240" s="500">
        <v>0</v>
      </c>
      <c r="EM240" s="500">
        <v>0</v>
      </c>
      <c r="EN240" s="500">
        <v>0</v>
      </c>
      <c r="EO240">
        <v>2.1</v>
      </c>
      <c r="EP240">
        <v>1853</v>
      </c>
      <c r="EQ240">
        <v>1050000000</v>
      </c>
      <c r="ER240">
        <v>1146499375.0000081</v>
      </c>
      <c r="ES240">
        <v>-1385762335.0722032</v>
      </c>
      <c r="ET240">
        <v>4.2421015410000003</v>
      </c>
      <c r="EU240">
        <v>4.6004801082358</v>
      </c>
      <c r="EV240">
        <v>4.7956371500000001</v>
      </c>
      <c r="EW240">
        <v>26.588132218512399</v>
      </c>
      <c r="EX240">
        <v>0</v>
      </c>
      <c r="EY240">
        <v>0</v>
      </c>
      <c r="EZ240">
        <v>0</v>
      </c>
      <c r="FA240">
        <v>-716650000</v>
      </c>
      <c r="FB240">
        <v>0</v>
      </c>
      <c r="FC240">
        <v>-716650000</v>
      </c>
      <c r="FD240">
        <v>-716650000</v>
      </c>
      <c r="FE240">
        <v>-716650000</v>
      </c>
      <c r="FF240">
        <v>-716650000</v>
      </c>
      <c r="FG240" s="32">
        <f>Bankingbook_SBV[[#This Row],[Mat. Date]]-RPT</f>
        <v>1869</v>
      </c>
      <c r="FH240" s="32">
        <f>IF(Bankingbook_SBV[[#This Row],[Days]]&lt;=0,0,YEARFRAC(RPT,Bankingbook_SBV[[#This Row],[Mat. Date]],3))</f>
        <v>5.1205479452054794</v>
      </c>
      <c r="FI240" s="32" t="str">
        <f>IF(Bankingbook_SBV[[#This Row],[Days (year)]]=0,0,INDEX(Ref!$K$2:$K$13,MATCH(Bankingbook_SBV[[#This Row],[Days (year)]],Ref!$I$2:$I$13,1)))</f>
        <v>5Y</v>
      </c>
      <c r="FJ240" s="32" t="str">
        <f>VLOOKUP(Bankingbook_SBV[[#This Row],[Security Name]],Ref!X:Z,3,0)</f>
        <v>TPCP</v>
      </c>
      <c r="FK240" s="32" t="str">
        <f>VLOOKUP(Bankingbook_SBV[[#This Row],[Security Name]],Ref!X:Y,2,0)</f>
        <v>KBNN</v>
      </c>
      <c r="FL240" s="72">
        <f>IF((Bankingbook_SBV[[#This Row],[Mat. Date]]-RPT)&lt;=0,0,Bankingbook_SBV[[#This Row],[QUANTITY]])</f>
        <v>0</v>
      </c>
      <c r="FM240" s="32">
        <f>IF(Bankingbook_SBV[[#This Row],[Quantity_edited]]=0,0,Bankingbook_SBV[[#This Row],[DURATION]])</f>
        <v>0</v>
      </c>
      <c r="FN240" s="32">
        <f>IF(Bankingbook_SBV[[#This Row],[Quantity_edited]]=0,0,Bankingbook_SBV[[#This Row],[Mod Dur]])</f>
        <v>0</v>
      </c>
      <c r="FO240" s="32">
        <f>IF(Bankingbook_SBV[[#This Row],[Quantity_edited]]=0,0,Bankingbook_SBV[[#This Row],[Cnvx.]])</f>
        <v>0</v>
      </c>
      <c r="FP240" s="32">
        <f>(Bankingbook_SBV[[#This Row],[MARKET_VALUE]]+Bankingbook_SBV[[#This Row],[Accr Int]]*Bankingbook_SBV[[#This Row],[Quantity_edited]])*(-Bankingbook_SBV[[#This Row],[Modified Duration]]*0.0001+0.5*Bankingbook_SBV[[#This Row],[Conv]]*(0.0001^2))</f>
        <v>0</v>
      </c>
      <c r="FQ240" s="32">
        <f>(Bankingbook_SBV[[#This Row],[MARKET_VALUE]]+Bankingbook_SBV[[#This Row],[Accr Int]]*Bankingbook_SBV[[#This Row],[Quantity_edited]])*(-Bankingbook_SBV[[#This Row],[Modified Duration]]*0.01+0.5*Bankingbook_SBV[[#This Row],[Conv]]*(0.01^2))</f>
        <v>0</v>
      </c>
    </row>
    <row r="241" spans="2:173" x14ac:dyDescent="0.3">
      <c r="B241" t="s">
        <v>166</v>
      </c>
      <c r="C241" t="s">
        <v>167</v>
      </c>
      <c r="D241" t="s">
        <v>423</v>
      </c>
      <c r="E241" t="s">
        <v>169</v>
      </c>
      <c r="F241" s="502">
        <v>43846</v>
      </c>
      <c r="G241" t="s">
        <v>3322</v>
      </c>
      <c r="H241"/>
      <c r="I241"/>
      <c r="J241" s="38">
        <v>0</v>
      </c>
      <c r="K241">
        <v>0</v>
      </c>
      <c r="L241">
        <v>0</v>
      </c>
      <c r="M241" s="38">
        <v>0</v>
      </c>
      <c r="N241">
        <v>6.6</v>
      </c>
      <c r="O241">
        <v>0</v>
      </c>
      <c r="P241" s="37">
        <v>0</v>
      </c>
      <c r="Q241" s="37">
        <v>-1.5E-5</v>
      </c>
      <c r="R241" s="37">
        <v>-358402582.8471756</v>
      </c>
      <c r="S241">
        <v>0</v>
      </c>
      <c r="T241" s="70">
        <v>0</v>
      </c>
      <c r="U241">
        <v>0</v>
      </c>
      <c r="V241">
        <v>0</v>
      </c>
      <c r="W241">
        <v>0</v>
      </c>
      <c r="X241" s="38">
        <v>0</v>
      </c>
      <c r="Y241">
        <v>0</v>
      </c>
      <c r="Z241" s="70">
        <v>7969750000</v>
      </c>
      <c r="AA241" s="70">
        <v>0</v>
      </c>
      <c r="AB241" s="70">
        <v>7969750000</v>
      </c>
      <c r="AC241" s="70">
        <v>7969750000</v>
      </c>
      <c r="AD241" s="70">
        <v>7969750000</v>
      </c>
      <c r="AE241" s="70">
        <v>7969750000</v>
      </c>
      <c r="AF241">
        <v>0</v>
      </c>
      <c r="AG241" s="72">
        <f>Tradingbook_MSB[[#This Row],[Mat. Date]]-RPT</f>
        <v>-2406</v>
      </c>
      <c r="AH241" s="71">
        <f>IF(Tradingbook_MSB[[#This Row],[Days]]&lt;=0,0,YEARFRAC(RPT,Tradingbook_MSB[[#This Row],[Mat. Date]],3))</f>
        <v>0</v>
      </c>
      <c r="AI241" s="71">
        <f>IF(Tradingbook_MSB[[#This Row],[Days (year)]]=0,0,INDEX(Ref!$K$2:$K$13,MATCH(Tradingbook_MSB[[#This Row],[Days (year)]],Ref!$I$2:$I$13,1)))</f>
        <v>0</v>
      </c>
      <c r="AJ241" s="120" t="str">
        <f>VLOOKUP(Tradingbook_MSB[[#This Row],[Security Name]],Ref!X:Z,3,0)</f>
        <v>TPCPBL</v>
      </c>
      <c r="AK241" s="120" t="str">
        <f>VLOOKUP(Tradingbook_MSB[[#This Row],[Security Name]],Ref!X:Y,2,0)</f>
        <v>VDB</v>
      </c>
      <c r="AL241" s="71">
        <f>IF((Tradingbook_MSB[[#This Row],[Mat. Date]]-RPT)&lt;=0,0,Tradingbook_MSB[[#This Row],[QUANTITY]])</f>
        <v>0</v>
      </c>
      <c r="AM241" s="71">
        <f>IF(Tradingbook_MSB[[#This Row],[Quantity_edited]]=0,0,Tradingbook_MSB[[#This Row],[DURATION]])</f>
        <v>0</v>
      </c>
      <c r="AN241" s="71">
        <f>IF(Tradingbook_MSB[[#This Row],[Quantity_edited]]=0,0,Tradingbook_MSB[[#This Row],[Mod Dur]])</f>
        <v>0</v>
      </c>
      <c r="AO241" s="71">
        <f>IF(Tradingbook_MSB[[#This Row],[Quantity_edited]]=0,0,Tradingbook_MSB[[#This Row],[Cnvx.]])</f>
        <v>0</v>
      </c>
      <c r="AP241" s="71">
        <f>(Tradingbook_MSB[[#This Row],[MARKET_VALUE]]+Tradingbook_MSB[[#This Row],[Accr Int]]*Tradingbook_MSB[[#This Row],[Quantity_edited]])*(-Tradingbook_MSB[[#This Row],[Modified Duration]]*0.0001+0.5*Tradingbook_MSB[[#This Row],[Conv]]*(0.0001^2))</f>
        <v>0</v>
      </c>
      <c r="AQ241" s="72">
        <f>(Tradingbook_MSB[[#This Row],[MARKET_VALUE]]+Tradingbook_MSB[[#This Row],[Accr Int]]*Tradingbook_MSB[[#This Row],[Quantity_edited]])*(-Tradingbook_MSB[[#This Row],[Modified Duration]]*0.01+0.5*Tradingbook_MSB[[#This Row],[Conv]]*(0.01^2))</f>
        <v>0</v>
      </c>
      <c r="AR241" s="71"/>
      <c r="CL241" t="s">
        <v>166</v>
      </c>
      <c r="CM241" t="s">
        <v>167</v>
      </c>
      <c r="CN241" t="s">
        <v>423</v>
      </c>
      <c r="CO241" t="s">
        <v>169</v>
      </c>
      <c r="CP241" s="35">
        <v>43846</v>
      </c>
      <c r="CQ241" t="s">
        <v>3322</v>
      </c>
      <c r="CR241" t="s">
        <v>174</v>
      </c>
      <c r="CS241" t="s">
        <v>174</v>
      </c>
      <c r="CT241" s="49">
        <v>0</v>
      </c>
      <c r="CU241">
        <v>0</v>
      </c>
      <c r="CV241">
        <v>0</v>
      </c>
      <c r="CW241" s="70">
        <v>0</v>
      </c>
      <c r="CX241">
        <v>6.6</v>
      </c>
      <c r="CY241">
        <v>0</v>
      </c>
      <c r="CZ241">
        <v>0</v>
      </c>
      <c r="DA241">
        <v>-1.5E-5</v>
      </c>
      <c r="DB241">
        <v>-358402582.8471756</v>
      </c>
      <c r="DC241">
        <v>0</v>
      </c>
      <c r="DD241">
        <v>0</v>
      </c>
      <c r="DE241">
        <v>0</v>
      </c>
      <c r="DF241">
        <v>0</v>
      </c>
      <c r="DG241">
        <v>0</v>
      </c>
      <c r="DH241">
        <v>0</v>
      </c>
      <c r="DI241">
        <v>0</v>
      </c>
      <c r="DJ241" s="500">
        <v>7969750000</v>
      </c>
      <c r="DK241" s="500">
        <v>0</v>
      </c>
      <c r="DL241" s="37">
        <v>7969750000</v>
      </c>
      <c r="DM241" s="37">
        <v>7969750000</v>
      </c>
      <c r="DN241" s="37">
        <v>7969750000</v>
      </c>
      <c r="DO241" s="37">
        <v>7969750000</v>
      </c>
      <c r="DP241" s="32">
        <f>Tradingbook_SBV[[#This Row],[Mat. Date]]-RPT</f>
        <v>-2406</v>
      </c>
      <c r="DQ241" s="32">
        <f>IF(Tradingbook_SBV[[#This Row],[Days]]&lt;=0,0,YEARFRAC(RPT,Tradingbook_SBV[[#This Row],[Mat. Date]],3))</f>
        <v>0</v>
      </c>
      <c r="DR241" s="32">
        <f>IF(Tradingbook_SBV[[#This Row],[Days (year)]]=0,0,INDEX(Ref!$K$2:$K$13,MATCH(Tradingbook_SBV[[#This Row],[Days (year)]],Ref!$I$2:$I$13,1)))</f>
        <v>0</v>
      </c>
      <c r="DS241" s="32" t="str">
        <f>VLOOKUP(Tradingbook_SBV[[#This Row],[Security Name]],Ref!X:Z,3,0)</f>
        <v>TPCPBL</v>
      </c>
      <c r="DT241" s="32" t="str">
        <f>VLOOKUP(Tradingbook_SBV[[#This Row],[Security Name]],Ref!X:Y,2,0)</f>
        <v>VDB</v>
      </c>
      <c r="DU241" s="71">
        <f>IF((Tradingbook_SBV[[#This Row],[Mat. Date]]-RPT)&lt;=0,0,Tradingbook_SBV[[#This Row],[QUANTITY]])</f>
        <v>0</v>
      </c>
      <c r="DV241" s="71">
        <f>IF(Tradingbook_SBV[[#This Row],[Quantity_edited]]=0,0,Tradingbook_SBV[[#This Row],[DURATION]])</f>
        <v>0</v>
      </c>
      <c r="DW241" s="71">
        <f>IF(Tradingbook_SBV[[#This Row],[Quantity_edited]]=0,0,Tradingbook_SBV[[#This Row],[Mod Dur]])</f>
        <v>0</v>
      </c>
      <c r="DX241" s="71">
        <f>IF(Tradingbook_SBV[[#This Row],[Quantity_edited]]=0,0,Tradingbook_SBV[[#This Row],[Cnvx.]])</f>
        <v>0</v>
      </c>
      <c r="DY241" s="71">
        <f>(Tradingbook_SBV[[#This Row],[MARKET_VALUE]]+Tradingbook_SBV[[#This Row],[Accr Int]]*Tradingbook_SBV[[#This Row],[Quantity_edited]])*(-Tradingbook_SBV[[#This Row],[Modified Duration]]*0.0001+0.5*Tradingbook_SBV[[#This Row],[Conv]]*(0.0001^2))</f>
        <v>0</v>
      </c>
      <c r="DZ241" s="71">
        <f>(Tradingbook_SBV[[#This Row],[MARKET_VALUE]]+Tradingbook_SBV[[#This Row],[Accr Int]]*Tradingbook_SBV[[#This Row],[Quantity_edited]])*(-Tradingbook_SBV[[#This Row],[Modified Duration]]*0.01+0.5*Tradingbook_SBV[[#This Row],[Conv]]*(0.01^2))</f>
        <v>0</v>
      </c>
      <c r="EC241" t="s">
        <v>166</v>
      </c>
      <c r="ED241" t="s">
        <v>3300</v>
      </c>
      <c r="EE241" t="s">
        <v>621</v>
      </c>
      <c r="EF241" t="s">
        <v>169</v>
      </c>
      <c r="EG241" s="35" t="s">
        <v>3815</v>
      </c>
      <c r="EH241" t="s">
        <v>3322</v>
      </c>
      <c r="EI241" s="500">
        <v>112834</v>
      </c>
      <c r="EJ241" s="500">
        <v>112834</v>
      </c>
      <c r="EK241" s="500">
        <v>0</v>
      </c>
      <c r="EL241" s="500">
        <v>0</v>
      </c>
      <c r="EM241" s="500">
        <v>0</v>
      </c>
      <c r="EN241" s="500">
        <v>0</v>
      </c>
      <c r="EO241">
        <v>7.6</v>
      </c>
      <c r="EP241">
        <v>6184</v>
      </c>
      <c r="EQ241">
        <v>0</v>
      </c>
      <c r="ER241">
        <v>0</v>
      </c>
      <c r="ES241">
        <v>-948305066.66664886</v>
      </c>
      <c r="ET241">
        <v>4.7445735019999997</v>
      </c>
      <c r="EU241">
        <v>4.0977183280528999</v>
      </c>
      <c r="EV241">
        <v>4.2921375900000003</v>
      </c>
      <c r="EW241">
        <v>23.020717655697101</v>
      </c>
      <c r="EX241">
        <v>0</v>
      </c>
      <c r="EY241">
        <v>0</v>
      </c>
      <c r="EZ241">
        <v>0</v>
      </c>
      <c r="FA241">
        <v>-3465000000</v>
      </c>
      <c r="FB241">
        <v>0</v>
      </c>
      <c r="FC241">
        <v>-3465000000</v>
      </c>
      <c r="FD241">
        <v>-3465000000</v>
      </c>
      <c r="FE241">
        <v>-3465000000</v>
      </c>
      <c r="FF241">
        <v>-3465000000</v>
      </c>
      <c r="FG241" s="32">
        <f>Bankingbook_SBV[[#This Row],[Mat. Date]]-RPT</f>
        <v>1894</v>
      </c>
      <c r="FH241" s="32">
        <f>IF(Bankingbook_SBV[[#This Row],[Days]]&lt;=0,0,YEARFRAC(RPT,Bankingbook_SBV[[#This Row],[Mat. Date]],3))</f>
        <v>5.1890410958904107</v>
      </c>
      <c r="FI241" s="32" t="str">
        <f>IF(Bankingbook_SBV[[#This Row],[Days (year)]]=0,0,INDEX(Ref!$K$2:$K$13,MATCH(Bankingbook_SBV[[#This Row],[Days (year)]],Ref!$I$2:$I$13,1)))</f>
        <v>5Y</v>
      </c>
      <c r="FJ241" s="32" t="str">
        <f>VLOOKUP(Bankingbook_SBV[[#This Row],[Security Name]],Ref!X:Z,3,0)</f>
        <v>TPCPBL</v>
      </c>
      <c r="FK241" s="32" t="str">
        <f>VLOOKUP(Bankingbook_SBV[[#This Row],[Security Name]],Ref!X:Y,2,0)</f>
        <v>VBS</v>
      </c>
      <c r="FL241" s="72">
        <f>IF((Bankingbook_SBV[[#This Row],[Mat. Date]]-RPT)&lt;=0,0,Bankingbook_SBV[[#This Row],[QUANTITY]])</f>
        <v>0</v>
      </c>
      <c r="FM241" s="32">
        <f>IF(Bankingbook_SBV[[#This Row],[Quantity_edited]]=0,0,Bankingbook_SBV[[#This Row],[DURATION]])</f>
        <v>0</v>
      </c>
      <c r="FN241" s="32">
        <f>IF(Bankingbook_SBV[[#This Row],[Quantity_edited]]=0,0,Bankingbook_SBV[[#This Row],[Mod Dur]])</f>
        <v>0</v>
      </c>
      <c r="FO241" s="32">
        <f>IF(Bankingbook_SBV[[#This Row],[Quantity_edited]]=0,0,Bankingbook_SBV[[#This Row],[Cnvx.]])</f>
        <v>0</v>
      </c>
      <c r="FP241" s="32">
        <f>(Bankingbook_SBV[[#This Row],[MARKET_VALUE]]+Bankingbook_SBV[[#This Row],[Accr Int]]*Bankingbook_SBV[[#This Row],[Quantity_edited]])*(-Bankingbook_SBV[[#This Row],[Modified Duration]]*0.0001+0.5*Bankingbook_SBV[[#This Row],[Conv]]*(0.0001^2))</f>
        <v>0</v>
      </c>
      <c r="FQ241" s="32">
        <f>(Bankingbook_SBV[[#This Row],[MARKET_VALUE]]+Bankingbook_SBV[[#This Row],[Accr Int]]*Bankingbook_SBV[[#This Row],[Quantity_edited]])*(-Bankingbook_SBV[[#This Row],[Modified Duration]]*0.01+0.5*Bankingbook_SBV[[#This Row],[Conv]]*(0.01^2))</f>
        <v>0</v>
      </c>
    </row>
    <row r="242" spans="2:173" x14ac:dyDescent="0.3">
      <c r="B242" t="s">
        <v>166</v>
      </c>
      <c r="C242" t="s">
        <v>167</v>
      </c>
      <c r="D242" t="s">
        <v>424</v>
      </c>
      <c r="E242" t="s">
        <v>169</v>
      </c>
      <c r="F242" s="502">
        <v>43857</v>
      </c>
      <c r="G242" t="s">
        <v>3322</v>
      </c>
      <c r="H242"/>
      <c r="I242"/>
      <c r="J242" s="38">
        <v>0</v>
      </c>
      <c r="K242">
        <v>0</v>
      </c>
      <c r="L242">
        <v>0</v>
      </c>
      <c r="M242" s="38">
        <v>0</v>
      </c>
      <c r="N242">
        <v>6.4</v>
      </c>
      <c r="O242">
        <v>0</v>
      </c>
      <c r="P242" s="37">
        <v>0</v>
      </c>
      <c r="Q242" s="37">
        <v>0</v>
      </c>
      <c r="R242" s="37">
        <v>-22788748.555551529</v>
      </c>
      <c r="S242">
        <v>0</v>
      </c>
      <c r="T242" s="70">
        <v>0</v>
      </c>
      <c r="U242">
        <v>0</v>
      </c>
      <c r="V242">
        <v>0</v>
      </c>
      <c r="W242">
        <v>0</v>
      </c>
      <c r="X242" s="38">
        <v>0</v>
      </c>
      <c r="Y242">
        <v>0</v>
      </c>
      <c r="Z242" s="70">
        <v>786000000</v>
      </c>
      <c r="AA242" s="70">
        <v>0</v>
      </c>
      <c r="AB242" s="70">
        <v>786000000</v>
      </c>
      <c r="AC242" s="70">
        <v>786000000</v>
      </c>
      <c r="AD242" s="70">
        <v>786000000</v>
      </c>
      <c r="AE242" s="70">
        <v>786000000</v>
      </c>
      <c r="AF242">
        <v>0</v>
      </c>
      <c r="AG242" s="72">
        <f>Tradingbook_MSB[[#This Row],[Mat. Date]]-RPT</f>
        <v>-2395</v>
      </c>
      <c r="AH242" s="71">
        <f>IF(Tradingbook_MSB[[#This Row],[Days]]&lt;=0,0,YEARFRAC(RPT,Tradingbook_MSB[[#This Row],[Mat. Date]],3))</f>
        <v>0</v>
      </c>
      <c r="AI242" s="71">
        <f>IF(Tradingbook_MSB[[#This Row],[Days (year)]]=0,0,INDEX(Ref!$K$2:$K$13,MATCH(Tradingbook_MSB[[#This Row],[Days (year)]],Ref!$I$2:$I$13,1)))</f>
        <v>0</v>
      </c>
      <c r="AJ242" s="120" t="str">
        <f>VLOOKUP(Tradingbook_MSB[[#This Row],[Security Name]],Ref!X:Z,3,0)</f>
        <v>TPCPBL</v>
      </c>
      <c r="AK242" s="120" t="str">
        <f>VLOOKUP(Tradingbook_MSB[[#This Row],[Security Name]],Ref!X:Y,2,0)</f>
        <v>VDB</v>
      </c>
      <c r="AL242" s="71">
        <f>IF((Tradingbook_MSB[[#This Row],[Mat. Date]]-RPT)&lt;=0,0,Tradingbook_MSB[[#This Row],[QUANTITY]])</f>
        <v>0</v>
      </c>
      <c r="AM242" s="71">
        <f>IF(Tradingbook_MSB[[#This Row],[Quantity_edited]]=0,0,Tradingbook_MSB[[#This Row],[DURATION]])</f>
        <v>0</v>
      </c>
      <c r="AN242" s="71">
        <f>IF(Tradingbook_MSB[[#This Row],[Quantity_edited]]=0,0,Tradingbook_MSB[[#This Row],[Mod Dur]])</f>
        <v>0</v>
      </c>
      <c r="AO242" s="71">
        <f>IF(Tradingbook_MSB[[#This Row],[Quantity_edited]]=0,0,Tradingbook_MSB[[#This Row],[Cnvx.]])</f>
        <v>0</v>
      </c>
      <c r="AP242" s="71">
        <f>(Tradingbook_MSB[[#This Row],[MARKET_VALUE]]+Tradingbook_MSB[[#This Row],[Accr Int]]*Tradingbook_MSB[[#This Row],[Quantity_edited]])*(-Tradingbook_MSB[[#This Row],[Modified Duration]]*0.0001+0.5*Tradingbook_MSB[[#This Row],[Conv]]*(0.0001^2))</f>
        <v>0</v>
      </c>
      <c r="AQ242" s="72">
        <f>(Tradingbook_MSB[[#This Row],[MARKET_VALUE]]+Tradingbook_MSB[[#This Row],[Accr Int]]*Tradingbook_MSB[[#This Row],[Quantity_edited]])*(-Tradingbook_MSB[[#This Row],[Modified Duration]]*0.01+0.5*Tradingbook_MSB[[#This Row],[Conv]]*(0.01^2))</f>
        <v>0</v>
      </c>
      <c r="AR242" s="71"/>
      <c r="CL242" t="s">
        <v>166</v>
      </c>
      <c r="CM242" t="s">
        <v>167</v>
      </c>
      <c r="CN242" t="s">
        <v>424</v>
      </c>
      <c r="CO242" t="s">
        <v>169</v>
      </c>
      <c r="CP242" s="35">
        <v>43857</v>
      </c>
      <c r="CQ242" t="s">
        <v>3322</v>
      </c>
      <c r="CR242" t="s">
        <v>174</v>
      </c>
      <c r="CS242" t="s">
        <v>174</v>
      </c>
      <c r="CT242" s="49">
        <v>0</v>
      </c>
      <c r="CU242">
        <v>0</v>
      </c>
      <c r="CV242">
        <v>0</v>
      </c>
      <c r="CW242" s="70">
        <v>0</v>
      </c>
      <c r="CX242">
        <v>6.4</v>
      </c>
      <c r="CY242">
        <v>0</v>
      </c>
      <c r="CZ242">
        <v>0</v>
      </c>
      <c r="DA242">
        <v>0</v>
      </c>
      <c r="DB242">
        <v>-22788748.555551529</v>
      </c>
      <c r="DC242">
        <v>0</v>
      </c>
      <c r="DD242">
        <v>0</v>
      </c>
      <c r="DE242">
        <v>0</v>
      </c>
      <c r="DF242">
        <v>0</v>
      </c>
      <c r="DG242">
        <v>0</v>
      </c>
      <c r="DH242">
        <v>0</v>
      </c>
      <c r="DI242">
        <v>0</v>
      </c>
      <c r="DJ242" s="500">
        <v>786000000</v>
      </c>
      <c r="DK242" s="500">
        <v>0</v>
      </c>
      <c r="DL242" s="37">
        <v>786000000</v>
      </c>
      <c r="DM242" s="37">
        <v>786000000</v>
      </c>
      <c r="DN242" s="37">
        <v>786000000</v>
      </c>
      <c r="DO242" s="37">
        <v>786000000</v>
      </c>
      <c r="DP242" s="32">
        <f>Tradingbook_SBV[[#This Row],[Mat. Date]]-RPT</f>
        <v>-2395</v>
      </c>
      <c r="DQ242" s="32">
        <f>IF(Tradingbook_SBV[[#This Row],[Days]]&lt;=0,0,YEARFRAC(RPT,Tradingbook_SBV[[#This Row],[Mat. Date]],3))</f>
        <v>0</v>
      </c>
      <c r="DR242" s="32">
        <f>IF(Tradingbook_SBV[[#This Row],[Days (year)]]=0,0,INDEX(Ref!$K$2:$K$13,MATCH(Tradingbook_SBV[[#This Row],[Days (year)]],Ref!$I$2:$I$13,1)))</f>
        <v>0</v>
      </c>
      <c r="DS242" s="32" t="str">
        <f>VLOOKUP(Tradingbook_SBV[[#This Row],[Security Name]],Ref!X:Z,3,0)</f>
        <v>TPCPBL</v>
      </c>
      <c r="DT242" s="32" t="str">
        <f>VLOOKUP(Tradingbook_SBV[[#This Row],[Security Name]],Ref!X:Y,2,0)</f>
        <v>VDB</v>
      </c>
      <c r="DU242" s="71">
        <f>IF((Tradingbook_SBV[[#This Row],[Mat. Date]]-RPT)&lt;=0,0,Tradingbook_SBV[[#This Row],[QUANTITY]])</f>
        <v>0</v>
      </c>
      <c r="DV242" s="71">
        <f>IF(Tradingbook_SBV[[#This Row],[Quantity_edited]]=0,0,Tradingbook_SBV[[#This Row],[DURATION]])</f>
        <v>0</v>
      </c>
      <c r="DW242" s="71">
        <f>IF(Tradingbook_SBV[[#This Row],[Quantity_edited]]=0,0,Tradingbook_SBV[[#This Row],[Mod Dur]])</f>
        <v>0</v>
      </c>
      <c r="DX242" s="71">
        <f>IF(Tradingbook_SBV[[#This Row],[Quantity_edited]]=0,0,Tradingbook_SBV[[#This Row],[Cnvx.]])</f>
        <v>0</v>
      </c>
      <c r="DY242" s="71">
        <f>(Tradingbook_SBV[[#This Row],[MARKET_VALUE]]+Tradingbook_SBV[[#This Row],[Accr Int]]*Tradingbook_SBV[[#This Row],[Quantity_edited]])*(-Tradingbook_SBV[[#This Row],[Modified Duration]]*0.0001+0.5*Tradingbook_SBV[[#This Row],[Conv]]*(0.0001^2))</f>
        <v>0</v>
      </c>
      <c r="DZ242" s="71">
        <f>(Tradingbook_SBV[[#This Row],[MARKET_VALUE]]+Tradingbook_SBV[[#This Row],[Accr Int]]*Tradingbook_SBV[[#This Row],[Quantity_edited]])*(-Tradingbook_SBV[[#This Row],[Modified Duration]]*0.01+0.5*Tradingbook_SBV[[#This Row],[Conv]]*(0.01^2))</f>
        <v>0</v>
      </c>
      <c r="EC242" t="s">
        <v>166</v>
      </c>
      <c r="ED242" t="s">
        <v>3300</v>
      </c>
      <c r="EE242" t="s">
        <v>622</v>
      </c>
      <c r="EF242" t="s">
        <v>169</v>
      </c>
      <c r="EG242" s="35" t="s">
        <v>3815</v>
      </c>
      <c r="EH242" t="s">
        <v>3322</v>
      </c>
      <c r="EI242" s="500">
        <v>112609</v>
      </c>
      <c r="EJ242" s="500">
        <v>112609</v>
      </c>
      <c r="EK242" s="500">
        <v>0</v>
      </c>
      <c r="EL242" s="500">
        <v>0</v>
      </c>
      <c r="EM242" s="500">
        <v>0</v>
      </c>
      <c r="EN242" s="500">
        <v>0</v>
      </c>
      <c r="EO242">
        <v>7.55</v>
      </c>
      <c r="EP242">
        <v>6143</v>
      </c>
      <c r="EQ242">
        <v>0</v>
      </c>
      <c r="ER242">
        <v>0</v>
      </c>
      <c r="ES242">
        <v>21623888.333305359</v>
      </c>
      <c r="ET242">
        <v>4.7446337989999998</v>
      </c>
      <c r="EU242">
        <v>4.1014332790663</v>
      </c>
      <c r="EV242">
        <v>4.2960312700000003</v>
      </c>
      <c r="EW242">
        <v>23.047788197153199</v>
      </c>
      <c r="EX242">
        <v>0</v>
      </c>
      <c r="EY242">
        <v>0</v>
      </c>
      <c r="EZ242">
        <v>0</v>
      </c>
      <c r="FA242">
        <v>-94000000</v>
      </c>
      <c r="FB242">
        <v>0</v>
      </c>
      <c r="FC242">
        <v>-94000000</v>
      </c>
      <c r="FD242">
        <v>-94000000</v>
      </c>
      <c r="FE242">
        <v>-94000000</v>
      </c>
      <c r="FF242">
        <v>-94000000</v>
      </c>
      <c r="FG242" s="32">
        <f>Bankingbook_SBV[[#This Row],[Mat. Date]]-RPT</f>
        <v>1894</v>
      </c>
      <c r="FH242" s="32">
        <f>IF(Bankingbook_SBV[[#This Row],[Days]]&lt;=0,0,YEARFRAC(RPT,Bankingbook_SBV[[#This Row],[Mat. Date]],3))</f>
        <v>5.1890410958904107</v>
      </c>
      <c r="FI242" s="32" t="str">
        <f>IF(Bankingbook_SBV[[#This Row],[Days (year)]]=0,0,INDEX(Ref!$K$2:$K$13,MATCH(Bankingbook_SBV[[#This Row],[Days (year)]],Ref!$I$2:$I$13,1)))</f>
        <v>5Y</v>
      </c>
      <c r="FJ242" s="32" t="str">
        <f>VLOOKUP(Bankingbook_SBV[[#This Row],[Security Name]],Ref!X:Z,3,0)</f>
        <v>TPCQĐP</v>
      </c>
      <c r="FK242" s="32" t="str">
        <f>VLOOKUP(Bankingbook_SBV[[#This Row],[Security Name]],Ref!X:Y,2,0)</f>
        <v>UBND-HCM</v>
      </c>
      <c r="FL242" s="72">
        <f>IF((Bankingbook_SBV[[#This Row],[Mat. Date]]-RPT)&lt;=0,0,Bankingbook_SBV[[#This Row],[QUANTITY]])</f>
        <v>0</v>
      </c>
      <c r="FM242" s="32">
        <f>IF(Bankingbook_SBV[[#This Row],[Quantity_edited]]=0,0,Bankingbook_SBV[[#This Row],[DURATION]])</f>
        <v>0</v>
      </c>
      <c r="FN242" s="32">
        <f>IF(Bankingbook_SBV[[#This Row],[Quantity_edited]]=0,0,Bankingbook_SBV[[#This Row],[Mod Dur]])</f>
        <v>0</v>
      </c>
      <c r="FO242" s="32">
        <f>IF(Bankingbook_SBV[[#This Row],[Quantity_edited]]=0,0,Bankingbook_SBV[[#This Row],[Cnvx.]])</f>
        <v>0</v>
      </c>
      <c r="FP242" s="32">
        <f>(Bankingbook_SBV[[#This Row],[MARKET_VALUE]]+Bankingbook_SBV[[#This Row],[Accr Int]]*Bankingbook_SBV[[#This Row],[Quantity_edited]])*(-Bankingbook_SBV[[#This Row],[Modified Duration]]*0.0001+0.5*Bankingbook_SBV[[#This Row],[Conv]]*(0.0001^2))</f>
        <v>0</v>
      </c>
      <c r="FQ242" s="32">
        <f>(Bankingbook_SBV[[#This Row],[MARKET_VALUE]]+Bankingbook_SBV[[#This Row],[Accr Int]]*Bankingbook_SBV[[#This Row],[Quantity_edited]])*(-Bankingbook_SBV[[#This Row],[Modified Duration]]*0.01+0.5*Bankingbook_SBV[[#This Row],[Conv]]*(0.01^2))</f>
        <v>0</v>
      </c>
    </row>
    <row r="243" spans="2:173" x14ac:dyDescent="0.3">
      <c r="B243" t="s">
        <v>166</v>
      </c>
      <c r="C243" t="s">
        <v>167</v>
      </c>
      <c r="D243" t="s">
        <v>425</v>
      </c>
      <c r="E243" t="s">
        <v>169</v>
      </c>
      <c r="F243" s="502">
        <v>43861</v>
      </c>
      <c r="G243" t="s">
        <v>3322</v>
      </c>
      <c r="H243"/>
      <c r="I243"/>
      <c r="J243" s="38">
        <v>0</v>
      </c>
      <c r="K243">
        <v>0</v>
      </c>
      <c r="L243">
        <v>0</v>
      </c>
      <c r="M243" s="38">
        <v>0</v>
      </c>
      <c r="N243">
        <v>5.4</v>
      </c>
      <c r="O243">
        <v>0</v>
      </c>
      <c r="P243" s="37">
        <v>27000000000</v>
      </c>
      <c r="Q243" s="37">
        <v>29530509375</v>
      </c>
      <c r="R243" s="37">
        <v>-14965896389.305481</v>
      </c>
      <c r="S243">
        <v>0</v>
      </c>
      <c r="T243" s="70">
        <v>0</v>
      </c>
      <c r="U243">
        <v>0</v>
      </c>
      <c r="V243">
        <v>0</v>
      </c>
      <c r="W243">
        <v>0</v>
      </c>
      <c r="X243" s="38">
        <v>0</v>
      </c>
      <c r="Y243">
        <v>0</v>
      </c>
      <c r="Z243" s="70">
        <v>7639500000</v>
      </c>
      <c r="AA243" s="70">
        <v>0</v>
      </c>
      <c r="AB243" s="70">
        <v>7639500000</v>
      </c>
      <c r="AC243" s="70">
        <v>7639500000</v>
      </c>
      <c r="AD243" s="70">
        <v>7639500000</v>
      </c>
      <c r="AE243" s="70">
        <v>7639500000</v>
      </c>
      <c r="AF243">
        <v>0</v>
      </c>
      <c r="AG243" s="72">
        <f>Tradingbook_MSB[[#This Row],[Mat. Date]]-RPT</f>
        <v>-2391</v>
      </c>
      <c r="AH243" s="71">
        <f>IF(Tradingbook_MSB[[#This Row],[Days]]&lt;=0,0,YEARFRAC(RPT,Tradingbook_MSB[[#This Row],[Mat. Date]],3))</f>
        <v>0</v>
      </c>
      <c r="AI243" s="71">
        <f>IF(Tradingbook_MSB[[#This Row],[Days (year)]]=0,0,INDEX(Ref!$K$2:$K$13,MATCH(Tradingbook_MSB[[#This Row],[Days (year)]],Ref!$I$2:$I$13,1)))</f>
        <v>0</v>
      </c>
      <c r="AJ243" s="120" t="str">
        <f>VLOOKUP(Tradingbook_MSB[[#This Row],[Security Name]],Ref!X:Z,3,0)</f>
        <v>TPCP</v>
      </c>
      <c r="AK243" s="120" t="str">
        <f>VLOOKUP(Tradingbook_MSB[[#This Row],[Security Name]],Ref!X:Y,2,0)</f>
        <v>KBNN</v>
      </c>
      <c r="AL243" s="71">
        <f>IF((Tradingbook_MSB[[#This Row],[Mat. Date]]-RPT)&lt;=0,0,Tradingbook_MSB[[#This Row],[QUANTITY]])</f>
        <v>0</v>
      </c>
      <c r="AM243" s="71">
        <f>IF(Tradingbook_MSB[[#This Row],[Quantity_edited]]=0,0,Tradingbook_MSB[[#This Row],[DURATION]])</f>
        <v>0</v>
      </c>
      <c r="AN243" s="71">
        <f>IF(Tradingbook_MSB[[#This Row],[Quantity_edited]]=0,0,Tradingbook_MSB[[#This Row],[Mod Dur]])</f>
        <v>0</v>
      </c>
      <c r="AO243" s="71">
        <f>IF(Tradingbook_MSB[[#This Row],[Quantity_edited]]=0,0,Tradingbook_MSB[[#This Row],[Cnvx.]])</f>
        <v>0</v>
      </c>
      <c r="AP243" s="71">
        <f>(Tradingbook_MSB[[#This Row],[MARKET_VALUE]]+Tradingbook_MSB[[#This Row],[Accr Int]]*Tradingbook_MSB[[#This Row],[Quantity_edited]])*(-Tradingbook_MSB[[#This Row],[Modified Duration]]*0.0001+0.5*Tradingbook_MSB[[#This Row],[Conv]]*(0.0001^2))</f>
        <v>0</v>
      </c>
      <c r="AQ243" s="72">
        <f>(Tradingbook_MSB[[#This Row],[MARKET_VALUE]]+Tradingbook_MSB[[#This Row],[Accr Int]]*Tradingbook_MSB[[#This Row],[Quantity_edited]])*(-Tradingbook_MSB[[#This Row],[Modified Duration]]*0.01+0.5*Tradingbook_MSB[[#This Row],[Conv]]*(0.01^2))</f>
        <v>0</v>
      </c>
      <c r="AR243" s="71"/>
      <c r="CL243" t="s">
        <v>166</v>
      </c>
      <c r="CM243" t="s">
        <v>167</v>
      </c>
      <c r="CN243" t="s">
        <v>425</v>
      </c>
      <c r="CO243" t="s">
        <v>169</v>
      </c>
      <c r="CP243" s="35">
        <v>43861</v>
      </c>
      <c r="CQ243" t="s">
        <v>3322</v>
      </c>
      <c r="CR243" t="s">
        <v>174</v>
      </c>
      <c r="CS243" t="s">
        <v>174</v>
      </c>
      <c r="CT243" s="49">
        <v>0</v>
      </c>
      <c r="CU243">
        <v>0</v>
      </c>
      <c r="CV243">
        <v>0</v>
      </c>
      <c r="CW243" s="70">
        <v>0</v>
      </c>
      <c r="CX243">
        <v>5.4</v>
      </c>
      <c r="CY243">
        <v>0</v>
      </c>
      <c r="CZ243">
        <v>27000000000</v>
      </c>
      <c r="DA243">
        <v>29530509375</v>
      </c>
      <c r="DB243">
        <v>-14965896389.305481</v>
      </c>
      <c r="DC243">
        <v>0</v>
      </c>
      <c r="DD243">
        <v>0</v>
      </c>
      <c r="DE243">
        <v>0</v>
      </c>
      <c r="DF243">
        <v>0</v>
      </c>
      <c r="DG243">
        <v>0</v>
      </c>
      <c r="DH243">
        <v>0</v>
      </c>
      <c r="DI243">
        <v>0</v>
      </c>
      <c r="DJ243" s="500">
        <v>7639500000</v>
      </c>
      <c r="DK243" s="500">
        <v>0</v>
      </c>
      <c r="DL243" s="37">
        <v>7639500000</v>
      </c>
      <c r="DM243" s="37">
        <v>7639500000</v>
      </c>
      <c r="DN243" s="37">
        <v>7639500000</v>
      </c>
      <c r="DO243" s="37">
        <v>7639500000</v>
      </c>
      <c r="DP243" s="32">
        <f>Tradingbook_SBV[[#This Row],[Mat. Date]]-RPT</f>
        <v>-2391</v>
      </c>
      <c r="DQ243" s="32">
        <f>IF(Tradingbook_SBV[[#This Row],[Days]]&lt;=0,0,YEARFRAC(RPT,Tradingbook_SBV[[#This Row],[Mat. Date]],3))</f>
        <v>0</v>
      </c>
      <c r="DR243" s="32">
        <f>IF(Tradingbook_SBV[[#This Row],[Days (year)]]=0,0,INDEX(Ref!$K$2:$K$13,MATCH(Tradingbook_SBV[[#This Row],[Days (year)]],Ref!$I$2:$I$13,1)))</f>
        <v>0</v>
      </c>
      <c r="DS243" s="32" t="str">
        <f>VLOOKUP(Tradingbook_SBV[[#This Row],[Security Name]],Ref!X:Z,3,0)</f>
        <v>TPCP</v>
      </c>
      <c r="DT243" s="32" t="str">
        <f>VLOOKUP(Tradingbook_SBV[[#This Row],[Security Name]],Ref!X:Y,2,0)</f>
        <v>KBNN</v>
      </c>
      <c r="DU243" s="71">
        <f>IF((Tradingbook_SBV[[#This Row],[Mat. Date]]-RPT)&lt;=0,0,Tradingbook_SBV[[#This Row],[QUANTITY]])</f>
        <v>0</v>
      </c>
      <c r="DV243" s="71">
        <f>IF(Tradingbook_SBV[[#This Row],[Quantity_edited]]=0,0,Tradingbook_SBV[[#This Row],[DURATION]])</f>
        <v>0</v>
      </c>
      <c r="DW243" s="71">
        <f>IF(Tradingbook_SBV[[#This Row],[Quantity_edited]]=0,0,Tradingbook_SBV[[#This Row],[Mod Dur]])</f>
        <v>0</v>
      </c>
      <c r="DX243" s="71">
        <f>IF(Tradingbook_SBV[[#This Row],[Quantity_edited]]=0,0,Tradingbook_SBV[[#This Row],[Cnvx.]])</f>
        <v>0</v>
      </c>
      <c r="DY243" s="71">
        <f>(Tradingbook_SBV[[#This Row],[MARKET_VALUE]]+Tradingbook_SBV[[#This Row],[Accr Int]]*Tradingbook_SBV[[#This Row],[Quantity_edited]])*(-Tradingbook_SBV[[#This Row],[Modified Duration]]*0.0001+0.5*Tradingbook_SBV[[#This Row],[Conv]]*(0.0001^2))</f>
        <v>0</v>
      </c>
      <c r="DZ243" s="71">
        <f>(Tradingbook_SBV[[#This Row],[MARKET_VALUE]]+Tradingbook_SBV[[#This Row],[Accr Int]]*Tradingbook_SBV[[#This Row],[Quantity_edited]])*(-Tradingbook_SBV[[#This Row],[Modified Duration]]*0.01+0.5*Tradingbook_SBV[[#This Row],[Conv]]*(0.01^2))</f>
        <v>0</v>
      </c>
      <c r="EC243" t="s">
        <v>166</v>
      </c>
      <c r="ED243" t="s">
        <v>3300</v>
      </c>
      <c r="EE243" t="s">
        <v>645</v>
      </c>
      <c r="EF243" t="s">
        <v>169</v>
      </c>
      <c r="EG243" s="35" t="s">
        <v>3821</v>
      </c>
      <c r="EH243" t="s">
        <v>3322</v>
      </c>
      <c r="EI243" s="500">
        <v>89610</v>
      </c>
      <c r="EJ243" s="500">
        <v>89610</v>
      </c>
      <c r="EK243" s="500">
        <v>0</v>
      </c>
      <c r="EL243" s="500">
        <v>0</v>
      </c>
      <c r="EM243" s="500">
        <v>0</v>
      </c>
      <c r="EN243" s="500">
        <v>0</v>
      </c>
      <c r="EO243">
        <v>2</v>
      </c>
      <c r="EP243">
        <v>1496</v>
      </c>
      <c r="EQ243">
        <v>0</v>
      </c>
      <c r="ER243">
        <v>6.0000000000000002E-6</v>
      </c>
      <c r="ES243">
        <v>-1076947457.7444162</v>
      </c>
      <c r="ET243">
        <v>4.2469168679999996</v>
      </c>
      <c r="EU243">
        <v>4.7419818817564003</v>
      </c>
      <c r="EV243">
        <v>4.9433699100000004</v>
      </c>
      <c r="EW243">
        <v>28.0071036866809</v>
      </c>
      <c r="EX243">
        <v>0</v>
      </c>
      <c r="EY243">
        <v>0</v>
      </c>
      <c r="EZ243">
        <v>0</v>
      </c>
      <c r="FA243">
        <v>-3172200000</v>
      </c>
      <c r="FB243">
        <v>0</v>
      </c>
      <c r="FC243">
        <v>-3172200000</v>
      </c>
      <c r="FD243">
        <v>-3172200000</v>
      </c>
      <c r="FE243">
        <v>-3172200000</v>
      </c>
      <c r="FF243">
        <v>-3172200000</v>
      </c>
      <c r="FG243" s="32">
        <f>Bankingbook_SBV[[#This Row],[Mat. Date]]-RPT</f>
        <v>1918</v>
      </c>
      <c r="FH243" s="32">
        <f>IF(Bankingbook_SBV[[#This Row],[Days]]&lt;=0,0,YEARFRAC(RPT,Bankingbook_SBV[[#This Row],[Mat. Date]],3))</f>
        <v>5.2547945205479456</v>
      </c>
      <c r="FI243" s="32" t="str">
        <f>IF(Bankingbook_SBV[[#This Row],[Days (year)]]=0,0,INDEX(Ref!$K$2:$K$13,MATCH(Bankingbook_SBV[[#This Row],[Days (year)]],Ref!$I$2:$I$13,1)))</f>
        <v>5Y</v>
      </c>
      <c r="FJ243" s="32" t="str">
        <f>VLOOKUP(Bankingbook_SBV[[#This Row],[Security Name]],Ref!X:Z,3,0)</f>
        <v>TPCP</v>
      </c>
      <c r="FK243" s="32" t="str">
        <f>VLOOKUP(Bankingbook_SBV[[#This Row],[Security Name]],Ref!X:Y,2,0)</f>
        <v>KBNN</v>
      </c>
      <c r="FL243" s="72">
        <f>IF((Bankingbook_SBV[[#This Row],[Mat. Date]]-RPT)&lt;=0,0,Bankingbook_SBV[[#This Row],[QUANTITY]])</f>
        <v>0</v>
      </c>
      <c r="FM243" s="32">
        <f>IF(Bankingbook_SBV[[#This Row],[Quantity_edited]]=0,0,Bankingbook_SBV[[#This Row],[DURATION]])</f>
        <v>0</v>
      </c>
      <c r="FN243" s="32">
        <f>IF(Bankingbook_SBV[[#This Row],[Quantity_edited]]=0,0,Bankingbook_SBV[[#This Row],[Mod Dur]])</f>
        <v>0</v>
      </c>
      <c r="FO243" s="32">
        <f>IF(Bankingbook_SBV[[#This Row],[Quantity_edited]]=0,0,Bankingbook_SBV[[#This Row],[Cnvx.]])</f>
        <v>0</v>
      </c>
      <c r="FP243" s="32">
        <f>(Bankingbook_SBV[[#This Row],[MARKET_VALUE]]+Bankingbook_SBV[[#This Row],[Accr Int]]*Bankingbook_SBV[[#This Row],[Quantity_edited]])*(-Bankingbook_SBV[[#This Row],[Modified Duration]]*0.0001+0.5*Bankingbook_SBV[[#This Row],[Conv]]*(0.0001^2))</f>
        <v>0</v>
      </c>
      <c r="FQ243" s="32">
        <f>(Bankingbook_SBV[[#This Row],[MARKET_VALUE]]+Bankingbook_SBV[[#This Row],[Accr Int]]*Bankingbook_SBV[[#This Row],[Quantity_edited]])*(-Bankingbook_SBV[[#This Row],[Modified Duration]]*0.01+0.5*Bankingbook_SBV[[#This Row],[Conv]]*(0.01^2))</f>
        <v>0</v>
      </c>
    </row>
    <row r="244" spans="2:173" x14ac:dyDescent="0.3">
      <c r="B244" t="s">
        <v>166</v>
      </c>
      <c r="C244" t="s">
        <v>167</v>
      </c>
      <c r="D244" t="s">
        <v>426</v>
      </c>
      <c r="E244" t="s">
        <v>169</v>
      </c>
      <c r="F244" s="502">
        <v>43864</v>
      </c>
      <c r="G244" t="s">
        <v>3322</v>
      </c>
      <c r="H244"/>
      <c r="I244"/>
      <c r="J244" s="38">
        <v>0</v>
      </c>
      <c r="K244">
        <v>0</v>
      </c>
      <c r="L244">
        <v>0</v>
      </c>
      <c r="M244" s="38">
        <v>0</v>
      </c>
      <c r="N244">
        <v>5.9</v>
      </c>
      <c r="O244">
        <v>0</v>
      </c>
      <c r="P244" s="37">
        <v>8850000000</v>
      </c>
      <c r="Q244" s="37">
        <v>9347148750</v>
      </c>
      <c r="R244" s="37">
        <v>-3596293727.7777729</v>
      </c>
      <c r="S244">
        <v>0</v>
      </c>
      <c r="T244" s="70">
        <v>0</v>
      </c>
      <c r="U244">
        <v>0</v>
      </c>
      <c r="V244">
        <v>0</v>
      </c>
      <c r="W244">
        <v>0</v>
      </c>
      <c r="X244" s="38">
        <v>0</v>
      </c>
      <c r="Y244">
        <v>0</v>
      </c>
      <c r="Z244" s="70">
        <v>1466500000</v>
      </c>
      <c r="AA244" s="70">
        <v>0</v>
      </c>
      <c r="AB244" s="70">
        <v>1466500000</v>
      </c>
      <c r="AC244" s="70">
        <v>1466500000</v>
      </c>
      <c r="AD244" s="70">
        <v>1466500000</v>
      </c>
      <c r="AE244" s="70">
        <v>1466500000</v>
      </c>
      <c r="AF244">
        <v>0</v>
      </c>
      <c r="AG244" s="72">
        <f>Tradingbook_MSB[[#This Row],[Mat. Date]]-RPT</f>
        <v>-2388</v>
      </c>
      <c r="AH244" s="71">
        <f>IF(Tradingbook_MSB[[#This Row],[Days]]&lt;=0,0,YEARFRAC(RPT,Tradingbook_MSB[[#This Row],[Mat. Date]],3))</f>
        <v>0</v>
      </c>
      <c r="AI244" s="71">
        <f>IF(Tradingbook_MSB[[#This Row],[Days (year)]]=0,0,INDEX(Ref!$K$2:$K$13,MATCH(Tradingbook_MSB[[#This Row],[Days (year)]],Ref!$I$2:$I$13,1)))</f>
        <v>0</v>
      </c>
      <c r="AJ244" s="120" t="str">
        <f>VLOOKUP(Tradingbook_MSB[[#This Row],[Security Name]],Ref!X:Z,3,0)</f>
        <v>TPCPBL</v>
      </c>
      <c r="AK244" s="120" t="str">
        <f>VLOOKUP(Tradingbook_MSB[[#This Row],[Security Name]],Ref!X:Y,2,0)</f>
        <v>VDB</v>
      </c>
      <c r="AL244" s="71">
        <f>IF((Tradingbook_MSB[[#This Row],[Mat. Date]]-RPT)&lt;=0,0,Tradingbook_MSB[[#This Row],[QUANTITY]])</f>
        <v>0</v>
      </c>
      <c r="AM244" s="71">
        <f>IF(Tradingbook_MSB[[#This Row],[Quantity_edited]]=0,0,Tradingbook_MSB[[#This Row],[DURATION]])</f>
        <v>0</v>
      </c>
      <c r="AN244" s="71">
        <f>IF(Tradingbook_MSB[[#This Row],[Quantity_edited]]=0,0,Tradingbook_MSB[[#This Row],[Mod Dur]])</f>
        <v>0</v>
      </c>
      <c r="AO244" s="71">
        <f>IF(Tradingbook_MSB[[#This Row],[Quantity_edited]]=0,0,Tradingbook_MSB[[#This Row],[Cnvx.]])</f>
        <v>0</v>
      </c>
      <c r="AP244" s="71">
        <f>(Tradingbook_MSB[[#This Row],[MARKET_VALUE]]+Tradingbook_MSB[[#This Row],[Accr Int]]*Tradingbook_MSB[[#This Row],[Quantity_edited]])*(-Tradingbook_MSB[[#This Row],[Modified Duration]]*0.0001+0.5*Tradingbook_MSB[[#This Row],[Conv]]*(0.0001^2))</f>
        <v>0</v>
      </c>
      <c r="AQ244" s="72">
        <f>(Tradingbook_MSB[[#This Row],[MARKET_VALUE]]+Tradingbook_MSB[[#This Row],[Accr Int]]*Tradingbook_MSB[[#This Row],[Quantity_edited]])*(-Tradingbook_MSB[[#This Row],[Modified Duration]]*0.01+0.5*Tradingbook_MSB[[#This Row],[Conv]]*(0.01^2))</f>
        <v>0</v>
      </c>
      <c r="AR244" s="71"/>
      <c r="CL244" t="s">
        <v>166</v>
      </c>
      <c r="CM244" t="s">
        <v>167</v>
      </c>
      <c r="CN244" t="s">
        <v>426</v>
      </c>
      <c r="CO244" t="s">
        <v>169</v>
      </c>
      <c r="CP244" s="35">
        <v>43864</v>
      </c>
      <c r="CQ244" t="s">
        <v>3322</v>
      </c>
      <c r="CR244" t="s">
        <v>174</v>
      </c>
      <c r="CS244" t="s">
        <v>174</v>
      </c>
      <c r="CT244" s="49">
        <v>0</v>
      </c>
      <c r="CU244">
        <v>0</v>
      </c>
      <c r="CV244">
        <v>0</v>
      </c>
      <c r="CW244" s="70">
        <v>0</v>
      </c>
      <c r="CX244">
        <v>5.9</v>
      </c>
      <c r="CY244">
        <v>0</v>
      </c>
      <c r="CZ244">
        <v>5900000000</v>
      </c>
      <c r="DA244">
        <v>6308353750</v>
      </c>
      <c r="DB244">
        <v>-2592062578.8194361</v>
      </c>
      <c r="DC244">
        <v>0</v>
      </c>
      <c r="DD244">
        <v>0</v>
      </c>
      <c r="DE244">
        <v>0</v>
      </c>
      <c r="DF244">
        <v>0</v>
      </c>
      <c r="DG244">
        <v>0</v>
      </c>
      <c r="DH244">
        <v>0</v>
      </c>
      <c r="DI244">
        <v>0</v>
      </c>
      <c r="DJ244" s="500">
        <v>-1838000000</v>
      </c>
      <c r="DK244" s="500">
        <v>0</v>
      </c>
      <c r="DL244" s="37">
        <v>-1838000000</v>
      </c>
      <c r="DM244" s="37">
        <v>-1838000000</v>
      </c>
      <c r="DN244" s="37">
        <v>-1838000000</v>
      </c>
      <c r="DO244" s="37">
        <v>-1838000000</v>
      </c>
      <c r="DP244" s="32">
        <f>Tradingbook_SBV[[#This Row],[Mat. Date]]-RPT</f>
        <v>-2388</v>
      </c>
      <c r="DQ244" s="32">
        <f>IF(Tradingbook_SBV[[#This Row],[Days]]&lt;=0,0,YEARFRAC(RPT,Tradingbook_SBV[[#This Row],[Mat. Date]],3))</f>
        <v>0</v>
      </c>
      <c r="DR244" s="32">
        <f>IF(Tradingbook_SBV[[#This Row],[Days (year)]]=0,0,INDEX(Ref!$K$2:$K$13,MATCH(Tradingbook_SBV[[#This Row],[Days (year)]],Ref!$I$2:$I$13,1)))</f>
        <v>0</v>
      </c>
      <c r="DS244" s="32" t="str">
        <f>VLOOKUP(Tradingbook_SBV[[#This Row],[Security Name]],Ref!X:Z,3,0)</f>
        <v>TPCPBL</v>
      </c>
      <c r="DT244" s="32" t="str">
        <f>VLOOKUP(Tradingbook_SBV[[#This Row],[Security Name]],Ref!X:Y,2,0)</f>
        <v>VDB</v>
      </c>
      <c r="DU244" s="71">
        <f>IF((Tradingbook_SBV[[#This Row],[Mat. Date]]-RPT)&lt;=0,0,Tradingbook_SBV[[#This Row],[QUANTITY]])</f>
        <v>0</v>
      </c>
      <c r="DV244" s="71">
        <f>IF(Tradingbook_SBV[[#This Row],[Quantity_edited]]=0,0,Tradingbook_SBV[[#This Row],[DURATION]])</f>
        <v>0</v>
      </c>
      <c r="DW244" s="71">
        <f>IF(Tradingbook_SBV[[#This Row],[Quantity_edited]]=0,0,Tradingbook_SBV[[#This Row],[Mod Dur]])</f>
        <v>0</v>
      </c>
      <c r="DX244" s="71">
        <f>IF(Tradingbook_SBV[[#This Row],[Quantity_edited]]=0,0,Tradingbook_SBV[[#This Row],[Cnvx.]])</f>
        <v>0</v>
      </c>
      <c r="DY244" s="71">
        <f>(Tradingbook_SBV[[#This Row],[MARKET_VALUE]]+Tradingbook_SBV[[#This Row],[Accr Int]]*Tradingbook_SBV[[#This Row],[Quantity_edited]])*(-Tradingbook_SBV[[#This Row],[Modified Duration]]*0.0001+0.5*Tradingbook_SBV[[#This Row],[Conv]]*(0.0001^2))</f>
        <v>0</v>
      </c>
      <c r="DZ244" s="71">
        <f>(Tradingbook_SBV[[#This Row],[MARKET_VALUE]]+Tradingbook_SBV[[#This Row],[Accr Int]]*Tradingbook_SBV[[#This Row],[Quantity_edited]])*(-Tradingbook_SBV[[#This Row],[Modified Duration]]*0.01+0.5*Tradingbook_SBV[[#This Row],[Conv]]*(0.01^2))</f>
        <v>0</v>
      </c>
      <c r="EC244" t="s">
        <v>166</v>
      </c>
      <c r="ED244" t="s">
        <v>3300</v>
      </c>
      <c r="EE244" t="s">
        <v>647</v>
      </c>
      <c r="EF244" t="s">
        <v>169</v>
      </c>
      <c r="EG244" s="35" t="s">
        <v>3436</v>
      </c>
      <c r="EH244" t="s">
        <v>3322</v>
      </c>
      <c r="EI244" s="500">
        <v>113891</v>
      </c>
      <c r="EJ244" s="500">
        <v>113891</v>
      </c>
      <c r="EK244" s="500">
        <v>0</v>
      </c>
      <c r="EL244" s="500">
        <v>0</v>
      </c>
      <c r="EM244" s="500">
        <v>0</v>
      </c>
      <c r="EN244" s="500">
        <v>0</v>
      </c>
      <c r="EO244">
        <v>7.2</v>
      </c>
      <c r="EP244">
        <v>4438</v>
      </c>
      <c r="EQ244">
        <v>35208000000</v>
      </c>
      <c r="ER244">
        <v>43224289470.000305</v>
      </c>
      <c r="ES244">
        <v>596419471.12285233</v>
      </c>
      <c r="ET244">
        <v>4.2515169320000004</v>
      </c>
      <c r="EU244">
        <v>4.3478361488049</v>
      </c>
      <c r="EV244">
        <v>4.5326851399999999</v>
      </c>
      <c r="EW244">
        <v>25.3285798938421</v>
      </c>
      <c r="EX244">
        <v>0</v>
      </c>
      <c r="EY244">
        <v>0</v>
      </c>
      <c r="EZ244">
        <v>0</v>
      </c>
      <c r="FA244">
        <v>71322610000</v>
      </c>
      <c r="FB244">
        <v>0</v>
      </c>
      <c r="FC244">
        <v>71322610000</v>
      </c>
      <c r="FD244">
        <v>71322610000</v>
      </c>
      <c r="FE244">
        <v>71322610000</v>
      </c>
      <c r="FF244">
        <v>71322610000</v>
      </c>
      <c r="FG244" s="32">
        <f>Bankingbook_SBV[[#This Row],[Mat. Date]]-RPT</f>
        <v>1966</v>
      </c>
      <c r="FH244" s="32">
        <f>IF(Bankingbook_SBV[[#This Row],[Days]]&lt;=0,0,YEARFRAC(RPT,Bankingbook_SBV[[#This Row],[Mat. Date]],3))</f>
        <v>5.3863013698630136</v>
      </c>
      <c r="FI244" s="32" t="str">
        <f>IF(Bankingbook_SBV[[#This Row],[Days (year)]]=0,0,INDEX(Ref!$K$2:$K$13,MATCH(Bankingbook_SBV[[#This Row],[Days (year)]],Ref!$I$2:$I$13,1)))</f>
        <v>5Y</v>
      </c>
      <c r="FJ244" s="32" t="str">
        <f>VLOOKUP(Bankingbook_SBV[[#This Row],[Security Name]],Ref!X:Z,3,0)</f>
        <v>TPCP</v>
      </c>
      <c r="FK244" s="32" t="str">
        <f>VLOOKUP(Bankingbook_SBV[[#This Row],[Security Name]],Ref!X:Y,2,0)</f>
        <v>KBNN</v>
      </c>
      <c r="FL244" s="72">
        <f>IF((Bankingbook_SBV[[#This Row],[Mat. Date]]-RPT)&lt;=0,0,Bankingbook_SBV[[#This Row],[QUANTITY]])</f>
        <v>0</v>
      </c>
      <c r="FM244" s="32">
        <f>IF(Bankingbook_SBV[[#This Row],[Quantity_edited]]=0,0,Bankingbook_SBV[[#This Row],[DURATION]])</f>
        <v>0</v>
      </c>
      <c r="FN244" s="32">
        <f>IF(Bankingbook_SBV[[#This Row],[Quantity_edited]]=0,0,Bankingbook_SBV[[#This Row],[Mod Dur]])</f>
        <v>0</v>
      </c>
      <c r="FO244" s="32">
        <f>IF(Bankingbook_SBV[[#This Row],[Quantity_edited]]=0,0,Bankingbook_SBV[[#This Row],[Cnvx.]])</f>
        <v>0</v>
      </c>
      <c r="FP244" s="32">
        <f>(Bankingbook_SBV[[#This Row],[MARKET_VALUE]]+Bankingbook_SBV[[#This Row],[Accr Int]]*Bankingbook_SBV[[#This Row],[Quantity_edited]])*(-Bankingbook_SBV[[#This Row],[Modified Duration]]*0.0001+0.5*Bankingbook_SBV[[#This Row],[Conv]]*(0.0001^2))</f>
        <v>0</v>
      </c>
      <c r="FQ244" s="32">
        <f>(Bankingbook_SBV[[#This Row],[MARKET_VALUE]]+Bankingbook_SBV[[#This Row],[Accr Int]]*Bankingbook_SBV[[#This Row],[Quantity_edited]])*(-Bankingbook_SBV[[#This Row],[Modified Duration]]*0.01+0.5*Bankingbook_SBV[[#This Row],[Conv]]*(0.01^2))</f>
        <v>0</v>
      </c>
    </row>
    <row r="245" spans="2:173" x14ac:dyDescent="0.3">
      <c r="B245" t="s">
        <v>166</v>
      </c>
      <c r="C245" t="s">
        <v>167</v>
      </c>
      <c r="D245" t="s">
        <v>427</v>
      </c>
      <c r="E245" t="s">
        <v>169</v>
      </c>
      <c r="F245" s="502">
        <v>43876</v>
      </c>
      <c r="G245" t="s">
        <v>3322</v>
      </c>
      <c r="H245"/>
      <c r="I245"/>
      <c r="J245" s="38">
        <v>0</v>
      </c>
      <c r="K245">
        <v>0</v>
      </c>
      <c r="L245">
        <v>0</v>
      </c>
      <c r="M245" s="38">
        <v>0</v>
      </c>
      <c r="N245">
        <v>5.3</v>
      </c>
      <c r="O245">
        <v>0</v>
      </c>
      <c r="P245" s="37">
        <v>5300000000</v>
      </c>
      <c r="Q245" s="37">
        <v>5791959618.0555382</v>
      </c>
      <c r="R245" s="37">
        <v>-4149740586.8054805</v>
      </c>
      <c r="S245">
        <v>0</v>
      </c>
      <c r="T245" s="70">
        <v>0</v>
      </c>
      <c r="U245">
        <v>0</v>
      </c>
      <c r="V245">
        <v>0</v>
      </c>
      <c r="W245">
        <v>0</v>
      </c>
      <c r="X245" s="38">
        <v>0</v>
      </c>
      <c r="Y245">
        <v>0</v>
      </c>
      <c r="Z245" s="70">
        <v>101999999.99975586</v>
      </c>
      <c r="AA245" s="70">
        <v>0</v>
      </c>
      <c r="AB245" s="70">
        <v>101999999.9997559</v>
      </c>
      <c r="AC245" s="70">
        <v>101999999.9997559</v>
      </c>
      <c r="AD245" s="70">
        <v>102000000</v>
      </c>
      <c r="AE245" s="70">
        <v>101999999.9997559</v>
      </c>
      <c r="AF245">
        <v>0</v>
      </c>
      <c r="AG245" s="72">
        <f>Tradingbook_MSB[[#This Row],[Mat. Date]]-RPT</f>
        <v>-2376</v>
      </c>
      <c r="AH245" s="71">
        <f>IF(Tradingbook_MSB[[#This Row],[Days]]&lt;=0,0,YEARFRAC(RPT,Tradingbook_MSB[[#This Row],[Mat. Date]],3))</f>
        <v>0</v>
      </c>
      <c r="AI245" s="71">
        <f>IF(Tradingbook_MSB[[#This Row],[Days (year)]]=0,0,INDEX(Ref!$K$2:$K$13,MATCH(Tradingbook_MSB[[#This Row],[Days (year)]],Ref!$I$2:$I$13,1)))</f>
        <v>0</v>
      </c>
      <c r="AJ245" s="120" t="str">
        <f>VLOOKUP(Tradingbook_MSB[[#This Row],[Security Name]],Ref!X:Z,3,0)</f>
        <v>TPCP</v>
      </c>
      <c r="AK245" s="120" t="str">
        <f>VLOOKUP(Tradingbook_MSB[[#This Row],[Security Name]],Ref!X:Y,2,0)</f>
        <v>KBNN</v>
      </c>
      <c r="AL245" s="71">
        <f>IF((Tradingbook_MSB[[#This Row],[Mat. Date]]-RPT)&lt;=0,0,Tradingbook_MSB[[#This Row],[QUANTITY]])</f>
        <v>0</v>
      </c>
      <c r="AM245" s="71">
        <f>IF(Tradingbook_MSB[[#This Row],[Quantity_edited]]=0,0,Tradingbook_MSB[[#This Row],[DURATION]])</f>
        <v>0</v>
      </c>
      <c r="AN245" s="71">
        <f>IF(Tradingbook_MSB[[#This Row],[Quantity_edited]]=0,0,Tradingbook_MSB[[#This Row],[Mod Dur]])</f>
        <v>0</v>
      </c>
      <c r="AO245" s="71">
        <f>IF(Tradingbook_MSB[[#This Row],[Quantity_edited]]=0,0,Tradingbook_MSB[[#This Row],[Cnvx.]])</f>
        <v>0</v>
      </c>
      <c r="AP245" s="71">
        <f>(Tradingbook_MSB[[#This Row],[MARKET_VALUE]]+Tradingbook_MSB[[#This Row],[Accr Int]]*Tradingbook_MSB[[#This Row],[Quantity_edited]])*(-Tradingbook_MSB[[#This Row],[Modified Duration]]*0.0001+0.5*Tradingbook_MSB[[#This Row],[Conv]]*(0.0001^2))</f>
        <v>0</v>
      </c>
      <c r="AQ245" s="72">
        <f>(Tradingbook_MSB[[#This Row],[MARKET_VALUE]]+Tradingbook_MSB[[#This Row],[Accr Int]]*Tradingbook_MSB[[#This Row],[Quantity_edited]])*(-Tradingbook_MSB[[#This Row],[Modified Duration]]*0.01+0.5*Tradingbook_MSB[[#This Row],[Conv]]*(0.01^2))</f>
        <v>0</v>
      </c>
      <c r="AR245" s="71"/>
      <c r="CL245" t="s">
        <v>166</v>
      </c>
      <c r="CM245" t="s">
        <v>167</v>
      </c>
      <c r="CN245" t="s">
        <v>427</v>
      </c>
      <c r="CO245" t="s">
        <v>169</v>
      </c>
      <c r="CP245" s="35">
        <v>43876</v>
      </c>
      <c r="CQ245" t="s">
        <v>3322</v>
      </c>
      <c r="CR245" t="s">
        <v>174</v>
      </c>
      <c r="CS245" t="s">
        <v>174</v>
      </c>
      <c r="CT245" s="49">
        <v>0</v>
      </c>
      <c r="CU245">
        <v>0</v>
      </c>
      <c r="CV245">
        <v>0</v>
      </c>
      <c r="CW245" s="70">
        <v>0</v>
      </c>
      <c r="CX245">
        <v>5.3</v>
      </c>
      <c r="CY245">
        <v>0</v>
      </c>
      <c r="CZ245">
        <v>5300000000</v>
      </c>
      <c r="DA245">
        <v>5791959618.0555382</v>
      </c>
      <c r="DB245">
        <v>-4149740586.8054805</v>
      </c>
      <c r="DC245">
        <v>0</v>
      </c>
      <c r="DD245">
        <v>0</v>
      </c>
      <c r="DE245">
        <v>0</v>
      </c>
      <c r="DF245">
        <v>0</v>
      </c>
      <c r="DG245">
        <v>0</v>
      </c>
      <c r="DH245">
        <v>0</v>
      </c>
      <c r="DI245">
        <v>0</v>
      </c>
      <c r="DJ245" s="500">
        <v>101999999.99975586</v>
      </c>
      <c r="DK245" s="500">
        <v>0</v>
      </c>
      <c r="DL245" s="37">
        <v>101999999.9997559</v>
      </c>
      <c r="DM245" s="37">
        <v>101999999.9997559</v>
      </c>
      <c r="DN245" s="37">
        <v>102000000</v>
      </c>
      <c r="DO245" s="37">
        <v>101999999.9997559</v>
      </c>
      <c r="DP245" s="32">
        <f>Tradingbook_SBV[[#This Row],[Mat. Date]]-RPT</f>
        <v>-2376</v>
      </c>
      <c r="DQ245" s="32">
        <f>IF(Tradingbook_SBV[[#This Row],[Days]]&lt;=0,0,YEARFRAC(RPT,Tradingbook_SBV[[#This Row],[Mat. Date]],3))</f>
        <v>0</v>
      </c>
      <c r="DR245" s="32">
        <f>IF(Tradingbook_SBV[[#This Row],[Days (year)]]=0,0,INDEX(Ref!$K$2:$K$13,MATCH(Tradingbook_SBV[[#This Row],[Days (year)]],Ref!$I$2:$I$13,1)))</f>
        <v>0</v>
      </c>
      <c r="DS245" s="32" t="str">
        <f>VLOOKUP(Tradingbook_SBV[[#This Row],[Security Name]],Ref!X:Z,3,0)</f>
        <v>TPCP</v>
      </c>
      <c r="DT245" s="32" t="str">
        <f>VLOOKUP(Tradingbook_SBV[[#This Row],[Security Name]],Ref!X:Y,2,0)</f>
        <v>KBNN</v>
      </c>
      <c r="DU245" s="71">
        <f>IF((Tradingbook_SBV[[#This Row],[Mat. Date]]-RPT)&lt;=0,0,Tradingbook_SBV[[#This Row],[QUANTITY]])</f>
        <v>0</v>
      </c>
      <c r="DV245" s="71">
        <f>IF(Tradingbook_SBV[[#This Row],[Quantity_edited]]=0,0,Tradingbook_SBV[[#This Row],[DURATION]])</f>
        <v>0</v>
      </c>
      <c r="DW245" s="71">
        <f>IF(Tradingbook_SBV[[#This Row],[Quantity_edited]]=0,0,Tradingbook_SBV[[#This Row],[Mod Dur]])</f>
        <v>0</v>
      </c>
      <c r="DX245" s="71">
        <f>IF(Tradingbook_SBV[[#This Row],[Quantity_edited]]=0,0,Tradingbook_SBV[[#This Row],[Cnvx.]])</f>
        <v>0</v>
      </c>
      <c r="DY245" s="71">
        <f>(Tradingbook_SBV[[#This Row],[MARKET_VALUE]]+Tradingbook_SBV[[#This Row],[Accr Int]]*Tradingbook_SBV[[#This Row],[Quantity_edited]])*(-Tradingbook_SBV[[#This Row],[Modified Duration]]*0.0001+0.5*Tradingbook_SBV[[#This Row],[Conv]]*(0.0001^2))</f>
        <v>0</v>
      </c>
      <c r="DZ245" s="71">
        <f>(Tradingbook_SBV[[#This Row],[MARKET_VALUE]]+Tradingbook_SBV[[#This Row],[Accr Int]]*Tradingbook_SBV[[#This Row],[Quantity_edited]])*(-Tradingbook_SBV[[#This Row],[Modified Duration]]*0.01+0.5*Tradingbook_SBV[[#This Row],[Conv]]*(0.01^2))</f>
        <v>0</v>
      </c>
      <c r="EC245" t="s">
        <v>166</v>
      </c>
      <c r="ED245" t="s">
        <v>3300</v>
      </c>
      <c r="EE245" t="s">
        <v>623</v>
      </c>
      <c r="EF245" t="s">
        <v>169</v>
      </c>
      <c r="EG245" s="35" t="s">
        <v>3816</v>
      </c>
      <c r="EH245" t="s">
        <v>3322</v>
      </c>
      <c r="EI245" s="500">
        <v>113746</v>
      </c>
      <c r="EJ245" s="500">
        <v>113746</v>
      </c>
      <c r="EK245" s="500">
        <v>0</v>
      </c>
      <c r="EL245" s="500">
        <v>0</v>
      </c>
      <c r="EM245" s="500">
        <v>0</v>
      </c>
      <c r="EN245" s="500">
        <v>0</v>
      </c>
      <c r="EO245">
        <v>7.7</v>
      </c>
      <c r="EP245">
        <v>4493</v>
      </c>
      <c r="EQ245">
        <v>0</v>
      </c>
      <c r="ER245">
        <v>1.5E-5</v>
      </c>
      <c r="ES245">
        <v>-1742524116.6666336</v>
      </c>
      <c r="ET245">
        <v>4.7527846130000002</v>
      </c>
      <c r="EU245">
        <v>4.3095138270749</v>
      </c>
      <c r="EV245">
        <v>4.5143357399999999</v>
      </c>
      <c r="EW245">
        <v>25.016988968693902</v>
      </c>
      <c r="EX245">
        <v>0</v>
      </c>
      <c r="EY245">
        <v>0</v>
      </c>
      <c r="EZ245">
        <v>0</v>
      </c>
      <c r="FA245">
        <v>-5829000000</v>
      </c>
      <c r="FB245">
        <v>0</v>
      </c>
      <c r="FC245">
        <v>-5829000000</v>
      </c>
      <c r="FD245">
        <v>-5829000000</v>
      </c>
      <c r="FE245">
        <v>-5829000000</v>
      </c>
      <c r="FF245">
        <v>-5829000000</v>
      </c>
      <c r="FG245" s="32">
        <f>Bankingbook_SBV[[#This Row],[Mat. Date]]-RPT</f>
        <v>1978</v>
      </c>
      <c r="FH245" s="32">
        <f>IF(Bankingbook_SBV[[#This Row],[Days]]&lt;=0,0,YEARFRAC(RPT,Bankingbook_SBV[[#This Row],[Mat. Date]],3))</f>
        <v>5.419178082191781</v>
      </c>
      <c r="FI245" s="32" t="str">
        <f>IF(Bankingbook_SBV[[#This Row],[Days (year)]]=0,0,INDEX(Ref!$K$2:$K$13,MATCH(Bankingbook_SBV[[#This Row],[Days (year)]],Ref!$I$2:$I$13,1)))</f>
        <v>5Y</v>
      </c>
      <c r="FJ245" s="32" t="str">
        <f>VLOOKUP(Bankingbook_SBV[[#This Row],[Security Name]],Ref!X:Z,3,0)</f>
        <v>TPCPBL</v>
      </c>
      <c r="FK245" s="32" t="str">
        <f>VLOOKUP(Bankingbook_SBV[[#This Row],[Security Name]],Ref!X:Y,2,0)</f>
        <v>VBS</v>
      </c>
      <c r="FL245" s="72">
        <f>IF((Bankingbook_SBV[[#This Row],[Mat. Date]]-RPT)&lt;=0,0,Bankingbook_SBV[[#This Row],[QUANTITY]])</f>
        <v>0</v>
      </c>
      <c r="FM245" s="32">
        <f>IF(Bankingbook_SBV[[#This Row],[Quantity_edited]]=0,0,Bankingbook_SBV[[#This Row],[DURATION]])</f>
        <v>0</v>
      </c>
      <c r="FN245" s="32">
        <f>IF(Bankingbook_SBV[[#This Row],[Quantity_edited]]=0,0,Bankingbook_SBV[[#This Row],[Mod Dur]])</f>
        <v>0</v>
      </c>
      <c r="FO245" s="32">
        <f>IF(Bankingbook_SBV[[#This Row],[Quantity_edited]]=0,0,Bankingbook_SBV[[#This Row],[Cnvx.]])</f>
        <v>0</v>
      </c>
      <c r="FP245" s="32">
        <f>(Bankingbook_SBV[[#This Row],[MARKET_VALUE]]+Bankingbook_SBV[[#This Row],[Accr Int]]*Bankingbook_SBV[[#This Row],[Quantity_edited]])*(-Bankingbook_SBV[[#This Row],[Modified Duration]]*0.0001+0.5*Bankingbook_SBV[[#This Row],[Conv]]*(0.0001^2))</f>
        <v>0</v>
      </c>
      <c r="FQ245" s="32">
        <f>(Bankingbook_SBV[[#This Row],[MARKET_VALUE]]+Bankingbook_SBV[[#This Row],[Accr Int]]*Bankingbook_SBV[[#This Row],[Quantity_edited]])*(-Bankingbook_SBV[[#This Row],[Modified Duration]]*0.01+0.5*Bankingbook_SBV[[#This Row],[Conv]]*(0.01^2))</f>
        <v>0</v>
      </c>
    </row>
    <row r="246" spans="2:173" x14ac:dyDescent="0.3">
      <c r="B246" t="s">
        <v>166</v>
      </c>
      <c r="C246" t="s">
        <v>167</v>
      </c>
      <c r="D246" t="s">
        <v>428</v>
      </c>
      <c r="E246" t="s">
        <v>169</v>
      </c>
      <c r="F246" s="502">
        <v>43889</v>
      </c>
      <c r="G246" t="s">
        <v>3322</v>
      </c>
      <c r="H246"/>
      <c r="I246"/>
      <c r="J246" s="38">
        <v>0</v>
      </c>
      <c r="K246">
        <v>0</v>
      </c>
      <c r="L246">
        <v>0</v>
      </c>
      <c r="M246" s="38">
        <v>0</v>
      </c>
      <c r="N246">
        <v>5.2</v>
      </c>
      <c r="O246">
        <v>0</v>
      </c>
      <c r="P246" s="37">
        <v>28600000000</v>
      </c>
      <c r="Q246" s="37">
        <v>30977143888.888939</v>
      </c>
      <c r="R246" s="37">
        <v>-9036829587.7777729</v>
      </c>
      <c r="S246">
        <v>0</v>
      </c>
      <c r="T246" s="70">
        <v>0</v>
      </c>
      <c r="U246">
        <v>0</v>
      </c>
      <c r="V246">
        <v>0</v>
      </c>
      <c r="W246">
        <v>0</v>
      </c>
      <c r="X246" s="38">
        <v>0</v>
      </c>
      <c r="Y246">
        <v>0</v>
      </c>
      <c r="Z246" s="70">
        <v>6035500000</v>
      </c>
      <c r="AA246" s="70">
        <v>0</v>
      </c>
      <c r="AB246" s="70">
        <v>6035500000</v>
      </c>
      <c r="AC246" s="70">
        <v>6035500000</v>
      </c>
      <c r="AD246" s="70">
        <v>6035500000</v>
      </c>
      <c r="AE246" s="70">
        <v>6035500000</v>
      </c>
      <c r="AF246">
        <v>0</v>
      </c>
      <c r="AG246" s="72">
        <f>Tradingbook_MSB[[#This Row],[Mat. Date]]-RPT</f>
        <v>-2363</v>
      </c>
      <c r="AH246" s="71">
        <f>IF(Tradingbook_MSB[[#This Row],[Days]]&lt;=0,0,YEARFRAC(RPT,Tradingbook_MSB[[#This Row],[Mat. Date]],3))</f>
        <v>0</v>
      </c>
      <c r="AI246" s="71">
        <f>IF(Tradingbook_MSB[[#This Row],[Days (year)]]=0,0,INDEX(Ref!$K$2:$K$13,MATCH(Tradingbook_MSB[[#This Row],[Days (year)]],Ref!$I$2:$I$13,1)))</f>
        <v>0</v>
      </c>
      <c r="AJ246" s="120" t="str">
        <f>VLOOKUP(Tradingbook_MSB[[#This Row],[Security Name]],Ref!X:Z,3,0)</f>
        <v>TPCP</v>
      </c>
      <c r="AK246" s="120" t="str">
        <f>VLOOKUP(Tradingbook_MSB[[#This Row],[Security Name]],Ref!X:Y,2,0)</f>
        <v>KBNN</v>
      </c>
      <c r="AL246" s="71">
        <f>IF((Tradingbook_MSB[[#This Row],[Mat. Date]]-RPT)&lt;=0,0,Tradingbook_MSB[[#This Row],[QUANTITY]])</f>
        <v>0</v>
      </c>
      <c r="AM246" s="71">
        <f>IF(Tradingbook_MSB[[#This Row],[Quantity_edited]]=0,0,Tradingbook_MSB[[#This Row],[DURATION]])</f>
        <v>0</v>
      </c>
      <c r="AN246" s="71">
        <f>IF(Tradingbook_MSB[[#This Row],[Quantity_edited]]=0,0,Tradingbook_MSB[[#This Row],[Mod Dur]])</f>
        <v>0</v>
      </c>
      <c r="AO246" s="71">
        <f>IF(Tradingbook_MSB[[#This Row],[Quantity_edited]]=0,0,Tradingbook_MSB[[#This Row],[Cnvx.]])</f>
        <v>0</v>
      </c>
      <c r="AP246" s="71">
        <f>(Tradingbook_MSB[[#This Row],[MARKET_VALUE]]+Tradingbook_MSB[[#This Row],[Accr Int]]*Tradingbook_MSB[[#This Row],[Quantity_edited]])*(-Tradingbook_MSB[[#This Row],[Modified Duration]]*0.0001+0.5*Tradingbook_MSB[[#This Row],[Conv]]*(0.0001^2))</f>
        <v>0</v>
      </c>
      <c r="AQ246" s="72">
        <f>(Tradingbook_MSB[[#This Row],[MARKET_VALUE]]+Tradingbook_MSB[[#This Row],[Accr Int]]*Tradingbook_MSB[[#This Row],[Quantity_edited]])*(-Tradingbook_MSB[[#This Row],[Modified Duration]]*0.01+0.5*Tradingbook_MSB[[#This Row],[Conv]]*(0.01^2))</f>
        <v>0</v>
      </c>
      <c r="AR246" s="71"/>
      <c r="CL246" t="s">
        <v>166</v>
      </c>
      <c r="CM246" t="s">
        <v>167</v>
      </c>
      <c r="CN246" t="s">
        <v>428</v>
      </c>
      <c r="CO246" t="s">
        <v>169</v>
      </c>
      <c r="CP246" s="35">
        <v>43889</v>
      </c>
      <c r="CQ246" t="s">
        <v>3322</v>
      </c>
      <c r="CR246" t="s">
        <v>174</v>
      </c>
      <c r="CS246" t="s">
        <v>174</v>
      </c>
      <c r="CT246" s="49">
        <v>0</v>
      </c>
      <c r="CU246">
        <v>0</v>
      </c>
      <c r="CV246">
        <v>0</v>
      </c>
      <c r="CW246" s="70">
        <v>0</v>
      </c>
      <c r="CX246">
        <v>5.2</v>
      </c>
      <c r="CY246">
        <v>0</v>
      </c>
      <c r="CZ246">
        <v>28600000000</v>
      </c>
      <c r="DA246">
        <v>30977143888.888939</v>
      </c>
      <c r="DB246">
        <v>-9036829587.7777729</v>
      </c>
      <c r="DC246">
        <v>0</v>
      </c>
      <c r="DD246">
        <v>0</v>
      </c>
      <c r="DE246">
        <v>0</v>
      </c>
      <c r="DF246">
        <v>0</v>
      </c>
      <c r="DG246">
        <v>0</v>
      </c>
      <c r="DH246">
        <v>0</v>
      </c>
      <c r="DI246">
        <v>0</v>
      </c>
      <c r="DJ246" s="500">
        <v>6035500000</v>
      </c>
      <c r="DK246" s="500">
        <v>0</v>
      </c>
      <c r="DL246" s="37">
        <v>6035500000</v>
      </c>
      <c r="DM246" s="37">
        <v>6035500000</v>
      </c>
      <c r="DN246" s="37">
        <v>6035500000</v>
      </c>
      <c r="DO246" s="37">
        <v>6035500000</v>
      </c>
      <c r="DP246" s="32">
        <f>Tradingbook_SBV[[#This Row],[Mat. Date]]-RPT</f>
        <v>-2363</v>
      </c>
      <c r="DQ246" s="32">
        <f>IF(Tradingbook_SBV[[#This Row],[Days]]&lt;=0,0,YEARFRAC(RPT,Tradingbook_SBV[[#This Row],[Mat. Date]],3))</f>
        <v>0</v>
      </c>
      <c r="DR246" s="32">
        <f>IF(Tradingbook_SBV[[#This Row],[Days (year)]]=0,0,INDEX(Ref!$K$2:$K$13,MATCH(Tradingbook_SBV[[#This Row],[Days (year)]],Ref!$I$2:$I$13,1)))</f>
        <v>0</v>
      </c>
      <c r="DS246" s="32" t="str">
        <f>VLOOKUP(Tradingbook_SBV[[#This Row],[Security Name]],Ref!X:Z,3,0)</f>
        <v>TPCP</v>
      </c>
      <c r="DT246" s="32" t="str">
        <f>VLOOKUP(Tradingbook_SBV[[#This Row],[Security Name]],Ref!X:Y,2,0)</f>
        <v>KBNN</v>
      </c>
      <c r="DU246" s="71">
        <f>IF((Tradingbook_SBV[[#This Row],[Mat. Date]]-RPT)&lt;=0,0,Tradingbook_SBV[[#This Row],[QUANTITY]])</f>
        <v>0</v>
      </c>
      <c r="DV246" s="71">
        <f>IF(Tradingbook_SBV[[#This Row],[Quantity_edited]]=0,0,Tradingbook_SBV[[#This Row],[DURATION]])</f>
        <v>0</v>
      </c>
      <c r="DW246" s="71">
        <f>IF(Tradingbook_SBV[[#This Row],[Quantity_edited]]=0,0,Tradingbook_SBV[[#This Row],[Mod Dur]])</f>
        <v>0</v>
      </c>
      <c r="DX246" s="71">
        <f>IF(Tradingbook_SBV[[#This Row],[Quantity_edited]]=0,0,Tradingbook_SBV[[#This Row],[Cnvx.]])</f>
        <v>0</v>
      </c>
      <c r="DY246" s="71">
        <f>(Tradingbook_SBV[[#This Row],[MARKET_VALUE]]+Tradingbook_SBV[[#This Row],[Accr Int]]*Tradingbook_SBV[[#This Row],[Quantity_edited]])*(-Tradingbook_SBV[[#This Row],[Modified Duration]]*0.0001+0.5*Tradingbook_SBV[[#This Row],[Conv]]*(0.0001^2))</f>
        <v>0</v>
      </c>
      <c r="DZ246" s="71">
        <f>(Tradingbook_SBV[[#This Row],[MARKET_VALUE]]+Tradingbook_SBV[[#This Row],[Accr Int]]*Tradingbook_SBV[[#This Row],[Quantity_edited]])*(-Tradingbook_SBV[[#This Row],[Modified Duration]]*0.01+0.5*Tradingbook_SBV[[#This Row],[Conv]]*(0.01^2))</f>
        <v>0</v>
      </c>
      <c r="EC246" t="s">
        <v>166</v>
      </c>
      <c r="ED246" t="s">
        <v>3300</v>
      </c>
      <c r="EE246" t="s">
        <v>624</v>
      </c>
      <c r="EF246" t="s">
        <v>169</v>
      </c>
      <c r="EG246" s="35" t="s">
        <v>3437</v>
      </c>
      <c r="EH246" t="s">
        <v>3322</v>
      </c>
      <c r="EI246" s="500">
        <v>113396</v>
      </c>
      <c r="EJ246" s="500">
        <v>113396</v>
      </c>
      <c r="EK246" s="500">
        <v>0</v>
      </c>
      <c r="EL246" s="500">
        <v>0</v>
      </c>
      <c r="EM246" s="500">
        <v>0</v>
      </c>
      <c r="EN246" s="500">
        <v>0</v>
      </c>
      <c r="EO246">
        <v>7.6</v>
      </c>
      <c r="EP246">
        <v>3977</v>
      </c>
      <c r="EQ246">
        <v>49400000000</v>
      </c>
      <c r="ER246">
        <v>58469378722.222313</v>
      </c>
      <c r="ES246">
        <v>-7077499667.5279179</v>
      </c>
      <c r="ET246">
        <v>4.7549965380000003</v>
      </c>
      <c r="EU246">
        <v>4.3742978217342001</v>
      </c>
      <c r="EV246">
        <v>4.5822955299999997</v>
      </c>
      <c r="EW246">
        <v>25.627649412007099</v>
      </c>
      <c r="EX246">
        <v>0</v>
      </c>
      <c r="EY246">
        <v>0</v>
      </c>
      <c r="EZ246">
        <v>0</v>
      </c>
      <c r="FA246">
        <v>57891500000</v>
      </c>
      <c r="FB246">
        <v>0</v>
      </c>
      <c r="FC246">
        <v>57891500000</v>
      </c>
      <c r="FD246">
        <v>57891500000</v>
      </c>
      <c r="FE246">
        <v>57891500000</v>
      </c>
      <c r="FF246">
        <v>57891500000</v>
      </c>
      <c r="FG246" s="32">
        <f>Bankingbook_SBV[[#This Row],[Mat. Date]]-RPT</f>
        <v>2000</v>
      </c>
      <c r="FH246" s="32">
        <f>IF(Bankingbook_SBV[[#This Row],[Days]]&lt;=0,0,YEARFRAC(RPT,Bankingbook_SBV[[#This Row],[Mat. Date]],3))</f>
        <v>5.4794520547945202</v>
      </c>
      <c r="FI246" s="32" t="str">
        <f>IF(Bankingbook_SBV[[#This Row],[Days (year)]]=0,0,INDEX(Ref!$K$2:$K$13,MATCH(Bankingbook_SBV[[#This Row],[Days (year)]],Ref!$I$2:$I$13,1)))</f>
        <v>5Y</v>
      </c>
      <c r="FJ246" s="32" t="str">
        <f>VLOOKUP(Bankingbook_SBV[[#This Row],[Security Name]],Ref!X:Z,3,0)</f>
        <v>TPCPBL</v>
      </c>
      <c r="FK246" s="32" t="str">
        <f>VLOOKUP(Bankingbook_SBV[[#This Row],[Security Name]],Ref!X:Y,2,0)</f>
        <v>VDB</v>
      </c>
      <c r="FL246" s="72">
        <f>IF((Bankingbook_SBV[[#This Row],[Mat. Date]]-RPT)&lt;=0,0,Bankingbook_SBV[[#This Row],[QUANTITY]])</f>
        <v>0</v>
      </c>
      <c r="FM246" s="32">
        <f>IF(Bankingbook_SBV[[#This Row],[Quantity_edited]]=0,0,Bankingbook_SBV[[#This Row],[DURATION]])</f>
        <v>0</v>
      </c>
      <c r="FN246" s="32">
        <f>IF(Bankingbook_SBV[[#This Row],[Quantity_edited]]=0,0,Bankingbook_SBV[[#This Row],[Mod Dur]])</f>
        <v>0</v>
      </c>
      <c r="FO246" s="32">
        <f>IF(Bankingbook_SBV[[#This Row],[Quantity_edited]]=0,0,Bankingbook_SBV[[#This Row],[Cnvx.]])</f>
        <v>0</v>
      </c>
      <c r="FP246" s="32">
        <f>(Bankingbook_SBV[[#This Row],[MARKET_VALUE]]+Bankingbook_SBV[[#This Row],[Accr Int]]*Bankingbook_SBV[[#This Row],[Quantity_edited]])*(-Bankingbook_SBV[[#This Row],[Modified Duration]]*0.0001+0.5*Bankingbook_SBV[[#This Row],[Conv]]*(0.0001^2))</f>
        <v>0</v>
      </c>
      <c r="FQ246" s="32">
        <f>(Bankingbook_SBV[[#This Row],[MARKET_VALUE]]+Bankingbook_SBV[[#This Row],[Accr Int]]*Bankingbook_SBV[[#This Row],[Quantity_edited]])*(-Bankingbook_SBV[[#This Row],[Modified Duration]]*0.01+0.5*Bankingbook_SBV[[#This Row],[Conv]]*(0.01^2))</f>
        <v>0</v>
      </c>
    </row>
    <row r="247" spans="2:173" x14ac:dyDescent="0.3">
      <c r="B247" t="s">
        <v>166</v>
      </c>
      <c r="C247" t="s">
        <v>167</v>
      </c>
      <c r="D247" t="s">
        <v>429</v>
      </c>
      <c r="E247" t="s">
        <v>169</v>
      </c>
      <c r="F247" s="502">
        <v>43905</v>
      </c>
      <c r="G247" t="s">
        <v>3322</v>
      </c>
      <c r="H247"/>
      <c r="I247"/>
      <c r="J247" s="38">
        <v>0</v>
      </c>
      <c r="K247">
        <v>0</v>
      </c>
      <c r="L247">
        <v>0</v>
      </c>
      <c r="M247" s="38">
        <v>0</v>
      </c>
      <c r="N247">
        <v>5.3</v>
      </c>
      <c r="O247">
        <v>0</v>
      </c>
      <c r="P247" s="37">
        <v>5300000000</v>
      </c>
      <c r="Q247" s="37">
        <v>5853150694.4444427</v>
      </c>
      <c r="R247" s="37">
        <v>-3585923937.2916608</v>
      </c>
      <c r="S247">
        <v>0</v>
      </c>
      <c r="T247" s="70">
        <v>0</v>
      </c>
      <c r="U247">
        <v>0</v>
      </c>
      <c r="V247">
        <v>0</v>
      </c>
      <c r="W247">
        <v>0</v>
      </c>
      <c r="X247" s="38">
        <v>0</v>
      </c>
      <c r="Y247">
        <v>0</v>
      </c>
      <c r="Z247" s="70">
        <v>3453000000</v>
      </c>
      <c r="AA247" s="70">
        <v>0</v>
      </c>
      <c r="AB247" s="70">
        <v>3453000000</v>
      </c>
      <c r="AC247" s="70">
        <v>3453000000</v>
      </c>
      <c r="AD247" s="70">
        <v>3453000000</v>
      </c>
      <c r="AE247" s="70">
        <v>3453000000</v>
      </c>
      <c r="AF247">
        <v>0</v>
      </c>
      <c r="AG247" s="72">
        <f>Tradingbook_MSB[[#This Row],[Mat. Date]]-RPT</f>
        <v>-2347</v>
      </c>
      <c r="AH247" s="71">
        <f>IF(Tradingbook_MSB[[#This Row],[Days]]&lt;=0,0,YEARFRAC(RPT,Tradingbook_MSB[[#This Row],[Mat. Date]],3))</f>
        <v>0</v>
      </c>
      <c r="AI247" s="71">
        <f>IF(Tradingbook_MSB[[#This Row],[Days (year)]]=0,0,INDEX(Ref!$K$2:$K$13,MATCH(Tradingbook_MSB[[#This Row],[Days (year)]],Ref!$I$2:$I$13,1)))</f>
        <v>0</v>
      </c>
      <c r="AJ247" s="120" t="str">
        <f>VLOOKUP(Tradingbook_MSB[[#This Row],[Security Name]],Ref!X:Z,3,0)</f>
        <v>TPCP</v>
      </c>
      <c r="AK247" s="120" t="str">
        <f>VLOOKUP(Tradingbook_MSB[[#This Row],[Security Name]],Ref!X:Y,2,0)</f>
        <v>KBNN</v>
      </c>
      <c r="AL247" s="71">
        <f>IF((Tradingbook_MSB[[#This Row],[Mat. Date]]-RPT)&lt;=0,0,Tradingbook_MSB[[#This Row],[QUANTITY]])</f>
        <v>0</v>
      </c>
      <c r="AM247" s="71">
        <f>IF(Tradingbook_MSB[[#This Row],[Quantity_edited]]=0,0,Tradingbook_MSB[[#This Row],[DURATION]])</f>
        <v>0</v>
      </c>
      <c r="AN247" s="71">
        <f>IF(Tradingbook_MSB[[#This Row],[Quantity_edited]]=0,0,Tradingbook_MSB[[#This Row],[Mod Dur]])</f>
        <v>0</v>
      </c>
      <c r="AO247" s="71">
        <f>IF(Tradingbook_MSB[[#This Row],[Quantity_edited]]=0,0,Tradingbook_MSB[[#This Row],[Cnvx.]])</f>
        <v>0</v>
      </c>
      <c r="AP247" s="71">
        <f>(Tradingbook_MSB[[#This Row],[MARKET_VALUE]]+Tradingbook_MSB[[#This Row],[Accr Int]]*Tradingbook_MSB[[#This Row],[Quantity_edited]])*(-Tradingbook_MSB[[#This Row],[Modified Duration]]*0.0001+0.5*Tradingbook_MSB[[#This Row],[Conv]]*(0.0001^2))</f>
        <v>0</v>
      </c>
      <c r="AQ247" s="72">
        <f>(Tradingbook_MSB[[#This Row],[MARKET_VALUE]]+Tradingbook_MSB[[#This Row],[Accr Int]]*Tradingbook_MSB[[#This Row],[Quantity_edited]])*(-Tradingbook_MSB[[#This Row],[Modified Duration]]*0.01+0.5*Tradingbook_MSB[[#This Row],[Conv]]*(0.01^2))</f>
        <v>0</v>
      </c>
      <c r="AR247" s="71"/>
      <c r="CL247" t="s">
        <v>166</v>
      </c>
      <c r="CM247" t="s">
        <v>167</v>
      </c>
      <c r="CN247" t="s">
        <v>429</v>
      </c>
      <c r="CO247" t="s">
        <v>169</v>
      </c>
      <c r="CP247" s="35">
        <v>43905</v>
      </c>
      <c r="CQ247" t="s">
        <v>3322</v>
      </c>
      <c r="CR247" t="s">
        <v>174</v>
      </c>
      <c r="CS247" t="s">
        <v>174</v>
      </c>
      <c r="CT247" s="49">
        <v>0</v>
      </c>
      <c r="CU247">
        <v>0</v>
      </c>
      <c r="CV247">
        <v>0</v>
      </c>
      <c r="CW247" s="70">
        <v>0</v>
      </c>
      <c r="CX247">
        <v>5.3</v>
      </c>
      <c r="CY247">
        <v>0</v>
      </c>
      <c r="CZ247">
        <v>5300000000</v>
      </c>
      <c r="DA247">
        <v>5853150694.4444427</v>
      </c>
      <c r="DB247">
        <v>-3580361499.7916608</v>
      </c>
      <c r="DC247">
        <v>0</v>
      </c>
      <c r="DD247">
        <v>0</v>
      </c>
      <c r="DE247">
        <v>0</v>
      </c>
      <c r="DF247">
        <v>0</v>
      </c>
      <c r="DG247">
        <v>0</v>
      </c>
      <c r="DH247">
        <v>0</v>
      </c>
      <c r="DI247">
        <v>0</v>
      </c>
      <c r="DJ247" s="500">
        <v>3451000000</v>
      </c>
      <c r="DK247" s="500">
        <v>0</v>
      </c>
      <c r="DL247" s="37">
        <v>3451000000</v>
      </c>
      <c r="DM247" s="37">
        <v>3451000000</v>
      </c>
      <c r="DN247" s="37">
        <v>3451000000</v>
      </c>
      <c r="DO247" s="37">
        <v>3451000000</v>
      </c>
      <c r="DP247" s="32">
        <f>Tradingbook_SBV[[#This Row],[Mat. Date]]-RPT</f>
        <v>-2347</v>
      </c>
      <c r="DQ247" s="32">
        <f>IF(Tradingbook_SBV[[#This Row],[Days]]&lt;=0,0,YEARFRAC(RPT,Tradingbook_SBV[[#This Row],[Mat. Date]],3))</f>
        <v>0</v>
      </c>
      <c r="DR247" s="32">
        <f>IF(Tradingbook_SBV[[#This Row],[Days (year)]]=0,0,INDEX(Ref!$K$2:$K$13,MATCH(Tradingbook_SBV[[#This Row],[Days (year)]],Ref!$I$2:$I$13,1)))</f>
        <v>0</v>
      </c>
      <c r="DS247" s="32" t="str">
        <f>VLOOKUP(Tradingbook_SBV[[#This Row],[Security Name]],Ref!X:Z,3,0)</f>
        <v>TPCP</v>
      </c>
      <c r="DT247" s="32" t="str">
        <f>VLOOKUP(Tradingbook_SBV[[#This Row],[Security Name]],Ref!X:Y,2,0)</f>
        <v>KBNN</v>
      </c>
      <c r="DU247" s="71">
        <f>IF((Tradingbook_SBV[[#This Row],[Mat. Date]]-RPT)&lt;=0,0,Tradingbook_SBV[[#This Row],[QUANTITY]])</f>
        <v>0</v>
      </c>
      <c r="DV247" s="71">
        <f>IF(Tradingbook_SBV[[#This Row],[Quantity_edited]]=0,0,Tradingbook_SBV[[#This Row],[DURATION]])</f>
        <v>0</v>
      </c>
      <c r="DW247" s="71">
        <f>IF(Tradingbook_SBV[[#This Row],[Quantity_edited]]=0,0,Tradingbook_SBV[[#This Row],[Mod Dur]])</f>
        <v>0</v>
      </c>
      <c r="DX247" s="71">
        <f>IF(Tradingbook_SBV[[#This Row],[Quantity_edited]]=0,0,Tradingbook_SBV[[#This Row],[Cnvx.]])</f>
        <v>0</v>
      </c>
      <c r="DY247" s="71">
        <f>(Tradingbook_SBV[[#This Row],[MARKET_VALUE]]+Tradingbook_SBV[[#This Row],[Accr Int]]*Tradingbook_SBV[[#This Row],[Quantity_edited]])*(-Tradingbook_SBV[[#This Row],[Modified Duration]]*0.0001+0.5*Tradingbook_SBV[[#This Row],[Conv]]*(0.0001^2))</f>
        <v>0</v>
      </c>
      <c r="DZ247" s="71">
        <f>(Tradingbook_SBV[[#This Row],[MARKET_VALUE]]+Tradingbook_SBV[[#This Row],[Accr Int]]*Tradingbook_SBV[[#This Row],[Quantity_edited]])*(-Tradingbook_SBV[[#This Row],[Modified Duration]]*0.01+0.5*Tradingbook_SBV[[#This Row],[Conv]]*(0.01^2))</f>
        <v>0</v>
      </c>
      <c r="EC247" t="s">
        <v>166</v>
      </c>
      <c r="ED247" t="s">
        <v>3300</v>
      </c>
      <c r="EE247" t="s">
        <v>625</v>
      </c>
      <c r="EF247" t="s">
        <v>169</v>
      </c>
      <c r="EG247" s="35" t="s">
        <v>3438</v>
      </c>
      <c r="EH247" t="s">
        <v>3322</v>
      </c>
      <c r="EI247" s="500">
        <v>113429</v>
      </c>
      <c r="EJ247" s="500">
        <v>113429</v>
      </c>
      <c r="EK247" s="500">
        <v>0</v>
      </c>
      <c r="EL247" s="500">
        <v>0</v>
      </c>
      <c r="EM247" s="500">
        <v>0</v>
      </c>
      <c r="EN247" s="500">
        <v>0</v>
      </c>
      <c r="EO247">
        <v>7.6</v>
      </c>
      <c r="EP247">
        <v>3852</v>
      </c>
      <c r="EQ247">
        <v>74176000000</v>
      </c>
      <c r="ER247">
        <v>86915676963.88887</v>
      </c>
      <c r="ES247">
        <v>-12650192899.081688</v>
      </c>
      <c r="ET247">
        <v>4.7554636180000003</v>
      </c>
      <c r="EU247">
        <v>4.3899596165567996</v>
      </c>
      <c r="EV247">
        <v>4.5987225499999997</v>
      </c>
      <c r="EW247">
        <v>25.779850534666899</v>
      </c>
      <c r="EX247">
        <v>0</v>
      </c>
      <c r="EY247">
        <v>0</v>
      </c>
      <c r="EZ247">
        <v>0</v>
      </c>
      <c r="FA247">
        <v>84258490000</v>
      </c>
      <c r="FB247">
        <v>0</v>
      </c>
      <c r="FC247">
        <v>84258490000</v>
      </c>
      <c r="FD247">
        <v>84258490000</v>
      </c>
      <c r="FE247">
        <v>84258490000</v>
      </c>
      <c r="FF247">
        <v>84258490000</v>
      </c>
      <c r="FG247" s="32">
        <f>Bankingbook_SBV[[#This Row],[Mat. Date]]-RPT</f>
        <v>2006</v>
      </c>
      <c r="FH247" s="32">
        <f>IF(Bankingbook_SBV[[#This Row],[Days]]&lt;=0,0,YEARFRAC(RPT,Bankingbook_SBV[[#This Row],[Mat. Date]],3))</f>
        <v>5.4958904109589044</v>
      </c>
      <c r="FI247" s="32" t="str">
        <f>IF(Bankingbook_SBV[[#This Row],[Days (year)]]=0,0,INDEX(Ref!$K$2:$K$13,MATCH(Bankingbook_SBV[[#This Row],[Days (year)]],Ref!$I$2:$I$13,1)))</f>
        <v>5Y</v>
      </c>
      <c r="FJ247" s="32" t="str">
        <f>VLOOKUP(Bankingbook_SBV[[#This Row],[Security Name]],Ref!X:Z,3,0)</f>
        <v>TPCPBL</v>
      </c>
      <c r="FK247" s="32" t="str">
        <f>VLOOKUP(Bankingbook_SBV[[#This Row],[Security Name]],Ref!X:Y,2,0)</f>
        <v>VDB</v>
      </c>
      <c r="FL247" s="72">
        <f>IF((Bankingbook_SBV[[#This Row],[Mat. Date]]-RPT)&lt;=0,0,Bankingbook_SBV[[#This Row],[QUANTITY]])</f>
        <v>0</v>
      </c>
      <c r="FM247" s="32">
        <f>IF(Bankingbook_SBV[[#This Row],[Quantity_edited]]=0,0,Bankingbook_SBV[[#This Row],[DURATION]])</f>
        <v>0</v>
      </c>
      <c r="FN247" s="32">
        <f>IF(Bankingbook_SBV[[#This Row],[Quantity_edited]]=0,0,Bankingbook_SBV[[#This Row],[Mod Dur]])</f>
        <v>0</v>
      </c>
      <c r="FO247" s="32">
        <f>IF(Bankingbook_SBV[[#This Row],[Quantity_edited]]=0,0,Bankingbook_SBV[[#This Row],[Cnvx.]])</f>
        <v>0</v>
      </c>
      <c r="FP247" s="32">
        <f>(Bankingbook_SBV[[#This Row],[MARKET_VALUE]]+Bankingbook_SBV[[#This Row],[Accr Int]]*Bankingbook_SBV[[#This Row],[Quantity_edited]])*(-Bankingbook_SBV[[#This Row],[Modified Duration]]*0.0001+0.5*Bankingbook_SBV[[#This Row],[Conv]]*(0.0001^2))</f>
        <v>0</v>
      </c>
      <c r="FQ247" s="32">
        <f>(Bankingbook_SBV[[#This Row],[MARKET_VALUE]]+Bankingbook_SBV[[#This Row],[Accr Int]]*Bankingbook_SBV[[#This Row],[Quantity_edited]])*(-Bankingbook_SBV[[#This Row],[Modified Duration]]*0.01+0.5*Bankingbook_SBV[[#This Row],[Conv]]*(0.01^2))</f>
        <v>0</v>
      </c>
    </row>
    <row r="248" spans="2:173" x14ac:dyDescent="0.3">
      <c r="B248" t="s">
        <v>166</v>
      </c>
      <c r="C248" t="s">
        <v>167</v>
      </c>
      <c r="D248" t="s">
        <v>430</v>
      </c>
      <c r="E248" t="s">
        <v>169</v>
      </c>
      <c r="F248" s="502">
        <v>43936</v>
      </c>
      <c r="G248" t="s">
        <v>3322</v>
      </c>
      <c r="H248"/>
      <c r="I248"/>
      <c r="J248" s="38">
        <v>0</v>
      </c>
      <c r="K248">
        <v>0</v>
      </c>
      <c r="L248">
        <v>0</v>
      </c>
      <c r="M248" s="38">
        <v>0</v>
      </c>
      <c r="N248">
        <v>5.4</v>
      </c>
      <c r="O248">
        <v>0</v>
      </c>
      <c r="P248" s="37">
        <v>167400000000</v>
      </c>
      <c r="Q248" s="37">
        <v>182617269375</v>
      </c>
      <c r="R248" s="37">
        <v>-92875954405.08168</v>
      </c>
      <c r="S248">
        <v>0</v>
      </c>
      <c r="T248" s="70">
        <v>0</v>
      </c>
      <c r="U248">
        <v>0</v>
      </c>
      <c r="V248">
        <v>0</v>
      </c>
      <c r="W248">
        <v>0</v>
      </c>
      <c r="X248" s="38">
        <v>0</v>
      </c>
      <c r="Y248">
        <v>0</v>
      </c>
      <c r="Z248" s="70">
        <v>103643731580</v>
      </c>
      <c r="AA248" s="70">
        <v>0</v>
      </c>
      <c r="AB248" s="70">
        <v>103643731580</v>
      </c>
      <c r="AC248" s="70">
        <v>103643731580</v>
      </c>
      <c r="AD248" s="70">
        <v>103643731580</v>
      </c>
      <c r="AE248" s="70">
        <v>103643731580</v>
      </c>
      <c r="AF248">
        <v>0</v>
      </c>
      <c r="AG248" s="72">
        <f>Tradingbook_MSB[[#This Row],[Mat. Date]]-RPT</f>
        <v>-2316</v>
      </c>
      <c r="AH248" s="71">
        <f>IF(Tradingbook_MSB[[#This Row],[Days]]&lt;=0,0,YEARFRAC(RPT,Tradingbook_MSB[[#This Row],[Mat. Date]],3))</f>
        <v>0</v>
      </c>
      <c r="AI248" s="71">
        <f>IF(Tradingbook_MSB[[#This Row],[Days (year)]]=0,0,INDEX(Ref!$K$2:$K$13,MATCH(Tradingbook_MSB[[#This Row],[Days (year)]],Ref!$I$2:$I$13,1)))</f>
        <v>0</v>
      </c>
      <c r="AJ248" s="120" t="str">
        <f>VLOOKUP(Tradingbook_MSB[[#This Row],[Security Name]],Ref!X:Z,3,0)</f>
        <v>TPCP</v>
      </c>
      <c r="AK248" s="120" t="str">
        <f>VLOOKUP(Tradingbook_MSB[[#This Row],[Security Name]],Ref!X:Y,2,0)</f>
        <v>KBNN</v>
      </c>
      <c r="AL248" s="71">
        <f>IF((Tradingbook_MSB[[#This Row],[Mat. Date]]-RPT)&lt;=0,0,Tradingbook_MSB[[#This Row],[QUANTITY]])</f>
        <v>0</v>
      </c>
      <c r="AM248" s="71">
        <f>IF(Tradingbook_MSB[[#This Row],[Quantity_edited]]=0,0,Tradingbook_MSB[[#This Row],[DURATION]])</f>
        <v>0</v>
      </c>
      <c r="AN248" s="71">
        <f>IF(Tradingbook_MSB[[#This Row],[Quantity_edited]]=0,0,Tradingbook_MSB[[#This Row],[Mod Dur]])</f>
        <v>0</v>
      </c>
      <c r="AO248" s="71">
        <f>IF(Tradingbook_MSB[[#This Row],[Quantity_edited]]=0,0,Tradingbook_MSB[[#This Row],[Cnvx.]])</f>
        <v>0</v>
      </c>
      <c r="AP248" s="71">
        <f>(Tradingbook_MSB[[#This Row],[MARKET_VALUE]]+Tradingbook_MSB[[#This Row],[Accr Int]]*Tradingbook_MSB[[#This Row],[Quantity_edited]])*(-Tradingbook_MSB[[#This Row],[Modified Duration]]*0.0001+0.5*Tradingbook_MSB[[#This Row],[Conv]]*(0.0001^2))</f>
        <v>0</v>
      </c>
      <c r="AQ248" s="72">
        <f>(Tradingbook_MSB[[#This Row],[MARKET_VALUE]]+Tradingbook_MSB[[#This Row],[Accr Int]]*Tradingbook_MSB[[#This Row],[Quantity_edited]])*(-Tradingbook_MSB[[#This Row],[Modified Duration]]*0.01+0.5*Tradingbook_MSB[[#This Row],[Conv]]*(0.01^2))</f>
        <v>0</v>
      </c>
      <c r="AR248" s="71"/>
      <c r="CL248" t="s">
        <v>166</v>
      </c>
      <c r="CM248" t="s">
        <v>167</v>
      </c>
      <c r="CN248" t="s">
        <v>430</v>
      </c>
      <c r="CO248" t="s">
        <v>169</v>
      </c>
      <c r="CP248" s="35">
        <v>43936</v>
      </c>
      <c r="CQ248" t="s">
        <v>3322</v>
      </c>
      <c r="CR248" t="s">
        <v>174</v>
      </c>
      <c r="CS248" t="s">
        <v>174</v>
      </c>
      <c r="CT248" s="49">
        <v>0</v>
      </c>
      <c r="CU248">
        <v>0</v>
      </c>
      <c r="CV248">
        <v>0</v>
      </c>
      <c r="CW248" s="70">
        <v>0</v>
      </c>
      <c r="CX248">
        <v>5.4</v>
      </c>
      <c r="CY248">
        <v>0</v>
      </c>
      <c r="CZ248">
        <v>167400000000</v>
      </c>
      <c r="DA248">
        <v>182617269375</v>
      </c>
      <c r="DB248">
        <v>-92875954405.08168</v>
      </c>
      <c r="DC248">
        <v>0</v>
      </c>
      <c r="DD248">
        <v>0</v>
      </c>
      <c r="DE248">
        <v>0</v>
      </c>
      <c r="DF248">
        <v>0</v>
      </c>
      <c r="DG248">
        <v>0</v>
      </c>
      <c r="DH248">
        <v>0</v>
      </c>
      <c r="DI248">
        <v>0</v>
      </c>
      <c r="DJ248" s="500">
        <v>103643731580</v>
      </c>
      <c r="DK248" s="500">
        <v>0</v>
      </c>
      <c r="DL248" s="37">
        <v>103643731580</v>
      </c>
      <c r="DM248" s="37">
        <v>103643731580</v>
      </c>
      <c r="DN248" s="37">
        <v>103643731580</v>
      </c>
      <c r="DO248" s="37">
        <v>103643731580</v>
      </c>
      <c r="DP248" s="32">
        <f>Tradingbook_SBV[[#This Row],[Mat. Date]]-RPT</f>
        <v>-2316</v>
      </c>
      <c r="DQ248" s="32">
        <f>IF(Tradingbook_SBV[[#This Row],[Days]]&lt;=0,0,YEARFRAC(RPT,Tradingbook_SBV[[#This Row],[Mat. Date]],3))</f>
        <v>0</v>
      </c>
      <c r="DR248" s="32">
        <f>IF(Tradingbook_SBV[[#This Row],[Days (year)]]=0,0,INDEX(Ref!$K$2:$K$13,MATCH(Tradingbook_SBV[[#This Row],[Days (year)]],Ref!$I$2:$I$13,1)))</f>
        <v>0</v>
      </c>
      <c r="DS248" s="32" t="str">
        <f>VLOOKUP(Tradingbook_SBV[[#This Row],[Security Name]],Ref!X:Z,3,0)</f>
        <v>TPCP</v>
      </c>
      <c r="DT248" s="32" t="str">
        <f>VLOOKUP(Tradingbook_SBV[[#This Row],[Security Name]],Ref!X:Y,2,0)</f>
        <v>KBNN</v>
      </c>
      <c r="DU248" s="71">
        <f>IF((Tradingbook_SBV[[#This Row],[Mat. Date]]-RPT)&lt;=0,0,Tradingbook_SBV[[#This Row],[QUANTITY]])</f>
        <v>0</v>
      </c>
      <c r="DV248" s="71">
        <f>IF(Tradingbook_SBV[[#This Row],[Quantity_edited]]=0,0,Tradingbook_SBV[[#This Row],[DURATION]])</f>
        <v>0</v>
      </c>
      <c r="DW248" s="71">
        <f>IF(Tradingbook_SBV[[#This Row],[Quantity_edited]]=0,0,Tradingbook_SBV[[#This Row],[Mod Dur]])</f>
        <v>0</v>
      </c>
      <c r="DX248" s="71">
        <f>IF(Tradingbook_SBV[[#This Row],[Quantity_edited]]=0,0,Tradingbook_SBV[[#This Row],[Cnvx.]])</f>
        <v>0</v>
      </c>
      <c r="DY248" s="71">
        <f>(Tradingbook_SBV[[#This Row],[MARKET_VALUE]]+Tradingbook_SBV[[#This Row],[Accr Int]]*Tradingbook_SBV[[#This Row],[Quantity_edited]])*(-Tradingbook_SBV[[#This Row],[Modified Duration]]*0.0001+0.5*Tradingbook_SBV[[#This Row],[Conv]]*(0.0001^2))</f>
        <v>0</v>
      </c>
      <c r="DZ248" s="71">
        <f>(Tradingbook_SBV[[#This Row],[MARKET_VALUE]]+Tradingbook_SBV[[#This Row],[Accr Int]]*Tradingbook_SBV[[#This Row],[Quantity_edited]])*(-Tradingbook_SBV[[#This Row],[Modified Duration]]*0.01+0.5*Tradingbook_SBV[[#This Row],[Conv]]*(0.01^2))</f>
        <v>0</v>
      </c>
      <c r="EC248" t="s">
        <v>166</v>
      </c>
      <c r="ED248" t="s">
        <v>3300</v>
      </c>
      <c r="EE248" t="s">
        <v>649</v>
      </c>
      <c r="EF248" t="s">
        <v>169</v>
      </c>
      <c r="EG248" s="35" t="s">
        <v>3823</v>
      </c>
      <c r="EH248" t="s">
        <v>3322</v>
      </c>
      <c r="EI248" s="500">
        <v>113101</v>
      </c>
      <c r="EJ248" s="500">
        <v>113101</v>
      </c>
      <c r="EK248" s="500">
        <v>0</v>
      </c>
      <c r="EL248" s="500">
        <v>0</v>
      </c>
      <c r="EM248" s="500">
        <v>0</v>
      </c>
      <c r="EN248" s="500">
        <v>0</v>
      </c>
      <c r="EO248">
        <v>7.5</v>
      </c>
      <c r="EP248">
        <v>3226</v>
      </c>
      <c r="EQ248">
        <v>0</v>
      </c>
      <c r="ER248">
        <v>0</v>
      </c>
      <c r="ES248">
        <v>-15375151.805568695</v>
      </c>
      <c r="ET248">
        <v>4.7583233370000002</v>
      </c>
      <c r="EU248">
        <v>4.470456439925</v>
      </c>
      <c r="EV248">
        <v>4.6831752099999999</v>
      </c>
      <c r="EW248">
        <v>26.555918666175</v>
      </c>
      <c r="EX248">
        <v>0</v>
      </c>
      <c r="EY248">
        <v>0</v>
      </c>
      <c r="EZ248">
        <v>0</v>
      </c>
      <c r="FA248">
        <v>-45000000</v>
      </c>
      <c r="FB248">
        <v>0</v>
      </c>
      <c r="FC248">
        <v>-45000000</v>
      </c>
      <c r="FD248">
        <v>-45000000</v>
      </c>
      <c r="FE248">
        <v>-45000000</v>
      </c>
      <c r="FF248">
        <v>-45000000</v>
      </c>
      <c r="FG248" s="32">
        <f>Bankingbook_SBV[[#This Row],[Mat. Date]]-RPT</f>
        <v>2035</v>
      </c>
      <c r="FH248" s="32">
        <f>IF(Bankingbook_SBV[[#This Row],[Days]]&lt;=0,0,YEARFRAC(RPT,Bankingbook_SBV[[#This Row],[Mat. Date]],3))</f>
        <v>5.5753424657534243</v>
      </c>
      <c r="FI248" s="32" t="str">
        <f>IF(Bankingbook_SBV[[#This Row],[Days (year)]]=0,0,INDEX(Ref!$K$2:$K$13,MATCH(Bankingbook_SBV[[#This Row],[Days (year)]],Ref!$I$2:$I$13,1)))</f>
        <v>7Y</v>
      </c>
      <c r="FJ248" s="32" t="str">
        <f>VLOOKUP(Bankingbook_SBV[[#This Row],[Security Name]],Ref!X:Z,3,0)</f>
        <v>TPCPBL</v>
      </c>
      <c r="FK248" s="32" t="str">
        <f>VLOOKUP(Bankingbook_SBV[[#This Row],[Security Name]],Ref!X:Y,2,0)</f>
        <v>VBS</v>
      </c>
      <c r="FL248" s="72">
        <f>IF((Bankingbook_SBV[[#This Row],[Mat. Date]]-RPT)&lt;=0,0,Bankingbook_SBV[[#This Row],[QUANTITY]])</f>
        <v>0</v>
      </c>
      <c r="FM248" s="32">
        <f>IF(Bankingbook_SBV[[#This Row],[Quantity_edited]]=0,0,Bankingbook_SBV[[#This Row],[DURATION]])</f>
        <v>0</v>
      </c>
      <c r="FN248" s="32">
        <f>IF(Bankingbook_SBV[[#This Row],[Quantity_edited]]=0,0,Bankingbook_SBV[[#This Row],[Mod Dur]])</f>
        <v>0</v>
      </c>
      <c r="FO248" s="32">
        <f>IF(Bankingbook_SBV[[#This Row],[Quantity_edited]]=0,0,Bankingbook_SBV[[#This Row],[Cnvx.]])</f>
        <v>0</v>
      </c>
      <c r="FP248" s="32">
        <f>(Bankingbook_SBV[[#This Row],[MARKET_VALUE]]+Bankingbook_SBV[[#This Row],[Accr Int]]*Bankingbook_SBV[[#This Row],[Quantity_edited]])*(-Bankingbook_SBV[[#This Row],[Modified Duration]]*0.0001+0.5*Bankingbook_SBV[[#This Row],[Conv]]*(0.0001^2))</f>
        <v>0</v>
      </c>
      <c r="FQ248" s="32">
        <f>(Bankingbook_SBV[[#This Row],[MARKET_VALUE]]+Bankingbook_SBV[[#This Row],[Accr Int]]*Bankingbook_SBV[[#This Row],[Quantity_edited]])*(-Bankingbook_SBV[[#This Row],[Modified Duration]]*0.01+0.5*Bankingbook_SBV[[#This Row],[Conv]]*(0.01^2))</f>
        <v>0</v>
      </c>
    </row>
    <row r="249" spans="2:173" x14ac:dyDescent="0.3">
      <c r="B249" t="s">
        <v>166</v>
      </c>
      <c r="C249" t="s">
        <v>167</v>
      </c>
      <c r="D249" t="s">
        <v>431</v>
      </c>
      <c r="E249" t="s">
        <v>169</v>
      </c>
      <c r="F249" s="502">
        <v>43943</v>
      </c>
      <c r="G249" t="s">
        <v>3322</v>
      </c>
      <c r="H249"/>
      <c r="I249"/>
      <c r="J249" s="38">
        <v>0</v>
      </c>
      <c r="K249">
        <v>0</v>
      </c>
      <c r="L249">
        <v>0</v>
      </c>
      <c r="M249" s="38">
        <v>0</v>
      </c>
      <c r="N249">
        <v>11.5</v>
      </c>
      <c r="O249">
        <v>0</v>
      </c>
      <c r="P249" s="37">
        <v>0</v>
      </c>
      <c r="Q249" s="37">
        <v>-6.0999999999999999E-5</v>
      </c>
      <c r="R249" s="37">
        <v>-1161181327.2082844</v>
      </c>
      <c r="S249">
        <v>0</v>
      </c>
      <c r="T249" s="70">
        <v>0</v>
      </c>
      <c r="U249">
        <v>0</v>
      </c>
      <c r="V249">
        <v>0</v>
      </c>
      <c r="W249">
        <v>0</v>
      </c>
      <c r="X249" s="38">
        <v>0</v>
      </c>
      <c r="Y249">
        <v>0</v>
      </c>
      <c r="Z249" s="70">
        <v>-2026000000</v>
      </c>
      <c r="AA249" s="70">
        <v>0</v>
      </c>
      <c r="AB249" s="70">
        <v>-2026000000</v>
      </c>
      <c r="AC249" s="70">
        <v>-2026000000</v>
      </c>
      <c r="AD249" s="70">
        <v>-2026000000</v>
      </c>
      <c r="AE249" s="70">
        <v>-2026000000</v>
      </c>
      <c r="AF249">
        <v>0</v>
      </c>
      <c r="AG249" s="72">
        <f>Tradingbook_MSB[[#This Row],[Mat. Date]]-RPT</f>
        <v>-2309</v>
      </c>
      <c r="AH249" s="71">
        <f>IF(Tradingbook_MSB[[#This Row],[Days]]&lt;=0,0,YEARFRAC(RPT,Tradingbook_MSB[[#This Row],[Mat. Date]],3))</f>
        <v>0</v>
      </c>
      <c r="AI249" s="71">
        <f>IF(Tradingbook_MSB[[#This Row],[Days (year)]]=0,0,INDEX(Ref!$K$2:$K$13,MATCH(Tradingbook_MSB[[#This Row],[Days (year)]],Ref!$I$2:$I$13,1)))</f>
        <v>0</v>
      </c>
      <c r="AJ249" s="120" t="str">
        <f>VLOOKUP(Tradingbook_MSB[[#This Row],[Security Name]],Ref!X:Z,3,0)</f>
        <v>TPCP</v>
      </c>
      <c r="AK249" s="120" t="str">
        <f>VLOOKUP(Tradingbook_MSB[[#This Row],[Security Name]],Ref!X:Y,2,0)</f>
        <v>VDB</v>
      </c>
      <c r="AL249" s="71">
        <f>IF((Tradingbook_MSB[[#This Row],[Mat. Date]]-RPT)&lt;=0,0,Tradingbook_MSB[[#This Row],[QUANTITY]])</f>
        <v>0</v>
      </c>
      <c r="AM249" s="71">
        <f>IF(Tradingbook_MSB[[#This Row],[Quantity_edited]]=0,0,Tradingbook_MSB[[#This Row],[DURATION]])</f>
        <v>0</v>
      </c>
      <c r="AN249" s="71">
        <f>IF(Tradingbook_MSB[[#This Row],[Quantity_edited]]=0,0,Tradingbook_MSB[[#This Row],[Mod Dur]])</f>
        <v>0</v>
      </c>
      <c r="AO249" s="71">
        <f>IF(Tradingbook_MSB[[#This Row],[Quantity_edited]]=0,0,Tradingbook_MSB[[#This Row],[Cnvx.]])</f>
        <v>0</v>
      </c>
      <c r="AP249" s="71">
        <f>(Tradingbook_MSB[[#This Row],[MARKET_VALUE]]+Tradingbook_MSB[[#This Row],[Accr Int]]*Tradingbook_MSB[[#This Row],[Quantity_edited]])*(-Tradingbook_MSB[[#This Row],[Modified Duration]]*0.0001+0.5*Tradingbook_MSB[[#This Row],[Conv]]*(0.0001^2))</f>
        <v>0</v>
      </c>
      <c r="AQ249" s="72">
        <f>(Tradingbook_MSB[[#This Row],[MARKET_VALUE]]+Tradingbook_MSB[[#This Row],[Accr Int]]*Tradingbook_MSB[[#This Row],[Quantity_edited]])*(-Tradingbook_MSB[[#This Row],[Modified Duration]]*0.01+0.5*Tradingbook_MSB[[#This Row],[Conv]]*(0.01^2))</f>
        <v>0</v>
      </c>
      <c r="AR249" s="71"/>
      <c r="CL249" t="s">
        <v>166</v>
      </c>
      <c r="CM249" t="s">
        <v>167</v>
      </c>
      <c r="CN249" t="s">
        <v>431</v>
      </c>
      <c r="CO249" t="s">
        <v>169</v>
      </c>
      <c r="CP249" s="35">
        <v>43943</v>
      </c>
      <c r="CQ249" t="s">
        <v>3322</v>
      </c>
      <c r="CR249" t="s">
        <v>174</v>
      </c>
      <c r="CS249" t="s">
        <v>174</v>
      </c>
      <c r="CT249" s="49">
        <v>0</v>
      </c>
      <c r="CU249">
        <v>0</v>
      </c>
      <c r="CV249">
        <v>0</v>
      </c>
      <c r="CW249" s="70">
        <v>0</v>
      </c>
      <c r="CX249">
        <v>11.5</v>
      </c>
      <c r="CY249">
        <v>0</v>
      </c>
      <c r="CZ249">
        <v>0</v>
      </c>
      <c r="DA249">
        <v>-6.0999999999999999E-5</v>
      </c>
      <c r="DB249">
        <v>-1161181327.2082844</v>
      </c>
      <c r="DC249">
        <v>0</v>
      </c>
      <c r="DD249">
        <v>0</v>
      </c>
      <c r="DE249">
        <v>0</v>
      </c>
      <c r="DF249">
        <v>0</v>
      </c>
      <c r="DG249">
        <v>0</v>
      </c>
      <c r="DH249">
        <v>0</v>
      </c>
      <c r="DI249">
        <v>0</v>
      </c>
      <c r="DJ249" s="500">
        <v>-2026000000</v>
      </c>
      <c r="DK249" s="500">
        <v>0</v>
      </c>
      <c r="DL249" s="37">
        <v>-2026000000</v>
      </c>
      <c r="DM249" s="37">
        <v>-2026000000</v>
      </c>
      <c r="DN249" s="37">
        <v>-2026000000</v>
      </c>
      <c r="DO249" s="37">
        <v>-2026000000</v>
      </c>
      <c r="DP249" s="32">
        <f>Tradingbook_SBV[[#This Row],[Mat. Date]]-RPT</f>
        <v>-2309</v>
      </c>
      <c r="DQ249" s="32">
        <f>IF(Tradingbook_SBV[[#This Row],[Days]]&lt;=0,0,YEARFRAC(RPT,Tradingbook_SBV[[#This Row],[Mat. Date]],3))</f>
        <v>0</v>
      </c>
      <c r="DR249" s="32">
        <f>IF(Tradingbook_SBV[[#This Row],[Days (year)]]=0,0,INDEX(Ref!$K$2:$K$13,MATCH(Tradingbook_SBV[[#This Row],[Days (year)]],Ref!$I$2:$I$13,1)))</f>
        <v>0</v>
      </c>
      <c r="DS249" s="32" t="str">
        <f>VLOOKUP(Tradingbook_SBV[[#This Row],[Security Name]],Ref!X:Z,3,0)</f>
        <v>TPCP</v>
      </c>
      <c r="DT249" s="32" t="str">
        <f>VLOOKUP(Tradingbook_SBV[[#This Row],[Security Name]],Ref!X:Y,2,0)</f>
        <v>VDB</v>
      </c>
      <c r="DU249" s="71">
        <f>IF((Tradingbook_SBV[[#This Row],[Mat. Date]]-RPT)&lt;=0,0,Tradingbook_SBV[[#This Row],[QUANTITY]])</f>
        <v>0</v>
      </c>
      <c r="DV249" s="71">
        <f>IF(Tradingbook_SBV[[#This Row],[Quantity_edited]]=0,0,Tradingbook_SBV[[#This Row],[DURATION]])</f>
        <v>0</v>
      </c>
      <c r="DW249" s="71">
        <f>IF(Tradingbook_SBV[[#This Row],[Quantity_edited]]=0,0,Tradingbook_SBV[[#This Row],[Mod Dur]])</f>
        <v>0</v>
      </c>
      <c r="DX249" s="71">
        <f>IF(Tradingbook_SBV[[#This Row],[Quantity_edited]]=0,0,Tradingbook_SBV[[#This Row],[Cnvx.]])</f>
        <v>0</v>
      </c>
      <c r="DY249" s="71">
        <f>(Tradingbook_SBV[[#This Row],[MARKET_VALUE]]+Tradingbook_SBV[[#This Row],[Accr Int]]*Tradingbook_SBV[[#This Row],[Quantity_edited]])*(-Tradingbook_SBV[[#This Row],[Modified Duration]]*0.0001+0.5*Tradingbook_SBV[[#This Row],[Conv]]*(0.0001^2))</f>
        <v>0</v>
      </c>
      <c r="DZ249" s="71">
        <f>(Tradingbook_SBV[[#This Row],[MARKET_VALUE]]+Tradingbook_SBV[[#This Row],[Accr Int]]*Tradingbook_SBV[[#This Row],[Quantity_edited]])*(-Tradingbook_SBV[[#This Row],[Modified Duration]]*0.01+0.5*Tradingbook_SBV[[#This Row],[Conv]]*(0.01^2))</f>
        <v>0</v>
      </c>
      <c r="EC249" t="s">
        <v>166</v>
      </c>
      <c r="ED249" t="s">
        <v>3300</v>
      </c>
      <c r="EE249" t="s">
        <v>650</v>
      </c>
      <c r="EF249" t="s">
        <v>169</v>
      </c>
      <c r="EG249" s="35" t="s">
        <v>3439</v>
      </c>
      <c r="EH249" t="s">
        <v>3322</v>
      </c>
      <c r="EI249" s="500">
        <v>112833</v>
      </c>
      <c r="EJ249" s="500">
        <v>112833</v>
      </c>
      <c r="EK249" s="500">
        <v>0</v>
      </c>
      <c r="EL249" s="500">
        <v>0</v>
      </c>
      <c r="EM249" s="500">
        <v>0</v>
      </c>
      <c r="EN249" s="500">
        <v>0</v>
      </c>
      <c r="EO249">
        <v>6.9</v>
      </c>
      <c r="EP249">
        <v>2930</v>
      </c>
      <c r="EQ249">
        <v>144900000000</v>
      </c>
      <c r="ER249">
        <v>170001638416.66641</v>
      </c>
      <c r="ES249">
        <v>-31201389952.996338</v>
      </c>
      <c r="ET249">
        <v>4.2585767849999998</v>
      </c>
      <c r="EU249">
        <v>4.5546150141077</v>
      </c>
      <c r="EV249">
        <v>4.7485767900000004</v>
      </c>
      <c r="EW249">
        <v>27.321707687602</v>
      </c>
      <c r="EX249">
        <v>0</v>
      </c>
      <c r="EY249">
        <v>0</v>
      </c>
      <c r="EZ249">
        <v>0</v>
      </c>
      <c r="FA249">
        <v>115789000000</v>
      </c>
      <c r="FB249">
        <v>0</v>
      </c>
      <c r="FC249">
        <v>115789000000</v>
      </c>
      <c r="FD249">
        <v>115789000000</v>
      </c>
      <c r="FE249">
        <v>115789000000</v>
      </c>
      <c r="FF249">
        <v>115789000000</v>
      </c>
      <c r="FG249" s="32">
        <f>Bankingbook_SBV[[#This Row],[Mat. Date]]-RPT</f>
        <v>2037</v>
      </c>
      <c r="FH249" s="32">
        <f>IF(Bankingbook_SBV[[#This Row],[Days]]&lt;=0,0,YEARFRAC(RPT,Bankingbook_SBV[[#This Row],[Mat. Date]],3))</f>
        <v>5.580821917808219</v>
      </c>
      <c r="FI249" s="32" t="str">
        <f>IF(Bankingbook_SBV[[#This Row],[Days (year)]]=0,0,INDEX(Ref!$K$2:$K$13,MATCH(Bankingbook_SBV[[#This Row],[Days (year)]],Ref!$I$2:$I$13,1)))</f>
        <v>7Y</v>
      </c>
      <c r="FJ249" s="32" t="str">
        <f>VLOOKUP(Bankingbook_SBV[[#This Row],[Security Name]],Ref!X:Z,3,0)</f>
        <v>TPCP</v>
      </c>
      <c r="FK249" s="32" t="str">
        <f>VLOOKUP(Bankingbook_SBV[[#This Row],[Security Name]],Ref!X:Y,2,0)</f>
        <v>KBNN</v>
      </c>
      <c r="FL249" s="72">
        <f>IF((Bankingbook_SBV[[#This Row],[Mat. Date]]-RPT)&lt;=0,0,Bankingbook_SBV[[#This Row],[QUANTITY]])</f>
        <v>0</v>
      </c>
      <c r="FM249" s="32">
        <f>IF(Bankingbook_SBV[[#This Row],[Quantity_edited]]=0,0,Bankingbook_SBV[[#This Row],[DURATION]])</f>
        <v>0</v>
      </c>
      <c r="FN249" s="32">
        <f>IF(Bankingbook_SBV[[#This Row],[Quantity_edited]]=0,0,Bankingbook_SBV[[#This Row],[Mod Dur]])</f>
        <v>0</v>
      </c>
      <c r="FO249" s="32">
        <f>IF(Bankingbook_SBV[[#This Row],[Quantity_edited]]=0,0,Bankingbook_SBV[[#This Row],[Cnvx.]])</f>
        <v>0</v>
      </c>
      <c r="FP249" s="32">
        <f>(Bankingbook_SBV[[#This Row],[MARKET_VALUE]]+Bankingbook_SBV[[#This Row],[Accr Int]]*Bankingbook_SBV[[#This Row],[Quantity_edited]])*(-Bankingbook_SBV[[#This Row],[Modified Duration]]*0.0001+0.5*Bankingbook_SBV[[#This Row],[Conv]]*(0.0001^2))</f>
        <v>0</v>
      </c>
      <c r="FQ249" s="32">
        <f>(Bankingbook_SBV[[#This Row],[MARKET_VALUE]]+Bankingbook_SBV[[#This Row],[Accr Int]]*Bankingbook_SBV[[#This Row],[Quantity_edited]])*(-Bankingbook_SBV[[#This Row],[Modified Duration]]*0.01+0.5*Bankingbook_SBV[[#This Row],[Conv]]*(0.01^2))</f>
        <v>0</v>
      </c>
    </row>
    <row r="250" spans="2:173" x14ac:dyDescent="0.3">
      <c r="B250" t="s">
        <v>166</v>
      </c>
      <c r="C250" t="s">
        <v>167</v>
      </c>
      <c r="D250" t="s">
        <v>432</v>
      </c>
      <c r="E250" t="s">
        <v>169</v>
      </c>
      <c r="F250" s="502">
        <v>43947</v>
      </c>
      <c r="G250" t="s">
        <v>3322</v>
      </c>
      <c r="H250"/>
      <c r="I250"/>
      <c r="J250" s="38">
        <v>0</v>
      </c>
      <c r="K250">
        <v>0</v>
      </c>
      <c r="L250">
        <v>0</v>
      </c>
      <c r="M250" s="38">
        <v>0</v>
      </c>
      <c r="N250">
        <v>11.5</v>
      </c>
      <c r="O250">
        <v>0</v>
      </c>
      <c r="P250" s="37">
        <v>17250000000</v>
      </c>
      <c r="Q250" s="37">
        <v>18611743750.000004</v>
      </c>
      <c r="R250" s="37">
        <v>-4610130573.6111021</v>
      </c>
      <c r="S250">
        <v>0</v>
      </c>
      <c r="T250" s="70">
        <v>0</v>
      </c>
      <c r="U250">
        <v>0</v>
      </c>
      <c r="V250">
        <v>0</v>
      </c>
      <c r="W250">
        <v>0</v>
      </c>
      <c r="X250" s="38">
        <v>0</v>
      </c>
      <c r="Y250">
        <v>0</v>
      </c>
      <c r="Z250" s="70">
        <v>-2466500000</v>
      </c>
      <c r="AA250" s="70">
        <v>0</v>
      </c>
      <c r="AB250" s="70">
        <v>-2466500000</v>
      </c>
      <c r="AC250" s="70">
        <v>-2466500000</v>
      </c>
      <c r="AD250" s="70">
        <v>-2466500000</v>
      </c>
      <c r="AE250" s="70">
        <v>-2466500000</v>
      </c>
      <c r="AF250">
        <v>0</v>
      </c>
      <c r="AG250" s="72">
        <f>Tradingbook_MSB[[#This Row],[Mat. Date]]-RPT</f>
        <v>-2305</v>
      </c>
      <c r="AH250" s="71">
        <f>IF(Tradingbook_MSB[[#This Row],[Days]]&lt;=0,0,YEARFRAC(RPT,Tradingbook_MSB[[#This Row],[Mat. Date]],3))</f>
        <v>0</v>
      </c>
      <c r="AI250" s="71">
        <f>IF(Tradingbook_MSB[[#This Row],[Days (year)]]=0,0,INDEX(Ref!$K$2:$K$13,MATCH(Tradingbook_MSB[[#This Row],[Days (year)]],Ref!$I$2:$I$13,1)))</f>
        <v>0</v>
      </c>
      <c r="AJ250" s="120" t="str">
        <f>VLOOKUP(Tradingbook_MSB[[#This Row],[Security Name]],Ref!X:Z,3,0)</f>
        <v>TPCPBL</v>
      </c>
      <c r="AK250" s="120" t="str">
        <f>VLOOKUP(Tradingbook_MSB[[#This Row],[Security Name]],Ref!X:Y,2,0)</f>
        <v>VDB</v>
      </c>
      <c r="AL250" s="71">
        <f>IF((Tradingbook_MSB[[#This Row],[Mat. Date]]-RPT)&lt;=0,0,Tradingbook_MSB[[#This Row],[QUANTITY]])</f>
        <v>0</v>
      </c>
      <c r="AM250" s="71">
        <f>IF(Tradingbook_MSB[[#This Row],[Quantity_edited]]=0,0,Tradingbook_MSB[[#This Row],[DURATION]])</f>
        <v>0</v>
      </c>
      <c r="AN250" s="71">
        <f>IF(Tradingbook_MSB[[#This Row],[Quantity_edited]]=0,0,Tradingbook_MSB[[#This Row],[Mod Dur]])</f>
        <v>0</v>
      </c>
      <c r="AO250" s="71">
        <f>IF(Tradingbook_MSB[[#This Row],[Quantity_edited]]=0,0,Tradingbook_MSB[[#This Row],[Cnvx.]])</f>
        <v>0</v>
      </c>
      <c r="AP250" s="71">
        <f>(Tradingbook_MSB[[#This Row],[MARKET_VALUE]]+Tradingbook_MSB[[#This Row],[Accr Int]]*Tradingbook_MSB[[#This Row],[Quantity_edited]])*(-Tradingbook_MSB[[#This Row],[Modified Duration]]*0.0001+0.5*Tradingbook_MSB[[#This Row],[Conv]]*(0.0001^2))</f>
        <v>0</v>
      </c>
      <c r="AQ250" s="72">
        <f>(Tradingbook_MSB[[#This Row],[MARKET_VALUE]]+Tradingbook_MSB[[#This Row],[Accr Int]]*Tradingbook_MSB[[#This Row],[Quantity_edited]])*(-Tradingbook_MSB[[#This Row],[Modified Duration]]*0.01+0.5*Tradingbook_MSB[[#This Row],[Conv]]*(0.01^2))</f>
        <v>0</v>
      </c>
      <c r="AR250" s="71"/>
      <c r="CL250" t="s">
        <v>166</v>
      </c>
      <c r="CM250" t="s">
        <v>167</v>
      </c>
      <c r="CN250" t="s">
        <v>432</v>
      </c>
      <c r="CO250" t="s">
        <v>169</v>
      </c>
      <c r="CP250" s="35">
        <v>43947</v>
      </c>
      <c r="CQ250" t="s">
        <v>3322</v>
      </c>
      <c r="CR250" t="s">
        <v>174</v>
      </c>
      <c r="CS250" t="s">
        <v>174</v>
      </c>
      <c r="CT250" s="49">
        <v>0</v>
      </c>
      <c r="CU250">
        <v>0</v>
      </c>
      <c r="CV250">
        <v>0</v>
      </c>
      <c r="CW250" s="70">
        <v>0</v>
      </c>
      <c r="CX250">
        <v>11.5</v>
      </c>
      <c r="CY250">
        <v>0</v>
      </c>
      <c r="CZ250">
        <v>17250000000</v>
      </c>
      <c r="DA250">
        <v>18611743750.000004</v>
      </c>
      <c r="DB250">
        <v>-3564556203.4722104</v>
      </c>
      <c r="DC250">
        <v>0</v>
      </c>
      <c r="DD250">
        <v>0</v>
      </c>
      <c r="DE250">
        <v>0</v>
      </c>
      <c r="DF250">
        <v>0</v>
      </c>
      <c r="DG250">
        <v>0</v>
      </c>
      <c r="DH250">
        <v>0</v>
      </c>
      <c r="DI250">
        <v>0</v>
      </c>
      <c r="DJ250" s="500">
        <v>-2451000000</v>
      </c>
      <c r="DK250" s="500">
        <v>0</v>
      </c>
      <c r="DL250" s="37">
        <v>-2451000000</v>
      </c>
      <c r="DM250" s="37">
        <v>-2451000000</v>
      </c>
      <c r="DN250" s="37">
        <v>-2451000000</v>
      </c>
      <c r="DO250" s="37">
        <v>-2451000000</v>
      </c>
      <c r="DP250" s="32">
        <f>Tradingbook_SBV[[#This Row],[Mat. Date]]-RPT</f>
        <v>-2305</v>
      </c>
      <c r="DQ250" s="32">
        <f>IF(Tradingbook_SBV[[#This Row],[Days]]&lt;=0,0,YEARFRAC(RPT,Tradingbook_SBV[[#This Row],[Mat. Date]],3))</f>
        <v>0</v>
      </c>
      <c r="DR250" s="32">
        <f>IF(Tradingbook_SBV[[#This Row],[Days (year)]]=0,0,INDEX(Ref!$K$2:$K$13,MATCH(Tradingbook_SBV[[#This Row],[Days (year)]],Ref!$I$2:$I$13,1)))</f>
        <v>0</v>
      </c>
      <c r="DS250" s="32" t="str">
        <f>VLOOKUP(Tradingbook_SBV[[#This Row],[Security Name]],Ref!X:Z,3,0)</f>
        <v>TPCPBL</v>
      </c>
      <c r="DT250" s="32" t="str">
        <f>VLOOKUP(Tradingbook_SBV[[#This Row],[Security Name]],Ref!X:Y,2,0)</f>
        <v>VDB</v>
      </c>
      <c r="DU250" s="71">
        <f>IF((Tradingbook_SBV[[#This Row],[Mat. Date]]-RPT)&lt;=0,0,Tradingbook_SBV[[#This Row],[QUANTITY]])</f>
        <v>0</v>
      </c>
      <c r="DV250" s="71">
        <f>IF(Tradingbook_SBV[[#This Row],[Quantity_edited]]=0,0,Tradingbook_SBV[[#This Row],[DURATION]])</f>
        <v>0</v>
      </c>
      <c r="DW250" s="71">
        <f>IF(Tradingbook_SBV[[#This Row],[Quantity_edited]]=0,0,Tradingbook_SBV[[#This Row],[Mod Dur]])</f>
        <v>0</v>
      </c>
      <c r="DX250" s="71">
        <f>IF(Tradingbook_SBV[[#This Row],[Quantity_edited]]=0,0,Tradingbook_SBV[[#This Row],[Cnvx.]])</f>
        <v>0</v>
      </c>
      <c r="DY250" s="71">
        <f>(Tradingbook_SBV[[#This Row],[MARKET_VALUE]]+Tradingbook_SBV[[#This Row],[Accr Int]]*Tradingbook_SBV[[#This Row],[Quantity_edited]])*(-Tradingbook_SBV[[#This Row],[Modified Duration]]*0.0001+0.5*Tradingbook_SBV[[#This Row],[Conv]]*(0.0001^2))</f>
        <v>0</v>
      </c>
      <c r="DZ250" s="71">
        <f>(Tradingbook_SBV[[#This Row],[MARKET_VALUE]]+Tradingbook_SBV[[#This Row],[Accr Int]]*Tradingbook_SBV[[#This Row],[Quantity_edited]])*(-Tradingbook_SBV[[#This Row],[Modified Duration]]*0.01+0.5*Tradingbook_SBV[[#This Row],[Conv]]*(0.01^2))</f>
        <v>0</v>
      </c>
      <c r="EC250" t="s">
        <v>166</v>
      </c>
      <c r="ED250" t="s">
        <v>3300</v>
      </c>
      <c r="EE250" t="s">
        <v>651</v>
      </c>
      <c r="EF250" t="s">
        <v>169</v>
      </c>
      <c r="EG250" s="35" t="s">
        <v>3440</v>
      </c>
      <c r="EH250" t="s">
        <v>3322</v>
      </c>
      <c r="EI250" s="500">
        <v>112060</v>
      </c>
      <c r="EJ250" s="500">
        <v>112060</v>
      </c>
      <c r="EK250" s="500">
        <v>0</v>
      </c>
      <c r="EL250" s="500">
        <v>0</v>
      </c>
      <c r="EM250" s="500">
        <v>0</v>
      </c>
      <c r="EN250" s="500">
        <v>0</v>
      </c>
      <c r="EO250">
        <v>6.7</v>
      </c>
      <c r="EP250">
        <v>2074</v>
      </c>
      <c r="EQ250">
        <v>63650000000</v>
      </c>
      <c r="ER250">
        <v>74339944916.666519</v>
      </c>
      <c r="ES250">
        <v>-8301859488.3743811</v>
      </c>
      <c r="ET250">
        <v>4.2626265339999998</v>
      </c>
      <c r="EU250">
        <v>4.6805948890198001</v>
      </c>
      <c r="EV250">
        <v>4.8801111700000002</v>
      </c>
      <c r="EW250">
        <v>28.5739802664922</v>
      </c>
      <c r="EX250">
        <v>0</v>
      </c>
      <c r="EY250">
        <v>0</v>
      </c>
      <c r="EZ250">
        <v>0</v>
      </c>
      <c r="FA250">
        <v>65078800000.000244</v>
      </c>
      <c r="FB250">
        <v>0</v>
      </c>
      <c r="FC250">
        <v>65078800000.000244</v>
      </c>
      <c r="FD250">
        <v>65078800000.000244</v>
      </c>
      <c r="FE250">
        <v>65078800000</v>
      </c>
      <c r="FF250">
        <v>65078800000.000244</v>
      </c>
      <c r="FG250" s="32">
        <f>Bankingbook_SBV[[#This Row],[Mat. Date]]-RPT</f>
        <v>2079</v>
      </c>
      <c r="FH250" s="32">
        <f>IF(Bankingbook_SBV[[#This Row],[Days]]&lt;=0,0,YEARFRAC(RPT,Bankingbook_SBV[[#This Row],[Mat. Date]],3))</f>
        <v>5.6958904109589037</v>
      </c>
      <c r="FI250" s="32" t="str">
        <f>IF(Bankingbook_SBV[[#This Row],[Days (year)]]=0,0,INDEX(Ref!$K$2:$K$13,MATCH(Bankingbook_SBV[[#This Row],[Days (year)]],Ref!$I$2:$I$13,1)))</f>
        <v>7Y</v>
      </c>
      <c r="FJ250" s="32" t="str">
        <f>VLOOKUP(Bankingbook_SBV[[#This Row],[Security Name]],Ref!X:Z,3,0)</f>
        <v>TPCP</v>
      </c>
      <c r="FK250" s="32" t="str">
        <f>VLOOKUP(Bankingbook_SBV[[#This Row],[Security Name]],Ref!X:Y,2,0)</f>
        <v>KBNN</v>
      </c>
      <c r="FL250" s="72">
        <f>IF((Bankingbook_SBV[[#This Row],[Mat. Date]]-RPT)&lt;=0,0,Bankingbook_SBV[[#This Row],[QUANTITY]])</f>
        <v>0</v>
      </c>
      <c r="FM250" s="32">
        <f>IF(Bankingbook_SBV[[#This Row],[Quantity_edited]]=0,0,Bankingbook_SBV[[#This Row],[DURATION]])</f>
        <v>0</v>
      </c>
      <c r="FN250" s="32">
        <f>IF(Bankingbook_SBV[[#This Row],[Quantity_edited]]=0,0,Bankingbook_SBV[[#This Row],[Mod Dur]])</f>
        <v>0</v>
      </c>
      <c r="FO250" s="32">
        <f>IF(Bankingbook_SBV[[#This Row],[Quantity_edited]]=0,0,Bankingbook_SBV[[#This Row],[Cnvx.]])</f>
        <v>0</v>
      </c>
      <c r="FP250" s="32">
        <f>(Bankingbook_SBV[[#This Row],[MARKET_VALUE]]+Bankingbook_SBV[[#This Row],[Accr Int]]*Bankingbook_SBV[[#This Row],[Quantity_edited]])*(-Bankingbook_SBV[[#This Row],[Modified Duration]]*0.0001+0.5*Bankingbook_SBV[[#This Row],[Conv]]*(0.0001^2))</f>
        <v>0</v>
      </c>
      <c r="FQ250" s="32">
        <f>(Bankingbook_SBV[[#This Row],[MARKET_VALUE]]+Bankingbook_SBV[[#This Row],[Accr Int]]*Bankingbook_SBV[[#This Row],[Quantity_edited]])*(-Bankingbook_SBV[[#This Row],[Modified Duration]]*0.01+0.5*Bankingbook_SBV[[#This Row],[Conv]]*(0.01^2))</f>
        <v>0</v>
      </c>
    </row>
    <row r="251" spans="2:173" x14ac:dyDescent="0.3">
      <c r="B251" t="s">
        <v>166</v>
      </c>
      <c r="C251" t="s">
        <v>167</v>
      </c>
      <c r="D251" t="s">
        <v>433</v>
      </c>
      <c r="E251" t="s">
        <v>169</v>
      </c>
      <c r="F251" s="502">
        <v>43950</v>
      </c>
      <c r="G251" t="s">
        <v>3322</v>
      </c>
      <c r="H251"/>
      <c r="I251"/>
      <c r="J251" s="38">
        <v>0</v>
      </c>
      <c r="K251">
        <v>0</v>
      </c>
      <c r="L251">
        <v>0</v>
      </c>
      <c r="M251" s="38">
        <v>0</v>
      </c>
      <c r="N251">
        <v>11.5</v>
      </c>
      <c r="O251">
        <v>0</v>
      </c>
      <c r="P251" s="37">
        <v>92000000000</v>
      </c>
      <c r="Q251" s="37">
        <v>116698409444.44449</v>
      </c>
      <c r="R251" s="37">
        <v>-62099289550.200211</v>
      </c>
      <c r="S251">
        <v>0</v>
      </c>
      <c r="T251" s="70">
        <v>0</v>
      </c>
      <c r="U251">
        <v>0</v>
      </c>
      <c r="V251">
        <v>0</v>
      </c>
      <c r="W251">
        <v>0</v>
      </c>
      <c r="X251" s="38">
        <v>0</v>
      </c>
      <c r="Y251">
        <v>0</v>
      </c>
      <c r="Z251" s="70">
        <v>42118620000</v>
      </c>
      <c r="AA251" s="70">
        <v>0</v>
      </c>
      <c r="AB251" s="70">
        <v>42118620000</v>
      </c>
      <c r="AC251" s="70">
        <v>42118620000</v>
      </c>
      <c r="AD251" s="70">
        <v>42118620000</v>
      </c>
      <c r="AE251" s="70">
        <v>42118620000</v>
      </c>
      <c r="AF251">
        <v>0</v>
      </c>
      <c r="AG251" s="72">
        <f>Tradingbook_MSB[[#This Row],[Mat. Date]]-RPT</f>
        <v>-2302</v>
      </c>
      <c r="AH251" s="71">
        <f>IF(Tradingbook_MSB[[#This Row],[Days]]&lt;=0,0,YEARFRAC(RPT,Tradingbook_MSB[[#This Row],[Mat. Date]],3))</f>
        <v>0</v>
      </c>
      <c r="AI251" s="71">
        <f>IF(Tradingbook_MSB[[#This Row],[Days (year)]]=0,0,INDEX(Ref!$K$2:$K$13,MATCH(Tradingbook_MSB[[#This Row],[Days (year)]],Ref!$I$2:$I$13,1)))</f>
        <v>0</v>
      </c>
      <c r="AJ251" s="120" t="str">
        <f>VLOOKUP(Tradingbook_MSB[[#This Row],[Security Name]],Ref!X:Z,3,0)</f>
        <v>TPCPBL</v>
      </c>
      <c r="AK251" s="120" t="str">
        <f>VLOOKUP(Tradingbook_MSB[[#This Row],[Security Name]],Ref!X:Y,2,0)</f>
        <v>VDB</v>
      </c>
      <c r="AL251" s="71">
        <f>IF((Tradingbook_MSB[[#This Row],[Mat. Date]]-RPT)&lt;=0,0,Tradingbook_MSB[[#This Row],[QUANTITY]])</f>
        <v>0</v>
      </c>
      <c r="AM251" s="71">
        <f>IF(Tradingbook_MSB[[#This Row],[Quantity_edited]]=0,0,Tradingbook_MSB[[#This Row],[DURATION]])</f>
        <v>0</v>
      </c>
      <c r="AN251" s="71">
        <f>IF(Tradingbook_MSB[[#This Row],[Quantity_edited]]=0,0,Tradingbook_MSB[[#This Row],[Mod Dur]])</f>
        <v>0</v>
      </c>
      <c r="AO251" s="71">
        <f>IF(Tradingbook_MSB[[#This Row],[Quantity_edited]]=0,0,Tradingbook_MSB[[#This Row],[Cnvx.]])</f>
        <v>0</v>
      </c>
      <c r="AP251" s="71">
        <f>(Tradingbook_MSB[[#This Row],[MARKET_VALUE]]+Tradingbook_MSB[[#This Row],[Accr Int]]*Tradingbook_MSB[[#This Row],[Quantity_edited]])*(-Tradingbook_MSB[[#This Row],[Modified Duration]]*0.0001+0.5*Tradingbook_MSB[[#This Row],[Conv]]*(0.0001^2))</f>
        <v>0</v>
      </c>
      <c r="AQ251" s="72">
        <f>(Tradingbook_MSB[[#This Row],[MARKET_VALUE]]+Tradingbook_MSB[[#This Row],[Accr Int]]*Tradingbook_MSB[[#This Row],[Quantity_edited]])*(-Tradingbook_MSB[[#This Row],[Modified Duration]]*0.01+0.5*Tradingbook_MSB[[#This Row],[Conv]]*(0.01^2))</f>
        <v>0</v>
      </c>
      <c r="AR251" s="71"/>
      <c r="CL251" t="s">
        <v>166</v>
      </c>
      <c r="CM251" t="s">
        <v>167</v>
      </c>
      <c r="CN251" t="s">
        <v>433</v>
      </c>
      <c r="CO251" t="s">
        <v>169</v>
      </c>
      <c r="CP251" s="35">
        <v>43950</v>
      </c>
      <c r="CQ251" t="s">
        <v>3322</v>
      </c>
      <c r="CR251" t="s">
        <v>174</v>
      </c>
      <c r="CS251" t="s">
        <v>174</v>
      </c>
      <c r="CT251" s="49">
        <v>0</v>
      </c>
      <c r="CU251">
        <v>0</v>
      </c>
      <c r="CV251">
        <v>0</v>
      </c>
      <c r="CW251" s="70">
        <v>0</v>
      </c>
      <c r="CX251">
        <v>11.5</v>
      </c>
      <c r="CY251">
        <v>0</v>
      </c>
      <c r="CZ251">
        <v>92000000000</v>
      </c>
      <c r="DA251">
        <v>116698409444.44449</v>
      </c>
      <c r="DB251">
        <v>-62099289550.200211</v>
      </c>
      <c r="DC251">
        <v>0</v>
      </c>
      <c r="DD251">
        <v>0</v>
      </c>
      <c r="DE251">
        <v>0</v>
      </c>
      <c r="DF251">
        <v>0</v>
      </c>
      <c r="DG251">
        <v>0</v>
      </c>
      <c r="DH251">
        <v>0</v>
      </c>
      <c r="DI251">
        <v>0</v>
      </c>
      <c r="DJ251" s="500">
        <v>42118620000</v>
      </c>
      <c r="DK251" s="500">
        <v>0</v>
      </c>
      <c r="DL251" s="37">
        <v>42118620000</v>
      </c>
      <c r="DM251" s="37">
        <v>42118620000</v>
      </c>
      <c r="DN251" s="37">
        <v>42118620000</v>
      </c>
      <c r="DO251" s="37">
        <v>42118620000</v>
      </c>
      <c r="DP251" s="32">
        <f>Tradingbook_SBV[[#This Row],[Mat. Date]]-RPT</f>
        <v>-2302</v>
      </c>
      <c r="DQ251" s="32">
        <f>IF(Tradingbook_SBV[[#This Row],[Days]]&lt;=0,0,YEARFRAC(RPT,Tradingbook_SBV[[#This Row],[Mat. Date]],3))</f>
        <v>0</v>
      </c>
      <c r="DR251" s="32">
        <f>IF(Tradingbook_SBV[[#This Row],[Days (year)]]=0,0,INDEX(Ref!$K$2:$K$13,MATCH(Tradingbook_SBV[[#This Row],[Days (year)]],Ref!$I$2:$I$13,1)))</f>
        <v>0</v>
      </c>
      <c r="DS251" s="32" t="str">
        <f>VLOOKUP(Tradingbook_SBV[[#This Row],[Security Name]],Ref!X:Z,3,0)</f>
        <v>TPCPBL</v>
      </c>
      <c r="DT251" s="32" t="str">
        <f>VLOOKUP(Tradingbook_SBV[[#This Row],[Security Name]],Ref!X:Y,2,0)</f>
        <v>VDB</v>
      </c>
      <c r="DU251" s="71">
        <f>IF((Tradingbook_SBV[[#This Row],[Mat. Date]]-RPT)&lt;=0,0,Tradingbook_SBV[[#This Row],[QUANTITY]])</f>
        <v>0</v>
      </c>
      <c r="DV251" s="71">
        <f>IF(Tradingbook_SBV[[#This Row],[Quantity_edited]]=0,0,Tradingbook_SBV[[#This Row],[DURATION]])</f>
        <v>0</v>
      </c>
      <c r="DW251" s="71">
        <f>IF(Tradingbook_SBV[[#This Row],[Quantity_edited]]=0,0,Tradingbook_SBV[[#This Row],[Mod Dur]])</f>
        <v>0</v>
      </c>
      <c r="DX251" s="71">
        <f>IF(Tradingbook_SBV[[#This Row],[Quantity_edited]]=0,0,Tradingbook_SBV[[#This Row],[Cnvx.]])</f>
        <v>0</v>
      </c>
      <c r="DY251" s="71">
        <f>(Tradingbook_SBV[[#This Row],[MARKET_VALUE]]+Tradingbook_SBV[[#This Row],[Accr Int]]*Tradingbook_SBV[[#This Row],[Quantity_edited]])*(-Tradingbook_SBV[[#This Row],[Modified Duration]]*0.0001+0.5*Tradingbook_SBV[[#This Row],[Conv]]*(0.0001^2))</f>
        <v>0</v>
      </c>
      <c r="DZ251" s="71">
        <f>(Tradingbook_SBV[[#This Row],[MARKET_VALUE]]+Tradingbook_SBV[[#This Row],[Accr Int]]*Tradingbook_SBV[[#This Row],[Quantity_edited]])*(-Tradingbook_SBV[[#This Row],[Modified Duration]]*0.01+0.5*Tradingbook_SBV[[#This Row],[Conv]]*(0.01^2))</f>
        <v>0</v>
      </c>
      <c r="EC251" t="s">
        <v>166</v>
      </c>
      <c r="ED251" t="s">
        <v>3300</v>
      </c>
      <c r="EE251" t="s">
        <v>652</v>
      </c>
      <c r="EF251" t="s">
        <v>169</v>
      </c>
      <c r="EG251" s="35" t="s">
        <v>3817</v>
      </c>
      <c r="EH251" t="s">
        <v>3322</v>
      </c>
      <c r="EI251" s="500">
        <v>112093</v>
      </c>
      <c r="EJ251" s="500">
        <v>112093</v>
      </c>
      <c r="EK251" s="500">
        <v>0</v>
      </c>
      <c r="EL251" s="500">
        <v>0</v>
      </c>
      <c r="EM251" s="500">
        <v>0</v>
      </c>
      <c r="EN251" s="500">
        <v>0</v>
      </c>
      <c r="EO251">
        <v>6.7</v>
      </c>
      <c r="EP251">
        <v>1946</v>
      </c>
      <c r="EQ251">
        <v>13400000000</v>
      </c>
      <c r="ER251">
        <v>15552491319.444374</v>
      </c>
      <c r="ES251">
        <v>-3356768719.680316</v>
      </c>
      <c r="ET251">
        <v>4.2633108330000002</v>
      </c>
      <c r="EU251">
        <v>4.6989431671699</v>
      </c>
      <c r="EV251">
        <v>4.8992737200000001</v>
      </c>
      <c r="EW251">
        <v>28.763656137008901</v>
      </c>
      <c r="EX251">
        <v>0</v>
      </c>
      <c r="EY251">
        <v>0</v>
      </c>
      <c r="EZ251">
        <v>0</v>
      </c>
      <c r="FA251">
        <v>5071340000</v>
      </c>
      <c r="FB251">
        <v>0</v>
      </c>
      <c r="FC251">
        <v>5071340000</v>
      </c>
      <c r="FD251">
        <v>5071340000</v>
      </c>
      <c r="FE251">
        <v>5071340000</v>
      </c>
      <c r="FF251">
        <v>5071340000</v>
      </c>
      <c r="FG251" s="32">
        <f>Bankingbook_SBV[[#This Row],[Mat. Date]]-RPT</f>
        <v>2086</v>
      </c>
      <c r="FH251" s="32">
        <f>IF(Bankingbook_SBV[[#This Row],[Days]]&lt;=0,0,YEARFRAC(RPT,Bankingbook_SBV[[#This Row],[Mat. Date]],3))</f>
        <v>5.7150684931506852</v>
      </c>
      <c r="FI251" s="32" t="str">
        <f>IF(Bankingbook_SBV[[#This Row],[Days (year)]]=0,0,INDEX(Ref!$K$2:$K$13,MATCH(Bankingbook_SBV[[#This Row],[Days (year)]],Ref!$I$2:$I$13,1)))</f>
        <v>7Y</v>
      </c>
      <c r="FJ251" s="32" t="str">
        <f>VLOOKUP(Bankingbook_SBV[[#This Row],[Security Name]],Ref!X:Z,3,0)</f>
        <v>TPCP</v>
      </c>
      <c r="FK251" s="32" t="str">
        <f>VLOOKUP(Bankingbook_SBV[[#This Row],[Security Name]],Ref!X:Y,2,0)</f>
        <v>KBNN</v>
      </c>
      <c r="FL251" s="72">
        <f>IF((Bankingbook_SBV[[#This Row],[Mat. Date]]-RPT)&lt;=0,0,Bankingbook_SBV[[#This Row],[QUANTITY]])</f>
        <v>0</v>
      </c>
      <c r="FM251" s="32">
        <f>IF(Bankingbook_SBV[[#This Row],[Quantity_edited]]=0,0,Bankingbook_SBV[[#This Row],[DURATION]])</f>
        <v>0</v>
      </c>
      <c r="FN251" s="32">
        <f>IF(Bankingbook_SBV[[#This Row],[Quantity_edited]]=0,0,Bankingbook_SBV[[#This Row],[Mod Dur]])</f>
        <v>0</v>
      </c>
      <c r="FO251" s="32">
        <f>IF(Bankingbook_SBV[[#This Row],[Quantity_edited]]=0,0,Bankingbook_SBV[[#This Row],[Cnvx.]])</f>
        <v>0</v>
      </c>
      <c r="FP251" s="32">
        <f>(Bankingbook_SBV[[#This Row],[MARKET_VALUE]]+Bankingbook_SBV[[#This Row],[Accr Int]]*Bankingbook_SBV[[#This Row],[Quantity_edited]])*(-Bankingbook_SBV[[#This Row],[Modified Duration]]*0.0001+0.5*Bankingbook_SBV[[#This Row],[Conv]]*(0.0001^2))</f>
        <v>0</v>
      </c>
      <c r="FQ251" s="32">
        <f>(Bankingbook_SBV[[#This Row],[MARKET_VALUE]]+Bankingbook_SBV[[#This Row],[Accr Int]]*Bankingbook_SBV[[#This Row],[Quantity_edited]])*(-Bankingbook_SBV[[#This Row],[Modified Duration]]*0.01+0.5*Bankingbook_SBV[[#This Row],[Conv]]*(0.01^2))</f>
        <v>0</v>
      </c>
    </row>
    <row r="252" spans="2:173" x14ac:dyDescent="0.3">
      <c r="B252" t="s">
        <v>166</v>
      </c>
      <c r="C252" t="s">
        <v>167</v>
      </c>
      <c r="D252" t="s">
        <v>434</v>
      </c>
      <c r="E252" t="s">
        <v>169</v>
      </c>
      <c r="F252" s="502">
        <v>43975</v>
      </c>
      <c r="G252" t="s">
        <v>3322</v>
      </c>
      <c r="H252"/>
      <c r="I252"/>
      <c r="J252" s="38">
        <v>0</v>
      </c>
      <c r="K252">
        <v>0</v>
      </c>
      <c r="L252">
        <v>0</v>
      </c>
      <c r="M252" s="38">
        <v>0</v>
      </c>
      <c r="N252">
        <v>11.6</v>
      </c>
      <c r="O252">
        <v>0</v>
      </c>
      <c r="P252" s="37">
        <v>23200000000</v>
      </c>
      <c r="Q252" s="37">
        <v>27291342555.555561</v>
      </c>
      <c r="R252" s="37">
        <v>-14554815130.623636</v>
      </c>
      <c r="S252">
        <v>0</v>
      </c>
      <c r="T252" s="70">
        <v>0</v>
      </c>
      <c r="U252">
        <v>0</v>
      </c>
      <c r="V252">
        <v>0</v>
      </c>
      <c r="W252">
        <v>0</v>
      </c>
      <c r="X252" s="38">
        <v>0</v>
      </c>
      <c r="Y252">
        <v>0</v>
      </c>
      <c r="Z252" s="70">
        <v>-1410430000</v>
      </c>
      <c r="AA252" s="70">
        <v>0</v>
      </c>
      <c r="AB252" s="70">
        <v>-1410430000</v>
      </c>
      <c r="AC252" s="70">
        <v>-1410430000</v>
      </c>
      <c r="AD252" s="70">
        <v>-1410430000</v>
      </c>
      <c r="AE252" s="70">
        <v>-1410430000</v>
      </c>
      <c r="AF252">
        <v>0</v>
      </c>
      <c r="AG252" s="72">
        <f>Tradingbook_MSB[[#This Row],[Mat. Date]]-RPT</f>
        <v>-2277</v>
      </c>
      <c r="AH252" s="71">
        <f>IF(Tradingbook_MSB[[#This Row],[Days]]&lt;=0,0,YEARFRAC(RPT,Tradingbook_MSB[[#This Row],[Mat. Date]],3))</f>
        <v>0</v>
      </c>
      <c r="AI252" s="71">
        <f>IF(Tradingbook_MSB[[#This Row],[Days (year)]]=0,0,INDEX(Ref!$K$2:$K$13,MATCH(Tradingbook_MSB[[#This Row],[Days (year)]],Ref!$I$2:$I$13,1)))</f>
        <v>0</v>
      </c>
      <c r="AJ252" s="120" t="str">
        <f>VLOOKUP(Tradingbook_MSB[[#This Row],[Security Name]],Ref!X:Z,3,0)</f>
        <v>TPCPBL</v>
      </c>
      <c r="AK252" s="120" t="str">
        <f>VLOOKUP(Tradingbook_MSB[[#This Row],[Security Name]],Ref!X:Y,2,0)</f>
        <v>VDB</v>
      </c>
      <c r="AL252" s="71">
        <f>IF((Tradingbook_MSB[[#This Row],[Mat. Date]]-RPT)&lt;=0,0,Tradingbook_MSB[[#This Row],[QUANTITY]])</f>
        <v>0</v>
      </c>
      <c r="AM252" s="71">
        <f>IF(Tradingbook_MSB[[#This Row],[Quantity_edited]]=0,0,Tradingbook_MSB[[#This Row],[DURATION]])</f>
        <v>0</v>
      </c>
      <c r="AN252" s="71">
        <f>IF(Tradingbook_MSB[[#This Row],[Quantity_edited]]=0,0,Tradingbook_MSB[[#This Row],[Mod Dur]])</f>
        <v>0</v>
      </c>
      <c r="AO252" s="71">
        <f>IF(Tradingbook_MSB[[#This Row],[Quantity_edited]]=0,0,Tradingbook_MSB[[#This Row],[Cnvx.]])</f>
        <v>0</v>
      </c>
      <c r="AP252" s="71">
        <f>(Tradingbook_MSB[[#This Row],[MARKET_VALUE]]+Tradingbook_MSB[[#This Row],[Accr Int]]*Tradingbook_MSB[[#This Row],[Quantity_edited]])*(-Tradingbook_MSB[[#This Row],[Modified Duration]]*0.0001+0.5*Tradingbook_MSB[[#This Row],[Conv]]*(0.0001^2))</f>
        <v>0</v>
      </c>
      <c r="AQ252" s="72">
        <f>(Tradingbook_MSB[[#This Row],[MARKET_VALUE]]+Tradingbook_MSB[[#This Row],[Accr Int]]*Tradingbook_MSB[[#This Row],[Quantity_edited]])*(-Tradingbook_MSB[[#This Row],[Modified Duration]]*0.01+0.5*Tradingbook_MSB[[#This Row],[Conv]]*(0.01^2))</f>
        <v>0</v>
      </c>
      <c r="AR252" s="71"/>
      <c r="CL252" t="s">
        <v>166</v>
      </c>
      <c r="CM252" t="s">
        <v>167</v>
      </c>
      <c r="CN252" t="s">
        <v>434</v>
      </c>
      <c r="CO252" t="s">
        <v>169</v>
      </c>
      <c r="CP252" s="35">
        <v>43975</v>
      </c>
      <c r="CQ252" t="s">
        <v>3322</v>
      </c>
      <c r="CR252" t="s">
        <v>174</v>
      </c>
      <c r="CS252" t="s">
        <v>174</v>
      </c>
      <c r="CT252" s="49">
        <v>0</v>
      </c>
      <c r="CU252">
        <v>0</v>
      </c>
      <c r="CV252">
        <v>0</v>
      </c>
      <c r="CW252" s="70">
        <v>0</v>
      </c>
      <c r="CX252">
        <v>11.6</v>
      </c>
      <c r="CY252">
        <v>0</v>
      </c>
      <c r="CZ252">
        <v>23200000000</v>
      </c>
      <c r="DA252">
        <v>27291342555.555561</v>
      </c>
      <c r="DB252">
        <v>-13609786246.595858</v>
      </c>
      <c r="DC252">
        <v>0</v>
      </c>
      <c r="DD252">
        <v>0</v>
      </c>
      <c r="DE252">
        <v>0</v>
      </c>
      <c r="DF252">
        <v>0</v>
      </c>
      <c r="DG252">
        <v>0</v>
      </c>
      <c r="DH252">
        <v>0</v>
      </c>
      <c r="DI252">
        <v>0</v>
      </c>
      <c r="DJ252" s="500">
        <v>-1921930000</v>
      </c>
      <c r="DK252" s="500">
        <v>0</v>
      </c>
      <c r="DL252" s="37">
        <v>-1921930000</v>
      </c>
      <c r="DM252" s="37">
        <v>-1921930000</v>
      </c>
      <c r="DN252" s="37">
        <v>-1921930000</v>
      </c>
      <c r="DO252" s="37">
        <v>-1921930000</v>
      </c>
      <c r="DP252" s="32">
        <f>Tradingbook_SBV[[#This Row],[Mat. Date]]-RPT</f>
        <v>-2277</v>
      </c>
      <c r="DQ252" s="32">
        <f>IF(Tradingbook_SBV[[#This Row],[Days]]&lt;=0,0,YEARFRAC(RPT,Tradingbook_SBV[[#This Row],[Mat. Date]],3))</f>
        <v>0</v>
      </c>
      <c r="DR252" s="32">
        <f>IF(Tradingbook_SBV[[#This Row],[Days (year)]]=0,0,INDEX(Ref!$K$2:$K$13,MATCH(Tradingbook_SBV[[#This Row],[Days (year)]],Ref!$I$2:$I$13,1)))</f>
        <v>0</v>
      </c>
      <c r="DS252" s="32" t="str">
        <f>VLOOKUP(Tradingbook_SBV[[#This Row],[Security Name]],Ref!X:Z,3,0)</f>
        <v>TPCPBL</v>
      </c>
      <c r="DT252" s="32" t="str">
        <f>VLOOKUP(Tradingbook_SBV[[#This Row],[Security Name]],Ref!X:Y,2,0)</f>
        <v>VDB</v>
      </c>
      <c r="DU252" s="71">
        <f>IF((Tradingbook_SBV[[#This Row],[Mat. Date]]-RPT)&lt;=0,0,Tradingbook_SBV[[#This Row],[QUANTITY]])</f>
        <v>0</v>
      </c>
      <c r="DV252" s="71">
        <f>IF(Tradingbook_SBV[[#This Row],[Quantity_edited]]=0,0,Tradingbook_SBV[[#This Row],[DURATION]])</f>
        <v>0</v>
      </c>
      <c r="DW252" s="71">
        <f>IF(Tradingbook_SBV[[#This Row],[Quantity_edited]]=0,0,Tradingbook_SBV[[#This Row],[Mod Dur]])</f>
        <v>0</v>
      </c>
      <c r="DX252" s="71">
        <f>IF(Tradingbook_SBV[[#This Row],[Quantity_edited]]=0,0,Tradingbook_SBV[[#This Row],[Cnvx.]])</f>
        <v>0</v>
      </c>
      <c r="DY252" s="71">
        <f>(Tradingbook_SBV[[#This Row],[MARKET_VALUE]]+Tradingbook_SBV[[#This Row],[Accr Int]]*Tradingbook_SBV[[#This Row],[Quantity_edited]])*(-Tradingbook_SBV[[#This Row],[Modified Duration]]*0.0001+0.5*Tradingbook_SBV[[#This Row],[Conv]]*(0.0001^2))</f>
        <v>0</v>
      </c>
      <c r="DZ252" s="71">
        <f>(Tradingbook_SBV[[#This Row],[MARKET_VALUE]]+Tradingbook_SBV[[#This Row],[Accr Int]]*Tradingbook_SBV[[#This Row],[Quantity_edited]])*(-Tradingbook_SBV[[#This Row],[Modified Duration]]*0.01+0.5*Tradingbook_SBV[[#This Row],[Conv]]*(0.01^2))</f>
        <v>0</v>
      </c>
      <c r="EC252" t="s">
        <v>166</v>
      </c>
      <c r="ED252" t="s">
        <v>3300</v>
      </c>
      <c r="EE252" t="s">
        <v>653</v>
      </c>
      <c r="EF252" t="s">
        <v>169</v>
      </c>
      <c r="EG252" s="35" t="s">
        <v>3818</v>
      </c>
      <c r="EH252" t="s">
        <v>3322</v>
      </c>
      <c r="EI252" s="500">
        <v>111498</v>
      </c>
      <c r="EJ252" s="500">
        <v>111498</v>
      </c>
      <c r="EK252" s="500">
        <v>0</v>
      </c>
      <c r="EL252" s="500">
        <v>0</v>
      </c>
      <c r="EM252" s="500">
        <v>0</v>
      </c>
      <c r="EN252" s="500">
        <v>0</v>
      </c>
      <c r="EO252">
        <v>7.1</v>
      </c>
      <c r="EP252">
        <v>1692</v>
      </c>
      <c r="EQ252">
        <v>0</v>
      </c>
      <c r="ER252">
        <v>0</v>
      </c>
      <c r="ES252">
        <v>-10683958.194454193</v>
      </c>
      <c r="ET252">
        <v>4.7650529349999999</v>
      </c>
      <c r="EU252">
        <v>4.6835754172717996</v>
      </c>
      <c r="EV252">
        <v>4.9067502699999999</v>
      </c>
      <c r="EW252">
        <v>28.651923589951799</v>
      </c>
      <c r="EX252">
        <v>0</v>
      </c>
      <c r="EY252">
        <v>0</v>
      </c>
      <c r="EZ252">
        <v>0</v>
      </c>
      <c r="FA252">
        <v>-52000000</v>
      </c>
      <c r="FB252">
        <v>0</v>
      </c>
      <c r="FC252">
        <v>-52000000</v>
      </c>
      <c r="FD252">
        <v>-52000000</v>
      </c>
      <c r="FE252">
        <v>-52000000</v>
      </c>
      <c r="FF252">
        <v>-52000000</v>
      </c>
      <c r="FG252" s="32">
        <f>Bankingbook_SBV[[#This Row],[Mat. Date]]-RPT</f>
        <v>2105</v>
      </c>
      <c r="FH252" s="32">
        <f>IF(Bankingbook_SBV[[#This Row],[Days]]&lt;=0,0,YEARFRAC(RPT,Bankingbook_SBV[[#This Row],[Mat. Date]],3))</f>
        <v>5.7671232876712333</v>
      </c>
      <c r="FI252" s="32" t="str">
        <f>IF(Bankingbook_SBV[[#This Row],[Days (year)]]=0,0,INDEX(Ref!$K$2:$K$13,MATCH(Bankingbook_SBV[[#This Row],[Days (year)]],Ref!$I$2:$I$13,1)))</f>
        <v>7Y</v>
      </c>
      <c r="FJ252" s="32" t="str">
        <f>VLOOKUP(Bankingbook_SBV[[#This Row],[Security Name]],Ref!X:Z,3,0)</f>
        <v>TPCPBL</v>
      </c>
      <c r="FK252" s="32" t="str">
        <f>VLOOKUP(Bankingbook_SBV[[#This Row],[Security Name]],Ref!X:Y,2,0)</f>
        <v>VBS</v>
      </c>
      <c r="FL252" s="72">
        <f>IF((Bankingbook_SBV[[#This Row],[Mat. Date]]-RPT)&lt;=0,0,Bankingbook_SBV[[#This Row],[QUANTITY]])</f>
        <v>0</v>
      </c>
      <c r="FM252" s="32">
        <f>IF(Bankingbook_SBV[[#This Row],[Quantity_edited]]=0,0,Bankingbook_SBV[[#This Row],[DURATION]])</f>
        <v>0</v>
      </c>
      <c r="FN252" s="32">
        <f>IF(Bankingbook_SBV[[#This Row],[Quantity_edited]]=0,0,Bankingbook_SBV[[#This Row],[Mod Dur]])</f>
        <v>0</v>
      </c>
      <c r="FO252" s="32">
        <f>IF(Bankingbook_SBV[[#This Row],[Quantity_edited]]=0,0,Bankingbook_SBV[[#This Row],[Cnvx.]])</f>
        <v>0</v>
      </c>
      <c r="FP252" s="32">
        <f>(Bankingbook_SBV[[#This Row],[MARKET_VALUE]]+Bankingbook_SBV[[#This Row],[Accr Int]]*Bankingbook_SBV[[#This Row],[Quantity_edited]])*(-Bankingbook_SBV[[#This Row],[Modified Duration]]*0.0001+0.5*Bankingbook_SBV[[#This Row],[Conv]]*(0.0001^2))</f>
        <v>0</v>
      </c>
      <c r="FQ252" s="32">
        <f>(Bankingbook_SBV[[#This Row],[MARKET_VALUE]]+Bankingbook_SBV[[#This Row],[Accr Int]]*Bankingbook_SBV[[#This Row],[Quantity_edited]])*(-Bankingbook_SBV[[#This Row],[Modified Duration]]*0.01+0.5*Bankingbook_SBV[[#This Row],[Conv]]*(0.01^2))</f>
        <v>0</v>
      </c>
    </row>
    <row r="253" spans="2:173" x14ac:dyDescent="0.3">
      <c r="B253" t="s">
        <v>166</v>
      </c>
      <c r="C253" t="s">
        <v>167</v>
      </c>
      <c r="D253" t="s">
        <v>435</v>
      </c>
      <c r="E253" t="s">
        <v>169</v>
      </c>
      <c r="F253" s="502">
        <v>43979</v>
      </c>
      <c r="G253" t="s">
        <v>3322</v>
      </c>
      <c r="H253"/>
      <c r="I253"/>
      <c r="J253" s="38">
        <v>0</v>
      </c>
      <c r="K253">
        <v>0</v>
      </c>
      <c r="L253">
        <v>0</v>
      </c>
      <c r="M253" s="38">
        <v>0</v>
      </c>
      <c r="N253">
        <v>11.5</v>
      </c>
      <c r="O253">
        <v>0</v>
      </c>
      <c r="P253" s="37">
        <v>138031000000</v>
      </c>
      <c r="Q253" s="37">
        <v>153369137197.0835</v>
      </c>
      <c r="R253" s="37">
        <v>-53128327116.097343</v>
      </c>
      <c r="S253">
        <v>0</v>
      </c>
      <c r="T253" s="70">
        <v>0</v>
      </c>
      <c r="U253">
        <v>0</v>
      </c>
      <c r="V253">
        <v>0</v>
      </c>
      <c r="W253">
        <v>0</v>
      </c>
      <c r="X253" s="38">
        <v>0</v>
      </c>
      <c r="Y253">
        <v>0</v>
      </c>
      <c r="Z253" s="70">
        <v>-34391320000</v>
      </c>
      <c r="AA253" s="70">
        <v>0</v>
      </c>
      <c r="AB253" s="70">
        <v>-34391320000</v>
      </c>
      <c r="AC253" s="70">
        <v>-34391320000</v>
      </c>
      <c r="AD253" s="70">
        <v>-34391320000</v>
      </c>
      <c r="AE253" s="70">
        <v>-34391320000</v>
      </c>
      <c r="AF253">
        <v>0</v>
      </c>
      <c r="AG253" s="72">
        <f>Tradingbook_MSB[[#This Row],[Mat. Date]]-RPT</f>
        <v>-2273</v>
      </c>
      <c r="AH253" s="71">
        <f>IF(Tradingbook_MSB[[#This Row],[Days]]&lt;=0,0,YEARFRAC(RPT,Tradingbook_MSB[[#This Row],[Mat. Date]],3))</f>
        <v>0</v>
      </c>
      <c r="AI253" s="71">
        <f>IF(Tradingbook_MSB[[#This Row],[Days (year)]]=0,0,INDEX(Ref!$K$2:$K$13,MATCH(Tradingbook_MSB[[#This Row],[Days (year)]],Ref!$I$2:$I$13,1)))</f>
        <v>0</v>
      </c>
      <c r="AJ253" s="120" t="str">
        <f>VLOOKUP(Tradingbook_MSB[[#This Row],[Security Name]],Ref!X:Z,3,0)</f>
        <v>TPCPBL</v>
      </c>
      <c r="AK253" s="120" t="str">
        <f>VLOOKUP(Tradingbook_MSB[[#This Row],[Security Name]],Ref!X:Y,2,0)</f>
        <v>VDB</v>
      </c>
      <c r="AL253" s="71">
        <f>IF((Tradingbook_MSB[[#This Row],[Mat. Date]]-RPT)&lt;=0,0,Tradingbook_MSB[[#This Row],[QUANTITY]])</f>
        <v>0</v>
      </c>
      <c r="AM253" s="71">
        <f>IF(Tradingbook_MSB[[#This Row],[Quantity_edited]]=0,0,Tradingbook_MSB[[#This Row],[DURATION]])</f>
        <v>0</v>
      </c>
      <c r="AN253" s="71">
        <f>IF(Tradingbook_MSB[[#This Row],[Quantity_edited]]=0,0,Tradingbook_MSB[[#This Row],[Mod Dur]])</f>
        <v>0</v>
      </c>
      <c r="AO253" s="71">
        <f>IF(Tradingbook_MSB[[#This Row],[Quantity_edited]]=0,0,Tradingbook_MSB[[#This Row],[Cnvx.]])</f>
        <v>0</v>
      </c>
      <c r="AP253" s="71">
        <f>(Tradingbook_MSB[[#This Row],[MARKET_VALUE]]+Tradingbook_MSB[[#This Row],[Accr Int]]*Tradingbook_MSB[[#This Row],[Quantity_edited]])*(-Tradingbook_MSB[[#This Row],[Modified Duration]]*0.0001+0.5*Tradingbook_MSB[[#This Row],[Conv]]*(0.0001^2))</f>
        <v>0</v>
      </c>
      <c r="AQ253" s="72">
        <f>(Tradingbook_MSB[[#This Row],[MARKET_VALUE]]+Tradingbook_MSB[[#This Row],[Accr Int]]*Tradingbook_MSB[[#This Row],[Quantity_edited]])*(-Tradingbook_MSB[[#This Row],[Modified Duration]]*0.01+0.5*Tradingbook_MSB[[#This Row],[Conv]]*(0.01^2))</f>
        <v>0</v>
      </c>
      <c r="AR253" s="71"/>
      <c r="CL253" t="s">
        <v>166</v>
      </c>
      <c r="CM253" t="s">
        <v>167</v>
      </c>
      <c r="CN253" t="s">
        <v>435</v>
      </c>
      <c r="CO253" t="s">
        <v>169</v>
      </c>
      <c r="CP253" s="35">
        <v>43979</v>
      </c>
      <c r="CQ253" t="s">
        <v>3322</v>
      </c>
      <c r="CR253" t="s">
        <v>174</v>
      </c>
      <c r="CS253" t="s">
        <v>174</v>
      </c>
      <c r="CT253" s="49">
        <v>0</v>
      </c>
      <c r="CU253">
        <v>0</v>
      </c>
      <c r="CV253">
        <v>0</v>
      </c>
      <c r="CW253" s="70">
        <v>0</v>
      </c>
      <c r="CX253">
        <v>11.5</v>
      </c>
      <c r="CY253">
        <v>0</v>
      </c>
      <c r="CZ253">
        <v>138031000000</v>
      </c>
      <c r="DA253">
        <v>153369137197.0835</v>
      </c>
      <c r="DB253">
        <v>-44630129179.986191</v>
      </c>
      <c r="DC253">
        <v>0</v>
      </c>
      <c r="DD253">
        <v>0</v>
      </c>
      <c r="DE253">
        <v>0</v>
      </c>
      <c r="DF253">
        <v>0</v>
      </c>
      <c r="DG253">
        <v>0</v>
      </c>
      <c r="DH253">
        <v>0</v>
      </c>
      <c r="DI253">
        <v>0</v>
      </c>
      <c r="DJ253" s="500">
        <v>-38373320000</v>
      </c>
      <c r="DK253" s="500">
        <v>0</v>
      </c>
      <c r="DL253" s="37">
        <v>-38373320000</v>
      </c>
      <c r="DM253" s="37">
        <v>-38373320000</v>
      </c>
      <c r="DN253" s="37">
        <v>-38373320000</v>
      </c>
      <c r="DO253" s="37">
        <v>-38373320000</v>
      </c>
      <c r="DP253" s="32">
        <f>Tradingbook_SBV[[#This Row],[Mat. Date]]-RPT</f>
        <v>-2273</v>
      </c>
      <c r="DQ253" s="32">
        <f>IF(Tradingbook_SBV[[#This Row],[Days]]&lt;=0,0,YEARFRAC(RPT,Tradingbook_SBV[[#This Row],[Mat. Date]],3))</f>
        <v>0</v>
      </c>
      <c r="DR253" s="32">
        <f>IF(Tradingbook_SBV[[#This Row],[Days (year)]]=0,0,INDEX(Ref!$K$2:$K$13,MATCH(Tradingbook_SBV[[#This Row],[Days (year)]],Ref!$I$2:$I$13,1)))</f>
        <v>0</v>
      </c>
      <c r="DS253" s="32" t="str">
        <f>VLOOKUP(Tradingbook_SBV[[#This Row],[Security Name]],Ref!X:Z,3,0)</f>
        <v>TPCPBL</v>
      </c>
      <c r="DT253" s="32" t="str">
        <f>VLOOKUP(Tradingbook_SBV[[#This Row],[Security Name]],Ref!X:Y,2,0)</f>
        <v>VDB</v>
      </c>
      <c r="DU253" s="71">
        <f>IF((Tradingbook_SBV[[#This Row],[Mat. Date]]-RPT)&lt;=0,0,Tradingbook_SBV[[#This Row],[QUANTITY]])</f>
        <v>0</v>
      </c>
      <c r="DV253" s="71">
        <f>IF(Tradingbook_SBV[[#This Row],[Quantity_edited]]=0,0,Tradingbook_SBV[[#This Row],[DURATION]])</f>
        <v>0</v>
      </c>
      <c r="DW253" s="71">
        <f>IF(Tradingbook_SBV[[#This Row],[Quantity_edited]]=0,0,Tradingbook_SBV[[#This Row],[Mod Dur]])</f>
        <v>0</v>
      </c>
      <c r="DX253" s="71">
        <f>IF(Tradingbook_SBV[[#This Row],[Quantity_edited]]=0,0,Tradingbook_SBV[[#This Row],[Cnvx.]])</f>
        <v>0</v>
      </c>
      <c r="DY253" s="71">
        <f>(Tradingbook_SBV[[#This Row],[MARKET_VALUE]]+Tradingbook_SBV[[#This Row],[Accr Int]]*Tradingbook_SBV[[#This Row],[Quantity_edited]])*(-Tradingbook_SBV[[#This Row],[Modified Duration]]*0.0001+0.5*Tradingbook_SBV[[#This Row],[Conv]]*(0.0001^2))</f>
        <v>0</v>
      </c>
      <c r="DZ253" s="71">
        <f>(Tradingbook_SBV[[#This Row],[MARKET_VALUE]]+Tradingbook_SBV[[#This Row],[Accr Int]]*Tradingbook_SBV[[#This Row],[Quantity_edited]])*(-Tradingbook_SBV[[#This Row],[Modified Duration]]*0.01+0.5*Tradingbook_SBV[[#This Row],[Conv]]*(0.01^2))</f>
        <v>0</v>
      </c>
      <c r="EC253" t="s">
        <v>166</v>
      </c>
      <c r="ED253" t="s">
        <v>3300</v>
      </c>
      <c r="EE253" t="s">
        <v>654</v>
      </c>
      <c r="EF253" t="s">
        <v>169</v>
      </c>
      <c r="EG253" s="35" t="s">
        <v>3819</v>
      </c>
      <c r="EH253" t="s">
        <v>3322</v>
      </c>
      <c r="EI253" s="500">
        <v>110540</v>
      </c>
      <c r="EJ253" s="500">
        <v>110540</v>
      </c>
      <c r="EK253" s="500">
        <v>0</v>
      </c>
      <c r="EL253" s="500">
        <v>0</v>
      </c>
      <c r="EM253" s="500">
        <v>0</v>
      </c>
      <c r="EN253" s="500">
        <v>0</v>
      </c>
      <c r="EO253">
        <v>6.9</v>
      </c>
      <c r="EP253">
        <v>1512</v>
      </c>
      <c r="EQ253">
        <v>0</v>
      </c>
      <c r="ER253">
        <v>0</v>
      </c>
      <c r="ES253">
        <v>-4645802.0833320618</v>
      </c>
      <c r="ET253">
        <v>4.7657521689999998</v>
      </c>
      <c r="EU253">
        <v>4.7175077344887999</v>
      </c>
      <c r="EV253">
        <v>4.9423324600000003</v>
      </c>
      <c r="EW253">
        <v>28.972705414920799</v>
      </c>
      <c r="EX253">
        <v>0</v>
      </c>
      <c r="EY253">
        <v>0</v>
      </c>
      <c r="EZ253">
        <v>0</v>
      </c>
      <c r="FA253">
        <v>-88000000</v>
      </c>
      <c r="FB253">
        <v>0</v>
      </c>
      <c r="FC253">
        <v>-88000000</v>
      </c>
      <c r="FD253">
        <v>-88000000</v>
      </c>
      <c r="FE253">
        <v>-88000000</v>
      </c>
      <c r="FF253">
        <v>-88000000</v>
      </c>
      <c r="FG253" s="32">
        <f>Bankingbook_SBV[[#This Row],[Mat. Date]]-RPT</f>
        <v>2112</v>
      </c>
      <c r="FH253" s="32">
        <f>IF(Bankingbook_SBV[[#This Row],[Days]]&lt;=0,0,YEARFRAC(RPT,Bankingbook_SBV[[#This Row],[Mat. Date]],3))</f>
        <v>5.7863013698630139</v>
      </c>
      <c r="FI253" s="32" t="str">
        <f>IF(Bankingbook_SBV[[#This Row],[Days (year)]]=0,0,INDEX(Ref!$K$2:$K$13,MATCH(Bankingbook_SBV[[#This Row],[Days (year)]],Ref!$I$2:$I$13,1)))</f>
        <v>7Y</v>
      </c>
      <c r="FJ253" s="32" t="str">
        <f>VLOOKUP(Bankingbook_SBV[[#This Row],[Security Name]],Ref!X:Z,3,0)</f>
        <v>TPCPBL</v>
      </c>
      <c r="FK253" s="32" t="str">
        <f>VLOOKUP(Bankingbook_SBV[[#This Row],[Security Name]],Ref!X:Y,2,0)</f>
        <v>VBS</v>
      </c>
      <c r="FL253" s="72">
        <f>IF((Bankingbook_SBV[[#This Row],[Mat. Date]]-RPT)&lt;=0,0,Bankingbook_SBV[[#This Row],[QUANTITY]])</f>
        <v>0</v>
      </c>
      <c r="FM253" s="32">
        <f>IF(Bankingbook_SBV[[#This Row],[Quantity_edited]]=0,0,Bankingbook_SBV[[#This Row],[DURATION]])</f>
        <v>0</v>
      </c>
      <c r="FN253" s="32">
        <f>IF(Bankingbook_SBV[[#This Row],[Quantity_edited]]=0,0,Bankingbook_SBV[[#This Row],[Mod Dur]])</f>
        <v>0</v>
      </c>
      <c r="FO253" s="32">
        <f>IF(Bankingbook_SBV[[#This Row],[Quantity_edited]]=0,0,Bankingbook_SBV[[#This Row],[Cnvx.]])</f>
        <v>0</v>
      </c>
      <c r="FP253" s="32">
        <f>(Bankingbook_SBV[[#This Row],[MARKET_VALUE]]+Bankingbook_SBV[[#This Row],[Accr Int]]*Bankingbook_SBV[[#This Row],[Quantity_edited]])*(-Bankingbook_SBV[[#This Row],[Modified Duration]]*0.0001+0.5*Bankingbook_SBV[[#This Row],[Conv]]*(0.0001^2))</f>
        <v>0</v>
      </c>
      <c r="FQ253" s="32">
        <f>(Bankingbook_SBV[[#This Row],[MARKET_VALUE]]+Bankingbook_SBV[[#This Row],[Accr Int]]*Bankingbook_SBV[[#This Row],[Quantity_edited]])*(-Bankingbook_SBV[[#This Row],[Modified Duration]]*0.01+0.5*Bankingbook_SBV[[#This Row],[Conv]]*(0.01^2))</f>
        <v>0</v>
      </c>
    </row>
    <row r="254" spans="2:173" x14ac:dyDescent="0.3">
      <c r="B254" t="s">
        <v>166</v>
      </c>
      <c r="C254" t="s">
        <v>167</v>
      </c>
      <c r="D254" t="s">
        <v>436</v>
      </c>
      <c r="E254" t="s">
        <v>169</v>
      </c>
      <c r="F254" s="502">
        <v>43989</v>
      </c>
      <c r="G254" t="s">
        <v>3322</v>
      </c>
      <c r="H254"/>
      <c r="I254"/>
      <c r="J254" s="38">
        <v>0</v>
      </c>
      <c r="K254">
        <v>0</v>
      </c>
      <c r="L254">
        <v>0</v>
      </c>
      <c r="M254" s="38">
        <v>0</v>
      </c>
      <c r="N254">
        <v>11.3</v>
      </c>
      <c r="O254">
        <v>0</v>
      </c>
      <c r="P254" s="37">
        <v>22600000000</v>
      </c>
      <c r="Q254" s="37">
        <v>29013719916.666756</v>
      </c>
      <c r="R254" s="37">
        <v>-18520795285.972343</v>
      </c>
      <c r="S254">
        <v>0</v>
      </c>
      <c r="T254" s="70">
        <v>0</v>
      </c>
      <c r="U254">
        <v>0</v>
      </c>
      <c r="V254">
        <v>0</v>
      </c>
      <c r="W254">
        <v>0</v>
      </c>
      <c r="X254" s="38">
        <v>0</v>
      </c>
      <c r="Y254">
        <v>0</v>
      </c>
      <c r="Z254" s="70">
        <v>9736500000</v>
      </c>
      <c r="AA254" s="70">
        <v>0</v>
      </c>
      <c r="AB254" s="70">
        <v>9736500000</v>
      </c>
      <c r="AC254" s="70">
        <v>9736500000</v>
      </c>
      <c r="AD254" s="70">
        <v>9736500000</v>
      </c>
      <c r="AE254" s="70">
        <v>9736500000</v>
      </c>
      <c r="AF254">
        <v>0</v>
      </c>
      <c r="AG254" s="72">
        <f>Tradingbook_MSB[[#This Row],[Mat. Date]]-RPT</f>
        <v>-2263</v>
      </c>
      <c r="AH254" s="71">
        <f>IF(Tradingbook_MSB[[#This Row],[Days]]&lt;=0,0,YEARFRAC(RPT,Tradingbook_MSB[[#This Row],[Mat. Date]],3))</f>
        <v>0</v>
      </c>
      <c r="AI254" s="71">
        <f>IF(Tradingbook_MSB[[#This Row],[Days (year)]]=0,0,INDEX(Ref!$K$2:$K$13,MATCH(Tradingbook_MSB[[#This Row],[Days (year)]],Ref!$I$2:$I$13,1)))</f>
        <v>0</v>
      </c>
      <c r="AJ254" s="120" t="str">
        <f>VLOOKUP(Tradingbook_MSB[[#This Row],[Security Name]],Ref!X:Z,3,0)</f>
        <v>TPCP</v>
      </c>
      <c r="AK254" s="120" t="str">
        <f>VLOOKUP(Tradingbook_MSB[[#This Row],[Security Name]],Ref!X:Y,2,0)</f>
        <v>KBNN</v>
      </c>
      <c r="AL254" s="71">
        <f>IF((Tradingbook_MSB[[#This Row],[Mat. Date]]-RPT)&lt;=0,0,Tradingbook_MSB[[#This Row],[QUANTITY]])</f>
        <v>0</v>
      </c>
      <c r="AM254" s="71">
        <f>IF(Tradingbook_MSB[[#This Row],[Quantity_edited]]=0,0,Tradingbook_MSB[[#This Row],[DURATION]])</f>
        <v>0</v>
      </c>
      <c r="AN254" s="71">
        <f>IF(Tradingbook_MSB[[#This Row],[Quantity_edited]]=0,0,Tradingbook_MSB[[#This Row],[Mod Dur]])</f>
        <v>0</v>
      </c>
      <c r="AO254" s="71">
        <f>IF(Tradingbook_MSB[[#This Row],[Quantity_edited]]=0,0,Tradingbook_MSB[[#This Row],[Cnvx.]])</f>
        <v>0</v>
      </c>
      <c r="AP254" s="71">
        <f>(Tradingbook_MSB[[#This Row],[MARKET_VALUE]]+Tradingbook_MSB[[#This Row],[Accr Int]]*Tradingbook_MSB[[#This Row],[Quantity_edited]])*(-Tradingbook_MSB[[#This Row],[Modified Duration]]*0.0001+0.5*Tradingbook_MSB[[#This Row],[Conv]]*(0.0001^2))</f>
        <v>0</v>
      </c>
      <c r="AQ254" s="72">
        <f>(Tradingbook_MSB[[#This Row],[MARKET_VALUE]]+Tradingbook_MSB[[#This Row],[Accr Int]]*Tradingbook_MSB[[#This Row],[Quantity_edited]])*(-Tradingbook_MSB[[#This Row],[Modified Duration]]*0.01+0.5*Tradingbook_MSB[[#This Row],[Conv]]*(0.01^2))</f>
        <v>0</v>
      </c>
      <c r="AR254" s="71"/>
      <c r="CL254" t="s">
        <v>166</v>
      </c>
      <c r="CM254" t="s">
        <v>167</v>
      </c>
      <c r="CN254" t="s">
        <v>436</v>
      </c>
      <c r="CO254" t="s">
        <v>169</v>
      </c>
      <c r="CP254" s="35">
        <v>43989</v>
      </c>
      <c r="CQ254" t="s">
        <v>3322</v>
      </c>
      <c r="CR254" t="s">
        <v>174</v>
      </c>
      <c r="CS254" t="s">
        <v>174</v>
      </c>
      <c r="CT254" s="49">
        <v>0</v>
      </c>
      <c r="CU254">
        <v>0</v>
      </c>
      <c r="CV254">
        <v>0</v>
      </c>
      <c r="CW254" s="70">
        <v>0</v>
      </c>
      <c r="CX254">
        <v>11.3</v>
      </c>
      <c r="CY254">
        <v>0</v>
      </c>
      <c r="CZ254">
        <v>22600000000</v>
      </c>
      <c r="DA254">
        <v>29013719916.666756</v>
      </c>
      <c r="DB254">
        <v>-18520795285.972343</v>
      </c>
      <c r="DC254">
        <v>0</v>
      </c>
      <c r="DD254">
        <v>0</v>
      </c>
      <c r="DE254">
        <v>0</v>
      </c>
      <c r="DF254">
        <v>0</v>
      </c>
      <c r="DG254">
        <v>0</v>
      </c>
      <c r="DH254">
        <v>0</v>
      </c>
      <c r="DI254">
        <v>0</v>
      </c>
      <c r="DJ254" s="500">
        <v>9736500000</v>
      </c>
      <c r="DK254" s="500">
        <v>0</v>
      </c>
      <c r="DL254" s="37">
        <v>9736500000</v>
      </c>
      <c r="DM254" s="37">
        <v>9736500000</v>
      </c>
      <c r="DN254" s="37">
        <v>9736500000</v>
      </c>
      <c r="DO254" s="37">
        <v>9736500000</v>
      </c>
      <c r="DP254" s="32">
        <f>Tradingbook_SBV[[#This Row],[Mat. Date]]-RPT</f>
        <v>-2263</v>
      </c>
      <c r="DQ254" s="32">
        <f>IF(Tradingbook_SBV[[#This Row],[Days]]&lt;=0,0,YEARFRAC(RPT,Tradingbook_SBV[[#This Row],[Mat. Date]],3))</f>
        <v>0</v>
      </c>
      <c r="DR254" s="32">
        <f>IF(Tradingbook_SBV[[#This Row],[Days (year)]]=0,0,INDEX(Ref!$K$2:$K$13,MATCH(Tradingbook_SBV[[#This Row],[Days (year)]],Ref!$I$2:$I$13,1)))</f>
        <v>0</v>
      </c>
      <c r="DS254" s="32" t="str">
        <f>VLOOKUP(Tradingbook_SBV[[#This Row],[Security Name]],Ref!X:Z,3,0)</f>
        <v>TPCP</v>
      </c>
      <c r="DT254" s="32" t="str">
        <f>VLOOKUP(Tradingbook_SBV[[#This Row],[Security Name]],Ref!X:Y,2,0)</f>
        <v>KBNN</v>
      </c>
      <c r="DU254" s="71">
        <f>IF((Tradingbook_SBV[[#This Row],[Mat. Date]]-RPT)&lt;=0,0,Tradingbook_SBV[[#This Row],[QUANTITY]])</f>
        <v>0</v>
      </c>
      <c r="DV254" s="71">
        <f>IF(Tradingbook_SBV[[#This Row],[Quantity_edited]]=0,0,Tradingbook_SBV[[#This Row],[DURATION]])</f>
        <v>0</v>
      </c>
      <c r="DW254" s="71">
        <f>IF(Tradingbook_SBV[[#This Row],[Quantity_edited]]=0,0,Tradingbook_SBV[[#This Row],[Mod Dur]])</f>
        <v>0</v>
      </c>
      <c r="DX254" s="71">
        <f>IF(Tradingbook_SBV[[#This Row],[Quantity_edited]]=0,0,Tradingbook_SBV[[#This Row],[Cnvx.]])</f>
        <v>0</v>
      </c>
      <c r="DY254" s="71">
        <f>(Tradingbook_SBV[[#This Row],[MARKET_VALUE]]+Tradingbook_SBV[[#This Row],[Accr Int]]*Tradingbook_SBV[[#This Row],[Quantity_edited]])*(-Tradingbook_SBV[[#This Row],[Modified Duration]]*0.0001+0.5*Tradingbook_SBV[[#This Row],[Conv]]*(0.0001^2))</f>
        <v>0</v>
      </c>
      <c r="DZ254" s="71">
        <f>(Tradingbook_SBV[[#This Row],[MARKET_VALUE]]+Tradingbook_SBV[[#This Row],[Accr Int]]*Tradingbook_SBV[[#This Row],[Quantity_edited]])*(-Tradingbook_SBV[[#This Row],[Modified Duration]]*0.01+0.5*Tradingbook_SBV[[#This Row],[Conv]]*(0.01^2))</f>
        <v>0</v>
      </c>
      <c r="EC254" t="s">
        <v>166</v>
      </c>
      <c r="ED254" t="s">
        <v>3301</v>
      </c>
      <c r="EE254" t="s">
        <v>648</v>
      </c>
      <c r="EF254" t="s">
        <v>169</v>
      </c>
      <c r="EG254" s="35" t="s">
        <v>3822</v>
      </c>
      <c r="EH254" t="s">
        <v>3322</v>
      </c>
      <c r="EI254" s="500">
        <v>89351</v>
      </c>
      <c r="EJ254" s="500">
        <v>89351</v>
      </c>
      <c r="EK254" s="500">
        <v>0</v>
      </c>
      <c r="EL254" s="500">
        <v>0</v>
      </c>
      <c r="EM254" s="500">
        <v>0</v>
      </c>
      <c r="EN254" s="500">
        <v>0</v>
      </c>
      <c r="EO254">
        <v>2</v>
      </c>
      <c r="EP254">
        <v>1227</v>
      </c>
      <c r="EQ254">
        <v>900000000</v>
      </c>
      <c r="ER254">
        <v>1011096499.999995</v>
      </c>
      <c r="ES254">
        <v>-642748631.83187294</v>
      </c>
      <c r="ET254">
        <v>4.2516125440000003</v>
      </c>
      <c r="EU254">
        <v>4.8704943576598998</v>
      </c>
      <c r="EV254">
        <v>5.0775689100000001</v>
      </c>
      <c r="EW254">
        <v>29.365561375392598</v>
      </c>
      <c r="EX254">
        <v>0</v>
      </c>
      <c r="EY254">
        <v>0</v>
      </c>
      <c r="EZ254">
        <v>0</v>
      </c>
      <c r="FA254">
        <v>-668090000</v>
      </c>
      <c r="FB254">
        <v>0</v>
      </c>
      <c r="FC254">
        <v>-668090000</v>
      </c>
      <c r="FD254">
        <v>-668090000</v>
      </c>
      <c r="FE254">
        <v>-668090000</v>
      </c>
      <c r="FF254">
        <v>-668090000</v>
      </c>
      <c r="FG254" s="32">
        <f>Bankingbook_SBV[[#This Row],[Mat. Date]]-RPT</f>
        <v>1967</v>
      </c>
      <c r="FH254" s="32">
        <f>IF(Bankingbook_SBV[[#This Row],[Days]]&lt;=0,0,YEARFRAC(RPT,Bankingbook_SBV[[#This Row],[Mat. Date]],3))</f>
        <v>5.3890410958904109</v>
      </c>
      <c r="FI254" s="32" t="str">
        <f>IF(Bankingbook_SBV[[#This Row],[Days (year)]]=0,0,INDEX(Ref!$K$2:$K$13,MATCH(Bankingbook_SBV[[#This Row],[Days (year)]],Ref!$I$2:$I$13,1)))</f>
        <v>5Y</v>
      </c>
      <c r="FJ254" s="32" t="str">
        <f>VLOOKUP(Bankingbook_SBV[[#This Row],[Security Name]],Ref!X:Z,3,0)</f>
        <v>TPCP</v>
      </c>
      <c r="FK254" s="32" t="str">
        <f>VLOOKUP(Bankingbook_SBV[[#This Row],[Security Name]],Ref!X:Y,2,0)</f>
        <v>KBNN</v>
      </c>
      <c r="FL254" s="72">
        <f>IF((Bankingbook_SBV[[#This Row],[Mat. Date]]-RPT)&lt;=0,0,Bankingbook_SBV[[#This Row],[QUANTITY]])</f>
        <v>0</v>
      </c>
      <c r="FM254" s="32">
        <f>IF(Bankingbook_SBV[[#This Row],[Quantity_edited]]=0,0,Bankingbook_SBV[[#This Row],[DURATION]])</f>
        <v>0</v>
      </c>
      <c r="FN254" s="32">
        <f>IF(Bankingbook_SBV[[#This Row],[Quantity_edited]]=0,0,Bankingbook_SBV[[#This Row],[Mod Dur]])</f>
        <v>0</v>
      </c>
      <c r="FO254" s="32">
        <f>IF(Bankingbook_SBV[[#This Row],[Quantity_edited]]=0,0,Bankingbook_SBV[[#This Row],[Cnvx.]])</f>
        <v>0</v>
      </c>
      <c r="FP254" s="32">
        <f>(Bankingbook_SBV[[#This Row],[MARKET_VALUE]]+Bankingbook_SBV[[#This Row],[Accr Int]]*Bankingbook_SBV[[#This Row],[Quantity_edited]])*(-Bankingbook_SBV[[#This Row],[Modified Duration]]*0.0001+0.5*Bankingbook_SBV[[#This Row],[Conv]]*(0.0001^2))</f>
        <v>0</v>
      </c>
      <c r="FQ254" s="32">
        <f>(Bankingbook_SBV[[#This Row],[MARKET_VALUE]]+Bankingbook_SBV[[#This Row],[Accr Int]]*Bankingbook_SBV[[#This Row],[Quantity_edited]])*(-Bankingbook_SBV[[#This Row],[Modified Duration]]*0.01+0.5*Bankingbook_SBV[[#This Row],[Conv]]*(0.01^2))</f>
        <v>0</v>
      </c>
    </row>
    <row r="255" spans="2:173" x14ac:dyDescent="0.3">
      <c r="B255" t="s">
        <v>166</v>
      </c>
      <c r="C255" t="s">
        <v>167</v>
      </c>
      <c r="D255" t="s">
        <v>437</v>
      </c>
      <c r="E255" t="s">
        <v>169</v>
      </c>
      <c r="F255" s="502">
        <v>44012</v>
      </c>
      <c r="G255" t="s">
        <v>3322</v>
      </c>
      <c r="H255"/>
      <c r="I255"/>
      <c r="J255" s="38">
        <v>0</v>
      </c>
      <c r="K255">
        <v>0</v>
      </c>
      <c r="L255">
        <v>0</v>
      </c>
      <c r="M255" s="38">
        <v>0</v>
      </c>
      <c r="N255">
        <v>6.4</v>
      </c>
      <c r="O255">
        <v>0</v>
      </c>
      <c r="P255" s="37">
        <v>29574732800</v>
      </c>
      <c r="Q255" s="37">
        <v>32023413684.444504</v>
      </c>
      <c r="R255" s="37">
        <v>-18136611664.90472</v>
      </c>
      <c r="S255">
        <v>0</v>
      </c>
      <c r="T255" s="70">
        <v>0</v>
      </c>
      <c r="U255">
        <v>0</v>
      </c>
      <c r="V255">
        <v>0</v>
      </c>
      <c r="W255">
        <v>0</v>
      </c>
      <c r="X255" s="38">
        <v>0</v>
      </c>
      <c r="Y255">
        <v>0</v>
      </c>
      <c r="Z255" s="70">
        <v>19040141264</v>
      </c>
      <c r="AA255" s="70">
        <v>0</v>
      </c>
      <c r="AB255" s="70">
        <v>19040141264</v>
      </c>
      <c r="AC255" s="70">
        <v>19040141264</v>
      </c>
      <c r="AD255" s="70">
        <v>19040141264</v>
      </c>
      <c r="AE255" s="70">
        <v>19040141264</v>
      </c>
      <c r="AF255">
        <v>0</v>
      </c>
      <c r="AG255" s="72">
        <f>Tradingbook_MSB[[#This Row],[Mat. Date]]-RPT</f>
        <v>-2240</v>
      </c>
      <c r="AH255" s="71">
        <f>IF(Tradingbook_MSB[[#This Row],[Days]]&lt;=0,0,YEARFRAC(RPT,Tradingbook_MSB[[#This Row],[Mat. Date]],3))</f>
        <v>0</v>
      </c>
      <c r="AI255" s="71">
        <f>IF(Tradingbook_MSB[[#This Row],[Days (year)]]=0,0,INDEX(Ref!$K$2:$K$13,MATCH(Tradingbook_MSB[[#This Row],[Days (year)]],Ref!$I$2:$I$13,1)))</f>
        <v>0</v>
      </c>
      <c r="AJ255" s="120" t="str">
        <f>VLOOKUP(Tradingbook_MSB[[#This Row],[Security Name]],Ref!X:Z,3,0)</f>
        <v>TPCP</v>
      </c>
      <c r="AK255" s="120" t="str">
        <f>VLOOKUP(Tradingbook_MSB[[#This Row],[Security Name]],Ref!X:Y,2,0)</f>
        <v>KBNN</v>
      </c>
      <c r="AL255" s="71">
        <f>IF((Tradingbook_MSB[[#This Row],[Mat. Date]]-RPT)&lt;=0,0,Tradingbook_MSB[[#This Row],[QUANTITY]])</f>
        <v>0</v>
      </c>
      <c r="AM255" s="71">
        <f>IF(Tradingbook_MSB[[#This Row],[Quantity_edited]]=0,0,Tradingbook_MSB[[#This Row],[DURATION]])</f>
        <v>0</v>
      </c>
      <c r="AN255" s="71">
        <f>IF(Tradingbook_MSB[[#This Row],[Quantity_edited]]=0,0,Tradingbook_MSB[[#This Row],[Mod Dur]])</f>
        <v>0</v>
      </c>
      <c r="AO255" s="71">
        <f>IF(Tradingbook_MSB[[#This Row],[Quantity_edited]]=0,0,Tradingbook_MSB[[#This Row],[Cnvx.]])</f>
        <v>0</v>
      </c>
      <c r="AP255" s="71">
        <f>(Tradingbook_MSB[[#This Row],[MARKET_VALUE]]+Tradingbook_MSB[[#This Row],[Accr Int]]*Tradingbook_MSB[[#This Row],[Quantity_edited]])*(-Tradingbook_MSB[[#This Row],[Modified Duration]]*0.0001+0.5*Tradingbook_MSB[[#This Row],[Conv]]*(0.0001^2))</f>
        <v>0</v>
      </c>
      <c r="AQ255" s="72">
        <f>(Tradingbook_MSB[[#This Row],[MARKET_VALUE]]+Tradingbook_MSB[[#This Row],[Accr Int]]*Tradingbook_MSB[[#This Row],[Quantity_edited]])*(-Tradingbook_MSB[[#This Row],[Modified Duration]]*0.01+0.5*Tradingbook_MSB[[#This Row],[Conv]]*(0.01^2))</f>
        <v>0</v>
      </c>
      <c r="AR255" s="71"/>
      <c r="CL255" t="s">
        <v>166</v>
      </c>
      <c r="CM255" t="s">
        <v>167</v>
      </c>
      <c r="CN255" t="s">
        <v>437</v>
      </c>
      <c r="CO255" t="s">
        <v>169</v>
      </c>
      <c r="CP255" s="35">
        <v>44012</v>
      </c>
      <c r="CQ255" t="s">
        <v>3322</v>
      </c>
      <c r="CR255" t="s">
        <v>174</v>
      </c>
      <c r="CS255" t="s">
        <v>174</v>
      </c>
      <c r="CT255" s="49">
        <v>0</v>
      </c>
      <c r="CU255">
        <v>0</v>
      </c>
      <c r="CV255">
        <v>0</v>
      </c>
      <c r="CW255" s="70">
        <v>0</v>
      </c>
      <c r="CX255">
        <v>6.4</v>
      </c>
      <c r="CY255">
        <v>0</v>
      </c>
      <c r="CZ255">
        <v>29574732800</v>
      </c>
      <c r="DA255">
        <v>32023413684.444504</v>
      </c>
      <c r="DB255">
        <v>-18136611664.90472</v>
      </c>
      <c r="DC255">
        <v>0</v>
      </c>
      <c r="DD255">
        <v>0</v>
      </c>
      <c r="DE255">
        <v>0</v>
      </c>
      <c r="DF255">
        <v>0</v>
      </c>
      <c r="DG255">
        <v>0</v>
      </c>
      <c r="DH255">
        <v>0</v>
      </c>
      <c r="DI255">
        <v>0</v>
      </c>
      <c r="DJ255" s="500">
        <v>19040141264</v>
      </c>
      <c r="DK255" s="500">
        <v>0</v>
      </c>
      <c r="DL255" s="37">
        <v>19040141264</v>
      </c>
      <c r="DM255" s="37">
        <v>19040141264</v>
      </c>
      <c r="DN255" s="37">
        <v>19040141264</v>
      </c>
      <c r="DO255" s="37">
        <v>19040141264</v>
      </c>
      <c r="DP255" s="32">
        <f>Tradingbook_SBV[[#This Row],[Mat. Date]]-RPT</f>
        <v>-2240</v>
      </c>
      <c r="DQ255" s="32">
        <f>IF(Tradingbook_SBV[[#This Row],[Days]]&lt;=0,0,YEARFRAC(RPT,Tradingbook_SBV[[#This Row],[Mat. Date]],3))</f>
        <v>0</v>
      </c>
      <c r="DR255" s="32">
        <f>IF(Tradingbook_SBV[[#This Row],[Days (year)]]=0,0,INDEX(Ref!$K$2:$K$13,MATCH(Tradingbook_SBV[[#This Row],[Days (year)]],Ref!$I$2:$I$13,1)))</f>
        <v>0</v>
      </c>
      <c r="DS255" s="32" t="str">
        <f>VLOOKUP(Tradingbook_SBV[[#This Row],[Security Name]],Ref!X:Z,3,0)</f>
        <v>TPCP</v>
      </c>
      <c r="DT255" s="32" t="str">
        <f>VLOOKUP(Tradingbook_SBV[[#This Row],[Security Name]],Ref!X:Y,2,0)</f>
        <v>KBNN</v>
      </c>
      <c r="DU255" s="71">
        <f>IF((Tradingbook_SBV[[#This Row],[Mat. Date]]-RPT)&lt;=0,0,Tradingbook_SBV[[#This Row],[QUANTITY]])</f>
        <v>0</v>
      </c>
      <c r="DV255" s="71">
        <f>IF(Tradingbook_SBV[[#This Row],[Quantity_edited]]=0,0,Tradingbook_SBV[[#This Row],[DURATION]])</f>
        <v>0</v>
      </c>
      <c r="DW255" s="71">
        <f>IF(Tradingbook_SBV[[#This Row],[Quantity_edited]]=0,0,Tradingbook_SBV[[#This Row],[Mod Dur]])</f>
        <v>0</v>
      </c>
      <c r="DX255" s="71">
        <f>IF(Tradingbook_SBV[[#This Row],[Quantity_edited]]=0,0,Tradingbook_SBV[[#This Row],[Cnvx.]])</f>
        <v>0</v>
      </c>
      <c r="DY255" s="71">
        <f>(Tradingbook_SBV[[#This Row],[MARKET_VALUE]]+Tradingbook_SBV[[#This Row],[Accr Int]]*Tradingbook_SBV[[#This Row],[Quantity_edited]])*(-Tradingbook_SBV[[#This Row],[Modified Duration]]*0.0001+0.5*Tradingbook_SBV[[#This Row],[Conv]]*(0.0001^2))</f>
        <v>0</v>
      </c>
      <c r="DZ255" s="71">
        <f>(Tradingbook_SBV[[#This Row],[MARKET_VALUE]]+Tradingbook_SBV[[#This Row],[Accr Int]]*Tradingbook_SBV[[#This Row],[Quantity_edited]])*(-Tradingbook_SBV[[#This Row],[Modified Duration]]*0.01+0.5*Tradingbook_SBV[[#This Row],[Conv]]*(0.01^2))</f>
        <v>0</v>
      </c>
      <c r="EC255" t="s">
        <v>166</v>
      </c>
      <c r="ED255" t="s">
        <v>3301</v>
      </c>
      <c r="EE255" t="s">
        <v>655</v>
      </c>
      <c r="EF255" t="s">
        <v>169</v>
      </c>
      <c r="EG255" s="35" t="s">
        <v>3441</v>
      </c>
      <c r="EH255" t="s">
        <v>170</v>
      </c>
      <c r="EI255" s="500">
        <v>107331</v>
      </c>
      <c r="EJ255" s="500">
        <v>107331</v>
      </c>
      <c r="EK255" s="500">
        <v>340000</v>
      </c>
      <c r="EL255" s="500">
        <v>34000000000</v>
      </c>
      <c r="EM255" s="500">
        <v>102183.91899999999</v>
      </c>
      <c r="EN255" s="500">
        <v>36492540000</v>
      </c>
      <c r="EO255">
        <v>5.7</v>
      </c>
      <c r="EP255">
        <v>453</v>
      </c>
      <c r="EQ255">
        <v>100092000000</v>
      </c>
      <c r="ER255">
        <v>116909110108.3333</v>
      </c>
      <c r="ES255">
        <v>-25022052021.910629</v>
      </c>
      <c r="ET255">
        <v>4.2708017280000004</v>
      </c>
      <c r="EU255">
        <v>4.9847880722708</v>
      </c>
      <c r="EV255">
        <v>5.1976784900000004</v>
      </c>
      <c r="EW255">
        <v>31.628537827478699</v>
      </c>
      <c r="EX255">
        <v>11590.771092069701</v>
      </c>
      <c r="EY255">
        <v>-18267.533517775999</v>
      </c>
      <c r="EZ255">
        <v>4199.152</v>
      </c>
      <c r="FA255">
        <v>80351212491.909363</v>
      </c>
      <c r="FB255">
        <v>1750007508.0906155</v>
      </c>
      <c r="FC255">
        <v>82101219999.999985</v>
      </c>
      <c r="FD255">
        <v>82101219999.999985</v>
      </c>
      <c r="FE255">
        <v>82101220000</v>
      </c>
      <c r="FF255">
        <v>82101219999.999985</v>
      </c>
      <c r="FG255" s="32">
        <f>Bankingbook_SBV[[#This Row],[Mat. Date]]-RPT</f>
        <v>2163</v>
      </c>
      <c r="FH255" s="32">
        <f>IF(Bankingbook_SBV[[#This Row],[Days]]&lt;=0,0,YEARFRAC(RPT,Bankingbook_SBV[[#This Row],[Mat. Date]],3))</f>
        <v>5.9260273972602739</v>
      </c>
      <c r="FI255" s="32" t="str">
        <f>IF(Bankingbook_SBV[[#This Row],[Days (year)]]=0,0,INDEX(Ref!$K$2:$K$13,MATCH(Bankingbook_SBV[[#This Row],[Days (year)]],Ref!$I$2:$I$13,1)))</f>
        <v>7Y</v>
      </c>
      <c r="FJ255" s="32" t="str">
        <f>VLOOKUP(Bankingbook_SBV[[#This Row],[Security Name]],Ref!X:Z,3,0)</f>
        <v>TPCP</v>
      </c>
      <c r="FK255" s="32" t="str">
        <f>VLOOKUP(Bankingbook_SBV[[#This Row],[Security Name]],Ref!X:Y,2,0)</f>
        <v>KBNN</v>
      </c>
      <c r="FL255" s="72">
        <f>IF((Bankingbook_SBV[[#This Row],[Mat. Date]]-RPT)&lt;=0,0,Bankingbook_SBV[[#This Row],[QUANTITY]])</f>
        <v>340000</v>
      </c>
      <c r="FM255" s="32">
        <f>IF(Bankingbook_SBV[[#This Row],[Quantity_edited]]=0,0,Bankingbook_SBV[[#This Row],[DURATION]])</f>
        <v>5.1976784900000004</v>
      </c>
      <c r="FN255" s="32">
        <f>IF(Bankingbook_SBV[[#This Row],[Quantity_edited]]=0,0,Bankingbook_SBV[[#This Row],[Mod Dur]])</f>
        <v>4.9847880722708</v>
      </c>
      <c r="FO255" s="32">
        <f>IF(Bankingbook_SBV[[#This Row],[Quantity_edited]]=0,0,Bankingbook_SBV[[#This Row],[Cnvx.]])</f>
        <v>31.628537827478699</v>
      </c>
      <c r="FP255" s="32">
        <f>(Bankingbook_SBV[[#This Row],[MARKET_VALUE]]+Bankingbook_SBV[[#This Row],[Accr Int]]*Bankingbook_SBV[[#This Row],[Quantity_edited]])*(-Bankingbook_SBV[[#This Row],[Modified Duration]]*0.0001+0.5*Bankingbook_SBV[[#This Row],[Conv]]*(0.0001^2))</f>
        <v>-18261738.132229585</v>
      </c>
      <c r="FQ255" s="32">
        <f>(Bankingbook_SBV[[#This Row],[MARKET_VALUE]]+Bankingbook_SBV[[#This Row],[Accr Int]]*Bankingbook_SBV[[#This Row],[Quantity_edited]])*(-Bankingbook_SBV[[#This Row],[Modified Duration]]*0.01+0.5*Bankingbook_SBV[[#This Row],[Conv]]*(0.01^2))</f>
        <v>-1768799496.3172138</v>
      </c>
    </row>
    <row r="256" spans="2:173" x14ac:dyDescent="0.3">
      <c r="B256" t="s">
        <v>166</v>
      </c>
      <c r="C256" t="s">
        <v>167</v>
      </c>
      <c r="D256" t="s">
        <v>438</v>
      </c>
      <c r="E256" t="s">
        <v>169</v>
      </c>
      <c r="F256" s="502">
        <v>44027</v>
      </c>
      <c r="G256" t="s">
        <v>3322</v>
      </c>
      <c r="H256"/>
      <c r="I256"/>
      <c r="J256" s="38">
        <v>0</v>
      </c>
      <c r="K256">
        <v>0</v>
      </c>
      <c r="L256">
        <v>0</v>
      </c>
      <c r="M256" s="38">
        <v>0</v>
      </c>
      <c r="N256">
        <v>6.4</v>
      </c>
      <c r="O256">
        <v>0</v>
      </c>
      <c r="P256" s="37">
        <v>6400000000</v>
      </c>
      <c r="Q256" s="37">
        <v>6692473333.3333282</v>
      </c>
      <c r="R256" s="37">
        <v>-962390955.5555532</v>
      </c>
      <c r="S256">
        <v>0</v>
      </c>
      <c r="T256" s="70">
        <v>0</v>
      </c>
      <c r="U256">
        <v>0</v>
      </c>
      <c r="V256">
        <v>0</v>
      </c>
      <c r="W256">
        <v>0</v>
      </c>
      <c r="X256" s="38">
        <v>0</v>
      </c>
      <c r="Y256">
        <v>0</v>
      </c>
      <c r="Z256" s="70">
        <v>-672500000</v>
      </c>
      <c r="AA256" s="70">
        <v>0</v>
      </c>
      <c r="AB256" s="70">
        <v>-672500000</v>
      </c>
      <c r="AC256" s="70">
        <v>-672500000</v>
      </c>
      <c r="AD256" s="70">
        <v>-672500000</v>
      </c>
      <c r="AE256" s="70">
        <v>-672500000</v>
      </c>
      <c r="AF256">
        <v>0</v>
      </c>
      <c r="AG256" s="72">
        <f>Tradingbook_MSB[[#This Row],[Mat. Date]]-RPT</f>
        <v>-2225</v>
      </c>
      <c r="AH256" s="71">
        <f>IF(Tradingbook_MSB[[#This Row],[Days]]&lt;=0,0,YEARFRAC(RPT,Tradingbook_MSB[[#This Row],[Mat. Date]],3))</f>
        <v>0</v>
      </c>
      <c r="AI256" s="71">
        <f>IF(Tradingbook_MSB[[#This Row],[Days (year)]]=0,0,INDEX(Ref!$K$2:$K$13,MATCH(Tradingbook_MSB[[#This Row],[Days (year)]],Ref!$I$2:$I$13,1)))</f>
        <v>0</v>
      </c>
      <c r="AJ256" s="120" t="str">
        <f>VLOOKUP(Tradingbook_MSB[[#This Row],[Security Name]],Ref!X:Z,3,0)</f>
        <v>TPCP</v>
      </c>
      <c r="AK256" s="120" t="str">
        <f>VLOOKUP(Tradingbook_MSB[[#This Row],[Security Name]],Ref!X:Y,2,0)</f>
        <v>KBNN</v>
      </c>
      <c r="AL256" s="71">
        <f>IF((Tradingbook_MSB[[#This Row],[Mat. Date]]-RPT)&lt;=0,0,Tradingbook_MSB[[#This Row],[QUANTITY]])</f>
        <v>0</v>
      </c>
      <c r="AM256" s="71">
        <f>IF(Tradingbook_MSB[[#This Row],[Quantity_edited]]=0,0,Tradingbook_MSB[[#This Row],[DURATION]])</f>
        <v>0</v>
      </c>
      <c r="AN256" s="71">
        <f>IF(Tradingbook_MSB[[#This Row],[Quantity_edited]]=0,0,Tradingbook_MSB[[#This Row],[Mod Dur]])</f>
        <v>0</v>
      </c>
      <c r="AO256" s="71">
        <f>IF(Tradingbook_MSB[[#This Row],[Quantity_edited]]=0,0,Tradingbook_MSB[[#This Row],[Cnvx.]])</f>
        <v>0</v>
      </c>
      <c r="AP256" s="71">
        <f>(Tradingbook_MSB[[#This Row],[MARKET_VALUE]]+Tradingbook_MSB[[#This Row],[Accr Int]]*Tradingbook_MSB[[#This Row],[Quantity_edited]])*(-Tradingbook_MSB[[#This Row],[Modified Duration]]*0.0001+0.5*Tradingbook_MSB[[#This Row],[Conv]]*(0.0001^2))</f>
        <v>0</v>
      </c>
      <c r="AQ256" s="72">
        <f>(Tradingbook_MSB[[#This Row],[MARKET_VALUE]]+Tradingbook_MSB[[#This Row],[Accr Int]]*Tradingbook_MSB[[#This Row],[Quantity_edited]])*(-Tradingbook_MSB[[#This Row],[Modified Duration]]*0.01+0.5*Tradingbook_MSB[[#This Row],[Conv]]*(0.01^2))</f>
        <v>0</v>
      </c>
      <c r="AR256" s="71"/>
      <c r="CL256" t="s">
        <v>166</v>
      </c>
      <c r="CM256" t="s">
        <v>167</v>
      </c>
      <c r="CN256" t="s">
        <v>438</v>
      </c>
      <c r="CO256" t="s">
        <v>169</v>
      </c>
      <c r="CP256" s="35">
        <v>44027</v>
      </c>
      <c r="CQ256" t="s">
        <v>3322</v>
      </c>
      <c r="CR256" t="s">
        <v>174</v>
      </c>
      <c r="CS256" t="s">
        <v>174</v>
      </c>
      <c r="CT256" s="49">
        <v>0</v>
      </c>
      <c r="CU256">
        <v>0</v>
      </c>
      <c r="CV256">
        <v>0</v>
      </c>
      <c r="CW256" s="70">
        <v>0</v>
      </c>
      <c r="CX256">
        <v>6.4</v>
      </c>
      <c r="CY256">
        <v>0</v>
      </c>
      <c r="CZ256">
        <v>6400000000</v>
      </c>
      <c r="DA256">
        <v>6692473333.3333282</v>
      </c>
      <c r="DB256">
        <v>-962390955.5555532</v>
      </c>
      <c r="DC256">
        <v>0</v>
      </c>
      <c r="DD256">
        <v>0</v>
      </c>
      <c r="DE256">
        <v>0</v>
      </c>
      <c r="DF256">
        <v>0</v>
      </c>
      <c r="DG256">
        <v>0</v>
      </c>
      <c r="DH256">
        <v>0</v>
      </c>
      <c r="DI256">
        <v>0</v>
      </c>
      <c r="DJ256" s="500">
        <v>-672500000</v>
      </c>
      <c r="DK256" s="500">
        <v>0</v>
      </c>
      <c r="DL256" s="37">
        <v>-672500000</v>
      </c>
      <c r="DM256" s="37">
        <v>-672500000</v>
      </c>
      <c r="DN256" s="37">
        <v>-672500000</v>
      </c>
      <c r="DO256" s="37">
        <v>-672500000</v>
      </c>
      <c r="DP256" s="32">
        <f>Tradingbook_SBV[[#This Row],[Mat. Date]]-RPT</f>
        <v>-2225</v>
      </c>
      <c r="DQ256" s="32">
        <f>IF(Tradingbook_SBV[[#This Row],[Days]]&lt;=0,0,YEARFRAC(RPT,Tradingbook_SBV[[#This Row],[Mat. Date]],3))</f>
        <v>0</v>
      </c>
      <c r="DR256" s="32">
        <f>IF(Tradingbook_SBV[[#This Row],[Days (year)]]=0,0,INDEX(Ref!$K$2:$K$13,MATCH(Tradingbook_SBV[[#This Row],[Days (year)]],Ref!$I$2:$I$13,1)))</f>
        <v>0</v>
      </c>
      <c r="DS256" s="32" t="str">
        <f>VLOOKUP(Tradingbook_SBV[[#This Row],[Security Name]],Ref!X:Z,3,0)</f>
        <v>TPCP</v>
      </c>
      <c r="DT256" s="32" t="str">
        <f>VLOOKUP(Tradingbook_SBV[[#This Row],[Security Name]],Ref!X:Y,2,0)</f>
        <v>KBNN</v>
      </c>
      <c r="DU256" s="71">
        <f>IF((Tradingbook_SBV[[#This Row],[Mat. Date]]-RPT)&lt;=0,0,Tradingbook_SBV[[#This Row],[QUANTITY]])</f>
        <v>0</v>
      </c>
      <c r="DV256" s="71">
        <f>IF(Tradingbook_SBV[[#This Row],[Quantity_edited]]=0,0,Tradingbook_SBV[[#This Row],[DURATION]])</f>
        <v>0</v>
      </c>
      <c r="DW256" s="71">
        <f>IF(Tradingbook_SBV[[#This Row],[Quantity_edited]]=0,0,Tradingbook_SBV[[#This Row],[Mod Dur]])</f>
        <v>0</v>
      </c>
      <c r="DX256" s="71">
        <f>IF(Tradingbook_SBV[[#This Row],[Quantity_edited]]=0,0,Tradingbook_SBV[[#This Row],[Cnvx.]])</f>
        <v>0</v>
      </c>
      <c r="DY256" s="71">
        <f>(Tradingbook_SBV[[#This Row],[MARKET_VALUE]]+Tradingbook_SBV[[#This Row],[Accr Int]]*Tradingbook_SBV[[#This Row],[Quantity_edited]])*(-Tradingbook_SBV[[#This Row],[Modified Duration]]*0.0001+0.5*Tradingbook_SBV[[#This Row],[Conv]]*(0.0001^2))</f>
        <v>0</v>
      </c>
      <c r="DZ256" s="71">
        <f>(Tradingbook_SBV[[#This Row],[MARKET_VALUE]]+Tradingbook_SBV[[#This Row],[Accr Int]]*Tradingbook_SBV[[#This Row],[Quantity_edited]])*(-Tradingbook_SBV[[#This Row],[Modified Duration]]*0.01+0.5*Tradingbook_SBV[[#This Row],[Conv]]*(0.01^2))</f>
        <v>0</v>
      </c>
      <c r="EC256" t="s">
        <v>166</v>
      </c>
      <c r="ED256" t="s">
        <v>3301</v>
      </c>
      <c r="EE256" t="s">
        <v>786</v>
      </c>
      <c r="EF256" t="s">
        <v>169</v>
      </c>
      <c r="EG256" s="35" t="s">
        <v>787</v>
      </c>
      <c r="EH256" t="s">
        <v>3322</v>
      </c>
      <c r="EI256" s="500">
        <v>107442</v>
      </c>
      <c r="EJ256" s="500">
        <v>107442</v>
      </c>
      <c r="EK256" s="500">
        <v>0</v>
      </c>
      <c r="EL256" s="500">
        <v>0</v>
      </c>
      <c r="EM256" s="500">
        <v>0</v>
      </c>
      <c r="EN256" s="500">
        <v>0</v>
      </c>
      <c r="EO256">
        <v>6.2</v>
      </c>
      <c r="EP256">
        <v>4943</v>
      </c>
      <c r="EQ256">
        <v>49600000000</v>
      </c>
      <c r="ER256">
        <v>58283127555.555519</v>
      </c>
      <c r="ES256">
        <v>-8981127709.7219925</v>
      </c>
      <c r="ET256">
        <v>4.7808140889999997</v>
      </c>
      <c r="EU256">
        <v>4.9040788398863002</v>
      </c>
      <c r="EV256">
        <v>5.1385337299999998</v>
      </c>
      <c r="EW256">
        <v>31.997610401492</v>
      </c>
      <c r="EX256">
        <v>0</v>
      </c>
      <c r="EY256">
        <v>0</v>
      </c>
      <c r="EZ256">
        <v>0</v>
      </c>
      <c r="FA256">
        <v>46364000000</v>
      </c>
      <c r="FB256">
        <v>0</v>
      </c>
      <c r="FC256">
        <v>46364000000</v>
      </c>
      <c r="FD256">
        <v>46364000000</v>
      </c>
      <c r="FE256">
        <v>46364000000</v>
      </c>
      <c r="FF256">
        <v>46364000000</v>
      </c>
      <c r="FG256" s="32">
        <f>Bankingbook_SBV[[#This Row],[Mat. Date]]-RPT</f>
        <v>2266</v>
      </c>
      <c r="FH256" s="32">
        <f>IF(Bankingbook_SBV[[#This Row],[Days]]&lt;=0,0,YEARFRAC(RPT,Bankingbook_SBV[[#This Row],[Mat. Date]],3))</f>
        <v>6.2082191780821914</v>
      </c>
      <c r="FI256" s="32" t="str">
        <f>IF(Bankingbook_SBV[[#This Row],[Days (year)]]=0,0,INDEX(Ref!$K$2:$K$13,MATCH(Bankingbook_SBV[[#This Row],[Days (year)]],Ref!$I$2:$I$13,1)))</f>
        <v>7Y</v>
      </c>
      <c r="FJ256" s="32" t="str">
        <f>VLOOKUP(Bankingbook_SBV[[#This Row],[Security Name]],Ref!X:Z,3,0)</f>
        <v>TPCPBL</v>
      </c>
      <c r="FK256" s="32" t="str">
        <f>VLOOKUP(Bankingbook_SBV[[#This Row],[Security Name]],Ref!X:Y,2,0)</f>
        <v>VBS</v>
      </c>
      <c r="FL256" s="72">
        <f>IF((Bankingbook_SBV[[#This Row],[Mat. Date]]-RPT)&lt;=0,0,Bankingbook_SBV[[#This Row],[QUANTITY]])</f>
        <v>0</v>
      </c>
      <c r="FM256" s="32">
        <f>IF(Bankingbook_SBV[[#This Row],[Quantity_edited]]=0,0,Bankingbook_SBV[[#This Row],[DURATION]])</f>
        <v>0</v>
      </c>
      <c r="FN256" s="32">
        <f>IF(Bankingbook_SBV[[#This Row],[Quantity_edited]]=0,0,Bankingbook_SBV[[#This Row],[Mod Dur]])</f>
        <v>0</v>
      </c>
      <c r="FO256" s="32">
        <f>IF(Bankingbook_SBV[[#This Row],[Quantity_edited]]=0,0,Bankingbook_SBV[[#This Row],[Cnvx.]])</f>
        <v>0</v>
      </c>
      <c r="FP256" s="32">
        <f>(Bankingbook_SBV[[#This Row],[MARKET_VALUE]]+Bankingbook_SBV[[#This Row],[Accr Int]]*Bankingbook_SBV[[#This Row],[Quantity_edited]])*(-Bankingbook_SBV[[#This Row],[Modified Duration]]*0.0001+0.5*Bankingbook_SBV[[#This Row],[Conv]]*(0.0001^2))</f>
        <v>0</v>
      </c>
      <c r="FQ256" s="32">
        <f>(Bankingbook_SBV[[#This Row],[MARKET_VALUE]]+Bankingbook_SBV[[#This Row],[Accr Int]]*Bankingbook_SBV[[#This Row],[Quantity_edited]])*(-Bankingbook_SBV[[#This Row],[Modified Duration]]*0.01+0.5*Bankingbook_SBV[[#This Row],[Conv]]*(0.01^2))</f>
        <v>0</v>
      </c>
    </row>
    <row r="257" spans="2:173" x14ac:dyDescent="0.3">
      <c r="B257" t="s">
        <v>166</v>
      </c>
      <c r="C257" t="s">
        <v>167</v>
      </c>
      <c r="D257" t="s">
        <v>439</v>
      </c>
      <c r="E257" t="s">
        <v>169</v>
      </c>
      <c r="F257" s="502">
        <v>44115</v>
      </c>
      <c r="G257" t="s">
        <v>3322</v>
      </c>
      <c r="H257"/>
      <c r="I257"/>
      <c r="J257" s="38">
        <v>0</v>
      </c>
      <c r="K257">
        <v>0</v>
      </c>
      <c r="L257">
        <v>0</v>
      </c>
      <c r="M257" s="38">
        <v>0</v>
      </c>
      <c r="N257">
        <v>10.8</v>
      </c>
      <c r="O257">
        <v>0</v>
      </c>
      <c r="P257" s="37">
        <v>0</v>
      </c>
      <c r="Q257" s="37">
        <v>-7.9999999999999996E-6</v>
      </c>
      <c r="R257" s="37">
        <v>-733087791.66663361</v>
      </c>
      <c r="S257">
        <v>0</v>
      </c>
      <c r="T257" s="70">
        <v>0</v>
      </c>
      <c r="U257">
        <v>0</v>
      </c>
      <c r="V257">
        <v>0</v>
      </c>
      <c r="W257">
        <v>0</v>
      </c>
      <c r="X257" s="38">
        <v>0</v>
      </c>
      <c r="Y257">
        <v>0</v>
      </c>
      <c r="Z257" s="70">
        <v>512500000</v>
      </c>
      <c r="AA257" s="70">
        <v>0</v>
      </c>
      <c r="AB257" s="70">
        <v>512500000</v>
      </c>
      <c r="AC257" s="70">
        <v>512500000</v>
      </c>
      <c r="AD257" s="70">
        <v>512500000</v>
      </c>
      <c r="AE257" s="70">
        <v>512500000</v>
      </c>
      <c r="AF257">
        <v>0</v>
      </c>
      <c r="AG257" s="72">
        <f>Tradingbook_MSB[[#This Row],[Mat. Date]]-RPT</f>
        <v>-2137</v>
      </c>
      <c r="AH257" s="71">
        <f>IF(Tradingbook_MSB[[#This Row],[Days]]&lt;=0,0,YEARFRAC(RPT,Tradingbook_MSB[[#This Row],[Mat. Date]],3))</f>
        <v>0</v>
      </c>
      <c r="AI257" s="71">
        <f>IF(Tradingbook_MSB[[#This Row],[Days (year)]]=0,0,INDEX(Ref!$K$2:$K$13,MATCH(Tradingbook_MSB[[#This Row],[Days (year)]],Ref!$I$2:$I$13,1)))</f>
        <v>0</v>
      </c>
      <c r="AJ257" s="120" t="str">
        <f>VLOOKUP(Tradingbook_MSB[[#This Row],[Security Name]],Ref!X:Z,3,0)</f>
        <v>TPCP</v>
      </c>
      <c r="AK257" s="120" t="str">
        <f>VLOOKUP(Tradingbook_MSB[[#This Row],[Security Name]],Ref!X:Y,2,0)</f>
        <v>KBNN</v>
      </c>
      <c r="AL257" s="71">
        <f>IF((Tradingbook_MSB[[#This Row],[Mat. Date]]-RPT)&lt;=0,0,Tradingbook_MSB[[#This Row],[QUANTITY]])</f>
        <v>0</v>
      </c>
      <c r="AM257" s="71">
        <f>IF(Tradingbook_MSB[[#This Row],[Quantity_edited]]=0,0,Tradingbook_MSB[[#This Row],[DURATION]])</f>
        <v>0</v>
      </c>
      <c r="AN257" s="71">
        <f>IF(Tradingbook_MSB[[#This Row],[Quantity_edited]]=0,0,Tradingbook_MSB[[#This Row],[Mod Dur]])</f>
        <v>0</v>
      </c>
      <c r="AO257" s="71">
        <f>IF(Tradingbook_MSB[[#This Row],[Quantity_edited]]=0,0,Tradingbook_MSB[[#This Row],[Cnvx.]])</f>
        <v>0</v>
      </c>
      <c r="AP257" s="71">
        <f>(Tradingbook_MSB[[#This Row],[MARKET_VALUE]]+Tradingbook_MSB[[#This Row],[Accr Int]]*Tradingbook_MSB[[#This Row],[Quantity_edited]])*(-Tradingbook_MSB[[#This Row],[Modified Duration]]*0.0001+0.5*Tradingbook_MSB[[#This Row],[Conv]]*(0.0001^2))</f>
        <v>0</v>
      </c>
      <c r="AQ257" s="72">
        <f>(Tradingbook_MSB[[#This Row],[MARKET_VALUE]]+Tradingbook_MSB[[#This Row],[Accr Int]]*Tradingbook_MSB[[#This Row],[Quantity_edited]])*(-Tradingbook_MSB[[#This Row],[Modified Duration]]*0.01+0.5*Tradingbook_MSB[[#This Row],[Conv]]*(0.01^2))</f>
        <v>0</v>
      </c>
      <c r="AR257" s="71"/>
      <c r="CL257" t="s">
        <v>166</v>
      </c>
      <c r="CM257" t="s">
        <v>167</v>
      </c>
      <c r="CN257" t="s">
        <v>439</v>
      </c>
      <c r="CO257" t="s">
        <v>169</v>
      </c>
      <c r="CP257" s="35">
        <v>44115</v>
      </c>
      <c r="CQ257" t="s">
        <v>3322</v>
      </c>
      <c r="CR257" t="s">
        <v>174</v>
      </c>
      <c r="CS257" t="s">
        <v>174</v>
      </c>
      <c r="CT257" s="49">
        <v>0</v>
      </c>
      <c r="CU257">
        <v>0</v>
      </c>
      <c r="CV257">
        <v>0</v>
      </c>
      <c r="CW257" s="70">
        <v>0</v>
      </c>
      <c r="CX257">
        <v>10.8</v>
      </c>
      <c r="CY257">
        <v>0</v>
      </c>
      <c r="CZ257">
        <v>0</v>
      </c>
      <c r="DA257">
        <v>-7.9999999999999996E-6</v>
      </c>
      <c r="DB257">
        <v>-733087791.66663361</v>
      </c>
      <c r="DC257">
        <v>0</v>
      </c>
      <c r="DD257">
        <v>0</v>
      </c>
      <c r="DE257">
        <v>0</v>
      </c>
      <c r="DF257">
        <v>0</v>
      </c>
      <c r="DG257">
        <v>0</v>
      </c>
      <c r="DH257">
        <v>0</v>
      </c>
      <c r="DI257">
        <v>0</v>
      </c>
      <c r="DJ257" s="500">
        <v>512500000</v>
      </c>
      <c r="DK257" s="500">
        <v>0</v>
      </c>
      <c r="DL257" s="37">
        <v>512500000</v>
      </c>
      <c r="DM257" s="37">
        <v>512500000</v>
      </c>
      <c r="DN257" s="37">
        <v>512500000</v>
      </c>
      <c r="DO257" s="37">
        <v>512500000</v>
      </c>
      <c r="DP257" s="32">
        <f>Tradingbook_SBV[[#This Row],[Mat. Date]]-RPT</f>
        <v>-2137</v>
      </c>
      <c r="DQ257" s="32">
        <f>IF(Tradingbook_SBV[[#This Row],[Days]]&lt;=0,0,YEARFRAC(RPT,Tradingbook_SBV[[#This Row],[Mat. Date]],3))</f>
        <v>0</v>
      </c>
      <c r="DR257" s="32">
        <f>IF(Tradingbook_SBV[[#This Row],[Days (year)]]=0,0,INDEX(Ref!$K$2:$K$13,MATCH(Tradingbook_SBV[[#This Row],[Days (year)]],Ref!$I$2:$I$13,1)))</f>
        <v>0</v>
      </c>
      <c r="DS257" s="32" t="str">
        <f>VLOOKUP(Tradingbook_SBV[[#This Row],[Security Name]],Ref!X:Z,3,0)</f>
        <v>TPCP</v>
      </c>
      <c r="DT257" s="32" t="str">
        <f>VLOOKUP(Tradingbook_SBV[[#This Row],[Security Name]],Ref!X:Y,2,0)</f>
        <v>KBNN</v>
      </c>
      <c r="DU257" s="71">
        <f>IF((Tradingbook_SBV[[#This Row],[Mat. Date]]-RPT)&lt;=0,0,Tradingbook_SBV[[#This Row],[QUANTITY]])</f>
        <v>0</v>
      </c>
      <c r="DV257" s="71">
        <f>IF(Tradingbook_SBV[[#This Row],[Quantity_edited]]=0,0,Tradingbook_SBV[[#This Row],[DURATION]])</f>
        <v>0</v>
      </c>
      <c r="DW257" s="71">
        <f>IF(Tradingbook_SBV[[#This Row],[Quantity_edited]]=0,0,Tradingbook_SBV[[#This Row],[Mod Dur]])</f>
        <v>0</v>
      </c>
      <c r="DX257" s="71">
        <f>IF(Tradingbook_SBV[[#This Row],[Quantity_edited]]=0,0,Tradingbook_SBV[[#This Row],[Cnvx.]])</f>
        <v>0</v>
      </c>
      <c r="DY257" s="71">
        <f>(Tradingbook_SBV[[#This Row],[MARKET_VALUE]]+Tradingbook_SBV[[#This Row],[Accr Int]]*Tradingbook_SBV[[#This Row],[Quantity_edited]])*(-Tradingbook_SBV[[#This Row],[Modified Duration]]*0.0001+0.5*Tradingbook_SBV[[#This Row],[Conv]]*(0.0001^2))</f>
        <v>0</v>
      </c>
      <c r="DZ257" s="71">
        <f>(Tradingbook_SBV[[#This Row],[MARKET_VALUE]]+Tradingbook_SBV[[#This Row],[Accr Int]]*Tradingbook_SBV[[#This Row],[Quantity_edited]])*(-Tradingbook_SBV[[#This Row],[Modified Duration]]*0.01+0.5*Tradingbook_SBV[[#This Row],[Conv]]*(0.01^2))</f>
        <v>0</v>
      </c>
      <c r="EC257" t="s">
        <v>166</v>
      </c>
      <c r="ED257" t="s">
        <v>3301</v>
      </c>
      <c r="EE257" t="s">
        <v>656</v>
      </c>
      <c r="EF257" t="s">
        <v>169</v>
      </c>
      <c r="EG257" s="35" t="s">
        <v>3824</v>
      </c>
      <c r="EH257" t="s">
        <v>3322</v>
      </c>
      <c r="EI257" s="500">
        <v>107457</v>
      </c>
      <c r="EJ257" s="500">
        <v>107457</v>
      </c>
      <c r="EK257" s="500">
        <v>0</v>
      </c>
      <c r="EL257" s="500">
        <v>0</v>
      </c>
      <c r="EM257" s="500">
        <v>0</v>
      </c>
      <c r="EN257" s="500">
        <v>0</v>
      </c>
      <c r="EO257">
        <v>6.2</v>
      </c>
      <c r="EP257">
        <v>4824</v>
      </c>
      <c r="EQ257">
        <v>0</v>
      </c>
      <c r="ER257">
        <v>7.9999999999999996E-6</v>
      </c>
      <c r="ES257">
        <v>13989999.027774811</v>
      </c>
      <c r="ET257">
        <v>4.7814274709999998</v>
      </c>
      <c r="EU257">
        <v>4.9223330311713998</v>
      </c>
      <c r="EV257">
        <v>5.1576908100000001</v>
      </c>
      <c r="EW257">
        <v>32.1943953568246</v>
      </c>
      <c r="EX257">
        <v>0</v>
      </c>
      <c r="EY257">
        <v>0</v>
      </c>
      <c r="EZ257">
        <v>0</v>
      </c>
      <c r="FA257">
        <v>-70000000</v>
      </c>
      <c r="FB257">
        <v>0</v>
      </c>
      <c r="FC257">
        <v>-70000000</v>
      </c>
      <c r="FD257">
        <v>-70000000</v>
      </c>
      <c r="FE257">
        <v>-70000000</v>
      </c>
      <c r="FF257">
        <v>-70000000</v>
      </c>
      <c r="FG257" s="32">
        <f>Bankingbook_SBV[[#This Row],[Mat. Date]]-RPT</f>
        <v>2273</v>
      </c>
      <c r="FH257" s="32">
        <f>IF(Bankingbook_SBV[[#This Row],[Days]]&lt;=0,0,YEARFRAC(RPT,Bankingbook_SBV[[#This Row],[Mat. Date]],3))</f>
        <v>6.2273972602739729</v>
      </c>
      <c r="FI257" s="32" t="str">
        <f>IF(Bankingbook_SBV[[#This Row],[Days (year)]]=0,0,INDEX(Ref!$K$2:$K$13,MATCH(Bankingbook_SBV[[#This Row],[Days (year)]],Ref!$I$2:$I$13,1)))</f>
        <v>7Y</v>
      </c>
      <c r="FJ257" s="32" t="str">
        <f>VLOOKUP(Bankingbook_SBV[[#This Row],[Security Name]],Ref!X:Z,3,0)</f>
        <v>TPCPBL</v>
      </c>
      <c r="FK257" s="32" t="str">
        <f>VLOOKUP(Bankingbook_SBV[[#This Row],[Security Name]],Ref!X:Y,2,0)</f>
        <v>VBS</v>
      </c>
      <c r="FL257" s="72">
        <f>IF((Bankingbook_SBV[[#This Row],[Mat. Date]]-RPT)&lt;=0,0,Bankingbook_SBV[[#This Row],[QUANTITY]])</f>
        <v>0</v>
      </c>
      <c r="FM257" s="32">
        <f>IF(Bankingbook_SBV[[#This Row],[Quantity_edited]]=0,0,Bankingbook_SBV[[#This Row],[DURATION]])</f>
        <v>0</v>
      </c>
      <c r="FN257" s="32">
        <f>IF(Bankingbook_SBV[[#This Row],[Quantity_edited]]=0,0,Bankingbook_SBV[[#This Row],[Mod Dur]])</f>
        <v>0</v>
      </c>
      <c r="FO257" s="32">
        <f>IF(Bankingbook_SBV[[#This Row],[Quantity_edited]]=0,0,Bankingbook_SBV[[#This Row],[Cnvx.]])</f>
        <v>0</v>
      </c>
      <c r="FP257" s="32">
        <f>(Bankingbook_SBV[[#This Row],[MARKET_VALUE]]+Bankingbook_SBV[[#This Row],[Accr Int]]*Bankingbook_SBV[[#This Row],[Quantity_edited]])*(-Bankingbook_SBV[[#This Row],[Modified Duration]]*0.0001+0.5*Bankingbook_SBV[[#This Row],[Conv]]*(0.0001^2))</f>
        <v>0</v>
      </c>
      <c r="FQ257" s="32">
        <f>(Bankingbook_SBV[[#This Row],[MARKET_VALUE]]+Bankingbook_SBV[[#This Row],[Accr Int]]*Bankingbook_SBV[[#This Row],[Quantity_edited]])*(-Bankingbook_SBV[[#This Row],[Modified Duration]]*0.01+0.5*Bankingbook_SBV[[#This Row],[Conv]]*(0.01^2))</f>
        <v>0</v>
      </c>
    </row>
    <row r="258" spans="2:173" x14ac:dyDescent="0.3">
      <c r="B258" t="s">
        <v>166</v>
      </c>
      <c r="C258" t="s">
        <v>167</v>
      </c>
      <c r="D258" t="s">
        <v>440</v>
      </c>
      <c r="E258" t="s">
        <v>169</v>
      </c>
      <c r="F258" s="502">
        <v>44122</v>
      </c>
      <c r="G258" t="s">
        <v>3322</v>
      </c>
      <c r="H258"/>
      <c r="I258"/>
      <c r="J258" s="38">
        <v>0</v>
      </c>
      <c r="K258">
        <v>0</v>
      </c>
      <c r="L258">
        <v>0</v>
      </c>
      <c r="M258" s="38">
        <v>0</v>
      </c>
      <c r="N258">
        <v>10.8</v>
      </c>
      <c r="O258">
        <v>0</v>
      </c>
      <c r="P258" s="37">
        <v>27000000000</v>
      </c>
      <c r="Q258" s="37">
        <v>28170794999.999939</v>
      </c>
      <c r="R258" s="37">
        <v>-4400531415.9249735</v>
      </c>
      <c r="S258">
        <v>0</v>
      </c>
      <c r="T258" s="70">
        <v>0</v>
      </c>
      <c r="U258">
        <v>0</v>
      </c>
      <c r="V258">
        <v>0</v>
      </c>
      <c r="W258">
        <v>0</v>
      </c>
      <c r="X258" s="38">
        <v>0</v>
      </c>
      <c r="Y258">
        <v>0</v>
      </c>
      <c r="Z258" s="70">
        <v>-8060280000</v>
      </c>
      <c r="AA258" s="70">
        <v>0</v>
      </c>
      <c r="AB258" s="70">
        <v>-8060280000</v>
      </c>
      <c r="AC258" s="70">
        <v>-8060280000</v>
      </c>
      <c r="AD258" s="70">
        <v>-8060280000</v>
      </c>
      <c r="AE258" s="70">
        <v>-8060280000</v>
      </c>
      <c r="AF258">
        <v>0</v>
      </c>
      <c r="AG258" s="72">
        <f>Tradingbook_MSB[[#This Row],[Mat. Date]]-RPT</f>
        <v>-2130</v>
      </c>
      <c r="AH258" s="71">
        <f>IF(Tradingbook_MSB[[#This Row],[Days]]&lt;=0,0,YEARFRAC(RPT,Tradingbook_MSB[[#This Row],[Mat. Date]],3))</f>
        <v>0</v>
      </c>
      <c r="AI258" s="71">
        <f>IF(Tradingbook_MSB[[#This Row],[Days (year)]]=0,0,INDEX(Ref!$K$2:$K$13,MATCH(Tradingbook_MSB[[#This Row],[Days (year)]],Ref!$I$2:$I$13,1)))</f>
        <v>0</v>
      </c>
      <c r="AJ258" s="120" t="str">
        <f>VLOOKUP(Tradingbook_MSB[[#This Row],[Security Name]],Ref!X:Z,3,0)</f>
        <v>TPCP</v>
      </c>
      <c r="AK258" s="120" t="str">
        <f>VLOOKUP(Tradingbook_MSB[[#This Row],[Security Name]],Ref!X:Y,2,0)</f>
        <v>KBNN</v>
      </c>
      <c r="AL258" s="71">
        <f>IF((Tradingbook_MSB[[#This Row],[Mat. Date]]-RPT)&lt;=0,0,Tradingbook_MSB[[#This Row],[QUANTITY]])</f>
        <v>0</v>
      </c>
      <c r="AM258" s="71">
        <f>IF(Tradingbook_MSB[[#This Row],[Quantity_edited]]=0,0,Tradingbook_MSB[[#This Row],[DURATION]])</f>
        <v>0</v>
      </c>
      <c r="AN258" s="71">
        <f>IF(Tradingbook_MSB[[#This Row],[Quantity_edited]]=0,0,Tradingbook_MSB[[#This Row],[Mod Dur]])</f>
        <v>0</v>
      </c>
      <c r="AO258" s="71">
        <f>IF(Tradingbook_MSB[[#This Row],[Quantity_edited]]=0,0,Tradingbook_MSB[[#This Row],[Cnvx.]])</f>
        <v>0</v>
      </c>
      <c r="AP258" s="71">
        <f>(Tradingbook_MSB[[#This Row],[MARKET_VALUE]]+Tradingbook_MSB[[#This Row],[Accr Int]]*Tradingbook_MSB[[#This Row],[Quantity_edited]])*(-Tradingbook_MSB[[#This Row],[Modified Duration]]*0.0001+0.5*Tradingbook_MSB[[#This Row],[Conv]]*(0.0001^2))</f>
        <v>0</v>
      </c>
      <c r="AQ258" s="72">
        <f>(Tradingbook_MSB[[#This Row],[MARKET_VALUE]]+Tradingbook_MSB[[#This Row],[Accr Int]]*Tradingbook_MSB[[#This Row],[Quantity_edited]])*(-Tradingbook_MSB[[#This Row],[Modified Duration]]*0.01+0.5*Tradingbook_MSB[[#This Row],[Conv]]*(0.01^2))</f>
        <v>0</v>
      </c>
      <c r="AR258" s="71"/>
      <c r="CL258" t="s">
        <v>166</v>
      </c>
      <c r="CM258" t="s">
        <v>167</v>
      </c>
      <c r="CN258" t="s">
        <v>440</v>
      </c>
      <c r="CO258" t="s">
        <v>169</v>
      </c>
      <c r="CP258" s="35">
        <v>44122</v>
      </c>
      <c r="CQ258" t="s">
        <v>3322</v>
      </c>
      <c r="CR258" t="s">
        <v>174</v>
      </c>
      <c r="CS258" t="s">
        <v>174</v>
      </c>
      <c r="CT258" s="49">
        <v>0</v>
      </c>
      <c r="CU258">
        <v>0</v>
      </c>
      <c r="CV258">
        <v>0</v>
      </c>
      <c r="CW258" s="70">
        <v>0</v>
      </c>
      <c r="CX258">
        <v>10.8</v>
      </c>
      <c r="CY258">
        <v>0</v>
      </c>
      <c r="CZ258">
        <v>27000000000</v>
      </c>
      <c r="DA258">
        <v>28170794999.999939</v>
      </c>
      <c r="DB258">
        <v>-4400531415.9249735</v>
      </c>
      <c r="DC258">
        <v>0</v>
      </c>
      <c r="DD258">
        <v>0</v>
      </c>
      <c r="DE258">
        <v>0</v>
      </c>
      <c r="DF258">
        <v>0</v>
      </c>
      <c r="DG258">
        <v>0</v>
      </c>
      <c r="DH258">
        <v>0</v>
      </c>
      <c r="DI258">
        <v>0</v>
      </c>
      <c r="DJ258" s="500">
        <v>-8060280000</v>
      </c>
      <c r="DK258" s="500">
        <v>0</v>
      </c>
      <c r="DL258" s="37">
        <v>-8060280000</v>
      </c>
      <c r="DM258" s="37">
        <v>-8060280000</v>
      </c>
      <c r="DN258" s="37">
        <v>-8060280000</v>
      </c>
      <c r="DO258" s="37">
        <v>-8060280000</v>
      </c>
      <c r="DP258" s="32">
        <f>Tradingbook_SBV[[#This Row],[Mat. Date]]-RPT</f>
        <v>-2130</v>
      </c>
      <c r="DQ258" s="32">
        <f>IF(Tradingbook_SBV[[#This Row],[Days]]&lt;=0,0,YEARFRAC(RPT,Tradingbook_SBV[[#This Row],[Mat. Date]],3))</f>
        <v>0</v>
      </c>
      <c r="DR258" s="32">
        <f>IF(Tradingbook_SBV[[#This Row],[Days (year)]]=0,0,INDEX(Ref!$K$2:$K$13,MATCH(Tradingbook_SBV[[#This Row],[Days (year)]],Ref!$I$2:$I$13,1)))</f>
        <v>0</v>
      </c>
      <c r="DS258" s="32" t="str">
        <f>VLOOKUP(Tradingbook_SBV[[#This Row],[Security Name]],Ref!X:Z,3,0)</f>
        <v>TPCP</v>
      </c>
      <c r="DT258" s="32" t="str">
        <f>VLOOKUP(Tradingbook_SBV[[#This Row],[Security Name]],Ref!X:Y,2,0)</f>
        <v>KBNN</v>
      </c>
      <c r="DU258" s="71">
        <f>IF((Tradingbook_SBV[[#This Row],[Mat. Date]]-RPT)&lt;=0,0,Tradingbook_SBV[[#This Row],[QUANTITY]])</f>
        <v>0</v>
      </c>
      <c r="DV258" s="71">
        <f>IF(Tradingbook_SBV[[#This Row],[Quantity_edited]]=0,0,Tradingbook_SBV[[#This Row],[DURATION]])</f>
        <v>0</v>
      </c>
      <c r="DW258" s="71">
        <f>IF(Tradingbook_SBV[[#This Row],[Quantity_edited]]=0,0,Tradingbook_SBV[[#This Row],[Mod Dur]])</f>
        <v>0</v>
      </c>
      <c r="DX258" s="71">
        <f>IF(Tradingbook_SBV[[#This Row],[Quantity_edited]]=0,0,Tradingbook_SBV[[#This Row],[Cnvx.]])</f>
        <v>0</v>
      </c>
      <c r="DY258" s="71">
        <f>(Tradingbook_SBV[[#This Row],[MARKET_VALUE]]+Tradingbook_SBV[[#This Row],[Accr Int]]*Tradingbook_SBV[[#This Row],[Quantity_edited]])*(-Tradingbook_SBV[[#This Row],[Modified Duration]]*0.0001+0.5*Tradingbook_SBV[[#This Row],[Conv]]*(0.0001^2))</f>
        <v>0</v>
      </c>
      <c r="DZ258" s="71">
        <f>(Tradingbook_SBV[[#This Row],[MARKET_VALUE]]+Tradingbook_SBV[[#This Row],[Accr Int]]*Tradingbook_SBV[[#This Row],[Quantity_edited]])*(-Tradingbook_SBV[[#This Row],[Modified Duration]]*0.01+0.5*Tradingbook_SBV[[#This Row],[Conv]]*(0.01^2))</f>
        <v>0</v>
      </c>
      <c r="EC258" t="s">
        <v>166</v>
      </c>
      <c r="ED258" t="s">
        <v>3301</v>
      </c>
      <c r="EE258" t="s">
        <v>2748</v>
      </c>
      <c r="EF258" t="s">
        <v>169</v>
      </c>
      <c r="EG258" s="35" t="s">
        <v>3825</v>
      </c>
      <c r="EH258" t="s">
        <v>3322</v>
      </c>
      <c r="EI258" s="500">
        <v>102771</v>
      </c>
      <c r="EJ258" s="500">
        <v>102771</v>
      </c>
      <c r="EK258" s="500">
        <v>0</v>
      </c>
      <c r="EL258" s="500">
        <v>0</v>
      </c>
      <c r="EM258" s="500">
        <v>0</v>
      </c>
      <c r="EN258" s="500">
        <v>0</v>
      </c>
      <c r="EO258">
        <v>4.8</v>
      </c>
      <c r="EP258">
        <v>3511</v>
      </c>
      <c r="EQ258">
        <v>16800000000</v>
      </c>
      <c r="ER258">
        <v>18238430000.000008</v>
      </c>
      <c r="ES258">
        <v>-10160129764.583321</v>
      </c>
      <c r="ET258">
        <v>4.2829788539999996</v>
      </c>
      <c r="EU258">
        <v>5.1708472126157998</v>
      </c>
      <c r="EV258">
        <v>5.3923135100000001</v>
      </c>
      <c r="EW258">
        <v>34.555211166856203</v>
      </c>
      <c r="EX258">
        <v>0</v>
      </c>
      <c r="EY258">
        <v>0</v>
      </c>
      <c r="EZ258">
        <v>0</v>
      </c>
      <c r="FA258">
        <v>-7907500000</v>
      </c>
      <c r="FB258">
        <v>0</v>
      </c>
      <c r="FC258">
        <v>-7907500000</v>
      </c>
      <c r="FD258">
        <v>-7907500000</v>
      </c>
      <c r="FE258">
        <v>-7907500000</v>
      </c>
      <c r="FF258">
        <v>-7907500000</v>
      </c>
      <c r="FG258" s="32">
        <f>Bankingbook_SBV[[#This Row],[Mat. Date]]-RPT</f>
        <v>2290</v>
      </c>
      <c r="FH258" s="32">
        <f>IF(Bankingbook_SBV[[#This Row],[Days]]&lt;=0,0,YEARFRAC(RPT,Bankingbook_SBV[[#This Row],[Mat. Date]],3))</f>
        <v>6.2739726027397262</v>
      </c>
      <c r="FI258" s="32" t="str">
        <f>IF(Bankingbook_SBV[[#This Row],[Days (year)]]=0,0,INDEX(Ref!$K$2:$K$13,MATCH(Bankingbook_SBV[[#This Row],[Days (year)]],Ref!$I$2:$I$13,1)))</f>
        <v>7Y</v>
      </c>
      <c r="FJ258" s="32" t="str">
        <f>VLOOKUP(Bankingbook_SBV[[#This Row],[Security Name]],Ref!X:Z,3,0)</f>
        <v>TPCP</v>
      </c>
      <c r="FK258" s="32" t="str">
        <f>VLOOKUP(Bankingbook_SBV[[#This Row],[Security Name]],Ref!X:Y,2,0)</f>
        <v>KBNN</v>
      </c>
      <c r="FL258" s="72">
        <f>IF((Bankingbook_SBV[[#This Row],[Mat. Date]]-RPT)&lt;=0,0,Bankingbook_SBV[[#This Row],[QUANTITY]])</f>
        <v>0</v>
      </c>
      <c r="FM258" s="32">
        <f>IF(Bankingbook_SBV[[#This Row],[Quantity_edited]]=0,0,Bankingbook_SBV[[#This Row],[DURATION]])</f>
        <v>0</v>
      </c>
      <c r="FN258" s="32">
        <f>IF(Bankingbook_SBV[[#This Row],[Quantity_edited]]=0,0,Bankingbook_SBV[[#This Row],[Mod Dur]])</f>
        <v>0</v>
      </c>
      <c r="FO258" s="32">
        <f>IF(Bankingbook_SBV[[#This Row],[Quantity_edited]]=0,0,Bankingbook_SBV[[#This Row],[Cnvx.]])</f>
        <v>0</v>
      </c>
      <c r="FP258" s="32">
        <f>(Bankingbook_SBV[[#This Row],[MARKET_VALUE]]+Bankingbook_SBV[[#This Row],[Accr Int]]*Bankingbook_SBV[[#This Row],[Quantity_edited]])*(-Bankingbook_SBV[[#This Row],[Modified Duration]]*0.0001+0.5*Bankingbook_SBV[[#This Row],[Conv]]*(0.0001^2))</f>
        <v>0</v>
      </c>
      <c r="FQ258" s="32">
        <f>(Bankingbook_SBV[[#This Row],[MARKET_VALUE]]+Bankingbook_SBV[[#This Row],[Accr Int]]*Bankingbook_SBV[[#This Row],[Quantity_edited]])*(-Bankingbook_SBV[[#This Row],[Modified Duration]]*0.01+0.5*Bankingbook_SBV[[#This Row],[Conv]]*(0.01^2))</f>
        <v>0</v>
      </c>
    </row>
    <row r="259" spans="2:173" x14ac:dyDescent="0.3">
      <c r="B259" t="s">
        <v>166</v>
      </c>
      <c r="C259" t="s">
        <v>167</v>
      </c>
      <c r="D259" t="s">
        <v>442</v>
      </c>
      <c r="E259" t="s">
        <v>169</v>
      </c>
      <c r="F259" s="502">
        <v>44126</v>
      </c>
      <c r="G259" t="s">
        <v>3322</v>
      </c>
      <c r="H259"/>
      <c r="I259"/>
      <c r="J259" s="38">
        <v>0</v>
      </c>
      <c r="K259">
        <v>0</v>
      </c>
      <c r="L259">
        <v>0</v>
      </c>
      <c r="M259" s="38">
        <v>0</v>
      </c>
      <c r="N259">
        <v>6.6</v>
      </c>
      <c r="O259">
        <v>0</v>
      </c>
      <c r="P259" s="37">
        <v>3300000000</v>
      </c>
      <c r="Q259" s="37">
        <v>3465346041.6666532</v>
      </c>
      <c r="R259" s="37">
        <v>-4494327521.2500715</v>
      </c>
      <c r="S259">
        <v>0</v>
      </c>
      <c r="T259" s="70">
        <v>0</v>
      </c>
      <c r="U259">
        <v>0</v>
      </c>
      <c r="V259">
        <v>0</v>
      </c>
      <c r="W259">
        <v>0</v>
      </c>
      <c r="X259" s="38">
        <v>0</v>
      </c>
      <c r="Y259">
        <v>0</v>
      </c>
      <c r="Z259" s="70">
        <v>-3673700000</v>
      </c>
      <c r="AA259" s="70">
        <v>0</v>
      </c>
      <c r="AB259" s="70">
        <v>-3673700000</v>
      </c>
      <c r="AC259" s="70">
        <v>-3673700000</v>
      </c>
      <c r="AD259" s="70">
        <v>-3673700000</v>
      </c>
      <c r="AE259" s="70">
        <v>-3673700000</v>
      </c>
      <c r="AF259">
        <v>0</v>
      </c>
      <c r="AG259" s="72">
        <f>Tradingbook_MSB[[#This Row],[Mat. Date]]-RPT</f>
        <v>-2126</v>
      </c>
      <c r="AH259" s="71">
        <f>IF(Tradingbook_MSB[[#This Row],[Days]]&lt;=0,0,YEARFRAC(RPT,Tradingbook_MSB[[#This Row],[Mat. Date]],3))</f>
        <v>0</v>
      </c>
      <c r="AI259" s="71">
        <f>IF(Tradingbook_MSB[[#This Row],[Days (year)]]=0,0,INDEX(Ref!$K$2:$K$13,MATCH(Tradingbook_MSB[[#This Row],[Days (year)]],Ref!$I$2:$I$13,1)))</f>
        <v>0</v>
      </c>
      <c r="AJ259" s="120" t="str">
        <f>VLOOKUP(Tradingbook_MSB[[#This Row],[Security Name]],Ref!X:Z,3,0)</f>
        <v>TPCP</v>
      </c>
      <c r="AK259" s="120" t="str">
        <f>VLOOKUP(Tradingbook_MSB[[#This Row],[Security Name]],Ref!X:Y,2,0)</f>
        <v>KBNN</v>
      </c>
      <c r="AL259" s="71">
        <f>IF((Tradingbook_MSB[[#This Row],[Mat. Date]]-RPT)&lt;=0,0,Tradingbook_MSB[[#This Row],[QUANTITY]])</f>
        <v>0</v>
      </c>
      <c r="AM259" s="71">
        <f>IF(Tradingbook_MSB[[#This Row],[Quantity_edited]]=0,0,Tradingbook_MSB[[#This Row],[DURATION]])</f>
        <v>0</v>
      </c>
      <c r="AN259" s="71">
        <f>IF(Tradingbook_MSB[[#This Row],[Quantity_edited]]=0,0,Tradingbook_MSB[[#This Row],[Mod Dur]])</f>
        <v>0</v>
      </c>
      <c r="AO259" s="71">
        <f>IF(Tradingbook_MSB[[#This Row],[Quantity_edited]]=0,0,Tradingbook_MSB[[#This Row],[Cnvx.]])</f>
        <v>0</v>
      </c>
      <c r="AP259" s="71">
        <f>(Tradingbook_MSB[[#This Row],[MARKET_VALUE]]+Tradingbook_MSB[[#This Row],[Accr Int]]*Tradingbook_MSB[[#This Row],[Quantity_edited]])*(-Tradingbook_MSB[[#This Row],[Modified Duration]]*0.0001+0.5*Tradingbook_MSB[[#This Row],[Conv]]*(0.0001^2))</f>
        <v>0</v>
      </c>
      <c r="AQ259" s="72">
        <f>(Tradingbook_MSB[[#This Row],[MARKET_VALUE]]+Tradingbook_MSB[[#This Row],[Accr Int]]*Tradingbook_MSB[[#This Row],[Quantity_edited]])*(-Tradingbook_MSB[[#This Row],[Modified Duration]]*0.01+0.5*Tradingbook_MSB[[#This Row],[Conv]]*(0.01^2))</f>
        <v>0</v>
      </c>
      <c r="AR259" s="71"/>
      <c r="CL259" t="s">
        <v>166</v>
      </c>
      <c r="CM259" t="s">
        <v>167</v>
      </c>
      <c r="CN259" t="s">
        <v>442</v>
      </c>
      <c r="CO259" t="s">
        <v>169</v>
      </c>
      <c r="CP259" s="35">
        <v>44126</v>
      </c>
      <c r="CQ259" t="s">
        <v>3322</v>
      </c>
      <c r="CR259" t="s">
        <v>174</v>
      </c>
      <c r="CS259" t="s">
        <v>174</v>
      </c>
      <c r="CT259" s="49">
        <v>0</v>
      </c>
      <c r="CU259">
        <v>0</v>
      </c>
      <c r="CV259">
        <v>0</v>
      </c>
      <c r="CW259" s="70">
        <v>0</v>
      </c>
      <c r="CX259">
        <v>6.6</v>
      </c>
      <c r="CY259">
        <v>0</v>
      </c>
      <c r="CZ259">
        <v>3300000000</v>
      </c>
      <c r="DA259">
        <v>3465346041.6666532</v>
      </c>
      <c r="DB259">
        <v>-4494327521.2500715</v>
      </c>
      <c r="DC259">
        <v>0</v>
      </c>
      <c r="DD259">
        <v>0</v>
      </c>
      <c r="DE259">
        <v>0</v>
      </c>
      <c r="DF259">
        <v>0</v>
      </c>
      <c r="DG259">
        <v>0</v>
      </c>
      <c r="DH259">
        <v>0</v>
      </c>
      <c r="DI259">
        <v>0</v>
      </c>
      <c r="DJ259" s="500">
        <v>-3673700000</v>
      </c>
      <c r="DK259" s="500">
        <v>0</v>
      </c>
      <c r="DL259" s="37">
        <v>-3673700000</v>
      </c>
      <c r="DM259" s="37">
        <v>-3673700000</v>
      </c>
      <c r="DN259" s="37">
        <v>-3673700000</v>
      </c>
      <c r="DO259" s="37">
        <v>-3673700000</v>
      </c>
      <c r="DP259" s="32">
        <f>Tradingbook_SBV[[#This Row],[Mat. Date]]-RPT</f>
        <v>-2126</v>
      </c>
      <c r="DQ259" s="32">
        <f>IF(Tradingbook_SBV[[#This Row],[Days]]&lt;=0,0,YEARFRAC(RPT,Tradingbook_SBV[[#This Row],[Mat. Date]],3))</f>
        <v>0</v>
      </c>
      <c r="DR259" s="32">
        <f>IF(Tradingbook_SBV[[#This Row],[Days (year)]]=0,0,INDEX(Ref!$K$2:$K$13,MATCH(Tradingbook_SBV[[#This Row],[Days (year)]],Ref!$I$2:$I$13,1)))</f>
        <v>0</v>
      </c>
      <c r="DS259" s="32" t="str">
        <f>VLOOKUP(Tradingbook_SBV[[#This Row],[Security Name]],Ref!X:Z,3,0)</f>
        <v>TPCP</v>
      </c>
      <c r="DT259" s="32" t="str">
        <f>VLOOKUP(Tradingbook_SBV[[#This Row],[Security Name]],Ref!X:Y,2,0)</f>
        <v>KBNN</v>
      </c>
      <c r="DU259" s="71">
        <f>IF((Tradingbook_SBV[[#This Row],[Mat. Date]]-RPT)&lt;=0,0,Tradingbook_SBV[[#This Row],[QUANTITY]])</f>
        <v>0</v>
      </c>
      <c r="DV259" s="71">
        <f>IF(Tradingbook_SBV[[#This Row],[Quantity_edited]]=0,0,Tradingbook_SBV[[#This Row],[DURATION]])</f>
        <v>0</v>
      </c>
      <c r="DW259" s="71">
        <f>IF(Tradingbook_SBV[[#This Row],[Quantity_edited]]=0,0,Tradingbook_SBV[[#This Row],[Mod Dur]])</f>
        <v>0</v>
      </c>
      <c r="DX259" s="71">
        <f>IF(Tradingbook_SBV[[#This Row],[Quantity_edited]]=0,0,Tradingbook_SBV[[#This Row],[Cnvx.]])</f>
        <v>0</v>
      </c>
      <c r="DY259" s="71">
        <f>(Tradingbook_SBV[[#This Row],[MARKET_VALUE]]+Tradingbook_SBV[[#This Row],[Accr Int]]*Tradingbook_SBV[[#This Row],[Quantity_edited]])*(-Tradingbook_SBV[[#This Row],[Modified Duration]]*0.0001+0.5*Tradingbook_SBV[[#This Row],[Conv]]*(0.0001^2))</f>
        <v>0</v>
      </c>
      <c r="DZ259" s="71">
        <f>(Tradingbook_SBV[[#This Row],[MARKET_VALUE]]+Tradingbook_SBV[[#This Row],[Accr Int]]*Tradingbook_SBV[[#This Row],[Quantity_edited]])*(-Tradingbook_SBV[[#This Row],[Modified Duration]]*0.01+0.5*Tradingbook_SBV[[#This Row],[Conv]]*(0.01^2))</f>
        <v>0</v>
      </c>
      <c r="EC259" t="s">
        <v>166</v>
      </c>
      <c r="ED259" t="s">
        <v>3301</v>
      </c>
      <c r="EE259" t="s">
        <v>657</v>
      </c>
      <c r="EF259" t="s">
        <v>169</v>
      </c>
      <c r="EG259" s="35" t="s">
        <v>3442</v>
      </c>
      <c r="EH259" t="s">
        <v>3322</v>
      </c>
      <c r="EI259" s="500">
        <v>107517</v>
      </c>
      <c r="EJ259" s="500">
        <v>107517</v>
      </c>
      <c r="EK259" s="500">
        <v>0</v>
      </c>
      <c r="EL259" s="500">
        <v>0</v>
      </c>
      <c r="EM259" s="500">
        <v>0</v>
      </c>
      <c r="EN259" s="500">
        <v>0</v>
      </c>
      <c r="EO259">
        <v>6.2</v>
      </c>
      <c r="EP259">
        <v>4332</v>
      </c>
      <c r="EQ259">
        <v>163308000000</v>
      </c>
      <c r="ER259">
        <v>192825884557.77802</v>
      </c>
      <c r="ES259">
        <v>-39168761004.905899</v>
      </c>
      <c r="ET259">
        <v>4.7843084950000003</v>
      </c>
      <c r="EU259">
        <v>4.9979279427836003</v>
      </c>
      <c r="EV259">
        <v>5.2370442300000004</v>
      </c>
      <c r="EW259">
        <v>33.016415065750799</v>
      </c>
      <c r="EX259">
        <v>0</v>
      </c>
      <c r="EY259">
        <v>0</v>
      </c>
      <c r="EZ259">
        <v>0</v>
      </c>
      <c r="FA259">
        <v>148654840000</v>
      </c>
      <c r="FB259">
        <v>0</v>
      </c>
      <c r="FC259">
        <v>148654840000</v>
      </c>
      <c r="FD259">
        <v>148654840000</v>
      </c>
      <c r="FE259">
        <v>148654840000</v>
      </c>
      <c r="FF259">
        <v>148654840000</v>
      </c>
      <c r="FG259" s="32">
        <f>Bankingbook_SBV[[#This Row],[Mat. Date]]-RPT</f>
        <v>2302</v>
      </c>
      <c r="FH259" s="32">
        <f>IF(Bankingbook_SBV[[#This Row],[Days]]&lt;=0,0,YEARFRAC(RPT,Bankingbook_SBV[[#This Row],[Mat. Date]],3))</f>
        <v>6.3068493150684928</v>
      </c>
      <c r="FI259" s="32" t="str">
        <f>IF(Bankingbook_SBV[[#This Row],[Days (year)]]=0,0,INDEX(Ref!$K$2:$K$13,MATCH(Bankingbook_SBV[[#This Row],[Days (year)]],Ref!$I$2:$I$13,1)))</f>
        <v>7Y</v>
      </c>
      <c r="FJ259" s="32" t="str">
        <f>VLOOKUP(Bankingbook_SBV[[#This Row],[Security Name]],Ref!X:Z,3,0)</f>
        <v>TPCPBL</v>
      </c>
      <c r="FK259" s="32" t="str">
        <f>VLOOKUP(Bankingbook_SBV[[#This Row],[Security Name]],Ref!X:Y,2,0)</f>
        <v>VDB</v>
      </c>
      <c r="FL259" s="72">
        <f>IF((Bankingbook_SBV[[#This Row],[Mat. Date]]-RPT)&lt;=0,0,Bankingbook_SBV[[#This Row],[QUANTITY]])</f>
        <v>0</v>
      </c>
      <c r="FM259" s="32">
        <f>IF(Bankingbook_SBV[[#This Row],[Quantity_edited]]=0,0,Bankingbook_SBV[[#This Row],[DURATION]])</f>
        <v>0</v>
      </c>
      <c r="FN259" s="32">
        <f>IF(Bankingbook_SBV[[#This Row],[Quantity_edited]]=0,0,Bankingbook_SBV[[#This Row],[Mod Dur]])</f>
        <v>0</v>
      </c>
      <c r="FO259" s="32">
        <f>IF(Bankingbook_SBV[[#This Row],[Quantity_edited]]=0,0,Bankingbook_SBV[[#This Row],[Cnvx.]])</f>
        <v>0</v>
      </c>
      <c r="FP259" s="32">
        <f>(Bankingbook_SBV[[#This Row],[MARKET_VALUE]]+Bankingbook_SBV[[#This Row],[Accr Int]]*Bankingbook_SBV[[#This Row],[Quantity_edited]])*(-Bankingbook_SBV[[#This Row],[Modified Duration]]*0.0001+0.5*Bankingbook_SBV[[#This Row],[Conv]]*(0.0001^2))</f>
        <v>0</v>
      </c>
      <c r="FQ259" s="32">
        <f>(Bankingbook_SBV[[#This Row],[MARKET_VALUE]]+Bankingbook_SBV[[#This Row],[Accr Int]]*Bankingbook_SBV[[#This Row],[Quantity_edited]])*(-Bankingbook_SBV[[#This Row],[Modified Duration]]*0.01+0.5*Bankingbook_SBV[[#This Row],[Conv]]*(0.01^2))</f>
        <v>0</v>
      </c>
    </row>
    <row r="260" spans="2:173" x14ac:dyDescent="0.3">
      <c r="B260" t="s">
        <v>166</v>
      </c>
      <c r="C260" t="s">
        <v>167</v>
      </c>
      <c r="D260" t="s">
        <v>443</v>
      </c>
      <c r="E260" t="s">
        <v>169</v>
      </c>
      <c r="F260" s="502">
        <v>44127</v>
      </c>
      <c r="G260" t="s">
        <v>3322</v>
      </c>
      <c r="H260"/>
      <c r="I260"/>
      <c r="J260" s="38">
        <v>0</v>
      </c>
      <c r="K260">
        <v>0</v>
      </c>
      <c r="L260">
        <v>0</v>
      </c>
      <c r="M260" s="38">
        <v>0</v>
      </c>
      <c r="N260">
        <v>7.3</v>
      </c>
      <c r="O260">
        <v>0</v>
      </c>
      <c r="P260" s="37">
        <v>36500000000</v>
      </c>
      <c r="Q260" s="37">
        <v>39771408819.444275</v>
      </c>
      <c r="R260" s="37">
        <v>-27584380512.082588</v>
      </c>
      <c r="S260">
        <v>0</v>
      </c>
      <c r="T260" s="70">
        <v>0</v>
      </c>
      <c r="U260">
        <v>0</v>
      </c>
      <c r="V260">
        <v>0</v>
      </c>
      <c r="W260">
        <v>0</v>
      </c>
      <c r="X260" s="38">
        <v>0</v>
      </c>
      <c r="Y260">
        <v>0</v>
      </c>
      <c r="Z260" s="70">
        <v>44926500000</v>
      </c>
      <c r="AA260" s="70">
        <v>0</v>
      </c>
      <c r="AB260" s="70">
        <v>44926500000</v>
      </c>
      <c r="AC260" s="70">
        <v>44926500000</v>
      </c>
      <c r="AD260" s="70">
        <v>44926500000</v>
      </c>
      <c r="AE260" s="70">
        <v>44926500000</v>
      </c>
      <c r="AF260">
        <v>0</v>
      </c>
      <c r="AG260" s="72">
        <f>Tradingbook_MSB[[#This Row],[Mat. Date]]-RPT</f>
        <v>-2125</v>
      </c>
      <c r="AH260" s="71">
        <f>IF(Tradingbook_MSB[[#This Row],[Days]]&lt;=0,0,YEARFRAC(RPT,Tradingbook_MSB[[#This Row],[Mat. Date]],3))</f>
        <v>0</v>
      </c>
      <c r="AI260" s="71">
        <f>IF(Tradingbook_MSB[[#This Row],[Days (year)]]=0,0,INDEX(Ref!$K$2:$K$13,MATCH(Tradingbook_MSB[[#This Row],[Days (year)]],Ref!$I$2:$I$13,1)))</f>
        <v>0</v>
      </c>
      <c r="AJ260" s="120" t="str">
        <f>VLOOKUP(Tradingbook_MSB[[#This Row],[Security Name]],Ref!X:Z,3,0)</f>
        <v>TPCPBL</v>
      </c>
      <c r="AK260" s="120" t="str">
        <f>VLOOKUP(Tradingbook_MSB[[#This Row],[Security Name]],Ref!X:Y,2,0)</f>
        <v>VDB</v>
      </c>
      <c r="AL260" s="71">
        <f>IF((Tradingbook_MSB[[#This Row],[Mat. Date]]-RPT)&lt;=0,0,Tradingbook_MSB[[#This Row],[QUANTITY]])</f>
        <v>0</v>
      </c>
      <c r="AM260" s="71">
        <f>IF(Tradingbook_MSB[[#This Row],[Quantity_edited]]=0,0,Tradingbook_MSB[[#This Row],[DURATION]])</f>
        <v>0</v>
      </c>
      <c r="AN260" s="71">
        <f>IF(Tradingbook_MSB[[#This Row],[Quantity_edited]]=0,0,Tradingbook_MSB[[#This Row],[Mod Dur]])</f>
        <v>0</v>
      </c>
      <c r="AO260" s="71">
        <f>IF(Tradingbook_MSB[[#This Row],[Quantity_edited]]=0,0,Tradingbook_MSB[[#This Row],[Cnvx.]])</f>
        <v>0</v>
      </c>
      <c r="AP260" s="71">
        <f>(Tradingbook_MSB[[#This Row],[MARKET_VALUE]]+Tradingbook_MSB[[#This Row],[Accr Int]]*Tradingbook_MSB[[#This Row],[Quantity_edited]])*(-Tradingbook_MSB[[#This Row],[Modified Duration]]*0.0001+0.5*Tradingbook_MSB[[#This Row],[Conv]]*(0.0001^2))</f>
        <v>0</v>
      </c>
      <c r="AQ260" s="72">
        <f>(Tradingbook_MSB[[#This Row],[MARKET_VALUE]]+Tradingbook_MSB[[#This Row],[Accr Int]]*Tradingbook_MSB[[#This Row],[Quantity_edited]])*(-Tradingbook_MSB[[#This Row],[Modified Duration]]*0.01+0.5*Tradingbook_MSB[[#This Row],[Conv]]*(0.01^2))</f>
        <v>0</v>
      </c>
      <c r="AR260" s="71"/>
      <c r="CL260" t="s">
        <v>166</v>
      </c>
      <c r="CM260" t="s">
        <v>167</v>
      </c>
      <c r="CN260" t="s">
        <v>443</v>
      </c>
      <c r="CO260" t="s">
        <v>169</v>
      </c>
      <c r="CP260" s="35">
        <v>44127</v>
      </c>
      <c r="CQ260" t="s">
        <v>3322</v>
      </c>
      <c r="CR260" t="s">
        <v>174</v>
      </c>
      <c r="CS260" t="s">
        <v>174</v>
      </c>
      <c r="CT260" s="49">
        <v>0</v>
      </c>
      <c r="CU260">
        <v>0</v>
      </c>
      <c r="CV260">
        <v>0</v>
      </c>
      <c r="CW260" s="70">
        <v>0</v>
      </c>
      <c r="CX260">
        <v>7.3</v>
      </c>
      <c r="CY260">
        <v>0</v>
      </c>
      <c r="CZ260">
        <v>32850000000</v>
      </c>
      <c r="DA260">
        <v>35938807430.555382</v>
      </c>
      <c r="DB260">
        <v>-26376163631.874241</v>
      </c>
      <c r="DC260">
        <v>0</v>
      </c>
      <c r="DD260">
        <v>0</v>
      </c>
      <c r="DE260">
        <v>0</v>
      </c>
      <c r="DF260">
        <v>0</v>
      </c>
      <c r="DG260">
        <v>0</v>
      </c>
      <c r="DH260">
        <v>0</v>
      </c>
      <c r="DI260">
        <v>0</v>
      </c>
      <c r="DJ260" s="500">
        <v>41694000000</v>
      </c>
      <c r="DK260" s="500">
        <v>0</v>
      </c>
      <c r="DL260" s="37">
        <v>41694000000</v>
      </c>
      <c r="DM260" s="37">
        <v>41694000000</v>
      </c>
      <c r="DN260" s="37">
        <v>41694000000</v>
      </c>
      <c r="DO260" s="37">
        <v>41694000000</v>
      </c>
      <c r="DP260" s="32">
        <f>Tradingbook_SBV[[#This Row],[Mat. Date]]-RPT</f>
        <v>-2125</v>
      </c>
      <c r="DQ260" s="32">
        <f>IF(Tradingbook_SBV[[#This Row],[Days]]&lt;=0,0,YEARFRAC(RPT,Tradingbook_SBV[[#This Row],[Mat. Date]],3))</f>
        <v>0</v>
      </c>
      <c r="DR260" s="32">
        <f>IF(Tradingbook_SBV[[#This Row],[Days (year)]]=0,0,INDEX(Ref!$K$2:$K$13,MATCH(Tradingbook_SBV[[#This Row],[Days (year)]],Ref!$I$2:$I$13,1)))</f>
        <v>0</v>
      </c>
      <c r="DS260" s="32" t="str">
        <f>VLOOKUP(Tradingbook_SBV[[#This Row],[Security Name]],Ref!X:Z,3,0)</f>
        <v>TPCPBL</v>
      </c>
      <c r="DT260" s="32" t="str">
        <f>VLOOKUP(Tradingbook_SBV[[#This Row],[Security Name]],Ref!X:Y,2,0)</f>
        <v>VDB</v>
      </c>
      <c r="DU260" s="71">
        <f>IF((Tradingbook_SBV[[#This Row],[Mat. Date]]-RPT)&lt;=0,0,Tradingbook_SBV[[#This Row],[QUANTITY]])</f>
        <v>0</v>
      </c>
      <c r="DV260" s="71">
        <f>IF(Tradingbook_SBV[[#This Row],[Quantity_edited]]=0,0,Tradingbook_SBV[[#This Row],[DURATION]])</f>
        <v>0</v>
      </c>
      <c r="DW260" s="71">
        <f>IF(Tradingbook_SBV[[#This Row],[Quantity_edited]]=0,0,Tradingbook_SBV[[#This Row],[Mod Dur]])</f>
        <v>0</v>
      </c>
      <c r="DX260" s="71">
        <f>IF(Tradingbook_SBV[[#This Row],[Quantity_edited]]=0,0,Tradingbook_SBV[[#This Row],[Cnvx.]])</f>
        <v>0</v>
      </c>
      <c r="DY260" s="71">
        <f>(Tradingbook_SBV[[#This Row],[MARKET_VALUE]]+Tradingbook_SBV[[#This Row],[Accr Int]]*Tradingbook_SBV[[#This Row],[Quantity_edited]])*(-Tradingbook_SBV[[#This Row],[Modified Duration]]*0.0001+0.5*Tradingbook_SBV[[#This Row],[Conv]]*(0.0001^2))</f>
        <v>0</v>
      </c>
      <c r="DZ260" s="71">
        <f>(Tradingbook_SBV[[#This Row],[MARKET_VALUE]]+Tradingbook_SBV[[#This Row],[Accr Int]]*Tradingbook_SBV[[#This Row],[Quantity_edited]])*(-Tradingbook_SBV[[#This Row],[Modified Duration]]*0.01+0.5*Tradingbook_SBV[[#This Row],[Conv]]*(0.01^2))</f>
        <v>0</v>
      </c>
      <c r="EC260" t="s">
        <v>166</v>
      </c>
      <c r="ED260" t="s">
        <v>3301</v>
      </c>
      <c r="EE260" t="s">
        <v>2499</v>
      </c>
      <c r="EF260" t="s">
        <v>169</v>
      </c>
      <c r="EG260" s="35" t="s">
        <v>3443</v>
      </c>
      <c r="EH260" t="s">
        <v>170</v>
      </c>
      <c r="EI260" s="500">
        <v>102776</v>
      </c>
      <c r="EJ260" s="500">
        <v>102776</v>
      </c>
      <c r="EK260" s="500">
        <v>4000000</v>
      </c>
      <c r="EL260" s="500">
        <v>400000000000</v>
      </c>
      <c r="EM260" s="500">
        <v>113388.478</v>
      </c>
      <c r="EN260" s="500">
        <v>411104000000</v>
      </c>
      <c r="EO260">
        <v>4.8</v>
      </c>
      <c r="EP260">
        <v>3327</v>
      </c>
      <c r="EQ260">
        <v>38400000000</v>
      </c>
      <c r="ER260">
        <v>40782533333.333366</v>
      </c>
      <c r="ES260">
        <v>-45736440482.638954</v>
      </c>
      <c r="ET260">
        <v>4.2844582180000002</v>
      </c>
      <c r="EU260">
        <v>5.2075118900276998</v>
      </c>
      <c r="EV260">
        <v>5.4306255600000002</v>
      </c>
      <c r="EW260">
        <v>34.970870065762497</v>
      </c>
      <c r="EX260">
        <v>148420.56906350411</v>
      </c>
      <c r="EY260">
        <v>-221013.05362704201</v>
      </c>
      <c r="EZ260">
        <v>48783.618999999999</v>
      </c>
      <c r="FA260">
        <v>-21918086355.785931</v>
      </c>
      <c r="FB260">
        <v>-42449913644.214157</v>
      </c>
      <c r="FC260">
        <v>-64368000000.000092</v>
      </c>
      <c r="FD260">
        <v>-64368000000.000092</v>
      </c>
      <c r="FE260">
        <v>-64368000000</v>
      </c>
      <c r="FF260">
        <v>-64368000000.000092</v>
      </c>
      <c r="FG260" s="32">
        <f>Bankingbook_SBV[[#This Row],[Mat. Date]]-RPT</f>
        <v>2304</v>
      </c>
      <c r="FH260" s="32">
        <f>IF(Bankingbook_SBV[[#This Row],[Days]]&lt;=0,0,YEARFRAC(RPT,Bankingbook_SBV[[#This Row],[Mat. Date]],3))</f>
        <v>6.3123287671232875</v>
      </c>
      <c r="FI260" s="32" t="str">
        <f>IF(Bankingbook_SBV[[#This Row],[Days (year)]]=0,0,INDEX(Ref!$K$2:$K$13,MATCH(Bankingbook_SBV[[#This Row],[Days (year)]],Ref!$I$2:$I$13,1)))</f>
        <v>7Y</v>
      </c>
      <c r="FJ260" s="32" t="str">
        <f>VLOOKUP(Bankingbook_SBV[[#This Row],[Security Name]],Ref!X:Z,3,0)</f>
        <v>TPCP</v>
      </c>
      <c r="FK260" s="32" t="str">
        <f>VLOOKUP(Bankingbook_SBV[[#This Row],[Security Name]],Ref!X:Y,2,0)</f>
        <v>KBNN</v>
      </c>
      <c r="FL260" s="72">
        <f>IF((Bankingbook_SBV[[#This Row],[Mat. Date]]-RPT)&lt;=0,0,Bankingbook_SBV[[#This Row],[QUANTITY]])</f>
        <v>4000000</v>
      </c>
      <c r="FM260" s="32">
        <f>IF(Bankingbook_SBV[[#This Row],[Quantity_edited]]=0,0,Bankingbook_SBV[[#This Row],[DURATION]])</f>
        <v>5.4306255600000002</v>
      </c>
      <c r="FN260" s="32">
        <f>IF(Bankingbook_SBV[[#This Row],[Quantity_edited]]=0,0,Bankingbook_SBV[[#This Row],[Mod Dur]])</f>
        <v>5.2075118900276998</v>
      </c>
      <c r="FO260" s="32">
        <f>IF(Bankingbook_SBV[[#This Row],[Quantity_edited]]=0,0,Bankingbook_SBV[[#This Row],[Cnvx.]])</f>
        <v>34.970870065762497</v>
      </c>
      <c r="FP260" s="32">
        <f>(Bankingbook_SBV[[#This Row],[MARKET_VALUE]]+Bankingbook_SBV[[#This Row],[Accr Int]]*Bankingbook_SBV[[#This Row],[Quantity_edited]])*(-Bankingbook_SBV[[#This Row],[Modified Duration]]*0.0001+0.5*Bankingbook_SBV[[#This Row],[Conv]]*(0.0001^2))</f>
        <v>-220938843.34251186</v>
      </c>
      <c r="FQ260" s="32">
        <f>(Bankingbook_SBV[[#This Row],[MARKET_VALUE]]+Bankingbook_SBV[[#This Row],[Accr Int]]*Bankingbook_SBV[[#This Row],[Quantity_edited]])*(-Bankingbook_SBV[[#This Row],[Modified Duration]]*0.01+0.5*Bankingbook_SBV[[#This Row],[Conv]]*(0.01^2))</f>
        <v>-21359202517.386841</v>
      </c>
    </row>
    <row r="261" spans="2:173" x14ac:dyDescent="0.3">
      <c r="B261" t="s">
        <v>166</v>
      </c>
      <c r="C261" t="s">
        <v>167</v>
      </c>
      <c r="D261" t="s">
        <v>444</v>
      </c>
      <c r="E261" t="s">
        <v>169</v>
      </c>
      <c r="F261" s="502">
        <v>44134</v>
      </c>
      <c r="G261" t="s">
        <v>3322</v>
      </c>
      <c r="H261"/>
      <c r="I261"/>
      <c r="J261" s="38">
        <v>0</v>
      </c>
      <c r="K261">
        <v>0</v>
      </c>
      <c r="L261">
        <v>0</v>
      </c>
      <c r="M261" s="38">
        <v>0</v>
      </c>
      <c r="N261">
        <v>7.3</v>
      </c>
      <c r="O261">
        <v>0</v>
      </c>
      <c r="P261" s="37">
        <v>14600000000</v>
      </c>
      <c r="Q261" s="37">
        <v>16017761388.888863</v>
      </c>
      <c r="R261" s="37">
        <v>-11004016939.235767</v>
      </c>
      <c r="S261">
        <v>0</v>
      </c>
      <c r="T261" s="70">
        <v>0</v>
      </c>
      <c r="U261">
        <v>0</v>
      </c>
      <c r="V261">
        <v>0</v>
      </c>
      <c r="W261">
        <v>0</v>
      </c>
      <c r="X261" s="38">
        <v>0</v>
      </c>
      <c r="Y261">
        <v>0</v>
      </c>
      <c r="Z261" s="70">
        <v>18622000000</v>
      </c>
      <c r="AA261" s="70">
        <v>0</v>
      </c>
      <c r="AB261" s="70">
        <v>18622000000</v>
      </c>
      <c r="AC261" s="70">
        <v>18622000000</v>
      </c>
      <c r="AD261" s="70">
        <v>18622000000</v>
      </c>
      <c r="AE261" s="70">
        <v>18622000000</v>
      </c>
      <c r="AF261">
        <v>0</v>
      </c>
      <c r="AG261" s="72">
        <f>Tradingbook_MSB[[#This Row],[Mat. Date]]-RPT</f>
        <v>-2118</v>
      </c>
      <c r="AH261" s="71">
        <f>IF(Tradingbook_MSB[[#This Row],[Days]]&lt;=0,0,YEARFRAC(RPT,Tradingbook_MSB[[#This Row],[Mat. Date]],3))</f>
        <v>0</v>
      </c>
      <c r="AI261" s="71">
        <f>IF(Tradingbook_MSB[[#This Row],[Days (year)]]=0,0,INDEX(Ref!$K$2:$K$13,MATCH(Tradingbook_MSB[[#This Row],[Days (year)]],Ref!$I$2:$I$13,1)))</f>
        <v>0</v>
      </c>
      <c r="AJ261" s="120" t="str">
        <f>VLOOKUP(Tradingbook_MSB[[#This Row],[Security Name]],Ref!X:Z,3,0)</f>
        <v>TPCPBL</v>
      </c>
      <c r="AK261" s="120" t="str">
        <f>VLOOKUP(Tradingbook_MSB[[#This Row],[Security Name]],Ref!X:Y,2,0)</f>
        <v>VDB</v>
      </c>
      <c r="AL261" s="71">
        <f>IF((Tradingbook_MSB[[#This Row],[Mat. Date]]-RPT)&lt;=0,0,Tradingbook_MSB[[#This Row],[QUANTITY]])</f>
        <v>0</v>
      </c>
      <c r="AM261" s="71">
        <f>IF(Tradingbook_MSB[[#This Row],[Quantity_edited]]=0,0,Tradingbook_MSB[[#This Row],[DURATION]])</f>
        <v>0</v>
      </c>
      <c r="AN261" s="71">
        <f>IF(Tradingbook_MSB[[#This Row],[Quantity_edited]]=0,0,Tradingbook_MSB[[#This Row],[Mod Dur]])</f>
        <v>0</v>
      </c>
      <c r="AO261" s="71">
        <f>IF(Tradingbook_MSB[[#This Row],[Quantity_edited]]=0,0,Tradingbook_MSB[[#This Row],[Cnvx.]])</f>
        <v>0</v>
      </c>
      <c r="AP261" s="71">
        <f>(Tradingbook_MSB[[#This Row],[MARKET_VALUE]]+Tradingbook_MSB[[#This Row],[Accr Int]]*Tradingbook_MSB[[#This Row],[Quantity_edited]])*(-Tradingbook_MSB[[#This Row],[Modified Duration]]*0.0001+0.5*Tradingbook_MSB[[#This Row],[Conv]]*(0.0001^2))</f>
        <v>0</v>
      </c>
      <c r="AQ261" s="72">
        <f>(Tradingbook_MSB[[#This Row],[MARKET_VALUE]]+Tradingbook_MSB[[#This Row],[Accr Int]]*Tradingbook_MSB[[#This Row],[Quantity_edited]])*(-Tradingbook_MSB[[#This Row],[Modified Duration]]*0.01+0.5*Tradingbook_MSB[[#This Row],[Conv]]*(0.01^2))</f>
        <v>0</v>
      </c>
      <c r="AR261" s="71"/>
      <c r="CL261" t="s">
        <v>166</v>
      </c>
      <c r="CM261" t="s">
        <v>167</v>
      </c>
      <c r="CN261" t="s">
        <v>444</v>
      </c>
      <c r="CO261" t="s">
        <v>169</v>
      </c>
      <c r="CP261" s="35">
        <v>44134</v>
      </c>
      <c r="CQ261" t="s">
        <v>3322</v>
      </c>
      <c r="CR261" t="s">
        <v>174</v>
      </c>
      <c r="CS261" t="s">
        <v>174</v>
      </c>
      <c r="CT261" s="49">
        <v>0</v>
      </c>
      <c r="CU261">
        <v>0</v>
      </c>
      <c r="CV261">
        <v>0</v>
      </c>
      <c r="CW261" s="70">
        <v>0</v>
      </c>
      <c r="CX261">
        <v>7.3</v>
      </c>
      <c r="CY261">
        <v>0</v>
      </c>
      <c r="CZ261">
        <v>14600000000</v>
      </c>
      <c r="DA261">
        <v>16017761388.888863</v>
      </c>
      <c r="DB261">
        <v>-11004016939.235767</v>
      </c>
      <c r="DC261">
        <v>0</v>
      </c>
      <c r="DD261">
        <v>0</v>
      </c>
      <c r="DE261">
        <v>0</v>
      </c>
      <c r="DF261">
        <v>0</v>
      </c>
      <c r="DG261">
        <v>0</v>
      </c>
      <c r="DH261">
        <v>0</v>
      </c>
      <c r="DI261">
        <v>0</v>
      </c>
      <c r="DJ261" s="500">
        <v>18622000000</v>
      </c>
      <c r="DK261" s="500">
        <v>0</v>
      </c>
      <c r="DL261" s="37">
        <v>18622000000</v>
      </c>
      <c r="DM261" s="37">
        <v>18622000000</v>
      </c>
      <c r="DN261" s="37">
        <v>18622000000</v>
      </c>
      <c r="DO261" s="37">
        <v>18622000000</v>
      </c>
      <c r="DP261" s="32">
        <f>Tradingbook_SBV[[#This Row],[Mat. Date]]-RPT</f>
        <v>-2118</v>
      </c>
      <c r="DQ261" s="32">
        <f>IF(Tradingbook_SBV[[#This Row],[Days]]&lt;=0,0,YEARFRAC(RPT,Tradingbook_SBV[[#This Row],[Mat. Date]],3))</f>
        <v>0</v>
      </c>
      <c r="DR261" s="32">
        <f>IF(Tradingbook_SBV[[#This Row],[Days (year)]]=0,0,INDEX(Ref!$K$2:$K$13,MATCH(Tradingbook_SBV[[#This Row],[Days (year)]],Ref!$I$2:$I$13,1)))</f>
        <v>0</v>
      </c>
      <c r="DS261" s="32" t="str">
        <f>VLOOKUP(Tradingbook_SBV[[#This Row],[Security Name]],Ref!X:Z,3,0)</f>
        <v>TPCPBL</v>
      </c>
      <c r="DT261" s="32" t="str">
        <f>VLOOKUP(Tradingbook_SBV[[#This Row],[Security Name]],Ref!X:Y,2,0)</f>
        <v>VDB</v>
      </c>
      <c r="DU261" s="71">
        <f>IF((Tradingbook_SBV[[#This Row],[Mat. Date]]-RPT)&lt;=0,0,Tradingbook_SBV[[#This Row],[QUANTITY]])</f>
        <v>0</v>
      </c>
      <c r="DV261" s="71">
        <f>IF(Tradingbook_SBV[[#This Row],[Quantity_edited]]=0,0,Tradingbook_SBV[[#This Row],[DURATION]])</f>
        <v>0</v>
      </c>
      <c r="DW261" s="71">
        <f>IF(Tradingbook_SBV[[#This Row],[Quantity_edited]]=0,0,Tradingbook_SBV[[#This Row],[Mod Dur]])</f>
        <v>0</v>
      </c>
      <c r="DX261" s="71">
        <f>IF(Tradingbook_SBV[[#This Row],[Quantity_edited]]=0,0,Tradingbook_SBV[[#This Row],[Cnvx.]])</f>
        <v>0</v>
      </c>
      <c r="DY261" s="71">
        <f>(Tradingbook_SBV[[#This Row],[MARKET_VALUE]]+Tradingbook_SBV[[#This Row],[Accr Int]]*Tradingbook_SBV[[#This Row],[Quantity_edited]])*(-Tradingbook_SBV[[#This Row],[Modified Duration]]*0.0001+0.5*Tradingbook_SBV[[#This Row],[Conv]]*(0.0001^2))</f>
        <v>0</v>
      </c>
      <c r="DZ261" s="71">
        <f>(Tradingbook_SBV[[#This Row],[MARKET_VALUE]]+Tradingbook_SBV[[#This Row],[Accr Int]]*Tradingbook_SBV[[#This Row],[Quantity_edited]])*(-Tradingbook_SBV[[#This Row],[Modified Duration]]*0.01+0.5*Tradingbook_SBV[[#This Row],[Conv]]*(0.01^2))</f>
        <v>0</v>
      </c>
      <c r="EC261" t="s">
        <v>166</v>
      </c>
      <c r="ED261" t="s">
        <v>3301</v>
      </c>
      <c r="EE261" t="s">
        <v>658</v>
      </c>
      <c r="EF261" t="s">
        <v>169</v>
      </c>
      <c r="EG261" s="35" t="s">
        <v>659</v>
      </c>
      <c r="EH261" t="s">
        <v>3322</v>
      </c>
      <c r="EI261" s="500">
        <v>105949</v>
      </c>
      <c r="EJ261" s="500">
        <v>105949</v>
      </c>
      <c r="EK261" s="500">
        <v>0</v>
      </c>
      <c r="EL261" s="500">
        <v>0</v>
      </c>
      <c r="EM261" s="500">
        <v>0</v>
      </c>
      <c r="EN261" s="500">
        <v>0</v>
      </c>
      <c r="EO261">
        <v>5.9</v>
      </c>
      <c r="EP261">
        <v>3815</v>
      </c>
      <c r="EQ261">
        <v>40002000000</v>
      </c>
      <c r="ER261">
        <v>47238505727.222282</v>
      </c>
      <c r="ES261">
        <v>-10548977854.383537</v>
      </c>
      <c r="ET261">
        <v>4.786100974</v>
      </c>
      <c r="EU261">
        <v>5.0807322089803</v>
      </c>
      <c r="EV261">
        <v>5.32390118</v>
      </c>
      <c r="EW261">
        <v>33.855629008986298</v>
      </c>
      <c r="EX261">
        <v>0</v>
      </c>
      <c r="EY261">
        <v>0</v>
      </c>
      <c r="EZ261">
        <v>0</v>
      </c>
      <c r="FA261">
        <v>30525680000</v>
      </c>
      <c r="FB261">
        <v>0</v>
      </c>
      <c r="FC261">
        <v>30525680000</v>
      </c>
      <c r="FD261">
        <v>30525680000</v>
      </c>
      <c r="FE261">
        <v>30525680000</v>
      </c>
      <c r="FF261">
        <v>30525680000</v>
      </c>
      <c r="FG261" s="32">
        <f>Bankingbook_SBV[[#This Row],[Mat. Date]]-RPT</f>
        <v>2321</v>
      </c>
      <c r="FH261" s="32">
        <f>IF(Bankingbook_SBV[[#This Row],[Days]]&lt;=0,0,YEARFRAC(RPT,Bankingbook_SBV[[#This Row],[Mat. Date]],3))</f>
        <v>6.3589041095890408</v>
      </c>
      <c r="FI261" s="32" t="str">
        <f>IF(Bankingbook_SBV[[#This Row],[Days (year)]]=0,0,INDEX(Ref!$K$2:$K$13,MATCH(Bankingbook_SBV[[#This Row],[Days (year)]],Ref!$I$2:$I$13,1)))</f>
        <v>7Y</v>
      </c>
      <c r="FJ261" s="32" t="str">
        <f>VLOOKUP(Bankingbook_SBV[[#This Row],[Security Name]],Ref!X:Z,3,0)</f>
        <v>TPCPBL</v>
      </c>
      <c r="FK261" s="32" t="str">
        <f>VLOOKUP(Bankingbook_SBV[[#This Row],[Security Name]],Ref!X:Y,2,0)</f>
        <v>VDB</v>
      </c>
      <c r="FL261" s="72">
        <f>IF((Bankingbook_SBV[[#This Row],[Mat. Date]]-RPT)&lt;=0,0,Bankingbook_SBV[[#This Row],[QUANTITY]])</f>
        <v>0</v>
      </c>
      <c r="FM261" s="32">
        <f>IF(Bankingbook_SBV[[#This Row],[Quantity_edited]]=0,0,Bankingbook_SBV[[#This Row],[DURATION]])</f>
        <v>0</v>
      </c>
      <c r="FN261" s="32">
        <f>IF(Bankingbook_SBV[[#This Row],[Quantity_edited]]=0,0,Bankingbook_SBV[[#This Row],[Mod Dur]])</f>
        <v>0</v>
      </c>
      <c r="FO261" s="32">
        <f>IF(Bankingbook_SBV[[#This Row],[Quantity_edited]]=0,0,Bankingbook_SBV[[#This Row],[Cnvx.]])</f>
        <v>0</v>
      </c>
      <c r="FP261" s="32">
        <f>(Bankingbook_SBV[[#This Row],[MARKET_VALUE]]+Bankingbook_SBV[[#This Row],[Accr Int]]*Bankingbook_SBV[[#This Row],[Quantity_edited]])*(-Bankingbook_SBV[[#This Row],[Modified Duration]]*0.0001+0.5*Bankingbook_SBV[[#This Row],[Conv]]*(0.0001^2))</f>
        <v>0</v>
      </c>
      <c r="FQ261" s="32">
        <f>(Bankingbook_SBV[[#This Row],[MARKET_VALUE]]+Bankingbook_SBV[[#This Row],[Accr Int]]*Bankingbook_SBV[[#This Row],[Quantity_edited]])*(-Bankingbook_SBV[[#This Row],[Modified Duration]]*0.01+0.5*Bankingbook_SBV[[#This Row],[Conv]]*(0.01^2))</f>
        <v>0</v>
      </c>
    </row>
    <row r="262" spans="2:173" x14ac:dyDescent="0.3">
      <c r="B262" t="s">
        <v>166</v>
      </c>
      <c r="C262" t="s">
        <v>167</v>
      </c>
      <c r="D262" t="s">
        <v>446</v>
      </c>
      <c r="E262" t="s">
        <v>169</v>
      </c>
      <c r="F262" s="502">
        <v>44140</v>
      </c>
      <c r="G262" t="s">
        <v>3322</v>
      </c>
      <c r="H262"/>
      <c r="I262"/>
      <c r="J262" s="38">
        <v>0</v>
      </c>
      <c r="K262">
        <v>0</v>
      </c>
      <c r="L262">
        <v>0</v>
      </c>
      <c r="M262" s="38">
        <v>0</v>
      </c>
      <c r="N262">
        <v>6.5</v>
      </c>
      <c r="O262">
        <v>0</v>
      </c>
      <c r="P262" s="37">
        <v>16250000000</v>
      </c>
      <c r="Q262" s="37">
        <v>17369889062.499931</v>
      </c>
      <c r="R262" s="37">
        <v>-12081707985.763494</v>
      </c>
      <c r="S262">
        <v>0</v>
      </c>
      <c r="T262" s="70">
        <v>0</v>
      </c>
      <c r="U262">
        <v>0</v>
      </c>
      <c r="V262">
        <v>0</v>
      </c>
      <c r="W262">
        <v>0</v>
      </c>
      <c r="X262" s="38">
        <v>0</v>
      </c>
      <c r="Y262">
        <v>0</v>
      </c>
      <c r="Z262" s="70">
        <v>17895000000</v>
      </c>
      <c r="AA262" s="70">
        <v>0</v>
      </c>
      <c r="AB262" s="70">
        <v>17895000000</v>
      </c>
      <c r="AC262" s="70">
        <v>17895000000</v>
      </c>
      <c r="AD262" s="70">
        <v>17895000000</v>
      </c>
      <c r="AE262" s="70">
        <v>17895000000</v>
      </c>
      <c r="AF262">
        <v>0</v>
      </c>
      <c r="AG262" s="72">
        <f>Tradingbook_MSB[[#This Row],[Mat. Date]]-RPT</f>
        <v>-2112</v>
      </c>
      <c r="AH262" s="71">
        <f>IF(Tradingbook_MSB[[#This Row],[Days]]&lt;=0,0,YEARFRAC(RPT,Tradingbook_MSB[[#This Row],[Mat. Date]],3))</f>
        <v>0</v>
      </c>
      <c r="AI262" s="71">
        <f>IF(Tradingbook_MSB[[#This Row],[Days (year)]]=0,0,INDEX(Ref!$K$2:$K$13,MATCH(Tradingbook_MSB[[#This Row],[Days (year)]],Ref!$I$2:$I$13,1)))</f>
        <v>0</v>
      </c>
      <c r="AJ262" s="120" t="str">
        <f>VLOOKUP(Tradingbook_MSB[[#This Row],[Security Name]],Ref!X:Z,3,0)</f>
        <v>TPCP</v>
      </c>
      <c r="AK262" s="120" t="str">
        <f>VLOOKUP(Tradingbook_MSB[[#This Row],[Security Name]],Ref!X:Y,2,0)</f>
        <v>KBNN</v>
      </c>
      <c r="AL262" s="71">
        <f>IF((Tradingbook_MSB[[#This Row],[Mat. Date]]-RPT)&lt;=0,0,Tradingbook_MSB[[#This Row],[QUANTITY]])</f>
        <v>0</v>
      </c>
      <c r="AM262" s="71">
        <f>IF(Tradingbook_MSB[[#This Row],[Quantity_edited]]=0,0,Tradingbook_MSB[[#This Row],[DURATION]])</f>
        <v>0</v>
      </c>
      <c r="AN262" s="71">
        <f>IF(Tradingbook_MSB[[#This Row],[Quantity_edited]]=0,0,Tradingbook_MSB[[#This Row],[Mod Dur]])</f>
        <v>0</v>
      </c>
      <c r="AO262" s="71">
        <f>IF(Tradingbook_MSB[[#This Row],[Quantity_edited]]=0,0,Tradingbook_MSB[[#This Row],[Cnvx.]])</f>
        <v>0</v>
      </c>
      <c r="AP262" s="71">
        <f>(Tradingbook_MSB[[#This Row],[MARKET_VALUE]]+Tradingbook_MSB[[#This Row],[Accr Int]]*Tradingbook_MSB[[#This Row],[Quantity_edited]])*(-Tradingbook_MSB[[#This Row],[Modified Duration]]*0.0001+0.5*Tradingbook_MSB[[#This Row],[Conv]]*(0.0001^2))</f>
        <v>0</v>
      </c>
      <c r="AQ262" s="72">
        <f>(Tradingbook_MSB[[#This Row],[MARKET_VALUE]]+Tradingbook_MSB[[#This Row],[Accr Int]]*Tradingbook_MSB[[#This Row],[Quantity_edited]])*(-Tradingbook_MSB[[#This Row],[Modified Duration]]*0.01+0.5*Tradingbook_MSB[[#This Row],[Conv]]*(0.01^2))</f>
        <v>0</v>
      </c>
      <c r="AR262" s="71"/>
      <c r="CL262" t="s">
        <v>166</v>
      </c>
      <c r="CM262" t="s">
        <v>167</v>
      </c>
      <c r="CN262" t="s">
        <v>446</v>
      </c>
      <c r="CO262" t="s">
        <v>169</v>
      </c>
      <c r="CP262" s="35">
        <v>44140</v>
      </c>
      <c r="CQ262" t="s">
        <v>3322</v>
      </c>
      <c r="CR262" t="s">
        <v>174</v>
      </c>
      <c r="CS262" t="s">
        <v>174</v>
      </c>
      <c r="CT262" s="49">
        <v>0</v>
      </c>
      <c r="CU262">
        <v>0</v>
      </c>
      <c r="CV262">
        <v>0</v>
      </c>
      <c r="CW262" s="70">
        <v>0</v>
      </c>
      <c r="CX262">
        <v>6.5</v>
      </c>
      <c r="CY262">
        <v>0</v>
      </c>
      <c r="CZ262">
        <v>16250000000</v>
      </c>
      <c r="DA262">
        <v>17369889062.499931</v>
      </c>
      <c r="DB262">
        <v>-12081707985.763494</v>
      </c>
      <c r="DC262">
        <v>0</v>
      </c>
      <c r="DD262">
        <v>0</v>
      </c>
      <c r="DE262">
        <v>0</v>
      </c>
      <c r="DF262">
        <v>0</v>
      </c>
      <c r="DG262">
        <v>0</v>
      </c>
      <c r="DH262">
        <v>0</v>
      </c>
      <c r="DI262">
        <v>0</v>
      </c>
      <c r="DJ262" s="500">
        <v>17895000000</v>
      </c>
      <c r="DK262" s="500">
        <v>0</v>
      </c>
      <c r="DL262" s="37">
        <v>17895000000</v>
      </c>
      <c r="DM262" s="37">
        <v>17895000000</v>
      </c>
      <c r="DN262" s="37">
        <v>17895000000</v>
      </c>
      <c r="DO262" s="37">
        <v>17895000000</v>
      </c>
      <c r="DP262" s="32">
        <f>Tradingbook_SBV[[#This Row],[Mat. Date]]-RPT</f>
        <v>-2112</v>
      </c>
      <c r="DQ262" s="32">
        <f>IF(Tradingbook_SBV[[#This Row],[Days]]&lt;=0,0,YEARFRAC(RPT,Tradingbook_SBV[[#This Row],[Mat. Date]],3))</f>
        <v>0</v>
      </c>
      <c r="DR262" s="32">
        <f>IF(Tradingbook_SBV[[#This Row],[Days (year)]]=0,0,INDEX(Ref!$K$2:$K$13,MATCH(Tradingbook_SBV[[#This Row],[Days (year)]],Ref!$I$2:$I$13,1)))</f>
        <v>0</v>
      </c>
      <c r="DS262" s="32" t="str">
        <f>VLOOKUP(Tradingbook_SBV[[#This Row],[Security Name]],Ref!X:Z,3,0)</f>
        <v>TPCP</v>
      </c>
      <c r="DT262" s="32" t="str">
        <f>VLOOKUP(Tradingbook_SBV[[#This Row],[Security Name]],Ref!X:Y,2,0)</f>
        <v>KBNN</v>
      </c>
      <c r="DU262" s="71">
        <f>IF((Tradingbook_SBV[[#This Row],[Mat. Date]]-RPT)&lt;=0,0,Tradingbook_SBV[[#This Row],[QUANTITY]])</f>
        <v>0</v>
      </c>
      <c r="DV262" s="71">
        <f>IF(Tradingbook_SBV[[#This Row],[Quantity_edited]]=0,0,Tradingbook_SBV[[#This Row],[DURATION]])</f>
        <v>0</v>
      </c>
      <c r="DW262" s="71">
        <f>IF(Tradingbook_SBV[[#This Row],[Quantity_edited]]=0,0,Tradingbook_SBV[[#This Row],[Mod Dur]])</f>
        <v>0</v>
      </c>
      <c r="DX262" s="71">
        <f>IF(Tradingbook_SBV[[#This Row],[Quantity_edited]]=0,0,Tradingbook_SBV[[#This Row],[Cnvx.]])</f>
        <v>0</v>
      </c>
      <c r="DY262" s="71">
        <f>(Tradingbook_SBV[[#This Row],[MARKET_VALUE]]+Tradingbook_SBV[[#This Row],[Accr Int]]*Tradingbook_SBV[[#This Row],[Quantity_edited]])*(-Tradingbook_SBV[[#This Row],[Modified Duration]]*0.0001+0.5*Tradingbook_SBV[[#This Row],[Conv]]*(0.0001^2))</f>
        <v>0</v>
      </c>
      <c r="DZ262" s="71">
        <f>(Tradingbook_SBV[[#This Row],[MARKET_VALUE]]+Tradingbook_SBV[[#This Row],[Accr Int]]*Tradingbook_SBV[[#This Row],[Quantity_edited]])*(-Tradingbook_SBV[[#This Row],[Modified Duration]]*0.01+0.5*Tradingbook_SBV[[#This Row],[Conv]]*(0.01^2))</f>
        <v>0</v>
      </c>
      <c r="EC262" t="s">
        <v>166</v>
      </c>
      <c r="ED262" t="s">
        <v>3301</v>
      </c>
      <c r="EE262" t="s">
        <v>2381</v>
      </c>
      <c r="EF262" t="s">
        <v>169</v>
      </c>
      <c r="EG262" s="35" t="s">
        <v>3444</v>
      </c>
      <c r="EH262" t="s">
        <v>170</v>
      </c>
      <c r="EI262" s="500">
        <v>101145</v>
      </c>
      <c r="EJ262" s="500">
        <v>101145</v>
      </c>
      <c r="EK262" s="500">
        <v>8500000</v>
      </c>
      <c r="EL262" s="500">
        <v>850000000000</v>
      </c>
      <c r="EM262" s="500">
        <v>112460.65</v>
      </c>
      <c r="EN262" s="500">
        <v>859732500000</v>
      </c>
      <c r="EO262">
        <v>4.5</v>
      </c>
      <c r="EP262">
        <v>2774</v>
      </c>
      <c r="EQ262">
        <v>74250000000</v>
      </c>
      <c r="ER262">
        <v>78516634375.000015</v>
      </c>
      <c r="ES262">
        <v>-87007502850.819458</v>
      </c>
      <c r="ET262">
        <v>4.2870923760000004</v>
      </c>
      <c r="EU262">
        <v>5.3195212281239002</v>
      </c>
      <c r="EV262">
        <v>5.5475740199999999</v>
      </c>
      <c r="EW262">
        <v>36.156815869633</v>
      </c>
      <c r="EX262">
        <v>319377.31261029339</v>
      </c>
      <c r="EY262">
        <v>-469879.42752959899</v>
      </c>
      <c r="EZ262">
        <v>101592.505</v>
      </c>
      <c r="FA262">
        <v>-22449772486.859371</v>
      </c>
      <c r="FB262">
        <v>-96183027513.140564</v>
      </c>
      <c r="FC262">
        <v>-118632799999.99994</v>
      </c>
      <c r="FD262">
        <v>-118632799999.99994</v>
      </c>
      <c r="FE262">
        <v>-118632800000</v>
      </c>
      <c r="FF262">
        <v>-118632799999.99994</v>
      </c>
      <c r="FG262" s="32">
        <f>Bankingbook_SBV[[#This Row],[Mat. Date]]-RPT</f>
        <v>2332</v>
      </c>
      <c r="FH262" s="32">
        <f>IF(Bankingbook_SBV[[#This Row],[Days]]&lt;=0,0,YEARFRAC(RPT,Bankingbook_SBV[[#This Row],[Mat. Date]],3))</f>
        <v>6.3890410958904109</v>
      </c>
      <c r="FI262" s="32" t="str">
        <f>IF(Bankingbook_SBV[[#This Row],[Days (year)]]=0,0,INDEX(Ref!$K$2:$K$13,MATCH(Bankingbook_SBV[[#This Row],[Days (year)]],Ref!$I$2:$I$13,1)))</f>
        <v>7Y</v>
      </c>
      <c r="FJ262" s="32" t="str">
        <f>VLOOKUP(Bankingbook_SBV[[#This Row],[Security Name]],Ref!X:Z,3,0)</f>
        <v>TPCP</v>
      </c>
      <c r="FK262" s="32" t="str">
        <f>VLOOKUP(Bankingbook_SBV[[#This Row],[Security Name]],Ref!X:Y,2,0)</f>
        <v>KBNN</v>
      </c>
      <c r="FL262" s="72">
        <f>IF((Bankingbook_SBV[[#This Row],[Mat. Date]]-RPT)&lt;=0,0,Bankingbook_SBV[[#This Row],[QUANTITY]])</f>
        <v>8500000</v>
      </c>
      <c r="FM262" s="32">
        <f>IF(Bankingbook_SBV[[#This Row],[Quantity_edited]]=0,0,Bankingbook_SBV[[#This Row],[DURATION]])</f>
        <v>5.5475740199999999</v>
      </c>
      <c r="FN262" s="32">
        <f>IF(Bankingbook_SBV[[#This Row],[Quantity_edited]]=0,0,Bankingbook_SBV[[#This Row],[Mod Dur]])</f>
        <v>5.3195212281239002</v>
      </c>
      <c r="FO262" s="32">
        <f>IF(Bankingbook_SBV[[#This Row],[Quantity_edited]]=0,0,Bankingbook_SBV[[#This Row],[Cnvx.]])</f>
        <v>36.156815869633</v>
      </c>
      <c r="FP262" s="32">
        <f>(Bankingbook_SBV[[#This Row],[MARKET_VALUE]]+Bankingbook_SBV[[#This Row],[Accr Int]]*Bankingbook_SBV[[#This Row],[Quantity_edited]])*(-Bankingbook_SBV[[#This Row],[Modified Duration]]*0.0001+0.5*Bankingbook_SBV[[#This Row],[Conv]]*(0.0001^2))</f>
        <v>-469719738.87329137</v>
      </c>
      <c r="FQ262" s="32">
        <f>(Bankingbook_SBV[[#This Row],[MARKET_VALUE]]+Bankingbook_SBV[[#This Row],[Accr Int]]*Bankingbook_SBV[[#This Row],[Quantity_edited]])*(-Bankingbook_SBV[[#This Row],[Modified Duration]]*0.01+0.5*Bankingbook_SBV[[#This Row],[Conv]]*(0.01^2))</f>
        <v>-45391056189.908173</v>
      </c>
    </row>
    <row r="263" spans="2:173" x14ac:dyDescent="0.3">
      <c r="B263" t="s">
        <v>166</v>
      </c>
      <c r="C263" t="s">
        <v>167</v>
      </c>
      <c r="D263" t="s">
        <v>447</v>
      </c>
      <c r="E263" t="s">
        <v>169</v>
      </c>
      <c r="F263" s="502">
        <v>44141</v>
      </c>
      <c r="G263" t="s">
        <v>3322</v>
      </c>
      <c r="H263"/>
      <c r="I263"/>
      <c r="J263" s="38">
        <v>0</v>
      </c>
      <c r="K263">
        <v>0</v>
      </c>
      <c r="L263">
        <v>0</v>
      </c>
      <c r="M263" s="38">
        <v>0</v>
      </c>
      <c r="N263">
        <v>7.2</v>
      </c>
      <c r="O263">
        <v>0</v>
      </c>
      <c r="P263" s="37">
        <v>3600000000</v>
      </c>
      <c r="Q263" s="37">
        <v>3949179999.9999962</v>
      </c>
      <c r="R263" s="37">
        <v>-1373701775.90276</v>
      </c>
      <c r="S263">
        <v>0</v>
      </c>
      <c r="T263" s="70">
        <v>0</v>
      </c>
      <c r="U263">
        <v>0</v>
      </c>
      <c r="V263">
        <v>0</v>
      </c>
      <c r="W263">
        <v>0</v>
      </c>
      <c r="X263" s="38">
        <v>0</v>
      </c>
      <c r="Y263">
        <v>0</v>
      </c>
      <c r="Z263" s="70">
        <v>2016400000</v>
      </c>
      <c r="AA263" s="70">
        <v>0</v>
      </c>
      <c r="AB263" s="70">
        <v>2016400000</v>
      </c>
      <c r="AC263" s="70">
        <v>2016400000</v>
      </c>
      <c r="AD263" s="70">
        <v>2016400000</v>
      </c>
      <c r="AE263" s="70">
        <v>2016400000</v>
      </c>
      <c r="AF263">
        <v>0</v>
      </c>
      <c r="AG263" s="72">
        <f>Tradingbook_MSB[[#This Row],[Mat. Date]]-RPT</f>
        <v>-2111</v>
      </c>
      <c r="AH263" s="71">
        <f>IF(Tradingbook_MSB[[#This Row],[Days]]&lt;=0,0,YEARFRAC(RPT,Tradingbook_MSB[[#This Row],[Mat. Date]],3))</f>
        <v>0</v>
      </c>
      <c r="AI263" s="71">
        <f>IF(Tradingbook_MSB[[#This Row],[Days (year)]]=0,0,INDEX(Ref!$K$2:$K$13,MATCH(Tradingbook_MSB[[#This Row],[Days (year)]],Ref!$I$2:$I$13,1)))</f>
        <v>0</v>
      </c>
      <c r="AJ263" s="120" t="str">
        <f>VLOOKUP(Tradingbook_MSB[[#This Row],[Security Name]],Ref!X:Z,3,0)</f>
        <v>TPCPBL</v>
      </c>
      <c r="AK263" s="120" t="str">
        <f>VLOOKUP(Tradingbook_MSB[[#This Row],[Security Name]],Ref!X:Y,2,0)</f>
        <v>VDB</v>
      </c>
      <c r="AL263" s="71">
        <f>IF((Tradingbook_MSB[[#This Row],[Mat. Date]]-RPT)&lt;=0,0,Tradingbook_MSB[[#This Row],[QUANTITY]])</f>
        <v>0</v>
      </c>
      <c r="AM263" s="71">
        <f>IF(Tradingbook_MSB[[#This Row],[Quantity_edited]]=0,0,Tradingbook_MSB[[#This Row],[DURATION]])</f>
        <v>0</v>
      </c>
      <c r="AN263" s="71">
        <f>IF(Tradingbook_MSB[[#This Row],[Quantity_edited]]=0,0,Tradingbook_MSB[[#This Row],[Mod Dur]])</f>
        <v>0</v>
      </c>
      <c r="AO263" s="71">
        <f>IF(Tradingbook_MSB[[#This Row],[Quantity_edited]]=0,0,Tradingbook_MSB[[#This Row],[Cnvx.]])</f>
        <v>0</v>
      </c>
      <c r="AP263" s="71">
        <f>(Tradingbook_MSB[[#This Row],[MARKET_VALUE]]+Tradingbook_MSB[[#This Row],[Accr Int]]*Tradingbook_MSB[[#This Row],[Quantity_edited]])*(-Tradingbook_MSB[[#This Row],[Modified Duration]]*0.0001+0.5*Tradingbook_MSB[[#This Row],[Conv]]*(0.0001^2))</f>
        <v>0</v>
      </c>
      <c r="AQ263" s="72">
        <f>(Tradingbook_MSB[[#This Row],[MARKET_VALUE]]+Tradingbook_MSB[[#This Row],[Accr Int]]*Tradingbook_MSB[[#This Row],[Quantity_edited]])*(-Tradingbook_MSB[[#This Row],[Modified Duration]]*0.01+0.5*Tradingbook_MSB[[#This Row],[Conv]]*(0.01^2))</f>
        <v>0</v>
      </c>
      <c r="AR263" s="71"/>
      <c r="CL263" t="s">
        <v>166</v>
      </c>
      <c r="CM263" t="s">
        <v>167</v>
      </c>
      <c r="CN263" t="s">
        <v>447</v>
      </c>
      <c r="CO263" t="s">
        <v>169</v>
      </c>
      <c r="CP263" s="35">
        <v>44141</v>
      </c>
      <c r="CQ263" t="s">
        <v>3322</v>
      </c>
      <c r="CR263" t="s">
        <v>174</v>
      </c>
      <c r="CS263" t="s">
        <v>174</v>
      </c>
      <c r="CT263" s="49">
        <v>0</v>
      </c>
      <c r="CU263">
        <v>0</v>
      </c>
      <c r="CV263">
        <v>0</v>
      </c>
      <c r="CW263" s="70">
        <v>0</v>
      </c>
      <c r="CX263">
        <v>7.2</v>
      </c>
      <c r="CY263">
        <v>0</v>
      </c>
      <c r="CZ263">
        <v>3600000000</v>
      </c>
      <c r="DA263">
        <v>3949179999.9999962</v>
      </c>
      <c r="DB263">
        <v>-1349583887.8472042</v>
      </c>
      <c r="DC263">
        <v>0</v>
      </c>
      <c r="DD263">
        <v>0</v>
      </c>
      <c r="DE263">
        <v>0</v>
      </c>
      <c r="DF263">
        <v>0</v>
      </c>
      <c r="DG263">
        <v>0</v>
      </c>
      <c r="DH263">
        <v>0</v>
      </c>
      <c r="DI263">
        <v>0</v>
      </c>
      <c r="DJ263" s="500">
        <v>2034000000</v>
      </c>
      <c r="DK263" s="500">
        <v>0</v>
      </c>
      <c r="DL263" s="37">
        <v>2034000000</v>
      </c>
      <c r="DM263" s="37">
        <v>2034000000</v>
      </c>
      <c r="DN263" s="37">
        <v>2034000000</v>
      </c>
      <c r="DO263" s="37">
        <v>2034000000</v>
      </c>
      <c r="DP263" s="32">
        <f>Tradingbook_SBV[[#This Row],[Mat. Date]]-RPT</f>
        <v>-2111</v>
      </c>
      <c r="DQ263" s="32">
        <f>IF(Tradingbook_SBV[[#This Row],[Days]]&lt;=0,0,YEARFRAC(RPT,Tradingbook_SBV[[#This Row],[Mat. Date]],3))</f>
        <v>0</v>
      </c>
      <c r="DR263" s="32">
        <f>IF(Tradingbook_SBV[[#This Row],[Days (year)]]=0,0,INDEX(Ref!$K$2:$K$13,MATCH(Tradingbook_SBV[[#This Row],[Days (year)]],Ref!$I$2:$I$13,1)))</f>
        <v>0</v>
      </c>
      <c r="DS263" s="32" t="str">
        <f>VLOOKUP(Tradingbook_SBV[[#This Row],[Security Name]],Ref!X:Z,3,0)</f>
        <v>TPCPBL</v>
      </c>
      <c r="DT263" s="32" t="str">
        <f>VLOOKUP(Tradingbook_SBV[[#This Row],[Security Name]],Ref!X:Y,2,0)</f>
        <v>VDB</v>
      </c>
      <c r="DU263" s="71">
        <f>IF((Tradingbook_SBV[[#This Row],[Mat. Date]]-RPT)&lt;=0,0,Tradingbook_SBV[[#This Row],[QUANTITY]])</f>
        <v>0</v>
      </c>
      <c r="DV263" s="71">
        <f>IF(Tradingbook_SBV[[#This Row],[Quantity_edited]]=0,0,Tradingbook_SBV[[#This Row],[DURATION]])</f>
        <v>0</v>
      </c>
      <c r="DW263" s="71">
        <f>IF(Tradingbook_SBV[[#This Row],[Quantity_edited]]=0,0,Tradingbook_SBV[[#This Row],[Mod Dur]])</f>
        <v>0</v>
      </c>
      <c r="DX263" s="71">
        <f>IF(Tradingbook_SBV[[#This Row],[Quantity_edited]]=0,0,Tradingbook_SBV[[#This Row],[Cnvx.]])</f>
        <v>0</v>
      </c>
      <c r="DY263" s="71">
        <f>(Tradingbook_SBV[[#This Row],[MARKET_VALUE]]+Tradingbook_SBV[[#This Row],[Accr Int]]*Tradingbook_SBV[[#This Row],[Quantity_edited]])*(-Tradingbook_SBV[[#This Row],[Modified Duration]]*0.0001+0.5*Tradingbook_SBV[[#This Row],[Conv]]*(0.0001^2))</f>
        <v>0</v>
      </c>
      <c r="DZ263" s="71">
        <f>(Tradingbook_SBV[[#This Row],[MARKET_VALUE]]+Tradingbook_SBV[[#This Row],[Accr Int]]*Tradingbook_SBV[[#This Row],[Quantity_edited]])*(-Tradingbook_SBV[[#This Row],[Modified Duration]]*0.01+0.5*Tradingbook_SBV[[#This Row],[Conv]]*(0.01^2))</f>
        <v>0</v>
      </c>
      <c r="EC263" t="s">
        <v>166</v>
      </c>
      <c r="ED263" t="s">
        <v>3301</v>
      </c>
      <c r="EE263" t="s">
        <v>660</v>
      </c>
      <c r="EF263" t="s">
        <v>169</v>
      </c>
      <c r="EG263" s="35" t="s">
        <v>3826</v>
      </c>
      <c r="EH263" t="s">
        <v>170</v>
      </c>
      <c r="EI263" s="500">
        <v>104987</v>
      </c>
      <c r="EJ263" s="500">
        <v>104987</v>
      </c>
      <c r="EK263" s="500">
        <v>3600000</v>
      </c>
      <c r="EL263" s="500">
        <v>360000000000</v>
      </c>
      <c r="EM263" s="500">
        <v>114915.17200000001</v>
      </c>
      <c r="EN263" s="500">
        <v>377953200000</v>
      </c>
      <c r="EO263">
        <v>5.2</v>
      </c>
      <c r="EP263">
        <v>3120</v>
      </c>
      <c r="EQ263">
        <v>63440000000</v>
      </c>
      <c r="ER263">
        <v>68936012888.888855</v>
      </c>
      <c r="ES263">
        <v>-47241666754.530472</v>
      </c>
      <c r="ET263">
        <v>4.287722488</v>
      </c>
      <c r="EU263">
        <v>5.2470653083706997</v>
      </c>
      <c r="EV263">
        <v>5.4720449100000002</v>
      </c>
      <c r="EW263">
        <v>35.5466844143942</v>
      </c>
      <c r="EX263">
        <v>138342.4348315289</v>
      </c>
      <c r="EY263">
        <v>-204208.01614513199</v>
      </c>
      <c r="EZ263">
        <v>44767.889000000003</v>
      </c>
      <c r="FA263">
        <v>-47671026522.05748</v>
      </c>
      <c r="FB263">
        <v>-35741418173.943382</v>
      </c>
      <c r="FC263">
        <v>-83412444696.000854</v>
      </c>
      <c r="FD263">
        <v>-83412444696.000854</v>
      </c>
      <c r="FE263">
        <v>-83412444696.001007</v>
      </c>
      <c r="FF263">
        <v>-83412444696.000854</v>
      </c>
      <c r="FG263" s="32">
        <f>Bankingbook_SBV[[#This Row],[Mat. Date]]-RPT</f>
        <v>2338</v>
      </c>
      <c r="FH263" s="32">
        <f>IF(Bankingbook_SBV[[#This Row],[Days]]&lt;=0,0,YEARFRAC(RPT,Bankingbook_SBV[[#This Row],[Mat. Date]],3))</f>
        <v>6.4054794520547942</v>
      </c>
      <c r="FI263" s="32" t="str">
        <f>IF(Bankingbook_SBV[[#This Row],[Days (year)]]=0,0,INDEX(Ref!$K$2:$K$13,MATCH(Bankingbook_SBV[[#This Row],[Days (year)]],Ref!$I$2:$I$13,1)))</f>
        <v>7Y</v>
      </c>
      <c r="FJ263" s="32" t="str">
        <f>VLOOKUP(Bankingbook_SBV[[#This Row],[Security Name]],Ref!X:Z,3,0)</f>
        <v>TPCP</v>
      </c>
      <c r="FK263" s="32" t="str">
        <f>VLOOKUP(Bankingbook_SBV[[#This Row],[Security Name]],Ref!X:Y,2,0)</f>
        <v>KBNN</v>
      </c>
      <c r="FL263" s="72">
        <f>IF((Bankingbook_SBV[[#This Row],[Mat. Date]]-RPT)&lt;=0,0,Bankingbook_SBV[[#This Row],[QUANTITY]])</f>
        <v>3600000</v>
      </c>
      <c r="FM263" s="32">
        <f>IF(Bankingbook_SBV[[#This Row],[Quantity_edited]]=0,0,Bankingbook_SBV[[#This Row],[DURATION]])</f>
        <v>5.4720449100000002</v>
      </c>
      <c r="FN263" s="32">
        <f>IF(Bankingbook_SBV[[#This Row],[Quantity_edited]]=0,0,Bankingbook_SBV[[#This Row],[Mod Dur]])</f>
        <v>5.2470653083706997</v>
      </c>
      <c r="FO263" s="32">
        <f>IF(Bankingbook_SBV[[#This Row],[Quantity_edited]]=0,0,Bankingbook_SBV[[#This Row],[Cnvx.]])</f>
        <v>35.5466844143942</v>
      </c>
      <c r="FP263" s="32">
        <f>(Bankingbook_SBV[[#This Row],[MARKET_VALUE]]+Bankingbook_SBV[[#This Row],[Accr Int]]*Bankingbook_SBV[[#This Row],[Quantity_edited]])*(-Bankingbook_SBV[[#This Row],[Modified Duration]]*0.0001+0.5*Bankingbook_SBV[[#This Row],[Conv]]*(0.0001^2))</f>
        <v>-204138844.92771551</v>
      </c>
      <c r="FQ263" s="32">
        <f>(Bankingbook_SBV[[#This Row],[MARKET_VALUE]]+Bankingbook_SBV[[#This Row],[Accr Int]]*Bankingbook_SBV[[#This Row],[Quantity_edited]])*(-Bankingbook_SBV[[#This Row],[Modified Duration]]*0.01+0.5*Bankingbook_SBV[[#This Row],[Conv]]*(0.01^2))</f>
        <v>-19729089440.35548</v>
      </c>
    </row>
    <row r="264" spans="2:173" x14ac:dyDescent="0.3">
      <c r="B264" t="s">
        <v>166</v>
      </c>
      <c r="C264" t="s">
        <v>167</v>
      </c>
      <c r="D264" t="s">
        <v>448</v>
      </c>
      <c r="E264" t="s">
        <v>169</v>
      </c>
      <c r="F264" s="502">
        <v>44145</v>
      </c>
      <c r="G264" t="s">
        <v>3322</v>
      </c>
      <c r="H264"/>
      <c r="I264"/>
      <c r="J264" s="38">
        <v>0</v>
      </c>
      <c r="K264">
        <v>0</v>
      </c>
      <c r="L264">
        <v>0</v>
      </c>
      <c r="M264" s="38">
        <v>0</v>
      </c>
      <c r="N264">
        <v>6.6</v>
      </c>
      <c r="O264">
        <v>0</v>
      </c>
      <c r="P264" s="37">
        <v>6600000000</v>
      </c>
      <c r="Q264" s="37">
        <v>6687297833.3333321</v>
      </c>
      <c r="R264" s="37">
        <v>-1276815159.2708442</v>
      </c>
      <c r="S264">
        <v>0</v>
      </c>
      <c r="T264" s="70">
        <v>0</v>
      </c>
      <c r="U264">
        <v>0</v>
      </c>
      <c r="V264">
        <v>0</v>
      </c>
      <c r="W264">
        <v>0</v>
      </c>
      <c r="X264" s="38">
        <v>0</v>
      </c>
      <c r="Y264">
        <v>0</v>
      </c>
      <c r="Z264" s="70">
        <v>-1374250000</v>
      </c>
      <c r="AA264" s="70">
        <v>0</v>
      </c>
      <c r="AB264" s="70">
        <v>-1374250000</v>
      </c>
      <c r="AC264" s="70">
        <v>-1374250000</v>
      </c>
      <c r="AD264" s="70">
        <v>-1374250000</v>
      </c>
      <c r="AE264" s="70">
        <v>-1374250000</v>
      </c>
      <c r="AF264">
        <v>0</v>
      </c>
      <c r="AG264" s="72">
        <f>Tradingbook_MSB[[#This Row],[Mat. Date]]-RPT</f>
        <v>-2107</v>
      </c>
      <c r="AH264" s="71">
        <f>IF(Tradingbook_MSB[[#This Row],[Days]]&lt;=0,0,YEARFRAC(RPT,Tradingbook_MSB[[#This Row],[Mat. Date]],3))</f>
        <v>0</v>
      </c>
      <c r="AI264" s="71">
        <f>IF(Tradingbook_MSB[[#This Row],[Days (year)]]=0,0,INDEX(Ref!$K$2:$K$13,MATCH(Tradingbook_MSB[[#This Row],[Days (year)]],Ref!$I$2:$I$13,1)))</f>
        <v>0</v>
      </c>
      <c r="AJ264" s="120" t="str">
        <f>VLOOKUP(Tradingbook_MSB[[#This Row],[Security Name]],Ref!X:Z,3,0)</f>
        <v>TPCP</v>
      </c>
      <c r="AK264" s="120" t="str">
        <f>VLOOKUP(Tradingbook_MSB[[#This Row],[Security Name]],Ref!X:Y,2,0)</f>
        <v>KBNN</v>
      </c>
      <c r="AL264" s="71">
        <f>IF((Tradingbook_MSB[[#This Row],[Mat. Date]]-RPT)&lt;=0,0,Tradingbook_MSB[[#This Row],[QUANTITY]])</f>
        <v>0</v>
      </c>
      <c r="AM264" s="71">
        <f>IF(Tradingbook_MSB[[#This Row],[Quantity_edited]]=0,0,Tradingbook_MSB[[#This Row],[DURATION]])</f>
        <v>0</v>
      </c>
      <c r="AN264" s="71">
        <f>IF(Tradingbook_MSB[[#This Row],[Quantity_edited]]=0,0,Tradingbook_MSB[[#This Row],[Mod Dur]])</f>
        <v>0</v>
      </c>
      <c r="AO264" s="71">
        <f>IF(Tradingbook_MSB[[#This Row],[Quantity_edited]]=0,0,Tradingbook_MSB[[#This Row],[Cnvx.]])</f>
        <v>0</v>
      </c>
      <c r="AP264" s="71">
        <f>(Tradingbook_MSB[[#This Row],[MARKET_VALUE]]+Tradingbook_MSB[[#This Row],[Accr Int]]*Tradingbook_MSB[[#This Row],[Quantity_edited]])*(-Tradingbook_MSB[[#This Row],[Modified Duration]]*0.0001+0.5*Tradingbook_MSB[[#This Row],[Conv]]*(0.0001^2))</f>
        <v>0</v>
      </c>
      <c r="AQ264" s="72">
        <f>(Tradingbook_MSB[[#This Row],[MARKET_VALUE]]+Tradingbook_MSB[[#This Row],[Accr Int]]*Tradingbook_MSB[[#This Row],[Quantity_edited]])*(-Tradingbook_MSB[[#This Row],[Modified Duration]]*0.01+0.5*Tradingbook_MSB[[#This Row],[Conv]]*(0.01^2))</f>
        <v>0</v>
      </c>
      <c r="AR264" s="71"/>
      <c r="CL264" t="s">
        <v>166</v>
      </c>
      <c r="CM264" t="s">
        <v>167</v>
      </c>
      <c r="CN264" t="s">
        <v>448</v>
      </c>
      <c r="CO264" t="s">
        <v>169</v>
      </c>
      <c r="CP264" s="35">
        <v>44145</v>
      </c>
      <c r="CQ264" t="s">
        <v>3322</v>
      </c>
      <c r="CR264" t="s">
        <v>174</v>
      </c>
      <c r="CS264" t="s">
        <v>174</v>
      </c>
      <c r="CT264" s="49">
        <v>0</v>
      </c>
      <c r="CU264">
        <v>0</v>
      </c>
      <c r="CV264">
        <v>0</v>
      </c>
      <c r="CW264" s="70">
        <v>0</v>
      </c>
      <c r="CX264">
        <v>6.6</v>
      </c>
      <c r="CY264">
        <v>0</v>
      </c>
      <c r="CZ264">
        <v>6600000000</v>
      </c>
      <c r="DA264">
        <v>6687297833.3333321</v>
      </c>
      <c r="DB264">
        <v>-1276815159.2708442</v>
      </c>
      <c r="DC264">
        <v>0</v>
      </c>
      <c r="DD264">
        <v>0</v>
      </c>
      <c r="DE264">
        <v>0</v>
      </c>
      <c r="DF264">
        <v>0</v>
      </c>
      <c r="DG264">
        <v>0</v>
      </c>
      <c r="DH264">
        <v>0</v>
      </c>
      <c r="DI264">
        <v>0</v>
      </c>
      <c r="DJ264" s="500">
        <v>-1374250000</v>
      </c>
      <c r="DK264" s="500">
        <v>0</v>
      </c>
      <c r="DL264" s="37">
        <v>-1374250000</v>
      </c>
      <c r="DM264" s="37">
        <v>-1374250000</v>
      </c>
      <c r="DN264" s="37">
        <v>-1374250000</v>
      </c>
      <c r="DO264" s="37">
        <v>-1374250000</v>
      </c>
      <c r="DP264" s="32">
        <f>Tradingbook_SBV[[#This Row],[Mat. Date]]-RPT</f>
        <v>-2107</v>
      </c>
      <c r="DQ264" s="32">
        <f>IF(Tradingbook_SBV[[#This Row],[Days]]&lt;=0,0,YEARFRAC(RPT,Tradingbook_SBV[[#This Row],[Mat. Date]],3))</f>
        <v>0</v>
      </c>
      <c r="DR264" s="32">
        <f>IF(Tradingbook_SBV[[#This Row],[Days (year)]]=0,0,INDEX(Ref!$K$2:$K$13,MATCH(Tradingbook_SBV[[#This Row],[Days (year)]],Ref!$I$2:$I$13,1)))</f>
        <v>0</v>
      </c>
      <c r="DS264" s="32" t="str">
        <f>VLOOKUP(Tradingbook_SBV[[#This Row],[Security Name]],Ref!X:Z,3,0)</f>
        <v>TPCP</v>
      </c>
      <c r="DT264" s="32" t="str">
        <f>VLOOKUP(Tradingbook_SBV[[#This Row],[Security Name]],Ref!X:Y,2,0)</f>
        <v>KBNN</v>
      </c>
      <c r="DU264" s="71">
        <f>IF((Tradingbook_SBV[[#This Row],[Mat. Date]]-RPT)&lt;=0,0,Tradingbook_SBV[[#This Row],[QUANTITY]])</f>
        <v>0</v>
      </c>
      <c r="DV264" s="71">
        <f>IF(Tradingbook_SBV[[#This Row],[Quantity_edited]]=0,0,Tradingbook_SBV[[#This Row],[DURATION]])</f>
        <v>0</v>
      </c>
      <c r="DW264" s="71">
        <f>IF(Tradingbook_SBV[[#This Row],[Quantity_edited]]=0,0,Tradingbook_SBV[[#This Row],[Mod Dur]])</f>
        <v>0</v>
      </c>
      <c r="DX264" s="71">
        <f>IF(Tradingbook_SBV[[#This Row],[Quantity_edited]]=0,0,Tradingbook_SBV[[#This Row],[Cnvx.]])</f>
        <v>0</v>
      </c>
      <c r="DY264" s="71">
        <f>(Tradingbook_SBV[[#This Row],[MARKET_VALUE]]+Tradingbook_SBV[[#This Row],[Accr Int]]*Tradingbook_SBV[[#This Row],[Quantity_edited]])*(-Tradingbook_SBV[[#This Row],[Modified Duration]]*0.0001+0.5*Tradingbook_SBV[[#This Row],[Conv]]*(0.0001^2))</f>
        <v>0</v>
      </c>
      <c r="DZ264" s="71">
        <f>(Tradingbook_SBV[[#This Row],[MARKET_VALUE]]+Tradingbook_SBV[[#This Row],[Accr Int]]*Tradingbook_SBV[[#This Row],[Quantity_edited]])*(-Tradingbook_SBV[[#This Row],[Modified Duration]]*0.01+0.5*Tradingbook_SBV[[#This Row],[Conv]]*(0.01^2))</f>
        <v>0</v>
      </c>
      <c r="EC264" t="s">
        <v>166</v>
      </c>
      <c r="ED264" t="s">
        <v>3301</v>
      </c>
      <c r="EE264" t="s">
        <v>2385</v>
      </c>
      <c r="EF264" t="s">
        <v>169</v>
      </c>
      <c r="EG264" s="35" t="s">
        <v>3488</v>
      </c>
      <c r="EH264" t="s">
        <v>170</v>
      </c>
      <c r="EI264" s="500">
        <v>99480</v>
      </c>
      <c r="EJ264" s="500">
        <v>99480</v>
      </c>
      <c r="EK264" s="500">
        <v>1000000</v>
      </c>
      <c r="EL264" s="500">
        <v>100000000000</v>
      </c>
      <c r="EM264" s="500">
        <v>109751.708</v>
      </c>
      <c r="EN264" s="500">
        <v>99480000000</v>
      </c>
      <c r="EO264">
        <v>4.2</v>
      </c>
      <c r="EP264">
        <v>2267</v>
      </c>
      <c r="EQ264">
        <v>12600000000</v>
      </c>
      <c r="ER264">
        <v>13386035833.333344</v>
      </c>
      <c r="ES264">
        <v>-13130898689.583334</v>
      </c>
      <c r="ET264">
        <v>4.2898791599999999</v>
      </c>
      <c r="EU264">
        <v>5.4329029996482001</v>
      </c>
      <c r="EV264">
        <v>5.6659679699999996</v>
      </c>
      <c r="EW264">
        <v>37.377323537438301</v>
      </c>
      <c r="EX264">
        <v>38030.305379637299</v>
      </c>
      <c r="EY264">
        <v>-55278.158150520998</v>
      </c>
      <c r="EZ264">
        <v>11709.700999999999</v>
      </c>
      <c r="FA264">
        <v>-2577291666.6666279</v>
      </c>
      <c r="FB264">
        <v>-10271708333.333328</v>
      </c>
      <c r="FC264">
        <v>-12848999999.999956</v>
      </c>
      <c r="FD264">
        <v>-12848999999.999956</v>
      </c>
      <c r="FE264">
        <v>-12849000000</v>
      </c>
      <c r="FF264">
        <v>-12848999999.999956</v>
      </c>
      <c r="FG264" s="32">
        <f>Bankingbook_SBV[[#This Row],[Mat. Date]]-RPT</f>
        <v>2360</v>
      </c>
      <c r="FH264" s="32">
        <f>IF(Bankingbook_SBV[[#This Row],[Days]]&lt;=0,0,YEARFRAC(RPT,Bankingbook_SBV[[#This Row],[Mat. Date]],3))</f>
        <v>6.4657534246575343</v>
      </c>
      <c r="FI264" s="32" t="str">
        <f>IF(Bankingbook_SBV[[#This Row],[Days (year)]]=0,0,INDEX(Ref!$K$2:$K$13,MATCH(Bankingbook_SBV[[#This Row],[Days (year)]],Ref!$I$2:$I$13,1)))</f>
        <v>7Y</v>
      </c>
      <c r="FJ264" s="32" t="str">
        <f>VLOOKUP(Bankingbook_SBV[[#This Row],[Security Name]],Ref!X:Z,3,0)</f>
        <v>TPCP</v>
      </c>
      <c r="FK264" s="32" t="str">
        <f>VLOOKUP(Bankingbook_SBV[[#This Row],[Security Name]],Ref!X:Y,2,0)</f>
        <v>KBNN</v>
      </c>
      <c r="FL264" s="72">
        <f>IF((Bankingbook_SBV[[#This Row],[Mat. Date]]-RPT)&lt;=0,0,Bankingbook_SBV[[#This Row],[QUANTITY]])</f>
        <v>1000000</v>
      </c>
      <c r="FM264" s="32">
        <f>IF(Bankingbook_SBV[[#This Row],[Quantity_edited]]=0,0,Bankingbook_SBV[[#This Row],[DURATION]])</f>
        <v>5.6659679699999996</v>
      </c>
      <c r="FN264" s="32">
        <f>IF(Bankingbook_SBV[[#This Row],[Quantity_edited]]=0,0,Bankingbook_SBV[[#This Row],[Mod Dur]])</f>
        <v>5.4329029996482001</v>
      </c>
      <c r="FO264" s="32">
        <f>IF(Bankingbook_SBV[[#This Row],[Quantity_edited]]=0,0,Bankingbook_SBV[[#This Row],[Cnvx.]])</f>
        <v>37.377323537438301</v>
      </c>
      <c r="FP264" s="32">
        <f>(Bankingbook_SBV[[#This Row],[MARKET_VALUE]]+Bankingbook_SBV[[#This Row],[Accr Int]]*Bankingbook_SBV[[#This Row],[Quantity_edited]])*(-Bankingbook_SBV[[#This Row],[Modified Duration]]*0.0001+0.5*Bankingbook_SBV[[#This Row],[Conv]]*(0.0001^2))</f>
        <v>-55259142.997830726</v>
      </c>
      <c r="FQ264" s="32">
        <f>(Bankingbook_SBV[[#This Row],[MARKET_VALUE]]+Bankingbook_SBV[[#This Row],[Accr Int]]*Bankingbook_SBV[[#This Row],[Quantity_edited]])*(-Bankingbook_SBV[[#This Row],[Modified Duration]]*0.01+0.5*Bankingbook_SBV[[#This Row],[Conv]]*(0.01^2))</f>
        <v>-5337664288.1538677</v>
      </c>
    </row>
    <row r="265" spans="2:173" x14ac:dyDescent="0.3">
      <c r="B265" t="s">
        <v>166</v>
      </c>
      <c r="C265" t="s">
        <v>167</v>
      </c>
      <c r="D265" t="s">
        <v>449</v>
      </c>
      <c r="E265" t="s">
        <v>169</v>
      </c>
      <c r="F265" s="502">
        <v>44147</v>
      </c>
      <c r="G265" t="s">
        <v>3322</v>
      </c>
      <c r="H265"/>
      <c r="I265"/>
      <c r="J265" s="38">
        <v>0</v>
      </c>
      <c r="K265">
        <v>0</v>
      </c>
      <c r="L265">
        <v>0</v>
      </c>
      <c r="M265" s="38">
        <v>0</v>
      </c>
      <c r="N265">
        <v>6.6</v>
      </c>
      <c r="O265">
        <v>0</v>
      </c>
      <c r="P265" s="37">
        <v>13200000000</v>
      </c>
      <c r="Q265" s="37">
        <v>14290570249.999924</v>
      </c>
      <c r="R265" s="37">
        <v>-14479432738.541279</v>
      </c>
      <c r="S265">
        <v>0</v>
      </c>
      <c r="T265" s="70">
        <v>0</v>
      </c>
      <c r="U265">
        <v>0</v>
      </c>
      <c r="V265">
        <v>0</v>
      </c>
      <c r="W265">
        <v>0</v>
      </c>
      <c r="X265" s="38">
        <v>0</v>
      </c>
      <c r="Y265">
        <v>0</v>
      </c>
      <c r="Z265" s="70">
        <v>15332500000</v>
      </c>
      <c r="AA265" s="70">
        <v>0</v>
      </c>
      <c r="AB265" s="70">
        <v>15332500000</v>
      </c>
      <c r="AC265" s="70">
        <v>15332500000</v>
      </c>
      <c r="AD265" s="70">
        <v>15332500000</v>
      </c>
      <c r="AE265" s="70">
        <v>15332500000</v>
      </c>
      <c r="AF265">
        <v>0</v>
      </c>
      <c r="AG265" s="72">
        <f>Tradingbook_MSB[[#This Row],[Mat. Date]]-RPT</f>
        <v>-2105</v>
      </c>
      <c r="AH265" s="71">
        <f>IF(Tradingbook_MSB[[#This Row],[Days]]&lt;=0,0,YEARFRAC(RPT,Tradingbook_MSB[[#This Row],[Mat. Date]],3))</f>
        <v>0</v>
      </c>
      <c r="AI265" s="71">
        <f>IF(Tradingbook_MSB[[#This Row],[Days (year)]]=0,0,INDEX(Ref!$K$2:$K$13,MATCH(Tradingbook_MSB[[#This Row],[Days (year)]],Ref!$I$2:$I$13,1)))</f>
        <v>0</v>
      </c>
      <c r="AJ265" s="120" t="str">
        <f>VLOOKUP(Tradingbook_MSB[[#This Row],[Security Name]],Ref!X:Z,3,0)</f>
        <v>TPCP</v>
      </c>
      <c r="AK265" s="120" t="str">
        <f>VLOOKUP(Tradingbook_MSB[[#This Row],[Security Name]],Ref!X:Y,2,0)</f>
        <v>KBNN</v>
      </c>
      <c r="AL265" s="71">
        <f>IF((Tradingbook_MSB[[#This Row],[Mat. Date]]-RPT)&lt;=0,0,Tradingbook_MSB[[#This Row],[QUANTITY]])</f>
        <v>0</v>
      </c>
      <c r="AM265" s="71">
        <f>IF(Tradingbook_MSB[[#This Row],[Quantity_edited]]=0,0,Tradingbook_MSB[[#This Row],[DURATION]])</f>
        <v>0</v>
      </c>
      <c r="AN265" s="71">
        <f>IF(Tradingbook_MSB[[#This Row],[Quantity_edited]]=0,0,Tradingbook_MSB[[#This Row],[Mod Dur]])</f>
        <v>0</v>
      </c>
      <c r="AO265" s="71">
        <f>IF(Tradingbook_MSB[[#This Row],[Quantity_edited]]=0,0,Tradingbook_MSB[[#This Row],[Cnvx.]])</f>
        <v>0</v>
      </c>
      <c r="AP265" s="71">
        <f>(Tradingbook_MSB[[#This Row],[MARKET_VALUE]]+Tradingbook_MSB[[#This Row],[Accr Int]]*Tradingbook_MSB[[#This Row],[Quantity_edited]])*(-Tradingbook_MSB[[#This Row],[Modified Duration]]*0.0001+0.5*Tradingbook_MSB[[#This Row],[Conv]]*(0.0001^2))</f>
        <v>0</v>
      </c>
      <c r="AQ265" s="72">
        <f>(Tradingbook_MSB[[#This Row],[MARKET_VALUE]]+Tradingbook_MSB[[#This Row],[Accr Int]]*Tradingbook_MSB[[#This Row],[Quantity_edited]])*(-Tradingbook_MSB[[#This Row],[Modified Duration]]*0.01+0.5*Tradingbook_MSB[[#This Row],[Conv]]*(0.01^2))</f>
        <v>0</v>
      </c>
      <c r="AR265" s="71"/>
      <c r="CL265" t="s">
        <v>166</v>
      </c>
      <c r="CM265" t="s">
        <v>167</v>
      </c>
      <c r="CN265" t="s">
        <v>449</v>
      </c>
      <c r="CO265" t="s">
        <v>169</v>
      </c>
      <c r="CP265" s="35">
        <v>44147</v>
      </c>
      <c r="CQ265" t="s">
        <v>3322</v>
      </c>
      <c r="CR265" t="s">
        <v>174</v>
      </c>
      <c r="CS265" t="s">
        <v>174</v>
      </c>
      <c r="CT265" s="49">
        <v>0</v>
      </c>
      <c r="CU265">
        <v>0</v>
      </c>
      <c r="CV265">
        <v>0</v>
      </c>
      <c r="CW265" s="70">
        <v>0</v>
      </c>
      <c r="CX265">
        <v>6.6</v>
      </c>
      <c r="CY265">
        <v>0</v>
      </c>
      <c r="CZ265">
        <v>13200000000</v>
      </c>
      <c r="DA265">
        <v>14290570249.999924</v>
      </c>
      <c r="DB265">
        <v>-14479432738.541279</v>
      </c>
      <c r="DC265">
        <v>0</v>
      </c>
      <c r="DD265">
        <v>0</v>
      </c>
      <c r="DE265">
        <v>0</v>
      </c>
      <c r="DF265">
        <v>0</v>
      </c>
      <c r="DG265">
        <v>0</v>
      </c>
      <c r="DH265">
        <v>0</v>
      </c>
      <c r="DI265">
        <v>0</v>
      </c>
      <c r="DJ265" s="500">
        <v>15332500000</v>
      </c>
      <c r="DK265" s="500">
        <v>0</v>
      </c>
      <c r="DL265" s="37">
        <v>15332500000</v>
      </c>
      <c r="DM265" s="37">
        <v>15332500000</v>
      </c>
      <c r="DN265" s="37">
        <v>15332500000</v>
      </c>
      <c r="DO265" s="37">
        <v>15332500000</v>
      </c>
      <c r="DP265" s="32">
        <f>Tradingbook_SBV[[#This Row],[Mat. Date]]-RPT</f>
        <v>-2105</v>
      </c>
      <c r="DQ265" s="32">
        <f>IF(Tradingbook_SBV[[#This Row],[Days]]&lt;=0,0,YEARFRAC(RPT,Tradingbook_SBV[[#This Row],[Mat. Date]],3))</f>
        <v>0</v>
      </c>
      <c r="DR265" s="32">
        <f>IF(Tradingbook_SBV[[#This Row],[Days (year)]]=0,0,INDEX(Ref!$K$2:$K$13,MATCH(Tradingbook_SBV[[#This Row],[Days (year)]],Ref!$I$2:$I$13,1)))</f>
        <v>0</v>
      </c>
      <c r="DS265" s="32" t="str">
        <f>VLOOKUP(Tradingbook_SBV[[#This Row],[Security Name]],Ref!X:Z,3,0)</f>
        <v>TPCP</v>
      </c>
      <c r="DT265" s="32" t="str">
        <f>VLOOKUP(Tradingbook_SBV[[#This Row],[Security Name]],Ref!X:Y,2,0)</f>
        <v>KBNN</v>
      </c>
      <c r="DU265" s="71">
        <f>IF((Tradingbook_SBV[[#This Row],[Mat. Date]]-RPT)&lt;=0,0,Tradingbook_SBV[[#This Row],[QUANTITY]])</f>
        <v>0</v>
      </c>
      <c r="DV265" s="71">
        <f>IF(Tradingbook_SBV[[#This Row],[Quantity_edited]]=0,0,Tradingbook_SBV[[#This Row],[DURATION]])</f>
        <v>0</v>
      </c>
      <c r="DW265" s="71">
        <f>IF(Tradingbook_SBV[[#This Row],[Quantity_edited]]=0,0,Tradingbook_SBV[[#This Row],[Mod Dur]])</f>
        <v>0</v>
      </c>
      <c r="DX265" s="71">
        <f>IF(Tradingbook_SBV[[#This Row],[Quantity_edited]]=0,0,Tradingbook_SBV[[#This Row],[Cnvx.]])</f>
        <v>0</v>
      </c>
      <c r="DY265" s="71">
        <f>(Tradingbook_SBV[[#This Row],[MARKET_VALUE]]+Tradingbook_SBV[[#This Row],[Accr Int]]*Tradingbook_SBV[[#This Row],[Quantity_edited]])*(-Tradingbook_SBV[[#This Row],[Modified Duration]]*0.0001+0.5*Tradingbook_SBV[[#This Row],[Conv]]*(0.0001^2))</f>
        <v>0</v>
      </c>
      <c r="DZ265" s="71">
        <f>(Tradingbook_SBV[[#This Row],[MARKET_VALUE]]+Tradingbook_SBV[[#This Row],[Accr Int]]*Tradingbook_SBV[[#This Row],[Quantity_edited]])*(-Tradingbook_SBV[[#This Row],[Modified Duration]]*0.01+0.5*Tradingbook_SBV[[#This Row],[Conv]]*(0.01^2))</f>
        <v>0</v>
      </c>
      <c r="EC265" t="s">
        <v>166</v>
      </c>
      <c r="ED265" t="s">
        <v>3301</v>
      </c>
      <c r="EE265" t="s">
        <v>2398</v>
      </c>
      <c r="EF265" t="s">
        <v>169</v>
      </c>
      <c r="EG265" s="35" t="s">
        <v>3489</v>
      </c>
      <c r="EH265" t="s">
        <v>170</v>
      </c>
      <c r="EI265" s="500">
        <v>98907</v>
      </c>
      <c r="EJ265" s="500">
        <v>98907</v>
      </c>
      <c r="EK265" s="500">
        <v>500000</v>
      </c>
      <c r="EL265" s="500">
        <v>50000000000</v>
      </c>
      <c r="EM265" s="500">
        <v>108905.76700000001</v>
      </c>
      <c r="EN265" s="500">
        <v>49453500000</v>
      </c>
      <c r="EO265">
        <v>4.0999999999999996</v>
      </c>
      <c r="EP265">
        <v>1977</v>
      </c>
      <c r="EQ265">
        <v>6150000000</v>
      </c>
      <c r="ER265">
        <v>6514686458.3333387</v>
      </c>
      <c r="ES265">
        <v>-6653399352.005558</v>
      </c>
      <c r="ET265">
        <v>4.2919382419999996</v>
      </c>
      <c r="EU265">
        <v>5.5015768327657</v>
      </c>
      <c r="EV265">
        <v>5.7377011099999997</v>
      </c>
      <c r="EW265">
        <v>38.156695056873701</v>
      </c>
      <c r="EX265">
        <v>19247.0001205882</v>
      </c>
      <c r="EY265">
        <v>-27751.053859837</v>
      </c>
      <c r="EZ265">
        <v>5807.9189999999999</v>
      </c>
      <c r="FA265">
        <v>-1131986682.7387002</v>
      </c>
      <c r="FB265">
        <v>-4999383317.2613306</v>
      </c>
      <c r="FC265">
        <v>-6131370000.0000305</v>
      </c>
      <c r="FD265">
        <v>-6131370000.0000305</v>
      </c>
      <c r="FE265">
        <v>-6131370000</v>
      </c>
      <c r="FF265">
        <v>-6131370000.0000305</v>
      </c>
      <c r="FG265" s="32">
        <f>Bankingbook_SBV[[#This Row],[Mat. Date]]-RPT</f>
        <v>2381</v>
      </c>
      <c r="FH265" s="32">
        <f>IF(Bankingbook_SBV[[#This Row],[Days]]&lt;=0,0,YEARFRAC(RPT,Bankingbook_SBV[[#This Row],[Mat. Date]],3))</f>
        <v>6.5232876712328771</v>
      </c>
      <c r="FI265" s="32" t="str">
        <f>IF(Bankingbook_SBV[[#This Row],[Days (year)]]=0,0,INDEX(Ref!$K$2:$K$13,MATCH(Bankingbook_SBV[[#This Row],[Days (year)]],Ref!$I$2:$I$13,1)))</f>
        <v>7Y</v>
      </c>
      <c r="FJ265" s="32" t="str">
        <f>VLOOKUP(Bankingbook_SBV[[#This Row],[Security Name]],Ref!X:Z,3,0)</f>
        <v>TPCP</v>
      </c>
      <c r="FK265" s="32" t="str">
        <f>VLOOKUP(Bankingbook_SBV[[#This Row],[Security Name]],Ref!X:Y,2,0)</f>
        <v>KBNN</v>
      </c>
      <c r="FL265" s="72">
        <f>IF((Bankingbook_SBV[[#This Row],[Mat. Date]]-RPT)&lt;=0,0,Bankingbook_SBV[[#This Row],[QUANTITY]])</f>
        <v>500000</v>
      </c>
      <c r="FM265" s="32">
        <f>IF(Bankingbook_SBV[[#This Row],[Quantity_edited]]=0,0,Bankingbook_SBV[[#This Row],[DURATION]])</f>
        <v>5.7377011099999997</v>
      </c>
      <c r="FN265" s="32">
        <f>IF(Bankingbook_SBV[[#This Row],[Quantity_edited]]=0,0,Bankingbook_SBV[[#This Row],[Mod Dur]])</f>
        <v>5.5015768327657</v>
      </c>
      <c r="FO265" s="32">
        <f>IF(Bankingbook_SBV[[#This Row],[Quantity_edited]]=0,0,Bankingbook_SBV[[#This Row],[Cnvx.]])</f>
        <v>38.156695056873701</v>
      </c>
      <c r="FP265" s="32">
        <f>(Bankingbook_SBV[[#This Row],[MARKET_VALUE]]+Bankingbook_SBV[[#This Row],[Accr Int]]*Bankingbook_SBV[[#This Row],[Quantity_edited]])*(-Bankingbook_SBV[[#This Row],[Modified Duration]]*0.0001+0.5*Bankingbook_SBV[[#This Row],[Conv]]*(0.0001^2))</f>
        <v>-27741430.359776448</v>
      </c>
      <c r="FQ265" s="32">
        <f>(Bankingbook_SBV[[#This Row],[MARKET_VALUE]]+Bankingbook_SBV[[#This Row],[Accr Int]]*Bankingbook_SBV[[#This Row],[Quantity_edited]])*(-Bankingbook_SBV[[#This Row],[Modified Duration]]*0.01+0.5*Bankingbook_SBV[[#This Row],[Conv]]*(0.01^2))</f>
        <v>-2678870385.380733</v>
      </c>
    </row>
    <row r="266" spans="2:173" x14ac:dyDescent="0.3">
      <c r="B266" t="s">
        <v>166</v>
      </c>
      <c r="C266" t="s">
        <v>167</v>
      </c>
      <c r="D266" t="s">
        <v>451</v>
      </c>
      <c r="E266" t="s">
        <v>169</v>
      </c>
      <c r="F266" s="502">
        <v>44148</v>
      </c>
      <c r="G266" t="s">
        <v>3322</v>
      </c>
      <c r="H266"/>
      <c r="I266"/>
      <c r="J266" s="38">
        <v>0</v>
      </c>
      <c r="K266">
        <v>0</v>
      </c>
      <c r="L266">
        <v>0</v>
      </c>
      <c r="M266" s="38">
        <v>0</v>
      </c>
      <c r="N266">
        <v>7.2</v>
      </c>
      <c r="O266">
        <v>0</v>
      </c>
      <c r="P266" s="37">
        <v>7200000000</v>
      </c>
      <c r="Q266" s="37">
        <v>7897139000</v>
      </c>
      <c r="R266" s="37">
        <v>-2053429967.2222023</v>
      </c>
      <c r="S266">
        <v>0</v>
      </c>
      <c r="T266" s="70">
        <v>0</v>
      </c>
      <c r="U266">
        <v>0</v>
      </c>
      <c r="V266">
        <v>0</v>
      </c>
      <c r="W266">
        <v>0</v>
      </c>
      <c r="X266" s="38">
        <v>0</v>
      </c>
      <c r="Y266">
        <v>0</v>
      </c>
      <c r="Z266" s="70">
        <v>2876500000</v>
      </c>
      <c r="AA266" s="70">
        <v>0</v>
      </c>
      <c r="AB266" s="70">
        <v>2876500000</v>
      </c>
      <c r="AC266" s="70">
        <v>2876500000</v>
      </c>
      <c r="AD266" s="70">
        <v>2876500000</v>
      </c>
      <c r="AE266" s="70">
        <v>2876500000</v>
      </c>
      <c r="AF266">
        <v>0</v>
      </c>
      <c r="AG266" s="72">
        <f>Tradingbook_MSB[[#This Row],[Mat. Date]]-RPT</f>
        <v>-2104</v>
      </c>
      <c r="AH266" s="71">
        <f>IF(Tradingbook_MSB[[#This Row],[Days]]&lt;=0,0,YEARFRAC(RPT,Tradingbook_MSB[[#This Row],[Mat. Date]],3))</f>
        <v>0</v>
      </c>
      <c r="AI266" s="71">
        <f>IF(Tradingbook_MSB[[#This Row],[Days (year)]]=0,0,INDEX(Ref!$K$2:$K$13,MATCH(Tradingbook_MSB[[#This Row],[Days (year)]],Ref!$I$2:$I$13,1)))</f>
        <v>0</v>
      </c>
      <c r="AJ266" s="120" t="str">
        <f>VLOOKUP(Tradingbook_MSB[[#This Row],[Security Name]],Ref!X:Z,3,0)</f>
        <v>TPCPBL</v>
      </c>
      <c r="AK266" s="120" t="str">
        <f>VLOOKUP(Tradingbook_MSB[[#This Row],[Security Name]],Ref!X:Y,2,0)</f>
        <v>VDB</v>
      </c>
      <c r="AL266" s="71">
        <f>IF((Tradingbook_MSB[[#This Row],[Mat. Date]]-RPT)&lt;=0,0,Tradingbook_MSB[[#This Row],[QUANTITY]])</f>
        <v>0</v>
      </c>
      <c r="AM266" s="71">
        <f>IF(Tradingbook_MSB[[#This Row],[Quantity_edited]]=0,0,Tradingbook_MSB[[#This Row],[DURATION]])</f>
        <v>0</v>
      </c>
      <c r="AN266" s="71">
        <f>IF(Tradingbook_MSB[[#This Row],[Quantity_edited]]=0,0,Tradingbook_MSB[[#This Row],[Mod Dur]])</f>
        <v>0</v>
      </c>
      <c r="AO266" s="71">
        <f>IF(Tradingbook_MSB[[#This Row],[Quantity_edited]]=0,0,Tradingbook_MSB[[#This Row],[Cnvx.]])</f>
        <v>0</v>
      </c>
      <c r="AP266" s="71">
        <f>(Tradingbook_MSB[[#This Row],[MARKET_VALUE]]+Tradingbook_MSB[[#This Row],[Accr Int]]*Tradingbook_MSB[[#This Row],[Quantity_edited]])*(-Tradingbook_MSB[[#This Row],[Modified Duration]]*0.0001+0.5*Tradingbook_MSB[[#This Row],[Conv]]*(0.0001^2))</f>
        <v>0</v>
      </c>
      <c r="AQ266" s="72">
        <f>(Tradingbook_MSB[[#This Row],[MARKET_VALUE]]+Tradingbook_MSB[[#This Row],[Accr Int]]*Tradingbook_MSB[[#This Row],[Quantity_edited]])*(-Tradingbook_MSB[[#This Row],[Modified Duration]]*0.01+0.5*Tradingbook_MSB[[#This Row],[Conv]]*(0.01^2))</f>
        <v>0</v>
      </c>
      <c r="AR266" s="71"/>
      <c r="CL266" t="s">
        <v>166</v>
      </c>
      <c r="CM266" t="s">
        <v>167</v>
      </c>
      <c r="CN266" t="s">
        <v>451</v>
      </c>
      <c r="CO266" t="s">
        <v>169</v>
      </c>
      <c r="CP266" s="35">
        <v>44148</v>
      </c>
      <c r="CQ266" t="s">
        <v>3322</v>
      </c>
      <c r="CR266" t="s">
        <v>174</v>
      </c>
      <c r="CS266" t="s">
        <v>174</v>
      </c>
      <c r="CT266" s="49">
        <v>0</v>
      </c>
      <c r="CU266">
        <v>0</v>
      </c>
      <c r="CV266">
        <v>0</v>
      </c>
      <c r="CW266" s="70">
        <v>0</v>
      </c>
      <c r="CX266">
        <v>7.2</v>
      </c>
      <c r="CY266">
        <v>0</v>
      </c>
      <c r="CZ266">
        <v>7200000000</v>
      </c>
      <c r="DA266">
        <v>7897139000</v>
      </c>
      <c r="DB266">
        <v>-2053429967.2222023</v>
      </c>
      <c r="DC266">
        <v>0</v>
      </c>
      <c r="DD266">
        <v>0</v>
      </c>
      <c r="DE266">
        <v>0</v>
      </c>
      <c r="DF266">
        <v>0</v>
      </c>
      <c r="DG266">
        <v>0</v>
      </c>
      <c r="DH266">
        <v>0</v>
      </c>
      <c r="DI266">
        <v>0</v>
      </c>
      <c r="DJ266" s="500">
        <v>2876500000</v>
      </c>
      <c r="DK266" s="500">
        <v>0</v>
      </c>
      <c r="DL266" s="37">
        <v>2876500000</v>
      </c>
      <c r="DM266" s="37">
        <v>2876500000</v>
      </c>
      <c r="DN266" s="37">
        <v>2876500000</v>
      </c>
      <c r="DO266" s="37">
        <v>2876500000</v>
      </c>
      <c r="DP266" s="32">
        <f>Tradingbook_SBV[[#This Row],[Mat. Date]]-RPT</f>
        <v>-2104</v>
      </c>
      <c r="DQ266" s="32">
        <f>IF(Tradingbook_SBV[[#This Row],[Days]]&lt;=0,0,YEARFRAC(RPT,Tradingbook_SBV[[#This Row],[Mat. Date]],3))</f>
        <v>0</v>
      </c>
      <c r="DR266" s="32">
        <f>IF(Tradingbook_SBV[[#This Row],[Days (year)]]=0,0,INDEX(Ref!$K$2:$K$13,MATCH(Tradingbook_SBV[[#This Row],[Days (year)]],Ref!$I$2:$I$13,1)))</f>
        <v>0</v>
      </c>
      <c r="DS266" s="32" t="str">
        <f>VLOOKUP(Tradingbook_SBV[[#This Row],[Security Name]],Ref!X:Z,3,0)</f>
        <v>TPCPBL</v>
      </c>
      <c r="DT266" s="32" t="str">
        <f>VLOOKUP(Tradingbook_SBV[[#This Row],[Security Name]],Ref!X:Y,2,0)</f>
        <v>VDB</v>
      </c>
      <c r="DU266" s="71">
        <f>IF((Tradingbook_SBV[[#This Row],[Mat. Date]]-RPT)&lt;=0,0,Tradingbook_SBV[[#This Row],[QUANTITY]])</f>
        <v>0</v>
      </c>
      <c r="DV266" s="71">
        <f>IF(Tradingbook_SBV[[#This Row],[Quantity_edited]]=0,0,Tradingbook_SBV[[#This Row],[DURATION]])</f>
        <v>0</v>
      </c>
      <c r="DW266" s="71">
        <f>IF(Tradingbook_SBV[[#This Row],[Quantity_edited]]=0,0,Tradingbook_SBV[[#This Row],[Mod Dur]])</f>
        <v>0</v>
      </c>
      <c r="DX266" s="71">
        <f>IF(Tradingbook_SBV[[#This Row],[Quantity_edited]]=0,0,Tradingbook_SBV[[#This Row],[Cnvx.]])</f>
        <v>0</v>
      </c>
      <c r="DY266" s="71">
        <f>(Tradingbook_SBV[[#This Row],[MARKET_VALUE]]+Tradingbook_SBV[[#This Row],[Accr Int]]*Tradingbook_SBV[[#This Row],[Quantity_edited]])*(-Tradingbook_SBV[[#This Row],[Modified Duration]]*0.0001+0.5*Tradingbook_SBV[[#This Row],[Conv]]*(0.0001^2))</f>
        <v>0</v>
      </c>
      <c r="DZ266" s="71">
        <f>(Tradingbook_SBV[[#This Row],[MARKET_VALUE]]+Tradingbook_SBV[[#This Row],[Accr Int]]*Tradingbook_SBV[[#This Row],[Quantity_edited]])*(-Tradingbook_SBV[[#This Row],[Modified Duration]]*0.01+0.5*Tradingbook_SBV[[#This Row],[Conv]]*(0.01^2))</f>
        <v>0</v>
      </c>
      <c r="EC266" t="s">
        <v>166</v>
      </c>
      <c r="ED266" t="s">
        <v>3301</v>
      </c>
      <c r="EE266" t="s">
        <v>2502</v>
      </c>
      <c r="EF266" t="s">
        <v>169</v>
      </c>
      <c r="EG266" s="35" t="s">
        <v>3445</v>
      </c>
      <c r="EH266" t="s">
        <v>170</v>
      </c>
      <c r="EI266" s="500">
        <v>93755</v>
      </c>
      <c r="EJ266" s="500">
        <v>93755</v>
      </c>
      <c r="EK266" s="500">
        <v>2000000</v>
      </c>
      <c r="EL266" s="500">
        <v>200000000000</v>
      </c>
      <c r="EM266" s="500">
        <v>104594.246</v>
      </c>
      <c r="EN266" s="500">
        <v>187510000000</v>
      </c>
      <c r="EO266">
        <v>3.2</v>
      </c>
      <c r="EP266">
        <v>1113</v>
      </c>
      <c r="EQ266">
        <v>19200000000</v>
      </c>
      <c r="ER266">
        <v>20388871111.11113</v>
      </c>
      <c r="ES266">
        <v>-22392969338.455582</v>
      </c>
      <c r="ET266">
        <v>4.2966392090000003</v>
      </c>
      <c r="EU266">
        <v>5.7607676525709</v>
      </c>
      <c r="EV266">
        <v>6.0082870499999999</v>
      </c>
      <c r="EW266">
        <v>40.9477374634996</v>
      </c>
      <c r="EX266">
        <v>77692.599153745701</v>
      </c>
      <c r="EY266">
        <v>-109302.501132819</v>
      </c>
      <c r="EZ266">
        <v>21869.739000000001</v>
      </c>
      <c r="FA266">
        <v>198691428.57136467</v>
      </c>
      <c r="FB266">
        <v>-21678491428.571434</v>
      </c>
      <c r="FC266">
        <v>-21479800000.000069</v>
      </c>
      <c r="FD266">
        <v>-21479800000.000069</v>
      </c>
      <c r="FE266">
        <v>-21479800000</v>
      </c>
      <c r="FF266">
        <v>-21479800000.000069</v>
      </c>
      <c r="FG266" s="32">
        <f>Bankingbook_SBV[[#This Row],[Mat. Date]]-RPT</f>
        <v>2430</v>
      </c>
      <c r="FH266" s="32">
        <f>IF(Bankingbook_SBV[[#This Row],[Days]]&lt;=0,0,YEARFRAC(RPT,Bankingbook_SBV[[#This Row],[Mat. Date]],3))</f>
        <v>6.6575342465753424</v>
      </c>
      <c r="FI266" s="32" t="str">
        <f>IF(Bankingbook_SBV[[#This Row],[Days (year)]]=0,0,INDEX(Ref!$K$2:$K$13,MATCH(Bankingbook_SBV[[#This Row],[Days (year)]],Ref!$I$2:$I$13,1)))</f>
        <v>7Y</v>
      </c>
      <c r="FJ266" s="32" t="str">
        <f>VLOOKUP(Bankingbook_SBV[[#This Row],[Security Name]],Ref!X:Z,3,0)</f>
        <v>TPCP</v>
      </c>
      <c r="FK266" s="32" t="str">
        <f>VLOOKUP(Bankingbook_SBV[[#This Row],[Security Name]],Ref!X:Y,2,0)</f>
        <v>KBNN</v>
      </c>
      <c r="FL266" s="72">
        <f>IF((Bankingbook_SBV[[#This Row],[Mat. Date]]-RPT)&lt;=0,0,Bankingbook_SBV[[#This Row],[QUANTITY]])</f>
        <v>2000000</v>
      </c>
      <c r="FM266" s="32">
        <f>IF(Bankingbook_SBV[[#This Row],[Quantity_edited]]=0,0,Bankingbook_SBV[[#This Row],[DURATION]])</f>
        <v>6.0082870499999999</v>
      </c>
      <c r="FN266" s="32">
        <f>IF(Bankingbook_SBV[[#This Row],[Quantity_edited]]=0,0,Bankingbook_SBV[[#This Row],[Mod Dur]])</f>
        <v>5.7607676525709</v>
      </c>
      <c r="FO266" s="32">
        <f>IF(Bankingbook_SBV[[#This Row],[Quantity_edited]]=0,0,Bankingbook_SBV[[#This Row],[Cnvx.]])</f>
        <v>40.9477374634996</v>
      </c>
      <c r="FP266" s="32">
        <f>(Bankingbook_SBV[[#This Row],[MARKET_VALUE]]+Bankingbook_SBV[[#This Row],[Accr Int]]*Bankingbook_SBV[[#This Row],[Quantity_edited]])*(-Bankingbook_SBV[[#This Row],[Modified Duration]]*0.0001+0.5*Bankingbook_SBV[[#This Row],[Conv]]*(0.0001^2))</f>
        <v>-109263654.83324236</v>
      </c>
      <c r="FQ266" s="32">
        <f>(Bankingbook_SBV[[#This Row],[MARKET_VALUE]]+Bankingbook_SBV[[#This Row],[Accr Int]]*Bankingbook_SBV[[#This Row],[Quantity_edited]])*(-Bankingbook_SBV[[#This Row],[Modified Duration]]*0.01+0.5*Bankingbook_SBV[[#This Row],[Conv]]*(0.01^2))</f>
        <v>-10541787117.513195</v>
      </c>
    </row>
    <row r="267" spans="2:173" x14ac:dyDescent="0.3">
      <c r="B267" t="s">
        <v>166</v>
      </c>
      <c r="C267" t="s">
        <v>167</v>
      </c>
      <c r="D267" t="s">
        <v>452</v>
      </c>
      <c r="E267" t="s">
        <v>169</v>
      </c>
      <c r="F267" s="502">
        <v>44167</v>
      </c>
      <c r="G267" t="s">
        <v>3322</v>
      </c>
      <c r="H267"/>
      <c r="I267"/>
      <c r="J267" s="38">
        <v>0</v>
      </c>
      <c r="K267">
        <v>0</v>
      </c>
      <c r="L267">
        <v>0</v>
      </c>
      <c r="M267" s="38">
        <v>0</v>
      </c>
      <c r="N267">
        <v>7.2</v>
      </c>
      <c r="O267">
        <v>0</v>
      </c>
      <c r="P267" s="37">
        <v>0</v>
      </c>
      <c r="Q267" s="37">
        <v>-3.1000000000000001E-5</v>
      </c>
      <c r="R267" s="37">
        <v>-3161565434.9998283</v>
      </c>
      <c r="S267">
        <v>0</v>
      </c>
      <c r="T267" s="70">
        <v>0</v>
      </c>
      <c r="U267">
        <v>0</v>
      </c>
      <c r="V267">
        <v>0</v>
      </c>
      <c r="W267">
        <v>0</v>
      </c>
      <c r="X267" s="38">
        <v>0</v>
      </c>
      <c r="Y267">
        <v>0</v>
      </c>
      <c r="Z267" s="70">
        <v>5746000000</v>
      </c>
      <c r="AA267" s="70">
        <v>0</v>
      </c>
      <c r="AB267" s="70">
        <v>5746000000</v>
      </c>
      <c r="AC267" s="70">
        <v>5746000000</v>
      </c>
      <c r="AD267" s="70">
        <v>5746000000</v>
      </c>
      <c r="AE267" s="70">
        <v>5746000000</v>
      </c>
      <c r="AF267">
        <v>0</v>
      </c>
      <c r="AG267" s="72">
        <f>Tradingbook_MSB[[#This Row],[Mat. Date]]-RPT</f>
        <v>-2085</v>
      </c>
      <c r="AH267" s="71">
        <f>IF(Tradingbook_MSB[[#This Row],[Days]]&lt;=0,0,YEARFRAC(RPT,Tradingbook_MSB[[#This Row],[Mat. Date]],3))</f>
        <v>0</v>
      </c>
      <c r="AI267" s="71">
        <f>IF(Tradingbook_MSB[[#This Row],[Days (year)]]=0,0,INDEX(Ref!$K$2:$K$13,MATCH(Tradingbook_MSB[[#This Row],[Days (year)]],Ref!$I$2:$I$13,1)))</f>
        <v>0</v>
      </c>
      <c r="AJ267" s="120" t="str">
        <f>VLOOKUP(Tradingbook_MSB[[#This Row],[Security Name]],Ref!X:Z,3,0)</f>
        <v>TPCPBL</v>
      </c>
      <c r="AK267" s="120" t="str">
        <f>VLOOKUP(Tradingbook_MSB[[#This Row],[Security Name]],Ref!X:Y,2,0)</f>
        <v>VDB</v>
      </c>
      <c r="AL267" s="71">
        <f>IF((Tradingbook_MSB[[#This Row],[Mat. Date]]-RPT)&lt;=0,0,Tradingbook_MSB[[#This Row],[QUANTITY]])</f>
        <v>0</v>
      </c>
      <c r="AM267" s="71">
        <f>IF(Tradingbook_MSB[[#This Row],[Quantity_edited]]=0,0,Tradingbook_MSB[[#This Row],[DURATION]])</f>
        <v>0</v>
      </c>
      <c r="AN267" s="71">
        <f>IF(Tradingbook_MSB[[#This Row],[Quantity_edited]]=0,0,Tradingbook_MSB[[#This Row],[Mod Dur]])</f>
        <v>0</v>
      </c>
      <c r="AO267" s="71">
        <f>IF(Tradingbook_MSB[[#This Row],[Quantity_edited]]=0,0,Tradingbook_MSB[[#This Row],[Cnvx.]])</f>
        <v>0</v>
      </c>
      <c r="AP267" s="71">
        <f>(Tradingbook_MSB[[#This Row],[MARKET_VALUE]]+Tradingbook_MSB[[#This Row],[Accr Int]]*Tradingbook_MSB[[#This Row],[Quantity_edited]])*(-Tradingbook_MSB[[#This Row],[Modified Duration]]*0.0001+0.5*Tradingbook_MSB[[#This Row],[Conv]]*(0.0001^2))</f>
        <v>0</v>
      </c>
      <c r="AQ267" s="72">
        <f>(Tradingbook_MSB[[#This Row],[MARKET_VALUE]]+Tradingbook_MSB[[#This Row],[Accr Int]]*Tradingbook_MSB[[#This Row],[Quantity_edited]])*(-Tradingbook_MSB[[#This Row],[Modified Duration]]*0.01+0.5*Tradingbook_MSB[[#This Row],[Conv]]*(0.01^2))</f>
        <v>0</v>
      </c>
      <c r="AR267" s="71"/>
      <c r="CL267" t="s">
        <v>166</v>
      </c>
      <c r="CM267" t="s">
        <v>167</v>
      </c>
      <c r="CN267" t="s">
        <v>452</v>
      </c>
      <c r="CO267" t="s">
        <v>169</v>
      </c>
      <c r="CP267" s="35">
        <v>44167</v>
      </c>
      <c r="CQ267" t="s">
        <v>3322</v>
      </c>
      <c r="CR267" t="s">
        <v>174</v>
      </c>
      <c r="CS267" t="s">
        <v>174</v>
      </c>
      <c r="CT267" s="49">
        <v>0</v>
      </c>
      <c r="CU267">
        <v>0</v>
      </c>
      <c r="CV267">
        <v>0</v>
      </c>
      <c r="CW267" s="70">
        <v>0</v>
      </c>
      <c r="CX267">
        <v>7.2</v>
      </c>
      <c r="CY267">
        <v>0</v>
      </c>
      <c r="CZ267">
        <v>0</v>
      </c>
      <c r="DA267">
        <v>-3.1000000000000001E-5</v>
      </c>
      <c r="DB267">
        <v>-3161565434.9998283</v>
      </c>
      <c r="DC267">
        <v>0</v>
      </c>
      <c r="DD267">
        <v>0</v>
      </c>
      <c r="DE267">
        <v>0</v>
      </c>
      <c r="DF267">
        <v>0</v>
      </c>
      <c r="DG267">
        <v>0</v>
      </c>
      <c r="DH267">
        <v>0</v>
      </c>
      <c r="DI267">
        <v>0</v>
      </c>
      <c r="DJ267" s="500">
        <v>5746000000</v>
      </c>
      <c r="DK267" s="500">
        <v>0</v>
      </c>
      <c r="DL267" s="37">
        <v>5746000000</v>
      </c>
      <c r="DM267" s="37">
        <v>5746000000</v>
      </c>
      <c r="DN267" s="37">
        <v>5746000000</v>
      </c>
      <c r="DO267" s="37">
        <v>5746000000</v>
      </c>
      <c r="DP267" s="32">
        <f>Tradingbook_SBV[[#This Row],[Mat. Date]]-RPT</f>
        <v>-2085</v>
      </c>
      <c r="DQ267" s="32">
        <f>IF(Tradingbook_SBV[[#This Row],[Days]]&lt;=0,0,YEARFRAC(RPT,Tradingbook_SBV[[#This Row],[Mat. Date]],3))</f>
        <v>0</v>
      </c>
      <c r="DR267" s="32">
        <f>IF(Tradingbook_SBV[[#This Row],[Days (year)]]=0,0,INDEX(Ref!$K$2:$K$13,MATCH(Tradingbook_SBV[[#This Row],[Days (year)]],Ref!$I$2:$I$13,1)))</f>
        <v>0</v>
      </c>
      <c r="DS267" s="32" t="str">
        <f>VLOOKUP(Tradingbook_SBV[[#This Row],[Security Name]],Ref!X:Z,3,0)</f>
        <v>TPCPBL</v>
      </c>
      <c r="DT267" s="32" t="str">
        <f>VLOOKUP(Tradingbook_SBV[[#This Row],[Security Name]],Ref!X:Y,2,0)</f>
        <v>VDB</v>
      </c>
      <c r="DU267" s="71">
        <f>IF((Tradingbook_SBV[[#This Row],[Mat. Date]]-RPT)&lt;=0,0,Tradingbook_SBV[[#This Row],[QUANTITY]])</f>
        <v>0</v>
      </c>
      <c r="DV267" s="71">
        <f>IF(Tradingbook_SBV[[#This Row],[Quantity_edited]]=0,0,Tradingbook_SBV[[#This Row],[DURATION]])</f>
        <v>0</v>
      </c>
      <c r="DW267" s="71">
        <f>IF(Tradingbook_SBV[[#This Row],[Quantity_edited]]=0,0,Tradingbook_SBV[[#This Row],[Mod Dur]])</f>
        <v>0</v>
      </c>
      <c r="DX267" s="71">
        <f>IF(Tradingbook_SBV[[#This Row],[Quantity_edited]]=0,0,Tradingbook_SBV[[#This Row],[Cnvx.]])</f>
        <v>0</v>
      </c>
      <c r="DY267" s="71">
        <f>(Tradingbook_SBV[[#This Row],[MARKET_VALUE]]+Tradingbook_SBV[[#This Row],[Accr Int]]*Tradingbook_SBV[[#This Row],[Quantity_edited]])*(-Tradingbook_SBV[[#This Row],[Modified Duration]]*0.0001+0.5*Tradingbook_SBV[[#This Row],[Conv]]*(0.0001^2))</f>
        <v>0</v>
      </c>
      <c r="DZ267" s="71">
        <f>(Tradingbook_SBV[[#This Row],[MARKET_VALUE]]+Tradingbook_SBV[[#This Row],[Accr Int]]*Tradingbook_SBV[[#This Row],[Quantity_edited]])*(-Tradingbook_SBV[[#This Row],[Modified Duration]]*0.01+0.5*Tradingbook_SBV[[#This Row],[Conv]]*(0.01^2))</f>
        <v>0</v>
      </c>
      <c r="EC267" t="s">
        <v>166</v>
      </c>
      <c r="ED267" t="s">
        <v>3301</v>
      </c>
      <c r="EE267" t="s">
        <v>2742</v>
      </c>
      <c r="EF267" t="s">
        <v>169</v>
      </c>
      <c r="EG267" s="35" t="s">
        <v>3827</v>
      </c>
      <c r="EH267" t="s">
        <v>170</v>
      </c>
      <c r="EI267" s="500">
        <v>88853</v>
      </c>
      <c r="EJ267" s="500">
        <v>88853</v>
      </c>
      <c r="EK267" s="500">
        <v>2000000</v>
      </c>
      <c r="EL267" s="500">
        <v>200000000000</v>
      </c>
      <c r="EM267" s="500">
        <v>98217.256999999998</v>
      </c>
      <c r="EN267" s="500">
        <v>177706000000</v>
      </c>
      <c r="EO267">
        <v>2.4</v>
      </c>
      <c r="EP267">
        <v>283</v>
      </c>
      <c r="EQ267">
        <v>14400000000</v>
      </c>
      <c r="ER267">
        <v>15182806666.666676</v>
      </c>
      <c r="ES267">
        <v>-17254604222.22224</v>
      </c>
      <c r="ET267">
        <v>4.304883051</v>
      </c>
      <c r="EU267">
        <v>6.1103248851530001</v>
      </c>
      <c r="EV267">
        <v>6.3733672300000004</v>
      </c>
      <c r="EW267">
        <v>45.0258826527959</v>
      </c>
      <c r="EX267">
        <v>80268.541522792395</v>
      </c>
      <c r="EY267">
        <v>-108929.9837926</v>
      </c>
      <c r="EZ267">
        <v>20586.960999999999</v>
      </c>
      <c r="FA267">
        <v>-2860486486.4866247</v>
      </c>
      <c r="FB267">
        <v>-18728513513.513519</v>
      </c>
      <c r="FC267">
        <v>-21589000000.000145</v>
      </c>
      <c r="FD267">
        <v>-21589000000.000145</v>
      </c>
      <c r="FE267">
        <v>-21589000000</v>
      </c>
      <c r="FF267">
        <v>-21589000000.000145</v>
      </c>
      <c r="FG267" s="32">
        <f>Bankingbook_SBV[[#This Row],[Mat. Date]]-RPT</f>
        <v>2514</v>
      </c>
      <c r="FH267" s="32">
        <f>IF(Bankingbook_SBV[[#This Row],[Days]]&lt;=0,0,YEARFRAC(RPT,Bankingbook_SBV[[#This Row],[Mat. Date]],3))</f>
        <v>6.8876712328767127</v>
      </c>
      <c r="FI267" s="32" t="str">
        <f>IF(Bankingbook_SBV[[#This Row],[Days (year)]]=0,0,INDEX(Ref!$K$2:$K$13,MATCH(Bankingbook_SBV[[#This Row],[Days (year)]],Ref!$I$2:$I$13,1)))</f>
        <v>7Y</v>
      </c>
      <c r="FJ267" s="32" t="str">
        <f>VLOOKUP(Bankingbook_SBV[[#This Row],[Security Name]],Ref!X:Z,3,0)</f>
        <v>TPCP</v>
      </c>
      <c r="FK267" s="32" t="str">
        <f>VLOOKUP(Bankingbook_SBV[[#This Row],[Security Name]],Ref!X:Y,2,0)</f>
        <v>KBNN</v>
      </c>
      <c r="FL267" s="72">
        <f>IF((Bankingbook_SBV[[#This Row],[Mat. Date]]-RPT)&lt;=0,0,Bankingbook_SBV[[#This Row],[QUANTITY]])</f>
        <v>2000000</v>
      </c>
      <c r="FM267" s="32">
        <f>IF(Bankingbook_SBV[[#This Row],[Quantity_edited]]=0,0,Bankingbook_SBV[[#This Row],[DURATION]])</f>
        <v>6.3733672300000004</v>
      </c>
      <c r="FN267" s="32">
        <f>IF(Bankingbook_SBV[[#This Row],[Quantity_edited]]=0,0,Bankingbook_SBV[[#This Row],[Mod Dur]])</f>
        <v>6.1103248851530001</v>
      </c>
      <c r="FO267" s="32">
        <f>IF(Bankingbook_SBV[[#This Row],[Quantity_edited]]=0,0,Bankingbook_SBV[[#This Row],[Cnvx.]])</f>
        <v>45.0258826527959</v>
      </c>
      <c r="FP267" s="32">
        <f>(Bankingbook_SBV[[#This Row],[MARKET_VALUE]]+Bankingbook_SBV[[#This Row],[Accr Int]]*Bankingbook_SBV[[#This Row],[Quantity_edited]])*(-Bankingbook_SBV[[#This Row],[Modified Duration]]*0.0001+0.5*Bankingbook_SBV[[#This Row],[Conv]]*(0.0001^2))</f>
        <v>-108889849.52183816</v>
      </c>
      <c r="FQ267" s="32">
        <f>(Bankingbook_SBV[[#This Row],[MARKET_VALUE]]+Bankingbook_SBV[[#This Row],[Accr Int]]*Bankingbook_SBV[[#This Row],[Quantity_edited]])*(-Bankingbook_SBV[[#This Row],[Modified Duration]]*0.01+0.5*Bankingbook_SBV[[#This Row],[Conv]]*(0.01^2))</f>
        <v>-10491655671.645996</v>
      </c>
    </row>
    <row r="268" spans="2:173" x14ac:dyDescent="0.3">
      <c r="B268" t="s">
        <v>166</v>
      </c>
      <c r="C268" t="s">
        <v>167</v>
      </c>
      <c r="D268" t="s">
        <v>453</v>
      </c>
      <c r="E268" t="s">
        <v>169</v>
      </c>
      <c r="F268" s="502">
        <v>44191</v>
      </c>
      <c r="G268" t="s">
        <v>3322</v>
      </c>
      <c r="H268"/>
      <c r="I268"/>
      <c r="J268" s="38">
        <v>0</v>
      </c>
      <c r="K268">
        <v>0</v>
      </c>
      <c r="L268">
        <v>0</v>
      </c>
      <c r="M268" s="38">
        <v>0</v>
      </c>
      <c r="N268">
        <v>9.25</v>
      </c>
      <c r="O268">
        <v>0</v>
      </c>
      <c r="P268" s="37">
        <v>0</v>
      </c>
      <c r="Q268" s="37">
        <v>0</v>
      </c>
      <c r="R268" s="37">
        <v>-5030486.6646285057</v>
      </c>
      <c r="S268">
        <v>0</v>
      </c>
      <c r="T268" s="70">
        <v>0</v>
      </c>
      <c r="U268">
        <v>0</v>
      </c>
      <c r="V268">
        <v>0</v>
      </c>
      <c r="W268">
        <v>0</v>
      </c>
      <c r="X268" s="38">
        <v>0</v>
      </c>
      <c r="Y268">
        <v>0</v>
      </c>
      <c r="Z268" s="70">
        <v>276749980</v>
      </c>
      <c r="AA268" s="70">
        <v>0</v>
      </c>
      <c r="AB268" s="70">
        <v>276749980</v>
      </c>
      <c r="AC268" s="70">
        <v>276749980</v>
      </c>
      <c r="AD268" s="70">
        <v>276749980</v>
      </c>
      <c r="AE268" s="70">
        <v>276749980</v>
      </c>
      <c r="AF268">
        <v>0</v>
      </c>
      <c r="AG268" s="72">
        <f>Tradingbook_MSB[[#This Row],[Mat. Date]]-RPT</f>
        <v>-2061</v>
      </c>
      <c r="AH268" s="71">
        <f>IF(Tradingbook_MSB[[#This Row],[Days]]&lt;=0,0,YEARFRAC(RPT,Tradingbook_MSB[[#This Row],[Mat. Date]],3))</f>
        <v>0</v>
      </c>
      <c r="AI268" s="71">
        <f>IF(Tradingbook_MSB[[#This Row],[Days (year)]]=0,0,INDEX(Ref!$K$2:$K$13,MATCH(Tradingbook_MSB[[#This Row],[Days (year)]],Ref!$I$2:$I$13,1)))</f>
        <v>0</v>
      </c>
      <c r="AJ268" s="120" t="str">
        <f>VLOOKUP(Tradingbook_MSB[[#This Row],[Security Name]],Ref!X:Z,3,0)</f>
        <v>TPCP</v>
      </c>
      <c r="AK268" s="120" t="str">
        <f>VLOOKUP(Tradingbook_MSB[[#This Row],[Security Name]],Ref!X:Y,2,0)</f>
        <v>VDB</v>
      </c>
      <c r="AL268" s="71">
        <f>IF((Tradingbook_MSB[[#This Row],[Mat. Date]]-RPT)&lt;=0,0,Tradingbook_MSB[[#This Row],[QUANTITY]])</f>
        <v>0</v>
      </c>
      <c r="AM268" s="71">
        <f>IF(Tradingbook_MSB[[#This Row],[Quantity_edited]]=0,0,Tradingbook_MSB[[#This Row],[DURATION]])</f>
        <v>0</v>
      </c>
      <c r="AN268" s="71">
        <f>IF(Tradingbook_MSB[[#This Row],[Quantity_edited]]=0,0,Tradingbook_MSB[[#This Row],[Mod Dur]])</f>
        <v>0</v>
      </c>
      <c r="AO268" s="71">
        <f>IF(Tradingbook_MSB[[#This Row],[Quantity_edited]]=0,0,Tradingbook_MSB[[#This Row],[Cnvx.]])</f>
        <v>0</v>
      </c>
      <c r="AP268" s="71">
        <f>(Tradingbook_MSB[[#This Row],[MARKET_VALUE]]+Tradingbook_MSB[[#This Row],[Accr Int]]*Tradingbook_MSB[[#This Row],[Quantity_edited]])*(-Tradingbook_MSB[[#This Row],[Modified Duration]]*0.0001+0.5*Tradingbook_MSB[[#This Row],[Conv]]*(0.0001^2))</f>
        <v>0</v>
      </c>
      <c r="AQ268" s="72">
        <f>(Tradingbook_MSB[[#This Row],[MARKET_VALUE]]+Tradingbook_MSB[[#This Row],[Accr Int]]*Tradingbook_MSB[[#This Row],[Quantity_edited]])*(-Tradingbook_MSB[[#This Row],[Modified Duration]]*0.01+0.5*Tradingbook_MSB[[#This Row],[Conv]]*(0.01^2))</f>
        <v>0</v>
      </c>
      <c r="AR268" s="71"/>
      <c r="CL268" t="s">
        <v>166</v>
      </c>
      <c r="CM268" t="s">
        <v>167</v>
      </c>
      <c r="CN268" t="s">
        <v>453</v>
      </c>
      <c r="CO268" t="s">
        <v>169</v>
      </c>
      <c r="CP268" s="35">
        <v>44191</v>
      </c>
      <c r="CQ268" t="s">
        <v>3322</v>
      </c>
      <c r="CR268" t="s">
        <v>174</v>
      </c>
      <c r="CS268" t="s">
        <v>174</v>
      </c>
      <c r="CT268" s="49">
        <v>0</v>
      </c>
      <c r="CU268">
        <v>0</v>
      </c>
      <c r="CV268">
        <v>0</v>
      </c>
      <c r="CW268" s="70">
        <v>0</v>
      </c>
      <c r="CX268">
        <v>9.25</v>
      </c>
      <c r="CY268">
        <v>0</v>
      </c>
      <c r="CZ268">
        <v>0</v>
      </c>
      <c r="DA268">
        <v>0</v>
      </c>
      <c r="DB268">
        <v>-5030486.6646285057</v>
      </c>
      <c r="DC268">
        <v>0</v>
      </c>
      <c r="DD268">
        <v>0</v>
      </c>
      <c r="DE268">
        <v>0</v>
      </c>
      <c r="DF268">
        <v>0</v>
      </c>
      <c r="DG268">
        <v>0</v>
      </c>
      <c r="DH268">
        <v>0</v>
      </c>
      <c r="DI268">
        <v>0</v>
      </c>
      <c r="DJ268" s="500">
        <v>276749980</v>
      </c>
      <c r="DK268" s="500">
        <v>0</v>
      </c>
      <c r="DL268" s="37">
        <v>276749980</v>
      </c>
      <c r="DM268" s="37">
        <v>276749980</v>
      </c>
      <c r="DN268" s="37">
        <v>276749980</v>
      </c>
      <c r="DO268" s="37">
        <v>276749980</v>
      </c>
      <c r="DP268" s="32">
        <f>Tradingbook_SBV[[#This Row],[Mat. Date]]-RPT</f>
        <v>-2061</v>
      </c>
      <c r="DQ268" s="32">
        <f>IF(Tradingbook_SBV[[#This Row],[Days]]&lt;=0,0,YEARFRAC(RPT,Tradingbook_SBV[[#This Row],[Mat. Date]],3))</f>
        <v>0</v>
      </c>
      <c r="DR268" s="32">
        <f>IF(Tradingbook_SBV[[#This Row],[Days (year)]]=0,0,INDEX(Ref!$K$2:$K$13,MATCH(Tradingbook_SBV[[#This Row],[Days (year)]],Ref!$I$2:$I$13,1)))</f>
        <v>0</v>
      </c>
      <c r="DS268" s="32" t="str">
        <f>VLOOKUP(Tradingbook_SBV[[#This Row],[Security Name]],Ref!X:Z,3,0)</f>
        <v>TPCP</v>
      </c>
      <c r="DT268" s="32" t="str">
        <f>VLOOKUP(Tradingbook_SBV[[#This Row],[Security Name]],Ref!X:Y,2,0)</f>
        <v>VDB</v>
      </c>
      <c r="DU268" s="71">
        <f>IF((Tradingbook_SBV[[#This Row],[Mat. Date]]-RPT)&lt;=0,0,Tradingbook_SBV[[#This Row],[QUANTITY]])</f>
        <v>0</v>
      </c>
      <c r="DV268" s="71">
        <f>IF(Tradingbook_SBV[[#This Row],[Quantity_edited]]=0,0,Tradingbook_SBV[[#This Row],[DURATION]])</f>
        <v>0</v>
      </c>
      <c r="DW268" s="71">
        <f>IF(Tradingbook_SBV[[#This Row],[Quantity_edited]]=0,0,Tradingbook_SBV[[#This Row],[Mod Dur]])</f>
        <v>0</v>
      </c>
      <c r="DX268" s="71">
        <f>IF(Tradingbook_SBV[[#This Row],[Quantity_edited]]=0,0,Tradingbook_SBV[[#This Row],[Cnvx.]])</f>
        <v>0</v>
      </c>
      <c r="DY268" s="71">
        <f>(Tradingbook_SBV[[#This Row],[MARKET_VALUE]]+Tradingbook_SBV[[#This Row],[Accr Int]]*Tradingbook_SBV[[#This Row],[Quantity_edited]])*(-Tradingbook_SBV[[#This Row],[Modified Duration]]*0.0001+0.5*Tradingbook_SBV[[#This Row],[Conv]]*(0.0001^2))</f>
        <v>0</v>
      </c>
      <c r="DZ268" s="71">
        <f>(Tradingbook_SBV[[#This Row],[MARKET_VALUE]]+Tradingbook_SBV[[#This Row],[Accr Int]]*Tradingbook_SBV[[#This Row],[Quantity_edited]])*(-Tradingbook_SBV[[#This Row],[Modified Duration]]*0.01+0.5*Tradingbook_SBV[[#This Row],[Conv]]*(0.01^2))</f>
        <v>0</v>
      </c>
      <c r="EC268" t="s">
        <v>166</v>
      </c>
      <c r="ED268" t="s">
        <v>3301</v>
      </c>
      <c r="EE268" t="s">
        <v>2785</v>
      </c>
      <c r="EF268" t="s">
        <v>169</v>
      </c>
      <c r="EG268" s="35" t="s">
        <v>3490</v>
      </c>
      <c r="EH268" t="s">
        <v>170</v>
      </c>
      <c r="EI268" s="500">
        <v>87948</v>
      </c>
      <c r="EJ268" s="500">
        <v>87948</v>
      </c>
      <c r="EK268" s="500">
        <v>6000000</v>
      </c>
      <c r="EL268" s="500">
        <v>600000000000</v>
      </c>
      <c r="EM268" s="500">
        <v>96385.862999999998</v>
      </c>
      <c r="EN268" s="500">
        <v>527688000000</v>
      </c>
      <c r="EO268">
        <v>2.2999999999999998</v>
      </c>
      <c r="EP268">
        <v>2130</v>
      </c>
      <c r="EQ268">
        <v>21850000000</v>
      </c>
      <c r="ER268">
        <v>23416678541.666687</v>
      </c>
      <c r="ES268">
        <v>-50788599530.527802</v>
      </c>
      <c r="ET268">
        <v>4.3123858640000003</v>
      </c>
      <c r="EU268">
        <v>6.1519516858437999</v>
      </c>
      <c r="EV268">
        <v>6.4172475799999997</v>
      </c>
      <c r="EW268">
        <v>46.440297138083302</v>
      </c>
      <c r="EX268">
        <v>250994.94513625611</v>
      </c>
      <c r="EY268">
        <v>-332493.302374463</v>
      </c>
      <c r="EZ268">
        <v>62520.099000000002</v>
      </c>
      <c r="FA268">
        <v>-11876532857.142759</v>
      </c>
      <c r="FB268">
        <v>-50627177142.85714</v>
      </c>
      <c r="FC268">
        <v>-62503709999.999901</v>
      </c>
      <c r="FD268">
        <v>-62503709999.999901</v>
      </c>
      <c r="FE268">
        <v>-62503710000</v>
      </c>
      <c r="FF268">
        <v>-62503709999.999901</v>
      </c>
      <c r="FG268" s="32">
        <f>Bankingbook_SBV[[#This Row],[Mat. Date]]-RPT</f>
        <v>2584</v>
      </c>
      <c r="FH268" s="32">
        <f>IF(Bankingbook_SBV[[#This Row],[Days]]&lt;=0,0,YEARFRAC(RPT,Bankingbook_SBV[[#This Row],[Mat. Date]],3))</f>
        <v>7.0794520547945208</v>
      </c>
      <c r="FI268" s="32" t="str">
        <f>IF(Bankingbook_SBV[[#This Row],[Days (year)]]=0,0,INDEX(Ref!$K$2:$K$13,MATCH(Bankingbook_SBV[[#This Row],[Days (year)]],Ref!$I$2:$I$13,1)))</f>
        <v>7Y</v>
      </c>
      <c r="FJ268" s="32" t="str">
        <f>VLOOKUP(Bankingbook_SBV[[#This Row],[Security Name]],Ref!X:Z,3,0)</f>
        <v>TPCP</v>
      </c>
      <c r="FK268" s="32" t="str">
        <f>VLOOKUP(Bankingbook_SBV[[#This Row],[Security Name]],Ref!X:Y,2,0)</f>
        <v>KBNN</v>
      </c>
      <c r="FL268" s="72">
        <f>IF((Bankingbook_SBV[[#This Row],[Mat. Date]]-RPT)&lt;=0,0,Bankingbook_SBV[[#This Row],[QUANTITY]])</f>
        <v>6000000</v>
      </c>
      <c r="FM268" s="32">
        <f>IF(Bankingbook_SBV[[#This Row],[Quantity_edited]]=0,0,Bankingbook_SBV[[#This Row],[DURATION]])</f>
        <v>6.4172475799999997</v>
      </c>
      <c r="FN268" s="32">
        <f>IF(Bankingbook_SBV[[#This Row],[Quantity_edited]]=0,0,Bankingbook_SBV[[#This Row],[Mod Dur]])</f>
        <v>6.1519516858437999</v>
      </c>
      <c r="FO268" s="32">
        <f>IF(Bankingbook_SBV[[#This Row],[Quantity_edited]]=0,0,Bankingbook_SBV[[#This Row],[Cnvx.]])</f>
        <v>46.440297138083302</v>
      </c>
      <c r="FP268" s="32">
        <f>(Bankingbook_SBV[[#This Row],[MARKET_VALUE]]+Bankingbook_SBV[[#This Row],[Accr Int]]*Bankingbook_SBV[[#This Row],[Quantity_edited]])*(-Bankingbook_SBV[[#This Row],[Modified Duration]]*0.0001+0.5*Bankingbook_SBV[[#This Row],[Conv]]*(0.0001^2))</f>
        <v>-332367804.90189457</v>
      </c>
      <c r="FQ268" s="32">
        <f>(Bankingbook_SBV[[#This Row],[MARKET_VALUE]]+Bankingbook_SBV[[#This Row],[Accr Int]]*Bankingbook_SBV[[#This Row],[Quantity_edited]])*(-Bankingbook_SBV[[#This Row],[Modified Duration]]*0.01+0.5*Bankingbook_SBV[[#This Row],[Conv]]*(0.01^2))</f>
        <v>-31994355511.764988</v>
      </c>
    </row>
    <row r="269" spans="2:173" x14ac:dyDescent="0.3">
      <c r="B269" t="s">
        <v>166</v>
      </c>
      <c r="C269" t="s">
        <v>167</v>
      </c>
      <c r="D269" t="s">
        <v>454</v>
      </c>
      <c r="E269" t="s">
        <v>169</v>
      </c>
      <c r="F269" s="502">
        <v>44202</v>
      </c>
      <c r="G269" t="s">
        <v>3322</v>
      </c>
      <c r="H269"/>
      <c r="I269"/>
      <c r="J269" s="38">
        <v>0</v>
      </c>
      <c r="K269">
        <v>0</v>
      </c>
      <c r="L269">
        <v>0</v>
      </c>
      <c r="M269" s="38">
        <v>0</v>
      </c>
      <c r="N269">
        <v>7.2</v>
      </c>
      <c r="O269">
        <v>0</v>
      </c>
      <c r="P269" s="37">
        <v>0</v>
      </c>
      <c r="Q269" s="37">
        <v>-2.3E-5</v>
      </c>
      <c r="R269" s="37">
        <v>-2307094625.0692997</v>
      </c>
      <c r="S269">
        <v>0</v>
      </c>
      <c r="T269" s="70">
        <v>0</v>
      </c>
      <c r="U269">
        <v>0</v>
      </c>
      <c r="V269">
        <v>0</v>
      </c>
      <c r="W269">
        <v>0</v>
      </c>
      <c r="X269" s="38">
        <v>0</v>
      </c>
      <c r="Y269">
        <v>0</v>
      </c>
      <c r="Z269" s="70">
        <v>6690000000</v>
      </c>
      <c r="AA269" s="70">
        <v>0</v>
      </c>
      <c r="AB269" s="70">
        <v>6690000000</v>
      </c>
      <c r="AC269" s="70">
        <v>6690000000</v>
      </c>
      <c r="AD269" s="70">
        <v>6690000000</v>
      </c>
      <c r="AE269" s="70">
        <v>6690000000</v>
      </c>
      <c r="AF269">
        <v>0</v>
      </c>
      <c r="AG269" s="72">
        <f>Tradingbook_MSB[[#This Row],[Mat. Date]]-RPT</f>
        <v>-2050</v>
      </c>
      <c r="AH269" s="71">
        <f>IF(Tradingbook_MSB[[#This Row],[Days]]&lt;=0,0,YEARFRAC(RPT,Tradingbook_MSB[[#This Row],[Mat. Date]],3))</f>
        <v>0</v>
      </c>
      <c r="AI269" s="71">
        <f>IF(Tradingbook_MSB[[#This Row],[Days (year)]]=0,0,INDEX(Ref!$K$2:$K$13,MATCH(Tradingbook_MSB[[#This Row],[Days (year)]],Ref!$I$2:$I$13,1)))</f>
        <v>0</v>
      </c>
      <c r="AJ269" s="120" t="str">
        <f>VLOOKUP(Tradingbook_MSB[[#This Row],[Security Name]],Ref!X:Z,3,0)</f>
        <v>TPCPBL</v>
      </c>
      <c r="AK269" s="120" t="str">
        <f>VLOOKUP(Tradingbook_MSB[[#This Row],[Security Name]],Ref!X:Y,2,0)</f>
        <v>VDB</v>
      </c>
      <c r="AL269" s="71">
        <f>IF((Tradingbook_MSB[[#This Row],[Mat. Date]]-RPT)&lt;=0,0,Tradingbook_MSB[[#This Row],[QUANTITY]])</f>
        <v>0</v>
      </c>
      <c r="AM269" s="71">
        <f>IF(Tradingbook_MSB[[#This Row],[Quantity_edited]]=0,0,Tradingbook_MSB[[#This Row],[DURATION]])</f>
        <v>0</v>
      </c>
      <c r="AN269" s="71">
        <f>IF(Tradingbook_MSB[[#This Row],[Quantity_edited]]=0,0,Tradingbook_MSB[[#This Row],[Mod Dur]])</f>
        <v>0</v>
      </c>
      <c r="AO269" s="71">
        <f>IF(Tradingbook_MSB[[#This Row],[Quantity_edited]]=0,0,Tradingbook_MSB[[#This Row],[Cnvx.]])</f>
        <v>0</v>
      </c>
      <c r="AP269" s="71">
        <f>(Tradingbook_MSB[[#This Row],[MARKET_VALUE]]+Tradingbook_MSB[[#This Row],[Accr Int]]*Tradingbook_MSB[[#This Row],[Quantity_edited]])*(-Tradingbook_MSB[[#This Row],[Modified Duration]]*0.0001+0.5*Tradingbook_MSB[[#This Row],[Conv]]*(0.0001^2))</f>
        <v>0</v>
      </c>
      <c r="AQ269" s="72">
        <f>(Tradingbook_MSB[[#This Row],[MARKET_VALUE]]+Tradingbook_MSB[[#This Row],[Accr Int]]*Tradingbook_MSB[[#This Row],[Quantity_edited]])*(-Tradingbook_MSB[[#This Row],[Modified Duration]]*0.01+0.5*Tradingbook_MSB[[#This Row],[Conv]]*(0.01^2))</f>
        <v>0</v>
      </c>
      <c r="AR269" s="71"/>
      <c r="CL269" t="s">
        <v>166</v>
      </c>
      <c r="CM269" t="s">
        <v>167</v>
      </c>
      <c r="CN269" t="s">
        <v>454</v>
      </c>
      <c r="CO269" t="s">
        <v>169</v>
      </c>
      <c r="CP269" s="35">
        <v>44202</v>
      </c>
      <c r="CQ269" t="s">
        <v>3322</v>
      </c>
      <c r="CR269" t="s">
        <v>174</v>
      </c>
      <c r="CS269" t="s">
        <v>174</v>
      </c>
      <c r="CT269" s="49">
        <v>0</v>
      </c>
      <c r="CU269">
        <v>0</v>
      </c>
      <c r="CV269">
        <v>0</v>
      </c>
      <c r="CW269" s="70">
        <v>0</v>
      </c>
      <c r="CX269">
        <v>7.2</v>
      </c>
      <c r="CY269">
        <v>0</v>
      </c>
      <c r="CZ269">
        <v>0</v>
      </c>
      <c r="DA269">
        <v>-2.3E-5</v>
      </c>
      <c r="DB269">
        <v>-2307094625.0692997</v>
      </c>
      <c r="DC269">
        <v>0</v>
      </c>
      <c r="DD269">
        <v>0</v>
      </c>
      <c r="DE269">
        <v>0</v>
      </c>
      <c r="DF269">
        <v>0</v>
      </c>
      <c r="DG269">
        <v>0</v>
      </c>
      <c r="DH269">
        <v>0</v>
      </c>
      <c r="DI269">
        <v>0</v>
      </c>
      <c r="DJ269" s="500">
        <v>6690000000</v>
      </c>
      <c r="DK269" s="500">
        <v>0</v>
      </c>
      <c r="DL269" s="37">
        <v>6690000000</v>
      </c>
      <c r="DM269" s="37">
        <v>6690000000</v>
      </c>
      <c r="DN269" s="37">
        <v>6690000000</v>
      </c>
      <c r="DO269" s="37">
        <v>6690000000</v>
      </c>
      <c r="DP269" s="32">
        <f>Tradingbook_SBV[[#This Row],[Mat. Date]]-RPT</f>
        <v>-2050</v>
      </c>
      <c r="DQ269" s="32">
        <f>IF(Tradingbook_SBV[[#This Row],[Days]]&lt;=0,0,YEARFRAC(RPT,Tradingbook_SBV[[#This Row],[Mat. Date]],3))</f>
        <v>0</v>
      </c>
      <c r="DR269" s="32">
        <f>IF(Tradingbook_SBV[[#This Row],[Days (year)]]=0,0,INDEX(Ref!$K$2:$K$13,MATCH(Tradingbook_SBV[[#This Row],[Days (year)]],Ref!$I$2:$I$13,1)))</f>
        <v>0</v>
      </c>
      <c r="DS269" s="32" t="str">
        <f>VLOOKUP(Tradingbook_SBV[[#This Row],[Security Name]],Ref!X:Z,3,0)</f>
        <v>TPCPBL</v>
      </c>
      <c r="DT269" s="32" t="str">
        <f>VLOOKUP(Tradingbook_SBV[[#This Row],[Security Name]],Ref!X:Y,2,0)</f>
        <v>VDB</v>
      </c>
      <c r="DU269" s="71">
        <f>IF((Tradingbook_SBV[[#This Row],[Mat. Date]]-RPT)&lt;=0,0,Tradingbook_SBV[[#This Row],[QUANTITY]])</f>
        <v>0</v>
      </c>
      <c r="DV269" s="71">
        <f>IF(Tradingbook_SBV[[#This Row],[Quantity_edited]]=0,0,Tradingbook_SBV[[#This Row],[DURATION]])</f>
        <v>0</v>
      </c>
      <c r="DW269" s="71">
        <f>IF(Tradingbook_SBV[[#This Row],[Quantity_edited]]=0,0,Tradingbook_SBV[[#This Row],[Mod Dur]])</f>
        <v>0</v>
      </c>
      <c r="DX269" s="71">
        <f>IF(Tradingbook_SBV[[#This Row],[Quantity_edited]]=0,0,Tradingbook_SBV[[#This Row],[Cnvx.]])</f>
        <v>0</v>
      </c>
      <c r="DY269" s="71">
        <f>(Tradingbook_SBV[[#This Row],[MARKET_VALUE]]+Tradingbook_SBV[[#This Row],[Accr Int]]*Tradingbook_SBV[[#This Row],[Quantity_edited]])*(-Tradingbook_SBV[[#This Row],[Modified Duration]]*0.0001+0.5*Tradingbook_SBV[[#This Row],[Conv]]*(0.0001^2))</f>
        <v>0</v>
      </c>
      <c r="DZ269" s="71">
        <f>(Tradingbook_SBV[[#This Row],[MARKET_VALUE]]+Tradingbook_SBV[[#This Row],[Accr Int]]*Tradingbook_SBV[[#This Row],[Quantity_edited]])*(-Tradingbook_SBV[[#This Row],[Modified Duration]]*0.01+0.5*Tradingbook_SBV[[#This Row],[Conv]]*(0.01^2))</f>
        <v>0</v>
      </c>
      <c r="EC269" t="s">
        <v>166</v>
      </c>
      <c r="ED269" t="s">
        <v>3301</v>
      </c>
      <c r="EE269" t="s">
        <v>1147</v>
      </c>
      <c r="EF269" t="s">
        <v>169</v>
      </c>
      <c r="EG269" s="35" t="s">
        <v>3446</v>
      </c>
      <c r="EH269" t="s">
        <v>170</v>
      </c>
      <c r="EI269" s="500">
        <v>107000</v>
      </c>
      <c r="EJ269" s="500">
        <v>107000</v>
      </c>
      <c r="EK269" s="500">
        <v>1000000</v>
      </c>
      <c r="EL269" s="500">
        <v>100000000000</v>
      </c>
      <c r="EM269" s="500">
        <v>115193.667</v>
      </c>
      <c r="EN269" s="500">
        <v>107000000000</v>
      </c>
      <c r="EO269">
        <v>6</v>
      </c>
      <c r="EP269">
        <v>5145</v>
      </c>
      <c r="EQ269">
        <v>6000000000</v>
      </c>
      <c r="ER269">
        <v>6294391666.666667</v>
      </c>
      <c r="ES269">
        <v>-11173128299.722239</v>
      </c>
      <c r="ET269">
        <v>4.81567451</v>
      </c>
      <c r="EU269">
        <v>5.5178522802607004</v>
      </c>
      <c r="EV269">
        <v>5.7835740900000001</v>
      </c>
      <c r="EW269">
        <v>40.384998812780601</v>
      </c>
      <c r="EX269">
        <v>45289.756918592801</v>
      </c>
      <c r="EY269">
        <v>-61879.954396982997</v>
      </c>
      <c r="EZ269">
        <v>14451.701999999999</v>
      </c>
      <c r="FA269">
        <v>-8597333333.3333435</v>
      </c>
      <c r="FB269">
        <v>-8193666666.6666718</v>
      </c>
      <c r="FC269">
        <v>-16791000000.000015</v>
      </c>
      <c r="FD269">
        <v>-16791000000.000015</v>
      </c>
      <c r="FE269">
        <v>-16791000000</v>
      </c>
      <c r="FF269">
        <v>-16791000000.000015</v>
      </c>
      <c r="FG269" s="32">
        <f>Bankingbook_SBV[[#This Row],[Mat. Date]]-RPT</f>
        <v>2609</v>
      </c>
      <c r="FH269" s="32">
        <f>IF(Bankingbook_SBV[[#This Row],[Days]]&lt;=0,0,YEARFRAC(RPT,Bankingbook_SBV[[#This Row],[Mat. Date]],3))</f>
        <v>7.1479452054794521</v>
      </c>
      <c r="FI269" s="32" t="str">
        <f>IF(Bankingbook_SBV[[#This Row],[Days (year)]]=0,0,INDEX(Ref!$K$2:$K$13,MATCH(Bankingbook_SBV[[#This Row],[Days (year)]],Ref!$I$2:$I$13,1)))</f>
        <v>7Y</v>
      </c>
      <c r="FJ269" s="32" t="str">
        <f>VLOOKUP(Bankingbook_SBV[[#This Row],[Security Name]],Ref!X:Z,3,0)</f>
        <v>TPCPBL</v>
      </c>
      <c r="FK269" s="32" t="str">
        <f>VLOOKUP(Bankingbook_SBV[[#This Row],[Security Name]],Ref!X:Y,2,0)</f>
        <v>VBS</v>
      </c>
      <c r="FL269" s="72">
        <f>IF((Bankingbook_SBV[[#This Row],[Mat. Date]]-RPT)&lt;=0,0,Bankingbook_SBV[[#This Row],[QUANTITY]])</f>
        <v>1000000</v>
      </c>
      <c r="FM269" s="32">
        <f>IF(Bankingbook_SBV[[#This Row],[Quantity_edited]]=0,0,Bankingbook_SBV[[#This Row],[DURATION]])</f>
        <v>5.7835740900000001</v>
      </c>
      <c r="FN269" s="32">
        <f>IF(Bankingbook_SBV[[#This Row],[Quantity_edited]]=0,0,Bankingbook_SBV[[#This Row],[Mod Dur]])</f>
        <v>5.5178522802607004</v>
      </c>
      <c r="FO269" s="32">
        <f>IF(Bankingbook_SBV[[#This Row],[Quantity_edited]]=0,0,Bankingbook_SBV[[#This Row],[Cnvx.]])</f>
        <v>40.384998812780601</v>
      </c>
      <c r="FP269" s="32">
        <f>(Bankingbook_SBV[[#This Row],[MARKET_VALUE]]+Bankingbook_SBV[[#This Row],[Accr Int]]*Bankingbook_SBV[[#This Row],[Quantity_edited]])*(-Bankingbook_SBV[[#This Row],[Modified Duration]]*0.0001+0.5*Bankingbook_SBV[[#This Row],[Conv]]*(0.0001^2))</f>
        <v>-61857309.518524334</v>
      </c>
      <c r="FQ269" s="32">
        <f>(Bankingbook_SBV[[#This Row],[MARKET_VALUE]]+Bankingbook_SBV[[#This Row],[Accr Int]]*Bankingbook_SBV[[#This Row],[Quantity_edited]])*(-Bankingbook_SBV[[#This Row],[Modified Duration]]*0.01+0.5*Bankingbook_SBV[[#This Row],[Conv]]*(0.01^2))</f>
        <v>-5961546655.1053982</v>
      </c>
    </row>
    <row r="270" spans="2:173" x14ac:dyDescent="0.3">
      <c r="B270" t="s">
        <v>166</v>
      </c>
      <c r="C270" t="s">
        <v>167</v>
      </c>
      <c r="D270" t="s">
        <v>455</v>
      </c>
      <c r="E270" t="s">
        <v>169</v>
      </c>
      <c r="F270" s="502">
        <v>44203</v>
      </c>
      <c r="G270" t="s">
        <v>3322</v>
      </c>
      <c r="H270"/>
      <c r="I270"/>
      <c r="J270" s="38">
        <v>0</v>
      </c>
      <c r="K270">
        <v>0</v>
      </c>
      <c r="L270">
        <v>0</v>
      </c>
      <c r="M270" s="38">
        <v>0</v>
      </c>
      <c r="N270">
        <v>6.5</v>
      </c>
      <c r="O270">
        <v>0</v>
      </c>
      <c r="P270" s="37">
        <v>32500000000</v>
      </c>
      <c r="Q270" s="37">
        <v>34998148611.111115</v>
      </c>
      <c r="R270" s="37">
        <v>-16228626532.221825</v>
      </c>
      <c r="S270">
        <v>0</v>
      </c>
      <c r="T270" s="70">
        <v>0</v>
      </c>
      <c r="U270">
        <v>0</v>
      </c>
      <c r="V270">
        <v>0</v>
      </c>
      <c r="W270">
        <v>0</v>
      </c>
      <c r="X270" s="38">
        <v>0</v>
      </c>
      <c r="Y270">
        <v>0</v>
      </c>
      <c r="Z270" s="70">
        <v>28560500000</v>
      </c>
      <c r="AA270" s="70">
        <v>0</v>
      </c>
      <c r="AB270" s="70">
        <v>28560500000</v>
      </c>
      <c r="AC270" s="70">
        <v>28560500000</v>
      </c>
      <c r="AD270" s="70">
        <v>28560500000</v>
      </c>
      <c r="AE270" s="70">
        <v>28560500000</v>
      </c>
      <c r="AF270">
        <v>0</v>
      </c>
      <c r="AG270" s="72">
        <f>Tradingbook_MSB[[#This Row],[Mat. Date]]-RPT</f>
        <v>-2049</v>
      </c>
      <c r="AH270" s="71">
        <f>IF(Tradingbook_MSB[[#This Row],[Days]]&lt;=0,0,YEARFRAC(RPT,Tradingbook_MSB[[#This Row],[Mat. Date]],3))</f>
        <v>0</v>
      </c>
      <c r="AI270" s="71">
        <f>IF(Tradingbook_MSB[[#This Row],[Days (year)]]=0,0,INDEX(Ref!$K$2:$K$13,MATCH(Tradingbook_MSB[[#This Row],[Days (year)]],Ref!$I$2:$I$13,1)))</f>
        <v>0</v>
      </c>
      <c r="AJ270" s="120" t="str">
        <f>VLOOKUP(Tradingbook_MSB[[#This Row],[Security Name]],Ref!X:Z,3,0)</f>
        <v>TPCP</v>
      </c>
      <c r="AK270" s="120" t="str">
        <f>VLOOKUP(Tradingbook_MSB[[#This Row],[Security Name]],Ref!X:Y,2,0)</f>
        <v>KBNN</v>
      </c>
      <c r="AL270" s="71">
        <f>IF((Tradingbook_MSB[[#This Row],[Mat. Date]]-RPT)&lt;=0,0,Tradingbook_MSB[[#This Row],[QUANTITY]])</f>
        <v>0</v>
      </c>
      <c r="AM270" s="71">
        <f>IF(Tradingbook_MSB[[#This Row],[Quantity_edited]]=0,0,Tradingbook_MSB[[#This Row],[DURATION]])</f>
        <v>0</v>
      </c>
      <c r="AN270" s="71">
        <f>IF(Tradingbook_MSB[[#This Row],[Quantity_edited]]=0,0,Tradingbook_MSB[[#This Row],[Mod Dur]])</f>
        <v>0</v>
      </c>
      <c r="AO270" s="71">
        <f>IF(Tradingbook_MSB[[#This Row],[Quantity_edited]]=0,0,Tradingbook_MSB[[#This Row],[Cnvx.]])</f>
        <v>0</v>
      </c>
      <c r="AP270" s="71">
        <f>(Tradingbook_MSB[[#This Row],[MARKET_VALUE]]+Tradingbook_MSB[[#This Row],[Accr Int]]*Tradingbook_MSB[[#This Row],[Quantity_edited]])*(-Tradingbook_MSB[[#This Row],[Modified Duration]]*0.0001+0.5*Tradingbook_MSB[[#This Row],[Conv]]*(0.0001^2))</f>
        <v>0</v>
      </c>
      <c r="AQ270" s="72">
        <f>(Tradingbook_MSB[[#This Row],[MARKET_VALUE]]+Tradingbook_MSB[[#This Row],[Accr Int]]*Tradingbook_MSB[[#This Row],[Quantity_edited]])*(-Tradingbook_MSB[[#This Row],[Modified Duration]]*0.01+0.5*Tradingbook_MSB[[#This Row],[Conv]]*(0.01^2))</f>
        <v>0</v>
      </c>
      <c r="AR270" s="71"/>
      <c r="CL270" t="s">
        <v>166</v>
      </c>
      <c r="CM270" t="s">
        <v>167</v>
      </c>
      <c r="CN270" t="s">
        <v>455</v>
      </c>
      <c r="CO270" t="s">
        <v>169</v>
      </c>
      <c r="CP270" s="35">
        <v>44203</v>
      </c>
      <c r="CQ270" t="s">
        <v>3322</v>
      </c>
      <c r="CR270" t="s">
        <v>174</v>
      </c>
      <c r="CS270" t="s">
        <v>174</v>
      </c>
      <c r="CT270" s="49">
        <v>0</v>
      </c>
      <c r="CU270">
        <v>0</v>
      </c>
      <c r="CV270">
        <v>0</v>
      </c>
      <c r="CW270" s="70">
        <v>0</v>
      </c>
      <c r="CX270">
        <v>6.5</v>
      </c>
      <c r="CY270">
        <v>0</v>
      </c>
      <c r="CZ270">
        <v>32500000000</v>
      </c>
      <c r="DA270">
        <v>34998148611.111115</v>
      </c>
      <c r="DB270">
        <v>-16228626532.221825</v>
      </c>
      <c r="DC270">
        <v>0</v>
      </c>
      <c r="DD270">
        <v>0</v>
      </c>
      <c r="DE270">
        <v>0</v>
      </c>
      <c r="DF270">
        <v>0</v>
      </c>
      <c r="DG270">
        <v>0</v>
      </c>
      <c r="DH270">
        <v>0</v>
      </c>
      <c r="DI270">
        <v>0</v>
      </c>
      <c r="DJ270" s="500">
        <v>28560500000</v>
      </c>
      <c r="DK270" s="500">
        <v>0</v>
      </c>
      <c r="DL270" s="37">
        <v>28560500000</v>
      </c>
      <c r="DM270" s="37">
        <v>28560500000</v>
      </c>
      <c r="DN270" s="37">
        <v>28560500000</v>
      </c>
      <c r="DO270" s="37">
        <v>28560500000</v>
      </c>
      <c r="DP270" s="32">
        <f>Tradingbook_SBV[[#This Row],[Mat. Date]]-RPT</f>
        <v>-2049</v>
      </c>
      <c r="DQ270" s="32">
        <f>IF(Tradingbook_SBV[[#This Row],[Days]]&lt;=0,0,YEARFRAC(RPT,Tradingbook_SBV[[#This Row],[Mat. Date]],3))</f>
        <v>0</v>
      </c>
      <c r="DR270" s="32">
        <f>IF(Tradingbook_SBV[[#This Row],[Days (year)]]=0,0,INDEX(Ref!$K$2:$K$13,MATCH(Tradingbook_SBV[[#This Row],[Days (year)]],Ref!$I$2:$I$13,1)))</f>
        <v>0</v>
      </c>
      <c r="DS270" s="32" t="str">
        <f>VLOOKUP(Tradingbook_SBV[[#This Row],[Security Name]],Ref!X:Z,3,0)</f>
        <v>TPCP</v>
      </c>
      <c r="DT270" s="32" t="str">
        <f>VLOOKUP(Tradingbook_SBV[[#This Row],[Security Name]],Ref!X:Y,2,0)</f>
        <v>KBNN</v>
      </c>
      <c r="DU270" s="71">
        <f>IF((Tradingbook_SBV[[#This Row],[Mat. Date]]-RPT)&lt;=0,0,Tradingbook_SBV[[#This Row],[QUANTITY]])</f>
        <v>0</v>
      </c>
      <c r="DV270" s="71">
        <f>IF(Tradingbook_SBV[[#This Row],[Quantity_edited]]=0,0,Tradingbook_SBV[[#This Row],[DURATION]])</f>
        <v>0</v>
      </c>
      <c r="DW270" s="71">
        <f>IF(Tradingbook_SBV[[#This Row],[Quantity_edited]]=0,0,Tradingbook_SBV[[#This Row],[Mod Dur]])</f>
        <v>0</v>
      </c>
      <c r="DX270" s="71">
        <f>IF(Tradingbook_SBV[[#This Row],[Quantity_edited]]=0,0,Tradingbook_SBV[[#This Row],[Cnvx.]])</f>
        <v>0</v>
      </c>
      <c r="DY270" s="71">
        <f>(Tradingbook_SBV[[#This Row],[MARKET_VALUE]]+Tradingbook_SBV[[#This Row],[Accr Int]]*Tradingbook_SBV[[#This Row],[Quantity_edited]])*(-Tradingbook_SBV[[#This Row],[Modified Duration]]*0.0001+0.5*Tradingbook_SBV[[#This Row],[Conv]]*(0.0001^2))</f>
        <v>0</v>
      </c>
      <c r="DZ270" s="71">
        <f>(Tradingbook_SBV[[#This Row],[MARKET_VALUE]]+Tradingbook_SBV[[#This Row],[Accr Int]]*Tradingbook_SBV[[#This Row],[Quantity_edited]])*(-Tradingbook_SBV[[#This Row],[Modified Duration]]*0.01+0.5*Tradingbook_SBV[[#This Row],[Conv]]*(0.01^2))</f>
        <v>0</v>
      </c>
      <c r="EC270" t="s">
        <v>166</v>
      </c>
      <c r="ED270" t="s">
        <v>3301</v>
      </c>
      <c r="EE270" t="s">
        <v>2774</v>
      </c>
      <c r="EF270" t="s">
        <v>169</v>
      </c>
      <c r="EG270" s="35" t="s">
        <v>2777</v>
      </c>
      <c r="EH270" t="s">
        <v>170</v>
      </c>
      <c r="EI270" s="500">
        <v>90876</v>
      </c>
      <c r="EJ270" s="500">
        <v>90876</v>
      </c>
      <c r="EK270" s="500">
        <v>2500000</v>
      </c>
      <c r="EL270" s="500">
        <v>250000000000</v>
      </c>
      <c r="EM270" s="500">
        <v>101113</v>
      </c>
      <c r="EN270" s="500">
        <v>227190000000</v>
      </c>
      <c r="EO270">
        <v>3.3</v>
      </c>
      <c r="EP270">
        <v>2504</v>
      </c>
      <c r="EQ270">
        <v>16500000000</v>
      </c>
      <c r="ER270">
        <v>17579122916.666679</v>
      </c>
      <c r="ES270">
        <v>-24595664312.500019</v>
      </c>
      <c r="ET270">
        <v>4.8202100659999996</v>
      </c>
      <c r="EU270">
        <v>6.0558459993377003</v>
      </c>
      <c r="EV270">
        <v>6.3477505000000001</v>
      </c>
      <c r="EW270">
        <v>45.901692843722799</v>
      </c>
      <c r="EX270">
        <v>107157.5019436708</v>
      </c>
      <c r="EY270">
        <v>-141373.72485453801</v>
      </c>
      <c r="EZ270">
        <v>30111.499</v>
      </c>
      <c r="FA270">
        <v>1300000000</v>
      </c>
      <c r="FB270">
        <v>-25592500000</v>
      </c>
      <c r="FC270">
        <v>-24292500000</v>
      </c>
      <c r="FD270">
        <v>-24292500000</v>
      </c>
      <c r="FE270">
        <v>-24292500000</v>
      </c>
      <c r="FF270">
        <v>-24292500000</v>
      </c>
      <c r="FG270" s="32">
        <f>Bankingbook_SBV[[#This Row],[Mat. Date]]-RPT</f>
        <v>2645</v>
      </c>
      <c r="FH270" s="32">
        <f>IF(Bankingbook_SBV[[#This Row],[Days]]&lt;=0,0,YEARFRAC(RPT,Bankingbook_SBV[[#This Row],[Mat. Date]],3))</f>
        <v>7.2465753424657535</v>
      </c>
      <c r="FI270" s="32" t="str">
        <f>IF(Bankingbook_SBV[[#This Row],[Days (year)]]=0,0,INDEX(Ref!$K$2:$K$13,MATCH(Bankingbook_SBV[[#This Row],[Days (year)]],Ref!$I$2:$I$13,1)))</f>
        <v>7Y</v>
      </c>
      <c r="FJ270" s="32" t="str">
        <f>VLOOKUP(Bankingbook_SBV[[#This Row],[Security Name]],Ref!X:Z,3,0)</f>
        <v>TPCPBL</v>
      </c>
      <c r="FK270" s="32" t="str">
        <f>VLOOKUP(Bankingbook_SBV[[#This Row],[Security Name]],Ref!X:Y,2,0)</f>
        <v>VBS</v>
      </c>
      <c r="FL270" s="72">
        <f>IF((Bankingbook_SBV[[#This Row],[Mat. Date]]-RPT)&lt;=0,0,Bankingbook_SBV[[#This Row],[QUANTITY]])</f>
        <v>2500000</v>
      </c>
      <c r="FM270" s="32">
        <f>IF(Bankingbook_SBV[[#This Row],[Quantity_edited]]=0,0,Bankingbook_SBV[[#This Row],[DURATION]])</f>
        <v>6.3477505000000001</v>
      </c>
      <c r="FN270" s="32">
        <f>IF(Bankingbook_SBV[[#This Row],[Quantity_edited]]=0,0,Bankingbook_SBV[[#This Row],[Mod Dur]])</f>
        <v>6.0558459993377003</v>
      </c>
      <c r="FO270" s="32">
        <f>IF(Bankingbook_SBV[[#This Row],[Quantity_edited]]=0,0,Bankingbook_SBV[[#This Row],[Cnvx.]])</f>
        <v>45.901692843722799</v>
      </c>
      <c r="FP270" s="32">
        <f>(Bankingbook_SBV[[#This Row],[MARKET_VALUE]]+Bankingbook_SBV[[#This Row],[Accr Int]]*Bankingbook_SBV[[#This Row],[Quantity_edited]])*(-Bankingbook_SBV[[#This Row],[Modified Duration]]*0.0001+0.5*Bankingbook_SBV[[#This Row],[Conv]]*(0.0001^2))</f>
        <v>-141320146.1035668</v>
      </c>
      <c r="FQ270" s="32">
        <f>(Bankingbook_SBV[[#This Row],[MARKET_VALUE]]+Bankingbook_SBV[[#This Row],[Accr Int]]*Bankingbook_SBV[[#This Row],[Quantity_edited]])*(-Bankingbook_SBV[[#This Row],[Modified Duration]]*0.01+0.5*Bankingbook_SBV[[#This Row],[Conv]]*(0.01^2))</f>
        <v>-13601584975.735508</v>
      </c>
    </row>
    <row r="271" spans="2:173" x14ac:dyDescent="0.3">
      <c r="B271" t="s">
        <v>166</v>
      </c>
      <c r="C271" t="s">
        <v>167</v>
      </c>
      <c r="D271" t="s">
        <v>456</v>
      </c>
      <c r="E271" t="s">
        <v>169</v>
      </c>
      <c r="F271" s="502">
        <v>44216</v>
      </c>
      <c r="G271" t="s">
        <v>3322</v>
      </c>
      <c r="H271"/>
      <c r="I271"/>
      <c r="J271" s="38">
        <v>0</v>
      </c>
      <c r="K271">
        <v>0</v>
      </c>
      <c r="L271">
        <v>0</v>
      </c>
      <c r="M271" s="38">
        <v>0</v>
      </c>
      <c r="N271">
        <v>7.2</v>
      </c>
      <c r="O271">
        <v>0</v>
      </c>
      <c r="P271" s="37">
        <v>0</v>
      </c>
      <c r="Q271" s="37">
        <v>3.9999999999999998E-6</v>
      </c>
      <c r="R271" s="37">
        <v>16449430.529166698</v>
      </c>
      <c r="S271">
        <v>0</v>
      </c>
      <c r="T271" s="70">
        <v>0</v>
      </c>
      <c r="U271">
        <v>0</v>
      </c>
      <c r="V271">
        <v>0</v>
      </c>
      <c r="W271">
        <v>0</v>
      </c>
      <c r="X271" s="38">
        <v>0</v>
      </c>
      <c r="Y271">
        <v>0</v>
      </c>
      <c r="Z271" s="70">
        <v>314540000</v>
      </c>
      <c r="AA271" s="70">
        <v>0</v>
      </c>
      <c r="AB271" s="70">
        <v>314540000</v>
      </c>
      <c r="AC271" s="70">
        <v>314540000</v>
      </c>
      <c r="AD271" s="70">
        <v>314540000</v>
      </c>
      <c r="AE271" s="70">
        <v>314540000</v>
      </c>
      <c r="AF271">
        <v>0</v>
      </c>
      <c r="AG271" s="72">
        <f>Tradingbook_MSB[[#This Row],[Mat. Date]]-RPT</f>
        <v>-2036</v>
      </c>
      <c r="AH271" s="71">
        <f>IF(Tradingbook_MSB[[#This Row],[Days]]&lt;=0,0,YEARFRAC(RPT,Tradingbook_MSB[[#This Row],[Mat. Date]],3))</f>
        <v>0</v>
      </c>
      <c r="AI271" s="71">
        <f>IF(Tradingbook_MSB[[#This Row],[Days (year)]]=0,0,INDEX(Ref!$K$2:$K$13,MATCH(Tradingbook_MSB[[#This Row],[Days (year)]],Ref!$I$2:$I$13,1)))</f>
        <v>0</v>
      </c>
      <c r="AJ271" s="120" t="str">
        <f>VLOOKUP(Tradingbook_MSB[[#This Row],[Security Name]],Ref!X:Z,3,0)</f>
        <v>TPCPBL</v>
      </c>
      <c r="AK271" s="120" t="str">
        <f>VLOOKUP(Tradingbook_MSB[[#This Row],[Security Name]],Ref!X:Y,2,0)</f>
        <v>VDB</v>
      </c>
      <c r="AL271" s="71">
        <f>IF((Tradingbook_MSB[[#This Row],[Mat. Date]]-RPT)&lt;=0,0,Tradingbook_MSB[[#This Row],[QUANTITY]])</f>
        <v>0</v>
      </c>
      <c r="AM271" s="71">
        <f>IF(Tradingbook_MSB[[#This Row],[Quantity_edited]]=0,0,Tradingbook_MSB[[#This Row],[DURATION]])</f>
        <v>0</v>
      </c>
      <c r="AN271" s="71">
        <f>IF(Tradingbook_MSB[[#This Row],[Quantity_edited]]=0,0,Tradingbook_MSB[[#This Row],[Mod Dur]])</f>
        <v>0</v>
      </c>
      <c r="AO271" s="71">
        <f>IF(Tradingbook_MSB[[#This Row],[Quantity_edited]]=0,0,Tradingbook_MSB[[#This Row],[Cnvx.]])</f>
        <v>0</v>
      </c>
      <c r="AP271" s="71">
        <f>(Tradingbook_MSB[[#This Row],[MARKET_VALUE]]+Tradingbook_MSB[[#This Row],[Accr Int]]*Tradingbook_MSB[[#This Row],[Quantity_edited]])*(-Tradingbook_MSB[[#This Row],[Modified Duration]]*0.0001+0.5*Tradingbook_MSB[[#This Row],[Conv]]*(0.0001^2))</f>
        <v>0</v>
      </c>
      <c r="AQ271" s="72">
        <f>(Tradingbook_MSB[[#This Row],[MARKET_VALUE]]+Tradingbook_MSB[[#This Row],[Accr Int]]*Tradingbook_MSB[[#This Row],[Quantity_edited]])*(-Tradingbook_MSB[[#This Row],[Modified Duration]]*0.01+0.5*Tradingbook_MSB[[#This Row],[Conv]]*(0.01^2))</f>
        <v>0</v>
      </c>
      <c r="AR271" s="71"/>
      <c r="CL271" t="s">
        <v>166</v>
      </c>
      <c r="CM271" t="s">
        <v>167</v>
      </c>
      <c r="CN271" t="s">
        <v>456</v>
      </c>
      <c r="CO271" t="s">
        <v>169</v>
      </c>
      <c r="CP271" s="35">
        <v>44216</v>
      </c>
      <c r="CQ271" t="s">
        <v>3322</v>
      </c>
      <c r="CR271" t="s">
        <v>174</v>
      </c>
      <c r="CS271" t="s">
        <v>174</v>
      </c>
      <c r="CT271" s="49">
        <v>0</v>
      </c>
      <c r="CU271">
        <v>0</v>
      </c>
      <c r="CV271">
        <v>0</v>
      </c>
      <c r="CW271" s="70">
        <v>0</v>
      </c>
      <c r="CX271">
        <v>7.2</v>
      </c>
      <c r="CY271">
        <v>0</v>
      </c>
      <c r="CZ271">
        <v>0</v>
      </c>
      <c r="DA271">
        <v>3.9999999999999998E-6</v>
      </c>
      <c r="DB271">
        <v>16449430.529166698</v>
      </c>
      <c r="DC271">
        <v>0</v>
      </c>
      <c r="DD271">
        <v>0</v>
      </c>
      <c r="DE271">
        <v>0</v>
      </c>
      <c r="DF271">
        <v>0</v>
      </c>
      <c r="DG271">
        <v>0</v>
      </c>
      <c r="DH271">
        <v>0</v>
      </c>
      <c r="DI271">
        <v>0</v>
      </c>
      <c r="DJ271" s="500">
        <v>314540000</v>
      </c>
      <c r="DK271" s="500">
        <v>0</v>
      </c>
      <c r="DL271" s="37">
        <v>314540000</v>
      </c>
      <c r="DM271" s="37">
        <v>314540000</v>
      </c>
      <c r="DN271" s="37">
        <v>314540000</v>
      </c>
      <c r="DO271" s="37">
        <v>314540000</v>
      </c>
      <c r="DP271" s="32">
        <f>Tradingbook_SBV[[#This Row],[Mat. Date]]-RPT</f>
        <v>-2036</v>
      </c>
      <c r="DQ271" s="32">
        <f>IF(Tradingbook_SBV[[#This Row],[Days]]&lt;=0,0,YEARFRAC(RPT,Tradingbook_SBV[[#This Row],[Mat. Date]],3))</f>
        <v>0</v>
      </c>
      <c r="DR271" s="32">
        <f>IF(Tradingbook_SBV[[#This Row],[Days (year)]]=0,0,INDEX(Ref!$K$2:$K$13,MATCH(Tradingbook_SBV[[#This Row],[Days (year)]],Ref!$I$2:$I$13,1)))</f>
        <v>0</v>
      </c>
      <c r="DS271" s="32" t="str">
        <f>VLOOKUP(Tradingbook_SBV[[#This Row],[Security Name]],Ref!X:Z,3,0)</f>
        <v>TPCPBL</v>
      </c>
      <c r="DT271" s="32" t="str">
        <f>VLOOKUP(Tradingbook_SBV[[#This Row],[Security Name]],Ref!X:Y,2,0)</f>
        <v>VDB</v>
      </c>
      <c r="DU271" s="71">
        <f>IF((Tradingbook_SBV[[#This Row],[Mat. Date]]-RPT)&lt;=0,0,Tradingbook_SBV[[#This Row],[QUANTITY]])</f>
        <v>0</v>
      </c>
      <c r="DV271" s="71">
        <f>IF(Tradingbook_SBV[[#This Row],[Quantity_edited]]=0,0,Tradingbook_SBV[[#This Row],[DURATION]])</f>
        <v>0</v>
      </c>
      <c r="DW271" s="71">
        <f>IF(Tradingbook_SBV[[#This Row],[Quantity_edited]]=0,0,Tradingbook_SBV[[#This Row],[Mod Dur]])</f>
        <v>0</v>
      </c>
      <c r="DX271" s="71">
        <f>IF(Tradingbook_SBV[[#This Row],[Quantity_edited]]=0,0,Tradingbook_SBV[[#This Row],[Cnvx.]])</f>
        <v>0</v>
      </c>
      <c r="DY271" s="71">
        <f>(Tradingbook_SBV[[#This Row],[MARKET_VALUE]]+Tradingbook_SBV[[#This Row],[Accr Int]]*Tradingbook_SBV[[#This Row],[Quantity_edited]])*(-Tradingbook_SBV[[#This Row],[Modified Duration]]*0.0001+0.5*Tradingbook_SBV[[#This Row],[Conv]]*(0.0001^2))</f>
        <v>0</v>
      </c>
      <c r="DZ271" s="71">
        <f>(Tradingbook_SBV[[#This Row],[MARKET_VALUE]]+Tradingbook_SBV[[#This Row],[Accr Int]]*Tradingbook_SBV[[#This Row],[Quantity_edited]])*(-Tradingbook_SBV[[#This Row],[Modified Duration]]*0.01+0.5*Tradingbook_SBV[[#This Row],[Conv]]*(0.01^2))</f>
        <v>0</v>
      </c>
      <c r="EC271" t="s">
        <v>166</v>
      </c>
      <c r="ED271" t="s">
        <v>3301</v>
      </c>
      <c r="EE271" t="s">
        <v>1204</v>
      </c>
      <c r="EF271" t="s">
        <v>169</v>
      </c>
      <c r="EG271" s="35" t="s">
        <v>2812</v>
      </c>
      <c r="EH271" t="s">
        <v>170</v>
      </c>
      <c r="EI271" s="500">
        <v>105963</v>
      </c>
      <c r="EJ271" s="500">
        <v>105963</v>
      </c>
      <c r="EK271" s="500">
        <v>500000</v>
      </c>
      <c r="EL271" s="500">
        <v>50000000000</v>
      </c>
      <c r="EM271" s="500">
        <v>123245</v>
      </c>
      <c r="EN271" s="500">
        <v>52981500000</v>
      </c>
      <c r="EO271">
        <v>5.3</v>
      </c>
      <c r="EP271">
        <v>4008</v>
      </c>
      <c r="EQ271">
        <v>5300000000</v>
      </c>
      <c r="ER271">
        <v>5645865486.1111164</v>
      </c>
      <c r="ES271">
        <v>-6119424597.9166698</v>
      </c>
      <c r="ET271">
        <v>4.320333196</v>
      </c>
      <c r="EU271">
        <v>5.7642829126548998</v>
      </c>
      <c r="EV271">
        <v>6.0133191400000001</v>
      </c>
      <c r="EW271">
        <v>43.155053225863298</v>
      </c>
      <c r="EX271">
        <v>23729.021791507101</v>
      </c>
      <c r="EY271">
        <v>-31695.197809378002</v>
      </c>
      <c r="EZ271">
        <v>6372.0749999999998</v>
      </c>
      <c r="FA271">
        <v>-1046500000</v>
      </c>
      <c r="FB271">
        <v>-8641000000</v>
      </c>
      <c r="FC271">
        <v>-9687500000</v>
      </c>
      <c r="FD271">
        <v>-9687500000</v>
      </c>
      <c r="FE271">
        <v>-9687500000</v>
      </c>
      <c r="FF271">
        <v>-9687500000</v>
      </c>
      <c r="FG271" s="32">
        <f>Bankingbook_SBV[[#This Row],[Mat. Date]]-RPT</f>
        <v>2646</v>
      </c>
      <c r="FH271" s="32">
        <f>IF(Bankingbook_SBV[[#This Row],[Days]]&lt;=0,0,YEARFRAC(RPT,Bankingbook_SBV[[#This Row],[Mat. Date]],3))</f>
        <v>7.2493150684931509</v>
      </c>
      <c r="FI271" s="32" t="str">
        <f>IF(Bankingbook_SBV[[#This Row],[Days (year)]]=0,0,INDEX(Ref!$K$2:$K$13,MATCH(Bankingbook_SBV[[#This Row],[Days (year)]],Ref!$I$2:$I$13,1)))</f>
        <v>7Y</v>
      </c>
      <c r="FJ271" s="32" t="str">
        <f>VLOOKUP(Bankingbook_SBV[[#This Row],[Security Name]],Ref!X:Z,3,0)</f>
        <v>TPCP</v>
      </c>
      <c r="FK271" s="32" t="str">
        <f>VLOOKUP(Bankingbook_SBV[[#This Row],[Security Name]],Ref!X:Y,2,0)</f>
        <v>KBNN</v>
      </c>
      <c r="FL271" s="72">
        <f>IF((Bankingbook_SBV[[#This Row],[Mat. Date]]-RPT)&lt;=0,0,Bankingbook_SBV[[#This Row],[QUANTITY]])</f>
        <v>500000</v>
      </c>
      <c r="FM271" s="32">
        <f>IF(Bankingbook_SBV[[#This Row],[Quantity_edited]]=0,0,Bankingbook_SBV[[#This Row],[DURATION]])</f>
        <v>6.0133191400000001</v>
      </c>
      <c r="FN271" s="32">
        <f>IF(Bankingbook_SBV[[#This Row],[Quantity_edited]]=0,0,Bankingbook_SBV[[#This Row],[Mod Dur]])</f>
        <v>5.7642829126548998</v>
      </c>
      <c r="FO271" s="32">
        <f>IF(Bankingbook_SBV[[#This Row],[Quantity_edited]]=0,0,Bankingbook_SBV[[#This Row],[Cnvx.]])</f>
        <v>43.155053225863298</v>
      </c>
      <c r="FP271" s="32">
        <f>(Bankingbook_SBV[[#This Row],[MARKET_VALUE]]+Bankingbook_SBV[[#This Row],[Accr Int]]*Bankingbook_SBV[[#This Row],[Quantity_edited]])*(-Bankingbook_SBV[[#This Row],[Modified Duration]]*0.0001+0.5*Bankingbook_SBV[[#This Row],[Conv]]*(0.0001^2))</f>
        <v>-31683333.29848285</v>
      </c>
      <c r="FQ271" s="32">
        <f>(Bankingbook_SBV[[#This Row],[MARKET_VALUE]]+Bankingbook_SBV[[#This Row],[Accr Int]]*Bankingbook_SBV[[#This Row],[Quantity_edited]])*(-Bankingbook_SBV[[#This Row],[Modified Duration]]*0.01+0.5*Bankingbook_SBV[[#This Row],[Conv]]*(0.01^2))</f>
        <v>-3050874671.9803247</v>
      </c>
    </row>
    <row r="272" spans="2:173" x14ac:dyDescent="0.3">
      <c r="B272" t="s">
        <v>166</v>
      </c>
      <c r="C272" t="s">
        <v>167</v>
      </c>
      <c r="D272" t="s">
        <v>457</v>
      </c>
      <c r="E272" t="s">
        <v>169</v>
      </c>
      <c r="F272" s="502">
        <v>44245</v>
      </c>
      <c r="G272" t="s">
        <v>3322</v>
      </c>
      <c r="H272"/>
      <c r="I272"/>
      <c r="J272" s="38">
        <v>0</v>
      </c>
      <c r="K272">
        <v>0</v>
      </c>
      <c r="L272">
        <v>0</v>
      </c>
      <c r="M272" s="38">
        <v>0</v>
      </c>
      <c r="N272">
        <v>6.5</v>
      </c>
      <c r="O272">
        <v>0</v>
      </c>
      <c r="P272" s="37">
        <v>16250000000</v>
      </c>
      <c r="Q272" s="37">
        <v>17604466840.277763</v>
      </c>
      <c r="R272" s="37">
        <v>-7811091356.549964</v>
      </c>
      <c r="S272">
        <v>0</v>
      </c>
      <c r="T272" s="70">
        <v>0</v>
      </c>
      <c r="U272">
        <v>0</v>
      </c>
      <c r="V272">
        <v>0</v>
      </c>
      <c r="W272">
        <v>0</v>
      </c>
      <c r="X272" s="38">
        <v>0</v>
      </c>
      <c r="Y272">
        <v>0</v>
      </c>
      <c r="Z272" s="70">
        <v>11985920000</v>
      </c>
      <c r="AA272" s="70">
        <v>0</v>
      </c>
      <c r="AB272" s="70">
        <v>11985920000</v>
      </c>
      <c r="AC272" s="70">
        <v>11985920000</v>
      </c>
      <c r="AD272" s="70">
        <v>11985920000</v>
      </c>
      <c r="AE272" s="70">
        <v>11985920000</v>
      </c>
      <c r="AF272">
        <v>0</v>
      </c>
      <c r="AG272" s="72">
        <f>Tradingbook_MSB[[#This Row],[Mat. Date]]-RPT</f>
        <v>-2007</v>
      </c>
      <c r="AH272" s="71">
        <f>IF(Tradingbook_MSB[[#This Row],[Days]]&lt;=0,0,YEARFRAC(RPT,Tradingbook_MSB[[#This Row],[Mat. Date]],3))</f>
        <v>0</v>
      </c>
      <c r="AI272" s="71">
        <f>IF(Tradingbook_MSB[[#This Row],[Days (year)]]=0,0,INDEX(Ref!$K$2:$K$13,MATCH(Tradingbook_MSB[[#This Row],[Days (year)]],Ref!$I$2:$I$13,1)))</f>
        <v>0</v>
      </c>
      <c r="AJ272" s="120" t="str">
        <f>VLOOKUP(Tradingbook_MSB[[#This Row],[Security Name]],Ref!X:Z,3,0)</f>
        <v>TPCP</v>
      </c>
      <c r="AK272" s="120" t="str">
        <f>VLOOKUP(Tradingbook_MSB[[#This Row],[Security Name]],Ref!X:Y,2,0)</f>
        <v>KBNN</v>
      </c>
      <c r="AL272" s="71">
        <f>IF((Tradingbook_MSB[[#This Row],[Mat. Date]]-RPT)&lt;=0,0,Tradingbook_MSB[[#This Row],[QUANTITY]])</f>
        <v>0</v>
      </c>
      <c r="AM272" s="71">
        <f>IF(Tradingbook_MSB[[#This Row],[Quantity_edited]]=0,0,Tradingbook_MSB[[#This Row],[DURATION]])</f>
        <v>0</v>
      </c>
      <c r="AN272" s="71">
        <f>IF(Tradingbook_MSB[[#This Row],[Quantity_edited]]=0,0,Tradingbook_MSB[[#This Row],[Mod Dur]])</f>
        <v>0</v>
      </c>
      <c r="AO272" s="71">
        <f>IF(Tradingbook_MSB[[#This Row],[Quantity_edited]]=0,0,Tradingbook_MSB[[#This Row],[Cnvx.]])</f>
        <v>0</v>
      </c>
      <c r="AP272" s="71">
        <f>(Tradingbook_MSB[[#This Row],[MARKET_VALUE]]+Tradingbook_MSB[[#This Row],[Accr Int]]*Tradingbook_MSB[[#This Row],[Quantity_edited]])*(-Tradingbook_MSB[[#This Row],[Modified Duration]]*0.0001+0.5*Tradingbook_MSB[[#This Row],[Conv]]*(0.0001^2))</f>
        <v>0</v>
      </c>
      <c r="AQ272" s="72">
        <f>(Tradingbook_MSB[[#This Row],[MARKET_VALUE]]+Tradingbook_MSB[[#This Row],[Accr Int]]*Tradingbook_MSB[[#This Row],[Quantity_edited]])*(-Tradingbook_MSB[[#This Row],[Modified Duration]]*0.01+0.5*Tradingbook_MSB[[#This Row],[Conv]]*(0.01^2))</f>
        <v>0</v>
      </c>
      <c r="AR272" s="71"/>
      <c r="CL272" t="s">
        <v>166</v>
      </c>
      <c r="CM272" t="s">
        <v>167</v>
      </c>
      <c r="CN272" t="s">
        <v>457</v>
      </c>
      <c r="CO272" t="s">
        <v>169</v>
      </c>
      <c r="CP272" s="35">
        <v>44245</v>
      </c>
      <c r="CQ272" t="s">
        <v>3322</v>
      </c>
      <c r="CR272" t="s">
        <v>174</v>
      </c>
      <c r="CS272" t="s">
        <v>174</v>
      </c>
      <c r="CT272" s="49">
        <v>0</v>
      </c>
      <c r="CU272">
        <v>0</v>
      </c>
      <c r="CV272">
        <v>0</v>
      </c>
      <c r="CW272" s="70">
        <v>0</v>
      </c>
      <c r="CX272">
        <v>6.5</v>
      </c>
      <c r="CY272">
        <v>0</v>
      </c>
      <c r="CZ272">
        <v>16250000000</v>
      </c>
      <c r="DA272">
        <v>17604466840.277763</v>
      </c>
      <c r="DB272">
        <v>-7811091356.549964</v>
      </c>
      <c r="DC272">
        <v>0</v>
      </c>
      <c r="DD272">
        <v>0</v>
      </c>
      <c r="DE272">
        <v>0</v>
      </c>
      <c r="DF272">
        <v>0</v>
      </c>
      <c r="DG272">
        <v>0</v>
      </c>
      <c r="DH272">
        <v>0</v>
      </c>
      <c r="DI272">
        <v>0</v>
      </c>
      <c r="DJ272" s="500">
        <v>11985920000</v>
      </c>
      <c r="DK272" s="500">
        <v>0</v>
      </c>
      <c r="DL272" s="37">
        <v>11985920000</v>
      </c>
      <c r="DM272" s="37">
        <v>11985920000</v>
      </c>
      <c r="DN272" s="37">
        <v>11985920000</v>
      </c>
      <c r="DO272" s="37">
        <v>11985920000</v>
      </c>
      <c r="DP272" s="32">
        <f>Tradingbook_SBV[[#This Row],[Mat. Date]]-RPT</f>
        <v>-2007</v>
      </c>
      <c r="DQ272" s="32">
        <f>IF(Tradingbook_SBV[[#This Row],[Days]]&lt;=0,0,YEARFRAC(RPT,Tradingbook_SBV[[#This Row],[Mat. Date]],3))</f>
        <v>0</v>
      </c>
      <c r="DR272" s="32">
        <f>IF(Tradingbook_SBV[[#This Row],[Days (year)]]=0,0,INDEX(Ref!$K$2:$K$13,MATCH(Tradingbook_SBV[[#This Row],[Days (year)]],Ref!$I$2:$I$13,1)))</f>
        <v>0</v>
      </c>
      <c r="DS272" s="32" t="str">
        <f>VLOOKUP(Tradingbook_SBV[[#This Row],[Security Name]],Ref!X:Z,3,0)</f>
        <v>TPCP</v>
      </c>
      <c r="DT272" s="32" t="str">
        <f>VLOOKUP(Tradingbook_SBV[[#This Row],[Security Name]],Ref!X:Y,2,0)</f>
        <v>KBNN</v>
      </c>
      <c r="DU272" s="71">
        <f>IF((Tradingbook_SBV[[#This Row],[Mat. Date]]-RPT)&lt;=0,0,Tradingbook_SBV[[#This Row],[QUANTITY]])</f>
        <v>0</v>
      </c>
      <c r="DV272" s="71">
        <f>IF(Tradingbook_SBV[[#This Row],[Quantity_edited]]=0,0,Tradingbook_SBV[[#This Row],[DURATION]])</f>
        <v>0</v>
      </c>
      <c r="DW272" s="71">
        <f>IF(Tradingbook_SBV[[#This Row],[Quantity_edited]]=0,0,Tradingbook_SBV[[#This Row],[Mod Dur]])</f>
        <v>0</v>
      </c>
      <c r="DX272" s="71">
        <f>IF(Tradingbook_SBV[[#This Row],[Quantity_edited]]=0,0,Tradingbook_SBV[[#This Row],[Cnvx.]])</f>
        <v>0</v>
      </c>
      <c r="DY272" s="71">
        <f>(Tradingbook_SBV[[#This Row],[MARKET_VALUE]]+Tradingbook_SBV[[#This Row],[Accr Int]]*Tradingbook_SBV[[#This Row],[Quantity_edited]])*(-Tradingbook_SBV[[#This Row],[Modified Duration]]*0.0001+0.5*Tradingbook_SBV[[#This Row],[Conv]]*(0.0001^2))</f>
        <v>0</v>
      </c>
      <c r="DZ272" s="71">
        <f>(Tradingbook_SBV[[#This Row],[MARKET_VALUE]]+Tradingbook_SBV[[#This Row],[Accr Int]]*Tradingbook_SBV[[#This Row],[Quantity_edited]])*(-Tradingbook_SBV[[#This Row],[Modified Duration]]*0.01+0.5*Tradingbook_SBV[[#This Row],[Conv]]*(0.01^2))</f>
        <v>0</v>
      </c>
      <c r="EC272" t="s">
        <v>166</v>
      </c>
      <c r="ED272" t="s">
        <v>3301</v>
      </c>
      <c r="EE272" t="s">
        <v>2779</v>
      </c>
      <c r="EF272" t="s">
        <v>169</v>
      </c>
      <c r="EG272" s="35" t="s">
        <v>2780</v>
      </c>
      <c r="EH272" t="s">
        <v>170</v>
      </c>
      <c r="EI272" s="500">
        <v>89666</v>
      </c>
      <c r="EJ272" s="500">
        <v>89666</v>
      </c>
      <c r="EK272" s="500">
        <v>8500000</v>
      </c>
      <c r="EL272" s="500">
        <v>850000000000</v>
      </c>
      <c r="EM272" s="500">
        <v>101472.826</v>
      </c>
      <c r="EN272" s="500">
        <v>762161000000</v>
      </c>
      <c r="EO272">
        <v>3.1</v>
      </c>
      <c r="EP272">
        <v>2327</v>
      </c>
      <c r="EQ272">
        <v>51150000000</v>
      </c>
      <c r="ER272">
        <v>54439556388.888924</v>
      </c>
      <c r="ES272">
        <v>-85423682612.500015</v>
      </c>
      <c r="ET272">
        <v>4.8205569959999996</v>
      </c>
      <c r="EU272">
        <v>6.1035684561021002</v>
      </c>
      <c r="EV272">
        <v>6.3977944500000001</v>
      </c>
      <c r="EW272">
        <v>46.398306297195397</v>
      </c>
      <c r="EX272">
        <v>362807.148251821</v>
      </c>
      <c r="EY272">
        <v>-477262.73703487299</v>
      </c>
      <c r="EZ272">
        <v>100865.52099999999</v>
      </c>
      <c r="FA272">
        <v>216521739.1304177</v>
      </c>
      <c r="FB272">
        <v>-100358021739.13048</v>
      </c>
      <c r="FC272">
        <v>-100141500000.00006</v>
      </c>
      <c r="FD272">
        <v>-100141500000.00006</v>
      </c>
      <c r="FE272">
        <v>-100141500000</v>
      </c>
      <c r="FF272">
        <v>-100141500000.00006</v>
      </c>
      <c r="FG272" s="32">
        <f>Bankingbook_SBV[[#This Row],[Mat. Date]]-RPT</f>
        <v>2648</v>
      </c>
      <c r="FH272" s="32">
        <f>IF(Bankingbook_SBV[[#This Row],[Days]]&lt;=0,0,YEARFRAC(RPT,Bankingbook_SBV[[#This Row],[Mat. Date]],3))</f>
        <v>7.2547945205479456</v>
      </c>
      <c r="FI272" s="32" t="str">
        <f>IF(Bankingbook_SBV[[#This Row],[Days (year)]]=0,0,INDEX(Ref!$K$2:$K$13,MATCH(Bankingbook_SBV[[#This Row],[Days (year)]],Ref!$I$2:$I$13,1)))</f>
        <v>7Y</v>
      </c>
      <c r="FJ272" s="32" t="str">
        <f>VLOOKUP(Bankingbook_SBV[[#This Row],[Security Name]],Ref!X:Z,3,0)</f>
        <v>TPCPBL</v>
      </c>
      <c r="FK272" s="32" t="str">
        <f>VLOOKUP(Bankingbook_SBV[[#This Row],[Security Name]],Ref!X:Y,2,0)</f>
        <v>VBS</v>
      </c>
      <c r="FL272" s="72">
        <f>IF((Bankingbook_SBV[[#This Row],[Mat. Date]]-RPT)&lt;=0,0,Bankingbook_SBV[[#This Row],[QUANTITY]])</f>
        <v>8500000</v>
      </c>
      <c r="FM272" s="32">
        <f>IF(Bankingbook_SBV[[#This Row],[Quantity_edited]]=0,0,Bankingbook_SBV[[#This Row],[DURATION]])</f>
        <v>6.3977944500000001</v>
      </c>
      <c r="FN272" s="32">
        <f>IF(Bankingbook_SBV[[#This Row],[Quantity_edited]]=0,0,Bankingbook_SBV[[#This Row],[Mod Dur]])</f>
        <v>6.1035684561021002</v>
      </c>
      <c r="FO272" s="32">
        <f>IF(Bankingbook_SBV[[#This Row],[Quantity_edited]]=0,0,Bankingbook_SBV[[#This Row],[Cnvx.]])</f>
        <v>46.398306297195397</v>
      </c>
      <c r="FP272" s="32">
        <f>(Bankingbook_SBV[[#This Row],[MARKET_VALUE]]+Bankingbook_SBV[[#This Row],[Accr Int]]*Bankingbook_SBV[[#This Row],[Quantity_edited]])*(-Bankingbook_SBV[[#This Row],[Modified Duration]]*0.0001+0.5*Bankingbook_SBV[[#This Row],[Conv]]*(0.0001^2))</f>
        <v>-477081333.46074456</v>
      </c>
      <c r="FQ272" s="32">
        <f>(Bankingbook_SBV[[#This Row],[MARKET_VALUE]]+Bankingbook_SBV[[#This Row],[Accr Int]]*Bankingbook_SBV[[#This Row],[Quantity_edited]])*(-Bankingbook_SBV[[#This Row],[Modified Duration]]*0.01+0.5*Bankingbook_SBV[[#This Row],[Conv]]*(0.01^2))</f>
        <v>-45912237962.227936</v>
      </c>
    </row>
    <row r="273" spans="2:173" x14ac:dyDescent="0.3">
      <c r="B273" t="s">
        <v>166</v>
      </c>
      <c r="C273" t="s">
        <v>167</v>
      </c>
      <c r="D273" t="s">
        <v>458</v>
      </c>
      <c r="E273" t="s">
        <v>169</v>
      </c>
      <c r="F273" s="502">
        <v>44249</v>
      </c>
      <c r="G273" t="s">
        <v>3322</v>
      </c>
      <c r="H273"/>
      <c r="I273"/>
      <c r="J273" s="38">
        <v>0</v>
      </c>
      <c r="K273">
        <v>0</v>
      </c>
      <c r="L273">
        <v>0</v>
      </c>
      <c r="M273" s="38">
        <v>0</v>
      </c>
      <c r="N273">
        <v>11.5</v>
      </c>
      <c r="O273">
        <v>0</v>
      </c>
      <c r="P273" s="37">
        <v>71300000000</v>
      </c>
      <c r="Q273" s="37">
        <v>83668316284.721924</v>
      </c>
      <c r="R273" s="37">
        <v>-33838280653.958031</v>
      </c>
      <c r="S273">
        <v>0</v>
      </c>
      <c r="T273" s="70">
        <v>0</v>
      </c>
      <c r="U273">
        <v>0</v>
      </c>
      <c r="V273">
        <v>0</v>
      </c>
      <c r="W273">
        <v>0</v>
      </c>
      <c r="X273" s="38">
        <v>0</v>
      </c>
      <c r="Y273">
        <v>0</v>
      </c>
      <c r="Z273" s="70">
        <v>26823400000</v>
      </c>
      <c r="AA273" s="70">
        <v>0</v>
      </c>
      <c r="AB273" s="70">
        <v>26823400000</v>
      </c>
      <c r="AC273" s="70">
        <v>26823400000</v>
      </c>
      <c r="AD273" s="70">
        <v>26823400000</v>
      </c>
      <c r="AE273" s="70">
        <v>26823400000</v>
      </c>
      <c r="AF273">
        <v>0</v>
      </c>
      <c r="AG273" s="72">
        <f>Tradingbook_MSB[[#This Row],[Mat. Date]]-RPT</f>
        <v>-2003</v>
      </c>
      <c r="AH273" s="71">
        <f>IF(Tradingbook_MSB[[#This Row],[Days]]&lt;=0,0,YEARFRAC(RPT,Tradingbook_MSB[[#This Row],[Mat. Date]],3))</f>
        <v>0</v>
      </c>
      <c r="AI273" s="71">
        <f>IF(Tradingbook_MSB[[#This Row],[Days (year)]]=0,0,INDEX(Ref!$K$2:$K$13,MATCH(Tradingbook_MSB[[#This Row],[Days (year)]],Ref!$I$2:$I$13,1)))</f>
        <v>0</v>
      </c>
      <c r="AJ273" s="120" t="str">
        <f>VLOOKUP(Tradingbook_MSB[[#This Row],[Security Name]],Ref!X:Z,3,0)</f>
        <v>TPCP</v>
      </c>
      <c r="AK273" s="120" t="str">
        <f>VLOOKUP(Tradingbook_MSB[[#This Row],[Security Name]],Ref!X:Y,2,0)</f>
        <v>KBNN</v>
      </c>
      <c r="AL273" s="71">
        <f>IF((Tradingbook_MSB[[#This Row],[Mat. Date]]-RPT)&lt;=0,0,Tradingbook_MSB[[#This Row],[QUANTITY]])</f>
        <v>0</v>
      </c>
      <c r="AM273" s="71">
        <f>IF(Tradingbook_MSB[[#This Row],[Quantity_edited]]=0,0,Tradingbook_MSB[[#This Row],[DURATION]])</f>
        <v>0</v>
      </c>
      <c r="AN273" s="71">
        <f>IF(Tradingbook_MSB[[#This Row],[Quantity_edited]]=0,0,Tradingbook_MSB[[#This Row],[Mod Dur]])</f>
        <v>0</v>
      </c>
      <c r="AO273" s="71">
        <f>IF(Tradingbook_MSB[[#This Row],[Quantity_edited]]=0,0,Tradingbook_MSB[[#This Row],[Cnvx.]])</f>
        <v>0</v>
      </c>
      <c r="AP273" s="71">
        <f>(Tradingbook_MSB[[#This Row],[MARKET_VALUE]]+Tradingbook_MSB[[#This Row],[Accr Int]]*Tradingbook_MSB[[#This Row],[Quantity_edited]])*(-Tradingbook_MSB[[#This Row],[Modified Duration]]*0.0001+0.5*Tradingbook_MSB[[#This Row],[Conv]]*(0.0001^2))</f>
        <v>0</v>
      </c>
      <c r="AQ273" s="72">
        <f>(Tradingbook_MSB[[#This Row],[MARKET_VALUE]]+Tradingbook_MSB[[#This Row],[Accr Int]]*Tradingbook_MSB[[#This Row],[Quantity_edited]])*(-Tradingbook_MSB[[#This Row],[Modified Duration]]*0.01+0.5*Tradingbook_MSB[[#This Row],[Conv]]*(0.01^2))</f>
        <v>0</v>
      </c>
      <c r="AR273" s="71"/>
      <c r="CL273" t="s">
        <v>166</v>
      </c>
      <c r="CM273" t="s">
        <v>167</v>
      </c>
      <c r="CN273" t="s">
        <v>458</v>
      </c>
      <c r="CO273" t="s">
        <v>169</v>
      </c>
      <c r="CP273" s="35">
        <v>44249</v>
      </c>
      <c r="CQ273" t="s">
        <v>3322</v>
      </c>
      <c r="CR273" t="s">
        <v>174</v>
      </c>
      <c r="CS273" t="s">
        <v>174</v>
      </c>
      <c r="CT273" s="49">
        <v>0</v>
      </c>
      <c r="CU273">
        <v>0</v>
      </c>
      <c r="CV273">
        <v>0</v>
      </c>
      <c r="CW273" s="70">
        <v>0</v>
      </c>
      <c r="CX273">
        <v>11.5</v>
      </c>
      <c r="CY273">
        <v>0</v>
      </c>
      <c r="CZ273">
        <v>71300000000</v>
      </c>
      <c r="DA273">
        <v>83668316284.721924</v>
      </c>
      <c r="DB273">
        <v>-33838280653.958031</v>
      </c>
      <c r="DC273">
        <v>0</v>
      </c>
      <c r="DD273">
        <v>0</v>
      </c>
      <c r="DE273">
        <v>0</v>
      </c>
      <c r="DF273">
        <v>0</v>
      </c>
      <c r="DG273">
        <v>0</v>
      </c>
      <c r="DH273">
        <v>0</v>
      </c>
      <c r="DI273">
        <v>0</v>
      </c>
      <c r="DJ273" s="500">
        <v>26823400000</v>
      </c>
      <c r="DK273" s="500">
        <v>0</v>
      </c>
      <c r="DL273" s="37">
        <v>26823400000</v>
      </c>
      <c r="DM273" s="37">
        <v>26823400000</v>
      </c>
      <c r="DN273" s="37">
        <v>26823400000</v>
      </c>
      <c r="DO273" s="37">
        <v>26823400000</v>
      </c>
      <c r="DP273" s="32">
        <f>Tradingbook_SBV[[#This Row],[Mat. Date]]-RPT</f>
        <v>-2003</v>
      </c>
      <c r="DQ273" s="32">
        <f>IF(Tradingbook_SBV[[#This Row],[Days]]&lt;=0,0,YEARFRAC(RPT,Tradingbook_SBV[[#This Row],[Mat. Date]],3))</f>
        <v>0</v>
      </c>
      <c r="DR273" s="32">
        <f>IF(Tradingbook_SBV[[#This Row],[Days (year)]]=0,0,INDEX(Ref!$K$2:$K$13,MATCH(Tradingbook_SBV[[#This Row],[Days (year)]],Ref!$I$2:$I$13,1)))</f>
        <v>0</v>
      </c>
      <c r="DS273" s="32" t="str">
        <f>VLOOKUP(Tradingbook_SBV[[#This Row],[Security Name]],Ref!X:Z,3,0)</f>
        <v>TPCP</v>
      </c>
      <c r="DT273" s="32" t="str">
        <f>VLOOKUP(Tradingbook_SBV[[#This Row],[Security Name]],Ref!X:Y,2,0)</f>
        <v>KBNN</v>
      </c>
      <c r="DU273" s="71">
        <f>IF((Tradingbook_SBV[[#This Row],[Mat. Date]]-RPT)&lt;=0,0,Tradingbook_SBV[[#This Row],[QUANTITY]])</f>
        <v>0</v>
      </c>
      <c r="DV273" s="71">
        <f>IF(Tradingbook_SBV[[#This Row],[Quantity_edited]]=0,0,Tradingbook_SBV[[#This Row],[DURATION]])</f>
        <v>0</v>
      </c>
      <c r="DW273" s="71">
        <f>IF(Tradingbook_SBV[[#This Row],[Quantity_edited]]=0,0,Tradingbook_SBV[[#This Row],[Mod Dur]])</f>
        <v>0</v>
      </c>
      <c r="DX273" s="71">
        <f>IF(Tradingbook_SBV[[#This Row],[Quantity_edited]]=0,0,Tradingbook_SBV[[#This Row],[Cnvx.]])</f>
        <v>0</v>
      </c>
      <c r="DY273" s="71">
        <f>(Tradingbook_SBV[[#This Row],[MARKET_VALUE]]+Tradingbook_SBV[[#This Row],[Accr Int]]*Tradingbook_SBV[[#This Row],[Quantity_edited]])*(-Tradingbook_SBV[[#This Row],[Modified Duration]]*0.0001+0.5*Tradingbook_SBV[[#This Row],[Conv]]*(0.0001^2))</f>
        <v>0</v>
      </c>
      <c r="DZ273" s="71">
        <f>(Tradingbook_SBV[[#This Row],[MARKET_VALUE]]+Tradingbook_SBV[[#This Row],[Accr Int]]*Tradingbook_SBV[[#This Row],[Quantity_edited]])*(-Tradingbook_SBV[[#This Row],[Modified Duration]]*0.01+0.5*Tradingbook_SBV[[#This Row],[Conv]]*(0.01^2))</f>
        <v>0</v>
      </c>
      <c r="EC273" t="s">
        <v>166</v>
      </c>
      <c r="ED273" t="s">
        <v>3301</v>
      </c>
      <c r="EE273" t="s">
        <v>2781</v>
      </c>
      <c r="EF273" t="s">
        <v>169</v>
      </c>
      <c r="EG273" s="35" t="s">
        <v>2784</v>
      </c>
      <c r="EH273" t="s">
        <v>170</v>
      </c>
      <c r="EI273" s="500">
        <v>89050</v>
      </c>
      <c r="EJ273" s="500">
        <v>89050</v>
      </c>
      <c r="EK273" s="500">
        <v>6000000</v>
      </c>
      <c r="EL273" s="500">
        <v>600000000000</v>
      </c>
      <c r="EM273" s="500">
        <v>101514.909</v>
      </c>
      <c r="EN273" s="500">
        <v>534300000000</v>
      </c>
      <c r="EO273">
        <v>3</v>
      </c>
      <c r="EP273">
        <v>2219</v>
      </c>
      <c r="EQ273">
        <v>36000000000</v>
      </c>
      <c r="ER273">
        <v>38319825000.000031</v>
      </c>
      <c r="ES273">
        <v>-61149103872.222206</v>
      </c>
      <c r="ET273">
        <v>4.8209929970000003</v>
      </c>
      <c r="EU273">
        <v>6.1343824948699002</v>
      </c>
      <c r="EV273">
        <v>6.4301206500000001</v>
      </c>
      <c r="EW273">
        <v>46.737549240753502</v>
      </c>
      <c r="EX273">
        <v>255941.36289926001</v>
      </c>
      <c r="EY273">
        <v>-335927.37355456903</v>
      </c>
      <c r="EZ273">
        <v>70645.082999999999</v>
      </c>
      <c r="FA273">
        <v>-1114545454.5454414</v>
      </c>
      <c r="FB273">
        <v>-74789454545.454529</v>
      </c>
      <c r="FC273">
        <v>-75903999999.999969</v>
      </c>
      <c r="FD273">
        <v>-75903999999.999969</v>
      </c>
      <c r="FE273">
        <v>-75904000000</v>
      </c>
      <c r="FF273">
        <v>-75903999999.999969</v>
      </c>
      <c r="FG273" s="32">
        <f>Bankingbook_SBV[[#This Row],[Mat. Date]]-RPT</f>
        <v>2652</v>
      </c>
      <c r="FH273" s="32">
        <f>IF(Bankingbook_SBV[[#This Row],[Days]]&lt;=0,0,YEARFRAC(RPT,Bankingbook_SBV[[#This Row],[Mat. Date]],3))</f>
        <v>7.2657534246575342</v>
      </c>
      <c r="FI273" s="32" t="str">
        <f>IF(Bankingbook_SBV[[#This Row],[Days (year)]]=0,0,INDEX(Ref!$K$2:$K$13,MATCH(Bankingbook_SBV[[#This Row],[Days (year)]],Ref!$I$2:$I$13,1)))</f>
        <v>7Y</v>
      </c>
      <c r="FJ273" s="32" t="str">
        <f>VLOOKUP(Bankingbook_SBV[[#This Row],[Security Name]],Ref!X:Z,3,0)</f>
        <v>TPCPBL</v>
      </c>
      <c r="FK273" s="32" t="str">
        <f>VLOOKUP(Bankingbook_SBV[[#This Row],[Security Name]],Ref!X:Y,2,0)</f>
        <v>VBS</v>
      </c>
      <c r="FL273" s="72">
        <f>IF((Bankingbook_SBV[[#This Row],[Mat. Date]]-RPT)&lt;=0,0,Bankingbook_SBV[[#This Row],[QUANTITY]])</f>
        <v>6000000</v>
      </c>
      <c r="FM273" s="32">
        <f>IF(Bankingbook_SBV[[#This Row],[Quantity_edited]]=0,0,Bankingbook_SBV[[#This Row],[DURATION]])</f>
        <v>6.4301206500000001</v>
      </c>
      <c r="FN273" s="32">
        <f>IF(Bankingbook_SBV[[#This Row],[Quantity_edited]]=0,0,Bankingbook_SBV[[#This Row],[Mod Dur]])</f>
        <v>6.1343824948699002</v>
      </c>
      <c r="FO273" s="32">
        <f>IF(Bankingbook_SBV[[#This Row],[Quantity_edited]]=0,0,Bankingbook_SBV[[#This Row],[Cnvx.]])</f>
        <v>46.737549240753502</v>
      </c>
      <c r="FP273" s="32">
        <f>(Bankingbook_SBV[[#This Row],[MARKET_VALUE]]+Bankingbook_SBV[[#This Row],[Accr Int]]*Bankingbook_SBV[[#This Row],[Quantity_edited]])*(-Bankingbook_SBV[[#This Row],[Modified Duration]]*0.0001+0.5*Bankingbook_SBV[[#This Row],[Conv]]*(0.0001^2))</f>
        <v>-335799402.873119</v>
      </c>
      <c r="FQ273" s="32">
        <f>(Bankingbook_SBV[[#This Row],[MARKET_VALUE]]+Bankingbook_SBV[[#This Row],[Accr Int]]*Bankingbook_SBV[[#This Row],[Quantity_edited]])*(-Bankingbook_SBV[[#This Row],[Modified Duration]]*0.01+0.5*Bankingbook_SBV[[#This Row],[Conv]]*(0.01^2))</f>
        <v>-32313030540.96056</v>
      </c>
    </row>
    <row r="274" spans="2:173" x14ac:dyDescent="0.3">
      <c r="B274" t="s">
        <v>166</v>
      </c>
      <c r="C274" t="s">
        <v>167</v>
      </c>
      <c r="D274" t="s">
        <v>459</v>
      </c>
      <c r="E274" t="s">
        <v>169</v>
      </c>
      <c r="F274" s="502">
        <v>44252</v>
      </c>
      <c r="G274" t="s">
        <v>3322</v>
      </c>
      <c r="H274"/>
      <c r="I274"/>
      <c r="J274" s="38">
        <v>0</v>
      </c>
      <c r="K274">
        <v>0</v>
      </c>
      <c r="L274">
        <v>0</v>
      </c>
      <c r="M274" s="38">
        <v>0</v>
      </c>
      <c r="N274">
        <v>6.3</v>
      </c>
      <c r="O274">
        <v>0</v>
      </c>
      <c r="P274" s="37">
        <v>12600000000</v>
      </c>
      <c r="Q274" s="37">
        <v>13556945500.000015</v>
      </c>
      <c r="R274" s="37">
        <v>-4534231831.1110945</v>
      </c>
      <c r="S274">
        <v>0</v>
      </c>
      <c r="T274" s="70">
        <v>0</v>
      </c>
      <c r="U274">
        <v>0</v>
      </c>
      <c r="V274">
        <v>0</v>
      </c>
      <c r="W274">
        <v>0</v>
      </c>
      <c r="X274" s="38">
        <v>0</v>
      </c>
      <c r="Y274">
        <v>0</v>
      </c>
      <c r="Z274" s="70">
        <v>6507500000</v>
      </c>
      <c r="AA274" s="70">
        <v>0</v>
      </c>
      <c r="AB274" s="70">
        <v>6507500000</v>
      </c>
      <c r="AC274" s="70">
        <v>6507500000</v>
      </c>
      <c r="AD274" s="70">
        <v>6507500000</v>
      </c>
      <c r="AE274" s="70">
        <v>6507500000</v>
      </c>
      <c r="AF274">
        <v>0</v>
      </c>
      <c r="AG274" s="72">
        <f>Tradingbook_MSB[[#This Row],[Mat. Date]]-RPT</f>
        <v>-2000</v>
      </c>
      <c r="AH274" s="71">
        <f>IF(Tradingbook_MSB[[#This Row],[Days]]&lt;=0,0,YEARFRAC(RPT,Tradingbook_MSB[[#This Row],[Mat. Date]],3))</f>
        <v>0</v>
      </c>
      <c r="AI274" s="71">
        <f>IF(Tradingbook_MSB[[#This Row],[Days (year)]]=0,0,INDEX(Ref!$K$2:$K$13,MATCH(Tradingbook_MSB[[#This Row],[Days (year)]],Ref!$I$2:$I$13,1)))</f>
        <v>0</v>
      </c>
      <c r="AJ274" s="120" t="str">
        <f>VLOOKUP(Tradingbook_MSB[[#This Row],[Security Name]],Ref!X:Z,3,0)</f>
        <v>TPCP</v>
      </c>
      <c r="AK274" s="120" t="str">
        <f>VLOOKUP(Tradingbook_MSB[[#This Row],[Security Name]],Ref!X:Y,2,0)</f>
        <v>KBNN</v>
      </c>
      <c r="AL274" s="71">
        <f>IF((Tradingbook_MSB[[#This Row],[Mat. Date]]-RPT)&lt;=0,0,Tradingbook_MSB[[#This Row],[QUANTITY]])</f>
        <v>0</v>
      </c>
      <c r="AM274" s="71">
        <f>IF(Tradingbook_MSB[[#This Row],[Quantity_edited]]=0,0,Tradingbook_MSB[[#This Row],[DURATION]])</f>
        <v>0</v>
      </c>
      <c r="AN274" s="71">
        <f>IF(Tradingbook_MSB[[#This Row],[Quantity_edited]]=0,0,Tradingbook_MSB[[#This Row],[Mod Dur]])</f>
        <v>0</v>
      </c>
      <c r="AO274" s="71">
        <f>IF(Tradingbook_MSB[[#This Row],[Quantity_edited]]=0,0,Tradingbook_MSB[[#This Row],[Cnvx.]])</f>
        <v>0</v>
      </c>
      <c r="AP274" s="71">
        <f>(Tradingbook_MSB[[#This Row],[MARKET_VALUE]]+Tradingbook_MSB[[#This Row],[Accr Int]]*Tradingbook_MSB[[#This Row],[Quantity_edited]])*(-Tradingbook_MSB[[#This Row],[Modified Duration]]*0.0001+0.5*Tradingbook_MSB[[#This Row],[Conv]]*(0.0001^2))</f>
        <v>0</v>
      </c>
      <c r="AQ274" s="72">
        <f>(Tradingbook_MSB[[#This Row],[MARKET_VALUE]]+Tradingbook_MSB[[#This Row],[Accr Int]]*Tradingbook_MSB[[#This Row],[Quantity_edited]])*(-Tradingbook_MSB[[#This Row],[Modified Duration]]*0.01+0.5*Tradingbook_MSB[[#This Row],[Conv]]*(0.01^2))</f>
        <v>0</v>
      </c>
      <c r="AR274" s="71"/>
      <c r="CL274" t="s">
        <v>166</v>
      </c>
      <c r="CM274" t="s">
        <v>167</v>
      </c>
      <c r="CN274" t="s">
        <v>459</v>
      </c>
      <c r="CO274" t="s">
        <v>169</v>
      </c>
      <c r="CP274" s="35">
        <v>44252</v>
      </c>
      <c r="CQ274" t="s">
        <v>3322</v>
      </c>
      <c r="CR274" t="s">
        <v>174</v>
      </c>
      <c r="CS274" t="s">
        <v>174</v>
      </c>
      <c r="CT274" s="49">
        <v>0</v>
      </c>
      <c r="CU274">
        <v>0</v>
      </c>
      <c r="CV274">
        <v>0</v>
      </c>
      <c r="CW274" s="70">
        <v>0</v>
      </c>
      <c r="CX274">
        <v>6.3</v>
      </c>
      <c r="CY274">
        <v>0</v>
      </c>
      <c r="CZ274">
        <v>12600000000</v>
      </c>
      <c r="DA274">
        <v>13556945500.000015</v>
      </c>
      <c r="DB274">
        <v>-4534231831.1110945</v>
      </c>
      <c r="DC274">
        <v>0</v>
      </c>
      <c r="DD274">
        <v>0</v>
      </c>
      <c r="DE274">
        <v>0</v>
      </c>
      <c r="DF274">
        <v>0</v>
      </c>
      <c r="DG274">
        <v>0</v>
      </c>
      <c r="DH274">
        <v>0</v>
      </c>
      <c r="DI274">
        <v>0</v>
      </c>
      <c r="DJ274" s="500">
        <v>6507500000</v>
      </c>
      <c r="DK274" s="500">
        <v>0</v>
      </c>
      <c r="DL274" s="37">
        <v>6507500000</v>
      </c>
      <c r="DM274" s="37">
        <v>6507500000</v>
      </c>
      <c r="DN274" s="37">
        <v>6507500000</v>
      </c>
      <c r="DO274" s="37">
        <v>6507500000</v>
      </c>
      <c r="DP274" s="32">
        <f>Tradingbook_SBV[[#This Row],[Mat. Date]]-RPT</f>
        <v>-2000</v>
      </c>
      <c r="DQ274" s="32">
        <f>IF(Tradingbook_SBV[[#This Row],[Days]]&lt;=0,0,YEARFRAC(RPT,Tradingbook_SBV[[#This Row],[Mat. Date]],3))</f>
        <v>0</v>
      </c>
      <c r="DR274" s="32">
        <f>IF(Tradingbook_SBV[[#This Row],[Days (year)]]=0,0,INDEX(Ref!$K$2:$K$13,MATCH(Tradingbook_SBV[[#This Row],[Days (year)]],Ref!$I$2:$I$13,1)))</f>
        <v>0</v>
      </c>
      <c r="DS274" s="32" t="str">
        <f>VLOOKUP(Tradingbook_SBV[[#This Row],[Security Name]],Ref!X:Z,3,0)</f>
        <v>TPCP</v>
      </c>
      <c r="DT274" s="32" t="str">
        <f>VLOOKUP(Tradingbook_SBV[[#This Row],[Security Name]],Ref!X:Y,2,0)</f>
        <v>KBNN</v>
      </c>
      <c r="DU274" s="71">
        <f>IF((Tradingbook_SBV[[#This Row],[Mat. Date]]-RPT)&lt;=0,0,Tradingbook_SBV[[#This Row],[QUANTITY]])</f>
        <v>0</v>
      </c>
      <c r="DV274" s="71">
        <f>IF(Tradingbook_SBV[[#This Row],[Quantity_edited]]=0,0,Tradingbook_SBV[[#This Row],[DURATION]])</f>
        <v>0</v>
      </c>
      <c r="DW274" s="71">
        <f>IF(Tradingbook_SBV[[#This Row],[Quantity_edited]]=0,0,Tradingbook_SBV[[#This Row],[Mod Dur]])</f>
        <v>0</v>
      </c>
      <c r="DX274" s="71">
        <f>IF(Tradingbook_SBV[[#This Row],[Quantity_edited]]=0,0,Tradingbook_SBV[[#This Row],[Cnvx.]])</f>
        <v>0</v>
      </c>
      <c r="DY274" s="71">
        <f>(Tradingbook_SBV[[#This Row],[MARKET_VALUE]]+Tradingbook_SBV[[#This Row],[Accr Int]]*Tradingbook_SBV[[#This Row],[Quantity_edited]])*(-Tradingbook_SBV[[#This Row],[Modified Duration]]*0.0001+0.5*Tradingbook_SBV[[#This Row],[Conv]]*(0.0001^2))</f>
        <v>0</v>
      </c>
      <c r="DZ274" s="71">
        <f>(Tradingbook_SBV[[#This Row],[MARKET_VALUE]]+Tradingbook_SBV[[#This Row],[Accr Int]]*Tradingbook_SBV[[#This Row],[Quantity_edited]])*(-Tradingbook_SBV[[#This Row],[Modified Duration]]*0.01+0.5*Tradingbook_SBV[[#This Row],[Conv]]*(0.01^2))</f>
        <v>0</v>
      </c>
      <c r="EC274" t="s">
        <v>166</v>
      </c>
      <c r="ED274" t="s">
        <v>3301</v>
      </c>
      <c r="EE274" t="s">
        <v>2794</v>
      </c>
      <c r="EF274" t="s">
        <v>169</v>
      </c>
      <c r="EG274" s="35" t="s">
        <v>3449</v>
      </c>
      <c r="EH274" t="s">
        <v>170</v>
      </c>
      <c r="EI274" s="500">
        <v>86931</v>
      </c>
      <c r="EJ274" s="500">
        <v>86931</v>
      </c>
      <c r="EK274" s="500">
        <v>500000</v>
      </c>
      <c r="EL274" s="500">
        <v>50000000000</v>
      </c>
      <c r="EM274" s="500">
        <v>98601.832999999999</v>
      </c>
      <c r="EN274" s="500">
        <v>43465500000</v>
      </c>
      <c r="EO274">
        <v>2.2000000000000002</v>
      </c>
      <c r="EP274">
        <v>1531</v>
      </c>
      <c r="EQ274">
        <v>4400000000</v>
      </c>
      <c r="ER274">
        <v>4722075416.666666</v>
      </c>
      <c r="ES274">
        <v>-6283087581.9444227</v>
      </c>
      <c r="ET274">
        <v>4.3230796659999999</v>
      </c>
      <c r="EU274">
        <v>6.3943559531145997</v>
      </c>
      <c r="EV274">
        <v>6.6707890599999997</v>
      </c>
      <c r="EW274">
        <v>49.630501505283299</v>
      </c>
      <c r="EX274">
        <v>21952.067120801901</v>
      </c>
      <c r="EY274">
        <v>-28282.875816221</v>
      </c>
      <c r="EZ274">
        <v>5128.9650000000001</v>
      </c>
      <c r="FA274">
        <v>-3813083333.3332629</v>
      </c>
      <c r="FB274">
        <v>-5835416666.6666641</v>
      </c>
      <c r="FC274">
        <v>-9648499999.9999275</v>
      </c>
      <c r="FD274">
        <v>-9648499999.9999275</v>
      </c>
      <c r="FE274">
        <v>-9648500000</v>
      </c>
      <c r="FF274">
        <v>-9648499999.9999275</v>
      </c>
      <c r="FG274" s="32">
        <f>Bankingbook_SBV[[#This Row],[Mat. Date]]-RPT</f>
        <v>2668</v>
      </c>
      <c r="FH274" s="32">
        <f>IF(Bankingbook_SBV[[#This Row],[Days]]&lt;=0,0,YEARFRAC(RPT,Bankingbook_SBV[[#This Row],[Mat. Date]],3))</f>
        <v>7.3095890410958901</v>
      </c>
      <c r="FI274" s="32" t="str">
        <f>IF(Bankingbook_SBV[[#This Row],[Days (year)]]=0,0,INDEX(Ref!$K$2:$K$13,MATCH(Bankingbook_SBV[[#This Row],[Days (year)]],Ref!$I$2:$I$13,1)))</f>
        <v>7Y</v>
      </c>
      <c r="FJ274" s="32" t="str">
        <f>VLOOKUP(Bankingbook_SBV[[#This Row],[Security Name]],Ref!X:Z,3,0)</f>
        <v>TPCP</v>
      </c>
      <c r="FK274" s="32" t="str">
        <f>VLOOKUP(Bankingbook_SBV[[#This Row],[Security Name]],Ref!X:Y,2,0)</f>
        <v>KBNN</v>
      </c>
      <c r="FL274" s="72">
        <f>IF((Bankingbook_SBV[[#This Row],[Mat. Date]]-RPT)&lt;=0,0,Bankingbook_SBV[[#This Row],[QUANTITY]])</f>
        <v>500000</v>
      </c>
      <c r="FM274" s="32">
        <f>IF(Bankingbook_SBV[[#This Row],[Quantity_edited]]=0,0,Bankingbook_SBV[[#This Row],[DURATION]])</f>
        <v>6.6707890599999997</v>
      </c>
      <c r="FN274" s="32">
        <f>IF(Bankingbook_SBV[[#This Row],[Quantity_edited]]=0,0,Bankingbook_SBV[[#This Row],[Mod Dur]])</f>
        <v>6.3943559531145997</v>
      </c>
      <c r="FO274" s="32">
        <f>IF(Bankingbook_SBV[[#This Row],[Quantity_edited]]=0,0,Bankingbook_SBV[[#This Row],[Cnvx.]])</f>
        <v>49.630501505283299</v>
      </c>
      <c r="FP274" s="32">
        <f>(Bankingbook_SBV[[#This Row],[MARKET_VALUE]]+Bankingbook_SBV[[#This Row],[Accr Int]]*Bankingbook_SBV[[#This Row],[Quantity_edited]])*(-Bankingbook_SBV[[#This Row],[Modified Duration]]*0.0001+0.5*Bankingbook_SBV[[#This Row],[Conv]]*(0.0001^2))</f>
        <v>-28271899.782660786</v>
      </c>
      <c r="FQ274" s="32">
        <f>(Bankingbook_SBV[[#This Row],[MARKET_VALUE]]+Bankingbook_SBV[[#This Row],[Accr Int]]*Bankingbook_SBV[[#This Row],[Quantity_edited]])*(-Bankingbook_SBV[[#This Row],[Modified Duration]]*0.01+0.5*Bankingbook_SBV[[#This Row],[Conv]]*(0.01^2))</f>
        <v>-2718527246.0181093</v>
      </c>
    </row>
    <row r="275" spans="2:173" x14ac:dyDescent="0.3">
      <c r="B275" t="s">
        <v>166</v>
      </c>
      <c r="C275" t="s">
        <v>167</v>
      </c>
      <c r="D275" t="s">
        <v>460</v>
      </c>
      <c r="E275" t="s">
        <v>169</v>
      </c>
      <c r="F275" s="502">
        <v>44255</v>
      </c>
      <c r="G275" t="s">
        <v>3322</v>
      </c>
      <c r="H275"/>
      <c r="I275"/>
      <c r="J275" s="38">
        <v>0</v>
      </c>
      <c r="K275">
        <v>0</v>
      </c>
      <c r="L275">
        <v>0</v>
      </c>
      <c r="M275" s="38">
        <v>0</v>
      </c>
      <c r="N275">
        <v>6.2</v>
      </c>
      <c r="O275">
        <v>0</v>
      </c>
      <c r="P275" s="37">
        <v>9300000000</v>
      </c>
      <c r="Q275" s="37">
        <v>10038907819.44445</v>
      </c>
      <c r="R275" s="37">
        <v>-879822117.36112404</v>
      </c>
      <c r="S275">
        <v>0</v>
      </c>
      <c r="T275" s="70">
        <v>0</v>
      </c>
      <c r="U275">
        <v>0</v>
      </c>
      <c r="V275">
        <v>0</v>
      </c>
      <c r="W275">
        <v>0</v>
      </c>
      <c r="X275" s="38">
        <v>0</v>
      </c>
      <c r="Y275">
        <v>0</v>
      </c>
      <c r="Z275" s="70">
        <v>705500000</v>
      </c>
      <c r="AA275" s="70">
        <v>0</v>
      </c>
      <c r="AB275" s="70">
        <v>705500000</v>
      </c>
      <c r="AC275" s="70">
        <v>705500000</v>
      </c>
      <c r="AD275" s="70">
        <v>705500000</v>
      </c>
      <c r="AE275" s="70">
        <v>705500000</v>
      </c>
      <c r="AF275">
        <v>0</v>
      </c>
      <c r="AG275" s="72">
        <f>Tradingbook_MSB[[#This Row],[Mat. Date]]-RPT</f>
        <v>-1997</v>
      </c>
      <c r="AH275" s="71">
        <f>IF(Tradingbook_MSB[[#This Row],[Days]]&lt;=0,0,YEARFRAC(RPT,Tradingbook_MSB[[#This Row],[Mat. Date]],3))</f>
        <v>0</v>
      </c>
      <c r="AI275" s="71">
        <f>IF(Tradingbook_MSB[[#This Row],[Days (year)]]=0,0,INDEX(Ref!$K$2:$K$13,MATCH(Tradingbook_MSB[[#This Row],[Days (year)]],Ref!$I$2:$I$13,1)))</f>
        <v>0</v>
      </c>
      <c r="AJ275" s="120" t="str">
        <f>VLOOKUP(Tradingbook_MSB[[#This Row],[Security Name]],Ref!X:Z,3,0)</f>
        <v>TPCP</v>
      </c>
      <c r="AK275" s="120" t="str">
        <f>VLOOKUP(Tradingbook_MSB[[#This Row],[Security Name]],Ref!X:Y,2,0)</f>
        <v>KBNN</v>
      </c>
      <c r="AL275" s="71">
        <f>IF((Tradingbook_MSB[[#This Row],[Mat. Date]]-RPT)&lt;=0,0,Tradingbook_MSB[[#This Row],[QUANTITY]])</f>
        <v>0</v>
      </c>
      <c r="AM275" s="71">
        <f>IF(Tradingbook_MSB[[#This Row],[Quantity_edited]]=0,0,Tradingbook_MSB[[#This Row],[DURATION]])</f>
        <v>0</v>
      </c>
      <c r="AN275" s="71">
        <f>IF(Tradingbook_MSB[[#This Row],[Quantity_edited]]=0,0,Tradingbook_MSB[[#This Row],[Mod Dur]])</f>
        <v>0</v>
      </c>
      <c r="AO275" s="71">
        <f>IF(Tradingbook_MSB[[#This Row],[Quantity_edited]]=0,0,Tradingbook_MSB[[#This Row],[Cnvx.]])</f>
        <v>0</v>
      </c>
      <c r="AP275" s="71">
        <f>(Tradingbook_MSB[[#This Row],[MARKET_VALUE]]+Tradingbook_MSB[[#This Row],[Accr Int]]*Tradingbook_MSB[[#This Row],[Quantity_edited]])*(-Tradingbook_MSB[[#This Row],[Modified Duration]]*0.0001+0.5*Tradingbook_MSB[[#This Row],[Conv]]*(0.0001^2))</f>
        <v>0</v>
      </c>
      <c r="AQ275" s="72">
        <f>(Tradingbook_MSB[[#This Row],[MARKET_VALUE]]+Tradingbook_MSB[[#This Row],[Accr Int]]*Tradingbook_MSB[[#This Row],[Quantity_edited]])*(-Tradingbook_MSB[[#This Row],[Modified Duration]]*0.01+0.5*Tradingbook_MSB[[#This Row],[Conv]]*(0.01^2))</f>
        <v>0</v>
      </c>
      <c r="AR275" s="71"/>
      <c r="CL275" t="s">
        <v>166</v>
      </c>
      <c r="CM275" t="s">
        <v>167</v>
      </c>
      <c r="CN275" t="s">
        <v>460</v>
      </c>
      <c r="CO275" t="s">
        <v>169</v>
      </c>
      <c r="CP275" s="35">
        <v>44255</v>
      </c>
      <c r="CQ275" t="s">
        <v>3322</v>
      </c>
      <c r="CR275" t="s">
        <v>174</v>
      </c>
      <c r="CS275" t="s">
        <v>174</v>
      </c>
      <c r="CT275" s="49">
        <v>0</v>
      </c>
      <c r="CU275">
        <v>0</v>
      </c>
      <c r="CV275">
        <v>0</v>
      </c>
      <c r="CW275" s="70">
        <v>0</v>
      </c>
      <c r="CX275">
        <v>6.2</v>
      </c>
      <c r="CY275">
        <v>0</v>
      </c>
      <c r="CZ275">
        <v>9300000000</v>
      </c>
      <c r="DA275">
        <v>10038907819.44445</v>
      </c>
      <c r="DB275">
        <v>-879822117.36112404</v>
      </c>
      <c r="DC275">
        <v>0</v>
      </c>
      <c r="DD275">
        <v>0</v>
      </c>
      <c r="DE275">
        <v>0</v>
      </c>
      <c r="DF275">
        <v>0</v>
      </c>
      <c r="DG275">
        <v>0</v>
      </c>
      <c r="DH275">
        <v>0</v>
      </c>
      <c r="DI275">
        <v>0</v>
      </c>
      <c r="DJ275" s="500">
        <v>705500000</v>
      </c>
      <c r="DK275" s="500">
        <v>0</v>
      </c>
      <c r="DL275" s="37">
        <v>705500000</v>
      </c>
      <c r="DM275" s="37">
        <v>705500000</v>
      </c>
      <c r="DN275" s="37">
        <v>705500000</v>
      </c>
      <c r="DO275" s="37">
        <v>705500000</v>
      </c>
      <c r="DP275" s="32">
        <f>Tradingbook_SBV[[#This Row],[Mat. Date]]-RPT</f>
        <v>-1997</v>
      </c>
      <c r="DQ275" s="32">
        <f>IF(Tradingbook_SBV[[#This Row],[Days]]&lt;=0,0,YEARFRAC(RPT,Tradingbook_SBV[[#This Row],[Mat. Date]],3))</f>
        <v>0</v>
      </c>
      <c r="DR275" s="32">
        <f>IF(Tradingbook_SBV[[#This Row],[Days (year)]]=0,0,INDEX(Ref!$K$2:$K$13,MATCH(Tradingbook_SBV[[#This Row],[Days (year)]],Ref!$I$2:$I$13,1)))</f>
        <v>0</v>
      </c>
      <c r="DS275" s="32" t="str">
        <f>VLOOKUP(Tradingbook_SBV[[#This Row],[Security Name]],Ref!X:Z,3,0)</f>
        <v>TPCP</v>
      </c>
      <c r="DT275" s="32" t="str">
        <f>VLOOKUP(Tradingbook_SBV[[#This Row],[Security Name]],Ref!X:Y,2,0)</f>
        <v>KBNN</v>
      </c>
      <c r="DU275" s="71">
        <f>IF((Tradingbook_SBV[[#This Row],[Mat. Date]]-RPT)&lt;=0,0,Tradingbook_SBV[[#This Row],[QUANTITY]])</f>
        <v>0</v>
      </c>
      <c r="DV275" s="71">
        <f>IF(Tradingbook_SBV[[#This Row],[Quantity_edited]]=0,0,Tradingbook_SBV[[#This Row],[DURATION]])</f>
        <v>0</v>
      </c>
      <c r="DW275" s="71">
        <f>IF(Tradingbook_SBV[[#This Row],[Quantity_edited]]=0,0,Tradingbook_SBV[[#This Row],[Mod Dur]])</f>
        <v>0</v>
      </c>
      <c r="DX275" s="71">
        <f>IF(Tradingbook_SBV[[#This Row],[Quantity_edited]]=0,0,Tradingbook_SBV[[#This Row],[Cnvx.]])</f>
        <v>0</v>
      </c>
      <c r="DY275" s="71">
        <f>(Tradingbook_SBV[[#This Row],[MARKET_VALUE]]+Tradingbook_SBV[[#This Row],[Accr Int]]*Tradingbook_SBV[[#This Row],[Quantity_edited]])*(-Tradingbook_SBV[[#This Row],[Modified Duration]]*0.0001+0.5*Tradingbook_SBV[[#This Row],[Conv]]*(0.0001^2))</f>
        <v>0</v>
      </c>
      <c r="DZ275" s="71">
        <f>(Tradingbook_SBV[[#This Row],[MARKET_VALUE]]+Tradingbook_SBV[[#This Row],[Accr Int]]*Tradingbook_SBV[[#This Row],[Quantity_edited]])*(-Tradingbook_SBV[[#This Row],[Modified Duration]]*0.01+0.5*Tradingbook_SBV[[#This Row],[Conv]]*(0.01^2))</f>
        <v>0</v>
      </c>
      <c r="EC275" t="s">
        <v>166</v>
      </c>
      <c r="ED275" t="s">
        <v>3301</v>
      </c>
      <c r="EE275" t="s">
        <v>663</v>
      </c>
      <c r="EF275" t="s">
        <v>169</v>
      </c>
      <c r="EG275" s="35" t="s">
        <v>664</v>
      </c>
      <c r="EH275" t="s">
        <v>3322</v>
      </c>
      <c r="EI275" s="500">
        <v>107080</v>
      </c>
      <c r="EJ275" s="500">
        <v>107080</v>
      </c>
      <c r="EK275" s="500">
        <v>0</v>
      </c>
      <c r="EL275" s="500">
        <v>0</v>
      </c>
      <c r="EM275" s="500">
        <v>0</v>
      </c>
      <c r="EN275" s="500">
        <v>0</v>
      </c>
      <c r="EO275">
        <v>6</v>
      </c>
      <c r="EP275">
        <v>4093</v>
      </c>
      <c r="EQ275">
        <v>60000000000</v>
      </c>
      <c r="ER275">
        <v>70061781666.666718</v>
      </c>
      <c r="ES275">
        <v>-12136179978.861099</v>
      </c>
      <c r="ET275">
        <v>4.8237351080000002</v>
      </c>
      <c r="EU275">
        <v>5.6843248526084</v>
      </c>
      <c r="EV275">
        <v>5.9585216299999999</v>
      </c>
      <c r="EW275">
        <v>42.408683351731</v>
      </c>
      <c r="EX275">
        <v>0</v>
      </c>
      <c r="EY275">
        <v>0</v>
      </c>
      <c r="EZ275">
        <v>0</v>
      </c>
      <c r="FA275">
        <v>97027000000</v>
      </c>
      <c r="FB275">
        <v>0</v>
      </c>
      <c r="FC275">
        <v>97027000000</v>
      </c>
      <c r="FD275">
        <v>97027000000</v>
      </c>
      <c r="FE275">
        <v>97027000000</v>
      </c>
      <c r="FF275">
        <v>97027000000</v>
      </c>
      <c r="FG275" s="32">
        <f>Bankingbook_SBV[[#This Row],[Mat. Date]]-RPT</f>
        <v>2673</v>
      </c>
      <c r="FH275" s="32">
        <f>IF(Bankingbook_SBV[[#This Row],[Days]]&lt;=0,0,YEARFRAC(RPT,Bankingbook_SBV[[#This Row],[Mat. Date]],3))</f>
        <v>7.3232876712328769</v>
      </c>
      <c r="FI275" s="32" t="str">
        <f>IF(Bankingbook_SBV[[#This Row],[Days (year)]]=0,0,INDEX(Ref!$K$2:$K$13,MATCH(Bankingbook_SBV[[#This Row],[Days (year)]],Ref!$I$2:$I$13,1)))</f>
        <v>7Y</v>
      </c>
      <c r="FJ275" s="32" t="str">
        <f>VLOOKUP(Bankingbook_SBV[[#This Row],[Security Name]],Ref!X:Z,3,0)</f>
        <v>TPCPBL</v>
      </c>
      <c r="FK275" s="32" t="str">
        <f>VLOOKUP(Bankingbook_SBV[[#This Row],[Security Name]],Ref!X:Y,2,0)</f>
        <v>VDB</v>
      </c>
      <c r="FL275" s="72">
        <f>IF((Bankingbook_SBV[[#This Row],[Mat. Date]]-RPT)&lt;=0,0,Bankingbook_SBV[[#This Row],[QUANTITY]])</f>
        <v>0</v>
      </c>
      <c r="FM275" s="32">
        <f>IF(Bankingbook_SBV[[#This Row],[Quantity_edited]]=0,0,Bankingbook_SBV[[#This Row],[DURATION]])</f>
        <v>0</v>
      </c>
      <c r="FN275" s="32">
        <f>IF(Bankingbook_SBV[[#This Row],[Quantity_edited]]=0,0,Bankingbook_SBV[[#This Row],[Mod Dur]])</f>
        <v>0</v>
      </c>
      <c r="FO275" s="32">
        <f>IF(Bankingbook_SBV[[#This Row],[Quantity_edited]]=0,0,Bankingbook_SBV[[#This Row],[Cnvx.]])</f>
        <v>0</v>
      </c>
      <c r="FP275" s="32">
        <f>(Bankingbook_SBV[[#This Row],[MARKET_VALUE]]+Bankingbook_SBV[[#This Row],[Accr Int]]*Bankingbook_SBV[[#This Row],[Quantity_edited]])*(-Bankingbook_SBV[[#This Row],[Modified Duration]]*0.0001+0.5*Bankingbook_SBV[[#This Row],[Conv]]*(0.0001^2))</f>
        <v>0</v>
      </c>
      <c r="FQ275" s="32">
        <f>(Bankingbook_SBV[[#This Row],[MARKET_VALUE]]+Bankingbook_SBV[[#This Row],[Accr Int]]*Bankingbook_SBV[[#This Row],[Quantity_edited]])*(-Bankingbook_SBV[[#This Row],[Modified Duration]]*0.01+0.5*Bankingbook_SBV[[#This Row],[Conv]]*(0.01^2))</f>
        <v>0</v>
      </c>
    </row>
    <row r="276" spans="2:173" x14ac:dyDescent="0.3">
      <c r="B276" t="s">
        <v>166</v>
      </c>
      <c r="C276" t="s">
        <v>167</v>
      </c>
      <c r="D276" t="s">
        <v>461</v>
      </c>
      <c r="E276" t="s">
        <v>169</v>
      </c>
      <c r="F276" s="502">
        <v>44258</v>
      </c>
      <c r="G276" t="s">
        <v>3322</v>
      </c>
      <c r="H276"/>
      <c r="I276"/>
      <c r="J276" s="38">
        <v>0</v>
      </c>
      <c r="K276">
        <v>0</v>
      </c>
      <c r="L276">
        <v>0</v>
      </c>
      <c r="M276" s="38">
        <v>0</v>
      </c>
      <c r="N276">
        <v>6.3</v>
      </c>
      <c r="O276">
        <v>0</v>
      </c>
      <c r="P276" s="37">
        <v>9450000000</v>
      </c>
      <c r="Q276" s="37">
        <v>10267728187.499996</v>
      </c>
      <c r="R276" s="37">
        <v>-5156305898.1944218</v>
      </c>
      <c r="S276">
        <v>0</v>
      </c>
      <c r="T276" s="70">
        <v>0</v>
      </c>
      <c r="U276">
        <v>0</v>
      </c>
      <c r="V276">
        <v>0</v>
      </c>
      <c r="W276">
        <v>0</v>
      </c>
      <c r="X276" s="38">
        <v>0</v>
      </c>
      <c r="Y276">
        <v>0</v>
      </c>
      <c r="Z276" s="70">
        <v>6749000000</v>
      </c>
      <c r="AA276" s="70">
        <v>0</v>
      </c>
      <c r="AB276" s="70">
        <v>6749000000</v>
      </c>
      <c r="AC276" s="70">
        <v>6749000000</v>
      </c>
      <c r="AD276" s="70">
        <v>6749000000</v>
      </c>
      <c r="AE276" s="70">
        <v>6749000000</v>
      </c>
      <c r="AF276">
        <v>0</v>
      </c>
      <c r="AG276" s="72">
        <f>Tradingbook_MSB[[#This Row],[Mat. Date]]-RPT</f>
        <v>-1994</v>
      </c>
      <c r="AH276" s="71">
        <f>IF(Tradingbook_MSB[[#This Row],[Days]]&lt;=0,0,YEARFRAC(RPT,Tradingbook_MSB[[#This Row],[Mat. Date]],3))</f>
        <v>0</v>
      </c>
      <c r="AI276" s="71">
        <f>IF(Tradingbook_MSB[[#This Row],[Days (year)]]=0,0,INDEX(Ref!$K$2:$K$13,MATCH(Tradingbook_MSB[[#This Row],[Days (year)]],Ref!$I$2:$I$13,1)))</f>
        <v>0</v>
      </c>
      <c r="AJ276" s="120" t="str">
        <f>VLOOKUP(Tradingbook_MSB[[#This Row],[Security Name]],Ref!X:Z,3,0)</f>
        <v>TPCP</v>
      </c>
      <c r="AK276" s="120" t="str">
        <f>VLOOKUP(Tradingbook_MSB[[#This Row],[Security Name]],Ref!X:Y,2,0)</f>
        <v>KBNN</v>
      </c>
      <c r="AL276" s="71">
        <f>IF((Tradingbook_MSB[[#This Row],[Mat. Date]]-RPT)&lt;=0,0,Tradingbook_MSB[[#This Row],[QUANTITY]])</f>
        <v>0</v>
      </c>
      <c r="AM276" s="71">
        <f>IF(Tradingbook_MSB[[#This Row],[Quantity_edited]]=0,0,Tradingbook_MSB[[#This Row],[DURATION]])</f>
        <v>0</v>
      </c>
      <c r="AN276" s="71">
        <f>IF(Tradingbook_MSB[[#This Row],[Quantity_edited]]=0,0,Tradingbook_MSB[[#This Row],[Mod Dur]])</f>
        <v>0</v>
      </c>
      <c r="AO276" s="71">
        <f>IF(Tradingbook_MSB[[#This Row],[Quantity_edited]]=0,0,Tradingbook_MSB[[#This Row],[Cnvx.]])</f>
        <v>0</v>
      </c>
      <c r="AP276" s="71">
        <f>(Tradingbook_MSB[[#This Row],[MARKET_VALUE]]+Tradingbook_MSB[[#This Row],[Accr Int]]*Tradingbook_MSB[[#This Row],[Quantity_edited]])*(-Tradingbook_MSB[[#This Row],[Modified Duration]]*0.0001+0.5*Tradingbook_MSB[[#This Row],[Conv]]*(0.0001^2))</f>
        <v>0</v>
      </c>
      <c r="AQ276" s="72">
        <f>(Tradingbook_MSB[[#This Row],[MARKET_VALUE]]+Tradingbook_MSB[[#This Row],[Accr Int]]*Tradingbook_MSB[[#This Row],[Quantity_edited]])*(-Tradingbook_MSB[[#This Row],[Modified Duration]]*0.01+0.5*Tradingbook_MSB[[#This Row],[Conv]]*(0.01^2))</f>
        <v>0</v>
      </c>
      <c r="AR276" s="71"/>
      <c r="CL276" t="s">
        <v>166</v>
      </c>
      <c r="CM276" t="s">
        <v>167</v>
      </c>
      <c r="CN276" t="s">
        <v>461</v>
      </c>
      <c r="CO276" t="s">
        <v>169</v>
      </c>
      <c r="CP276" s="35">
        <v>44258</v>
      </c>
      <c r="CQ276" t="s">
        <v>3322</v>
      </c>
      <c r="CR276" t="s">
        <v>174</v>
      </c>
      <c r="CS276" t="s">
        <v>174</v>
      </c>
      <c r="CT276" s="49">
        <v>0</v>
      </c>
      <c r="CU276">
        <v>0</v>
      </c>
      <c r="CV276">
        <v>0</v>
      </c>
      <c r="CW276" s="70">
        <v>0</v>
      </c>
      <c r="CX276">
        <v>6.3</v>
      </c>
      <c r="CY276">
        <v>0</v>
      </c>
      <c r="CZ276">
        <v>9450000000</v>
      </c>
      <c r="DA276">
        <v>10267728187.499996</v>
      </c>
      <c r="DB276">
        <v>-5156305898.1944218</v>
      </c>
      <c r="DC276">
        <v>0</v>
      </c>
      <c r="DD276">
        <v>0</v>
      </c>
      <c r="DE276">
        <v>0</v>
      </c>
      <c r="DF276">
        <v>0</v>
      </c>
      <c r="DG276">
        <v>0</v>
      </c>
      <c r="DH276">
        <v>0</v>
      </c>
      <c r="DI276">
        <v>0</v>
      </c>
      <c r="DJ276" s="500">
        <v>6749000000</v>
      </c>
      <c r="DK276" s="500">
        <v>0</v>
      </c>
      <c r="DL276" s="37">
        <v>6749000000</v>
      </c>
      <c r="DM276" s="37">
        <v>6749000000</v>
      </c>
      <c r="DN276" s="37">
        <v>6749000000</v>
      </c>
      <c r="DO276" s="37">
        <v>6749000000</v>
      </c>
      <c r="DP276" s="32">
        <f>Tradingbook_SBV[[#This Row],[Mat. Date]]-RPT</f>
        <v>-1994</v>
      </c>
      <c r="DQ276" s="32">
        <f>IF(Tradingbook_SBV[[#This Row],[Days]]&lt;=0,0,YEARFRAC(RPT,Tradingbook_SBV[[#This Row],[Mat. Date]],3))</f>
        <v>0</v>
      </c>
      <c r="DR276" s="32">
        <f>IF(Tradingbook_SBV[[#This Row],[Days (year)]]=0,0,INDEX(Ref!$K$2:$K$13,MATCH(Tradingbook_SBV[[#This Row],[Days (year)]],Ref!$I$2:$I$13,1)))</f>
        <v>0</v>
      </c>
      <c r="DS276" s="32" t="str">
        <f>VLOOKUP(Tradingbook_SBV[[#This Row],[Security Name]],Ref!X:Z,3,0)</f>
        <v>TPCP</v>
      </c>
      <c r="DT276" s="32" t="str">
        <f>VLOOKUP(Tradingbook_SBV[[#This Row],[Security Name]],Ref!X:Y,2,0)</f>
        <v>KBNN</v>
      </c>
      <c r="DU276" s="71">
        <f>IF((Tradingbook_SBV[[#This Row],[Mat. Date]]-RPT)&lt;=0,0,Tradingbook_SBV[[#This Row],[QUANTITY]])</f>
        <v>0</v>
      </c>
      <c r="DV276" s="71">
        <f>IF(Tradingbook_SBV[[#This Row],[Quantity_edited]]=0,0,Tradingbook_SBV[[#This Row],[DURATION]])</f>
        <v>0</v>
      </c>
      <c r="DW276" s="71">
        <f>IF(Tradingbook_SBV[[#This Row],[Quantity_edited]]=0,0,Tradingbook_SBV[[#This Row],[Mod Dur]])</f>
        <v>0</v>
      </c>
      <c r="DX276" s="71">
        <f>IF(Tradingbook_SBV[[#This Row],[Quantity_edited]]=0,0,Tradingbook_SBV[[#This Row],[Cnvx.]])</f>
        <v>0</v>
      </c>
      <c r="DY276" s="71">
        <f>(Tradingbook_SBV[[#This Row],[MARKET_VALUE]]+Tradingbook_SBV[[#This Row],[Accr Int]]*Tradingbook_SBV[[#This Row],[Quantity_edited]])*(-Tradingbook_SBV[[#This Row],[Modified Duration]]*0.0001+0.5*Tradingbook_SBV[[#This Row],[Conv]]*(0.0001^2))</f>
        <v>0</v>
      </c>
      <c r="DZ276" s="71">
        <f>(Tradingbook_SBV[[#This Row],[MARKET_VALUE]]+Tradingbook_SBV[[#This Row],[Accr Int]]*Tradingbook_SBV[[#This Row],[Quantity_edited]])*(-Tradingbook_SBV[[#This Row],[Modified Duration]]*0.01+0.5*Tradingbook_SBV[[#This Row],[Conv]]*(0.01^2))</f>
        <v>0</v>
      </c>
      <c r="EC276" t="s">
        <v>166</v>
      </c>
      <c r="ED276" t="s">
        <v>3301</v>
      </c>
      <c r="EE276" t="s">
        <v>1205</v>
      </c>
      <c r="EF276" t="s">
        <v>169</v>
      </c>
      <c r="EG276" s="35" t="s">
        <v>2830</v>
      </c>
      <c r="EH276" t="s">
        <v>170</v>
      </c>
      <c r="EI276" s="500">
        <v>105991</v>
      </c>
      <c r="EJ276" s="500">
        <v>105991</v>
      </c>
      <c r="EK276" s="500">
        <v>1000000</v>
      </c>
      <c r="EL276" s="500">
        <v>100000000000</v>
      </c>
      <c r="EM276" s="500">
        <v>118757.747</v>
      </c>
      <c r="EN276" s="500">
        <v>105991000000</v>
      </c>
      <c r="EO276">
        <v>5.3</v>
      </c>
      <c r="EP276">
        <v>3601</v>
      </c>
      <c r="EQ276">
        <v>10600000000</v>
      </c>
      <c r="ER276">
        <v>11249235277.777782</v>
      </c>
      <c r="ES276">
        <v>-11994565343.257851</v>
      </c>
      <c r="ET276">
        <v>4.3238908450000002</v>
      </c>
      <c r="EU276">
        <v>5.8374625599401</v>
      </c>
      <c r="EV276">
        <v>6.0898680699999996</v>
      </c>
      <c r="EW276">
        <v>44.074233164495404</v>
      </c>
      <c r="EX276">
        <v>48301.833609633803</v>
      </c>
      <c r="EY276">
        <v>-63973.919686895002</v>
      </c>
      <c r="EZ276">
        <v>12710.468999999999</v>
      </c>
      <c r="FA276">
        <v>-6146034241.2436876</v>
      </c>
      <c r="FB276">
        <v>-12766747058.7563</v>
      </c>
      <c r="FC276">
        <v>-18912781299.999989</v>
      </c>
      <c r="FD276">
        <v>-18912781299.999989</v>
      </c>
      <c r="FE276">
        <v>-18912781300</v>
      </c>
      <c r="FF276">
        <v>-18912781299.999989</v>
      </c>
      <c r="FG276" s="32">
        <f>Bankingbook_SBV[[#This Row],[Mat. Date]]-RPT</f>
        <v>2674</v>
      </c>
      <c r="FH276" s="32">
        <f>IF(Bankingbook_SBV[[#This Row],[Days]]&lt;=0,0,YEARFRAC(RPT,Bankingbook_SBV[[#This Row],[Mat. Date]],3))</f>
        <v>7.3260273972602743</v>
      </c>
      <c r="FI276" s="32" t="str">
        <f>IF(Bankingbook_SBV[[#This Row],[Days (year)]]=0,0,INDEX(Ref!$K$2:$K$13,MATCH(Bankingbook_SBV[[#This Row],[Days (year)]],Ref!$I$2:$I$13,1)))</f>
        <v>7Y</v>
      </c>
      <c r="FJ276" s="32" t="str">
        <f>VLOOKUP(Bankingbook_SBV[[#This Row],[Security Name]],Ref!X:Z,3,0)</f>
        <v>TPCP</v>
      </c>
      <c r="FK276" s="32" t="str">
        <f>VLOOKUP(Bankingbook_SBV[[#This Row],[Security Name]],Ref!X:Y,2,0)</f>
        <v>KBNN</v>
      </c>
      <c r="FL276" s="72">
        <f>IF((Bankingbook_SBV[[#This Row],[Mat. Date]]-RPT)&lt;=0,0,Bankingbook_SBV[[#This Row],[QUANTITY]])</f>
        <v>1000000</v>
      </c>
      <c r="FM276" s="32">
        <f>IF(Bankingbook_SBV[[#This Row],[Quantity_edited]]=0,0,Bankingbook_SBV[[#This Row],[DURATION]])</f>
        <v>6.0898680699999996</v>
      </c>
      <c r="FN276" s="32">
        <f>IF(Bankingbook_SBV[[#This Row],[Quantity_edited]]=0,0,Bankingbook_SBV[[#This Row],[Mod Dur]])</f>
        <v>5.8374625599401</v>
      </c>
      <c r="FO276" s="32">
        <f>IF(Bankingbook_SBV[[#This Row],[Quantity_edited]]=0,0,Bankingbook_SBV[[#This Row],[Cnvx.]])</f>
        <v>44.074233164495404</v>
      </c>
      <c r="FP276" s="32">
        <f>(Bankingbook_SBV[[#This Row],[MARKET_VALUE]]+Bankingbook_SBV[[#This Row],[Accr Int]]*Bankingbook_SBV[[#This Row],[Quantity_edited]])*(-Bankingbook_SBV[[#This Row],[Modified Duration]]*0.0001+0.5*Bankingbook_SBV[[#This Row],[Conv]]*(0.0001^2))</f>
        <v>-63949768.770090736</v>
      </c>
      <c r="FQ276" s="32">
        <f>(Bankingbook_SBV[[#This Row],[MARKET_VALUE]]+Bankingbook_SBV[[#This Row],[Accr Int]]*Bankingbook_SBV[[#This Row],[Quantity_edited]])*(-Bankingbook_SBV[[#This Row],[Modified Duration]]*0.01+0.5*Bankingbook_SBV[[#This Row],[Conv]]*(0.01^2))</f>
        <v>-6155882800.6413851</v>
      </c>
    </row>
    <row r="277" spans="2:173" x14ac:dyDescent="0.3">
      <c r="B277" t="s">
        <v>166</v>
      </c>
      <c r="C277" t="s">
        <v>167</v>
      </c>
      <c r="D277" t="s">
        <v>462</v>
      </c>
      <c r="E277" t="s">
        <v>169</v>
      </c>
      <c r="F277" s="502">
        <v>44264</v>
      </c>
      <c r="G277" t="s">
        <v>3322</v>
      </c>
      <c r="H277"/>
      <c r="I277"/>
      <c r="J277" s="38">
        <v>0</v>
      </c>
      <c r="K277">
        <v>0</v>
      </c>
      <c r="L277">
        <v>0</v>
      </c>
      <c r="M277" s="38">
        <v>0</v>
      </c>
      <c r="N277">
        <v>9.25</v>
      </c>
      <c r="O277">
        <v>0</v>
      </c>
      <c r="P277" s="37">
        <v>0</v>
      </c>
      <c r="Q277" s="37">
        <v>0</v>
      </c>
      <c r="R277" s="37">
        <v>-2589303.3333320618</v>
      </c>
      <c r="S277">
        <v>0</v>
      </c>
      <c r="T277" s="70">
        <v>0</v>
      </c>
      <c r="U277">
        <v>0</v>
      </c>
      <c r="V277">
        <v>0</v>
      </c>
      <c r="W277">
        <v>0</v>
      </c>
      <c r="X277" s="38">
        <v>0</v>
      </c>
      <c r="Y277">
        <v>0</v>
      </c>
      <c r="Z277" s="70">
        <v>60000000</v>
      </c>
      <c r="AA277" s="70">
        <v>0</v>
      </c>
      <c r="AB277" s="70">
        <v>60000000</v>
      </c>
      <c r="AC277" s="70">
        <v>60000000</v>
      </c>
      <c r="AD277" s="70">
        <v>60000000</v>
      </c>
      <c r="AE277" s="70">
        <v>60000000</v>
      </c>
      <c r="AF277">
        <v>0</v>
      </c>
      <c r="AG277" s="72">
        <f>Tradingbook_MSB[[#This Row],[Mat. Date]]-RPT</f>
        <v>-1988</v>
      </c>
      <c r="AH277" s="71">
        <f>IF(Tradingbook_MSB[[#This Row],[Days]]&lt;=0,0,YEARFRAC(RPT,Tradingbook_MSB[[#This Row],[Mat. Date]],3))</f>
        <v>0</v>
      </c>
      <c r="AI277" s="71">
        <f>IF(Tradingbook_MSB[[#This Row],[Days (year)]]=0,0,INDEX(Ref!$K$2:$K$13,MATCH(Tradingbook_MSB[[#This Row],[Days (year)]],Ref!$I$2:$I$13,1)))</f>
        <v>0</v>
      </c>
      <c r="AJ277" s="120" t="str">
        <f>VLOOKUP(Tradingbook_MSB[[#This Row],[Security Name]],Ref!X:Z,3,0)</f>
        <v>TPCP</v>
      </c>
      <c r="AK277" s="120" t="str">
        <f>VLOOKUP(Tradingbook_MSB[[#This Row],[Security Name]],Ref!X:Y,2,0)</f>
        <v>KBNN</v>
      </c>
      <c r="AL277" s="71">
        <f>IF((Tradingbook_MSB[[#This Row],[Mat. Date]]-RPT)&lt;=0,0,Tradingbook_MSB[[#This Row],[QUANTITY]])</f>
        <v>0</v>
      </c>
      <c r="AM277" s="71">
        <f>IF(Tradingbook_MSB[[#This Row],[Quantity_edited]]=0,0,Tradingbook_MSB[[#This Row],[DURATION]])</f>
        <v>0</v>
      </c>
      <c r="AN277" s="71">
        <f>IF(Tradingbook_MSB[[#This Row],[Quantity_edited]]=0,0,Tradingbook_MSB[[#This Row],[Mod Dur]])</f>
        <v>0</v>
      </c>
      <c r="AO277" s="71">
        <f>IF(Tradingbook_MSB[[#This Row],[Quantity_edited]]=0,0,Tradingbook_MSB[[#This Row],[Cnvx.]])</f>
        <v>0</v>
      </c>
      <c r="AP277" s="71">
        <f>(Tradingbook_MSB[[#This Row],[MARKET_VALUE]]+Tradingbook_MSB[[#This Row],[Accr Int]]*Tradingbook_MSB[[#This Row],[Quantity_edited]])*(-Tradingbook_MSB[[#This Row],[Modified Duration]]*0.0001+0.5*Tradingbook_MSB[[#This Row],[Conv]]*(0.0001^2))</f>
        <v>0</v>
      </c>
      <c r="AQ277" s="72">
        <f>(Tradingbook_MSB[[#This Row],[MARKET_VALUE]]+Tradingbook_MSB[[#This Row],[Accr Int]]*Tradingbook_MSB[[#This Row],[Quantity_edited]])*(-Tradingbook_MSB[[#This Row],[Modified Duration]]*0.01+0.5*Tradingbook_MSB[[#This Row],[Conv]]*(0.01^2))</f>
        <v>0</v>
      </c>
      <c r="AR277" s="71"/>
      <c r="CL277" t="s">
        <v>166</v>
      </c>
      <c r="CM277" t="s">
        <v>167</v>
      </c>
      <c r="CN277" t="s">
        <v>462</v>
      </c>
      <c r="CO277" t="s">
        <v>169</v>
      </c>
      <c r="CP277" s="35">
        <v>44264</v>
      </c>
      <c r="CQ277" t="s">
        <v>3322</v>
      </c>
      <c r="CR277" t="s">
        <v>174</v>
      </c>
      <c r="CS277" t="s">
        <v>174</v>
      </c>
      <c r="CT277" s="49">
        <v>0</v>
      </c>
      <c r="CU277">
        <v>0</v>
      </c>
      <c r="CV277">
        <v>0</v>
      </c>
      <c r="CW277" s="70">
        <v>0</v>
      </c>
      <c r="CX277">
        <v>9.25</v>
      </c>
      <c r="CY277">
        <v>0</v>
      </c>
      <c r="CZ277">
        <v>0</v>
      </c>
      <c r="DA277">
        <v>0</v>
      </c>
      <c r="DB277">
        <v>-2589303.3333320618</v>
      </c>
      <c r="DC277">
        <v>0</v>
      </c>
      <c r="DD277">
        <v>0</v>
      </c>
      <c r="DE277">
        <v>0</v>
      </c>
      <c r="DF277">
        <v>0</v>
      </c>
      <c r="DG277">
        <v>0</v>
      </c>
      <c r="DH277">
        <v>0</v>
      </c>
      <c r="DI277">
        <v>0</v>
      </c>
      <c r="DJ277" s="500">
        <v>60000000</v>
      </c>
      <c r="DK277" s="500">
        <v>0</v>
      </c>
      <c r="DL277" s="37">
        <v>60000000</v>
      </c>
      <c r="DM277" s="37">
        <v>60000000</v>
      </c>
      <c r="DN277" s="37">
        <v>60000000</v>
      </c>
      <c r="DO277" s="37">
        <v>60000000</v>
      </c>
      <c r="DP277" s="32">
        <f>Tradingbook_SBV[[#This Row],[Mat. Date]]-RPT</f>
        <v>-1988</v>
      </c>
      <c r="DQ277" s="32">
        <f>IF(Tradingbook_SBV[[#This Row],[Days]]&lt;=0,0,YEARFRAC(RPT,Tradingbook_SBV[[#This Row],[Mat. Date]],3))</f>
        <v>0</v>
      </c>
      <c r="DR277" s="32">
        <f>IF(Tradingbook_SBV[[#This Row],[Days (year)]]=0,0,INDEX(Ref!$K$2:$K$13,MATCH(Tradingbook_SBV[[#This Row],[Days (year)]],Ref!$I$2:$I$13,1)))</f>
        <v>0</v>
      </c>
      <c r="DS277" s="32" t="str">
        <f>VLOOKUP(Tradingbook_SBV[[#This Row],[Security Name]],Ref!X:Z,3,0)</f>
        <v>TPCP</v>
      </c>
      <c r="DT277" s="32" t="str">
        <f>VLOOKUP(Tradingbook_SBV[[#This Row],[Security Name]],Ref!X:Y,2,0)</f>
        <v>KBNN</v>
      </c>
      <c r="DU277" s="71">
        <f>IF((Tradingbook_SBV[[#This Row],[Mat. Date]]-RPT)&lt;=0,0,Tradingbook_SBV[[#This Row],[QUANTITY]])</f>
        <v>0</v>
      </c>
      <c r="DV277" s="71">
        <f>IF(Tradingbook_SBV[[#This Row],[Quantity_edited]]=0,0,Tradingbook_SBV[[#This Row],[DURATION]])</f>
        <v>0</v>
      </c>
      <c r="DW277" s="71">
        <f>IF(Tradingbook_SBV[[#This Row],[Quantity_edited]]=0,0,Tradingbook_SBV[[#This Row],[Mod Dur]])</f>
        <v>0</v>
      </c>
      <c r="DX277" s="71">
        <f>IF(Tradingbook_SBV[[#This Row],[Quantity_edited]]=0,0,Tradingbook_SBV[[#This Row],[Cnvx.]])</f>
        <v>0</v>
      </c>
      <c r="DY277" s="71">
        <f>(Tradingbook_SBV[[#This Row],[MARKET_VALUE]]+Tradingbook_SBV[[#This Row],[Accr Int]]*Tradingbook_SBV[[#This Row],[Quantity_edited]])*(-Tradingbook_SBV[[#This Row],[Modified Duration]]*0.0001+0.5*Tradingbook_SBV[[#This Row],[Conv]]*(0.0001^2))</f>
        <v>0</v>
      </c>
      <c r="DZ277" s="71">
        <f>(Tradingbook_SBV[[#This Row],[MARKET_VALUE]]+Tradingbook_SBV[[#This Row],[Accr Int]]*Tradingbook_SBV[[#This Row],[Quantity_edited]])*(-Tradingbook_SBV[[#This Row],[Modified Duration]]*0.01+0.5*Tradingbook_SBV[[#This Row],[Conv]]*(0.01^2))</f>
        <v>0</v>
      </c>
      <c r="EC277" t="s">
        <v>166</v>
      </c>
      <c r="ED277" t="s">
        <v>3301</v>
      </c>
      <c r="EE277" t="s">
        <v>665</v>
      </c>
      <c r="EF277" t="s">
        <v>169</v>
      </c>
      <c r="EG277" s="35" t="s">
        <v>3447</v>
      </c>
      <c r="EH277" t="s">
        <v>170</v>
      </c>
      <c r="EI277" s="500">
        <v>106013</v>
      </c>
      <c r="EJ277" s="500">
        <v>106013</v>
      </c>
      <c r="EK277" s="500">
        <v>3000000</v>
      </c>
      <c r="EL277" s="500">
        <v>300000000000</v>
      </c>
      <c r="EM277" s="500">
        <v>117352.567</v>
      </c>
      <c r="EN277" s="500">
        <v>318039000000</v>
      </c>
      <c r="EO277">
        <v>5.3</v>
      </c>
      <c r="EP277">
        <v>3296</v>
      </c>
      <c r="EQ277">
        <v>34450000000</v>
      </c>
      <c r="ER277">
        <v>36714955736.111176</v>
      </c>
      <c r="ES277">
        <v>-54236310868.663765</v>
      </c>
      <c r="ET277">
        <v>4.3264399989999998</v>
      </c>
      <c r="EU277">
        <v>5.8923559807907999</v>
      </c>
      <c r="EV277">
        <v>6.1472852299999996</v>
      </c>
      <c r="EW277">
        <v>44.770753837643902</v>
      </c>
      <c r="EX277">
        <v>146815.38993717061</v>
      </c>
      <c r="EY277">
        <v>-193226.26197127701</v>
      </c>
      <c r="EZ277">
        <v>38054.896000000001</v>
      </c>
      <c r="FA277">
        <v>-80106270447.177185</v>
      </c>
      <c r="FB277">
        <v>-34018699552.8228</v>
      </c>
      <c r="FC277">
        <v>-114124969999.99998</v>
      </c>
      <c r="FD277">
        <v>-114124969999.99998</v>
      </c>
      <c r="FE277">
        <v>-114124970000</v>
      </c>
      <c r="FF277">
        <v>-114124969999.99998</v>
      </c>
      <c r="FG277" s="32">
        <f>Bankingbook_SBV[[#This Row],[Mat. Date]]-RPT</f>
        <v>2695</v>
      </c>
      <c r="FH277" s="32">
        <f>IF(Bankingbook_SBV[[#This Row],[Days]]&lt;=0,0,YEARFRAC(RPT,Bankingbook_SBV[[#This Row],[Mat. Date]],3))</f>
        <v>7.3835616438356162</v>
      </c>
      <c r="FI277" s="32" t="str">
        <f>IF(Bankingbook_SBV[[#This Row],[Days (year)]]=0,0,INDEX(Ref!$K$2:$K$13,MATCH(Bankingbook_SBV[[#This Row],[Days (year)]],Ref!$I$2:$I$13,1)))</f>
        <v>7Y</v>
      </c>
      <c r="FJ277" s="32" t="str">
        <f>VLOOKUP(Bankingbook_SBV[[#This Row],[Security Name]],Ref!X:Z,3,0)</f>
        <v>TPCP</v>
      </c>
      <c r="FK277" s="32" t="str">
        <f>VLOOKUP(Bankingbook_SBV[[#This Row],[Security Name]],Ref!X:Y,2,0)</f>
        <v>KBNN</v>
      </c>
      <c r="FL277" s="72">
        <f>IF((Bankingbook_SBV[[#This Row],[Mat. Date]]-RPT)&lt;=0,0,Bankingbook_SBV[[#This Row],[QUANTITY]])</f>
        <v>3000000</v>
      </c>
      <c r="FM277" s="32">
        <f>IF(Bankingbook_SBV[[#This Row],[Quantity_edited]]=0,0,Bankingbook_SBV[[#This Row],[DURATION]])</f>
        <v>6.1472852299999996</v>
      </c>
      <c r="FN277" s="32">
        <f>IF(Bankingbook_SBV[[#This Row],[Quantity_edited]]=0,0,Bankingbook_SBV[[#This Row],[Mod Dur]])</f>
        <v>5.8923559807907999</v>
      </c>
      <c r="FO277" s="32">
        <f>IF(Bankingbook_SBV[[#This Row],[Quantity_edited]]=0,0,Bankingbook_SBV[[#This Row],[Cnvx.]])</f>
        <v>44.770753837643902</v>
      </c>
      <c r="FP277" s="32">
        <f>(Bankingbook_SBV[[#This Row],[MARKET_VALUE]]+Bankingbook_SBV[[#This Row],[Accr Int]]*Bankingbook_SBV[[#This Row],[Quantity_edited]])*(-Bankingbook_SBV[[#This Row],[Modified Duration]]*0.0001+0.5*Bankingbook_SBV[[#This Row],[Conv]]*(0.0001^2))</f>
        <v>-193152854.27630988</v>
      </c>
      <c r="FQ277" s="32">
        <f>(Bankingbook_SBV[[#This Row],[MARKET_VALUE]]+Bankingbook_SBV[[#This Row],[Accr Int]]*Bankingbook_SBV[[#This Row],[Quantity_edited]])*(-Bankingbook_SBV[[#This Row],[Modified Duration]]*0.01+0.5*Bankingbook_SBV[[#This Row],[Conv]]*(0.01^2))</f>
        <v>-18588549247.441994</v>
      </c>
    </row>
    <row r="278" spans="2:173" x14ac:dyDescent="0.3">
      <c r="B278" t="s">
        <v>166</v>
      </c>
      <c r="C278" t="s">
        <v>167</v>
      </c>
      <c r="D278" t="s">
        <v>463</v>
      </c>
      <c r="E278" t="s">
        <v>169</v>
      </c>
      <c r="F278" s="502">
        <v>44265</v>
      </c>
      <c r="G278" t="s">
        <v>3322</v>
      </c>
      <c r="H278"/>
      <c r="I278"/>
      <c r="J278" s="38">
        <v>0</v>
      </c>
      <c r="K278">
        <v>0</v>
      </c>
      <c r="L278">
        <v>0</v>
      </c>
      <c r="M278" s="38">
        <v>0</v>
      </c>
      <c r="N278">
        <v>6.3</v>
      </c>
      <c r="O278">
        <v>0</v>
      </c>
      <c r="P278" s="37">
        <v>12600000000</v>
      </c>
      <c r="Q278" s="37">
        <v>13547548000</v>
      </c>
      <c r="R278" s="37">
        <v>-4858530697.6388779</v>
      </c>
      <c r="S278">
        <v>0</v>
      </c>
      <c r="T278" s="70">
        <v>0</v>
      </c>
      <c r="U278">
        <v>0</v>
      </c>
      <c r="V278">
        <v>0</v>
      </c>
      <c r="W278">
        <v>0</v>
      </c>
      <c r="X278" s="38">
        <v>0</v>
      </c>
      <c r="Y278">
        <v>0</v>
      </c>
      <c r="Z278" s="70">
        <v>13149500000</v>
      </c>
      <c r="AA278" s="70">
        <v>0</v>
      </c>
      <c r="AB278" s="70">
        <v>13149500000</v>
      </c>
      <c r="AC278" s="70">
        <v>13149500000</v>
      </c>
      <c r="AD278" s="70">
        <v>13149500000</v>
      </c>
      <c r="AE278" s="70">
        <v>13149500000</v>
      </c>
      <c r="AF278">
        <v>0</v>
      </c>
      <c r="AG278" s="72">
        <f>Tradingbook_MSB[[#This Row],[Mat. Date]]-RPT</f>
        <v>-1987</v>
      </c>
      <c r="AH278" s="71">
        <f>IF(Tradingbook_MSB[[#This Row],[Days]]&lt;=0,0,YEARFRAC(RPT,Tradingbook_MSB[[#This Row],[Mat. Date]],3))</f>
        <v>0</v>
      </c>
      <c r="AI278" s="71">
        <f>IF(Tradingbook_MSB[[#This Row],[Days (year)]]=0,0,INDEX(Ref!$K$2:$K$13,MATCH(Tradingbook_MSB[[#This Row],[Days (year)]],Ref!$I$2:$I$13,1)))</f>
        <v>0</v>
      </c>
      <c r="AJ278" s="120" t="str">
        <f>VLOOKUP(Tradingbook_MSB[[#This Row],[Security Name]],Ref!X:Z,3,0)</f>
        <v>TPCP</v>
      </c>
      <c r="AK278" s="120" t="str">
        <f>VLOOKUP(Tradingbook_MSB[[#This Row],[Security Name]],Ref!X:Y,2,0)</f>
        <v>KBNN</v>
      </c>
      <c r="AL278" s="71">
        <f>IF((Tradingbook_MSB[[#This Row],[Mat. Date]]-RPT)&lt;=0,0,Tradingbook_MSB[[#This Row],[QUANTITY]])</f>
        <v>0</v>
      </c>
      <c r="AM278" s="71">
        <f>IF(Tradingbook_MSB[[#This Row],[Quantity_edited]]=0,0,Tradingbook_MSB[[#This Row],[DURATION]])</f>
        <v>0</v>
      </c>
      <c r="AN278" s="71">
        <f>IF(Tradingbook_MSB[[#This Row],[Quantity_edited]]=0,0,Tradingbook_MSB[[#This Row],[Mod Dur]])</f>
        <v>0</v>
      </c>
      <c r="AO278" s="71">
        <f>IF(Tradingbook_MSB[[#This Row],[Quantity_edited]]=0,0,Tradingbook_MSB[[#This Row],[Cnvx.]])</f>
        <v>0</v>
      </c>
      <c r="AP278" s="71">
        <f>(Tradingbook_MSB[[#This Row],[MARKET_VALUE]]+Tradingbook_MSB[[#This Row],[Accr Int]]*Tradingbook_MSB[[#This Row],[Quantity_edited]])*(-Tradingbook_MSB[[#This Row],[Modified Duration]]*0.0001+0.5*Tradingbook_MSB[[#This Row],[Conv]]*(0.0001^2))</f>
        <v>0</v>
      </c>
      <c r="AQ278" s="72">
        <f>(Tradingbook_MSB[[#This Row],[MARKET_VALUE]]+Tradingbook_MSB[[#This Row],[Accr Int]]*Tradingbook_MSB[[#This Row],[Quantity_edited]])*(-Tradingbook_MSB[[#This Row],[Modified Duration]]*0.01+0.5*Tradingbook_MSB[[#This Row],[Conv]]*(0.01^2))</f>
        <v>0</v>
      </c>
      <c r="AR278" s="71"/>
      <c r="CL278" t="s">
        <v>166</v>
      </c>
      <c r="CM278" t="s">
        <v>167</v>
      </c>
      <c r="CN278" t="s">
        <v>463</v>
      </c>
      <c r="CO278" t="s">
        <v>169</v>
      </c>
      <c r="CP278" s="35">
        <v>44265</v>
      </c>
      <c r="CQ278" t="s">
        <v>3322</v>
      </c>
      <c r="CR278" t="s">
        <v>174</v>
      </c>
      <c r="CS278" t="s">
        <v>174</v>
      </c>
      <c r="CT278" s="49">
        <v>0</v>
      </c>
      <c r="CU278">
        <v>0</v>
      </c>
      <c r="CV278">
        <v>0</v>
      </c>
      <c r="CW278" s="70">
        <v>0</v>
      </c>
      <c r="CX278">
        <v>6.3</v>
      </c>
      <c r="CY278">
        <v>0</v>
      </c>
      <c r="CZ278">
        <v>12600000000</v>
      </c>
      <c r="DA278">
        <v>13547548000</v>
      </c>
      <c r="DB278">
        <v>-4858530697.6388779</v>
      </c>
      <c r="DC278">
        <v>0</v>
      </c>
      <c r="DD278">
        <v>0</v>
      </c>
      <c r="DE278">
        <v>0</v>
      </c>
      <c r="DF278">
        <v>0</v>
      </c>
      <c r="DG278">
        <v>0</v>
      </c>
      <c r="DH278">
        <v>0</v>
      </c>
      <c r="DI278">
        <v>0</v>
      </c>
      <c r="DJ278" s="500">
        <v>13149500000</v>
      </c>
      <c r="DK278" s="500">
        <v>0</v>
      </c>
      <c r="DL278" s="37">
        <v>13149500000</v>
      </c>
      <c r="DM278" s="37">
        <v>13149500000</v>
      </c>
      <c r="DN278" s="37">
        <v>13149500000</v>
      </c>
      <c r="DO278" s="37">
        <v>13149500000</v>
      </c>
      <c r="DP278" s="32">
        <f>Tradingbook_SBV[[#This Row],[Mat. Date]]-RPT</f>
        <v>-1987</v>
      </c>
      <c r="DQ278" s="32">
        <f>IF(Tradingbook_SBV[[#This Row],[Days]]&lt;=0,0,YEARFRAC(RPT,Tradingbook_SBV[[#This Row],[Mat. Date]],3))</f>
        <v>0</v>
      </c>
      <c r="DR278" s="32">
        <f>IF(Tradingbook_SBV[[#This Row],[Days (year)]]=0,0,INDEX(Ref!$K$2:$K$13,MATCH(Tradingbook_SBV[[#This Row],[Days (year)]],Ref!$I$2:$I$13,1)))</f>
        <v>0</v>
      </c>
      <c r="DS278" s="32" t="str">
        <f>VLOOKUP(Tradingbook_SBV[[#This Row],[Security Name]],Ref!X:Z,3,0)</f>
        <v>TPCP</v>
      </c>
      <c r="DT278" s="32" t="str">
        <f>VLOOKUP(Tradingbook_SBV[[#This Row],[Security Name]],Ref!X:Y,2,0)</f>
        <v>KBNN</v>
      </c>
      <c r="DU278" s="71">
        <f>IF((Tradingbook_SBV[[#This Row],[Mat. Date]]-RPT)&lt;=0,0,Tradingbook_SBV[[#This Row],[QUANTITY]])</f>
        <v>0</v>
      </c>
      <c r="DV278" s="71">
        <f>IF(Tradingbook_SBV[[#This Row],[Quantity_edited]]=0,0,Tradingbook_SBV[[#This Row],[DURATION]])</f>
        <v>0</v>
      </c>
      <c r="DW278" s="71">
        <f>IF(Tradingbook_SBV[[#This Row],[Quantity_edited]]=0,0,Tradingbook_SBV[[#This Row],[Mod Dur]])</f>
        <v>0</v>
      </c>
      <c r="DX278" s="71">
        <f>IF(Tradingbook_SBV[[#This Row],[Quantity_edited]]=0,0,Tradingbook_SBV[[#This Row],[Cnvx.]])</f>
        <v>0</v>
      </c>
      <c r="DY278" s="71">
        <f>(Tradingbook_SBV[[#This Row],[MARKET_VALUE]]+Tradingbook_SBV[[#This Row],[Accr Int]]*Tradingbook_SBV[[#This Row],[Quantity_edited]])*(-Tradingbook_SBV[[#This Row],[Modified Duration]]*0.0001+0.5*Tradingbook_SBV[[#This Row],[Conv]]*(0.0001^2))</f>
        <v>0</v>
      </c>
      <c r="DZ278" s="71">
        <f>(Tradingbook_SBV[[#This Row],[MARKET_VALUE]]+Tradingbook_SBV[[#This Row],[Accr Int]]*Tradingbook_SBV[[#This Row],[Quantity_edited]])*(-Tradingbook_SBV[[#This Row],[Modified Duration]]*0.01+0.5*Tradingbook_SBV[[#This Row],[Conv]]*(0.01^2))</f>
        <v>0</v>
      </c>
      <c r="EC278" t="s">
        <v>166</v>
      </c>
      <c r="ED278" t="s">
        <v>3301</v>
      </c>
      <c r="EE278" t="s">
        <v>2799</v>
      </c>
      <c r="EF278" t="s">
        <v>169</v>
      </c>
      <c r="EG278" s="35" t="s">
        <v>3450</v>
      </c>
      <c r="EH278" t="s">
        <v>170</v>
      </c>
      <c r="EI278" s="500">
        <v>86137</v>
      </c>
      <c r="EJ278" s="500">
        <v>86137</v>
      </c>
      <c r="EK278" s="500">
        <v>7000000</v>
      </c>
      <c r="EL278" s="500">
        <v>700000000000</v>
      </c>
      <c r="EM278" s="500">
        <v>95696.173999999999</v>
      </c>
      <c r="EN278" s="500">
        <v>602959000000</v>
      </c>
      <c r="EO278">
        <v>2.1</v>
      </c>
      <c r="EP278">
        <v>1260</v>
      </c>
      <c r="EQ278">
        <v>29400000000</v>
      </c>
      <c r="ER278">
        <v>31087988750.000023</v>
      </c>
      <c r="ES278">
        <v>-60709299153.88195</v>
      </c>
      <c r="ET278">
        <v>4.3275177859999996</v>
      </c>
      <c r="EU278">
        <v>6.5089608663455998</v>
      </c>
      <c r="EV278">
        <v>6.7906373100000001</v>
      </c>
      <c r="EW278">
        <v>51.133283041925701</v>
      </c>
      <c r="EX278">
        <v>312822.68766106293</v>
      </c>
      <c r="EY278">
        <v>-398204.55698520498</v>
      </c>
      <c r="EZ278">
        <v>71012.345000000001</v>
      </c>
      <c r="FA278">
        <v>-5533250311.4895525</v>
      </c>
      <c r="FB278">
        <v>-66914216688.510262</v>
      </c>
      <c r="FC278">
        <v>-72447466999.999817</v>
      </c>
      <c r="FD278">
        <v>-72447466999.999817</v>
      </c>
      <c r="FE278">
        <v>-72447467000</v>
      </c>
      <c r="FF278">
        <v>-72447466999.999817</v>
      </c>
      <c r="FG278" s="32">
        <f>Bankingbook_SBV[[#This Row],[Mat. Date]]-RPT</f>
        <v>2703</v>
      </c>
      <c r="FH278" s="32">
        <f>IF(Bankingbook_SBV[[#This Row],[Days]]&lt;=0,0,YEARFRAC(RPT,Bankingbook_SBV[[#This Row],[Mat. Date]],3))</f>
        <v>7.4054794520547942</v>
      </c>
      <c r="FI278" s="32" t="str">
        <f>IF(Bankingbook_SBV[[#This Row],[Days (year)]]=0,0,INDEX(Ref!$K$2:$K$13,MATCH(Bankingbook_SBV[[#This Row],[Days (year)]],Ref!$I$2:$I$13,1)))</f>
        <v>7Y</v>
      </c>
      <c r="FJ278" s="32" t="str">
        <f>VLOOKUP(Bankingbook_SBV[[#This Row],[Security Name]],Ref!X:Z,3,0)</f>
        <v>TPCP</v>
      </c>
      <c r="FK278" s="32" t="str">
        <f>VLOOKUP(Bankingbook_SBV[[#This Row],[Security Name]],Ref!X:Y,2,0)</f>
        <v>KBNN</v>
      </c>
      <c r="FL278" s="72">
        <f>IF((Bankingbook_SBV[[#This Row],[Mat. Date]]-RPT)&lt;=0,0,Bankingbook_SBV[[#This Row],[QUANTITY]])</f>
        <v>7000000</v>
      </c>
      <c r="FM278" s="32">
        <f>IF(Bankingbook_SBV[[#This Row],[Quantity_edited]]=0,0,Bankingbook_SBV[[#This Row],[DURATION]])</f>
        <v>6.7906373100000001</v>
      </c>
      <c r="FN278" s="32">
        <f>IF(Bankingbook_SBV[[#This Row],[Quantity_edited]]=0,0,Bankingbook_SBV[[#This Row],[Mod Dur]])</f>
        <v>6.5089608663455998</v>
      </c>
      <c r="FO278" s="32">
        <f>IF(Bankingbook_SBV[[#This Row],[Quantity_edited]]=0,0,Bankingbook_SBV[[#This Row],[Cnvx.]])</f>
        <v>51.133283041925701</v>
      </c>
      <c r="FP278" s="32">
        <f>(Bankingbook_SBV[[#This Row],[MARKET_VALUE]]+Bankingbook_SBV[[#This Row],[Accr Int]]*Bankingbook_SBV[[#This Row],[Quantity_edited]])*(-Bankingbook_SBV[[#This Row],[Modified Duration]]*0.0001+0.5*Bankingbook_SBV[[#This Row],[Conv]]*(0.0001^2))</f>
        <v>-398048145.64137393</v>
      </c>
      <c r="FQ278" s="32">
        <f>(Bankingbook_SBV[[#This Row],[MARKET_VALUE]]+Bankingbook_SBV[[#This Row],[Accr Int]]*Bankingbook_SBV[[#This Row],[Quantity_edited]])*(-Bankingbook_SBV[[#This Row],[Modified Duration]]*0.01+0.5*Bankingbook_SBV[[#This Row],[Conv]]*(0.01^2))</f>
        <v>-38256342260.215141</v>
      </c>
    </row>
    <row r="279" spans="2:173" x14ac:dyDescent="0.3">
      <c r="B279" t="s">
        <v>166</v>
      </c>
      <c r="C279" t="s">
        <v>167</v>
      </c>
      <c r="D279" t="s">
        <v>464</v>
      </c>
      <c r="E279" t="s">
        <v>169</v>
      </c>
      <c r="F279" s="502">
        <v>44279</v>
      </c>
      <c r="G279" t="s">
        <v>3322</v>
      </c>
      <c r="H279"/>
      <c r="I279"/>
      <c r="J279" s="38">
        <v>0</v>
      </c>
      <c r="K279">
        <v>0</v>
      </c>
      <c r="L279">
        <v>0</v>
      </c>
      <c r="M279" s="38">
        <v>0</v>
      </c>
      <c r="N279">
        <v>6.3</v>
      </c>
      <c r="O279">
        <v>0</v>
      </c>
      <c r="P279" s="37">
        <v>6300000000</v>
      </c>
      <c r="Q279" s="37">
        <v>6829997124.9999866</v>
      </c>
      <c r="R279" s="37">
        <v>-4710501582.2221651</v>
      </c>
      <c r="S279">
        <v>0</v>
      </c>
      <c r="T279" s="70">
        <v>0</v>
      </c>
      <c r="U279">
        <v>0</v>
      </c>
      <c r="V279">
        <v>0</v>
      </c>
      <c r="W279">
        <v>0</v>
      </c>
      <c r="X279" s="38">
        <v>0</v>
      </c>
      <c r="Y279">
        <v>0</v>
      </c>
      <c r="Z279" s="70">
        <v>10496500000</v>
      </c>
      <c r="AA279" s="70">
        <v>0</v>
      </c>
      <c r="AB279" s="70">
        <v>10496500000</v>
      </c>
      <c r="AC279" s="70">
        <v>10496500000</v>
      </c>
      <c r="AD279" s="70">
        <v>10496500000</v>
      </c>
      <c r="AE279" s="70">
        <v>10496500000</v>
      </c>
      <c r="AF279">
        <v>0</v>
      </c>
      <c r="AG279" s="72">
        <f>Tradingbook_MSB[[#This Row],[Mat. Date]]-RPT</f>
        <v>-1973</v>
      </c>
      <c r="AH279" s="71">
        <f>IF(Tradingbook_MSB[[#This Row],[Days]]&lt;=0,0,YEARFRAC(RPT,Tradingbook_MSB[[#This Row],[Mat. Date]],3))</f>
        <v>0</v>
      </c>
      <c r="AI279" s="71">
        <f>IF(Tradingbook_MSB[[#This Row],[Days (year)]]=0,0,INDEX(Ref!$K$2:$K$13,MATCH(Tradingbook_MSB[[#This Row],[Days (year)]],Ref!$I$2:$I$13,1)))</f>
        <v>0</v>
      </c>
      <c r="AJ279" s="120" t="str">
        <f>VLOOKUP(Tradingbook_MSB[[#This Row],[Security Name]],Ref!X:Z,3,0)</f>
        <v>TPCP</v>
      </c>
      <c r="AK279" s="120" t="str">
        <f>VLOOKUP(Tradingbook_MSB[[#This Row],[Security Name]],Ref!X:Y,2,0)</f>
        <v>KBNN</v>
      </c>
      <c r="AL279" s="71">
        <f>IF((Tradingbook_MSB[[#This Row],[Mat. Date]]-RPT)&lt;=0,0,Tradingbook_MSB[[#This Row],[QUANTITY]])</f>
        <v>0</v>
      </c>
      <c r="AM279" s="71">
        <f>IF(Tradingbook_MSB[[#This Row],[Quantity_edited]]=0,0,Tradingbook_MSB[[#This Row],[DURATION]])</f>
        <v>0</v>
      </c>
      <c r="AN279" s="71">
        <f>IF(Tradingbook_MSB[[#This Row],[Quantity_edited]]=0,0,Tradingbook_MSB[[#This Row],[Mod Dur]])</f>
        <v>0</v>
      </c>
      <c r="AO279" s="71">
        <f>IF(Tradingbook_MSB[[#This Row],[Quantity_edited]]=0,0,Tradingbook_MSB[[#This Row],[Cnvx.]])</f>
        <v>0</v>
      </c>
      <c r="AP279" s="71">
        <f>(Tradingbook_MSB[[#This Row],[MARKET_VALUE]]+Tradingbook_MSB[[#This Row],[Accr Int]]*Tradingbook_MSB[[#This Row],[Quantity_edited]])*(-Tradingbook_MSB[[#This Row],[Modified Duration]]*0.0001+0.5*Tradingbook_MSB[[#This Row],[Conv]]*(0.0001^2))</f>
        <v>0</v>
      </c>
      <c r="AQ279" s="72">
        <f>(Tradingbook_MSB[[#This Row],[MARKET_VALUE]]+Tradingbook_MSB[[#This Row],[Accr Int]]*Tradingbook_MSB[[#This Row],[Quantity_edited]])*(-Tradingbook_MSB[[#This Row],[Modified Duration]]*0.01+0.5*Tradingbook_MSB[[#This Row],[Conv]]*(0.01^2))</f>
        <v>0</v>
      </c>
      <c r="AR279" s="71"/>
      <c r="CL279" t="s">
        <v>166</v>
      </c>
      <c r="CM279" t="s">
        <v>167</v>
      </c>
      <c r="CN279" t="s">
        <v>464</v>
      </c>
      <c r="CO279" t="s">
        <v>169</v>
      </c>
      <c r="CP279" s="35">
        <v>44279</v>
      </c>
      <c r="CQ279" t="s">
        <v>3322</v>
      </c>
      <c r="CR279" t="s">
        <v>174</v>
      </c>
      <c r="CS279" t="s">
        <v>174</v>
      </c>
      <c r="CT279" s="49">
        <v>0</v>
      </c>
      <c r="CU279">
        <v>0</v>
      </c>
      <c r="CV279">
        <v>0</v>
      </c>
      <c r="CW279" s="70">
        <v>0</v>
      </c>
      <c r="CX279">
        <v>6.3</v>
      </c>
      <c r="CY279">
        <v>0</v>
      </c>
      <c r="CZ279">
        <v>6300000000</v>
      </c>
      <c r="DA279">
        <v>6829997124.9999866</v>
      </c>
      <c r="DB279">
        <v>-4710501582.2221651</v>
      </c>
      <c r="DC279">
        <v>0</v>
      </c>
      <c r="DD279">
        <v>0</v>
      </c>
      <c r="DE279">
        <v>0</v>
      </c>
      <c r="DF279">
        <v>0</v>
      </c>
      <c r="DG279">
        <v>0</v>
      </c>
      <c r="DH279">
        <v>0</v>
      </c>
      <c r="DI279">
        <v>0</v>
      </c>
      <c r="DJ279" s="500">
        <v>10496500000</v>
      </c>
      <c r="DK279" s="500">
        <v>0</v>
      </c>
      <c r="DL279" s="37">
        <v>10496500000</v>
      </c>
      <c r="DM279" s="37">
        <v>10496500000</v>
      </c>
      <c r="DN279" s="37">
        <v>10496500000</v>
      </c>
      <c r="DO279" s="37">
        <v>10496500000</v>
      </c>
      <c r="DP279" s="32">
        <f>Tradingbook_SBV[[#This Row],[Mat. Date]]-RPT</f>
        <v>-1973</v>
      </c>
      <c r="DQ279" s="32">
        <f>IF(Tradingbook_SBV[[#This Row],[Days]]&lt;=0,0,YEARFRAC(RPT,Tradingbook_SBV[[#This Row],[Mat. Date]],3))</f>
        <v>0</v>
      </c>
      <c r="DR279" s="32">
        <f>IF(Tradingbook_SBV[[#This Row],[Days (year)]]=0,0,INDEX(Ref!$K$2:$K$13,MATCH(Tradingbook_SBV[[#This Row],[Days (year)]],Ref!$I$2:$I$13,1)))</f>
        <v>0</v>
      </c>
      <c r="DS279" s="32" t="str">
        <f>VLOOKUP(Tradingbook_SBV[[#This Row],[Security Name]],Ref!X:Z,3,0)</f>
        <v>TPCP</v>
      </c>
      <c r="DT279" s="32" t="str">
        <f>VLOOKUP(Tradingbook_SBV[[#This Row],[Security Name]],Ref!X:Y,2,0)</f>
        <v>KBNN</v>
      </c>
      <c r="DU279" s="71">
        <f>IF((Tradingbook_SBV[[#This Row],[Mat. Date]]-RPT)&lt;=0,0,Tradingbook_SBV[[#This Row],[QUANTITY]])</f>
        <v>0</v>
      </c>
      <c r="DV279" s="71">
        <f>IF(Tradingbook_SBV[[#This Row],[Quantity_edited]]=0,0,Tradingbook_SBV[[#This Row],[DURATION]])</f>
        <v>0</v>
      </c>
      <c r="DW279" s="71">
        <f>IF(Tradingbook_SBV[[#This Row],[Quantity_edited]]=0,0,Tradingbook_SBV[[#This Row],[Mod Dur]])</f>
        <v>0</v>
      </c>
      <c r="DX279" s="71">
        <f>IF(Tradingbook_SBV[[#This Row],[Quantity_edited]]=0,0,Tradingbook_SBV[[#This Row],[Cnvx.]])</f>
        <v>0</v>
      </c>
      <c r="DY279" s="71">
        <f>(Tradingbook_SBV[[#This Row],[MARKET_VALUE]]+Tradingbook_SBV[[#This Row],[Accr Int]]*Tradingbook_SBV[[#This Row],[Quantity_edited]])*(-Tradingbook_SBV[[#This Row],[Modified Duration]]*0.0001+0.5*Tradingbook_SBV[[#This Row],[Conv]]*(0.0001^2))</f>
        <v>0</v>
      </c>
      <c r="DZ279" s="71">
        <f>(Tradingbook_SBV[[#This Row],[MARKET_VALUE]]+Tradingbook_SBV[[#This Row],[Accr Int]]*Tradingbook_SBV[[#This Row],[Quantity_edited]])*(-Tradingbook_SBV[[#This Row],[Modified Duration]]*0.01+0.5*Tradingbook_SBV[[#This Row],[Conv]]*(0.01^2))</f>
        <v>0</v>
      </c>
      <c r="EC279" t="s">
        <v>166</v>
      </c>
      <c r="ED279" t="s">
        <v>3301</v>
      </c>
      <c r="EE279" t="s">
        <v>666</v>
      </c>
      <c r="EF279" t="s">
        <v>169</v>
      </c>
      <c r="EG279" s="35" t="s">
        <v>3448</v>
      </c>
      <c r="EH279" t="s">
        <v>170</v>
      </c>
      <c r="EI279" s="500">
        <v>104787</v>
      </c>
      <c r="EJ279" s="500">
        <v>104787</v>
      </c>
      <c r="EK279" s="500">
        <v>500000</v>
      </c>
      <c r="EL279" s="500">
        <v>50000000000</v>
      </c>
      <c r="EM279" s="500">
        <v>110640.71799999999</v>
      </c>
      <c r="EN279" s="500">
        <v>52393500000</v>
      </c>
      <c r="EO279">
        <v>5.0999999999999996</v>
      </c>
      <c r="EP279">
        <v>2878</v>
      </c>
      <c r="EQ279">
        <v>7650000000</v>
      </c>
      <c r="ER279">
        <v>8324132166.6666794</v>
      </c>
      <c r="ES279">
        <v>-14037771154.261042</v>
      </c>
      <c r="ET279">
        <v>4.329117353</v>
      </c>
      <c r="EU279">
        <v>5.9774087662172999</v>
      </c>
      <c r="EV279">
        <v>6.23617781</v>
      </c>
      <c r="EW279">
        <v>45.783928290290802</v>
      </c>
      <c r="EX279">
        <v>24646.6331968708</v>
      </c>
      <c r="EY279">
        <v>-32177.885740738999</v>
      </c>
      <c r="EZ279">
        <v>6250.8779999999997</v>
      </c>
      <c r="FA279">
        <v>-24519861130.349316</v>
      </c>
      <c r="FB279">
        <v>-2926858869.6504374</v>
      </c>
      <c r="FC279">
        <v>-27446719999.999752</v>
      </c>
      <c r="FD279">
        <v>-27446719999.999752</v>
      </c>
      <c r="FE279">
        <v>-27446720000</v>
      </c>
      <c r="FF279">
        <v>-27446719999.999752</v>
      </c>
      <c r="FG279" s="32">
        <f>Bankingbook_SBV[[#This Row],[Mat. Date]]-RPT</f>
        <v>2716</v>
      </c>
      <c r="FH279" s="32">
        <f>IF(Bankingbook_SBV[[#This Row],[Days]]&lt;=0,0,YEARFRAC(RPT,Bankingbook_SBV[[#This Row],[Mat. Date]],3))</f>
        <v>7.441095890410959</v>
      </c>
      <c r="FI279" s="32" t="str">
        <f>IF(Bankingbook_SBV[[#This Row],[Days (year)]]=0,0,INDEX(Ref!$K$2:$K$13,MATCH(Bankingbook_SBV[[#This Row],[Days (year)]],Ref!$I$2:$I$13,1)))</f>
        <v>7Y</v>
      </c>
      <c r="FJ279" s="32" t="str">
        <f>VLOOKUP(Bankingbook_SBV[[#This Row],[Security Name]],Ref!X:Z,3,0)</f>
        <v>TPCP</v>
      </c>
      <c r="FK279" s="32" t="str">
        <f>VLOOKUP(Bankingbook_SBV[[#This Row],[Security Name]],Ref!X:Y,2,0)</f>
        <v>KBNN</v>
      </c>
      <c r="FL279" s="72">
        <f>IF((Bankingbook_SBV[[#This Row],[Mat. Date]]-RPT)&lt;=0,0,Bankingbook_SBV[[#This Row],[QUANTITY]])</f>
        <v>500000</v>
      </c>
      <c r="FM279" s="32">
        <f>IF(Bankingbook_SBV[[#This Row],[Quantity_edited]]=0,0,Bankingbook_SBV[[#This Row],[DURATION]])</f>
        <v>6.23617781</v>
      </c>
      <c r="FN279" s="32">
        <f>IF(Bankingbook_SBV[[#This Row],[Quantity_edited]]=0,0,Bankingbook_SBV[[#This Row],[Mod Dur]])</f>
        <v>5.9774087662172999</v>
      </c>
      <c r="FO279" s="32">
        <f>IF(Bankingbook_SBV[[#This Row],[Quantity_edited]]=0,0,Bankingbook_SBV[[#This Row],[Cnvx.]])</f>
        <v>45.783928290290802</v>
      </c>
      <c r="FP279" s="32">
        <f>(Bankingbook_SBV[[#This Row],[MARKET_VALUE]]+Bankingbook_SBV[[#This Row],[Accr Int]]*Bankingbook_SBV[[#This Row],[Quantity_edited]])*(-Bankingbook_SBV[[#This Row],[Modified Duration]]*0.0001+0.5*Bankingbook_SBV[[#This Row],[Conv]]*(0.0001^2))</f>
        <v>-32165562.424140844</v>
      </c>
      <c r="FQ279" s="32">
        <f>(Bankingbook_SBV[[#This Row],[MARKET_VALUE]]+Bankingbook_SBV[[#This Row],[Accr Int]]*Bankingbook_SBV[[#This Row],[Quantity_edited]])*(-Bankingbook_SBV[[#This Row],[Modified Duration]]*0.01+0.5*Bankingbook_SBV[[#This Row],[Conv]]*(0.01^2))</f>
        <v>-3094555408.0895739</v>
      </c>
    </row>
    <row r="280" spans="2:173" x14ac:dyDescent="0.3">
      <c r="B280" t="s">
        <v>166</v>
      </c>
      <c r="C280" t="s">
        <v>167</v>
      </c>
      <c r="D280" t="s">
        <v>465</v>
      </c>
      <c r="E280" t="s">
        <v>169</v>
      </c>
      <c r="F280" s="502">
        <v>44293</v>
      </c>
      <c r="G280" t="s">
        <v>3322</v>
      </c>
      <c r="H280"/>
      <c r="I280"/>
      <c r="J280" s="38">
        <v>0</v>
      </c>
      <c r="K280">
        <v>0</v>
      </c>
      <c r="L280">
        <v>0</v>
      </c>
      <c r="M280" s="38">
        <v>0</v>
      </c>
      <c r="N280">
        <v>6.4</v>
      </c>
      <c r="O280">
        <v>0</v>
      </c>
      <c r="P280" s="37">
        <v>16000000000</v>
      </c>
      <c r="Q280" s="37">
        <v>16999122222.222225</v>
      </c>
      <c r="R280" s="37">
        <v>-5161807414.5138321</v>
      </c>
      <c r="S280">
        <v>0</v>
      </c>
      <c r="T280" s="70">
        <v>0</v>
      </c>
      <c r="U280">
        <v>0</v>
      </c>
      <c r="V280">
        <v>0</v>
      </c>
      <c r="W280">
        <v>0</v>
      </c>
      <c r="X280" s="38">
        <v>0</v>
      </c>
      <c r="Y280">
        <v>0</v>
      </c>
      <c r="Z280" s="70">
        <v>13606500000</v>
      </c>
      <c r="AA280" s="70">
        <v>0</v>
      </c>
      <c r="AB280" s="70">
        <v>13606500000</v>
      </c>
      <c r="AC280" s="70">
        <v>13606500000</v>
      </c>
      <c r="AD280" s="70">
        <v>13606500000</v>
      </c>
      <c r="AE280" s="70">
        <v>13606500000</v>
      </c>
      <c r="AF280">
        <v>0</v>
      </c>
      <c r="AG280" s="72">
        <f>Tradingbook_MSB[[#This Row],[Mat. Date]]-RPT</f>
        <v>-1959</v>
      </c>
      <c r="AH280" s="71">
        <f>IF(Tradingbook_MSB[[#This Row],[Days]]&lt;=0,0,YEARFRAC(RPT,Tradingbook_MSB[[#This Row],[Mat. Date]],3))</f>
        <v>0</v>
      </c>
      <c r="AI280" s="71">
        <f>IF(Tradingbook_MSB[[#This Row],[Days (year)]]=0,0,INDEX(Ref!$K$2:$K$13,MATCH(Tradingbook_MSB[[#This Row],[Days (year)]],Ref!$I$2:$I$13,1)))</f>
        <v>0</v>
      </c>
      <c r="AJ280" s="120" t="str">
        <f>VLOOKUP(Tradingbook_MSB[[#This Row],[Security Name]],Ref!X:Z,3,0)</f>
        <v>TPCP</v>
      </c>
      <c r="AK280" s="120" t="str">
        <f>VLOOKUP(Tradingbook_MSB[[#This Row],[Security Name]],Ref!X:Y,2,0)</f>
        <v>KBNN</v>
      </c>
      <c r="AL280" s="71">
        <f>IF((Tradingbook_MSB[[#This Row],[Mat. Date]]-RPT)&lt;=0,0,Tradingbook_MSB[[#This Row],[QUANTITY]])</f>
        <v>0</v>
      </c>
      <c r="AM280" s="71">
        <f>IF(Tradingbook_MSB[[#This Row],[Quantity_edited]]=0,0,Tradingbook_MSB[[#This Row],[DURATION]])</f>
        <v>0</v>
      </c>
      <c r="AN280" s="71">
        <f>IF(Tradingbook_MSB[[#This Row],[Quantity_edited]]=0,0,Tradingbook_MSB[[#This Row],[Mod Dur]])</f>
        <v>0</v>
      </c>
      <c r="AO280" s="71">
        <f>IF(Tradingbook_MSB[[#This Row],[Quantity_edited]]=0,0,Tradingbook_MSB[[#This Row],[Cnvx.]])</f>
        <v>0</v>
      </c>
      <c r="AP280" s="71">
        <f>(Tradingbook_MSB[[#This Row],[MARKET_VALUE]]+Tradingbook_MSB[[#This Row],[Accr Int]]*Tradingbook_MSB[[#This Row],[Quantity_edited]])*(-Tradingbook_MSB[[#This Row],[Modified Duration]]*0.0001+0.5*Tradingbook_MSB[[#This Row],[Conv]]*(0.0001^2))</f>
        <v>0</v>
      </c>
      <c r="AQ280" s="72">
        <f>(Tradingbook_MSB[[#This Row],[MARKET_VALUE]]+Tradingbook_MSB[[#This Row],[Accr Int]]*Tradingbook_MSB[[#This Row],[Quantity_edited]])*(-Tradingbook_MSB[[#This Row],[Modified Duration]]*0.01+0.5*Tradingbook_MSB[[#This Row],[Conv]]*(0.01^2))</f>
        <v>0</v>
      </c>
      <c r="AR280" s="71"/>
      <c r="CL280" t="s">
        <v>166</v>
      </c>
      <c r="CM280" t="s">
        <v>167</v>
      </c>
      <c r="CN280" t="s">
        <v>465</v>
      </c>
      <c r="CO280" t="s">
        <v>169</v>
      </c>
      <c r="CP280" s="35">
        <v>44293</v>
      </c>
      <c r="CQ280" t="s">
        <v>3322</v>
      </c>
      <c r="CR280" t="s">
        <v>174</v>
      </c>
      <c r="CS280" t="s">
        <v>174</v>
      </c>
      <c r="CT280" s="49">
        <v>0</v>
      </c>
      <c r="CU280">
        <v>0</v>
      </c>
      <c r="CV280">
        <v>0</v>
      </c>
      <c r="CW280" s="70">
        <v>0</v>
      </c>
      <c r="CX280">
        <v>6.4</v>
      </c>
      <c r="CY280">
        <v>0</v>
      </c>
      <c r="CZ280">
        <v>16000000000</v>
      </c>
      <c r="DA280">
        <v>16999122222.222225</v>
      </c>
      <c r="DB280">
        <v>-5161807414.5138321</v>
      </c>
      <c r="DC280">
        <v>0</v>
      </c>
      <c r="DD280">
        <v>0</v>
      </c>
      <c r="DE280">
        <v>0</v>
      </c>
      <c r="DF280">
        <v>0</v>
      </c>
      <c r="DG280">
        <v>0</v>
      </c>
      <c r="DH280">
        <v>0</v>
      </c>
      <c r="DI280">
        <v>0</v>
      </c>
      <c r="DJ280" s="500">
        <v>13606500000</v>
      </c>
      <c r="DK280" s="500">
        <v>0</v>
      </c>
      <c r="DL280" s="37">
        <v>13606500000</v>
      </c>
      <c r="DM280" s="37">
        <v>13606500000</v>
      </c>
      <c r="DN280" s="37">
        <v>13606500000</v>
      </c>
      <c r="DO280" s="37">
        <v>13606500000</v>
      </c>
      <c r="DP280" s="32">
        <f>Tradingbook_SBV[[#This Row],[Mat. Date]]-RPT</f>
        <v>-1959</v>
      </c>
      <c r="DQ280" s="32">
        <f>IF(Tradingbook_SBV[[#This Row],[Days]]&lt;=0,0,YEARFRAC(RPT,Tradingbook_SBV[[#This Row],[Mat. Date]],3))</f>
        <v>0</v>
      </c>
      <c r="DR280" s="32">
        <f>IF(Tradingbook_SBV[[#This Row],[Days (year)]]=0,0,INDEX(Ref!$K$2:$K$13,MATCH(Tradingbook_SBV[[#This Row],[Days (year)]],Ref!$I$2:$I$13,1)))</f>
        <v>0</v>
      </c>
      <c r="DS280" s="32" t="str">
        <f>VLOOKUP(Tradingbook_SBV[[#This Row],[Security Name]],Ref!X:Z,3,0)</f>
        <v>TPCP</v>
      </c>
      <c r="DT280" s="32" t="str">
        <f>VLOOKUP(Tradingbook_SBV[[#This Row],[Security Name]],Ref!X:Y,2,0)</f>
        <v>KBNN</v>
      </c>
      <c r="DU280" s="71">
        <f>IF((Tradingbook_SBV[[#This Row],[Mat. Date]]-RPT)&lt;=0,0,Tradingbook_SBV[[#This Row],[QUANTITY]])</f>
        <v>0</v>
      </c>
      <c r="DV280" s="71">
        <f>IF(Tradingbook_SBV[[#This Row],[Quantity_edited]]=0,0,Tradingbook_SBV[[#This Row],[DURATION]])</f>
        <v>0</v>
      </c>
      <c r="DW280" s="71">
        <f>IF(Tradingbook_SBV[[#This Row],[Quantity_edited]]=0,0,Tradingbook_SBV[[#This Row],[Mod Dur]])</f>
        <v>0</v>
      </c>
      <c r="DX280" s="71">
        <f>IF(Tradingbook_SBV[[#This Row],[Quantity_edited]]=0,0,Tradingbook_SBV[[#This Row],[Cnvx.]])</f>
        <v>0</v>
      </c>
      <c r="DY280" s="71">
        <f>(Tradingbook_SBV[[#This Row],[MARKET_VALUE]]+Tradingbook_SBV[[#This Row],[Accr Int]]*Tradingbook_SBV[[#This Row],[Quantity_edited]])*(-Tradingbook_SBV[[#This Row],[Modified Duration]]*0.0001+0.5*Tradingbook_SBV[[#This Row],[Conv]]*(0.0001^2))</f>
        <v>0</v>
      </c>
      <c r="DZ280" s="71">
        <f>(Tradingbook_SBV[[#This Row],[MARKET_VALUE]]+Tradingbook_SBV[[#This Row],[Accr Int]]*Tradingbook_SBV[[#This Row],[Quantity_edited]])*(-Tradingbook_SBV[[#This Row],[Modified Duration]]*0.01+0.5*Tradingbook_SBV[[#This Row],[Conv]]*(0.01^2))</f>
        <v>0</v>
      </c>
      <c r="EC280" t="s">
        <v>166</v>
      </c>
      <c r="ED280" t="s">
        <v>3301</v>
      </c>
      <c r="EE280" t="s">
        <v>667</v>
      </c>
      <c r="EF280" t="s">
        <v>169</v>
      </c>
      <c r="EG280" s="35" t="s">
        <v>3451</v>
      </c>
      <c r="EH280" t="s">
        <v>170</v>
      </c>
      <c r="EI280" s="500">
        <v>104176</v>
      </c>
      <c r="EJ280" s="500">
        <v>104176</v>
      </c>
      <c r="EK280" s="500">
        <v>1000000</v>
      </c>
      <c r="EL280" s="500">
        <v>100000000000</v>
      </c>
      <c r="EM280" s="500">
        <v>113804.056</v>
      </c>
      <c r="EN280" s="500">
        <v>104176000000</v>
      </c>
      <c r="EO280">
        <v>5</v>
      </c>
      <c r="EP280">
        <v>2438</v>
      </c>
      <c r="EQ280">
        <v>22500000000</v>
      </c>
      <c r="ER280">
        <v>24746162847.222198</v>
      </c>
      <c r="ES280">
        <v>-16305026186.388744</v>
      </c>
      <c r="ET280">
        <v>4.3327429889999998</v>
      </c>
      <c r="EU280">
        <v>6.0659470919293996</v>
      </c>
      <c r="EV280">
        <v>6.3287689900000004</v>
      </c>
      <c r="EW280">
        <v>46.894707441839699</v>
      </c>
      <c r="EX280">
        <v>49996.323392042999</v>
      </c>
      <c r="EY280">
        <v>-64671.488325896004</v>
      </c>
      <c r="EZ280">
        <v>12389.868</v>
      </c>
      <c r="FA280">
        <v>-5187444444.4444962</v>
      </c>
      <c r="FB280">
        <v>-9628055555.555563</v>
      </c>
      <c r="FC280">
        <v>-14815500000.000059</v>
      </c>
      <c r="FD280">
        <v>-14815500000.000059</v>
      </c>
      <c r="FE280">
        <v>-14815500000</v>
      </c>
      <c r="FF280">
        <v>-14815500000.000059</v>
      </c>
      <c r="FG280" s="32">
        <f>Bankingbook_SBV[[#This Row],[Mat. Date]]-RPT</f>
        <v>2744</v>
      </c>
      <c r="FH280" s="32">
        <f>IF(Bankingbook_SBV[[#This Row],[Days]]&lt;=0,0,YEARFRAC(RPT,Bankingbook_SBV[[#This Row],[Mat. Date]],3))</f>
        <v>7.5178082191780824</v>
      </c>
      <c r="FI280" s="32" t="str">
        <f>IF(Bankingbook_SBV[[#This Row],[Days (year)]]=0,0,INDEX(Ref!$K$2:$K$13,MATCH(Bankingbook_SBV[[#This Row],[Days (year)]],Ref!$I$2:$I$13,1)))</f>
        <v>10Y</v>
      </c>
      <c r="FJ280" s="32" t="str">
        <f>VLOOKUP(Bankingbook_SBV[[#This Row],[Security Name]],Ref!X:Z,3,0)</f>
        <v>TPCP</v>
      </c>
      <c r="FK280" s="32" t="str">
        <f>VLOOKUP(Bankingbook_SBV[[#This Row],[Security Name]],Ref!X:Y,2,0)</f>
        <v>KBNN</v>
      </c>
      <c r="FL280" s="72">
        <f>IF((Bankingbook_SBV[[#This Row],[Mat. Date]]-RPT)&lt;=0,0,Bankingbook_SBV[[#This Row],[QUANTITY]])</f>
        <v>1000000</v>
      </c>
      <c r="FM280" s="32">
        <f>IF(Bankingbook_SBV[[#This Row],[Quantity_edited]]=0,0,Bankingbook_SBV[[#This Row],[DURATION]])</f>
        <v>6.3287689900000004</v>
      </c>
      <c r="FN280" s="32">
        <f>IF(Bankingbook_SBV[[#This Row],[Quantity_edited]]=0,0,Bankingbook_SBV[[#This Row],[Mod Dur]])</f>
        <v>6.0659470919293996</v>
      </c>
      <c r="FO280" s="32">
        <f>IF(Bankingbook_SBV[[#This Row],[Quantity_edited]]=0,0,Bankingbook_SBV[[#This Row],[Cnvx.]])</f>
        <v>46.894707441839699</v>
      </c>
      <c r="FP280" s="32">
        <f>(Bankingbook_SBV[[#This Row],[MARKET_VALUE]]+Bankingbook_SBV[[#This Row],[Accr Int]]*Bankingbook_SBV[[#This Row],[Quantity_edited]])*(-Bankingbook_SBV[[#This Row],[Modified Duration]]*0.0001+0.5*Bankingbook_SBV[[#This Row],[Conv]]*(0.0001^2))</f>
        <v>-64646490.164200075</v>
      </c>
      <c r="FQ280" s="32">
        <f>(Bankingbook_SBV[[#This Row],[MARKET_VALUE]]+Bankingbook_SBV[[#This Row],[Accr Int]]*Bankingbook_SBV[[#This Row],[Quantity_edited]])*(-Bankingbook_SBV[[#This Row],[Modified Duration]]*0.01+0.5*Bankingbook_SBV[[#This Row],[Conv]]*(0.01^2))</f>
        <v>-6217167215.6293955</v>
      </c>
    </row>
    <row r="281" spans="2:173" x14ac:dyDescent="0.3">
      <c r="B281" t="s">
        <v>166</v>
      </c>
      <c r="C281" t="s">
        <v>167</v>
      </c>
      <c r="D281" t="s">
        <v>466</v>
      </c>
      <c r="E281" t="s">
        <v>169</v>
      </c>
      <c r="F281" s="502">
        <v>44307</v>
      </c>
      <c r="G281" t="s">
        <v>3322</v>
      </c>
      <c r="H281"/>
      <c r="I281"/>
      <c r="J281" s="38">
        <v>0</v>
      </c>
      <c r="K281">
        <v>0</v>
      </c>
      <c r="L281">
        <v>0</v>
      </c>
      <c r="M281" s="38">
        <v>0</v>
      </c>
      <c r="N281">
        <v>6.4</v>
      </c>
      <c r="O281">
        <v>0</v>
      </c>
      <c r="P281" s="37">
        <v>6400000000</v>
      </c>
      <c r="Q281" s="37">
        <v>6809427555.5555611</v>
      </c>
      <c r="R281" s="37">
        <v>-676850845.90277219</v>
      </c>
      <c r="S281">
        <v>0</v>
      </c>
      <c r="T281" s="70">
        <v>0</v>
      </c>
      <c r="U281">
        <v>0</v>
      </c>
      <c r="V281">
        <v>0</v>
      </c>
      <c r="W281">
        <v>0</v>
      </c>
      <c r="X281" s="38">
        <v>0</v>
      </c>
      <c r="Y281">
        <v>0</v>
      </c>
      <c r="Z281" s="70">
        <v>1727500000</v>
      </c>
      <c r="AA281" s="70">
        <v>0</v>
      </c>
      <c r="AB281" s="70">
        <v>1727500000</v>
      </c>
      <c r="AC281" s="70">
        <v>1727500000</v>
      </c>
      <c r="AD281" s="70">
        <v>1727500000</v>
      </c>
      <c r="AE281" s="70">
        <v>1727500000</v>
      </c>
      <c r="AF281">
        <v>0</v>
      </c>
      <c r="AG281" s="72">
        <f>Tradingbook_MSB[[#This Row],[Mat. Date]]-RPT</f>
        <v>-1945</v>
      </c>
      <c r="AH281" s="71">
        <f>IF(Tradingbook_MSB[[#This Row],[Days]]&lt;=0,0,YEARFRAC(RPT,Tradingbook_MSB[[#This Row],[Mat. Date]],3))</f>
        <v>0</v>
      </c>
      <c r="AI281" s="71">
        <f>IF(Tradingbook_MSB[[#This Row],[Days (year)]]=0,0,INDEX(Ref!$K$2:$K$13,MATCH(Tradingbook_MSB[[#This Row],[Days (year)]],Ref!$I$2:$I$13,1)))</f>
        <v>0</v>
      </c>
      <c r="AJ281" s="120" t="str">
        <f>VLOOKUP(Tradingbook_MSB[[#This Row],[Security Name]],Ref!X:Z,3,0)</f>
        <v>TPCP</v>
      </c>
      <c r="AK281" s="120" t="str">
        <f>VLOOKUP(Tradingbook_MSB[[#This Row],[Security Name]],Ref!X:Y,2,0)</f>
        <v>KBNN</v>
      </c>
      <c r="AL281" s="71">
        <f>IF((Tradingbook_MSB[[#This Row],[Mat. Date]]-RPT)&lt;=0,0,Tradingbook_MSB[[#This Row],[QUANTITY]])</f>
        <v>0</v>
      </c>
      <c r="AM281" s="71">
        <f>IF(Tradingbook_MSB[[#This Row],[Quantity_edited]]=0,0,Tradingbook_MSB[[#This Row],[DURATION]])</f>
        <v>0</v>
      </c>
      <c r="AN281" s="71">
        <f>IF(Tradingbook_MSB[[#This Row],[Quantity_edited]]=0,0,Tradingbook_MSB[[#This Row],[Mod Dur]])</f>
        <v>0</v>
      </c>
      <c r="AO281" s="71">
        <f>IF(Tradingbook_MSB[[#This Row],[Quantity_edited]]=0,0,Tradingbook_MSB[[#This Row],[Cnvx.]])</f>
        <v>0</v>
      </c>
      <c r="AP281" s="71">
        <f>(Tradingbook_MSB[[#This Row],[MARKET_VALUE]]+Tradingbook_MSB[[#This Row],[Accr Int]]*Tradingbook_MSB[[#This Row],[Quantity_edited]])*(-Tradingbook_MSB[[#This Row],[Modified Duration]]*0.0001+0.5*Tradingbook_MSB[[#This Row],[Conv]]*(0.0001^2))</f>
        <v>0</v>
      </c>
      <c r="AQ281" s="72">
        <f>(Tradingbook_MSB[[#This Row],[MARKET_VALUE]]+Tradingbook_MSB[[#This Row],[Accr Int]]*Tradingbook_MSB[[#This Row],[Quantity_edited]])*(-Tradingbook_MSB[[#This Row],[Modified Duration]]*0.01+0.5*Tradingbook_MSB[[#This Row],[Conv]]*(0.01^2))</f>
        <v>0</v>
      </c>
      <c r="AR281" s="71"/>
      <c r="CL281" t="s">
        <v>166</v>
      </c>
      <c r="CM281" t="s">
        <v>167</v>
      </c>
      <c r="CN281" t="s">
        <v>466</v>
      </c>
      <c r="CO281" t="s">
        <v>169</v>
      </c>
      <c r="CP281" s="35">
        <v>44307</v>
      </c>
      <c r="CQ281" t="s">
        <v>3322</v>
      </c>
      <c r="CR281" t="s">
        <v>174</v>
      </c>
      <c r="CS281" t="s">
        <v>174</v>
      </c>
      <c r="CT281" s="49">
        <v>0</v>
      </c>
      <c r="CU281">
        <v>0</v>
      </c>
      <c r="CV281">
        <v>0</v>
      </c>
      <c r="CW281" s="70">
        <v>0</v>
      </c>
      <c r="CX281">
        <v>6.4</v>
      </c>
      <c r="CY281">
        <v>0</v>
      </c>
      <c r="CZ281">
        <v>6400000000</v>
      </c>
      <c r="DA281">
        <v>6809427555.5555611</v>
      </c>
      <c r="DB281">
        <v>-676850845.90277219</v>
      </c>
      <c r="DC281">
        <v>0</v>
      </c>
      <c r="DD281">
        <v>0</v>
      </c>
      <c r="DE281">
        <v>0</v>
      </c>
      <c r="DF281">
        <v>0</v>
      </c>
      <c r="DG281">
        <v>0</v>
      </c>
      <c r="DH281">
        <v>0</v>
      </c>
      <c r="DI281">
        <v>0</v>
      </c>
      <c r="DJ281" s="500">
        <v>1727500000</v>
      </c>
      <c r="DK281" s="500">
        <v>0</v>
      </c>
      <c r="DL281" s="37">
        <v>1727500000</v>
      </c>
      <c r="DM281" s="37">
        <v>1727500000</v>
      </c>
      <c r="DN281" s="37">
        <v>1727500000</v>
      </c>
      <c r="DO281" s="37">
        <v>1727500000</v>
      </c>
      <c r="DP281" s="32">
        <f>Tradingbook_SBV[[#This Row],[Mat. Date]]-RPT</f>
        <v>-1945</v>
      </c>
      <c r="DQ281" s="32">
        <f>IF(Tradingbook_SBV[[#This Row],[Days]]&lt;=0,0,YEARFRAC(RPT,Tradingbook_SBV[[#This Row],[Mat. Date]],3))</f>
        <v>0</v>
      </c>
      <c r="DR281" s="32">
        <f>IF(Tradingbook_SBV[[#This Row],[Days (year)]]=0,0,INDEX(Ref!$K$2:$K$13,MATCH(Tradingbook_SBV[[#This Row],[Days (year)]],Ref!$I$2:$I$13,1)))</f>
        <v>0</v>
      </c>
      <c r="DS281" s="32" t="str">
        <f>VLOOKUP(Tradingbook_SBV[[#This Row],[Security Name]],Ref!X:Z,3,0)</f>
        <v>TPCP</v>
      </c>
      <c r="DT281" s="32" t="str">
        <f>VLOOKUP(Tradingbook_SBV[[#This Row],[Security Name]],Ref!X:Y,2,0)</f>
        <v>KBNN</v>
      </c>
      <c r="DU281" s="71">
        <f>IF((Tradingbook_SBV[[#This Row],[Mat. Date]]-RPT)&lt;=0,0,Tradingbook_SBV[[#This Row],[QUANTITY]])</f>
        <v>0</v>
      </c>
      <c r="DV281" s="71">
        <f>IF(Tradingbook_SBV[[#This Row],[Quantity_edited]]=0,0,Tradingbook_SBV[[#This Row],[DURATION]])</f>
        <v>0</v>
      </c>
      <c r="DW281" s="71">
        <f>IF(Tradingbook_SBV[[#This Row],[Quantity_edited]]=0,0,Tradingbook_SBV[[#This Row],[Mod Dur]])</f>
        <v>0</v>
      </c>
      <c r="DX281" s="71">
        <f>IF(Tradingbook_SBV[[#This Row],[Quantity_edited]]=0,0,Tradingbook_SBV[[#This Row],[Cnvx.]])</f>
        <v>0</v>
      </c>
      <c r="DY281" s="71">
        <f>(Tradingbook_SBV[[#This Row],[MARKET_VALUE]]+Tradingbook_SBV[[#This Row],[Accr Int]]*Tradingbook_SBV[[#This Row],[Quantity_edited]])*(-Tradingbook_SBV[[#This Row],[Modified Duration]]*0.0001+0.5*Tradingbook_SBV[[#This Row],[Conv]]*(0.0001^2))</f>
        <v>0</v>
      </c>
      <c r="DZ281" s="71">
        <f>(Tradingbook_SBV[[#This Row],[MARKET_VALUE]]+Tradingbook_SBV[[#This Row],[Accr Int]]*Tradingbook_SBV[[#This Row],[Quantity_edited]])*(-Tradingbook_SBV[[#This Row],[Modified Duration]]*0.01+0.5*Tradingbook_SBV[[#This Row],[Conv]]*(0.01^2))</f>
        <v>0</v>
      </c>
      <c r="EC281" t="s">
        <v>166</v>
      </c>
      <c r="ED281" t="s">
        <v>3301</v>
      </c>
      <c r="EE281" t="s">
        <v>2852</v>
      </c>
      <c r="EF281" t="s">
        <v>169</v>
      </c>
      <c r="EG281" s="35" t="s">
        <v>3491</v>
      </c>
      <c r="EH281" t="s">
        <v>170</v>
      </c>
      <c r="EI281" s="500">
        <v>87596</v>
      </c>
      <c r="EJ281" s="500">
        <v>87596</v>
      </c>
      <c r="EK281" s="500">
        <v>1500000</v>
      </c>
      <c r="EL281" s="500">
        <v>150000000000</v>
      </c>
      <c r="EM281" s="500">
        <v>95199.7</v>
      </c>
      <c r="EN281" s="500">
        <v>131394000000</v>
      </c>
      <c r="EO281">
        <v>2.4</v>
      </c>
      <c r="EP281">
        <v>848</v>
      </c>
      <c r="EQ281">
        <v>4800000000</v>
      </c>
      <c r="ER281">
        <v>4955968333.333333</v>
      </c>
      <c r="ES281">
        <v>-7578134195.1389112</v>
      </c>
      <c r="ET281">
        <v>4.3389673440000003</v>
      </c>
      <c r="EU281">
        <v>6.6760721790554003</v>
      </c>
      <c r="EV281">
        <v>6.9657447699999997</v>
      </c>
      <c r="EW281">
        <v>53.747472036617097</v>
      </c>
      <c r="EX281">
        <v>71304.621252098397</v>
      </c>
      <c r="EY281">
        <v>-88568.779170656999</v>
      </c>
      <c r="EZ281">
        <v>15439.119000000001</v>
      </c>
      <c r="FA281">
        <v>27550000.000017464</v>
      </c>
      <c r="FB281">
        <v>-11405549999.999996</v>
      </c>
      <c r="FC281">
        <v>-11377999999.999979</v>
      </c>
      <c r="FD281">
        <v>-11377999999.999979</v>
      </c>
      <c r="FE281">
        <v>-11378000000</v>
      </c>
      <c r="FF281">
        <v>-11377999999.999979</v>
      </c>
      <c r="FG281" s="32">
        <f>Bankingbook_SBV[[#This Row],[Mat. Date]]-RPT</f>
        <v>2793</v>
      </c>
      <c r="FH281" s="32">
        <f>IF(Bankingbook_SBV[[#This Row],[Days]]&lt;=0,0,YEARFRAC(RPT,Bankingbook_SBV[[#This Row],[Mat. Date]],3))</f>
        <v>7.6520547945205477</v>
      </c>
      <c r="FI281" s="32" t="str">
        <f>IF(Bankingbook_SBV[[#This Row],[Days (year)]]=0,0,INDEX(Ref!$K$2:$K$13,MATCH(Bankingbook_SBV[[#This Row],[Days (year)]],Ref!$I$2:$I$13,1)))</f>
        <v>10Y</v>
      </c>
      <c r="FJ281" s="32" t="str">
        <f>VLOOKUP(Bankingbook_SBV[[#This Row],[Security Name]],Ref!X:Z,3,0)</f>
        <v>TPCP</v>
      </c>
      <c r="FK281" s="32" t="str">
        <f>VLOOKUP(Bankingbook_SBV[[#This Row],[Security Name]],Ref!X:Y,2,0)</f>
        <v>KBNN</v>
      </c>
      <c r="FL281" s="72">
        <f>IF((Bankingbook_SBV[[#This Row],[Mat. Date]]-RPT)&lt;=0,0,Bankingbook_SBV[[#This Row],[QUANTITY]])</f>
        <v>1500000</v>
      </c>
      <c r="FM281" s="32">
        <f>IF(Bankingbook_SBV[[#This Row],[Quantity_edited]]=0,0,Bankingbook_SBV[[#This Row],[DURATION]])</f>
        <v>6.9657447699999997</v>
      </c>
      <c r="FN281" s="32">
        <f>IF(Bankingbook_SBV[[#This Row],[Quantity_edited]]=0,0,Bankingbook_SBV[[#This Row],[Mod Dur]])</f>
        <v>6.6760721790554003</v>
      </c>
      <c r="FO281" s="32">
        <f>IF(Bankingbook_SBV[[#This Row],[Quantity_edited]]=0,0,Bankingbook_SBV[[#This Row],[Cnvx.]])</f>
        <v>53.747472036617097</v>
      </c>
      <c r="FP281" s="32">
        <f>(Bankingbook_SBV[[#This Row],[MARKET_VALUE]]+Bankingbook_SBV[[#This Row],[Accr Int]]*Bankingbook_SBV[[#This Row],[Quantity_edited]])*(-Bankingbook_SBV[[#This Row],[Modified Duration]]*0.0001+0.5*Bankingbook_SBV[[#This Row],[Conv]]*(0.0001^2))</f>
        <v>-88533126.860030323</v>
      </c>
      <c r="FQ281" s="32">
        <f>(Bankingbook_SBV[[#This Row],[MARKET_VALUE]]+Bankingbook_SBV[[#This Row],[Accr Int]]*Bankingbook_SBV[[#This Row],[Quantity_edited]])*(-Bankingbook_SBV[[#This Row],[Modified Duration]]*0.01+0.5*Bankingbook_SBV[[#This Row],[Conv]]*(0.01^2))</f>
        <v>-8500354810.8051453</v>
      </c>
    </row>
    <row r="282" spans="2:173" x14ac:dyDescent="0.3">
      <c r="B282" t="s">
        <v>166</v>
      </c>
      <c r="C282" t="s">
        <v>167</v>
      </c>
      <c r="D282" t="s">
        <v>467</v>
      </c>
      <c r="E282" t="s">
        <v>169</v>
      </c>
      <c r="F282" s="502">
        <v>44312</v>
      </c>
      <c r="G282" t="s">
        <v>3322</v>
      </c>
      <c r="H282"/>
      <c r="I282"/>
      <c r="J282" s="38">
        <v>0</v>
      </c>
      <c r="K282">
        <v>0</v>
      </c>
      <c r="L282">
        <v>0</v>
      </c>
      <c r="M282" s="38">
        <v>0</v>
      </c>
      <c r="N282">
        <v>12</v>
      </c>
      <c r="O282">
        <v>0</v>
      </c>
      <c r="P282" s="37">
        <v>0</v>
      </c>
      <c r="Q282" s="37">
        <v>0</v>
      </c>
      <c r="R282" s="37">
        <v>-4471981.6666669846</v>
      </c>
      <c r="S282">
        <v>0</v>
      </c>
      <c r="T282" s="70">
        <v>0</v>
      </c>
      <c r="U282">
        <v>0</v>
      </c>
      <c r="V282">
        <v>0</v>
      </c>
      <c r="W282">
        <v>0</v>
      </c>
      <c r="X282" s="38">
        <v>0</v>
      </c>
      <c r="Y282">
        <v>0</v>
      </c>
      <c r="Z282" s="70">
        <v>-4500000</v>
      </c>
      <c r="AA282" s="70">
        <v>0</v>
      </c>
      <c r="AB282" s="70">
        <v>-4500000</v>
      </c>
      <c r="AC282" s="70">
        <v>-4500000</v>
      </c>
      <c r="AD282" s="70">
        <v>-4500000</v>
      </c>
      <c r="AE282" s="70">
        <v>-4500000</v>
      </c>
      <c r="AF282">
        <v>0</v>
      </c>
      <c r="AG282" s="72">
        <f>Tradingbook_MSB[[#This Row],[Mat. Date]]-RPT</f>
        <v>-1940</v>
      </c>
      <c r="AH282" s="71">
        <f>IF(Tradingbook_MSB[[#This Row],[Days]]&lt;=0,0,YEARFRAC(RPT,Tradingbook_MSB[[#This Row],[Mat. Date]],3))</f>
        <v>0</v>
      </c>
      <c r="AI282" s="71">
        <f>IF(Tradingbook_MSB[[#This Row],[Days (year)]]=0,0,INDEX(Ref!$K$2:$K$13,MATCH(Tradingbook_MSB[[#This Row],[Days (year)]],Ref!$I$2:$I$13,1)))</f>
        <v>0</v>
      </c>
      <c r="AJ282" s="120" t="str">
        <f>VLOOKUP(Tradingbook_MSB[[#This Row],[Security Name]],Ref!X:Z,3,0)</f>
        <v>TPCPBL</v>
      </c>
      <c r="AK282" s="120" t="str">
        <f>VLOOKUP(Tradingbook_MSB[[#This Row],[Security Name]],Ref!X:Y,2,0)</f>
        <v>VDB</v>
      </c>
      <c r="AL282" s="71">
        <f>IF((Tradingbook_MSB[[#This Row],[Mat. Date]]-RPT)&lt;=0,0,Tradingbook_MSB[[#This Row],[QUANTITY]])</f>
        <v>0</v>
      </c>
      <c r="AM282" s="71">
        <f>IF(Tradingbook_MSB[[#This Row],[Quantity_edited]]=0,0,Tradingbook_MSB[[#This Row],[DURATION]])</f>
        <v>0</v>
      </c>
      <c r="AN282" s="71">
        <f>IF(Tradingbook_MSB[[#This Row],[Quantity_edited]]=0,0,Tradingbook_MSB[[#This Row],[Mod Dur]])</f>
        <v>0</v>
      </c>
      <c r="AO282" s="71">
        <f>IF(Tradingbook_MSB[[#This Row],[Quantity_edited]]=0,0,Tradingbook_MSB[[#This Row],[Cnvx.]])</f>
        <v>0</v>
      </c>
      <c r="AP282" s="71">
        <f>(Tradingbook_MSB[[#This Row],[MARKET_VALUE]]+Tradingbook_MSB[[#This Row],[Accr Int]]*Tradingbook_MSB[[#This Row],[Quantity_edited]])*(-Tradingbook_MSB[[#This Row],[Modified Duration]]*0.0001+0.5*Tradingbook_MSB[[#This Row],[Conv]]*(0.0001^2))</f>
        <v>0</v>
      </c>
      <c r="AQ282" s="72">
        <f>(Tradingbook_MSB[[#This Row],[MARKET_VALUE]]+Tradingbook_MSB[[#This Row],[Accr Int]]*Tradingbook_MSB[[#This Row],[Quantity_edited]])*(-Tradingbook_MSB[[#This Row],[Modified Duration]]*0.01+0.5*Tradingbook_MSB[[#This Row],[Conv]]*(0.01^2))</f>
        <v>0</v>
      </c>
      <c r="AR282" s="71"/>
      <c r="CL282" t="s">
        <v>166</v>
      </c>
      <c r="CM282" t="s">
        <v>167</v>
      </c>
      <c r="CN282" t="s">
        <v>468</v>
      </c>
      <c r="CO282" t="s">
        <v>169</v>
      </c>
      <c r="CP282" s="35">
        <v>44314</v>
      </c>
      <c r="CQ282" t="s">
        <v>3322</v>
      </c>
      <c r="CR282" t="s">
        <v>174</v>
      </c>
      <c r="CS282" t="s">
        <v>174</v>
      </c>
      <c r="CT282" s="49">
        <v>0</v>
      </c>
      <c r="CU282">
        <v>0</v>
      </c>
      <c r="CV282">
        <v>0</v>
      </c>
      <c r="CW282" s="70">
        <v>0</v>
      </c>
      <c r="CX282">
        <v>6.3</v>
      </c>
      <c r="CY282">
        <v>0</v>
      </c>
      <c r="CZ282">
        <v>9450000000</v>
      </c>
      <c r="DA282">
        <v>9865709437.4999886</v>
      </c>
      <c r="DB282">
        <v>-1164161844.02777</v>
      </c>
      <c r="DC282">
        <v>0</v>
      </c>
      <c r="DD282">
        <v>0</v>
      </c>
      <c r="DE282">
        <v>0</v>
      </c>
      <c r="DF282">
        <v>0</v>
      </c>
      <c r="DG282">
        <v>0</v>
      </c>
      <c r="DH282">
        <v>0</v>
      </c>
      <c r="DI282">
        <v>0</v>
      </c>
      <c r="DJ282" s="500">
        <v>-198000000</v>
      </c>
      <c r="DK282" s="500">
        <v>0</v>
      </c>
      <c r="DL282" s="37">
        <v>-198000000</v>
      </c>
      <c r="DM282" s="37">
        <v>-198000000</v>
      </c>
      <c r="DN282" s="37">
        <v>-198000000</v>
      </c>
      <c r="DO282" s="37">
        <v>-198000000</v>
      </c>
      <c r="DP282" s="32">
        <f>Tradingbook_SBV[[#This Row],[Mat. Date]]-RPT</f>
        <v>-1938</v>
      </c>
      <c r="DQ282" s="32">
        <f>IF(Tradingbook_SBV[[#This Row],[Days]]&lt;=0,0,YEARFRAC(RPT,Tradingbook_SBV[[#This Row],[Mat. Date]],3))</f>
        <v>0</v>
      </c>
      <c r="DR282" s="32">
        <f>IF(Tradingbook_SBV[[#This Row],[Days (year)]]=0,0,INDEX(Ref!$K$2:$K$13,MATCH(Tradingbook_SBV[[#This Row],[Days (year)]],Ref!$I$2:$I$13,1)))</f>
        <v>0</v>
      </c>
      <c r="DS282" s="32" t="str">
        <f>VLOOKUP(Tradingbook_SBV[[#This Row],[Security Name]],Ref!X:Z,3,0)</f>
        <v>TPCP</v>
      </c>
      <c r="DT282" s="32" t="str">
        <f>VLOOKUP(Tradingbook_SBV[[#This Row],[Security Name]],Ref!X:Y,2,0)</f>
        <v>KBNN</v>
      </c>
      <c r="DU282" s="71">
        <f>IF((Tradingbook_SBV[[#This Row],[Mat. Date]]-RPT)&lt;=0,0,Tradingbook_SBV[[#This Row],[QUANTITY]])</f>
        <v>0</v>
      </c>
      <c r="DV282" s="71">
        <f>IF(Tradingbook_SBV[[#This Row],[Quantity_edited]]=0,0,Tradingbook_SBV[[#This Row],[DURATION]])</f>
        <v>0</v>
      </c>
      <c r="DW282" s="71">
        <f>IF(Tradingbook_SBV[[#This Row],[Quantity_edited]]=0,0,Tradingbook_SBV[[#This Row],[Mod Dur]])</f>
        <v>0</v>
      </c>
      <c r="DX282" s="71">
        <f>IF(Tradingbook_SBV[[#This Row],[Quantity_edited]]=0,0,Tradingbook_SBV[[#This Row],[Cnvx.]])</f>
        <v>0</v>
      </c>
      <c r="DY282" s="71">
        <f>(Tradingbook_SBV[[#This Row],[MARKET_VALUE]]+Tradingbook_SBV[[#This Row],[Accr Int]]*Tradingbook_SBV[[#This Row],[Quantity_edited]])*(-Tradingbook_SBV[[#This Row],[Modified Duration]]*0.0001+0.5*Tradingbook_SBV[[#This Row],[Conv]]*(0.0001^2))</f>
        <v>0</v>
      </c>
      <c r="DZ282" s="71">
        <f>(Tradingbook_SBV[[#This Row],[MARKET_VALUE]]+Tradingbook_SBV[[#This Row],[Accr Int]]*Tradingbook_SBV[[#This Row],[Quantity_edited]])*(-Tradingbook_SBV[[#This Row],[Modified Duration]]*0.01+0.5*Tradingbook_SBV[[#This Row],[Conv]]*(0.01^2))</f>
        <v>0</v>
      </c>
      <c r="EC282" t="s">
        <v>166</v>
      </c>
      <c r="ED282" t="s">
        <v>3301</v>
      </c>
      <c r="EE282" t="s">
        <v>668</v>
      </c>
      <c r="EF282" t="s">
        <v>169</v>
      </c>
      <c r="EG282" s="35" t="s">
        <v>3452</v>
      </c>
      <c r="EH282" t="s">
        <v>170</v>
      </c>
      <c r="EI282" s="500">
        <v>104228</v>
      </c>
      <c r="EJ282" s="500">
        <v>104228</v>
      </c>
      <c r="EK282" s="500">
        <v>2500000</v>
      </c>
      <c r="EL282" s="500">
        <v>250000000000</v>
      </c>
      <c r="EM282" s="500">
        <v>114189.113</v>
      </c>
      <c r="EN282" s="500">
        <v>260570000000</v>
      </c>
      <c r="EO282">
        <v>5</v>
      </c>
      <c r="EP282">
        <v>1096</v>
      </c>
      <c r="EQ282">
        <v>67500000000</v>
      </c>
      <c r="ER282">
        <v>74208554166.666687</v>
      </c>
      <c r="ES282">
        <v>-46345579971.138626</v>
      </c>
      <c r="ET282">
        <v>4.3451645149999996</v>
      </c>
      <c r="EU282">
        <v>6.3220052127777997</v>
      </c>
      <c r="EV282">
        <v>6.5967067400000001</v>
      </c>
      <c r="EW282">
        <v>50.312203828647803</v>
      </c>
      <c r="EX282">
        <v>132477.06390121239</v>
      </c>
      <c r="EY282">
        <v>-166464.719257652</v>
      </c>
      <c r="EZ282">
        <v>30685.776000000002</v>
      </c>
      <c r="FA282">
        <v>-67089517453.505547</v>
      </c>
      <c r="FB282">
        <v>-24902782546.494999</v>
      </c>
      <c r="FC282">
        <v>-91992300000.000549</v>
      </c>
      <c r="FD282">
        <v>-91992300000.000549</v>
      </c>
      <c r="FE282">
        <v>-91992300000.001007</v>
      </c>
      <c r="FF282">
        <v>-91992300000.000549</v>
      </c>
      <c r="FG282" s="32">
        <f>Bankingbook_SBV[[#This Row],[Mat. Date]]-RPT</f>
        <v>2842</v>
      </c>
      <c r="FH282" s="32">
        <f>IF(Bankingbook_SBV[[#This Row],[Days]]&lt;=0,0,YEARFRAC(RPT,Bankingbook_SBV[[#This Row],[Mat. Date]],3))</f>
        <v>7.7863013698630139</v>
      </c>
      <c r="FI282" s="32" t="str">
        <f>IF(Bankingbook_SBV[[#This Row],[Days (year)]]=0,0,INDEX(Ref!$K$2:$K$13,MATCH(Bankingbook_SBV[[#This Row],[Days (year)]],Ref!$I$2:$I$13,1)))</f>
        <v>10Y</v>
      </c>
      <c r="FJ282" s="32" t="str">
        <f>VLOOKUP(Bankingbook_SBV[[#This Row],[Security Name]],Ref!X:Z,3,0)</f>
        <v>TPCP</v>
      </c>
      <c r="FK282" s="32" t="str">
        <f>VLOOKUP(Bankingbook_SBV[[#This Row],[Security Name]],Ref!X:Y,2,0)</f>
        <v>KBNN</v>
      </c>
      <c r="FL282" s="72">
        <f>IF((Bankingbook_SBV[[#This Row],[Mat. Date]]-RPT)&lt;=0,0,Bankingbook_SBV[[#This Row],[QUANTITY]])</f>
        <v>2500000</v>
      </c>
      <c r="FM282" s="32">
        <f>IF(Bankingbook_SBV[[#This Row],[Quantity_edited]]=0,0,Bankingbook_SBV[[#This Row],[DURATION]])</f>
        <v>6.5967067400000001</v>
      </c>
      <c r="FN282" s="32">
        <f>IF(Bankingbook_SBV[[#This Row],[Quantity_edited]]=0,0,Bankingbook_SBV[[#This Row],[Mod Dur]])</f>
        <v>6.3220052127777997</v>
      </c>
      <c r="FO282" s="32">
        <f>IF(Bankingbook_SBV[[#This Row],[Quantity_edited]]=0,0,Bankingbook_SBV[[#This Row],[Cnvx.]])</f>
        <v>50.312203828647803</v>
      </c>
      <c r="FP282" s="32">
        <f>(Bankingbook_SBV[[#This Row],[MARKET_VALUE]]+Bankingbook_SBV[[#This Row],[Accr Int]]*Bankingbook_SBV[[#This Row],[Quantity_edited]])*(-Bankingbook_SBV[[#This Row],[Modified Duration]]*0.0001+0.5*Bankingbook_SBV[[#This Row],[Conv]]*(0.0001^2))</f>
        <v>-166398480.72570166</v>
      </c>
      <c r="FQ282" s="32">
        <f>(Bankingbook_SBV[[#This Row],[MARKET_VALUE]]+Bankingbook_SBV[[#This Row],[Accr Int]]*Bankingbook_SBV[[#This Row],[Quantity_edited]])*(-Bankingbook_SBV[[#This Row],[Modified Duration]]*0.01+0.5*Bankingbook_SBV[[#This Row],[Conv]]*(0.01^2))</f>
        <v>-15984086606.259161</v>
      </c>
    </row>
    <row r="283" spans="2:173" x14ac:dyDescent="0.3">
      <c r="B283" t="s">
        <v>166</v>
      </c>
      <c r="C283" t="s">
        <v>167</v>
      </c>
      <c r="D283" t="s">
        <v>468</v>
      </c>
      <c r="E283" t="s">
        <v>169</v>
      </c>
      <c r="F283" s="502">
        <v>44314</v>
      </c>
      <c r="G283" t="s">
        <v>3322</v>
      </c>
      <c r="H283"/>
      <c r="I283"/>
      <c r="J283" s="38">
        <v>0</v>
      </c>
      <c r="K283">
        <v>0</v>
      </c>
      <c r="L283">
        <v>0</v>
      </c>
      <c r="M283" s="38">
        <v>0</v>
      </c>
      <c r="N283">
        <v>6.3</v>
      </c>
      <c r="O283">
        <v>0</v>
      </c>
      <c r="P283" s="37">
        <v>9450000000</v>
      </c>
      <c r="Q283" s="37">
        <v>9865709437.4999886</v>
      </c>
      <c r="R283" s="37">
        <v>-1164161844.02777</v>
      </c>
      <c r="S283">
        <v>0</v>
      </c>
      <c r="T283" s="70">
        <v>0</v>
      </c>
      <c r="U283">
        <v>0</v>
      </c>
      <c r="V283">
        <v>0</v>
      </c>
      <c r="W283">
        <v>0</v>
      </c>
      <c r="X283" s="38">
        <v>0</v>
      </c>
      <c r="Y283">
        <v>0</v>
      </c>
      <c r="Z283" s="70">
        <v>-198000000</v>
      </c>
      <c r="AA283" s="70">
        <v>0</v>
      </c>
      <c r="AB283" s="70">
        <v>-198000000</v>
      </c>
      <c r="AC283" s="70">
        <v>-198000000</v>
      </c>
      <c r="AD283" s="70">
        <v>-198000000</v>
      </c>
      <c r="AE283" s="70">
        <v>-198000000</v>
      </c>
      <c r="AF283">
        <v>0</v>
      </c>
      <c r="AG283" s="72">
        <f>Tradingbook_MSB[[#This Row],[Mat. Date]]-RPT</f>
        <v>-1938</v>
      </c>
      <c r="AH283" s="71">
        <f>IF(Tradingbook_MSB[[#This Row],[Days]]&lt;=0,0,YEARFRAC(RPT,Tradingbook_MSB[[#This Row],[Mat. Date]],3))</f>
        <v>0</v>
      </c>
      <c r="AI283" s="71">
        <f>IF(Tradingbook_MSB[[#This Row],[Days (year)]]=0,0,INDEX(Ref!$K$2:$K$13,MATCH(Tradingbook_MSB[[#This Row],[Days (year)]],Ref!$I$2:$I$13,1)))</f>
        <v>0</v>
      </c>
      <c r="AJ283" s="120" t="str">
        <f>VLOOKUP(Tradingbook_MSB[[#This Row],[Security Name]],Ref!X:Z,3,0)</f>
        <v>TPCP</v>
      </c>
      <c r="AK283" s="120" t="str">
        <f>VLOOKUP(Tradingbook_MSB[[#This Row],[Security Name]],Ref!X:Y,2,0)</f>
        <v>KBNN</v>
      </c>
      <c r="AL283" s="71">
        <f>IF((Tradingbook_MSB[[#This Row],[Mat. Date]]-RPT)&lt;=0,0,Tradingbook_MSB[[#This Row],[QUANTITY]])</f>
        <v>0</v>
      </c>
      <c r="AM283" s="71">
        <f>IF(Tradingbook_MSB[[#This Row],[Quantity_edited]]=0,0,Tradingbook_MSB[[#This Row],[DURATION]])</f>
        <v>0</v>
      </c>
      <c r="AN283" s="71">
        <f>IF(Tradingbook_MSB[[#This Row],[Quantity_edited]]=0,0,Tradingbook_MSB[[#This Row],[Mod Dur]])</f>
        <v>0</v>
      </c>
      <c r="AO283" s="71">
        <f>IF(Tradingbook_MSB[[#This Row],[Quantity_edited]]=0,0,Tradingbook_MSB[[#This Row],[Cnvx.]])</f>
        <v>0</v>
      </c>
      <c r="AP283" s="71">
        <f>(Tradingbook_MSB[[#This Row],[MARKET_VALUE]]+Tradingbook_MSB[[#This Row],[Accr Int]]*Tradingbook_MSB[[#This Row],[Quantity_edited]])*(-Tradingbook_MSB[[#This Row],[Modified Duration]]*0.0001+0.5*Tradingbook_MSB[[#This Row],[Conv]]*(0.0001^2))</f>
        <v>0</v>
      </c>
      <c r="AQ283" s="72">
        <f>(Tradingbook_MSB[[#This Row],[MARKET_VALUE]]+Tradingbook_MSB[[#This Row],[Accr Int]]*Tradingbook_MSB[[#This Row],[Quantity_edited]])*(-Tradingbook_MSB[[#This Row],[Modified Duration]]*0.01+0.5*Tradingbook_MSB[[#This Row],[Conv]]*(0.01^2))</f>
        <v>0</v>
      </c>
      <c r="AR283" s="71"/>
      <c r="CL283" t="s">
        <v>166</v>
      </c>
      <c r="CM283" t="s">
        <v>167</v>
      </c>
      <c r="CN283" t="s">
        <v>469</v>
      </c>
      <c r="CO283" t="s">
        <v>169</v>
      </c>
      <c r="CP283" s="35">
        <v>44321</v>
      </c>
      <c r="CQ283" t="s">
        <v>3322</v>
      </c>
      <c r="CR283" t="s">
        <v>174</v>
      </c>
      <c r="CS283" t="s">
        <v>174</v>
      </c>
      <c r="CT283" s="49">
        <v>0</v>
      </c>
      <c r="CU283">
        <v>0</v>
      </c>
      <c r="CV283">
        <v>0</v>
      </c>
      <c r="CW283" s="70">
        <v>0</v>
      </c>
      <c r="CX283">
        <v>6.3</v>
      </c>
      <c r="CY283">
        <v>0</v>
      </c>
      <c r="CZ283">
        <v>3150000000</v>
      </c>
      <c r="DA283">
        <v>3350749499.9999771</v>
      </c>
      <c r="DB283">
        <v>-1426135412.5555449</v>
      </c>
      <c r="DC283">
        <v>0</v>
      </c>
      <c r="DD283">
        <v>0</v>
      </c>
      <c r="DE283">
        <v>0</v>
      </c>
      <c r="DF283">
        <v>0</v>
      </c>
      <c r="DG283">
        <v>0</v>
      </c>
      <c r="DH283">
        <v>0</v>
      </c>
      <c r="DI283">
        <v>0</v>
      </c>
      <c r="DJ283" s="500">
        <v>-231760000</v>
      </c>
      <c r="DK283" s="500">
        <v>0</v>
      </c>
      <c r="DL283" s="37">
        <v>-231760000</v>
      </c>
      <c r="DM283" s="37">
        <v>-231760000</v>
      </c>
      <c r="DN283" s="37">
        <v>-231760000</v>
      </c>
      <c r="DO283" s="37">
        <v>-231760000</v>
      </c>
      <c r="DP283" s="32">
        <f>Tradingbook_SBV[[#This Row],[Mat. Date]]-RPT</f>
        <v>-1931</v>
      </c>
      <c r="DQ283" s="32">
        <f>IF(Tradingbook_SBV[[#This Row],[Days]]&lt;=0,0,YEARFRAC(RPT,Tradingbook_SBV[[#This Row],[Mat. Date]],3))</f>
        <v>0</v>
      </c>
      <c r="DR283" s="32">
        <f>IF(Tradingbook_SBV[[#This Row],[Days (year)]]=0,0,INDEX(Ref!$K$2:$K$13,MATCH(Tradingbook_SBV[[#This Row],[Days (year)]],Ref!$I$2:$I$13,1)))</f>
        <v>0</v>
      </c>
      <c r="DS283" s="32" t="str">
        <f>VLOOKUP(Tradingbook_SBV[[#This Row],[Security Name]],Ref!X:Z,3,0)</f>
        <v>TPCP</v>
      </c>
      <c r="DT283" s="32" t="str">
        <f>VLOOKUP(Tradingbook_SBV[[#This Row],[Security Name]],Ref!X:Y,2,0)</f>
        <v>KBNN</v>
      </c>
      <c r="DU283" s="71">
        <f>IF((Tradingbook_SBV[[#This Row],[Mat. Date]]-RPT)&lt;=0,0,Tradingbook_SBV[[#This Row],[QUANTITY]])</f>
        <v>0</v>
      </c>
      <c r="DV283" s="71">
        <f>IF(Tradingbook_SBV[[#This Row],[Quantity_edited]]=0,0,Tradingbook_SBV[[#This Row],[DURATION]])</f>
        <v>0</v>
      </c>
      <c r="DW283" s="71">
        <f>IF(Tradingbook_SBV[[#This Row],[Quantity_edited]]=0,0,Tradingbook_SBV[[#This Row],[Mod Dur]])</f>
        <v>0</v>
      </c>
      <c r="DX283" s="71">
        <f>IF(Tradingbook_SBV[[#This Row],[Quantity_edited]]=0,0,Tradingbook_SBV[[#This Row],[Cnvx.]])</f>
        <v>0</v>
      </c>
      <c r="DY283" s="71">
        <f>(Tradingbook_SBV[[#This Row],[MARKET_VALUE]]+Tradingbook_SBV[[#This Row],[Accr Int]]*Tradingbook_SBV[[#This Row],[Quantity_edited]])*(-Tradingbook_SBV[[#This Row],[Modified Duration]]*0.0001+0.5*Tradingbook_SBV[[#This Row],[Conv]]*(0.0001^2))</f>
        <v>0</v>
      </c>
      <c r="DZ283" s="71">
        <f>(Tradingbook_SBV[[#This Row],[MARKET_VALUE]]+Tradingbook_SBV[[#This Row],[Accr Int]]*Tradingbook_SBV[[#This Row],[Quantity_edited]])*(-Tradingbook_SBV[[#This Row],[Modified Duration]]*0.01+0.5*Tradingbook_SBV[[#This Row],[Conv]]*(0.01^2))</f>
        <v>0</v>
      </c>
      <c r="EC283" t="s">
        <v>166</v>
      </c>
      <c r="ED283" t="s">
        <v>3301</v>
      </c>
      <c r="EE283" t="s">
        <v>669</v>
      </c>
      <c r="EF283" t="s">
        <v>169</v>
      </c>
      <c r="EG283" s="35" t="s">
        <v>3453</v>
      </c>
      <c r="EH283" t="s">
        <v>170</v>
      </c>
      <c r="EI283" s="500">
        <v>101627</v>
      </c>
      <c r="EJ283" s="500">
        <v>101627</v>
      </c>
      <c r="EK283" s="500">
        <v>3500000</v>
      </c>
      <c r="EL283" s="500">
        <v>350000000000</v>
      </c>
      <c r="EM283" s="500">
        <v>112711.20699999999</v>
      </c>
      <c r="EN283" s="500">
        <v>355694500000</v>
      </c>
      <c r="EO283">
        <v>4.5999999999999996</v>
      </c>
      <c r="EP283">
        <v>302</v>
      </c>
      <c r="EQ283">
        <v>57500000000</v>
      </c>
      <c r="ER283">
        <v>61548383652.777802</v>
      </c>
      <c r="ES283">
        <v>-46153528535.222168</v>
      </c>
      <c r="ET283">
        <v>4.3522751990000001</v>
      </c>
      <c r="EU283">
        <v>6.5318287642229</v>
      </c>
      <c r="EV283">
        <v>6.8161119299999999</v>
      </c>
      <c r="EW283">
        <v>53.038493299621301</v>
      </c>
      <c r="EX283">
        <v>189215.62042379851</v>
      </c>
      <c r="EY283">
        <v>-233023.970937965</v>
      </c>
      <c r="EZ283">
        <v>41641.928</v>
      </c>
      <c r="FA283">
        <v>-30326384341.351841</v>
      </c>
      <c r="FB283">
        <v>-38794725658.648354</v>
      </c>
      <c r="FC283">
        <v>-69121110000.000198</v>
      </c>
      <c r="FD283">
        <v>-69121110000.000198</v>
      </c>
      <c r="FE283">
        <v>-69121110000</v>
      </c>
      <c r="FF283">
        <v>-69121110000.000198</v>
      </c>
      <c r="FG283" s="32">
        <f>Bankingbook_SBV[[#This Row],[Mat. Date]]-RPT</f>
        <v>2898</v>
      </c>
      <c r="FH283" s="32">
        <f>IF(Bankingbook_SBV[[#This Row],[Days]]&lt;=0,0,YEARFRAC(RPT,Bankingbook_SBV[[#This Row],[Mat. Date]],3))</f>
        <v>7.9397260273972599</v>
      </c>
      <c r="FI283" s="32" t="str">
        <f>IF(Bankingbook_SBV[[#This Row],[Days (year)]]=0,0,INDEX(Ref!$K$2:$K$13,MATCH(Bankingbook_SBV[[#This Row],[Days (year)]],Ref!$I$2:$I$13,1)))</f>
        <v>10Y</v>
      </c>
      <c r="FJ283" s="32" t="str">
        <f>VLOOKUP(Bankingbook_SBV[[#This Row],[Security Name]],Ref!X:Z,3,0)</f>
        <v>TPCP</v>
      </c>
      <c r="FK283" s="32" t="str">
        <f>VLOOKUP(Bankingbook_SBV[[#This Row],[Security Name]],Ref!X:Y,2,0)</f>
        <v>KBNN</v>
      </c>
      <c r="FL283" s="72">
        <f>IF((Bankingbook_SBV[[#This Row],[Mat. Date]]-RPT)&lt;=0,0,Bankingbook_SBV[[#This Row],[QUANTITY]])</f>
        <v>3500000</v>
      </c>
      <c r="FM283" s="32">
        <f>IF(Bankingbook_SBV[[#This Row],[Quantity_edited]]=0,0,Bankingbook_SBV[[#This Row],[DURATION]])</f>
        <v>6.8161119299999999</v>
      </c>
      <c r="FN283" s="32">
        <f>IF(Bankingbook_SBV[[#This Row],[Quantity_edited]]=0,0,Bankingbook_SBV[[#This Row],[Mod Dur]])</f>
        <v>6.5318287642229</v>
      </c>
      <c r="FO283" s="32">
        <f>IF(Bankingbook_SBV[[#This Row],[Quantity_edited]]=0,0,Bankingbook_SBV[[#This Row],[Cnvx.]])</f>
        <v>53.038493299621301</v>
      </c>
      <c r="FP283" s="32">
        <f>(Bankingbook_SBV[[#This Row],[MARKET_VALUE]]+Bankingbook_SBV[[#This Row],[Accr Int]]*Bankingbook_SBV[[#This Row],[Quantity_edited]])*(-Bankingbook_SBV[[#This Row],[Modified Duration]]*0.0001+0.5*Bankingbook_SBV[[#This Row],[Conv]]*(0.0001^2))</f>
        <v>-232929363.12775472</v>
      </c>
      <c r="FQ283" s="32">
        <f>(Bankingbook_SBV[[#This Row],[MARKET_VALUE]]+Bankingbook_SBV[[#This Row],[Accr Int]]*Bankingbook_SBV[[#This Row],[Quantity_edited]])*(-Bankingbook_SBV[[#This Row],[Modified Duration]]*0.01+0.5*Bankingbook_SBV[[#This Row],[Conv]]*(0.01^2))</f>
        <v>-22356318991.677662</v>
      </c>
    </row>
    <row r="284" spans="2:173" x14ac:dyDescent="0.3">
      <c r="B284" t="s">
        <v>166</v>
      </c>
      <c r="C284" t="s">
        <v>167</v>
      </c>
      <c r="D284" t="s">
        <v>469</v>
      </c>
      <c r="E284" t="s">
        <v>169</v>
      </c>
      <c r="F284" s="502">
        <v>44321</v>
      </c>
      <c r="G284" t="s">
        <v>3322</v>
      </c>
      <c r="H284"/>
      <c r="I284"/>
      <c r="J284" s="38">
        <v>0</v>
      </c>
      <c r="K284">
        <v>0</v>
      </c>
      <c r="L284">
        <v>0</v>
      </c>
      <c r="M284" s="38">
        <v>0</v>
      </c>
      <c r="N284">
        <v>6.3</v>
      </c>
      <c r="O284">
        <v>0</v>
      </c>
      <c r="P284" s="37">
        <v>3150000000</v>
      </c>
      <c r="Q284" s="37">
        <v>3350749499.9999771</v>
      </c>
      <c r="R284" s="37">
        <v>-1426135412.5555449</v>
      </c>
      <c r="S284">
        <v>0</v>
      </c>
      <c r="T284" s="70">
        <v>0</v>
      </c>
      <c r="U284">
        <v>0</v>
      </c>
      <c r="V284">
        <v>0</v>
      </c>
      <c r="W284">
        <v>0</v>
      </c>
      <c r="X284" s="38">
        <v>0</v>
      </c>
      <c r="Y284">
        <v>0</v>
      </c>
      <c r="Z284" s="70">
        <v>-231760000</v>
      </c>
      <c r="AA284" s="70">
        <v>0</v>
      </c>
      <c r="AB284" s="70">
        <v>-231760000</v>
      </c>
      <c r="AC284" s="70">
        <v>-231760000</v>
      </c>
      <c r="AD284" s="70">
        <v>-231760000</v>
      </c>
      <c r="AE284" s="70">
        <v>-231760000</v>
      </c>
      <c r="AF284">
        <v>0</v>
      </c>
      <c r="AG284" s="72">
        <f>Tradingbook_MSB[[#This Row],[Mat. Date]]-RPT</f>
        <v>-1931</v>
      </c>
      <c r="AH284" s="71">
        <f>IF(Tradingbook_MSB[[#This Row],[Days]]&lt;=0,0,YEARFRAC(RPT,Tradingbook_MSB[[#This Row],[Mat. Date]],3))</f>
        <v>0</v>
      </c>
      <c r="AI284" s="71">
        <f>IF(Tradingbook_MSB[[#This Row],[Days (year)]]=0,0,INDEX(Ref!$K$2:$K$13,MATCH(Tradingbook_MSB[[#This Row],[Days (year)]],Ref!$I$2:$I$13,1)))</f>
        <v>0</v>
      </c>
      <c r="AJ284" s="120" t="str">
        <f>VLOOKUP(Tradingbook_MSB[[#This Row],[Security Name]],Ref!X:Z,3,0)</f>
        <v>TPCP</v>
      </c>
      <c r="AK284" s="120" t="str">
        <f>VLOOKUP(Tradingbook_MSB[[#This Row],[Security Name]],Ref!X:Y,2,0)</f>
        <v>KBNN</v>
      </c>
      <c r="AL284" s="71">
        <f>IF((Tradingbook_MSB[[#This Row],[Mat. Date]]-RPT)&lt;=0,0,Tradingbook_MSB[[#This Row],[QUANTITY]])</f>
        <v>0</v>
      </c>
      <c r="AM284" s="71">
        <f>IF(Tradingbook_MSB[[#This Row],[Quantity_edited]]=0,0,Tradingbook_MSB[[#This Row],[DURATION]])</f>
        <v>0</v>
      </c>
      <c r="AN284" s="71">
        <f>IF(Tradingbook_MSB[[#This Row],[Quantity_edited]]=0,0,Tradingbook_MSB[[#This Row],[Mod Dur]])</f>
        <v>0</v>
      </c>
      <c r="AO284" s="71">
        <f>IF(Tradingbook_MSB[[#This Row],[Quantity_edited]]=0,0,Tradingbook_MSB[[#This Row],[Cnvx.]])</f>
        <v>0</v>
      </c>
      <c r="AP284" s="71">
        <f>(Tradingbook_MSB[[#This Row],[MARKET_VALUE]]+Tradingbook_MSB[[#This Row],[Accr Int]]*Tradingbook_MSB[[#This Row],[Quantity_edited]])*(-Tradingbook_MSB[[#This Row],[Modified Duration]]*0.0001+0.5*Tradingbook_MSB[[#This Row],[Conv]]*(0.0001^2))</f>
        <v>0</v>
      </c>
      <c r="AQ284" s="72">
        <f>(Tradingbook_MSB[[#This Row],[MARKET_VALUE]]+Tradingbook_MSB[[#This Row],[Accr Int]]*Tradingbook_MSB[[#This Row],[Quantity_edited]])*(-Tradingbook_MSB[[#This Row],[Modified Duration]]*0.01+0.5*Tradingbook_MSB[[#This Row],[Conv]]*(0.01^2))</f>
        <v>0</v>
      </c>
      <c r="AR284" s="71"/>
      <c r="CL284" t="s">
        <v>166</v>
      </c>
      <c r="CM284" t="s">
        <v>167</v>
      </c>
      <c r="CN284" t="s">
        <v>470</v>
      </c>
      <c r="CO284" t="s">
        <v>169</v>
      </c>
      <c r="CP284" s="35">
        <v>44328</v>
      </c>
      <c r="CQ284" t="s">
        <v>3322</v>
      </c>
      <c r="CR284" t="s">
        <v>174</v>
      </c>
      <c r="CS284" t="s">
        <v>174</v>
      </c>
      <c r="CT284" s="49">
        <v>0</v>
      </c>
      <c r="CU284">
        <v>0</v>
      </c>
      <c r="CV284">
        <v>0</v>
      </c>
      <c r="CW284" s="70">
        <v>0</v>
      </c>
      <c r="CX284">
        <v>6.2</v>
      </c>
      <c r="CY284">
        <v>0</v>
      </c>
      <c r="CZ284">
        <v>9300000000</v>
      </c>
      <c r="DA284">
        <v>9982455527.7777481</v>
      </c>
      <c r="DB284">
        <v>-3559157411.5971789</v>
      </c>
      <c r="DC284">
        <v>0</v>
      </c>
      <c r="DD284">
        <v>0</v>
      </c>
      <c r="DE284">
        <v>0</v>
      </c>
      <c r="DF284">
        <v>0</v>
      </c>
      <c r="DG284">
        <v>0</v>
      </c>
      <c r="DH284">
        <v>0</v>
      </c>
      <c r="DI284">
        <v>0</v>
      </c>
      <c r="DJ284" s="500">
        <v>9732500000</v>
      </c>
      <c r="DK284" s="500">
        <v>0</v>
      </c>
      <c r="DL284" s="37">
        <v>9732500000</v>
      </c>
      <c r="DM284" s="37">
        <v>9732500000</v>
      </c>
      <c r="DN284" s="37">
        <v>9732500000</v>
      </c>
      <c r="DO284" s="37">
        <v>9732500000</v>
      </c>
      <c r="DP284" s="32">
        <f>Tradingbook_SBV[[#This Row],[Mat. Date]]-RPT</f>
        <v>-1924</v>
      </c>
      <c r="DQ284" s="32">
        <f>IF(Tradingbook_SBV[[#This Row],[Days]]&lt;=0,0,YEARFRAC(RPT,Tradingbook_SBV[[#This Row],[Mat. Date]],3))</f>
        <v>0</v>
      </c>
      <c r="DR284" s="32">
        <f>IF(Tradingbook_SBV[[#This Row],[Days (year)]]=0,0,INDEX(Ref!$K$2:$K$13,MATCH(Tradingbook_SBV[[#This Row],[Days (year)]],Ref!$I$2:$I$13,1)))</f>
        <v>0</v>
      </c>
      <c r="DS284" s="32" t="str">
        <f>VLOOKUP(Tradingbook_SBV[[#This Row],[Security Name]],Ref!X:Z,3,0)</f>
        <v>TPCP</v>
      </c>
      <c r="DT284" s="32" t="str">
        <f>VLOOKUP(Tradingbook_SBV[[#This Row],[Security Name]],Ref!X:Y,2,0)</f>
        <v>KBNN</v>
      </c>
      <c r="DU284" s="71">
        <f>IF((Tradingbook_SBV[[#This Row],[Mat. Date]]-RPT)&lt;=0,0,Tradingbook_SBV[[#This Row],[QUANTITY]])</f>
        <v>0</v>
      </c>
      <c r="DV284" s="71">
        <f>IF(Tradingbook_SBV[[#This Row],[Quantity_edited]]=0,0,Tradingbook_SBV[[#This Row],[DURATION]])</f>
        <v>0</v>
      </c>
      <c r="DW284" s="71">
        <f>IF(Tradingbook_SBV[[#This Row],[Quantity_edited]]=0,0,Tradingbook_SBV[[#This Row],[Mod Dur]])</f>
        <v>0</v>
      </c>
      <c r="DX284" s="71">
        <f>IF(Tradingbook_SBV[[#This Row],[Quantity_edited]]=0,0,Tradingbook_SBV[[#This Row],[Cnvx.]])</f>
        <v>0</v>
      </c>
      <c r="DY284" s="71">
        <f>(Tradingbook_SBV[[#This Row],[MARKET_VALUE]]+Tradingbook_SBV[[#This Row],[Accr Int]]*Tradingbook_SBV[[#This Row],[Quantity_edited]])*(-Tradingbook_SBV[[#This Row],[Modified Duration]]*0.0001+0.5*Tradingbook_SBV[[#This Row],[Conv]]*(0.0001^2))</f>
        <v>0</v>
      </c>
      <c r="DZ284" s="71">
        <f>(Tradingbook_SBV[[#This Row],[MARKET_VALUE]]+Tradingbook_SBV[[#This Row],[Accr Int]]*Tradingbook_SBV[[#This Row],[Quantity_edited]])*(-Tradingbook_SBV[[#This Row],[Modified Duration]]*0.01+0.5*Tradingbook_SBV[[#This Row],[Conv]]*(0.01^2))</f>
        <v>0</v>
      </c>
      <c r="EC284" t="s">
        <v>166</v>
      </c>
      <c r="ED284" t="s">
        <v>3301</v>
      </c>
      <c r="EE284" t="s">
        <v>670</v>
      </c>
      <c r="EF284" t="s">
        <v>169</v>
      </c>
      <c r="EG284" s="35" t="s">
        <v>3496</v>
      </c>
      <c r="EH284" t="s">
        <v>170</v>
      </c>
      <c r="EI284" s="500">
        <v>98948</v>
      </c>
      <c r="EJ284" s="500">
        <v>98948</v>
      </c>
      <c r="EK284" s="500">
        <v>500000</v>
      </c>
      <c r="EL284" s="500">
        <v>50000000000</v>
      </c>
      <c r="EM284" s="500">
        <v>114444</v>
      </c>
      <c r="EN284" s="500">
        <v>49474000000</v>
      </c>
      <c r="EO284">
        <v>4.7</v>
      </c>
      <c r="EP284">
        <v>4314</v>
      </c>
      <c r="EQ284">
        <v>4700000000</v>
      </c>
      <c r="ER284">
        <v>5040671666.6666679</v>
      </c>
      <c r="ES284">
        <v>-5688720409.7222261</v>
      </c>
      <c r="ET284">
        <v>4.8591511970000001</v>
      </c>
      <c r="EU284">
        <v>6.3082559595476004</v>
      </c>
      <c r="EV284">
        <v>6.6147836499999997</v>
      </c>
      <c r="EW284">
        <v>51.653608945285399</v>
      </c>
      <c r="EX284">
        <v>26669.274834540302</v>
      </c>
      <c r="EY284">
        <v>-32570.15634474</v>
      </c>
      <c r="EZ284">
        <v>6712.1620000000003</v>
      </c>
      <c r="FA284">
        <v>0</v>
      </c>
      <c r="FB284">
        <v>-7748000000</v>
      </c>
      <c r="FC284">
        <v>-7748000000</v>
      </c>
      <c r="FD284">
        <v>-7748000000</v>
      </c>
      <c r="FE284">
        <v>-7748000000</v>
      </c>
      <c r="FF284">
        <v>-7748000000</v>
      </c>
      <c r="FG284" s="32">
        <f>Bankingbook_SBV[[#This Row],[Mat. Date]]-RPT</f>
        <v>2952</v>
      </c>
      <c r="FH284" s="32">
        <f>IF(Bankingbook_SBV[[#This Row],[Days]]&lt;=0,0,YEARFRAC(RPT,Bankingbook_SBV[[#This Row],[Mat. Date]],3))</f>
        <v>8.087671232876712</v>
      </c>
      <c r="FI284" s="32" t="str">
        <f>IF(Bankingbook_SBV[[#This Row],[Days (year)]]=0,0,INDEX(Ref!$K$2:$K$13,MATCH(Bankingbook_SBV[[#This Row],[Days (year)]],Ref!$I$2:$I$13,1)))</f>
        <v>10Y</v>
      </c>
      <c r="FJ284" s="32" t="str">
        <f>VLOOKUP(Bankingbook_SBV[[#This Row],[Security Name]],Ref!X:Z,3,0)</f>
        <v>TPCPBL</v>
      </c>
      <c r="FK284" s="32" t="str">
        <f>VLOOKUP(Bankingbook_SBV[[#This Row],[Security Name]],Ref!X:Y,2,0)</f>
        <v>VBS</v>
      </c>
      <c r="FL284" s="72">
        <f>IF((Bankingbook_SBV[[#This Row],[Mat. Date]]-RPT)&lt;=0,0,Bankingbook_SBV[[#This Row],[QUANTITY]])</f>
        <v>500000</v>
      </c>
      <c r="FM284" s="32">
        <f>IF(Bankingbook_SBV[[#This Row],[Quantity_edited]]=0,0,Bankingbook_SBV[[#This Row],[DURATION]])</f>
        <v>6.6147836499999997</v>
      </c>
      <c r="FN284" s="32">
        <f>IF(Bankingbook_SBV[[#This Row],[Quantity_edited]]=0,0,Bankingbook_SBV[[#This Row],[Mod Dur]])</f>
        <v>6.3082559595476004</v>
      </c>
      <c r="FO284" s="32">
        <f>IF(Bankingbook_SBV[[#This Row],[Quantity_edited]]=0,0,Bankingbook_SBV[[#This Row],[Cnvx.]])</f>
        <v>51.653608945285399</v>
      </c>
      <c r="FP284" s="32">
        <f>(Bankingbook_SBV[[#This Row],[MARKET_VALUE]]+Bankingbook_SBV[[#This Row],[Accr Int]]*Bankingbook_SBV[[#This Row],[Quantity_edited]])*(-Bankingbook_SBV[[#This Row],[Modified Duration]]*0.0001+0.5*Bankingbook_SBV[[#This Row],[Conv]]*(0.0001^2))</f>
        <v>-32556821.707322944</v>
      </c>
      <c r="FQ284" s="32">
        <f>(Bankingbook_SBV[[#This Row],[MARKET_VALUE]]+Bankingbook_SBV[[#This Row],[Accr Int]]*Bankingbook_SBV[[#This Row],[Quantity_edited]])*(-Bankingbook_SBV[[#This Row],[Modified Duration]]*0.01+0.5*Bankingbook_SBV[[#This Row],[Conv]]*(0.01^2))</f>
        <v>-3123669260.3013206</v>
      </c>
    </row>
    <row r="285" spans="2:173" x14ac:dyDescent="0.3">
      <c r="B285" t="s">
        <v>166</v>
      </c>
      <c r="C285" t="s">
        <v>167</v>
      </c>
      <c r="D285" t="s">
        <v>470</v>
      </c>
      <c r="E285" t="s">
        <v>169</v>
      </c>
      <c r="F285" s="502">
        <v>44328</v>
      </c>
      <c r="G285" t="s">
        <v>3322</v>
      </c>
      <c r="H285"/>
      <c r="I285"/>
      <c r="J285" s="38">
        <v>0</v>
      </c>
      <c r="K285">
        <v>0</v>
      </c>
      <c r="L285">
        <v>0</v>
      </c>
      <c r="M285" s="38">
        <v>0</v>
      </c>
      <c r="N285">
        <v>6.2</v>
      </c>
      <c r="O285">
        <v>0</v>
      </c>
      <c r="P285" s="37">
        <v>9300000000</v>
      </c>
      <c r="Q285" s="37">
        <v>9982455527.7777481</v>
      </c>
      <c r="R285" s="37">
        <v>-3559157411.5971789</v>
      </c>
      <c r="S285">
        <v>0</v>
      </c>
      <c r="T285" s="70">
        <v>0</v>
      </c>
      <c r="U285">
        <v>0</v>
      </c>
      <c r="V285">
        <v>0</v>
      </c>
      <c r="W285">
        <v>0</v>
      </c>
      <c r="X285" s="38">
        <v>0</v>
      </c>
      <c r="Y285">
        <v>0</v>
      </c>
      <c r="Z285" s="70">
        <v>9732500000</v>
      </c>
      <c r="AA285" s="70">
        <v>0</v>
      </c>
      <c r="AB285" s="70">
        <v>9732500000</v>
      </c>
      <c r="AC285" s="70">
        <v>9732500000</v>
      </c>
      <c r="AD285" s="70">
        <v>9732500000</v>
      </c>
      <c r="AE285" s="70">
        <v>9732500000</v>
      </c>
      <c r="AF285">
        <v>0</v>
      </c>
      <c r="AG285" s="72">
        <f>Tradingbook_MSB[[#This Row],[Mat. Date]]-RPT</f>
        <v>-1924</v>
      </c>
      <c r="AH285" s="71">
        <f>IF(Tradingbook_MSB[[#This Row],[Days]]&lt;=0,0,YEARFRAC(RPT,Tradingbook_MSB[[#This Row],[Mat. Date]],3))</f>
        <v>0</v>
      </c>
      <c r="AI285" s="71">
        <f>IF(Tradingbook_MSB[[#This Row],[Days (year)]]=0,0,INDEX(Ref!$K$2:$K$13,MATCH(Tradingbook_MSB[[#This Row],[Days (year)]],Ref!$I$2:$I$13,1)))</f>
        <v>0</v>
      </c>
      <c r="AJ285" s="120" t="str">
        <f>VLOOKUP(Tradingbook_MSB[[#This Row],[Security Name]],Ref!X:Z,3,0)</f>
        <v>TPCP</v>
      </c>
      <c r="AK285" s="120" t="str">
        <f>VLOOKUP(Tradingbook_MSB[[#This Row],[Security Name]],Ref!X:Y,2,0)</f>
        <v>KBNN</v>
      </c>
      <c r="AL285" s="71">
        <f>IF((Tradingbook_MSB[[#This Row],[Mat. Date]]-RPT)&lt;=0,0,Tradingbook_MSB[[#This Row],[QUANTITY]])</f>
        <v>0</v>
      </c>
      <c r="AM285" s="71">
        <f>IF(Tradingbook_MSB[[#This Row],[Quantity_edited]]=0,0,Tradingbook_MSB[[#This Row],[DURATION]])</f>
        <v>0</v>
      </c>
      <c r="AN285" s="71">
        <f>IF(Tradingbook_MSB[[#This Row],[Quantity_edited]]=0,0,Tradingbook_MSB[[#This Row],[Mod Dur]])</f>
        <v>0</v>
      </c>
      <c r="AO285" s="71">
        <f>IF(Tradingbook_MSB[[#This Row],[Quantity_edited]]=0,0,Tradingbook_MSB[[#This Row],[Cnvx.]])</f>
        <v>0</v>
      </c>
      <c r="AP285" s="71">
        <f>(Tradingbook_MSB[[#This Row],[MARKET_VALUE]]+Tradingbook_MSB[[#This Row],[Accr Int]]*Tradingbook_MSB[[#This Row],[Quantity_edited]])*(-Tradingbook_MSB[[#This Row],[Modified Duration]]*0.0001+0.5*Tradingbook_MSB[[#This Row],[Conv]]*(0.0001^2))</f>
        <v>0</v>
      </c>
      <c r="AQ285" s="72">
        <f>(Tradingbook_MSB[[#This Row],[MARKET_VALUE]]+Tradingbook_MSB[[#This Row],[Accr Int]]*Tradingbook_MSB[[#This Row],[Quantity_edited]])*(-Tradingbook_MSB[[#This Row],[Modified Duration]]*0.01+0.5*Tradingbook_MSB[[#This Row],[Conv]]*(0.01^2))</f>
        <v>0</v>
      </c>
      <c r="AR285" s="71"/>
      <c r="CL285" t="s">
        <v>166</v>
      </c>
      <c r="CM285" t="s">
        <v>167</v>
      </c>
      <c r="CN285" t="s">
        <v>471</v>
      </c>
      <c r="CO285" t="s">
        <v>169</v>
      </c>
      <c r="CP285" s="35">
        <v>44335</v>
      </c>
      <c r="CQ285" t="s">
        <v>3322</v>
      </c>
      <c r="CR285" t="s">
        <v>174</v>
      </c>
      <c r="CS285" t="s">
        <v>174</v>
      </c>
      <c r="CT285" s="49">
        <v>0</v>
      </c>
      <c r="CU285">
        <v>0</v>
      </c>
      <c r="CV285">
        <v>0</v>
      </c>
      <c r="CW285" s="70">
        <v>0</v>
      </c>
      <c r="CX285">
        <v>6.1</v>
      </c>
      <c r="CY285">
        <v>0</v>
      </c>
      <c r="CZ285">
        <v>6100000000</v>
      </c>
      <c r="DA285">
        <v>6530512583.3333292</v>
      </c>
      <c r="DB285">
        <v>-907245587.74721265</v>
      </c>
      <c r="DC285">
        <v>0</v>
      </c>
      <c r="DD285">
        <v>0</v>
      </c>
      <c r="DE285">
        <v>0</v>
      </c>
      <c r="DF285">
        <v>0</v>
      </c>
      <c r="DG285">
        <v>0</v>
      </c>
      <c r="DH285">
        <v>0</v>
      </c>
      <c r="DI285">
        <v>0</v>
      </c>
      <c r="DJ285" s="500">
        <v>438959999.99975586</v>
      </c>
      <c r="DK285" s="500">
        <v>0</v>
      </c>
      <c r="DL285" s="37">
        <v>438959999.99975592</v>
      </c>
      <c r="DM285" s="37">
        <v>438959999.99975592</v>
      </c>
      <c r="DN285" s="37">
        <v>438960000</v>
      </c>
      <c r="DO285" s="37">
        <v>438959999.99975592</v>
      </c>
      <c r="DP285" s="32">
        <f>Tradingbook_SBV[[#This Row],[Mat. Date]]-RPT</f>
        <v>-1917</v>
      </c>
      <c r="DQ285" s="32">
        <f>IF(Tradingbook_SBV[[#This Row],[Days]]&lt;=0,0,YEARFRAC(RPT,Tradingbook_SBV[[#This Row],[Mat. Date]],3))</f>
        <v>0</v>
      </c>
      <c r="DR285" s="32">
        <f>IF(Tradingbook_SBV[[#This Row],[Days (year)]]=0,0,INDEX(Ref!$K$2:$K$13,MATCH(Tradingbook_SBV[[#This Row],[Days (year)]],Ref!$I$2:$I$13,1)))</f>
        <v>0</v>
      </c>
      <c r="DS285" s="32" t="str">
        <f>VLOOKUP(Tradingbook_SBV[[#This Row],[Security Name]],Ref!X:Z,3,0)</f>
        <v>TPCP</v>
      </c>
      <c r="DT285" s="32" t="str">
        <f>VLOOKUP(Tradingbook_SBV[[#This Row],[Security Name]],Ref!X:Y,2,0)</f>
        <v>KBNN</v>
      </c>
      <c r="DU285" s="71">
        <f>IF((Tradingbook_SBV[[#This Row],[Mat. Date]]-RPT)&lt;=0,0,Tradingbook_SBV[[#This Row],[QUANTITY]])</f>
        <v>0</v>
      </c>
      <c r="DV285" s="71">
        <f>IF(Tradingbook_SBV[[#This Row],[Quantity_edited]]=0,0,Tradingbook_SBV[[#This Row],[DURATION]])</f>
        <v>0</v>
      </c>
      <c r="DW285" s="71">
        <f>IF(Tradingbook_SBV[[#This Row],[Quantity_edited]]=0,0,Tradingbook_SBV[[#This Row],[Mod Dur]])</f>
        <v>0</v>
      </c>
      <c r="DX285" s="71">
        <f>IF(Tradingbook_SBV[[#This Row],[Quantity_edited]]=0,0,Tradingbook_SBV[[#This Row],[Cnvx.]])</f>
        <v>0</v>
      </c>
      <c r="DY285" s="71">
        <f>(Tradingbook_SBV[[#This Row],[MARKET_VALUE]]+Tradingbook_SBV[[#This Row],[Accr Int]]*Tradingbook_SBV[[#This Row],[Quantity_edited]])*(-Tradingbook_SBV[[#This Row],[Modified Duration]]*0.0001+0.5*Tradingbook_SBV[[#This Row],[Conv]]*(0.0001^2))</f>
        <v>0</v>
      </c>
      <c r="DZ285" s="71">
        <f>(Tradingbook_SBV[[#This Row],[MARKET_VALUE]]+Tradingbook_SBV[[#This Row],[Accr Int]]*Tradingbook_SBV[[#This Row],[Quantity_edited]])*(-Tradingbook_SBV[[#This Row],[Modified Duration]]*0.01+0.5*Tradingbook_SBV[[#This Row],[Conv]]*(0.01^2))</f>
        <v>0</v>
      </c>
      <c r="EC285" t="s">
        <v>166</v>
      </c>
      <c r="ED285" t="s">
        <v>3301</v>
      </c>
      <c r="EE285" t="s">
        <v>671</v>
      </c>
      <c r="EF285" t="s">
        <v>169</v>
      </c>
      <c r="EG285" s="35" t="s">
        <v>3828</v>
      </c>
      <c r="EH285" t="s">
        <v>3322</v>
      </c>
      <c r="EI285" s="500">
        <v>98282</v>
      </c>
      <c r="EJ285" s="500">
        <v>98282</v>
      </c>
      <c r="EK285" s="500">
        <v>0</v>
      </c>
      <c r="EL285" s="500">
        <v>0</v>
      </c>
      <c r="EM285" s="500">
        <v>0</v>
      </c>
      <c r="EN285" s="500">
        <v>0</v>
      </c>
      <c r="EO285">
        <v>4.5999999999999996</v>
      </c>
      <c r="EP285">
        <v>4134</v>
      </c>
      <c r="EQ285">
        <v>0</v>
      </c>
      <c r="ER285">
        <v>0</v>
      </c>
      <c r="ES285">
        <v>-31089504.166667938</v>
      </c>
      <c r="ET285">
        <v>4.8600220099999998</v>
      </c>
      <c r="EU285">
        <v>6.3462353946723997</v>
      </c>
      <c r="EV285">
        <v>6.6546638299999996</v>
      </c>
      <c r="EW285">
        <v>52.1151301007502</v>
      </c>
      <c r="EX285">
        <v>0</v>
      </c>
      <c r="EY285">
        <v>0</v>
      </c>
      <c r="EZ285">
        <v>0</v>
      </c>
      <c r="FA285">
        <v>-10500000</v>
      </c>
      <c r="FB285">
        <v>0</v>
      </c>
      <c r="FC285">
        <v>-10500000</v>
      </c>
      <c r="FD285">
        <v>-10500000</v>
      </c>
      <c r="FE285">
        <v>-10500000</v>
      </c>
      <c r="FF285">
        <v>-10500000</v>
      </c>
      <c r="FG285" s="32">
        <f>Bankingbook_SBV[[#This Row],[Mat. Date]]-RPT</f>
        <v>2959</v>
      </c>
      <c r="FH285" s="32">
        <f>IF(Bankingbook_SBV[[#This Row],[Days]]&lt;=0,0,YEARFRAC(RPT,Bankingbook_SBV[[#This Row],[Mat. Date]],3))</f>
        <v>8.1068493150684926</v>
      </c>
      <c r="FI285" s="32" t="str">
        <f>IF(Bankingbook_SBV[[#This Row],[Days (year)]]=0,0,INDEX(Ref!$K$2:$K$13,MATCH(Bankingbook_SBV[[#This Row],[Days (year)]],Ref!$I$2:$I$13,1)))</f>
        <v>10Y</v>
      </c>
      <c r="FJ285" s="32" t="str">
        <f>VLOOKUP(Bankingbook_SBV[[#This Row],[Security Name]],Ref!X:Z,3,0)</f>
        <v>TPCPBL</v>
      </c>
      <c r="FK285" s="32" t="str">
        <f>VLOOKUP(Bankingbook_SBV[[#This Row],[Security Name]],Ref!X:Y,2,0)</f>
        <v>VBS</v>
      </c>
      <c r="FL285" s="72">
        <f>IF((Bankingbook_SBV[[#This Row],[Mat. Date]]-RPT)&lt;=0,0,Bankingbook_SBV[[#This Row],[QUANTITY]])</f>
        <v>0</v>
      </c>
      <c r="FM285" s="32">
        <f>IF(Bankingbook_SBV[[#This Row],[Quantity_edited]]=0,0,Bankingbook_SBV[[#This Row],[DURATION]])</f>
        <v>0</v>
      </c>
      <c r="FN285" s="32">
        <f>IF(Bankingbook_SBV[[#This Row],[Quantity_edited]]=0,0,Bankingbook_SBV[[#This Row],[Mod Dur]])</f>
        <v>0</v>
      </c>
      <c r="FO285" s="32">
        <f>IF(Bankingbook_SBV[[#This Row],[Quantity_edited]]=0,0,Bankingbook_SBV[[#This Row],[Cnvx.]])</f>
        <v>0</v>
      </c>
      <c r="FP285" s="32">
        <f>(Bankingbook_SBV[[#This Row],[MARKET_VALUE]]+Bankingbook_SBV[[#This Row],[Accr Int]]*Bankingbook_SBV[[#This Row],[Quantity_edited]])*(-Bankingbook_SBV[[#This Row],[Modified Duration]]*0.0001+0.5*Bankingbook_SBV[[#This Row],[Conv]]*(0.0001^2))</f>
        <v>0</v>
      </c>
      <c r="FQ285" s="32">
        <f>(Bankingbook_SBV[[#This Row],[MARKET_VALUE]]+Bankingbook_SBV[[#This Row],[Accr Int]]*Bankingbook_SBV[[#This Row],[Quantity_edited]])*(-Bankingbook_SBV[[#This Row],[Modified Duration]]*0.01+0.5*Bankingbook_SBV[[#This Row],[Conv]]*(0.01^2))</f>
        <v>0</v>
      </c>
    </row>
    <row r="286" spans="2:173" x14ac:dyDescent="0.3">
      <c r="B286" t="s">
        <v>166</v>
      </c>
      <c r="C286" t="s">
        <v>167</v>
      </c>
      <c r="D286" t="s">
        <v>471</v>
      </c>
      <c r="E286" t="s">
        <v>169</v>
      </c>
      <c r="F286" s="502">
        <v>44335</v>
      </c>
      <c r="G286" t="s">
        <v>3322</v>
      </c>
      <c r="H286"/>
      <c r="I286"/>
      <c r="J286" s="38">
        <v>0</v>
      </c>
      <c r="K286">
        <v>0</v>
      </c>
      <c r="L286">
        <v>0</v>
      </c>
      <c r="M286" s="38">
        <v>0</v>
      </c>
      <c r="N286">
        <v>6.1</v>
      </c>
      <c r="O286">
        <v>0</v>
      </c>
      <c r="P286" s="37">
        <v>6100000000</v>
      </c>
      <c r="Q286" s="37">
        <v>6530512583.3333292</v>
      </c>
      <c r="R286" s="37">
        <v>-907245587.74721265</v>
      </c>
      <c r="S286">
        <v>0</v>
      </c>
      <c r="T286" s="70">
        <v>0</v>
      </c>
      <c r="U286">
        <v>0</v>
      </c>
      <c r="V286">
        <v>0</v>
      </c>
      <c r="W286">
        <v>0</v>
      </c>
      <c r="X286" s="38">
        <v>0</v>
      </c>
      <c r="Y286">
        <v>0</v>
      </c>
      <c r="Z286" s="70">
        <v>438959999.99975586</v>
      </c>
      <c r="AA286" s="70">
        <v>0</v>
      </c>
      <c r="AB286" s="70">
        <v>438959999.99975592</v>
      </c>
      <c r="AC286" s="70">
        <v>438959999.99975592</v>
      </c>
      <c r="AD286" s="70">
        <v>438960000</v>
      </c>
      <c r="AE286" s="70">
        <v>438959999.99975592</v>
      </c>
      <c r="AF286">
        <v>0</v>
      </c>
      <c r="AG286" s="72">
        <f>Tradingbook_MSB[[#This Row],[Mat. Date]]-RPT</f>
        <v>-1917</v>
      </c>
      <c r="AH286" s="71">
        <f>IF(Tradingbook_MSB[[#This Row],[Days]]&lt;=0,0,YEARFRAC(RPT,Tradingbook_MSB[[#This Row],[Mat. Date]],3))</f>
        <v>0</v>
      </c>
      <c r="AI286" s="71">
        <f>IF(Tradingbook_MSB[[#This Row],[Days (year)]]=0,0,INDEX(Ref!$K$2:$K$13,MATCH(Tradingbook_MSB[[#This Row],[Days (year)]],Ref!$I$2:$I$13,1)))</f>
        <v>0</v>
      </c>
      <c r="AJ286" s="120" t="str">
        <f>VLOOKUP(Tradingbook_MSB[[#This Row],[Security Name]],Ref!X:Z,3,0)</f>
        <v>TPCP</v>
      </c>
      <c r="AK286" s="120" t="str">
        <f>VLOOKUP(Tradingbook_MSB[[#This Row],[Security Name]],Ref!X:Y,2,0)</f>
        <v>KBNN</v>
      </c>
      <c r="AL286" s="71">
        <f>IF((Tradingbook_MSB[[#This Row],[Mat. Date]]-RPT)&lt;=0,0,Tradingbook_MSB[[#This Row],[QUANTITY]])</f>
        <v>0</v>
      </c>
      <c r="AM286" s="71">
        <f>IF(Tradingbook_MSB[[#This Row],[Quantity_edited]]=0,0,Tradingbook_MSB[[#This Row],[DURATION]])</f>
        <v>0</v>
      </c>
      <c r="AN286" s="71">
        <f>IF(Tradingbook_MSB[[#This Row],[Quantity_edited]]=0,0,Tradingbook_MSB[[#This Row],[Mod Dur]])</f>
        <v>0</v>
      </c>
      <c r="AO286" s="71">
        <f>IF(Tradingbook_MSB[[#This Row],[Quantity_edited]]=0,0,Tradingbook_MSB[[#This Row],[Cnvx.]])</f>
        <v>0</v>
      </c>
      <c r="AP286" s="71">
        <f>(Tradingbook_MSB[[#This Row],[MARKET_VALUE]]+Tradingbook_MSB[[#This Row],[Accr Int]]*Tradingbook_MSB[[#This Row],[Quantity_edited]])*(-Tradingbook_MSB[[#This Row],[Modified Duration]]*0.0001+0.5*Tradingbook_MSB[[#This Row],[Conv]]*(0.0001^2))</f>
        <v>0</v>
      </c>
      <c r="AQ286" s="72">
        <f>(Tradingbook_MSB[[#This Row],[MARKET_VALUE]]+Tradingbook_MSB[[#This Row],[Accr Int]]*Tradingbook_MSB[[#This Row],[Quantity_edited]])*(-Tradingbook_MSB[[#This Row],[Modified Duration]]*0.01+0.5*Tradingbook_MSB[[#This Row],[Conv]]*(0.01^2))</f>
        <v>0</v>
      </c>
      <c r="AR286" s="71"/>
      <c r="CL286" t="s">
        <v>166</v>
      </c>
      <c r="CM286" t="s">
        <v>167</v>
      </c>
      <c r="CN286" t="s">
        <v>472</v>
      </c>
      <c r="CO286" t="s">
        <v>169</v>
      </c>
      <c r="CP286" s="35">
        <v>44349</v>
      </c>
      <c r="CQ286" t="s">
        <v>3322</v>
      </c>
      <c r="CR286" t="s">
        <v>174</v>
      </c>
      <c r="CS286" t="s">
        <v>174</v>
      </c>
      <c r="CT286" s="49">
        <v>0</v>
      </c>
      <c r="CU286">
        <v>0</v>
      </c>
      <c r="CV286">
        <v>0</v>
      </c>
      <c r="CW286" s="70">
        <v>0</v>
      </c>
      <c r="CX286">
        <v>6.1</v>
      </c>
      <c r="CY286">
        <v>0</v>
      </c>
      <c r="CZ286">
        <v>30500000000</v>
      </c>
      <c r="DA286">
        <v>32517799513.888878</v>
      </c>
      <c r="DB286">
        <v>-5981272602.638978</v>
      </c>
      <c r="DC286">
        <v>0</v>
      </c>
      <c r="DD286">
        <v>0</v>
      </c>
      <c r="DE286">
        <v>0</v>
      </c>
      <c r="DF286">
        <v>0</v>
      </c>
      <c r="DG286">
        <v>0</v>
      </c>
      <c r="DH286">
        <v>0</v>
      </c>
      <c r="DI286">
        <v>0</v>
      </c>
      <c r="DJ286" s="500">
        <v>-9699500000</v>
      </c>
      <c r="DK286" s="500">
        <v>0</v>
      </c>
      <c r="DL286" s="37">
        <v>-9699500000</v>
      </c>
      <c r="DM286" s="37">
        <v>-9699500000</v>
      </c>
      <c r="DN286" s="37">
        <v>-9699500000</v>
      </c>
      <c r="DO286" s="37">
        <v>-9699500000</v>
      </c>
      <c r="DP286" s="32">
        <f>Tradingbook_SBV[[#This Row],[Mat. Date]]-RPT</f>
        <v>-1903</v>
      </c>
      <c r="DQ286" s="32">
        <f>IF(Tradingbook_SBV[[#This Row],[Days]]&lt;=0,0,YEARFRAC(RPT,Tradingbook_SBV[[#This Row],[Mat. Date]],3))</f>
        <v>0</v>
      </c>
      <c r="DR286" s="32">
        <f>IF(Tradingbook_SBV[[#This Row],[Days (year)]]=0,0,INDEX(Ref!$K$2:$K$13,MATCH(Tradingbook_SBV[[#This Row],[Days (year)]],Ref!$I$2:$I$13,1)))</f>
        <v>0</v>
      </c>
      <c r="DS286" s="32" t="str">
        <f>VLOOKUP(Tradingbook_SBV[[#This Row],[Security Name]],Ref!X:Z,3,0)</f>
        <v>TPCP</v>
      </c>
      <c r="DT286" s="32" t="str">
        <f>VLOOKUP(Tradingbook_SBV[[#This Row],[Security Name]],Ref!X:Y,2,0)</f>
        <v>KBNN</v>
      </c>
      <c r="DU286" s="71">
        <f>IF((Tradingbook_SBV[[#This Row],[Mat. Date]]-RPT)&lt;=0,0,Tradingbook_SBV[[#This Row],[QUANTITY]])</f>
        <v>0</v>
      </c>
      <c r="DV286" s="71">
        <f>IF(Tradingbook_SBV[[#This Row],[Quantity_edited]]=0,0,Tradingbook_SBV[[#This Row],[DURATION]])</f>
        <v>0</v>
      </c>
      <c r="DW286" s="71">
        <f>IF(Tradingbook_SBV[[#This Row],[Quantity_edited]]=0,0,Tradingbook_SBV[[#This Row],[Mod Dur]])</f>
        <v>0</v>
      </c>
      <c r="DX286" s="71">
        <f>IF(Tradingbook_SBV[[#This Row],[Quantity_edited]]=0,0,Tradingbook_SBV[[#This Row],[Cnvx.]])</f>
        <v>0</v>
      </c>
      <c r="DY286" s="71">
        <f>(Tradingbook_SBV[[#This Row],[MARKET_VALUE]]+Tradingbook_SBV[[#This Row],[Accr Int]]*Tradingbook_SBV[[#This Row],[Quantity_edited]])*(-Tradingbook_SBV[[#This Row],[Modified Duration]]*0.0001+0.5*Tradingbook_SBV[[#This Row],[Conv]]*(0.0001^2))</f>
        <v>0</v>
      </c>
      <c r="DZ286" s="71">
        <f>(Tradingbook_SBV[[#This Row],[MARKET_VALUE]]+Tradingbook_SBV[[#This Row],[Accr Int]]*Tradingbook_SBV[[#This Row],[Quantity_edited]])*(-Tradingbook_SBV[[#This Row],[Modified Duration]]*0.01+0.5*Tradingbook_SBV[[#This Row],[Conv]]*(0.01^2))</f>
        <v>0</v>
      </c>
      <c r="EC286" t="s">
        <v>166</v>
      </c>
      <c r="ED286" t="s">
        <v>3301</v>
      </c>
      <c r="EE286" t="s">
        <v>2399</v>
      </c>
      <c r="EF286" t="s">
        <v>169</v>
      </c>
      <c r="EG286" s="35" t="s">
        <v>3829</v>
      </c>
      <c r="EH286" t="s">
        <v>3322</v>
      </c>
      <c r="EI286" s="500">
        <v>98930</v>
      </c>
      <c r="EJ286" s="500">
        <v>98930</v>
      </c>
      <c r="EK286" s="500">
        <v>0</v>
      </c>
      <c r="EL286" s="500">
        <v>0</v>
      </c>
      <c r="EM286" s="500">
        <v>0</v>
      </c>
      <c r="EN286" s="500">
        <v>0</v>
      </c>
      <c r="EO286">
        <v>4.7</v>
      </c>
      <c r="EP286">
        <v>4133</v>
      </c>
      <c r="EQ286">
        <v>0</v>
      </c>
      <c r="ER286">
        <v>0</v>
      </c>
      <c r="ES286">
        <v>-29093594.444442749</v>
      </c>
      <c r="ET286">
        <v>4.8608703980000003</v>
      </c>
      <c r="EU286">
        <v>6.3446302198001003</v>
      </c>
      <c r="EV286">
        <v>6.6530344699999997</v>
      </c>
      <c r="EW286">
        <v>52.148605404319497</v>
      </c>
      <c r="EX286">
        <v>0</v>
      </c>
      <c r="EY286">
        <v>0</v>
      </c>
      <c r="EZ286">
        <v>0</v>
      </c>
      <c r="FA286">
        <v>-9800000</v>
      </c>
      <c r="FB286">
        <v>0</v>
      </c>
      <c r="FC286">
        <v>-9800000</v>
      </c>
      <c r="FD286">
        <v>-9800000</v>
      </c>
      <c r="FE286">
        <v>-9800000</v>
      </c>
      <c r="FF286">
        <v>-9800000</v>
      </c>
      <c r="FG286" s="32">
        <f>Bankingbook_SBV[[#This Row],[Mat. Date]]-RPT</f>
        <v>2966</v>
      </c>
      <c r="FH286" s="32">
        <f>IF(Bankingbook_SBV[[#This Row],[Days]]&lt;=0,0,YEARFRAC(RPT,Bankingbook_SBV[[#This Row],[Mat. Date]],3))</f>
        <v>8.1260273972602732</v>
      </c>
      <c r="FI286" s="32" t="str">
        <f>IF(Bankingbook_SBV[[#This Row],[Days (year)]]=0,0,INDEX(Ref!$K$2:$K$13,MATCH(Bankingbook_SBV[[#This Row],[Days (year)]],Ref!$I$2:$I$13,1)))</f>
        <v>10Y</v>
      </c>
      <c r="FJ286" s="32" t="str">
        <f>VLOOKUP(Bankingbook_SBV[[#This Row],[Security Name]],Ref!X:Z,3,0)</f>
        <v>TPCPBL</v>
      </c>
      <c r="FK286" s="32" t="str">
        <f>VLOOKUP(Bankingbook_SBV[[#This Row],[Security Name]],Ref!X:Y,2,0)</f>
        <v>VBS</v>
      </c>
      <c r="FL286" s="72">
        <f>IF((Bankingbook_SBV[[#This Row],[Mat. Date]]-RPT)&lt;=0,0,Bankingbook_SBV[[#This Row],[QUANTITY]])</f>
        <v>0</v>
      </c>
      <c r="FM286" s="32">
        <f>IF(Bankingbook_SBV[[#This Row],[Quantity_edited]]=0,0,Bankingbook_SBV[[#This Row],[DURATION]])</f>
        <v>0</v>
      </c>
      <c r="FN286" s="32">
        <f>IF(Bankingbook_SBV[[#This Row],[Quantity_edited]]=0,0,Bankingbook_SBV[[#This Row],[Mod Dur]])</f>
        <v>0</v>
      </c>
      <c r="FO286" s="32">
        <f>IF(Bankingbook_SBV[[#This Row],[Quantity_edited]]=0,0,Bankingbook_SBV[[#This Row],[Cnvx.]])</f>
        <v>0</v>
      </c>
      <c r="FP286" s="32">
        <f>(Bankingbook_SBV[[#This Row],[MARKET_VALUE]]+Bankingbook_SBV[[#This Row],[Accr Int]]*Bankingbook_SBV[[#This Row],[Quantity_edited]])*(-Bankingbook_SBV[[#This Row],[Modified Duration]]*0.0001+0.5*Bankingbook_SBV[[#This Row],[Conv]]*(0.0001^2))</f>
        <v>0</v>
      </c>
      <c r="FQ286" s="32">
        <f>(Bankingbook_SBV[[#This Row],[MARKET_VALUE]]+Bankingbook_SBV[[#This Row],[Accr Int]]*Bankingbook_SBV[[#This Row],[Quantity_edited]])*(-Bankingbook_SBV[[#This Row],[Modified Duration]]*0.01+0.5*Bankingbook_SBV[[#This Row],[Conv]]*(0.01^2))</f>
        <v>0</v>
      </c>
    </row>
    <row r="287" spans="2:173" x14ac:dyDescent="0.3">
      <c r="B287" t="s">
        <v>166</v>
      </c>
      <c r="C287" t="s">
        <v>167</v>
      </c>
      <c r="D287" t="s">
        <v>472</v>
      </c>
      <c r="E287" t="s">
        <v>169</v>
      </c>
      <c r="F287" s="502">
        <v>44349</v>
      </c>
      <c r="G287" t="s">
        <v>3322</v>
      </c>
      <c r="H287"/>
      <c r="I287"/>
      <c r="J287" s="38">
        <v>0</v>
      </c>
      <c r="K287">
        <v>0</v>
      </c>
      <c r="L287">
        <v>0</v>
      </c>
      <c r="M287" s="38">
        <v>0</v>
      </c>
      <c r="N287">
        <v>6.1</v>
      </c>
      <c r="O287">
        <v>0</v>
      </c>
      <c r="P287" s="37">
        <v>30500000000</v>
      </c>
      <c r="Q287" s="37">
        <v>32517799513.888878</v>
      </c>
      <c r="R287" s="37">
        <v>-5981272602.638978</v>
      </c>
      <c r="S287">
        <v>0</v>
      </c>
      <c r="T287" s="70">
        <v>0</v>
      </c>
      <c r="U287">
        <v>0</v>
      </c>
      <c r="V287">
        <v>0</v>
      </c>
      <c r="W287">
        <v>0</v>
      </c>
      <c r="X287" s="38">
        <v>0</v>
      </c>
      <c r="Y287">
        <v>0</v>
      </c>
      <c r="Z287" s="70">
        <v>-9699500000</v>
      </c>
      <c r="AA287" s="70">
        <v>0</v>
      </c>
      <c r="AB287" s="70">
        <v>-9699500000</v>
      </c>
      <c r="AC287" s="70">
        <v>-9699500000</v>
      </c>
      <c r="AD287" s="70">
        <v>-9699500000</v>
      </c>
      <c r="AE287" s="70">
        <v>-9699500000</v>
      </c>
      <c r="AF287">
        <v>0</v>
      </c>
      <c r="AG287" s="72">
        <f>Tradingbook_MSB[[#This Row],[Mat. Date]]-RPT</f>
        <v>-1903</v>
      </c>
      <c r="AH287" s="71">
        <f>IF(Tradingbook_MSB[[#This Row],[Days]]&lt;=0,0,YEARFRAC(RPT,Tradingbook_MSB[[#This Row],[Mat. Date]],3))</f>
        <v>0</v>
      </c>
      <c r="AI287" s="71">
        <f>IF(Tradingbook_MSB[[#This Row],[Days (year)]]=0,0,INDEX(Ref!$K$2:$K$13,MATCH(Tradingbook_MSB[[#This Row],[Days (year)]],Ref!$I$2:$I$13,1)))</f>
        <v>0</v>
      </c>
      <c r="AJ287" s="120" t="str">
        <f>VLOOKUP(Tradingbook_MSB[[#This Row],[Security Name]],Ref!X:Z,3,0)</f>
        <v>TPCP</v>
      </c>
      <c r="AK287" s="120" t="str">
        <f>VLOOKUP(Tradingbook_MSB[[#This Row],[Security Name]],Ref!X:Y,2,0)</f>
        <v>KBNN</v>
      </c>
      <c r="AL287" s="71">
        <f>IF((Tradingbook_MSB[[#This Row],[Mat. Date]]-RPT)&lt;=0,0,Tradingbook_MSB[[#This Row],[QUANTITY]])</f>
        <v>0</v>
      </c>
      <c r="AM287" s="71">
        <f>IF(Tradingbook_MSB[[#This Row],[Quantity_edited]]=0,0,Tradingbook_MSB[[#This Row],[DURATION]])</f>
        <v>0</v>
      </c>
      <c r="AN287" s="71">
        <f>IF(Tradingbook_MSB[[#This Row],[Quantity_edited]]=0,0,Tradingbook_MSB[[#This Row],[Mod Dur]])</f>
        <v>0</v>
      </c>
      <c r="AO287" s="71">
        <f>IF(Tradingbook_MSB[[#This Row],[Quantity_edited]]=0,0,Tradingbook_MSB[[#This Row],[Cnvx.]])</f>
        <v>0</v>
      </c>
      <c r="AP287" s="71">
        <f>(Tradingbook_MSB[[#This Row],[MARKET_VALUE]]+Tradingbook_MSB[[#This Row],[Accr Int]]*Tradingbook_MSB[[#This Row],[Quantity_edited]])*(-Tradingbook_MSB[[#This Row],[Modified Duration]]*0.0001+0.5*Tradingbook_MSB[[#This Row],[Conv]]*(0.0001^2))</f>
        <v>0</v>
      </c>
      <c r="AQ287" s="72">
        <f>(Tradingbook_MSB[[#This Row],[MARKET_VALUE]]+Tradingbook_MSB[[#This Row],[Accr Int]]*Tradingbook_MSB[[#This Row],[Quantity_edited]])*(-Tradingbook_MSB[[#This Row],[Modified Duration]]*0.01+0.5*Tradingbook_MSB[[#This Row],[Conv]]*(0.01^2))</f>
        <v>0</v>
      </c>
      <c r="AR287" s="71"/>
      <c r="CL287" t="s">
        <v>166</v>
      </c>
      <c r="CM287" t="s">
        <v>167</v>
      </c>
      <c r="CN287" t="s">
        <v>473</v>
      </c>
      <c r="CO287" t="s">
        <v>169</v>
      </c>
      <c r="CP287" s="35">
        <v>44356</v>
      </c>
      <c r="CQ287" t="s">
        <v>3322</v>
      </c>
      <c r="CR287" t="s">
        <v>174</v>
      </c>
      <c r="CS287" t="s">
        <v>174</v>
      </c>
      <c r="CT287" s="49">
        <v>0</v>
      </c>
      <c r="CU287">
        <v>0</v>
      </c>
      <c r="CV287">
        <v>0</v>
      </c>
      <c r="CW287" s="70">
        <v>0</v>
      </c>
      <c r="CX287">
        <v>6</v>
      </c>
      <c r="CY287">
        <v>0</v>
      </c>
      <c r="CZ287">
        <v>33000000000</v>
      </c>
      <c r="DA287">
        <v>35443873333.333359</v>
      </c>
      <c r="DB287">
        <v>-7723597434.8611097</v>
      </c>
      <c r="DC287">
        <v>0</v>
      </c>
      <c r="DD287">
        <v>0</v>
      </c>
      <c r="DE287">
        <v>0</v>
      </c>
      <c r="DF287">
        <v>0</v>
      </c>
      <c r="DG287">
        <v>0</v>
      </c>
      <c r="DH287">
        <v>0</v>
      </c>
      <c r="DI287">
        <v>0</v>
      </c>
      <c r="DJ287" s="500">
        <v>5242500000</v>
      </c>
      <c r="DK287" s="500">
        <v>0</v>
      </c>
      <c r="DL287" s="37">
        <v>5242500000</v>
      </c>
      <c r="DM287" s="37">
        <v>5242500000</v>
      </c>
      <c r="DN287" s="37">
        <v>5242500000</v>
      </c>
      <c r="DO287" s="37">
        <v>5242500000</v>
      </c>
      <c r="DP287" s="32">
        <f>Tradingbook_SBV[[#This Row],[Mat. Date]]-RPT</f>
        <v>-1896</v>
      </c>
      <c r="DQ287" s="32">
        <f>IF(Tradingbook_SBV[[#This Row],[Days]]&lt;=0,0,YEARFRAC(RPT,Tradingbook_SBV[[#This Row],[Mat. Date]],3))</f>
        <v>0</v>
      </c>
      <c r="DR287" s="32">
        <f>IF(Tradingbook_SBV[[#This Row],[Days (year)]]=0,0,INDEX(Ref!$K$2:$K$13,MATCH(Tradingbook_SBV[[#This Row],[Days (year)]],Ref!$I$2:$I$13,1)))</f>
        <v>0</v>
      </c>
      <c r="DS287" s="32" t="str">
        <f>VLOOKUP(Tradingbook_SBV[[#This Row],[Security Name]],Ref!X:Z,3,0)</f>
        <v>TPCP</v>
      </c>
      <c r="DT287" s="32" t="str">
        <f>VLOOKUP(Tradingbook_SBV[[#This Row],[Security Name]],Ref!X:Y,2,0)</f>
        <v>KBNN</v>
      </c>
      <c r="DU287" s="71">
        <f>IF((Tradingbook_SBV[[#This Row],[Mat. Date]]-RPT)&lt;=0,0,Tradingbook_SBV[[#This Row],[QUANTITY]])</f>
        <v>0</v>
      </c>
      <c r="DV287" s="71">
        <f>IF(Tradingbook_SBV[[#This Row],[Quantity_edited]]=0,0,Tradingbook_SBV[[#This Row],[DURATION]])</f>
        <v>0</v>
      </c>
      <c r="DW287" s="71">
        <f>IF(Tradingbook_SBV[[#This Row],[Quantity_edited]]=0,0,Tradingbook_SBV[[#This Row],[Mod Dur]])</f>
        <v>0</v>
      </c>
      <c r="DX287" s="71">
        <f>IF(Tradingbook_SBV[[#This Row],[Quantity_edited]]=0,0,Tradingbook_SBV[[#This Row],[Cnvx.]])</f>
        <v>0</v>
      </c>
      <c r="DY287" s="71">
        <f>(Tradingbook_SBV[[#This Row],[MARKET_VALUE]]+Tradingbook_SBV[[#This Row],[Accr Int]]*Tradingbook_SBV[[#This Row],[Quantity_edited]])*(-Tradingbook_SBV[[#This Row],[Modified Duration]]*0.0001+0.5*Tradingbook_SBV[[#This Row],[Conv]]*(0.0001^2))</f>
        <v>0</v>
      </c>
      <c r="DZ287" s="71">
        <f>(Tradingbook_SBV[[#This Row],[MARKET_VALUE]]+Tradingbook_SBV[[#This Row],[Accr Int]]*Tradingbook_SBV[[#This Row],[Quantity_edited]])*(-Tradingbook_SBV[[#This Row],[Modified Duration]]*0.01+0.5*Tradingbook_SBV[[#This Row],[Conv]]*(0.01^2))</f>
        <v>0</v>
      </c>
      <c r="EC287" t="s">
        <v>166</v>
      </c>
      <c r="ED287" t="s">
        <v>3301</v>
      </c>
      <c r="EE287" t="s">
        <v>672</v>
      </c>
      <c r="EF287" t="s">
        <v>169</v>
      </c>
      <c r="EG287" s="35" t="s">
        <v>673</v>
      </c>
      <c r="EH287" t="s">
        <v>170</v>
      </c>
      <c r="EI287" s="500">
        <v>97540</v>
      </c>
      <c r="EJ287" s="500">
        <v>97540</v>
      </c>
      <c r="EK287" s="500">
        <v>1000000</v>
      </c>
      <c r="EL287" s="500">
        <v>100000000000</v>
      </c>
      <c r="EM287" s="500">
        <v>106610.54300000001</v>
      </c>
      <c r="EN287" s="500">
        <v>97540000000</v>
      </c>
      <c r="EO287">
        <v>4</v>
      </c>
      <c r="EP287">
        <v>3342</v>
      </c>
      <c r="EQ287">
        <v>18000000000</v>
      </c>
      <c r="ER287">
        <v>20150403888.888863</v>
      </c>
      <c r="ES287">
        <v>-12869595199.758196</v>
      </c>
      <c r="ET287">
        <v>4.3629329529999996</v>
      </c>
      <c r="EU287">
        <v>6.5894131111557996</v>
      </c>
      <c r="EV287">
        <v>6.8769047900000002</v>
      </c>
      <c r="EW287">
        <v>55.102285697367499</v>
      </c>
      <c r="EX287">
        <v>55588.287857218202</v>
      </c>
      <c r="EY287">
        <v>-66475.317347962002</v>
      </c>
      <c r="EZ287">
        <v>11803.713</v>
      </c>
      <c r="FA287">
        <v>-837336551.72397995</v>
      </c>
      <c r="FB287">
        <v>-9070543448.2758579</v>
      </c>
      <c r="FC287">
        <v>-9907879999.9998379</v>
      </c>
      <c r="FD287">
        <v>-9907879999.9998379</v>
      </c>
      <c r="FE287">
        <v>-9907880000</v>
      </c>
      <c r="FF287">
        <v>-9907879999.9998379</v>
      </c>
      <c r="FG287" s="32">
        <f>Bankingbook_SBV[[#This Row],[Mat. Date]]-RPT</f>
        <v>2982</v>
      </c>
      <c r="FH287" s="32">
        <f>IF(Bankingbook_SBV[[#This Row],[Days]]&lt;=0,0,YEARFRAC(RPT,Bankingbook_SBV[[#This Row],[Mat. Date]],3))</f>
        <v>8.169863013698631</v>
      </c>
      <c r="FI287" s="32" t="str">
        <f>IF(Bankingbook_SBV[[#This Row],[Days (year)]]=0,0,INDEX(Ref!$K$2:$K$13,MATCH(Bankingbook_SBV[[#This Row],[Days (year)]],Ref!$I$2:$I$13,1)))</f>
        <v>10Y</v>
      </c>
      <c r="FJ287" s="32" t="str">
        <f>VLOOKUP(Bankingbook_SBV[[#This Row],[Security Name]],Ref!X:Z,3,0)</f>
        <v>TPCP</v>
      </c>
      <c r="FK287" s="32" t="str">
        <f>VLOOKUP(Bankingbook_SBV[[#This Row],[Security Name]],Ref!X:Y,2,0)</f>
        <v>KBNN</v>
      </c>
      <c r="FL287" s="72">
        <f>IF((Bankingbook_SBV[[#This Row],[Mat. Date]]-RPT)&lt;=0,0,Bankingbook_SBV[[#This Row],[QUANTITY]])</f>
        <v>1000000</v>
      </c>
      <c r="FM287" s="32">
        <f>IF(Bankingbook_SBV[[#This Row],[Quantity_edited]]=0,0,Bankingbook_SBV[[#This Row],[DURATION]])</f>
        <v>6.8769047900000002</v>
      </c>
      <c r="FN287" s="32">
        <f>IF(Bankingbook_SBV[[#This Row],[Quantity_edited]]=0,0,Bankingbook_SBV[[#This Row],[Mod Dur]])</f>
        <v>6.5894131111557996</v>
      </c>
      <c r="FO287" s="32">
        <f>IF(Bankingbook_SBV[[#This Row],[Quantity_edited]]=0,0,Bankingbook_SBV[[#This Row],[Cnvx.]])</f>
        <v>55.102285697367499</v>
      </c>
      <c r="FP287" s="32">
        <f>(Bankingbook_SBV[[#This Row],[MARKET_VALUE]]+Bankingbook_SBV[[#This Row],[Accr Int]]*Bankingbook_SBV[[#This Row],[Quantity_edited]])*(-Bankingbook_SBV[[#This Row],[Modified Duration]]*0.0001+0.5*Bankingbook_SBV[[#This Row],[Conv]]*(0.0001^2))</f>
        <v>-66447523.204033338</v>
      </c>
      <c r="FQ287" s="32">
        <f>(Bankingbook_SBV[[#This Row],[MARKET_VALUE]]+Bankingbook_SBV[[#This Row],[Accr Int]]*Bankingbook_SBV[[#This Row],[Quantity_edited]])*(-Bankingbook_SBV[[#This Row],[Modified Duration]]*0.01+0.5*Bankingbook_SBV[[#This Row],[Conv]]*(0.01^2))</f>
        <v>-6369590295.5101032</v>
      </c>
    </row>
    <row r="288" spans="2:173" x14ac:dyDescent="0.3">
      <c r="B288" t="s">
        <v>166</v>
      </c>
      <c r="C288" t="s">
        <v>167</v>
      </c>
      <c r="D288" t="s">
        <v>473</v>
      </c>
      <c r="E288" t="s">
        <v>169</v>
      </c>
      <c r="F288" s="502">
        <v>44356</v>
      </c>
      <c r="G288" t="s">
        <v>3322</v>
      </c>
      <c r="H288"/>
      <c r="I288"/>
      <c r="J288" s="38">
        <v>0</v>
      </c>
      <c r="K288">
        <v>0</v>
      </c>
      <c r="L288">
        <v>0</v>
      </c>
      <c r="M288" s="38">
        <v>0</v>
      </c>
      <c r="N288">
        <v>6</v>
      </c>
      <c r="O288">
        <v>0</v>
      </c>
      <c r="P288" s="37">
        <v>33000000000</v>
      </c>
      <c r="Q288" s="37">
        <v>35443873333.333359</v>
      </c>
      <c r="R288" s="37">
        <v>-7723597434.8611097</v>
      </c>
      <c r="S288">
        <v>0</v>
      </c>
      <c r="T288" s="70">
        <v>0</v>
      </c>
      <c r="U288">
        <v>0</v>
      </c>
      <c r="V288">
        <v>0</v>
      </c>
      <c r="W288">
        <v>0</v>
      </c>
      <c r="X288" s="38">
        <v>0</v>
      </c>
      <c r="Y288">
        <v>0</v>
      </c>
      <c r="Z288" s="70">
        <v>5242500000</v>
      </c>
      <c r="AA288" s="70">
        <v>0</v>
      </c>
      <c r="AB288" s="70">
        <v>5242500000</v>
      </c>
      <c r="AC288" s="70">
        <v>5242500000</v>
      </c>
      <c r="AD288" s="70">
        <v>5242500000</v>
      </c>
      <c r="AE288" s="70">
        <v>5242500000</v>
      </c>
      <c r="AF288">
        <v>0</v>
      </c>
      <c r="AG288" s="72">
        <f>Tradingbook_MSB[[#This Row],[Mat. Date]]-RPT</f>
        <v>-1896</v>
      </c>
      <c r="AH288" s="71">
        <f>IF(Tradingbook_MSB[[#This Row],[Days]]&lt;=0,0,YEARFRAC(RPT,Tradingbook_MSB[[#This Row],[Mat. Date]],3))</f>
        <v>0</v>
      </c>
      <c r="AI288" s="71">
        <f>IF(Tradingbook_MSB[[#This Row],[Days (year)]]=0,0,INDEX(Ref!$K$2:$K$13,MATCH(Tradingbook_MSB[[#This Row],[Days (year)]],Ref!$I$2:$I$13,1)))</f>
        <v>0</v>
      </c>
      <c r="AJ288" s="120" t="str">
        <f>VLOOKUP(Tradingbook_MSB[[#This Row],[Security Name]],Ref!X:Z,3,0)</f>
        <v>TPCP</v>
      </c>
      <c r="AK288" s="120" t="str">
        <f>VLOOKUP(Tradingbook_MSB[[#This Row],[Security Name]],Ref!X:Y,2,0)</f>
        <v>KBNN</v>
      </c>
      <c r="AL288" s="71">
        <f>IF((Tradingbook_MSB[[#This Row],[Mat. Date]]-RPT)&lt;=0,0,Tradingbook_MSB[[#This Row],[QUANTITY]])</f>
        <v>0</v>
      </c>
      <c r="AM288" s="71">
        <f>IF(Tradingbook_MSB[[#This Row],[Quantity_edited]]=0,0,Tradingbook_MSB[[#This Row],[DURATION]])</f>
        <v>0</v>
      </c>
      <c r="AN288" s="71">
        <f>IF(Tradingbook_MSB[[#This Row],[Quantity_edited]]=0,0,Tradingbook_MSB[[#This Row],[Mod Dur]])</f>
        <v>0</v>
      </c>
      <c r="AO288" s="71">
        <f>IF(Tradingbook_MSB[[#This Row],[Quantity_edited]]=0,0,Tradingbook_MSB[[#This Row],[Cnvx.]])</f>
        <v>0</v>
      </c>
      <c r="AP288" s="71">
        <f>(Tradingbook_MSB[[#This Row],[MARKET_VALUE]]+Tradingbook_MSB[[#This Row],[Accr Int]]*Tradingbook_MSB[[#This Row],[Quantity_edited]])*(-Tradingbook_MSB[[#This Row],[Modified Duration]]*0.0001+0.5*Tradingbook_MSB[[#This Row],[Conv]]*(0.0001^2))</f>
        <v>0</v>
      </c>
      <c r="AQ288" s="72">
        <f>(Tradingbook_MSB[[#This Row],[MARKET_VALUE]]+Tradingbook_MSB[[#This Row],[Accr Int]]*Tradingbook_MSB[[#This Row],[Quantity_edited]])*(-Tradingbook_MSB[[#This Row],[Modified Duration]]*0.01+0.5*Tradingbook_MSB[[#This Row],[Conv]]*(0.01^2))</f>
        <v>0</v>
      </c>
      <c r="AR288" s="71"/>
      <c r="CL288" t="s">
        <v>166</v>
      </c>
      <c r="CM288" t="s">
        <v>167</v>
      </c>
      <c r="CN288" t="s">
        <v>474</v>
      </c>
      <c r="CO288" t="s">
        <v>169</v>
      </c>
      <c r="CP288" s="35">
        <v>44363</v>
      </c>
      <c r="CQ288" t="s">
        <v>3322</v>
      </c>
      <c r="CR288" t="s">
        <v>174</v>
      </c>
      <c r="CS288" t="s">
        <v>174</v>
      </c>
      <c r="CT288" s="49">
        <v>0</v>
      </c>
      <c r="CU288">
        <v>0</v>
      </c>
      <c r="CV288">
        <v>0</v>
      </c>
      <c r="CW288" s="70">
        <v>0</v>
      </c>
      <c r="CX288">
        <v>6</v>
      </c>
      <c r="CY288">
        <v>0</v>
      </c>
      <c r="CZ288">
        <v>3000000000</v>
      </c>
      <c r="DA288">
        <v>3190398333.333324</v>
      </c>
      <c r="DB288">
        <v>-689607891.24999332</v>
      </c>
      <c r="DC288">
        <v>0</v>
      </c>
      <c r="DD288">
        <v>0</v>
      </c>
      <c r="DE288">
        <v>0</v>
      </c>
      <c r="DF288">
        <v>0</v>
      </c>
      <c r="DG288">
        <v>0</v>
      </c>
      <c r="DH288">
        <v>0</v>
      </c>
      <c r="DI288">
        <v>0</v>
      </c>
      <c r="DJ288" s="500">
        <v>-2912000000</v>
      </c>
      <c r="DK288" s="500">
        <v>0</v>
      </c>
      <c r="DL288" s="37">
        <v>-2912000000</v>
      </c>
      <c r="DM288" s="37">
        <v>-2912000000</v>
      </c>
      <c r="DN288" s="37">
        <v>-2912000000</v>
      </c>
      <c r="DO288" s="37">
        <v>-2912000000</v>
      </c>
      <c r="DP288" s="32">
        <f>Tradingbook_SBV[[#This Row],[Mat. Date]]-RPT</f>
        <v>-1889</v>
      </c>
      <c r="DQ288" s="32">
        <f>IF(Tradingbook_SBV[[#This Row],[Days]]&lt;=0,0,YEARFRAC(RPT,Tradingbook_SBV[[#This Row],[Mat. Date]],3))</f>
        <v>0</v>
      </c>
      <c r="DR288" s="32">
        <f>IF(Tradingbook_SBV[[#This Row],[Days (year)]]=0,0,INDEX(Ref!$K$2:$K$13,MATCH(Tradingbook_SBV[[#This Row],[Days (year)]],Ref!$I$2:$I$13,1)))</f>
        <v>0</v>
      </c>
      <c r="DS288" s="32" t="str">
        <f>VLOOKUP(Tradingbook_SBV[[#This Row],[Security Name]],Ref!X:Z,3,0)</f>
        <v>TPCP</v>
      </c>
      <c r="DT288" s="32" t="str">
        <f>VLOOKUP(Tradingbook_SBV[[#This Row],[Security Name]],Ref!X:Y,2,0)</f>
        <v>KBNN</v>
      </c>
      <c r="DU288" s="71">
        <f>IF((Tradingbook_SBV[[#This Row],[Mat. Date]]-RPT)&lt;=0,0,Tradingbook_SBV[[#This Row],[QUANTITY]])</f>
        <v>0</v>
      </c>
      <c r="DV288" s="71">
        <f>IF(Tradingbook_SBV[[#This Row],[Quantity_edited]]=0,0,Tradingbook_SBV[[#This Row],[DURATION]])</f>
        <v>0</v>
      </c>
      <c r="DW288" s="71">
        <f>IF(Tradingbook_SBV[[#This Row],[Quantity_edited]]=0,0,Tradingbook_SBV[[#This Row],[Mod Dur]])</f>
        <v>0</v>
      </c>
      <c r="DX288" s="71">
        <f>IF(Tradingbook_SBV[[#This Row],[Quantity_edited]]=0,0,Tradingbook_SBV[[#This Row],[Cnvx.]])</f>
        <v>0</v>
      </c>
      <c r="DY288" s="71">
        <f>(Tradingbook_SBV[[#This Row],[MARKET_VALUE]]+Tradingbook_SBV[[#This Row],[Accr Int]]*Tradingbook_SBV[[#This Row],[Quantity_edited]])*(-Tradingbook_SBV[[#This Row],[Modified Duration]]*0.0001+0.5*Tradingbook_SBV[[#This Row],[Conv]]*(0.0001^2))</f>
        <v>0</v>
      </c>
      <c r="DZ288" s="71">
        <f>(Tradingbook_SBV[[#This Row],[MARKET_VALUE]]+Tradingbook_SBV[[#This Row],[Accr Int]]*Tradingbook_SBV[[#This Row],[Quantity_edited]])*(-Tradingbook_SBV[[#This Row],[Modified Duration]]*0.01+0.5*Tradingbook_SBV[[#This Row],[Conv]]*(0.01^2))</f>
        <v>0</v>
      </c>
      <c r="EC288" t="s">
        <v>166</v>
      </c>
      <c r="ED288" t="s">
        <v>3301</v>
      </c>
      <c r="EE288" t="s">
        <v>674</v>
      </c>
      <c r="EF288" t="s">
        <v>169</v>
      </c>
      <c r="EG288" s="35" t="s">
        <v>3830</v>
      </c>
      <c r="EH288" t="s">
        <v>3322</v>
      </c>
      <c r="EI288" s="500">
        <v>97542</v>
      </c>
      <c r="EJ288" s="500">
        <v>97542</v>
      </c>
      <c r="EK288" s="500">
        <v>0</v>
      </c>
      <c r="EL288" s="500">
        <v>0</v>
      </c>
      <c r="EM288" s="500">
        <v>0</v>
      </c>
      <c r="EN288" s="500">
        <v>0</v>
      </c>
      <c r="EO288">
        <v>4.5</v>
      </c>
      <c r="EP288">
        <v>3427</v>
      </c>
      <c r="EQ288">
        <v>0</v>
      </c>
      <c r="ER288">
        <v>-7.9999999999999996E-6</v>
      </c>
      <c r="ES288">
        <v>-61876473.888885498</v>
      </c>
      <c r="ET288">
        <v>4.8663947099999998</v>
      </c>
      <c r="EU288">
        <v>6.4961967346994998</v>
      </c>
      <c r="EV288">
        <v>6.8123273099999997</v>
      </c>
      <c r="EW288">
        <v>54.127311643766497</v>
      </c>
      <c r="EX288">
        <v>0</v>
      </c>
      <c r="EY288">
        <v>0</v>
      </c>
      <c r="EZ288">
        <v>0</v>
      </c>
      <c r="FA288">
        <v>-12000000</v>
      </c>
      <c r="FB288">
        <v>0</v>
      </c>
      <c r="FC288">
        <v>-12000000</v>
      </c>
      <c r="FD288">
        <v>-12000000</v>
      </c>
      <c r="FE288">
        <v>-12000000</v>
      </c>
      <c r="FF288">
        <v>-12000000</v>
      </c>
      <c r="FG288" s="32">
        <f>Bankingbook_SBV[[#This Row],[Mat. Date]]-RPT</f>
        <v>3009</v>
      </c>
      <c r="FH288" s="32">
        <f>IF(Bankingbook_SBV[[#This Row],[Days]]&lt;=0,0,YEARFRAC(RPT,Bankingbook_SBV[[#This Row],[Mat. Date]],3))</f>
        <v>8.2438356164383571</v>
      </c>
      <c r="FI288" s="32" t="str">
        <f>IF(Bankingbook_SBV[[#This Row],[Days (year)]]=0,0,INDEX(Ref!$K$2:$K$13,MATCH(Bankingbook_SBV[[#This Row],[Days (year)]],Ref!$I$2:$I$13,1)))</f>
        <v>10Y</v>
      </c>
      <c r="FJ288" s="32" t="str">
        <f>VLOOKUP(Bankingbook_SBV[[#This Row],[Security Name]],Ref!X:Z,3,0)</f>
        <v>TPCPBL</v>
      </c>
      <c r="FK288" s="32" t="str">
        <f>VLOOKUP(Bankingbook_SBV[[#This Row],[Security Name]],Ref!X:Y,2,0)</f>
        <v>VDB</v>
      </c>
      <c r="FL288" s="72">
        <f>IF((Bankingbook_SBV[[#This Row],[Mat. Date]]-RPT)&lt;=0,0,Bankingbook_SBV[[#This Row],[QUANTITY]])</f>
        <v>0</v>
      </c>
      <c r="FM288" s="32">
        <f>IF(Bankingbook_SBV[[#This Row],[Quantity_edited]]=0,0,Bankingbook_SBV[[#This Row],[DURATION]])</f>
        <v>0</v>
      </c>
      <c r="FN288" s="32">
        <f>IF(Bankingbook_SBV[[#This Row],[Quantity_edited]]=0,0,Bankingbook_SBV[[#This Row],[Mod Dur]])</f>
        <v>0</v>
      </c>
      <c r="FO288" s="32">
        <f>IF(Bankingbook_SBV[[#This Row],[Quantity_edited]]=0,0,Bankingbook_SBV[[#This Row],[Cnvx.]])</f>
        <v>0</v>
      </c>
      <c r="FP288" s="32">
        <f>(Bankingbook_SBV[[#This Row],[MARKET_VALUE]]+Bankingbook_SBV[[#This Row],[Accr Int]]*Bankingbook_SBV[[#This Row],[Quantity_edited]])*(-Bankingbook_SBV[[#This Row],[Modified Duration]]*0.0001+0.5*Bankingbook_SBV[[#This Row],[Conv]]*(0.0001^2))</f>
        <v>0</v>
      </c>
      <c r="FQ288" s="32">
        <f>(Bankingbook_SBV[[#This Row],[MARKET_VALUE]]+Bankingbook_SBV[[#This Row],[Accr Int]]*Bankingbook_SBV[[#This Row],[Quantity_edited]])*(-Bankingbook_SBV[[#This Row],[Modified Duration]]*0.01+0.5*Bankingbook_SBV[[#This Row],[Conv]]*(0.01^2))</f>
        <v>0</v>
      </c>
    </row>
    <row r="289" spans="2:173" x14ac:dyDescent="0.3">
      <c r="B289" t="s">
        <v>166</v>
      </c>
      <c r="C289" t="s">
        <v>167</v>
      </c>
      <c r="D289" t="s">
        <v>474</v>
      </c>
      <c r="E289" t="s">
        <v>169</v>
      </c>
      <c r="F289" s="502">
        <v>44363</v>
      </c>
      <c r="G289" t="s">
        <v>3322</v>
      </c>
      <c r="H289"/>
      <c r="I289"/>
      <c r="J289" s="38">
        <v>0</v>
      </c>
      <c r="K289">
        <v>0</v>
      </c>
      <c r="L289">
        <v>0</v>
      </c>
      <c r="M289" s="38">
        <v>0</v>
      </c>
      <c r="N289">
        <v>6</v>
      </c>
      <c r="O289">
        <v>0</v>
      </c>
      <c r="P289" s="37">
        <v>3000000000</v>
      </c>
      <c r="Q289" s="37">
        <v>3190398333.333324</v>
      </c>
      <c r="R289" s="37">
        <v>-689607891.24999332</v>
      </c>
      <c r="S289">
        <v>0</v>
      </c>
      <c r="T289" s="70">
        <v>0</v>
      </c>
      <c r="U289">
        <v>0</v>
      </c>
      <c r="V289">
        <v>0</v>
      </c>
      <c r="W289">
        <v>0</v>
      </c>
      <c r="X289" s="38">
        <v>0</v>
      </c>
      <c r="Y289">
        <v>0</v>
      </c>
      <c r="Z289" s="70">
        <v>-2912000000</v>
      </c>
      <c r="AA289" s="70">
        <v>0</v>
      </c>
      <c r="AB289" s="70">
        <v>-2912000000</v>
      </c>
      <c r="AC289" s="70">
        <v>-2912000000</v>
      </c>
      <c r="AD289" s="70">
        <v>-2912000000</v>
      </c>
      <c r="AE289" s="70">
        <v>-2912000000</v>
      </c>
      <c r="AF289">
        <v>0</v>
      </c>
      <c r="AG289" s="72">
        <f>Tradingbook_MSB[[#This Row],[Mat. Date]]-RPT</f>
        <v>-1889</v>
      </c>
      <c r="AH289" s="71">
        <f>IF(Tradingbook_MSB[[#This Row],[Days]]&lt;=0,0,YEARFRAC(RPT,Tradingbook_MSB[[#This Row],[Mat. Date]],3))</f>
        <v>0</v>
      </c>
      <c r="AI289" s="71">
        <f>IF(Tradingbook_MSB[[#This Row],[Days (year)]]=0,0,INDEX(Ref!$K$2:$K$13,MATCH(Tradingbook_MSB[[#This Row],[Days (year)]],Ref!$I$2:$I$13,1)))</f>
        <v>0</v>
      </c>
      <c r="AJ289" s="120" t="str">
        <f>VLOOKUP(Tradingbook_MSB[[#This Row],[Security Name]],Ref!X:Z,3,0)</f>
        <v>TPCP</v>
      </c>
      <c r="AK289" s="120" t="str">
        <f>VLOOKUP(Tradingbook_MSB[[#This Row],[Security Name]],Ref!X:Y,2,0)</f>
        <v>KBNN</v>
      </c>
      <c r="AL289" s="71">
        <f>IF((Tradingbook_MSB[[#This Row],[Mat. Date]]-RPT)&lt;=0,0,Tradingbook_MSB[[#This Row],[QUANTITY]])</f>
        <v>0</v>
      </c>
      <c r="AM289" s="71">
        <f>IF(Tradingbook_MSB[[#This Row],[Quantity_edited]]=0,0,Tradingbook_MSB[[#This Row],[DURATION]])</f>
        <v>0</v>
      </c>
      <c r="AN289" s="71">
        <f>IF(Tradingbook_MSB[[#This Row],[Quantity_edited]]=0,0,Tradingbook_MSB[[#This Row],[Mod Dur]])</f>
        <v>0</v>
      </c>
      <c r="AO289" s="71">
        <f>IF(Tradingbook_MSB[[#This Row],[Quantity_edited]]=0,0,Tradingbook_MSB[[#This Row],[Cnvx.]])</f>
        <v>0</v>
      </c>
      <c r="AP289" s="71">
        <f>(Tradingbook_MSB[[#This Row],[MARKET_VALUE]]+Tradingbook_MSB[[#This Row],[Accr Int]]*Tradingbook_MSB[[#This Row],[Quantity_edited]])*(-Tradingbook_MSB[[#This Row],[Modified Duration]]*0.0001+0.5*Tradingbook_MSB[[#This Row],[Conv]]*(0.0001^2))</f>
        <v>0</v>
      </c>
      <c r="AQ289" s="72">
        <f>(Tradingbook_MSB[[#This Row],[MARKET_VALUE]]+Tradingbook_MSB[[#This Row],[Accr Int]]*Tradingbook_MSB[[#This Row],[Quantity_edited]])*(-Tradingbook_MSB[[#This Row],[Modified Duration]]*0.01+0.5*Tradingbook_MSB[[#This Row],[Conv]]*(0.01^2))</f>
        <v>0</v>
      </c>
      <c r="AR289" s="71"/>
      <c r="CL289" t="s">
        <v>166</v>
      </c>
      <c r="CM289" t="s">
        <v>167</v>
      </c>
      <c r="CN289" t="s">
        <v>475</v>
      </c>
      <c r="CO289" t="s">
        <v>169</v>
      </c>
      <c r="CP289" s="35">
        <v>44364</v>
      </c>
      <c r="CQ289" t="s">
        <v>3322</v>
      </c>
      <c r="CR289" t="s">
        <v>174</v>
      </c>
      <c r="CS289" t="s">
        <v>174</v>
      </c>
      <c r="CT289" s="49">
        <v>0</v>
      </c>
      <c r="CU289">
        <v>0</v>
      </c>
      <c r="CV289">
        <v>0</v>
      </c>
      <c r="CW289" s="70">
        <v>0</v>
      </c>
      <c r="CX289">
        <v>6.4</v>
      </c>
      <c r="CY289">
        <v>0</v>
      </c>
      <c r="CZ289">
        <v>33664000000</v>
      </c>
      <c r="DA289">
        <v>36014944142.222221</v>
      </c>
      <c r="DB289">
        <v>-9744662777.0652637</v>
      </c>
      <c r="DC289">
        <v>0</v>
      </c>
      <c r="DD289">
        <v>0</v>
      </c>
      <c r="DE289">
        <v>0</v>
      </c>
      <c r="DF289">
        <v>0</v>
      </c>
      <c r="DG289">
        <v>0</v>
      </c>
      <c r="DH289">
        <v>0</v>
      </c>
      <c r="DI289">
        <v>0</v>
      </c>
      <c r="DJ289" s="500">
        <v>-517450000</v>
      </c>
      <c r="DK289" s="500">
        <v>0</v>
      </c>
      <c r="DL289" s="37">
        <v>-517450000</v>
      </c>
      <c r="DM289" s="37">
        <v>-517450000</v>
      </c>
      <c r="DN289" s="37">
        <v>-517450000</v>
      </c>
      <c r="DO289" s="37">
        <v>-517450000</v>
      </c>
      <c r="DP289" s="32">
        <f>Tradingbook_SBV[[#This Row],[Mat. Date]]-RPT</f>
        <v>-1888</v>
      </c>
      <c r="DQ289" s="32">
        <f>IF(Tradingbook_SBV[[#This Row],[Days]]&lt;=0,0,YEARFRAC(RPT,Tradingbook_SBV[[#This Row],[Mat. Date]],3))</f>
        <v>0</v>
      </c>
      <c r="DR289" s="32">
        <f>IF(Tradingbook_SBV[[#This Row],[Days (year)]]=0,0,INDEX(Ref!$K$2:$K$13,MATCH(Tradingbook_SBV[[#This Row],[Days (year)]],Ref!$I$2:$I$13,1)))</f>
        <v>0</v>
      </c>
      <c r="DS289" s="32" t="str">
        <f>VLOOKUP(Tradingbook_SBV[[#This Row],[Security Name]],Ref!X:Z,3,0)</f>
        <v>TPCPBL</v>
      </c>
      <c r="DT289" s="32" t="str">
        <f>VLOOKUP(Tradingbook_SBV[[#This Row],[Security Name]],Ref!X:Y,2,0)</f>
        <v>VBS</v>
      </c>
      <c r="DU289" s="71">
        <f>IF((Tradingbook_SBV[[#This Row],[Mat. Date]]-RPT)&lt;=0,0,Tradingbook_SBV[[#This Row],[QUANTITY]])</f>
        <v>0</v>
      </c>
      <c r="DV289" s="71">
        <f>IF(Tradingbook_SBV[[#This Row],[Quantity_edited]]=0,0,Tradingbook_SBV[[#This Row],[DURATION]])</f>
        <v>0</v>
      </c>
      <c r="DW289" s="71">
        <f>IF(Tradingbook_SBV[[#This Row],[Quantity_edited]]=0,0,Tradingbook_SBV[[#This Row],[Mod Dur]])</f>
        <v>0</v>
      </c>
      <c r="DX289" s="71">
        <f>IF(Tradingbook_SBV[[#This Row],[Quantity_edited]]=0,0,Tradingbook_SBV[[#This Row],[Cnvx.]])</f>
        <v>0</v>
      </c>
      <c r="DY289" s="71">
        <f>(Tradingbook_SBV[[#This Row],[MARKET_VALUE]]+Tradingbook_SBV[[#This Row],[Accr Int]]*Tradingbook_SBV[[#This Row],[Quantity_edited]])*(-Tradingbook_SBV[[#This Row],[Modified Duration]]*0.0001+0.5*Tradingbook_SBV[[#This Row],[Conv]]*(0.0001^2))</f>
        <v>0</v>
      </c>
      <c r="DZ289" s="71">
        <f>(Tradingbook_SBV[[#This Row],[MARKET_VALUE]]+Tradingbook_SBV[[#This Row],[Accr Int]]*Tradingbook_SBV[[#This Row],[Quantity_edited]])*(-Tradingbook_SBV[[#This Row],[Modified Duration]]*0.01+0.5*Tradingbook_SBV[[#This Row],[Conv]]*(0.01^2))</f>
        <v>0</v>
      </c>
      <c r="EC289" t="s">
        <v>166</v>
      </c>
      <c r="ED289" t="s">
        <v>3301</v>
      </c>
      <c r="EE289" t="s">
        <v>675</v>
      </c>
      <c r="EF289" t="s">
        <v>169</v>
      </c>
      <c r="EG289" s="35" t="s">
        <v>3831</v>
      </c>
      <c r="EH289" t="s">
        <v>3322</v>
      </c>
      <c r="EI289" s="500">
        <v>97531</v>
      </c>
      <c r="EJ289" s="500">
        <v>97531</v>
      </c>
      <c r="EK289" s="500">
        <v>0</v>
      </c>
      <c r="EL289" s="500">
        <v>0</v>
      </c>
      <c r="EM289" s="500">
        <v>0</v>
      </c>
      <c r="EN289" s="500">
        <v>0</v>
      </c>
      <c r="EO289">
        <v>4.5</v>
      </c>
      <c r="EP289">
        <v>3341</v>
      </c>
      <c r="EQ289">
        <v>0</v>
      </c>
      <c r="ER289">
        <v>0</v>
      </c>
      <c r="ES289">
        <v>-63388975</v>
      </c>
      <c r="ET289">
        <v>4.8671602280000004</v>
      </c>
      <c r="EU289">
        <v>6.5143934107061998</v>
      </c>
      <c r="EV289">
        <v>6.8314593800000001</v>
      </c>
      <c r="EW289">
        <v>54.381444376443199</v>
      </c>
      <c r="EX289">
        <v>0</v>
      </c>
      <c r="EY289">
        <v>0</v>
      </c>
      <c r="EZ289">
        <v>0</v>
      </c>
      <c r="FA289">
        <v>6000000</v>
      </c>
      <c r="FB289">
        <v>0</v>
      </c>
      <c r="FC289">
        <v>6000000</v>
      </c>
      <c r="FD289">
        <v>6000000</v>
      </c>
      <c r="FE289">
        <v>6000000</v>
      </c>
      <c r="FF289">
        <v>6000000</v>
      </c>
      <c r="FG289" s="32">
        <f>Bankingbook_SBV[[#This Row],[Mat. Date]]-RPT</f>
        <v>3016</v>
      </c>
      <c r="FH289" s="32">
        <f>IF(Bankingbook_SBV[[#This Row],[Days]]&lt;=0,0,YEARFRAC(RPT,Bankingbook_SBV[[#This Row],[Mat. Date]],3))</f>
        <v>8.2630136986301377</v>
      </c>
      <c r="FI289" s="32" t="str">
        <f>IF(Bankingbook_SBV[[#This Row],[Days (year)]]=0,0,INDEX(Ref!$K$2:$K$13,MATCH(Bankingbook_SBV[[#This Row],[Days (year)]],Ref!$I$2:$I$13,1)))</f>
        <v>10Y</v>
      </c>
      <c r="FJ289" s="32" t="str">
        <f>VLOOKUP(Bankingbook_SBV[[#This Row],[Security Name]],Ref!X:Z,3,0)</f>
        <v>TPCPBL</v>
      </c>
      <c r="FK289" s="32" t="str">
        <f>VLOOKUP(Bankingbook_SBV[[#This Row],[Security Name]],Ref!X:Y,2,0)</f>
        <v>VDB</v>
      </c>
      <c r="FL289" s="72">
        <f>IF((Bankingbook_SBV[[#This Row],[Mat. Date]]-RPT)&lt;=0,0,Bankingbook_SBV[[#This Row],[QUANTITY]])</f>
        <v>0</v>
      </c>
      <c r="FM289" s="32">
        <f>IF(Bankingbook_SBV[[#This Row],[Quantity_edited]]=0,0,Bankingbook_SBV[[#This Row],[DURATION]])</f>
        <v>0</v>
      </c>
      <c r="FN289" s="32">
        <f>IF(Bankingbook_SBV[[#This Row],[Quantity_edited]]=0,0,Bankingbook_SBV[[#This Row],[Mod Dur]])</f>
        <v>0</v>
      </c>
      <c r="FO289" s="32">
        <f>IF(Bankingbook_SBV[[#This Row],[Quantity_edited]]=0,0,Bankingbook_SBV[[#This Row],[Cnvx.]])</f>
        <v>0</v>
      </c>
      <c r="FP289" s="32">
        <f>(Bankingbook_SBV[[#This Row],[MARKET_VALUE]]+Bankingbook_SBV[[#This Row],[Accr Int]]*Bankingbook_SBV[[#This Row],[Quantity_edited]])*(-Bankingbook_SBV[[#This Row],[Modified Duration]]*0.0001+0.5*Bankingbook_SBV[[#This Row],[Conv]]*(0.0001^2))</f>
        <v>0</v>
      </c>
      <c r="FQ289" s="32">
        <f>(Bankingbook_SBV[[#This Row],[MARKET_VALUE]]+Bankingbook_SBV[[#This Row],[Accr Int]]*Bankingbook_SBV[[#This Row],[Quantity_edited]])*(-Bankingbook_SBV[[#This Row],[Modified Duration]]*0.01+0.5*Bankingbook_SBV[[#This Row],[Conv]]*(0.01^2))</f>
        <v>0</v>
      </c>
    </row>
    <row r="290" spans="2:173" x14ac:dyDescent="0.3">
      <c r="B290" t="s">
        <v>166</v>
      </c>
      <c r="C290" t="s">
        <v>167</v>
      </c>
      <c r="D290" t="s">
        <v>475</v>
      </c>
      <c r="E290" t="s">
        <v>169</v>
      </c>
      <c r="F290" s="502">
        <v>44364</v>
      </c>
      <c r="G290" t="s">
        <v>3322</v>
      </c>
      <c r="H290"/>
      <c r="I290"/>
      <c r="J290" s="38">
        <v>0</v>
      </c>
      <c r="K290">
        <v>0</v>
      </c>
      <c r="L290">
        <v>0</v>
      </c>
      <c r="M290" s="38">
        <v>0</v>
      </c>
      <c r="N290">
        <v>6.4</v>
      </c>
      <c r="O290">
        <v>0</v>
      </c>
      <c r="P290" s="37">
        <v>50496000000</v>
      </c>
      <c r="Q290" s="37">
        <v>53313976035.555573</v>
      </c>
      <c r="R290" s="37">
        <v>-24866784903.058479</v>
      </c>
      <c r="S290">
        <v>0</v>
      </c>
      <c r="T290" s="70">
        <v>0</v>
      </c>
      <c r="U290">
        <v>0</v>
      </c>
      <c r="V290">
        <v>0</v>
      </c>
      <c r="W290">
        <v>0</v>
      </c>
      <c r="X290" s="38">
        <v>0</v>
      </c>
      <c r="Y290">
        <v>0</v>
      </c>
      <c r="Z290" s="70">
        <v>13889890000</v>
      </c>
      <c r="AA290" s="70">
        <v>0</v>
      </c>
      <c r="AB290" s="70">
        <v>13889890000</v>
      </c>
      <c r="AC290" s="70">
        <v>13889890000</v>
      </c>
      <c r="AD290" s="70">
        <v>13889890000</v>
      </c>
      <c r="AE290" s="70">
        <v>13889890000</v>
      </c>
      <c r="AF290">
        <v>0</v>
      </c>
      <c r="AG290" s="72">
        <f>Tradingbook_MSB[[#This Row],[Mat. Date]]-RPT</f>
        <v>-1888</v>
      </c>
      <c r="AH290" s="71">
        <f>IF(Tradingbook_MSB[[#This Row],[Days]]&lt;=0,0,YEARFRAC(RPT,Tradingbook_MSB[[#This Row],[Mat. Date]],3))</f>
        <v>0</v>
      </c>
      <c r="AI290" s="71">
        <f>IF(Tradingbook_MSB[[#This Row],[Days (year)]]=0,0,INDEX(Ref!$K$2:$K$13,MATCH(Tradingbook_MSB[[#This Row],[Days (year)]],Ref!$I$2:$I$13,1)))</f>
        <v>0</v>
      </c>
      <c r="AJ290" s="120" t="str">
        <f>VLOOKUP(Tradingbook_MSB[[#This Row],[Security Name]],Ref!X:Z,3,0)</f>
        <v>TPCPBL</v>
      </c>
      <c r="AK290" s="120" t="str">
        <f>VLOOKUP(Tradingbook_MSB[[#This Row],[Security Name]],Ref!X:Y,2,0)</f>
        <v>VBS</v>
      </c>
      <c r="AL290" s="71">
        <f>IF((Tradingbook_MSB[[#This Row],[Mat. Date]]-RPT)&lt;=0,0,Tradingbook_MSB[[#This Row],[QUANTITY]])</f>
        <v>0</v>
      </c>
      <c r="AM290" s="71">
        <f>IF(Tradingbook_MSB[[#This Row],[Quantity_edited]]=0,0,Tradingbook_MSB[[#This Row],[DURATION]])</f>
        <v>0</v>
      </c>
      <c r="AN290" s="71">
        <f>IF(Tradingbook_MSB[[#This Row],[Quantity_edited]]=0,0,Tradingbook_MSB[[#This Row],[Mod Dur]])</f>
        <v>0</v>
      </c>
      <c r="AO290" s="71">
        <f>IF(Tradingbook_MSB[[#This Row],[Quantity_edited]]=0,0,Tradingbook_MSB[[#This Row],[Cnvx.]])</f>
        <v>0</v>
      </c>
      <c r="AP290" s="71">
        <f>(Tradingbook_MSB[[#This Row],[MARKET_VALUE]]+Tradingbook_MSB[[#This Row],[Accr Int]]*Tradingbook_MSB[[#This Row],[Quantity_edited]])*(-Tradingbook_MSB[[#This Row],[Modified Duration]]*0.0001+0.5*Tradingbook_MSB[[#This Row],[Conv]]*(0.0001^2))</f>
        <v>0</v>
      </c>
      <c r="AQ290" s="72">
        <f>(Tradingbook_MSB[[#This Row],[MARKET_VALUE]]+Tradingbook_MSB[[#This Row],[Accr Int]]*Tradingbook_MSB[[#This Row],[Quantity_edited]])*(-Tradingbook_MSB[[#This Row],[Modified Duration]]*0.01+0.5*Tradingbook_MSB[[#This Row],[Conv]]*(0.01^2))</f>
        <v>0</v>
      </c>
      <c r="AR290" s="71"/>
      <c r="CL290" t="s">
        <v>166</v>
      </c>
      <c r="CM290" t="s">
        <v>167</v>
      </c>
      <c r="CN290" t="s">
        <v>477</v>
      </c>
      <c r="CO290" t="s">
        <v>169</v>
      </c>
      <c r="CP290" s="35">
        <v>44369</v>
      </c>
      <c r="CQ290" t="s">
        <v>3322</v>
      </c>
      <c r="CR290" t="s">
        <v>174</v>
      </c>
      <c r="CS290" t="s">
        <v>174</v>
      </c>
      <c r="CT290" s="49">
        <v>0</v>
      </c>
      <c r="CU290">
        <v>0</v>
      </c>
      <c r="CV290">
        <v>0</v>
      </c>
      <c r="CW290" s="70">
        <v>0</v>
      </c>
      <c r="CX290">
        <v>6.4</v>
      </c>
      <c r="CY290">
        <v>0</v>
      </c>
      <c r="CZ290">
        <v>17920000000</v>
      </c>
      <c r="DA290">
        <v>19170121599.999996</v>
      </c>
      <c r="DB290">
        <v>-5217674949.8611012</v>
      </c>
      <c r="DC290">
        <v>0</v>
      </c>
      <c r="DD290">
        <v>0</v>
      </c>
      <c r="DE290">
        <v>0</v>
      </c>
      <c r="DF290">
        <v>0</v>
      </c>
      <c r="DG290">
        <v>0</v>
      </c>
      <c r="DH290">
        <v>0</v>
      </c>
      <c r="DI290">
        <v>0</v>
      </c>
      <c r="DJ290" s="500">
        <v>-805000000</v>
      </c>
      <c r="DK290" s="500">
        <v>0</v>
      </c>
      <c r="DL290" s="37">
        <v>-805000000</v>
      </c>
      <c r="DM290" s="37">
        <v>-805000000</v>
      </c>
      <c r="DN290" s="37">
        <v>-805000000</v>
      </c>
      <c r="DO290" s="37">
        <v>-805000000</v>
      </c>
      <c r="DP290" s="32">
        <f>Tradingbook_SBV[[#This Row],[Mat. Date]]-RPT</f>
        <v>-1883</v>
      </c>
      <c r="DQ290" s="32">
        <f>IF(Tradingbook_SBV[[#This Row],[Days]]&lt;=0,0,YEARFRAC(RPT,Tradingbook_SBV[[#This Row],[Mat. Date]],3))</f>
        <v>0</v>
      </c>
      <c r="DR290" s="32">
        <f>IF(Tradingbook_SBV[[#This Row],[Days (year)]]=0,0,INDEX(Ref!$K$2:$K$13,MATCH(Tradingbook_SBV[[#This Row],[Days (year)]],Ref!$I$2:$I$13,1)))</f>
        <v>0</v>
      </c>
      <c r="DS290" s="32" t="str">
        <f>VLOOKUP(Tradingbook_SBV[[#This Row],[Security Name]],Ref!X:Z,3,0)</f>
        <v>TPCPBL</v>
      </c>
      <c r="DT290" s="32" t="str">
        <f>VLOOKUP(Tradingbook_SBV[[#This Row],[Security Name]],Ref!X:Y,2,0)</f>
        <v>VBS</v>
      </c>
      <c r="DU290" s="71">
        <f>IF((Tradingbook_SBV[[#This Row],[Mat. Date]]-RPT)&lt;=0,0,Tradingbook_SBV[[#This Row],[QUANTITY]])</f>
        <v>0</v>
      </c>
      <c r="DV290" s="71">
        <f>IF(Tradingbook_SBV[[#This Row],[Quantity_edited]]=0,0,Tradingbook_SBV[[#This Row],[DURATION]])</f>
        <v>0</v>
      </c>
      <c r="DW290" s="71">
        <f>IF(Tradingbook_SBV[[#This Row],[Quantity_edited]]=0,0,Tradingbook_SBV[[#This Row],[Mod Dur]])</f>
        <v>0</v>
      </c>
      <c r="DX290" s="71">
        <f>IF(Tradingbook_SBV[[#This Row],[Quantity_edited]]=0,0,Tradingbook_SBV[[#This Row],[Cnvx.]])</f>
        <v>0</v>
      </c>
      <c r="DY290" s="71">
        <f>(Tradingbook_SBV[[#This Row],[MARKET_VALUE]]+Tradingbook_SBV[[#This Row],[Accr Int]]*Tradingbook_SBV[[#This Row],[Quantity_edited]])*(-Tradingbook_SBV[[#This Row],[Modified Duration]]*0.0001+0.5*Tradingbook_SBV[[#This Row],[Conv]]*(0.0001^2))</f>
        <v>0</v>
      </c>
      <c r="DZ290" s="71">
        <f>(Tradingbook_SBV[[#This Row],[MARKET_VALUE]]+Tradingbook_SBV[[#This Row],[Accr Int]]*Tradingbook_SBV[[#This Row],[Quantity_edited]])*(-Tradingbook_SBV[[#This Row],[Modified Duration]]*0.01+0.5*Tradingbook_SBV[[#This Row],[Conv]]*(0.01^2))</f>
        <v>0</v>
      </c>
      <c r="EC290" t="s">
        <v>166</v>
      </c>
      <c r="ED290" t="s">
        <v>3301</v>
      </c>
      <c r="EE290" t="s">
        <v>676</v>
      </c>
      <c r="EF290" t="s">
        <v>169</v>
      </c>
      <c r="EG290" s="35" t="s">
        <v>3832</v>
      </c>
      <c r="EH290" t="s">
        <v>3322</v>
      </c>
      <c r="EI290" s="500">
        <v>96852</v>
      </c>
      <c r="EJ290" s="500">
        <v>96852</v>
      </c>
      <c r="EK290" s="500">
        <v>0</v>
      </c>
      <c r="EL290" s="500">
        <v>0</v>
      </c>
      <c r="EM290" s="500">
        <v>0</v>
      </c>
      <c r="EN290" s="500">
        <v>0</v>
      </c>
      <c r="EO290">
        <v>4.4000000000000004</v>
      </c>
      <c r="EP290">
        <v>3182</v>
      </c>
      <c r="EQ290">
        <v>0</v>
      </c>
      <c r="ER290">
        <v>0</v>
      </c>
      <c r="ES290">
        <v>-760910806.18054485</v>
      </c>
      <c r="ET290">
        <v>4.8680898939999997</v>
      </c>
      <c r="EU290">
        <v>6.5529545278881001</v>
      </c>
      <c r="EV290">
        <v>6.8719582499999996</v>
      </c>
      <c r="EW290">
        <v>54.863529212720202</v>
      </c>
      <c r="EX290">
        <v>0</v>
      </c>
      <c r="EY290">
        <v>0</v>
      </c>
      <c r="EZ290">
        <v>0</v>
      </c>
      <c r="FA290">
        <v>-4868000000</v>
      </c>
      <c r="FB290">
        <v>0</v>
      </c>
      <c r="FC290">
        <v>-4868000000</v>
      </c>
      <c r="FD290">
        <v>-4868000000</v>
      </c>
      <c r="FE290">
        <v>-4868000000</v>
      </c>
      <c r="FF290">
        <v>-4868000000</v>
      </c>
      <c r="FG290" s="32">
        <f>Bankingbook_SBV[[#This Row],[Mat. Date]]-RPT</f>
        <v>3023</v>
      </c>
      <c r="FH290" s="32">
        <f>IF(Bankingbook_SBV[[#This Row],[Days]]&lt;=0,0,YEARFRAC(RPT,Bankingbook_SBV[[#This Row],[Mat. Date]],3))</f>
        <v>8.2821917808219183</v>
      </c>
      <c r="FI290" s="32" t="str">
        <f>IF(Bankingbook_SBV[[#This Row],[Days (year)]]=0,0,INDEX(Ref!$K$2:$K$13,MATCH(Bankingbook_SBV[[#This Row],[Days (year)]],Ref!$I$2:$I$13,1)))</f>
        <v>10Y</v>
      </c>
      <c r="FJ290" s="32" t="str">
        <f>VLOOKUP(Bankingbook_SBV[[#This Row],[Security Name]],Ref!X:Z,3,0)</f>
        <v>TPCPBL</v>
      </c>
      <c r="FK290" s="32" t="str">
        <f>VLOOKUP(Bankingbook_SBV[[#This Row],[Security Name]],Ref!X:Y,2,0)</f>
        <v>VDB</v>
      </c>
      <c r="FL290" s="72">
        <f>IF((Bankingbook_SBV[[#This Row],[Mat. Date]]-RPT)&lt;=0,0,Bankingbook_SBV[[#This Row],[QUANTITY]])</f>
        <v>0</v>
      </c>
      <c r="FM290" s="32">
        <f>IF(Bankingbook_SBV[[#This Row],[Quantity_edited]]=0,0,Bankingbook_SBV[[#This Row],[DURATION]])</f>
        <v>0</v>
      </c>
      <c r="FN290" s="32">
        <f>IF(Bankingbook_SBV[[#This Row],[Quantity_edited]]=0,0,Bankingbook_SBV[[#This Row],[Mod Dur]])</f>
        <v>0</v>
      </c>
      <c r="FO290" s="32">
        <f>IF(Bankingbook_SBV[[#This Row],[Quantity_edited]]=0,0,Bankingbook_SBV[[#This Row],[Cnvx.]])</f>
        <v>0</v>
      </c>
      <c r="FP290" s="32">
        <f>(Bankingbook_SBV[[#This Row],[MARKET_VALUE]]+Bankingbook_SBV[[#This Row],[Accr Int]]*Bankingbook_SBV[[#This Row],[Quantity_edited]])*(-Bankingbook_SBV[[#This Row],[Modified Duration]]*0.0001+0.5*Bankingbook_SBV[[#This Row],[Conv]]*(0.0001^2))</f>
        <v>0</v>
      </c>
      <c r="FQ290" s="32">
        <f>(Bankingbook_SBV[[#This Row],[MARKET_VALUE]]+Bankingbook_SBV[[#This Row],[Accr Int]]*Bankingbook_SBV[[#This Row],[Quantity_edited]])*(-Bankingbook_SBV[[#This Row],[Modified Duration]]*0.01+0.5*Bankingbook_SBV[[#This Row],[Conv]]*(0.01^2))</f>
        <v>0</v>
      </c>
    </row>
    <row r="291" spans="2:173" x14ac:dyDescent="0.3">
      <c r="B291" t="s">
        <v>166</v>
      </c>
      <c r="C291" t="s">
        <v>167</v>
      </c>
      <c r="D291" t="s">
        <v>476</v>
      </c>
      <c r="E291" t="s">
        <v>169</v>
      </c>
      <c r="F291" s="502">
        <v>44367</v>
      </c>
      <c r="G291" t="s">
        <v>3322</v>
      </c>
      <c r="H291"/>
      <c r="I291"/>
      <c r="J291" s="38">
        <v>0</v>
      </c>
      <c r="K291">
        <v>0</v>
      </c>
      <c r="L291">
        <v>0</v>
      </c>
      <c r="M291" s="38">
        <v>0</v>
      </c>
      <c r="N291">
        <v>6.2</v>
      </c>
      <c r="O291">
        <v>0</v>
      </c>
      <c r="P291" s="37">
        <v>0</v>
      </c>
      <c r="Q291" s="37">
        <v>0</v>
      </c>
      <c r="R291" s="37">
        <v>-14594764.255556107</v>
      </c>
      <c r="S291">
        <v>0</v>
      </c>
      <c r="T291" s="70">
        <v>0</v>
      </c>
      <c r="U291">
        <v>0</v>
      </c>
      <c r="V291">
        <v>0</v>
      </c>
      <c r="W291">
        <v>0</v>
      </c>
      <c r="X291" s="38">
        <v>0</v>
      </c>
      <c r="Y291">
        <v>0</v>
      </c>
      <c r="Z291" s="70">
        <v>10320000</v>
      </c>
      <c r="AA291" s="70">
        <v>0</v>
      </c>
      <c r="AB291" s="70">
        <v>10320000</v>
      </c>
      <c r="AC291" s="70">
        <v>10320000</v>
      </c>
      <c r="AD291" s="70">
        <v>10320000</v>
      </c>
      <c r="AE291" s="70">
        <v>10320000</v>
      </c>
      <c r="AF291">
        <v>0</v>
      </c>
      <c r="AG291" s="72">
        <f>Tradingbook_MSB[[#This Row],[Mat. Date]]-RPT</f>
        <v>-1885</v>
      </c>
      <c r="AH291" s="71">
        <f>IF(Tradingbook_MSB[[#This Row],[Days]]&lt;=0,0,YEARFRAC(RPT,Tradingbook_MSB[[#This Row],[Mat. Date]],3))</f>
        <v>0</v>
      </c>
      <c r="AI291" s="71">
        <f>IF(Tradingbook_MSB[[#This Row],[Days (year)]]=0,0,INDEX(Ref!$K$2:$K$13,MATCH(Tradingbook_MSB[[#This Row],[Days (year)]],Ref!$I$2:$I$13,1)))</f>
        <v>0</v>
      </c>
      <c r="AJ291" s="120" t="str">
        <f>VLOOKUP(Tradingbook_MSB[[#This Row],[Security Name]],Ref!X:Z,3,0)</f>
        <v>TPCPBL</v>
      </c>
      <c r="AK291" s="120" t="str">
        <f>VLOOKUP(Tradingbook_MSB[[#This Row],[Security Name]],Ref!X:Y,2,0)</f>
        <v>VDB</v>
      </c>
      <c r="AL291" s="71">
        <f>IF((Tradingbook_MSB[[#This Row],[Mat. Date]]-RPT)&lt;=0,0,Tradingbook_MSB[[#This Row],[QUANTITY]])</f>
        <v>0</v>
      </c>
      <c r="AM291" s="71">
        <f>IF(Tradingbook_MSB[[#This Row],[Quantity_edited]]=0,0,Tradingbook_MSB[[#This Row],[DURATION]])</f>
        <v>0</v>
      </c>
      <c r="AN291" s="71">
        <f>IF(Tradingbook_MSB[[#This Row],[Quantity_edited]]=0,0,Tradingbook_MSB[[#This Row],[Mod Dur]])</f>
        <v>0</v>
      </c>
      <c r="AO291" s="71">
        <f>IF(Tradingbook_MSB[[#This Row],[Quantity_edited]]=0,0,Tradingbook_MSB[[#This Row],[Cnvx.]])</f>
        <v>0</v>
      </c>
      <c r="AP291" s="71">
        <f>(Tradingbook_MSB[[#This Row],[MARKET_VALUE]]+Tradingbook_MSB[[#This Row],[Accr Int]]*Tradingbook_MSB[[#This Row],[Quantity_edited]])*(-Tradingbook_MSB[[#This Row],[Modified Duration]]*0.0001+0.5*Tradingbook_MSB[[#This Row],[Conv]]*(0.0001^2))</f>
        <v>0</v>
      </c>
      <c r="AQ291" s="72">
        <f>(Tradingbook_MSB[[#This Row],[MARKET_VALUE]]+Tradingbook_MSB[[#This Row],[Accr Int]]*Tradingbook_MSB[[#This Row],[Quantity_edited]])*(-Tradingbook_MSB[[#This Row],[Modified Duration]]*0.01+0.5*Tradingbook_MSB[[#This Row],[Conv]]*(0.01^2))</f>
        <v>0</v>
      </c>
      <c r="AR291" s="71"/>
      <c r="CL291" t="s">
        <v>166</v>
      </c>
      <c r="CM291" t="s">
        <v>167</v>
      </c>
      <c r="CN291" t="s">
        <v>478</v>
      </c>
      <c r="CO291" t="s">
        <v>169</v>
      </c>
      <c r="CP291" s="35">
        <v>44370</v>
      </c>
      <c r="CQ291" t="s">
        <v>3322</v>
      </c>
      <c r="CR291" t="s">
        <v>174</v>
      </c>
      <c r="CS291" t="s">
        <v>174</v>
      </c>
      <c r="CT291" s="49">
        <v>0</v>
      </c>
      <c r="CU291">
        <v>0</v>
      </c>
      <c r="CV291">
        <v>0</v>
      </c>
      <c r="CW291" s="70">
        <v>0</v>
      </c>
      <c r="CX291">
        <v>6</v>
      </c>
      <c r="CY291">
        <v>0</v>
      </c>
      <c r="CZ291">
        <v>9000000000</v>
      </c>
      <c r="DA291">
        <v>9646467916.6666794</v>
      </c>
      <c r="DB291">
        <v>-3053779185.4166427</v>
      </c>
      <c r="DC291">
        <v>0</v>
      </c>
      <c r="DD291">
        <v>0</v>
      </c>
      <c r="DE291">
        <v>0</v>
      </c>
      <c r="DF291">
        <v>0</v>
      </c>
      <c r="DG291">
        <v>0</v>
      </c>
      <c r="DH291">
        <v>0</v>
      </c>
      <c r="DI291">
        <v>0</v>
      </c>
      <c r="DJ291" s="500">
        <v>2938000000</v>
      </c>
      <c r="DK291" s="500">
        <v>0</v>
      </c>
      <c r="DL291" s="37">
        <v>2938000000</v>
      </c>
      <c r="DM291" s="37">
        <v>2938000000</v>
      </c>
      <c r="DN291" s="37">
        <v>2938000000</v>
      </c>
      <c r="DO291" s="37">
        <v>2938000000</v>
      </c>
      <c r="DP291" s="32">
        <f>Tradingbook_SBV[[#This Row],[Mat. Date]]-RPT</f>
        <v>-1882</v>
      </c>
      <c r="DQ291" s="32">
        <f>IF(Tradingbook_SBV[[#This Row],[Days]]&lt;=0,0,YEARFRAC(RPT,Tradingbook_SBV[[#This Row],[Mat. Date]],3))</f>
        <v>0</v>
      </c>
      <c r="DR291" s="32">
        <f>IF(Tradingbook_SBV[[#This Row],[Days (year)]]=0,0,INDEX(Ref!$K$2:$K$13,MATCH(Tradingbook_SBV[[#This Row],[Days (year)]],Ref!$I$2:$I$13,1)))</f>
        <v>0</v>
      </c>
      <c r="DS291" s="32" t="str">
        <f>VLOOKUP(Tradingbook_SBV[[#This Row],[Security Name]],Ref!X:Z,3,0)</f>
        <v>TPCP</v>
      </c>
      <c r="DT291" s="32" t="str">
        <f>VLOOKUP(Tradingbook_SBV[[#This Row],[Security Name]],Ref!X:Y,2,0)</f>
        <v>KBNN</v>
      </c>
      <c r="DU291" s="71">
        <f>IF((Tradingbook_SBV[[#This Row],[Mat. Date]]-RPT)&lt;=0,0,Tradingbook_SBV[[#This Row],[QUANTITY]])</f>
        <v>0</v>
      </c>
      <c r="DV291" s="71">
        <f>IF(Tradingbook_SBV[[#This Row],[Quantity_edited]]=0,0,Tradingbook_SBV[[#This Row],[DURATION]])</f>
        <v>0</v>
      </c>
      <c r="DW291" s="71">
        <f>IF(Tradingbook_SBV[[#This Row],[Quantity_edited]]=0,0,Tradingbook_SBV[[#This Row],[Mod Dur]])</f>
        <v>0</v>
      </c>
      <c r="DX291" s="71">
        <f>IF(Tradingbook_SBV[[#This Row],[Quantity_edited]]=0,0,Tradingbook_SBV[[#This Row],[Cnvx.]])</f>
        <v>0</v>
      </c>
      <c r="DY291" s="71">
        <f>(Tradingbook_SBV[[#This Row],[MARKET_VALUE]]+Tradingbook_SBV[[#This Row],[Accr Int]]*Tradingbook_SBV[[#This Row],[Quantity_edited]])*(-Tradingbook_SBV[[#This Row],[Modified Duration]]*0.0001+0.5*Tradingbook_SBV[[#This Row],[Conv]]*(0.0001^2))</f>
        <v>0</v>
      </c>
      <c r="DZ291" s="71">
        <f>(Tradingbook_SBV[[#This Row],[MARKET_VALUE]]+Tradingbook_SBV[[#This Row],[Accr Int]]*Tradingbook_SBV[[#This Row],[Quantity_edited]])*(-Tradingbook_SBV[[#This Row],[Modified Duration]]*0.01+0.5*Tradingbook_SBV[[#This Row],[Conv]]*(0.01^2))</f>
        <v>0</v>
      </c>
      <c r="EC291" t="s">
        <v>166</v>
      </c>
      <c r="ED291" t="s">
        <v>3301</v>
      </c>
      <c r="EE291" t="s">
        <v>677</v>
      </c>
      <c r="EF291" t="s">
        <v>169</v>
      </c>
      <c r="EG291" s="35" t="s">
        <v>3454</v>
      </c>
      <c r="EH291" t="s">
        <v>3322</v>
      </c>
      <c r="EI291" s="500">
        <v>96170</v>
      </c>
      <c r="EJ291" s="500">
        <v>96170</v>
      </c>
      <c r="EK291" s="500">
        <v>0</v>
      </c>
      <c r="EL291" s="500">
        <v>0</v>
      </c>
      <c r="EM291" s="500">
        <v>0</v>
      </c>
      <c r="EN291" s="500">
        <v>0</v>
      </c>
      <c r="EO291">
        <v>4.3</v>
      </c>
      <c r="EP291">
        <v>3028</v>
      </c>
      <c r="EQ291">
        <v>3999000000</v>
      </c>
      <c r="ER291">
        <v>4642316908.3333282</v>
      </c>
      <c r="ES291">
        <v>696995672.10836601</v>
      </c>
      <c r="ET291">
        <v>4.8689372520000003</v>
      </c>
      <c r="EU291">
        <v>6.5918296841248001</v>
      </c>
      <c r="EV291">
        <v>6.9127817399999998</v>
      </c>
      <c r="EW291">
        <v>55.351302000844498</v>
      </c>
      <c r="EX291">
        <v>0</v>
      </c>
      <c r="EY291">
        <v>0</v>
      </c>
      <c r="EZ291">
        <v>0</v>
      </c>
      <c r="FA291">
        <v>11496660000</v>
      </c>
      <c r="FB291">
        <v>0</v>
      </c>
      <c r="FC291">
        <v>11496660000</v>
      </c>
      <c r="FD291">
        <v>11496660000</v>
      </c>
      <c r="FE291">
        <v>11496660000</v>
      </c>
      <c r="FF291">
        <v>11496660000</v>
      </c>
      <c r="FG291" s="32">
        <f>Bankingbook_SBV[[#This Row],[Mat. Date]]-RPT</f>
        <v>3030</v>
      </c>
      <c r="FH291" s="32">
        <f>IF(Bankingbook_SBV[[#This Row],[Days]]&lt;=0,0,YEARFRAC(RPT,Bankingbook_SBV[[#This Row],[Mat. Date]],3))</f>
        <v>8.3013698630136989</v>
      </c>
      <c r="FI291" s="32" t="str">
        <f>IF(Bankingbook_SBV[[#This Row],[Days (year)]]=0,0,INDEX(Ref!$K$2:$K$13,MATCH(Bankingbook_SBV[[#This Row],[Days (year)]],Ref!$I$2:$I$13,1)))</f>
        <v>10Y</v>
      </c>
      <c r="FJ291" s="32" t="str">
        <f>VLOOKUP(Bankingbook_SBV[[#This Row],[Security Name]],Ref!X:Z,3,0)</f>
        <v>TPCPBL</v>
      </c>
      <c r="FK291" s="32" t="str">
        <f>VLOOKUP(Bankingbook_SBV[[#This Row],[Security Name]],Ref!X:Y,2,0)</f>
        <v>VDB</v>
      </c>
      <c r="FL291" s="72">
        <f>IF((Bankingbook_SBV[[#This Row],[Mat. Date]]-RPT)&lt;=0,0,Bankingbook_SBV[[#This Row],[QUANTITY]])</f>
        <v>0</v>
      </c>
      <c r="FM291" s="32">
        <f>IF(Bankingbook_SBV[[#This Row],[Quantity_edited]]=0,0,Bankingbook_SBV[[#This Row],[DURATION]])</f>
        <v>0</v>
      </c>
      <c r="FN291" s="32">
        <f>IF(Bankingbook_SBV[[#This Row],[Quantity_edited]]=0,0,Bankingbook_SBV[[#This Row],[Mod Dur]])</f>
        <v>0</v>
      </c>
      <c r="FO291" s="32">
        <f>IF(Bankingbook_SBV[[#This Row],[Quantity_edited]]=0,0,Bankingbook_SBV[[#This Row],[Cnvx.]])</f>
        <v>0</v>
      </c>
      <c r="FP291" s="32">
        <f>(Bankingbook_SBV[[#This Row],[MARKET_VALUE]]+Bankingbook_SBV[[#This Row],[Accr Int]]*Bankingbook_SBV[[#This Row],[Quantity_edited]])*(-Bankingbook_SBV[[#This Row],[Modified Duration]]*0.0001+0.5*Bankingbook_SBV[[#This Row],[Conv]]*(0.0001^2))</f>
        <v>0</v>
      </c>
      <c r="FQ291" s="32">
        <f>(Bankingbook_SBV[[#This Row],[MARKET_VALUE]]+Bankingbook_SBV[[#This Row],[Accr Int]]*Bankingbook_SBV[[#This Row],[Quantity_edited]])*(-Bankingbook_SBV[[#This Row],[Modified Duration]]*0.01+0.5*Bankingbook_SBV[[#This Row],[Conv]]*(0.01^2))</f>
        <v>0</v>
      </c>
    </row>
    <row r="292" spans="2:173" x14ac:dyDescent="0.3">
      <c r="B292" t="s">
        <v>166</v>
      </c>
      <c r="C292" t="s">
        <v>167</v>
      </c>
      <c r="D292" t="s">
        <v>477</v>
      </c>
      <c r="E292" t="s">
        <v>169</v>
      </c>
      <c r="F292" s="502">
        <v>44369</v>
      </c>
      <c r="G292" t="s">
        <v>3322</v>
      </c>
      <c r="H292"/>
      <c r="I292"/>
      <c r="J292" s="38">
        <v>0</v>
      </c>
      <c r="K292">
        <v>0</v>
      </c>
      <c r="L292">
        <v>0</v>
      </c>
      <c r="M292" s="38">
        <v>0</v>
      </c>
      <c r="N292">
        <v>6.4</v>
      </c>
      <c r="O292">
        <v>0</v>
      </c>
      <c r="P292" s="37">
        <v>33280000000</v>
      </c>
      <c r="Q292" s="37">
        <v>34804748622.222229</v>
      </c>
      <c r="R292" s="37">
        <v>-13528029485.972246</v>
      </c>
      <c r="S292">
        <v>0</v>
      </c>
      <c r="T292" s="70">
        <v>0</v>
      </c>
      <c r="U292">
        <v>0</v>
      </c>
      <c r="V292">
        <v>0</v>
      </c>
      <c r="W292">
        <v>0</v>
      </c>
      <c r="X292" s="38">
        <v>0</v>
      </c>
      <c r="Y292">
        <v>0</v>
      </c>
      <c r="Z292" s="70">
        <v>4401800000</v>
      </c>
      <c r="AA292" s="70">
        <v>0</v>
      </c>
      <c r="AB292" s="70">
        <v>4401800000</v>
      </c>
      <c r="AC292" s="70">
        <v>4401800000</v>
      </c>
      <c r="AD292" s="70">
        <v>4401800000</v>
      </c>
      <c r="AE292" s="70">
        <v>4401800000</v>
      </c>
      <c r="AF292">
        <v>0</v>
      </c>
      <c r="AG292" s="72">
        <f>Tradingbook_MSB[[#This Row],[Mat. Date]]-RPT</f>
        <v>-1883</v>
      </c>
      <c r="AH292" s="71">
        <f>IF(Tradingbook_MSB[[#This Row],[Days]]&lt;=0,0,YEARFRAC(RPT,Tradingbook_MSB[[#This Row],[Mat. Date]],3))</f>
        <v>0</v>
      </c>
      <c r="AI292" s="71">
        <f>IF(Tradingbook_MSB[[#This Row],[Days (year)]]=0,0,INDEX(Ref!$K$2:$K$13,MATCH(Tradingbook_MSB[[#This Row],[Days (year)]],Ref!$I$2:$I$13,1)))</f>
        <v>0</v>
      </c>
      <c r="AJ292" s="120" t="str">
        <f>VLOOKUP(Tradingbook_MSB[[#This Row],[Security Name]],Ref!X:Z,3,0)</f>
        <v>TPCPBL</v>
      </c>
      <c r="AK292" s="120" t="str">
        <f>VLOOKUP(Tradingbook_MSB[[#This Row],[Security Name]],Ref!X:Y,2,0)</f>
        <v>VBS</v>
      </c>
      <c r="AL292" s="71">
        <f>IF((Tradingbook_MSB[[#This Row],[Mat. Date]]-RPT)&lt;=0,0,Tradingbook_MSB[[#This Row],[QUANTITY]])</f>
        <v>0</v>
      </c>
      <c r="AM292" s="71">
        <f>IF(Tradingbook_MSB[[#This Row],[Quantity_edited]]=0,0,Tradingbook_MSB[[#This Row],[DURATION]])</f>
        <v>0</v>
      </c>
      <c r="AN292" s="71">
        <f>IF(Tradingbook_MSB[[#This Row],[Quantity_edited]]=0,0,Tradingbook_MSB[[#This Row],[Mod Dur]])</f>
        <v>0</v>
      </c>
      <c r="AO292" s="71">
        <f>IF(Tradingbook_MSB[[#This Row],[Quantity_edited]]=0,0,Tradingbook_MSB[[#This Row],[Cnvx.]])</f>
        <v>0</v>
      </c>
      <c r="AP292" s="71">
        <f>(Tradingbook_MSB[[#This Row],[MARKET_VALUE]]+Tradingbook_MSB[[#This Row],[Accr Int]]*Tradingbook_MSB[[#This Row],[Quantity_edited]])*(-Tradingbook_MSB[[#This Row],[Modified Duration]]*0.0001+0.5*Tradingbook_MSB[[#This Row],[Conv]]*(0.0001^2))</f>
        <v>0</v>
      </c>
      <c r="AQ292" s="72">
        <f>(Tradingbook_MSB[[#This Row],[MARKET_VALUE]]+Tradingbook_MSB[[#This Row],[Accr Int]]*Tradingbook_MSB[[#This Row],[Quantity_edited]])*(-Tradingbook_MSB[[#This Row],[Modified Duration]]*0.01+0.5*Tradingbook_MSB[[#This Row],[Conv]]*(0.01^2))</f>
        <v>0</v>
      </c>
      <c r="AR292" s="71"/>
      <c r="CL292" t="s">
        <v>166</v>
      </c>
      <c r="CM292" t="s">
        <v>167</v>
      </c>
      <c r="CN292" t="s">
        <v>479</v>
      </c>
      <c r="CO292" t="s">
        <v>169</v>
      </c>
      <c r="CP292" s="35">
        <v>44381</v>
      </c>
      <c r="CQ292" t="s">
        <v>3322</v>
      </c>
      <c r="CR292" t="s">
        <v>174</v>
      </c>
      <c r="CS292" t="s">
        <v>174</v>
      </c>
      <c r="CT292" s="49">
        <v>0</v>
      </c>
      <c r="CU292">
        <v>0</v>
      </c>
      <c r="CV292">
        <v>0</v>
      </c>
      <c r="CW292" s="70">
        <v>0</v>
      </c>
      <c r="CX292">
        <v>6.1</v>
      </c>
      <c r="CY292">
        <v>0</v>
      </c>
      <c r="CZ292">
        <v>6433500000</v>
      </c>
      <c r="DA292">
        <v>6770965905.3472166</v>
      </c>
      <c r="DB292">
        <v>-1480469243.9583204</v>
      </c>
      <c r="DC292">
        <v>0</v>
      </c>
      <c r="DD292">
        <v>0</v>
      </c>
      <c r="DE292">
        <v>0</v>
      </c>
      <c r="DF292">
        <v>0</v>
      </c>
      <c r="DG292">
        <v>0</v>
      </c>
      <c r="DH292">
        <v>0</v>
      </c>
      <c r="DI292">
        <v>0</v>
      </c>
      <c r="DJ292" s="500">
        <v>2403500000</v>
      </c>
      <c r="DK292" s="500">
        <v>0</v>
      </c>
      <c r="DL292" s="37">
        <v>2403500000</v>
      </c>
      <c r="DM292" s="37">
        <v>2403500000</v>
      </c>
      <c r="DN292" s="37">
        <v>2403500000</v>
      </c>
      <c r="DO292" s="37">
        <v>2403500000</v>
      </c>
      <c r="DP292" s="32">
        <f>Tradingbook_SBV[[#This Row],[Mat. Date]]-RPT</f>
        <v>-1871</v>
      </c>
      <c r="DQ292" s="32">
        <f>IF(Tradingbook_SBV[[#This Row],[Days]]&lt;=0,0,YEARFRAC(RPT,Tradingbook_SBV[[#This Row],[Mat. Date]],3))</f>
        <v>0</v>
      </c>
      <c r="DR292" s="32">
        <f>IF(Tradingbook_SBV[[#This Row],[Days (year)]]=0,0,INDEX(Ref!$K$2:$K$13,MATCH(Tradingbook_SBV[[#This Row],[Days (year)]],Ref!$I$2:$I$13,1)))</f>
        <v>0</v>
      </c>
      <c r="DS292" s="32" t="str">
        <f>VLOOKUP(Tradingbook_SBV[[#This Row],[Security Name]],Ref!X:Z,3,0)</f>
        <v>TPCP</v>
      </c>
      <c r="DT292" s="32" t="str">
        <f>VLOOKUP(Tradingbook_SBV[[#This Row],[Security Name]],Ref!X:Y,2,0)</f>
        <v>KBNN</v>
      </c>
      <c r="DU292" s="71">
        <f>IF((Tradingbook_SBV[[#This Row],[Mat. Date]]-RPT)&lt;=0,0,Tradingbook_SBV[[#This Row],[QUANTITY]])</f>
        <v>0</v>
      </c>
      <c r="DV292" s="71">
        <f>IF(Tradingbook_SBV[[#This Row],[Quantity_edited]]=0,0,Tradingbook_SBV[[#This Row],[DURATION]])</f>
        <v>0</v>
      </c>
      <c r="DW292" s="71">
        <f>IF(Tradingbook_SBV[[#This Row],[Quantity_edited]]=0,0,Tradingbook_SBV[[#This Row],[Mod Dur]])</f>
        <v>0</v>
      </c>
      <c r="DX292" s="71">
        <f>IF(Tradingbook_SBV[[#This Row],[Quantity_edited]]=0,0,Tradingbook_SBV[[#This Row],[Cnvx.]])</f>
        <v>0</v>
      </c>
      <c r="DY292" s="71">
        <f>(Tradingbook_SBV[[#This Row],[MARKET_VALUE]]+Tradingbook_SBV[[#This Row],[Accr Int]]*Tradingbook_SBV[[#This Row],[Quantity_edited]])*(-Tradingbook_SBV[[#This Row],[Modified Duration]]*0.0001+0.5*Tradingbook_SBV[[#This Row],[Conv]]*(0.0001^2))</f>
        <v>0</v>
      </c>
      <c r="DZ292" s="71">
        <f>(Tradingbook_SBV[[#This Row],[MARKET_VALUE]]+Tradingbook_SBV[[#This Row],[Accr Int]]*Tradingbook_SBV[[#This Row],[Quantity_edited]])*(-Tradingbook_SBV[[#This Row],[Modified Duration]]*0.01+0.5*Tradingbook_SBV[[#This Row],[Conv]]*(0.01^2))</f>
        <v>0</v>
      </c>
      <c r="EC292" t="s">
        <v>166</v>
      </c>
      <c r="ED292" t="s">
        <v>3301</v>
      </c>
      <c r="EE292" t="s">
        <v>680</v>
      </c>
      <c r="EF292" t="s">
        <v>169</v>
      </c>
      <c r="EG292" s="35" t="s">
        <v>3837</v>
      </c>
      <c r="EH292" t="s">
        <v>3322</v>
      </c>
      <c r="EI292" s="500">
        <v>124511</v>
      </c>
      <c r="EJ292" s="500">
        <v>124511</v>
      </c>
      <c r="EK292" s="500">
        <v>0</v>
      </c>
      <c r="EL292" s="500">
        <v>0</v>
      </c>
      <c r="EM292" s="500">
        <v>0</v>
      </c>
      <c r="EN292" s="500">
        <v>0</v>
      </c>
      <c r="EO292">
        <v>7.75</v>
      </c>
      <c r="EP292">
        <v>7453</v>
      </c>
      <c r="EQ292">
        <v>0</v>
      </c>
      <c r="ER292">
        <v>0</v>
      </c>
      <c r="ES292">
        <v>-12599778.750001907</v>
      </c>
      <c r="ET292">
        <v>4.403357314</v>
      </c>
      <c r="EU292">
        <v>6.3943008724906996</v>
      </c>
      <c r="EV292">
        <v>6.6758647900000003</v>
      </c>
      <c r="EW292">
        <v>56.061889520995898</v>
      </c>
      <c r="EX292">
        <v>0</v>
      </c>
      <c r="EY292">
        <v>0</v>
      </c>
      <c r="EZ292">
        <v>0</v>
      </c>
      <c r="FA292">
        <v>-87000000</v>
      </c>
      <c r="FB292">
        <v>0</v>
      </c>
      <c r="FC292">
        <v>-87000000</v>
      </c>
      <c r="FD292">
        <v>-87000000</v>
      </c>
      <c r="FE292">
        <v>-87000000</v>
      </c>
      <c r="FF292">
        <v>-87000000</v>
      </c>
      <c r="FG292" s="32">
        <f>Bankingbook_SBV[[#This Row],[Mat. Date]]-RPT</f>
        <v>3301</v>
      </c>
      <c r="FH292" s="32">
        <f>IF(Bankingbook_SBV[[#This Row],[Days]]&lt;=0,0,YEARFRAC(RPT,Bankingbook_SBV[[#This Row],[Mat. Date]],3))</f>
        <v>9.043835616438356</v>
      </c>
      <c r="FI292" s="32" t="str">
        <f>IF(Bankingbook_SBV[[#This Row],[Days (year)]]=0,0,INDEX(Ref!$K$2:$K$13,MATCH(Bankingbook_SBV[[#This Row],[Days (year)]],Ref!$I$2:$I$13,1)))</f>
        <v>10Y</v>
      </c>
      <c r="FJ292" s="32" t="str">
        <f>VLOOKUP(Bankingbook_SBV[[#This Row],[Security Name]],Ref!X:Z,3,0)</f>
        <v>TPCP</v>
      </c>
      <c r="FK292" s="32" t="str">
        <f>VLOOKUP(Bankingbook_SBV[[#This Row],[Security Name]],Ref!X:Y,2,0)</f>
        <v>KBNN</v>
      </c>
      <c r="FL292" s="72">
        <f>IF((Bankingbook_SBV[[#This Row],[Mat. Date]]-RPT)&lt;=0,0,Bankingbook_SBV[[#This Row],[QUANTITY]])</f>
        <v>0</v>
      </c>
      <c r="FM292" s="32">
        <f>IF(Bankingbook_SBV[[#This Row],[Quantity_edited]]=0,0,Bankingbook_SBV[[#This Row],[DURATION]])</f>
        <v>0</v>
      </c>
      <c r="FN292" s="32">
        <f>IF(Bankingbook_SBV[[#This Row],[Quantity_edited]]=0,0,Bankingbook_SBV[[#This Row],[Mod Dur]])</f>
        <v>0</v>
      </c>
      <c r="FO292" s="32">
        <f>IF(Bankingbook_SBV[[#This Row],[Quantity_edited]]=0,0,Bankingbook_SBV[[#This Row],[Cnvx.]])</f>
        <v>0</v>
      </c>
      <c r="FP292" s="32">
        <f>(Bankingbook_SBV[[#This Row],[MARKET_VALUE]]+Bankingbook_SBV[[#This Row],[Accr Int]]*Bankingbook_SBV[[#This Row],[Quantity_edited]])*(-Bankingbook_SBV[[#This Row],[Modified Duration]]*0.0001+0.5*Bankingbook_SBV[[#This Row],[Conv]]*(0.0001^2))</f>
        <v>0</v>
      </c>
      <c r="FQ292" s="32">
        <f>(Bankingbook_SBV[[#This Row],[MARKET_VALUE]]+Bankingbook_SBV[[#This Row],[Accr Int]]*Bankingbook_SBV[[#This Row],[Quantity_edited]])*(-Bankingbook_SBV[[#This Row],[Modified Duration]]*0.01+0.5*Bankingbook_SBV[[#This Row],[Conv]]*(0.01^2))</f>
        <v>0</v>
      </c>
    </row>
    <row r="293" spans="2:173" x14ac:dyDescent="0.3">
      <c r="B293" t="s">
        <v>166</v>
      </c>
      <c r="C293" t="s">
        <v>167</v>
      </c>
      <c r="D293" t="s">
        <v>478</v>
      </c>
      <c r="E293" t="s">
        <v>169</v>
      </c>
      <c r="F293" s="502">
        <v>44370</v>
      </c>
      <c r="G293" t="s">
        <v>3322</v>
      </c>
      <c r="H293"/>
      <c r="I293"/>
      <c r="J293" s="38">
        <v>0</v>
      </c>
      <c r="K293">
        <v>0</v>
      </c>
      <c r="L293">
        <v>0</v>
      </c>
      <c r="M293" s="38">
        <v>0</v>
      </c>
      <c r="N293">
        <v>6</v>
      </c>
      <c r="O293">
        <v>0</v>
      </c>
      <c r="P293" s="37">
        <v>9000000000</v>
      </c>
      <c r="Q293" s="37">
        <v>9646467916.6666794</v>
      </c>
      <c r="R293" s="37">
        <v>-3053779185.4166427</v>
      </c>
      <c r="S293">
        <v>0</v>
      </c>
      <c r="T293" s="70">
        <v>0</v>
      </c>
      <c r="U293">
        <v>0</v>
      </c>
      <c r="V293">
        <v>0</v>
      </c>
      <c r="W293">
        <v>0</v>
      </c>
      <c r="X293" s="38">
        <v>0</v>
      </c>
      <c r="Y293">
        <v>0</v>
      </c>
      <c r="Z293" s="70">
        <v>2938000000</v>
      </c>
      <c r="AA293" s="70">
        <v>0</v>
      </c>
      <c r="AB293" s="70">
        <v>2938000000</v>
      </c>
      <c r="AC293" s="70">
        <v>2938000000</v>
      </c>
      <c r="AD293" s="70">
        <v>2938000000</v>
      </c>
      <c r="AE293" s="70">
        <v>2938000000</v>
      </c>
      <c r="AF293">
        <v>0</v>
      </c>
      <c r="AG293" s="72">
        <f>Tradingbook_MSB[[#This Row],[Mat. Date]]-RPT</f>
        <v>-1882</v>
      </c>
      <c r="AH293" s="71">
        <f>IF(Tradingbook_MSB[[#This Row],[Days]]&lt;=0,0,YEARFRAC(RPT,Tradingbook_MSB[[#This Row],[Mat. Date]],3))</f>
        <v>0</v>
      </c>
      <c r="AI293" s="71">
        <f>IF(Tradingbook_MSB[[#This Row],[Days (year)]]=0,0,INDEX(Ref!$K$2:$K$13,MATCH(Tradingbook_MSB[[#This Row],[Days (year)]],Ref!$I$2:$I$13,1)))</f>
        <v>0</v>
      </c>
      <c r="AJ293" s="120" t="str">
        <f>VLOOKUP(Tradingbook_MSB[[#This Row],[Security Name]],Ref!X:Z,3,0)</f>
        <v>TPCP</v>
      </c>
      <c r="AK293" s="120" t="str">
        <f>VLOOKUP(Tradingbook_MSB[[#This Row],[Security Name]],Ref!X:Y,2,0)</f>
        <v>KBNN</v>
      </c>
      <c r="AL293" s="71">
        <f>IF((Tradingbook_MSB[[#This Row],[Mat. Date]]-RPT)&lt;=0,0,Tradingbook_MSB[[#This Row],[QUANTITY]])</f>
        <v>0</v>
      </c>
      <c r="AM293" s="71">
        <f>IF(Tradingbook_MSB[[#This Row],[Quantity_edited]]=0,0,Tradingbook_MSB[[#This Row],[DURATION]])</f>
        <v>0</v>
      </c>
      <c r="AN293" s="71">
        <f>IF(Tradingbook_MSB[[#This Row],[Quantity_edited]]=0,0,Tradingbook_MSB[[#This Row],[Mod Dur]])</f>
        <v>0</v>
      </c>
      <c r="AO293" s="71">
        <f>IF(Tradingbook_MSB[[#This Row],[Quantity_edited]]=0,0,Tradingbook_MSB[[#This Row],[Cnvx.]])</f>
        <v>0</v>
      </c>
      <c r="AP293" s="71">
        <f>(Tradingbook_MSB[[#This Row],[MARKET_VALUE]]+Tradingbook_MSB[[#This Row],[Accr Int]]*Tradingbook_MSB[[#This Row],[Quantity_edited]])*(-Tradingbook_MSB[[#This Row],[Modified Duration]]*0.0001+0.5*Tradingbook_MSB[[#This Row],[Conv]]*(0.0001^2))</f>
        <v>0</v>
      </c>
      <c r="AQ293" s="72">
        <f>(Tradingbook_MSB[[#This Row],[MARKET_VALUE]]+Tradingbook_MSB[[#This Row],[Accr Int]]*Tradingbook_MSB[[#This Row],[Quantity_edited]])*(-Tradingbook_MSB[[#This Row],[Modified Duration]]*0.01+0.5*Tradingbook_MSB[[#This Row],[Conv]]*(0.01^2))</f>
        <v>0</v>
      </c>
      <c r="AR293" s="71"/>
      <c r="CL293" t="s">
        <v>166</v>
      </c>
      <c r="CM293" t="s">
        <v>167</v>
      </c>
      <c r="CN293" t="s">
        <v>480</v>
      </c>
      <c r="CO293" t="s">
        <v>169</v>
      </c>
      <c r="CP293" s="35">
        <v>44381</v>
      </c>
      <c r="CQ293" t="s">
        <v>3322</v>
      </c>
      <c r="CR293" t="s">
        <v>174</v>
      </c>
      <c r="CS293" t="s">
        <v>174</v>
      </c>
      <c r="CT293" s="49">
        <v>0</v>
      </c>
      <c r="CU293">
        <v>0</v>
      </c>
      <c r="CV293">
        <v>0</v>
      </c>
      <c r="CW293" s="70">
        <v>0</v>
      </c>
      <c r="CX293">
        <v>6.3</v>
      </c>
      <c r="CY293">
        <v>0</v>
      </c>
      <c r="CZ293">
        <v>0</v>
      </c>
      <c r="DA293">
        <v>0</v>
      </c>
      <c r="DB293">
        <v>-20404280.555553436</v>
      </c>
      <c r="DC293">
        <v>0</v>
      </c>
      <c r="DD293">
        <v>0</v>
      </c>
      <c r="DE293">
        <v>0</v>
      </c>
      <c r="DF293">
        <v>0</v>
      </c>
      <c r="DG293">
        <v>0</v>
      </c>
      <c r="DH293">
        <v>0</v>
      </c>
      <c r="DI293">
        <v>0</v>
      </c>
      <c r="DJ293" s="500">
        <v>36500000</v>
      </c>
      <c r="DK293" s="500">
        <v>0</v>
      </c>
      <c r="DL293" s="37">
        <v>36500000</v>
      </c>
      <c r="DM293" s="37">
        <v>36500000</v>
      </c>
      <c r="DN293" s="37">
        <v>36500000</v>
      </c>
      <c r="DO293" s="37">
        <v>36500000</v>
      </c>
      <c r="DP293" s="32">
        <f>Tradingbook_SBV[[#This Row],[Mat. Date]]-RPT</f>
        <v>-1871</v>
      </c>
      <c r="DQ293" s="32">
        <f>IF(Tradingbook_SBV[[#This Row],[Days]]&lt;=0,0,YEARFRAC(RPT,Tradingbook_SBV[[#This Row],[Mat. Date]],3))</f>
        <v>0</v>
      </c>
      <c r="DR293" s="32">
        <f>IF(Tradingbook_SBV[[#This Row],[Days (year)]]=0,0,INDEX(Ref!$K$2:$K$13,MATCH(Tradingbook_SBV[[#This Row],[Days (year)]],Ref!$I$2:$I$13,1)))</f>
        <v>0</v>
      </c>
      <c r="DS293" s="32" t="str">
        <f>VLOOKUP(Tradingbook_SBV[[#This Row],[Security Name]],Ref!X:Z,3,0)</f>
        <v>TPCPBL</v>
      </c>
      <c r="DT293" s="32" t="str">
        <f>VLOOKUP(Tradingbook_SBV[[#This Row],[Security Name]],Ref!X:Y,2,0)</f>
        <v>VDB</v>
      </c>
      <c r="DU293" s="71">
        <f>IF((Tradingbook_SBV[[#This Row],[Mat. Date]]-RPT)&lt;=0,0,Tradingbook_SBV[[#This Row],[QUANTITY]])</f>
        <v>0</v>
      </c>
      <c r="DV293" s="71">
        <f>IF(Tradingbook_SBV[[#This Row],[Quantity_edited]]=0,0,Tradingbook_SBV[[#This Row],[DURATION]])</f>
        <v>0</v>
      </c>
      <c r="DW293" s="71">
        <f>IF(Tradingbook_SBV[[#This Row],[Quantity_edited]]=0,0,Tradingbook_SBV[[#This Row],[Mod Dur]])</f>
        <v>0</v>
      </c>
      <c r="DX293" s="71">
        <f>IF(Tradingbook_SBV[[#This Row],[Quantity_edited]]=0,0,Tradingbook_SBV[[#This Row],[Cnvx.]])</f>
        <v>0</v>
      </c>
      <c r="DY293" s="71">
        <f>(Tradingbook_SBV[[#This Row],[MARKET_VALUE]]+Tradingbook_SBV[[#This Row],[Accr Int]]*Tradingbook_SBV[[#This Row],[Quantity_edited]])*(-Tradingbook_SBV[[#This Row],[Modified Duration]]*0.0001+0.5*Tradingbook_SBV[[#This Row],[Conv]]*(0.0001^2))</f>
        <v>0</v>
      </c>
      <c r="DZ293" s="71">
        <f>(Tradingbook_SBV[[#This Row],[MARKET_VALUE]]+Tradingbook_SBV[[#This Row],[Accr Int]]*Tradingbook_SBV[[#This Row],[Quantity_edited]])*(-Tradingbook_SBV[[#This Row],[Modified Duration]]*0.01+0.5*Tradingbook_SBV[[#This Row],[Conv]]*(0.01^2))</f>
        <v>0</v>
      </c>
      <c r="EC293" t="s">
        <v>166</v>
      </c>
      <c r="ED293" t="s">
        <v>3302</v>
      </c>
      <c r="EE293" t="s">
        <v>2831</v>
      </c>
      <c r="EF293" t="s">
        <v>169</v>
      </c>
      <c r="EG293" s="35" t="s">
        <v>3492</v>
      </c>
      <c r="EH293" t="s">
        <v>170</v>
      </c>
      <c r="EI293" s="500">
        <v>89242</v>
      </c>
      <c r="EJ293" s="500">
        <v>89242</v>
      </c>
      <c r="EK293" s="500">
        <v>6500000</v>
      </c>
      <c r="EL293" s="500">
        <v>650000000000</v>
      </c>
      <c r="EM293" s="500">
        <v>99056.684999999998</v>
      </c>
      <c r="EN293" s="500">
        <v>580073000000</v>
      </c>
      <c r="EO293">
        <v>2.7</v>
      </c>
      <c r="EP293">
        <v>436</v>
      </c>
      <c r="EQ293">
        <v>33750000000</v>
      </c>
      <c r="ER293">
        <v>34914866250.000015</v>
      </c>
      <c r="ES293">
        <v>-55794997583.125038</v>
      </c>
      <c r="ET293">
        <v>4.3478352539999996</v>
      </c>
      <c r="EU293">
        <v>6.7938758661736998</v>
      </c>
      <c r="EV293">
        <v>7.0892624</v>
      </c>
      <c r="EW293">
        <v>55.677961934934999</v>
      </c>
      <c r="EX293">
        <v>324550.73757607129</v>
      </c>
      <c r="EY293">
        <v>-396019.77995236998</v>
      </c>
      <c r="EZ293">
        <v>67972.039999999994</v>
      </c>
      <c r="FA293">
        <v>-3400166759.5960021</v>
      </c>
      <c r="FB293">
        <v>-63795453240.40358</v>
      </c>
      <c r="FC293">
        <v>-67195619999.99958</v>
      </c>
      <c r="FD293">
        <v>-67195619999.99958</v>
      </c>
      <c r="FE293">
        <v>-67195620000</v>
      </c>
      <c r="FF293">
        <v>-67195619999.99958</v>
      </c>
      <c r="FG293" s="32">
        <f>Bankingbook_SBV[[#This Row],[Mat. Date]]-RPT</f>
        <v>2863</v>
      </c>
      <c r="FH293" s="32">
        <f>IF(Bankingbook_SBV[[#This Row],[Days]]&lt;=0,0,YEARFRAC(RPT,Bankingbook_SBV[[#This Row],[Mat. Date]],3))</f>
        <v>7.8438356164383558</v>
      </c>
      <c r="FI293" s="32" t="str">
        <f>IF(Bankingbook_SBV[[#This Row],[Days (year)]]=0,0,INDEX(Ref!$K$2:$K$13,MATCH(Bankingbook_SBV[[#This Row],[Days (year)]],Ref!$I$2:$I$13,1)))</f>
        <v>10Y</v>
      </c>
      <c r="FJ293" s="32" t="str">
        <f>VLOOKUP(Bankingbook_SBV[[#This Row],[Security Name]],Ref!X:Z,3,0)</f>
        <v>TPCP</v>
      </c>
      <c r="FK293" s="32" t="str">
        <f>VLOOKUP(Bankingbook_SBV[[#This Row],[Security Name]],Ref!X:Y,2,0)</f>
        <v>KBNN</v>
      </c>
      <c r="FL293" s="72">
        <f>IF((Bankingbook_SBV[[#This Row],[Mat. Date]]-RPT)&lt;=0,0,Bankingbook_SBV[[#This Row],[QUANTITY]])</f>
        <v>6500000</v>
      </c>
      <c r="FM293" s="32">
        <f>IF(Bankingbook_SBV[[#This Row],[Quantity_edited]]=0,0,Bankingbook_SBV[[#This Row],[DURATION]])</f>
        <v>7.0892624</v>
      </c>
      <c r="FN293" s="32">
        <f>IF(Bankingbook_SBV[[#This Row],[Quantity_edited]]=0,0,Bankingbook_SBV[[#This Row],[Mod Dur]])</f>
        <v>6.7938758661736998</v>
      </c>
      <c r="FO293" s="32">
        <f>IF(Bankingbook_SBV[[#This Row],[Quantity_edited]]=0,0,Bankingbook_SBV[[#This Row],[Cnvx.]])</f>
        <v>55.677961934934999</v>
      </c>
      <c r="FP293" s="32">
        <f>(Bankingbook_SBV[[#This Row],[MARKET_VALUE]]+Bankingbook_SBV[[#This Row],[Accr Int]]*Bankingbook_SBV[[#This Row],[Quantity_edited]])*(-Bankingbook_SBV[[#This Row],[Modified Duration]]*0.0001+0.5*Bankingbook_SBV[[#This Row],[Conv]]*(0.0001^2))</f>
        <v>-395857504.58358324</v>
      </c>
      <c r="FQ293" s="32">
        <f>(Bankingbook_SBV[[#This Row],[MARKET_VALUE]]+Bankingbook_SBV[[#This Row],[Accr Int]]*Bankingbook_SBV[[#This Row],[Quantity_edited]])*(-Bankingbook_SBV[[#This Row],[Modified Duration]]*0.01+0.5*Bankingbook_SBV[[#This Row],[Conv]]*(0.01^2))</f>
        <v>-37979224307.356766</v>
      </c>
    </row>
    <row r="294" spans="2:173" x14ac:dyDescent="0.3">
      <c r="B294" t="s">
        <v>166</v>
      </c>
      <c r="C294" t="s">
        <v>167</v>
      </c>
      <c r="D294" t="s">
        <v>479</v>
      </c>
      <c r="E294" t="s">
        <v>169</v>
      </c>
      <c r="F294" s="502">
        <v>44381</v>
      </c>
      <c r="G294" t="s">
        <v>3322</v>
      </c>
      <c r="H294"/>
      <c r="I294"/>
      <c r="J294" s="38">
        <v>0</v>
      </c>
      <c r="K294">
        <v>0</v>
      </c>
      <c r="L294">
        <v>0</v>
      </c>
      <c r="M294" s="38">
        <v>0</v>
      </c>
      <c r="N294">
        <v>6.1</v>
      </c>
      <c r="O294">
        <v>0</v>
      </c>
      <c r="P294" s="37">
        <v>6433500000</v>
      </c>
      <c r="Q294" s="37">
        <v>6770965905.3472166</v>
      </c>
      <c r="R294" s="37">
        <v>-1480469243.9583204</v>
      </c>
      <c r="S294">
        <v>0</v>
      </c>
      <c r="T294" s="70">
        <v>0</v>
      </c>
      <c r="U294">
        <v>0</v>
      </c>
      <c r="V294">
        <v>0</v>
      </c>
      <c r="W294">
        <v>0</v>
      </c>
      <c r="X294" s="38">
        <v>0</v>
      </c>
      <c r="Y294">
        <v>0</v>
      </c>
      <c r="Z294" s="70">
        <v>2403500000</v>
      </c>
      <c r="AA294" s="70">
        <v>0</v>
      </c>
      <c r="AB294" s="70">
        <v>2403500000</v>
      </c>
      <c r="AC294" s="70">
        <v>2403500000</v>
      </c>
      <c r="AD294" s="70">
        <v>2403500000</v>
      </c>
      <c r="AE294" s="70">
        <v>2403500000</v>
      </c>
      <c r="AF294">
        <v>0</v>
      </c>
      <c r="AG294" s="72">
        <f>Tradingbook_MSB[[#This Row],[Mat. Date]]-RPT</f>
        <v>-1871</v>
      </c>
      <c r="AH294" s="71">
        <f>IF(Tradingbook_MSB[[#This Row],[Days]]&lt;=0,0,YEARFRAC(RPT,Tradingbook_MSB[[#This Row],[Mat. Date]],3))</f>
        <v>0</v>
      </c>
      <c r="AI294" s="71">
        <f>IF(Tradingbook_MSB[[#This Row],[Days (year)]]=0,0,INDEX(Ref!$K$2:$K$13,MATCH(Tradingbook_MSB[[#This Row],[Days (year)]],Ref!$I$2:$I$13,1)))</f>
        <v>0</v>
      </c>
      <c r="AJ294" s="120" t="str">
        <f>VLOOKUP(Tradingbook_MSB[[#This Row],[Security Name]],Ref!X:Z,3,0)</f>
        <v>TPCP</v>
      </c>
      <c r="AK294" s="120" t="str">
        <f>VLOOKUP(Tradingbook_MSB[[#This Row],[Security Name]],Ref!X:Y,2,0)</f>
        <v>KBNN</v>
      </c>
      <c r="AL294" s="71">
        <f>IF((Tradingbook_MSB[[#This Row],[Mat. Date]]-RPT)&lt;=0,0,Tradingbook_MSB[[#This Row],[QUANTITY]])</f>
        <v>0</v>
      </c>
      <c r="AM294" s="71">
        <f>IF(Tradingbook_MSB[[#This Row],[Quantity_edited]]=0,0,Tradingbook_MSB[[#This Row],[DURATION]])</f>
        <v>0</v>
      </c>
      <c r="AN294" s="71">
        <f>IF(Tradingbook_MSB[[#This Row],[Quantity_edited]]=0,0,Tradingbook_MSB[[#This Row],[Mod Dur]])</f>
        <v>0</v>
      </c>
      <c r="AO294" s="71">
        <f>IF(Tradingbook_MSB[[#This Row],[Quantity_edited]]=0,0,Tradingbook_MSB[[#This Row],[Cnvx.]])</f>
        <v>0</v>
      </c>
      <c r="AP294" s="71">
        <f>(Tradingbook_MSB[[#This Row],[MARKET_VALUE]]+Tradingbook_MSB[[#This Row],[Accr Int]]*Tradingbook_MSB[[#This Row],[Quantity_edited]])*(-Tradingbook_MSB[[#This Row],[Modified Duration]]*0.0001+0.5*Tradingbook_MSB[[#This Row],[Conv]]*(0.0001^2))</f>
        <v>0</v>
      </c>
      <c r="AQ294" s="72">
        <f>(Tradingbook_MSB[[#This Row],[MARKET_VALUE]]+Tradingbook_MSB[[#This Row],[Accr Int]]*Tradingbook_MSB[[#This Row],[Quantity_edited]])*(-Tradingbook_MSB[[#This Row],[Modified Duration]]*0.01+0.5*Tradingbook_MSB[[#This Row],[Conv]]*(0.01^2))</f>
        <v>0</v>
      </c>
      <c r="AR294" s="71"/>
      <c r="CL294" t="s">
        <v>166</v>
      </c>
      <c r="CM294" t="s">
        <v>167</v>
      </c>
      <c r="CN294" t="s">
        <v>481</v>
      </c>
      <c r="CO294" t="s">
        <v>169</v>
      </c>
      <c r="CP294" s="35">
        <v>44384</v>
      </c>
      <c r="CQ294" t="s">
        <v>3322</v>
      </c>
      <c r="CR294" t="s">
        <v>174</v>
      </c>
      <c r="CS294" t="s">
        <v>174</v>
      </c>
      <c r="CT294" s="49">
        <v>0</v>
      </c>
      <c r="CU294">
        <v>0</v>
      </c>
      <c r="CV294">
        <v>0</v>
      </c>
      <c r="CW294" s="70">
        <v>0</v>
      </c>
      <c r="CX294">
        <v>6.1</v>
      </c>
      <c r="CY294">
        <v>0</v>
      </c>
      <c r="CZ294">
        <v>0</v>
      </c>
      <c r="DA294">
        <v>-7.9999999999999996E-6</v>
      </c>
      <c r="DB294">
        <v>-3164275134.6096907</v>
      </c>
      <c r="DC294">
        <v>0</v>
      </c>
      <c r="DD294">
        <v>0</v>
      </c>
      <c r="DE294">
        <v>0</v>
      </c>
      <c r="DF294">
        <v>0</v>
      </c>
      <c r="DG294">
        <v>0</v>
      </c>
      <c r="DH294">
        <v>0</v>
      </c>
      <c r="DI294">
        <v>0</v>
      </c>
      <c r="DJ294" s="500">
        <v>-2112080000</v>
      </c>
      <c r="DK294" s="500">
        <v>0</v>
      </c>
      <c r="DL294" s="37">
        <v>-2112080000</v>
      </c>
      <c r="DM294" s="37">
        <v>-2112080000</v>
      </c>
      <c r="DN294" s="37">
        <v>-2112080000</v>
      </c>
      <c r="DO294" s="37">
        <v>-2112080000</v>
      </c>
      <c r="DP294" s="32">
        <f>Tradingbook_SBV[[#This Row],[Mat. Date]]-RPT</f>
        <v>-1868</v>
      </c>
      <c r="DQ294" s="32">
        <f>IF(Tradingbook_SBV[[#This Row],[Days]]&lt;=0,0,YEARFRAC(RPT,Tradingbook_SBV[[#This Row],[Mat. Date]],3))</f>
        <v>0</v>
      </c>
      <c r="DR294" s="32">
        <f>IF(Tradingbook_SBV[[#This Row],[Days (year)]]=0,0,INDEX(Ref!$K$2:$K$13,MATCH(Tradingbook_SBV[[#This Row],[Days (year)]],Ref!$I$2:$I$13,1)))</f>
        <v>0</v>
      </c>
      <c r="DS294" s="32" t="str">
        <f>VLOOKUP(Tradingbook_SBV[[#This Row],[Security Name]],Ref!X:Z,3,0)</f>
        <v>TPCP</v>
      </c>
      <c r="DT294" s="32" t="str">
        <f>VLOOKUP(Tradingbook_SBV[[#This Row],[Security Name]],Ref!X:Y,2,0)</f>
        <v>KBNN</v>
      </c>
      <c r="DU294" s="71">
        <f>IF((Tradingbook_SBV[[#This Row],[Mat. Date]]-RPT)&lt;=0,0,Tradingbook_SBV[[#This Row],[QUANTITY]])</f>
        <v>0</v>
      </c>
      <c r="DV294" s="71">
        <f>IF(Tradingbook_SBV[[#This Row],[Quantity_edited]]=0,0,Tradingbook_SBV[[#This Row],[DURATION]])</f>
        <v>0</v>
      </c>
      <c r="DW294" s="71">
        <f>IF(Tradingbook_SBV[[#This Row],[Quantity_edited]]=0,0,Tradingbook_SBV[[#This Row],[Mod Dur]])</f>
        <v>0</v>
      </c>
      <c r="DX294" s="71">
        <f>IF(Tradingbook_SBV[[#This Row],[Quantity_edited]]=0,0,Tradingbook_SBV[[#This Row],[Cnvx.]])</f>
        <v>0</v>
      </c>
      <c r="DY294" s="71">
        <f>(Tradingbook_SBV[[#This Row],[MARKET_VALUE]]+Tradingbook_SBV[[#This Row],[Accr Int]]*Tradingbook_SBV[[#This Row],[Quantity_edited]])*(-Tradingbook_SBV[[#This Row],[Modified Duration]]*0.0001+0.5*Tradingbook_SBV[[#This Row],[Conv]]*(0.0001^2))</f>
        <v>0</v>
      </c>
      <c r="DZ294" s="71">
        <f>(Tradingbook_SBV[[#This Row],[MARKET_VALUE]]+Tradingbook_SBV[[#This Row],[Accr Int]]*Tradingbook_SBV[[#This Row],[Quantity_edited]])*(-Tradingbook_SBV[[#This Row],[Modified Duration]]*0.01+0.5*Tradingbook_SBV[[#This Row],[Conv]]*(0.01^2))</f>
        <v>0</v>
      </c>
      <c r="EC294" t="s">
        <v>166</v>
      </c>
      <c r="ED294" t="s">
        <v>3302</v>
      </c>
      <c r="EE294" t="s">
        <v>2834</v>
      </c>
      <c r="EF294" t="s">
        <v>169</v>
      </c>
      <c r="EG294" s="35" t="s">
        <v>3493</v>
      </c>
      <c r="EH294" t="s">
        <v>170</v>
      </c>
      <c r="EI294" s="500">
        <v>89188</v>
      </c>
      <c r="EJ294" s="500">
        <v>89188</v>
      </c>
      <c r="EK294" s="500">
        <v>5500000</v>
      </c>
      <c r="EL294" s="500">
        <v>550000000000</v>
      </c>
      <c r="EM294" s="500">
        <v>98982.827000000005</v>
      </c>
      <c r="EN294" s="500">
        <v>490534000000</v>
      </c>
      <c r="EO294">
        <v>2.7</v>
      </c>
      <c r="EP294">
        <v>333</v>
      </c>
      <c r="EQ294">
        <v>31050000000</v>
      </c>
      <c r="ER294">
        <v>32135808750.000015</v>
      </c>
      <c r="ES294">
        <v>-64607192213.333389</v>
      </c>
      <c r="ET294">
        <v>4.3495893649999999</v>
      </c>
      <c r="EU294">
        <v>6.8304662246465</v>
      </c>
      <c r="EV294">
        <v>7.1275634600000002</v>
      </c>
      <c r="EW294">
        <v>56.211552698706299</v>
      </c>
      <c r="EX294">
        <v>276766.29250274901</v>
      </c>
      <c r="EY294">
        <v>-336308.591793117</v>
      </c>
      <c r="EZ294">
        <v>57436.79</v>
      </c>
      <c r="FA294">
        <v>-18150569064.449303</v>
      </c>
      <c r="FB294">
        <v>-53871550935.550949</v>
      </c>
      <c r="FC294">
        <v>-72022120000.000244</v>
      </c>
      <c r="FD294">
        <v>-72022120000.000244</v>
      </c>
      <c r="FE294">
        <v>-72022120000</v>
      </c>
      <c r="FF294">
        <v>-72022120000.000244</v>
      </c>
      <c r="FG294" s="32">
        <f>Bankingbook_SBV[[#This Row],[Mat. Date]]-RPT</f>
        <v>2877</v>
      </c>
      <c r="FH294" s="32">
        <f>IF(Bankingbook_SBV[[#This Row],[Days]]&lt;=0,0,YEARFRAC(RPT,Bankingbook_SBV[[#This Row],[Mat. Date]],3))</f>
        <v>7.882191780821918</v>
      </c>
      <c r="FI294" s="32" t="str">
        <f>IF(Bankingbook_SBV[[#This Row],[Days (year)]]=0,0,INDEX(Ref!$K$2:$K$13,MATCH(Bankingbook_SBV[[#This Row],[Days (year)]],Ref!$I$2:$I$13,1)))</f>
        <v>10Y</v>
      </c>
      <c r="FJ294" s="32" t="str">
        <f>VLOOKUP(Bankingbook_SBV[[#This Row],[Security Name]],Ref!X:Z,3,0)</f>
        <v>TPCP</v>
      </c>
      <c r="FK294" s="32" t="str">
        <f>VLOOKUP(Bankingbook_SBV[[#This Row],[Security Name]],Ref!X:Y,2,0)</f>
        <v>KBNN</v>
      </c>
      <c r="FL294" s="72">
        <f>IF((Bankingbook_SBV[[#This Row],[Mat. Date]]-RPT)&lt;=0,0,Bankingbook_SBV[[#This Row],[QUANTITY]])</f>
        <v>5500000</v>
      </c>
      <c r="FM294" s="32">
        <f>IF(Bankingbook_SBV[[#This Row],[Quantity_edited]]=0,0,Bankingbook_SBV[[#This Row],[DURATION]])</f>
        <v>7.1275634600000002</v>
      </c>
      <c r="FN294" s="32">
        <f>IF(Bankingbook_SBV[[#This Row],[Quantity_edited]]=0,0,Bankingbook_SBV[[#This Row],[Mod Dur]])</f>
        <v>6.8304662246465</v>
      </c>
      <c r="FO294" s="32">
        <f>IF(Bankingbook_SBV[[#This Row],[Quantity_edited]]=0,0,Bankingbook_SBV[[#This Row],[Cnvx.]])</f>
        <v>56.211552698706299</v>
      </c>
      <c r="FP294" s="32">
        <f>(Bankingbook_SBV[[#This Row],[MARKET_VALUE]]+Bankingbook_SBV[[#This Row],[Accr Int]]*Bankingbook_SBV[[#This Row],[Quantity_edited]])*(-Bankingbook_SBV[[#This Row],[Modified Duration]]*0.0001+0.5*Bankingbook_SBV[[#This Row],[Conv]]*(0.0001^2))</f>
        <v>-336170208.64686728</v>
      </c>
      <c r="FQ294" s="32">
        <f>(Bankingbook_SBV[[#This Row],[MARKET_VALUE]]+Bankingbook_SBV[[#This Row],[Accr Int]]*Bankingbook_SBV[[#This Row],[Quantity_edited]])*(-Bankingbook_SBV[[#This Row],[Modified Duration]]*0.01+0.5*Bankingbook_SBV[[#This Row],[Conv]]*(0.01^2))</f>
        <v>-32247027716.798119</v>
      </c>
    </row>
    <row r="295" spans="2:173" x14ac:dyDescent="0.3">
      <c r="B295" t="s">
        <v>166</v>
      </c>
      <c r="C295" t="s">
        <v>167</v>
      </c>
      <c r="D295" t="s">
        <v>480</v>
      </c>
      <c r="E295" t="s">
        <v>169</v>
      </c>
      <c r="F295" s="502">
        <v>44381</v>
      </c>
      <c r="G295" t="s">
        <v>3322</v>
      </c>
      <c r="H295"/>
      <c r="I295"/>
      <c r="J295" s="38">
        <v>0</v>
      </c>
      <c r="K295">
        <v>0</v>
      </c>
      <c r="L295">
        <v>0</v>
      </c>
      <c r="M295" s="38">
        <v>0</v>
      </c>
      <c r="N295">
        <v>6.3</v>
      </c>
      <c r="O295">
        <v>0</v>
      </c>
      <c r="P295" s="37">
        <v>6300000000</v>
      </c>
      <c r="Q295" s="37">
        <v>6468031500</v>
      </c>
      <c r="R295" s="37">
        <v>-216301034.44444132</v>
      </c>
      <c r="S295">
        <v>0</v>
      </c>
      <c r="T295" s="70">
        <v>0</v>
      </c>
      <c r="U295">
        <v>0</v>
      </c>
      <c r="V295">
        <v>0</v>
      </c>
      <c r="W295">
        <v>0</v>
      </c>
      <c r="X295" s="38">
        <v>0</v>
      </c>
      <c r="Y295">
        <v>0</v>
      </c>
      <c r="Z295" s="70">
        <v>81500000</v>
      </c>
      <c r="AA295" s="70">
        <v>0</v>
      </c>
      <c r="AB295" s="70">
        <v>81500000</v>
      </c>
      <c r="AC295" s="70">
        <v>81500000</v>
      </c>
      <c r="AD295" s="70">
        <v>81500000</v>
      </c>
      <c r="AE295" s="70">
        <v>81500000</v>
      </c>
      <c r="AF295">
        <v>0</v>
      </c>
      <c r="AG295" s="72">
        <f>Tradingbook_MSB[[#This Row],[Mat. Date]]-RPT</f>
        <v>-1871</v>
      </c>
      <c r="AH295" s="71">
        <f>IF(Tradingbook_MSB[[#This Row],[Days]]&lt;=0,0,YEARFRAC(RPT,Tradingbook_MSB[[#This Row],[Mat. Date]],3))</f>
        <v>0</v>
      </c>
      <c r="AI295" s="71">
        <f>IF(Tradingbook_MSB[[#This Row],[Days (year)]]=0,0,INDEX(Ref!$K$2:$K$13,MATCH(Tradingbook_MSB[[#This Row],[Days (year)]],Ref!$I$2:$I$13,1)))</f>
        <v>0</v>
      </c>
      <c r="AJ295" s="120" t="str">
        <f>VLOOKUP(Tradingbook_MSB[[#This Row],[Security Name]],Ref!X:Z,3,0)</f>
        <v>TPCPBL</v>
      </c>
      <c r="AK295" s="120" t="str">
        <f>VLOOKUP(Tradingbook_MSB[[#This Row],[Security Name]],Ref!X:Y,2,0)</f>
        <v>VDB</v>
      </c>
      <c r="AL295" s="71">
        <f>IF((Tradingbook_MSB[[#This Row],[Mat. Date]]-RPT)&lt;=0,0,Tradingbook_MSB[[#This Row],[QUANTITY]])</f>
        <v>0</v>
      </c>
      <c r="AM295" s="71">
        <f>IF(Tradingbook_MSB[[#This Row],[Quantity_edited]]=0,0,Tradingbook_MSB[[#This Row],[DURATION]])</f>
        <v>0</v>
      </c>
      <c r="AN295" s="71">
        <f>IF(Tradingbook_MSB[[#This Row],[Quantity_edited]]=0,0,Tradingbook_MSB[[#This Row],[Mod Dur]])</f>
        <v>0</v>
      </c>
      <c r="AO295" s="71">
        <f>IF(Tradingbook_MSB[[#This Row],[Quantity_edited]]=0,0,Tradingbook_MSB[[#This Row],[Cnvx.]])</f>
        <v>0</v>
      </c>
      <c r="AP295" s="71">
        <f>(Tradingbook_MSB[[#This Row],[MARKET_VALUE]]+Tradingbook_MSB[[#This Row],[Accr Int]]*Tradingbook_MSB[[#This Row],[Quantity_edited]])*(-Tradingbook_MSB[[#This Row],[Modified Duration]]*0.0001+0.5*Tradingbook_MSB[[#This Row],[Conv]]*(0.0001^2))</f>
        <v>0</v>
      </c>
      <c r="AQ295" s="72">
        <f>(Tradingbook_MSB[[#This Row],[MARKET_VALUE]]+Tradingbook_MSB[[#This Row],[Accr Int]]*Tradingbook_MSB[[#This Row],[Quantity_edited]])*(-Tradingbook_MSB[[#This Row],[Modified Duration]]*0.01+0.5*Tradingbook_MSB[[#This Row],[Conv]]*(0.01^2))</f>
        <v>0</v>
      </c>
      <c r="AR295" s="71"/>
      <c r="CL295" t="s">
        <v>166</v>
      </c>
      <c r="CM295" t="s">
        <v>167</v>
      </c>
      <c r="CN295" t="s">
        <v>482</v>
      </c>
      <c r="CO295" t="s">
        <v>169</v>
      </c>
      <c r="CP295" s="35">
        <v>44388</v>
      </c>
      <c r="CQ295" t="s">
        <v>3322</v>
      </c>
      <c r="CR295" t="s">
        <v>174</v>
      </c>
      <c r="CS295" t="s">
        <v>174</v>
      </c>
      <c r="CT295" s="49">
        <v>0</v>
      </c>
      <c r="CU295">
        <v>0</v>
      </c>
      <c r="CV295">
        <v>0</v>
      </c>
      <c r="CW295" s="70">
        <v>0</v>
      </c>
      <c r="CX295">
        <v>6.1</v>
      </c>
      <c r="CY295">
        <v>0</v>
      </c>
      <c r="CZ295">
        <v>0</v>
      </c>
      <c r="DA295">
        <v>-3.9999999999999998E-6</v>
      </c>
      <c r="DB295">
        <v>-772343111.94442654</v>
      </c>
      <c r="DC295">
        <v>0</v>
      </c>
      <c r="DD295">
        <v>0</v>
      </c>
      <c r="DE295">
        <v>0</v>
      </c>
      <c r="DF295">
        <v>0</v>
      </c>
      <c r="DG295">
        <v>0</v>
      </c>
      <c r="DH295">
        <v>0</v>
      </c>
      <c r="DI295">
        <v>0</v>
      </c>
      <c r="DJ295" s="500">
        <v>226500000</v>
      </c>
      <c r="DK295" s="500">
        <v>0</v>
      </c>
      <c r="DL295" s="37">
        <v>226500000</v>
      </c>
      <c r="DM295" s="37">
        <v>226500000</v>
      </c>
      <c r="DN295" s="37">
        <v>226500000</v>
      </c>
      <c r="DO295" s="37">
        <v>226500000</v>
      </c>
      <c r="DP295" s="32">
        <f>Tradingbook_SBV[[#This Row],[Mat. Date]]-RPT</f>
        <v>-1864</v>
      </c>
      <c r="DQ295" s="32">
        <f>IF(Tradingbook_SBV[[#This Row],[Days]]&lt;=0,0,YEARFRAC(RPT,Tradingbook_SBV[[#This Row],[Mat. Date]],3))</f>
        <v>0</v>
      </c>
      <c r="DR295" s="32">
        <f>IF(Tradingbook_SBV[[#This Row],[Days (year)]]=0,0,INDEX(Ref!$K$2:$K$13,MATCH(Tradingbook_SBV[[#This Row],[Days (year)]],Ref!$I$2:$I$13,1)))</f>
        <v>0</v>
      </c>
      <c r="DS295" s="32" t="str">
        <f>VLOOKUP(Tradingbook_SBV[[#This Row],[Security Name]],Ref!X:Z,3,0)</f>
        <v>TPCP</v>
      </c>
      <c r="DT295" s="32" t="str">
        <f>VLOOKUP(Tradingbook_SBV[[#This Row],[Security Name]],Ref!X:Y,2,0)</f>
        <v>KBNN</v>
      </c>
      <c r="DU295" s="71">
        <f>IF((Tradingbook_SBV[[#This Row],[Mat. Date]]-RPT)&lt;=0,0,Tradingbook_SBV[[#This Row],[QUANTITY]])</f>
        <v>0</v>
      </c>
      <c r="DV295" s="71">
        <f>IF(Tradingbook_SBV[[#This Row],[Quantity_edited]]=0,0,Tradingbook_SBV[[#This Row],[DURATION]])</f>
        <v>0</v>
      </c>
      <c r="DW295" s="71">
        <f>IF(Tradingbook_SBV[[#This Row],[Quantity_edited]]=0,0,Tradingbook_SBV[[#This Row],[Mod Dur]])</f>
        <v>0</v>
      </c>
      <c r="DX295" s="71">
        <f>IF(Tradingbook_SBV[[#This Row],[Quantity_edited]]=0,0,Tradingbook_SBV[[#This Row],[Cnvx.]])</f>
        <v>0</v>
      </c>
      <c r="DY295" s="71">
        <f>(Tradingbook_SBV[[#This Row],[MARKET_VALUE]]+Tradingbook_SBV[[#This Row],[Accr Int]]*Tradingbook_SBV[[#This Row],[Quantity_edited]])*(-Tradingbook_SBV[[#This Row],[Modified Duration]]*0.0001+0.5*Tradingbook_SBV[[#This Row],[Conv]]*(0.0001^2))</f>
        <v>0</v>
      </c>
      <c r="DZ295" s="71">
        <f>(Tradingbook_SBV[[#This Row],[MARKET_VALUE]]+Tradingbook_SBV[[#This Row],[Accr Int]]*Tradingbook_SBV[[#This Row],[Quantity_edited]])*(-Tradingbook_SBV[[#This Row],[Modified Duration]]*0.01+0.5*Tradingbook_SBV[[#This Row],[Conv]]*(0.01^2))</f>
        <v>0</v>
      </c>
      <c r="EC295" t="s">
        <v>166</v>
      </c>
      <c r="ED295" t="s">
        <v>3302</v>
      </c>
      <c r="EE295" t="s">
        <v>2836</v>
      </c>
      <c r="EF295" t="s">
        <v>169</v>
      </c>
      <c r="EG295" s="35" t="s">
        <v>3494</v>
      </c>
      <c r="EH295" t="s">
        <v>170</v>
      </c>
      <c r="EI295" s="500">
        <v>89135</v>
      </c>
      <c r="EJ295" s="500">
        <v>89135</v>
      </c>
      <c r="EK295" s="500">
        <v>7000000</v>
      </c>
      <c r="EL295" s="500">
        <v>700000000000</v>
      </c>
      <c r="EM295" s="500">
        <v>98725.542000000001</v>
      </c>
      <c r="EN295" s="500">
        <v>623945000000</v>
      </c>
      <c r="EO295">
        <v>2.7</v>
      </c>
      <c r="EP295">
        <v>229</v>
      </c>
      <c r="EQ295">
        <v>29700000000</v>
      </c>
      <c r="ER295">
        <v>30422610000</v>
      </c>
      <c r="ES295">
        <v>-53436294456.305641</v>
      </c>
      <c r="ET295">
        <v>4.3513695300000004</v>
      </c>
      <c r="EU295">
        <v>6.8670528512114002</v>
      </c>
      <c r="EV295">
        <v>7.1658637000000001</v>
      </c>
      <c r="EW295">
        <v>56.747765235686202</v>
      </c>
      <c r="EX295">
        <v>354984.51047653012</v>
      </c>
      <c r="EY295">
        <v>-429567.11769695801</v>
      </c>
      <c r="EZ295">
        <v>73002.406000000003</v>
      </c>
      <c r="FA295">
        <v>-3493464924.1476431</v>
      </c>
      <c r="FB295">
        <v>-67133795075.851768</v>
      </c>
      <c r="FC295">
        <v>-70627259999.999405</v>
      </c>
      <c r="FD295">
        <v>-70627259999.999405</v>
      </c>
      <c r="FE295">
        <v>-70627259999.998993</v>
      </c>
      <c r="FF295">
        <v>-70627259999.999405</v>
      </c>
      <c r="FG295" s="32">
        <f>Bankingbook_SBV[[#This Row],[Mat. Date]]-RPT</f>
        <v>2891</v>
      </c>
      <c r="FH295" s="32">
        <f>IF(Bankingbook_SBV[[#This Row],[Days]]&lt;=0,0,YEARFRAC(RPT,Bankingbook_SBV[[#This Row],[Mat. Date]],3))</f>
        <v>7.9205479452054792</v>
      </c>
      <c r="FI295" s="32" t="str">
        <f>IF(Bankingbook_SBV[[#This Row],[Days (year)]]=0,0,INDEX(Ref!$K$2:$K$13,MATCH(Bankingbook_SBV[[#This Row],[Days (year)]],Ref!$I$2:$I$13,1)))</f>
        <v>10Y</v>
      </c>
      <c r="FJ295" s="32" t="str">
        <f>VLOOKUP(Bankingbook_SBV[[#This Row],[Security Name]],Ref!X:Z,3,0)</f>
        <v>TPCP</v>
      </c>
      <c r="FK295" s="32" t="str">
        <f>VLOOKUP(Bankingbook_SBV[[#This Row],[Security Name]],Ref!X:Y,2,0)</f>
        <v>KBNN</v>
      </c>
      <c r="FL295" s="72">
        <f>IF((Bankingbook_SBV[[#This Row],[Mat. Date]]-RPT)&lt;=0,0,Bankingbook_SBV[[#This Row],[QUANTITY]])</f>
        <v>7000000</v>
      </c>
      <c r="FM295" s="32">
        <f>IF(Bankingbook_SBV[[#This Row],[Quantity_edited]]=0,0,Bankingbook_SBV[[#This Row],[DURATION]])</f>
        <v>7.1658637000000001</v>
      </c>
      <c r="FN295" s="32">
        <f>IF(Bankingbook_SBV[[#This Row],[Quantity_edited]]=0,0,Bankingbook_SBV[[#This Row],[Mod Dur]])</f>
        <v>6.8670528512114002</v>
      </c>
      <c r="FO295" s="32">
        <f>IF(Bankingbook_SBV[[#This Row],[Quantity_edited]]=0,0,Bankingbook_SBV[[#This Row],[Cnvx.]])</f>
        <v>56.747765235686202</v>
      </c>
      <c r="FP295" s="32">
        <f>(Bankingbook_SBV[[#This Row],[MARKET_VALUE]]+Bankingbook_SBV[[#This Row],[Accr Int]]*Bankingbook_SBV[[#This Row],[Quantity_edited]])*(-Bankingbook_SBV[[#This Row],[Modified Duration]]*0.0001+0.5*Bankingbook_SBV[[#This Row],[Conv]]*(0.0001^2))</f>
        <v>-429389625.44172066</v>
      </c>
      <c r="FQ295" s="32">
        <f>(Bankingbook_SBV[[#This Row],[MARKET_VALUE]]+Bankingbook_SBV[[#This Row],[Accr Int]]*Bankingbook_SBV[[#This Row],[Quantity_edited]])*(-Bankingbook_SBV[[#This Row],[Modified Duration]]*0.01+0.5*Bankingbook_SBV[[#This Row],[Conv]]*(0.01^2))</f>
        <v>-41181789217.313232</v>
      </c>
    </row>
    <row r="296" spans="2:173" x14ac:dyDescent="0.3">
      <c r="B296" t="s">
        <v>166</v>
      </c>
      <c r="C296" t="s">
        <v>167</v>
      </c>
      <c r="D296" t="s">
        <v>481</v>
      </c>
      <c r="E296" t="s">
        <v>169</v>
      </c>
      <c r="F296" s="502">
        <v>44384</v>
      </c>
      <c r="G296" t="s">
        <v>3322</v>
      </c>
      <c r="H296"/>
      <c r="I296"/>
      <c r="J296" s="38">
        <v>0</v>
      </c>
      <c r="K296">
        <v>0</v>
      </c>
      <c r="L296">
        <v>0</v>
      </c>
      <c r="M296" s="38">
        <v>0</v>
      </c>
      <c r="N296">
        <v>6.1</v>
      </c>
      <c r="O296">
        <v>0</v>
      </c>
      <c r="P296" s="37">
        <v>0</v>
      </c>
      <c r="Q296" s="37">
        <v>-7.9999999999999996E-6</v>
      </c>
      <c r="R296" s="37">
        <v>-3164275134.6096907</v>
      </c>
      <c r="S296">
        <v>0</v>
      </c>
      <c r="T296" s="70">
        <v>0</v>
      </c>
      <c r="U296">
        <v>0</v>
      </c>
      <c r="V296">
        <v>0</v>
      </c>
      <c r="W296">
        <v>0</v>
      </c>
      <c r="X296" s="38">
        <v>0</v>
      </c>
      <c r="Y296">
        <v>0</v>
      </c>
      <c r="Z296" s="70">
        <v>-2112080000</v>
      </c>
      <c r="AA296" s="70">
        <v>0</v>
      </c>
      <c r="AB296" s="70">
        <v>-2112080000</v>
      </c>
      <c r="AC296" s="70">
        <v>-2112080000</v>
      </c>
      <c r="AD296" s="70">
        <v>-2112080000</v>
      </c>
      <c r="AE296" s="70">
        <v>-2112080000</v>
      </c>
      <c r="AF296">
        <v>0</v>
      </c>
      <c r="AG296" s="72">
        <f>Tradingbook_MSB[[#This Row],[Mat. Date]]-RPT</f>
        <v>-1868</v>
      </c>
      <c r="AH296" s="71">
        <f>IF(Tradingbook_MSB[[#This Row],[Days]]&lt;=0,0,YEARFRAC(RPT,Tradingbook_MSB[[#This Row],[Mat. Date]],3))</f>
        <v>0</v>
      </c>
      <c r="AI296" s="71">
        <f>IF(Tradingbook_MSB[[#This Row],[Days (year)]]=0,0,INDEX(Ref!$K$2:$K$13,MATCH(Tradingbook_MSB[[#This Row],[Days (year)]],Ref!$I$2:$I$13,1)))</f>
        <v>0</v>
      </c>
      <c r="AJ296" s="120" t="str">
        <f>VLOOKUP(Tradingbook_MSB[[#This Row],[Security Name]],Ref!X:Z,3,0)</f>
        <v>TPCP</v>
      </c>
      <c r="AK296" s="120" t="str">
        <f>VLOOKUP(Tradingbook_MSB[[#This Row],[Security Name]],Ref!X:Y,2,0)</f>
        <v>KBNN</v>
      </c>
      <c r="AL296" s="71">
        <f>IF((Tradingbook_MSB[[#This Row],[Mat. Date]]-RPT)&lt;=0,0,Tradingbook_MSB[[#This Row],[QUANTITY]])</f>
        <v>0</v>
      </c>
      <c r="AM296" s="71">
        <f>IF(Tradingbook_MSB[[#This Row],[Quantity_edited]]=0,0,Tradingbook_MSB[[#This Row],[DURATION]])</f>
        <v>0</v>
      </c>
      <c r="AN296" s="71">
        <f>IF(Tradingbook_MSB[[#This Row],[Quantity_edited]]=0,0,Tradingbook_MSB[[#This Row],[Mod Dur]])</f>
        <v>0</v>
      </c>
      <c r="AO296" s="71">
        <f>IF(Tradingbook_MSB[[#This Row],[Quantity_edited]]=0,0,Tradingbook_MSB[[#This Row],[Cnvx.]])</f>
        <v>0</v>
      </c>
      <c r="AP296" s="71">
        <f>(Tradingbook_MSB[[#This Row],[MARKET_VALUE]]+Tradingbook_MSB[[#This Row],[Accr Int]]*Tradingbook_MSB[[#This Row],[Quantity_edited]])*(-Tradingbook_MSB[[#This Row],[Modified Duration]]*0.0001+0.5*Tradingbook_MSB[[#This Row],[Conv]]*(0.0001^2))</f>
        <v>0</v>
      </c>
      <c r="AQ296" s="72">
        <f>(Tradingbook_MSB[[#This Row],[MARKET_VALUE]]+Tradingbook_MSB[[#This Row],[Accr Int]]*Tradingbook_MSB[[#This Row],[Quantity_edited]])*(-Tradingbook_MSB[[#This Row],[Modified Duration]]*0.01+0.5*Tradingbook_MSB[[#This Row],[Conv]]*(0.01^2))</f>
        <v>0</v>
      </c>
      <c r="AR296" s="71"/>
      <c r="CL296" t="s">
        <v>166</v>
      </c>
      <c r="CM296" t="s">
        <v>167</v>
      </c>
      <c r="CN296" t="s">
        <v>483</v>
      </c>
      <c r="CO296" t="s">
        <v>169</v>
      </c>
      <c r="CP296" s="35">
        <v>44394</v>
      </c>
      <c r="CQ296" t="s">
        <v>3322</v>
      </c>
      <c r="CR296" t="s">
        <v>174</v>
      </c>
      <c r="CS296" t="s">
        <v>174</v>
      </c>
      <c r="CT296" s="49">
        <v>0</v>
      </c>
      <c r="CU296">
        <v>0</v>
      </c>
      <c r="CV296">
        <v>0</v>
      </c>
      <c r="CW296" s="70">
        <v>0</v>
      </c>
      <c r="CX296">
        <v>9.25</v>
      </c>
      <c r="CY296">
        <v>0</v>
      </c>
      <c r="CZ296">
        <v>0</v>
      </c>
      <c r="DA296">
        <v>-1.5E-5</v>
      </c>
      <c r="DB296">
        <v>-240008552.77775955</v>
      </c>
      <c r="DC296">
        <v>0</v>
      </c>
      <c r="DD296">
        <v>0</v>
      </c>
      <c r="DE296">
        <v>0</v>
      </c>
      <c r="DF296">
        <v>0</v>
      </c>
      <c r="DG296">
        <v>0</v>
      </c>
      <c r="DH296">
        <v>0</v>
      </c>
      <c r="DI296">
        <v>0</v>
      </c>
      <c r="DJ296" s="500">
        <v>-222000000</v>
      </c>
      <c r="DK296" s="500">
        <v>0</v>
      </c>
      <c r="DL296" s="37">
        <v>-222000000</v>
      </c>
      <c r="DM296" s="37">
        <v>-222000000</v>
      </c>
      <c r="DN296" s="37">
        <v>-222000000</v>
      </c>
      <c r="DO296" s="37">
        <v>-222000000</v>
      </c>
      <c r="DP296" s="32">
        <f>Tradingbook_SBV[[#This Row],[Mat. Date]]-RPT</f>
        <v>-1858</v>
      </c>
      <c r="DQ296" s="32">
        <f>IF(Tradingbook_SBV[[#This Row],[Days]]&lt;=0,0,YEARFRAC(RPT,Tradingbook_SBV[[#This Row],[Mat. Date]],3))</f>
        <v>0</v>
      </c>
      <c r="DR296" s="32">
        <f>IF(Tradingbook_SBV[[#This Row],[Days (year)]]=0,0,INDEX(Ref!$K$2:$K$13,MATCH(Tradingbook_SBV[[#This Row],[Days (year)]],Ref!$I$2:$I$13,1)))</f>
        <v>0</v>
      </c>
      <c r="DS296" s="32" t="str">
        <f>VLOOKUP(Tradingbook_SBV[[#This Row],[Security Name]],Ref!X:Z,3,0)</f>
        <v>TPCP</v>
      </c>
      <c r="DT296" s="32" t="str">
        <f>VLOOKUP(Tradingbook_SBV[[#This Row],[Security Name]],Ref!X:Y,2,0)</f>
        <v>VDB</v>
      </c>
      <c r="DU296" s="71">
        <f>IF((Tradingbook_SBV[[#This Row],[Mat. Date]]-RPT)&lt;=0,0,Tradingbook_SBV[[#This Row],[QUANTITY]])</f>
        <v>0</v>
      </c>
      <c r="DV296" s="71">
        <f>IF(Tradingbook_SBV[[#This Row],[Quantity_edited]]=0,0,Tradingbook_SBV[[#This Row],[DURATION]])</f>
        <v>0</v>
      </c>
      <c r="DW296" s="71">
        <f>IF(Tradingbook_SBV[[#This Row],[Quantity_edited]]=0,0,Tradingbook_SBV[[#This Row],[Mod Dur]])</f>
        <v>0</v>
      </c>
      <c r="DX296" s="71">
        <f>IF(Tradingbook_SBV[[#This Row],[Quantity_edited]]=0,0,Tradingbook_SBV[[#This Row],[Cnvx.]])</f>
        <v>0</v>
      </c>
      <c r="DY296" s="71">
        <f>(Tradingbook_SBV[[#This Row],[MARKET_VALUE]]+Tradingbook_SBV[[#This Row],[Accr Int]]*Tradingbook_SBV[[#This Row],[Quantity_edited]])*(-Tradingbook_SBV[[#This Row],[Modified Duration]]*0.0001+0.5*Tradingbook_SBV[[#This Row],[Conv]]*(0.0001^2))</f>
        <v>0</v>
      </c>
      <c r="DZ296" s="71">
        <f>(Tradingbook_SBV[[#This Row],[MARKET_VALUE]]+Tradingbook_SBV[[#This Row],[Accr Int]]*Tradingbook_SBV[[#This Row],[Quantity_edited]])*(-Tradingbook_SBV[[#This Row],[Modified Duration]]*0.01+0.5*Tradingbook_SBV[[#This Row],[Conv]]*(0.01^2))</f>
        <v>0</v>
      </c>
      <c r="EC296" t="s">
        <v>166</v>
      </c>
      <c r="ED296" t="s">
        <v>3302</v>
      </c>
      <c r="EE296" t="s">
        <v>2839</v>
      </c>
      <c r="EF296" t="s">
        <v>169</v>
      </c>
      <c r="EG296" s="35" t="s">
        <v>3495</v>
      </c>
      <c r="EH296" t="s">
        <v>170</v>
      </c>
      <c r="EI296" s="500">
        <v>89029</v>
      </c>
      <c r="EJ296" s="500">
        <v>89029</v>
      </c>
      <c r="EK296" s="500">
        <v>2000000</v>
      </c>
      <c r="EL296" s="500">
        <v>200000000000</v>
      </c>
      <c r="EM296" s="500">
        <v>99472.930999999997</v>
      </c>
      <c r="EN296" s="500">
        <v>178058000000</v>
      </c>
      <c r="EO296">
        <v>2.7</v>
      </c>
      <c r="EP296">
        <v>22</v>
      </c>
      <c r="EQ296">
        <v>16200000000</v>
      </c>
      <c r="ER296">
        <v>16801995000</v>
      </c>
      <c r="ES296">
        <v>-38264193746.52774</v>
      </c>
      <c r="ET296">
        <v>4.3548451960000003</v>
      </c>
      <c r="EU296">
        <v>6.9402305304957999</v>
      </c>
      <c r="EV296">
        <v>7.2424668299999997</v>
      </c>
      <c r="EW296">
        <v>57.828283716100103</v>
      </c>
      <c r="EX296">
        <v>102993.3298640486</v>
      </c>
      <c r="EY296">
        <v>-123606.89379423601</v>
      </c>
      <c r="EZ296">
        <v>20801.028999999999</v>
      </c>
      <c r="FA296">
        <v>-12693638461.538473</v>
      </c>
      <c r="FB296">
        <v>-20887861538.461525</v>
      </c>
      <c r="FC296">
        <v>-33581500000</v>
      </c>
      <c r="FD296">
        <v>-33581500000</v>
      </c>
      <c r="FE296">
        <v>-33581500000</v>
      </c>
      <c r="FF296">
        <v>-33581500000</v>
      </c>
      <c r="FG296" s="32">
        <f>Bankingbook_SBV[[#This Row],[Mat. Date]]-RPT</f>
        <v>2919</v>
      </c>
      <c r="FH296" s="32">
        <f>IF(Bankingbook_SBV[[#This Row],[Days]]&lt;=0,0,YEARFRAC(RPT,Bankingbook_SBV[[#This Row],[Mat. Date]],3))</f>
        <v>7.9972602739726026</v>
      </c>
      <c r="FI296" s="32" t="str">
        <f>IF(Bankingbook_SBV[[#This Row],[Days (year)]]=0,0,INDEX(Ref!$K$2:$K$13,MATCH(Bankingbook_SBV[[#This Row],[Days (year)]],Ref!$I$2:$I$13,1)))</f>
        <v>10Y</v>
      </c>
      <c r="FJ296" s="32" t="str">
        <f>VLOOKUP(Bankingbook_SBV[[#This Row],[Security Name]],Ref!X:Z,3,0)</f>
        <v>TPCP</v>
      </c>
      <c r="FK296" s="32" t="str">
        <f>VLOOKUP(Bankingbook_SBV[[#This Row],[Security Name]],Ref!X:Y,2,0)</f>
        <v>KBNN</v>
      </c>
      <c r="FL296" s="72">
        <f>IF((Bankingbook_SBV[[#This Row],[Mat. Date]]-RPT)&lt;=0,0,Bankingbook_SBV[[#This Row],[QUANTITY]])</f>
        <v>2000000</v>
      </c>
      <c r="FM296" s="32">
        <f>IF(Bankingbook_SBV[[#This Row],[Quantity_edited]]=0,0,Bankingbook_SBV[[#This Row],[DURATION]])</f>
        <v>7.2424668299999997</v>
      </c>
      <c r="FN296" s="32">
        <f>IF(Bankingbook_SBV[[#This Row],[Quantity_edited]]=0,0,Bankingbook_SBV[[#This Row],[Mod Dur]])</f>
        <v>6.9402305304957999</v>
      </c>
      <c r="FO296" s="32">
        <f>IF(Bankingbook_SBV[[#This Row],[Quantity_edited]]=0,0,Bankingbook_SBV[[#This Row],[Cnvx.]])</f>
        <v>57.828283716100103</v>
      </c>
      <c r="FP296" s="32">
        <f>(Bankingbook_SBV[[#This Row],[MARKET_VALUE]]+Bankingbook_SBV[[#This Row],[Accr Int]]*Bankingbook_SBV[[#This Row],[Quantity_edited]])*(-Bankingbook_SBV[[#This Row],[Modified Duration]]*0.0001+0.5*Bankingbook_SBV[[#This Row],[Conv]]*(0.0001^2))</f>
        <v>-123555397.12930427</v>
      </c>
      <c r="FQ296" s="32">
        <f>(Bankingbook_SBV[[#This Row],[MARKET_VALUE]]+Bankingbook_SBV[[#This Row],[Accr Int]]*Bankingbook_SBV[[#This Row],[Quantity_edited]])*(-Bankingbook_SBV[[#This Row],[Modified Duration]]*0.01+0.5*Bankingbook_SBV[[#This Row],[Conv]]*(0.01^2))</f>
        <v>-11845722730.103386</v>
      </c>
    </row>
    <row r="297" spans="2:173" x14ac:dyDescent="0.3">
      <c r="B297" t="s">
        <v>166</v>
      </c>
      <c r="C297" t="s">
        <v>167</v>
      </c>
      <c r="D297" t="s">
        <v>482</v>
      </c>
      <c r="E297" t="s">
        <v>169</v>
      </c>
      <c r="F297" s="502">
        <v>44388</v>
      </c>
      <c r="G297" t="s">
        <v>3322</v>
      </c>
      <c r="H297"/>
      <c r="I297"/>
      <c r="J297" s="38">
        <v>0</v>
      </c>
      <c r="K297">
        <v>0</v>
      </c>
      <c r="L297">
        <v>0</v>
      </c>
      <c r="M297" s="38">
        <v>0</v>
      </c>
      <c r="N297">
        <v>6.1</v>
      </c>
      <c r="O297">
        <v>0</v>
      </c>
      <c r="P297" s="37">
        <v>0</v>
      </c>
      <c r="Q297" s="37">
        <v>-3.9999999999999998E-6</v>
      </c>
      <c r="R297" s="37">
        <v>-772343111.94442654</v>
      </c>
      <c r="S297">
        <v>0</v>
      </c>
      <c r="T297" s="70">
        <v>0</v>
      </c>
      <c r="U297">
        <v>0</v>
      </c>
      <c r="V297">
        <v>0</v>
      </c>
      <c r="W297">
        <v>0</v>
      </c>
      <c r="X297" s="38">
        <v>0</v>
      </c>
      <c r="Y297">
        <v>0</v>
      </c>
      <c r="Z297" s="70">
        <v>226500000</v>
      </c>
      <c r="AA297" s="70">
        <v>0</v>
      </c>
      <c r="AB297" s="70">
        <v>226500000</v>
      </c>
      <c r="AC297" s="70">
        <v>226500000</v>
      </c>
      <c r="AD297" s="70">
        <v>226500000</v>
      </c>
      <c r="AE297" s="70">
        <v>226500000</v>
      </c>
      <c r="AF297">
        <v>0</v>
      </c>
      <c r="AG297" s="72">
        <f>Tradingbook_MSB[[#This Row],[Mat. Date]]-RPT</f>
        <v>-1864</v>
      </c>
      <c r="AH297" s="71">
        <f>IF(Tradingbook_MSB[[#This Row],[Days]]&lt;=0,0,YEARFRAC(RPT,Tradingbook_MSB[[#This Row],[Mat. Date]],3))</f>
        <v>0</v>
      </c>
      <c r="AI297" s="71">
        <f>IF(Tradingbook_MSB[[#This Row],[Days (year)]]=0,0,INDEX(Ref!$K$2:$K$13,MATCH(Tradingbook_MSB[[#This Row],[Days (year)]],Ref!$I$2:$I$13,1)))</f>
        <v>0</v>
      </c>
      <c r="AJ297" s="120" t="str">
        <f>VLOOKUP(Tradingbook_MSB[[#This Row],[Security Name]],Ref!X:Z,3,0)</f>
        <v>TPCP</v>
      </c>
      <c r="AK297" s="120" t="str">
        <f>VLOOKUP(Tradingbook_MSB[[#This Row],[Security Name]],Ref!X:Y,2,0)</f>
        <v>KBNN</v>
      </c>
      <c r="AL297" s="71">
        <f>IF((Tradingbook_MSB[[#This Row],[Mat. Date]]-RPT)&lt;=0,0,Tradingbook_MSB[[#This Row],[QUANTITY]])</f>
        <v>0</v>
      </c>
      <c r="AM297" s="71">
        <f>IF(Tradingbook_MSB[[#This Row],[Quantity_edited]]=0,0,Tradingbook_MSB[[#This Row],[DURATION]])</f>
        <v>0</v>
      </c>
      <c r="AN297" s="71">
        <f>IF(Tradingbook_MSB[[#This Row],[Quantity_edited]]=0,0,Tradingbook_MSB[[#This Row],[Mod Dur]])</f>
        <v>0</v>
      </c>
      <c r="AO297" s="71">
        <f>IF(Tradingbook_MSB[[#This Row],[Quantity_edited]]=0,0,Tradingbook_MSB[[#This Row],[Cnvx.]])</f>
        <v>0</v>
      </c>
      <c r="AP297" s="71">
        <f>(Tradingbook_MSB[[#This Row],[MARKET_VALUE]]+Tradingbook_MSB[[#This Row],[Accr Int]]*Tradingbook_MSB[[#This Row],[Quantity_edited]])*(-Tradingbook_MSB[[#This Row],[Modified Duration]]*0.0001+0.5*Tradingbook_MSB[[#This Row],[Conv]]*(0.0001^2))</f>
        <v>0</v>
      </c>
      <c r="AQ297" s="72">
        <f>(Tradingbook_MSB[[#This Row],[MARKET_VALUE]]+Tradingbook_MSB[[#This Row],[Accr Int]]*Tradingbook_MSB[[#This Row],[Quantity_edited]])*(-Tradingbook_MSB[[#This Row],[Modified Duration]]*0.01+0.5*Tradingbook_MSB[[#This Row],[Conv]]*(0.01^2))</f>
        <v>0</v>
      </c>
      <c r="AR297" s="71"/>
      <c r="CL297" t="s">
        <v>166</v>
      </c>
      <c r="CM297" t="s">
        <v>167</v>
      </c>
      <c r="CN297" t="s">
        <v>484</v>
      </c>
      <c r="CO297" t="s">
        <v>169</v>
      </c>
      <c r="CP297" s="35">
        <v>44398</v>
      </c>
      <c r="CQ297" t="s">
        <v>3322</v>
      </c>
      <c r="CR297" t="s">
        <v>174</v>
      </c>
      <c r="CS297" t="s">
        <v>174</v>
      </c>
      <c r="CT297" s="49">
        <v>0</v>
      </c>
      <c r="CU297">
        <v>0</v>
      </c>
      <c r="CV297">
        <v>0</v>
      </c>
      <c r="CW297" s="70">
        <v>0</v>
      </c>
      <c r="CX297">
        <v>6.1</v>
      </c>
      <c r="CY297">
        <v>0</v>
      </c>
      <c r="CZ297">
        <v>0</v>
      </c>
      <c r="DA297">
        <v>0</v>
      </c>
      <c r="DB297">
        <v>-779296087.01389217</v>
      </c>
      <c r="DC297">
        <v>0</v>
      </c>
      <c r="DD297">
        <v>0</v>
      </c>
      <c r="DE297">
        <v>0</v>
      </c>
      <c r="DF297">
        <v>0</v>
      </c>
      <c r="DG297">
        <v>0</v>
      </c>
      <c r="DH297">
        <v>0</v>
      </c>
      <c r="DI297">
        <v>0</v>
      </c>
      <c r="DJ297" s="500">
        <v>392000000</v>
      </c>
      <c r="DK297" s="500">
        <v>0</v>
      </c>
      <c r="DL297" s="37">
        <v>392000000</v>
      </c>
      <c r="DM297" s="37">
        <v>392000000</v>
      </c>
      <c r="DN297" s="37">
        <v>392000000</v>
      </c>
      <c r="DO297" s="37">
        <v>392000000</v>
      </c>
      <c r="DP297" s="32">
        <f>Tradingbook_SBV[[#This Row],[Mat. Date]]-RPT</f>
        <v>-1854</v>
      </c>
      <c r="DQ297" s="32">
        <f>IF(Tradingbook_SBV[[#This Row],[Days]]&lt;=0,0,YEARFRAC(RPT,Tradingbook_SBV[[#This Row],[Mat. Date]],3))</f>
        <v>0</v>
      </c>
      <c r="DR297" s="32">
        <f>IF(Tradingbook_SBV[[#This Row],[Days (year)]]=0,0,INDEX(Ref!$K$2:$K$13,MATCH(Tradingbook_SBV[[#This Row],[Days (year)]],Ref!$I$2:$I$13,1)))</f>
        <v>0</v>
      </c>
      <c r="DS297" s="32" t="str">
        <f>VLOOKUP(Tradingbook_SBV[[#This Row],[Security Name]],Ref!X:Z,3,0)</f>
        <v>TPCP</v>
      </c>
      <c r="DT297" s="32" t="str">
        <f>VLOOKUP(Tradingbook_SBV[[#This Row],[Security Name]],Ref!X:Y,2,0)</f>
        <v>KBNN</v>
      </c>
      <c r="DU297" s="71">
        <f>IF((Tradingbook_SBV[[#This Row],[Mat. Date]]-RPT)&lt;=0,0,Tradingbook_SBV[[#This Row],[QUANTITY]])</f>
        <v>0</v>
      </c>
      <c r="DV297" s="71">
        <f>IF(Tradingbook_SBV[[#This Row],[Quantity_edited]]=0,0,Tradingbook_SBV[[#This Row],[DURATION]])</f>
        <v>0</v>
      </c>
      <c r="DW297" s="71">
        <f>IF(Tradingbook_SBV[[#This Row],[Quantity_edited]]=0,0,Tradingbook_SBV[[#This Row],[Mod Dur]])</f>
        <v>0</v>
      </c>
      <c r="DX297" s="71">
        <f>IF(Tradingbook_SBV[[#This Row],[Quantity_edited]]=0,0,Tradingbook_SBV[[#This Row],[Cnvx.]])</f>
        <v>0</v>
      </c>
      <c r="DY297" s="71">
        <f>(Tradingbook_SBV[[#This Row],[MARKET_VALUE]]+Tradingbook_SBV[[#This Row],[Accr Int]]*Tradingbook_SBV[[#This Row],[Quantity_edited]])*(-Tradingbook_SBV[[#This Row],[Modified Duration]]*0.0001+0.5*Tradingbook_SBV[[#This Row],[Conv]]*(0.0001^2))</f>
        <v>0</v>
      </c>
      <c r="DZ297" s="71">
        <f>(Tradingbook_SBV[[#This Row],[MARKET_VALUE]]+Tradingbook_SBV[[#This Row],[Accr Int]]*Tradingbook_SBV[[#This Row],[Quantity_edited]])*(-Tradingbook_SBV[[#This Row],[Modified Duration]]*0.01+0.5*Tradingbook_SBV[[#This Row],[Conv]]*(0.01^2))</f>
        <v>0</v>
      </c>
      <c r="EC297" t="s">
        <v>166</v>
      </c>
      <c r="ED297" t="s">
        <v>3302</v>
      </c>
      <c r="EE297" t="s">
        <v>2862</v>
      </c>
      <c r="EF297" t="s">
        <v>169</v>
      </c>
      <c r="EG297" s="35" t="s">
        <v>3497</v>
      </c>
      <c r="EH297" t="s">
        <v>170</v>
      </c>
      <c r="EI297" s="500">
        <v>88187</v>
      </c>
      <c r="EJ297" s="500">
        <v>88187</v>
      </c>
      <c r="EK297" s="500">
        <v>1500000</v>
      </c>
      <c r="EL297" s="500">
        <v>150000000000</v>
      </c>
      <c r="EM297" s="500">
        <v>98739.888999999996</v>
      </c>
      <c r="EN297" s="500">
        <v>132280500000</v>
      </c>
      <c r="EO297">
        <v>2.6</v>
      </c>
      <c r="EP297">
        <v>2322</v>
      </c>
      <c r="EQ297">
        <v>0</v>
      </c>
      <c r="ER297">
        <v>-7.9999999999999996E-6</v>
      </c>
      <c r="ES297">
        <v>-6584669014.611145</v>
      </c>
      <c r="ET297">
        <v>4.3603031540000003</v>
      </c>
      <c r="EU297">
        <v>6.8720855829172001</v>
      </c>
      <c r="EV297">
        <v>7.1717293499999997</v>
      </c>
      <c r="EW297">
        <v>58.012042264566901</v>
      </c>
      <c r="EX297">
        <v>78759.178999855198</v>
      </c>
      <c r="EY297">
        <v>-93297.839103638005</v>
      </c>
      <c r="EZ297">
        <v>15875.653</v>
      </c>
      <c r="FA297">
        <v>-2108046792.7382634</v>
      </c>
      <c r="FB297">
        <v>-15829333207.261719</v>
      </c>
      <c r="FC297">
        <v>-17937379999.999981</v>
      </c>
      <c r="FD297">
        <v>-17937379999.999981</v>
      </c>
      <c r="FE297">
        <v>-17937380000</v>
      </c>
      <c r="FF297">
        <v>-17937379999.999981</v>
      </c>
      <c r="FG297" s="32">
        <f>Bankingbook_SBV[[#This Row],[Mat. Date]]-RPT</f>
        <v>2961</v>
      </c>
      <c r="FH297" s="32">
        <f>IF(Bankingbook_SBV[[#This Row],[Days]]&lt;=0,0,YEARFRAC(RPT,Bankingbook_SBV[[#This Row],[Mat. Date]],3))</f>
        <v>8.1123287671232873</v>
      </c>
      <c r="FI297" s="32" t="str">
        <f>IF(Bankingbook_SBV[[#This Row],[Days (year)]]=0,0,INDEX(Ref!$K$2:$K$13,MATCH(Bankingbook_SBV[[#This Row],[Days (year)]],Ref!$I$2:$I$13,1)))</f>
        <v>10Y</v>
      </c>
      <c r="FJ297" s="32" t="str">
        <f>VLOOKUP(Bankingbook_SBV[[#This Row],[Security Name]],Ref!X:Z,3,0)</f>
        <v>TPCP</v>
      </c>
      <c r="FK297" s="32" t="str">
        <f>VLOOKUP(Bankingbook_SBV[[#This Row],[Security Name]],Ref!X:Y,2,0)</f>
        <v>KBNN</v>
      </c>
      <c r="FL297" s="72">
        <f>IF((Bankingbook_SBV[[#This Row],[Mat. Date]]-RPT)&lt;=0,0,Bankingbook_SBV[[#This Row],[QUANTITY]])</f>
        <v>1500000</v>
      </c>
      <c r="FM297" s="32">
        <f>IF(Bankingbook_SBV[[#This Row],[Quantity_edited]]=0,0,Bankingbook_SBV[[#This Row],[DURATION]])</f>
        <v>7.1717293499999997</v>
      </c>
      <c r="FN297" s="32">
        <f>IF(Bankingbook_SBV[[#This Row],[Quantity_edited]]=0,0,Bankingbook_SBV[[#This Row],[Mod Dur]])</f>
        <v>6.8720855829172001</v>
      </c>
      <c r="FO297" s="32">
        <f>IF(Bankingbook_SBV[[#This Row],[Quantity_edited]]=0,0,Bankingbook_SBV[[#This Row],[Cnvx.]])</f>
        <v>58.012042264566901</v>
      </c>
      <c r="FP297" s="32">
        <f>(Bankingbook_SBV[[#This Row],[MARKET_VALUE]]+Bankingbook_SBV[[#This Row],[Accr Int]]*Bankingbook_SBV[[#This Row],[Quantity_edited]])*(-Bankingbook_SBV[[#This Row],[Modified Duration]]*0.0001+0.5*Bankingbook_SBV[[#This Row],[Conv]]*(0.0001^2))</f>
        <v>-93258459.514138013</v>
      </c>
      <c r="FQ297" s="32">
        <f>(Bankingbook_SBV[[#This Row],[MARKET_VALUE]]+Bankingbook_SBV[[#This Row],[Accr Int]]*Bankingbook_SBV[[#This Row],[Quantity_edited]])*(-Bankingbook_SBV[[#This Row],[Modified Duration]]*0.01+0.5*Bankingbook_SBV[[#This Row],[Conv]]*(0.01^2))</f>
        <v>-8935988015.3645172</v>
      </c>
    </row>
    <row r="298" spans="2:173" x14ac:dyDescent="0.3">
      <c r="B298" t="s">
        <v>166</v>
      </c>
      <c r="C298" t="s">
        <v>167</v>
      </c>
      <c r="D298" t="s">
        <v>483</v>
      </c>
      <c r="E298" t="s">
        <v>169</v>
      </c>
      <c r="F298" s="502">
        <v>44394</v>
      </c>
      <c r="G298" t="s">
        <v>3322</v>
      </c>
      <c r="H298"/>
      <c r="I298"/>
      <c r="J298" s="38">
        <v>0</v>
      </c>
      <c r="K298">
        <v>0</v>
      </c>
      <c r="L298">
        <v>0</v>
      </c>
      <c r="M298" s="38">
        <v>0</v>
      </c>
      <c r="N298">
        <v>9.25</v>
      </c>
      <c r="O298">
        <v>0</v>
      </c>
      <c r="P298" s="37">
        <v>0</v>
      </c>
      <c r="Q298" s="37">
        <v>-1.5E-5</v>
      </c>
      <c r="R298" s="37">
        <v>-240008552.77775955</v>
      </c>
      <c r="S298">
        <v>0</v>
      </c>
      <c r="T298" s="70">
        <v>0</v>
      </c>
      <c r="U298">
        <v>0</v>
      </c>
      <c r="V298">
        <v>0</v>
      </c>
      <c r="W298">
        <v>0</v>
      </c>
      <c r="X298" s="38">
        <v>0</v>
      </c>
      <c r="Y298">
        <v>0</v>
      </c>
      <c r="Z298" s="70">
        <v>-222000000</v>
      </c>
      <c r="AA298" s="70">
        <v>0</v>
      </c>
      <c r="AB298" s="70">
        <v>-222000000</v>
      </c>
      <c r="AC298" s="70">
        <v>-222000000</v>
      </c>
      <c r="AD298" s="70">
        <v>-222000000</v>
      </c>
      <c r="AE298" s="70">
        <v>-222000000</v>
      </c>
      <c r="AF298">
        <v>0</v>
      </c>
      <c r="AG298" s="72">
        <f>Tradingbook_MSB[[#This Row],[Mat. Date]]-RPT</f>
        <v>-1858</v>
      </c>
      <c r="AH298" s="71">
        <f>IF(Tradingbook_MSB[[#This Row],[Days]]&lt;=0,0,YEARFRAC(RPT,Tradingbook_MSB[[#This Row],[Mat. Date]],3))</f>
        <v>0</v>
      </c>
      <c r="AI298" s="71">
        <f>IF(Tradingbook_MSB[[#This Row],[Days (year)]]=0,0,INDEX(Ref!$K$2:$K$13,MATCH(Tradingbook_MSB[[#This Row],[Days (year)]],Ref!$I$2:$I$13,1)))</f>
        <v>0</v>
      </c>
      <c r="AJ298" s="120" t="str">
        <f>VLOOKUP(Tradingbook_MSB[[#This Row],[Security Name]],Ref!X:Z,3,0)</f>
        <v>TPCP</v>
      </c>
      <c r="AK298" s="120" t="str">
        <f>VLOOKUP(Tradingbook_MSB[[#This Row],[Security Name]],Ref!X:Y,2,0)</f>
        <v>VDB</v>
      </c>
      <c r="AL298" s="71">
        <f>IF((Tradingbook_MSB[[#This Row],[Mat. Date]]-RPT)&lt;=0,0,Tradingbook_MSB[[#This Row],[QUANTITY]])</f>
        <v>0</v>
      </c>
      <c r="AM298" s="71">
        <f>IF(Tradingbook_MSB[[#This Row],[Quantity_edited]]=0,0,Tradingbook_MSB[[#This Row],[DURATION]])</f>
        <v>0</v>
      </c>
      <c r="AN298" s="71">
        <f>IF(Tradingbook_MSB[[#This Row],[Quantity_edited]]=0,0,Tradingbook_MSB[[#This Row],[Mod Dur]])</f>
        <v>0</v>
      </c>
      <c r="AO298" s="71">
        <f>IF(Tradingbook_MSB[[#This Row],[Quantity_edited]]=0,0,Tradingbook_MSB[[#This Row],[Cnvx.]])</f>
        <v>0</v>
      </c>
      <c r="AP298" s="71">
        <f>(Tradingbook_MSB[[#This Row],[MARKET_VALUE]]+Tradingbook_MSB[[#This Row],[Accr Int]]*Tradingbook_MSB[[#This Row],[Quantity_edited]])*(-Tradingbook_MSB[[#This Row],[Modified Duration]]*0.0001+0.5*Tradingbook_MSB[[#This Row],[Conv]]*(0.0001^2))</f>
        <v>0</v>
      </c>
      <c r="AQ298" s="72">
        <f>(Tradingbook_MSB[[#This Row],[MARKET_VALUE]]+Tradingbook_MSB[[#This Row],[Accr Int]]*Tradingbook_MSB[[#This Row],[Quantity_edited]])*(-Tradingbook_MSB[[#This Row],[Modified Duration]]*0.01+0.5*Tradingbook_MSB[[#This Row],[Conv]]*(0.01^2))</f>
        <v>0</v>
      </c>
      <c r="AR298" s="71"/>
      <c r="CL298" t="s">
        <v>166</v>
      </c>
      <c r="CM298" t="s">
        <v>167</v>
      </c>
      <c r="CN298" t="s">
        <v>485</v>
      </c>
      <c r="CO298" t="s">
        <v>169</v>
      </c>
      <c r="CP298" s="35">
        <v>44412</v>
      </c>
      <c r="CQ298" t="s">
        <v>3322</v>
      </c>
      <c r="CR298" t="s">
        <v>174</v>
      </c>
      <c r="CS298" t="s">
        <v>174</v>
      </c>
      <c r="CT298" s="49">
        <v>0</v>
      </c>
      <c r="CU298">
        <v>0</v>
      </c>
      <c r="CV298">
        <v>0</v>
      </c>
      <c r="CW298" s="70">
        <v>0</v>
      </c>
      <c r="CX298">
        <v>6.1</v>
      </c>
      <c r="CY298">
        <v>0</v>
      </c>
      <c r="CZ298">
        <v>0</v>
      </c>
      <c r="DA298">
        <v>0</v>
      </c>
      <c r="DB298">
        <v>-171623533.88889194</v>
      </c>
      <c r="DC298">
        <v>0</v>
      </c>
      <c r="DD298">
        <v>0</v>
      </c>
      <c r="DE298">
        <v>0</v>
      </c>
      <c r="DF298">
        <v>0</v>
      </c>
      <c r="DG298">
        <v>0</v>
      </c>
      <c r="DH298">
        <v>0</v>
      </c>
      <c r="DI298">
        <v>0</v>
      </c>
      <c r="DJ298" s="500">
        <v>-551500000</v>
      </c>
      <c r="DK298" s="500">
        <v>0</v>
      </c>
      <c r="DL298" s="37">
        <v>-551500000</v>
      </c>
      <c r="DM298" s="37">
        <v>-551500000</v>
      </c>
      <c r="DN298" s="37">
        <v>-551500000</v>
      </c>
      <c r="DO298" s="37">
        <v>-551500000</v>
      </c>
      <c r="DP298" s="32">
        <f>Tradingbook_SBV[[#This Row],[Mat. Date]]-RPT</f>
        <v>-1840</v>
      </c>
      <c r="DQ298" s="32">
        <f>IF(Tradingbook_SBV[[#This Row],[Days]]&lt;=0,0,YEARFRAC(RPT,Tradingbook_SBV[[#This Row],[Mat. Date]],3))</f>
        <v>0</v>
      </c>
      <c r="DR298" s="32">
        <f>IF(Tradingbook_SBV[[#This Row],[Days (year)]]=0,0,INDEX(Ref!$K$2:$K$13,MATCH(Tradingbook_SBV[[#This Row],[Days (year)]],Ref!$I$2:$I$13,1)))</f>
        <v>0</v>
      </c>
      <c r="DS298" s="32" t="str">
        <f>VLOOKUP(Tradingbook_SBV[[#This Row],[Security Name]],Ref!X:Z,3,0)</f>
        <v>TPCP</v>
      </c>
      <c r="DT298" s="32" t="str">
        <f>VLOOKUP(Tradingbook_SBV[[#This Row],[Security Name]],Ref!X:Y,2,0)</f>
        <v>KBNN</v>
      </c>
      <c r="DU298" s="71">
        <f>IF((Tradingbook_SBV[[#This Row],[Mat. Date]]-RPT)&lt;=0,0,Tradingbook_SBV[[#This Row],[QUANTITY]])</f>
        <v>0</v>
      </c>
      <c r="DV298" s="71">
        <f>IF(Tradingbook_SBV[[#This Row],[Quantity_edited]]=0,0,Tradingbook_SBV[[#This Row],[DURATION]])</f>
        <v>0</v>
      </c>
      <c r="DW298" s="71">
        <f>IF(Tradingbook_SBV[[#This Row],[Quantity_edited]]=0,0,Tradingbook_SBV[[#This Row],[Mod Dur]])</f>
        <v>0</v>
      </c>
      <c r="DX298" s="71">
        <f>IF(Tradingbook_SBV[[#This Row],[Quantity_edited]]=0,0,Tradingbook_SBV[[#This Row],[Cnvx.]])</f>
        <v>0</v>
      </c>
      <c r="DY298" s="71">
        <f>(Tradingbook_SBV[[#This Row],[MARKET_VALUE]]+Tradingbook_SBV[[#This Row],[Accr Int]]*Tradingbook_SBV[[#This Row],[Quantity_edited]])*(-Tradingbook_SBV[[#This Row],[Modified Duration]]*0.0001+0.5*Tradingbook_SBV[[#This Row],[Conv]]*(0.0001^2))</f>
        <v>0</v>
      </c>
      <c r="DZ298" s="71">
        <f>(Tradingbook_SBV[[#This Row],[MARKET_VALUE]]+Tradingbook_SBV[[#This Row],[Accr Int]]*Tradingbook_SBV[[#This Row],[Quantity_edited]])*(-Tradingbook_SBV[[#This Row],[Modified Duration]]*0.01+0.5*Tradingbook_SBV[[#This Row],[Conv]]*(0.01^2))</f>
        <v>0</v>
      </c>
      <c r="EC298" t="s">
        <v>166</v>
      </c>
      <c r="ED298" t="s">
        <v>3302</v>
      </c>
      <c r="EE298" t="s">
        <v>679</v>
      </c>
      <c r="EF298" t="s">
        <v>169</v>
      </c>
      <c r="EG298" s="35" t="s">
        <v>3455</v>
      </c>
      <c r="EH298" t="s">
        <v>170</v>
      </c>
      <c r="EI298" s="500">
        <v>91883</v>
      </c>
      <c r="EJ298" s="500">
        <v>91883</v>
      </c>
      <c r="EK298" s="500">
        <v>500000</v>
      </c>
      <c r="EL298" s="500">
        <v>50000000000</v>
      </c>
      <c r="EM298" s="500">
        <v>101565.36599999999</v>
      </c>
      <c r="EN298" s="500">
        <v>45941500000</v>
      </c>
      <c r="EO298">
        <v>3.2</v>
      </c>
      <c r="EP298">
        <v>1938</v>
      </c>
      <c r="EQ298">
        <v>4800000000</v>
      </c>
      <c r="ER298">
        <v>5143368888.888895</v>
      </c>
      <c r="ES298">
        <v>-13331121110.55542</v>
      </c>
      <c r="ET298">
        <v>4.373603653</v>
      </c>
      <c r="EU298">
        <v>6.9923228555619996</v>
      </c>
      <c r="EV298">
        <v>7.2981393399999996</v>
      </c>
      <c r="EW298">
        <v>60.354893359262903</v>
      </c>
      <c r="EX298">
        <v>28312.782249297001</v>
      </c>
      <c r="EY298">
        <v>-32801.336131584001</v>
      </c>
      <c r="EZ298">
        <v>5501.9110000000001</v>
      </c>
      <c r="FA298">
        <v>-42635717213.114838</v>
      </c>
      <c r="FB298">
        <v>-4841182786.8852491</v>
      </c>
      <c r="FC298">
        <v>-47476900000.000084</v>
      </c>
      <c r="FD298">
        <v>-47476900000.000084</v>
      </c>
      <c r="FE298">
        <v>-47476900000</v>
      </c>
      <c r="FF298">
        <v>-47476900000.000084</v>
      </c>
      <c r="FG298" s="32">
        <f>Bankingbook_SBV[[#This Row],[Mat. Date]]-RPT</f>
        <v>3066</v>
      </c>
      <c r="FH298" s="32">
        <f>IF(Bankingbook_SBV[[#This Row],[Days]]&lt;=0,0,YEARFRAC(RPT,Bankingbook_SBV[[#This Row],[Mat. Date]],3))</f>
        <v>8.4</v>
      </c>
      <c r="FI298" s="32" t="str">
        <f>IF(Bankingbook_SBV[[#This Row],[Days (year)]]=0,0,INDEX(Ref!$K$2:$K$13,MATCH(Bankingbook_SBV[[#This Row],[Days (year)]],Ref!$I$2:$I$13,1)))</f>
        <v>10Y</v>
      </c>
      <c r="FJ298" s="32" t="str">
        <f>VLOOKUP(Bankingbook_SBV[[#This Row],[Security Name]],Ref!X:Z,3,0)</f>
        <v>TPCP</v>
      </c>
      <c r="FK298" s="32" t="str">
        <f>VLOOKUP(Bankingbook_SBV[[#This Row],[Security Name]],Ref!X:Y,2,0)</f>
        <v>KBNN</v>
      </c>
      <c r="FL298" s="72">
        <f>IF((Bankingbook_SBV[[#This Row],[Mat. Date]]-RPT)&lt;=0,0,Bankingbook_SBV[[#This Row],[QUANTITY]])</f>
        <v>500000</v>
      </c>
      <c r="FM298" s="32">
        <f>IF(Bankingbook_SBV[[#This Row],[Quantity_edited]]=0,0,Bankingbook_SBV[[#This Row],[DURATION]])</f>
        <v>7.2981393399999996</v>
      </c>
      <c r="FN298" s="32">
        <f>IF(Bankingbook_SBV[[#This Row],[Quantity_edited]]=0,0,Bankingbook_SBV[[#This Row],[Mod Dur]])</f>
        <v>6.9923228555619996</v>
      </c>
      <c r="FO298" s="32">
        <f>IF(Bankingbook_SBV[[#This Row],[Quantity_edited]]=0,0,Bankingbook_SBV[[#This Row],[Cnvx.]])</f>
        <v>60.354893359262903</v>
      </c>
      <c r="FP298" s="32">
        <f>(Bankingbook_SBV[[#This Row],[MARKET_VALUE]]+Bankingbook_SBV[[#This Row],[Accr Int]]*Bankingbook_SBV[[#This Row],[Quantity_edited]])*(-Bankingbook_SBV[[#This Row],[Modified Duration]]*0.0001+0.5*Bankingbook_SBV[[#This Row],[Conv]]*(0.0001^2))</f>
        <v>-32787179.740459472</v>
      </c>
      <c r="FQ298" s="32">
        <f>(Bankingbook_SBV[[#This Row],[MARKET_VALUE]]+Bankingbook_SBV[[#This Row],[Accr Int]]*Bankingbook_SBV[[#This Row],[Quantity_edited]])*(-Bankingbook_SBV[[#This Row],[Modified Duration]]*0.01+0.5*Bankingbook_SBV[[#This Row],[Conv]]*(0.01^2))</f>
        <v>-3138569701.9119267</v>
      </c>
    </row>
    <row r="299" spans="2:173" x14ac:dyDescent="0.3">
      <c r="B299" t="s">
        <v>166</v>
      </c>
      <c r="C299" t="s">
        <v>167</v>
      </c>
      <c r="D299" t="s">
        <v>484</v>
      </c>
      <c r="E299" t="s">
        <v>169</v>
      </c>
      <c r="F299" s="502">
        <v>44398</v>
      </c>
      <c r="G299" t="s">
        <v>3322</v>
      </c>
      <c r="H299"/>
      <c r="I299"/>
      <c r="J299" s="38">
        <v>0</v>
      </c>
      <c r="K299">
        <v>0</v>
      </c>
      <c r="L299">
        <v>0</v>
      </c>
      <c r="M299" s="38">
        <v>0</v>
      </c>
      <c r="N299">
        <v>6.1</v>
      </c>
      <c r="O299">
        <v>0</v>
      </c>
      <c r="P299" s="37">
        <v>0</v>
      </c>
      <c r="Q299" s="37">
        <v>0</v>
      </c>
      <c r="R299" s="37">
        <v>-779296087.01389217</v>
      </c>
      <c r="S299">
        <v>0</v>
      </c>
      <c r="T299" s="70">
        <v>0</v>
      </c>
      <c r="U299">
        <v>0</v>
      </c>
      <c r="V299">
        <v>0</v>
      </c>
      <c r="W299">
        <v>0</v>
      </c>
      <c r="X299" s="38">
        <v>0</v>
      </c>
      <c r="Y299">
        <v>0</v>
      </c>
      <c r="Z299" s="70">
        <v>392000000</v>
      </c>
      <c r="AA299" s="70">
        <v>0</v>
      </c>
      <c r="AB299" s="70">
        <v>392000000</v>
      </c>
      <c r="AC299" s="70">
        <v>392000000</v>
      </c>
      <c r="AD299" s="70">
        <v>392000000</v>
      </c>
      <c r="AE299" s="70">
        <v>392000000</v>
      </c>
      <c r="AF299">
        <v>0</v>
      </c>
      <c r="AG299" s="72">
        <f>Tradingbook_MSB[[#This Row],[Mat. Date]]-RPT</f>
        <v>-1854</v>
      </c>
      <c r="AH299" s="71">
        <f>IF(Tradingbook_MSB[[#This Row],[Days]]&lt;=0,0,YEARFRAC(RPT,Tradingbook_MSB[[#This Row],[Mat. Date]],3))</f>
        <v>0</v>
      </c>
      <c r="AI299" s="71">
        <f>IF(Tradingbook_MSB[[#This Row],[Days (year)]]=0,0,INDEX(Ref!$K$2:$K$13,MATCH(Tradingbook_MSB[[#This Row],[Days (year)]],Ref!$I$2:$I$13,1)))</f>
        <v>0</v>
      </c>
      <c r="AJ299" s="120" t="str">
        <f>VLOOKUP(Tradingbook_MSB[[#This Row],[Security Name]],Ref!X:Z,3,0)</f>
        <v>TPCP</v>
      </c>
      <c r="AK299" s="120" t="str">
        <f>VLOOKUP(Tradingbook_MSB[[#This Row],[Security Name]],Ref!X:Y,2,0)</f>
        <v>KBNN</v>
      </c>
      <c r="AL299" s="71">
        <f>IF((Tradingbook_MSB[[#This Row],[Mat. Date]]-RPT)&lt;=0,0,Tradingbook_MSB[[#This Row],[QUANTITY]])</f>
        <v>0</v>
      </c>
      <c r="AM299" s="71">
        <f>IF(Tradingbook_MSB[[#This Row],[Quantity_edited]]=0,0,Tradingbook_MSB[[#This Row],[DURATION]])</f>
        <v>0</v>
      </c>
      <c r="AN299" s="71">
        <f>IF(Tradingbook_MSB[[#This Row],[Quantity_edited]]=0,0,Tradingbook_MSB[[#This Row],[Mod Dur]])</f>
        <v>0</v>
      </c>
      <c r="AO299" s="71">
        <f>IF(Tradingbook_MSB[[#This Row],[Quantity_edited]]=0,0,Tradingbook_MSB[[#This Row],[Cnvx.]])</f>
        <v>0</v>
      </c>
      <c r="AP299" s="71">
        <f>(Tradingbook_MSB[[#This Row],[MARKET_VALUE]]+Tradingbook_MSB[[#This Row],[Accr Int]]*Tradingbook_MSB[[#This Row],[Quantity_edited]])*(-Tradingbook_MSB[[#This Row],[Modified Duration]]*0.0001+0.5*Tradingbook_MSB[[#This Row],[Conv]]*(0.0001^2))</f>
        <v>0</v>
      </c>
      <c r="AQ299" s="72">
        <f>(Tradingbook_MSB[[#This Row],[MARKET_VALUE]]+Tradingbook_MSB[[#This Row],[Accr Int]]*Tradingbook_MSB[[#This Row],[Quantity_edited]])*(-Tradingbook_MSB[[#This Row],[Modified Duration]]*0.01+0.5*Tradingbook_MSB[[#This Row],[Conv]]*(0.01^2))</f>
        <v>0</v>
      </c>
      <c r="AR299" s="71"/>
      <c r="CL299" t="s">
        <v>166</v>
      </c>
      <c r="CM299" t="s">
        <v>167</v>
      </c>
      <c r="CN299" t="s">
        <v>486</v>
      </c>
      <c r="CO299" t="s">
        <v>169</v>
      </c>
      <c r="CP299" s="35">
        <v>44426</v>
      </c>
      <c r="CQ299" t="s">
        <v>3322</v>
      </c>
      <c r="CR299" t="s">
        <v>174</v>
      </c>
      <c r="CS299" t="s">
        <v>174</v>
      </c>
      <c r="CT299" s="49">
        <v>0</v>
      </c>
      <c r="CU299">
        <v>0</v>
      </c>
      <c r="CV299">
        <v>0</v>
      </c>
      <c r="CW299" s="70">
        <v>0</v>
      </c>
      <c r="CX299">
        <v>5.9</v>
      </c>
      <c r="CY299">
        <v>0</v>
      </c>
      <c r="CZ299">
        <v>5900000000</v>
      </c>
      <c r="DA299">
        <v>6346171930.5555515</v>
      </c>
      <c r="DB299">
        <v>-3301132397.5694265</v>
      </c>
      <c r="DC299">
        <v>0</v>
      </c>
      <c r="DD299">
        <v>0</v>
      </c>
      <c r="DE299">
        <v>0</v>
      </c>
      <c r="DF299">
        <v>0</v>
      </c>
      <c r="DG299">
        <v>0</v>
      </c>
      <c r="DH299">
        <v>0</v>
      </c>
      <c r="DI299">
        <v>0</v>
      </c>
      <c r="DJ299" s="500">
        <v>6421000000</v>
      </c>
      <c r="DK299" s="500">
        <v>0</v>
      </c>
      <c r="DL299" s="37">
        <v>6421000000</v>
      </c>
      <c r="DM299" s="37">
        <v>6421000000</v>
      </c>
      <c r="DN299" s="37">
        <v>6421000000</v>
      </c>
      <c r="DO299" s="37">
        <v>6421000000</v>
      </c>
      <c r="DP299" s="32">
        <f>Tradingbook_SBV[[#This Row],[Mat. Date]]-RPT</f>
        <v>-1826</v>
      </c>
      <c r="DQ299" s="32">
        <f>IF(Tradingbook_SBV[[#This Row],[Days]]&lt;=0,0,YEARFRAC(RPT,Tradingbook_SBV[[#This Row],[Mat. Date]],3))</f>
        <v>0</v>
      </c>
      <c r="DR299" s="32">
        <f>IF(Tradingbook_SBV[[#This Row],[Days (year)]]=0,0,INDEX(Ref!$K$2:$K$13,MATCH(Tradingbook_SBV[[#This Row],[Days (year)]],Ref!$I$2:$I$13,1)))</f>
        <v>0</v>
      </c>
      <c r="DS299" s="32" t="str">
        <f>VLOOKUP(Tradingbook_SBV[[#This Row],[Security Name]],Ref!X:Z,3,0)</f>
        <v>TPCP</v>
      </c>
      <c r="DT299" s="32" t="str">
        <f>VLOOKUP(Tradingbook_SBV[[#This Row],[Security Name]],Ref!X:Y,2,0)</f>
        <v>KBNN</v>
      </c>
      <c r="DU299" s="71">
        <f>IF((Tradingbook_SBV[[#This Row],[Mat. Date]]-RPT)&lt;=0,0,Tradingbook_SBV[[#This Row],[QUANTITY]])</f>
        <v>0</v>
      </c>
      <c r="DV299" s="71">
        <f>IF(Tradingbook_SBV[[#This Row],[Quantity_edited]]=0,0,Tradingbook_SBV[[#This Row],[DURATION]])</f>
        <v>0</v>
      </c>
      <c r="DW299" s="71">
        <f>IF(Tradingbook_SBV[[#This Row],[Quantity_edited]]=0,0,Tradingbook_SBV[[#This Row],[Mod Dur]])</f>
        <v>0</v>
      </c>
      <c r="DX299" s="71">
        <f>IF(Tradingbook_SBV[[#This Row],[Quantity_edited]]=0,0,Tradingbook_SBV[[#This Row],[Cnvx.]])</f>
        <v>0</v>
      </c>
      <c r="DY299" s="71">
        <f>(Tradingbook_SBV[[#This Row],[MARKET_VALUE]]+Tradingbook_SBV[[#This Row],[Accr Int]]*Tradingbook_SBV[[#This Row],[Quantity_edited]])*(-Tradingbook_SBV[[#This Row],[Modified Duration]]*0.0001+0.5*Tradingbook_SBV[[#This Row],[Conv]]*(0.0001^2))</f>
        <v>0</v>
      </c>
      <c r="DZ299" s="71">
        <f>(Tradingbook_SBV[[#This Row],[MARKET_VALUE]]+Tradingbook_SBV[[#This Row],[Accr Int]]*Tradingbook_SBV[[#This Row],[Quantity_edited]])*(-Tradingbook_SBV[[#This Row],[Modified Duration]]*0.01+0.5*Tradingbook_SBV[[#This Row],[Conv]]*(0.01^2))</f>
        <v>0</v>
      </c>
      <c r="EC299" t="s">
        <v>166</v>
      </c>
      <c r="ED299" t="s">
        <v>3302</v>
      </c>
      <c r="EE299" t="s">
        <v>3051</v>
      </c>
      <c r="EF299" t="s">
        <v>169</v>
      </c>
      <c r="EG299" s="35" t="s">
        <v>3518</v>
      </c>
      <c r="EH299" t="s">
        <v>170</v>
      </c>
      <c r="EI299" s="500">
        <v>89638</v>
      </c>
      <c r="EJ299" s="500">
        <v>89638</v>
      </c>
      <c r="EK299" s="500">
        <v>6000000</v>
      </c>
      <c r="EL299" s="500">
        <v>600000000000</v>
      </c>
      <c r="EM299" s="500">
        <v>94973.331999999995</v>
      </c>
      <c r="EN299" s="500">
        <v>537828000000</v>
      </c>
      <c r="EO299">
        <v>2.9</v>
      </c>
      <c r="EP299">
        <v>1367</v>
      </c>
      <c r="EQ299">
        <v>17400000000</v>
      </c>
      <c r="ER299">
        <v>17873618333.333336</v>
      </c>
      <c r="ES299">
        <v>-12211636353.333349</v>
      </c>
      <c r="ET299">
        <v>4.3798015689999996</v>
      </c>
      <c r="EU299">
        <v>7.1953186917748999</v>
      </c>
      <c r="EV299">
        <v>7.5104593700000004</v>
      </c>
      <c r="EW299">
        <v>63.1624828347475</v>
      </c>
      <c r="EX299">
        <v>344886.10502257169</v>
      </c>
      <c r="EY299">
        <v>-392885.986526986</v>
      </c>
      <c r="EZ299">
        <v>64130.125999999997</v>
      </c>
      <c r="FA299">
        <v>-2201006329.1142521</v>
      </c>
      <c r="FB299">
        <v>-32011993670.886093</v>
      </c>
      <c r="FC299">
        <v>-34213000000.000343</v>
      </c>
      <c r="FD299">
        <v>-34213000000.000343</v>
      </c>
      <c r="FE299">
        <v>-34213000000</v>
      </c>
      <c r="FF299">
        <v>-34213000000.000343</v>
      </c>
      <c r="FG299" s="32">
        <f>Bankingbook_SBV[[#This Row],[Mat. Date]]-RPT</f>
        <v>3115</v>
      </c>
      <c r="FH299" s="32">
        <f>IF(Bankingbook_SBV[[#This Row],[Days]]&lt;=0,0,YEARFRAC(RPT,Bankingbook_SBV[[#This Row],[Mat. Date]],3))</f>
        <v>8.5342465753424666</v>
      </c>
      <c r="FI299" s="32" t="str">
        <f>IF(Bankingbook_SBV[[#This Row],[Days (year)]]=0,0,INDEX(Ref!$K$2:$K$13,MATCH(Bankingbook_SBV[[#This Row],[Days (year)]],Ref!$I$2:$I$13,1)))</f>
        <v>10Y</v>
      </c>
      <c r="FJ299" s="32" t="str">
        <f>VLOOKUP(Bankingbook_SBV[[#This Row],[Security Name]],Ref!X:Z,3,0)</f>
        <v>TPCP</v>
      </c>
      <c r="FK299" s="32" t="str">
        <f>VLOOKUP(Bankingbook_SBV[[#This Row],[Security Name]],Ref!X:Y,2,0)</f>
        <v>KBNN</v>
      </c>
      <c r="FL299" s="72">
        <f>IF((Bankingbook_SBV[[#This Row],[Mat. Date]]-RPT)&lt;=0,0,Bankingbook_SBV[[#This Row],[QUANTITY]])</f>
        <v>6000000</v>
      </c>
      <c r="FM299" s="32">
        <f>IF(Bankingbook_SBV[[#This Row],[Quantity_edited]]=0,0,Bankingbook_SBV[[#This Row],[DURATION]])</f>
        <v>7.5104593700000004</v>
      </c>
      <c r="FN299" s="32">
        <f>IF(Bankingbook_SBV[[#This Row],[Quantity_edited]]=0,0,Bankingbook_SBV[[#This Row],[Mod Dur]])</f>
        <v>7.1953186917748999</v>
      </c>
      <c r="FO299" s="32">
        <f>IF(Bankingbook_SBV[[#This Row],[Quantity_edited]]=0,0,Bankingbook_SBV[[#This Row],[Cnvx.]])</f>
        <v>63.1624828347475</v>
      </c>
      <c r="FP299" s="32">
        <f>(Bankingbook_SBV[[#This Row],[MARKET_VALUE]]+Bankingbook_SBV[[#This Row],[Accr Int]]*Bankingbook_SBV[[#This Row],[Quantity_edited]])*(-Bankingbook_SBV[[#This Row],[Modified Duration]]*0.0001+0.5*Bankingbook_SBV[[#This Row],[Conv]]*(0.0001^2))</f>
        <v>-392713543.47447354</v>
      </c>
      <c r="FQ299" s="32">
        <f>(Bankingbook_SBV[[#This Row],[MARKET_VALUE]]+Bankingbook_SBV[[#This Row],[Accr Int]]*Bankingbook_SBV[[#This Row],[Quantity_edited]])*(-Bankingbook_SBV[[#This Row],[Modified Duration]]*0.01+0.5*Bankingbook_SBV[[#This Row],[Conv]]*(0.01^2))</f>
        <v>-37564168127.585632</v>
      </c>
    </row>
    <row r="300" spans="2:173" x14ac:dyDescent="0.3">
      <c r="B300" t="s">
        <v>166</v>
      </c>
      <c r="C300" t="s">
        <v>167</v>
      </c>
      <c r="D300" t="s">
        <v>485</v>
      </c>
      <c r="E300" t="s">
        <v>169</v>
      </c>
      <c r="F300" s="502">
        <v>44412</v>
      </c>
      <c r="G300" t="s">
        <v>3322</v>
      </c>
      <c r="H300"/>
      <c r="I300"/>
      <c r="J300" s="38">
        <v>0</v>
      </c>
      <c r="K300">
        <v>0</v>
      </c>
      <c r="L300">
        <v>0</v>
      </c>
      <c r="M300" s="38">
        <v>0</v>
      </c>
      <c r="N300">
        <v>6.1</v>
      </c>
      <c r="O300">
        <v>0</v>
      </c>
      <c r="P300" s="37">
        <v>0</v>
      </c>
      <c r="Q300" s="37">
        <v>0</v>
      </c>
      <c r="R300" s="37">
        <v>-171623533.88889194</v>
      </c>
      <c r="S300">
        <v>0</v>
      </c>
      <c r="T300" s="70">
        <v>0</v>
      </c>
      <c r="U300">
        <v>0</v>
      </c>
      <c r="V300">
        <v>0</v>
      </c>
      <c r="W300">
        <v>0</v>
      </c>
      <c r="X300" s="38">
        <v>0</v>
      </c>
      <c r="Y300">
        <v>0</v>
      </c>
      <c r="Z300" s="70">
        <v>-551500000</v>
      </c>
      <c r="AA300" s="70">
        <v>0</v>
      </c>
      <c r="AB300" s="70">
        <v>-551500000</v>
      </c>
      <c r="AC300" s="70">
        <v>-551500000</v>
      </c>
      <c r="AD300" s="70">
        <v>-551500000</v>
      </c>
      <c r="AE300" s="70">
        <v>-551500000</v>
      </c>
      <c r="AF300">
        <v>0</v>
      </c>
      <c r="AG300" s="72">
        <f>Tradingbook_MSB[[#This Row],[Mat. Date]]-RPT</f>
        <v>-1840</v>
      </c>
      <c r="AH300" s="71">
        <f>IF(Tradingbook_MSB[[#This Row],[Days]]&lt;=0,0,YEARFRAC(RPT,Tradingbook_MSB[[#This Row],[Mat. Date]],3))</f>
        <v>0</v>
      </c>
      <c r="AI300" s="71">
        <f>IF(Tradingbook_MSB[[#This Row],[Days (year)]]=0,0,INDEX(Ref!$K$2:$K$13,MATCH(Tradingbook_MSB[[#This Row],[Days (year)]],Ref!$I$2:$I$13,1)))</f>
        <v>0</v>
      </c>
      <c r="AJ300" s="120" t="str">
        <f>VLOOKUP(Tradingbook_MSB[[#This Row],[Security Name]],Ref!X:Z,3,0)</f>
        <v>TPCP</v>
      </c>
      <c r="AK300" s="120" t="str">
        <f>VLOOKUP(Tradingbook_MSB[[#This Row],[Security Name]],Ref!X:Y,2,0)</f>
        <v>KBNN</v>
      </c>
      <c r="AL300" s="71">
        <f>IF((Tradingbook_MSB[[#This Row],[Mat. Date]]-RPT)&lt;=0,0,Tradingbook_MSB[[#This Row],[QUANTITY]])</f>
        <v>0</v>
      </c>
      <c r="AM300" s="71">
        <f>IF(Tradingbook_MSB[[#This Row],[Quantity_edited]]=0,0,Tradingbook_MSB[[#This Row],[DURATION]])</f>
        <v>0</v>
      </c>
      <c r="AN300" s="71">
        <f>IF(Tradingbook_MSB[[#This Row],[Quantity_edited]]=0,0,Tradingbook_MSB[[#This Row],[Mod Dur]])</f>
        <v>0</v>
      </c>
      <c r="AO300" s="71">
        <f>IF(Tradingbook_MSB[[#This Row],[Quantity_edited]]=0,0,Tradingbook_MSB[[#This Row],[Cnvx.]])</f>
        <v>0</v>
      </c>
      <c r="AP300" s="71">
        <f>(Tradingbook_MSB[[#This Row],[MARKET_VALUE]]+Tradingbook_MSB[[#This Row],[Accr Int]]*Tradingbook_MSB[[#This Row],[Quantity_edited]])*(-Tradingbook_MSB[[#This Row],[Modified Duration]]*0.0001+0.5*Tradingbook_MSB[[#This Row],[Conv]]*(0.0001^2))</f>
        <v>0</v>
      </c>
      <c r="AQ300" s="72">
        <f>(Tradingbook_MSB[[#This Row],[MARKET_VALUE]]+Tradingbook_MSB[[#This Row],[Accr Int]]*Tradingbook_MSB[[#This Row],[Quantity_edited]])*(-Tradingbook_MSB[[#This Row],[Modified Duration]]*0.01+0.5*Tradingbook_MSB[[#This Row],[Conv]]*(0.01^2))</f>
        <v>0</v>
      </c>
      <c r="AR300" s="71"/>
      <c r="CL300" t="s">
        <v>166</v>
      </c>
      <c r="CM300" t="s">
        <v>167</v>
      </c>
      <c r="CN300" t="s">
        <v>487</v>
      </c>
      <c r="CO300" t="s">
        <v>169</v>
      </c>
      <c r="CP300" s="35">
        <v>44440</v>
      </c>
      <c r="CQ300" t="s">
        <v>3322</v>
      </c>
      <c r="CR300" t="s">
        <v>174</v>
      </c>
      <c r="CS300" t="s">
        <v>174</v>
      </c>
      <c r="CT300" s="49">
        <v>0</v>
      </c>
      <c r="CU300">
        <v>0</v>
      </c>
      <c r="CV300">
        <v>0</v>
      </c>
      <c r="CW300" s="70">
        <v>0</v>
      </c>
      <c r="CX300">
        <v>5.7</v>
      </c>
      <c r="CY300">
        <v>0</v>
      </c>
      <c r="CZ300">
        <v>5700000000</v>
      </c>
      <c r="DA300">
        <v>5832027041.6666641</v>
      </c>
      <c r="DB300">
        <v>-497591223.61110425</v>
      </c>
      <c r="DC300">
        <v>0</v>
      </c>
      <c r="DD300">
        <v>0</v>
      </c>
      <c r="DE300">
        <v>0</v>
      </c>
      <c r="DF300">
        <v>0</v>
      </c>
      <c r="DG300">
        <v>0</v>
      </c>
      <c r="DH300">
        <v>0</v>
      </c>
      <c r="DI300">
        <v>0</v>
      </c>
      <c r="DJ300" s="500">
        <v>1624500000</v>
      </c>
      <c r="DK300" s="500">
        <v>0</v>
      </c>
      <c r="DL300" s="37">
        <v>1624500000</v>
      </c>
      <c r="DM300" s="37">
        <v>1624500000</v>
      </c>
      <c r="DN300" s="37">
        <v>1624500000</v>
      </c>
      <c r="DO300" s="37">
        <v>1624500000</v>
      </c>
      <c r="DP300" s="32">
        <f>Tradingbook_SBV[[#This Row],[Mat. Date]]-RPT</f>
        <v>-1812</v>
      </c>
      <c r="DQ300" s="32">
        <f>IF(Tradingbook_SBV[[#This Row],[Days]]&lt;=0,0,YEARFRAC(RPT,Tradingbook_SBV[[#This Row],[Mat. Date]],3))</f>
        <v>0</v>
      </c>
      <c r="DR300" s="32">
        <f>IF(Tradingbook_SBV[[#This Row],[Days (year)]]=0,0,INDEX(Ref!$K$2:$K$13,MATCH(Tradingbook_SBV[[#This Row],[Days (year)]],Ref!$I$2:$I$13,1)))</f>
        <v>0</v>
      </c>
      <c r="DS300" s="32" t="str">
        <f>VLOOKUP(Tradingbook_SBV[[#This Row],[Security Name]],Ref!X:Z,3,0)</f>
        <v>TPCP</v>
      </c>
      <c r="DT300" s="32" t="str">
        <f>VLOOKUP(Tradingbook_SBV[[#This Row],[Security Name]],Ref!X:Y,2,0)</f>
        <v>KBNN</v>
      </c>
      <c r="DU300" s="71">
        <f>IF((Tradingbook_SBV[[#This Row],[Mat. Date]]-RPT)&lt;=0,0,Tradingbook_SBV[[#This Row],[QUANTITY]])</f>
        <v>0</v>
      </c>
      <c r="DV300" s="71">
        <f>IF(Tradingbook_SBV[[#This Row],[Quantity_edited]]=0,0,Tradingbook_SBV[[#This Row],[DURATION]])</f>
        <v>0</v>
      </c>
      <c r="DW300" s="71">
        <f>IF(Tradingbook_SBV[[#This Row],[Quantity_edited]]=0,0,Tradingbook_SBV[[#This Row],[Mod Dur]])</f>
        <v>0</v>
      </c>
      <c r="DX300" s="71">
        <f>IF(Tradingbook_SBV[[#This Row],[Quantity_edited]]=0,0,Tradingbook_SBV[[#This Row],[Cnvx.]])</f>
        <v>0</v>
      </c>
      <c r="DY300" s="71">
        <f>(Tradingbook_SBV[[#This Row],[MARKET_VALUE]]+Tradingbook_SBV[[#This Row],[Accr Int]]*Tradingbook_SBV[[#This Row],[Quantity_edited]])*(-Tradingbook_SBV[[#This Row],[Modified Duration]]*0.0001+0.5*Tradingbook_SBV[[#This Row],[Conv]]*(0.0001^2))</f>
        <v>0</v>
      </c>
      <c r="DZ300" s="71">
        <f>(Tradingbook_SBV[[#This Row],[MARKET_VALUE]]+Tradingbook_SBV[[#This Row],[Accr Int]]*Tradingbook_SBV[[#This Row],[Quantity_edited]])*(-Tradingbook_SBV[[#This Row],[Modified Duration]]*0.01+0.5*Tradingbook_SBV[[#This Row],[Conv]]*(0.01^2))</f>
        <v>0</v>
      </c>
      <c r="EC300" t="s">
        <v>166</v>
      </c>
      <c r="ED300" t="s">
        <v>3302</v>
      </c>
      <c r="EE300" t="s">
        <v>3081</v>
      </c>
      <c r="EF300" t="s">
        <v>169</v>
      </c>
      <c r="EG300" s="35" t="s">
        <v>3833</v>
      </c>
      <c r="EH300" t="s">
        <v>170</v>
      </c>
      <c r="EI300" s="500">
        <v>89589</v>
      </c>
      <c r="EJ300" s="500">
        <v>89589</v>
      </c>
      <c r="EK300" s="500">
        <v>500000</v>
      </c>
      <c r="EL300" s="500">
        <v>50000000000</v>
      </c>
      <c r="EM300" s="500">
        <v>97811.5</v>
      </c>
      <c r="EN300" s="500">
        <v>44794500000</v>
      </c>
      <c r="EO300">
        <v>2.9</v>
      </c>
      <c r="EP300">
        <v>1255</v>
      </c>
      <c r="EQ300">
        <v>0</v>
      </c>
      <c r="ER300">
        <v>0</v>
      </c>
      <c r="ES300">
        <v>-412271518.05555773</v>
      </c>
      <c r="ET300">
        <v>4.3815510939999998</v>
      </c>
      <c r="EU300">
        <v>7.2318655385230004</v>
      </c>
      <c r="EV300">
        <v>7.5487334199999996</v>
      </c>
      <c r="EW300">
        <v>63.724841067543601</v>
      </c>
      <c r="EX300">
        <v>28945.0973096997</v>
      </c>
      <c r="EY300">
        <v>-32848.579649079002</v>
      </c>
      <c r="EZ300">
        <v>5336.8090000000002</v>
      </c>
      <c r="FA300">
        <v>880250000</v>
      </c>
      <c r="FB300">
        <v>-4111250000</v>
      </c>
      <c r="FC300">
        <v>-3231000000</v>
      </c>
      <c r="FD300">
        <v>-3231000000</v>
      </c>
      <c r="FE300">
        <v>-3231000000</v>
      </c>
      <c r="FF300">
        <v>-3231000000</v>
      </c>
      <c r="FG300" s="32">
        <f>Bankingbook_SBV[[#This Row],[Mat. Date]]-RPT</f>
        <v>3129</v>
      </c>
      <c r="FH300" s="32">
        <f>IF(Bankingbook_SBV[[#This Row],[Days]]&lt;=0,0,YEARFRAC(RPT,Bankingbook_SBV[[#This Row],[Mat. Date]],3))</f>
        <v>8.5726027397260278</v>
      </c>
      <c r="FI300" s="32" t="str">
        <f>IF(Bankingbook_SBV[[#This Row],[Days (year)]]=0,0,INDEX(Ref!$K$2:$K$13,MATCH(Bankingbook_SBV[[#This Row],[Days (year)]],Ref!$I$2:$I$13,1)))</f>
        <v>10Y</v>
      </c>
      <c r="FJ300" s="32" t="str">
        <f>VLOOKUP(Bankingbook_SBV[[#This Row],[Security Name]],Ref!X:Z,3,0)</f>
        <v>TPCP</v>
      </c>
      <c r="FK300" s="32" t="str">
        <f>VLOOKUP(Bankingbook_SBV[[#This Row],[Security Name]],Ref!X:Y,2,0)</f>
        <v>KBNN</v>
      </c>
      <c r="FL300" s="72">
        <f>IF((Bankingbook_SBV[[#This Row],[Mat. Date]]-RPT)&lt;=0,0,Bankingbook_SBV[[#This Row],[QUANTITY]])</f>
        <v>500000</v>
      </c>
      <c r="FM300" s="32">
        <f>IF(Bankingbook_SBV[[#This Row],[Quantity_edited]]=0,0,Bankingbook_SBV[[#This Row],[DURATION]])</f>
        <v>7.5487334199999996</v>
      </c>
      <c r="FN300" s="32">
        <f>IF(Bankingbook_SBV[[#This Row],[Quantity_edited]]=0,0,Bankingbook_SBV[[#This Row],[Mod Dur]])</f>
        <v>7.2318655385230004</v>
      </c>
      <c r="FO300" s="32">
        <f>IF(Bankingbook_SBV[[#This Row],[Quantity_edited]]=0,0,Bankingbook_SBV[[#This Row],[Cnvx.]])</f>
        <v>63.724841067543601</v>
      </c>
      <c r="FP300" s="32">
        <f>(Bankingbook_SBV[[#This Row],[MARKET_VALUE]]+Bankingbook_SBV[[#This Row],[Accr Int]]*Bankingbook_SBV[[#This Row],[Quantity_edited]])*(-Bankingbook_SBV[[#This Row],[Modified Duration]]*0.0001+0.5*Bankingbook_SBV[[#This Row],[Conv]]*(0.0001^2))</f>
        <v>-32834107.100424323</v>
      </c>
      <c r="FQ300" s="32">
        <f>(Bankingbook_SBV[[#This Row],[MARKET_VALUE]]+Bankingbook_SBV[[#This Row],[Accr Int]]*Bankingbook_SBV[[#This Row],[Quantity_edited]])*(-Bankingbook_SBV[[#This Row],[Modified Duration]]*0.01+0.5*Bankingbook_SBV[[#This Row],[Conv]]*(0.01^2))</f>
        <v>-3140132478.3594189</v>
      </c>
    </row>
    <row r="301" spans="2:173" x14ac:dyDescent="0.3">
      <c r="B301" t="s">
        <v>166</v>
      </c>
      <c r="C301" t="s">
        <v>167</v>
      </c>
      <c r="D301" t="s">
        <v>486</v>
      </c>
      <c r="E301" t="s">
        <v>169</v>
      </c>
      <c r="F301" s="502">
        <v>44426</v>
      </c>
      <c r="G301" t="s">
        <v>3322</v>
      </c>
      <c r="H301"/>
      <c r="I301"/>
      <c r="J301" s="38">
        <v>0</v>
      </c>
      <c r="K301">
        <v>0</v>
      </c>
      <c r="L301">
        <v>0</v>
      </c>
      <c r="M301" s="38">
        <v>0</v>
      </c>
      <c r="N301">
        <v>5.9</v>
      </c>
      <c r="O301">
        <v>0</v>
      </c>
      <c r="P301" s="37">
        <v>5900000000</v>
      </c>
      <c r="Q301" s="37">
        <v>6346171930.5555515</v>
      </c>
      <c r="R301" s="37">
        <v>-3301132397.5694265</v>
      </c>
      <c r="S301">
        <v>0</v>
      </c>
      <c r="T301" s="70">
        <v>0</v>
      </c>
      <c r="U301">
        <v>0</v>
      </c>
      <c r="V301">
        <v>0</v>
      </c>
      <c r="W301">
        <v>0</v>
      </c>
      <c r="X301" s="38">
        <v>0</v>
      </c>
      <c r="Y301">
        <v>0</v>
      </c>
      <c r="Z301" s="70">
        <v>6421000000</v>
      </c>
      <c r="AA301" s="70">
        <v>0</v>
      </c>
      <c r="AB301" s="70">
        <v>6421000000</v>
      </c>
      <c r="AC301" s="70">
        <v>6421000000</v>
      </c>
      <c r="AD301" s="70">
        <v>6421000000</v>
      </c>
      <c r="AE301" s="70">
        <v>6421000000</v>
      </c>
      <c r="AF301">
        <v>0</v>
      </c>
      <c r="AG301" s="72">
        <f>Tradingbook_MSB[[#This Row],[Mat. Date]]-RPT</f>
        <v>-1826</v>
      </c>
      <c r="AH301" s="71">
        <f>IF(Tradingbook_MSB[[#This Row],[Days]]&lt;=0,0,YEARFRAC(RPT,Tradingbook_MSB[[#This Row],[Mat. Date]],3))</f>
        <v>0</v>
      </c>
      <c r="AI301" s="71">
        <f>IF(Tradingbook_MSB[[#This Row],[Days (year)]]=0,0,INDEX(Ref!$K$2:$K$13,MATCH(Tradingbook_MSB[[#This Row],[Days (year)]],Ref!$I$2:$I$13,1)))</f>
        <v>0</v>
      </c>
      <c r="AJ301" s="120" t="str">
        <f>VLOOKUP(Tradingbook_MSB[[#This Row],[Security Name]],Ref!X:Z,3,0)</f>
        <v>TPCP</v>
      </c>
      <c r="AK301" s="120" t="str">
        <f>VLOOKUP(Tradingbook_MSB[[#This Row],[Security Name]],Ref!X:Y,2,0)</f>
        <v>KBNN</v>
      </c>
      <c r="AL301" s="71">
        <f>IF((Tradingbook_MSB[[#This Row],[Mat. Date]]-RPT)&lt;=0,0,Tradingbook_MSB[[#This Row],[QUANTITY]])</f>
        <v>0</v>
      </c>
      <c r="AM301" s="71">
        <f>IF(Tradingbook_MSB[[#This Row],[Quantity_edited]]=0,0,Tradingbook_MSB[[#This Row],[DURATION]])</f>
        <v>0</v>
      </c>
      <c r="AN301" s="71">
        <f>IF(Tradingbook_MSB[[#This Row],[Quantity_edited]]=0,0,Tradingbook_MSB[[#This Row],[Mod Dur]])</f>
        <v>0</v>
      </c>
      <c r="AO301" s="71">
        <f>IF(Tradingbook_MSB[[#This Row],[Quantity_edited]]=0,0,Tradingbook_MSB[[#This Row],[Cnvx.]])</f>
        <v>0</v>
      </c>
      <c r="AP301" s="71">
        <f>(Tradingbook_MSB[[#This Row],[MARKET_VALUE]]+Tradingbook_MSB[[#This Row],[Accr Int]]*Tradingbook_MSB[[#This Row],[Quantity_edited]])*(-Tradingbook_MSB[[#This Row],[Modified Duration]]*0.0001+0.5*Tradingbook_MSB[[#This Row],[Conv]]*(0.0001^2))</f>
        <v>0</v>
      </c>
      <c r="AQ301" s="72">
        <f>(Tradingbook_MSB[[#This Row],[MARKET_VALUE]]+Tradingbook_MSB[[#This Row],[Accr Int]]*Tradingbook_MSB[[#This Row],[Quantity_edited]])*(-Tradingbook_MSB[[#This Row],[Modified Duration]]*0.01+0.5*Tradingbook_MSB[[#This Row],[Conv]]*(0.01^2))</f>
        <v>0</v>
      </c>
      <c r="AR301" s="71"/>
      <c r="CL301" t="s">
        <v>166</v>
      </c>
      <c r="CM301" t="s">
        <v>167</v>
      </c>
      <c r="CN301" t="s">
        <v>488</v>
      </c>
      <c r="CO301" t="s">
        <v>169</v>
      </c>
      <c r="CP301" s="35">
        <v>44457</v>
      </c>
      <c r="CQ301" t="s">
        <v>3322</v>
      </c>
      <c r="CR301" t="s">
        <v>174</v>
      </c>
      <c r="CS301" t="s">
        <v>174</v>
      </c>
      <c r="CT301" s="49">
        <v>0</v>
      </c>
      <c r="CU301">
        <v>0</v>
      </c>
      <c r="CV301">
        <v>0</v>
      </c>
      <c r="CW301" s="70">
        <v>0</v>
      </c>
      <c r="CX301">
        <v>4.9000000000000004</v>
      </c>
      <c r="CY301">
        <v>0</v>
      </c>
      <c r="CZ301">
        <v>0</v>
      </c>
      <c r="DA301">
        <v>0</v>
      </c>
      <c r="DB301">
        <v>-6949280.416667223</v>
      </c>
      <c r="DC301">
        <v>0</v>
      </c>
      <c r="DD301">
        <v>0</v>
      </c>
      <c r="DE301">
        <v>0</v>
      </c>
      <c r="DF301">
        <v>0</v>
      </c>
      <c r="DG301">
        <v>0</v>
      </c>
      <c r="DH301">
        <v>0</v>
      </c>
      <c r="DI301">
        <v>0</v>
      </c>
      <c r="DJ301" s="500">
        <v>57500000</v>
      </c>
      <c r="DK301" s="500">
        <v>0</v>
      </c>
      <c r="DL301" s="37">
        <v>57500000</v>
      </c>
      <c r="DM301" s="37">
        <v>57500000</v>
      </c>
      <c r="DN301" s="37">
        <v>57500000</v>
      </c>
      <c r="DO301" s="37">
        <v>57500000</v>
      </c>
      <c r="DP301" s="32">
        <f>Tradingbook_SBV[[#This Row],[Mat. Date]]-RPT</f>
        <v>-1795</v>
      </c>
      <c r="DQ301" s="32">
        <f>IF(Tradingbook_SBV[[#This Row],[Days]]&lt;=0,0,YEARFRAC(RPT,Tradingbook_SBV[[#This Row],[Mat. Date]],3))</f>
        <v>0</v>
      </c>
      <c r="DR301" s="32">
        <f>IF(Tradingbook_SBV[[#This Row],[Days (year)]]=0,0,INDEX(Ref!$K$2:$K$13,MATCH(Tradingbook_SBV[[#This Row],[Days (year)]],Ref!$I$2:$I$13,1)))</f>
        <v>0</v>
      </c>
      <c r="DS301" s="32" t="str">
        <f>VLOOKUP(Tradingbook_SBV[[#This Row],[Security Name]],Ref!X:Z,3,0)</f>
        <v>TPCPBL</v>
      </c>
      <c r="DT301" s="32" t="str">
        <f>VLOOKUP(Tradingbook_SBV[[#This Row],[Security Name]],Ref!X:Y,2,0)</f>
        <v>VBS</v>
      </c>
      <c r="DU301" s="71">
        <f>IF((Tradingbook_SBV[[#This Row],[Mat. Date]]-RPT)&lt;=0,0,Tradingbook_SBV[[#This Row],[QUANTITY]])</f>
        <v>0</v>
      </c>
      <c r="DV301" s="71">
        <f>IF(Tradingbook_SBV[[#This Row],[Quantity_edited]]=0,0,Tradingbook_SBV[[#This Row],[DURATION]])</f>
        <v>0</v>
      </c>
      <c r="DW301" s="71">
        <f>IF(Tradingbook_SBV[[#This Row],[Quantity_edited]]=0,0,Tradingbook_SBV[[#This Row],[Mod Dur]])</f>
        <v>0</v>
      </c>
      <c r="DX301" s="71">
        <f>IF(Tradingbook_SBV[[#This Row],[Quantity_edited]]=0,0,Tradingbook_SBV[[#This Row],[Cnvx.]])</f>
        <v>0</v>
      </c>
      <c r="DY301" s="71">
        <f>(Tradingbook_SBV[[#This Row],[MARKET_VALUE]]+Tradingbook_SBV[[#This Row],[Accr Int]]*Tradingbook_SBV[[#This Row],[Quantity_edited]])*(-Tradingbook_SBV[[#This Row],[Modified Duration]]*0.0001+0.5*Tradingbook_SBV[[#This Row],[Conv]]*(0.0001^2))</f>
        <v>0</v>
      </c>
      <c r="DZ301" s="71">
        <f>(Tradingbook_SBV[[#This Row],[MARKET_VALUE]]+Tradingbook_SBV[[#This Row],[Accr Int]]*Tradingbook_SBV[[#This Row],[Quantity_edited]])*(-Tradingbook_SBV[[#This Row],[Modified Duration]]*0.01+0.5*Tradingbook_SBV[[#This Row],[Conv]]*(0.01^2))</f>
        <v>0</v>
      </c>
      <c r="EC301" t="s">
        <v>166</v>
      </c>
      <c r="ED301" t="s">
        <v>3302</v>
      </c>
      <c r="EE301" t="s">
        <v>3118</v>
      </c>
      <c r="EF301" t="s">
        <v>169</v>
      </c>
      <c r="EG301" s="35" t="s">
        <v>3834</v>
      </c>
      <c r="EH301" t="s">
        <v>170</v>
      </c>
      <c r="EI301" s="500">
        <v>89539</v>
      </c>
      <c r="EJ301" s="500">
        <v>89539</v>
      </c>
      <c r="EK301" s="500">
        <v>3000000</v>
      </c>
      <c r="EL301" s="500">
        <v>300000000000</v>
      </c>
      <c r="EM301" s="500">
        <v>96753</v>
      </c>
      <c r="EN301" s="500">
        <v>268617000000</v>
      </c>
      <c r="EO301">
        <v>2.9</v>
      </c>
      <c r="EP301">
        <v>1144</v>
      </c>
      <c r="EQ301">
        <v>8700000000</v>
      </c>
      <c r="ER301">
        <v>8899846250</v>
      </c>
      <c r="ES301">
        <v>-9691820130.5555553</v>
      </c>
      <c r="ET301">
        <v>4.38332619</v>
      </c>
      <c r="EU301">
        <v>7.2684082255361</v>
      </c>
      <c r="EV301">
        <v>7.5870062699999998</v>
      </c>
      <c r="EW301">
        <v>64.289806127241505</v>
      </c>
      <c r="EX301">
        <v>174899.77467109921</v>
      </c>
      <c r="EY301">
        <v>-197736.318934888</v>
      </c>
      <c r="EZ301">
        <v>31976.778999999999</v>
      </c>
      <c r="FA301">
        <v>1568000000</v>
      </c>
      <c r="FB301">
        <v>-21642000000</v>
      </c>
      <c r="FC301">
        <v>-20074000000</v>
      </c>
      <c r="FD301">
        <v>-20074000000</v>
      </c>
      <c r="FE301">
        <v>-20074000000</v>
      </c>
      <c r="FF301">
        <v>-20074000000</v>
      </c>
      <c r="FG301" s="32">
        <f>Bankingbook_SBV[[#This Row],[Mat. Date]]-RPT</f>
        <v>3143</v>
      </c>
      <c r="FH301" s="32">
        <f>IF(Bankingbook_SBV[[#This Row],[Days]]&lt;=0,0,YEARFRAC(RPT,Bankingbook_SBV[[#This Row],[Mat. Date]],3))</f>
        <v>8.6109589041095891</v>
      </c>
      <c r="FI301" s="32" t="str">
        <f>IF(Bankingbook_SBV[[#This Row],[Days (year)]]=0,0,INDEX(Ref!$K$2:$K$13,MATCH(Bankingbook_SBV[[#This Row],[Days (year)]],Ref!$I$2:$I$13,1)))</f>
        <v>10Y</v>
      </c>
      <c r="FJ301" s="32" t="str">
        <f>VLOOKUP(Bankingbook_SBV[[#This Row],[Security Name]],Ref!X:Z,3,0)</f>
        <v>TPCP</v>
      </c>
      <c r="FK301" s="32" t="str">
        <f>VLOOKUP(Bankingbook_SBV[[#This Row],[Security Name]],Ref!X:Y,2,0)</f>
        <v>KBNN</v>
      </c>
      <c r="FL301" s="72">
        <f>IF((Bankingbook_SBV[[#This Row],[Mat. Date]]-RPT)&lt;=0,0,Bankingbook_SBV[[#This Row],[QUANTITY]])</f>
        <v>3000000</v>
      </c>
      <c r="FM301" s="32">
        <f>IF(Bankingbook_SBV[[#This Row],[Quantity_edited]]=0,0,Bankingbook_SBV[[#This Row],[DURATION]])</f>
        <v>7.5870062699999998</v>
      </c>
      <c r="FN301" s="32">
        <f>IF(Bankingbook_SBV[[#This Row],[Quantity_edited]]=0,0,Bankingbook_SBV[[#This Row],[Mod Dur]])</f>
        <v>7.2684082255361</v>
      </c>
      <c r="FO301" s="32">
        <f>IF(Bankingbook_SBV[[#This Row],[Quantity_edited]]=0,0,Bankingbook_SBV[[#This Row],[Cnvx.]])</f>
        <v>64.289806127241505</v>
      </c>
      <c r="FP301" s="32">
        <f>(Bankingbook_SBV[[#This Row],[MARKET_VALUE]]+Bankingbook_SBV[[#This Row],[Accr Int]]*Bankingbook_SBV[[#This Row],[Quantity_edited]])*(-Bankingbook_SBV[[#This Row],[Modified Duration]]*0.0001+0.5*Bankingbook_SBV[[#This Row],[Conv]]*(0.0001^2))</f>
        <v>-197648869.04755151</v>
      </c>
      <c r="FQ301" s="32">
        <f>(Bankingbook_SBV[[#This Row],[MARKET_VALUE]]+Bankingbook_SBV[[#This Row],[Accr Int]]*Bankingbook_SBV[[#This Row],[Quantity_edited]])*(-Bankingbook_SBV[[#This Row],[Modified Duration]]*0.01+0.5*Bankingbook_SBV[[#This Row],[Conv]]*(0.01^2))</f>
        <v>-18899133020.133209</v>
      </c>
    </row>
    <row r="302" spans="2:173" x14ac:dyDescent="0.3">
      <c r="B302" t="s">
        <v>166</v>
      </c>
      <c r="C302" t="s">
        <v>167</v>
      </c>
      <c r="D302" t="s">
        <v>487</v>
      </c>
      <c r="E302" t="s">
        <v>169</v>
      </c>
      <c r="F302" s="502">
        <v>44440</v>
      </c>
      <c r="G302" t="s">
        <v>3322</v>
      </c>
      <c r="H302"/>
      <c r="I302"/>
      <c r="J302" s="38">
        <v>0</v>
      </c>
      <c r="K302">
        <v>0</v>
      </c>
      <c r="L302">
        <v>0</v>
      </c>
      <c r="M302" s="38">
        <v>0</v>
      </c>
      <c r="N302">
        <v>5.7</v>
      </c>
      <c r="O302">
        <v>0</v>
      </c>
      <c r="P302" s="37">
        <v>5700000000</v>
      </c>
      <c r="Q302" s="37">
        <v>5832027041.6666641</v>
      </c>
      <c r="R302" s="37">
        <v>-497591223.61110425</v>
      </c>
      <c r="S302">
        <v>0</v>
      </c>
      <c r="T302" s="70">
        <v>0</v>
      </c>
      <c r="U302">
        <v>0</v>
      </c>
      <c r="V302">
        <v>0</v>
      </c>
      <c r="W302">
        <v>0</v>
      </c>
      <c r="X302" s="38">
        <v>0</v>
      </c>
      <c r="Y302">
        <v>0</v>
      </c>
      <c r="Z302" s="70">
        <v>1624500000</v>
      </c>
      <c r="AA302" s="70">
        <v>0</v>
      </c>
      <c r="AB302" s="70">
        <v>1624500000</v>
      </c>
      <c r="AC302" s="70">
        <v>1624500000</v>
      </c>
      <c r="AD302" s="70">
        <v>1624500000</v>
      </c>
      <c r="AE302" s="70">
        <v>1624500000</v>
      </c>
      <c r="AF302">
        <v>0</v>
      </c>
      <c r="AG302" s="72">
        <f>Tradingbook_MSB[[#This Row],[Mat. Date]]-RPT</f>
        <v>-1812</v>
      </c>
      <c r="AH302" s="71">
        <f>IF(Tradingbook_MSB[[#This Row],[Days]]&lt;=0,0,YEARFRAC(RPT,Tradingbook_MSB[[#This Row],[Mat. Date]],3))</f>
        <v>0</v>
      </c>
      <c r="AI302" s="71">
        <f>IF(Tradingbook_MSB[[#This Row],[Days (year)]]=0,0,INDEX(Ref!$K$2:$K$13,MATCH(Tradingbook_MSB[[#This Row],[Days (year)]],Ref!$I$2:$I$13,1)))</f>
        <v>0</v>
      </c>
      <c r="AJ302" s="120" t="str">
        <f>VLOOKUP(Tradingbook_MSB[[#This Row],[Security Name]],Ref!X:Z,3,0)</f>
        <v>TPCP</v>
      </c>
      <c r="AK302" s="120" t="str">
        <f>VLOOKUP(Tradingbook_MSB[[#This Row],[Security Name]],Ref!X:Y,2,0)</f>
        <v>KBNN</v>
      </c>
      <c r="AL302" s="71">
        <f>IF((Tradingbook_MSB[[#This Row],[Mat. Date]]-RPT)&lt;=0,0,Tradingbook_MSB[[#This Row],[QUANTITY]])</f>
        <v>0</v>
      </c>
      <c r="AM302" s="71">
        <f>IF(Tradingbook_MSB[[#This Row],[Quantity_edited]]=0,0,Tradingbook_MSB[[#This Row],[DURATION]])</f>
        <v>0</v>
      </c>
      <c r="AN302" s="71">
        <f>IF(Tradingbook_MSB[[#This Row],[Quantity_edited]]=0,0,Tradingbook_MSB[[#This Row],[Mod Dur]])</f>
        <v>0</v>
      </c>
      <c r="AO302" s="71">
        <f>IF(Tradingbook_MSB[[#This Row],[Quantity_edited]]=0,0,Tradingbook_MSB[[#This Row],[Cnvx.]])</f>
        <v>0</v>
      </c>
      <c r="AP302" s="71">
        <f>(Tradingbook_MSB[[#This Row],[MARKET_VALUE]]+Tradingbook_MSB[[#This Row],[Accr Int]]*Tradingbook_MSB[[#This Row],[Quantity_edited]])*(-Tradingbook_MSB[[#This Row],[Modified Duration]]*0.0001+0.5*Tradingbook_MSB[[#This Row],[Conv]]*(0.0001^2))</f>
        <v>0</v>
      </c>
      <c r="AQ302" s="72">
        <f>(Tradingbook_MSB[[#This Row],[MARKET_VALUE]]+Tradingbook_MSB[[#This Row],[Accr Int]]*Tradingbook_MSB[[#This Row],[Quantity_edited]])*(-Tradingbook_MSB[[#This Row],[Modified Duration]]*0.01+0.5*Tradingbook_MSB[[#This Row],[Conv]]*(0.01^2))</f>
        <v>0</v>
      </c>
      <c r="AR302" s="71"/>
      <c r="CL302" t="s">
        <v>166</v>
      </c>
      <c r="CM302" t="s">
        <v>167</v>
      </c>
      <c r="CN302" t="s">
        <v>489</v>
      </c>
      <c r="CO302" t="s">
        <v>169</v>
      </c>
      <c r="CP302" s="35">
        <v>44500</v>
      </c>
      <c r="CQ302" t="s">
        <v>3322</v>
      </c>
      <c r="CR302" t="s">
        <v>174</v>
      </c>
      <c r="CS302" t="s">
        <v>174</v>
      </c>
      <c r="CT302" s="49">
        <v>0</v>
      </c>
      <c r="CU302">
        <v>0</v>
      </c>
      <c r="CV302">
        <v>0</v>
      </c>
      <c r="CW302" s="70">
        <v>0</v>
      </c>
      <c r="CX302">
        <v>5.4</v>
      </c>
      <c r="CY302">
        <v>0</v>
      </c>
      <c r="CZ302">
        <v>16200000000</v>
      </c>
      <c r="DA302">
        <v>17419479750.000008</v>
      </c>
      <c r="DB302">
        <v>-10326336539.583317</v>
      </c>
      <c r="DC302">
        <v>0</v>
      </c>
      <c r="DD302">
        <v>0</v>
      </c>
      <c r="DE302">
        <v>0</v>
      </c>
      <c r="DF302">
        <v>0</v>
      </c>
      <c r="DG302">
        <v>0</v>
      </c>
      <c r="DH302">
        <v>0</v>
      </c>
      <c r="DI302">
        <v>0</v>
      </c>
      <c r="DJ302" s="500">
        <v>-5199000000</v>
      </c>
      <c r="DK302" s="500">
        <v>0</v>
      </c>
      <c r="DL302" s="37">
        <v>-5199000000</v>
      </c>
      <c r="DM302" s="37">
        <v>-5199000000</v>
      </c>
      <c r="DN302" s="37">
        <v>-5199000000</v>
      </c>
      <c r="DO302" s="37">
        <v>-5199000000</v>
      </c>
      <c r="DP302" s="32">
        <f>Tradingbook_SBV[[#This Row],[Mat. Date]]-RPT</f>
        <v>-1752</v>
      </c>
      <c r="DQ302" s="32">
        <f>IF(Tradingbook_SBV[[#This Row],[Days]]&lt;=0,0,YEARFRAC(RPT,Tradingbook_SBV[[#This Row],[Mat. Date]],3))</f>
        <v>0</v>
      </c>
      <c r="DR302" s="32">
        <f>IF(Tradingbook_SBV[[#This Row],[Days (year)]]=0,0,INDEX(Ref!$K$2:$K$13,MATCH(Tradingbook_SBV[[#This Row],[Days (year)]],Ref!$I$2:$I$13,1)))</f>
        <v>0</v>
      </c>
      <c r="DS302" s="32" t="str">
        <f>VLOOKUP(Tradingbook_SBV[[#This Row],[Security Name]],Ref!X:Z,3,0)</f>
        <v>TPCPBL</v>
      </c>
      <c r="DT302" s="32" t="str">
        <f>VLOOKUP(Tradingbook_SBV[[#This Row],[Security Name]],Ref!X:Y,2,0)</f>
        <v>VDB</v>
      </c>
      <c r="DU302" s="71">
        <f>IF((Tradingbook_SBV[[#This Row],[Mat. Date]]-RPT)&lt;=0,0,Tradingbook_SBV[[#This Row],[QUANTITY]])</f>
        <v>0</v>
      </c>
      <c r="DV302" s="71">
        <f>IF(Tradingbook_SBV[[#This Row],[Quantity_edited]]=0,0,Tradingbook_SBV[[#This Row],[DURATION]])</f>
        <v>0</v>
      </c>
      <c r="DW302" s="71">
        <f>IF(Tradingbook_SBV[[#This Row],[Quantity_edited]]=0,0,Tradingbook_SBV[[#This Row],[Mod Dur]])</f>
        <v>0</v>
      </c>
      <c r="DX302" s="71">
        <f>IF(Tradingbook_SBV[[#This Row],[Quantity_edited]]=0,0,Tradingbook_SBV[[#This Row],[Cnvx.]])</f>
        <v>0</v>
      </c>
      <c r="DY302" s="71">
        <f>(Tradingbook_SBV[[#This Row],[MARKET_VALUE]]+Tradingbook_SBV[[#This Row],[Accr Int]]*Tradingbook_SBV[[#This Row],[Quantity_edited]])*(-Tradingbook_SBV[[#This Row],[Modified Duration]]*0.0001+0.5*Tradingbook_SBV[[#This Row],[Conv]]*(0.0001^2))</f>
        <v>0</v>
      </c>
      <c r="DZ302" s="71">
        <f>(Tradingbook_SBV[[#This Row],[MARKET_VALUE]]+Tradingbook_SBV[[#This Row],[Accr Int]]*Tradingbook_SBV[[#This Row],[Quantity_edited]])*(-Tradingbook_SBV[[#This Row],[Modified Duration]]*0.01+0.5*Tradingbook_SBV[[#This Row],[Conv]]*(0.01^2))</f>
        <v>0</v>
      </c>
      <c r="EC302" t="s">
        <v>166</v>
      </c>
      <c r="ED302" t="s">
        <v>3302</v>
      </c>
      <c r="EE302" t="s">
        <v>685</v>
      </c>
      <c r="EF302" t="s">
        <v>169</v>
      </c>
      <c r="EG302" s="35" t="s">
        <v>3835</v>
      </c>
      <c r="EH302" t="s">
        <v>3322</v>
      </c>
      <c r="EI302" s="500">
        <v>89369</v>
      </c>
      <c r="EJ302" s="500">
        <v>89369</v>
      </c>
      <c r="EK302" s="500">
        <v>0</v>
      </c>
      <c r="EL302" s="500">
        <v>0</v>
      </c>
      <c r="EM302" s="500">
        <v>0</v>
      </c>
      <c r="EN302" s="500">
        <v>0</v>
      </c>
      <c r="EO302">
        <v>2.9</v>
      </c>
      <c r="EP302">
        <v>763</v>
      </c>
      <c r="EQ302">
        <v>1450000000</v>
      </c>
      <c r="ER302">
        <v>1662216965.2777641</v>
      </c>
      <c r="ES302">
        <v>-2554775046.5554371</v>
      </c>
      <c r="ET302">
        <v>4.3894531929999996</v>
      </c>
      <c r="EU302">
        <v>7.3936832220837996</v>
      </c>
      <c r="EV302">
        <v>7.71822549</v>
      </c>
      <c r="EW302">
        <v>66.246873851276206</v>
      </c>
      <c r="EX302">
        <v>0</v>
      </c>
      <c r="EY302">
        <v>0</v>
      </c>
      <c r="EZ302">
        <v>0</v>
      </c>
      <c r="FA302">
        <v>-11564300000.000244</v>
      </c>
      <c r="FB302">
        <v>0</v>
      </c>
      <c r="FC302">
        <v>-11564300000.000244</v>
      </c>
      <c r="FD302">
        <v>-11564300000.000244</v>
      </c>
      <c r="FE302">
        <v>-11564300000</v>
      </c>
      <c r="FF302">
        <v>-11564300000.000244</v>
      </c>
      <c r="FG302" s="32">
        <f>Bankingbook_SBV[[#This Row],[Mat. Date]]-RPT</f>
        <v>3191</v>
      </c>
      <c r="FH302" s="32">
        <f>IF(Bankingbook_SBV[[#This Row],[Days]]&lt;=0,0,YEARFRAC(RPT,Bankingbook_SBV[[#This Row],[Mat. Date]],3))</f>
        <v>8.742465753424657</v>
      </c>
      <c r="FI302" s="32" t="str">
        <f>IF(Bankingbook_SBV[[#This Row],[Days (year)]]=0,0,INDEX(Ref!$K$2:$K$13,MATCH(Bankingbook_SBV[[#This Row],[Days (year)]],Ref!$I$2:$I$13,1)))</f>
        <v>10Y</v>
      </c>
      <c r="FJ302" s="32" t="str">
        <f>VLOOKUP(Bankingbook_SBV[[#This Row],[Security Name]],Ref!X:Z,3,0)</f>
        <v>TPCP</v>
      </c>
      <c r="FK302" s="32" t="str">
        <f>VLOOKUP(Bankingbook_SBV[[#This Row],[Security Name]],Ref!X:Y,2,0)</f>
        <v>KBNN</v>
      </c>
      <c r="FL302" s="72">
        <f>IF((Bankingbook_SBV[[#This Row],[Mat. Date]]-RPT)&lt;=0,0,Bankingbook_SBV[[#This Row],[QUANTITY]])</f>
        <v>0</v>
      </c>
      <c r="FM302" s="32">
        <f>IF(Bankingbook_SBV[[#This Row],[Quantity_edited]]=0,0,Bankingbook_SBV[[#This Row],[DURATION]])</f>
        <v>0</v>
      </c>
      <c r="FN302" s="32">
        <f>IF(Bankingbook_SBV[[#This Row],[Quantity_edited]]=0,0,Bankingbook_SBV[[#This Row],[Mod Dur]])</f>
        <v>0</v>
      </c>
      <c r="FO302" s="32">
        <f>IF(Bankingbook_SBV[[#This Row],[Quantity_edited]]=0,0,Bankingbook_SBV[[#This Row],[Cnvx.]])</f>
        <v>0</v>
      </c>
      <c r="FP302" s="32">
        <f>(Bankingbook_SBV[[#This Row],[MARKET_VALUE]]+Bankingbook_SBV[[#This Row],[Accr Int]]*Bankingbook_SBV[[#This Row],[Quantity_edited]])*(-Bankingbook_SBV[[#This Row],[Modified Duration]]*0.0001+0.5*Bankingbook_SBV[[#This Row],[Conv]]*(0.0001^2))</f>
        <v>0</v>
      </c>
      <c r="FQ302" s="32">
        <f>(Bankingbook_SBV[[#This Row],[MARKET_VALUE]]+Bankingbook_SBV[[#This Row],[Accr Int]]*Bankingbook_SBV[[#This Row],[Quantity_edited]])*(-Bankingbook_SBV[[#This Row],[Modified Duration]]*0.01+0.5*Bankingbook_SBV[[#This Row],[Conv]]*(0.01^2))</f>
        <v>0</v>
      </c>
    </row>
    <row r="303" spans="2:173" x14ac:dyDescent="0.3">
      <c r="B303" t="s">
        <v>166</v>
      </c>
      <c r="C303" t="s">
        <v>167</v>
      </c>
      <c r="D303" t="s">
        <v>488</v>
      </c>
      <c r="E303" t="s">
        <v>169</v>
      </c>
      <c r="F303" s="502">
        <v>44457</v>
      </c>
      <c r="G303" t="s">
        <v>3322</v>
      </c>
      <c r="H303"/>
      <c r="I303"/>
      <c r="J303" s="38">
        <v>0</v>
      </c>
      <c r="K303">
        <v>0</v>
      </c>
      <c r="L303">
        <v>0</v>
      </c>
      <c r="M303" s="38">
        <v>0</v>
      </c>
      <c r="N303">
        <v>4.9000000000000004</v>
      </c>
      <c r="O303">
        <v>0</v>
      </c>
      <c r="P303" s="37">
        <v>0</v>
      </c>
      <c r="Q303" s="37">
        <v>0</v>
      </c>
      <c r="R303" s="37">
        <v>-6949280.416667223</v>
      </c>
      <c r="S303">
        <v>0</v>
      </c>
      <c r="T303" s="70">
        <v>0</v>
      </c>
      <c r="U303">
        <v>0</v>
      </c>
      <c r="V303">
        <v>0</v>
      </c>
      <c r="W303">
        <v>0</v>
      </c>
      <c r="X303" s="38">
        <v>0</v>
      </c>
      <c r="Y303">
        <v>0</v>
      </c>
      <c r="Z303" s="70">
        <v>57500000</v>
      </c>
      <c r="AA303" s="70">
        <v>0</v>
      </c>
      <c r="AB303" s="70">
        <v>57500000</v>
      </c>
      <c r="AC303" s="70">
        <v>57500000</v>
      </c>
      <c r="AD303" s="70">
        <v>57500000</v>
      </c>
      <c r="AE303" s="70">
        <v>57500000</v>
      </c>
      <c r="AF303">
        <v>0</v>
      </c>
      <c r="AG303" s="72">
        <f>Tradingbook_MSB[[#This Row],[Mat. Date]]-RPT</f>
        <v>-1795</v>
      </c>
      <c r="AH303" s="71">
        <f>IF(Tradingbook_MSB[[#This Row],[Days]]&lt;=0,0,YEARFRAC(RPT,Tradingbook_MSB[[#This Row],[Mat. Date]],3))</f>
        <v>0</v>
      </c>
      <c r="AI303" s="71">
        <f>IF(Tradingbook_MSB[[#This Row],[Days (year)]]=0,0,INDEX(Ref!$K$2:$K$13,MATCH(Tradingbook_MSB[[#This Row],[Days (year)]],Ref!$I$2:$I$13,1)))</f>
        <v>0</v>
      </c>
      <c r="AJ303" s="120" t="str">
        <f>VLOOKUP(Tradingbook_MSB[[#This Row],[Security Name]],Ref!X:Z,3,0)</f>
        <v>TPCPBL</v>
      </c>
      <c r="AK303" s="120" t="str">
        <f>VLOOKUP(Tradingbook_MSB[[#This Row],[Security Name]],Ref!X:Y,2,0)</f>
        <v>VBS</v>
      </c>
      <c r="AL303" s="71">
        <f>IF((Tradingbook_MSB[[#This Row],[Mat. Date]]-RPT)&lt;=0,0,Tradingbook_MSB[[#This Row],[QUANTITY]])</f>
        <v>0</v>
      </c>
      <c r="AM303" s="71">
        <f>IF(Tradingbook_MSB[[#This Row],[Quantity_edited]]=0,0,Tradingbook_MSB[[#This Row],[DURATION]])</f>
        <v>0</v>
      </c>
      <c r="AN303" s="71">
        <f>IF(Tradingbook_MSB[[#This Row],[Quantity_edited]]=0,0,Tradingbook_MSB[[#This Row],[Mod Dur]])</f>
        <v>0</v>
      </c>
      <c r="AO303" s="71">
        <f>IF(Tradingbook_MSB[[#This Row],[Quantity_edited]]=0,0,Tradingbook_MSB[[#This Row],[Cnvx.]])</f>
        <v>0</v>
      </c>
      <c r="AP303" s="71">
        <f>(Tradingbook_MSB[[#This Row],[MARKET_VALUE]]+Tradingbook_MSB[[#This Row],[Accr Int]]*Tradingbook_MSB[[#This Row],[Quantity_edited]])*(-Tradingbook_MSB[[#This Row],[Modified Duration]]*0.0001+0.5*Tradingbook_MSB[[#This Row],[Conv]]*(0.0001^2))</f>
        <v>0</v>
      </c>
      <c r="AQ303" s="72">
        <f>(Tradingbook_MSB[[#This Row],[MARKET_VALUE]]+Tradingbook_MSB[[#This Row],[Accr Int]]*Tradingbook_MSB[[#This Row],[Quantity_edited]])*(-Tradingbook_MSB[[#This Row],[Modified Duration]]*0.01+0.5*Tradingbook_MSB[[#This Row],[Conv]]*(0.01^2))</f>
        <v>0</v>
      </c>
      <c r="AR303" s="71"/>
      <c r="CL303" t="s">
        <v>166</v>
      </c>
      <c r="CM303" t="s">
        <v>167</v>
      </c>
      <c r="CN303" t="s">
        <v>490</v>
      </c>
      <c r="CO303" t="s">
        <v>169</v>
      </c>
      <c r="CP303" s="35">
        <v>44507</v>
      </c>
      <c r="CQ303" t="s">
        <v>3322</v>
      </c>
      <c r="CR303" t="s">
        <v>174</v>
      </c>
      <c r="CS303" t="s">
        <v>174</v>
      </c>
      <c r="CT303" s="49">
        <v>0</v>
      </c>
      <c r="CU303">
        <v>0</v>
      </c>
      <c r="CV303">
        <v>0</v>
      </c>
      <c r="CW303" s="70">
        <v>0</v>
      </c>
      <c r="CX303">
        <v>5.5</v>
      </c>
      <c r="CY303">
        <v>0</v>
      </c>
      <c r="CZ303">
        <v>22000000000</v>
      </c>
      <c r="DA303">
        <v>23654891944.444466</v>
      </c>
      <c r="DB303">
        <v>-13673355762.499987</v>
      </c>
      <c r="DC303">
        <v>0</v>
      </c>
      <c r="DD303">
        <v>0</v>
      </c>
      <c r="DE303">
        <v>0</v>
      </c>
      <c r="DF303">
        <v>0</v>
      </c>
      <c r="DG303">
        <v>0</v>
      </c>
      <c r="DH303">
        <v>0</v>
      </c>
      <c r="DI303">
        <v>0</v>
      </c>
      <c r="DJ303" s="500">
        <v>-5757000000</v>
      </c>
      <c r="DK303" s="500">
        <v>0</v>
      </c>
      <c r="DL303" s="37">
        <v>-5757000000</v>
      </c>
      <c r="DM303" s="37">
        <v>-5757000000</v>
      </c>
      <c r="DN303" s="37">
        <v>-5757000000</v>
      </c>
      <c r="DO303" s="37">
        <v>-5757000000</v>
      </c>
      <c r="DP303" s="32">
        <f>Tradingbook_SBV[[#This Row],[Mat. Date]]-RPT</f>
        <v>-1745</v>
      </c>
      <c r="DQ303" s="32">
        <f>IF(Tradingbook_SBV[[#This Row],[Days]]&lt;=0,0,YEARFRAC(RPT,Tradingbook_SBV[[#This Row],[Mat. Date]],3))</f>
        <v>0</v>
      </c>
      <c r="DR303" s="32">
        <f>IF(Tradingbook_SBV[[#This Row],[Days (year)]]=0,0,INDEX(Ref!$K$2:$K$13,MATCH(Tradingbook_SBV[[#This Row],[Days (year)]],Ref!$I$2:$I$13,1)))</f>
        <v>0</v>
      </c>
      <c r="DS303" s="32" t="str">
        <f>VLOOKUP(Tradingbook_SBV[[#This Row],[Security Name]],Ref!X:Z,3,0)</f>
        <v>TPCPBL</v>
      </c>
      <c r="DT303" s="32" t="str">
        <f>VLOOKUP(Tradingbook_SBV[[#This Row],[Security Name]],Ref!X:Y,2,0)</f>
        <v>VDB</v>
      </c>
      <c r="DU303" s="71">
        <f>IF((Tradingbook_SBV[[#This Row],[Mat. Date]]-RPT)&lt;=0,0,Tradingbook_SBV[[#This Row],[QUANTITY]])</f>
        <v>0</v>
      </c>
      <c r="DV303" s="71">
        <f>IF(Tradingbook_SBV[[#This Row],[Quantity_edited]]=0,0,Tradingbook_SBV[[#This Row],[DURATION]])</f>
        <v>0</v>
      </c>
      <c r="DW303" s="71">
        <f>IF(Tradingbook_SBV[[#This Row],[Quantity_edited]]=0,0,Tradingbook_SBV[[#This Row],[Mod Dur]])</f>
        <v>0</v>
      </c>
      <c r="DX303" s="71">
        <f>IF(Tradingbook_SBV[[#This Row],[Quantity_edited]]=0,0,Tradingbook_SBV[[#This Row],[Cnvx.]])</f>
        <v>0</v>
      </c>
      <c r="DY303" s="71">
        <f>(Tradingbook_SBV[[#This Row],[MARKET_VALUE]]+Tradingbook_SBV[[#This Row],[Accr Int]]*Tradingbook_SBV[[#This Row],[Quantity_edited]])*(-Tradingbook_SBV[[#This Row],[Modified Duration]]*0.0001+0.5*Tradingbook_SBV[[#This Row],[Conv]]*(0.0001^2))</f>
        <v>0</v>
      </c>
      <c r="DZ303" s="71">
        <f>(Tradingbook_SBV[[#This Row],[MARKET_VALUE]]+Tradingbook_SBV[[#This Row],[Accr Int]]*Tradingbook_SBV[[#This Row],[Quantity_edited]])*(-Tradingbook_SBV[[#This Row],[Modified Duration]]*0.01+0.5*Tradingbook_SBV[[#This Row],[Conv]]*(0.01^2))</f>
        <v>0</v>
      </c>
      <c r="EC303" t="s">
        <v>166</v>
      </c>
      <c r="ED303" t="s">
        <v>3302</v>
      </c>
      <c r="EE303" t="s">
        <v>686</v>
      </c>
      <c r="EF303" t="s">
        <v>169</v>
      </c>
      <c r="EG303" s="35" t="s">
        <v>3836</v>
      </c>
      <c r="EH303" t="s">
        <v>3322</v>
      </c>
      <c r="EI303" s="500">
        <v>90685</v>
      </c>
      <c r="EJ303" s="500">
        <v>90685</v>
      </c>
      <c r="EK303" s="500">
        <v>0</v>
      </c>
      <c r="EL303" s="500">
        <v>0</v>
      </c>
      <c r="EM303" s="500">
        <v>0</v>
      </c>
      <c r="EN303" s="500">
        <v>0</v>
      </c>
      <c r="EO303">
        <v>3.1</v>
      </c>
      <c r="EP303">
        <v>518</v>
      </c>
      <c r="EQ303">
        <v>3100000000</v>
      </c>
      <c r="ER303">
        <v>3474514875.0000119</v>
      </c>
      <c r="ES303">
        <v>-6952731705.0082474</v>
      </c>
      <c r="ET303">
        <v>4.3938817869999998</v>
      </c>
      <c r="EU303">
        <v>7.4345407551961999</v>
      </c>
      <c r="EV303">
        <v>7.7612056899999997</v>
      </c>
      <c r="EW303">
        <v>67.072862137678896</v>
      </c>
      <c r="EX303">
        <v>0</v>
      </c>
      <c r="EY303">
        <v>0</v>
      </c>
      <c r="EZ303">
        <v>0</v>
      </c>
      <c r="FA303">
        <v>-32719620000</v>
      </c>
      <c r="FB303">
        <v>0</v>
      </c>
      <c r="FC303">
        <v>-32719620000</v>
      </c>
      <c r="FD303">
        <v>-32719620000</v>
      </c>
      <c r="FE303">
        <v>-32719620000</v>
      </c>
      <c r="FF303">
        <v>-32719620000</v>
      </c>
      <c r="FG303" s="32">
        <f>Bankingbook_SBV[[#This Row],[Mat. Date]]-RPT</f>
        <v>3226</v>
      </c>
      <c r="FH303" s="32">
        <f>IF(Bankingbook_SBV[[#This Row],[Days]]&lt;=0,0,YEARFRAC(RPT,Bankingbook_SBV[[#This Row],[Mat. Date]],3))</f>
        <v>8.838356164383562</v>
      </c>
      <c r="FI303" s="32" t="str">
        <f>IF(Bankingbook_SBV[[#This Row],[Days (year)]]=0,0,INDEX(Ref!$K$2:$K$13,MATCH(Bankingbook_SBV[[#This Row],[Days (year)]],Ref!$I$2:$I$13,1)))</f>
        <v>10Y</v>
      </c>
      <c r="FJ303" s="32" t="str">
        <f>VLOOKUP(Bankingbook_SBV[[#This Row],[Security Name]],Ref!X:Z,3,0)</f>
        <v>TPCP</v>
      </c>
      <c r="FK303" s="32" t="str">
        <f>VLOOKUP(Bankingbook_SBV[[#This Row],[Security Name]],Ref!X:Y,2,0)</f>
        <v>KBNN</v>
      </c>
      <c r="FL303" s="72">
        <f>IF((Bankingbook_SBV[[#This Row],[Mat. Date]]-RPT)&lt;=0,0,Bankingbook_SBV[[#This Row],[QUANTITY]])</f>
        <v>0</v>
      </c>
      <c r="FM303" s="32">
        <f>IF(Bankingbook_SBV[[#This Row],[Quantity_edited]]=0,0,Bankingbook_SBV[[#This Row],[DURATION]])</f>
        <v>0</v>
      </c>
      <c r="FN303" s="32">
        <f>IF(Bankingbook_SBV[[#This Row],[Quantity_edited]]=0,0,Bankingbook_SBV[[#This Row],[Mod Dur]])</f>
        <v>0</v>
      </c>
      <c r="FO303" s="32">
        <f>IF(Bankingbook_SBV[[#This Row],[Quantity_edited]]=0,0,Bankingbook_SBV[[#This Row],[Cnvx.]])</f>
        <v>0</v>
      </c>
      <c r="FP303" s="32">
        <f>(Bankingbook_SBV[[#This Row],[MARKET_VALUE]]+Bankingbook_SBV[[#This Row],[Accr Int]]*Bankingbook_SBV[[#This Row],[Quantity_edited]])*(-Bankingbook_SBV[[#This Row],[Modified Duration]]*0.0001+0.5*Bankingbook_SBV[[#This Row],[Conv]]*(0.0001^2))</f>
        <v>0</v>
      </c>
      <c r="FQ303" s="32">
        <f>(Bankingbook_SBV[[#This Row],[MARKET_VALUE]]+Bankingbook_SBV[[#This Row],[Accr Int]]*Bankingbook_SBV[[#This Row],[Quantity_edited]])*(-Bankingbook_SBV[[#This Row],[Modified Duration]]*0.01+0.5*Bankingbook_SBV[[#This Row],[Conv]]*(0.01^2))</f>
        <v>0</v>
      </c>
    </row>
    <row r="304" spans="2:173" x14ac:dyDescent="0.3">
      <c r="B304" t="s">
        <v>166</v>
      </c>
      <c r="C304" t="s">
        <v>167</v>
      </c>
      <c r="D304" t="s">
        <v>489</v>
      </c>
      <c r="E304" t="s">
        <v>169</v>
      </c>
      <c r="F304" s="502">
        <v>44500</v>
      </c>
      <c r="G304" t="s">
        <v>3322</v>
      </c>
      <c r="H304"/>
      <c r="I304"/>
      <c r="J304" s="38">
        <v>0</v>
      </c>
      <c r="K304">
        <v>0</v>
      </c>
      <c r="L304">
        <v>0</v>
      </c>
      <c r="M304" s="38">
        <v>0</v>
      </c>
      <c r="N304">
        <v>5.4</v>
      </c>
      <c r="O304">
        <v>0</v>
      </c>
      <c r="P304" s="37">
        <v>59400000000</v>
      </c>
      <c r="Q304" s="37">
        <v>61924159500.000031</v>
      </c>
      <c r="R304" s="37">
        <v>-28323160930.000191</v>
      </c>
      <c r="S304">
        <v>0</v>
      </c>
      <c r="T304" s="70">
        <v>0</v>
      </c>
      <c r="U304">
        <v>0</v>
      </c>
      <c r="V304">
        <v>0</v>
      </c>
      <c r="W304">
        <v>0</v>
      </c>
      <c r="X304" s="38">
        <v>0</v>
      </c>
      <c r="Y304">
        <v>0</v>
      </c>
      <c r="Z304" s="70">
        <v>12701000000</v>
      </c>
      <c r="AA304" s="70">
        <v>0</v>
      </c>
      <c r="AB304" s="70">
        <v>12701000000</v>
      </c>
      <c r="AC304" s="70">
        <v>12701000000</v>
      </c>
      <c r="AD304" s="70">
        <v>12701000000</v>
      </c>
      <c r="AE304" s="70">
        <v>12701000000</v>
      </c>
      <c r="AF304">
        <v>0</v>
      </c>
      <c r="AG304" s="72">
        <f>Tradingbook_MSB[[#This Row],[Mat. Date]]-RPT</f>
        <v>-1752</v>
      </c>
      <c r="AH304" s="71">
        <f>IF(Tradingbook_MSB[[#This Row],[Days]]&lt;=0,0,YEARFRAC(RPT,Tradingbook_MSB[[#This Row],[Mat. Date]],3))</f>
        <v>0</v>
      </c>
      <c r="AI304" s="71">
        <f>IF(Tradingbook_MSB[[#This Row],[Days (year)]]=0,0,INDEX(Ref!$K$2:$K$13,MATCH(Tradingbook_MSB[[#This Row],[Days (year)]],Ref!$I$2:$I$13,1)))</f>
        <v>0</v>
      </c>
      <c r="AJ304" s="120" t="str">
        <f>VLOOKUP(Tradingbook_MSB[[#This Row],[Security Name]],Ref!X:Z,3,0)</f>
        <v>TPCPBL</v>
      </c>
      <c r="AK304" s="120" t="str">
        <f>VLOOKUP(Tradingbook_MSB[[#This Row],[Security Name]],Ref!X:Y,2,0)</f>
        <v>VDB</v>
      </c>
      <c r="AL304" s="71">
        <f>IF((Tradingbook_MSB[[#This Row],[Mat. Date]]-RPT)&lt;=0,0,Tradingbook_MSB[[#This Row],[QUANTITY]])</f>
        <v>0</v>
      </c>
      <c r="AM304" s="71">
        <f>IF(Tradingbook_MSB[[#This Row],[Quantity_edited]]=0,0,Tradingbook_MSB[[#This Row],[DURATION]])</f>
        <v>0</v>
      </c>
      <c r="AN304" s="71">
        <f>IF(Tradingbook_MSB[[#This Row],[Quantity_edited]]=0,0,Tradingbook_MSB[[#This Row],[Mod Dur]])</f>
        <v>0</v>
      </c>
      <c r="AO304" s="71">
        <f>IF(Tradingbook_MSB[[#This Row],[Quantity_edited]]=0,0,Tradingbook_MSB[[#This Row],[Cnvx.]])</f>
        <v>0</v>
      </c>
      <c r="AP304" s="71">
        <f>(Tradingbook_MSB[[#This Row],[MARKET_VALUE]]+Tradingbook_MSB[[#This Row],[Accr Int]]*Tradingbook_MSB[[#This Row],[Quantity_edited]])*(-Tradingbook_MSB[[#This Row],[Modified Duration]]*0.0001+0.5*Tradingbook_MSB[[#This Row],[Conv]]*(0.0001^2))</f>
        <v>0</v>
      </c>
      <c r="AQ304" s="72">
        <f>(Tradingbook_MSB[[#This Row],[MARKET_VALUE]]+Tradingbook_MSB[[#This Row],[Accr Int]]*Tradingbook_MSB[[#This Row],[Quantity_edited]])*(-Tradingbook_MSB[[#This Row],[Modified Duration]]*0.01+0.5*Tradingbook_MSB[[#This Row],[Conv]]*(0.01^2))</f>
        <v>0</v>
      </c>
      <c r="AR304" s="71"/>
      <c r="CL304" t="s">
        <v>166</v>
      </c>
      <c r="CM304" t="s">
        <v>167</v>
      </c>
      <c r="CN304" t="s">
        <v>491</v>
      </c>
      <c r="CO304" t="s">
        <v>169</v>
      </c>
      <c r="CP304" s="35">
        <v>44511</v>
      </c>
      <c r="CQ304" t="s">
        <v>3322</v>
      </c>
      <c r="CR304" t="s">
        <v>174</v>
      </c>
      <c r="CS304" t="s">
        <v>174</v>
      </c>
      <c r="CT304" s="49">
        <v>0</v>
      </c>
      <c r="CU304">
        <v>0</v>
      </c>
      <c r="CV304">
        <v>0</v>
      </c>
      <c r="CW304" s="70">
        <v>0</v>
      </c>
      <c r="CX304">
        <v>11.5</v>
      </c>
      <c r="CY304">
        <v>0</v>
      </c>
      <c r="CZ304">
        <v>0</v>
      </c>
      <c r="DA304">
        <v>-1.22E-4</v>
      </c>
      <c r="DB304">
        <v>-1309184453.1249008</v>
      </c>
      <c r="DC304">
        <v>0</v>
      </c>
      <c r="DD304">
        <v>0</v>
      </c>
      <c r="DE304">
        <v>0</v>
      </c>
      <c r="DF304">
        <v>0</v>
      </c>
      <c r="DG304">
        <v>0</v>
      </c>
      <c r="DH304">
        <v>0</v>
      </c>
      <c r="DI304">
        <v>0</v>
      </c>
      <c r="DJ304" s="500">
        <v>-2225000000</v>
      </c>
      <c r="DK304" s="500">
        <v>0</v>
      </c>
      <c r="DL304" s="37">
        <v>-2225000000</v>
      </c>
      <c r="DM304" s="37">
        <v>-2225000000</v>
      </c>
      <c r="DN304" s="37">
        <v>-2225000000</v>
      </c>
      <c r="DO304" s="37">
        <v>-2225000000</v>
      </c>
      <c r="DP304" s="32">
        <f>Tradingbook_SBV[[#This Row],[Mat. Date]]-RPT</f>
        <v>-1741</v>
      </c>
      <c r="DQ304" s="32">
        <f>IF(Tradingbook_SBV[[#This Row],[Days]]&lt;=0,0,YEARFRAC(RPT,Tradingbook_SBV[[#This Row],[Mat. Date]],3))</f>
        <v>0</v>
      </c>
      <c r="DR304" s="32">
        <f>IF(Tradingbook_SBV[[#This Row],[Days (year)]]=0,0,INDEX(Ref!$K$2:$K$13,MATCH(Tradingbook_SBV[[#This Row],[Days (year)]],Ref!$I$2:$I$13,1)))</f>
        <v>0</v>
      </c>
      <c r="DS304" s="32" t="str">
        <f>VLOOKUP(Tradingbook_SBV[[#This Row],[Security Name]],Ref!X:Z,3,0)</f>
        <v>TPCPBL</v>
      </c>
      <c r="DT304" s="32" t="str">
        <f>VLOOKUP(Tradingbook_SBV[[#This Row],[Security Name]],Ref!X:Y,2,0)</f>
        <v>VDB</v>
      </c>
      <c r="DU304" s="71">
        <f>IF((Tradingbook_SBV[[#This Row],[Mat. Date]]-RPT)&lt;=0,0,Tradingbook_SBV[[#This Row],[QUANTITY]])</f>
        <v>0</v>
      </c>
      <c r="DV304" s="71">
        <f>IF(Tradingbook_SBV[[#This Row],[Quantity_edited]]=0,0,Tradingbook_SBV[[#This Row],[DURATION]])</f>
        <v>0</v>
      </c>
      <c r="DW304" s="71">
        <f>IF(Tradingbook_SBV[[#This Row],[Quantity_edited]]=0,0,Tradingbook_SBV[[#This Row],[Mod Dur]])</f>
        <v>0</v>
      </c>
      <c r="DX304" s="71">
        <f>IF(Tradingbook_SBV[[#This Row],[Quantity_edited]]=0,0,Tradingbook_SBV[[#This Row],[Cnvx.]])</f>
        <v>0</v>
      </c>
      <c r="DY304" s="71">
        <f>(Tradingbook_SBV[[#This Row],[MARKET_VALUE]]+Tradingbook_SBV[[#This Row],[Accr Int]]*Tradingbook_SBV[[#This Row],[Quantity_edited]])*(-Tradingbook_SBV[[#This Row],[Modified Duration]]*0.0001+0.5*Tradingbook_SBV[[#This Row],[Conv]]*(0.0001^2))</f>
        <v>0</v>
      </c>
      <c r="DZ304" s="71">
        <f>(Tradingbook_SBV[[#This Row],[MARKET_VALUE]]+Tradingbook_SBV[[#This Row],[Accr Int]]*Tradingbook_SBV[[#This Row],[Quantity_edited]])*(-Tradingbook_SBV[[#This Row],[Modified Duration]]*0.01+0.5*Tradingbook_SBV[[#This Row],[Conv]]*(0.01^2))</f>
        <v>0</v>
      </c>
      <c r="EC304" t="s">
        <v>166</v>
      </c>
      <c r="ED304" t="s">
        <v>3302</v>
      </c>
      <c r="EE304" t="s">
        <v>687</v>
      </c>
      <c r="EF304" t="s">
        <v>169</v>
      </c>
      <c r="EG304" s="35" t="s">
        <v>3456</v>
      </c>
      <c r="EH304" t="s">
        <v>3322</v>
      </c>
      <c r="EI304" s="500">
        <v>89897</v>
      </c>
      <c r="EJ304" s="500">
        <v>89897</v>
      </c>
      <c r="EK304" s="500">
        <v>0</v>
      </c>
      <c r="EL304" s="500">
        <v>0</v>
      </c>
      <c r="EM304" s="500">
        <v>0</v>
      </c>
      <c r="EN304" s="500">
        <v>0</v>
      </c>
      <c r="EO304">
        <v>3</v>
      </c>
      <c r="EP304">
        <v>329</v>
      </c>
      <c r="EQ304">
        <v>13500000000</v>
      </c>
      <c r="ER304">
        <v>15528105833.33316</v>
      </c>
      <c r="ES304">
        <v>-7061063506.5272617</v>
      </c>
      <c r="ET304">
        <v>4.3965104589999999</v>
      </c>
      <c r="EU304">
        <v>7.5143803225949002</v>
      </c>
      <c r="EV304">
        <v>7.8447508399999997</v>
      </c>
      <c r="EW304">
        <v>68.253928868383397</v>
      </c>
      <c r="EX304">
        <v>0</v>
      </c>
      <c r="EY304">
        <v>0</v>
      </c>
      <c r="EZ304">
        <v>0</v>
      </c>
      <c r="FA304">
        <v>-16528000000</v>
      </c>
      <c r="FB304">
        <v>0</v>
      </c>
      <c r="FC304">
        <v>-16528000000</v>
      </c>
      <c r="FD304">
        <v>-16528000000</v>
      </c>
      <c r="FE304">
        <v>-16528000000</v>
      </c>
      <c r="FF304">
        <v>-16528000000</v>
      </c>
      <c r="FG304" s="32">
        <f>Bankingbook_SBV[[#This Row],[Mat. Date]]-RPT</f>
        <v>3247</v>
      </c>
      <c r="FH304" s="32">
        <f>IF(Bankingbook_SBV[[#This Row],[Days]]&lt;=0,0,YEARFRAC(RPT,Bankingbook_SBV[[#This Row],[Mat. Date]],3))</f>
        <v>8.8958904109589039</v>
      </c>
      <c r="FI304" s="32" t="str">
        <f>IF(Bankingbook_SBV[[#This Row],[Days (year)]]=0,0,INDEX(Ref!$K$2:$K$13,MATCH(Bankingbook_SBV[[#This Row],[Days (year)]],Ref!$I$2:$I$13,1)))</f>
        <v>10Y</v>
      </c>
      <c r="FJ304" s="32" t="str">
        <f>VLOOKUP(Bankingbook_SBV[[#This Row],[Security Name]],Ref!X:Z,3,0)</f>
        <v>TPCP</v>
      </c>
      <c r="FK304" s="32" t="str">
        <f>VLOOKUP(Bankingbook_SBV[[#This Row],[Security Name]],Ref!X:Y,2,0)</f>
        <v>KBNN</v>
      </c>
      <c r="FL304" s="72">
        <f>IF((Bankingbook_SBV[[#This Row],[Mat. Date]]-RPT)&lt;=0,0,Bankingbook_SBV[[#This Row],[QUANTITY]])</f>
        <v>0</v>
      </c>
      <c r="FM304" s="32">
        <f>IF(Bankingbook_SBV[[#This Row],[Quantity_edited]]=0,0,Bankingbook_SBV[[#This Row],[DURATION]])</f>
        <v>0</v>
      </c>
      <c r="FN304" s="32">
        <f>IF(Bankingbook_SBV[[#This Row],[Quantity_edited]]=0,0,Bankingbook_SBV[[#This Row],[Mod Dur]])</f>
        <v>0</v>
      </c>
      <c r="FO304" s="32">
        <f>IF(Bankingbook_SBV[[#This Row],[Quantity_edited]]=0,0,Bankingbook_SBV[[#This Row],[Cnvx.]])</f>
        <v>0</v>
      </c>
      <c r="FP304" s="32">
        <f>(Bankingbook_SBV[[#This Row],[MARKET_VALUE]]+Bankingbook_SBV[[#This Row],[Accr Int]]*Bankingbook_SBV[[#This Row],[Quantity_edited]])*(-Bankingbook_SBV[[#This Row],[Modified Duration]]*0.0001+0.5*Bankingbook_SBV[[#This Row],[Conv]]*(0.0001^2))</f>
        <v>0</v>
      </c>
      <c r="FQ304" s="32">
        <f>(Bankingbook_SBV[[#This Row],[MARKET_VALUE]]+Bankingbook_SBV[[#This Row],[Accr Int]]*Bankingbook_SBV[[#This Row],[Quantity_edited]])*(-Bankingbook_SBV[[#This Row],[Modified Duration]]*0.01+0.5*Bankingbook_SBV[[#This Row],[Conv]]*(0.01^2))</f>
        <v>0</v>
      </c>
    </row>
    <row r="305" spans="2:173" x14ac:dyDescent="0.3">
      <c r="B305" t="s">
        <v>166</v>
      </c>
      <c r="C305" t="s">
        <v>167</v>
      </c>
      <c r="D305" t="s">
        <v>490</v>
      </c>
      <c r="E305" t="s">
        <v>169</v>
      </c>
      <c r="F305" s="502">
        <v>44507</v>
      </c>
      <c r="G305" t="s">
        <v>3322</v>
      </c>
      <c r="H305"/>
      <c r="I305"/>
      <c r="J305" s="38">
        <v>0</v>
      </c>
      <c r="K305">
        <v>0</v>
      </c>
      <c r="L305">
        <v>0</v>
      </c>
      <c r="M305" s="38">
        <v>0</v>
      </c>
      <c r="N305">
        <v>5.5</v>
      </c>
      <c r="O305">
        <v>0</v>
      </c>
      <c r="P305" s="37">
        <v>77000000000</v>
      </c>
      <c r="Q305" s="37">
        <v>80344008784.722275</v>
      </c>
      <c r="R305" s="37">
        <v>-35918076754.444717</v>
      </c>
      <c r="S305">
        <v>0</v>
      </c>
      <c r="T305" s="70">
        <v>0</v>
      </c>
      <c r="U305">
        <v>0</v>
      </c>
      <c r="V305">
        <v>0</v>
      </c>
      <c r="W305">
        <v>0</v>
      </c>
      <c r="X305" s="38">
        <v>0</v>
      </c>
      <c r="Y305">
        <v>0</v>
      </c>
      <c r="Z305" s="70">
        <v>17118000000</v>
      </c>
      <c r="AA305" s="70">
        <v>0</v>
      </c>
      <c r="AB305" s="70">
        <v>17118000000</v>
      </c>
      <c r="AC305" s="70">
        <v>17118000000</v>
      </c>
      <c r="AD305" s="70">
        <v>17118000000</v>
      </c>
      <c r="AE305" s="70">
        <v>17118000000</v>
      </c>
      <c r="AF305">
        <v>0</v>
      </c>
      <c r="AG305" s="72">
        <f>Tradingbook_MSB[[#This Row],[Mat. Date]]-RPT</f>
        <v>-1745</v>
      </c>
      <c r="AH305" s="71">
        <f>IF(Tradingbook_MSB[[#This Row],[Days]]&lt;=0,0,YEARFRAC(RPT,Tradingbook_MSB[[#This Row],[Mat. Date]],3))</f>
        <v>0</v>
      </c>
      <c r="AI305" s="71">
        <f>IF(Tradingbook_MSB[[#This Row],[Days (year)]]=0,0,INDEX(Ref!$K$2:$K$13,MATCH(Tradingbook_MSB[[#This Row],[Days (year)]],Ref!$I$2:$I$13,1)))</f>
        <v>0</v>
      </c>
      <c r="AJ305" s="120" t="str">
        <f>VLOOKUP(Tradingbook_MSB[[#This Row],[Security Name]],Ref!X:Z,3,0)</f>
        <v>TPCPBL</v>
      </c>
      <c r="AK305" s="120" t="str">
        <f>VLOOKUP(Tradingbook_MSB[[#This Row],[Security Name]],Ref!X:Y,2,0)</f>
        <v>VDB</v>
      </c>
      <c r="AL305" s="71">
        <f>IF((Tradingbook_MSB[[#This Row],[Mat. Date]]-RPT)&lt;=0,0,Tradingbook_MSB[[#This Row],[QUANTITY]])</f>
        <v>0</v>
      </c>
      <c r="AM305" s="71">
        <f>IF(Tradingbook_MSB[[#This Row],[Quantity_edited]]=0,0,Tradingbook_MSB[[#This Row],[DURATION]])</f>
        <v>0</v>
      </c>
      <c r="AN305" s="71">
        <f>IF(Tradingbook_MSB[[#This Row],[Quantity_edited]]=0,0,Tradingbook_MSB[[#This Row],[Mod Dur]])</f>
        <v>0</v>
      </c>
      <c r="AO305" s="71">
        <f>IF(Tradingbook_MSB[[#This Row],[Quantity_edited]]=0,0,Tradingbook_MSB[[#This Row],[Cnvx.]])</f>
        <v>0</v>
      </c>
      <c r="AP305" s="71">
        <f>(Tradingbook_MSB[[#This Row],[MARKET_VALUE]]+Tradingbook_MSB[[#This Row],[Accr Int]]*Tradingbook_MSB[[#This Row],[Quantity_edited]])*(-Tradingbook_MSB[[#This Row],[Modified Duration]]*0.0001+0.5*Tradingbook_MSB[[#This Row],[Conv]]*(0.0001^2))</f>
        <v>0</v>
      </c>
      <c r="AQ305" s="72">
        <f>(Tradingbook_MSB[[#This Row],[MARKET_VALUE]]+Tradingbook_MSB[[#This Row],[Accr Int]]*Tradingbook_MSB[[#This Row],[Quantity_edited]])*(-Tradingbook_MSB[[#This Row],[Modified Duration]]*0.01+0.5*Tradingbook_MSB[[#This Row],[Conv]]*(0.01^2))</f>
        <v>0</v>
      </c>
      <c r="AR305" s="71"/>
      <c r="CL305" t="s">
        <v>166</v>
      </c>
      <c r="CM305" t="s">
        <v>167</v>
      </c>
      <c r="CN305" t="s">
        <v>492</v>
      </c>
      <c r="CO305" t="s">
        <v>169</v>
      </c>
      <c r="CP305" s="35">
        <v>44524</v>
      </c>
      <c r="CQ305" t="s">
        <v>3322</v>
      </c>
      <c r="CR305" t="s">
        <v>174</v>
      </c>
      <c r="CS305" t="s">
        <v>174</v>
      </c>
      <c r="CT305" s="49">
        <v>0</v>
      </c>
      <c r="CU305">
        <v>0</v>
      </c>
      <c r="CV305">
        <v>0</v>
      </c>
      <c r="CW305" s="70">
        <v>0</v>
      </c>
      <c r="CX305">
        <v>5.2</v>
      </c>
      <c r="CY305">
        <v>0</v>
      </c>
      <c r="CZ305">
        <v>7800000000</v>
      </c>
      <c r="DA305">
        <v>8327721638.8889027</v>
      </c>
      <c r="DB305">
        <v>-5359693952.5695095</v>
      </c>
      <c r="DC305">
        <v>0</v>
      </c>
      <c r="DD305">
        <v>0</v>
      </c>
      <c r="DE305">
        <v>0</v>
      </c>
      <c r="DF305">
        <v>0</v>
      </c>
      <c r="DG305">
        <v>0</v>
      </c>
      <c r="DH305">
        <v>0</v>
      </c>
      <c r="DI305">
        <v>0</v>
      </c>
      <c r="DJ305" s="500">
        <v>3706000000</v>
      </c>
      <c r="DK305" s="500">
        <v>0</v>
      </c>
      <c r="DL305" s="37">
        <v>3706000000</v>
      </c>
      <c r="DM305" s="37">
        <v>3706000000</v>
      </c>
      <c r="DN305" s="37">
        <v>3706000000</v>
      </c>
      <c r="DO305" s="37">
        <v>3706000000</v>
      </c>
      <c r="DP305" s="32">
        <f>Tradingbook_SBV[[#This Row],[Mat. Date]]-RPT</f>
        <v>-1728</v>
      </c>
      <c r="DQ305" s="32">
        <f>IF(Tradingbook_SBV[[#This Row],[Days]]&lt;=0,0,YEARFRAC(RPT,Tradingbook_SBV[[#This Row],[Mat. Date]],3))</f>
        <v>0</v>
      </c>
      <c r="DR305" s="32">
        <f>IF(Tradingbook_SBV[[#This Row],[Days (year)]]=0,0,INDEX(Ref!$K$2:$K$13,MATCH(Tradingbook_SBV[[#This Row],[Days (year)]],Ref!$I$2:$I$13,1)))</f>
        <v>0</v>
      </c>
      <c r="DS305" s="32" t="str">
        <f>VLOOKUP(Tradingbook_SBV[[#This Row],[Security Name]],Ref!X:Z,3,0)</f>
        <v>TPCP</v>
      </c>
      <c r="DT305" s="32" t="str">
        <f>VLOOKUP(Tradingbook_SBV[[#This Row],[Security Name]],Ref!X:Y,2,0)</f>
        <v>KBNN</v>
      </c>
      <c r="DU305" s="71">
        <f>IF((Tradingbook_SBV[[#This Row],[Mat. Date]]-RPT)&lt;=0,0,Tradingbook_SBV[[#This Row],[QUANTITY]])</f>
        <v>0</v>
      </c>
      <c r="DV305" s="71">
        <f>IF(Tradingbook_SBV[[#This Row],[Quantity_edited]]=0,0,Tradingbook_SBV[[#This Row],[DURATION]])</f>
        <v>0</v>
      </c>
      <c r="DW305" s="71">
        <f>IF(Tradingbook_SBV[[#This Row],[Quantity_edited]]=0,0,Tradingbook_SBV[[#This Row],[Mod Dur]])</f>
        <v>0</v>
      </c>
      <c r="DX305" s="71">
        <f>IF(Tradingbook_SBV[[#This Row],[Quantity_edited]]=0,0,Tradingbook_SBV[[#This Row],[Cnvx.]])</f>
        <v>0</v>
      </c>
      <c r="DY305" s="71">
        <f>(Tradingbook_SBV[[#This Row],[MARKET_VALUE]]+Tradingbook_SBV[[#This Row],[Accr Int]]*Tradingbook_SBV[[#This Row],[Quantity_edited]])*(-Tradingbook_SBV[[#This Row],[Modified Duration]]*0.0001+0.5*Tradingbook_SBV[[#This Row],[Conv]]*(0.0001^2))</f>
        <v>0</v>
      </c>
      <c r="DZ305" s="71">
        <f>(Tradingbook_SBV[[#This Row],[MARKET_VALUE]]+Tradingbook_SBV[[#This Row],[Accr Int]]*Tradingbook_SBV[[#This Row],[Quantity_edited]])*(-Tradingbook_SBV[[#This Row],[Modified Duration]]*0.01+0.5*Tradingbook_SBV[[#This Row],[Conv]]*(0.01^2))</f>
        <v>0</v>
      </c>
      <c r="EC305" t="s">
        <v>166</v>
      </c>
      <c r="ED305" t="s">
        <v>3302</v>
      </c>
      <c r="EE305" t="s">
        <v>1209</v>
      </c>
      <c r="EF305" t="s">
        <v>169</v>
      </c>
      <c r="EG305" s="35" t="s">
        <v>3498</v>
      </c>
      <c r="EH305" t="s">
        <v>3322</v>
      </c>
      <c r="EI305" s="500">
        <v>124387</v>
      </c>
      <c r="EJ305" s="500">
        <v>124387</v>
      </c>
      <c r="EK305" s="500">
        <v>0</v>
      </c>
      <c r="EL305" s="500">
        <v>0</v>
      </c>
      <c r="EM305" s="500">
        <v>0</v>
      </c>
      <c r="EN305" s="500">
        <v>0</v>
      </c>
      <c r="EO305">
        <v>7.75</v>
      </c>
      <c r="EP305">
        <v>234</v>
      </c>
      <c r="EQ305">
        <v>0</v>
      </c>
      <c r="ER305">
        <v>3.1000000000000001E-5</v>
      </c>
      <c r="ES305">
        <v>-34018391056.499928</v>
      </c>
      <c r="ET305">
        <v>4.4001344930000004</v>
      </c>
      <c r="EU305">
        <v>6.7250949731488001</v>
      </c>
      <c r="EV305">
        <v>7.0210081999999998</v>
      </c>
      <c r="EW305">
        <v>58.608056032329301</v>
      </c>
      <c r="EX305">
        <v>0</v>
      </c>
      <c r="EY305">
        <v>0</v>
      </c>
      <c r="EZ305">
        <v>0</v>
      </c>
      <c r="FA305">
        <v>-7150770000.0009766</v>
      </c>
      <c r="FB305">
        <v>0</v>
      </c>
      <c r="FC305">
        <v>-7150770000.0009766</v>
      </c>
      <c r="FD305">
        <v>-7150770000.0009766</v>
      </c>
      <c r="FE305">
        <v>-7150770000.0010004</v>
      </c>
      <c r="FF305">
        <v>-7150770000.0009766</v>
      </c>
      <c r="FG305" s="32">
        <f>Bankingbook_SBV[[#This Row],[Mat. Date]]-RPT</f>
        <v>3276</v>
      </c>
      <c r="FH305" s="32">
        <f>IF(Bankingbook_SBV[[#This Row],[Days]]&lt;=0,0,YEARFRAC(RPT,Bankingbook_SBV[[#This Row],[Mat. Date]],3))</f>
        <v>8.9753424657534246</v>
      </c>
      <c r="FI305" s="32" t="str">
        <f>IF(Bankingbook_SBV[[#This Row],[Days (year)]]=0,0,INDEX(Ref!$K$2:$K$13,MATCH(Bankingbook_SBV[[#This Row],[Days (year)]],Ref!$I$2:$I$13,1)))</f>
        <v>10Y</v>
      </c>
      <c r="FJ305" s="32" t="str">
        <f>VLOOKUP(Bankingbook_SBV[[#This Row],[Security Name]],Ref!X:Z,3,0)</f>
        <v>TPCP</v>
      </c>
      <c r="FK305" s="32" t="str">
        <f>VLOOKUP(Bankingbook_SBV[[#This Row],[Security Name]],Ref!X:Y,2,0)</f>
        <v>KBNN</v>
      </c>
      <c r="FL305" s="72">
        <f>IF((Bankingbook_SBV[[#This Row],[Mat. Date]]-RPT)&lt;=0,0,Bankingbook_SBV[[#This Row],[QUANTITY]])</f>
        <v>0</v>
      </c>
      <c r="FM305" s="32">
        <f>IF(Bankingbook_SBV[[#This Row],[Quantity_edited]]=0,0,Bankingbook_SBV[[#This Row],[DURATION]])</f>
        <v>0</v>
      </c>
      <c r="FN305" s="32">
        <f>IF(Bankingbook_SBV[[#This Row],[Quantity_edited]]=0,0,Bankingbook_SBV[[#This Row],[Mod Dur]])</f>
        <v>0</v>
      </c>
      <c r="FO305" s="32">
        <f>IF(Bankingbook_SBV[[#This Row],[Quantity_edited]]=0,0,Bankingbook_SBV[[#This Row],[Cnvx.]])</f>
        <v>0</v>
      </c>
      <c r="FP305" s="32">
        <f>(Bankingbook_SBV[[#This Row],[MARKET_VALUE]]+Bankingbook_SBV[[#This Row],[Accr Int]]*Bankingbook_SBV[[#This Row],[Quantity_edited]])*(-Bankingbook_SBV[[#This Row],[Modified Duration]]*0.0001+0.5*Bankingbook_SBV[[#This Row],[Conv]]*(0.0001^2))</f>
        <v>0</v>
      </c>
      <c r="FQ305" s="32">
        <f>(Bankingbook_SBV[[#This Row],[MARKET_VALUE]]+Bankingbook_SBV[[#This Row],[Accr Int]]*Bankingbook_SBV[[#This Row],[Quantity_edited]])*(-Bankingbook_SBV[[#This Row],[Modified Duration]]*0.01+0.5*Bankingbook_SBV[[#This Row],[Conv]]*(0.01^2))</f>
        <v>0</v>
      </c>
    </row>
    <row r="306" spans="2:173" x14ac:dyDescent="0.3">
      <c r="B306" t="s">
        <v>166</v>
      </c>
      <c r="C306" t="s">
        <v>167</v>
      </c>
      <c r="D306" t="s">
        <v>491</v>
      </c>
      <c r="E306" t="s">
        <v>169</v>
      </c>
      <c r="F306" s="502">
        <v>44511</v>
      </c>
      <c r="G306" t="s">
        <v>3322</v>
      </c>
      <c r="H306"/>
      <c r="I306"/>
      <c r="J306" s="38">
        <v>0</v>
      </c>
      <c r="K306">
        <v>0</v>
      </c>
      <c r="L306">
        <v>0</v>
      </c>
      <c r="M306" s="38">
        <v>0</v>
      </c>
      <c r="N306">
        <v>11.5</v>
      </c>
      <c r="O306">
        <v>0</v>
      </c>
      <c r="P306" s="37">
        <v>0</v>
      </c>
      <c r="Q306" s="37">
        <v>-1.22E-4</v>
      </c>
      <c r="R306" s="37">
        <v>-1309184453.1249008</v>
      </c>
      <c r="S306">
        <v>0</v>
      </c>
      <c r="T306" s="70">
        <v>0</v>
      </c>
      <c r="U306">
        <v>0</v>
      </c>
      <c r="V306">
        <v>0</v>
      </c>
      <c r="W306">
        <v>0</v>
      </c>
      <c r="X306" s="38">
        <v>0</v>
      </c>
      <c r="Y306">
        <v>0</v>
      </c>
      <c r="Z306" s="70">
        <v>-2225000000</v>
      </c>
      <c r="AA306" s="70">
        <v>0</v>
      </c>
      <c r="AB306" s="70">
        <v>-2225000000</v>
      </c>
      <c r="AC306" s="70">
        <v>-2225000000</v>
      </c>
      <c r="AD306" s="70">
        <v>-2225000000</v>
      </c>
      <c r="AE306" s="70">
        <v>-2225000000</v>
      </c>
      <c r="AF306">
        <v>0</v>
      </c>
      <c r="AG306" s="72">
        <f>Tradingbook_MSB[[#This Row],[Mat. Date]]-RPT</f>
        <v>-1741</v>
      </c>
      <c r="AH306" s="71">
        <f>IF(Tradingbook_MSB[[#This Row],[Days]]&lt;=0,0,YEARFRAC(RPT,Tradingbook_MSB[[#This Row],[Mat. Date]],3))</f>
        <v>0</v>
      </c>
      <c r="AI306" s="71">
        <f>IF(Tradingbook_MSB[[#This Row],[Days (year)]]=0,0,INDEX(Ref!$K$2:$K$13,MATCH(Tradingbook_MSB[[#This Row],[Days (year)]],Ref!$I$2:$I$13,1)))</f>
        <v>0</v>
      </c>
      <c r="AJ306" s="120" t="str">
        <f>VLOOKUP(Tradingbook_MSB[[#This Row],[Security Name]],Ref!X:Z,3,0)</f>
        <v>TPCPBL</v>
      </c>
      <c r="AK306" s="120" t="str">
        <f>VLOOKUP(Tradingbook_MSB[[#This Row],[Security Name]],Ref!X:Y,2,0)</f>
        <v>VDB</v>
      </c>
      <c r="AL306" s="71">
        <f>IF((Tradingbook_MSB[[#This Row],[Mat. Date]]-RPT)&lt;=0,0,Tradingbook_MSB[[#This Row],[QUANTITY]])</f>
        <v>0</v>
      </c>
      <c r="AM306" s="71">
        <f>IF(Tradingbook_MSB[[#This Row],[Quantity_edited]]=0,0,Tradingbook_MSB[[#This Row],[DURATION]])</f>
        <v>0</v>
      </c>
      <c r="AN306" s="71">
        <f>IF(Tradingbook_MSB[[#This Row],[Quantity_edited]]=0,0,Tradingbook_MSB[[#This Row],[Mod Dur]])</f>
        <v>0</v>
      </c>
      <c r="AO306" s="71">
        <f>IF(Tradingbook_MSB[[#This Row],[Quantity_edited]]=0,0,Tradingbook_MSB[[#This Row],[Cnvx.]])</f>
        <v>0</v>
      </c>
      <c r="AP306" s="71">
        <f>(Tradingbook_MSB[[#This Row],[MARKET_VALUE]]+Tradingbook_MSB[[#This Row],[Accr Int]]*Tradingbook_MSB[[#This Row],[Quantity_edited]])*(-Tradingbook_MSB[[#This Row],[Modified Duration]]*0.0001+0.5*Tradingbook_MSB[[#This Row],[Conv]]*(0.0001^2))</f>
        <v>0</v>
      </c>
      <c r="AQ306" s="72">
        <f>(Tradingbook_MSB[[#This Row],[MARKET_VALUE]]+Tradingbook_MSB[[#This Row],[Accr Int]]*Tradingbook_MSB[[#This Row],[Quantity_edited]])*(-Tradingbook_MSB[[#This Row],[Modified Duration]]*0.01+0.5*Tradingbook_MSB[[#This Row],[Conv]]*(0.01^2))</f>
        <v>0</v>
      </c>
      <c r="AR306" s="71"/>
      <c r="CL306" t="s">
        <v>166</v>
      </c>
      <c r="CM306" t="s">
        <v>167</v>
      </c>
      <c r="CN306" t="s">
        <v>493</v>
      </c>
      <c r="CO306" t="s">
        <v>169</v>
      </c>
      <c r="CP306" s="35">
        <v>44530</v>
      </c>
      <c r="CQ306" t="s">
        <v>3322</v>
      </c>
      <c r="CR306" t="s">
        <v>174</v>
      </c>
      <c r="CS306" t="s">
        <v>174</v>
      </c>
      <c r="CT306" s="49">
        <v>0</v>
      </c>
      <c r="CU306">
        <v>0</v>
      </c>
      <c r="CV306">
        <v>0</v>
      </c>
      <c r="CW306" s="70">
        <v>0</v>
      </c>
      <c r="CX306">
        <v>9</v>
      </c>
      <c r="CY306">
        <v>0</v>
      </c>
      <c r="CZ306">
        <v>0</v>
      </c>
      <c r="DA306">
        <v>0</v>
      </c>
      <c r="DB306">
        <v>-106555756.66667175</v>
      </c>
      <c r="DC306">
        <v>0</v>
      </c>
      <c r="DD306">
        <v>0</v>
      </c>
      <c r="DE306">
        <v>0</v>
      </c>
      <c r="DF306">
        <v>0</v>
      </c>
      <c r="DG306">
        <v>0</v>
      </c>
      <c r="DH306">
        <v>0</v>
      </c>
      <c r="DI306">
        <v>0</v>
      </c>
      <c r="DJ306" s="500">
        <v>-1389000000</v>
      </c>
      <c r="DK306" s="500">
        <v>0</v>
      </c>
      <c r="DL306" s="37">
        <v>-1389000000</v>
      </c>
      <c r="DM306" s="37">
        <v>-1389000000</v>
      </c>
      <c r="DN306" s="37">
        <v>-1389000000</v>
      </c>
      <c r="DO306" s="37">
        <v>-1389000000</v>
      </c>
      <c r="DP306" s="32">
        <f>Tradingbook_SBV[[#This Row],[Mat. Date]]-RPT</f>
        <v>-1722</v>
      </c>
      <c r="DQ306" s="32">
        <f>IF(Tradingbook_SBV[[#This Row],[Days]]&lt;=0,0,YEARFRAC(RPT,Tradingbook_SBV[[#This Row],[Mat. Date]],3))</f>
        <v>0</v>
      </c>
      <c r="DR306" s="32">
        <f>IF(Tradingbook_SBV[[#This Row],[Days (year)]]=0,0,INDEX(Ref!$K$2:$K$13,MATCH(Tradingbook_SBV[[#This Row],[Days (year)]],Ref!$I$2:$I$13,1)))</f>
        <v>0</v>
      </c>
      <c r="DS306" s="32" t="str">
        <f>VLOOKUP(Tradingbook_SBV[[#This Row],[Security Name]],Ref!X:Z,3,0)</f>
        <v>TPCP</v>
      </c>
      <c r="DT306" s="32" t="str">
        <f>VLOOKUP(Tradingbook_SBV[[#This Row],[Security Name]],Ref!X:Y,2,0)</f>
        <v>VDB</v>
      </c>
      <c r="DU306" s="71">
        <f>IF((Tradingbook_SBV[[#This Row],[Mat. Date]]-RPT)&lt;=0,0,Tradingbook_SBV[[#This Row],[QUANTITY]])</f>
        <v>0</v>
      </c>
      <c r="DV306" s="71">
        <f>IF(Tradingbook_SBV[[#This Row],[Quantity_edited]]=0,0,Tradingbook_SBV[[#This Row],[DURATION]])</f>
        <v>0</v>
      </c>
      <c r="DW306" s="71">
        <f>IF(Tradingbook_SBV[[#This Row],[Quantity_edited]]=0,0,Tradingbook_SBV[[#This Row],[Mod Dur]])</f>
        <v>0</v>
      </c>
      <c r="DX306" s="71">
        <f>IF(Tradingbook_SBV[[#This Row],[Quantity_edited]]=0,0,Tradingbook_SBV[[#This Row],[Cnvx.]])</f>
        <v>0</v>
      </c>
      <c r="DY306" s="71">
        <f>(Tradingbook_SBV[[#This Row],[MARKET_VALUE]]+Tradingbook_SBV[[#This Row],[Accr Int]]*Tradingbook_SBV[[#This Row],[Quantity_edited]])*(-Tradingbook_SBV[[#This Row],[Modified Duration]]*0.0001+0.5*Tradingbook_SBV[[#This Row],[Conv]]*(0.0001^2))</f>
        <v>0</v>
      </c>
      <c r="DZ306" s="71">
        <f>(Tradingbook_SBV[[#This Row],[MARKET_VALUE]]+Tradingbook_SBV[[#This Row],[Accr Int]]*Tradingbook_SBV[[#This Row],[Quantity_edited]])*(-Tradingbook_SBV[[#This Row],[Modified Duration]]*0.01+0.5*Tradingbook_SBV[[#This Row],[Conv]]*(0.01^2))</f>
        <v>0</v>
      </c>
      <c r="EC306" t="s">
        <v>166</v>
      </c>
      <c r="ED306" t="s">
        <v>3302</v>
      </c>
      <c r="EE306" t="s">
        <v>3317</v>
      </c>
      <c r="EF306" t="s">
        <v>169</v>
      </c>
      <c r="EG306" s="35" t="s">
        <v>3498</v>
      </c>
      <c r="EH306" t="s">
        <v>170</v>
      </c>
      <c r="EI306" s="500">
        <v>91987</v>
      </c>
      <c r="EJ306" s="500">
        <v>91987</v>
      </c>
      <c r="EK306" s="500">
        <v>8000000</v>
      </c>
      <c r="EL306" s="500">
        <v>800000000000</v>
      </c>
      <c r="EM306" s="500">
        <v>98494.608999999997</v>
      </c>
      <c r="EN306" s="500">
        <v>735896000000</v>
      </c>
      <c r="EO306">
        <v>3.3</v>
      </c>
      <c r="EP306">
        <v>99</v>
      </c>
      <c r="EQ306">
        <v>26400000000</v>
      </c>
      <c r="ER306">
        <v>26441543333.333408</v>
      </c>
      <c r="ES306">
        <v>-191223611038.84937</v>
      </c>
      <c r="ET306">
        <v>4.4002330660000002</v>
      </c>
      <c r="EU306">
        <v>7.5161149658318998</v>
      </c>
      <c r="EV306">
        <v>7.8468415399999998</v>
      </c>
      <c r="EW306">
        <v>68.541071195850705</v>
      </c>
      <c r="EX306">
        <v>504933.8465712886</v>
      </c>
      <c r="EY306">
        <v>-553703.17019487801</v>
      </c>
      <c r="EZ306">
        <v>86917.603000000003</v>
      </c>
      <c r="FA306">
        <v>48764330.708734632</v>
      </c>
      <c r="FB306">
        <v>-52060874330.708641</v>
      </c>
      <c r="FC306">
        <v>-52012109999.999908</v>
      </c>
      <c r="FD306">
        <v>-52012109999.999908</v>
      </c>
      <c r="FE306">
        <v>-52012110000</v>
      </c>
      <c r="FF306">
        <v>-52012109999.999908</v>
      </c>
      <c r="FG306" s="32">
        <f>Bankingbook_SBV[[#This Row],[Mat. Date]]-RPT</f>
        <v>3276</v>
      </c>
      <c r="FH306" s="32">
        <f>IF(Bankingbook_SBV[[#This Row],[Days]]&lt;=0,0,YEARFRAC(RPT,Bankingbook_SBV[[#This Row],[Mat. Date]],3))</f>
        <v>8.9753424657534246</v>
      </c>
      <c r="FI306" s="32" t="str">
        <f>IF(Bankingbook_SBV[[#This Row],[Days (year)]]=0,0,INDEX(Ref!$K$2:$K$13,MATCH(Bankingbook_SBV[[#This Row],[Days (year)]],Ref!$I$2:$I$13,1)))</f>
        <v>10Y</v>
      </c>
      <c r="FJ306" s="32" t="str">
        <f>VLOOKUP(Bankingbook_SBV[[#This Row],[Security Name]],Ref!X:Z,3,0)</f>
        <v>TPCP</v>
      </c>
      <c r="FK306" s="32" t="str">
        <f>VLOOKUP(Bankingbook_SBV[[#This Row],[Security Name]],Ref!X:Y,2,0)</f>
        <v>KBNN</v>
      </c>
      <c r="FL306" s="72">
        <f>IF((Bankingbook_SBV[[#This Row],[Mat. Date]]-RPT)&lt;=0,0,Bankingbook_SBV[[#This Row],[QUANTITY]])</f>
        <v>8000000</v>
      </c>
      <c r="FM306" s="32">
        <f>IF(Bankingbook_SBV[[#This Row],[Quantity_edited]]=0,0,Bankingbook_SBV[[#This Row],[DURATION]])</f>
        <v>7.8468415399999998</v>
      </c>
      <c r="FN306" s="32">
        <f>IF(Bankingbook_SBV[[#This Row],[Quantity_edited]]=0,0,Bankingbook_SBV[[#This Row],[Mod Dur]])</f>
        <v>7.5161149658318998</v>
      </c>
      <c r="FO306" s="32">
        <f>IF(Bankingbook_SBV[[#This Row],[Quantity_edited]]=0,0,Bankingbook_SBV[[#This Row],[Cnvx.]])</f>
        <v>68.541071195850705</v>
      </c>
      <c r="FP306" s="32">
        <f>(Bankingbook_SBV[[#This Row],[MARKET_VALUE]]+Bankingbook_SBV[[#This Row],[Accr Int]]*Bankingbook_SBV[[#This Row],[Quantity_edited]])*(-Bankingbook_SBV[[#This Row],[Modified Duration]]*0.0001+0.5*Bankingbook_SBV[[#This Row],[Conv]]*(0.0001^2))</f>
        <v>-553450703.27159154</v>
      </c>
      <c r="FQ306" s="32">
        <f>(Bankingbook_SBV[[#This Row],[MARKET_VALUE]]+Bankingbook_SBV[[#This Row],[Accr Int]]*Bankingbook_SBV[[#This Row],[Quantity_edited]])*(-Bankingbook_SBV[[#This Row],[Modified Duration]]*0.01+0.5*Bankingbook_SBV[[#This Row],[Conv]]*(0.01^2))</f>
        <v>-52845647786.631264</v>
      </c>
    </row>
    <row r="307" spans="2:173" x14ac:dyDescent="0.3">
      <c r="B307" t="s">
        <v>166</v>
      </c>
      <c r="C307" t="s">
        <v>167</v>
      </c>
      <c r="D307" t="s">
        <v>492</v>
      </c>
      <c r="E307" t="s">
        <v>169</v>
      </c>
      <c r="F307" s="502">
        <v>44524</v>
      </c>
      <c r="G307" t="s">
        <v>3322</v>
      </c>
      <c r="H307"/>
      <c r="I307"/>
      <c r="J307" s="38">
        <v>0</v>
      </c>
      <c r="K307">
        <v>0</v>
      </c>
      <c r="L307">
        <v>0</v>
      </c>
      <c r="M307" s="38">
        <v>0</v>
      </c>
      <c r="N307">
        <v>5.2</v>
      </c>
      <c r="O307">
        <v>0</v>
      </c>
      <c r="P307" s="37">
        <v>5200000000</v>
      </c>
      <c r="Q307" s="37">
        <v>5589766000.0000114</v>
      </c>
      <c r="R307" s="37">
        <v>-3622669035.0694842</v>
      </c>
      <c r="S307">
        <v>0</v>
      </c>
      <c r="T307" s="70">
        <v>0</v>
      </c>
      <c r="U307">
        <v>0</v>
      </c>
      <c r="V307">
        <v>0</v>
      </c>
      <c r="W307">
        <v>0</v>
      </c>
      <c r="X307" s="38">
        <v>0</v>
      </c>
      <c r="Y307">
        <v>0</v>
      </c>
      <c r="Z307" s="70">
        <v>3151000000</v>
      </c>
      <c r="AA307" s="70">
        <v>0</v>
      </c>
      <c r="AB307" s="70">
        <v>3151000000</v>
      </c>
      <c r="AC307" s="70">
        <v>3151000000</v>
      </c>
      <c r="AD307" s="70">
        <v>3151000000</v>
      </c>
      <c r="AE307" s="70">
        <v>3151000000</v>
      </c>
      <c r="AF307">
        <v>0</v>
      </c>
      <c r="AG307" s="72">
        <f>Tradingbook_MSB[[#This Row],[Mat. Date]]-RPT</f>
        <v>-1728</v>
      </c>
      <c r="AH307" s="71">
        <f>IF(Tradingbook_MSB[[#This Row],[Days]]&lt;=0,0,YEARFRAC(RPT,Tradingbook_MSB[[#This Row],[Mat. Date]],3))</f>
        <v>0</v>
      </c>
      <c r="AI307" s="71">
        <f>IF(Tradingbook_MSB[[#This Row],[Days (year)]]=0,0,INDEX(Ref!$K$2:$K$13,MATCH(Tradingbook_MSB[[#This Row],[Days (year)]],Ref!$I$2:$I$13,1)))</f>
        <v>0</v>
      </c>
      <c r="AJ307" s="120" t="str">
        <f>VLOOKUP(Tradingbook_MSB[[#This Row],[Security Name]],Ref!X:Z,3,0)</f>
        <v>TPCP</v>
      </c>
      <c r="AK307" s="120" t="str">
        <f>VLOOKUP(Tradingbook_MSB[[#This Row],[Security Name]],Ref!X:Y,2,0)</f>
        <v>KBNN</v>
      </c>
      <c r="AL307" s="71">
        <f>IF((Tradingbook_MSB[[#This Row],[Mat. Date]]-RPT)&lt;=0,0,Tradingbook_MSB[[#This Row],[QUANTITY]])</f>
        <v>0</v>
      </c>
      <c r="AM307" s="71">
        <f>IF(Tradingbook_MSB[[#This Row],[Quantity_edited]]=0,0,Tradingbook_MSB[[#This Row],[DURATION]])</f>
        <v>0</v>
      </c>
      <c r="AN307" s="71">
        <f>IF(Tradingbook_MSB[[#This Row],[Quantity_edited]]=0,0,Tradingbook_MSB[[#This Row],[Mod Dur]])</f>
        <v>0</v>
      </c>
      <c r="AO307" s="71">
        <f>IF(Tradingbook_MSB[[#This Row],[Quantity_edited]]=0,0,Tradingbook_MSB[[#This Row],[Cnvx.]])</f>
        <v>0</v>
      </c>
      <c r="AP307" s="71">
        <f>(Tradingbook_MSB[[#This Row],[MARKET_VALUE]]+Tradingbook_MSB[[#This Row],[Accr Int]]*Tradingbook_MSB[[#This Row],[Quantity_edited]])*(-Tradingbook_MSB[[#This Row],[Modified Duration]]*0.0001+0.5*Tradingbook_MSB[[#This Row],[Conv]]*(0.0001^2))</f>
        <v>0</v>
      </c>
      <c r="AQ307" s="72">
        <f>(Tradingbook_MSB[[#This Row],[MARKET_VALUE]]+Tradingbook_MSB[[#This Row],[Accr Int]]*Tradingbook_MSB[[#This Row],[Quantity_edited]])*(-Tradingbook_MSB[[#This Row],[Modified Duration]]*0.01+0.5*Tradingbook_MSB[[#This Row],[Conv]]*(0.01^2))</f>
        <v>0</v>
      </c>
      <c r="AR307" s="71"/>
      <c r="CL307" t="s">
        <v>166</v>
      </c>
      <c r="CM307" t="s">
        <v>167</v>
      </c>
      <c r="CN307" t="s">
        <v>495</v>
      </c>
      <c r="CO307" t="s">
        <v>169</v>
      </c>
      <c r="CP307" s="35">
        <v>44542</v>
      </c>
      <c r="CQ307" t="s">
        <v>3322</v>
      </c>
      <c r="CR307" t="s">
        <v>174</v>
      </c>
      <c r="CS307" t="s">
        <v>174</v>
      </c>
      <c r="CT307" s="49">
        <v>0</v>
      </c>
      <c r="CU307">
        <v>0</v>
      </c>
      <c r="CV307">
        <v>0</v>
      </c>
      <c r="CW307" s="70">
        <v>0</v>
      </c>
      <c r="CX307">
        <v>5.0999999999999996</v>
      </c>
      <c r="CY307">
        <v>0</v>
      </c>
      <c r="CZ307">
        <v>0</v>
      </c>
      <c r="DA307">
        <v>0</v>
      </c>
      <c r="DB307">
        <v>-12503817.222223282</v>
      </c>
      <c r="DC307">
        <v>0</v>
      </c>
      <c r="DD307">
        <v>0</v>
      </c>
      <c r="DE307">
        <v>0</v>
      </c>
      <c r="DF307">
        <v>0</v>
      </c>
      <c r="DG307">
        <v>0</v>
      </c>
      <c r="DH307">
        <v>0</v>
      </c>
      <c r="DI307">
        <v>0</v>
      </c>
      <c r="DJ307" s="500">
        <v>12000000</v>
      </c>
      <c r="DK307" s="500">
        <v>0</v>
      </c>
      <c r="DL307" s="37">
        <v>12000000</v>
      </c>
      <c r="DM307" s="37">
        <v>12000000</v>
      </c>
      <c r="DN307" s="37">
        <v>12000000</v>
      </c>
      <c r="DO307" s="37">
        <v>12000000</v>
      </c>
      <c r="DP307" s="32">
        <f>Tradingbook_SBV[[#This Row],[Mat. Date]]-RPT</f>
        <v>-1710</v>
      </c>
      <c r="DQ307" s="32">
        <f>IF(Tradingbook_SBV[[#This Row],[Days]]&lt;=0,0,YEARFRAC(RPT,Tradingbook_SBV[[#This Row],[Mat. Date]],3))</f>
        <v>0</v>
      </c>
      <c r="DR307" s="32">
        <f>IF(Tradingbook_SBV[[#This Row],[Days (year)]]=0,0,INDEX(Ref!$K$2:$K$13,MATCH(Tradingbook_SBV[[#This Row],[Days (year)]],Ref!$I$2:$I$13,1)))</f>
        <v>0</v>
      </c>
      <c r="DS307" s="32" t="str">
        <f>VLOOKUP(Tradingbook_SBV[[#This Row],[Security Name]],Ref!X:Z,3,0)</f>
        <v>TPCPBL</v>
      </c>
      <c r="DT307" s="32" t="str">
        <f>VLOOKUP(Tradingbook_SBV[[#This Row],[Security Name]],Ref!X:Y,2,0)</f>
        <v>VDB</v>
      </c>
      <c r="DU307" s="71">
        <f>IF((Tradingbook_SBV[[#This Row],[Mat. Date]]-RPT)&lt;=0,0,Tradingbook_SBV[[#This Row],[QUANTITY]])</f>
        <v>0</v>
      </c>
      <c r="DV307" s="71">
        <f>IF(Tradingbook_SBV[[#This Row],[Quantity_edited]]=0,0,Tradingbook_SBV[[#This Row],[DURATION]])</f>
        <v>0</v>
      </c>
      <c r="DW307" s="71">
        <f>IF(Tradingbook_SBV[[#This Row],[Quantity_edited]]=0,0,Tradingbook_SBV[[#This Row],[Mod Dur]])</f>
        <v>0</v>
      </c>
      <c r="DX307" s="71">
        <f>IF(Tradingbook_SBV[[#This Row],[Quantity_edited]]=0,0,Tradingbook_SBV[[#This Row],[Cnvx.]])</f>
        <v>0</v>
      </c>
      <c r="DY307" s="71">
        <f>(Tradingbook_SBV[[#This Row],[MARKET_VALUE]]+Tradingbook_SBV[[#This Row],[Accr Int]]*Tradingbook_SBV[[#This Row],[Quantity_edited]])*(-Tradingbook_SBV[[#This Row],[Modified Duration]]*0.0001+0.5*Tradingbook_SBV[[#This Row],[Conv]]*(0.0001^2))</f>
        <v>0</v>
      </c>
      <c r="DZ307" s="71">
        <f>(Tradingbook_SBV[[#This Row],[MARKET_VALUE]]+Tradingbook_SBV[[#This Row],[Accr Int]]*Tradingbook_SBV[[#This Row],[Quantity_edited]])*(-Tradingbook_SBV[[#This Row],[Modified Duration]]*0.01+0.5*Tradingbook_SBV[[#This Row],[Conv]]*(0.01^2))</f>
        <v>0</v>
      </c>
      <c r="EC307" t="s">
        <v>166</v>
      </c>
      <c r="ED307" t="s">
        <v>3302</v>
      </c>
      <c r="EE307" t="s">
        <v>688</v>
      </c>
      <c r="EF307" t="s">
        <v>169</v>
      </c>
      <c r="EG307" s="35" t="s">
        <v>3457</v>
      </c>
      <c r="EH307" t="s">
        <v>170</v>
      </c>
      <c r="EI307" s="500">
        <v>89735</v>
      </c>
      <c r="EJ307" s="500">
        <v>89735</v>
      </c>
      <c r="EK307" s="500">
        <v>1000000</v>
      </c>
      <c r="EL307" s="500">
        <v>100000000000</v>
      </c>
      <c r="EM307" s="500">
        <v>100731.03</v>
      </c>
      <c r="EN307" s="500">
        <v>89735000000</v>
      </c>
      <c r="EO307">
        <v>3</v>
      </c>
      <c r="EP307">
        <v>2926</v>
      </c>
      <c r="EQ307">
        <v>12000000000</v>
      </c>
      <c r="ER307">
        <v>13382480833.333252</v>
      </c>
      <c r="ES307">
        <v>-18087196634.791374</v>
      </c>
      <c r="ET307">
        <v>4.4026616780000003</v>
      </c>
      <c r="EU307">
        <v>7.3958413822480997</v>
      </c>
      <c r="EV307">
        <v>7.7214552599999999</v>
      </c>
      <c r="EW307">
        <v>68.0412384684535</v>
      </c>
      <c r="EX307">
        <v>63047.6919772537</v>
      </c>
      <c r="EY307">
        <v>-68530.605832048997</v>
      </c>
      <c r="EZ307">
        <v>10938.448</v>
      </c>
      <c r="FA307">
        <v>-28913420423.660923</v>
      </c>
      <c r="FB307">
        <v>-10996029576.33893</v>
      </c>
      <c r="FC307">
        <v>-39909449999.999855</v>
      </c>
      <c r="FD307">
        <v>-39909449999.999855</v>
      </c>
      <c r="FE307">
        <v>-39909450000</v>
      </c>
      <c r="FF307">
        <v>-39909449999.999855</v>
      </c>
      <c r="FG307" s="32">
        <f>Bankingbook_SBV[[#This Row],[Mat. Date]]-RPT</f>
        <v>3296</v>
      </c>
      <c r="FH307" s="32">
        <f>IF(Bankingbook_SBV[[#This Row],[Days]]&lt;=0,0,YEARFRAC(RPT,Bankingbook_SBV[[#This Row],[Mat. Date]],3))</f>
        <v>9.0301369863013701</v>
      </c>
      <c r="FI307" s="32" t="str">
        <f>IF(Bankingbook_SBV[[#This Row],[Days (year)]]=0,0,INDEX(Ref!$K$2:$K$13,MATCH(Bankingbook_SBV[[#This Row],[Days (year)]],Ref!$I$2:$I$13,1)))</f>
        <v>10Y</v>
      </c>
      <c r="FJ307" s="32" t="str">
        <f>VLOOKUP(Bankingbook_SBV[[#This Row],[Security Name]],Ref!X:Z,3,0)</f>
        <v>TPCP</v>
      </c>
      <c r="FK307" s="32" t="str">
        <f>VLOOKUP(Bankingbook_SBV[[#This Row],[Security Name]],Ref!X:Y,2,0)</f>
        <v>KBNN</v>
      </c>
      <c r="FL307" s="72">
        <f>IF((Bankingbook_SBV[[#This Row],[Mat. Date]]-RPT)&lt;=0,0,Bankingbook_SBV[[#This Row],[QUANTITY]])</f>
        <v>1000000</v>
      </c>
      <c r="FM307" s="32">
        <f>IF(Bankingbook_SBV[[#This Row],[Quantity_edited]]=0,0,Bankingbook_SBV[[#This Row],[DURATION]])</f>
        <v>7.7214552599999999</v>
      </c>
      <c r="FN307" s="32">
        <f>IF(Bankingbook_SBV[[#This Row],[Quantity_edited]]=0,0,Bankingbook_SBV[[#This Row],[Mod Dur]])</f>
        <v>7.3958413822480997</v>
      </c>
      <c r="FO307" s="32">
        <f>IF(Bankingbook_SBV[[#This Row],[Quantity_edited]]=0,0,Bankingbook_SBV[[#This Row],[Cnvx.]])</f>
        <v>68.0412384684535</v>
      </c>
      <c r="FP307" s="32">
        <f>(Bankingbook_SBV[[#This Row],[MARKET_VALUE]]+Bankingbook_SBV[[#This Row],[Accr Int]]*Bankingbook_SBV[[#This Row],[Quantity_edited]])*(-Bankingbook_SBV[[#This Row],[Modified Duration]]*0.0001+0.5*Bankingbook_SBV[[#This Row],[Conv]]*(0.0001^2))</f>
        <v>-68499081.986060485</v>
      </c>
      <c r="FQ307" s="32">
        <f>(Bankingbook_SBV[[#This Row],[MARKET_VALUE]]+Bankingbook_SBV[[#This Row],[Accr Int]]*Bankingbook_SBV[[#This Row],[Quantity_edited]])*(-Bankingbook_SBV[[#This Row],[Modified Duration]]*0.01+0.5*Bankingbook_SBV[[#This Row],[Conv]]*(0.01^2))</f>
        <v>-6537822123.3186436</v>
      </c>
    </row>
    <row r="308" spans="2:173" x14ac:dyDescent="0.3">
      <c r="B308" t="s">
        <v>166</v>
      </c>
      <c r="C308" t="s">
        <v>167</v>
      </c>
      <c r="D308" t="s">
        <v>493</v>
      </c>
      <c r="E308" t="s">
        <v>169</v>
      </c>
      <c r="F308" s="502">
        <v>44530</v>
      </c>
      <c r="G308" t="s">
        <v>3322</v>
      </c>
      <c r="H308"/>
      <c r="I308"/>
      <c r="J308" s="38">
        <v>0</v>
      </c>
      <c r="K308">
        <v>0</v>
      </c>
      <c r="L308">
        <v>0</v>
      </c>
      <c r="M308" s="38">
        <v>0</v>
      </c>
      <c r="N308">
        <v>9</v>
      </c>
      <c r="O308">
        <v>0</v>
      </c>
      <c r="P308" s="37">
        <v>0</v>
      </c>
      <c r="Q308" s="37">
        <v>0</v>
      </c>
      <c r="R308" s="37">
        <v>-106555756.66667175</v>
      </c>
      <c r="S308">
        <v>0</v>
      </c>
      <c r="T308" s="70">
        <v>0</v>
      </c>
      <c r="U308">
        <v>0</v>
      </c>
      <c r="V308">
        <v>0</v>
      </c>
      <c r="W308">
        <v>0</v>
      </c>
      <c r="X308" s="38">
        <v>0</v>
      </c>
      <c r="Y308">
        <v>0</v>
      </c>
      <c r="Z308" s="70">
        <v>-1389000000</v>
      </c>
      <c r="AA308" s="70">
        <v>0</v>
      </c>
      <c r="AB308" s="70">
        <v>-1389000000</v>
      </c>
      <c r="AC308" s="70">
        <v>-1389000000</v>
      </c>
      <c r="AD308" s="70">
        <v>-1389000000</v>
      </c>
      <c r="AE308" s="70">
        <v>-1389000000</v>
      </c>
      <c r="AF308">
        <v>0</v>
      </c>
      <c r="AG308" s="72">
        <f>Tradingbook_MSB[[#This Row],[Mat. Date]]-RPT</f>
        <v>-1722</v>
      </c>
      <c r="AH308" s="71">
        <f>IF(Tradingbook_MSB[[#This Row],[Days]]&lt;=0,0,YEARFRAC(RPT,Tradingbook_MSB[[#This Row],[Mat. Date]],3))</f>
        <v>0</v>
      </c>
      <c r="AI308" s="71">
        <f>IF(Tradingbook_MSB[[#This Row],[Days (year)]]=0,0,INDEX(Ref!$K$2:$K$13,MATCH(Tradingbook_MSB[[#This Row],[Days (year)]],Ref!$I$2:$I$13,1)))</f>
        <v>0</v>
      </c>
      <c r="AJ308" s="120" t="str">
        <f>VLOOKUP(Tradingbook_MSB[[#This Row],[Security Name]],Ref!X:Z,3,0)</f>
        <v>TPCP</v>
      </c>
      <c r="AK308" s="120" t="str">
        <f>VLOOKUP(Tradingbook_MSB[[#This Row],[Security Name]],Ref!X:Y,2,0)</f>
        <v>VDB</v>
      </c>
      <c r="AL308" s="71">
        <f>IF((Tradingbook_MSB[[#This Row],[Mat. Date]]-RPT)&lt;=0,0,Tradingbook_MSB[[#This Row],[QUANTITY]])</f>
        <v>0</v>
      </c>
      <c r="AM308" s="71">
        <f>IF(Tradingbook_MSB[[#This Row],[Quantity_edited]]=0,0,Tradingbook_MSB[[#This Row],[DURATION]])</f>
        <v>0</v>
      </c>
      <c r="AN308" s="71">
        <f>IF(Tradingbook_MSB[[#This Row],[Quantity_edited]]=0,0,Tradingbook_MSB[[#This Row],[Mod Dur]])</f>
        <v>0</v>
      </c>
      <c r="AO308" s="71">
        <f>IF(Tradingbook_MSB[[#This Row],[Quantity_edited]]=0,0,Tradingbook_MSB[[#This Row],[Cnvx.]])</f>
        <v>0</v>
      </c>
      <c r="AP308" s="71">
        <f>(Tradingbook_MSB[[#This Row],[MARKET_VALUE]]+Tradingbook_MSB[[#This Row],[Accr Int]]*Tradingbook_MSB[[#This Row],[Quantity_edited]])*(-Tradingbook_MSB[[#This Row],[Modified Duration]]*0.0001+0.5*Tradingbook_MSB[[#This Row],[Conv]]*(0.0001^2))</f>
        <v>0</v>
      </c>
      <c r="AQ308" s="72">
        <f>(Tradingbook_MSB[[#This Row],[MARKET_VALUE]]+Tradingbook_MSB[[#This Row],[Accr Int]]*Tradingbook_MSB[[#This Row],[Quantity_edited]])*(-Tradingbook_MSB[[#This Row],[Modified Duration]]*0.01+0.5*Tradingbook_MSB[[#This Row],[Conv]]*(0.01^2))</f>
        <v>0</v>
      </c>
      <c r="AR308" s="71"/>
      <c r="CL308" t="s">
        <v>166</v>
      </c>
      <c r="CM308" t="s">
        <v>167</v>
      </c>
      <c r="CN308" t="s">
        <v>497</v>
      </c>
      <c r="CO308" t="s">
        <v>169</v>
      </c>
      <c r="CP308" s="35">
        <v>44556</v>
      </c>
      <c r="CQ308" t="s">
        <v>3322</v>
      </c>
      <c r="CR308" t="s">
        <v>174</v>
      </c>
      <c r="CS308" t="s">
        <v>174</v>
      </c>
      <c r="CT308" s="49">
        <v>0</v>
      </c>
      <c r="CU308">
        <v>0</v>
      </c>
      <c r="CV308">
        <v>0</v>
      </c>
      <c r="CW308" s="70">
        <v>0</v>
      </c>
      <c r="CX308">
        <v>5</v>
      </c>
      <c r="CY308">
        <v>0</v>
      </c>
      <c r="CZ308">
        <v>0</v>
      </c>
      <c r="DA308">
        <v>0</v>
      </c>
      <c r="DB308">
        <v>-7826954.0277779102</v>
      </c>
      <c r="DC308">
        <v>0</v>
      </c>
      <c r="DD308">
        <v>0</v>
      </c>
      <c r="DE308">
        <v>0</v>
      </c>
      <c r="DF308">
        <v>0</v>
      </c>
      <c r="DG308">
        <v>0</v>
      </c>
      <c r="DH308">
        <v>0</v>
      </c>
      <c r="DI308">
        <v>0</v>
      </c>
      <c r="DJ308" s="500">
        <v>34500000</v>
      </c>
      <c r="DK308" s="500">
        <v>0</v>
      </c>
      <c r="DL308" s="37">
        <v>34500000</v>
      </c>
      <c r="DM308" s="37">
        <v>34500000</v>
      </c>
      <c r="DN308" s="37">
        <v>34500000</v>
      </c>
      <c r="DO308" s="37">
        <v>34500000</v>
      </c>
      <c r="DP308" s="32">
        <f>Tradingbook_SBV[[#This Row],[Mat. Date]]-RPT</f>
        <v>-1696</v>
      </c>
      <c r="DQ308" s="32">
        <f>IF(Tradingbook_SBV[[#This Row],[Days]]&lt;=0,0,YEARFRAC(RPT,Tradingbook_SBV[[#This Row],[Mat. Date]],3))</f>
        <v>0</v>
      </c>
      <c r="DR308" s="32">
        <f>IF(Tradingbook_SBV[[#This Row],[Days (year)]]=0,0,INDEX(Ref!$K$2:$K$13,MATCH(Tradingbook_SBV[[#This Row],[Days (year)]],Ref!$I$2:$I$13,1)))</f>
        <v>0</v>
      </c>
      <c r="DS308" s="32" t="str">
        <f>VLOOKUP(Tradingbook_SBV[[#This Row],[Security Name]],Ref!X:Z,3,0)</f>
        <v>TPCPBL</v>
      </c>
      <c r="DT308" s="32" t="str">
        <f>VLOOKUP(Tradingbook_SBV[[#This Row],[Security Name]],Ref!X:Y,2,0)</f>
        <v>VDB</v>
      </c>
      <c r="DU308" s="71">
        <f>IF((Tradingbook_SBV[[#This Row],[Mat. Date]]-RPT)&lt;=0,0,Tradingbook_SBV[[#This Row],[QUANTITY]])</f>
        <v>0</v>
      </c>
      <c r="DV308" s="71">
        <f>IF(Tradingbook_SBV[[#This Row],[Quantity_edited]]=0,0,Tradingbook_SBV[[#This Row],[DURATION]])</f>
        <v>0</v>
      </c>
      <c r="DW308" s="71">
        <f>IF(Tradingbook_SBV[[#This Row],[Quantity_edited]]=0,0,Tradingbook_SBV[[#This Row],[Mod Dur]])</f>
        <v>0</v>
      </c>
      <c r="DX308" s="71">
        <f>IF(Tradingbook_SBV[[#This Row],[Quantity_edited]]=0,0,Tradingbook_SBV[[#This Row],[Cnvx.]])</f>
        <v>0</v>
      </c>
      <c r="DY308" s="71">
        <f>(Tradingbook_SBV[[#This Row],[MARKET_VALUE]]+Tradingbook_SBV[[#This Row],[Accr Int]]*Tradingbook_SBV[[#This Row],[Quantity_edited]])*(-Tradingbook_SBV[[#This Row],[Modified Duration]]*0.0001+0.5*Tradingbook_SBV[[#This Row],[Conv]]*(0.0001^2))</f>
        <v>0</v>
      </c>
      <c r="DZ308" s="71">
        <f>(Tradingbook_SBV[[#This Row],[MARKET_VALUE]]+Tradingbook_SBV[[#This Row],[Accr Int]]*Tradingbook_SBV[[#This Row],[Quantity_edited]])*(-Tradingbook_SBV[[#This Row],[Modified Duration]]*0.01+0.5*Tradingbook_SBV[[#This Row],[Conv]]*(0.01^2))</f>
        <v>0</v>
      </c>
      <c r="EC308" t="s">
        <v>166</v>
      </c>
      <c r="ED308" t="s">
        <v>3302</v>
      </c>
      <c r="EE308" t="s">
        <v>689</v>
      </c>
      <c r="EF308" t="s">
        <v>169</v>
      </c>
      <c r="EG308" s="35" t="s">
        <v>3458</v>
      </c>
      <c r="EH308" t="s">
        <v>3322</v>
      </c>
      <c r="EI308" s="500">
        <v>88872</v>
      </c>
      <c r="EJ308" s="500">
        <v>88872</v>
      </c>
      <c r="EK308" s="500">
        <v>0</v>
      </c>
      <c r="EL308" s="500">
        <v>0</v>
      </c>
      <c r="EM308" s="500">
        <v>0</v>
      </c>
      <c r="EN308" s="500">
        <v>0</v>
      </c>
      <c r="EO308">
        <v>2.9</v>
      </c>
      <c r="EP308">
        <v>2550</v>
      </c>
      <c r="EQ308">
        <v>4350000000</v>
      </c>
      <c r="ER308">
        <v>5023749749.9999838</v>
      </c>
      <c r="ES308">
        <v>-4965082901.3524427</v>
      </c>
      <c r="ET308">
        <v>4.4071988129999999</v>
      </c>
      <c r="EU308">
        <v>7.5177955480977996</v>
      </c>
      <c r="EV308">
        <v>7.8491197399999999</v>
      </c>
      <c r="EW308">
        <v>69.860680456252993</v>
      </c>
      <c r="EX308">
        <v>0</v>
      </c>
      <c r="EY308">
        <v>0</v>
      </c>
      <c r="EZ308">
        <v>0</v>
      </c>
      <c r="FA308">
        <v>-19016660000</v>
      </c>
      <c r="FB308">
        <v>0</v>
      </c>
      <c r="FC308">
        <v>-19016660000</v>
      </c>
      <c r="FD308">
        <v>-19016660000</v>
      </c>
      <c r="FE308">
        <v>-19016660000</v>
      </c>
      <c r="FF308">
        <v>-19016660000</v>
      </c>
      <c r="FG308" s="32">
        <f>Bankingbook_SBV[[#This Row],[Mat. Date]]-RPT</f>
        <v>3331</v>
      </c>
      <c r="FH308" s="32">
        <f>IF(Bankingbook_SBV[[#This Row],[Days]]&lt;=0,0,YEARFRAC(RPT,Bankingbook_SBV[[#This Row],[Mat. Date]],3))</f>
        <v>9.1260273972602732</v>
      </c>
      <c r="FI308" s="32" t="str">
        <f>IF(Bankingbook_SBV[[#This Row],[Days (year)]]=0,0,INDEX(Ref!$K$2:$K$13,MATCH(Bankingbook_SBV[[#This Row],[Days (year)]],Ref!$I$2:$I$13,1)))</f>
        <v>10Y</v>
      </c>
      <c r="FJ308" s="32" t="str">
        <f>VLOOKUP(Bankingbook_SBV[[#This Row],[Security Name]],Ref!X:Z,3,0)</f>
        <v>TPCP</v>
      </c>
      <c r="FK308" s="32" t="str">
        <f>VLOOKUP(Bankingbook_SBV[[#This Row],[Security Name]],Ref!X:Y,2,0)</f>
        <v>KBNN</v>
      </c>
      <c r="FL308" s="72">
        <f>IF((Bankingbook_SBV[[#This Row],[Mat. Date]]-RPT)&lt;=0,0,Bankingbook_SBV[[#This Row],[QUANTITY]])</f>
        <v>0</v>
      </c>
      <c r="FM308" s="32">
        <f>IF(Bankingbook_SBV[[#This Row],[Quantity_edited]]=0,0,Bankingbook_SBV[[#This Row],[DURATION]])</f>
        <v>0</v>
      </c>
      <c r="FN308" s="32">
        <f>IF(Bankingbook_SBV[[#This Row],[Quantity_edited]]=0,0,Bankingbook_SBV[[#This Row],[Mod Dur]])</f>
        <v>0</v>
      </c>
      <c r="FO308" s="32">
        <f>IF(Bankingbook_SBV[[#This Row],[Quantity_edited]]=0,0,Bankingbook_SBV[[#This Row],[Cnvx.]])</f>
        <v>0</v>
      </c>
      <c r="FP308" s="32">
        <f>(Bankingbook_SBV[[#This Row],[MARKET_VALUE]]+Bankingbook_SBV[[#This Row],[Accr Int]]*Bankingbook_SBV[[#This Row],[Quantity_edited]])*(-Bankingbook_SBV[[#This Row],[Modified Duration]]*0.0001+0.5*Bankingbook_SBV[[#This Row],[Conv]]*(0.0001^2))</f>
        <v>0</v>
      </c>
      <c r="FQ308" s="32">
        <f>(Bankingbook_SBV[[#This Row],[MARKET_VALUE]]+Bankingbook_SBV[[#This Row],[Accr Int]]*Bankingbook_SBV[[#This Row],[Quantity_edited]])*(-Bankingbook_SBV[[#This Row],[Modified Duration]]*0.01+0.5*Bankingbook_SBV[[#This Row],[Conv]]*(0.01^2))</f>
        <v>0</v>
      </c>
    </row>
    <row r="309" spans="2:173" x14ac:dyDescent="0.3">
      <c r="B309" t="s">
        <v>166</v>
      </c>
      <c r="C309" t="s">
        <v>167</v>
      </c>
      <c r="D309" t="s">
        <v>495</v>
      </c>
      <c r="E309" t="s">
        <v>169</v>
      </c>
      <c r="F309" s="502">
        <v>44542</v>
      </c>
      <c r="G309" t="s">
        <v>3322</v>
      </c>
      <c r="H309"/>
      <c r="I309"/>
      <c r="J309" s="38">
        <v>0</v>
      </c>
      <c r="K309">
        <v>0</v>
      </c>
      <c r="L309">
        <v>0</v>
      </c>
      <c r="M309" s="38">
        <v>0</v>
      </c>
      <c r="N309">
        <v>5.0999999999999996</v>
      </c>
      <c r="O309">
        <v>0</v>
      </c>
      <c r="P309" s="37">
        <v>0</v>
      </c>
      <c r="Q309" s="37">
        <v>0</v>
      </c>
      <c r="R309" s="37">
        <v>-12503817.222223282</v>
      </c>
      <c r="S309">
        <v>0</v>
      </c>
      <c r="T309" s="70">
        <v>0</v>
      </c>
      <c r="U309">
        <v>0</v>
      </c>
      <c r="V309">
        <v>0</v>
      </c>
      <c r="W309">
        <v>0</v>
      </c>
      <c r="X309" s="38">
        <v>0</v>
      </c>
      <c r="Y309">
        <v>0</v>
      </c>
      <c r="Z309" s="70">
        <v>12000000</v>
      </c>
      <c r="AA309" s="70">
        <v>0</v>
      </c>
      <c r="AB309" s="70">
        <v>12000000</v>
      </c>
      <c r="AC309" s="70">
        <v>12000000</v>
      </c>
      <c r="AD309" s="70">
        <v>12000000</v>
      </c>
      <c r="AE309" s="70">
        <v>12000000</v>
      </c>
      <c r="AF309">
        <v>0</v>
      </c>
      <c r="AG309" s="72">
        <f>Tradingbook_MSB[[#This Row],[Mat. Date]]-RPT</f>
        <v>-1710</v>
      </c>
      <c r="AH309" s="71">
        <f>IF(Tradingbook_MSB[[#This Row],[Days]]&lt;=0,0,YEARFRAC(RPT,Tradingbook_MSB[[#This Row],[Mat. Date]],3))</f>
        <v>0</v>
      </c>
      <c r="AI309" s="71">
        <f>IF(Tradingbook_MSB[[#This Row],[Days (year)]]=0,0,INDEX(Ref!$K$2:$K$13,MATCH(Tradingbook_MSB[[#This Row],[Days (year)]],Ref!$I$2:$I$13,1)))</f>
        <v>0</v>
      </c>
      <c r="AJ309" s="120" t="str">
        <f>VLOOKUP(Tradingbook_MSB[[#This Row],[Security Name]],Ref!X:Z,3,0)</f>
        <v>TPCPBL</v>
      </c>
      <c r="AK309" s="120" t="str">
        <f>VLOOKUP(Tradingbook_MSB[[#This Row],[Security Name]],Ref!X:Y,2,0)</f>
        <v>VDB</v>
      </c>
      <c r="AL309" s="71">
        <f>IF((Tradingbook_MSB[[#This Row],[Mat. Date]]-RPT)&lt;=0,0,Tradingbook_MSB[[#This Row],[QUANTITY]])</f>
        <v>0</v>
      </c>
      <c r="AM309" s="71">
        <f>IF(Tradingbook_MSB[[#This Row],[Quantity_edited]]=0,0,Tradingbook_MSB[[#This Row],[DURATION]])</f>
        <v>0</v>
      </c>
      <c r="AN309" s="71">
        <f>IF(Tradingbook_MSB[[#This Row],[Quantity_edited]]=0,0,Tradingbook_MSB[[#This Row],[Mod Dur]])</f>
        <v>0</v>
      </c>
      <c r="AO309" s="71">
        <f>IF(Tradingbook_MSB[[#This Row],[Quantity_edited]]=0,0,Tradingbook_MSB[[#This Row],[Cnvx.]])</f>
        <v>0</v>
      </c>
      <c r="AP309" s="71">
        <f>(Tradingbook_MSB[[#This Row],[MARKET_VALUE]]+Tradingbook_MSB[[#This Row],[Accr Int]]*Tradingbook_MSB[[#This Row],[Quantity_edited]])*(-Tradingbook_MSB[[#This Row],[Modified Duration]]*0.0001+0.5*Tradingbook_MSB[[#This Row],[Conv]]*(0.0001^2))</f>
        <v>0</v>
      </c>
      <c r="AQ309" s="72">
        <f>(Tradingbook_MSB[[#This Row],[MARKET_VALUE]]+Tradingbook_MSB[[#This Row],[Accr Int]]*Tradingbook_MSB[[#This Row],[Quantity_edited]])*(-Tradingbook_MSB[[#This Row],[Modified Duration]]*0.01+0.5*Tradingbook_MSB[[#This Row],[Conv]]*(0.01^2))</f>
        <v>0</v>
      </c>
      <c r="AR309" s="71"/>
      <c r="CL309" t="s">
        <v>166</v>
      </c>
      <c r="CM309" t="s">
        <v>167</v>
      </c>
      <c r="CN309" t="s">
        <v>498</v>
      </c>
      <c r="CO309" t="s">
        <v>169</v>
      </c>
      <c r="CP309" s="35">
        <v>44573</v>
      </c>
      <c r="CQ309" t="s">
        <v>3322</v>
      </c>
      <c r="CR309" t="s">
        <v>174</v>
      </c>
      <c r="CS309" t="s">
        <v>174</v>
      </c>
      <c r="CT309" s="49">
        <v>0</v>
      </c>
      <c r="CU309">
        <v>0</v>
      </c>
      <c r="CV309">
        <v>0</v>
      </c>
      <c r="CW309" s="70">
        <v>0</v>
      </c>
      <c r="CX309">
        <v>5.2</v>
      </c>
      <c r="CY309">
        <v>0</v>
      </c>
      <c r="CZ309">
        <v>31200000000</v>
      </c>
      <c r="DA309">
        <v>33391136277.777992</v>
      </c>
      <c r="DB309">
        <v>-19708114913.333488</v>
      </c>
      <c r="DC309">
        <v>0</v>
      </c>
      <c r="DD309">
        <v>0</v>
      </c>
      <c r="DE309">
        <v>0</v>
      </c>
      <c r="DF309">
        <v>0</v>
      </c>
      <c r="DG309">
        <v>0</v>
      </c>
      <c r="DH309">
        <v>0</v>
      </c>
      <c r="DI309">
        <v>0</v>
      </c>
      <c r="DJ309" s="500">
        <v>13211000000</v>
      </c>
      <c r="DK309" s="500">
        <v>0</v>
      </c>
      <c r="DL309" s="37">
        <v>13211000000</v>
      </c>
      <c r="DM309" s="37">
        <v>13211000000</v>
      </c>
      <c r="DN309" s="37">
        <v>13211000000</v>
      </c>
      <c r="DO309" s="37">
        <v>13211000000</v>
      </c>
      <c r="DP309" s="32">
        <f>Tradingbook_SBV[[#This Row],[Mat. Date]]-RPT</f>
        <v>-1679</v>
      </c>
      <c r="DQ309" s="32">
        <f>IF(Tradingbook_SBV[[#This Row],[Days]]&lt;=0,0,YEARFRAC(RPT,Tradingbook_SBV[[#This Row],[Mat. Date]],3))</f>
        <v>0</v>
      </c>
      <c r="DR309" s="32">
        <f>IF(Tradingbook_SBV[[#This Row],[Days (year)]]=0,0,INDEX(Ref!$K$2:$K$13,MATCH(Tradingbook_SBV[[#This Row],[Days (year)]],Ref!$I$2:$I$13,1)))</f>
        <v>0</v>
      </c>
      <c r="DS309" s="32" t="str">
        <f>VLOOKUP(Tradingbook_SBV[[#This Row],[Security Name]],Ref!X:Z,3,0)</f>
        <v>TPCP</v>
      </c>
      <c r="DT309" s="32" t="str">
        <f>VLOOKUP(Tradingbook_SBV[[#This Row],[Security Name]],Ref!X:Y,2,0)</f>
        <v>KBNN</v>
      </c>
      <c r="DU309" s="71">
        <f>IF((Tradingbook_SBV[[#This Row],[Mat. Date]]-RPT)&lt;=0,0,Tradingbook_SBV[[#This Row],[QUANTITY]])</f>
        <v>0</v>
      </c>
      <c r="DV309" s="71">
        <f>IF(Tradingbook_SBV[[#This Row],[Quantity_edited]]=0,0,Tradingbook_SBV[[#This Row],[DURATION]])</f>
        <v>0</v>
      </c>
      <c r="DW309" s="71">
        <f>IF(Tradingbook_SBV[[#This Row],[Quantity_edited]]=0,0,Tradingbook_SBV[[#This Row],[Mod Dur]])</f>
        <v>0</v>
      </c>
      <c r="DX309" s="71">
        <f>IF(Tradingbook_SBV[[#This Row],[Quantity_edited]]=0,0,Tradingbook_SBV[[#This Row],[Cnvx.]])</f>
        <v>0</v>
      </c>
      <c r="DY309" s="71">
        <f>(Tradingbook_SBV[[#This Row],[MARKET_VALUE]]+Tradingbook_SBV[[#This Row],[Accr Int]]*Tradingbook_SBV[[#This Row],[Quantity_edited]])*(-Tradingbook_SBV[[#This Row],[Modified Duration]]*0.0001+0.5*Tradingbook_SBV[[#This Row],[Conv]]*(0.0001^2))</f>
        <v>0</v>
      </c>
      <c r="DZ309" s="71">
        <f>(Tradingbook_SBV[[#This Row],[MARKET_VALUE]]+Tradingbook_SBV[[#This Row],[Accr Int]]*Tradingbook_SBV[[#This Row],[Quantity_edited]])*(-Tradingbook_SBV[[#This Row],[Modified Duration]]*0.01+0.5*Tradingbook_SBV[[#This Row],[Conv]]*(0.01^2))</f>
        <v>0</v>
      </c>
      <c r="EC309" t="s">
        <v>166</v>
      </c>
      <c r="ED309" t="s">
        <v>3302</v>
      </c>
      <c r="EE309" t="s">
        <v>690</v>
      </c>
      <c r="EF309" t="s">
        <v>169</v>
      </c>
      <c r="EG309" s="35" t="s">
        <v>691</v>
      </c>
      <c r="EH309" t="s">
        <v>3322</v>
      </c>
      <c r="EI309" s="500">
        <v>87340</v>
      </c>
      <c r="EJ309" s="500">
        <v>87340</v>
      </c>
      <c r="EK309" s="500">
        <v>0</v>
      </c>
      <c r="EL309" s="500">
        <v>0</v>
      </c>
      <c r="EM309" s="500">
        <v>0</v>
      </c>
      <c r="EN309" s="500">
        <v>0</v>
      </c>
      <c r="EO309">
        <v>2.7</v>
      </c>
      <c r="EP309">
        <v>2271</v>
      </c>
      <c r="EQ309">
        <v>1350000000</v>
      </c>
      <c r="ER309">
        <v>1558790999.999984</v>
      </c>
      <c r="ES309">
        <v>52379393.194525719</v>
      </c>
      <c r="ET309">
        <v>4.4088647920000001</v>
      </c>
      <c r="EU309">
        <v>7.6174415014125998</v>
      </c>
      <c r="EV309">
        <v>7.9532841999999997</v>
      </c>
      <c r="EW309">
        <v>71.218888781557695</v>
      </c>
      <c r="EX309">
        <v>0</v>
      </c>
      <c r="EY309">
        <v>0</v>
      </c>
      <c r="EZ309">
        <v>0</v>
      </c>
      <c r="FA309">
        <v>7659000000</v>
      </c>
      <c r="FB309">
        <v>0</v>
      </c>
      <c r="FC309">
        <v>7659000000</v>
      </c>
      <c r="FD309">
        <v>7659000000</v>
      </c>
      <c r="FE309">
        <v>7659000000</v>
      </c>
      <c r="FF309">
        <v>7659000000</v>
      </c>
      <c r="FG309" s="32">
        <f>Bankingbook_SBV[[#This Row],[Mat. Date]]-RPT</f>
        <v>3345</v>
      </c>
      <c r="FH309" s="32">
        <f>IF(Bankingbook_SBV[[#This Row],[Days]]&lt;=0,0,YEARFRAC(RPT,Bankingbook_SBV[[#This Row],[Mat. Date]],3))</f>
        <v>9.1643835616438363</v>
      </c>
      <c r="FI309" s="32" t="str">
        <f>IF(Bankingbook_SBV[[#This Row],[Days (year)]]=0,0,INDEX(Ref!$K$2:$K$13,MATCH(Bankingbook_SBV[[#This Row],[Days (year)]],Ref!$I$2:$I$13,1)))</f>
        <v>10Y</v>
      </c>
      <c r="FJ309" s="32" t="str">
        <f>VLOOKUP(Bankingbook_SBV[[#This Row],[Security Name]],Ref!X:Z,3,0)</f>
        <v>TPCP</v>
      </c>
      <c r="FK309" s="32" t="str">
        <f>VLOOKUP(Bankingbook_SBV[[#This Row],[Security Name]],Ref!X:Y,2,0)</f>
        <v>KBNN</v>
      </c>
      <c r="FL309" s="72">
        <f>IF((Bankingbook_SBV[[#This Row],[Mat. Date]]-RPT)&lt;=0,0,Bankingbook_SBV[[#This Row],[QUANTITY]])</f>
        <v>0</v>
      </c>
      <c r="FM309" s="32">
        <f>IF(Bankingbook_SBV[[#This Row],[Quantity_edited]]=0,0,Bankingbook_SBV[[#This Row],[DURATION]])</f>
        <v>0</v>
      </c>
      <c r="FN309" s="32">
        <f>IF(Bankingbook_SBV[[#This Row],[Quantity_edited]]=0,0,Bankingbook_SBV[[#This Row],[Mod Dur]])</f>
        <v>0</v>
      </c>
      <c r="FO309" s="32">
        <f>IF(Bankingbook_SBV[[#This Row],[Quantity_edited]]=0,0,Bankingbook_SBV[[#This Row],[Cnvx.]])</f>
        <v>0</v>
      </c>
      <c r="FP309" s="32">
        <f>(Bankingbook_SBV[[#This Row],[MARKET_VALUE]]+Bankingbook_SBV[[#This Row],[Accr Int]]*Bankingbook_SBV[[#This Row],[Quantity_edited]])*(-Bankingbook_SBV[[#This Row],[Modified Duration]]*0.0001+0.5*Bankingbook_SBV[[#This Row],[Conv]]*(0.0001^2))</f>
        <v>0</v>
      </c>
      <c r="FQ309" s="32">
        <f>(Bankingbook_SBV[[#This Row],[MARKET_VALUE]]+Bankingbook_SBV[[#This Row],[Accr Int]]*Bankingbook_SBV[[#This Row],[Quantity_edited]])*(-Bankingbook_SBV[[#This Row],[Modified Duration]]*0.01+0.5*Bankingbook_SBV[[#This Row],[Conv]]*(0.01^2))</f>
        <v>0</v>
      </c>
    </row>
    <row r="310" spans="2:173" x14ac:dyDescent="0.3">
      <c r="B310" t="s">
        <v>166</v>
      </c>
      <c r="C310" t="s">
        <v>167</v>
      </c>
      <c r="D310" t="s">
        <v>496</v>
      </c>
      <c r="E310" t="s">
        <v>169</v>
      </c>
      <c r="F310" s="502">
        <v>44549</v>
      </c>
      <c r="G310" t="s">
        <v>3322</v>
      </c>
      <c r="H310"/>
      <c r="I310"/>
      <c r="J310" s="38">
        <v>0</v>
      </c>
      <c r="K310">
        <v>0</v>
      </c>
      <c r="L310">
        <v>0</v>
      </c>
      <c r="M310" s="38">
        <v>0</v>
      </c>
      <c r="N310">
        <v>5.0999999999999996</v>
      </c>
      <c r="O310">
        <v>0</v>
      </c>
      <c r="P310" s="37">
        <v>1938000000</v>
      </c>
      <c r="Q310" s="37">
        <v>1971103731.6666651</v>
      </c>
      <c r="R310" s="37">
        <v>-1813305972.5444498</v>
      </c>
      <c r="S310">
        <v>0</v>
      </c>
      <c r="T310" s="70">
        <v>0</v>
      </c>
      <c r="U310">
        <v>0</v>
      </c>
      <c r="V310">
        <v>0</v>
      </c>
      <c r="W310">
        <v>0</v>
      </c>
      <c r="X310" s="38">
        <v>0</v>
      </c>
      <c r="Y310">
        <v>0</v>
      </c>
      <c r="Z310" s="70">
        <v>3406240000</v>
      </c>
      <c r="AA310" s="70">
        <v>0</v>
      </c>
      <c r="AB310" s="70">
        <v>3406240000</v>
      </c>
      <c r="AC310" s="70">
        <v>3406240000</v>
      </c>
      <c r="AD310" s="70">
        <v>3406240000</v>
      </c>
      <c r="AE310" s="70">
        <v>3406240000</v>
      </c>
      <c r="AF310">
        <v>0</v>
      </c>
      <c r="AG310" s="72">
        <f>Tradingbook_MSB[[#This Row],[Mat. Date]]-RPT</f>
        <v>-1703</v>
      </c>
      <c r="AH310" s="71">
        <f>IF(Tradingbook_MSB[[#This Row],[Days]]&lt;=0,0,YEARFRAC(RPT,Tradingbook_MSB[[#This Row],[Mat. Date]],3))</f>
        <v>0</v>
      </c>
      <c r="AI310" s="71">
        <f>IF(Tradingbook_MSB[[#This Row],[Days (year)]]=0,0,INDEX(Ref!$K$2:$K$13,MATCH(Tradingbook_MSB[[#This Row],[Days (year)]],Ref!$I$2:$I$13,1)))</f>
        <v>0</v>
      </c>
      <c r="AJ310" s="120" t="str">
        <f>VLOOKUP(Tradingbook_MSB[[#This Row],[Security Name]],Ref!X:Z,3,0)</f>
        <v>TPCPBL</v>
      </c>
      <c r="AK310" s="120" t="str">
        <f>VLOOKUP(Tradingbook_MSB[[#This Row],[Security Name]],Ref!X:Y,2,0)</f>
        <v>VDB</v>
      </c>
      <c r="AL310" s="71">
        <f>IF((Tradingbook_MSB[[#This Row],[Mat. Date]]-RPT)&lt;=0,0,Tradingbook_MSB[[#This Row],[QUANTITY]])</f>
        <v>0</v>
      </c>
      <c r="AM310" s="71">
        <f>IF(Tradingbook_MSB[[#This Row],[Quantity_edited]]=0,0,Tradingbook_MSB[[#This Row],[DURATION]])</f>
        <v>0</v>
      </c>
      <c r="AN310" s="71">
        <f>IF(Tradingbook_MSB[[#This Row],[Quantity_edited]]=0,0,Tradingbook_MSB[[#This Row],[Mod Dur]])</f>
        <v>0</v>
      </c>
      <c r="AO310" s="71">
        <f>IF(Tradingbook_MSB[[#This Row],[Quantity_edited]]=0,0,Tradingbook_MSB[[#This Row],[Cnvx.]])</f>
        <v>0</v>
      </c>
      <c r="AP310" s="71">
        <f>(Tradingbook_MSB[[#This Row],[MARKET_VALUE]]+Tradingbook_MSB[[#This Row],[Accr Int]]*Tradingbook_MSB[[#This Row],[Quantity_edited]])*(-Tradingbook_MSB[[#This Row],[Modified Duration]]*0.0001+0.5*Tradingbook_MSB[[#This Row],[Conv]]*(0.0001^2))</f>
        <v>0</v>
      </c>
      <c r="AQ310" s="72">
        <f>(Tradingbook_MSB[[#This Row],[MARKET_VALUE]]+Tradingbook_MSB[[#This Row],[Accr Int]]*Tradingbook_MSB[[#This Row],[Quantity_edited]])*(-Tradingbook_MSB[[#This Row],[Modified Duration]]*0.01+0.5*Tradingbook_MSB[[#This Row],[Conv]]*(0.01^2))</f>
        <v>0</v>
      </c>
      <c r="AR310" s="71"/>
      <c r="CL310" t="s">
        <v>166</v>
      </c>
      <c r="CM310" t="s">
        <v>167</v>
      </c>
      <c r="CN310" t="s">
        <v>499</v>
      </c>
      <c r="CO310" t="s">
        <v>169</v>
      </c>
      <c r="CP310" s="35">
        <v>44600</v>
      </c>
      <c r="CQ310" t="s">
        <v>3322</v>
      </c>
      <c r="CR310" t="s">
        <v>174</v>
      </c>
      <c r="CS310" t="s">
        <v>174</v>
      </c>
      <c r="CT310" s="49">
        <v>0</v>
      </c>
      <c r="CU310">
        <v>0</v>
      </c>
      <c r="CV310">
        <v>0</v>
      </c>
      <c r="CW310" s="70">
        <v>0</v>
      </c>
      <c r="CX310">
        <v>5.4</v>
      </c>
      <c r="CY310">
        <v>0</v>
      </c>
      <c r="CZ310">
        <v>0</v>
      </c>
      <c r="DA310">
        <v>-1.5E-5</v>
      </c>
      <c r="DB310">
        <v>-1608964055.0999756</v>
      </c>
      <c r="DC310">
        <v>0</v>
      </c>
      <c r="DD310">
        <v>0</v>
      </c>
      <c r="DE310">
        <v>0</v>
      </c>
      <c r="DF310">
        <v>0</v>
      </c>
      <c r="DG310">
        <v>0</v>
      </c>
      <c r="DH310">
        <v>0</v>
      </c>
      <c r="DI310">
        <v>0</v>
      </c>
      <c r="DJ310" s="500">
        <v>-16700000</v>
      </c>
      <c r="DK310" s="500">
        <v>0</v>
      </c>
      <c r="DL310" s="37">
        <v>-16700000</v>
      </c>
      <c r="DM310" s="37">
        <v>-16700000</v>
      </c>
      <c r="DN310" s="37">
        <v>-16700000</v>
      </c>
      <c r="DO310" s="37">
        <v>-16700000</v>
      </c>
      <c r="DP310" s="32">
        <f>Tradingbook_SBV[[#This Row],[Mat. Date]]-RPT</f>
        <v>-1652</v>
      </c>
      <c r="DQ310" s="32">
        <f>IF(Tradingbook_SBV[[#This Row],[Days]]&lt;=0,0,YEARFRAC(RPT,Tradingbook_SBV[[#This Row],[Mat. Date]],3))</f>
        <v>0</v>
      </c>
      <c r="DR310" s="32">
        <f>IF(Tradingbook_SBV[[#This Row],[Days (year)]]=0,0,INDEX(Ref!$K$2:$K$13,MATCH(Tradingbook_SBV[[#This Row],[Days (year)]],Ref!$I$2:$I$13,1)))</f>
        <v>0</v>
      </c>
      <c r="DS310" s="32" t="str">
        <f>VLOOKUP(Tradingbook_SBV[[#This Row],[Security Name]],Ref!X:Z,3,0)</f>
        <v>TPCPBL</v>
      </c>
      <c r="DT310" s="32" t="str">
        <f>VLOOKUP(Tradingbook_SBV[[#This Row],[Security Name]],Ref!X:Y,2,0)</f>
        <v>VDB</v>
      </c>
      <c r="DU310" s="71">
        <f>IF((Tradingbook_SBV[[#This Row],[Mat. Date]]-RPT)&lt;=0,0,Tradingbook_SBV[[#This Row],[QUANTITY]])</f>
        <v>0</v>
      </c>
      <c r="DV310" s="71">
        <f>IF(Tradingbook_SBV[[#This Row],[Quantity_edited]]=0,0,Tradingbook_SBV[[#This Row],[DURATION]])</f>
        <v>0</v>
      </c>
      <c r="DW310" s="71">
        <f>IF(Tradingbook_SBV[[#This Row],[Quantity_edited]]=0,0,Tradingbook_SBV[[#This Row],[Mod Dur]])</f>
        <v>0</v>
      </c>
      <c r="DX310" s="71">
        <f>IF(Tradingbook_SBV[[#This Row],[Quantity_edited]]=0,0,Tradingbook_SBV[[#This Row],[Cnvx.]])</f>
        <v>0</v>
      </c>
      <c r="DY310" s="71">
        <f>(Tradingbook_SBV[[#This Row],[MARKET_VALUE]]+Tradingbook_SBV[[#This Row],[Accr Int]]*Tradingbook_SBV[[#This Row],[Quantity_edited]])*(-Tradingbook_SBV[[#This Row],[Modified Duration]]*0.0001+0.5*Tradingbook_SBV[[#This Row],[Conv]]*(0.0001^2))</f>
        <v>0</v>
      </c>
      <c r="DZ310" s="71">
        <f>(Tradingbook_SBV[[#This Row],[MARKET_VALUE]]+Tradingbook_SBV[[#This Row],[Accr Int]]*Tradingbook_SBV[[#This Row],[Quantity_edited]])*(-Tradingbook_SBV[[#This Row],[Modified Duration]]*0.01+0.5*Tradingbook_SBV[[#This Row],[Conv]]*(0.01^2))</f>
        <v>0</v>
      </c>
      <c r="EC310" t="s">
        <v>166</v>
      </c>
      <c r="ED310" t="s">
        <v>3302</v>
      </c>
      <c r="EE310" t="s">
        <v>692</v>
      </c>
      <c r="EF310" t="s">
        <v>169</v>
      </c>
      <c r="EG310" s="35" t="s">
        <v>3838</v>
      </c>
      <c r="EH310" t="s">
        <v>3322</v>
      </c>
      <c r="EI310" s="500">
        <v>88243</v>
      </c>
      <c r="EJ310" s="500">
        <v>88243</v>
      </c>
      <c r="EK310" s="500">
        <v>0</v>
      </c>
      <c r="EL310" s="500">
        <v>0</v>
      </c>
      <c r="EM310" s="500">
        <v>0</v>
      </c>
      <c r="EN310" s="500">
        <v>0</v>
      </c>
      <c r="EO310">
        <v>3.3</v>
      </c>
      <c r="EP310">
        <v>2532</v>
      </c>
      <c r="EQ310">
        <v>0</v>
      </c>
      <c r="ER310">
        <v>1.5E-5</v>
      </c>
      <c r="ES310">
        <v>-1083381784.8610935</v>
      </c>
      <c r="ET310">
        <v>4.9124111890000002</v>
      </c>
      <c r="EU310">
        <v>7.4361764521848999</v>
      </c>
      <c r="EV310">
        <v>7.8014720200000003</v>
      </c>
      <c r="EW310">
        <v>69.054952021216593</v>
      </c>
      <c r="EX310">
        <v>0</v>
      </c>
      <c r="EY310">
        <v>0</v>
      </c>
      <c r="EZ310">
        <v>0</v>
      </c>
      <c r="FA310">
        <v>-8667000000</v>
      </c>
      <c r="FB310">
        <v>0</v>
      </c>
      <c r="FC310">
        <v>-8667000000</v>
      </c>
      <c r="FD310">
        <v>-8667000000</v>
      </c>
      <c r="FE310">
        <v>-8667000000</v>
      </c>
      <c r="FF310">
        <v>-8667000000</v>
      </c>
      <c r="FG310" s="32">
        <f>Bankingbook_SBV[[#This Row],[Mat. Date]]-RPT</f>
        <v>3372</v>
      </c>
      <c r="FH310" s="32">
        <f>IF(Bankingbook_SBV[[#This Row],[Days]]&lt;=0,0,YEARFRAC(RPT,Bankingbook_SBV[[#This Row],[Mat. Date]],3))</f>
        <v>9.2383561643835623</v>
      </c>
      <c r="FI310" s="32" t="str">
        <f>IF(Bankingbook_SBV[[#This Row],[Days (year)]]=0,0,INDEX(Ref!$K$2:$K$13,MATCH(Bankingbook_SBV[[#This Row],[Days (year)]],Ref!$I$2:$I$13,1)))</f>
        <v>10Y</v>
      </c>
      <c r="FJ310" s="32" t="str">
        <f>VLOOKUP(Bankingbook_SBV[[#This Row],[Security Name]],Ref!X:Z,3,0)</f>
        <v>TPCPBL</v>
      </c>
      <c r="FK310" s="32" t="str">
        <f>VLOOKUP(Bankingbook_SBV[[#This Row],[Security Name]],Ref!X:Y,2,0)</f>
        <v>VDB</v>
      </c>
      <c r="FL310" s="72">
        <f>IF((Bankingbook_SBV[[#This Row],[Mat. Date]]-RPT)&lt;=0,0,Bankingbook_SBV[[#This Row],[QUANTITY]])</f>
        <v>0</v>
      </c>
      <c r="FM310" s="32">
        <f>IF(Bankingbook_SBV[[#This Row],[Quantity_edited]]=0,0,Bankingbook_SBV[[#This Row],[DURATION]])</f>
        <v>0</v>
      </c>
      <c r="FN310" s="32">
        <f>IF(Bankingbook_SBV[[#This Row],[Quantity_edited]]=0,0,Bankingbook_SBV[[#This Row],[Mod Dur]])</f>
        <v>0</v>
      </c>
      <c r="FO310" s="32">
        <f>IF(Bankingbook_SBV[[#This Row],[Quantity_edited]]=0,0,Bankingbook_SBV[[#This Row],[Cnvx.]])</f>
        <v>0</v>
      </c>
      <c r="FP310" s="32">
        <f>(Bankingbook_SBV[[#This Row],[MARKET_VALUE]]+Bankingbook_SBV[[#This Row],[Accr Int]]*Bankingbook_SBV[[#This Row],[Quantity_edited]])*(-Bankingbook_SBV[[#This Row],[Modified Duration]]*0.0001+0.5*Bankingbook_SBV[[#This Row],[Conv]]*(0.0001^2))</f>
        <v>0</v>
      </c>
      <c r="FQ310" s="32">
        <f>(Bankingbook_SBV[[#This Row],[MARKET_VALUE]]+Bankingbook_SBV[[#This Row],[Accr Int]]*Bankingbook_SBV[[#This Row],[Quantity_edited]])*(-Bankingbook_SBV[[#This Row],[Modified Duration]]*0.01+0.5*Bankingbook_SBV[[#This Row],[Conv]]*(0.01^2))</f>
        <v>0</v>
      </c>
    </row>
    <row r="311" spans="2:173" x14ac:dyDescent="0.3">
      <c r="B311" t="s">
        <v>166</v>
      </c>
      <c r="C311" t="s">
        <v>167</v>
      </c>
      <c r="D311" t="s">
        <v>497</v>
      </c>
      <c r="E311" t="s">
        <v>169</v>
      </c>
      <c r="F311" s="502">
        <v>44556</v>
      </c>
      <c r="G311" t="s">
        <v>3322</v>
      </c>
      <c r="H311"/>
      <c r="I311"/>
      <c r="J311" s="38">
        <v>0</v>
      </c>
      <c r="K311">
        <v>0</v>
      </c>
      <c r="L311">
        <v>0</v>
      </c>
      <c r="M311" s="38">
        <v>0</v>
      </c>
      <c r="N311">
        <v>5</v>
      </c>
      <c r="O311">
        <v>0</v>
      </c>
      <c r="P311" s="37">
        <v>2350000000</v>
      </c>
      <c r="Q311" s="37">
        <v>2389416680.5555568</v>
      </c>
      <c r="R311" s="37">
        <v>-1926190631.3833406</v>
      </c>
      <c r="S311">
        <v>0</v>
      </c>
      <c r="T311" s="70">
        <v>0</v>
      </c>
      <c r="U311">
        <v>0</v>
      </c>
      <c r="V311">
        <v>0</v>
      </c>
      <c r="W311">
        <v>0</v>
      </c>
      <c r="X311" s="38">
        <v>0</v>
      </c>
      <c r="Y311">
        <v>0</v>
      </c>
      <c r="Z311" s="70">
        <v>1972690000</v>
      </c>
      <c r="AA311" s="70">
        <v>0</v>
      </c>
      <c r="AB311" s="70">
        <v>1972690000</v>
      </c>
      <c r="AC311" s="70">
        <v>1972690000</v>
      </c>
      <c r="AD311" s="70">
        <v>1972690000</v>
      </c>
      <c r="AE311" s="70">
        <v>1972690000</v>
      </c>
      <c r="AF311">
        <v>0</v>
      </c>
      <c r="AG311" s="72">
        <f>Tradingbook_MSB[[#This Row],[Mat. Date]]-RPT</f>
        <v>-1696</v>
      </c>
      <c r="AH311" s="71">
        <f>IF(Tradingbook_MSB[[#This Row],[Days]]&lt;=0,0,YEARFRAC(RPT,Tradingbook_MSB[[#This Row],[Mat. Date]],3))</f>
        <v>0</v>
      </c>
      <c r="AI311" s="71">
        <f>IF(Tradingbook_MSB[[#This Row],[Days (year)]]=0,0,INDEX(Ref!$K$2:$K$13,MATCH(Tradingbook_MSB[[#This Row],[Days (year)]],Ref!$I$2:$I$13,1)))</f>
        <v>0</v>
      </c>
      <c r="AJ311" s="120" t="str">
        <f>VLOOKUP(Tradingbook_MSB[[#This Row],[Security Name]],Ref!X:Z,3,0)</f>
        <v>TPCPBL</v>
      </c>
      <c r="AK311" s="120" t="str">
        <f>VLOOKUP(Tradingbook_MSB[[#This Row],[Security Name]],Ref!X:Y,2,0)</f>
        <v>VDB</v>
      </c>
      <c r="AL311" s="71">
        <f>IF((Tradingbook_MSB[[#This Row],[Mat. Date]]-RPT)&lt;=0,0,Tradingbook_MSB[[#This Row],[QUANTITY]])</f>
        <v>0</v>
      </c>
      <c r="AM311" s="71">
        <f>IF(Tradingbook_MSB[[#This Row],[Quantity_edited]]=0,0,Tradingbook_MSB[[#This Row],[DURATION]])</f>
        <v>0</v>
      </c>
      <c r="AN311" s="71">
        <f>IF(Tradingbook_MSB[[#This Row],[Quantity_edited]]=0,0,Tradingbook_MSB[[#This Row],[Mod Dur]])</f>
        <v>0</v>
      </c>
      <c r="AO311" s="71">
        <f>IF(Tradingbook_MSB[[#This Row],[Quantity_edited]]=0,0,Tradingbook_MSB[[#This Row],[Cnvx.]])</f>
        <v>0</v>
      </c>
      <c r="AP311" s="71">
        <f>(Tradingbook_MSB[[#This Row],[MARKET_VALUE]]+Tradingbook_MSB[[#This Row],[Accr Int]]*Tradingbook_MSB[[#This Row],[Quantity_edited]])*(-Tradingbook_MSB[[#This Row],[Modified Duration]]*0.0001+0.5*Tradingbook_MSB[[#This Row],[Conv]]*(0.0001^2))</f>
        <v>0</v>
      </c>
      <c r="AQ311" s="72">
        <f>(Tradingbook_MSB[[#This Row],[MARKET_VALUE]]+Tradingbook_MSB[[#This Row],[Accr Int]]*Tradingbook_MSB[[#This Row],[Quantity_edited]])*(-Tradingbook_MSB[[#This Row],[Modified Duration]]*0.01+0.5*Tradingbook_MSB[[#This Row],[Conv]]*(0.01^2))</f>
        <v>0</v>
      </c>
      <c r="AR311" s="71"/>
      <c r="CL311" t="s">
        <v>166</v>
      </c>
      <c r="CM311" t="s">
        <v>167</v>
      </c>
      <c r="CN311" t="s">
        <v>500</v>
      </c>
      <c r="CO311" t="s">
        <v>169</v>
      </c>
      <c r="CP311" s="35">
        <v>44604</v>
      </c>
      <c r="CQ311" t="s">
        <v>3322</v>
      </c>
      <c r="CR311" t="s">
        <v>174</v>
      </c>
      <c r="CS311" t="s">
        <v>174</v>
      </c>
      <c r="CT311" s="49">
        <v>0</v>
      </c>
      <c r="CU311">
        <v>0</v>
      </c>
      <c r="CV311">
        <v>0</v>
      </c>
      <c r="CW311" s="70">
        <v>0</v>
      </c>
      <c r="CX311">
        <v>8.8000000000000007</v>
      </c>
      <c r="CY311">
        <v>0</v>
      </c>
      <c r="CZ311">
        <v>0</v>
      </c>
      <c r="DA311">
        <v>0</v>
      </c>
      <c r="DB311">
        <v>-66381546.666666031</v>
      </c>
      <c r="DC311">
        <v>0</v>
      </c>
      <c r="DD311">
        <v>0</v>
      </c>
      <c r="DE311">
        <v>0</v>
      </c>
      <c r="DF311">
        <v>0</v>
      </c>
      <c r="DG311">
        <v>0</v>
      </c>
      <c r="DH311">
        <v>0</v>
      </c>
      <c r="DI311">
        <v>0</v>
      </c>
      <c r="DJ311" s="500">
        <v>-811000000</v>
      </c>
      <c r="DK311" s="500">
        <v>0</v>
      </c>
      <c r="DL311" s="37">
        <v>-811000000</v>
      </c>
      <c r="DM311" s="37">
        <v>-811000000</v>
      </c>
      <c r="DN311" s="37">
        <v>-811000000</v>
      </c>
      <c r="DO311" s="37">
        <v>-811000000</v>
      </c>
      <c r="DP311" s="32">
        <f>Tradingbook_SBV[[#This Row],[Mat. Date]]-RPT</f>
        <v>-1648</v>
      </c>
      <c r="DQ311" s="32">
        <f>IF(Tradingbook_SBV[[#This Row],[Days]]&lt;=0,0,YEARFRAC(RPT,Tradingbook_SBV[[#This Row],[Mat. Date]],3))</f>
        <v>0</v>
      </c>
      <c r="DR311" s="32">
        <f>IF(Tradingbook_SBV[[#This Row],[Days (year)]]=0,0,INDEX(Ref!$K$2:$K$13,MATCH(Tradingbook_SBV[[#This Row],[Days (year)]],Ref!$I$2:$I$13,1)))</f>
        <v>0</v>
      </c>
      <c r="DS311" s="32" t="str">
        <f>VLOOKUP(Tradingbook_SBV[[#This Row],[Security Name]],Ref!X:Z,3,0)</f>
        <v>TPCP</v>
      </c>
      <c r="DT311" s="32" t="str">
        <f>VLOOKUP(Tradingbook_SBV[[#This Row],[Security Name]],Ref!X:Y,2,0)</f>
        <v>VDB</v>
      </c>
      <c r="DU311" s="71">
        <f>IF((Tradingbook_SBV[[#This Row],[Mat. Date]]-RPT)&lt;=0,0,Tradingbook_SBV[[#This Row],[QUANTITY]])</f>
        <v>0</v>
      </c>
      <c r="DV311" s="71">
        <f>IF(Tradingbook_SBV[[#This Row],[Quantity_edited]]=0,0,Tradingbook_SBV[[#This Row],[DURATION]])</f>
        <v>0</v>
      </c>
      <c r="DW311" s="71">
        <f>IF(Tradingbook_SBV[[#This Row],[Quantity_edited]]=0,0,Tradingbook_SBV[[#This Row],[Mod Dur]])</f>
        <v>0</v>
      </c>
      <c r="DX311" s="71">
        <f>IF(Tradingbook_SBV[[#This Row],[Quantity_edited]]=0,0,Tradingbook_SBV[[#This Row],[Cnvx.]])</f>
        <v>0</v>
      </c>
      <c r="DY311" s="71">
        <f>(Tradingbook_SBV[[#This Row],[MARKET_VALUE]]+Tradingbook_SBV[[#This Row],[Accr Int]]*Tradingbook_SBV[[#This Row],[Quantity_edited]])*(-Tradingbook_SBV[[#This Row],[Modified Duration]]*0.0001+0.5*Tradingbook_SBV[[#This Row],[Conv]]*(0.0001^2))</f>
        <v>0</v>
      </c>
      <c r="DZ311" s="71">
        <f>(Tradingbook_SBV[[#This Row],[MARKET_VALUE]]+Tradingbook_SBV[[#This Row],[Accr Int]]*Tradingbook_SBV[[#This Row],[Quantity_edited]])*(-Tradingbook_SBV[[#This Row],[Modified Duration]]*0.01+0.5*Tradingbook_SBV[[#This Row],[Conv]]*(0.01^2))</f>
        <v>0</v>
      </c>
      <c r="EC311" t="s">
        <v>166</v>
      </c>
      <c r="ED311" t="s">
        <v>3302</v>
      </c>
      <c r="EE311" t="s">
        <v>693</v>
      </c>
      <c r="EF311" t="s">
        <v>169</v>
      </c>
      <c r="EG311" s="35" t="s">
        <v>694</v>
      </c>
      <c r="EH311" t="s">
        <v>170</v>
      </c>
      <c r="EI311" s="500">
        <v>87170</v>
      </c>
      <c r="EJ311" s="500">
        <v>87170</v>
      </c>
      <c r="EK311" s="500">
        <v>500000</v>
      </c>
      <c r="EL311" s="500">
        <v>50000000000</v>
      </c>
      <c r="EM311" s="500">
        <v>100042.89</v>
      </c>
      <c r="EN311" s="500">
        <v>43585000000</v>
      </c>
      <c r="EO311">
        <v>2.7</v>
      </c>
      <c r="EP311">
        <v>1960</v>
      </c>
      <c r="EQ311">
        <v>5400000000</v>
      </c>
      <c r="ER311">
        <v>5802658124.999979</v>
      </c>
      <c r="ES311">
        <v>-17338191084.069183</v>
      </c>
      <c r="ET311">
        <v>4.4142682549999996</v>
      </c>
      <c r="EU311">
        <v>7.7269324025234001</v>
      </c>
      <c r="EV311">
        <v>8.0680199300000002</v>
      </c>
      <c r="EW311">
        <v>73.004355580913696</v>
      </c>
      <c r="EX311">
        <v>32534.391064634201</v>
      </c>
      <c r="EY311">
        <v>-34435.074251846003</v>
      </c>
      <c r="EZ311">
        <v>5274.384</v>
      </c>
      <c r="FA311">
        <v>-47201685048.425446</v>
      </c>
      <c r="FB311">
        <v>-6436444951.5751982</v>
      </c>
      <c r="FC311">
        <v>-53638130000.000641</v>
      </c>
      <c r="FD311">
        <v>-53638130000.000641</v>
      </c>
      <c r="FE311">
        <v>-53638130000.000999</v>
      </c>
      <c r="FF311">
        <v>-53638130000.000641</v>
      </c>
      <c r="FG311" s="32">
        <f>Bankingbook_SBV[[#This Row],[Mat. Date]]-RPT</f>
        <v>3387</v>
      </c>
      <c r="FH311" s="32">
        <f>IF(Bankingbook_SBV[[#This Row],[Days]]&lt;=0,0,YEARFRAC(RPT,Bankingbook_SBV[[#This Row],[Mat. Date]],3))</f>
        <v>9.2794520547945201</v>
      </c>
      <c r="FI311" s="32" t="str">
        <f>IF(Bankingbook_SBV[[#This Row],[Days (year)]]=0,0,INDEX(Ref!$K$2:$K$13,MATCH(Bankingbook_SBV[[#This Row],[Days (year)]],Ref!$I$2:$I$13,1)))</f>
        <v>10Y</v>
      </c>
      <c r="FJ311" s="32" t="str">
        <f>VLOOKUP(Bankingbook_SBV[[#This Row],[Security Name]],Ref!X:Z,3,0)</f>
        <v>TPCP</v>
      </c>
      <c r="FK311" s="32" t="str">
        <f>VLOOKUP(Bankingbook_SBV[[#This Row],[Security Name]],Ref!X:Y,2,0)</f>
        <v>KBNN</v>
      </c>
      <c r="FL311" s="72">
        <f>IF((Bankingbook_SBV[[#This Row],[Mat. Date]]-RPT)&lt;=0,0,Bankingbook_SBV[[#This Row],[QUANTITY]])</f>
        <v>500000</v>
      </c>
      <c r="FM311" s="32">
        <f>IF(Bankingbook_SBV[[#This Row],[Quantity_edited]]=0,0,Bankingbook_SBV[[#This Row],[DURATION]])</f>
        <v>8.0680199300000002</v>
      </c>
      <c r="FN311" s="32">
        <f>IF(Bankingbook_SBV[[#This Row],[Quantity_edited]]=0,0,Bankingbook_SBV[[#This Row],[Mod Dur]])</f>
        <v>7.7269324025234001</v>
      </c>
      <c r="FO311" s="32">
        <f>IF(Bankingbook_SBV[[#This Row],[Quantity_edited]]=0,0,Bankingbook_SBV[[#This Row],[Cnvx.]])</f>
        <v>73.004355580913696</v>
      </c>
      <c r="FP311" s="32">
        <f>(Bankingbook_SBV[[#This Row],[MARKET_VALUE]]+Bankingbook_SBV[[#This Row],[Accr Int]]*Bankingbook_SBV[[#This Row],[Quantity_edited]])*(-Bankingbook_SBV[[#This Row],[Modified Duration]]*0.0001+0.5*Bankingbook_SBV[[#This Row],[Conv]]*(0.0001^2))</f>
        <v>-34418807.056313217</v>
      </c>
      <c r="FQ311" s="32">
        <f>(Bankingbook_SBV[[#This Row],[MARKET_VALUE]]+Bankingbook_SBV[[#This Row],[Accr Int]]*Bankingbook_SBV[[#This Row],[Quantity_edited]])*(-Bankingbook_SBV[[#This Row],[Modified Duration]]*0.01+0.5*Bankingbook_SBV[[#This Row],[Conv]]*(0.01^2))</f>
        <v>-3280835469.861382</v>
      </c>
    </row>
    <row r="312" spans="2:173" x14ac:dyDescent="0.3">
      <c r="B312" t="s">
        <v>166</v>
      </c>
      <c r="C312" t="s">
        <v>167</v>
      </c>
      <c r="D312" t="s">
        <v>498</v>
      </c>
      <c r="E312" t="s">
        <v>169</v>
      </c>
      <c r="F312" s="502">
        <v>44573</v>
      </c>
      <c r="G312" t="s">
        <v>3322</v>
      </c>
      <c r="H312"/>
      <c r="I312"/>
      <c r="J312" s="38">
        <v>0</v>
      </c>
      <c r="K312">
        <v>0</v>
      </c>
      <c r="L312">
        <v>0</v>
      </c>
      <c r="M312" s="38">
        <v>0</v>
      </c>
      <c r="N312">
        <v>5.2</v>
      </c>
      <c r="O312">
        <v>0</v>
      </c>
      <c r="P312" s="37">
        <v>26000000000</v>
      </c>
      <c r="Q312" s="37">
        <v>27939820277.778076</v>
      </c>
      <c r="R312" s="37">
        <v>-21399029312.986412</v>
      </c>
      <c r="S312">
        <v>0</v>
      </c>
      <c r="T312" s="70">
        <v>0</v>
      </c>
      <c r="U312">
        <v>0</v>
      </c>
      <c r="V312">
        <v>0</v>
      </c>
      <c r="W312">
        <v>0</v>
      </c>
      <c r="X312" s="38">
        <v>0</v>
      </c>
      <c r="Y312">
        <v>0</v>
      </c>
      <c r="Z312" s="70">
        <v>16738500000</v>
      </c>
      <c r="AA312" s="70">
        <v>0</v>
      </c>
      <c r="AB312" s="70">
        <v>16738500000</v>
      </c>
      <c r="AC312" s="70">
        <v>16738500000</v>
      </c>
      <c r="AD312" s="70">
        <v>16738500000</v>
      </c>
      <c r="AE312" s="70">
        <v>16738500000</v>
      </c>
      <c r="AF312">
        <v>0</v>
      </c>
      <c r="AG312" s="72">
        <f>Tradingbook_MSB[[#This Row],[Mat. Date]]-RPT</f>
        <v>-1679</v>
      </c>
      <c r="AH312" s="71">
        <f>IF(Tradingbook_MSB[[#This Row],[Days]]&lt;=0,0,YEARFRAC(RPT,Tradingbook_MSB[[#This Row],[Mat. Date]],3))</f>
        <v>0</v>
      </c>
      <c r="AI312" s="71">
        <f>IF(Tradingbook_MSB[[#This Row],[Days (year)]]=0,0,INDEX(Ref!$K$2:$K$13,MATCH(Tradingbook_MSB[[#This Row],[Days (year)]],Ref!$I$2:$I$13,1)))</f>
        <v>0</v>
      </c>
      <c r="AJ312" s="120" t="str">
        <f>VLOOKUP(Tradingbook_MSB[[#This Row],[Security Name]],Ref!X:Z,3,0)</f>
        <v>TPCP</v>
      </c>
      <c r="AK312" s="120" t="str">
        <f>VLOOKUP(Tradingbook_MSB[[#This Row],[Security Name]],Ref!X:Y,2,0)</f>
        <v>KBNN</v>
      </c>
      <c r="AL312" s="71">
        <f>IF((Tradingbook_MSB[[#This Row],[Mat. Date]]-RPT)&lt;=0,0,Tradingbook_MSB[[#This Row],[QUANTITY]])</f>
        <v>0</v>
      </c>
      <c r="AM312" s="71">
        <f>IF(Tradingbook_MSB[[#This Row],[Quantity_edited]]=0,0,Tradingbook_MSB[[#This Row],[DURATION]])</f>
        <v>0</v>
      </c>
      <c r="AN312" s="71">
        <f>IF(Tradingbook_MSB[[#This Row],[Quantity_edited]]=0,0,Tradingbook_MSB[[#This Row],[Mod Dur]])</f>
        <v>0</v>
      </c>
      <c r="AO312" s="71">
        <f>IF(Tradingbook_MSB[[#This Row],[Quantity_edited]]=0,0,Tradingbook_MSB[[#This Row],[Cnvx.]])</f>
        <v>0</v>
      </c>
      <c r="AP312" s="71">
        <f>(Tradingbook_MSB[[#This Row],[MARKET_VALUE]]+Tradingbook_MSB[[#This Row],[Accr Int]]*Tradingbook_MSB[[#This Row],[Quantity_edited]])*(-Tradingbook_MSB[[#This Row],[Modified Duration]]*0.0001+0.5*Tradingbook_MSB[[#This Row],[Conv]]*(0.0001^2))</f>
        <v>0</v>
      </c>
      <c r="AQ312" s="72">
        <f>(Tradingbook_MSB[[#This Row],[MARKET_VALUE]]+Tradingbook_MSB[[#This Row],[Accr Int]]*Tradingbook_MSB[[#This Row],[Quantity_edited]])*(-Tradingbook_MSB[[#This Row],[Modified Duration]]*0.01+0.5*Tradingbook_MSB[[#This Row],[Conv]]*(0.01^2))</f>
        <v>0</v>
      </c>
      <c r="AR312" s="71"/>
      <c r="CL312" t="s">
        <v>166</v>
      </c>
      <c r="CM312" t="s">
        <v>167</v>
      </c>
      <c r="CN312" t="s">
        <v>501</v>
      </c>
      <c r="CO312" t="s">
        <v>169</v>
      </c>
      <c r="CP312" s="35">
        <v>44606</v>
      </c>
      <c r="CQ312" t="s">
        <v>3322</v>
      </c>
      <c r="CR312" t="s">
        <v>174</v>
      </c>
      <c r="CS312" t="s">
        <v>174</v>
      </c>
      <c r="CT312" s="49">
        <v>0</v>
      </c>
      <c r="CU312">
        <v>0</v>
      </c>
      <c r="CV312">
        <v>0</v>
      </c>
      <c r="CW312" s="70">
        <v>0</v>
      </c>
      <c r="CX312">
        <v>5.3</v>
      </c>
      <c r="CY312">
        <v>0</v>
      </c>
      <c r="CZ312">
        <v>0</v>
      </c>
      <c r="DA312">
        <v>0</v>
      </c>
      <c r="DB312">
        <v>0</v>
      </c>
      <c r="DC312">
        <v>0</v>
      </c>
      <c r="DD312">
        <v>0</v>
      </c>
      <c r="DE312">
        <v>0</v>
      </c>
      <c r="DF312">
        <v>0</v>
      </c>
      <c r="DG312">
        <v>0</v>
      </c>
      <c r="DH312">
        <v>0</v>
      </c>
      <c r="DI312">
        <v>0</v>
      </c>
      <c r="DJ312" s="500">
        <v>0</v>
      </c>
      <c r="DK312" s="500">
        <v>0</v>
      </c>
      <c r="DL312" s="37">
        <v>0</v>
      </c>
      <c r="DM312" s="37">
        <v>0</v>
      </c>
      <c r="DN312" s="37">
        <v>0</v>
      </c>
      <c r="DO312" s="37">
        <v>0</v>
      </c>
      <c r="DP312" s="32">
        <f>Tradingbook_SBV[[#This Row],[Mat. Date]]-RPT</f>
        <v>-1646</v>
      </c>
      <c r="DQ312" s="32">
        <f>IF(Tradingbook_SBV[[#This Row],[Days]]&lt;=0,0,YEARFRAC(RPT,Tradingbook_SBV[[#This Row],[Mat. Date]],3))</f>
        <v>0</v>
      </c>
      <c r="DR312" s="32">
        <f>IF(Tradingbook_SBV[[#This Row],[Days (year)]]=0,0,INDEX(Ref!$K$2:$K$13,MATCH(Tradingbook_SBV[[#This Row],[Days (year)]],Ref!$I$2:$I$13,1)))</f>
        <v>0</v>
      </c>
      <c r="DS312" s="32" t="str">
        <f>VLOOKUP(Tradingbook_SBV[[#This Row],[Security Name]],Ref!X:Z,3,0)</f>
        <v>TPCPBL</v>
      </c>
      <c r="DT312" s="32" t="str">
        <f>VLOOKUP(Tradingbook_SBV[[#This Row],[Security Name]],Ref!X:Y,2,0)</f>
        <v>VDB</v>
      </c>
      <c r="DU312" s="71">
        <f>IF((Tradingbook_SBV[[#This Row],[Mat. Date]]-RPT)&lt;=0,0,Tradingbook_SBV[[#This Row],[QUANTITY]])</f>
        <v>0</v>
      </c>
      <c r="DV312" s="71">
        <f>IF(Tradingbook_SBV[[#This Row],[Quantity_edited]]=0,0,Tradingbook_SBV[[#This Row],[DURATION]])</f>
        <v>0</v>
      </c>
      <c r="DW312" s="71">
        <f>IF(Tradingbook_SBV[[#This Row],[Quantity_edited]]=0,0,Tradingbook_SBV[[#This Row],[Mod Dur]])</f>
        <v>0</v>
      </c>
      <c r="DX312" s="71">
        <f>IF(Tradingbook_SBV[[#This Row],[Quantity_edited]]=0,0,Tradingbook_SBV[[#This Row],[Cnvx.]])</f>
        <v>0</v>
      </c>
      <c r="DY312" s="71">
        <f>(Tradingbook_SBV[[#This Row],[MARKET_VALUE]]+Tradingbook_SBV[[#This Row],[Accr Int]]*Tradingbook_SBV[[#This Row],[Quantity_edited]])*(-Tradingbook_SBV[[#This Row],[Modified Duration]]*0.0001+0.5*Tradingbook_SBV[[#This Row],[Conv]]*(0.0001^2))</f>
        <v>0</v>
      </c>
      <c r="DZ312" s="71">
        <f>(Tradingbook_SBV[[#This Row],[MARKET_VALUE]]+Tradingbook_SBV[[#This Row],[Accr Int]]*Tradingbook_SBV[[#This Row],[Quantity_edited]])*(-Tradingbook_SBV[[#This Row],[Modified Duration]]*0.01+0.5*Tradingbook_SBV[[#This Row],[Conv]]*(0.01^2))</f>
        <v>0</v>
      </c>
      <c r="EC312" t="s">
        <v>166</v>
      </c>
      <c r="ED312" t="s">
        <v>3302</v>
      </c>
      <c r="EE312" t="s">
        <v>695</v>
      </c>
      <c r="EF312" t="s">
        <v>169</v>
      </c>
      <c r="EG312" s="35" t="s">
        <v>696</v>
      </c>
      <c r="EH312" t="s">
        <v>170</v>
      </c>
      <c r="EI312" s="500">
        <v>85262</v>
      </c>
      <c r="EJ312" s="500">
        <v>85262</v>
      </c>
      <c r="EK312" s="500">
        <v>1000000</v>
      </c>
      <c r="EL312" s="500">
        <v>100000000000</v>
      </c>
      <c r="EM312" s="500">
        <v>99782.667000000001</v>
      </c>
      <c r="EN312" s="500">
        <v>85262000000</v>
      </c>
      <c r="EO312">
        <v>2.9</v>
      </c>
      <c r="EP312">
        <v>2098</v>
      </c>
      <c r="EQ312">
        <v>14500000000</v>
      </c>
      <c r="ER312">
        <v>15979814683.333303</v>
      </c>
      <c r="ES312">
        <v>-16051815898.33312</v>
      </c>
      <c r="ET312">
        <v>4.9143728690000001</v>
      </c>
      <c r="EU312">
        <v>7.5990060252990004</v>
      </c>
      <c r="EV312">
        <v>7.9724495199999996</v>
      </c>
      <c r="EW312">
        <v>71.216251050702198</v>
      </c>
      <c r="EX312">
        <v>62214.516917893401</v>
      </c>
      <c r="EY312">
        <v>-66384.916637011993</v>
      </c>
      <c r="EZ312">
        <v>11483.05</v>
      </c>
      <c r="FA312">
        <v>23666666.666656964</v>
      </c>
      <c r="FB312">
        <v>-14520666666.666672</v>
      </c>
      <c r="FC312">
        <v>-14497000000.000015</v>
      </c>
      <c r="FD312">
        <v>-14497000000.000015</v>
      </c>
      <c r="FE312">
        <v>-14497000000</v>
      </c>
      <c r="FF312">
        <v>-14497000000.000015</v>
      </c>
      <c r="FG312" s="32">
        <f>Bankingbook_SBV[[#This Row],[Mat. Date]]-RPT</f>
        <v>3388</v>
      </c>
      <c r="FH312" s="32">
        <f>IF(Bankingbook_SBV[[#This Row],[Days]]&lt;=0,0,YEARFRAC(RPT,Bankingbook_SBV[[#This Row],[Mat. Date]],3))</f>
        <v>9.2821917808219183</v>
      </c>
      <c r="FI312" s="32" t="str">
        <f>IF(Bankingbook_SBV[[#This Row],[Days (year)]]=0,0,INDEX(Ref!$K$2:$K$13,MATCH(Bankingbook_SBV[[#This Row],[Days (year)]],Ref!$I$2:$I$13,1)))</f>
        <v>10Y</v>
      </c>
      <c r="FJ312" s="32" t="str">
        <f>VLOOKUP(Bankingbook_SBV[[#This Row],[Security Name]],Ref!X:Z,3,0)</f>
        <v>TPCPBL</v>
      </c>
      <c r="FK312" s="32" t="str">
        <f>VLOOKUP(Bankingbook_SBV[[#This Row],[Security Name]],Ref!X:Y,2,0)</f>
        <v>VBS</v>
      </c>
      <c r="FL312" s="72">
        <f>IF((Bankingbook_SBV[[#This Row],[Mat. Date]]-RPT)&lt;=0,0,Bankingbook_SBV[[#This Row],[QUANTITY]])</f>
        <v>1000000</v>
      </c>
      <c r="FM312" s="32">
        <f>IF(Bankingbook_SBV[[#This Row],[Quantity_edited]]=0,0,Bankingbook_SBV[[#This Row],[DURATION]])</f>
        <v>7.9724495199999996</v>
      </c>
      <c r="FN312" s="32">
        <f>IF(Bankingbook_SBV[[#This Row],[Quantity_edited]]=0,0,Bankingbook_SBV[[#This Row],[Mod Dur]])</f>
        <v>7.5990060252990004</v>
      </c>
      <c r="FO312" s="32">
        <f>IF(Bankingbook_SBV[[#This Row],[Quantity_edited]]=0,0,Bankingbook_SBV[[#This Row],[Cnvx.]])</f>
        <v>71.216251050702198</v>
      </c>
      <c r="FP312" s="32">
        <f>(Bankingbook_SBV[[#This Row],[MARKET_VALUE]]+Bankingbook_SBV[[#This Row],[Accr Int]]*Bankingbook_SBV[[#This Row],[Quantity_edited]])*(-Bankingbook_SBV[[#This Row],[Modified Duration]]*0.0001+0.5*Bankingbook_SBV[[#This Row],[Conv]]*(0.0001^2))</f>
        <v>-66353809.37855313</v>
      </c>
      <c r="FQ312" s="32">
        <f>(Bankingbook_SBV[[#This Row],[MARKET_VALUE]]+Bankingbook_SBV[[#This Row],[Accr Int]]*Bankingbook_SBV[[#This Row],[Quantity_edited]])*(-Bankingbook_SBV[[#This Row],[Modified Duration]]*0.01+0.5*Bankingbook_SBV[[#This Row],[Conv]]*(0.01^2))</f>
        <v>-6327419079.1117392</v>
      </c>
    </row>
    <row r="313" spans="2:173" x14ac:dyDescent="0.3">
      <c r="B313" t="s">
        <v>166</v>
      </c>
      <c r="C313" t="s">
        <v>167</v>
      </c>
      <c r="D313" t="s">
        <v>499</v>
      </c>
      <c r="E313" t="s">
        <v>169</v>
      </c>
      <c r="F313" s="502">
        <v>44600</v>
      </c>
      <c r="G313" t="s">
        <v>3322</v>
      </c>
      <c r="H313"/>
      <c r="I313"/>
      <c r="J313" s="38">
        <v>0</v>
      </c>
      <c r="K313">
        <v>0</v>
      </c>
      <c r="L313">
        <v>0</v>
      </c>
      <c r="M313" s="38">
        <v>0</v>
      </c>
      <c r="N313">
        <v>5.4</v>
      </c>
      <c r="O313">
        <v>0</v>
      </c>
      <c r="P313" s="37">
        <v>0</v>
      </c>
      <c r="Q313" s="37">
        <v>-1.5E-5</v>
      </c>
      <c r="R313" s="37">
        <v>-1611950114.961087</v>
      </c>
      <c r="S313">
        <v>0</v>
      </c>
      <c r="T313" s="70">
        <v>0</v>
      </c>
      <c r="U313">
        <v>0</v>
      </c>
      <c r="V313">
        <v>0</v>
      </c>
      <c r="W313">
        <v>0</v>
      </c>
      <c r="X313" s="38">
        <v>0</v>
      </c>
      <c r="Y313">
        <v>0</v>
      </c>
      <c r="Z313" s="70">
        <v>32300000</v>
      </c>
      <c r="AA313" s="70">
        <v>0</v>
      </c>
      <c r="AB313" s="70">
        <v>32300000</v>
      </c>
      <c r="AC313" s="70">
        <v>32300000</v>
      </c>
      <c r="AD313" s="70">
        <v>32300000</v>
      </c>
      <c r="AE313" s="70">
        <v>32300000</v>
      </c>
      <c r="AF313">
        <v>0</v>
      </c>
      <c r="AG313" s="72">
        <f>Tradingbook_MSB[[#This Row],[Mat. Date]]-RPT</f>
        <v>-1652</v>
      </c>
      <c r="AH313" s="71">
        <f>IF(Tradingbook_MSB[[#This Row],[Days]]&lt;=0,0,YEARFRAC(RPT,Tradingbook_MSB[[#This Row],[Mat. Date]],3))</f>
        <v>0</v>
      </c>
      <c r="AI313" s="71">
        <f>IF(Tradingbook_MSB[[#This Row],[Days (year)]]=0,0,INDEX(Ref!$K$2:$K$13,MATCH(Tradingbook_MSB[[#This Row],[Days (year)]],Ref!$I$2:$I$13,1)))</f>
        <v>0</v>
      </c>
      <c r="AJ313" s="120" t="str">
        <f>VLOOKUP(Tradingbook_MSB[[#This Row],[Security Name]],Ref!X:Z,3,0)</f>
        <v>TPCPBL</v>
      </c>
      <c r="AK313" s="120" t="str">
        <f>VLOOKUP(Tradingbook_MSB[[#This Row],[Security Name]],Ref!X:Y,2,0)</f>
        <v>VDB</v>
      </c>
      <c r="AL313" s="71">
        <f>IF((Tradingbook_MSB[[#This Row],[Mat. Date]]-RPT)&lt;=0,0,Tradingbook_MSB[[#This Row],[QUANTITY]])</f>
        <v>0</v>
      </c>
      <c r="AM313" s="71">
        <f>IF(Tradingbook_MSB[[#This Row],[Quantity_edited]]=0,0,Tradingbook_MSB[[#This Row],[DURATION]])</f>
        <v>0</v>
      </c>
      <c r="AN313" s="71">
        <f>IF(Tradingbook_MSB[[#This Row],[Quantity_edited]]=0,0,Tradingbook_MSB[[#This Row],[Mod Dur]])</f>
        <v>0</v>
      </c>
      <c r="AO313" s="71">
        <f>IF(Tradingbook_MSB[[#This Row],[Quantity_edited]]=0,0,Tradingbook_MSB[[#This Row],[Cnvx.]])</f>
        <v>0</v>
      </c>
      <c r="AP313" s="71">
        <f>(Tradingbook_MSB[[#This Row],[MARKET_VALUE]]+Tradingbook_MSB[[#This Row],[Accr Int]]*Tradingbook_MSB[[#This Row],[Quantity_edited]])*(-Tradingbook_MSB[[#This Row],[Modified Duration]]*0.0001+0.5*Tradingbook_MSB[[#This Row],[Conv]]*(0.0001^2))</f>
        <v>0</v>
      </c>
      <c r="AQ313" s="72">
        <f>(Tradingbook_MSB[[#This Row],[MARKET_VALUE]]+Tradingbook_MSB[[#This Row],[Accr Int]]*Tradingbook_MSB[[#This Row],[Quantity_edited]])*(-Tradingbook_MSB[[#This Row],[Modified Duration]]*0.01+0.5*Tradingbook_MSB[[#This Row],[Conv]]*(0.01^2))</f>
        <v>0</v>
      </c>
      <c r="AR313" s="71"/>
      <c r="CL313" t="s">
        <v>166</v>
      </c>
      <c r="CM313" t="s">
        <v>167</v>
      </c>
      <c r="CN313" t="s">
        <v>502</v>
      </c>
      <c r="CO313" t="s">
        <v>169</v>
      </c>
      <c r="CP313" s="35">
        <v>44608</v>
      </c>
      <c r="CQ313" t="s">
        <v>3322</v>
      </c>
      <c r="CR313" t="s">
        <v>174</v>
      </c>
      <c r="CS313" t="s">
        <v>174</v>
      </c>
      <c r="CT313" s="49">
        <v>0</v>
      </c>
      <c r="CU313">
        <v>0</v>
      </c>
      <c r="CV313">
        <v>0</v>
      </c>
      <c r="CW313" s="70">
        <v>0</v>
      </c>
      <c r="CX313">
        <v>5</v>
      </c>
      <c r="CY313">
        <v>0</v>
      </c>
      <c r="CZ313">
        <v>0</v>
      </c>
      <c r="DA313">
        <v>0</v>
      </c>
      <c r="DB313">
        <v>-25171334.613875389</v>
      </c>
      <c r="DC313">
        <v>0</v>
      </c>
      <c r="DD313">
        <v>0</v>
      </c>
      <c r="DE313">
        <v>0</v>
      </c>
      <c r="DF313">
        <v>0</v>
      </c>
      <c r="DG313">
        <v>0</v>
      </c>
      <c r="DH313">
        <v>0</v>
      </c>
      <c r="DI313">
        <v>0</v>
      </c>
      <c r="DJ313" s="500">
        <v>1649300000.0001221</v>
      </c>
      <c r="DK313" s="500">
        <v>0</v>
      </c>
      <c r="DL313" s="37">
        <v>1649300000.0001221</v>
      </c>
      <c r="DM313" s="37">
        <v>1649300000.0001221</v>
      </c>
      <c r="DN313" s="37">
        <v>1649300000</v>
      </c>
      <c r="DO313" s="37">
        <v>1649300000.0001221</v>
      </c>
      <c r="DP313" s="32">
        <f>Tradingbook_SBV[[#This Row],[Mat. Date]]-RPT</f>
        <v>-1644</v>
      </c>
      <c r="DQ313" s="32">
        <f>IF(Tradingbook_SBV[[#This Row],[Days]]&lt;=0,0,YEARFRAC(RPT,Tradingbook_SBV[[#This Row],[Mat. Date]],3))</f>
        <v>0</v>
      </c>
      <c r="DR313" s="32">
        <f>IF(Tradingbook_SBV[[#This Row],[Days (year)]]=0,0,INDEX(Ref!$K$2:$K$13,MATCH(Tradingbook_SBV[[#This Row],[Days (year)]],Ref!$I$2:$I$13,1)))</f>
        <v>0</v>
      </c>
      <c r="DS313" s="32" t="str">
        <f>VLOOKUP(Tradingbook_SBV[[#This Row],[Security Name]],Ref!X:Z,3,0)</f>
        <v>TPCP</v>
      </c>
      <c r="DT313" s="32" t="str">
        <f>VLOOKUP(Tradingbook_SBV[[#This Row],[Security Name]],Ref!X:Y,2,0)</f>
        <v>KBNN</v>
      </c>
      <c r="DU313" s="71">
        <f>IF((Tradingbook_SBV[[#This Row],[Mat. Date]]-RPT)&lt;=0,0,Tradingbook_SBV[[#This Row],[QUANTITY]])</f>
        <v>0</v>
      </c>
      <c r="DV313" s="71">
        <f>IF(Tradingbook_SBV[[#This Row],[Quantity_edited]]=0,0,Tradingbook_SBV[[#This Row],[DURATION]])</f>
        <v>0</v>
      </c>
      <c r="DW313" s="71">
        <f>IF(Tradingbook_SBV[[#This Row],[Quantity_edited]]=0,0,Tradingbook_SBV[[#This Row],[Mod Dur]])</f>
        <v>0</v>
      </c>
      <c r="DX313" s="71">
        <f>IF(Tradingbook_SBV[[#This Row],[Quantity_edited]]=0,0,Tradingbook_SBV[[#This Row],[Cnvx.]])</f>
        <v>0</v>
      </c>
      <c r="DY313" s="71">
        <f>(Tradingbook_SBV[[#This Row],[MARKET_VALUE]]+Tradingbook_SBV[[#This Row],[Accr Int]]*Tradingbook_SBV[[#This Row],[Quantity_edited]])*(-Tradingbook_SBV[[#This Row],[Modified Duration]]*0.0001+0.5*Tradingbook_SBV[[#This Row],[Conv]]*(0.0001^2))</f>
        <v>0</v>
      </c>
      <c r="DZ313" s="71">
        <f>(Tradingbook_SBV[[#This Row],[MARKET_VALUE]]+Tradingbook_SBV[[#This Row],[Accr Int]]*Tradingbook_SBV[[#This Row],[Quantity_edited]])*(-Tradingbook_SBV[[#This Row],[Modified Duration]]*0.01+0.5*Tradingbook_SBV[[#This Row],[Conv]]*(0.01^2))</f>
        <v>0</v>
      </c>
      <c r="EC313" t="s">
        <v>166</v>
      </c>
      <c r="ED313" t="s">
        <v>3302</v>
      </c>
      <c r="EE313" t="s">
        <v>697</v>
      </c>
      <c r="EF313" t="s">
        <v>169</v>
      </c>
      <c r="EG313" s="35" t="s">
        <v>698</v>
      </c>
      <c r="EH313" t="s">
        <v>170</v>
      </c>
      <c r="EI313" s="500">
        <v>85584</v>
      </c>
      <c r="EJ313" s="500">
        <v>85584</v>
      </c>
      <c r="EK313" s="500">
        <v>870000</v>
      </c>
      <c r="EL313" s="500">
        <v>87000000000</v>
      </c>
      <c r="EM313" s="500">
        <v>97305.563999999998</v>
      </c>
      <c r="EN313" s="500">
        <v>74458080000</v>
      </c>
      <c r="EO313">
        <v>2.5</v>
      </c>
      <c r="EP313">
        <v>1671</v>
      </c>
      <c r="EQ313">
        <v>7125000000</v>
      </c>
      <c r="ER313">
        <v>7739892215.2777214</v>
      </c>
      <c r="ES313">
        <v>-15907525312.711014</v>
      </c>
      <c r="ET313">
        <v>4.41689212</v>
      </c>
      <c r="EU313">
        <v>7.8471979742575</v>
      </c>
      <c r="EV313">
        <v>8.1938002399999998</v>
      </c>
      <c r="EW313">
        <v>74.729626893605399</v>
      </c>
      <c r="EX313">
        <v>56728.642273033402</v>
      </c>
      <c r="EY313">
        <v>-59569.531554214002</v>
      </c>
      <c r="EZ313">
        <v>8989.5930000000008</v>
      </c>
      <c r="FA313">
        <v>-29704118907.469326</v>
      </c>
      <c r="FB313">
        <v>-10197761092.530655</v>
      </c>
      <c r="FC313">
        <v>-39901879999.999985</v>
      </c>
      <c r="FD313">
        <v>-39901879999.999985</v>
      </c>
      <c r="FE313">
        <v>-39901880000</v>
      </c>
      <c r="FF313">
        <v>-39901879999.999985</v>
      </c>
      <c r="FG313" s="32">
        <f>Bankingbook_SBV[[#This Row],[Mat. Date]]-RPT</f>
        <v>3408</v>
      </c>
      <c r="FH313" s="32">
        <f>IF(Bankingbook_SBV[[#This Row],[Days]]&lt;=0,0,YEARFRAC(RPT,Bankingbook_SBV[[#This Row],[Mat. Date]],3))</f>
        <v>9.3369863013698637</v>
      </c>
      <c r="FI313" s="32" t="str">
        <f>IF(Bankingbook_SBV[[#This Row],[Days (year)]]=0,0,INDEX(Ref!$K$2:$K$13,MATCH(Bankingbook_SBV[[#This Row],[Days (year)]],Ref!$I$2:$I$13,1)))</f>
        <v>10Y</v>
      </c>
      <c r="FJ313" s="32" t="str">
        <f>VLOOKUP(Bankingbook_SBV[[#This Row],[Security Name]],Ref!X:Z,3,0)</f>
        <v>TPCP</v>
      </c>
      <c r="FK313" s="32" t="str">
        <f>VLOOKUP(Bankingbook_SBV[[#This Row],[Security Name]],Ref!X:Y,2,0)</f>
        <v>KBNN</v>
      </c>
      <c r="FL313" s="72">
        <f>IF((Bankingbook_SBV[[#This Row],[Mat. Date]]-RPT)&lt;=0,0,Bankingbook_SBV[[#This Row],[QUANTITY]])</f>
        <v>870000</v>
      </c>
      <c r="FM313" s="32">
        <f>IF(Bankingbook_SBV[[#This Row],[Quantity_edited]]=0,0,Bankingbook_SBV[[#This Row],[DURATION]])</f>
        <v>8.1938002399999998</v>
      </c>
      <c r="FN313" s="32">
        <f>IF(Bankingbook_SBV[[#This Row],[Quantity_edited]]=0,0,Bankingbook_SBV[[#This Row],[Mod Dur]])</f>
        <v>7.8471979742575</v>
      </c>
      <c r="FO313" s="32">
        <f>IF(Bankingbook_SBV[[#This Row],[Quantity_edited]]=0,0,Bankingbook_SBV[[#This Row],[Cnvx.]])</f>
        <v>74.729626893605399</v>
      </c>
      <c r="FP313" s="32">
        <f>(Bankingbook_SBV[[#This Row],[MARKET_VALUE]]+Bankingbook_SBV[[#This Row],[Accr Int]]*Bankingbook_SBV[[#This Row],[Quantity_edited]])*(-Bankingbook_SBV[[#This Row],[Modified Duration]]*0.0001+0.5*Bankingbook_SBV[[#This Row],[Conv]]*(0.0001^2))</f>
        <v>-59541167.233077407</v>
      </c>
      <c r="FQ313" s="32">
        <f>(Bankingbook_SBV[[#This Row],[MARKET_VALUE]]+Bankingbook_SBV[[#This Row],[Accr Int]]*Bankingbook_SBV[[#This Row],[Quantity_edited]])*(-Bankingbook_SBV[[#This Row],[Modified Duration]]*0.01+0.5*Bankingbook_SBV[[#This Row],[Conv]]*(0.01^2))</f>
        <v>-5673309944.0562248</v>
      </c>
    </row>
    <row r="314" spans="2:173" x14ac:dyDescent="0.3">
      <c r="B314" t="s">
        <v>166</v>
      </c>
      <c r="C314" t="s">
        <v>167</v>
      </c>
      <c r="D314" t="s">
        <v>500</v>
      </c>
      <c r="E314" t="s">
        <v>169</v>
      </c>
      <c r="F314" s="502">
        <v>44604</v>
      </c>
      <c r="G314" t="s">
        <v>3322</v>
      </c>
      <c r="H314"/>
      <c r="I314"/>
      <c r="J314" s="38">
        <v>0</v>
      </c>
      <c r="K314">
        <v>0</v>
      </c>
      <c r="L314">
        <v>0</v>
      </c>
      <c r="M314" s="38">
        <v>0</v>
      </c>
      <c r="N314">
        <v>8.8000000000000007</v>
      </c>
      <c r="O314">
        <v>0</v>
      </c>
      <c r="P314" s="37">
        <v>0</v>
      </c>
      <c r="Q314" s="37">
        <v>0</v>
      </c>
      <c r="R314" s="37">
        <v>-66381546.666666031</v>
      </c>
      <c r="S314">
        <v>0</v>
      </c>
      <c r="T314" s="70">
        <v>0</v>
      </c>
      <c r="U314">
        <v>0</v>
      </c>
      <c r="V314">
        <v>0</v>
      </c>
      <c r="W314">
        <v>0</v>
      </c>
      <c r="X314" s="38">
        <v>0</v>
      </c>
      <c r="Y314">
        <v>0</v>
      </c>
      <c r="Z314" s="70">
        <v>-811000000</v>
      </c>
      <c r="AA314" s="70">
        <v>0</v>
      </c>
      <c r="AB314" s="70">
        <v>-811000000</v>
      </c>
      <c r="AC314" s="70">
        <v>-811000000</v>
      </c>
      <c r="AD314" s="70">
        <v>-811000000</v>
      </c>
      <c r="AE314" s="70">
        <v>-811000000</v>
      </c>
      <c r="AF314">
        <v>0</v>
      </c>
      <c r="AG314" s="72">
        <f>Tradingbook_MSB[[#This Row],[Mat. Date]]-RPT</f>
        <v>-1648</v>
      </c>
      <c r="AH314" s="71">
        <f>IF(Tradingbook_MSB[[#This Row],[Days]]&lt;=0,0,YEARFRAC(RPT,Tradingbook_MSB[[#This Row],[Mat. Date]],3))</f>
        <v>0</v>
      </c>
      <c r="AI314" s="71">
        <f>IF(Tradingbook_MSB[[#This Row],[Days (year)]]=0,0,INDEX(Ref!$K$2:$K$13,MATCH(Tradingbook_MSB[[#This Row],[Days (year)]],Ref!$I$2:$I$13,1)))</f>
        <v>0</v>
      </c>
      <c r="AJ314" s="120" t="str">
        <f>VLOOKUP(Tradingbook_MSB[[#This Row],[Security Name]],Ref!X:Z,3,0)</f>
        <v>TPCP</v>
      </c>
      <c r="AK314" s="120" t="str">
        <f>VLOOKUP(Tradingbook_MSB[[#This Row],[Security Name]],Ref!X:Y,2,0)</f>
        <v>VDB</v>
      </c>
      <c r="AL314" s="71">
        <f>IF((Tradingbook_MSB[[#This Row],[Mat. Date]]-RPT)&lt;=0,0,Tradingbook_MSB[[#This Row],[QUANTITY]])</f>
        <v>0</v>
      </c>
      <c r="AM314" s="71">
        <f>IF(Tradingbook_MSB[[#This Row],[Quantity_edited]]=0,0,Tradingbook_MSB[[#This Row],[DURATION]])</f>
        <v>0</v>
      </c>
      <c r="AN314" s="71">
        <f>IF(Tradingbook_MSB[[#This Row],[Quantity_edited]]=0,0,Tradingbook_MSB[[#This Row],[Mod Dur]])</f>
        <v>0</v>
      </c>
      <c r="AO314" s="71">
        <f>IF(Tradingbook_MSB[[#This Row],[Quantity_edited]]=0,0,Tradingbook_MSB[[#This Row],[Cnvx.]])</f>
        <v>0</v>
      </c>
      <c r="AP314" s="71">
        <f>(Tradingbook_MSB[[#This Row],[MARKET_VALUE]]+Tradingbook_MSB[[#This Row],[Accr Int]]*Tradingbook_MSB[[#This Row],[Quantity_edited]])*(-Tradingbook_MSB[[#This Row],[Modified Duration]]*0.0001+0.5*Tradingbook_MSB[[#This Row],[Conv]]*(0.0001^2))</f>
        <v>0</v>
      </c>
      <c r="AQ314" s="72">
        <f>(Tradingbook_MSB[[#This Row],[MARKET_VALUE]]+Tradingbook_MSB[[#This Row],[Accr Int]]*Tradingbook_MSB[[#This Row],[Quantity_edited]])*(-Tradingbook_MSB[[#This Row],[Modified Duration]]*0.01+0.5*Tradingbook_MSB[[#This Row],[Conv]]*(0.01^2))</f>
        <v>0</v>
      </c>
      <c r="AR314" s="71"/>
      <c r="CL314" t="s">
        <v>166</v>
      </c>
      <c r="CM314" t="s">
        <v>167</v>
      </c>
      <c r="CN314" t="s">
        <v>503</v>
      </c>
      <c r="CO314" t="s">
        <v>169</v>
      </c>
      <c r="CP314" s="35">
        <v>44612</v>
      </c>
      <c r="CQ314" t="s">
        <v>3322</v>
      </c>
      <c r="CR314" t="s">
        <v>174</v>
      </c>
      <c r="CS314" t="s">
        <v>174</v>
      </c>
      <c r="CT314" s="49">
        <v>0</v>
      </c>
      <c r="CU314">
        <v>0</v>
      </c>
      <c r="CV314">
        <v>0</v>
      </c>
      <c r="CW314" s="70">
        <v>0</v>
      </c>
      <c r="CX314">
        <v>11.1</v>
      </c>
      <c r="CY314">
        <v>0</v>
      </c>
      <c r="CZ314">
        <v>22200000000</v>
      </c>
      <c r="DA314">
        <v>24897025583.333218</v>
      </c>
      <c r="DB314">
        <v>-10900073113.84</v>
      </c>
      <c r="DC314">
        <v>0</v>
      </c>
      <c r="DD314">
        <v>0</v>
      </c>
      <c r="DE314">
        <v>0</v>
      </c>
      <c r="DF314">
        <v>0</v>
      </c>
      <c r="DG314">
        <v>0</v>
      </c>
      <c r="DH314">
        <v>0</v>
      </c>
      <c r="DI314">
        <v>0</v>
      </c>
      <c r="DJ314" s="500">
        <v>2532350000</v>
      </c>
      <c r="DK314" s="500">
        <v>0</v>
      </c>
      <c r="DL314" s="37">
        <v>2532350000</v>
      </c>
      <c r="DM314" s="37">
        <v>2532350000</v>
      </c>
      <c r="DN314" s="37">
        <v>2532350000</v>
      </c>
      <c r="DO314" s="37">
        <v>2532350000</v>
      </c>
      <c r="DP314" s="32">
        <f>Tradingbook_SBV[[#This Row],[Mat. Date]]-RPT</f>
        <v>-1640</v>
      </c>
      <c r="DQ314" s="32">
        <f>IF(Tradingbook_SBV[[#This Row],[Days]]&lt;=0,0,YEARFRAC(RPT,Tradingbook_SBV[[#This Row],[Mat. Date]],3))</f>
        <v>0</v>
      </c>
      <c r="DR314" s="32">
        <f>IF(Tradingbook_SBV[[#This Row],[Days (year)]]=0,0,INDEX(Ref!$K$2:$K$13,MATCH(Tradingbook_SBV[[#This Row],[Days (year)]],Ref!$I$2:$I$13,1)))</f>
        <v>0</v>
      </c>
      <c r="DS314" s="32" t="str">
        <f>VLOOKUP(Tradingbook_SBV[[#This Row],[Security Name]],Ref!X:Z,3,0)</f>
        <v>TPCP</v>
      </c>
      <c r="DT314" s="32" t="str">
        <f>VLOOKUP(Tradingbook_SBV[[#This Row],[Security Name]],Ref!X:Y,2,0)</f>
        <v>KBNN</v>
      </c>
      <c r="DU314" s="71">
        <f>IF((Tradingbook_SBV[[#This Row],[Mat. Date]]-RPT)&lt;=0,0,Tradingbook_SBV[[#This Row],[QUANTITY]])</f>
        <v>0</v>
      </c>
      <c r="DV314" s="71">
        <f>IF(Tradingbook_SBV[[#This Row],[Quantity_edited]]=0,0,Tradingbook_SBV[[#This Row],[DURATION]])</f>
        <v>0</v>
      </c>
      <c r="DW314" s="71">
        <f>IF(Tradingbook_SBV[[#This Row],[Quantity_edited]]=0,0,Tradingbook_SBV[[#This Row],[Mod Dur]])</f>
        <v>0</v>
      </c>
      <c r="DX314" s="71">
        <f>IF(Tradingbook_SBV[[#This Row],[Quantity_edited]]=0,0,Tradingbook_SBV[[#This Row],[Cnvx.]])</f>
        <v>0</v>
      </c>
      <c r="DY314" s="71">
        <f>(Tradingbook_SBV[[#This Row],[MARKET_VALUE]]+Tradingbook_SBV[[#This Row],[Accr Int]]*Tradingbook_SBV[[#This Row],[Quantity_edited]])*(-Tradingbook_SBV[[#This Row],[Modified Duration]]*0.0001+0.5*Tradingbook_SBV[[#This Row],[Conv]]*(0.0001^2))</f>
        <v>0</v>
      </c>
      <c r="DZ314" s="71">
        <f>(Tradingbook_SBV[[#This Row],[MARKET_VALUE]]+Tradingbook_SBV[[#This Row],[Accr Int]]*Tradingbook_SBV[[#This Row],[Quantity_edited]])*(-Tradingbook_SBV[[#This Row],[Modified Duration]]*0.01+0.5*Tradingbook_SBV[[#This Row],[Conv]]*(0.01^2))</f>
        <v>0</v>
      </c>
      <c r="EC314" t="s">
        <v>166</v>
      </c>
      <c r="ED314" t="s">
        <v>3302</v>
      </c>
      <c r="EE314" t="s">
        <v>3645</v>
      </c>
      <c r="EF314" t="s">
        <v>169</v>
      </c>
      <c r="EG314" s="35" t="s">
        <v>3839</v>
      </c>
      <c r="EH314" t="s">
        <v>3322</v>
      </c>
      <c r="EI314" s="500">
        <v>96809</v>
      </c>
      <c r="EJ314" s="500">
        <v>96809</v>
      </c>
      <c r="EK314" s="500">
        <v>0</v>
      </c>
      <c r="EL314" s="500">
        <v>0</v>
      </c>
      <c r="EM314" s="500">
        <v>0</v>
      </c>
      <c r="EN314" s="500">
        <v>0</v>
      </c>
      <c r="EO314">
        <v>4</v>
      </c>
      <c r="EP314">
        <v>2433</v>
      </c>
      <c r="EQ314">
        <v>0</v>
      </c>
      <c r="ER314">
        <v>0</v>
      </c>
      <c r="ES314">
        <v>-1210608337.4999988</v>
      </c>
      <c r="ET314">
        <v>4.4197477469999997</v>
      </c>
      <c r="EU314">
        <v>7.4656456924199004</v>
      </c>
      <c r="EV314">
        <v>7.7956083999999999</v>
      </c>
      <c r="EW314">
        <v>70.121068317695304</v>
      </c>
      <c r="EX314">
        <v>0</v>
      </c>
      <c r="EY314">
        <v>0</v>
      </c>
      <c r="EZ314">
        <v>0</v>
      </c>
      <c r="FA314">
        <v>-949000000</v>
      </c>
      <c r="FB314">
        <v>0</v>
      </c>
      <c r="FC314">
        <v>-949000000</v>
      </c>
      <c r="FD314">
        <v>-949000000</v>
      </c>
      <c r="FE314">
        <v>-949000000</v>
      </c>
      <c r="FF314">
        <v>-949000000</v>
      </c>
      <c r="FG314" s="32">
        <f>Bankingbook_SBV[[#This Row],[Mat. Date]]-RPT</f>
        <v>3430</v>
      </c>
      <c r="FH314" s="32">
        <f>IF(Bankingbook_SBV[[#This Row],[Days]]&lt;=0,0,YEARFRAC(RPT,Bankingbook_SBV[[#This Row],[Mat. Date]],3))</f>
        <v>9.3972602739726021</v>
      </c>
      <c r="FI314" s="32" t="str">
        <f>IF(Bankingbook_SBV[[#This Row],[Days (year)]]=0,0,INDEX(Ref!$K$2:$K$13,MATCH(Bankingbook_SBV[[#This Row],[Days (year)]],Ref!$I$2:$I$13,1)))</f>
        <v>10Y</v>
      </c>
      <c r="FJ314" s="32" t="str">
        <f>VLOOKUP(Bankingbook_SBV[[#This Row],[Security Name]],Ref!X:Z,3,0)</f>
        <v>TPCP</v>
      </c>
      <c r="FK314" s="32" t="str">
        <f>VLOOKUP(Bankingbook_SBV[[#This Row],[Security Name]],Ref!X:Y,2,0)</f>
        <v>KBNN</v>
      </c>
      <c r="FL314" s="72">
        <f>IF((Bankingbook_SBV[[#This Row],[Mat. Date]]-RPT)&lt;=0,0,Bankingbook_SBV[[#This Row],[QUANTITY]])</f>
        <v>0</v>
      </c>
      <c r="FM314" s="32">
        <f>IF(Bankingbook_SBV[[#This Row],[Quantity_edited]]=0,0,Bankingbook_SBV[[#This Row],[DURATION]])</f>
        <v>0</v>
      </c>
      <c r="FN314" s="32">
        <f>IF(Bankingbook_SBV[[#This Row],[Quantity_edited]]=0,0,Bankingbook_SBV[[#This Row],[Mod Dur]])</f>
        <v>0</v>
      </c>
      <c r="FO314" s="32">
        <f>IF(Bankingbook_SBV[[#This Row],[Quantity_edited]]=0,0,Bankingbook_SBV[[#This Row],[Cnvx.]])</f>
        <v>0</v>
      </c>
      <c r="FP314" s="32">
        <f>(Bankingbook_SBV[[#This Row],[MARKET_VALUE]]+Bankingbook_SBV[[#This Row],[Accr Int]]*Bankingbook_SBV[[#This Row],[Quantity_edited]])*(-Bankingbook_SBV[[#This Row],[Modified Duration]]*0.0001+0.5*Bankingbook_SBV[[#This Row],[Conv]]*(0.0001^2))</f>
        <v>0</v>
      </c>
      <c r="FQ314" s="32">
        <f>(Bankingbook_SBV[[#This Row],[MARKET_VALUE]]+Bankingbook_SBV[[#This Row],[Accr Int]]*Bankingbook_SBV[[#This Row],[Quantity_edited]])*(-Bankingbook_SBV[[#This Row],[Modified Duration]]*0.01+0.5*Bankingbook_SBV[[#This Row],[Conv]]*(0.01^2))</f>
        <v>0</v>
      </c>
    </row>
    <row r="315" spans="2:173" x14ac:dyDescent="0.3">
      <c r="B315" t="s">
        <v>166</v>
      </c>
      <c r="C315" t="s">
        <v>167</v>
      </c>
      <c r="D315" t="s">
        <v>501</v>
      </c>
      <c r="E315" t="s">
        <v>169</v>
      </c>
      <c r="F315" s="502">
        <v>44606</v>
      </c>
      <c r="G315" t="s">
        <v>3322</v>
      </c>
      <c r="H315"/>
      <c r="I315"/>
      <c r="J315" s="38">
        <v>0</v>
      </c>
      <c r="K315">
        <v>0</v>
      </c>
      <c r="L315">
        <v>0</v>
      </c>
      <c r="M315" s="38">
        <v>0</v>
      </c>
      <c r="N315">
        <v>5.3</v>
      </c>
      <c r="O315">
        <v>0</v>
      </c>
      <c r="P315" s="37">
        <v>0</v>
      </c>
      <c r="Q315" s="37">
        <v>0</v>
      </c>
      <c r="R315" s="37">
        <v>0</v>
      </c>
      <c r="S315">
        <v>0</v>
      </c>
      <c r="T315" s="70">
        <v>0</v>
      </c>
      <c r="U315">
        <v>0</v>
      </c>
      <c r="V315">
        <v>0</v>
      </c>
      <c r="W315">
        <v>0</v>
      </c>
      <c r="X315" s="38">
        <v>0</v>
      </c>
      <c r="Y315">
        <v>0</v>
      </c>
      <c r="Z315" s="70">
        <v>0</v>
      </c>
      <c r="AA315" s="70">
        <v>0</v>
      </c>
      <c r="AB315" s="70">
        <v>0</v>
      </c>
      <c r="AC315" s="70">
        <v>0</v>
      </c>
      <c r="AD315" s="70">
        <v>0</v>
      </c>
      <c r="AE315" s="70">
        <v>0</v>
      </c>
      <c r="AF315">
        <v>0</v>
      </c>
      <c r="AG315" s="72">
        <f>Tradingbook_MSB[[#This Row],[Mat. Date]]-RPT</f>
        <v>-1646</v>
      </c>
      <c r="AH315" s="71">
        <f>IF(Tradingbook_MSB[[#This Row],[Days]]&lt;=0,0,YEARFRAC(RPT,Tradingbook_MSB[[#This Row],[Mat. Date]],3))</f>
        <v>0</v>
      </c>
      <c r="AI315" s="71">
        <f>IF(Tradingbook_MSB[[#This Row],[Days (year)]]=0,0,INDEX(Ref!$K$2:$K$13,MATCH(Tradingbook_MSB[[#This Row],[Days (year)]],Ref!$I$2:$I$13,1)))</f>
        <v>0</v>
      </c>
      <c r="AJ315" s="120" t="str">
        <f>VLOOKUP(Tradingbook_MSB[[#This Row],[Security Name]],Ref!X:Z,3,0)</f>
        <v>TPCPBL</v>
      </c>
      <c r="AK315" s="120" t="str">
        <f>VLOOKUP(Tradingbook_MSB[[#This Row],[Security Name]],Ref!X:Y,2,0)</f>
        <v>VDB</v>
      </c>
      <c r="AL315" s="71">
        <f>IF((Tradingbook_MSB[[#This Row],[Mat. Date]]-RPT)&lt;=0,0,Tradingbook_MSB[[#This Row],[QUANTITY]])</f>
        <v>0</v>
      </c>
      <c r="AM315" s="71">
        <f>IF(Tradingbook_MSB[[#This Row],[Quantity_edited]]=0,0,Tradingbook_MSB[[#This Row],[DURATION]])</f>
        <v>0</v>
      </c>
      <c r="AN315" s="71">
        <f>IF(Tradingbook_MSB[[#This Row],[Quantity_edited]]=0,0,Tradingbook_MSB[[#This Row],[Mod Dur]])</f>
        <v>0</v>
      </c>
      <c r="AO315" s="71">
        <f>IF(Tradingbook_MSB[[#This Row],[Quantity_edited]]=0,0,Tradingbook_MSB[[#This Row],[Cnvx.]])</f>
        <v>0</v>
      </c>
      <c r="AP315" s="71">
        <f>(Tradingbook_MSB[[#This Row],[MARKET_VALUE]]+Tradingbook_MSB[[#This Row],[Accr Int]]*Tradingbook_MSB[[#This Row],[Quantity_edited]])*(-Tradingbook_MSB[[#This Row],[Modified Duration]]*0.0001+0.5*Tradingbook_MSB[[#This Row],[Conv]]*(0.0001^2))</f>
        <v>0</v>
      </c>
      <c r="AQ315" s="72">
        <f>(Tradingbook_MSB[[#This Row],[MARKET_VALUE]]+Tradingbook_MSB[[#This Row],[Accr Int]]*Tradingbook_MSB[[#This Row],[Quantity_edited]])*(-Tradingbook_MSB[[#This Row],[Modified Duration]]*0.01+0.5*Tradingbook_MSB[[#This Row],[Conv]]*(0.01^2))</f>
        <v>0</v>
      </c>
      <c r="AR315" s="71"/>
      <c r="CL315" t="s">
        <v>166</v>
      </c>
      <c r="CM315" t="s">
        <v>167</v>
      </c>
      <c r="CN315" t="s">
        <v>504</v>
      </c>
      <c r="CO315" t="s">
        <v>169</v>
      </c>
      <c r="CP315" s="35">
        <v>44629</v>
      </c>
      <c r="CQ315" t="s">
        <v>3322</v>
      </c>
      <c r="CR315" t="s">
        <v>174</v>
      </c>
      <c r="CS315" t="s">
        <v>174</v>
      </c>
      <c r="CT315" s="49">
        <v>0</v>
      </c>
      <c r="CU315">
        <v>0</v>
      </c>
      <c r="CV315">
        <v>0</v>
      </c>
      <c r="CW315" s="70">
        <v>0</v>
      </c>
      <c r="CX315">
        <v>5</v>
      </c>
      <c r="CY315">
        <v>0</v>
      </c>
      <c r="CZ315">
        <v>7500000000</v>
      </c>
      <c r="DA315">
        <v>7622568750.0000153</v>
      </c>
      <c r="DB315">
        <v>-865832894.72222459</v>
      </c>
      <c r="DC315">
        <v>0</v>
      </c>
      <c r="DD315">
        <v>0</v>
      </c>
      <c r="DE315">
        <v>0</v>
      </c>
      <c r="DF315">
        <v>0</v>
      </c>
      <c r="DG315">
        <v>0</v>
      </c>
      <c r="DH315">
        <v>0</v>
      </c>
      <c r="DI315">
        <v>0</v>
      </c>
      <c r="DJ315" s="500">
        <v>15172500000.000488</v>
      </c>
      <c r="DK315" s="500">
        <v>0</v>
      </c>
      <c r="DL315" s="37">
        <v>15172500000.000488</v>
      </c>
      <c r="DM315" s="37">
        <v>15172500000.000488</v>
      </c>
      <c r="DN315" s="37">
        <v>15172500000</v>
      </c>
      <c r="DO315" s="37">
        <v>15172500000.000488</v>
      </c>
      <c r="DP315" s="32">
        <f>Tradingbook_SBV[[#This Row],[Mat. Date]]-RPT</f>
        <v>-1623</v>
      </c>
      <c r="DQ315" s="32">
        <f>IF(Tradingbook_SBV[[#This Row],[Days]]&lt;=0,0,YEARFRAC(RPT,Tradingbook_SBV[[#This Row],[Mat. Date]],3))</f>
        <v>0</v>
      </c>
      <c r="DR315" s="32">
        <f>IF(Tradingbook_SBV[[#This Row],[Days (year)]]=0,0,INDEX(Ref!$K$2:$K$13,MATCH(Tradingbook_SBV[[#This Row],[Days (year)]],Ref!$I$2:$I$13,1)))</f>
        <v>0</v>
      </c>
      <c r="DS315" s="32" t="str">
        <f>VLOOKUP(Tradingbook_SBV[[#This Row],[Security Name]],Ref!X:Z,3,0)</f>
        <v>TPCP</v>
      </c>
      <c r="DT315" s="32" t="str">
        <f>VLOOKUP(Tradingbook_SBV[[#This Row],[Security Name]],Ref!X:Y,2,0)</f>
        <v>KBNN</v>
      </c>
      <c r="DU315" s="71">
        <f>IF((Tradingbook_SBV[[#This Row],[Mat. Date]]-RPT)&lt;=0,0,Tradingbook_SBV[[#This Row],[QUANTITY]])</f>
        <v>0</v>
      </c>
      <c r="DV315" s="71">
        <f>IF(Tradingbook_SBV[[#This Row],[Quantity_edited]]=0,0,Tradingbook_SBV[[#This Row],[DURATION]])</f>
        <v>0</v>
      </c>
      <c r="DW315" s="71">
        <f>IF(Tradingbook_SBV[[#This Row],[Quantity_edited]]=0,0,Tradingbook_SBV[[#This Row],[Mod Dur]])</f>
        <v>0</v>
      </c>
      <c r="DX315" s="71">
        <f>IF(Tradingbook_SBV[[#This Row],[Quantity_edited]]=0,0,Tradingbook_SBV[[#This Row],[Cnvx.]])</f>
        <v>0</v>
      </c>
      <c r="DY315" s="71">
        <f>(Tradingbook_SBV[[#This Row],[MARKET_VALUE]]+Tradingbook_SBV[[#This Row],[Accr Int]]*Tradingbook_SBV[[#This Row],[Quantity_edited]])*(-Tradingbook_SBV[[#This Row],[Modified Duration]]*0.0001+0.5*Tradingbook_SBV[[#This Row],[Conv]]*(0.0001^2))</f>
        <v>0</v>
      </c>
      <c r="DZ315" s="71">
        <f>(Tradingbook_SBV[[#This Row],[MARKET_VALUE]]+Tradingbook_SBV[[#This Row],[Accr Int]]*Tradingbook_SBV[[#This Row],[Quantity_edited]])*(-Tradingbook_SBV[[#This Row],[Modified Duration]]*0.01+0.5*Tradingbook_SBV[[#This Row],[Conv]]*(0.01^2))</f>
        <v>0</v>
      </c>
      <c r="EC315" t="s">
        <v>166</v>
      </c>
      <c r="ED315" t="s">
        <v>3302</v>
      </c>
      <c r="EE315" t="s">
        <v>699</v>
      </c>
      <c r="EF315" t="s">
        <v>169</v>
      </c>
      <c r="EG315" s="35" t="s">
        <v>3840</v>
      </c>
      <c r="EH315" t="s">
        <v>3322</v>
      </c>
      <c r="EI315" s="500">
        <v>84707</v>
      </c>
      <c r="EJ315" s="500">
        <v>84707</v>
      </c>
      <c r="EK315" s="500">
        <v>0</v>
      </c>
      <c r="EL315" s="500">
        <v>0</v>
      </c>
      <c r="EM315" s="500">
        <v>0</v>
      </c>
      <c r="EN315" s="500">
        <v>0</v>
      </c>
      <c r="EO315">
        <v>2.4</v>
      </c>
      <c r="EP315">
        <v>1420</v>
      </c>
      <c r="EQ315">
        <v>0</v>
      </c>
      <c r="ER315">
        <v>-1.0000000000000001E-5</v>
      </c>
      <c r="ES315">
        <v>-11091525237.569273</v>
      </c>
      <c r="ET315">
        <v>4.4204061909999997</v>
      </c>
      <c r="EU315">
        <v>7.9538912267623996</v>
      </c>
      <c r="EV315">
        <v>8.3054855300000003</v>
      </c>
      <c r="EW315">
        <v>76.379333756655996</v>
      </c>
      <c r="EX315">
        <v>0</v>
      </c>
      <c r="EY315">
        <v>0</v>
      </c>
      <c r="EZ315">
        <v>0</v>
      </c>
      <c r="FA315">
        <v>-54831190000</v>
      </c>
      <c r="FB315">
        <v>0</v>
      </c>
      <c r="FC315">
        <v>-54831190000</v>
      </c>
      <c r="FD315">
        <v>-54831190000</v>
      </c>
      <c r="FE315">
        <v>-54831190000</v>
      </c>
      <c r="FF315">
        <v>-54831190000</v>
      </c>
      <c r="FG315" s="32">
        <f>Bankingbook_SBV[[#This Row],[Mat. Date]]-RPT</f>
        <v>3436</v>
      </c>
      <c r="FH315" s="32">
        <f>IF(Bankingbook_SBV[[#This Row],[Days]]&lt;=0,0,YEARFRAC(RPT,Bankingbook_SBV[[#This Row],[Mat. Date]],3))</f>
        <v>9.4136986301369863</v>
      </c>
      <c r="FI315" s="32" t="str">
        <f>IF(Bankingbook_SBV[[#This Row],[Days (year)]]=0,0,INDEX(Ref!$K$2:$K$13,MATCH(Bankingbook_SBV[[#This Row],[Days (year)]],Ref!$I$2:$I$13,1)))</f>
        <v>10Y</v>
      </c>
      <c r="FJ315" s="32" t="str">
        <f>VLOOKUP(Bankingbook_SBV[[#This Row],[Security Name]],Ref!X:Z,3,0)</f>
        <v>TPCP</v>
      </c>
      <c r="FK315" s="32" t="str">
        <f>VLOOKUP(Bankingbook_SBV[[#This Row],[Security Name]],Ref!X:Y,2,0)</f>
        <v>KBNN</v>
      </c>
      <c r="FL315" s="72">
        <f>IF((Bankingbook_SBV[[#This Row],[Mat. Date]]-RPT)&lt;=0,0,Bankingbook_SBV[[#This Row],[QUANTITY]])</f>
        <v>0</v>
      </c>
      <c r="FM315" s="32">
        <f>IF(Bankingbook_SBV[[#This Row],[Quantity_edited]]=0,0,Bankingbook_SBV[[#This Row],[DURATION]])</f>
        <v>0</v>
      </c>
      <c r="FN315" s="32">
        <f>IF(Bankingbook_SBV[[#This Row],[Quantity_edited]]=0,0,Bankingbook_SBV[[#This Row],[Mod Dur]])</f>
        <v>0</v>
      </c>
      <c r="FO315" s="32">
        <f>IF(Bankingbook_SBV[[#This Row],[Quantity_edited]]=0,0,Bankingbook_SBV[[#This Row],[Cnvx.]])</f>
        <v>0</v>
      </c>
      <c r="FP315" s="32">
        <f>(Bankingbook_SBV[[#This Row],[MARKET_VALUE]]+Bankingbook_SBV[[#This Row],[Accr Int]]*Bankingbook_SBV[[#This Row],[Quantity_edited]])*(-Bankingbook_SBV[[#This Row],[Modified Duration]]*0.0001+0.5*Bankingbook_SBV[[#This Row],[Conv]]*(0.0001^2))</f>
        <v>0</v>
      </c>
      <c r="FQ315" s="32">
        <f>(Bankingbook_SBV[[#This Row],[MARKET_VALUE]]+Bankingbook_SBV[[#This Row],[Accr Int]]*Bankingbook_SBV[[#This Row],[Quantity_edited]])*(-Bankingbook_SBV[[#This Row],[Modified Duration]]*0.01+0.5*Bankingbook_SBV[[#This Row],[Conv]]*(0.01^2))</f>
        <v>0</v>
      </c>
    </row>
    <row r="316" spans="2:173" x14ac:dyDescent="0.3">
      <c r="B316" t="s">
        <v>166</v>
      </c>
      <c r="C316" t="s">
        <v>167</v>
      </c>
      <c r="D316" t="s">
        <v>502</v>
      </c>
      <c r="E316" t="s">
        <v>169</v>
      </c>
      <c r="F316" s="502">
        <v>44608</v>
      </c>
      <c r="G316" t="s">
        <v>3322</v>
      </c>
      <c r="H316"/>
      <c r="I316"/>
      <c r="J316" s="38">
        <v>0</v>
      </c>
      <c r="K316">
        <v>0</v>
      </c>
      <c r="L316">
        <v>0</v>
      </c>
      <c r="M316" s="38">
        <v>0</v>
      </c>
      <c r="N316">
        <v>5</v>
      </c>
      <c r="O316">
        <v>0</v>
      </c>
      <c r="P316" s="37">
        <v>0</v>
      </c>
      <c r="Q316" s="37">
        <v>0</v>
      </c>
      <c r="R316" s="37">
        <v>-25171334.613875389</v>
      </c>
      <c r="S316">
        <v>0</v>
      </c>
      <c r="T316" s="70">
        <v>0</v>
      </c>
      <c r="U316">
        <v>0</v>
      </c>
      <c r="V316">
        <v>0</v>
      </c>
      <c r="W316">
        <v>0</v>
      </c>
      <c r="X316" s="38">
        <v>0</v>
      </c>
      <c r="Y316">
        <v>0</v>
      </c>
      <c r="Z316" s="70">
        <v>1649300000.0001221</v>
      </c>
      <c r="AA316" s="70">
        <v>0</v>
      </c>
      <c r="AB316" s="70">
        <v>1649300000.0001221</v>
      </c>
      <c r="AC316" s="70">
        <v>1649300000.0001221</v>
      </c>
      <c r="AD316" s="70">
        <v>1649300000</v>
      </c>
      <c r="AE316" s="70">
        <v>1649300000.0001221</v>
      </c>
      <c r="AF316">
        <v>0</v>
      </c>
      <c r="AG316" s="72">
        <f>Tradingbook_MSB[[#This Row],[Mat. Date]]-RPT</f>
        <v>-1644</v>
      </c>
      <c r="AH316" s="71">
        <f>IF(Tradingbook_MSB[[#This Row],[Days]]&lt;=0,0,YEARFRAC(RPT,Tradingbook_MSB[[#This Row],[Mat. Date]],3))</f>
        <v>0</v>
      </c>
      <c r="AI316" s="71">
        <f>IF(Tradingbook_MSB[[#This Row],[Days (year)]]=0,0,INDEX(Ref!$K$2:$K$13,MATCH(Tradingbook_MSB[[#This Row],[Days (year)]],Ref!$I$2:$I$13,1)))</f>
        <v>0</v>
      </c>
      <c r="AJ316" s="120" t="str">
        <f>VLOOKUP(Tradingbook_MSB[[#This Row],[Security Name]],Ref!X:Z,3,0)</f>
        <v>TPCP</v>
      </c>
      <c r="AK316" s="120" t="str">
        <f>VLOOKUP(Tradingbook_MSB[[#This Row],[Security Name]],Ref!X:Y,2,0)</f>
        <v>KBNN</v>
      </c>
      <c r="AL316" s="71">
        <f>IF((Tradingbook_MSB[[#This Row],[Mat. Date]]-RPT)&lt;=0,0,Tradingbook_MSB[[#This Row],[QUANTITY]])</f>
        <v>0</v>
      </c>
      <c r="AM316" s="71">
        <f>IF(Tradingbook_MSB[[#This Row],[Quantity_edited]]=0,0,Tradingbook_MSB[[#This Row],[DURATION]])</f>
        <v>0</v>
      </c>
      <c r="AN316" s="71">
        <f>IF(Tradingbook_MSB[[#This Row],[Quantity_edited]]=0,0,Tradingbook_MSB[[#This Row],[Mod Dur]])</f>
        <v>0</v>
      </c>
      <c r="AO316" s="71">
        <f>IF(Tradingbook_MSB[[#This Row],[Quantity_edited]]=0,0,Tradingbook_MSB[[#This Row],[Cnvx.]])</f>
        <v>0</v>
      </c>
      <c r="AP316" s="71">
        <f>(Tradingbook_MSB[[#This Row],[MARKET_VALUE]]+Tradingbook_MSB[[#This Row],[Accr Int]]*Tradingbook_MSB[[#This Row],[Quantity_edited]])*(-Tradingbook_MSB[[#This Row],[Modified Duration]]*0.0001+0.5*Tradingbook_MSB[[#This Row],[Conv]]*(0.0001^2))</f>
        <v>0</v>
      </c>
      <c r="AQ316" s="72">
        <f>(Tradingbook_MSB[[#This Row],[MARKET_VALUE]]+Tradingbook_MSB[[#This Row],[Accr Int]]*Tradingbook_MSB[[#This Row],[Quantity_edited]])*(-Tradingbook_MSB[[#This Row],[Modified Duration]]*0.01+0.5*Tradingbook_MSB[[#This Row],[Conv]]*(0.01^2))</f>
        <v>0</v>
      </c>
      <c r="AR316" s="71"/>
      <c r="CL316" t="s">
        <v>166</v>
      </c>
      <c r="CM316" t="s">
        <v>167</v>
      </c>
      <c r="CN316" t="s">
        <v>505</v>
      </c>
      <c r="CO316" t="s">
        <v>169</v>
      </c>
      <c r="CP316" s="35">
        <v>44665</v>
      </c>
      <c r="CQ316" t="s">
        <v>3322</v>
      </c>
      <c r="CR316" t="s">
        <v>174</v>
      </c>
      <c r="CS316" t="s">
        <v>174</v>
      </c>
      <c r="CT316" s="49">
        <v>0</v>
      </c>
      <c r="CU316">
        <v>0</v>
      </c>
      <c r="CV316">
        <v>0</v>
      </c>
      <c r="CW316" s="70">
        <v>0</v>
      </c>
      <c r="CX316">
        <v>5.2</v>
      </c>
      <c r="CY316">
        <v>0</v>
      </c>
      <c r="CZ316">
        <v>12430000000</v>
      </c>
      <c r="DA316">
        <v>13281944212.500057</v>
      </c>
      <c r="DB316">
        <v>-4241813488.3334417</v>
      </c>
      <c r="DC316">
        <v>0</v>
      </c>
      <c r="DD316">
        <v>0</v>
      </c>
      <c r="DE316">
        <v>0</v>
      </c>
      <c r="DF316">
        <v>0</v>
      </c>
      <c r="DG316">
        <v>0</v>
      </c>
      <c r="DH316">
        <v>0</v>
      </c>
      <c r="DI316">
        <v>0</v>
      </c>
      <c r="DJ316" s="500">
        <v>4499500000</v>
      </c>
      <c r="DK316" s="500">
        <v>0</v>
      </c>
      <c r="DL316" s="37">
        <v>4499500000</v>
      </c>
      <c r="DM316" s="37">
        <v>4499500000</v>
      </c>
      <c r="DN316" s="37">
        <v>4499500000</v>
      </c>
      <c r="DO316" s="37">
        <v>4499500000</v>
      </c>
      <c r="DP316" s="32">
        <f>Tradingbook_SBV[[#This Row],[Mat. Date]]-RPT</f>
        <v>-1587</v>
      </c>
      <c r="DQ316" s="32">
        <f>IF(Tradingbook_SBV[[#This Row],[Days]]&lt;=0,0,YEARFRAC(RPT,Tradingbook_SBV[[#This Row],[Mat. Date]],3))</f>
        <v>0</v>
      </c>
      <c r="DR316" s="32">
        <f>IF(Tradingbook_SBV[[#This Row],[Days (year)]]=0,0,INDEX(Ref!$K$2:$K$13,MATCH(Tradingbook_SBV[[#This Row],[Days (year)]],Ref!$I$2:$I$13,1)))</f>
        <v>0</v>
      </c>
      <c r="DS316" s="32" t="str">
        <f>VLOOKUP(Tradingbook_SBV[[#This Row],[Security Name]],Ref!X:Z,3,0)</f>
        <v>TPCP</v>
      </c>
      <c r="DT316" s="32" t="str">
        <f>VLOOKUP(Tradingbook_SBV[[#This Row],[Security Name]],Ref!X:Y,2,0)</f>
        <v>KBNN</v>
      </c>
      <c r="DU316" s="71">
        <f>IF((Tradingbook_SBV[[#This Row],[Mat. Date]]-RPT)&lt;=0,0,Tradingbook_SBV[[#This Row],[QUANTITY]])</f>
        <v>0</v>
      </c>
      <c r="DV316" s="71">
        <f>IF(Tradingbook_SBV[[#This Row],[Quantity_edited]]=0,0,Tradingbook_SBV[[#This Row],[DURATION]])</f>
        <v>0</v>
      </c>
      <c r="DW316" s="71">
        <f>IF(Tradingbook_SBV[[#This Row],[Quantity_edited]]=0,0,Tradingbook_SBV[[#This Row],[Mod Dur]])</f>
        <v>0</v>
      </c>
      <c r="DX316" s="71">
        <f>IF(Tradingbook_SBV[[#This Row],[Quantity_edited]]=0,0,Tradingbook_SBV[[#This Row],[Cnvx.]])</f>
        <v>0</v>
      </c>
      <c r="DY316" s="71">
        <f>(Tradingbook_SBV[[#This Row],[MARKET_VALUE]]+Tradingbook_SBV[[#This Row],[Accr Int]]*Tradingbook_SBV[[#This Row],[Quantity_edited]])*(-Tradingbook_SBV[[#This Row],[Modified Duration]]*0.0001+0.5*Tradingbook_SBV[[#This Row],[Conv]]*(0.0001^2))</f>
        <v>0</v>
      </c>
      <c r="DZ316" s="71">
        <f>(Tradingbook_SBV[[#This Row],[MARKET_VALUE]]+Tradingbook_SBV[[#This Row],[Accr Int]]*Tradingbook_SBV[[#This Row],[Quantity_edited]])*(-Tradingbook_SBV[[#This Row],[Modified Duration]]*0.01+0.5*Tradingbook_SBV[[#This Row],[Conv]]*(0.01^2))</f>
        <v>0</v>
      </c>
      <c r="EC316" t="s">
        <v>166</v>
      </c>
      <c r="ED316" t="s">
        <v>3302</v>
      </c>
      <c r="EE316" t="s">
        <v>681</v>
      </c>
      <c r="EF316" t="s">
        <v>169</v>
      </c>
      <c r="EG316" s="35" t="s">
        <v>3841</v>
      </c>
      <c r="EH316" t="s">
        <v>3322</v>
      </c>
      <c r="EI316" s="500">
        <v>124796</v>
      </c>
      <c r="EJ316" s="500">
        <v>124796</v>
      </c>
      <c r="EK316" s="500">
        <v>0</v>
      </c>
      <c r="EL316" s="500">
        <v>0</v>
      </c>
      <c r="EM316" s="500">
        <v>0</v>
      </c>
      <c r="EN316" s="500">
        <v>0</v>
      </c>
      <c r="EO316">
        <v>7.7</v>
      </c>
      <c r="EP316">
        <v>4409</v>
      </c>
      <c r="EQ316">
        <v>0</v>
      </c>
      <c r="ER316">
        <v>0</v>
      </c>
      <c r="ES316">
        <v>-25113596804.861092</v>
      </c>
      <c r="ET316">
        <v>4.4213654299999998</v>
      </c>
      <c r="EU316">
        <v>6.7716556461483997</v>
      </c>
      <c r="EV316">
        <v>7.0710552900000003</v>
      </c>
      <c r="EW316">
        <v>61.378783498273897</v>
      </c>
      <c r="EX316">
        <v>0</v>
      </c>
      <c r="EY316">
        <v>0</v>
      </c>
      <c r="EZ316">
        <v>0</v>
      </c>
      <c r="FA316">
        <v>-4129350000</v>
      </c>
      <c r="FB316">
        <v>0</v>
      </c>
      <c r="FC316">
        <v>-4129350000</v>
      </c>
      <c r="FD316">
        <v>-4129350000</v>
      </c>
      <c r="FE316">
        <v>-4129350000</v>
      </c>
      <c r="FF316">
        <v>-4129350000</v>
      </c>
      <c r="FG316" s="32">
        <f>Bankingbook_SBV[[#This Row],[Mat. Date]]-RPT</f>
        <v>3443</v>
      </c>
      <c r="FH316" s="32">
        <f>IF(Bankingbook_SBV[[#This Row],[Days]]&lt;=0,0,YEARFRAC(RPT,Bankingbook_SBV[[#This Row],[Mat. Date]],3))</f>
        <v>9.4328767123287669</v>
      </c>
      <c r="FI316" s="32" t="str">
        <f>IF(Bankingbook_SBV[[#This Row],[Days (year)]]=0,0,INDEX(Ref!$K$2:$K$13,MATCH(Bankingbook_SBV[[#This Row],[Days (year)]],Ref!$I$2:$I$13,1)))</f>
        <v>10Y</v>
      </c>
      <c r="FJ316" s="32" t="str">
        <f>VLOOKUP(Bankingbook_SBV[[#This Row],[Security Name]],Ref!X:Z,3,0)</f>
        <v>TPCP</v>
      </c>
      <c r="FK316" s="32" t="str">
        <f>VLOOKUP(Bankingbook_SBV[[#This Row],[Security Name]],Ref!X:Y,2,0)</f>
        <v>KBNN</v>
      </c>
      <c r="FL316" s="72">
        <f>IF((Bankingbook_SBV[[#This Row],[Mat. Date]]-RPT)&lt;=0,0,Bankingbook_SBV[[#This Row],[QUANTITY]])</f>
        <v>0</v>
      </c>
      <c r="FM316" s="32">
        <f>IF(Bankingbook_SBV[[#This Row],[Quantity_edited]]=0,0,Bankingbook_SBV[[#This Row],[DURATION]])</f>
        <v>0</v>
      </c>
      <c r="FN316" s="32">
        <f>IF(Bankingbook_SBV[[#This Row],[Quantity_edited]]=0,0,Bankingbook_SBV[[#This Row],[Mod Dur]])</f>
        <v>0</v>
      </c>
      <c r="FO316" s="32">
        <f>IF(Bankingbook_SBV[[#This Row],[Quantity_edited]]=0,0,Bankingbook_SBV[[#This Row],[Cnvx.]])</f>
        <v>0</v>
      </c>
      <c r="FP316" s="32">
        <f>(Bankingbook_SBV[[#This Row],[MARKET_VALUE]]+Bankingbook_SBV[[#This Row],[Accr Int]]*Bankingbook_SBV[[#This Row],[Quantity_edited]])*(-Bankingbook_SBV[[#This Row],[Modified Duration]]*0.0001+0.5*Bankingbook_SBV[[#This Row],[Conv]]*(0.0001^2))</f>
        <v>0</v>
      </c>
      <c r="FQ316" s="32">
        <f>(Bankingbook_SBV[[#This Row],[MARKET_VALUE]]+Bankingbook_SBV[[#This Row],[Accr Int]]*Bankingbook_SBV[[#This Row],[Quantity_edited]])*(-Bankingbook_SBV[[#This Row],[Modified Duration]]*0.01+0.5*Bankingbook_SBV[[#This Row],[Conv]]*(0.01^2))</f>
        <v>0</v>
      </c>
    </row>
    <row r="317" spans="2:173" x14ac:dyDescent="0.3">
      <c r="B317" t="s">
        <v>166</v>
      </c>
      <c r="C317" t="s">
        <v>167</v>
      </c>
      <c r="D317" t="s">
        <v>503</v>
      </c>
      <c r="E317" t="s">
        <v>169</v>
      </c>
      <c r="F317" s="502">
        <v>44612</v>
      </c>
      <c r="G317" t="s">
        <v>3322</v>
      </c>
      <c r="H317"/>
      <c r="I317"/>
      <c r="J317" s="38">
        <v>0</v>
      </c>
      <c r="K317">
        <v>0</v>
      </c>
      <c r="L317">
        <v>0</v>
      </c>
      <c r="M317" s="38">
        <v>0</v>
      </c>
      <c r="N317">
        <v>11.1</v>
      </c>
      <c r="O317">
        <v>0</v>
      </c>
      <c r="P317" s="37">
        <v>22200000000</v>
      </c>
      <c r="Q317" s="37">
        <v>24897025583.333218</v>
      </c>
      <c r="R317" s="37">
        <v>-10900073113.84</v>
      </c>
      <c r="S317">
        <v>0</v>
      </c>
      <c r="T317" s="70">
        <v>0</v>
      </c>
      <c r="U317">
        <v>0</v>
      </c>
      <c r="V317">
        <v>0</v>
      </c>
      <c r="W317">
        <v>0</v>
      </c>
      <c r="X317" s="38">
        <v>0</v>
      </c>
      <c r="Y317">
        <v>0</v>
      </c>
      <c r="Z317" s="70">
        <v>2532350000</v>
      </c>
      <c r="AA317" s="70">
        <v>0</v>
      </c>
      <c r="AB317" s="70">
        <v>2532350000</v>
      </c>
      <c r="AC317" s="70">
        <v>2532350000</v>
      </c>
      <c r="AD317" s="70">
        <v>2532350000</v>
      </c>
      <c r="AE317" s="70">
        <v>2532350000</v>
      </c>
      <c r="AF317">
        <v>0</v>
      </c>
      <c r="AG317" s="72">
        <f>Tradingbook_MSB[[#This Row],[Mat. Date]]-RPT</f>
        <v>-1640</v>
      </c>
      <c r="AH317" s="71">
        <f>IF(Tradingbook_MSB[[#This Row],[Days]]&lt;=0,0,YEARFRAC(RPT,Tradingbook_MSB[[#This Row],[Mat. Date]],3))</f>
        <v>0</v>
      </c>
      <c r="AI317" s="71">
        <f>IF(Tradingbook_MSB[[#This Row],[Days (year)]]=0,0,INDEX(Ref!$K$2:$K$13,MATCH(Tradingbook_MSB[[#This Row],[Days (year)]],Ref!$I$2:$I$13,1)))</f>
        <v>0</v>
      </c>
      <c r="AJ317" s="120" t="str">
        <f>VLOOKUP(Tradingbook_MSB[[#This Row],[Security Name]],Ref!X:Z,3,0)</f>
        <v>TPCP</v>
      </c>
      <c r="AK317" s="120" t="str">
        <f>VLOOKUP(Tradingbook_MSB[[#This Row],[Security Name]],Ref!X:Y,2,0)</f>
        <v>KBNN</v>
      </c>
      <c r="AL317" s="71">
        <f>IF((Tradingbook_MSB[[#This Row],[Mat. Date]]-RPT)&lt;=0,0,Tradingbook_MSB[[#This Row],[QUANTITY]])</f>
        <v>0</v>
      </c>
      <c r="AM317" s="71">
        <f>IF(Tradingbook_MSB[[#This Row],[Quantity_edited]]=0,0,Tradingbook_MSB[[#This Row],[DURATION]])</f>
        <v>0</v>
      </c>
      <c r="AN317" s="71">
        <f>IF(Tradingbook_MSB[[#This Row],[Quantity_edited]]=0,0,Tradingbook_MSB[[#This Row],[Mod Dur]])</f>
        <v>0</v>
      </c>
      <c r="AO317" s="71">
        <f>IF(Tradingbook_MSB[[#This Row],[Quantity_edited]]=0,0,Tradingbook_MSB[[#This Row],[Cnvx.]])</f>
        <v>0</v>
      </c>
      <c r="AP317" s="71">
        <f>(Tradingbook_MSB[[#This Row],[MARKET_VALUE]]+Tradingbook_MSB[[#This Row],[Accr Int]]*Tradingbook_MSB[[#This Row],[Quantity_edited]])*(-Tradingbook_MSB[[#This Row],[Modified Duration]]*0.0001+0.5*Tradingbook_MSB[[#This Row],[Conv]]*(0.0001^2))</f>
        <v>0</v>
      </c>
      <c r="AQ317" s="72">
        <f>(Tradingbook_MSB[[#This Row],[MARKET_VALUE]]+Tradingbook_MSB[[#This Row],[Accr Int]]*Tradingbook_MSB[[#This Row],[Quantity_edited]])*(-Tradingbook_MSB[[#This Row],[Modified Duration]]*0.01+0.5*Tradingbook_MSB[[#This Row],[Conv]]*(0.01^2))</f>
        <v>0</v>
      </c>
      <c r="AR317" s="71"/>
      <c r="CL317" t="s">
        <v>166</v>
      </c>
      <c r="CM317" t="s">
        <v>167</v>
      </c>
      <c r="CN317" t="s">
        <v>506</v>
      </c>
      <c r="CO317" t="s">
        <v>169</v>
      </c>
      <c r="CP317" s="35">
        <v>44712</v>
      </c>
      <c r="CQ317" t="s">
        <v>3322</v>
      </c>
      <c r="CR317" t="s">
        <v>174</v>
      </c>
      <c r="CS317" t="s">
        <v>174</v>
      </c>
      <c r="CT317" s="49">
        <v>0</v>
      </c>
      <c r="CU317">
        <v>0</v>
      </c>
      <c r="CV317">
        <v>0</v>
      </c>
      <c r="CW317" s="70">
        <v>0</v>
      </c>
      <c r="CX317">
        <v>9.5</v>
      </c>
      <c r="CY317">
        <v>0</v>
      </c>
      <c r="CZ317">
        <v>9500000000</v>
      </c>
      <c r="DA317">
        <v>10218788472.222221</v>
      </c>
      <c r="DB317">
        <v>-3060801584.8611784</v>
      </c>
      <c r="DC317">
        <v>0</v>
      </c>
      <c r="DD317">
        <v>0</v>
      </c>
      <c r="DE317">
        <v>0</v>
      </c>
      <c r="DF317">
        <v>0</v>
      </c>
      <c r="DG317">
        <v>0</v>
      </c>
      <c r="DH317">
        <v>0</v>
      </c>
      <c r="DI317">
        <v>0</v>
      </c>
      <c r="DJ317" s="500">
        <v>-3998500000</v>
      </c>
      <c r="DK317" s="500">
        <v>0</v>
      </c>
      <c r="DL317" s="37">
        <v>-3998500000</v>
      </c>
      <c r="DM317" s="37">
        <v>-3998500000</v>
      </c>
      <c r="DN317" s="37">
        <v>-3998500000</v>
      </c>
      <c r="DO317" s="37">
        <v>-3998500000</v>
      </c>
      <c r="DP317" s="32">
        <f>Tradingbook_SBV[[#This Row],[Mat. Date]]-RPT</f>
        <v>-1540</v>
      </c>
      <c r="DQ317" s="32">
        <f>IF(Tradingbook_SBV[[#This Row],[Days]]&lt;=0,0,YEARFRAC(RPT,Tradingbook_SBV[[#This Row],[Mat. Date]],3))</f>
        <v>0</v>
      </c>
      <c r="DR317" s="32">
        <f>IF(Tradingbook_SBV[[#This Row],[Days (year)]]=0,0,INDEX(Ref!$K$2:$K$13,MATCH(Tradingbook_SBV[[#This Row],[Days (year)]],Ref!$I$2:$I$13,1)))</f>
        <v>0</v>
      </c>
      <c r="DS317" s="32" t="str">
        <f>VLOOKUP(Tradingbook_SBV[[#This Row],[Security Name]],Ref!X:Z,3,0)</f>
        <v>TPCP</v>
      </c>
      <c r="DT317" s="32" t="str">
        <f>VLOOKUP(Tradingbook_SBV[[#This Row],[Security Name]],Ref!X:Y,2,0)</f>
        <v>KBNN</v>
      </c>
      <c r="DU317" s="71">
        <f>IF((Tradingbook_SBV[[#This Row],[Mat. Date]]-RPT)&lt;=0,0,Tradingbook_SBV[[#This Row],[QUANTITY]])</f>
        <v>0</v>
      </c>
      <c r="DV317" s="71">
        <f>IF(Tradingbook_SBV[[#This Row],[Quantity_edited]]=0,0,Tradingbook_SBV[[#This Row],[DURATION]])</f>
        <v>0</v>
      </c>
      <c r="DW317" s="71">
        <f>IF(Tradingbook_SBV[[#This Row],[Quantity_edited]]=0,0,Tradingbook_SBV[[#This Row],[Mod Dur]])</f>
        <v>0</v>
      </c>
      <c r="DX317" s="71">
        <f>IF(Tradingbook_SBV[[#This Row],[Quantity_edited]]=0,0,Tradingbook_SBV[[#This Row],[Cnvx.]])</f>
        <v>0</v>
      </c>
      <c r="DY317" s="71">
        <f>(Tradingbook_SBV[[#This Row],[MARKET_VALUE]]+Tradingbook_SBV[[#This Row],[Accr Int]]*Tradingbook_SBV[[#This Row],[Quantity_edited]])*(-Tradingbook_SBV[[#This Row],[Modified Duration]]*0.0001+0.5*Tradingbook_SBV[[#This Row],[Conv]]*(0.0001^2))</f>
        <v>0</v>
      </c>
      <c r="DZ317" s="71">
        <f>(Tradingbook_SBV[[#This Row],[MARKET_VALUE]]+Tradingbook_SBV[[#This Row],[Accr Int]]*Tradingbook_SBV[[#This Row],[Quantity_edited]])*(-Tradingbook_SBV[[#This Row],[Modified Duration]]*0.01+0.5*Tradingbook_SBV[[#This Row],[Conv]]*(0.01^2))</f>
        <v>0</v>
      </c>
      <c r="EC317" t="s">
        <v>166</v>
      </c>
      <c r="ED317" t="s">
        <v>3302</v>
      </c>
      <c r="EE317" t="s">
        <v>700</v>
      </c>
      <c r="EF317" t="s">
        <v>169</v>
      </c>
      <c r="EG317" s="35" t="s">
        <v>3459</v>
      </c>
      <c r="EH317" t="s">
        <v>170</v>
      </c>
      <c r="EI317" s="500">
        <v>85071</v>
      </c>
      <c r="EJ317" s="500">
        <v>85071</v>
      </c>
      <c r="EK317" s="500">
        <v>60000</v>
      </c>
      <c r="EL317" s="500">
        <v>6000000000</v>
      </c>
      <c r="EM317" s="500">
        <v>98631.84</v>
      </c>
      <c r="EN317" s="500">
        <v>5104260000</v>
      </c>
      <c r="EO317">
        <v>2.5</v>
      </c>
      <c r="EP317">
        <v>856</v>
      </c>
      <c r="EQ317">
        <v>750000000</v>
      </c>
      <c r="ER317">
        <v>816440499.99998295</v>
      </c>
      <c r="ES317">
        <v>-1540556043.2471702</v>
      </c>
      <c r="ET317">
        <v>4.4321579250000003</v>
      </c>
      <c r="EU317">
        <v>8.1573810019592994</v>
      </c>
      <c r="EV317">
        <v>8.5189290100000008</v>
      </c>
      <c r="EW317">
        <v>79.992463591564402</v>
      </c>
      <c r="EX317">
        <v>4124.1074514193997</v>
      </c>
      <c r="EY317">
        <v>-4205.6356641319999</v>
      </c>
      <c r="EZ317">
        <v>612.601</v>
      </c>
      <c r="FA317">
        <v>-1284519617.7779696</v>
      </c>
      <c r="FB317">
        <v>-813650382.22222245</v>
      </c>
      <c r="FC317">
        <v>-2098170000.0001922</v>
      </c>
      <c r="FD317">
        <v>-2098170000.0001922</v>
      </c>
      <c r="FE317">
        <v>-2098170000</v>
      </c>
      <c r="FF317">
        <v>-2098170000.0001922</v>
      </c>
      <c r="FG317" s="32">
        <f>Bankingbook_SBV[[#This Row],[Mat. Date]]-RPT</f>
        <v>3528</v>
      </c>
      <c r="FH317" s="32">
        <f>IF(Bankingbook_SBV[[#This Row],[Days]]&lt;=0,0,YEARFRAC(RPT,Bankingbook_SBV[[#This Row],[Mat. Date]],3))</f>
        <v>9.6657534246575345</v>
      </c>
      <c r="FI317" s="32" t="str">
        <f>IF(Bankingbook_SBV[[#This Row],[Days (year)]]=0,0,INDEX(Ref!$K$2:$K$13,MATCH(Bankingbook_SBV[[#This Row],[Days (year)]],Ref!$I$2:$I$13,1)))</f>
        <v>10Y</v>
      </c>
      <c r="FJ317" s="32" t="str">
        <f>VLOOKUP(Bankingbook_SBV[[#This Row],[Security Name]],Ref!X:Z,3,0)</f>
        <v>TPCP</v>
      </c>
      <c r="FK317" s="32" t="str">
        <f>VLOOKUP(Bankingbook_SBV[[#This Row],[Security Name]],Ref!X:Y,2,0)</f>
        <v>KBNN</v>
      </c>
      <c r="FL317" s="72">
        <f>IF((Bankingbook_SBV[[#This Row],[Mat. Date]]-RPT)&lt;=0,0,Bankingbook_SBV[[#This Row],[QUANTITY]])</f>
        <v>60000</v>
      </c>
      <c r="FM317" s="32">
        <f>IF(Bankingbook_SBV[[#This Row],[Quantity_edited]]=0,0,Bankingbook_SBV[[#This Row],[DURATION]])</f>
        <v>8.5189290100000008</v>
      </c>
      <c r="FN317" s="32">
        <f>IF(Bankingbook_SBV[[#This Row],[Quantity_edited]]=0,0,Bankingbook_SBV[[#This Row],[Mod Dur]])</f>
        <v>8.1573810019592994</v>
      </c>
      <c r="FO317" s="32">
        <f>IF(Bankingbook_SBV[[#This Row],[Quantity_edited]]=0,0,Bankingbook_SBV[[#This Row],[Cnvx.]])</f>
        <v>79.992463591564402</v>
      </c>
      <c r="FP317" s="32">
        <f>(Bankingbook_SBV[[#This Row],[MARKET_VALUE]]+Bankingbook_SBV[[#This Row],[Accr Int]]*Bankingbook_SBV[[#This Row],[Quantity_edited]])*(-Bankingbook_SBV[[#This Row],[Modified Duration]]*0.0001+0.5*Bankingbook_SBV[[#This Row],[Conv]]*(0.0001^2))</f>
        <v>-4203573.6104064304</v>
      </c>
      <c r="FQ317" s="32">
        <f>(Bankingbook_SBV[[#This Row],[MARKET_VALUE]]+Bankingbook_SBV[[#This Row],[Accr Int]]*Bankingbook_SBV[[#This Row],[Quantity_edited]])*(-Bankingbook_SBV[[#This Row],[Modified Duration]]*0.01+0.5*Bankingbook_SBV[[#This Row],[Conv]]*(0.01^2))</f>
        <v>-399943029.15611696</v>
      </c>
    </row>
    <row r="318" spans="2:173" x14ac:dyDescent="0.3">
      <c r="B318" t="s">
        <v>166</v>
      </c>
      <c r="C318" t="s">
        <v>167</v>
      </c>
      <c r="D318" t="s">
        <v>504</v>
      </c>
      <c r="E318" t="s">
        <v>169</v>
      </c>
      <c r="F318" s="502">
        <v>44629</v>
      </c>
      <c r="G318" t="s">
        <v>3322</v>
      </c>
      <c r="H318"/>
      <c r="I318"/>
      <c r="J318" s="38">
        <v>0</v>
      </c>
      <c r="K318">
        <v>0</v>
      </c>
      <c r="L318">
        <v>0</v>
      </c>
      <c r="M318" s="38">
        <v>0</v>
      </c>
      <c r="N318">
        <v>5</v>
      </c>
      <c r="O318">
        <v>0</v>
      </c>
      <c r="P318" s="37">
        <v>7500000000</v>
      </c>
      <c r="Q318" s="37">
        <v>7622568750.0000153</v>
      </c>
      <c r="R318" s="37">
        <v>-921940009.86111391</v>
      </c>
      <c r="S318">
        <v>0</v>
      </c>
      <c r="T318" s="70">
        <v>0</v>
      </c>
      <c r="U318">
        <v>0</v>
      </c>
      <c r="V318">
        <v>0</v>
      </c>
      <c r="W318">
        <v>0</v>
      </c>
      <c r="X318" s="38">
        <v>0</v>
      </c>
      <c r="Y318">
        <v>0</v>
      </c>
      <c r="Z318" s="70">
        <v>15650000000</v>
      </c>
      <c r="AA318" s="70">
        <v>0</v>
      </c>
      <c r="AB318" s="70">
        <v>15650000000</v>
      </c>
      <c r="AC318" s="70">
        <v>15650000000</v>
      </c>
      <c r="AD318" s="70">
        <v>15650000000</v>
      </c>
      <c r="AE318" s="70">
        <v>15650000000</v>
      </c>
      <c r="AF318">
        <v>0</v>
      </c>
      <c r="AG318" s="72">
        <f>Tradingbook_MSB[[#This Row],[Mat. Date]]-RPT</f>
        <v>-1623</v>
      </c>
      <c r="AH318" s="71">
        <f>IF(Tradingbook_MSB[[#This Row],[Days]]&lt;=0,0,YEARFRAC(RPT,Tradingbook_MSB[[#This Row],[Mat. Date]],3))</f>
        <v>0</v>
      </c>
      <c r="AI318" s="71">
        <f>IF(Tradingbook_MSB[[#This Row],[Days (year)]]=0,0,INDEX(Ref!$K$2:$K$13,MATCH(Tradingbook_MSB[[#This Row],[Days (year)]],Ref!$I$2:$I$13,1)))</f>
        <v>0</v>
      </c>
      <c r="AJ318" s="120" t="str">
        <f>VLOOKUP(Tradingbook_MSB[[#This Row],[Security Name]],Ref!X:Z,3,0)</f>
        <v>TPCP</v>
      </c>
      <c r="AK318" s="120" t="str">
        <f>VLOOKUP(Tradingbook_MSB[[#This Row],[Security Name]],Ref!X:Y,2,0)</f>
        <v>KBNN</v>
      </c>
      <c r="AL318" s="71">
        <f>IF((Tradingbook_MSB[[#This Row],[Mat. Date]]-RPT)&lt;=0,0,Tradingbook_MSB[[#This Row],[QUANTITY]])</f>
        <v>0</v>
      </c>
      <c r="AM318" s="71">
        <f>IF(Tradingbook_MSB[[#This Row],[Quantity_edited]]=0,0,Tradingbook_MSB[[#This Row],[DURATION]])</f>
        <v>0</v>
      </c>
      <c r="AN318" s="71">
        <f>IF(Tradingbook_MSB[[#This Row],[Quantity_edited]]=0,0,Tradingbook_MSB[[#This Row],[Mod Dur]])</f>
        <v>0</v>
      </c>
      <c r="AO318" s="71">
        <f>IF(Tradingbook_MSB[[#This Row],[Quantity_edited]]=0,0,Tradingbook_MSB[[#This Row],[Cnvx.]])</f>
        <v>0</v>
      </c>
      <c r="AP318" s="71">
        <f>(Tradingbook_MSB[[#This Row],[MARKET_VALUE]]+Tradingbook_MSB[[#This Row],[Accr Int]]*Tradingbook_MSB[[#This Row],[Quantity_edited]])*(-Tradingbook_MSB[[#This Row],[Modified Duration]]*0.0001+0.5*Tradingbook_MSB[[#This Row],[Conv]]*(0.0001^2))</f>
        <v>0</v>
      </c>
      <c r="AQ318" s="72">
        <f>(Tradingbook_MSB[[#This Row],[MARKET_VALUE]]+Tradingbook_MSB[[#This Row],[Accr Int]]*Tradingbook_MSB[[#This Row],[Quantity_edited]])*(-Tradingbook_MSB[[#This Row],[Modified Duration]]*0.01+0.5*Tradingbook_MSB[[#This Row],[Conv]]*(0.01^2))</f>
        <v>0</v>
      </c>
      <c r="AR318" s="71"/>
      <c r="CL318" t="s">
        <v>166</v>
      </c>
      <c r="CM318" t="s">
        <v>167</v>
      </c>
      <c r="CN318" t="s">
        <v>507</v>
      </c>
      <c r="CO318" t="s">
        <v>169</v>
      </c>
      <c r="CP318" s="35">
        <v>44720</v>
      </c>
      <c r="CQ318" t="s">
        <v>3322</v>
      </c>
      <c r="CR318" t="s">
        <v>174</v>
      </c>
      <c r="CS318" t="s">
        <v>174</v>
      </c>
      <c r="CT318" s="49">
        <v>0</v>
      </c>
      <c r="CU318">
        <v>0</v>
      </c>
      <c r="CV318">
        <v>0</v>
      </c>
      <c r="CW318" s="70">
        <v>0</v>
      </c>
      <c r="CX318">
        <v>5</v>
      </c>
      <c r="CY318">
        <v>0</v>
      </c>
      <c r="CZ318">
        <v>27500000000</v>
      </c>
      <c r="DA318">
        <v>29400009027.777836</v>
      </c>
      <c r="DB318">
        <v>-13873022684.639202</v>
      </c>
      <c r="DC318">
        <v>0</v>
      </c>
      <c r="DD318">
        <v>0</v>
      </c>
      <c r="DE318">
        <v>0</v>
      </c>
      <c r="DF318">
        <v>0</v>
      </c>
      <c r="DG318">
        <v>0</v>
      </c>
      <c r="DH318">
        <v>0</v>
      </c>
      <c r="DI318">
        <v>0</v>
      </c>
      <c r="DJ318" s="500">
        <v>13063000000</v>
      </c>
      <c r="DK318" s="500">
        <v>0</v>
      </c>
      <c r="DL318" s="37">
        <v>13063000000</v>
      </c>
      <c r="DM318" s="37">
        <v>13063000000</v>
      </c>
      <c r="DN318" s="37">
        <v>13063000000</v>
      </c>
      <c r="DO318" s="37">
        <v>13063000000</v>
      </c>
      <c r="DP318" s="32">
        <f>Tradingbook_SBV[[#This Row],[Mat. Date]]-RPT</f>
        <v>-1532</v>
      </c>
      <c r="DQ318" s="32">
        <f>IF(Tradingbook_SBV[[#This Row],[Days]]&lt;=0,0,YEARFRAC(RPT,Tradingbook_SBV[[#This Row],[Mat. Date]],3))</f>
        <v>0</v>
      </c>
      <c r="DR318" s="32">
        <f>IF(Tradingbook_SBV[[#This Row],[Days (year)]]=0,0,INDEX(Ref!$K$2:$K$13,MATCH(Tradingbook_SBV[[#This Row],[Days (year)]],Ref!$I$2:$I$13,1)))</f>
        <v>0</v>
      </c>
      <c r="DS318" s="32" t="str">
        <f>VLOOKUP(Tradingbook_SBV[[#This Row],[Security Name]],Ref!X:Z,3,0)</f>
        <v>TPCP</v>
      </c>
      <c r="DT318" s="32" t="str">
        <f>VLOOKUP(Tradingbook_SBV[[#This Row],[Security Name]],Ref!X:Y,2,0)</f>
        <v>KBNN</v>
      </c>
      <c r="DU318" s="71">
        <f>IF((Tradingbook_SBV[[#This Row],[Mat. Date]]-RPT)&lt;=0,0,Tradingbook_SBV[[#This Row],[QUANTITY]])</f>
        <v>0</v>
      </c>
      <c r="DV318" s="71">
        <f>IF(Tradingbook_SBV[[#This Row],[Quantity_edited]]=0,0,Tradingbook_SBV[[#This Row],[DURATION]])</f>
        <v>0</v>
      </c>
      <c r="DW318" s="71">
        <f>IF(Tradingbook_SBV[[#This Row],[Quantity_edited]]=0,0,Tradingbook_SBV[[#This Row],[Mod Dur]])</f>
        <v>0</v>
      </c>
      <c r="DX318" s="71">
        <f>IF(Tradingbook_SBV[[#This Row],[Quantity_edited]]=0,0,Tradingbook_SBV[[#This Row],[Cnvx.]])</f>
        <v>0</v>
      </c>
      <c r="DY318" s="71">
        <f>(Tradingbook_SBV[[#This Row],[MARKET_VALUE]]+Tradingbook_SBV[[#This Row],[Accr Int]]*Tradingbook_SBV[[#This Row],[Quantity_edited]])*(-Tradingbook_SBV[[#This Row],[Modified Duration]]*0.0001+0.5*Tradingbook_SBV[[#This Row],[Conv]]*(0.0001^2))</f>
        <v>0</v>
      </c>
      <c r="DZ318" s="71">
        <f>(Tradingbook_SBV[[#This Row],[MARKET_VALUE]]+Tradingbook_SBV[[#This Row],[Accr Int]]*Tradingbook_SBV[[#This Row],[Quantity_edited]])*(-Tradingbook_SBV[[#This Row],[Modified Duration]]*0.01+0.5*Tradingbook_SBV[[#This Row],[Conv]]*(0.01^2))</f>
        <v>0</v>
      </c>
      <c r="EC318" t="s">
        <v>166</v>
      </c>
      <c r="ED318" t="s">
        <v>3302</v>
      </c>
      <c r="EE318" t="s">
        <v>3865</v>
      </c>
      <c r="EF318" t="s">
        <v>169</v>
      </c>
      <c r="EG318" s="35" t="s">
        <v>3866</v>
      </c>
      <c r="EH318" t="s">
        <v>3322</v>
      </c>
      <c r="EI318" s="500">
        <v>97404</v>
      </c>
      <c r="EJ318" s="500">
        <v>97404</v>
      </c>
      <c r="EK318" s="500">
        <v>0</v>
      </c>
      <c r="EL318" s="500">
        <v>0</v>
      </c>
      <c r="EM318" s="500">
        <v>0</v>
      </c>
      <c r="EN318" s="500">
        <v>0</v>
      </c>
      <c r="EO318">
        <v>4.0999999999999996</v>
      </c>
      <c r="EP318">
        <v>1314</v>
      </c>
      <c r="EQ318">
        <v>0</v>
      </c>
      <c r="ER318">
        <v>0</v>
      </c>
      <c r="ES318">
        <v>-367512794.44444299</v>
      </c>
      <c r="ET318">
        <v>4.4331909639999996</v>
      </c>
      <c r="EU318">
        <v>7.7137199247171004</v>
      </c>
      <c r="EV318">
        <v>8.0556838600000003</v>
      </c>
      <c r="EW318">
        <v>74.206297095768406</v>
      </c>
      <c r="EX318">
        <v>0</v>
      </c>
      <c r="EY318">
        <v>0</v>
      </c>
      <c r="EZ318">
        <v>0</v>
      </c>
      <c r="FA318">
        <v>6000000</v>
      </c>
      <c r="FB318">
        <v>0</v>
      </c>
      <c r="FC318">
        <v>6000000</v>
      </c>
      <c r="FD318">
        <v>6000000</v>
      </c>
      <c r="FE318">
        <v>6000000</v>
      </c>
      <c r="FF318">
        <v>6000000</v>
      </c>
      <c r="FG318" s="32">
        <f>Bankingbook_SBV[[#This Row],[Mat. Date]]-RPT</f>
        <v>3536</v>
      </c>
      <c r="FH318" s="32">
        <f>IF(Bankingbook_SBV[[#This Row],[Days]]&lt;=0,0,YEARFRAC(RPT,Bankingbook_SBV[[#This Row],[Mat. Date]],3))</f>
        <v>9.6876712328767116</v>
      </c>
      <c r="FI318" s="32" t="str">
        <f>IF(Bankingbook_SBV[[#This Row],[Days (year)]]=0,0,INDEX(Ref!$K$2:$K$13,MATCH(Bankingbook_SBV[[#This Row],[Days (year)]],Ref!$I$2:$I$13,1)))</f>
        <v>10Y</v>
      </c>
      <c r="FJ318" s="32" t="str">
        <f>VLOOKUP(Bankingbook_SBV[[#This Row],[Security Name]],Ref!X:Z,3,0)</f>
        <v>TPCP</v>
      </c>
      <c r="FK318" s="32" t="str">
        <f>VLOOKUP(Bankingbook_SBV[[#This Row],[Security Name]],Ref!X:Y,2,0)</f>
        <v>KBNN</v>
      </c>
      <c r="FL318" s="72">
        <f>IF((Bankingbook_SBV[[#This Row],[Mat. Date]]-RPT)&lt;=0,0,Bankingbook_SBV[[#This Row],[QUANTITY]])</f>
        <v>0</v>
      </c>
      <c r="FM318" s="32">
        <f>IF(Bankingbook_SBV[[#This Row],[Quantity_edited]]=0,0,Bankingbook_SBV[[#This Row],[DURATION]])</f>
        <v>0</v>
      </c>
      <c r="FN318" s="32">
        <f>IF(Bankingbook_SBV[[#This Row],[Quantity_edited]]=0,0,Bankingbook_SBV[[#This Row],[Mod Dur]])</f>
        <v>0</v>
      </c>
      <c r="FO318" s="32">
        <f>IF(Bankingbook_SBV[[#This Row],[Quantity_edited]]=0,0,Bankingbook_SBV[[#This Row],[Cnvx.]])</f>
        <v>0</v>
      </c>
      <c r="FP318" s="32">
        <f>(Bankingbook_SBV[[#This Row],[MARKET_VALUE]]+Bankingbook_SBV[[#This Row],[Accr Int]]*Bankingbook_SBV[[#This Row],[Quantity_edited]])*(-Bankingbook_SBV[[#This Row],[Modified Duration]]*0.0001+0.5*Bankingbook_SBV[[#This Row],[Conv]]*(0.0001^2))</f>
        <v>0</v>
      </c>
      <c r="FQ318" s="32">
        <f>(Bankingbook_SBV[[#This Row],[MARKET_VALUE]]+Bankingbook_SBV[[#This Row],[Accr Int]]*Bankingbook_SBV[[#This Row],[Quantity_edited]])*(-Bankingbook_SBV[[#This Row],[Modified Duration]]*0.01+0.5*Bankingbook_SBV[[#This Row],[Conv]]*(0.01^2))</f>
        <v>0</v>
      </c>
    </row>
    <row r="319" spans="2:173" x14ac:dyDescent="0.3">
      <c r="B319" t="s">
        <v>166</v>
      </c>
      <c r="C319" t="s">
        <v>167</v>
      </c>
      <c r="D319" t="s">
        <v>505</v>
      </c>
      <c r="E319" t="s">
        <v>169</v>
      </c>
      <c r="F319" s="502">
        <v>44665</v>
      </c>
      <c r="G319" t="s">
        <v>170</v>
      </c>
      <c r="H319"/>
      <c r="I319"/>
      <c r="J319" s="38">
        <v>1000000</v>
      </c>
      <c r="K319">
        <v>100000000000</v>
      </c>
      <c r="L319">
        <v>101989.033</v>
      </c>
      <c r="M319" s="38">
        <v>0</v>
      </c>
      <c r="N319">
        <v>5.2</v>
      </c>
      <c r="O319">
        <v>0</v>
      </c>
      <c r="P319" s="37">
        <v>17630000000</v>
      </c>
      <c r="Q319" s="37">
        <v>18481944212.500065</v>
      </c>
      <c r="R319" s="37">
        <v>-9286887982.5002499</v>
      </c>
      <c r="S319">
        <v>0</v>
      </c>
      <c r="T319" s="70">
        <v>0</v>
      </c>
      <c r="U319">
        <v>0</v>
      </c>
      <c r="V319">
        <v>0</v>
      </c>
      <c r="W319">
        <v>0</v>
      </c>
      <c r="X319" s="38">
        <v>0</v>
      </c>
      <c r="Y319">
        <v>0</v>
      </c>
      <c r="Z319" s="70">
        <v>8752999999.999855</v>
      </c>
      <c r="AA319" s="70">
        <v>0</v>
      </c>
      <c r="AB319" s="70">
        <v>8752999999.999855</v>
      </c>
      <c r="AC319" s="70">
        <v>8752999999.999855</v>
      </c>
      <c r="AD319" s="70">
        <v>8753000000</v>
      </c>
      <c r="AE319" s="70">
        <v>8752999999.999855</v>
      </c>
      <c r="AF319">
        <v>4.08116916</v>
      </c>
      <c r="AG319" s="72">
        <f>Tradingbook_MSB[[#This Row],[Mat. Date]]-RPT</f>
        <v>-1587</v>
      </c>
      <c r="AH319" s="71">
        <f>IF(Tradingbook_MSB[[#This Row],[Days]]&lt;=0,0,YEARFRAC(RPT,Tradingbook_MSB[[#This Row],[Mat. Date]],3))</f>
        <v>0</v>
      </c>
      <c r="AI319" s="71">
        <f>IF(Tradingbook_MSB[[#This Row],[Days (year)]]=0,0,INDEX(Ref!$K$2:$K$13,MATCH(Tradingbook_MSB[[#This Row],[Days (year)]],Ref!$I$2:$I$13,1)))</f>
        <v>0</v>
      </c>
      <c r="AJ319" s="120" t="str">
        <f>VLOOKUP(Tradingbook_MSB[[#This Row],[Security Name]],Ref!X:Z,3,0)</f>
        <v>TPCP</v>
      </c>
      <c r="AK319" s="120" t="str">
        <f>VLOOKUP(Tradingbook_MSB[[#This Row],[Security Name]],Ref!X:Y,2,0)</f>
        <v>KBNN</v>
      </c>
      <c r="AL319" s="71">
        <f>IF((Tradingbook_MSB[[#This Row],[Mat. Date]]-RPT)&lt;=0,0,Tradingbook_MSB[[#This Row],[QUANTITY]])</f>
        <v>0</v>
      </c>
      <c r="AM319" s="71">
        <f>IF(Tradingbook_MSB[[#This Row],[Quantity_edited]]=0,0,Tradingbook_MSB[[#This Row],[DURATION]])</f>
        <v>0</v>
      </c>
      <c r="AN319" s="71">
        <f>IF(Tradingbook_MSB[[#This Row],[Quantity_edited]]=0,0,Tradingbook_MSB[[#This Row],[Mod Dur]])</f>
        <v>0</v>
      </c>
      <c r="AO319" s="71">
        <f>IF(Tradingbook_MSB[[#This Row],[Quantity_edited]]=0,0,Tradingbook_MSB[[#This Row],[Cnvx.]])</f>
        <v>0</v>
      </c>
      <c r="AP319" s="71">
        <f>(Tradingbook_MSB[[#This Row],[MARKET_VALUE]]+Tradingbook_MSB[[#This Row],[Accr Int]]*Tradingbook_MSB[[#This Row],[Quantity_edited]])*(-Tradingbook_MSB[[#This Row],[Modified Duration]]*0.0001+0.5*Tradingbook_MSB[[#This Row],[Conv]]*(0.0001^2))</f>
        <v>0</v>
      </c>
      <c r="AQ319" s="72">
        <f>(Tradingbook_MSB[[#This Row],[MARKET_VALUE]]+Tradingbook_MSB[[#This Row],[Accr Int]]*Tradingbook_MSB[[#This Row],[Quantity_edited]])*(-Tradingbook_MSB[[#This Row],[Modified Duration]]*0.01+0.5*Tradingbook_MSB[[#This Row],[Conv]]*(0.01^2))</f>
        <v>0</v>
      </c>
      <c r="AR319" s="71"/>
      <c r="CL319" t="s">
        <v>166</v>
      </c>
      <c r="CM319" t="s">
        <v>167</v>
      </c>
      <c r="CN319" t="s">
        <v>508</v>
      </c>
      <c r="CO319" t="s">
        <v>169</v>
      </c>
      <c r="CP319" s="35">
        <v>44741</v>
      </c>
      <c r="CQ319" t="s">
        <v>3322</v>
      </c>
      <c r="CR319" t="s">
        <v>174</v>
      </c>
      <c r="CS319" t="s">
        <v>174</v>
      </c>
      <c r="CT319" s="49">
        <v>0</v>
      </c>
      <c r="CU319">
        <v>0</v>
      </c>
      <c r="CV319">
        <v>0</v>
      </c>
      <c r="CW319" s="70">
        <v>0</v>
      </c>
      <c r="CX319">
        <v>4.9000000000000004</v>
      </c>
      <c r="CY319">
        <v>0</v>
      </c>
      <c r="CZ319">
        <v>0</v>
      </c>
      <c r="DA319">
        <v>-7.9999999999999996E-6</v>
      </c>
      <c r="DB319">
        <v>-2521124441.736135</v>
      </c>
      <c r="DC319">
        <v>0</v>
      </c>
      <c r="DD319">
        <v>0</v>
      </c>
      <c r="DE319">
        <v>0</v>
      </c>
      <c r="DF319">
        <v>0</v>
      </c>
      <c r="DG319">
        <v>0</v>
      </c>
      <c r="DH319">
        <v>0</v>
      </c>
      <c r="DI319">
        <v>0</v>
      </c>
      <c r="DJ319" s="500">
        <v>9059000000</v>
      </c>
      <c r="DK319" s="500">
        <v>0</v>
      </c>
      <c r="DL319" s="37">
        <v>9059000000</v>
      </c>
      <c r="DM319" s="37">
        <v>9059000000</v>
      </c>
      <c r="DN319" s="37">
        <v>9059000000</v>
      </c>
      <c r="DO319" s="37">
        <v>9059000000</v>
      </c>
      <c r="DP319" s="32">
        <f>Tradingbook_SBV[[#This Row],[Mat. Date]]-RPT</f>
        <v>-1511</v>
      </c>
      <c r="DQ319" s="32">
        <f>IF(Tradingbook_SBV[[#This Row],[Days]]&lt;=0,0,YEARFRAC(RPT,Tradingbook_SBV[[#This Row],[Mat. Date]],3))</f>
        <v>0</v>
      </c>
      <c r="DR319" s="32">
        <f>IF(Tradingbook_SBV[[#This Row],[Days (year)]]=0,0,INDEX(Ref!$K$2:$K$13,MATCH(Tradingbook_SBV[[#This Row],[Days (year)]],Ref!$I$2:$I$13,1)))</f>
        <v>0</v>
      </c>
      <c r="DS319" s="32" t="str">
        <f>VLOOKUP(Tradingbook_SBV[[#This Row],[Security Name]],Ref!X:Z,3,0)</f>
        <v>TPCP</v>
      </c>
      <c r="DT319" s="32" t="str">
        <f>VLOOKUP(Tradingbook_SBV[[#This Row],[Security Name]],Ref!X:Y,2,0)</f>
        <v>KBNN</v>
      </c>
      <c r="DU319" s="71">
        <f>IF((Tradingbook_SBV[[#This Row],[Mat. Date]]-RPT)&lt;=0,0,Tradingbook_SBV[[#This Row],[QUANTITY]])</f>
        <v>0</v>
      </c>
      <c r="DV319" s="71">
        <f>IF(Tradingbook_SBV[[#This Row],[Quantity_edited]]=0,0,Tradingbook_SBV[[#This Row],[DURATION]])</f>
        <v>0</v>
      </c>
      <c r="DW319" s="71">
        <f>IF(Tradingbook_SBV[[#This Row],[Quantity_edited]]=0,0,Tradingbook_SBV[[#This Row],[Mod Dur]])</f>
        <v>0</v>
      </c>
      <c r="DX319" s="71">
        <f>IF(Tradingbook_SBV[[#This Row],[Quantity_edited]]=0,0,Tradingbook_SBV[[#This Row],[Cnvx.]])</f>
        <v>0</v>
      </c>
      <c r="DY319" s="71">
        <f>(Tradingbook_SBV[[#This Row],[MARKET_VALUE]]+Tradingbook_SBV[[#This Row],[Accr Int]]*Tradingbook_SBV[[#This Row],[Quantity_edited]])*(-Tradingbook_SBV[[#This Row],[Modified Duration]]*0.0001+0.5*Tradingbook_SBV[[#This Row],[Conv]]*(0.0001^2))</f>
        <v>0</v>
      </c>
      <c r="DZ319" s="71">
        <f>(Tradingbook_SBV[[#This Row],[MARKET_VALUE]]+Tradingbook_SBV[[#This Row],[Accr Int]]*Tradingbook_SBV[[#This Row],[Quantity_edited]])*(-Tradingbook_SBV[[#This Row],[Modified Duration]]*0.01+0.5*Tradingbook_SBV[[#This Row],[Conv]]*(0.01^2))</f>
        <v>0</v>
      </c>
      <c r="EC319" t="s">
        <v>166</v>
      </c>
      <c r="ED319" t="s">
        <v>3302</v>
      </c>
      <c r="EE319" t="s">
        <v>701</v>
      </c>
      <c r="EF319" t="s">
        <v>169</v>
      </c>
      <c r="EG319" s="35" t="s">
        <v>3842</v>
      </c>
      <c r="EH319" t="s">
        <v>3322</v>
      </c>
      <c r="EI319" s="500">
        <v>84053</v>
      </c>
      <c r="EJ319" s="500">
        <v>84053</v>
      </c>
      <c r="EK319" s="500">
        <v>0</v>
      </c>
      <c r="EL319" s="500">
        <v>0</v>
      </c>
      <c r="EM319" s="500">
        <v>0</v>
      </c>
      <c r="EN319" s="500">
        <v>0</v>
      </c>
      <c r="EO319">
        <v>2.4</v>
      </c>
      <c r="EP319">
        <v>454</v>
      </c>
      <c r="EQ319">
        <v>0</v>
      </c>
      <c r="ER319">
        <v>-1.1E-5</v>
      </c>
      <c r="ES319">
        <v>-411624797.22221184</v>
      </c>
      <c r="ET319">
        <v>4.439212157</v>
      </c>
      <c r="EU319">
        <v>8.3370460727086009</v>
      </c>
      <c r="EV319">
        <v>8.7071452399999991</v>
      </c>
      <c r="EW319">
        <v>82.989932110844194</v>
      </c>
      <c r="EX319">
        <v>0</v>
      </c>
      <c r="EY319">
        <v>0</v>
      </c>
      <c r="EZ319">
        <v>0</v>
      </c>
      <c r="FA319">
        <v>-38000000.000244141</v>
      </c>
      <c r="FB319">
        <v>0</v>
      </c>
      <c r="FC319">
        <v>-38000000.000244103</v>
      </c>
      <c r="FD319">
        <v>-38000000.000244103</v>
      </c>
      <c r="FE319">
        <v>-38000000</v>
      </c>
      <c r="FF319">
        <v>-38000000.000244103</v>
      </c>
      <c r="FG319" s="32">
        <f>Bankingbook_SBV[[#This Row],[Mat. Date]]-RPT</f>
        <v>3584</v>
      </c>
      <c r="FH319" s="32">
        <f>IF(Bankingbook_SBV[[#This Row],[Days]]&lt;=0,0,YEARFRAC(RPT,Bankingbook_SBV[[#This Row],[Mat. Date]],3))</f>
        <v>9.8191780821917813</v>
      </c>
      <c r="FI319" s="32" t="str">
        <f>IF(Bankingbook_SBV[[#This Row],[Days (year)]]=0,0,INDEX(Ref!$K$2:$K$13,MATCH(Bankingbook_SBV[[#This Row],[Days (year)]],Ref!$I$2:$I$13,1)))</f>
        <v>10Y</v>
      </c>
      <c r="FJ319" s="32" t="str">
        <f>VLOOKUP(Bankingbook_SBV[[#This Row],[Security Name]],Ref!X:Z,3,0)</f>
        <v>TPCP</v>
      </c>
      <c r="FK319" s="32" t="str">
        <f>VLOOKUP(Bankingbook_SBV[[#This Row],[Security Name]],Ref!X:Y,2,0)</f>
        <v>KBNN</v>
      </c>
      <c r="FL319" s="72">
        <f>IF((Bankingbook_SBV[[#This Row],[Mat. Date]]-RPT)&lt;=0,0,Bankingbook_SBV[[#This Row],[QUANTITY]])</f>
        <v>0</v>
      </c>
      <c r="FM319" s="32">
        <f>IF(Bankingbook_SBV[[#This Row],[Quantity_edited]]=0,0,Bankingbook_SBV[[#This Row],[DURATION]])</f>
        <v>0</v>
      </c>
      <c r="FN319" s="32">
        <f>IF(Bankingbook_SBV[[#This Row],[Quantity_edited]]=0,0,Bankingbook_SBV[[#This Row],[Mod Dur]])</f>
        <v>0</v>
      </c>
      <c r="FO319" s="32">
        <f>IF(Bankingbook_SBV[[#This Row],[Quantity_edited]]=0,0,Bankingbook_SBV[[#This Row],[Cnvx.]])</f>
        <v>0</v>
      </c>
      <c r="FP319" s="32">
        <f>(Bankingbook_SBV[[#This Row],[MARKET_VALUE]]+Bankingbook_SBV[[#This Row],[Accr Int]]*Bankingbook_SBV[[#This Row],[Quantity_edited]])*(-Bankingbook_SBV[[#This Row],[Modified Duration]]*0.0001+0.5*Bankingbook_SBV[[#This Row],[Conv]]*(0.0001^2))</f>
        <v>0</v>
      </c>
      <c r="FQ319" s="32">
        <f>(Bankingbook_SBV[[#This Row],[MARKET_VALUE]]+Bankingbook_SBV[[#This Row],[Accr Int]]*Bankingbook_SBV[[#This Row],[Quantity_edited]])*(-Bankingbook_SBV[[#This Row],[Modified Duration]]*0.01+0.5*Bankingbook_SBV[[#This Row],[Conv]]*(0.01^2))</f>
        <v>0</v>
      </c>
    </row>
    <row r="320" spans="2:173" x14ac:dyDescent="0.3">
      <c r="B320" t="s">
        <v>166</v>
      </c>
      <c r="C320" t="s">
        <v>167</v>
      </c>
      <c r="D320" t="s">
        <v>506</v>
      </c>
      <c r="E320" t="s">
        <v>169</v>
      </c>
      <c r="F320" s="502">
        <v>44712</v>
      </c>
      <c r="G320" t="s">
        <v>3322</v>
      </c>
      <c r="H320"/>
      <c r="I320"/>
      <c r="J320" s="38">
        <v>0</v>
      </c>
      <c r="K320">
        <v>0</v>
      </c>
      <c r="L320">
        <v>0</v>
      </c>
      <c r="M320" s="38">
        <v>0</v>
      </c>
      <c r="N320">
        <v>9.5</v>
      </c>
      <c r="O320">
        <v>0</v>
      </c>
      <c r="P320" s="37">
        <v>9500000000</v>
      </c>
      <c r="Q320" s="37">
        <v>10218788472.222237</v>
      </c>
      <c r="R320" s="37">
        <v>-4332857419.3056612</v>
      </c>
      <c r="S320">
        <v>0</v>
      </c>
      <c r="T320" s="70">
        <v>0</v>
      </c>
      <c r="U320">
        <v>0</v>
      </c>
      <c r="V320">
        <v>0</v>
      </c>
      <c r="W320">
        <v>0</v>
      </c>
      <c r="X320" s="38">
        <v>0</v>
      </c>
      <c r="Y320">
        <v>0</v>
      </c>
      <c r="Z320" s="70">
        <v>-1422000000</v>
      </c>
      <c r="AA320" s="70">
        <v>0</v>
      </c>
      <c r="AB320" s="70">
        <v>-1422000000</v>
      </c>
      <c r="AC320" s="70">
        <v>-1422000000</v>
      </c>
      <c r="AD320" s="70">
        <v>-1422000000</v>
      </c>
      <c r="AE320" s="70">
        <v>-1422000000</v>
      </c>
      <c r="AF320">
        <v>0</v>
      </c>
      <c r="AG320" s="72">
        <f>Tradingbook_MSB[[#This Row],[Mat. Date]]-RPT</f>
        <v>-1540</v>
      </c>
      <c r="AH320" s="71">
        <f>IF(Tradingbook_MSB[[#This Row],[Days]]&lt;=0,0,YEARFRAC(RPT,Tradingbook_MSB[[#This Row],[Mat. Date]],3))</f>
        <v>0</v>
      </c>
      <c r="AI320" s="71">
        <f>IF(Tradingbook_MSB[[#This Row],[Days (year)]]=0,0,INDEX(Ref!$K$2:$K$13,MATCH(Tradingbook_MSB[[#This Row],[Days (year)]],Ref!$I$2:$I$13,1)))</f>
        <v>0</v>
      </c>
      <c r="AJ320" s="120" t="str">
        <f>VLOOKUP(Tradingbook_MSB[[#This Row],[Security Name]],Ref!X:Z,3,0)</f>
        <v>TPCP</v>
      </c>
      <c r="AK320" s="120" t="str">
        <f>VLOOKUP(Tradingbook_MSB[[#This Row],[Security Name]],Ref!X:Y,2,0)</f>
        <v>KBNN</v>
      </c>
      <c r="AL320" s="71">
        <f>IF((Tradingbook_MSB[[#This Row],[Mat. Date]]-RPT)&lt;=0,0,Tradingbook_MSB[[#This Row],[QUANTITY]])</f>
        <v>0</v>
      </c>
      <c r="AM320" s="71">
        <f>IF(Tradingbook_MSB[[#This Row],[Quantity_edited]]=0,0,Tradingbook_MSB[[#This Row],[DURATION]])</f>
        <v>0</v>
      </c>
      <c r="AN320" s="71">
        <f>IF(Tradingbook_MSB[[#This Row],[Quantity_edited]]=0,0,Tradingbook_MSB[[#This Row],[Mod Dur]])</f>
        <v>0</v>
      </c>
      <c r="AO320" s="71">
        <f>IF(Tradingbook_MSB[[#This Row],[Quantity_edited]]=0,0,Tradingbook_MSB[[#This Row],[Cnvx.]])</f>
        <v>0</v>
      </c>
      <c r="AP320" s="71">
        <f>(Tradingbook_MSB[[#This Row],[MARKET_VALUE]]+Tradingbook_MSB[[#This Row],[Accr Int]]*Tradingbook_MSB[[#This Row],[Quantity_edited]])*(-Tradingbook_MSB[[#This Row],[Modified Duration]]*0.0001+0.5*Tradingbook_MSB[[#This Row],[Conv]]*(0.0001^2))</f>
        <v>0</v>
      </c>
      <c r="AQ320" s="72">
        <f>(Tradingbook_MSB[[#This Row],[MARKET_VALUE]]+Tradingbook_MSB[[#This Row],[Accr Int]]*Tradingbook_MSB[[#This Row],[Quantity_edited]])*(-Tradingbook_MSB[[#This Row],[Modified Duration]]*0.01+0.5*Tradingbook_MSB[[#This Row],[Conv]]*(0.01^2))</f>
        <v>0</v>
      </c>
      <c r="AR320" s="71"/>
      <c r="CL320" t="s">
        <v>166</v>
      </c>
      <c r="CM320" t="s">
        <v>167</v>
      </c>
      <c r="CN320" t="s">
        <v>509</v>
      </c>
      <c r="CO320" t="s">
        <v>169</v>
      </c>
      <c r="CP320" s="35">
        <v>44762</v>
      </c>
      <c r="CQ320" t="s">
        <v>3322</v>
      </c>
      <c r="CR320" t="s">
        <v>174</v>
      </c>
      <c r="CS320" t="s">
        <v>174</v>
      </c>
      <c r="CT320" s="49">
        <v>0</v>
      </c>
      <c r="CU320">
        <v>0</v>
      </c>
      <c r="CV320">
        <v>0</v>
      </c>
      <c r="CW320" s="70">
        <v>0</v>
      </c>
      <c r="CX320">
        <v>4.4000000000000004</v>
      </c>
      <c r="CY320">
        <v>0</v>
      </c>
      <c r="CZ320">
        <v>0</v>
      </c>
      <c r="DA320">
        <v>1.9000000000000001E-5</v>
      </c>
      <c r="DB320">
        <v>-1557622406.2500176</v>
      </c>
      <c r="DC320">
        <v>0</v>
      </c>
      <c r="DD320">
        <v>0</v>
      </c>
      <c r="DE320">
        <v>0</v>
      </c>
      <c r="DF320">
        <v>0</v>
      </c>
      <c r="DG320">
        <v>0</v>
      </c>
      <c r="DH320">
        <v>0</v>
      </c>
      <c r="DI320">
        <v>0</v>
      </c>
      <c r="DJ320" s="500">
        <v>-1670000000</v>
      </c>
      <c r="DK320" s="500">
        <v>0</v>
      </c>
      <c r="DL320" s="37">
        <v>-1670000000</v>
      </c>
      <c r="DM320" s="37">
        <v>-1670000000</v>
      </c>
      <c r="DN320" s="37">
        <v>-1670000000</v>
      </c>
      <c r="DO320" s="37">
        <v>-1670000000</v>
      </c>
      <c r="DP320" s="32">
        <f>Tradingbook_SBV[[#This Row],[Mat. Date]]-RPT</f>
        <v>-1490</v>
      </c>
      <c r="DQ320" s="32">
        <f>IF(Tradingbook_SBV[[#This Row],[Days]]&lt;=0,0,YEARFRAC(RPT,Tradingbook_SBV[[#This Row],[Mat. Date]],3))</f>
        <v>0</v>
      </c>
      <c r="DR320" s="32">
        <f>IF(Tradingbook_SBV[[#This Row],[Days (year)]]=0,0,INDEX(Ref!$K$2:$K$13,MATCH(Tradingbook_SBV[[#This Row],[Days (year)]],Ref!$I$2:$I$13,1)))</f>
        <v>0</v>
      </c>
      <c r="DS320" s="32" t="str">
        <f>VLOOKUP(Tradingbook_SBV[[#This Row],[Security Name]],Ref!X:Z,3,0)</f>
        <v>TPCP</v>
      </c>
      <c r="DT320" s="32" t="str">
        <f>VLOOKUP(Tradingbook_SBV[[#This Row],[Security Name]],Ref!X:Y,2,0)</f>
        <v>KBNN</v>
      </c>
      <c r="DU320" s="71">
        <f>IF((Tradingbook_SBV[[#This Row],[Mat. Date]]-RPT)&lt;=0,0,Tradingbook_SBV[[#This Row],[QUANTITY]])</f>
        <v>0</v>
      </c>
      <c r="DV320" s="71">
        <f>IF(Tradingbook_SBV[[#This Row],[Quantity_edited]]=0,0,Tradingbook_SBV[[#This Row],[DURATION]])</f>
        <v>0</v>
      </c>
      <c r="DW320" s="71">
        <f>IF(Tradingbook_SBV[[#This Row],[Quantity_edited]]=0,0,Tradingbook_SBV[[#This Row],[Mod Dur]])</f>
        <v>0</v>
      </c>
      <c r="DX320" s="71">
        <f>IF(Tradingbook_SBV[[#This Row],[Quantity_edited]]=0,0,Tradingbook_SBV[[#This Row],[Cnvx.]])</f>
        <v>0</v>
      </c>
      <c r="DY320" s="71">
        <f>(Tradingbook_SBV[[#This Row],[MARKET_VALUE]]+Tradingbook_SBV[[#This Row],[Accr Int]]*Tradingbook_SBV[[#This Row],[Quantity_edited]])*(-Tradingbook_SBV[[#This Row],[Modified Duration]]*0.0001+0.5*Tradingbook_SBV[[#This Row],[Conv]]*(0.0001^2))</f>
        <v>0</v>
      </c>
      <c r="DZ320" s="71">
        <f>(Tradingbook_SBV[[#This Row],[MARKET_VALUE]]+Tradingbook_SBV[[#This Row],[Accr Int]]*Tradingbook_SBV[[#This Row],[Quantity_edited]])*(-Tradingbook_SBV[[#This Row],[Modified Duration]]*0.01+0.5*Tradingbook_SBV[[#This Row],[Conv]]*(0.01^2))</f>
        <v>0</v>
      </c>
      <c r="EC320" t="s">
        <v>166</v>
      </c>
      <c r="ED320" t="s">
        <v>3302</v>
      </c>
      <c r="EE320" t="s">
        <v>702</v>
      </c>
      <c r="EF320" t="s">
        <v>169</v>
      </c>
      <c r="EG320" s="35" t="s">
        <v>3499</v>
      </c>
      <c r="EH320" t="s">
        <v>170</v>
      </c>
      <c r="EI320" s="500">
        <v>82987</v>
      </c>
      <c r="EJ320" s="500">
        <v>82987</v>
      </c>
      <c r="EK320" s="500">
        <v>500000</v>
      </c>
      <c r="EL320" s="500">
        <v>50000000000</v>
      </c>
      <c r="EM320" s="500">
        <v>98080.8</v>
      </c>
      <c r="EN320" s="500">
        <v>41493500000</v>
      </c>
      <c r="EO320">
        <v>2.2999999999999998</v>
      </c>
      <c r="EP320">
        <v>38</v>
      </c>
      <c r="EQ320">
        <v>3450000000</v>
      </c>
      <c r="ER320">
        <v>3625475625.0000482</v>
      </c>
      <c r="ES320">
        <v>-10410729398.42362</v>
      </c>
      <c r="ET320">
        <v>4.4471972759999998</v>
      </c>
      <c r="EU320">
        <v>8.5355868601390998</v>
      </c>
      <c r="EV320">
        <v>8.9151812499999998</v>
      </c>
      <c r="EW320">
        <v>86.386963211033304</v>
      </c>
      <c r="EX320">
        <v>35861.3881029802</v>
      </c>
      <c r="EY320">
        <v>-35433.354953151997</v>
      </c>
      <c r="EZ320">
        <v>4948.9790000000003</v>
      </c>
      <c r="FA320">
        <v>-31189019850.968914</v>
      </c>
      <c r="FB320">
        <v>-7546900149.0312948</v>
      </c>
      <c r="FC320">
        <v>-38735920000.000206</v>
      </c>
      <c r="FD320">
        <v>-38735920000.000206</v>
      </c>
      <c r="FE320">
        <v>-38735920000</v>
      </c>
      <c r="FF320">
        <v>-38735920000.000206</v>
      </c>
      <c r="FG320" s="32">
        <f>Bankingbook_SBV[[#This Row],[Mat. Date]]-RPT</f>
        <v>3647</v>
      </c>
      <c r="FH320" s="32">
        <f>IF(Bankingbook_SBV[[#This Row],[Days]]&lt;=0,0,YEARFRAC(RPT,Bankingbook_SBV[[#This Row],[Mat. Date]],3))</f>
        <v>9.9917808219178088</v>
      </c>
      <c r="FI320" s="32" t="str">
        <f>IF(Bankingbook_SBV[[#This Row],[Days (year)]]=0,0,INDEX(Ref!$K$2:$K$13,MATCH(Bankingbook_SBV[[#This Row],[Days (year)]],Ref!$I$2:$I$13,1)))</f>
        <v>10Y</v>
      </c>
      <c r="FJ320" s="32" t="str">
        <f>VLOOKUP(Bankingbook_SBV[[#This Row],[Security Name]],Ref!X:Z,3,0)</f>
        <v>TPCP</v>
      </c>
      <c r="FK320" s="32" t="str">
        <f>VLOOKUP(Bankingbook_SBV[[#This Row],[Security Name]],Ref!X:Y,2,0)</f>
        <v>KBNN</v>
      </c>
      <c r="FL320" s="72">
        <f>IF((Bankingbook_SBV[[#This Row],[Mat. Date]]-RPT)&lt;=0,0,Bankingbook_SBV[[#This Row],[QUANTITY]])</f>
        <v>500000</v>
      </c>
      <c r="FM320" s="32">
        <f>IF(Bankingbook_SBV[[#This Row],[Quantity_edited]]=0,0,Bankingbook_SBV[[#This Row],[DURATION]])</f>
        <v>8.9151812499999998</v>
      </c>
      <c r="FN320" s="32">
        <f>IF(Bankingbook_SBV[[#This Row],[Quantity_edited]]=0,0,Bankingbook_SBV[[#This Row],[Mod Dur]])</f>
        <v>8.5355868601390998</v>
      </c>
      <c r="FO320" s="32">
        <f>IF(Bankingbook_SBV[[#This Row],[Quantity_edited]]=0,0,Bankingbook_SBV[[#This Row],[Cnvx.]])</f>
        <v>86.386963211033304</v>
      </c>
      <c r="FP320" s="32">
        <f>(Bankingbook_SBV[[#This Row],[MARKET_VALUE]]+Bankingbook_SBV[[#This Row],[Accr Int]]*Bankingbook_SBV[[#This Row],[Quantity_edited]])*(-Bankingbook_SBV[[#This Row],[Modified Duration]]*0.0001+0.5*Bankingbook_SBV[[#This Row],[Conv]]*(0.0001^2))</f>
        <v>-35415424.259100951</v>
      </c>
      <c r="FQ320" s="32">
        <f>(Bankingbook_SBV[[#This Row],[MARKET_VALUE]]+Bankingbook_SBV[[#This Row],[Accr Int]]*Bankingbook_SBV[[#This Row],[Quantity_edited]])*(-Bankingbook_SBV[[#This Row],[Modified Duration]]*0.01+0.5*Bankingbook_SBV[[#This Row],[Conv]]*(0.01^2))</f>
        <v>-3364028554.8003426</v>
      </c>
    </row>
    <row r="321" spans="2:173" x14ac:dyDescent="0.3">
      <c r="B321" t="s">
        <v>166</v>
      </c>
      <c r="C321" t="s">
        <v>167</v>
      </c>
      <c r="D321" t="s">
        <v>507</v>
      </c>
      <c r="E321" t="s">
        <v>169</v>
      </c>
      <c r="F321" s="502">
        <v>44720</v>
      </c>
      <c r="G321" t="s">
        <v>170</v>
      </c>
      <c r="H321"/>
      <c r="I321"/>
      <c r="J321" s="38">
        <v>500000</v>
      </c>
      <c r="K321">
        <v>50000000000</v>
      </c>
      <c r="L321">
        <v>101627.73699999999</v>
      </c>
      <c r="M321" s="38">
        <v>0</v>
      </c>
      <c r="N321">
        <v>5</v>
      </c>
      <c r="O321">
        <v>0</v>
      </c>
      <c r="P321" s="37">
        <v>30000000000</v>
      </c>
      <c r="Q321" s="37">
        <v>31900009027.777828</v>
      </c>
      <c r="R321" s="37">
        <v>-12911286526.653063</v>
      </c>
      <c r="S321">
        <v>0</v>
      </c>
      <c r="T321" s="70">
        <v>0</v>
      </c>
      <c r="U321">
        <v>0</v>
      </c>
      <c r="V321">
        <v>0</v>
      </c>
      <c r="W321">
        <v>0</v>
      </c>
      <c r="X321" s="38">
        <v>0</v>
      </c>
      <c r="Y321">
        <v>0</v>
      </c>
      <c r="Z321" s="70">
        <v>10742999999.999359</v>
      </c>
      <c r="AA321" s="70">
        <v>0</v>
      </c>
      <c r="AB321" s="70">
        <v>10742999999.999359</v>
      </c>
      <c r="AC321" s="70">
        <v>10742999999.999359</v>
      </c>
      <c r="AD321" s="70">
        <v>10742999999.999001</v>
      </c>
      <c r="AE321" s="70">
        <v>10742999999.999359</v>
      </c>
      <c r="AF321">
        <v>4.3864653579999997</v>
      </c>
      <c r="AG321" s="72">
        <f>Tradingbook_MSB[[#This Row],[Mat. Date]]-RPT</f>
        <v>-1532</v>
      </c>
      <c r="AH321" s="71">
        <f>IF(Tradingbook_MSB[[#This Row],[Days]]&lt;=0,0,YEARFRAC(RPT,Tradingbook_MSB[[#This Row],[Mat. Date]],3))</f>
        <v>0</v>
      </c>
      <c r="AI321" s="71">
        <f>IF(Tradingbook_MSB[[#This Row],[Days (year)]]=0,0,INDEX(Ref!$K$2:$K$13,MATCH(Tradingbook_MSB[[#This Row],[Days (year)]],Ref!$I$2:$I$13,1)))</f>
        <v>0</v>
      </c>
      <c r="AJ321" s="120" t="str">
        <f>VLOOKUP(Tradingbook_MSB[[#This Row],[Security Name]],Ref!X:Z,3,0)</f>
        <v>TPCP</v>
      </c>
      <c r="AK321" s="120" t="str">
        <f>VLOOKUP(Tradingbook_MSB[[#This Row],[Security Name]],Ref!X:Y,2,0)</f>
        <v>KBNN</v>
      </c>
      <c r="AL321" s="71">
        <f>IF((Tradingbook_MSB[[#This Row],[Mat. Date]]-RPT)&lt;=0,0,Tradingbook_MSB[[#This Row],[QUANTITY]])</f>
        <v>0</v>
      </c>
      <c r="AM321" s="71">
        <f>IF(Tradingbook_MSB[[#This Row],[Quantity_edited]]=0,0,Tradingbook_MSB[[#This Row],[DURATION]])</f>
        <v>0</v>
      </c>
      <c r="AN321" s="71">
        <f>IF(Tradingbook_MSB[[#This Row],[Quantity_edited]]=0,0,Tradingbook_MSB[[#This Row],[Mod Dur]])</f>
        <v>0</v>
      </c>
      <c r="AO321" s="71">
        <f>IF(Tradingbook_MSB[[#This Row],[Quantity_edited]]=0,0,Tradingbook_MSB[[#This Row],[Cnvx.]])</f>
        <v>0</v>
      </c>
      <c r="AP321" s="71">
        <f>(Tradingbook_MSB[[#This Row],[MARKET_VALUE]]+Tradingbook_MSB[[#This Row],[Accr Int]]*Tradingbook_MSB[[#This Row],[Quantity_edited]])*(-Tradingbook_MSB[[#This Row],[Modified Duration]]*0.0001+0.5*Tradingbook_MSB[[#This Row],[Conv]]*(0.0001^2))</f>
        <v>0</v>
      </c>
      <c r="AQ321" s="72">
        <f>(Tradingbook_MSB[[#This Row],[MARKET_VALUE]]+Tradingbook_MSB[[#This Row],[Accr Int]]*Tradingbook_MSB[[#This Row],[Quantity_edited]])*(-Tradingbook_MSB[[#This Row],[Modified Duration]]*0.01+0.5*Tradingbook_MSB[[#This Row],[Conv]]*(0.01^2))</f>
        <v>0</v>
      </c>
      <c r="AR321" s="71"/>
      <c r="CL321" t="s">
        <v>166</v>
      </c>
      <c r="CM321" t="s">
        <v>167</v>
      </c>
      <c r="CN321" t="s">
        <v>510</v>
      </c>
      <c r="CO321" t="s">
        <v>169</v>
      </c>
      <c r="CP321" s="35">
        <v>44846</v>
      </c>
      <c r="CQ321" t="s">
        <v>3322</v>
      </c>
      <c r="CR321" t="s">
        <v>174</v>
      </c>
      <c r="CS321" t="s">
        <v>174</v>
      </c>
      <c r="CT321" s="49">
        <v>0</v>
      </c>
      <c r="CU321">
        <v>0</v>
      </c>
      <c r="CV321">
        <v>0</v>
      </c>
      <c r="CW321" s="70">
        <v>0</v>
      </c>
      <c r="CX321">
        <v>4.5</v>
      </c>
      <c r="CY321">
        <v>0</v>
      </c>
      <c r="CZ321">
        <v>2250000000</v>
      </c>
      <c r="DA321">
        <v>2341380000</v>
      </c>
      <c r="DB321">
        <v>-472203341.70834255</v>
      </c>
      <c r="DC321">
        <v>4.5</v>
      </c>
      <c r="DD321">
        <v>0</v>
      </c>
      <c r="DE321">
        <v>0</v>
      </c>
      <c r="DF321">
        <v>0</v>
      </c>
      <c r="DG321">
        <v>0</v>
      </c>
      <c r="DH321">
        <v>0</v>
      </c>
      <c r="DI321">
        <v>0</v>
      </c>
      <c r="DJ321" s="500">
        <v>3377450000</v>
      </c>
      <c r="DK321" s="500">
        <v>0</v>
      </c>
      <c r="DL321" s="37">
        <v>3377450000</v>
      </c>
      <c r="DM321" s="37">
        <v>3377450000</v>
      </c>
      <c r="DN321" s="37">
        <v>3377450000</v>
      </c>
      <c r="DO321" s="37">
        <v>3377450000</v>
      </c>
      <c r="DP321" s="32">
        <f>Tradingbook_SBV[[#This Row],[Mat. Date]]-RPT</f>
        <v>-1406</v>
      </c>
      <c r="DQ321" s="32">
        <f>IF(Tradingbook_SBV[[#This Row],[Days]]&lt;=0,0,YEARFRAC(RPT,Tradingbook_SBV[[#This Row],[Mat. Date]],3))</f>
        <v>0</v>
      </c>
      <c r="DR321" s="32">
        <f>IF(Tradingbook_SBV[[#This Row],[Days (year)]]=0,0,INDEX(Ref!$K$2:$K$13,MATCH(Tradingbook_SBV[[#This Row],[Days (year)]],Ref!$I$2:$I$13,1)))</f>
        <v>0</v>
      </c>
      <c r="DS321" s="32" t="str">
        <f>VLOOKUP(Tradingbook_SBV[[#This Row],[Security Name]],Ref!X:Z,3,0)</f>
        <v>TPCP</v>
      </c>
      <c r="DT321" s="32" t="str">
        <f>VLOOKUP(Tradingbook_SBV[[#This Row],[Security Name]],Ref!X:Y,2,0)</f>
        <v>KBNN</v>
      </c>
      <c r="DU321" s="71">
        <f>IF((Tradingbook_SBV[[#This Row],[Mat. Date]]-RPT)&lt;=0,0,Tradingbook_SBV[[#This Row],[QUANTITY]])</f>
        <v>0</v>
      </c>
      <c r="DV321" s="71">
        <f>IF(Tradingbook_SBV[[#This Row],[Quantity_edited]]=0,0,Tradingbook_SBV[[#This Row],[DURATION]])</f>
        <v>0</v>
      </c>
      <c r="DW321" s="71">
        <f>IF(Tradingbook_SBV[[#This Row],[Quantity_edited]]=0,0,Tradingbook_SBV[[#This Row],[Mod Dur]])</f>
        <v>0</v>
      </c>
      <c r="DX321" s="71">
        <f>IF(Tradingbook_SBV[[#This Row],[Quantity_edited]]=0,0,Tradingbook_SBV[[#This Row],[Cnvx.]])</f>
        <v>0</v>
      </c>
      <c r="DY321" s="71">
        <f>(Tradingbook_SBV[[#This Row],[MARKET_VALUE]]+Tradingbook_SBV[[#This Row],[Accr Int]]*Tradingbook_SBV[[#This Row],[Quantity_edited]])*(-Tradingbook_SBV[[#This Row],[Modified Duration]]*0.0001+0.5*Tradingbook_SBV[[#This Row],[Conv]]*(0.0001^2))</f>
        <v>0</v>
      </c>
      <c r="DZ321" s="71">
        <f>(Tradingbook_SBV[[#This Row],[MARKET_VALUE]]+Tradingbook_SBV[[#This Row],[Accr Int]]*Tradingbook_SBV[[#This Row],[Quantity_edited]])*(-Tradingbook_SBV[[#This Row],[Modified Duration]]*0.01+0.5*Tradingbook_SBV[[#This Row],[Conv]]*(0.01^2))</f>
        <v>0</v>
      </c>
      <c r="EC321" t="s">
        <v>166</v>
      </c>
      <c r="ED321" t="s">
        <v>3302</v>
      </c>
      <c r="EE321" t="s">
        <v>703</v>
      </c>
      <c r="EF321" t="s">
        <v>169</v>
      </c>
      <c r="EG321" s="35" t="s">
        <v>3460</v>
      </c>
      <c r="EH321" t="s">
        <v>170</v>
      </c>
      <c r="EI321" s="500">
        <v>82068</v>
      </c>
      <c r="EJ321" s="500">
        <v>82068</v>
      </c>
      <c r="EK321" s="500">
        <v>2500000</v>
      </c>
      <c r="EL321" s="500">
        <v>250000000000</v>
      </c>
      <c r="EM321" s="500">
        <v>95984.275999999998</v>
      </c>
      <c r="EN321" s="500">
        <v>205170000000</v>
      </c>
      <c r="EO321">
        <v>2.2000000000000002</v>
      </c>
      <c r="EP321">
        <v>2067</v>
      </c>
      <c r="EQ321">
        <v>11000000000</v>
      </c>
      <c r="ER321">
        <v>11807002777.777786</v>
      </c>
      <c r="ES321">
        <v>-26145230893.472191</v>
      </c>
      <c r="ET321">
        <v>4.4495009530000003</v>
      </c>
      <c r="EU321">
        <v>8.4198262257775998</v>
      </c>
      <c r="EV321">
        <v>8.7944664699999997</v>
      </c>
      <c r="EW321">
        <v>85.901267535597</v>
      </c>
      <c r="EX321">
        <v>180682.57860268629</v>
      </c>
      <c r="EY321">
        <v>-177100.51987644899</v>
      </c>
      <c r="EZ321">
        <v>25088.435000000001</v>
      </c>
      <c r="FA321">
        <v>-13707810344.827711</v>
      </c>
      <c r="FB321">
        <v>-34790689655.172424</v>
      </c>
      <c r="FC321">
        <v>-48498500000.000137</v>
      </c>
      <c r="FD321">
        <v>-48498500000.000137</v>
      </c>
      <c r="FE321">
        <v>-48498500000</v>
      </c>
      <c r="FF321">
        <v>-48498500000.000137</v>
      </c>
      <c r="FG321" s="32">
        <f>Bankingbook_SBV[[#This Row],[Mat. Date]]-RPT</f>
        <v>3675</v>
      </c>
      <c r="FH321" s="32">
        <f>IF(Bankingbook_SBV[[#This Row],[Days]]&lt;=0,0,YEARFRAC(RPT,Bankingbook_SBV[[#This Row],[Mat. Date]],3))</f>
        <v>10.068493150684931</v>
      </c>
      <c r="FI321" s="32" t="str">
        <f>IF(Bankingbook_SBV[[#This Row],[Days (year)]]=0,0,INDEX(Ref!$K$2:$K$13,MATCH(Bankingbook_SBV[[#This Row],[Days (year)]],Ref!$I$2:$I$13,1)))</f>
        <v>10Y</v>
      </c>
      <c r="FJ321" s="32" t="str">
        <f>VLOOKUP(Bankingbook_SBV[[#This Row],[Security Name]],Ref!X:Z,3,0)</f>
        <v>TPCP</v>
      </c>
      <c r="FK321" s="32" t="str">
        <f>VLOOKUP(Bankingbook_SBV[[#This Row],[Security Name]],Ref!X:Y,2,0)</f>
        <v>KBNN</v>
      </c>
      <c r="FL321" s="72">
        <f>IF((Bankingbook_SBV[[#This Row],[Mat. Date]]-RPT)&lt;=0,0,Bankingbook_SBV[[#This Row],[QUANTITY]])</f>
        <v>2500000</v>
      </c>
      <c r="FM321" s="32">
        <f>IF(Bankingbook_SBV[[#This Row],[Quantity_edited]]=0,0,Bankingbook_SBV[[#This Row],[DURATION]])</f>
        <v>8.7944664699999997</v>
      </c>
      <c r="FN321" s="32">
        <f>IF(Bankingbook_SBV[[#This Row],[Quantity_edited]]=0,0,Bankingbook_SBV[[#This Row],[Mod Dur]])</f>
        <v>8.4198262257775998</v>
      </c>
      <c r="FO321" s="32">
        <f>IF(Bankingbook_SBV[[#This Row],[Quantity_edited]]=0,0,Bankingbook_SBV[[#This Row],[Cnvx.]])</f>
        <v>85.901267535597</v>
      </c>
      <c r="FP321" s="32">
        <f>(Bankingbook_SBV[[#This Row],[MARKET_VALUE]]+Bankingbook_SBV[[#This Row],[Accr Int]]*Bankingbook_SBV[[#This Row],[Quantity_edited]])*(-Bankingbook_SBV[[#This Row],[Modified Duration]]*0.0001+0.5*Bankingbook_SBV[[#This Row],[Conv]]*(0.0001^2))</f>
        <v>-177010178.58714825</v>
      </c>
      <c r="FQ321" s="32">
        <f>(Bankingbook_SBV[[#This Row],[MARKET_VALUE]]+Bankingbook_SBV[[#This Row],[Accr Int]]*Bankingbook_SBV[[#This Row],[Quantity_edited]])*(-Bankingbook_SBV[[#This Row],[Modified Duration]]*0.01+0.5*Bankingbook_SBV[[#This Row],[Conv]]*(0.01^2))</f>
        <v>-16806639094.631529</v>
      </c>
    </row>
    <row r="322" spans="2:173" x14ac:dyDescent="0.3">
      <c r="B322" t="s">
        <v>166</v>
      </c>
      <c r="C322" t="s">
        <v>167</v>
      </c>
      <c r="D322" t="s">
        <v>508</v>
      </c>
      <c r="E322" t="s">
        <v>169</v>
      </c>
      <c r="F322" s="502">
        <v>44741</v>
      </c>
      <c r="G322" t="s">
        <v>170</v>
      </c>
      <c r="H322"/>
      <c r="I322"/>
      <c r="J322" s="38">
        <v>2000000</v>
      </c>
      <c r="K322">
        <v>200000000000</v>
      </c>
      <c r="L322">
        <v>102569.18799999999</v>
      </c>
      <c r="M322" s="38">
        <v>0</v>
      </c>
      <c r="N322">
        <v>4.9000000000000004</v>
      </c>
      <c r="O322">
        <v>0</v>
      </c>
      <c r="P322" s="37">
        <v>14700000000</v>
      </c>
      <c r="Q322" s="37">
        <v>14757119027.777771</v>
      </c>
      <c r="R322" s="37">
        <v>-5112563196.5972443</v>
      </c>
      <c r="S322">
        <v>0</v>
      </c>
      <c r="T322" s="70">
        <v>0</v>
      </c>
      <c r="U322">
        <v>0</v>
      </c>
      <c r="V322">
        <v>0</v>
      </c>
      <c r="W322">
        <v>0</v>
      </c>
      <c r="X322" s="38">
        <v>0</v>
      </c>
      <c r="Y322">
        <v>0</v>
      </c>
      <c r="Z322" s="70">
        <v>-375500000.00008774</v>
      </c>
      <c r="AA322" s="70">
        <v>0</v>
      </c>
      <c r="AB322" s="70">
        <v>-375500000.00008768</v>
      </c>
      <c r="AC322" s="70">
        <v>-375500000.00008768</v>
      </c>
      <c r="AD322" s="70">
        <v>-375500000</v>
      </c>
      <c r="AE322" s="70">
        <v>-375500000.00008768</v>
      </c>
      <c r="AF322">
        <v>3.5066569510000001</v>
      </c>
      <c r="AG322" s="72">
        <f>Tradingbook_MSB[[#This Row],[Mat. Date]]-RPT</f>
        <v>-1511</v>
      </c>
      <c r="AH322" s="71">
        <f>IF(Tradingbook_MSB[[#This Row],[Days]]&lt;=0,0,YEARFRAC(RPT,Tradingbook_MSB[[#This Row],[Mat. Date]],3))</f>
        <v>0</v>
      </c>
      <c r="AI322" s="71">
        <f>IF(Tradingbook_MSB[[#This Row],[Days (year)]]=0,0,INDEX(Ref!$K$2:$K$13,MATCH(Tradingbook_MSB[[#This Row],[Days (year)]],Ref!$I$2:$I$13,1)))</f>
        <v>0</v>
      </c>
      <c r="AJ322" s="120" t="str">
        <f>VLOOKUP(Tradingbook_MSB[[#This Row],[Security Name]],Ref!X:Z,3,0)</f>
        <v>TPCP</v>
      </c>
      <c r="AK322" s="120" t="str">
        <f>VLOOKUP(Tradingbook_MSB[[#This Row],[Security Name]],Ref!X:Y,2,0)</f>
        <v>KBNN</v>
      </c>
      <c r="AL322" s="71">
        <f>IF((Tradingbook_MSB[[#This Row],[Mat. Date]]-RPT)&lt;=0,0,Tradingbook_MSB[[#This Row],[QUANTITY]])</f>
        <v>0</v>
      </c>
      <c r="AM322" s="71">
        <f>IF(Tradingbook_MSB[[#This Row],[Quantity_edited]]=0,0,Tradingbook_MSB[[#This Row],[DURATION]])</f>
        <v>0</v>
      </c>
      <c r="AN322" s="71">
        <f>IF(Tradingbook_MSB[[#This Row],[Quantity_edited]]=0,0,Tradingbook_MSB[[#This Row],[Mod Dur]])</f>
        <v>0</v>
      </c>
      <c r="AO322" s="71">
        <f>IF(Tradingbook_MSB[[#This Row],[Quantity_edited]]=0,0,Tradingbook_MSB[[#This Row],[Cnvx.]])</f>
        <v>0</v>
      </c>
      <c r="AP322" s="71">
        <f>(Tradingbook_MSB[[#This Row],[MARKET_VALUE]]+Tradingbook_MSB[[#This Row],[Accr Int]]*Tradingbook_MSB[[#This Row],[Quantity_edited]])*(-Tradingbook_MSB[[#This Row],[Modified Duration]]*0.0001+0.5*Tradingbook_MSB[[#This Row],[Conv]]*(0.0001^2))</f>
        <v>0</v>
      </c>
      <c r="AQ322" s="72">
        <f>(Tradingbook_MSB[[#This Row],[MARKET_VALUE]]+Tradingbook_MSB[[#This Row],[Accr Int]]*Tradingbook_MSB[[#This Row],[Quantity_edited]])*(-Tradingbook_MSB[[#This Row],[Modified Duration]]*0.01+0.5*Tradingbook_MSB[[#This Row],[Conv]]*(0.01^2))</f>
        <v>0</v>
      </c>
      <c r="AR322" s="71"/>
      <c r="CL322" t="s">
        <v>166</v>
      </c>
      <c r="CM322" t="s">
        <v>167</v>
      </c>
      <c r="CN322" t="s">
        <v>511</v>
      </c>
      <c r="CO322" t="s">
        <v>169</v>
      </c>
      <c r="CP322" s="35">
        <v>44894</v>
      </c>
      <c r="CQ322" t="s">
        <v>3322</v>
      </c>
      <c r="CR322" t="s">
        <v>174</v>
      </c>
      <c r="CS322" t="s">
        <v>174</v>
      </c>
      <c r="CT322" s="49">
        <v>0</v>
      </c>
      <c r="CU322">
        <v>0</v>
      </c>
      <c r="CV322">
        <v>0</v>
      </c>
      <c r="CW322" s="70">
        <v>0</v>
      </c>
      <c r="CX322">
        <v>5</v>
      </c>
      <c r="CY322">
        <v>0</v>
      </c>
      <c r="CZ322">
        <v>0</v>
      </c>
      <c r="DA322">
        <v>-3.1000000000000001E-5</v>
      </c>
      <c r="DB322">
        <v>-4174584743.7500687</v>
      </c>
      <c r="DC322">
        <v>5</v>
      </c>
      <c r="DD322">
        <v>0</v>
      </c>
      <c r="DE322">
        <v>0</v>
      </c>
      <c r="DF322">
        <v>0</v>
      </c>
      <c r="DG322">
        <v>0</v>
      </c>
      <c r="DH322">
        <v>0</v>
      </c>
      <c r="DI322">
        <v>0</v>
      </c>
      <c r="DJ322" s="500">
        <v>-15485000000</v>
      </c>
      <c r="DK322" s="500">
        <v>0</v>
      </c>
      <c r="DL322" s="37">
        <v>-15485000000</v>
      </c>
      <c r="DM322" s="37">
        <v>-15485000000</v>
      </c>
      <c r="DN322" s="37">
        <v>-15485000000</v>
      </c>
      <c r="DO322" s="37">
        <v>-15485000000</v>
      </c>
      <c r="DP322" s="32">
        <f>Tradingbook_SBV[[#This Row],[Mat. Date]]-RPT</f>
        <v>-1358</v>
      </c>
      <c r="DQ322" s="32">
        <f>IF(Tradingbook_SBV[[#This Row],[Days]]&lt;=0,0,YEARFRAC(RPT,Tradingbook_SBV[[#This Row],[Mat. Date]],3))</f>
        <v>0</v>
      </c>
      <c r="DR322" s="32">
        <f>IF(Tradingbook_SBV[[#This Row],[Days (year)]]=0,0,INDEX(Ref!$K$2:$K$13,MATCH(Tradingbook_SBV[[#This Row],[Days (year)]],Ref!$I$2:$I$13,1)))</f>
        <v>0</v>
      </c>
      <c r="DS322" s="32" t="str">
        <f>VLOOKUP(Tradingbook_SBV[[#This Row],[Security Name]],Ref!X:Z,3,0)</f>
        <v>TPCPBL</v>
      </c>
      <c r="DT322" s="32" t="str">
        <f>VLOOKUP(Tradingbook_SBV[[#This Row],[Security Name]],Ref!X:Y,2,0)</f>
        <v>VDB</v>
      </c>
      <c r="DU322" s="71">
        <f>IF((Tradingbook_SBV[[#This Row],[Mat. Date]]-RPT)&lt;=0,0,Tradingbook_SBV[[#This Row],[QUANTITY]])</f>
        <v>0</v>
      </c>
      <c r="DV322" s="71">
        <f>IF(Tradingbook_SBV[[#This Row],[Quantity_edited]]=0,0,Tradingbook_SBV[[#This Row],[DURATION]])</f>
        <v>0</v>
      </c>
      <c r="DW322" s="71">
        <f>IF(Tradingbook_SBV[[#This Row],[Quantity_edited]]=0,0,Tradingbook_SBV[[#This Row],[Mod Dur]])</f>
        <v>0</v>
      </c>
      <c r="DX322" s="71">
        <f>IF(Tradingbook_SBV[[#This Row],[Quantity_edited]]=0,0,Tradingbook_SBV[[#This Row],[Cnvx.]])</f>
        <v>0</v>
      </c>
      <c r="DY322" s="71">
        <f>(Tradingbook_SBV[[#This Row],[MARKET_VALUE]]+Tradingbook_SBV[[#This Row],[Accr Int]]*Tradingbook_SBV[[#This Row],[Quantity_edited]])*(-Tradingbook_SBV[[#This Row],[Modified Duration]]*0.0001+0.5*Tradingbook_SBV[[#This Row],[Conv]]*(0.0001^2))</f>
        <v>0</v>
      </c>
      <c r="DZ322" s="71">
        <f>(Tradingbook_SBV[[#This Row],[MARKET_VALUE]]+Tradingbook_SBV[[#This Row],[Accr Int]]*Tradingbook_SBV[[#This Row],[Quantity_edited]])*(-Tradingbook_SBV[[#This Row],[Modified Duration]]*0.01+0.5*Tradingbook_SBV[[#This Row],[Conv]]*(0.01^2))</f>
        <v>0</v>
      </c>
      <c r="EC322" t="s">
        <v>166</v>
      </c>
      <c r="ED322" t="s">
        <v>3302</v>
      </c>
      <c r="EE322" t="s">
        <v>682</v>
      </c>
      <c r="EF322" t="s">
        <v>169</v>
      </c>
      <c r="EG322" s="35" t="s">
        <v>3843</v>
      </c>
      <c r="EH322" t="s">
        <v>3322</v>
      </c>
      <c r="EI322" s="500">
        <v>126022</v>
      </c>
      <c r="EJ322" s="500">
        <v>126022</v>
      </c>
      <c r="EK322" s="500">
        <v>0</v>
      </c>
      <c r="EL322" s="500">
        <v>0</v>
      </c>
      <c r="EM322" s="500">
        <v>0</v>
      </c>
      <c r="EN322" s="500">
        <v>0</v>
      </c>
      <c r="EO322">
        <v>7.7</v>
      </c>
      <c r="EP322">
        <v>6666</v>
      </c>
      <c r="EQ322">
        <v>0</v>
      </c>
      <c r="ER322">
        <v>1.9999999999999999E-6</v>
      </c>
      <c r="ES322">
        <v>-33163460674.777859</v>
      </c>
      <c r="ET322">
        <v>4.4514785469999998</v>
      </c>
      <c r="EU322">
        <v>7.0216750967317001</v>
      </c>
      <c r="EV322">
        <v>7.3342434599999997</v>
      </c>
      <c r="EW322">
        <v>67.454823922124703</v>
      </c>
      <c r="EX322">
        <v>0</v>
      </c>
      <c r="EY322">
        <v>0</v>
      </c>
      <c r="EZ322">
        <v>0</v>
      </c>
      <c r="FA322">
        <v>-15143690000</v>
      </c>
      <c r="FB322">
        <v>0</v>
      </c>
      <c r="FC322">
        <v>-15143690000</v>
      </c>
      <c r="FD322">
        <v>-15143690000</v>
      </c>
      <c r="FE322">
        <v>-15143690000</v>
      </c>
      <c r="FF322">
        <v>-15143690000</v>
      </c>
      <c r="FG322" s="32">
        <f>Bankingbook_SBV[[#This Row],[Mat. Date]]-RPT</f>
        <v>3702</v>
      </c>
      <c r="FH322" s="32">
        <f>IF(Bankingbook_SBV[[#This Row],[Days]]&lt;=0,0,YEARFRAC(RPT,Bankingbook_SBV[[#This Row],[Mat. Date]],3))</f>
        <v>10.142465753424657</v>
      </c>
      <c r="FI322" s="32" t="str">
        <f>IF(Bankingbook_SBV[[#This Row],[Days (year)]]=0,0,INDEX(Ref!$K$2:$K$13,MATCH(Bankingbook_SBV[[#This Row],[Days (year)]],Ref!$I$2:$I$13,1)))</f>
        <v>10Y</v>
      </c>
      <c r="FJ322" s="32" t="str">
        <f>VLOOKUP(Bankingbook_SBV[[#This Row],[Security Name]],Ref!X:Z,3,0)</f>
        <v>TPCP</v>
      </c>
      <c r="FK322" s="32" t="str">
        <f>VLOOKUP(Bankingbook_SBV[[#This Row],[Security Name]],Ref!X:Y,2,0)</f>
        <v>KBNN</v>
      </c>
      <c r="FL322" s="72">
        <f>IF((Bankingbook_SBV[[#This Row],[Mat. Date]]-RPT)&lt;=0,0,Bankingbook_SBV[[#This Row],[QUANTITY]])</f>
        <v>0</v>
      </c>
      <c r="FM322" s="32">
        <f>IF(Bankingbook_SBV[[#This Row],[Quantity_edited]]=0,0,Bankingbook_SBV[[#This Row],[DURATION]])</f>
        <v>0</v>
      </c>
      <c r="FN322" s="32">
        <f>IF(Bankingbook_SBV[[#This Row],[Quantity_edited]]=0,0,Bankingbook_SBV[[#This Row],[Mod Dur]])</f>
        <v>0</v>
      </c>
      <c r="FO322" s="32">
        <f>IF(Bankingbook_SBV[[#This Row],[Quantity_edited]]=0,0,Bankingbook_SBV[[#This Row],[Cnvx.]])</f>
        <v>0</v>
      </c>
      <c r="FP322" s="32">
        <f>(Bankingbook_SBV[[#This Row],[MARKET_VALUE]]+Bankingbook_SBV[[#This Row],[Accr Int]]*Bankingbook_SBV[[#This Row],[Quantity_edited]])*(-Bankingbook_SBV[[#This Row],[Modified Duration]]*0.0001+0.5*Bankingbook_SBV[[#This Row],[Conv]]*(0.0001^2))</f>
        <v>0</v>
      </c>
      <c r="FQ322" s="32">
        <f>(Bankingbook_SBV[[#This Row],[MARKET_VALUE]]+Bankingbook_SBV[[#This Row],[Accr Int]]*Bankingbook_SBV[[#This Row],[Quantity_edited]])*(-Bankingbook_SBV[[#This Row],[Modified Duration]]*0.01+0.5*Bankingbook_SBV[[#This Row],[Conv]]*(0.01^2))</f>
        <v>0</v>
      </c>
    </row>
    <row r="323" spans="2:173" x14ac:dyDescent="0.3">
      <c r="B323" t="s">
        <v>166</v>
      </c>
      <c r="C323" t="s">
        <v>167</v>
      </c>
      <c r="D323" t="s">
        <v>509</v>
      </c>
      <c r="E323" t="s">
        <v>169</v>
      </c>
      <c r="F323" s="502">
        <v>44762</v>
      </c>
      <c r="G323" t="s">
        <v>3322</v>
      </c>
      <c r="H323"/>
      <c r="I323"/>
      <c r="J323" s="38">
        <v>0</v>
      </c>
      <c r="K323">
        <v>0</v>
      </c>
      <c r="L323">
        <v>0</v>
      </c>
      <c r="M323" s="38">
        <v>0</v>
      </c>
      <c r="N323">
        <v>4.4000000000000004</v>
      </c>
      <c r="O323">
        <v>0</v>
      </c>
      <c r="P323" s="37">
        <v>4400000000</v>
      </c>
      <c r="Q323" s="37">
        <v>4451165277.7777977</v>
      </c>
      <c r="R323" s="37">
        <v>-1873702873.9583504</v>
      </c>
      <c r="S323">
        <v>0</v>
      </c>
      <c r="T323" s="70">
        <v>0</v>
      </c>
      <c r="U323">
        <v>0</v>
      </c>
      <c r="V323">
        <v>0</v>
      </c>
      <c r="W323">
        <v>0</v>
      </c>
      <c r="X323" s="38">
        <v>0</v>
      </c>
      <c r="Y323">
        <v>0</v>
      </c>
      <c r="Z323" s="70">
        <v>-2956000000</v>
      </c>
      <c r="AA323" s="70">
        <v>0</v>
      </c>
      <c r="AB323" s="70">
        <v>-2956000000</v>
      </c>
      <c r="AC323" s="70">
        <v>-2956000000</v>
      </c>
      <c r="AD323" s="70">
        <v>-2956000000</v>
      </c>
      <c r="AE323" s="70">
        <v>-2956000000</v>
      </c>
      <c r="AF323">
        <v>0</v>
      </c>
      <c r="AG323" s="72">
        <f>Tradingbook_MSB[[#This Row],[Mat. Date]]-RPT</f>
        <v>-1490</v>
      </c>
      <c r="AH323" s="71">
        <f>IF(Tradingbook_MSB[[#This Row],[Days]]&lt;=0,0,YEARFRAC(RPT,Tradingbook_MSB[[#This Row],[Mat. Date]],3))</f>
        <v>0</v>
      </c>
      <c r="AI323" s="71">
        <f>IF(Tradingbook_MSB[[#This Row],[Days (year)]]=0,0,INDEX(Ref!$K$2:$K$13,MATCH(Tradingbook_MSB[[#This Row],[Days (year)]],Ref!$I$2:$I$13,1)))</f>
        <v>0</v>
      </c>
      <c r="AJ323" s="120" t="str">
        <f>VLOOKUP(Tradingbook_MSB[[#This Row],[Security Name]],Ref!X:Z,3,0)</f>
        <v>TPCP</v>
      </c>
      <c r="AK323" s="120" t="str">
        <f>VLOOKUP(Tradingbook_MSB[[#This Row],[Security Name]],Ref!X:Y,2,0)</f>
        <v>KBNN</v>
      </c>
      <c r="AL323" s="71">
        <f>IF((Tradingbook_MSB[[#This Row],[Mat. Date]]-RPT)&lt;=0,0,Tradingbook_MSB[[#This Row],[QUANTITY]])</f>
        <v>0</v>
      </c>
      <c r="AM323" s="71">
        <f>IF(Tradingbook_MSB[[#This Row],[Quantity_edited]]=0,0,Tradingbook_MSB[[#This Row],[DURATION]])</f>
        <v>0</v>
      </c>
      <c r="AN323" s="71">
        <f>IF(Tradingbook_MSB[[#This Row],[Quantity_edited]]=0,0,Tradingbook_MSB[[#This Row],[Mod Dur]])</f>
        <v>0</v>
      </c>
      <c r="AO323" s="71">
        <f>IF(Tradingbook_MSB[[#This Row],[Quantity_edited]]=0,0,Tradingbook_MSB[[#This Row],[Cnvx.]])</f>
        <v>0</v>
      </c>
      <c r="AP323" s="71">
        <f>(Tradingbook_MSB[[#This Row],[MARKET_VALUE]]+Tradingbook_MSB[[#This Row],[Accr Int]]*Tradingbook_MSB[[#This Row],[Quantity_edited]])*(-Tradingbook_MSB[[#This Row],[Modified Duration]]*0.0001+0.5*Tradingbook_MSB[[#This Row],[Conv]]*(0.0001^2))</f>
        <v>0</v>
      </c>
      <c r="AQ323" s="72">
        <f>(Tradingbook_MSB[[#This Row],[MARKET_VALUE]]+Tradingbook_MSB[[#This Row],[Accr Int]]*Tradingbook_MSB[[#This Row],[Quantity_edited]])*(-Tradingbook_MSB[[#This Row],[Modified Duration]]*0.01+0.5*Tradingbook_MSB[[#This Row],[Conv]]*(0.01^2))</f>
        <v>0</v>
      </c>
      <c r="AR323" s="71"/>
      <c r="CL323" t="s">
        <v>166</v>
      </c>
      <c r="CM323" t="s">
        <v>167</v>
      </c>
      <c r="CN323" t="s">
        <v>512</v>
      </c>
      <c r="CO323" t="s">
        <v>169</v>
      </c>
      <c r="CP323" s="35">
        <v>44930</v>
      </c>
      <c r="CQ323" t="s">
        <v>3322</v>
      </c>
      <c r="CR323" t="s">
        <v>174</v>
      </c>
      <c r="CS323" t="s">
        <v>174</v>
      </c>
      <c r="CT323" s="49">
        <v>0</v>
      </c>
      <c r="CU323">
        <v>0</v>
      </c>
      <c r="CV323">
        <v>0</v>
      </c>
      <c r="CW323" s="70">
        <v>0</v>
      </c>
      <c r="CX323">
        <v>4.3</v>
      </c>
      <c r="CY323">
        <v>0</v>
      </c>
      <c r="CZ323">
        <v>14921000000</v>
      </c>
      <c r="DA323">
        <v>16089554693.888968</v>
      </c>
      <c r="DB323">
        <v>-15879835251.595182</v>
      </c>
      <c r="DC323">
        <v>4.3</v>
      </c>
      <c r="DD323">
        <v>0</v>
      </c>
      <c r="DE323">
        <v>0</v>
      </c>
      <c r="DF323">
        <v>0</v>
      </c>
      <c r="DG323">
        <v>0</v>
      </c>
      <c r="DH323">
        <v>0</v>
      </c>
      <c r="DI323">
        <v>0</v>
      </c>
      <c r="DJ323" s="500">
        <v>-5896767000</v>
      </c>
      <c r="DK323" s="500">
        <v>0</v>
      </c>
      <c r="DL323" s="37">
        <v>-5896767000</v>
      </c>
      <c r="DM323" s="37">
        <v>-5896767000</v>
      </c>
      <c r="DN323" s="37">
        <v>-5896767000</v>
      </c>
      <c r="DO323" s="37">
        <v>-5896767000</v>
      </c>
      <c r="DP323" s="32">
        <f>Tradingbook_SBV[[#This Row],[Mat. Date]]-RPT</f>
        <v>-1322</v>
      </c>
      <c r="DQ323" s="32">
        <f>IF(Tradingbook_SBV[[#This Row],[Days]]&lt;=0,0,YEARFRAC(RPT,Tradingbook_SBV[[#This Row],[Mat. Date]],3))</f>
        <v>0</v>
      </c>
      <c r="DR323" s="32">
        <f>IF(Tradingbook_SBV[[#This Row],[Days (year)]]=0,0,INDEX(Ref!$K$2:$K$13,MATCH(Tradingbook_SBV[[#This Row],[Days (year)]],Ref!$I$2:$I$13,1)))</f>
        <v>0</v>
      </c>
      <c r="DS323" s="32" t="str">
        <f>VLOOKUP(Tradingbook_SBV[[#This Row],[Security Name]],Ref!X:Z,3,0)</f>
        <v>TPCP</v>
      </c>
      <c r="DT323" s="32" t="str">
        <f>VLOOKUP(Tradingbook_SBV[[#This Row],[Security Name]],Ref!X:Y,2,0)</f>
        <v>KBNN</v>
      </c>
      <c r="DU323" s="71">
        <f>IF((Tradingbook_SBV[[#This Row],[Mat. Date]]-RPT)&lt;=0,0,Tradingbook_SBV[[#This Row],[QUANTITY]])</f>
        <v>0</v>
      </c>
      <c r="DV323" s="71">
        <f>IF(Tradingbook_SBV[[#This Row],[Quantity_edited]]=0,0,Tradingbook_SBV[[#This Row],[DURATION]])</f>
        <v>0</v>
      </c>
      <c r="DW323" s="71">
        <f>IF(Tradingbook_SBV[[#This Row],[Quantity_edited]]=0,0,Tradingbook_SBV[[#This Row],[Mod Dur]])</f>
        <v>0</v>
      </c>
      <c r="DX323" s="71">
        <f>IF(Tradingbook_SBV[[#This Row],[Quantity_edited]]=0,0,Tradingbook_SBV[[#This Row],[Cnvx.]])</f>
        <v>0</v>
      </c>
      <c r="DY323" s="71">
        <f>(Tradingbook_SBV[[#This Row],[MARKET_VALUE]]+Tradingbook_SBV[[#This Row],[Accr Int]]*Tradingbook_SBV[[#This Row],[Quantity_edited]])*(-Tradingbook_SBV[[#This Row],[Modified Duration]]*0.0001+0.5*Tradingbook_SBV[[#This Row],[Conv]]*(0.0001^2))</f>
        <v>0</v>
      </c>
      <c r="DZ323" s="71">
        <f>(Tradingbook_SBV[[#This Row],[MARKET_VALUE]]+Tradingbook_SBV[[#This Row],[Accr Int]]*Tradingbook_SBV[[#This Row],[Quantity_edited]])*(-Tradingbook_SBV[[#This Row],[Modified Duration]]*0.01+0.5*Tradingbook_SBV[[#This Row],[Conv]]*(0.01^2))</f>
        <v>0</v>
      </c>
      <c r="EC323" t="s">
        <v>166</v>
      </c>
      <c r="ED323" t="s">
        <v>3302</v>
      </c>
      <c r="EE323" t="s">
        <v>704</v>
      </c>
      <c r="EF323" t="s">
        <v>169</v>
      </c>
      <c r="EG323" s="35" t="s">
        <v>705</v>
      </c>
      <c r="EH323" t="s">
        <v>170</v>
      </c>
      <c r="EI323" s="500">
        <v>82533</v>
      </c>
      <c r="EJ323" s="500">
        <v>82533</v>
      </c>
      <c r="EK323" s="500">
        <v>500000</v>
      </c>
      <c r="EL323" s="500">
        <v>50000000000</v>
      </c>
      <c r="EM323" s="500">
        <v>98604.267000000007</v>
      </c>
      <c r="EN323" s="500">
        <v>41266500000</v>
      </c>
      <c r="EO323">
        <v>2.2999999999999998</v>
      </c>
      <c r="EP323">
        <v>1676</v>
      </c>
      <c r="EQ323">
        <v>2300000000</v>
      </c>
      <c r="ER323">
        <v>2447025902.7777791</v>
      </c>
      <c r="ES323">
        <v>-4915304370.5833368</v>
      </c>
      <c r="ET323">
        <v>4.454982824</v>
      </c>
      <c r="EU323">
        <v>8.5791466150302007</v>
      </c>
      <c r="EV323">
        <v>8.96134612</v>
      </c>
      <c r="EW323">
        <v>88.950236769704603</v>
      </c>
      <c r="EX323">
        <v>37452.052440700303</v>
      </c>
      <c r="EY323">
        <v>-36122.067865254001</v>
      </c>
      <c r="EZ323">
        <v>5028.1549999999997</v>
      </c>
      <c r="FA323">
        <v>-21166666.666649688</v>
      </c>
      <c r="FB323">
        <v>-8035633333.3333311</v>
      </c>
      <c r="FC323">
        <v>-8056799999.9999809</v>
      </c>
      <c r="FD323">
        <v>-8056799999.9999809</v>
      </c>
      <c r="FE323">
        <v>-8056800000</v>
      </c>
      <c r="FF323">
        <v>-8056799999.9999809</v>
      </c>
      <c r="FG323" s="32">
        <f>Bankingbook_SBV[[#This Row],[Mat. Date]]-RPT</f>
        <v>3752</v>
      </c>
      <c r="FH323" s="32">
        <f>IF(Bankingbook_SBV[[#This Row],[Days]]&lt;=0,0,YEARFRAC(RPT,Bankingbook_SBV[[#This Row],[Mat. Date]],3))</f>
        <v>10.27945205479452</v>
      </c>
      <c r="FI323" s="32" t="str">
        <f>IF(Bankingbook_SBV[[#This Row],[Days (year)]]=0,0,INDEX(Ref!$K$2:$K$13,MATCH(Bankingbook_SBV[[#This Row],[Days (year)]],Ref!$I$2:$I$13,1)))</f>
        <v>10Y</v>
      </c>
      <c r="FJ323" s="32" t="str">
        <f>VLOOKUP(Bankingbook_SBV[[#This Row],[Security Name]],Ref!X:Z,3,0)</f>
        <v>TPCP</v>
      </c>
      <c r="FK323" s="32" t="str">
        <f>VLOOKUP(Bankingbook_SBV[[#This Row],[Security Name]],Ref!X:Y,2,0)</f>
        <v>KBNN</v>
      </c>
      <c r="FL323" s="72">
        <f>IF((Bankingbook_SBV[[#This Row],[Mat. Date]]-RPT)&lt;=0,0,Bankingbook_SBV[[#This Row],[QUANTITY]])</f>
        <v>500000</v>
      </c>
      <c r="FM323" s="32">
        <f>IF(Bankingbook_SBV[[#This Row],[Quantity_edited]]=0,0,Bankingbook_SBV[[#This Row],[DURATION]])</f>
        <v>8.96134612</v>
      </c>
      <c r="FN323" s="32">
        <f>IF(Bankingbook_SBV[[#This Row],[Quantity_edited]]=0,0,Bankingbook_SBV[[#This Row],[Mod Dur]])</f>
        <v>8.5791466150302007</v>
      </c>
      <c r="FO323" s="32">
        <f>IF(Bankingbook_SBV[[#This Row],[Quantity_edited]]=0,0,Bankingbook_SBV[[#This Row],[Cnvx.]])</f>
        <v>88.950236769704603</v>
      </c>
      <c r="FP323" s="32">
        <f>(Bankingbook_SBV[[#This Row],[MARKET_VALUE]]+Bankingbook_SBV[[#This Row],[Accr Int]]*Bankingbook_SBV[[#This Row],[Quantity_edited]])*(-Bankingbook_SBV[[#This Row],[Modified Duration]]*0.0001+0.5*Bankingbook_SBV[[#This Row],[Conv]]*(0.0001^2))</f>
        <v>-36103341.839033559</v>
      </c>
      <c r="FQ323" s="32">
        <f>(Bankingbook_SBV[[#This Row],[MARKET_VALUE]]+Bankingbook_SBV[[#This Row],[Accr Int]]*Bankingbook_SBV[[#This Row],[Quantity_edited]])*(-Bankingbook_SBV[[#This Row],[Modified Duration]]*0.01+0.5*Bankingbook_SBV[[#This Row],[Conv]]*(0.01^2))</f>
        <v>-3424946524.3218894</v>
      </c>
    </row>
    <row r="324" spans="2:173" x14ac:dyDescent="0.3">
      <c r="B324" t="s">
        <v>166</v>
      </c>
      <c r="C324" t="s">
        <v>167</v>
      </c>
      <c r="D324" t="s">
        <v>510</v>
      </c>
      <c r="E324" t="s">
        <v>169</v>
      </c>
      <c r="F324" s="502">
        <v>44846</v>
      </c>
      <c r="G324" t="s">
        <v>3322</v>
      </c>
      <c r="H324"/>
      <c r="I324"/>
      <c r="J324" s="38">
        <v>0</v>
      </c>
      <c r="K324">
        <v>0</v>
      </c>
      <c r="L324">
        <v>0</v>
      </c>
      <c r="M324" s="38">
        <v>0</v>
      </c>
      <c r="N324">
        <v>4.5</v>
      </c>
      <c r="O324">
        <v>0</v>
      </c>
      <c r="P324" s="37">
        <v>4500000000</v>
      </c>
      <c r="Q324" s="37">
        <v>4764183437.5000076</v>
      </c>
      <c r="R324" s="37">
        <v>-2562748507.9583921</v>
      </c>
      <c r="S324">
        <v>4.5</v>
      </c>
      <c r="T324" s="70">
        <v>0</v>
      </c>
      <c r="U324">
        <v>0</v>
      </c>
      <c r="V324">
        <v>0</v>
      </c>
      <c r="W324">
        <v>0</v>
      </c>
      <c r="X324" s="38">
        <v>0</v>
      </c>
      <c r="Y324">
        <v>0</v>
      </c>
      <c r="Z324" s="70">
        <v>6097450000</v>
      </c>
      <c r="AA324" s="70">
        <v>0</v>
      </c>
      <c r="AB324" s="70">
        <v>6097450000</v>
      </c>
      <c r="AC324" s="70">
        <v>6097450000</v>
      </c>
      <c r="AD324" s="70">
        <v>6097450000</v>
      </c>
      <c r="AE324" s="70">
        <v>6097450000</v>
      </c>
      <c r="AF324">
        <v>0</v>
      </c>
      <c r="AG324" s="72">
        <f>Tradingbook_MSB[[#This Row],[Mat. Date]]-RPT</f>
        <v>-1406</v>
      </c>
      <c r="AH324" s="71">
        <f>IF(Tradingbook_MSB[[#This Row],[Days]]&lt;=0,0,YEARFRAC(RPT,Tradingbook_MSB[[#This Row],[Mat. Date]],3))</f>
        <v>0</v>
      </c>
      <c r="AI324" s="71">
        <f>IF(Tradingbook_MSB[[#This Row],[Days (year)]]=0,0,INDEX(Ref!$K$2:$K$13,MATCH(Tradingbook_MSB[[#This Row],[Days (year)]],Ref!$I$2:$I$13,1)))</f>
        <v>0</v>
      </c>
      <c r="AJ324" s="120" t="str">
        <f>VLOOKUP(Tradingbook_MSB[[#This Row],[Security Name]],Ref!X:Z,3,0)</f>
        <v>TPCP</v>
      </c>
      <c r="AK324" s="120" t="str">
        <f>VLOOKUP(Tradingbook_MSB[[#This Row],[Security Name]],Ref!X:Y,2,0)</f>
        <v>KBNN</v>
      </c>
      <c r="AL324" s="71">
        <f>IF((Tradingbook_MSB[[#This Row],[Mat. Date]]-RPT)&lt;=0,0,Tradingbook_MSB[[#This Row],[QUANTITY]])</f>
        <v>0</v>
      </c>
      <c r="AM324" s="71">
        <f>IF(Tradingbook_MSB[[#This Row],[Quantity_edited]]=0,0,Tradingbook_MSB[[#This Row],[DURATION]])</f>
        <v>0</v>
      </c>
      <c r="AN324" s="71">
        <f>IF(Tradingbook_MSB[[#This Row],[Quantity_edited]]=0,0,Tradingbook_MSB[[#This Row],[Mod Dur]])</f>
        <v>0</v>
      </c>
      <c r="AO324" s="71">
        <f>IF(Tradingbook_MSB[[#This Row],[Quantity_edited]]=0,0,Tradingbook_MSB[[#This Row],[Cnvx.]])</f>
        <v>0</v>
      </c>
      <c r="AP324" s="71">
        <f>(Tradingbook_MSB[[#This Row],[MARKET_VALUE]]+Tradingbook_MSB[[#This Row],[Accr Int]]*Tradingbook_MSB[[#This Row],[Quantity_edited]])*(-Tradingbook_MSB[[#This Row],[Modified Duration]]*0.0001+0.5*Tradingbook_MSB[[#This Row],[Conv]]*(0.0001^2))</f>
        <v>0</v>
      </c>
      <c r="AQ324" s="72">
        <f>(Tradingbook_MSB[[#This Row],[MARKET_VALUE]]+Tradingbook_MSB[[#This Row],[Accr Int]]*Tradingbook_MSB[[#This Row],[Quantity_edited]])*(-Tradingbook_MSB[[#This Row],[Modified Duration]]*0.01+0.5*Tradingbook_MSB[[#This Row],[Conv]]*(0.01^2))</f>
        <v>0</v>
      </c>
      <c r="AR324" s="71"/>
      <c r="CL324" t="s">
        <v>166</v>
      </c>
      <c r="CM324" t="s">
        <v>167</v>
      </c>
      <c r="CN324" t="s">
        <v>513</v>
      </c>
      <c r="CO324" t="s">
        <v>169</v>
      </c>
      <c r="CP324" s="35">
        <v>44957</v>
      </c>
      <c r="CQ324" t="s">
        <v>3322</v>
      </c>
      <c r="CR324" t="s">
        <v>174</v>
      </c>
      <c r="CS324" t="s">
        <v>174</v>
      </c>
      <c r="CT324" s="49">
        <v>0</v>
      </c>
      <c r="CU324">
        <v>0</v>
      </c>
      <c r="CV324">
        <v>0</v>
      </c>
      <c r="CW324" s="70">
        <v>0</v>
      </c>
      <c r="CX324">
        <v>9.1</v>
      </c>
      <c r="CY324">
        <v>0</v>
      </c>
      <c r="CZ324">
        <v>69706000000</v>
      </c>
      <c r="DA324">
        <v>77001508776.11113</v>
      </c>
      <c r="DB324">
        <v>-29219237219.114914</v>
      </c>
      <c r="DC324">
        <v>9.1</v>
      </c>
      <c r="DD324">
        <v>0</v>
      </c>
      <c r="DE324">
        <v>0</v>
      </c>
      <c r="DF324">
        <v>0</v>
      </c>
      <c r="DG324">
        <v>0</v>
      </c>
      <c r="DH324">
        <v>0</v>
      </c>
      <c r="DI324">
        <v>0</v>
      </c>
      <c r="DJ324" s="500">
        <v>-11755464843</v>
      </c>
      <c r="DK324" s="500">
        <v>0</v>
      </c>
      <c r="DL324" s="37">
        <v>-11755464843</v>
      </c>
      <c r="DM324" s="37">
        <v>-11755464843</v>
      </c>
      <c r="DN324" s="37">
        <v>-11755464843</v>
      </c>
      <c r="DO324" s="37">
        <v>-11755464843</v>
      </c>
      <c r="DP324" s="32">
        <f>Tradingbook_SBV[[#This Row],[Mat. Date]]-RPT</f>
        <v>-1295</v>
      </c>
      <c r="DQ324" s="32">
        <f>IF(Tradingbook_SBV[[#This Row],[Days]]&lt;=0,0,YEARFRAC(RPT,Tradingbook_SBV[[#This Row],[Mat. Date]],3))</f>
        <v>0</v>
      </c>
      <c r="DR324" s="32">
        <f>IF(Tradingbook_SBV[[#This Row],[Days (year)]]=0,0,INDEX(Ref!$K$2:$K$13,MATCH(Tradingbook_SBV[[#This Row],[Days (year)]],Ref!$I$2:$I$13,1)))</f>
        <v>0</v>
      </c>
      <c r="DS324" s="32" t="str">
        <f>VLOOKUP(Tradingbook_SBV[[#This Row],[Security Name]],Ref!X:Z,3,0)</f>
        <v>TPCP</v>
      </c>
      <c r="DT324" s="32" t="str">
        <f>VLOOKUP(Tradingbook_SBV[[#This Row],[Security Name]],Ref!X:Y,2,0)</f>
        <v>KBNN</v>
      </c>
      <c r="DU324" s="71">
        <f>IF((Tradingbook_SBV[[#This Row],[Mat. Date]]-RPT)&lt;=0,0,Tradingbook_SBV[[#This Row],[QUANTITY]])</f>
        <v>0</v>
      </c>
      <c r="DV324" s="71">
        <f>IF(Tradingbook_SBV[[#This Row],[Quantity_edited]]=0,0,Tradingbook_SBV[[#This Row],[DURATION]])</f>
        <v>0</v>
      </c>
      <c r="DW324" s="71">
        <f>IF(Tradingbook_SBV[[#This Row],[Quantity_edited]]=0,0,Tradingbook_SBV[[#This Row],[Mod Dur]])</f>
        <v>0</v>
      </c>
      <c r="DX324" s="71">
        <f>IF(Tradingbook_SBV[[#This Row],[Quantity_edited]]=0,0,Tradingbook_SBV[[#This Row],[Cnvx.]])</f>
        <v>0</v>
      </c>
      <c r="DY324" s="71">
        <f>(Tradingbook_SBV[[#This Row],[MARKET_VALUE]]+Tradingbook_SBV[[#This Row],[Accr Int]]*Tradingbook_SBV[[#This Row],[Quantity_edited]])*(-Tradingbook_SBV[[#This Row],[Modified Duration]]*0.0001+0.5*Tradingbook_SBV[[#This Row],[Conv]]*(0.0001^2))</f>
        <v>0</v>
      </c>
      <c r="DZ324" s="71">
        <f>(Tradingbook_SBV[[#This Row],[MARKET_VALUE]]+Tradingbook_SBV[[#This Row],[Accr Int]]*Tradingbook_SBV[[#This Row],[Quantity_edited]])*(-Tradingbook_SBV[[#This Row],[Modified Duration]]*0.01+0.5*Tradingbook_SBV[[#This Row],[Conv]]*(0.01^2))</f>
        <v>0</v>
      </c>
      <c r="EC324" t="s">
        <v>166</v>
      </c>
      <c r="ED324" t="s">
        <v>3302</v>
      </c>
      <c r="EE324" t="s">
        <v>706</v>
      </c>
      <c r="EF324" t="s">
        <v>169</v>
      </c>
      <c r="EG324" s="35" t="s">
        <v>3844</v>
      </c>
      <c r="EH324" t="s">
        <v>3322</v>
      </c>
      <c r="EI324" s="500">
        <v>82354</v>
      </c>
      <c r="EJ324" s="500">
        <v>82354</v>
      </c>
      <c r="EK324" s="500">
        <v>0</v>
      </c>
      <c r="EL324" s="500">
        <v>0</v>
      </c>
      <c r="EM324" s="500">
        <v>0</v>
      </c>
      <c r="EN324" s="500">
        <v>0</v>
      </c>
      <c r="EO324">
        <v>2.2999999999999998</v>
      </c>
      <c r="EP324">
        <v>1412</v>
      </c>
      <c r="EQ324">
        <v>0</v>
      </c>
      <c r="ER324">
        <v>0</v>
      </c>
      <c r="ES324">
        <v>-758225211.24995947</v>
      </c>
      <c r="ET324">
        <v>4.4579662320000004</v>
      </c>
      <c r="EU324">
        <v>8.6888464063755002</v>
      </c>
      <c r="EV324">
        <v>9.0761922500000001</v>
      </c>
      <c r="EW324">
        <v>90.950044769741396</v>
      </c>
      <c r="EX324">
        <v>0</v>
      </c>
      <c r="EY324">
        <v>0</v>
      </c>
      <c r="EZ324">
        <v>0</v>
      </c>
      <c r="FA324">
        <v>-2514500000</v>
      </c>
      <c r="FB324">
        <v>0</v>
      </c>
      <c r="FC324">
        <v>-2514500000</v>
      </c>
      <c r="FD324">
        <v>-2514500000</v>
      </c>
      <c r="FE324">
        <v>-2514500000</v>
      </c>
      <c r="FF324">
        <v>-2514500000</v>
      </c>
      <c r="FG324" s="32">
        <f>Bankingbook_SBV[[#This Row],[Mat. Date]]-RPT</f>
        <v>3794</v>
      </c>
      <c r="FH324" s="32">
        <f>IF(Bankingbook_SBV[[#This Row],[Days]]&lt;=0,0,YEARFRAC(RPT,Bankingbook_SBV[[#This Row],[Mat. Date]],3))</f>
        <v>10.394520547945206</v>
      </c>
      <c r="FI324" s="32" t="str">
        <f>IF(Bankingbook_SBV[[#This Row],[Days (year)]]=0,0,INDEX(Ref!$K$2:$K$13,MATCH(Bankingbook_SBV[[#This Row],[Days (year)]],Ref!$I$2:$I$13,1)))</f>
        <v>10Y</v>
      </c>
      <c r="FJ324" s="32" t="str">
        <f>VLOOKUP(Bankingbook_SBV[[#This Row],[Security Name]],Ref!X:Z,3,0)</f>
        <v>TPCP</v>
      </c>
      <c r="FK324" s="32" t="str">
        <f>VLOOKUP(Bankingbook_SBV[[#This Row],[Security Name]],Ref!X:Y,2,0)</f>
        <v>KBNN</v>
      </c>
      <c r="FL324" s="72">
        <f>IF((Bankingbook_SBV[[#This Row],[Mat. Date]]-RPT)&lt;=0,0,Bankingbook_SBV[[#This Row],[QUANTITY]])</f>
        <v>0</v>
      </c>
      <c r="FM324" s="32">
        <f>IF(Bankingbook_SBV[[#This Row],[Quantity_edited]]=0,0,Bankingbook_SBV[[#This Row],[DURATION]])</f>
        <v>0</v>
      </c>
      <c r="FN324" s="32">
        <f>IF(Bankingbook_SBV[[#This Row],[Quantity_edited]]=0,0,Bankingbook_SBV[[#This Row],[Mod Dur]])</f>
        <v>0</v>
      </c>
      <c r="FO324" s="32">
        <f>IF(Bankingbook_SBV[[#This Row],[Quantity_edited]]=0,0,Bankingbook_SBV[[#This Row],[Cnvx.]])</f>
        <v>0</v>
      </c>
      <c r="FP324" s="32">
        <f>(Bankingbook_SBV[[#This Row],[MARKET_VALUE]]+Bankingbook_SBV[[#This Row],[Accr Int]]*Bankingbook_SBV[[#This Row],[Quantity_edited]])*(-Bankingbook_SBV[[#This Row],[Modified Duration]]*0.0001+0.5*Bankingbook_SBV[[#This Row],[Conv]]*(0.0001^2))</f>
        <v>0</v>
      </c>
      <c r="FQ324" s="32">
        <f>(Bankingbook_SBV[[#This Row],[MARKET_VALUE]]+Bankingbook_SBV[[#This Row],[Accr Int]]*Bankingbook_SBV[[#This Row],[Quantity_edited]])*(-Bankingbook_SBV[[#This Row],[Modified Duration]]*0.01+0.5*Bankingbook_SBV[[#This Row],[Conv]]*(0.01^2))</f>
        <v>0</v>
      </c>
    </row>
    <row r="325" spans="2:173" x14ac:dyDescent="0.3">
      <c r="B325" t="s">
        <v>166</v>
      </c>
      <c r="C325" t="s">
        <v>167</v>
      </c>
      <c r="D325" t="s">
        <v>511</v>
      </c>
      <c r="E325" t="s">
        <v>169</v>
      </c>
      <c r="F325" s="502">
        <v>44894</v>
      </c>
      <c r="G325" t="s">
        <v>170</v>
      </c>
      <c r="H325"/>
      <c r="I325"/>
      <c r="J325" s="38">
        <v>5000000</v>
      </c>
      <c r="K325">
        <v>500000000000</v>
      </c>
      <c r="L325">
        <v>98319.842000000004</v>
      </c>
      <c r="M325" s="38">
        <v>0</v>
      </c>
      <c r="N325">
        <v>5</v>
      </c>
      <c r="O325">
        <v>0</v>
      </c>
      <c r="P325" s="37">
        <v>125000000000</v>
      </c>
      <c r="Q325" s="37">
        <v>129529670138.88892</v>
      </c>
      <c r="R325" s="37">
        <v>-50147809406.944809</v>
      </c>
      <c r="S325">
        <v>5</v>
      </c>
      <c r="T325" s="70">
        <v>0</v>
      </c>
      <c r="U325">
        <v>0</v>
      </c>
      <c r="V325">
        <v>0</v>
      </c>
      <c r="W325">
        <v>0</v>
      </c>
      <c r="X325" s="38">
        <v>0</v>
      </c>
      <c r="Y325">
        <v>0</v>
      </c>
      <c r="Z325" s="70">
        <v>14999999.999985695</v>
      </c>
      <c r="AA325" s="70">
        <v>0</v>
      </c>
      <c r="AB325" s="70">
        <v>14999999.9999857</v>
      </c>
      <c r="AC325" s="70">
        <v>14999999.9999857</v>
      </c>
      <c r="AD325" s="70">
        <v>15000000</v>
      </c>
      <c r="AE325" s="70">
        <v>14999999.9999857</v>
      </c>
      <c r="AF325">
        <v>5.213453017</v>
      </c>
      <c r="AG325" s="72">
        <f>Tradingbook_MSB[[#This Row],[Mat. Date]]-RPT</f>
        <v>-1358</v>
      </c>
      <c r="AH325" s="71">
        <f>IF(Tradingbook_MSB[[#This Row],[Days]]&lt;=0,0,YEARFRAC(RPT,Tradingbook_MSB[[#This Row],[Mat. Date]],3))</f>
        <v>0</v>
      </c>
      <c r="AI325" s="71">
        <f>IF(Tradingbook_MSB[[#This Row],[Days (year)]]=0,0,INDEX(Ref!$K$2:$K$13,MATCH(Tradingbook_MSB[[#This Row],[Days (year)]],Ref!$I$2:$I$13,1)))</f>
        <v>0</v>
      </c>
      <c r="AJ325" s="120" t="str">
        <f>VLOOKUP(Tradingbook_MSB[[#This Row],[Security Name]],Ref!X:Z,3,0)</f>
        <v>TPCPBL</v>
      </c>
      <c r="AK325" s="120" t="str">
        <f>VLOOKUP(Tradingbook_MSB[[#This Row],[Security Name]],Ref!X:Y,2,0)</f>
        <v>VDB</v>
      </c>
      <c r="AL325" s="71">
        <f>IF((Tradingbook_MSB[[#This Row],[Mat. Date]]-RPT)&lt;=0,0,Tradingbook_MSB[[#This Row],[QUANTITY]])</f>
        <v>0</v>
      </c>
      <c r="AM325" s="71">
        <f>IF(Tradingbook_MSB[[#This Row],[Quantity_edited]]=0,0,Tradingbook_MSB[[#This Row],[DURATION]])</f>
        <v>0</v>
      </c>
      <c r="AN325" s="71">
        <f>IF(Tradingbook_MSB[[#This Row],[Quantity_edited]]=0,0,Tradingbook_MSB[[#This Row],[Mod Dur]])</f>
        <v>0</v>
      </c>
      <c r="AO325" s="71">
        <f>IF(Tradingbook_MSB[[#This Row],[Quantity_edited]]=0,0,Tradingbook_MSB[[#This Row],[Cnvx.]])</f>
        <v>0</v>
      </c>
      <c r="AP325" s="71">
        <f>(Tradingbook_MSB[[#This Row],[MARKET_VALUE]]+Tradingbook_MSB[[#This Row],[Accr Int]]*Tradingbook_MSB[[#This Row],[Quantity_edited]])*(-Tradingbook_MSB[[#This Row],[Modified Duration]]*0.0001+0.5*Tradingbook_MSB[[#This Row],[Conv]]*(0.0001^2))</f>
        <v>0</v>
      </c>
      <c r="AQ325" s="72">
        <f>(Tradingbook_MSB[[#This Row],[MARKET_VALUE]]+Tradingbook_MSB[[#This Row],[Accr Int]]*Tradingbook_MSB[[#This Row],[Quantity_edited]])*(-Tradingbook_MSB[[#This Row],[Modified Duration]]*0.01+0.5*Tradingbook_MSB[[#This Row],[Conv]]*(0.01^2))</f>
        <v>0</v>
      </c>
      <c r="AR325" s="71"/>
      <c r="CL325" t="s">
        <v>166</v>
      </c>
      <c r="CM325" t="s">
        <v>167</v>
      </c>
      <c r="CN325" t="s">
        <v>515</v>
      </c>
      <c r="CO325" t="s">
        <v>169</v>
      </c>
      <c r="CP325" s="35">
        <v>45007</v>
      </c>
      <c r="CQ325" t="s">
        <v>3322</v>
      </c>
      <c r="CR325" t="s">
        <v>174</v>
      </c>
      <c r="CS325" t="s">
        <v>174</v>
      </c>
      <c r="CT325" s="49">
        <v>0</v>
      </c>
      <c r="CU325">
        <v>0</v>
      </c>
      <c r="CV325">
        <v>0</v>
      </c>
      <c r="CW325" s="70">
        <v>0</v>
      </c>
      <c r="CX325">
        <v>2.9</v>
      </c>
      <c r="CY325">
        <v>0</v>
      </c>
      <c r="CZ325">
        <v>15950000000</v>
      </c>
      <c r="DA325">
        <v>17084217388.888954</v>
      </c>
      <c r="DB325">
        <v>-26558441075.069988</v>
      </c>
      <c r="DC325">
        <v>2.9</v>
      </c>
      <c r="DD325">
        <v>0</v>
      </c>
      <c r="DE325">
        <v>0</v>
      </c>
      <c r="DF325">
        <v>0</v>
      </c>
      <c r="DG325">
        <v>0</v>
      </c>
      <c r="DH325">
        <v>0</v>
      </c>
      <c r="DI325">
        <v>0</v>
      </c>
      <c r="DJ325" s="500">
        <v>536500000.00097656</v>
      </c>
      <c r="DK325" s="500">
        <v>0</v>
      </c>
      <c r="DL325" s="37">
        <v>536500000.00097662</v>
      </c>
      <c r="DM325" s="37">
        <v>536500000.00097662</v>
      </c>
      <c r="DN325" s="37">
        <v>536500000.00099999</v>
      </c>
      <c r="DO325" s="37">
        <v>536500000.00097662</v>
      </c>
      <c r="DP325" s="32">
        <f>Tradingbook_SBV[[#This Row],[Mat. Date]]-RPT</f>
        <v>-1245</v>
      </c>
      <c r="DQ325" s="32">
        <f>IF(Tradingbook_SBV[[#This Row],[Days]]&lt;=0,0,YEARFRAC(RPT,Tradingbook_SBV[[#This Row],[Mat. Date]],3))</f>
        <v>0</v>
      </c>
      <c r="DR325" s="32">
        <f>IF(Tradingbook_SBV[[#This Row],[Days (year)]]=0,0,INDEX(Ref!$K$2:$K$13,MATCH(Tradingbook_SBV[[#This Row],[Days (year)]],Ref!$I$2:$I$13,1)))</f>
        <v>0</v>
      </c>
      <c r="DS325" s="32" t="str">
        <f>VLOOKUP(Tradingbook_SBV[[#This Row],[Security Name]],Ref!X:Z,3,0)</f>
        <v>TPCP</v>
      </c>
      <c r="DT325" s="32" t="str">
        <f>VLOOKUP(Tradingbook_SBV[[#This Row],[Security Name]],Ref!X:Y,2,0)</f>
        <v>KBNN</v>
      </c>
      <c r="DU325" s="71">
        <f>IF((Tradingbook_SBV[[#This Row],[Mat. Date]]-RPT)&lt;=0,0,Tradingbook_SBV[[#This Row],[QUANTITY]])</f>
        <v>0</v>
      </c>
      <c r="DV325" s="71">
        <f>IF(Tradingbook_SBV[[#This Row],[Quantity_edited]]=0,0,Tradingbook_SBV[[#This Row],[DURATION]])</f>
        <v>0</v>
      </c>
      <c r="DW325" s="71">
        <f>IF(Tradingbook_SBV[[#This Row],[Quantity_edited]]=0,0,Tradingbook_SBV[[#This Row],[Mod Dur]])</f>
        <v>0</v>
      </c>
      <c r="DX325" s="71">
        <f>IF(Tradingbook_SBV[[#This Row],[Quantity_edited]]=0,0,Tradingbook_SBV[[#This Row],[Cnvx.]])</f>
        <v>0</v>
      </c>
      <c r="DY325" s="71">
        <f>(Tradingbook_SBV[[#This Row],[MARKET_VALUE]]+Tradingbook_SBV[[#This Row],[Accr Int]]*Tradingbook_SBV[[#This Row],[Quantity_edited]])*(-Tradingbook_SBV[[#This Row],[Modified Duration]]*0.0001+0.5*Tradingbook_SBV[[#This Row],[Conv]]*(0.0001^2))</f>
        <v>0</v>
      </c>
      <c r="DZ325" s="71">
        <f>(Tradingbook_SBV[[#This Row],[MARKET_VALUE]]+Tradingbook_SBV[[#This Row],[Accr Int]]*Tradingbook_SBV[[#This Row],[Quantity_edited]])*(-Tradingbook_SBV[[#This Row],[Modified Duration]]*0.01+0.5*Tradingbook_SBV[[#This Row],[Conv]]*(0.01^2))</f>
        <v>0</v>
      </c>
      <c r="EC325" t="s">
        <v>166</v>
      </c>
      <c r="ED325" t="s">
        <v>3302</v>
      </c>
      <c r="EE325" t="s">
        <v>683</v>
      </c>
      <c r="EF325" t="s">
        <v>169</v>
      </c>
      <c r="EG325" s="35" t="s">
        <v>3461</v>
      </c>
      <c r="EH325" t="s">
        <v>170</v>
      </c>
      <c r="EI325" s="500">
        <v>126513</v>
      </c>
      <c r="EJ325" s="500">
        <v>126513</v>
      </c>
      <c r="EK325" s="500">
        <v>290000</v>
      </c>
      <c r="EL325" s="500">
        <v>29000000000</v>
      </c>
      <c r="EM325" s="500">
        <v>115589.88</v>
      </c>
      <c r="EN325" s="500">
        <v>36688770000</v>
      </c>
      <c r="EO325">
        <v>7.7</v>
      </c>
      <c r="EP325">
        <v>4451</v>
      </c>
      <c r="EQ325">
        <v>60214000000</v>
      </c>
      <c r="ER325">
        <v>69899888209.861145</v>
      </c>
      <c r="ES325">
        <v>-18611077588.055496</v>
      </c>
      <c r="ET325">
        <v>4.4590061329999999</v>
      </c>
      <c r="EU325">
        <v>7.2957003197823003</v>
      </c>
      <c r="EV325">
        <v>7.6210160399999998</v>
      </c>
      <c r="EW325">
        <v>71.640741790773006</v>
      </c>
      <c r="EX325">
        <v>27208.838512871698</v>
      </c>
      <c r="EY325">
        <v>-27708.748803719001</v>
      </c>
      <c r="EZ325">
        <v>4539.5590000000002</v>
      </c>
      <c r="FA325">
        <v>40835055328.413383</v>
      </c>
      <c r="FB325">
        <v>3167704671.5867171</v>
      </c>
      <c r="FC325">
        <v>44002760000.000099</v>
      </c>
      <c r="FD325">
        <v>44002760000.000099</v>
      </c>
      <c r="FE325">
        <v>44002760000</v>
      </c>
      <c r="FF325">
        <v>44002760000.000099</v>
      </c>
      <c r="FG325" s="32">
        <f>Bankingbook_SBV[[#This Row],[Mat. Date]]-RPT</f>
        <v>3807</v>
      </c>
      <c r="FH325" s="32">
        <f>IF(Bankingbook_SBV[[#This Row],[Days]]&lt;=0,0,YEARFRAC(RPT,Bankingbook_SBV[[#This Row],[Mat. Date]],3))</f>
        <v>10.43013698630137</v>
      </c>
      <c r="FI325" s="32" t="str">
        <f>IF(Bankingbook_SBV[[#This Row],[Days (year)]]=0,0,INDEX(Ref!$K$2:$K$13,MATCH(Bankingbook_SBV[[#This Row],[Days (year)]],Ref!$I$2:$I$13,1)))</f>
        <v>10Y</v>
      </c>
      <c r="FJ325" s="32" t="str">
        <f>VLOOKUP(Bankingbook_SBV[[#This Row],[Security Name]],Ref!X:Z,3,0)</f>
        <v>TPCP</v>
      </c>
      <c r="FK325" s="32" t="str">
        <f>VLOOKUP(Bankingbook_SBV[[#This Row],[Security Name]],Ref!X:Y,2,0)</f>
        <v>KBNN</v>
      </c>
      <c r="FL325" s="72">
        <f>IF((Bankingbook_SBV[[#This Row],[Mat. Date]]-RPT)&lt;=0,0,Bankingbook_SBV[[#This Row],[QUANTITY]])</f>
        <v>290000</v>
      </c>
      <c r="FM325" s="32">
        <f>IF(Bankingbook_SBV[[#This Row],[Quantity_edited]]=0,0,Bankingbook_SBV[[#This Row],[DURATION]])</f>
        <v>7.6210160399999998</v>
      </c>
      <c r="FN325" s="32">
        <f>IF(Bankingbook_SBV[[#This Row],[Quantity_edited]]=0,0,Bankingbook_SBV[[#This Row],[Mod Dur]])</f>
        <v>7.2957003197823003</v>
      </c>
      <c r="FO325" s="32">
        <f>IF(Bankingbook_SBV[[#This Row],[Quantity_edited]]=0,0,Bankingbook_SBV[[#This Row],[Cnvx.]])</f>
        <v>71.640741790773006</v>
      </c>
      <c r="FP325" s="32">
        <f>(Bankingbook_SBV[[#This Row],[MARKET_VALUE]]+Bankingbook_SBV[[#This Row],[Accr Int]]*Bankingbook_SBV[[#This Row],[Quantity_edited]])*(-Bankingbook_SBV[[#This Row],[Modified Duration]]*0.0001+0.5*Bankingbook_SBV[[#This Row],[Conv]]*(0.0001^2))</f>
        <v>-27695144.384462673</v>
      </c>
      <c r="FQ325" s="32">
        <f>(Bankingbook_SBV[[#This Row],[MARKET_VALUE]]+Bankingbook_SBV[[#This Row],[Accr Int]]*Bankingbook_SBV[[#This Row],[Quantity_edited]])*(-Bankingbook_SBV[[#This Row],[Modified Duration]]*0.01+0.5*Bankingbook_SBV[[#This Row],[Conv]]*(0.01^2))</f>
        <v>-2634830687.8075519</v>
      </c>
    </row>
    <row r="326" spans="2:173" x14ac:dyDescent="0.3">
      <c r="B326" t="s">
        <v>166</v>
      </c>
      <c r="C326" t="s">
        <v>167</v>
      </c>
      <c r="D326" t="s">
        <v>512</v>
      </c>
      <c r="E326" t="s">
        <v>169</v>
      </c>
      <c r="F326" s="502">
        <v>44930</v>
      </c>
      <c r="G326" t="s">
        <v>3322</v>
      </c>
      <c r="H326"/>
      <c r="I326"/>
      <c r="J326" s="38">
        <v>0</v>
      </c>
      <c r="K326">
        <v>0</v>
      </c>
      <c r="L326">
        <v>0</v>
      </c>
      <c r="M326" s="38">
        <v>0</v>
      </c>
      <c r="N326">
        <v>4.3</v>
      </c>
      <c r="O326">
        <v>0</v>
      </c>
      <c r="P326" s="37">
        <v>14921000000</v>
      </c>
      <c r="Q326" s="37">
        <v>16089554693.888969</v>
      </c>
      <c r="R326" s="37">
        <v>-16702150889.595224</v>
      </c>
      <c r="S326">
        <v>4.3</v>
      </c>
      <c r="T326" s="70">
        <v>0</v>
      </c>
      <c r="U326">
        <v>0</v>
      </c>
      <c r="V326">
        <v>0</v>
      </c>
      <c r="W326">
        <v>0</v>
      </c>
      <c r="X326" s="38">
        <v>0</v>
      </c>
      <c r="Y326">
        <v>0</v>
      </c>
      <c r="Z326" s="70">
        <v>-7920597000</v>
      </c>
      <c r="AA326" s="70">
        <v>0</v>
      </c>
      <c r="AB326" s="70">
        <v>-7920597000</v>
      </c>
      <c r="AC326" s="70">
        <v>-7920597000</v>
      </c>
      <c r="AD326" s="70">
        <v>-7920597000</v>
      </c>
      <c r="AE326" s="70">
        <v>-7920597000</v>
      </c>
      <c r="AF326">
        <v>0</v>
      </c>
      <c r="AG326" s="72">
        <f>Tradingbook_MSB[[#This Row],[Mat. Date]]-RPT</f>
        <v>-1322</v>
      </c>
      <c r="AH326" s="71">
        <f>IF(Tradingbook_MSB[[#This Row],[Days]]&lt;=0,0,YEARFRAC(RPT,Tradingbook_MSB[[#This Row],[Mat. Date]],3))</f>
        <v>0</v>
      </c>
      <c r="AI326" s="71">
        <f>IF(Tradingbook_MSB[[#This Row],[Days (year)]]=0,0,INDEX(Ref!$K$2:$K$13,MATCH(Tradingbook_MSB[[#This Row],[Days (year)]],Ref!$I$2:$I$13,1)))</f>
        <v>0</v>
      </c>
      <c r="AJ326" s="120" t="str">
        <f>VLOOKUP(Tradingbook_MSB[[#This Row],[Security Name]],Ref!X:Z,3,0)</f>
        <v>TPCP</v>
      </c>
      <c r="AK326" s="120" t="str">
        <f>VLOOKUP(Tradingbook_MSB[[#This Row],[Security Name]],Ref!X:Y,2,0)</f>
        <v>KBNN</v>
      </c>
      <c r="AL326" s="71">
        <f>IF((Tradingbook_MSB[[#This Row],[Mat. Date]]-RPT)&lt;=0,0,Tradingbook_MSB[[#This Row],[QUANTITY]])</f>
        <v>0</v>
      </c>
      <c r="AM326" s="71">
        <f>IF(Tradingbook_MSB[[#This Row],[Quantity_edited]]=0,0,Tradingbook_MSB[[#This Row],[DURATION]])</f>
        <v>0</v>
      </c>
      <c r="AN326" s="71">
        <f>IF(Tradingbook_MSB[[#This Row],[Quantity_edited]]=0,0,Tradingbook_MSB[[#This Row],[Mod Dur]])</f>
        <v>0</v>
      </c>
      <c r="AO326" s="71">
        <f>IF(Tradingbook_MSB[[#This Row],[Quantity_edited]]=0,0,Tradingbook_MSB[[#This Row],[Cnvx.]])</f>
        <v>0</v>
      </c>
      <c r="AP326" s="71">
        <f>(Tradingbook_MSB[[#This Row],[MARKET_VALUE]]+Tradingbook_MSB[[#This Row],[Accr Int]]*Tradingbook_MSB[[#This Row],[Quantity_edited]])*(-Tradingbook_MSB[[#This Row],[Modified Duration]]*0.0001+0.5*Tradingbook_MSB[[#This Row],[Conv]]*(0.0001^2))</f>
        <v>0</v>
      </c>
      <c r="AQ326" s="72">
        <f>(Tradingbook_MSB[[#This Row],[MARKET_VALUE]]+Tradingbook_MSB[[#This Row],[Accr Int]]*Tradingbook_MSB[[#This Row],[Quantity_edited]])*(-Tradingbook_MSB[[#This Row],[Modified Duration]]*0.01+0.5*Tradingbook_MSB[[#This Row],[Conv]]*(0.01^2))</f>
        <v>0</v>
      </c>
      <c r="AR326" s="71"/>
      <c r="CL326" t="s">
        <v>166</v>
      </c>
      <c r="CM326" t="s">
        <v>167</v>
      </c>
      <c r="CN326" t="s">
        <v>516</v>
      </c>
      <c r="CO326" t="s">
        <v>169</v>
      </c>
      <c r="CP326" s="35">
        <v>45010</v>
      </c>
      <c r="CQ326" t="s">
        <v>3322</v>
      </c>
      <c r="CR326" t="s">
        <v>174</v>
      </c>
      <c r="CS326" t="s">
        <v>174</v>
      </c>
      <c r="CT326" s="49">
        <v>0</v>
      </c>
      <c r="CU326">
        <v>0</v>
      </c>
      <c r="CV326">
        <v>0</v>
      </c>
      <c r="CW326" s="70">
        <v>0</v>
      </c>
      <c r="CX326">
        <v>9.4</v>
      </c>
      <c r="CY326">
        <v>0</v>
      </c>
      <c r="CZ326">
        <v>37600000000</v>
      </c>
      <c r="DA326">
        <v>41992573000.000023</v>
      </c>
      <c r="DB326">
        <v>-11806487943.9583</v>
      </c>
      <c r="DC326">
        <v>9.4</v>
      </c>
      <c r="DD326">
        <v>0</v>
      </c>
      <c r="DE326">
        <v>0</v>
      </c>
      <c r="DF326">
        <v>0</v>
      </c>
      <c r="DG326">
        <v>0</v>
      </c>
      <c r="DH326">
        <v>0</v>
      </c>
      <c r="DI326">
        <v>0</v>
      </c>
      <c r="DJ326" s="500">
        <v>-9074500000</v>
      </c>
      <c r="DK326" s="500">
        <v>0</v>
      </c>
      <c r="DL326" s="37">
        <v>-9074500000</v>
      </c>
      <c r="DM326" s="37">
        <v>-9074500000</v>
      </c>
      <c r="DN326" s="37">
        <v>-9074500000</v>
      </c>
      <c r="DO326" s="37">
        <v>-9074500000</v>
      </c>
      <c r="DP326" s="32">
        <f>Tradingbook_SBV[[#This Row],[Mat. Date]]-RPT</f>
        <v>-1242</v>
      </c>
      <c r="DQ326" s="32">
        <f>IF(Tradingbook_SBV[[#This Row],[Days]]&lt;=0,0,YEARFRAC(RPT,Tradingbook_SBV[[#This Row],[Mat. Date]],3))</f>
        <v>0</v>
      </c>
      <c r="DR326" s="32">
        <f>IF(Tradingbook_SBV[[#This Row],[Days (year)]]=0,0,INDEX(Ref!$K$2:$K$13,MATCH(Tradingbook_SBV[[#This Row],[Days (year)]],Ref!$I$2:$I$13,1)))</f>
        <v>0</v>
      </c>
      <c r="DS326" s="32" t="str">
        <f>VLOOKUP(Tradingbook_SBV[[#This Row],[Security Name]],Ref!X:Z,3,0)</f>
        <v>TPCPBL</v>
      </c>
      <c r="DT326" s="32" t="str">
        <f>VLOOKUP(Tradingbook_SBV[[#This Row],[Security Name]],Ref!X:Y,2,0)</f>
        <v>VDB</v>
      </c>
      <c r="DU326" s="71">
        <f>IF((Tradingbook_SBV[[#This Row],[Mat. Date]]-RPT)&lt;=0,0,Tradingbook_SBV[[#This Row],[QUANTITY]])</f>
        <v>0</v>
      </c>
      <c r="DV326" s="71">
        <f>IF(Tradingbook_SBV[[#This Row],[Quantity_edited]]=0,0,Tradingbook_SBV[[#This Row],[DURATION]])</f>
        <v>0</v>
      </c>
      <c r="DW326" s="71">
        <f>IF(Tradingbook_SBV[[#This Row],[Quantity_edited]]=0,0,Tradingbook_SBV[[#This Row],[Mod Dur]])</f>
        <v>0</v>
      </c>
      <c r="DX326" s="71">
        <f>IF(Tradingbook_SBV[[#This Row],[Quantity_edited]]=0,0,Tradingbook_SBV[[#This Row],[Cnvx.]])</f>
        <v>0</v>
      </c>
      <c r="DY326" s="71">
        <f>(Tradingbook_SBV[[#This Row],[MARKET_VALUE]]+Tradingbook_SBV[[#This Row],[Accr Int]]*Tradingbook_SBV[[#This Row],[Quantity_edited]])*(-Tradingbook_SBV[[#This Row],[Modified Duration]]*0.0001+0.5*Tradingbook_SBV[[#This Row],[Conv]]*(0.0001^2))</f>
        <v>0</v>
      </c>
      <c r="DZ326" s="71">
        <f>(Tradingbook_SBV[[#This Row],[MARKET_VALUE]]+Tradingbook_SBV[[#This Row],[Accr Int]]*Tradingbook_SBV[[#This Row],[Quantity_edited]])*(-Tradingbook_SBV[[#This Row],[Modified Duration]]*0.01+0.5*Tradingbook_SBV[[#This Row],[Conv]]*(0.01^2))</f>
        <v>0</v>
      </c>
      <c r="EC326" t="s">
        <v>166</v>
      </c>
      <c r="ED326" t="s">
        <v>3302</v>
      </c>
      <c r="EE326" t="s">
        <v>684</v>
      </c>
      <c r="EF326" t="s">
        <v>169</v>
      </c>
      <c r="EG326" s="35" t="s">
        <v>3462</v>
      </c>
      <c r="EH326" t="s">
        <v>170</v>
      </c>
      <c r="EI326" s="500">
        <v>124359</v>
      </c>
      <c r="EJ326" s="500">
        <v>124359</v>
      </c>
      <c r="EK326" s="500">
        <v>120000</v>
      </c>
      <c r="EL326" s="500">
        <v>12000000000</v>
      </c>
      <c r="EM326" s="500">
        <v>123616.648</v>
      </c>
      <c r="EN326" s="500">
        <v>14923080000</v>
      </c>
      <c r="EO326">
        <v>7.4</v>
      </c>
      <c r="EP326">
        <v>2859</v>
      </c>
      <c r="EQ326">
        <v>76516000000</v>
      </c>
      <c r="ER326">
        <v>89795287748.888947</v>
      </c>
      <c r="ES326">
        <v>-37153602660.708023</v>
      </c>
      <c r="ET326">
        <v>4.4639147689999996</v>
      </c>
      <c r="EU326">
        <v>7.5300478420710997</v>
      </c>
      <c r="EV326">
        <v>7.8661827600000001</v>
      </c>
      <c r="EW326">
        <v>75.255301922906199</v>
      </c>
      <c r="EX326">
        <v>11488.594800033899</v>
      </c>
      <c r="EY326">
        <v>-11495.491516471</v>
      </c>
      <c r="EZ326">
        <v>1826.674</v>
      </c>
      <c r="FA326">
        <v>12278117712.519367</v>
      </c>
      <c r="FB326">
        <v>89082287.480680391</v>
      </c>
      <c r="FC326">
        <v>12367200000.000048</v>
      </c>
      <c r="FD326">
        <v>12367200000.000048</v>
      </c>
      <c r="FE326">
        <v>12367200000</v>
      </c>
      <c r="FF326">
        <v>12367200000.000048</v>
      </c>
      <c r="FG326" s="32">
        <f>Bankingbook_SBV[[#This Row],[Mat. Date]]-RPT</f>
        <v>3877</v>
      </c>
      <c r="FH326" s="32">
        <f>IF(Bankingbook_SBV[[#This Row],[Days]]&lt;=0,0,YEARFRAC(RPT,Bankingbook_SBV[[#This Row],[Mat. Date]],3))</f>
        <v>10.621917808219179</v>
      </c>
      <c r="FI326" s="32" t="str">
        <f>IF(Bankingbook_SBV[[#This Row],[Days (year)]]=0,0,INDEX(Ref!$K$2:$K$13,MATCH(Bankingbook_SBV[[#This Row],[Days (year)]],Ref!$I$2:$I$13,1)))</f>
        <v>15Y</v>
      </c>
      <c r="FJ326" s="32" t="str">
        <f>VLOOKUP(Bankingbook_SBV[[#This Row],[Security Name]],Ref!X:Z,3,0)</f>
        <v>TPCP</v>
      </c>
      <c r="FK326" s="32" t="str">
        <f>VLOOKUP(Bankingbook_SBV[[#This Row],[Security Name]],Ref!X:Y,2,0)</f>
        <v>KBNN</v>
      </c>
      <c r="FL326" s="72">
        <f>IF((Bankingbook_SBV[[#This Row],[Mat. Date]]-RPT)&lt;=0,0,Bankingbook_SBV[[#This Row],[QUANTITY]])</f>
        <v>120000</v>
      </c>
      <c r="FM326" s="32">
        <f>IF(Bankingbook_SBV[[#This Row],[Quantity_edited]]=0,0,Bankingbook_SBV[[#This Row],[DURATION]])</f>
        <v>7.8661827600000001</v>
      </c>
      <c r="FN326" s="32">
        <f>IF(Bankingbook_SBV[[#This Row],[Quantity_edited]]=0,0,Bankingbook_SBV[[#This Row],[Mod Dur]])</f>
        <v>7.5300478420710997</v>
      </c>
      <c r="FO326" s="32">
        <f>IF(Bankingbook_SBV[[#This Row],[Quantity_edited]]=0,0,Bankingbook_SBV[[#This Row],[Cnvx.]])</f>
        <v>75.255301922906199</v>
      </c>
      <c r="FP326" s="32">
        <f>(Bankingbook_SBV[[#This Row],[MARKET_VALUE]]+Bankingbook_SBV[[#This Row],[Accr Int]]*Bankingbook_SBV[[#This Row],[Quantity_edited]])*(-Bankingbook_SBV[[#This Row],[Modified Duration]]*0.0001+0.5*Bankingbook_SBV[[#This Row],[Conv]]*(0.0001^2))</f>
        <v>-11489747.219071196</v>
      </c>
      <c r="FQ326" s="32">
        <f>(Bankingbook_SBV[[#This Row],[MARKET_VALUE]]+Bankingbook_SBV[[#This Row],[Accr Int]]*Bankingbook_SBV[[#This Row],[Quantity_edited]])*(-Bankingbook_SBV[[#This Row],[Modified Duration]]*0.01+0.5*Bankingbook_SBV[[#This Row],[Conv]]*(0.01^2))</f>
        <v>-1092106177.6469517</v>
      </c>
    </row>
    <row r="327" spans="2:173" x14ac:dyDescent="0.3">
      <c r="B327" t="s">
        <v>166</v>
      </c>
      <c r="C327" t="s">
        <v>167</v>
      </c>
      <c r="D327" t="s">
        <v>513</v>
      </c>
      <c r="E327" t="s">
        <v>169</v>
      </c>
      <c r="F327" s="502">
        <v>44957</v>
      </c>
      <c r="G327" t="s">
        <v>3322</v>
      </c>
      <c r="H327"/>
      <c r="I327"/>
      <c r="J327" s="38">
        <v>0</v>
      </c>
      <c r="K327">
        <v>0</v>
      </c>
      <c r="L327">
        <v>0</v>
      </c>
      <c r="M327" s="38">
        <v>0</v>
      </c>
      <c r="N327">
        <v>9.1</v>
      </c>
      <c r="O327">
        <v>0</v>
      </c>
      <c r="P327" s="37">
        <v>69706000000</v>
      </c>
      <c r="Q327" s="37">
        <v>77001508776.11113</v>
      </c>
      <c r="R327" s="37">
        <v>-29205934802.731579</v>
      </c>
      <c r="S327">
        <v>9.1</v>
      </c>
      <c r="T327" s="70">
        <v>0</v>
      </c>
      <c r="U327">
        <v>0</v>
      </c>
      <c r="V327">
        <v>0</v>
      </c>
      <c r="W327">
        <v>0</v>
      </c>
      <c r="X327" s="38">
        <v>0</v>
      </c>
      <c r="Y327">
        <v>0</v>
      </c>
      <c r="Z327" s="70">
        <v>-11138064843</v>
      </c>
      <c r="AA327" s="70">
        <v>0</v>
      </c>
      <c r="AB327" s="70">
        <v>-11138064843</v>
      </c>
      <c r="AC327" s="70">
        <v>-11138064843</v>
      </c>
      <c r="AD327" s="70">
        <v>-11138064843</v>
      </c>
      <c r="AE327" s="70">
        <v>-11138064843</v>
      </c>
      <c r="AF327">
        <v>0</v>
      </c>
      <c r="AG327" s="72">
        <f>Tradingbook_MSB[[#This Row],[Mat. Date]]-RPT</f>
        <v>-1295</v>
      </c>
      <c r="AH327" s="71">
        <f>IF(Tradingbook_MSB[[#This Row],[Days]]&lt;=0,0,YEARFRAC(RPT,Tradingbook_MSB[[#This Row],[Mat. Date]],3))</f>
        <v>0</v>
      </c>
      <c r="AI327" s="71">
        <f>IF(Tradingbook_MSB[[#This Row],[Days (year)]]=0,0,INDEX(Ref!$K$2:$K$13,MATCH(Tradingbook_MSB[[#This Row],[Days (year)]],Ref!$I$2:$I$13,1)))</f>
        <v>0</v>
      </c>
      <c r="AJ327" s="120" t="str">
        <f>VLOOKUP(Tradingbook_MSB[[#This Row],[Security Name]],Ref!X:Z,3,0)</f>
        <v>TPCP</v>
      </c>
      <c r="AK327" s="120" t="str">
        <f>VLOOKUP(Tradingbook_MSB[[#This Row],[Security Name]],Ref!X:Y,2,0)</f>
        <v>KBNN</v>
      </c>
      <c r="AL327" s="71">
        <f>IF((Tradingbook_MSB[[#This Row],[Mat. Date]]-RPT)&lt;=0,0,Tradingbook_MSB[[#This Row],[QUANTITY]])</f>
        <v>0</v>
      </c>
      <c r="AM327" s="71">
        <f>IF(Tradingbook_MSB[[#This Row],[Quantity_edited]]=0,0,Tradingbook_MSB[[#This Row],[DURATION]])</f>
        <v>0</v>
      </c>
      <c r="AN327" s="71">
        <f>IF(Tradingbook_MSB[[#This Row],[Quantity_edited]]=0,0,Tradingbook_MSB[[#This Row],[Mod Dur]])</f>
        <v>0</v>
      </c>
      <c r="AO327" s="71">
        <f>IF(Tradingbook_MSB[[#This Row],[Quantity_edited]]=0,0,Tradingbook_MSB[[#This Row],[Cnvx.]])</f>
        <v>0</v>
      </c>
      <c r="AP327" s="71">
        <f>(Tradingbook_MSB[[#This Row],[MARKET_VALUE]]+Tradingbook_MSB[[#This Row],[Accr Int]]*Tradingbook_MSB[[#This Row],[Quantity_edited]])*(-Tradingbook_MSB[[#This Row],[Modified Duration]]*0.0001+0.5*Tradingbook_MSB[[#This Row],[Conv]]*(0.0001^2))</f>
        <v>0</v>
      </c>
      <c r="AQ327" s="72">
        <f>(Tradingbook_MSB[[#This Row],[MARKET_VALUE]]+Tradingbook_MSB[[#This Row],[Accr Int]]*Tradingbook_MSB[[#This Row],[Quantity_edited]])*(-Tradingbook_MSB[[#This Row],[Modified Duration]]*0.01+0.5*Tradingbook_MSB[[#This Row],[Conv]]*(0.01^2))</f>
        <v>0</v>
      </c>
      <c r="AR327" s="71"/>
      <c r="CL327" t="s">
        <v>166</v>
      </c>
      <c r="CM327" t="s">
        <v>167</v>
      </c>
      <c r="CN327" t="s">
        <v>518</v>
      </c>
      <c r="CO327" t="s">
        <v>169</v>
      </c>
      <c r="CP327" s="35">
        <v>45100</v>
      </c>
      <c r="CQ327" t="s">
        <v>3322</v>
      </c>
      <c r="CR327" t="s">
        <v>174</v>
      </c>
      <c r="CS327" t="s">
        <v>174</v>
      </c>
      <c r="CT327" s="49">
        <v>0</v>
      </c>
      <c r="CU327">
        <v>0</v>
      </c>
      <c r="CV327">
        <v>0</v>
      </c>
      <c r="CW327" s="70">
        <v>0</v>
      </c>
      <c r="CX327">
        <v>6.6</v>
      </c>
      <c r="CY327">
        <v>0</v>
      </c>
      <c r="CZ327">
        <v>9900000000</v>
      </c>
      <c r="DA327">
        <v>10867577416.666702</v>
      </c>
      <c r="DB327">
        <v>-6779653564.5834246</v>
      </c>
      <c r="DC327">
        <v>6.6</v>
      </c>
      <c r="DD327">
        <v>0</v>
      </c>
      <c r="DE327">
        <v>0</v>
      </c>
      <c r="DF327">
        <v>0</v>
      </c>
      <c r="DG327">
        <v>0</v>
      </c>
      <c r="DH327">
        <v>0</v>
      </c>
      <c r="DI327">
        <v>0</v>
      </c>
      <c r="DJ327" s="500">
        <v>6761500000</v>
      </c>
      <c r="DK327" s="500">
        <v>0</v>
      </c>
      <c r="DL327" s="37">
        <v>6761500000</v>
      </c>
      <c r="DM327" s="37">
        <v>6761500000</v>
      </c>
      <c r="DN327" s="37">
        <v>6761500000</v>
      </c>
      <c r="DO327" s="37">
        <v>6761500000</v>
      </c>
      <c r="DP327" s="32">
        <f>Tradingbook_SBV[[#This Row],[Mat. Date]]-RPT</f>
        <v>-1152</v>
      </c>
      <c r="DQ327" s="32">
        <f>IF(Tradingbook_SBV[[#This Row],[Days]]&lt;=0,0,YEARFRAC(RPT,Tradingbook_SBV[[#This Row],[Mat. Date]],3))</f>
        <v>0</v>
      </c>
      <c r="DR327" s="32">
        <f>IF(Tradingbook_SBV[[#This Row],[Days (year)]]=0,0,INDEX(Ref!$K$2:$K$13,MATCH(Tradingbook_SBV[[#This Row],[Days (year)]],Ref!$I$2:$I$13,1)))</f>
        <v>0</v>
      </c>
      <c r="DS327" s="32" t="str">
        <f>VLOOKUP(Tradingbook_SBV[[#This Row],[Security Name]],Ref!X:Z,3,0)</f>
        <v>TPCP</v>
      </c>
      <c r="DT327" s="32" t="str">
        <f>VLOOKUP(Tradingbook_SBV[[#This Row],[Security Name]],Ref!X:Y,2,0)</f>
        <v>KBNN</v>
      </c>
      <c r="DU327" s="71">
        <f>IF((Tradingbook_SBV[[#This Row],[Mat. Date]]-RPT)&lt;=0,0,Tradingbook_SBV[[#This Row],[QUANTITY]])</f>
        <v>0</v>
      </c>
      <c r="DV327" s="71">
        <f>IF(Tradingbook_SBV[[#This Row],[Quantity_edited]]=0,0,Tradingbook_SBV[[#This Row],[DURATION]])</f>
        <v>0</v>
      </c>
      <c r="DW327" s="71">
        <f>IF(Tradingbook_SBV[[#This Row],[Quantity_edited]]=0,0,Tradingbook_SBV[[#This Row],[Mod Dur]])</f>
        <v>0</v>
      </c>
      <c r="DX327" s="71">
        <f>IF(Tradingbook_SBV[[#This Row],[Quantity_edited]]=0,0,Tradingbook_SBV[[#This Row],[Cnvx.]])</f>
        <v>0</v>
      </c>
      <c r="DY327" s="71">
        <f>(Tradingbook_SBV[[#This Row],[MARKET_VALUE]]+Tradingbook_SBV[[#This Row],[Accr Int]]*Tradingbook_SBV[[#This Row],[Quantity_edited]])*(-Tradingbook_SBV[[#This Row],[Modified Duration]]*0.0001+0.5*Tradingbook_SBV[[#This Row],[Conv]]*(0.0001^2))</f>
        <v>0</v>
      </c>
      <c r="DZ327" s="71">
        <f>(Tradingbook_SBV[[#This Row],[MARKET_VALUE]]+Tradingbook_SBV[[#This Row],[Accr Int]]*Tradingbook_SBV[[#This Row],[Quantity_edited]])*(-Tradingbook_SBV[[#This Row],[Modified Duration]]*0.01+0.5*Tradingbook_SBV[[#This Row],[Conv]]*(0.01^2))</f>
        <v>0</v>
      </c>
      <c r="EC327" t="s">
        <v>166</v>
      </c>
      <c r="ED327" t="s">
        <v>3302</v>
      </c>
      <c r="EE327" t="s">
        <v>707</v>
      </c>
      <c r="EF327" t="s">
        <v>169</v>
      </c>
      <c r="EG327" s="35" t="s">
        <v>3463</v>
      </c>
      <c r="EH327" t="s">
        <v>3322</v>
      </c>
      <c r="EI327" s="500">
        <v>121194</v>
      </c>
      <c r="EJ327" s="500">
        <v>121194</v>
      </c>
      <c r="EK327" s="500">
        <v>0</v>
      </c>
      <c r="EL327" s="500">
        <v>0</v>
      </c>
      <c r="EM327" s="500">
        <v>0</v>
      </c>
      <c r="EN327" s="500">
        <v>0</v>
      </c>
      <c r="EO327">
        <v>7</v>
      </c>
      <c r="EP327">
        <v>1899</v>
      </c>
      <c r="EQ327">
        <v>31500000000</v>
      </c>
      <c r="ER327">
        <v>36843600208.333237</v>
      </c>
      <c r="ES327">
        <v>-3018859681.4941645</v>
      </c>
      <c r="ET327">
        <v>4.4669111839999998</v>
      </c>
      <c r="EU327">
        <v>7.7119161309484996</v>
      </c>
      <c r="EV327">
        <v>8.05640058</v>
      </c>
      <c r="EW327">
        <v>78.074681048238503</v>
      </c>
      <c r="EX327">
        <v>0</v>
      </c>
      <c r="EY327">
        <v>0</v>
      </c>
      <c r="EZ327">
        <v>0</v>
      </c>
      <c r="FA327">
        <v>48117032000</v>
      </c>
      <c r="FB327">
        <v>0</v>
      </c>
      <c r="FC327">
        <v>48117032000</v>
      </c>
      <c r="FD327">
        <v>48117032000</v>
      </c>
      <c r="FE327">
        <v>48117032000</v>
      </c>
      <c r="FF327">
        <v>48117032000</v>
      </c>
      <c r="FG327" s="32">
        <f>Bankingbook_SBV[[#This Row],[Mat. Date]]-RPT</f>
        <v>3919</v>
      </c>
      <c r="FH327" s="32">
        <f>IF(Bankingbook_SBV[[#This Row],[Days]]&lt;=0,0,YEARFRAC(RPT,Bankingbook_SBV[[#This Row],[Mat. Date]],3))</f>
        <v>10.736986301369862</v>
      </c>
      <c r="FI327" s="32" t="str">
        <f>IF(Bankingbook_SBV[[#This Row],[Days (year)]]=0,0,INDEX(Ref!$K$2:$K$13,MATCH(Bankingbook_SBV[[#This Row],[Days (year)]],Ref!$I$2:$I$13,1)))</f>
        <v>15Y</v>
      </c>
      <c r="FJ327" s="32" t="str">
        <f>VLOOKUP(Bankingbook_SBV[[#This Row],[Security Name]],Ref!X:Z,3,0)</f>
        <v>TPCP</v>
      </c>
      <c r="FK327" s="32" t="str">
        <f>VLOOKUP(Bankingbook_SBV[[#This Row],[Security Name]],Ref!X:Y,2,0)</f>
        <v>KBNN</v>
      </c>
      <c r="FL327" s="72">
        <f>IF((Bankingbook_SBV[[#This Row],[Mat. Date]]-RPT)&lt;=0,0,Bankingbook_SBV[[#This Row],[QUANTITY]])</f>
        <v>0</v>
      </c>
      <c r="FM327" s="32">
        <f>IF(Bankingbook_SBV[[#This Row],[Quantity_edited]]=0,0,Bankingbook_SBV[[#This Row],[DURATION]])</f>
        <v>0</v>
      </c>
      <c r="FN327" s="32">
        <f>IF(Bankingbook_SBV[[#This Row],[Quantity_edited]]=0,0,Bankingbook_SBV[[#This Row],[Mod Dur]])</f>
        <v>0</v>
      </c>
      <c r="FO327" s="32">
        <f>IF(Bankingbook_SBV[[#This Row],[Quantity_edited]]=0,0,Bankingbook_SBV[[#This Row],[Cnvx.]])</f>
        <v>0</v>
      </c>
      <c r="FP327" s="32">
        <f>(Bankingbook_SBV[[#This Row],[MARKET_VALUE]]+Bankingbook_SBV[[#This Row],[Accr Int]]*Bankingbook_SBV[[#This Row],[Quantity_edited]])*(-Bankingbook_SBV[[#This Row],[Modified Duration]]*0.0001+0.5*Bankingbook_SBV[[#This Row],[Conv]]*(0.0001^2))</f>
        <v>0</v>
      </c>
      <c r="FQ327" s="32">
        <f>(Bankingbook_SBV[[#This Row],[MARKET_VALUE]]+Bankingbook_SBV[[#This Row],[Accr Int]]*Bankingbook_SBV[[#This Row],[Quantity_edited]])*(-Bankingbook_SBV[[#This Row],[Modified Duration]]*0.01+0.5*Bankingbook_SBV[[#This Row],[Conv]]*(0.01^2))</f>
        <v>0</v>
      </c>
    </row>
    <row r="328" spans="2:173" x14ac:dyDescent="0.3">
      <c r="B328" t="s">
        <v>166</v>
      </c>
      <c r="C328" t="s">
        <v>167</v>
      </c>
      <c r="D328" t="s">
        <v>514</v>
      </c>
      <c r="E328" t="s">
        <v>169</v>
      </c>
      <c r="F328" s="502">
        <v>44989</v>
      </c>
      <c r="G328" t="s">
        <v>3322</v>
      </c>
      <c r="H328"/>
      <c r="I328"/>
      <c r="J328" s="38">
        <v>0</v>
      </c>
      <c r="K328">
        <v>0</v>
      </c>
      <c r="L328">
        <v>0</v>
      </c>
      <c r="M328" s="38">
        <v>0</v>
      </c>
      <c r="N328">
        <v>9.4</v>
      </c>
      <c r="O328">
        <v>0</v>
      </c>
      <c r="P328" s="37">
        <v>0</v>
      </c>
      <c r="Q328" s="37">
        <v>0</v>
      </c>
      <c r="R328" s="37">
        <v>-5612319.625</v>
      </c>
      <c r="S328">
        <v>9.4</v>
      </c>
      <c r="T328" s="70">
        <v>0</v>
      </c>
      <c r="U328">
        <v>0</v>
      </c>
      <c r="V328">
        <v>0</v>
      </c>
      <c r="W328">
        <v>0</v>
      </c>
      <c r="X328" s="38">
        <v>0</v>
      </c>
      <c r="Y328">
        <v>0</v>
      </c>
      <c r="Z328" s="70">
        <v>-449100000</v>
      </c>
      <c r="AA328" s="70">
        <v>0</v>
      </c>
      <c r="AB328" s="70">
        <v>-449100000</v>
      </c>
      <c r="AC328" s="70">
        <v>-449100000</v>
      </c>
      <c r="AD328" s="70">
        <v>-449100000</v>
      </c>
      <c r="AE328" s="70">
        <v>-449100000</v>
      </c>
      <c r="AF328">
        <v>0</v>
      </c>
      <c r="AG328" s="72">
        <f>Tradingbook_MSB[[#This Row],[Mat. Date]]-RPT</f>
        <v>-1263</v>
      </c>
      <c r="AH328" s="71">
        <f>IF(Tradingbook_MSB[[#This Row],[Days]]&lt;=0,0,YEARFRAC(RPT,Tradingbook_MSB[[#This Row],[Mat. Date]],3))</f>
        <v>0</v>
      </c>
      <c r="AI328" s="71">
        <f>IF(Tradingbook_MSB[[#This Row],[Days (year)]]=0,0,INDEX(Ref!$K$2:$K$13,MATCH(Tradingbook_MSB[[#This Row],[Days (year)]],Ref!$I$2:$I$13,1)))</f>
        <v>0</v>
      </c>
      <c r="AJ328" s="120" t="str">
        <f>VLOOKUP(Tradingbook_MSB[[#This Row],[Security Name]],Ref!X:Z,3,0)</f>
        <v>TPCPBL</v>
      </c>
      <c r="AK328" s="120" t="str">
        <f>VLOOKUP(Tradingbook_MSB[[#This Row],[Security Name]],Ref!X:Y,2,0)</f>
        <v>VDB</v>
      </c>
      <c r="AL328" s="71">
        <f>IF((Tradingbook_MSB[[#This Row],[Mat. Date]]-RPT)&lt;=0,0,Tradingbook_MSB[[#This Row],[QUANTITY]])</f>
        <v>0</v>
      </c>
      <c r="AM328" s="71">
        <f>IF(Tradingbook_MSB[[#This Row],[Quantity_edited]]=0,0,Tradingbook_MSB[[#This Row],[DURATION]])</f>
        <v>0</v>
      </c>
      <c r="AN328" s="71">
        <f>IF(Tradingbook_MSB[[#This Row],[Quantity_edited]]=0,0,Tradingbook_MSB[[#This Row],[Mod Dur]])</f>
        <v>0</v>
      </c>
      <c r="AO328" s="71">
        <f>IF(Tradingbook_MSB[[#This Row],[Quantity_edited]]=0,0,Tradingbook_MSB[[#This Row],[Cnvx.]])</f>
        <v>0</v>
      </c>
      <c r="AP328" s="71">
        <f>(Tradingbook_MSB[[#This Row],[MARKET_VALUE]]+Tradingbook_MSB[[#This Row],[Accr Int]]*Tradingbook_MSB[[#This Row],[Quantity_edited]])*(-Tradingbook_MSB[[#This Row],[Modified Duration]]*0.0001+0.5*Tradingbook_MSB[[#This Row],[Conv]]*(0.0001^2))</f>
        <v>0</v>
      </c>
      <c r="AQ328" s="72">
        <f>(Tradingbook_MSB[[#This Row],[MARKET_VALUE]]+Tradingbook_MSB[[#This Row],[Accr Int]]*Tradingbook_MSB[[#This Row],[Quantity_edited]])*(-Tradingbook_MSB[[#This Row],[Modified Duration]]*0.01+0.5*Tradingbook_MSB[[#This Row],[Conv]]*(0.01^2))</f>
        <v>0</v>
      </c>
      <c r="AR328" s="71"/>
      <c r="CL328" t="s">
        <v>166</v>
      </c>
      <c r="CM328" t="s">
        <v>167</v>
      </c>
      <c r="CN328" t="s">
        <v>519</v>
      </c>
      <c r="CO328" t="s">
        <v>169</v>
      </c>
      <c r="CP328" s="35">
        <v>45114</v>
      </c>
      <c r="CQ328" t="s">
        <v>3322</v>
      </c>
      <c r="CR328" t="s">
        <v>174</v>
      </c>
      <c r="CS328" t="s">
        <v>174</v>
      </c>
      <c r="CT328" s="49">
        <v>0</v>
      </c>
      <c r="CU328">
        <v>0</v>
      </c>
      <c r="CV328">
        <v>0</v>
      </c>
      <c r="CW328" s="70">
        <v>0</v>
      </c>
      <c r="CX328">
        <v>6.6</v>
      </c>
      <c r="CY328">
        <v>0</v>
      </c>
      <c r="CZ328">
        <v>0</v>
      </c>
      <c r="DA328">
        <v>3.8000000000000002E-5</v>
      </c>
      <c r="DB328">
        <v>-3787376008.2641459</v>
      </c>
      <c r="DC328">
        <v>6.6</v>
      </c>
      <c r="DD328">
        <v>0</v>
      </c>
      <c r="DE328">
        <v>0</v>
      </c>
      <c r="DF328">
        <v>0</v>
      </c>
      <c r="DG328">
        <v>0</v>
      </c>
      <c r="DH328">
        <v>0</v>
      </c>
      <c r="DI328">
        <v>0</v>
      </c>
      <c r="DJ328" s="500">
        <v>-4776500000</v>
      </c>
      <c r="DK328" s="500">
        <v>0</v>
      </c>
      <c r="DL328" s="37">
        <v>-4776500000</v>
      </c>
      <c r="DM328" s="37">
        <v>-4776500000</v>
      </c>
      <c r="DN328" s="37">
        <v>-4776500000</v>
      </c>
      <c r="DO328" s="37">
        <v>-4776500000</v>
      </c>
      <c r="DP328" s="32">
        <f>Tradingbook_SBV[[#This Row],[Mat. Date]]-RPT</f>
        <v>-1138</v>
      </c>
      <c r="DQ328" s="32">
        <f>IF(Tradingbook_SBV[[#This Row],[Days]]&lt;=0,0,YEARFRAC(RPT,Tradingbook_SBV[[#This Row],[Mat. Date]],3))</f>
        <v>0</v>
      </c>
      <c r="DR328" s="32">
        <f>IF(Tradingbook_SBV[[#This Row],[Days (year)]]=0,0,INDEX(Ref!$K$2:$K$13,MATCH(Tradingbook_SBV[[#This Row],[Days (year)]],Ref!$I$2:$I$13,1)))</f>
        <v>0</v>
      </c>
      <c r="DS328" s="32" t="str">
        <f>VLOOKUP(Tradingbook_SBV[[#This Row],[Security Name]],Ref!X:Z,3,0)</f>
        <v>TPCP</v>
      </c>
      <c r="DT328" s="32" t="str">
        <f>VLOOKUP(Tradingbook_SBV[[#This Row],[Security Name]],Ref!X:Y,2,0)</f>
        <v>KBNN</v>
      </c>
      <c r="DU328" s="71">
        <f>IF((Tradingbook_SBV[[#This Row],[Mat. Date]]-RPT)&lt;=0,0,Tradingbook_SBV[[#This Row],[QUANTITY]])</f>
        <v>0</v>
      </c>
      <c r="DV328" s="71">
        <f>IF(Tradingbook_SBV[[#This Row],[Quantity_edited]]=0,0,Tradingbook_SBV[[#This Row],[DURATION]])</f>
        <v>0</v>
      </c>
      <c r="DW328" s="71">
        <f>IF(Tradingbook_SBV[[#This Row],[Quantity_edited]]=0,0,Tradingbook_SBV[[#This Row],[Mod Dur]])</f>
        <v>0</v>
      </c>
      <c r="DX328" s="71">
        <f>IF(Tradingbook_SBV[[#This Row],[Quantity_edited]]=0,0,Tradingbook_SBV[[#This Row],[Cnvx.]])</f>
        <v>0</v>
      </c>
      <c r="DY328" s="71">
        <f>(Tradingbook_SBV[[#This Row],[MARKET_VALUE]]+Tradingbook_SBV[[#This Row],[Accr Int]]*Tradingbook_SBV[[#This Row],[Quantity_edited]])*(-Tradingbook_SBV[[#This Row],[Modified Duration]]*0.0001+0.5*Tradingbook_SBV[[#This Row],[Conv]]*(0.0001^2))</f>
        <v>0</v>
      </c>
      <c r="DZ328" s="71">
        <f>(Tradingbook_SBV[[#This Row],[MARKET_VALUE]]+Tradingbook_SBV[[#This Row],[Accr Int]]*Tradingbook_SBV[[#This Row],[Quantity_edited]])*(-Tradingbook_SBV[[#This Row],[Modified Duration]]*0.01+0.5*Tradingbook_SBV[[#This Row],[Conv]]*(0.01^2))</f>
        <v>0</v>
      </c>
      <c r="EC328" t="s">
        <v>166</v>
      </c>
      <c r="ED328" t="s">
        <v>3302</v>
      </c>
      <c r="EE328" t="s">
        <v>708</v>
      </c>
      <c r="EF328" t="s">
        <v>169</v>
      </c>
      <c r="EG328" s="35" t="s">
        <v>3464</v>
      </c>
      <c r="EH328" t="s">
        <v>3322</v>
      </c>
      <c r="EI328" s="500">
        <v>112969</v>
      </c>
      <c r="EJ328" s="500">
        <v>112969</v>
      </c>
      <c r="EK328" s="500">
        <v>0</v>
      </c>
      <c r="EL328" s="500">
        <v>0</v>
      </c>
      <c r="EM328" s="500">
        <v>0</v>
      </c>
      <c r="EN328" s="500">
        <v>0</v>
      </c>
      <c r="EO328">
        <v>6</v>
      </c>
      <c r="EP328">
        <v>477</v>
      </c>
      <c r="EQ328">
        <v>6000000000</v>
      </c>
      <c r="ER328">
        <v>7318960833.3333588</v>
      </c>
      <c r="ES328">
        <v>-2217388137.0833817</v>
      </c>
      <c r="ET328">
        <v>4.471920667</v>
      </c>
      <c r="EU328">
        <v>8.0943667087720002</v>
      </c>
      <c r="EV328">
        <v>8.4563403699999995</v>
      </c>
      <c r="EW328">
        <v>84.081245228954003</v>
      </c>
      <c r="EX328">
        <v>0</v>
      </c>
      <c r="EY328">
        <v>0</v>
      </c>
      <c r="EZ328">
        <v>0</v>
      </c>
      <c r="FA328">
        <v>-897000000</v>
      </c>
      <c r="FB328">
        <v>0</v>
      </c>
      <c r="FC328">
        <v>-897000000</v>
      </c>
      <c r="FD328">
        <v>-897000000</v>
      </c>
      <c r="FE328">
        <v>-897000000</v>
      </c>
      <c r="FF328">
        <v>-897000000</v>
      </c>
      <c r="FG328" s="32">
        <f>Bankingbook_SBV[[#This Row],[Mat. Date]]-RPT</f>
        <v>3989</v>
      </c>
      <c r="FH328" s="32">
        <f>IF(Bankingbook_SBV[[#This Row],[Days]]&lt;=0,0,YEARFRAC(RPT,Bankingbook_SBV[[#This Row],[Mat. Date]],3))</f>
        <v>10.92876712328767</v>
      </c>
      <c r="FI328" s="32" t="str">
        <f>IF(Bankingbook_SBV[[#This Row],[Days (year)]]=0,0,INDEX(Ref!$K$2:$K$13,MATCH(Bankingbook_SBV[[#This Row],[Days (year)]],Ref!$I$2:$I$13,1)))</f>
        <v>15Y</v>
      </c>
      <c r="FJ328" s="32" t="str">
        <f>VLOOKUP(Bankingbook_SBV[[#This Row],[Security Name]],Ref!X:Z,3,0)</f>
        <v>TPCP</v>
      </c>
      <c r="FK328" s="32" t="str">
        <f>VLOOKUP(Bankingbook_SBV[[#This Row],[Security Name]],Ref!X:Y,2,0)</f>
        <v>KBNN</v>
      </c>
      <c r="FL328" s="72">
        <f>IF((Bankingbook_SBV[[#This Row],[Mat. Date]]-RPT)&lt;=0,0,Bankingbook_SBV[[#This Row],[QUANTITY]])</f>
        <v>0</v>
      </c>
      <c r="FM328" s="32">
        <f>IF(Bankingbook_SBV[[#This Row],[Quantity_edited]]=0,0,Bankingbook_SBV[[#This Row],[DURATION]])</f>
        <v>0</v>
      </c>
      <c r="FN328" s="32">
        <f>IF(Bankingbook_SBV[[#This Row],[Quantity_edited]]=0,0,Bankingbook_SBV[[#This Row],[Mod Dur]])</f>
        <v>0</v>
      </c>
      <c r="FO328" s="32">
        <f>IF(Bankingbook_SBV[[#This Row],[Quantity_edited]]=0,0,Bankingbook_SBV[[#This Row],[Cnvx.]])</f>
        <v>0</v>
      </c>
      <c r="FP328" s="32">
        <f>(Bankingbook_SBV[[#This Row],[MARKET_VALUE]]+Bankingbook_SBV[[#This Row],[Accr Int]]*Bankingbook_SBV[[#This Row],[Quantity_edited]])*(-Bankingbook_SBV[[#This Row],[Modified Duration]]*0.0001+0.5*Bankingbook_SBV[[#This Row],[Conv]]*(0.0001^2))</f>
        <v>0</v>
      </c>
      <c r="FQ328" s="32">
        <f>(Bankingbook_SBV[[#This Row],[MARKET_VALUE]]+Bankingbook_SBV[[#This Row],[Accr Int]]*Bankingbook_SBV[[#This Row],[Quantity_edited]])*(-Bankingbook_SBV[[#This Row],[Modified Duration]]*0.01+0.5*Bankingbook_SBV[[#This Row],[Conv]]*(0.01^2))</f>
        <v>0</v>
      </c>
    </row>
    <row r="329" spans="2:173" x14ac:dyDescent="0.3">
      <c r="B329" t="s">
        <v>166</v>
      </c>
      <c r="C329" t="s">
        <v>167</v>
      </c>
      <c r="D329" t="s">
        <v>515</v>
      </c>
      <c r="E329" t="s">
        <v>169</v>
      </c>
      <c r="F329" s="502">
        <v>45007</v>
      </c>
      <c r="G329" t="s">
        <v>3322</v>
      </c>
      <c r="H329"/>
      <c r="I329"/>
      <c r="J329" s="38">
        <v>0</v>
      </c>
      <c r="K329">
        <v>0</v>
      </c>
      <c r="L329">
        <v>0</v>
      </c>
      <c r="M329" s="38">
        <v>0</v>
      </c>
      <c r="N329">
        <v>2.9</v>
      </c>
      <c r="O329">
        <v>0</v>
      </c>
      <c r="P329" s="37">
        <v>17400000000</v>
      </c>
      <c r="Q329" s="37">
        <v>18602645305.555622</v>
      </c>
      <c r="R329" s="37">
        <v>-26887160061.944973</v>
      </c>
      <c r="S329">
        <v>2.9</v>
      </c>
      <c r="T329" s="70">
        <v>0</v>
      </c>
      <c r="U329">
        <v>0</v>
      </c>
      <c r="V329">
        <v>0</v>
      </c>
      <c r="W329">
        <v>0</v>
      </c>
      <c r="X329" s="38">
        <v>0</v>
      </c>
      <c r="Y329">
        <v>0</v>
      </c>
      <c r="Z329" s="70">
        <v>2261000000</v>
      </c>
      <c r="AA329" s="70">
        <v>0</v>
      </c>
      <c r="AB329" s="70">
        <v>2261000000</v>
      </c>
      <c r="AC329" s="70">
        <v>2261000000</v>
      </c>
      <c r="AD329" s="70">
        <v>2261000000</v>
      </c>
      <c r="AE329" s="70">
        <v>2261000000</v>
      </c>
      <c r="AF329">
        <v>0</v>
      </c>
      <c r="AG329" s="72">
        <f>Tradingbook_MSB[[#This Row],[Mat. Date]]-RPT</f>
        <v>-1245</v>
      </c>
      <c r="AH329" s="71">
        <f>IF(Tradingbook_MSB[[#This Row],[Days]]&lt;=0,0,YEARFRAC(RPT,Tradingbook_MSB[[#This Row],[Mat. Date]],3))</f>
        <v>0</v>
      </c>
      <c r="AI329" s="71">
        <f>IF(Tradingbook_MSB[[#This Row],[Days (year)]]=0,0,INDEX(Ref!$K$2:$K$13,MATCH(Tradingbook_MSB[[#This Row],[Days (year)]],Ref!$I$2:$I$13,1)))</f>
        <v>0</v>
      </c>
      <c r="AJ329" s="120" t="str">
        <f>VLOOKUP(Tradingbook_MSB[[#This Row],[Security Name]],Ref!X:Z,3,0)</f>
        <v>TPCP</v>
      </c>
      <c r="AK329" s="120" t="str">
        <f>VLOOKUP(Tradingbook_MSB[[#This Row],[Security Name]],Ref!X:Y,2,0)</f>
        <v>KBNN</v>
      </c>
      <c r="AL329" s="71">
        <f>IF((Tradingbook_MSB[[#This Row],[Mat. Date]]-RPT)&lt;=0,0,Tradingbook_MSB[[#This Row],[QUANTITY]])</f>
        <v>0</v>
      </c>
      <c r="AM329" s="71">
        <f>IF(Tradingbook_MSB[[#This Row],[Quantity_edited]]=0,0,Tradingbook_MSB[[#This Row],[DURATION]])</f>
        <v>0</v>
      </c>
      <c r="AN329" s="71">
        <f>IF(Tradingbook_MSB[[#This Row],[Quantity_edited]]=0,0,Tradingbook_MSB[[#This Row],[Mod Dur]])</f>
        <v>0</v>
      </c>
      <c r="AO329" s="71">
        <f>IF(Tradingbook_MSB[[#This Row],[Quantity_edited]]=0,0,Tradingbook_MSB[[#This Row],[Cnvx.]])</f>
        <v>0</v>
      </c>
      <c r="AP329" s="71">
        <f>(Tradingbook_MSB[[#This Row],[MARKET_VALUE]]+Tradingbook_MSB[[#This Row],[Accr Int]]*Tradingbook_MSB[[#This Row],[Quantity_edited]])*(-Tradingbook_MSB[[#This Row],[Modified Duration]]*0.0001+0.5*Tradingbook_MSB[[#This Row],[Conv]]*(0.0001^2))</f>
        <v>0</v>
      </c>
      <c r="AQ329" s="72">
        <f>(Tradingbook_MSB[[#This Row],[MARKET_VALUE]]+Tradingbook_MSB[[#This Row],[Accr Int]]*Tradingbook_MSB[[#This Row],[Quantity_edited]])*(-Tradingbook_MSB[[#This Row],[Modified Duration]]*0.01+0.5*Tradingbook_MSB[[#This Row],[Conv]]*(0.01^2))</f>
        <v>0</v>
      </c>
      <c r="AR329" s="71"/>
      <c r="CL329" t="s">
        <v>166</v>
      </c>
      <c r="CM329" t="s">
        <v>167</v>
      </c>
      <c r="CN329" t="s">
        <v>520</v>
      </c>
      <c r="CO329" t="s">
        <v>169</v>
      </c>
      <c r="CP329" s="35">
        <v>45163</v>
      </c>
      <c r="CQ329" t="s">
        <v>3322</v>
      </c>
      <c r="CR329" t="s">
        <v>174</v>
      </c>
      <c r="CS329" t="s">
        <v>174</v>
      </c>
      <c r="CT329" s="49">
        <v>0</v>
      </c>
      <c r="CU329">
        <v>0</v>
      </c>
      <c r="CV329">
        <v>0</v>
      </c>
      <c r="CW329" s="70">
        <v>0</v>
      </c>
      <c r="CX329">
        <v>6.3</v>
      </c>
      <c r="CY329">
        <v>0</v>
      </c>
      <c r="CZ329">
        <v>3150000000</v>
      </c>
      <c r="DA329">
        <v>3555777312.5000038</v>
      </c>
      <c r="DB329">
        <v>-2252597319.9306536</v>
      </c>
      <c r="DC329">
        <v>6.3</v>
      </c>
      <c r="DD329">
        <v>0</v>
      </c>
      <c r="DE329">
        <v>0</v>
      </c>
      <c r="DF329">
        <v>0</v>
      </c>
      <c r="DG329">
        <v>0</v>
      </c>
      <c r="DH329">
        <v>0</v>
      </c>
      <c r="DI329">
        <v>0</v>
      </c>
      <c r="DJ329" s="500">
        <v>1482500000</v>
      </c>
      <c r="DK329" s="500">
        <v>0</v>
      </c>
      <c r="DL329" s="37">
        <v>1482500000</v>
      </c>
      <c r="DM329" s="37">
        <v>1482500000</v>
      </c>
      <c r="DN329" s="37">
        <v>1482500000</v>
      </c>
      <c r="DO329" s="37">
        <v>1482500000</v>
      </c>
      <c r="DP329" s="32">
        <f>Tradingbook_SBV[[#This Row],[Mat. Date]]-RPT</f>
        <v>-1089</v>
      </c>
      <c r="DQ329" s="32">
        <f>IF(Tradingbook_SBV[[#This Row],[Days]]&lt;=0,0,YEARFRAC(RPT,Tradingbook_SBV[[#This Row],[Mat. Date]],3))</f>
        <v>0</v>
      </c>
      <c r="DR329" s="32">
        <f>IF(Tradingbook_SBV[[#This Row],[Days (year)]]=0,0,INDEX(Ref!$K$2:$K$13,MATCH(Tradingbook_SBV[[#This Row],[Days (year)]],Ref!$I$2:$I$13,1)))</f>
        <v>0</v>
      </c>
      <c r="DS329" s="32" t="str">
        <f>VLOOKUP(Tradingbook_SBV[[#This Row],[Security Name]],Ref!X:Z,3,0)</f>
        <v>TPCP</v>
      </c>
      <c r="DT329" s="32" t="str">
        <f>VLOOKUP(Tradingbook_SBV[[#This Row],[Security Name]],Ref!X:Y,2,0)</f>
        <v>KBNN</v>
      </c>
      <c r="DU329" s="71">
        <f>IF((Tradingbook_SBV[[#This Row],[Mat. Date]]-RPT)&lt;=0,0,Tradingbook_SBV[[#This Row],[QUANTITY]])</f>
        <v>0</v>
      </c>
      <c r="DV329" s="71">
        <f>IF(Tradingbook_SBV[[#This Row],[Quantity_edited]]=0,0,Tradingbook_SBV[[#This Row],[DURATION]])</f>
        <v>0</v>
      </c>
      <c r="DW329" s="71">
        <f>IF(Tradingbook_SBV[[#This Row],[Quantity_edited]]=0,0,Tradingbook_SBV[[#This Row],[Mod Dur]])</f>
        <v>0</v>
      </c>
      <c r="DX329" s="71">
        <f>IF(Tradingbook_SBV[[#This Row],[Quantity_edited]]=0,0,Tradingbook_SBV[[#This Row],[Cnvx.]])</f>
        <v>0</v>
      </c>
      <c r="DY329" s="71">
        <f>(Tradingbook_SBV[[#This Row],[MARKET_VALUE]]+Tradingbook_SBV[[#This Row],[Accr Int]]*Tradingbook_SBV[[#This Row],[Quantity_edited]])*(-Tradingbook_SBV[[#This Row],[Modified Duration]]*0.0001+0.5*Tradingbook_SBV[[#This Row],[Conv]]*(0.0001^2))</f>
        <v>0</v>
      </c>
      <c r="DZ329" s="71">
        <f>(Tradingbook_SBV[[#This Row],[MARKET_VALUE]]+Tradingbook_SBV[[#This Row],[Accr Int]]*Tradingbook_SBV[[#This Row],[Quantity_edited]])*(-Tradingbook_SBV[[#This Row],[Modified Duration]]*0.01+0.5*Tradingbook_SBV[[#This Row],[Conv]]*(0.01^2))</f>
        <v>0</v>
      </c>
      <c r="EC329" t="s">
        <v>166</v>
      </c>
      <c r="ED329" t="s">
        <v>3302</v>
      </c>
      <c r="EE329" t="s">
        <v>2303</v>
      </c>
      <c r="EF329" t="s">
        <v>169</v>
      </c>
      <c r="EG329" s="35" t="s">
        <v>2304</v>
      </c>
      <c r="EH329" t="s">
        <v>170</v>
      </c>
      <c r="EI329" s="500">
        <v>103625</v>
      </c>
      <c r="EJ329" s="500">
        <v>103625</v>
      </c>
      <c r="EK329" s="500">
        <v>1000000</v>
      </c>
      <c r="EL329" s="500">
        <v>100000000000</v>
      </c>
      <c r="EM329" s="500">
        <v>104939.144</v>
      </c>
      <c r="EN329" s="500">
        <v>103625000000</v>
      </c>
      <c r="EO329">
        <v>4.9000000000000004</v>
      </c>
      <c r="EP329">
        <v>3678</v>
      </c>
      <c r="EQ329">
        <v>9800000000</v>
      </c>
      <c r="ER329">
        <v>10436666527.777817</v>
      </c>
      <c r="ES329">
        <v>-135347210797.89464</v>
      </c>
      <c r="ET329">
        <v>4.4804564119999997</v>
      </c>
      <c r="EU329">
        <v>8.2846874092664997</v>
      </c>
      <c r="EV329">
        <v>8.6558792199999992</v>
      </c>
      <c r="EW329">
        <v>89.344129949468794</v>
      </c>
      <c r="EX329">
        <v>95868.931759678497</v>
      </c>
      <c r="EY329">
        <v>-88897.181307652005</v>
      </c>
      <c r="EZ329">
        <v>12885.907999999999</v>
      </c>
      <c r="FA329">
        <v>-25569356128.0131</v>
      </c>
      <c r="FB329">
        <v>-1314143871.9862199</v>
      </c>
      <c r="FC329">
        <v>-26883499999.999321</v>
      </c>
      <c r="FD329">
        <v>-26883499999.999321</v>
      </c>
      <c r="FE329">
        <v>-26883499999.999001</v>
      </c>
      <c r="FF329">
        <v>-26883499999.999321</v>
      </c>
      <c r="FG329" s="32">
        <f>Bankingbook_SBV[[#This Row],[Mat. Date]]-RPT</f>
        <v>4109</v>
      </c>
      <c r="FH329" s="32">
        <f>IF(Bankingbook_SBV[[#This Row],[Days]]&lt;=0,0,YEARFRAC(RPT,Bankingbook_SBV[[#This Row],[Mat. Date]],3))</f>
        <v>11.257534246575343</v>
      </c>
      <c r="FI329" s="32" t="str">
        <f>IF(Bankingbook_SBV[[#This Row],[Days (year)]]=0,0,INDEX(Ref!$K$2:$K$13,MATCH(Bankingbook_SBV[[#This Row],[Days (year)]],Ref!$I$2:$I$13,1)))</f>
        <v>15Y</v>
      </c>
      <c r="FJ329" s="32" t="str">
        <f>VLOOKUP(Bankingbook_SBV[[#This Row],[Security Name]],Ref!X:Z,3,0)</f>
        <v>TPCP</v>
      </c>
      <c r="FK329" s="32" t="str">
        <f>VLOOKUP(Bankingbook_SBV[[#This Row],[Security Name]],Ref!X:Y,2,0)</f>
        <v>KBNN</v>
      </c>
      <c r="FL329" s="72">
        <f>IF((Bankingbook_SBV[[#This Row],[Mat. Date]]-RPT)&lt;=0,0,Bankingbook_SBV[[#This Row],[QUANTITY]])</f>
        <v>1000000</v>
      </c>
      <c r="FM329" s="32">
        <f>IF(Bankingbook_SBV[[#This Row],[Quantity_edited]]=0,0,Bankingbook_SBV[[#This Row],[DURATION]])</f>
        <v>8.6558792199999992</v>
      </c>
      <c r="FN329" s="32">
        <f>IF(Bankingbook_SBV[[#This Row],[Quantity_edited]]=0,0,Bankingbook_SBV[[#This Row],[Mod Dur]])</f>
        <v>8.2846874092664997</v>
      </c>
      <c r="FO329" s="32">
        <f>IF(Bankingbook_SBV[[#This Row],[Quantity_edited]]=0,0,Bankingbook_SBV[[#This Row],[Cnvx.]])</f>
        <v>89.344129949468794</v>
      </c>
      <c r="FP329" s="32">
        <f>(Bankingbook_SBV[[#This Row],[MARKET_VALUE]]+Bankingbook_SBV[[#This Row],[Accr Int]]*Bankingbook_SBV[[#This Row],[Quantity_edited]])*(-Bankingbook_SBV[[#This Row],[Modified Duration]]*0.0001+0.5*Bankingbook_SBV[[#This Row],[Conv]]*(0.0001^2))</f>
        <v>-88849246.841772482</v>
      </c>
      <c r="FQ329" s="32">
        <f>(Bankingbook_SBV[[#This Row],[MARKET_VALUE]]+Bankingbook_SBV[[#This Row],[Accr Int]]*Bankingbook_SBV[[#This Row],[Quantity_edited]])*(-Bankingbook_SBV[[#This Row],[Modified Duration]]*0.01+0.5*Bankingbook_SBV[[#This Row],[Conv]]*(0.01^2))</f>
        <v>-8410373471.9668398</v>
      </c>
    </row>
    <row r="330" spans="2:173" x14ac:dyDescent="0.3">
      <c r="B330" t="s">
        <v>166</v>
      </c>
      <c r="C330" t="s">
        <v>167</v>
      </c>
      <c r="D330" t="s">
        <v>516</v>
      </c>
      <c r="E330" t="s">
        <v>169</v>
      </c>
      <c r="F330" s="502">
        <v>45010</v>
      </c>
      <c r="G330" t="s">
        <v>170</v>
      </c>
      <c r="H330"/>
      <c r="I330"/>
      <c r="J330" s="38">
        <v>1500000</v>
      </c>
      <c r="K330">
        <v>150000000000</v>
      </c>
      <c r="L330">
        <v>107420.474</v>
      </c>
      <c r="M330" s="38">
        <v>0</v>
      </c>
      <c r="N330">
        <v>9.4</v>
      </c>
      <c r="O330">
        <v>0</v>
      </c>
      <c r="P330" s="37">
        <v>98700000000</v>
      </c>
      <c r="Q330" s="37">
        <v>105545290194.44449</v>
      </c>
      <c r="R330" s="37">
        <v>-26069278345.764015</v>
      </c>
      <c r="S330">
        <v>9.4</v>
      </c>
      <c r="T330" s="70">
        <v>0</v>
      </c>
      <c r="U330">
        <v>0</v>
      </c>
      <c r="V330">
        <v>0</v>
      </c>
      <c r="W330">
        <v>0</v>
      </c>
      <c r="X330" s="38">
        <v>0</v>
      </c>
      <c r="Y330">
        <v>0</v>
      </c>
      <c r="Z330" s="70">
        <v>-18668300000.000004</v>
      </c>
      <c r="AA330" s="70">
        <v>0</v>
      </c>
      <c r="AB330" s="70">
        <v>-18668300000.000004</v>
      </c>
      <c r="AC330" s="70">
        <v>-18668300000.000004</v>
      </c>
      <c r="AD330" s="70">
        <v>-18668300000</v>
      </c>
      <c r="AE330" s="70">
        <v>-18668300000.000004</v>
      </c>
      <c r="AF330">
        <v>6.337699776</v>
      </c>
      <c r="AG330" s="72">
        <f>Tradingbook_MSB[[#This Row],[Mat. Date]]-RPT</f>
        <v>-1242</v>
      </c>
      <c r="AH330" s="71">
        <f>IF(Tradingbook_MSB[[#This Row],[Days]]&lt;=0,0,YEARFRAC(RPT,Tradingbook_MSB[[#This Row],[Mat. Date]],3))</f>
        <v>0</v>
      </c>
      <c r="AI330" s="71">
        <f>IF(Tradingbook_MSB[[#This Row],[Days (year)]]=0,0,INDEX(Ref!$K$2:$K$13,MATCH(Tradingbook_MSB[[#This Row],[Days (year)]],Ref!$I$2:$I$13,1)))</f>
        <v>0</v>
      </c>
      <c r="AJ330" s="120" t="str">
        <f>VLOOKUP(Tradingbook_MSB[[#This Row],[Security Name]],Ref!X:Z,3,0)</f>
        <v>TPCPBL</v>
      </c>
      <c r="AK330" s="120" t="str">
        <f>VLOOKUP(Tradingbook_MSB[[#This Row],[Security Name]],Ref!X:Y,2,0)</f>
        <v>VDB</v>
      </c>
      <c r="AL330" s="71">
        <f>IF((Tradingbook_MSB[[#This Row],[Mat. Date]]-RPT)&lt;=0,0,Tradingbook_MSB[[#This Row],[QUANTITY]])</f>
        <v>0</v>
      </c>
      <c r="AM330" s="71">
        <f>IF(Tradingbook_MSB[[#This Row],[Quantity_edited]]=0,0,Tradingbook_MSB[[#This Row],[DURATION]])</f>
        <v>0</v>
      </c>
      <c r="AN330" s="71">
        <f>IF(Tradingbook_MSB[[#This Row],[Quantity_edited]]=0,0,Tradingbook_MSB[[#This Row],[Mod Dur]])</f>
        <v>0</v>
      </c>
      <c r="AO330" s="71">
        <f>IF(Tradingbook_MSB[[#This Row],[Quantity_edited]]=0,0,Tradingbook_MSB[[#This Row],[Cnvx.]])</f>
        <v>0</v>
      </c>
      <c r="AP330" s="71">
        <f>(Tradingbook_MSB[[#This Row],[MARKET_VALUE]]+Tradingbook_MSB[[#This Row],[Accr Int]]*Tradingbook_MSB[[#This Row],[Quantity_edited]])*(-Tradingbook_MSB[[#This Row],[Modified Duration]]*0.0001+0.5*Tradingbook_MSB[[#This Row],[Conv]]*(0.0001^2))</f>
        <v>0</v>
      </c>
      <c r="AQ330" s="72">
        <f>(Tradingbook_MSB[[#This Row],[MARKET_VALUE]]+Tradingbook_MSB[[#This Row],[Accr Int]]*Tradingbook_MSB[[#This Row],[Quantity_edited]])*(-Tradingbook_MSB[[#This Row],[Modified Duration]]*0.01+0.5*Tradingbook_MSB[[#This Row],[Conv]]*(0.01^2))</f>
        <v>0</v>
      </c>
      <c r="AR330" s="71"/>
      <c r="CL330" t="s">
        <v>166</v>
      </c>
      <c r="CM330" t="s">
        <v>167</v>
      </c>
      <c r="CN330" t="s">
        <v>521</v>
      </c>
      <c r="CO330" t="s">
        <v>169</v>
      </c>
      <c r="CP330" s="35">
        <v>45177</v>
      </c>
      <c r="CQ330" t="s">
        <v>3322</v>
      </c>
      <c r="CR330" t="s">
        <v>174</v>
      </c>
      <c r="CS330" t="s">
        <v>174</v>
      </c>
      <c r="CT330" s="49">
        <v>0</v>
      </c>
      <c r="CU330">
        <v>0</v>
      </c>
      <c r="CV330">
        <v>0</v>
      </c>
      <c r="CW330" s="70">
        <v>0</v>
      </c>
      <c r="CX330">
        <v>6.2</v>
      </c>
      <c r="CY330">
        <v>0</v>
      </c>
      <c r="CZ330">
        <v>31000000000</v>
      </c>
      <c r="DA330">
        <v>34622713819.44455</v>
      </c>
      <c r="DB330">
        <v>-13333912712.917002</v>
      </c>
      <c r="DC330">
        <v>6.2</v>
      </c>
      <c r="DD330">
        <v>0</v>
      </c>
      <c r="DE330">
        <v>0</v>
      </c>
      <c r="DF330">
        <v>0</v>
      </c>
      <c r="DG330">
        <v>0</v>
      </c>
      <c r="DH330">
        <v>0</v>
      </c>
      <c r="DI330">
        <v>0</v>
      </c>
      <c r="DJ330" s="500">
        <v>2320500000</v>
      </c>
      <c r="DK330" s="500">
        <v>0</v>
      </c>
      <c r="DL330" s="37">
        <v>2320500000</v>
      </c>
      <c r="DM330" s="37">
        <v>2320500000</v>
      </c>
      <c r="DN330" s="37">
        <v>2320500000</v>
      </c>
      <c r="DO330" s="37">
        <v>2320500000</v>
      </c>
      <c r="DP330" s="32">
        <f>Tradingbook_SBV[[#This Row],[Mat. Date]]-RPT</f>
        <v>-1075</v>
      </c>
      <c r="DQ330" s="32">
        <f>IF(Tradingbook_SBV[[#This Row],[Days]]&lt;=0,0,YEARFRAC(RPT,Tradingbook_SBV[[#This Row],[Mat. Date]],3))</f>
        <v>0</v>
      </c>
      <c r="DR330" s="32">
        <f>IF(Tradingbook_SBV[[#This Row],[Days (year)]]=0,0,INDEX(Ref!$K$2:$K$13,MATCH(Tradingbook_SBV[[#This Row],[Days (year)]],Ref!$I$2:$I$13,1)))</f>
        <v>0</v>
      </c>
      <c r="DS330" s="32" t="str">
        <f>VLOOKUP(Tradingbook_SBV[[#This Row],[Security Name]],Ref!X:Z,3,0)</f>
        <v>TPCP</v>
      </c>
      <c r="DT330" s="32" t="str">
        <f>VLOOKUP(Tradingbook_SBV[[#This Row],[Security Name]],Ref!X:Y,2,0)</f>
        <v>KBNN</v>
      </c>
      <c r="DU330" s="71">
        <f>IF((Tradingbook_SBV[[#This Row],[Mat. Date]]-RPT)&lt;=0,0,Tradingbook_SBV[[#This Row],[QUANTITY]])</f>
        <v>0</v>
      </c>
      <c r="DV330" s="71">
        <f>IF(Tradingbook_SBV[[#This Row],[Quantity_edited]]=0,0,Tradingbook_SBV[[#This Row],[DURATION]])</f>
        <v>0</v>
      </c>
      <c r="DW330" s="71">
        <f>IF(Tradingbook_SBV[[#This Row],[Quantity_edited]]=0,0,Tradingbook_SBV[[#This Row],[Mod Dur]])</f>
        <v>0</v>
      </c>
      <c r="DX330" s="71">
        <f>IF(Tradingbook_SBV[[#This Row],[Quantity_edited]]=0,0,Tradingbook_SBV[[#This Row],[Cnvx.]])</f>
        <v>0</v>
      </c>
      <c r="DY330" s="71">
        <f>(Tradingbook_SBV[[#This Row],[MARKET_VALUE]]+Tradingbook_SBV[[#This Row],[Accr Int]]*Tradingbook_SBV[[#This Row],[Quantity_edited]])*(-Tradingbook_SBV[[#This Row],[Modified Duration]]*0.0001+0.5*Tradingbook_SBV[[#This Row],[Conv]]*(0.0001^2))</f>
        <v>0</v>
      </c>
      <c r="DZ330" s="71">
        <f>(Tradingbook_SBV[[#This Row],[MARKET_VALUE]]+Tradingbook_SBV[[#This Row],[Accr Int]]*Tradingbook_SBV[[#This Row],[Quantity_edited]])*(-Tradingbook_SBV[[#This Row],[Modified Duration]]*0.01+0.5*Tradingbook_SBV[[#This Row],[Conv]]*(0.01^2))</f>
        <v>0</v>
      </c>
      <c r="EC330" t="s">
        <v>166</v>
      </c>
      <c r="ED330" t="s">
        <v>3302</v>
      </c>
      <c r="EE330" t="s">
        <v>2380</v>
      </c>
      <c r="EF330" t="s">
        <v>169</v>
      </c>
      <c r="EG330" s="35" t="s">
        <v>3465</v>
      </c>
      <c r="EH330" t="s">
        <v>170</v>
      </c>
      <c r="EI330" s="500">
        <v>101870</v>
      </c>
      <c r="EJ330" s="500">
        <v>101870</v>
      </c>
      <c r="EK330" s="500">
        <v>9000000</v>
      </c>
      <c r="EL330" s="500">
        <v>900000000000</v>
      </c>
      <c r="EM330" s="500">
        <v>121714.10799999999</v>
      </c>
      <c r="EN330" s="500">
        <v>916830000000</v>
      </c>
      <c r="EO330">
        <v>4.7</v>
      </c>
      <c r="EP330">
        <v>2897</v>
      </c>
      <c r="EQ330">
        <v>84600000000</v>
      </c>
      <c r="ER330">
        <v>89519960000.000046</v>
      </c>
      <c r="ES330">
        <v>-109980725433.4724</v>
      </c>
      <c r="ET330">
        <v>4.4839176289999996</v>
      </c>
      <c r="EU330">
        <v>8.4711593242684007</v>
      </c>
      <c r="EV330">
        <v>8.8509991299999999</v>
      </c>
      <c r="EW330">
        <v>92.487795968746894</v>
      </c>
      <c r="EX330">
        <v>872070.20282319316</v>
      </c>
      <c r="EY330">
        <v>-798748.15403306298</v>
      </c>
      <c r="EZ330">
        <v>113317.853</v>
      </c>
      <c r="FA330">
        <v>-25825024096.385967</v>
      </c>
      <c r="FB330">
        <v>-178596975903.6145</v>
      </c>
      <c r="FC330">
        <v>-204422000000.00046</v>
      </c>
      <c r="FD330">
        <v>-204422000000.00046</v>
      </c>
      <c r="FE330">
        <v>-204422000000</v>
      </c>
      <c r="FF330">
        <v>-204422000000.00046</v>
      </c>
      <c r="FG330" s="32">
        <f>Bankingbook_SBV[[#This Row],[Mat. Date]]-RPT</f>
        <v>4158</v>
      </c>
      <c r="FH330" s="32">
        <f>IF(Bankingbook_SBV[[#This Row],[Days]]&lt;=0,0,YEARFRAC(RPT,Bankingbook_SBV[[#This Row],[Mat. Date]],3))</f>
        <v>11.391780821917807</v>
      </c>
      <c r="FI330" s="32" t="str">
        <f>IF(Bankingbook_SBV[[#This Row],[Days (year)]]=0,0,INDEX(Ref!$K$2:$K$13,MATCH(Bankingbook_SBV[[#This Row],[Days (year)]],Ref!$I$2:$I$13,1)))</f>
        <v>15Y</v>
      </c>
      <c r="FJ330" s="32" t="str">
        <f>VLOOKUP(Bankingbook_SBV[[#This Row],[Security Name]],Ref!X:Z,3,0)</f>
        <v>TPCP</v>
      </c>
      <c r="FK330" s="32" t="str">
        <f>VLOOKUP(Bankingbook_SBV[[#This Row],[Security Name]],Ref!X:Y,2,0)</f>
        <v>KBNN</v>
      </c>
      <c r="FL330" s="72">
        <f>IF((Bankingbook_SBV[[#This Row],[Mat. Date]]-RPT)&lt;=0,0,Bankingbook_SBV[[#This Row],[QUANTITY]])</f>
        <v>9000000</v>
      </c>
      <c r="FM330" s="32">
        <f>IF(Bankingbook_SBV[[#This Row],[Quantity_edited]]=0,0,Bankingbook_SBV[[#This Row],[DURATION]])</f>
        <v>8.8509991299999999</v>
      </c>
      <c r="FN330" s="32">
        <f>IF(Bankingbook_SBV[[#This Row],[Quantity_edited]]=0,0,Bankingbook_SBV[[#This Row],[Mod Dur]])</f>
        <v>8.4711593242684007</v>
      </c>
      <c r="FO330" s="32">
        <f>IF(Bankingbook_SBV[[#This Row],[Quantity_edited]]=0,0,Bankingbook_SBV[[#This Row],[Cnvx.]])</f>
        <v>92.487795968746894</v>
      </c>
      <c r="FP330" s="32">
        <f>(Bankingbook_SBV[[#This Row],[MARKET_VALUE]]+Bankingbook_SBV[[#This Row],[Accr Int]]*Bankingbook_SBV[[#This Row],[Quantity_edited]])*(-Bankingbook_SBV[[#This Row],[Modified Duration]]*0.0001+0.5*Bankingbook_SBV[[#This Row],[Conv]]*(0.0001^2))</f>
        <v>-798312118.93165326</v>
      </c>
      <c r="FQ330" s="32">
        <f>(Bankingbook_SBV[[#This Row],[MARKET_VALUE]]+Bankingbook_SBV[[#This Row],[Accr Int]]*Bankingbook_SBV[[#This Row],[Quantity_edited]])*(-Bankingbook_SBV[[#This Row],[Modified Duration]]*0.01+0.5*Bankingbook_SBV[[#This Row],[Conv]]*(0.01^2))</f>
        <v>-75514464389.190506</v>
      </c>
    </row>
    <row r="331" spans="2:173" x14ac:dyDescent="0.3">
      <c r="B331" t="s">
        <v>166</v>
      </c>
      <c r="C331" t="s">
        <v>167</v>
      </c>
      <c r="D331" t="s">
        <v>517</v>
      </c>
      <c r="E331" t="s">
        <v>169</v>
      </c>
      <c r="F331" s="502">
        <v>45021</v>
      </c>
      <c r="G331" t="s">
        <v>3322</v>
      </c>
      <c r="H331"/>
      <c r="I331"/>
      <c r="J331" s="38">
        <v>0</v>
      </c>
      <c r="K331">
        <v>0</v>
      </c>
      <c r="L331">
        <v>0</v>
      </c>
      <c r="M331" s="38">
        <v>0</v>
      </c>
      <c r="N331">
        <v>9.4</v>
      </c>
      <c r="O331">
        <v>0</v>
      </c>
      <c r="P331" s="37">
        <v>0</v>
      </c>
      <c r="Q331" s="37">
        <v>0</v>
      </c>
      <c r="R331" s="37">
        <v>-8331606.4583320618</v>
      </c>
      <c r="S331">
        <v>9.4</v>
      </c>
      <c r="T331" s="70">
        <v>0</v>
      </c>
      <c r="U331">
        <v>0</v>
      </c>
      <c r="V331">
        <v>0</v>
      </c>
      <c r="W331">
        <v>0</v>
      </c>
      <c r="X331" s="38">
        <v>0</v>
      </c>
      <c r="Y331">
        <v>0</v>
      </c>
      <c r="Z331" s="70">
        <v>-747000000</v>
      </c>
      <c r="AA331" s="70">
        <v>0</v>
      </c>
      <c r="AB331" s="70">
        <v>-747000000</v>
      </c>
      <c r="AC331" s="70">
        <v>-747000000</v>
      </c>
      <c r="AD331" s="70">
        <v>-747000000</v>
      </c>
      <c r="AE331" s="70">
        <v>-747000000</v>
      </c>
      <c r="AF331">
        <v>0</v>
      </c>
      <c r="AG331" s="72">
        <f>Tradingbook_MSB[[#This Row],[Mat. Date]]-RPT</f>
        <v>-1231</v>
      </c>
      <c r="AH331" s="71">
        <f>IF(Tradingbook_MSB[[#This Row],[Days]]&lt;=0,0,YEARFRAC(RPT,Tradingbook_MSB[[#This Row],[Mat. Date]],3))</f>
        <v>0</v>
      </c>
      <c r="AI331" s="71">
        <f>IF(Tradingbook_MSB[[#This Row],[Days (year)]]=0,0,INDEX(Ref!$K$2:$K$13,MATCH(Tradingbook_MSB[[#This Row],[Days (year)]],Ref!$I$2:$I$13,1)))</f>
        <v>0</v>
      </c>
      <c r="AJ331" s="120" t="str">
        <f>VLOOKUP(Tradingbook_MSB[[#This Row],[Security Name]],Ref!X:Z,3,0)</f>
        <v>TPCPBL</v>
      </c>
      <c r="AK331" s="120" t="str">
        <f>VLOOKUP(Tradingbook_MSB[[#This Row],[Security Name]],Ref!X:Y,2,0)</f>
        <v>VDB</v>
      </c>
      <c r="AL331" s="71">
        <f>IF((Tradingbook_MSB[[#This Row],[Mat. Date]]-RPT)&lt;=0,0,Tradingbook_MSB[[#This Row],[QUANTITY]])</f>
        <v>0</v>
      </c>
      <c r="AM331" s="71">
        <f>IF(Tradingbook_MSB[[#This Row],[Quantity_edited]]=0,0,Tradingbook_MSB[[#This Row],[DURATION]])</f>
        <v>0</v>
      </c>
      <c r="AN331" s="71">
        <f>IF(Tradingbook_MSB[[#This Row],[Quantity_edited]]=0,0,Tradingbook_MSB[[#This Row],[Mod Dur]])</f>
        <v>0</v>
      </c>
      <c r="AO331" s="71">
        <f>IF(Tradingbook_MSB[[#This Row],[Quantity_edited]]=0,0,Tradingbook_MSB[[#This Row],[Cnvx.]])</f>
        <v>0</v>
      </c>
      <c r="AP331" s="71">
        <f>(Tradingbook_MSB[[#This Row],[MARKET_VALUE]]+Tradingbook_MSB[[#This Row],[Accr Int]]*Tradingbook_MSB[[#This Row],[Quantity_edited]])*(-Tradingbook_MSB[[#This Row],[Modified Duration]]*0.0001+0.5*Tradingbook_MSB[[#This Row],[Conv]]*(0.0001^2))</f>
        <v>0</v>
      </c>
      <c r="AQ331" s="72">
        <f>(Tradingbook_MSB[[#This Row],[MARKET_VALUE]]+Tradingbook_MSB[[#This Row],[Accr Int]]*Tradingbook_MSB[[#This Row],[Quantity_edited]])*(-Tradingbook_MSB[[#This Row],[Modified Duration]]*0.01+0.5*Tradingbook_MSB[[#This Row],[Conv]]*(0.01^2))</f>
        <v>0</v>
      </c>
      <c r="AR331" s="71"/>
      <c r="CL331" t="s">
        <v>166</v>
      </c>
      <c r="CM331" t="s">
        <v>167</v>
      </c>
      <c r="CN331" t="s">
        <v>522</v>
      </c>
      <c r="CO331" t="s">
        <v>169</v>
      </c>
      <c r="CP331" s="35">
        <v>45199</v>
      </c>
      <c r="CQ331" t="s">
        <v>3322</v>
      </c>
      <c r="CR331" t="s">
        <v>174</v>
      </c>
      <c r="CS331" t="s">
        <v>174</v>
      </c>
      <c r="CT331" s="49">
        <v>0</v>
      </c>
      <c r="CU331">
        <v>0</v>
      </c>
      <c r="CV331">
        <v>0</v>
      </c>
      <c r="CW331" s="70">
        <v>0</v>
      </c>
      <c r="CX331">
        <v>8.9</v>
      </c>
      <c r="CY331">
        <v>0</v>
      </c>
      <c r="CZ331">
        <v>4450000000</v>
      </c>
      <c r="DA331">
        <v>4942838736.1111031</v>
      </c>
      <c r="DB331">
        <v>-584890481.38889122</v>
      </c>
      <c r="DC331">
        <v>8.9</v>
      </c>
      <c r="DD331">
        <v>0</v>
      </c>
      <c r="DE331">
        <v>0</v>
      </c>
      <c r="DF331">
        <v>0</v>
      </c>
      <c r="DG331">
        <v>0</v>
      </c>
      <c r="DH331">
        <v>0</v>
      </c>
      <c r="DI331">
        <v>0</v>
      </c>
      <c r="DJ331" s="500">
        <v>522000000</v>
      </c>
      <c r="DK331" s="500">
        <v>0</v>
      </c>
      <c r="DL331" s="37">
        <v>522000000</v>
      </c>
      <c r="DM331" s="37">
        <v>522000000</v>
      </c>
      <c r="DN331" s="37">
        <v>522000000</v>
      </c>
      <c r="DO331" s="37">
        <v>522000000</v>
      </c>
      <c r="DP331" s="32">
        <f>Tradingbook_SBV[[#This Row],[Mat. Date]]-RPT</f>
        <v>-1053</v>
      </c>
      <c r="DQ331" s="32">
        <f>IF(Tradingbook_SBV[[#This Row],[Days]]&lt;=0,0,YEARFRAC(RPT,Tradingbook_SBV[[#This Row],[Mat. Date]],3))</f>
        <v>0</v>
      </c>
      <c r="DR331" s="32">
        <f>IF(Tradingbook_SBV[[#This Row],[Days (year)]]=0,0,INDEX(Ref!$K$2:$K$13,MATCH(Tradingbook_SBV[[#This Row],[Days (year)]],Ref!$I$2:$I$13,1)))</f>
        <v>0</v>
      </c>
      <c r="DS331" s="32" t="str">
        <f>VLOOKUP(Tradingbook_SBV[[#This Row],[Security Name]],Ref!X:Z,3,0)</f>
        <v>TPCP</v>
      </c>
      <c r="DT331" s="32" t="str">
        <f>VLOOKUP(Tradingbook_SBV[[#This Row],[Security Name]],Ref!X:Y,2,0)</f>
        <v>KBNN</v>
      </c>
      <c r="DU331" s="71">
        <f>IF((Tradingbook_SBV[[#This Row],[Mat. Date]]-RPT)&lt;=0,0,Tradingbook_SBV[[#This Row],[QUANTITY]])</f>
        <v>0</v>
      </c>
      <c r="DV331" s="71">
        <f>IF(Tradingbook_SBV[[#This Row],[Quantity_edited]]=0,0,Tradingbook_SBV[[#This Row],[DURATION]])</f>
        <v>0</v>
      </c>
      <c r="DW331" s="71">
        <f>IF(Tradingbook_SBV[[#This Row],[Quantity_edited]]=0,0,Tradingbook_SBV[[#This Row],[Mod Dur]])</f>
        <v>0</v>
      </c>
      <c r="DX331" s="71">
        <f>IF(Tradingbook_SBV[[#This Row],[Quantity_edited]]=0,0,Tradingbook_SBV[[#This Row],[Cnvx.]])</f>
        <v>0</v>
      </c>
      <c r="DY331" s="71">
        <f>(Tradingbook_SBV[[#This Row],[MARKET_VALUE]]+Tradingbook_SBV[[#This Row],[Accr Int]]*Tradingbook_SBV[[#This Row],[Quantity_edited]])*(-Tradingbook_SBV[[#This Row],[Modified Duration]]*0.0001+0.5*Tradingbook_SBV[[#This Row],[Conv]]*(0.0001^2))</f>
        <v>0</v>
      </c>
      <c r="DZ331" s="71">
        <f>(Tradingbook_SBV[[#This Row],[MARKET_VALUE]]+Tradingbook_SBV[[#This Row],[Accr Int]]*Tradingbook_SBV[[#This Row],[Quantity_edited]])*(-Tradingbook_SBV[[#This Row],[Modified Duration]]*0.01+0.5*Tradingbook_SBV[[#This Row],[Conv]]*(0.01^2))</f>
        <v>0</v>
      </c>
      <c r="EC331" t="s">
        <v>166</v>
      </c>
      <c r="ED331" t="s">
        <v>3302</v>
      </c>
      <c r="EE331" t="s">
        <v>709</v>
      </c>
      <c r="EF331" t="s">
        <v>169</v>
      </c>
      <c r="EG331" s="35" t="s">
        <v>3466</v>
      </c>
      <c r="EH331" t="s">
        <v>170</v>
      </c>
      <c r="EI331" s="500">
        <v>106262</v>
      </c>
      <c r="EJ331" s="500">
        <v>106262</v>
      </c>
      <c r="EK331" s="500">
        <v>1000000</v>
      </c>
      <c r="EL331" s="500">
        <v>100000000000</v>
      </c>
      <c r="EM331" s="500">
        <v>102268.345</v>
      </c>
      <c r="EN331" s="500">
        <v>106262000000</v>
      </c>
      <c r="EO331">
        <v>5.2</v>
      </c>
      <c r="EP331">
        <v>2821</v>
      </c>
      <c r="EQ331">
        <v>65000000000</v>
      </c>
      <c r="ER331">
        <v>74922097611.111023</v>
      </c>
      <c r="ES331">
        <v>-28787070045.971798</v>
      </c>
      <c r="ET331">
        <v>4.4858813160000004</v>
      </c>
      <c r="EU331">
        <v>8.3985580141317993</v>
      </c>
      <c r="EV331">
        <v>8.7753073599999993</v>
      </c>
      <c r="EW331">
        <v>91.571269095185102</v>
      </c>
      <c r="EX331">
        <v>99888.687467100797</v>
      </c>
      <c r="EY331">
        <v>-91613.990385554003</v>
      </c>
      <c r="EZ331">
        <v>13115.186</v>
      </c>
      <c r="FA331">
        <v>14721344827.586298</v>
      </c>
      <c r="FB331">
        <v>3993655172.4137969</v>
      </c>
      <c r="FC331">
        <v>18715000000.000095</v>
      </c>
      <c r="FD331">
        <v>18715000000.000095</v>
      </c>
      <c r="FE331">
        <v>18715000000</v>
      </c>
      <c r="FF331">
        <v>18715000000.000095</v>
      </c>
      <c r="FG331" s="32">
        <f>Bankingbook_SBV[[#This Row],[Mat. Date]]-RPT</f>
        <v>4185</v>
      </c>
      <c r="FH331" s="32">
        <f>IF(Bankingbook_SBV[[#This Row],[Days]]&lt;=0,0,YEARFRAC(RPT,Bankingbook_SBV[[#This Row],[Mat. Date]],3))</f>
        <v>11.465753424657533</v>
      </c>
      <c r="FI331" s="32" t="str">
        <f>IF(Bankingbook_SBV[[#This Row],[Days (year)]]=0,0,INDEX(Ref!$K$2:$K$13,MATCH(Bankingbook_SBV[[#This Row],[Days (year)]],Ref!$I$2:$I$13,1)))</f>
        <v>15Y</v>
      </c>
      <c r="FJ331" s="32" t="str">
        <f>VLOOKUP(Bankingbook_SBV[[#This Row],[Security Name]],Ref!X:Z,3,0)</f>
        <v>TPCP</v>
      </c>
      <c r="FK331" s="32" t="str">
        <f>VLOOKUP(Bankingbook_SBV[[#This Row],[Security Name]],Ref!X:Y,2,0)</f>
        <v>KBNN</v>
      </c>
      <c r="FL331" s="72">
        <f>IF((Bankingbook_SBV[[#This Row],[Mat. Date]]-RPT)&lt;=0,0,Bankingbook_SBV[[#This Row],[QUANTITY]])</f>
        <v>1000000</v>
      </c>
      <c r="FM331" s="32">
        <f>IF(Bankingbook_SBV[[#This Row],[Quantity_edited]]=0,0,Bankingbook_SBV[[#This Row],[DURATION]])</f>
        <v>8.7753073599999993</v>
      </c>
      <c r="FN331" s="32">
        <f>IF(Bankingbook_SBV[[#This Row],[Quantity_edited]]=0,0,Bankingbook_SBV[[#This Row],[Mod Dur]])</f>
        <v>8.3985580141317993</v>
      </c>
      <c r="FO331" s="32">
        <f>IF(Bankingbook_SBV[[#This Row],[Quantity_edited]]=0,0,Bankingbook_SBV[[#This Row],[Cnvx.]])</f>
        <v>91.571269095185102</v>
      </c>
      <c r="FP331" s="32">
        <f>(Bankingbook_SBV[[#This Row],[MARKET_VALUE]]+Bankingbook_SBV[[#This Row],[Accr Int]]*Bankingbook_SBV[[#This Row],[Quantity_edited]])*(-Bankingbook_SBV[[#This Row],[Modified Duration]]*0.0001+0.5*Bankingbook_SBV[[#This Row],[Conv]]*(0.0001^2))</f>
        <v>-91564046.041820362</v>
      </c>
      <c r="FQ331" s="32">
        <f>(Bankingbook_SBV[[#This Row],[MARKET_VALUE]]+Bankingbook_SBV[[#This Row],[Accr Int]]*Bankingbook_SBV[[#This Row],[Quantity_edited]])*(-Bankingbook_SBV[[#This Row],[Modified Duration]]*0.01+0.5*Bankingbook_SBV[[#This Row],[Conv]]*(0.01^2))</f>
        <v>-8661955601.2198868</v>
      </c>
    </row>
    <row r="332" spans="2:173" x14ac:dyDescent="0.3">
      <c r="B332" t="s">
        <v>166</v>
      </c>
      <c r="C332" t="s">
        <v>167</v>
      </c>
      <c r="D332" t="s">
        <v>518</v>
      </c>
      <c r="E332" t="s">
        <v>169</v>
      </c>
      <c r="F332" s="502">
        <v>45100</v>
      </c>
      <c r="G332" t="s">
        <v>3322</v>
      </c>
      <c r="H332"/>
      <c r="I332"/>
      <c r="J332" s="38">
        <v>0</v>
      </c>
      <c r="K332">
        <v>0</v>
      </c>
      <c r="L332">
        <v>0</v>
      </c>
      <c r="M332" s="38">
        <v>0</v>
      </c>
      <c r="N332">
        <v>6.6</v>
      </c>
      <c r="O332">
        <v>0</v>
      </c>
      <c r="P332" s="37">
        <v>9900000000</v>
      </c>
      <c r="Q332" s="37">
        <v>10867577416.6667</v>
      </c>
      <c r="R332" s="37">
        <v>-6880244442.0834246</v>
      </c>
      <c r="S332">
        <v>6.6</v>
      </c>
      <c r="T332" s="70">
        <v>0</v>
      </c>
      <c r="U332">
        <v>0</v>
      </c>
      <c r="V332">
        <v>0</v>
      </c>
      <c r="W332">
        <v>0</v>
      </c>
      <c r="X332" s="38">
        <v>0</v>
      </c>
      <c r="Y332">
        <v>0</v>
      </c>
      <c r="Z332" s="70">
        <v>6049000000</v>
      </c>
      <c r="AA332" s="70">
        <v>0</v>
      </c>
      <c r="AB332" s="70">
        <v>6049000000</v>
      </c>
      <c r="AC332" s="70">
        <v>6049000000</v>
      </c>
      <c r="AD332" s="70">
        <v>6049000000</v>
      </c>
      <c r="AE332" s="70">
        <v>6049000000</v>
      </c>
      <c r="AF332">
        <v>0</v>
      </c>
      <c r="AG332" s="72">
        <f>Tradingbook_MSB[[#This Row],[Mat. Date]]-RPT</f>
        <v>-1152</v>
      </c>
      <c r="AH332" s="71">
        <f>IF(Tradingbook_MSB[[#This Row],[Days]]&lt;=0,0,YEARFRAC(RPT,Tradingbook_MSB[[#This Row],[Mat. Date]],3))</f>
        <v>0</v>
      </c>
      <c r="AI332" s="71">
        <f>IF(Tradingbook_MSB[[#This Row],[Days (year)]]=0,0,INDEX(Ref!$K$2:$K$13,MATCH(Tradingbook_MSB[[#This Row],[Days (year)]],Ref!$I$2:$I$13,1)))</f>
        <v>0</v>
      </c>
      <c r="AJ332" s="120" t="str">
        <f>VLOOKUP(Tradingbook_MSB[[#This Row],[Security Name]],Ref!X:Z,3,0)</f>
        <v>TPCP</v>
      </c>
      <c r="AK332" s="120" t="str">
        <f>VLOOKUP(Tradingbook_MSB[[#This Row],[Security Name]],Ref!X:Y,2,0)</f>
        <v>KBNN</v>
      </c>
      <c r="AL332" s="71">
        <f>IF((Tradingbook_MSB[[#This Row],[Mat. Date]]-RPT)&lt;=0,0,Tradingbook_MSB[[#This Row],[QUANTITY]])</f>
        <v>0</v>
      </c>
      <c r="AM332" s="71">
        <f>IF(Tradingbook_MSB[[#This Row],[Quantity_edited]]=0,0,Tradingbook_MSB[[#This Row],[DURATION]])</f>
        <v>0</v>
      </c>
      <c r="AN332" s="71">
        <f>IF(Tradingbook_MSB[[#This Row],[Quantity_edited]]=0,0,Tradingbook_MSB[[#This Row],[Mod Dur]])</f>
        <v>0</v>
      </c>
      <c r="AO332" s="71">
        <f>IF(Tradingbook_MSB[[#This Row],[Quantity_edited]]=0,0,Tradingbook_MSB[[#This Row],[Cnvx.]])</f>
        <v>0</v>
      </c>
      <c r="AP332" s="71">
        <f>(Tradingbook_MSB[[#This Row],[MARKET_VALUE]]+Tradingbook_MSB[[#This Row],[Accr Int]]*Tradingbook_MSB[[#This Row],[Quantity_edited]])*(-Tradingbook_MSB[[#This Row],[Modified Duration]]*0.0001+0.5*Tradingbook_MSB[[#This Row],[Conv]]*(0.0001^2))</f>
        <v>0</v>
      </c>
      <c r="AQ332" s="72">
        <f>(Tradingbook_MSB[[#This Row],[MARKET_VALUE]]+Tradingbook_MSB[[#This Row],[Accr Int]]*Tradingbook_MSB[[#This Row],[Quantity_edited]])*(-Tradingbook_MSB[[#This Row],[Modified Duration]]*0.01+0.5*Tradingbook_MSB[[#This Row],[Conv]]*(0.01^2))</f>
        <v>0</v>
      </c>
      <c r="AR332" s="71"/>
      <c r="CL332" t="s">
        <v>166</v>
      </c>
      <c r="CM332" t="s">
        <v>167</v>
      </c>
      <c r="CN332" t="s">
        <v>523</v>
      </c>
      <c r="CO332" t="s">
        <v>169</v>
      </c>
      <c r="CP332" s="35">
        <v>45279</v>
      </c>
      <c r="CQ332" t="s">
        <v>3322</v>
      </c>
      <c r="CR332" t="s">
        <v>174</v>
      </c>
      <c r="CS332" t="s">
        <v>174</v>
      </c>
      <c r="CT332" s="49">
        <v>0</v>
      </c>
      <c r="CU332">
        <v>0</v>
      </c>
      <c r="CV332">
        <v>0</v>
      </c>
      <c r="CW332" s="70">
        <v>0</v>
      </c>
      <c r="CX332">
        <v>5.3</v>
      </c>
      <c r="CY332">
        <v>0</v>
      </c>
      <c r="CZ332">
        <v>0</v>
      </c>
      <c r="DA332">
        <v>0</v>
      </c>
      <c r="DB332">
        <v>-1177769.7222232819</v>
      </c>
      <c r="DC332">
        <v>5.3</v>
      </c>
      <c r="DD332">
        <v>0</v>
      </c>
      <c r="DE332">
        <v>0</v>
      </c>
      <c r="DF332">
        <v>0</v>
      </c>
      <c r="DG332">
        <v>0</v>
      </c>
      <c r="DH332">
        <v>0</v>
      </c>
      <c r="DI332">
        <v>0</v>
      </c>
      <c r="DJ332" s="500">
        <v>-6000000</v>
      </c>
      <c r="DK332" s="500">
        <v>0</v>
      </c>
      <c r="DL332" s="37">
        <v>-6000000</v>
      </c>
      <c r="DM332" s="37">
        <v>-6000000</v>
      </c>
      <c r="DN332" s="37">
        <v>-6000000</v>
      </c>
      <c r="DO332" s="37">
        <v>-6000000</v>
      </c>
      <c r="DP332" s="32">
        <f>Tradingbook_SBV[[#This Row],[Mat. Date]]-RPT</f>
        <v>-973</v>
      </c>
      <c r="DQ332" s="32">
        <f>IF(Tradingbook_SBV[[#This Row],[Days]]&lt;=0,0,YEARFRAC(RPT,Tradingbook_SBV[[#This Row],[Mat. Date]],3))</f>
        <v>0</v>
      </c>
      <c r="DR332" s="32">
        <f>IF(Tradingbook_SBV[[#This Row],[Days (year)]]=0,0,INDEX(Ref!$K$2:$K$13,MATCH(Tradingbook_SBV[[#This Row],[Days (year)]],Ref!$I$2:$I$13,1)))</f>
        <v>0</v>
      </c>
      <c r="DS332" s="32" t="str">
        <f>VLOOKUP(Tradingbook_SBV[[#This Row],[Security Name]],Ref!X:Z,3,0)</f>
        <v>TPCPBL</v>
      </c>
      <c r="DT332" s="32" t="str">
        <f>VLOOKUP(Tradingbook_SBV[[#This Row],[Security Name]],Ref!X:Y,2,0)</f>
        <v>VDB</v>
      </c>
      <c r="DU332" s="71">
        <f>IF((Tradingbook_SBV[[#This Row],[Mat. Date]]-RPT)&lt;=0,0,Tradingbook_SBV[[#This Row],[QUANTITY]])</f>
        <v>0</v>
      </c>
      <c r="DV332" s="71">
        <f>IF(Tradingbook_SBV[[#This Row],[Quantity_edited]]=0,0,Tradingbook_SBV[[#This Row],[DURATION]])</f>
        <v>0</v>
      </c>
      <c r="DW332" s="71">
        <f>IF(Tradingbook_SBV[[#This Row],[Quantity_edited]]=0,0,Tradingbook_SBV[[#This Row],[Mod Dur]])</f>
        <v>0</v>
      </c>
      <c r="DX332" s="71">
        <f>IF(Tradingbook_SBV[[#This Row],[Quantity_edited]]=0,0,Tradingbook_SBV[[#This Row],[Cnvx.]])</f>
        <v>0</v>
      </c>
      <c r="DY332" s="71">
        <f>(Tradingbook_SBV[[#This Row],[MARKET_VALUE]]+Tradingbook_SBV[[#This Row],[Accr Int]]*Tradingbook_SBV[[#This Row],[Quantity_edited]])*(-Tradingbook_SBV[[#This Row],[Modified Duration]]*0.0001+0.5*Tradingbook_SBV[[#This Row],[Conv]]*(0.0001^2))</f>
        <v>0</v>
      </c>
      <c r="DZ332" s="71">
        <f>(Tradingbook_SBV[[#This Row],[MARKET_VALUE]]+Tradingbook_SBV[[#This Row],[Accr Int]]*Tradingbook_SBV[[#This Row],[Quantity_edited]])*(-Tradingbook_SBV[[#This Row],[Modified Duration]]*0.01+0.5*Tradingbook_SBV[[#This Row],[Conv]]*(0.01^2))</f>
        <v>0</v>
      </c>
      <c r="EC332" t="s">
        <v>166</v>
      </c>
      <c r="ED332" t="s">
        <v>3302</v>
      </c>
      <c r="EE332" t="s">
        <v>2386</v>
      </c>
      <c r="EF332" t="s">
        <v>169</v>
      </c>
      <c r="EG332" s="35" t="s">
        <v>3467</v>
      </c>
      <c r="EH332" t="s">
        <v>170</v>
      </c>
      <c r="EI332" s="500">
        <v>99219</v>
      </c>
      <c r="EJ332" s="500">
        <v>99219</v>
      </c>
      <c r="EK332" s="500">
        <v>3500000</v>
      </c>
      <c r="EL332" s="500">
        <v>350000000000</v>
      </c>
      <c r="EM332" s="500">
        <v>113937.62300000001</v>
      </c>
      <c r="EN332" s="500">
        <v>347266500000</v>
      </c>
      <c r="EO332">
        <v>4.4000000000000004</v>
      </c>
      <c r="EP332">
        <v>2375</v>
      </c>
      <c r="EQ332">
        <v>44000000000</v>
      </c>
      <c r="ER332">
        <v>46996256388.888901</v>
      </c>
      <c r="ES332">
        <v>-43344153238.450058</v>
      </c>
      <c r="ET332">
        <v>4.4858984570000002</v>
      </c>
      <c r="EU332">
        <v>8.6362753779566006</v>
      </c>
      <c r="EV332">
        <v>9.0236899200000007</v>
      </c>
      <c r="EW332">
        <v>95.206159095758807</v>
      </c>
      <c r="EX332">
        <v>338533.10845110839</v>
      </c>
      <c r="EY332">
        <v>-307087.81626184401</v>
      </c>
      <c r="EZ332">
        <v>42751.868000000002</v>
      </c>
      <c r="FA332">
        <v>-29329500987.654285</v>
      </c>
      <c r="FB332">
        <v>-51515179012.34568</v>
      </c>
      <c r="FC332">
        <v>-80844679999.999969</v>
      </c>
      <c r="FD332">
        <v>-80844679999.999969</v>
      </c>
      <c r="FE332">
        <v>-80844680000</v>
      </c>
      <c r="FF332">
        <v>-80844679999.999969</v>
      </c>
      <c r="FG332" s="32">
        <f>Bankingbook_SBV[[#This Row],[Mat. Date]]-RPT</f>
        <v>4186</v>
      </c>
      <c r="FH332" s="32">
        <f>IF(Bankingbook_SBV[[#This Row],[Days]]&lt;=0,0,YEARFRAC(RPT,Bankingbook_SBV[[#This Row],[Mat. Date]],3))</f>
        <v>11.468493150684932</v>
      </c>
      <c r="FI332" s="32" t="str">
        <f>IF(Bankingbook_SBV[[#This Row],[Days (year)]]=0,0,INDEX(Ref!$K$2:$K$13,MATCH(Bankingbook_SBV[[#This Row],[Days (year)]],Ref!$I$2:$I$13,1)))</f>
        <v>15Y</v>
      </c>
      <c r="FJ332" s="32" t="str">
        <f>VLOOKUP(Bankingbook_SBV[[#This Row],[Security Name]],Ref!X:Z,3,0)</f>
        <v>TPCP</v>
      </c>
      <c r="FK332" s="32" t="str">
        <f>VLOOKUP(Bankingbook_SBV[[#This Row],[Security Name]],Ref!X:Y,2,0)</f>
        <v>KBNN</v>
      </c>
      <c r="FL332" s="72">
        <f>IF((Bankingbook_SBV[[#This Row],[Mat. Date]]-RPT)&lt;=0,0,Bankingbook_SBV[[#This Row],[QUANTITY]])</f>
        <v>3500000</v>
      </c>
      <c r="FM332" s="32">
        <f>IF(Bankingbook_SBV[[#This Row],[Quantity_edited]]=0,0,Bankingbook_SBV[[#This Row],[DURATION]])</f>
        <v>9.0236899200000007</v>
      </c>
      <c r="FN332" s="32">
        <f>IF(Bankingbook_SBV[[#This Row],[Quantity_edited]]=0,0,Bankingbook_SBV[[#This Row],[Mod Dur]])</f>
        <v>8.6362753779566006</v>
      </c>
      <c r="FO332" s="32">
        <f>IF(Bankingbook_SBV[[#This Row],[Quantity_edited]]=0,0,Bankingbook_SBV[[#This Row],[Cnvx.]])</f>
        <v>95.206159095758807</v>
      </c>
      <c r="FP332" s="32">
        <f>(Bankingbook_SBV[[#This Row],[MARKET_VALUE]]+Bankingbook_SBV[[#This Row],[Accr Int]]*Bankingbook_SBV[[#This Row],[Quantity_edited]])*(-Bankingbook_SBV[[#This Row],[Modified Duration]]*0.0001+0.5*Bankingbook_SBV[[#This Row],[Conv]]*(0.0001^2))</f>
        <v>-306918549.70761746</v>
      </c>
      <c r="FQ332" s="32">
        <f>(Bankingbook_SBV[[#This Row],[MARKET_VALUE]]+Bankingbook_SBV[[#This Row],[Accr Int]]*Bankingbook_SBV[[#This Row],[Quantity_edited]])*(-Bankingbook_SBV[[#This Row],[Modified Duration]]*0.01+0.5*Bankingbook_SBV[[#This Row],[Conv]]*(0.01^2))</f>
        <v>-29016116083.928764</v>
      </c>
    </row>
    <row r="333" spans="2:173" x14ac:dyDescent="0.3">
      <c r="B333" t="s">
        <v>166</v>
      </c>
      <c r="C333" t="s">
        <v>167</v>
      </c>
      <c r="D333" t="s">
        <v>519</v>
      </c>
      <c r="E333" t="s">
        <v>169</v>
      </c>
      <c r="F333" s="502">
        <v>45114</v>
      </c>
      <c r="G333" t="s">
        <v>3322</v>
      </c>
      <c r="H333"/>
      <c r="I333"/>
      <c r="J333" s="38">
        <v>0</v>
      </c>
      <c r="K333">
        <v>0</v>
      </c>
      <c r="L333">
        <v>0</v>
      </c>
      <c r="M333" s="38">
        <v>0</v>
      </c>
      <c r="N333">
        <v>6.6</v>
      </c>
      <c r="O333">
        <v>0</v>
      </c>
      <c r="P333" s="37">
        <v>0</v>
      </c>
      <c r="Q333" s="37">
        <v>3.8000000000000002E-5</v>
      </c>
      <c r="R333" s="37">
        <v>-3767859167.0835905</v>
      </c>
      <c r="S333">
        <v>6.6</v>
      </c>
      <c r="T333" s="70">
        <v>0</v>
      </c>
      <c r="U333">
        <v>0</v>
      </c>
      <c r="V333">
        <v>0</v>
      </c>
      <c r="W333">
        <v>0</v>
      </c>
      <c r="X333" s="38">
        <v>0</v>
      </c>
      <c r="Y333">
        <v>0</v>
      </c>
      <c r="Z333" s="70">
        <v>-4587500000</v>
      </c>
      <c r="AA333" s="70">
        <v>0</v>
      </c>
      <c r="AB333" s="70">
        <v>-4587500000</v>
      </c>
      <c r="AC333" s="70">
        <v>-4587500000</v>
      </c>
      <c r="AD333" s="70">
        <v>-4587500000</v>
      </c>
      <c r="AE333" s="70">
        <v>-4587500000</v>
      </c>
      <c r="AF333">
        <v>0</v>
      </c>
      <c r="AG333" s="72">
        <f>Tradingbook_MSB[[#This Row],[Mat. Date]]-RPT</f>
        <v>-1138</v>
      </c>
      <c r="AH333" s="71">
        <f>IF(Tradingbook_MSB[[#This Row],[Days]]&lt;=0,0,YEARFRAC(RPT,Tradingbook_MSB[[#This Row],[Mat. Date]],3))</f>
        <v>0</v>
      </c>
      <c r="AI333" s="71">
        <f>IF(Tradingbook_MSB[[#This Row],[Days (year)]]=0,0,INDEX(Ref!$K$2:$K$13,MATCH(Tradingbook_MSB[[#This Row],[Days (year)]],Ref!$I$2:$I$13,1)))</f>
        <v>0</v>
      </c>
      <c r="AJ333" s="120" t="str">
        <f>VLOOKUP(Tradingbook_MSB[[#This Row],[Security Name]],Ref!X:Z,3,0)</f>
        <v>TPCP</v>
      </c>
      <c r="AK333" s="120" t="str">
        <f>VLOOKUP(Tradingbook_MSB[[#This Row],[Security Name]],Ref!X:Y,2,0)</f>
        <v>KBNN</v>
      </c>
      <c r="AL333" s="71">
        <f>IF((Tradingbook_MSB[[#This Row],[Mat. Date]]-RPT)&lt;=0,0,Tradingbook_MSB[[#This Row],[QUANTITY]])</f>
        <v>0</v>
      </c>
      <c r="AM333" s="71">
        <f>IF(Tradingbook_MSB[[#This Row],[Quantity_edited]]=0,0,Tradingbook_MSB[[#This Row],[DURATION]])</f>
        <v>0</v>
      </c>
      <c r="AN333" s="71">
        <f>IF(Tradingbook_MSB[[#This Row],[Quantity_edited]]=0,0,Tradingbook_MSB[[#This Row],[Mod Dur]])</f>
        <v>0</v>
      </c>
      <c r="AO333" s="71">
        <f>IF(Tradingbook_MSB[[#This Row],[Quantity_edited]]=0,0,Tradingbook_MSB[[#This Row],[Cnvx.]])</f>
        <v>0</v>
      </c>
      <c r="AP333" s="71">
        <f>(Tradingbook_MSB[[#This Row],[MARKET_VALUE]]+Tradingbook_MSB[[#This Row],[Accr Int]]*Tradingbook_MSB[[#This Row],[Quantity_edited]])*(-Tradingbook_MSB[[#This Row],[Modified Duration]]*0.0001+0.5*Tradingbook_MSB[[#This Row],[Conv]]*(0.0001^2))</f>
        <v>0</v>
      </c>
      <c r="AQ333" s="72">
        <f>(Tradingbook_MSB[[#This Row],[MARKET_VALUE]]+Tradingbook_MSB[[#This Row],[Accr Int]]*Tradingbook_MSB[[#This Row],[Quantity_edited]])*(-Tradingbook_MSB[[#This Row],[Modified Duration]]*0.01+0.5*Tradingbook_MSB[[#This Row],[Conv]]*(0.01^2))</f>
        <v>0</v>
      </c>
      <c r="AR333" s="71"/>
      <c r="CL333" t="s">
        <v>166</v>
      </c>
      <c r="CM333" t="s">
        <v>167</v>
      </c>
      <c r="CN333" t="s">
        <v>525</v>
      </c>
      <c r="CO333" t="s">
        <v>169</v>
      </c>
      <c r="CP333" s="35">
        <v>45286</v>
      </c>
      <c r="CQ333" t="s">
        <v>3322</v>
      </c>
      <c r="CR333" t="s">
        <v>174</v>
      </c>
      <c r="CS333" t="s">
        <v>174</v>
      </c>
      <c r="CT333" s="49">
        <v>0</v>
      </c>
      <c r="CU333">
        <v>0</v>
      </c>
      <c r="CV333">
        <v>0</v>
      </c>
      <c r="CW333" s="70">
        <v>0</v>
      </c>
      <c r="CX333">
        <v>5.3</v>
      </c>
      <c r="CY333">
        <v>0</v>
      </c>
      <c r="CZ333">
        <v>0</v>
      </c>
      <c r="DA333">
        <v>0</v>
      </c>
      <c r="DB333">
        <v>170196824.23611164</v>
      </c>
      <c r="DC333">
        <v>5.3</v>
      </c>
      <c r="DD333">
        <v>0</v>
      </c>
      <c r="DE333">
        <v>0</v>
      </c>
      <c r="DF333">
        <v>0</v>
      </c>
      <c r="DG333">
        <v>0</v>
      </c>
      <c r="DH333">
        <v>0</v>
      </c>
      <c r="DI333">
        <v>0</v>
      </c>
      <c r="DJ333" s="500">
        <v>3091000000</v>
      </c>
      <c r="DK333" s="500">
        <v>0</v>
      </c>
      <c r="DL333" s="37">
        <v>3091000000</v>
      </c>
      <c r="DM333" s="37">
        <v>3091000000</v>
      </c>
      <c r="DN333" s="37">
        <v>3091000000</v>
      </c>
      <c r="DO333" s="37">
        <v>3091000000</v>
      </c>
      <c r="DP333" s="32">
        <f>Tradingbook_SBV[[#This Row],[Mat. Date]]-RPT</f>
        <v>-966</v>
      </c>
      <c r="DQ333" s="32">
        <f>IF(Tradingbook_SBV[[#This Row],[Days]]&lt;=0,0,YEARFRAC(RPT,Tradingbook_SBV[[#This Row],[Mat. Date]],3))</f>
        <v>0</v>
      </c>
      <c r="DR333" s="32">
        <f>IF(Tradingbook_SBV[[#This Row],[Days (year)]]=0,0,INDEX(Ref!$K$2:$K$13,MATCH(Tradingbook_SBV[[#This Row],[Days (year)]],Ref!$I$2:$I$13,1)))</f>
        <v>0</v>
      </c>
      <c r="DS333" s="32" t="str">
        <f>VLOOKUP(Tradingbook_SBV[[#This Row],[Security Name]],Ref!X:Z,3,0)</f>
        <v>TPCPBL</v>
      </c>
      <c r="DT333" s="32" t="str">
        <f>VLOOKUP(Tradingbook_SBV[[#This Row],[Security Name]],Ref!X:Y,2,0)</f>
        <v>VDB</v>
      </c>
      <c r="DU333" s="71">
        <f>IF((Tradingbook_SBV[[#This Row],[Mat. Date]]-RPT)&lt;=0,0,Tradingbook_SBV[[#This Row],[QUANTITY]])</f>
        <v>0</v>
      </c>
      <c r="DV333" s="71">
        <f>IF(Tradingbook_SBV[[#This Row],[Quantity_edited]]=0,0,Tradingbook_SBV[[#This Row],[DURATION]])</f>
        <v>0</v>
      </c>
      <c r="DW333" s="71">
        <f>IF(Tradingbook_SBV[[#This Row],[Quantity_edited]]=0,0,Tradingbook_SBV[[#This Row],[Mod Dur]])</f>
        <v>0</v>
      </c>
      <c r="DX333" s="71">
        <f>IF(Tradingbook_SBV[[#This Row],[Quantity_edited]]=0,0,Tradingbook_SBV[[#This Row],[Cnvx.]])</f>
        <v>0</v>
      </c>
      <c r="DY333" s="71">
        <f>(Tradingbook_SBV[[#This Row],[MARKET_VALUE]]+Tradingbook_SBV[[#This Row],[Accr Int]]*Tradingbook_SBV[[#This Row],[Quantity_edited]])*(-Tradingbook_SBV[[#This Row],[Modified Duration]]*0.0001+0.5*Tradingbook_SBV[[#This Row],[Conv]]*(0.0001^2))</f>
        <v>0</v>
      </c>
      <c r="DZ333" s="71">
        <f>(Tradingbook_SBV[[#This Row],[MARKET_VALUE]]+Tradingbook_SBV[[#This Row],[Accr Int]]*Tradingbook_SBV[[#This Row],[Quantity_edited]])*(-Tradingbook_SBV[[#This Row],[Modified Duration]]*0.01+0.5*Tradingbook_SBV[[#This Row],[Conv]]*(0.01^2))</f>
        <v>0</v>
      </c>
      <c r="EC333" t="s">
        <v>166</v>
      </c>
      <c r="ED333" t="s">
        <v>3302</v>
      </c>
      <c r="EE333" t="s">
        <v>2496</v>
      </c>
      <c r="EF333" t="s">
        <v>169</v>
      </c>
      <c r="EG333" s="35" t="s">
        <v>3469</v>
      </c>
      <c r="EH333" t="s">
        <v>170</v>
      </c>
      <c r="EI333" s="500">
        <v>93852</v>
      </c>
      <c r="EJ333" s="500">
        <v>93852</v>
      </c>
      <c r="EK333" s="500">
        <v>3500000</v>
      </c>
      <c r="EL333" s="500">
        <v>350000000000</v>
      </c>
      <c r="EM333" s="500">
        <v>108209.56200000001</v>
      </c>
      <c r="EN333" s="500">
        <v>328482000000</v>
      </c>
      <c r="EO333">
        <v>3.8</v>
      </c>
      <c r="EP333">
        <v>1541</v>
      </c>
      <c r="EQ333">
        <v>34200000000</v>
      </c>
      <c r="ER333">
        <v>36203631805.555557</v>
      </c>
      <c r="ES333">
        <v>-38523481342.405685</v>
      </c>
      <c r="ET333">
        <v>4.4894532749999998</v>
      </c>
      <c r="EU333">
        <v>8.9643928284124001</v>
      </c>
      <c r="EV333">
        <v>9.3668450599999993</v>
      </c>
      <c r="EW333">
        <v>100.66159795803</v>
      </c>
      <c r="EX333">
        <v>336084.41349036229</v>
      </c>
      <c r="EY333">
        <v>-299299.11377826199</v>
      </c>
      <c r="EZ333">
        <v>40173.544000000002</v>
      </c>
      <c r="FA333">
        <v>-15673172432.432505</v>
      </c>
      <c r="FB333">
        <v>-50251467567.567589</v>
      </c>
      <c r="FC333">
        <v>-65924640000.000092</v>
      </c>
      <c r="FD333">
        <v>-65924640000.000092</v>
      </c>
      <c r="FE333">
        <v>-65924640000</v>
      </c>
      <c r="FF333">
        <v>-65924640000.000092</v>
      </c>
      <c r="FG333" s="32">
        <f>Bankingbook_SBV[[#This Row],[Mat. Date]]-RPT</f>
        <v>4235</v>
      </c>
      <c r="FH333" s="32">
        <f>IF(Bankingbook_SBV[[#This Row],[Days]]&lt;=0,0,YEARFRAC(RPT,Bankingbook_SBV[[#This Row],[Mat. Date]],3))</f>
        <v>11.602739726027398</v>
      </c>
      <c r="FI333" s="32" t="str">
        <f>IF(Bankingbook_SBV[[#This Row],[Days (year)]]=0,0,INDEX(Ref!$K$2:$K$13,MATCH(Bankingbook_SBV[[#This Row],[Days (year)]],Ref!$I$2:$I$13,1)))</f>
        <v>15Y</v>
      </c>
      <c r="FJ333" s="32" t="str">
        <f>VLOOKUP(Bankingbook_SBV[[#This Row],[Security Name]],Ref!X:Z,3,0)</f>
        <v>TPCP</v>
      </c>
      <c r="FK333" s="32" t="str">
        <f>VLOOKUP(Bankingbook_SBV[[#This Row],[Security Name]],Ref!X:Y,2,0)</f>
        <v>KBNN</v>
      </c>
      <c r="FL333" s="72">
        <f>IF((Bankingbook_SBV[[#This Row],[Mat. Date]]-RPT)&lt;=0,0,Bankingbook_SBV[[#This Row],[QUANTITY]])</f>
        <v>3500000</v>
      </c>
      <c r="FM333" s="32">
        <f>IF(Bankingbook_SBV[[#This Row],[Quantity_edited]]=0,0,Bankingbook_SBV[[#This Row],[DURATION]])</f>
        <v>9.3668450599999993</v>
      </c>
      <c r="FN333" s="32">
        <f>IF(Bankingbook_SBV[[#This Row],[Quantity_edited]]=0,0,Bankingbook_SBV[[#This Row],[Mod Dur]])</f>
        <v>8.9643928284124001</v>
      </c>
      <c r="FO333" s="32">
        <f>IF(Bankingbook_SBV[[#This Row],[Quantity_edited]]=0,0,Bankingbook_SBV[[#This Row],[Cnvx.]])</f>
        <v>100.66159795803</v>
      </c>
      <c r="FP333" s="32">
        <f>(Bankingbook_SBV[[#This Row],[MARKET_VALUE]]+Bankingbook_SBV[[#This Row],[Accr Int]]*Bankingbook_SBV[[#This Row],[Quantity_edited]])*(-Bankingbook_SBV[[#This Row],[Modified Duration]]*0.0001+0.5*Bankingbook_SBV[[#This Row],[Conv]]*(0.0001^2))</f>
        <v>-299131071.57151526</v>
      </c>
      <c r="FQ333" s="32">
        <f>(Bankingbook_SBV[[#This Row],[MARKET_VALUE]]+Bankingbook_SBV[[#This Row],[Accr Int]]*Bankingbook_SBV[[#This Row],[Quantity_edited]])*(-Bankingbook_SBV[[#This Row],[Modified Duration]]*0.01+0.5*Bankingbook_SBV[[#This Row],[Conv]]*(0.01^2))</f>
        <v>-28249489310.374229</v>
      </c>
    </row>
    <row r="334" spans="2:173" x14ac:dyDescent="0.3">
      <c r="B334" t="s">
        <v>166</v>
      </c>
      <c r="C334" t="s">
        <v>167</v>
      </c>
      <c r="D334" t="s">
        <v>520</v>
      </c>
      <c r="E334" t="s">
        <v>169</v>
      </c>
      <c r="F334" s="502">
        <v>45163</v>
      </c>
      <c r="G334" t="s">
        <v>3322</v>
      </c>
      <c r="H334"/>
      <c r="I334"/>
      <c r="J334" s="38">
        <v>0</v>
      </c>
      <c r="K334">
        <v>0</v>
      </c>
      <c r="L334">
        <v>0</v>
      </c>
      <c r="M334" s="38">
        <v>0</v>
      </c>
      <c r="N334">
        <v>6.3</v>
      </c>
      <c r="O334">
        <v>0</v>
      </c>
      <c r="P334" s="37">
        <v>3150000000</v>
      </c>
      <c r="Q334" s="37">
        <v>3555777312.5000038</v>
      </c>
      <c r="R334" s="37">
        <v>-2252597319.9306536</v>
      </c>
      <c r="S334">
        <v>6.3</v>
      </c>
      <c r="T334" s="70">
        <v>0</v>
      </c>
      <c r="U334">
        <v>0</v>
      </c>
      <c r="V334">
        <v>0</v>
      </c>
      <c r="W334">
        <v>0</v>
      </c>
      <c r="X334" s="38">
        <v>0</v>
      </c>
      <c r="Y334">
        <v>0</v>
      </c>
      <c r="Z334" s="70">
        <v>1482500000</v>
      </c>
      <c r="AA334" s="70">
        <v>0</v>
      </c>
      <c r="AB334" s="70">
        <v>1482500000</v>
      </c>
      <c r="AC334" s="70">
        <v>1482500000</v>
      </c>
      <c r="AD334" s="70">
        <v>1482500000</v>
      </c>
      <c r="AE334" s="70">
        <v>1482500000</v>
      </c>
      <c r="AF334">
        <v>0</v>
      </c>
      <c r="AG334" s="72">
        <f>Tradingbook_MSB[[#This Row],[Mat. Date]]-RPT</f>
        <v>-1089</v>
      </c>
      <c r="AH334" s="71">
        <f>IF(Tradingbook_MSB[[#This Row],[Days]]&lt;=0,0,YEARFRAC(RPT,Tradingbook_MSB[[#This Row],[Mat. Date]],3))</f>
        <v>0</v>
      </c>
      <c r="AI334" s="71">
        <f>IF(Tradingbook_MSB[[#This Row],[Days (year)]]=0,0,INDEX(Ref!$K$2:$K$13,MATCH(Tradingbook_MSB[[#This Row],[Days (year)]],Ref!$I$2:$I$13,1)))</f>
        <v>0</v>
      </c>
      <c r="AJ334" s="120" t="str">
        <f>VLOOKUP(Tradingbook_MSB[[#This Row],[Security Name]],Ref!X:Z,3,0)</f>
        <v>TPCP</v>
      </c>
      <c r="AK334" s="120" t="str">
        <f>VLOOKUP(Tradingbook_MSB[[#This Row],[Security Name]],Ref!X:Y,2,0)</f>
        <v>KBNN</v>
      </c>
      <c r="AL334" s="71">
        <f>IF((Tradingbook_MSB[[#This Row],[Mat. Date]]-RPT)&lt;=0,0,Tradingbook_MSB[[#This Row],[QUANTITY]])</f>
        <v>0</v>
      </c>
      <c r="AM334" s="71">
        <f>IF(Tradingbook_MSB[[#This Row],[Quantity_edited]]=0,0,Tradingbook_MSB[[#This Row],[DURATION]])</f>
        <v>0</v>
      </c>
      <c r="AN334" s="71">
        <f>IF(Tradingbook_MSB[[#This Row],[Quantity_edited]]=0,0,Tradingbook_MSB[[#This Row],[Mod Dur]])</f>
        <v>0</v>
      </c>
      <c r="AO334" s="71">
        <f>IF(Tradingbook_MSB[[#This Row],[Quantity_edited]]=0,0,Tradingbook_MSB[[#This Row],[Cnvx.]])</f>
        <v>0</v>
      </c>
      <c r="AP334" s="71">
        <f>(Tradingbook_MSB[[#This Row],[MARKET_VALUE]]+Tradingbook_MSB[[#This Row],[Accr Int]]*Tradingbook_MSB[[#This Row],[Quantity_edited]])*(-Tradingbook_MSB[[#This Row],[Modified Duration]]*0.0001+0.5*Tradingbook_MSB[[#This Row],[Conv]]*(0.0001^2))</f>
        <v>0</v>
      </c>
      <c r="AQ334" s="72">
        <f>(Tradingbook_MSB[[#This Row],[MARKET_VALUE]]+Tradingbook_MSB[[#This Row],[Accr Int]]*Tradingbook_MSB[[#This Row],[Quantity_edited]])*(-Tradingbook_MSB[[#This Row],[Modified Duration]]*0.01+0.5*Tradingbook_MSB[[#This Row],[Conv]]*(0.01^2))</f>
        <v>0</v>
      </c>
      <c r="AR334" s="71"/>
      <c r="CL334" t="s">
        <v>166</v>
      </c>
      <c r="CM334" t="s">
        <v>167</v>
      </c>
      <c r="CN334" t="s">
        <v>527</v>
      </c>
      <c r="CO334" t="s">
        <v>169</v>
      </c>
      <c r="CP334" s="35">
        <v>45303</v>
      </c>
      <c r="CQ334" t="s">
        <v>3322</v>
      </c>
      <c r="CR334" t="s">
        <v>174</v>
      </c>
      <c r="CS334" t="s">
        <v>174</v>
      </c>
      <c r="CT334" s="49">
        <v>0</v>
      </c>
      <c r="CU334">
        <v>0</v>
      </c>
      <c r="CV334">
        <v>0</v>
      </c>
      <c r="CW334" s="70">
        <v>0</v>
      </c>
      <c r="CX334">
        <v>5.5</v>
      </c>
      <c r="CY334">
        <v>0</v>
      </c>
      <c r="CZ334">
        <v>33000000000</v>
      </c>
      <c r="DA334">
        <v>36664275694.444397</v>
      </c>
      <c r="DB334">
        <v>-15441268513.09746</v>
      </c>
      <c r="DC334">
        <v>5.5</v>
      </c>
      <c r="DD334">
        <v>0</v>
      </c>
      <c r="DE334">
        <v>0</v>
      </c>
      <c r="DF334">
        <v>0</v>
      </c>
      <c r="DG334">
        <v>0</v>
      </c>
      <c r="DH334">
        <v>0</v>
      </c>
      <c r="DI334">
        <v>0</v>
      </c>
      <c r="DJ334" s="500">
        <v>-2424800000</v>
      </c>
      <c r="DK334" s="500">
        <v>0</v>
      </c>
      <c r="DL334" s="37">
        <v>-2424800000</v>
      </c>
      <c r="DM334" s="37">
        <v>-2424800000</v>
      </c>
      <c r="DN334" s="37">
        <v>-2424800000</v>
      </c>
      <c r="DO334" s="37">
        <v>-2424800000</v>
      </c>
      <c r="DP334" s="32">
        <f>Tradingbook_SBV[[#This Row],[Mat. Date]]-RPT</f>
        <v>-949</v>
      </c>
      <c r="DQ334" s="32">
        <f>IF(Tradingbook_SBV[[#This Row],[Days]]&lt;=0,0,YEARFRAC(RPT,Tradingbook_SBV[[#This Row],[Mat. Date]],3))</f>
        <v>0</v>
      </c>
      <c r="DR334" s="32">
        <f>IF(Tradingbook_SBV[[#This Row],[Days (year)]]=0,0,INDEX(Ref!$K$2:$K$13,MATCH(Tradingbook_SBV[[#This Row],[Days (year)]],Ref!$I$2:$I$13,1)))</f>
        <v>0</v>
      </c>
      <c r="DS334" s="32" t="str">
        <f>VLOOKUP(Tradingbook_SBV[[#This Row],[Security Name]],Ref!X:Z,3,0)</f>
        <v>TPCP</v>
      </c>
      <c r="DT334" s="32" t="str">
        <f>VLOOKUP(Tradingbook_SBV[[#This Row],[Security Name]],Ref!X:Y,2,0)</f>
        <v>KBNN</v>
      </c>
      <c r="DU334" s="71">
        <f>IF((Tradingbook_SBV[[#This Row],[Mat. Date]]-RPT)&lt;=0,0,Tradingbook_SBV[[#This Row],[QUANTITY]])</f>
        <v>0</v>
      </c>
      <c r="DV334" s="71">
        <f>IF(Tradingbook_SBV[[#This Row],[Quantity_edited]]=0,0,Tradingbook_SBV[[#This Row],[DURATION]])</f>
        <v>0</v>
      </c>
      <c r="DW334" s="71">
        <f>IF(Tradingbook_SBV[[#This Row],[Quantity_edited]]=0,0,Tradingbook_SBV[[#This Row],[Mod Dur]])</f>
        <v>0</v>
      </c>
      <c r="DX334" s="71">
        <f>IF(Tradingbook_SBV[[#This Row],[Quantity_edited]]=0,0,Tradingbook_SBV[[#This Row],[Cnvx.]])</f>
        <v>0</v>
      </c>
      <c r="DY334" s="71">
        <f>(Tradingbook_SBV[[#This Row],[MARKET_VALUE]]+Tradingbook_SBV[[#This Row],[Accr Int]]*Tradingbook_SBV[[#This Row],[Quantity_edited]])*(-Tradingbook_SBV[[#This Row],[Modified Duration]]*0.0001+0.5*Tradingbook_SBV[[#This Row],[Conv]]*(0.0001^2))</f>
        <v>0</v>
      </c>
      <c r="DZ334" s="71">
        <f>(Tradingbook_SBV[[#This Row],[MARKET_VALUE]]+Tradingbook_SBV[[#This Row],[Accr Int]]*Tradingbook_SBV[[#This Row],[Quantity_edited]])*(-Tradingbook_SBV[[#This Row],[Modified Duration]]*0.01+0.5*Tradingbook_SBV[[#This Row],[Conv]]*(0.01^2))</f>
        <v>0</v>
      </c>
      <c r="EC334" t="s">
        <v>166</v>
      </c>
      <c r="ED334" t="s">
        <v>3302</v>
      </c>
      <c r="EE334" t="s">
        <v>2503</v>
      </c>
      <c r="EF334" t="s">
        <v>169</v>
      </c>
      <c r="EG334" s="35" t="s">
        <v>3470</v>
      </c>
      <c r="EH334" t="s">
        <v>170</v>
      </c>
      <c r="EI334" s="500">
        <v>90235</v>
      </c>
      <c r="EJ334" s="500">
        <v>90235</v>
      </c>
      <c r="EK334" s="500">
        <v>11500000</v>
      </c>
      <c r="EL334" s="500">
        <v>1150000000000</v>
      </c>
      <c r="EM334" s="500">
        <v>107173.636</v>
      </c>
      <c r="EN334" s="500">
        <v>1037702500000</v>
      </c>
      <c r="EO334">
        <v>3.4</v>
      </c>
      <c r="EP334">
        <v>1118</v>
      </c>
      <c r="EQ334">
        <v>107100000000</v>
      </c>
      <c r="ER334">
        <v>113312142361.11115</v>
      </c>
      <c r="ES334">
        <v>-120521941861.76677</v>
      </c>
      <c r="ET334">
        <v>4.4914150399999997</v>
      </c>
      <c r="EU334">
        <v>9.1845314798450008</v>
      </c>
      <c r="EV334">
        <v>9.5970469099999995</v>
      </c>
      <c r="EW334">
        <v>104.35114563357671</v>
      </c>
      <c r="EX334">
        <v>1096270.8738123756</v>
      </c>
      <c r="EY334">
        <v>-964889.67992002703</v>
      </c>
      <c r="EZ334">
        <v>126462.535</v>
      </c>
      <c r="FA334">
        <v>-7799909003.4357529</v>
      </c>
      <c r="FB334">
        <v>-194794310996.56351</v>
      </c>
      <c r="FC334">
        <v>-202594219999.99927</v>
      </c>
      <c r="FD334">
        <v>-202594219999.99927</v>
      </c>
      <c r="FE334">
        <v>-202594219999.99899</v>
      </c>
      <c r="FF334">
        <v>-202594219999.99927</v>
      </c>
      <c r="FG334" s="32">
        <f>Bankingbook_SBV[[#This Row],[Mat. Date]]-RPT</f>
        <v>4263</v>
      </c>
      <c r="FH334" s="32">
        <f>IF(Bankingbook_SBV[[#This Row],[Days]]&lt;=0,0,YEARFRAC(RPT,Bankingbook_SBV[[#This Row],[Mat. Date]],3))</f>
        <v>11.67945205479452</v>
      </c>
      <c r="FI334" s="32" t="str">
        <f>IF(Bankingbook_SBV[[#This Row],[Days (year)]]=0,0,INDEX(Ref!$K$2:$K$13,MATCH(Bankingbook_SBV[[#This Row],[Days (year)]],Ref!$I$2:$I$13,1)))</f>
        <v>15Y</v>
      </c>
      <c r="FJ334" s="32" t="str">
        <f>VLOOKUP(Bankingbook_SBV[[#This Row],[Security Name]],Ref!X:Z,3,0)</f>
        <v>TPCP</v>
      </c>
      <c r="FK334" s="32" t="str">
        <f>VLOOKUP(Bankingbook_SBV[[#This Row],[Security Name]],Ref!X:Y,2,0)</f>
        <v>KBNN</v>
      </c>
      <c r="FL334" s="72">
        <f>IF((Bankingbook_SBV[[#This Row],[Mat. Date]]-RPT)&lt;=0,0,Bankingbook_SBV[[#This Row],[QUANTITY]])</f>
        <v>11500000</v>
      </c>
      <c r="FM334" s="32">
        <f>IF(Bankingbook_SBV[[#This Row],[Quantity_edited]]=0,0,Bankingbook_SBV[[#This Row],[DURATION]])</f>
        <v>9.5970469099999995</v>
      </c>
      <c r="FN334" s="32">
        <f>IF(Bankingbook_SBV[[#This Row],[Quantity_edited]]=0,0,Bankingbook_SBV[[#This Row],[Mod Dur]])</f>
        <v>9.1845314798450008</v>
      </c>
      <c r="FO334" s="32">
        <f>IF(Bankingbook_SBV[[#This Row],[Quantity_edited]]=0,0,Bankingbook_SBV[[#This Row],[Cnvx.]])</f>
        <v>104.35114563357671</v>
      </c>
      <c r="FP334" s="32">
        <f>(Bankingbook_SBV[[#This Row],[MARKET_VALUE]]+Bankingbook_SBV[[#This Row],[Accr Int]]*Bankingbook_SBV[[#This Row],[Quantity_edited]])*(-Bankingbook_SBV[[#This Row],[Modified Duration]]*0.0001+0.5*Bankingbook_SBV[[#This Row],[Conv]]*(0.0001^2))</f>
        <v>-964341544.48311639</v>
      </c>
      <c r="FQ334" s="32">
        <f>(Bankingbook_SBV[[#This Row],[MARKET_VALUE]]+Bankingbook_SBV[[#This Row],[Accr Int]]*Bankingbook_SBV[[#This Row],[Quantity_edited]])*(-Bankingbook_SBV[[#This Row],[Modified Duration]]*0.01+0.5*Bankingbook_SBV[[#This Row],[Conv]]*(0.01^2))</f>
        <v>-91007613622.940369</v>
      </c>
    </row>
    <row r="335" spans="2:173" x14ac:dyDescent="0.3">
      <c r="B335" t="s">
        <v>166</v>
      </c>
      <c r="C335" t="s">
        <v>167</v>
      </c>
      <c r="D335" t="s">
        <v>521</v>
      </c>
      <c r="E335" t="s">
        <v>169</v>
      </c>
      <c r="F335" s="502">
        <v>45177</v>
      </c>
      <c r="G335" t="s">
        <v>3322</v>
      </c>
      <c r="H335"/>
      <c r="I335"/>
      <c r="J335" s="38">
        <v>0</v>
      </c>
      <c r="K335">
        <v>0</v>
      </c>
      <c r="L335">
        <v>0</v>
      </c>
      <c r="M335" s="38">
        <v>0</v>
      </c>
      <c r="N335">
        <v>6.2</v>
      </c>
      <c r="O335">
        <v>0</v>
      </c>
      <c r="P335" s="37">
        <v>27900000000</v>
      </c>
      <c r="Q335" s="37">
        <v>31288250055.555668</v>
      </c>
      <c r="R335" s="37">
        <v>-11919287332.430906</v>
      </c>
      <c r="S335">
        <v>6.2</v>
      </c>
      <c r="T335" s="70">
        <v>0</v>
      </c>
      <c r="U335">
        <v>0</v>
      </c>
      <c r="V335">
        <v>0</v>
      </c>
      <c r="W335">
        <v>0</v>
      </c>
      <c r="X335" s="38">
        <v>0</v>
      </c>
      <c r="Y335">
        <v>0</v>
      </c>
      <c r="Z335" s="70">
        <v>3230999999.9997559</v>
      </c>
      <c r="AA335" s="70">
        <v>0</v>
      </c>
      <c r="AB335" s="70">
        <v>3230999999.9997559</v>
      </c>
      <c r="AC335" s="70">
        <v>3230999999.9997559</v>
      </c>
      <c r="AD335" s="70">
        <v>3231000000</v>
      </c>
      <c r="AE335" s="70">
        <v>3230999999.9997559</v>
      </c>
      <c r="AF335">
        <v>0</v>
      </c>
      <c r="AG335" s="72">
        <f>Tradingbook_MSB[[#This Row],[Mat. Date]]-RPT</f>
        <v>-1075</v>
      </c>
      <c r="AH335" s="71">
        <f>IF(Tradingbook_MSB[[#This Row],[Days]]&lt;=0,0,YEARFRAC(RPT,Tradingbook_MSB[[#This Row],[Mat. Date]],3))</f>
        <v>0</v>
      </c>
      <c r="AI335" s="71">
        <f>IF(Tradingbook_MSB[[#This Row],[Days (year)]]=0,0,INDEX(Ref!$K$2:$K$13,MATCH(Tradingbook_MSB[[#This Row],[Days (year)]],Ref!$I$2:$I$13,1)))</f>
        <v>0</v>
      </c>
      <c r="AJ335" s="120" t="str">
        <f>VLOOKUP(Tradingbook_MSB[[#This Row],[Security Name]],Ref!X:Z,3,0)</f>
        <v>TPCP</v>
      </c>
      <c r="AK335" s="120" t="str">
        <f>VLOOKUP(Tradingbook_MSB[[#This Row],[Security Name]],Ref!X:Y,2,0)</f>
        <v>KBNN</v>
      </c>
      <c r="AL335" s="71">
        <f>IF((Tradingbook_MSB[[#This Row],[Mat. Date]]-RPT)&lt;=0,0,Tradingbook_MSB[[#This Row],[QUANTITY]])</f>
        <v>0</v>
      </c>
      <c r="AM335" s="71">
        <f>IF(Tradingbook_MSB[[#This Row],[Quantity_edited]]=0,0,Tradingbook_MSB[[#This Row],[DURATION]])</f>
        <v>0</v>
      </c>
      <c r="AN335" s="71">
        <f>IF(Tradingbook_MSB[[#This Row],[Quantity_edited]]=0,0,Tradingbook_MSB[[#This Row],[Mod Dur]])</f>
        <v>0</v>
      </c>
      <c r="AO335" s="71">
        <f>IF(Tradingbook_MSB[[#This Row],[Quantity_edited]]=0,0,Tradingbook_MSB[[#This Row],[Cnvx.]])</f>
        <v>0</v>
      </c>
      <c r="AP335" s="71">
        <f>(Tradingbook_MSB[[#This Row],[MARKET_VALUE]]+Tradingbook_MSB[[#This Row],[Accr Int]]*Tradingbook_MSB[[#This Row],[Quantity_edited]])*(-Tradingbook_MSB[[#This Row],[Modified Duration]]*0.0001+0.5*Tradingbook_MSB[[#This Row],[Conv]]*(0.0001^2))</f>
        <v>0</v>
      </c>
      <c r="AQ335" s="72">
        <f>(Tradingbook_MSB[[#This Row],[MARKET_VALUE]]+Tradingbook_MSB[[#This Row],[Accr Int]]*Tradingbook_MSB[[#This Row],[Quantity_edited]])*(-Tradingbook_MSB[[#This Row],[Modified Duration]]*0.01+0.5*Tradingbook_MSB[[#This Row],[Conv]]*(0.01^2))</f>
        <v>0</v>
      </c>
      <c r="AR335" s="71"/>
      <c r="CL335" t="s">
        <v>166</v>
      </c>
      <c r="CM335" t="s">
        <v>167</v>
      </c>
      <c r="CN335" t="s">
        <v>528</v>
      </c>
      <c r="CO335" t="s">
        <v>169</v>
      </c>
      <c r="CP335" s="35">
        <v>45308</v>
      </c>
      <c r="CQ335" t="s">
        <v>3322</v>
      </c>
      <c r="CR335" t="s">
        <v>174</v>
      </c>
      <c r="CS335" t="s">
        <v>174</v>
      </c>
      <c r="CT335" s="49">
        <v>0</v>
      </c>
      <c r="CU335">
        <v>0</v>
      </c>
      <c r="CV335">
        <v>0</v>
      </c>
      <c r="CW335" s="70">
        <v>0</v>
      </c>
      <c r="CX335">
        <v>3.8</v>
      </c>
      <c r="CY335">
        <v>0</v>
      </c>
      <c r="CZ335">
        <v>0</v>
      </c>
      <c r="DA335">
        <v>0</v>
      </c>
      <c r="DB335">
        <v>-77178006.80555439</v>
      </c>
      <c r="DC335">
        <v>3.8</v>
      </c>
      <c r="DD335">
        <v>0</v>
      </c>
      <c r="DE335">
        <v>0</v>
      </c>
      <c r="DF335">
        <v>0</v>
      </c>
      <c r="DG335">
        <v>0</v>
      </c>
      <c r="DH335">
        <v>0</v>
      </c>
      <c r="DI335">
        <v>0</v>
      </c>
      <c r="DJ335" s="500">
        <v>255500000</v>
      </c>
      <c r="DK335" s="500">
        <v>0</v>
      </c>
      <c r="DL335" s="37">
        <v>255500000</v>
      </c>
      <c r="DM335" s="37">
        <v>255500000</v>
      </c>
      <c r="DN335" s="37">
        <v>255500000</v>
      </c>
      <c r="DO335" s="37">
        <v>255500000</v>
      </c>
      <c r="DP335" s="32">
        <f>Tradingbook_SBV[[#This Row],[Mat. Date]]-RPT</f>
        <v>-944</v>
      </c>
      <c r="DQ335" s="32">
        <f>IF(Tradingbook_SBV[[#This Row],[Days]]&lt;=0,0,YEARFRAC(RPT,Tradingbook_SBV[[#This Row],[Mat. Date]],3))</f>
        <v>0</v>
      </c>
      <c r="DR335" s="32">
        <f>IF(Tradingbook_SBV[[#This Row],[Days (year)]]=0,0,INDEX(Ref!$K$2:$K$13,MATCH(Tradingbook_SBV[[#This Row],[Days (year)]],Ref!$I$2:$I$13,1)))</f>
        <v>0</v>
      </c>
      <c r="DS335" s="32" t="str">
        <f>VLOOKUP(Tradingbook_SBV[[#This Row],[Security Name]],Ref!X:Z,3,0)</f>
        <v>TPCP</v>
      </c>
      <c r="DT335" s="32" t="str">
        <f>VLOOKUP(Tradingbook_SBV[[#This Row],[Security Name]],Ref!X:Y,2,0)</f>
        <v>KBNN</v>
      </c>
      <c r="DU335" s="71">
        <f>IF((Tradingbook_SBV[[#This Row],[Mat. Date]]-RPT)&lt;=0,0,Tradingbook_SBV[[#This Row],[QUANTITY]])</f>
        <v>0</v>
      </c>
      <c r="DV335" s="71">
        <f>IF(Tradingbook_SBV[[#This Row],[Quantity_edited]]=0,0,Tradingbook_SBV[[#This Row],[DURATION]])</f>
        <v>0</v>
      </c>
      <c r="DW335" s="71">
        <f>IF(Tradingbook_SBV[[#This Row],[Quantity_edited]]=0,0,Tradingbook_SBV[[#This Row],[Mod Dur]])</f>
        <v>0</v>
      </c>
      <c r="DX335" s="71">
        <f>IF(Tradingbook_SBV[[#This Row],[Quantity_edited]]=0,0,Tradingbook_SBV[[#This Row],[Cnvx.]])</f>
        <v>0</v>
      </c>
      <c r="DY335" s="71">
        <f>(Tradingbook_SBV[[#This Row],[MARKET_VALUE]]+Tradingbook_SBV[[#This Row],[Accr Int]]*Tradingbook_SBV[[#This Row],[Quantity_edited]])*(-Tradingbook_SBV[[#This Row],[Modified Duration]]*0.0001+0.5*Tradingbook_SBV[[#This Row],[Conv]]*(0.0001^2))</f>
        <v>0</v>
      </c>
      <c r="DZ335" s="71">
        <f>(Tradingbook_SBV[[#This Row],[MARKET_VALUE]]+Tradingbook_SBV[[#This Row],[Accr Int]]*Tradingbook_SBV[[#This Row],[Quantity_edited]])*(-Tradingbook_SBV[[#This Row],[Modified Duration]]*0.01+0.5*Tradingbook_SBV[[#This Row],[Conv]]*(0.01^2))</f>
        <v>0</v>
      </c>
      <c r="EC335" t="s">
        <v>166</v>
      </c>
      <c r="ED335" t="s">
        <v>3302</v>
      </c>
      <c r="EE335" t="s">
        <v>2775</v>
      </c>
      <c r="EF335" t="s">
        <v>169</v>
      </c>
      <c r="EG335" s="35" t="s">
        <v>2778</v>
      </c>
      <c r="EH335" t="s">
        <v>170</v>
      </c>
      <c r="EI335" s="500">
        <v>87342</v>
      </c>
      <c r="EJ335" s="500">
        <v>87342</v>
      </c>
      <c r="EK335" s="500">
        <v>6580000</v>
      </c>
      <c r="EL335" s="500">
        <v>658000000000</v>
      </c>
      <c r="EM335" s="500">
        <v>104299.754</v>
      </c>
      <c r="EN335" s="500">
        <v>574710360000</v>
      </c>
      <c r="EO335">
        <v>3.6</v>
      </c>
      <c r="EP335">
        <v>2732</v>
      </c>
      <c r="EQ335">
        <v>47376000000</v>
      </c>
      <c r="ER335">
        <v>50474456200.000031</v>
      </c>
      <c r="ES335">
        <v>-67530496231.97226</v>
      </c>
      <c r="ET335">
        <v>5.0061699549999998</v>
      </c>
      <c r="EU335">
        <v>9.1801420201183994</v>
      </c>
      <c r="EV335">
        <v>9.6397155300000001</v>
      </c>
      <c r="EW335">
        <v>107.48467223472591</v>
      </c>
      <c r="EX335">
        <v>637047.59334009187</v>
      </c>
      <c r="EY335">
        <v>-544095.00990665401</v>
      </c>
      <c r="EZ335">
        <v>79326.179999999993</v>
      </c>
      <c r="FA335">
        <v>-1976817118.644067</v>
      </c>
      <c r="FB335">
        <v>-111582022881.3559</v>
      </c>
      <c r="FC335">
        <v>-113558839999.99997</v>
      </c>
      <c r="FD335">
        <v>-113558839999.99997</v>
      </c>
      <c r="FE335">
        <v>-113558840000</v>
      </c>
      <c r="FF335">
        <v>-113558839999.99997</v>
      </c>
      <c r="FG335" s="32">
        <f>Bankingbook_SBV[[#This Row],[Mat. Date]]-RPT</f>
        <v>4471</v>
      </c>
      <c r="FH335" s="32">
        <f>IF(Bankingbook_SBV[[#This Row],[Days]]&lt;=0,0,YEARFRAC(RPT,Bankingbook_SBV[[#This Row],[Mat. Date]],3))</f>
        <v>12.24931506849315</v>
      </c>
      <c r="FI335" s="32" t="str">
        <f>IF(Bankingbook_SBV[[#This Row],[Days (year)]]=0,0,INDEX(Ref!$K$2:$K$13,MATCH(Bankingbook_SBV[[#This Row],[Days (year)]],Ref!$I$2:$I$13,1)))</f>
        <v>15Y</v>
      </c>
      <c r="FJ335" s="32" t="str">
        <f>VLOOKUP(Bankingbook_SBV[[#This Row],[Security Name]],Ref!X:Z,3,0)</f>
        <v>TPCPBL</v>
      </c>
      <c r="FK335" s="32" t="str">
        <f>VLOOKUP(Bankingbook_SBV[[#This Row],[Security Name]],Ref!X:Y,2,0)</f>
        <v>VBS</v>
      </c>
      <c r="FL335" s="72">
        <f>IF((Bankingbook_SBV[[#This Row],[Mat. Date]]-RPT)&lt;=0,0,Bankingbook_SBV[[#This Row],[QUANTITY]])</f>
        <v>6580000</v>
      </c>
      <c r="FM335" s="32">
        <f>IF(Bankingbook_SBV[[#This Row],[Quantity_edited]]=0,0,Bankingbook_SBV[[#This Row],[DURATION]])</f>
        <v>9.6397155300000001</v>
      </c>
      <c r="FN335" s="32">
        <f>IF(Bankingbook_SBV[[#This Row],[Quantity_edited]]=0,0,Bankingbook_SBV[[#This Row],[Mod Dur]])</f>
        <v>9.1801420201183994</v>
      </c>
      <c r="FO335" s="32">
        <f>IF(Bankingbook_SBV[[#This Row],[Quantity_edited]]=0,0,Bankingbook_SBV[[#This Row],[Cnvx.]])</f>
        <v>107.48467223472591</v>
      </c>
      <c r="FP335" s="32">
        <f>(Bankingbook_SBV[[#This Row],[MARKET_VALUE]]+Bankingbook_SBV[[#This Row],[Accr Int]]*Bankingbook_SBV[[#This Row],[Quantity_edited]])*(-Bankingbook_SBV[[#This Row],[Modified Duration]]*0.0001+0.5*Bankingbook_SBV[[#This Row],[Conv]]*(0.0001^2))</f>
        <v>-543776486.10998523</v>
      </c>
      <c r="FQ335" s="32">
        <f>(Bankingbook_SBV[[#This Row],[MARKET_VALUE]]+Bankingbook_SBV[[#This Row],[Accr Int]]*Bankingbook_SBV[[#This Row],[Quantity_edited]])*(-Bankingbook_SBV[[#This Row],[Modified Duration]]*0.01+0.5*Bankingbook_SBV[[#This Row],[Conv]]*(0.01^2))</f>
        <v>-51224263023.965065</v>
      </c>
    </row>
    <row r="336" spans="2:173" x14ac:dyDescent="0.3">
      <c r="B336" t="s">
        <v>166</v>
      </c>
      <c r="C336" t="s">
        <v>167</v>
      </c>
      <c r="D336" t="s">
        <v>522</v>
      </c>
      <c r="E336" t="s">
        <v>169</v>
      </c>
      <c r="F336" s="502">
        <v>45199</v>
      </c>
      <c r="G336" t="s">
        <v>3322</v>
      </c>
      <c r="H336"/>
      <c r="I336"/>
      <c r="J336" s="38">
        <v>0</v>
      </c>
      <c r="K336">
        <v>0</v>
      </c>
      <c r="L336">
        <v>0</v>
      </c>
      <c r="M336" s="38">
        <v>0</v>
      </c>
      <c r="N336">
        <v>8.9</v>
      </c>
      <c r="O336">
        <v>0</v>
      </c>
      <c r="P336" s="37">
        <v>4450000000</v>
      </c>
      <c r="Q336" s="37">
        <v>4942838736.1111031</v>
      </c>
      <c r="R336" s="37">
        <v>-584890481.38889122</v>
      </c>
      <c r="S336">
        <v>8.9</v>
      </c>
      <c r="T336" s="70">
        <v>0</v>
      </c>
      <c r="U336">
        <v>0</v>
      </c>
      <c r="V336">
        <v>0</v>
      </c>
      <c r="W336">
        <v>0</v>
      </c>
      <c r="X336" s="38">
        <v>0</v>
      </c>
      <c r="Y336">
        <v>0</v>
      </c>
      <c r="Z336" s="70">
        <v>522000000</v>
      </c>
      <c r="AA336" s="70">
        <v>0</v>
      </c>
      <c r="AB336" s="70">
        <v>522000000</v>
      </c>
      <c r="AC336" s="70">
        <v>522000000</v>
      </c>
      <c r="AD336" s="70">
        <v>522000000</v>
      </c>
      <c r="AE336" s="70">
        <v>522000000</v>
      </c>
      <c r="AF336">
        <v>0</v>
      </c>
      <c r="AG336" s="72">
        <f>Tradingbook_MSB[[#This Row],[Mat. Date]]-RPT</f>
        <v>-1053</v>
      </c>
      <c r="AH336" s="71">
        <f>IF(Tradingbook_MSB[[#This Row],[Days]]&lt;=0,0,YEARFRAC(RPT,Tradingbook_MSB[[#This Row],[Mat. Date]],3))</f>
        <v>0</v>
      </c>
      <c r="AI336" s="71">
        <f>IF(Tradingbook_MSB[[#This Row],[Days (year)]]=0,0,INDEX(Ref!$K$2:$K$13,MATCH(Tradingbook_MSB[[#This Row],[Days (year)]],Ref!$I$2:$I$13,1)))</f>
        <v>0</v>
      </c>
      <c r="AJ336" s="120" t="str">
        <f>VLOOKUP(Tradingbook_MSB[[#This Row],[Security Name]],Ref!X:Z,3,0)</f>
        <v>TPCP</v>
      </c>
      <c r="AK336" s="120" t="str">
        <f>VLOOKUP(Tradingbook_MSB[[#This Row],[Security Name]],Ref!X:Y,2,0)</f>
        <v>KBNN</v>
      </c>
      <c r="AL336" s="71">
        <f>IF((Tradingbook_MSB[[#This Row],[Mat. Date]]-RPT)&lt;=0,0,Tradingbook_MSB[[#This Row],[QUANTITY]])</f>
        <v>0</v>
      </c>
      <c r="AM336" s="71">
        <f>IF(Tradingbook_MSB[[#This Row],[Quantity_edited]]=0,0,Tradingbook_MSB[[#This Row],[DURATION]])</f>
        <v>0</v>
      </c>
      <c r="AN336" s="71">
        <f>IF(Tradingbook_MSB[[#This Row],[Quantity_edited]]=0,0,Tradingbook_MSB[[#This Row],[Mod Dur]])</f>
        <v>0</v>
      </c>
      <c r="AO336" s="71">
        <f>IF(Tradingbook_MSB[[#This Row],[Quantity_edited]]=0,0,Tradingbook_MSB[[#This Row],[Cnvx.]])</f>
        <v>0</v>
      </c>
      <c r="AP336" s="71">
        <f>(Tradingbook_MSB[[#This Row],[MARKET_VALUE]]+Tradingbook_MSB[[#This Row],[Accr Int]]*Tradingbook_MSB[[#This Row],[Quantity_edited]])*(-Tradingbook_MSB[[#This Row],[Modified Duration]]*0.0001+0.5*Tradingbook_MSB[[#This Row],[Conv]]*(0.0001^2))</f>
        <v>0</v>
      </c>
      <c r="AQ336" s="72">
        <f>(Tradingbook_MSB[[#This Row],[MARKET_VALUE]]+Tradingbook_MSB[[#This Row],[Accr Int]]*Tradingbook_MSB[[#This Row],[Quantity_edited]])*(-Tradingbook_MSB[[#This Row],[Modified Duration]]*0.01+0.5*Tradingbook_MSB[[#This Row],[Conv]]*(0.01^2))</f>
        <v>0</v>
      </c>
      <c r="AR336" s="71"/>
      <c r="CL336" t="s">
        <v>166</v>
      </c>
      <c r="CM336" t="s">
        <v>167</v>
      </c>
      <c r="CN336" t="s">
        <v>529</v>
      </c>
      <c r="CO336" t="s">
        <v>169</v>
      </c>
      <c r="CP336" s="35">
        <v>45350</v>
      </c>
      <c r="CQ336" t="s">
        <v>3322</v>
      </c>
      <c r="CR336" t="s">
        <v>174</v>
      </c>
      <c r="CS336" t="s">
        <v>174</v>
      </c>
      <c r="CT336" s="49">
        <v>0</v>
      </c>
      <c r="CU336">
        <v>0</v>
      </c>
      <c r="CV336">
        <v>0</v>
      </c>
      <c r="CW336" s="70">
        <v>0</v>
      </c>
      <c r="CX336">
        <v>8.8000000000000007</v>
      </c>
      <c r="CY336">
        <v>0</v>
      </c>
      <c r="CZ336">
        <v>8800000000</v>
      </c>
      <c r="DA336">
        <v>10663781333.333385</v>
      </c>
      <c r="DB336">
        <v>5199099606.0916214</v>
      </c>
      <c r="DC336">
        <v>8.8000000000000007</v>
      </c>
      <c r="DD336">
        <v>0</v>
      </c>
      <c r="DE336">
        <v>0</v>
      </c>
      <c r="DF336">
        <v>0</v>
      </c>
      <c r="DG336">
        <v>0</v>
      </c>
      <c r="DH336">
        <v>0</v>
      </c>
      <c r="DI336">
        <v>0</v>
      </c>
      <c r="DJ336" s="500">
        <v>46016070000</v>
      </c>
      <c r="DK336" s="500">
        <v>0</v>
      </c>
      <c r="DL336" s="37">
        <v>46016070000</v>
      </c>
      <c r="DM336" s="37">
        <v>46016070000</v>
      </c>
      <c r="DN336" s="37">
        <v>46016070000</v>
      </c>
      <c r="DO336" s="37">
        <v>46016070000</v>
      </c>
      <c r="DP336" s="32">
        <f>Tradingbook_SBV[[#This Row],[Mat. Date]]-RPT</f>
        <v>-902</v>
      </c>
      <c r="DQ336" s="32">
        <f>IF(Tradingbook_SBV[[#This Row],[Days]]&lt;=0,0,YEARFRAC(RPT,Tradingbook_SBV[[#This Row],[Mat. Date]],3))</f>
        <v>0</v>
      </c>
      <c r="DR336" s="32">
        <f>IF(Tradingbook_SBV[[#This Row],[Days (year)]]=0,0,INDEX(Ref!$K$2:$K$13,MATCH(Tradingbook_SBV[[#This Row],[Days (year)]],Ref!$I$2:$I$13,1)))</f>
        <v>0</v>
      </c>
      <c r="DS336" s="32" t="str">
        <f>VLOOKUP(Tradingbook_SBV[[#This Row],[Security Name]],Ref!X:Z,3,0)</f>
        <v>TPCP</v>
      </c>
      <c r="DT336" s="32" t="str">
        <f>VLOOKUP(Tradingbook_SBV[[#This Row],[Security Name]],Ref!X:Y,2,0)</f>
        <v>KBNN</v>
      </c>
      <c r="DU336" s="71">
        <f>IF((Tradingbook_SBV[[#This Row],[Mat. Date]]-RPT)&lt;=0,0,Tradingbook_SBV[[#This Row],[QUANTITY]])</f>
        <v>0</v>
      </c>
      <c r="DV336" s="71">
        <f>IF(Tradingbook_SBV[[#This Row],[Quantity_edited]]=0,0,Tradingbook_SBV[[#This Row],[DURATION]])</f>
        <v>0</v>
      </c>
      <c r="DW336" s="71">
        <f>IF(Tradingbook_SBV[[#This Row],[Quantity_edited]]=0,0,Tradingbook_SBV[[#This Row],[Mod Dur]])</f>
        <v>0</v>
      </c>
      <c r="DX336" s="71">
        <f>IF(Tradingbook_SBV[[#This Row],[Quantity_edited]]=0,0,Tradingbook_SBV[[#This Row],[Cnvx.]])</f>
        <v>0</v>
      </c>
      <c r="DY336" s="71">
        <f>(Tradingbook_SBV[[#This Row],[MARKET_VALUE]]+Tradingbook_SBV[[#This Row],[Accr Int]]*Tradingbook_SBV[[#This Row],[Quantity_edited]])*(-Tradingbook_SBV[[#This Row],[Modified Duration]]*0.0001+0.5*Tradingbook_SBV[[#This Row],[Conv]]*(0.0001^2))</f>
        <v>0</v>
      </c>
      <c r="DZ336" s="71">
        <f>(Tradingbook_SBV[[#This Row],[MARKET_VALUE]]+Tradingbook_SBV[[#This Row],[Accr Int]]*Tradingbook_SBV[[#This Row],[Quantity_edited]])*(-Tradingbook_SBV[[#This Row],[Modified Duration]]*0.01+0.5*Tradingbook_SBV[[#This Row],[Conv]]*(0.01^2))</f>
        <v>0</v>
      </c>
      <c r="EC336" t="s">
        <v>166</v>
      </c>
      <c r="ED336" t="s">
        <v>3302</v>
      </c>
      <c r="EE336" t="s">
        <v>2843</v>
      </c>
      <c r="EF336" t="s">
        <v>169</v>
      </c>
      <c r="EG336" s="35" t="s">
        <v>2844</v>
      </c>
      <c r="EH336" t="s">
        <v>170</v>
      </c>
      <c r="EI336" s="500">
        <v>87334</v>
      </c>
      <c r="EJ336" s="500">
        <v>87334</v>
      </c>
      <c r="EK336" s="500">
        <v>2000000</v>
      </c>
      <c r="EL336" s="500">
        <v>200000000000</v>
      </c>
      <c r="EM336" s="500">
        <v>104779</v>
      </c>
      <c r="EN336" s="500">
        <v>174668000000</v>
      </c>
      <c r="EO336">
        <v>3.6</v>
      </c>
      <c r="EP336">
        <v>2702</v>
      </c>
      <c r="EQ336">
        <v>14400000000</v>
      </c>
      <c r="ER336">
        <v>15335210083.333334</v>
      </c>
      <c r="ES336">
        <v>-20253097861.111134</v>
      </c>
      <c r="ET336">
        <v>5.0063927069999998</v>
      </c>
      <c r="EU336">
        <v>9.1879176324688991</v>
      </c>
      <c r="EV336">
        <v>9.6479008700000009</v>
      </c>
      <c r="EW336">
        <v>107.6349675806204</v>
      </c>
      <c r="EX336">
        <v>193820.43882177479</v>
      </c>
      <c r="EY336">
        <v>-165448.670391394</v>
      </c>
      <c r="EZ336">
        <v>24102.175999999999</v>
      </c>
      <c r="FA336">
        <v>-172000000</v>
      </c>
      <c r="FB336">
        <v>-34890000000</v>
      </c>
      <c r="FC336">
        <v>-35062000000</v>
      </c>
      <c r="FD336">
        <v>-35062000000</v>
      </c>
      <c r="FE336">
        <v>-35062000000</v>
      </c>
      <c r="FF336">
        <v>-35062000000</v>
      </c>
      <c r="FG336" s="32">
        <f>Bankingbook_SBV[[#This Row],[Mat. Date]]-RPT</f>
        <v>4474</v>
      </c>
      <c r="FH336" s="32">
        <f>IF(Bankingbook_SBV[[#This Row],[Days]]&lt;=0,0,YEARFRAC(RPT,Bankingbook_SBV[[#This Row],[Mat. Date]],3))</f>
        <v>12.257534246575343</v>
      </c>
      <c r="FI336" s="32" t="str">
        <f>IF(Bankingbook_SBV[[#This Row],[Days (year)]]=0,0,INDEX(Ref!$K$2:$K$13,MATCH(Bankingbook_SBV[[#This Row],[Days (year)]],Ref!$I$2:$I$13,1)))</f>
        <v>15Y</v>
      </c>
      <c r="FJ336" s="32" t="str">
        <f>VLOOKUP(Bankingbook_SBV[[#This Row],[Security Name]],Ref!X:Z,3,0)</f>
        <v>TPCPBL</v>
      </c>
      <c r="FK336" s="32" t="str">
        <f>VLOOKUP(Bankingbook_SBV[[#This Row],[Security Name]],Ref!X:Y,2,0)</f>
        <v>VBS</v>
      </c>
      <c r="FL336" s="72">
        <f>IF((Bankingbook_SBV[[#This Row],[Mat. Date]]-RPT)&lt;=0,0,Bankingbook_SBV[[#This Row],[QUANTITY]])</f>
        <v>2000000</v>
      </c>
      <c r="FM336" s="32">
        <f>IF(Bankingbook_SBV[[#This Row],[Quantity_edited]]=0,0,Bankingbook_SBV[[#This Row],[DURATION]])</f>
        <v>9.6479008700000009</v>
      </c>
      <c r="FN336" s="32">
        <f>IF(Bankingbook_SBV[[#This Row],[Quantity_edited]]=0,0,Bankingbook_SBV[[#This Row],[Mod Dur]])</f>
        <v>9.1879176324688991</v>
      </c>
      <c r="FO336" s="32">
        <f>IF(Bankingbook_SBV[[#This Row],[Quantity_edited]]=0,0,Bankingbook_SBV[[#This Row],[Cnvx.]])</f>
        <v>107.6349675806204</v>
      </c>
      <c r="FP336" s="32">
        <f>(Bankingbook_SBV[[#This Row],[MARKET_VALUE]]+Bankingbook_SBV[[#This Row],[Accr Int]]*Bankingbook_SBV[[#This Row],[Quantity_edited]])*(-Bankingbook_SBV[[#This Row],[Modified Duration]]*0.0001+0.5*Bankingbook_SBV[[#This Row],[Conv]]*(0.0001^2))</f>
        <v>-165351760.17198309</v>
      </c>
      <c r="FQ336" s="32">
        <f>(Bankingbook_SBV[[#This Row],[MARKET_VALUE]]+Bankingbook_SBV[[#This Row],[Accr Int]]*Bankingbook_SBV[[#This Row],[Quantity_edited]])*(-Bankingbook_SBV[[#This Row],[Modified Duration]]*0.01+0.5*Bankingbook_SBV[[#This Row],[Conv]]*(0.01^2))</f>
        <v>-15575764845.030521</v>
      </c>
    </row>
    <row r="337" spans="2:173" x14ac:dyDescent="0.3">
      <c r="B337" t="s">
        <v>166</v>
      </c>
      <c r="C337" t="s">
        <v>167</v>
      </c>
      <c r="D337" t="s">
        <v>523</v>
      </c>
      <c r="E337" t="s">
        <v>169</v>
      </c>
      <c r="F337" s="502">
        <v>45279</v>
      </c>
      <c r="G337" t="s">
        <v>3322</v>
      </c>
      <c r="H337"/>
      <c r="I337"/>
      <c r="J337" s="38">
        <v>0</v>
      </c>
      <c r="K337">
        <v>0</v>
      </c>
      <c r="L337">
        <v>0</v>
      </c>
      <c r="M337" s="38">
        <v>0</v>
      </c>
      <c r="N337">
        <v>5.3</v>
      </c>
      <c r="O337">
        <v>0</v>
      </c>
      <c r="P337" s="37">
        <v>53000000000</v>
      </c>
      <c r="Q337" s="37">
        <v>55783370451.388855</v>
      </c>
      <c r="R337" s="37">
        <v>-19086981652.083195</v>
      </c>
      <c r="S337">
        <v>5.3</v>
      </c>
      <c r="T337" s="70">
        <v>0</v>
      </c>
      <c r="U337">
        <v>0</v>
      </c>
      <c r="V337">
        <v>0</v>
      </c>
      <c r="W337">
        <v>0</v>
      </c>
      <c r="X337" s="38">
        <v>0</v>
      </c>
      <c r="Y337">
        <v>0</v>
      </c>
      <c r="Z337" s="70">
        <v>3705500000</v>
      </c>
      <c r="AA337" s="70">
        <v>0</v>
      </c>
      <c r="AB337" s="70">
        <v>3705500000</v>
      </c>
      <c r="AC337" s="70">
        <v>3705500000</v>
      </c>
      <c r="AD337" s="70">
        <v>3705500000</v>
      </c>
      <c r="AE337" s="70">
        <v>3705500000</v>
      </c>
      <c r="AF337">
        <v>0</v>
      </c>
      <c r="AG337" s="72">
        <f>Tradingbook_MSB[[#This Row],[Mat. Date]]-RPT</f>
        <v>-973</v>
      </c>
      <c r="AH337" s="71">
        <f>IF(Tradingbook_MSB[[#This Row],[Days]]&lt;=0,0,YEARFRAC(RPT,Tradingbook_MSB[[#This Row],[Mat. Date]],3))</f>
        <v>0</v>
      </c>
      <c r="AI337" s="71">
        <f>IF(Tradingbook_MSB[[#This Row],[Days (year)]]=0,0,INDEX(Ref!$K$2:$K$13,MATCH(Tradingbook_MSB[[#This Row],[Days (year)]],Ref!$I$2:$I$13,1)))</f>
        <v>0</v>
      </c>
      <c r="AJ337" s="120" t="str">
        <f>VLOOKUP(Tradingbook_MSB[[#This Row],[Security Name]],Ref!X:Z,3,0)</f>
        <v>TPCPBL</v>
      </c>
      <c r="AK337" s="120" t="str">
        <f>VLOOKUP(Tradingbook_MSB[[#This Row],[Security Name]],Ref!X:Y,2,0)</f>
        <v>VDB</v>
      </c>
      <c r="AL337" s="71">
        <f>IF((Tradingbook_MSB[[#This Row],[Mat. Date]]-RPT)&lt;=0,0,Tradingbook_MSB[[#This Row],[QUANTITY]])</f>
        <v>0</v>
      </c>
      <c r="AM337" s="71">
        <f>IF(Tradingbook_MSB[[#This Row],[Quantity_edited]]=0,0,Tradingbook_MSB[[#This Row],[DURATION]])</f>
        <v>0</v>
      </c>
      <c r="AN337" s="71">
        <f>IF(Tradingbook_MSB[[#This Row],[Quantity_edited]]=0,0,Tradingbook_MSB[[#This Row],[Mod Dur]])</f>
        <v>0</v>
      </c>
      <c r="AO337" s="71">
        <f>IF(Tradingbook_MSB[[#This Row],[Quantity_edited]]=0,0,Tradingbook_MSB[[#This Row],[Cnvx.]])</f>
        <v>0</v>
      </c>
      <c r="AP337" s="71">
        <f>(Tradingbook_MSB[[#This Row],[MARKET_VALUE]]+Tradingbook_MSB[[#This Row],[Accr Int]]*Tradingbook_MSB[[#This Row],[Quantity_edited]])*(-Tradingbook_MSB[[#This Row],[Modified Duration]]*0.0001+0.5*Tradingbook_MSB[[#This Row],[Conv]]*(0.0001^2))</f>
        <v>0</v>
      </c>
      <c r="AQ337" s="72">
        <f>(Tradingbook_MSB[[#This Row],[MARKET_VALUE]]+Tradingbook_MSB[[#This Row],[Accr Int]]*Tradingbook_MSB[[#This Row],[Quantity_edited]])*(-Tradingbook_MSB[[#This Row],[Modified Duration]]*0.01+0.5*Tradingbook_MSB[[#This Row],[Conv]]*(0.01^2))</f>
        <v>0</v>
      </c>
      <c r="AR337" s="71"/>
      <c r="CL337" t="s">
        <v>166</v>
      </c>
      <c r="CM337" t="s">
        <v>167</v>
      </c>
      <c r="CN337" t="s">
        <v>530</v>
      </c>
      <c r="CO337" t="s">
        <v>169</v>
      </c>
      <c r="CP337" s="35">
        <v>45353</v>
      </c>
      <c r="CQ337" t="s">
        <v>3322</v>
      </c>
      <c r="CR337" t="s">
        <v>174</v>
      </c>
      <c r="CS337" t="s">
        <v>174</v>
      </c>
      <c r="CT337" s="49">
        <v>0</v>
      </c>
      <c r="CU337">
        <v>0</v>
      </c>
      <c r="CV337">
        <v>0</v>
      </c>
      <c r="CW337" s="70">
        <v>0</v>
      </c>
      <c r="CX337">
        <v>5.3</v>
      </c>
      <c r="CY337">
        <v>0</v>
      </c>
      <c r="CZ337">
        <v>5300000000</v>
      </c>
      <c r="DA337">
        <v>5819779465.2777386</v>
      </c>
      <c r="DB337">
        <v>-4129984166.8750033</v>
      </c>
      <c r="DC337">
        <v>5.3</v>
      </c>
      <c r="DD337">
        <v>0</v>
      </c>
      <c r="DE337">
        <v>0</v>
      </c>
      <c r="DF337">
        <v>0</v>
      </c>
      <c r="DG337">
        <v>0</v>
      </c>
      <c r="DH337">
        <v>0</v>
      </c>
      <c r="DI337">
        <v>0</v>
      </c>
      <c r="DJ337" s="500">
        <v>-1585000000</v>
      </c>
      <c r="DK337" s="500">
        <v>0</v>
      </c>
      <c r="DL337" s="37">
        <v>-1585000000</v>
      </c>
      <c r="DM337" s="37">
        <v>-1585000000</v>
      </c>
      <c r="DN337" s="37">
        <v>-1585000000</v>
      </c>
      <c r="DO337" s="37">
        <v>-1585000000</v>
      </c>
      <c r="DP337" s="32">
        <f>Tradingbook_SBV[[#This Row],[Mat. Date]]-RPT</f>
        <v>-899</v>
      </c>
      <c r="DQ337" s="32">
        <f>IF(Tradingbook_SBV[[#This Row],[Days]]&lt;=0,0,YEARFRAC(RPT,Tradingbook_SBV[[#This Row],[Mat. Date]],3))</f>
        <v>0</v>
      </c>
      <c r="DR337" s="32">
        <f>IF(Tradingbook_SBV[[#This Row],[Days (year)]]=0,0,INDEX(Ref!$K$2:$K$13,MATCH(Tradingbook_SBV[[#This Row],[Days (year)]],Ref!$I$2:$I$13,1)))</f>
        <v>0</v>
      </c>
      <c r="DS337" s="32" t="str">
        <f>VLOOKUP(Tradingbook_SBV[[#This Row],[Security Name]],Ref!X:Z,3,0)</f>
        <v>TPCP</v>
      </c>
      <c r="DT337" s="32" t="str">
        <f>VLOOKUP(Tradingbook_SBV[[#This Row],[Security Name]],Ref!X:Y,2,0)</f>
        <v>KBNN</v>
      </c>
      <c r="DU337" s="71">
        <f>IF((Tradingbook_SBV[[#This Row],[Mat. Date]]-RPT)&lt;=0,0,Tradingbook_SBV[[#This Row],[QUANTITY]])</f>
        <v>0</v>
      </c>
      <c r="DV337" s="71">
        <f>IF(Tradingbook_SBV[[#This Row],[Quantity_edited]]=0,0,Tradingbook_SBV[[#This Row],[DURATION]])</f>
        <v>0</v>
      </c>
      <c r="DW337" s="71">
        <f>IF(Tradingbook_SBV[[#This Row],[Quantity_edited]]=0,0,Tradingbook_SBV[[#This Row],[Mod Dur]])</f>
        <v>0</v>
      </c>
      <c r="DX337" s="71">
        <f>IF(Tradingbook_SBV[[#This Row],[Quantity_edited]]=0,0,Tradingbook_SBV[[#This Row],[Cnvx.]])</f>
        <v>0</v>
      </c>
      <c r="DY337" s="71">
        <f>(Tradingbook_SBV[[#This Row],[MARKET_VALUE]]+Tradingbook_SBV[[#This Row],[Accr Int]]*Tradingbook_SBV[[#This Row],[Quantity_edited]])*(-Tradingbook_SBV[[#This Row],[Modified Duration]]*0.0001+0.5*Tradingbook_SBV[[#This Row],[Conv]]*(0.0001^2))</f>
        <v>0</v>
      </c>
      <c r="DZ337" s="71">
        <f>(Tradingbook_SBV[[#This Row],[MARKET_VALUE]]+Tradingbook_SBV[[#This Row],[Accr Int]]*Tradingbook_SBV[[#This Row],[Quantity_edited]])*(-Tradingbook_SBV[[#This Row],[Modified Duration]]*0.01+0.5*Tradingbook_SBV[[#This Row],[Conv]]*(0.01^2))</f>
        <v>0</v>
      </c>
      <c r="EC337" t="s">
        <v>166</v>
      </c>
      <c r="ED337" t="s">
        <v>3302</v>
      </c>
      <c r="EE337" t="s">
        <v>2782</v>
      </c>
      <c r="EF337" t="s">
        <v>169</v>
      </c>
      <c r="EG337" s="35" t="s">
        <v>2783</v>
      </c>
      <c r="EH337" t="s">
        <v>170</v>
      </c>
      <c r="EI337" s="500">
        <v>85523</v>
      </c>
      <c r="EJ337" s="500">
        <v>85523</v>
      </c>
      <c r="EK337" s="500">
        <v>1370000</v>
      </c>
      <c r="EL337" s="500">
        <v>137000000000</v>
      </c>
      <c r="EM337" s="500">
        <v>105955.416</v>
      </c>
      <c r="EN337" s="500">
        <v>117166510000</v>
      </c>
      <c r="EO337">
        <v>3.4</v>
      </c>
      <c r="EP337">
        <v>2515</v>
      </c>
      <c r="EQ337">
        <v>9316000000</v>
      </c>
      <c r="ER337">
        <v>9916319158.3333397</v>
      </c>
      <c r="ES337">
        <v>-14496494628.33334</v>
      </c>
      <c r="ET337">
        <v>5.0067248810000002</v>
      </c>
      <c r="EU337">
        <v>9.2841645054785999</v>
      </c>
      <c r="EV337">
        <v>9.7489970800000005</v>
      </c>
      <c r="EW337">
        <v>109.2084529167216</v>
      </c>
      <c r="EX337">
        <v>131718.56475698799</v>
      </c>
      <c r="EY337">
        <v>-111978.22063846599</v>
      </c>
      <c r="EZ337">
        <v>16144.661</v>
      </c>
      <c r="FA337">
        <v>0</v>
      </c>
      <c r="FB337">
        <v>-27992409999.999992</v>
      </c>
      <c r="FC337">
        <v>-27992409999.999992</v>
      </c>
      <c r="FD337">
        <v>-27992409999.999992</v>
      </c>
      <c r="FE337">
        <v>-27992410000</v>
      </c>
      <c r="FF337">
        <v>-27992409999.999992</v>
      </c>
      <c r="FG337" s="32">
        <f>Bankingbook_SBV[[#This Row],[Mat. Date]]-RPT</f>
        <v>4478</v>
      </c>
      <c r="FH337" s="32">
        <f>IF(Bankingbook_SBV[[#This Row],[Days]]&lt;=0,0,YEARFRAC(RPT,Bankingbook_SBV[[#This Row],[Mat. Date]],3))</f>
        <v>12.268493150684931</v>
      </c>
      <c r="FI337" s="32" t="str">
        <f>IF(Bankingbook_SBV[[#This Row],[Days (year)]]=0,0,INDEX(Ref!$K$2:$K$13,MATCH(Bankingbook_SBV[[#This Row],[Days (year)]],Ref!$I$2:$I$13,1)))</f>
        <v>15Y</v>
      </c>
      <c r="FJ337" s="32" t="str">
        <f>VLOOKUP(Bankingbook_SBV[[#This Row],[Security Name]],Ref!X:Z,3,0)</f>
        <v>TPCPBL</v>
      </c>
      <c r="FK337" s="32" t="str">
        <f>VLOOKUP(Bankingbook_SBV[[#This Row],[Security Name]],Ref!X:Y,2,0)</f>
        <v>VBS</v>
      </c>
      <c r="FL337" s="72">
        <f>IF((Bankingbook_SBV[[#This Row],[Mat. Date]]-RPT)&lt;=0,0,Bankingbook_SBV[[#This Row],[QUANTITY]])</f>
        <v>1370000</v>
      </c>
      <c r="FM337" s="32">
        <f>IF(Bankingbook_SBV[[#This Row],[Quantity_edited]]=0,0,Bankingbook_SBV[[#This Row],[DURATION]])</f>
        <v>9.7489970800000005</v>
      </c>
      <c r="FN337" s="32">
        <f>IF(Bankingbook_SBV[[#This Row],[Quantity_edited]]=0,0,Bankingbook_SBV[[#This Row],[Mod Dur]])</f>
        <v>9.2841645054785999</v>
      </c>
      <c r="FO337" s="32">
        <f>IF(Bankingbook_SBV[[#This Row],[Quantity_edited]]=0,0,Bankingbook_SBV[[#This Row],[Cnvx.]])</f>
        <v>109.2084529167216</v>
      </c>
      <c r="FP337" s="32">
        <f>(Bankingbook_SBV[[#This Row],[MARKET_VALUE]]+Bankingbook_SBV[[#This Row],[Accr Int]]*Bankingbook_SBV[[#This Row],[Quantity_edited]])*(-Bankingbook_SBV[[#This Row],[Modified Duration]]*0.0001+0.5*Bankingbook_SBV[[#This Row],[Conv]]*(0.0001^2))</f>
        <v>-111912361.35608704</v>
      </c>
      <c r="FQ337" s="32">
        <f>(Bankingbook_SBV[[#This Row],[MARKET_VALUE]]+Bankingbook_SBV[[#This Row],[Accr Int]]*Bankingbook_SBV[[#This Row],[Quantity_edited]])*(-Bankingbook_SBV[[#This Row],[Modified Duration]]*0.01+0.5*Bankingbook_SBV[[#This Row],[Conv]]*(0.01^2))</f>
        <v>-10539229240.061611</v>
      </c>
    </row>
    <row r="338" spans="2:173" x14ac:dyDescent="0.3">
      <c r="B338" t="s">
        <v>166</v>
      </c>
      <c r="C338" t="s">
        <v>167</v>
      </c>
      <c r="D338" t="s">
        <v>525</v>
      </c>
      <c r="E338" t="s">
        <v>169</v>
      </c>
      <c r="F338" s="502">
        <v>45286</v>
      </c>
      <c r="G338" t="s">
        <v>3322</v>
      </c>
      <c r="H338"/>
      <c r="I338"/>
      <c r="J338" s="38">
        <v>0</v>
      </c>
      <c r="K338">
        <v>0</v>
      </c>
      <c r="L338">
        <v>0</v>
      </c>
      <c r="M338" s="38">
        <v>0</v>
      </c>
      <c r="N338">
        <v>5.3</v>
      </c>
      <c r="O338">
        <v>0</v>
      </c>
      <c r="P338" s="37">
        <v>60950000000</v>
      </c>
      <c r="Q338" s="37">
        <v>64209612624.999954</v>
      </c>
      <c r="R338" s="37">
        <v>-22957191521.319351</v>
      </c>
      <c r="S338">
        <v>5.3</v>
      </c>
      <c r="T338" s="70">
        <v>0</v>
      </c>
      <c r="U338">
        <v>0</v>
      </c>
      <c r="V338">
        <v>0</v>
      </c>
      <c r="W338">
        <v>0</v>
      </c>
      <c r="X338" s="38">
        <v>0</v>
      </c>
      <c r="Y338">
        <v>0</v>
      </c>
      <c r="Z338" s="70">
        <v>3619000000</v>
      </c>
      <c r="AA338" s="70">
        <v>0</v>
      </c>
      <c r="AB338" s="70">
        <v>3619000000</v>
      </c>
      <c r="AC338" s="70">
        <v>3619000000</v>
      </c>
      <c r="AD338" s="70">
        <v>3619000000</v>
      </c>
      <c r="AE338" s="70">
        <v>3619000000</v>
      </c>
      <c r="AF338">
        <v>0</v>
      </c>
      <c r="AG338" s="72">
        <f>Tradingbook_MSB[[#This Row],[Mat. Date]]-RPT</f>
        <v>-966</v>
      </c>
      <c r="AH338" s="71">
        <f>IF(Tradingbook_MSB[[#This Row],[Days]]&lt;=0,0,YEARFRAC(RPT,Tradingbook_MSB[[#This Row],[Mat. Date]],3))</f>
        <v>0</v>
      </c>
      <c r="AI338" s="71">
        <f>IF(Tradingbook_MSB[[#This Row],[Days (year)]]=0,0,INDEX(Ref!$K$2:$K$13,MATCH(Tradingbook_MSB[[#This Row],[Days (year)]],Ref!$I$2:$I$13,1)))</f>
        <v>0</v>
      </c>
      <c r="AJ338" s="120" t="str">
        <f>VLOOKUP(Tradingbook_MSB[[#This Row],[Security Name]],Ref!X:Z,3,0)</f>
        <v>TPCPBL</v>
      </c>
      <c r="AK338" s="120" t="str">
        <f>VLOOKUP(Tradingbook_MSB[[#This Row],[Security Name]],Ref!X:Y,2,0)</f>
        <v>VDB</v>
      </c>
      <c r="AL338" s="71">
        <f>IF((Tradingbook_MSB[[#This Row],[Mat. Date]]-RPT)&lt;=0,0,Tradingbook_MSB[[#This Row],[QUANTITY]])</f>
        <v>0</v>
      </c>
      <c r="AM338" s="71">
        <f>IF(Tradingbook_MSB[[#This Row],[Quantity_edited]]=0,0,Tradingbook_MSB[[#This Row],[DURATION]])</f>
        <v>0</v>
      </c>
      <c r="AN338" s="71">
        <f>IF(Tradingbook_MSB[[#This Row],[Quantity_edited]]=0,0,Tradingbook_MSB[[#This Row],[Mod Dur]])</f>
        <v>0</v>
      </c>
      <c r="AO338" s="71">
        <f>IF(Tradingbook_MSB[[#This Row],[Quantity_edited]]=0,0,Tradingbook_MSB[[#This Row],[Cnvx.]])</f>
        <v>0</v>
      </c>
      <c r="AP338" s="71">
        <f>(Tradingbook_MSB[[#This Row],[MARKET_VALUE]]+Tradingbook_MSB[[#This Row],[Accr Int]]*Tradingbook_MSB[[#This Row],[Quantity_edited]])*(-Tradingbook_MSB[[#This Row],[Modified Duration]]*0.0001+0.5*Tradingbook_MSB[[#This Row],[Conv]]*(0.0001^2))</f>
        <v>0</v>
      </c>
      <c r="AQ338" s="72">
        <f>(Tradingbook_MSB[[#This Row],[MARKET_VALUE]]+Tradingbook_MSB[[#This Row],[Accr Int]]*Tradingbook_MSB[[#This Row],[Quantity_edited]])*(-Tradingbook_MSB[[#This Row],[Modified Duration]]*0.01+0.5*Tradingbook_MSB[[#This Row],[Conv]]*(0.01^2))</f>
        <v>0</v>
      </c>
      <c r="AR338" s="71"/>
      <c r="CL338" t="s">
        <v>166</v>
      </c>
      <c r="CM338" t="s">
        <v>167</v>
      </c>
      <c r="CN338" t="s">
        <v>531</v>
      </c>
      <c r="CO338" t="s">
        <v>169</v>
      </c>
      <c r="CP338" s="35">
        <v>45374</v>
      </c>
      <c r="CQ338" t="s">
        <v>3322</v>
      </c>
      <c r="CR338" t="s">
        <v>174</v>
      </c>
      <c r="CS338" t="s">
        <v>174</v>
      </c>
      <c r="CT338" s="49">
        <v>0</v>
      </c>
      <c r="CU338">
        <v>0</v>
      </c>
      <c r="CV338">
        <v>0</v>
      </c>
      <c r="CW338" s="70">
        <v>0</v>
      </c>
      <c r="CX338">
        <v>5.4</v>
      </c>
      <c r="CY338">
        <v>0</v>
      </c>
      <c r="CZ338">
        <v>2700000000</v>
      </c>
      <c r="DA338">
        <v>3042297374.9999981</v>
      </c>
      <c r="DB338">
        <v>-2386789236.319459</v>
      </c>
      <c r="DC338">
        <v>5.4</v>
      </c>
      <c r="DD338">
        <v>0</v>
      </c>
      <c r="DE338">
        <v>0</v>
      </c>
      <c r="DF338">
        <v>0</v>
      </c>
      <c r="DG338">
        <v>0</v>
      </c>
      <c r="DH338">
        <v>0</v>
      </c>
      <c r="DI338">
        <v>0</v>
      </c>
      <c r="DJ338" s="500">
        <v>-551500000</v>
      </c>
      <c r="DK338" s="500">
        <v>0</v>
      </c>
      <c r="DL338" s="37">
        <v>-551500000</v>
      </c>
      <c r="DM338" s="37">
        <v>-551500000</v>
      </c>
      <c r="DN338" s="37">
        <v>-551500000</v>
      </c>
      <c r="DO338" s="37">
        <v>-551500000</v>
      </c>
      <c r="DP338" s="32">
        <f>Tradingbook_SBV[[#This Row],[Mat. Date]]-RPT</f>
        <v>-878</v>
      </c>
      <c r="DQ338" s="32">
        <f>IF(Tradingbook_SBV[[#This Row],[Days]]&lt;=0,0,YEARFRAC(RPT,Tradingbook_SBV[[#This Row],[Mat. Date]],3))</f>
        <v>0</v>
      </c>
      <c r="DR338" s="32">
        <f>IF(Tradingbook_SBV[[#This Row],[Days (year)]]=0,0,INDEX(Ref!$K$2:$K$13,MATCH(Tradingbook_SBV[[#This Row],[Days (year)]],Ref!$I$2:$I$13,1)))</f>
        <v>0</v>
      </c>
      <c r="DS338" s="32" t="str">
        <f>VLOOKUP(Tradingbook_SBV[[#This Row],[Security Name]],Ref!X:Z,3,0)</f>
        <v>TPCP</v>
      </c>
      <c r="DT338" s="32" t="str">
        <f>VLOOKUP(Tradingbook_SBV[[#This Row],[Security Name]],Ref!X:Y,2,0)</f>
        <v>KBNN</v>
      </c>
      <c r="DU338" s="71">
        <f>IF((Tradingbook_SBV[[#This Row],[Mat. Date]]-RPT)&lt;=0,0,Tradingbook_SBV[[#This Row],[QUANTITY]])</f>
        <v>0</v>
      </c>
      <c r="DV338" s="71">
        <f>IF(Tradingbook_SBV[[#This Row],[Quantity_edited]]=0,0,Tradingbook_SBV[[#This Row],[DURATION]])</f>
        <v>0</v>
      </c>
      <c r="DW338" s="71">
        <f>IF(Tradingbook_SBV[[#This Row],[Quantity_edited]]=0,0,Tradingbook_SBV[[#This Row],[Mod Dur]])</f>
        <v>0</v>
      </c>
      <c r="DX338" s="71">
        <f>IF(Tradingbook_SBV[[#This Row],[Quantity_edited]]=0,0,Tradingbook_SBV[[#This Row],[Cnvx.]])</f>
        <v>0</v>
      </c>
      <c r="DY338" s="71">
        <f>(Tradingbook_SBV[[#This Row],[MARKET_VALUE]]+Tradingbook_SBV[[#This Row],[Accr Int]]*Tradingbook_SBV[[#This Row],[Quantity_edited]])*(-Tradingbook_SBV[[#This Row],[Modified Duration]]*0.0001+0.5*Tradingbook_SBV[[#This Row],[Conv]]*(0.0001^2))</f>
        <v>0</v>
      </c>
      <c r="DZ338" s="71">
        <f>(Tradingbook_SBV[[#This Row],[MARKET_VALUE]]+Tradingbook_SBV[[#This Row],[Accr Int]]*Tradingbook_SBV[[#This Row],[Quantity_edited]])*(-Tradingbook_SBV[[#This Row],[Modified Duration]]*0.01+0.5*Tradingbook_SBV[[#This Row],[Conv]]*(0.01^2))</f>
        <v>0</v>
      </c>
      <c r="EC338" t="s">
        <v>166</v>
      </c>
      <c r="ED338" t="s">
        <v>3302</v>
      </c>
      <c r="EE338" t="s">
        <v>2788</v>
      </c>
      <c r="EF338" t="s">
        <v>169</v>
      </c>
      <c r="EG338" s="35" t="s">
        <v>3472</v>
      </c>
      <c r="EH338" t="s">
        <v>170</v>
      </c>
      <c r="EI338" s="500">
        <v>82776</v>
      </c>
      <c r="EJ338" s="500">
        <v>82776</v>
      </c>
      <c r="EK338" s="500">
        <v>10650000</v>
      </c>
      <c r="EL338" s="500">
        <v>1065000000000</v>
      </c>
      <c r="EM338" s="500">
        <v>100475.747</v>
      </c>
      <c r="EN338" s="500">
        <v>881564400000</v>
      </c>
      <c r="EO338">
        <v>3.1</v>
      </c>
      <c r="EP338">
        <v>2174</v>
      </c>
      <c r="EQ338">
        <v>66030000000</v>
      </c>
      <c r="ER338">
        <v>70158479895.833374</v>
      </c>
      <c r="ES338">
        <v>-105923174010.1389</v>
      </c>
      <c r="ET338">
        <v>5.0077278539999996</v>
      </c>
      <c r="EU338">
        <v>9.4566633678730998</v>
      </c>
      <c r="EV338">
        <v>9.9302273299999992</v>
      </c>
      <c r="EW338">
        <v>112.1059512090015</v>
      </c>
      <c r="EX338">
        <v>1014242.1591292982</v>
      </c>
      <c r="EY338">
        <v>-855560.88405236905</v>
      </c>
      <c r="EZ338">
        <v>121125.639</v>
      </c>
      <c r="FA338">
        <v>-2077494071.1462405</v>
      </c>
      <c r="FB338">
        <v>-188502305928.85373</v>
      </c>
      <c r="FC338">
        <v>-190579799999.99997</v>
      </c>
      <c r="FD338">
        <v>-190579799999.99997</v>
      </c>
      <c r="FE338">
        <v>-190579800000</v>
      </c>
      <c r="FF338">
        <v>-190579799999.99997</v>
      </c>
      <c r="FG338" s="32">
        <f>Bankingbook_SBV[[#This Row],[Mat. Date]]-RPT</f>
        <v>4492</v>
      </c>
      <c r="FH338" s="32">
        <f>IF(Bankingbook_SBV[[#This Row],[Days]]&lt;=0,0,YEARFRAC(RPT,Bankingbook_SBV[[#This Row],[Mat. Date]],3))</f>
        <v>12.306849315068494</v>
      </c>
      <c r="FI338" s="32" t="str">
        <f>IF(Bankingbook_SBV[[#This Row],[Days (year)]]=0,0,INDEX(Ref!$K$2:$K$13,MATCH(Bankingbook_SBV[[#This Row],[Days (year)]],Ref!$I$2:$I$13,1)))</f>
        <v>15Y</v>
      </c>
      <c r="FJ338" s="32" t="str">
        <f>VLOOKUP(Bankingbook_SBV[[#This Row],[Security Name]],Ref!X:Z,3,0)</f>
        <v>TPCPBL</v>
      </c>
      <c r="FK338" s="32" t="str">
        <f>VLOOKUP(Bankingbook_SBV[[#This Row],[Security Name]],Ref!X:Y,2,0)</f>
        <v>VDB</v>
      </c>
      <c r="FL338" s="72">
        <f>IF((Bankingbook_SBV[[#This Row],[Mat. Date]]-RPT)&lt;=0,0,Bankingbook_SBV[[#This Row],[QUANTITY]])</f>
        <v>10650000</v>
      </c>
      <c r="FM338" s="32">
        <f>IF(Bankingbook_SBV[[#This Row],[Quantity_edited]]=0,0,Bankingbook_SBV[[#This Row],[DURATION]])</f>
        <v>9.9302273299999992</v>
      </c>
      <c r="FN338" s="32">
        <f>IF(Bankingbook_SBV[[#This Row],[Quantity_edited]]=0,0,Bankingbook_SBV[[#This Row],[Mod Dur]])</f>
        <v>9.4566633678730998</v>
      </c>
      <c r="FO338" s="32">
        <f>IF(Bankingbook_SBV[[#This Row],[Quantity_edited]]=0,0,Bankingbook_SBV[[#This Row],[Cnvx.]])</f>
        <v>112.1059512090015</v>
      </c>
      <c r="FP338" s="32">
        <f>(Bankingbook_SBV[[#This Row],[MARKET_VALUE]]+Bankingbook_SBV[[#This Row],[Accr Int]]*Bankingbook_SBV[[#This Row],[Quantity_edited]])*(-Bankingbook_SBV[[#This Row],[Modified Duration]]*0.0001+0.5*Bankingbook_SBV[[#This Row],[Conv]]*(0.0001^2))</f>
        <v>-855053762.97280848</v>
      </c>
      <c r="FQ338" s="32">
        <f>(Bankingbook_SBV[[#This Row],[MARKET_VALUE]]+Bankingbook_SBV[[#This Row],[Accr Int]]*Bankingbook_SBV[[#This Row],[Quantity_edited]])*(-Bankingbook_SBV[[#This Row],[Modified Duration]]*0.01+0.5*Bankingbook_SBV[[#This Row],[Conv]]*(0.01^2))</f>
        <v>-80484877609.59082</v>
      </c>
    </row>
    <row r="339" spans="2:173" x14ac:dyDescent="0.3">
      <c r="B339" t="s">
        <v>166</v>
      </c>
      <c r="C339" t="s">
        <v>167</v>
      </c>
      <c r="D339" t="s">
        <v>527</v>
      </c>
      <c r="E339" t="s">
        <v>169</v>
      </c>
      <c r="F339" s="502">
        <v>45303</v>
      </c>
      <c r="G339" t="s">
        <v>3322</v>
      </c>
      <c r="H339"/>
      <c r="I339"/>
      <c r="J339" s="38">
        <v>0</v>
      </c>
      <c r="K339">
        <v>0</v>
      </c>
      <c r="L339">
        <v>0</v>
      </c>
      <c r="M339" s="38">
        <v>0</v>
      </c>
      <c r="N339">
        <v>5.5</v>
      </c>
      <c r="O339">
        <v>0</v>
      </c>
      <c r="P339" s="37">
        <v>22000000000</v>
      </c>
      <c r="Q339" s="37">
        <v>24610576145.833317</v>
      </c>
      <c r="R339" s="37">
        <v>-13537612879.903046</v>
      </c>
      <c r="S339">
        <v>5.5</v>
      </c>
      <c r="T339" s="70">
        <v>0</v>
      </c>
      <c r="U339">
        <v>0</v>
      </c>
      <c r="V339">
        <v>0</v>
      </c>
      <c r="W339">
        <v>0</v>
      </c>
      <c r="X339" s="38">
        <v>0</v>
      </c>
      <c r="Y339">
        <v>0</v>
      </c>
      <c r="Z339" s="70">
        <v>-7049250000</v>
      </c>
      <c r="AA339" s="70">
        <v>0</v>
      </c>
      <c r="AB339" s="70">
        <v>-7049250000</v>
      </c>
      <c r="AC339" s="70">
        <v>-7049250000</v>
      </c>
      <c r="AD339" s="70">
        <v>-7049250000</v>
      </c>
      <c r="AE339" s="70">
        <v>-7049250000</v>
      </c>
      <c r="AF339">
        <v>0</v>
      </c>
      <c r="AG339" s="72">
        <f>Tradingbook_MSB[[#This Row],[Mat. Date]]-RPT</f>
        <v>-949</v>
      </c>
      <c r="AH339" s="71">
        <f>IF(Tradingbook_MSB[[#This Row],[Days]]&lt;=0,0,YEARFRAC(RPT,Tradingbook_MSB[[#This Row],[Mat. Date]],3))</f>
        <v>0</v>
      </c>
      <c r="AI339" s="71">
        <f>IF(Tradingbook_MSB[[#This Row],[Days (year)]]=0,0,INDEX(Ref!$K$2:$K$13,MATCH(Tradingbook_MSB[[#This Row],[Days (year)]],Ref!$I$2:$I$13,1)))</f>
        <v>0</v>
      </c>
      <c r="AJ339" s="120" t="str">
        <f>VLOOKUP(Tradingbook_MSB[[#This Row],[Security Name]],Ref!X:Z,3,0)</f>
        <v>TPCP</v>
      </c>
      <c r="AK339" s="120" t="str">
        <f>VLOOKUP(Tradingbook_MSB[[#This Row],[Security Name]],Ref!X:Y,2,0)</f>
        <v>KBNN</v>
      </c>
      <c r="AL339" s="71">
        <f>IF((Tradingbook_MSB[[#This Row],[Mat. Date]]-RPT)&lt;=0,0,Tradingbook_MSB[[#This Row],[QUANTITY]])</f>
        <v>0</v>
      </c>
      <c r="AM339" s="71">
        <f>IF(Tradingbook_MSB[[#This Row],[Quantity_edited]]=0,0,Tradingbook_MSB[[#This Row],[DURATION]])</f>
        <v>0</v>
      </c>
      <c r="AN339" s="71">
        <f>IF(Tradingbook_MSB[[#This Row],[Quantity_edited]]=0,0,Tradingbook_MSB[[#This Row],[Mod Dur]])</f>
        <v>0</v>
      </c>
      <c r="AO339" s="71">
        <f>IF(Tradingbook_MSB[[#This Row],[Quantity_edited]]=0,0,Tradingbook_MSB[[#This Row],[Cnvx.]])</f>
        <v>0</v>
      </c>
      <c r="AP339" s="71">
        <f>(Tradingbook_MSB[[#This Row],[MARKET_VALUE]]+Tradingbook_MSB[[#This Row],[Accr Int]]*Tradingbook_MSB[[#This Row],[Quantity_edited]])*(-Tradingbook_MSB[[#This Row],[Modified Duration]]*0.0001+0.5*Tradingbook_MSB[[#This Row],[Conv]]*(0.0001^2))</f>
        <v>0</v>
      </c>
      <c r="AQ339" s="72">
        <f>(Tradingbook_MSB[[#This Row],[MARKET_VALUE]]+Tradingbook_MSB[[#This Row],[Accr Int]]*Tradingbook_MSB[[#This Row],[Quantity_edited]])*(-Tradingbook_MSB[[#This Row],[Modified Duration]]*0.01+0.5*Tradingbook_MSB[[#This Row],[Conv]]*(0.01^2))</f>
        <v>0</v>
      </c>
      <c r="AR339" s="71"/>
      <c r="CL339" t="s">
        <v>166</v>
      </c>
      <c r="CM339" t="s">
        <v>167</v>
      </c>
      <c r="CN339" t="s">
        <v>532</v>
      </c>
      <c r="CO339" t="s">
        <v>169</v>
      </c>
      <c r="CP339" s="35">
        <v>45430</v>
      </c>
      <c r="CQ339" t="s">
        <v>3322</v>
      </c>
      <c r="CR339" t="s">
        <v>174</v>
      </c>
      <c r="CS339" t="s">
        <v>174</v>
      </c>
      <c r="CT339" s="49">
        <v>0</v>
      </c>
      <c r="CU339">
        <v>0</v>
      </c>
      <c r="CV339">
        <v>0</v>
      </c>
      <c r="CW339" s="70">
        <v>0</v>
      </c>
      <c r="CX339">
        <v>5.4</v>
      </c>
      <c r="CY339">
        <v>0</v>
      </c>
      <c r="CZ339">
        <v>2700000000</v>
      </c>
      <c r="DA339">
        <v>3038783625.000031</v>
      </c>
      <c r="DB339">
        <v>-2042690447.4931226</v>
      </c>
      <c r="DC339">
        <v>5.4</v>
      </c>
      <c r="DD339">
        <v>0</v>
      </c>
      <c r="DE339">
        <v>0</v>
      </c>
      <c r="DF339">
        <v>0</v>
      </c>
      <c r="DG339">
        <v>0</v>
      </c>
      <c r="DH339">
        <v>0</v>
      </c>
      <c r="DI339">
        <v>0</v>
      </c>
      <c r="DJ339" s="500">
        <v>17616700000</v>
      </c>
      <c r="DK339" s="500">
        <v>0</v>
      </c>
      <c r="DL339" s="37">
        <v>17616700000</v>
      </c>
      <c r="DM339" s="37">
        <v>17616700000</v>
      </c>
      <c r="DN339" s="37">
        <v>17616700000</v>
      </c>
      <c r="DO339" s="37">
        <v>17616700000</v>
      </c>
      <c r="DP339" s="32">
        <f>Tradingbook_SBV[[#This Row],[Mat. Date]]-RPT</f>
        <v>-822</v>
      </c>
      <c r="DQ339" s="32">
        <f>IF(Tradingbook_SBV[[#This Row],[Days]]&lt;=0,0,YEARFRAC(RPT,Tradingbook_SBV[[#This Row],[Mat. Date]],3))</f>
        <v>0</v>
      </c>
      <c r="DR339" s="32">
        <f>IF(Tradingbook_SBV[[#This Row],[Days (year)]]=0,0,INDEX(Ref!$K$2:$K$13,MATCH(Tradingbook_SBV[[#This Row],[Days (year)]],Ref!$I$2:$I$13,1)))</f>
        <v>0</v>
      </c>
      <c r="DS339" s="32" t="str">
        <f>VLOOKUP(Tradingbook_SBV[[#This Row],[Security Name]],Ref!X:Z,3,0)</f>
        <v>TPCP</v>
      </c>
      <c r="DT339" s="32" t="str">
        <f>VLOOKUP(Tradingbook_SBV[[#This Row],[Security Name]],Ref!X:Y,2,0)</f>
        <v>KBNN</v>
      </c>
      <c r="DU339" s="71">
        <f>IF((Tradingbook_SBV[[#This Row],[Mat. Date]]-RPT)&lt;=0,0,Tradingbook_SBV[[#This Row],[QUANTITY]])</f>
        <v>0</v>
      </c>
      <c r="DV339" s="71">
        <f>IF(Tradingbook_SBV[[#This Row],[Quantity_edited]]=0,0,Tradingbook_SBV[[#This Row],[DURATION]])</f>
        <v>0</v>
      </c>
      <c r="DW339" s="71">
        <f>IF(Tradingbook_SBV[[#This Row],[Quantity_edited]]=0,0,Tradingbook_SBV[[#This Row],[Mod Dur]])</f>
        <v>0</v>
      </c>
      <c r="DX339" s="71">
        <f>IF(Tradingbook_SBV[[#This Row],[Quantity_edited]]=0,0,Tradingbook_SBV[[#This Row],[Cnvx.]])</f>
        <v>0</v>
      </c>
      <c r="DY339" s="71">
        <f>(Tradingbook_SBV[[#This Row],[MARKET_VALUE]]+Tradingbook_SBV[[#This Row],[Accr Int]]*Tradingbook_SBV[[#This Row],[Quantity_edited]])*(-Tradingbook_SBV[[#This Row],[Modified Duration]]*0.0001+0.5*Tradingbook_SBV[[#This Row],[Conv]]*(0.0001^2))</f>
        <v>0</v>
      </c>
      <c r="DZ339" s="71">
        <f>(Tradingbook_SBV[[#This Row],[MARKET_VALUE]]+Tradingbook_SBV[[#This Row],[Accr Int]]*Tradingbook_SBV[[#This Row],[Quantity_edited]])*(-Tradingbook_SBV[[#This Row],[Modified Duration]]*0.01+0.5*Tradingbook_SBV[[#This Row],[Conv]]*(0.01^2))</f>
        <v>0</v>
      </c>
      <c r="EC339" t="s">
        <v>166</v>
      </c>
      <c r="ED339" t="s">
        <v>3302</v>
      </c>
      <c r="EE339" t="s">
        <v>710</v>
      </c>
      <c r="EF339" t="s">
        <v>169</v>
      </c>
      <c r="EG339" s="35" t="s">
        <v>3468</v>
      </c>
      <c r="EH339" t="s">
        <v>170</v>
      </c>
      <c r="EI339" s="500">
        <v>110155</v>
      </c>
      <c r="EJ339" s="500">
        <v>110155</v>
      </c>
      <c r="EK339" s="500">
        <v>1000000</v>
      </c>
      <c r="EL339" s="500">
        <v>100000000000</v>
      </c>
      <c r="EM339" s="500">
        <v>109303.01</v>
      </c>
      <c r="EN339" s="500">
        <v>110155000000</v>
      </c>
      <c r="EO339">
        <v>5.6</v>
      </c>
      <c r="EP339">
        <v>3268</v>
      </c>
      <c r="EQ339">
        <v>28000000000</v>
      </c>
      <c r="ER339">
        <v>31117545277.777687</v>
      </c>
      <c r="ES339">
        <v>-16957867946.305403</v>
      </c>
      <c r="ET339">
        <v>4.5107606870000003</v>
      </c>
      <c r="EU339">
        <v>8.7780558725125992</v>
      </c>
      <c r="EV339">
        <v>9.1740129699999997</v>
      </c>
      <c r="EW339">
        <v>101.6438516309988</v>
      </c>
      <c r="EX339">
        <v>115287.5058354278</v>
      </c>
      <c r="EY339">
        <v>-99563.343122799997</v>
      </c>
      <c r="EZ339">
        <v>13710.982</v>
      </c>
      <c r="FA339">
        <v>-17394960409.899498</v>
      </c>
      <c r="FB339">
        <v>851990409.89945936</v>
      </c>
      <c r="FC339">
        <v>-16542970000.000038</v>
      </c>
      <c r="FD339">
        <v>-16542970000.000038</v>
      </c>
      <c r="FE339">
        <v>-16542970000</v>
      </c>
      <c r="FF339">
        <v>-16542970000.000038</v>
      </c>
      <c r="FG339" s="32">
        <f>Bankingbook_SBV[[#This Row],[Mat. Date]]-RPT</f>
        <v>4535</v>
      </c>
      <c r="FH339" s="32">
        <f>IF(Bankingbook_SBV[[#This Row],[Days]]&lt;=0,0,YEARFRAC(RPT,Bankingbook_SBV[[#This Row],[Mat. Date]],3))</f>
        <v>12.424657534246576</v>
      </c>
      <c r="FI339" s="32" t="str">
        <f>IF(Bankingbook_SBV[[#This Row],[Days (year)]]=0,0,INDEX(Ref!$K$2:$K$13,MATCH(Bankingbook_SBV[[#This Row],[Days (year)]],Ref!$I$2:$I$13,1)))</f>
        <v>15Y</v>
      </c>
      <c r="FJ339" s="32" t="str">
        <f>VLOOKUP(Bankingbook_SBV[[#This Row],[Security Name]],Ref!X:Z,3,0)</f>
        <v>TPCP</v>
      </c>
      <c r="FK339" s="32" t="str">
        <f>VLOOKUP(Bankingbook_SBV[[#This Row],[Security Name]],Ref!X:Y,2,0)</f>
        <v>KBNN</v>
      </c>
      <c r="FL339" s="72">
        <f>IF((Bankingbook_SBV[[#This Row],[Mat. Date]]-RPT)&lt;=0,0,Bankingbook_SBV[[#This Row],[QUANTITY]])</f>
        <v>1000000</v>
      </c>
      <c r="FM339" s="32">
        <f>IF(Bankingbook_SBV[[#This Row],[Quantity_edited]]=0,0,Bankingbook_SBV[[#This Row],[DURATION]])</f>
        <v>9.1740129699999997</v>
      </c>
      <c r="FN339" s="32">
        <f>IF(Bankingbook_SBV[[#This Row],[Quantity_edited]]=0,0,Bankingbook_SBV[[#This Row],[Mod Dur]])</f>
        <v>8.7780558725125992</v>
      </c>
      <c r="FO339" s="32">
        <f>IF(Bankingbook_SBV[[#This Row],[Quantity_edited]]=0,0,Bankingbook_SBV[[#This Row],[Cnvx.]])</f>
        <v>101.6438516309988</v>
      </c>
      <c r="FP339" s="32">
        <f>(Bankingbook_SBV[[#This Row],[MARKET_VALUE]]+Bankingbook_SBV[[#This Row],[Accr Int]]*Bankingbook_SBV[[#This Row],[Quantity_edited]])*(-Bankingbook_SBV[[#This Row],[Modified Duration]]*0.0001+0.5*Bankingbook_SBV[[#This Row],[Conv]]*(0.0001^2))</f>
        <v>-99505699.369881943</v>
      </c>
      <c r="FQ339" s="32">
        <f>(Bankingbook_SBV[[#This Row],[MARKET_VALUE]]+Bankingbook_SBV[[#This Row],[Accr Int]]*Bankingbook_SBV[[#This Row],[Quantity_edited]])*(-Bankingbook_SBV[[#This Row],[Modified Duration]]*0.01+0.5*Bankingbook_SBV[[#This Row],[Conv]]*(0.01^2))</f>
        <v>-9379896783.1028271</v>
      </c>
    </row>
    <row r="340" spans="2:173" x14ac:dyDescent="0.3">
      <c r="B340" t="s">
        <v>166</v>
      </c>
      <c r="C340" t="s">
        <v>167</v>
      </c>
      <c r="D340" t="s">
        <v>528</v>
      </c>
      <c r="E340" t="s">
        <v>169</v>
      </c>
      <c r="F340" s="502">
        <v>45308</v>
      </c>
      <c r="G340" t="s">
        <v>3322</v>
      </c>
      <c r="H340"/>
      <c r="I340"/>
      <c r="J340" s="38">
        <v>0</v>
      </c>
      <c r="K340">
        <v>0</v>
      </c>
      <c r="L340">
        <v>0</v>
      </c>
      <c r="M340" s="38">
        <v>0</v>
      </c>
      <c r="N340">
        <v>3.8</v>
      </c>
      <c r="O340">
        <v>0</v>
      </c>
      <c r="P340" s="37">
        <v>0</v>
      </c>
      <c r="Q340" s="37">
        <v>-9.9999999999999995E-7</v>
      </c>
      <c r="R340" s="37">
        <v>-158813949.23610926</v>
      </c>
      <c r="S340">
        <v>3.8</v>
      </c>
      <c r="T340" s="70">
        <v>0</v>
      </c>
      <c r="U340">
        <v>0</v>
      </c>
      <c r="V340">
        <v>0</v>
      </c>
      <c r="W340">
        <v>0</v>
      </c>
      <c r="X340" s="38">
        <v>0</v>
      </c>
      <c r="Y340">
        <v>0</v>
      </c>
      <c r="Z340" s="70">
        <v>55000000</v>
      </c>
      <c r="AA340" s="70">
        <v>0</v>
      </c>
      <c r="AB340" s="70">
        <v>55000000</v>
      </c>
      <c r="AC340" s="70">
        <v>55000000</v>
      </c>
      <c r="AD340" s="70">
        <v>55000000</v>
      </c>
      <c r="AE340" s="70">
        <v>55000000</v>
      </c>
      <c r="AF340">
        <v>0</v>
      </c>
      <c r="AG340" s="72">
        <f>Tradingbook_MSB[[#This Row],[Mat. Date]]-RPT</f>
        <v>-944</v>
      </c>
      <c r="AH340" s="71">
        <f>IF(Tradingbook_MSB[[#This Row],[Days]]&lt;=0,0,YEARFRAC(RPT,Tradingbook_MSB[[#This Row],[Mat. Date]],3))</f>
        <v>0</v>
      </c>
      <c r="AI340" s="71">
        <f>IF(Tradingbook_MSB[[#This Row],[Days (year)]]=0,0,INDEX(Ref!$K$2:$K$13,MATCH(Tradingbook_MSB[[#This Row],[Days (year)]],Ref!$I$2:$I$13,1)))</f>
        <v>0</v>
      </c>
      <c r="AJ340" s="120" t="str">
        <f>VLOOKUP(Tradingbook_MSB[[#This Row],[Security Name]],Ref!X:Z,3,0)</f>
        <v>TPCP</v>
      </c>
      <c r="AK340" s="120" t="str">
        <f>VLOOKUP(Tradingbook_MSB[[#This Row],[Security Name]],Ref!X:Y,2,0)</f>
        <v>KBNN</v>
      </c>
      <c r="AL340" s="71">
        <f>IF((Tradingbook_MSB[[#This Row],[Mat. Date]]-RPT)&lt;=0,0,Tradingbook_MSB[[#This Row],[QUANTITY]])</f>
        <v>0</v>
      </c>
      <c r="AM340" s="71">
        <f>IF(Tradingbook_MSB[[#This Row],[Quantity_edited]]=0,0,Tradingbook_MSB[[#This Row],[DURATION]])</f>
        <v>0</v>
      </c>
      <c r="AN340" s="71">
        <f>IF(Tradingbook_MSB[[#This Row],[Quantity_edited]]=0,0,Tradingbook_MSB[[#This Row],[Mod Dur]])</f>
        <v>0</v>
      </c>
      <c r="AO340" s="71">
        <f>IF(Tradingbook_MSB[[#This Row],[Quantity_edited]]=0,0,Tradingbook_MSB[[#This Row],[Cnvx.]])</f>
        <v>0</v>
      </c>
      <c r="AP340" s="71">
        <f>(Tradingbook_MSB[[#This Row],[MARKET_VALUE]]+Tradingbook_MSB[[#This Row],[Accr Int]]*Tradingbook_MSB[[#This Row],[Quantity_edited]])*(-Tradingbook_MSB[[#This Row],[Modified Duration]]*0.0001+0.5*Tradingbook_MSB[[#This Row],[Conv]]*(0.0001^2))</f>
        <v>0</v>
      </c>
      <c r="AQ340" s="72">
        <f>(Tradingbook_MSB[[#This Row],[MARKET_VALUE]]+Tradingbook_MSB[[#This Row],[Accr Int]]*Tradingbook_MSB[[#This Row],[Quantity_edited]])*(-Tradingbook_MSB[[#This Row],[Modified Duration]]*0.01+0.5*Tradingbook_MSB[[#This Row],[Conv]]*(0.01^2))</f>
        <v>0</v>
      </c>
      <c r="AR340" s="71"/>
      <c r="CL340" t="s">
        <v>166</v>
      </c>
      <c r="CM340" t="s">
        <v>167</v>
      </c>
      <c r="CN340" t="s">
        <v>533</v>
      </c>
      <c r="CO340" t="s">
        <v>169</v>
      </c>
      <c r="CP340" s="35">
        <v>45443</v>
      </c>
      <c r="CQ340" t="s">
        <v>3322</v>
      </c>
      <c r="CR340" t="s">
        <v>174</v>
      </c>
      <c r="CS340" t="s">
        <v>174</v>
      </c>
      <c r="CT340" s="49">
        <v>0</v>
      </c>
      <c r="CU340">
        <v>0</v>
      </c>
      <c r="CV340">
        <v>0</v>
      </c>
      <c r="CW340" s="70">
        <v>0</v>
      </c>
      <c r="CX340">
        <v>8.6999999999999993</v>
      </c>
      <c r="CY340">
        <v>0</v>
      </c>
      <c r="CZ340">
        <v>4350000000</v>
      </c>
      <c r="DA340">
        <v>4894072020.833149</v>
      </c>
      <c r="DB340">
        <v>993995627.34718323</v>
      </c>
      <c r="DC340">
        <v>8.6999999999999993</v>
      </c>
      <c r="DD340">
        <v>0</v>
      </c>
      <c r="DE340">
        <v>0</v>
      </c>
      <c r="DF340">
        <v>0</v>
      </c>
      <c r="DG340">
        <v>0</v>
      </c>
      <c r="DH340">
        <v>0</v>
      </c>
      <c r="DI340">
        <v>0</v>
      </c>
      <c r="DJ340" s="500">
        <v>32806895000</v>
      </c>
      <c r="DK340" s="500">
        <v>0</v>
      </c>
      <c r="DL340" s="37">
        <v>32806895000</v>
      </c>
      <c r="DM340" s="37">
        <v>32806895000</v>
      </c>
      <c r="DN340" s="37">
        <v>32806895000</v>
      </c>
      <c r="DO340" s="37">
        <v>32806895000</v>
      </c>
      <c r="DP340" s="32">
        <f>Tradingbook_SBV[[#This Row],[Mat. Date]]-RPT</f>
        <v>-809</v>
      </c>
      <c r="DQ340" s="32">
        <f>IF(Tradingbook_SBV[[#This Row],[Days]]&lt;=0,0,YEARFRAC(RPT,Tradingbook_SBV[[#This Row],[Mat. Date]],3))</f>
        <v>0</v>
      </c>
      <c r="DR340" s="32">
        <f>IF(Tradingbook_SBV[[#This Row],[Days (year)]]=0,0,INDEX(Ref!$K$2:$K$13,MATCH(Tradingbook_SBV[[#This Row],[Days (year)]],Ref!$I$2:$I$13,1)))</f>
        <v>0</v>
      </c>
      <c r="DS340" s="32" t="str">
        <f>VLOOKUP(Tradingbook_SBV[[#This Row],[Security Name]],Ref!X:Z,3,0)</f>
        <v>TPCP</v>
      </c>
      <c r="DT340" s="32" t="str">
        <f>VLOOKUP(Tradingbook_SBV[[#This Row],[Security Name]],Ref!X:Y,2,0)</f>
        <v>KBNN</v>
      </c>
      <c r="DU340" s="71">
        <f>IF((Tradingbook_SBV[[#This Row],[Mat. Date]]-RPT)&lt;=0,0,Tradingbook_SBV[[#This Row],[QUANTITY]])</f>
        <v>0</v>
      </c>
      <c r="DV340" s="71">
        <f>IF(Tradingbook_SBV[[#This Row],[Quantity_edited]]=0,0,Tradingbook_SBV[[#This Row],[DURATION]])</f>
        <v>0</v>
      </c>
      <c r="DW340" s="71">
        <f>IF(Tradingbook_SBV[[#This Row],[Quantity_edited]]=0,0,Tradingbook_SBV[[#This Row],[Mod Dur]])</f>
        <v>0</v>
      </c>
      <c r="DX340" s="71">
        <f>IF(Tradingbook_SBV[[#This Row],[Quantity_edited]]=0,0,Tradingbook_SBV[[#This Row],[Cnvx.]])</f>
        <v>0</v>
      </c>
      <c r="DY340" s="71">
        <f>(Tradingbook_SBV[[#This Row],[MARKET_VALUE]]+Tradingbook_SBV[[#This Row],[Accr Int]]*Tradingbook_SBV[[#This Row],[Quantity_edited]])*(-Tradingbook_SBV[[#This Row],[Modified Duration]]*0.0001+0.5*Tradingbook_SBV[[#This Row],[Conv]]*(0.0001^2))</f>
        <v>0</v>
      </c>
      <c r="DZ340" s="71">
        <f>(Tradingbook_SBV[[#This Row],[MARKET_VALUE]]+Tradingbook_SBV[[#This Row],[Accr Int]]*Tradingbook_SBV[[#This Row],[Quantity_edited]])*(-Tradingbook_SBV[[#This Row],[Modified Duration]]*0.01+0.5*Tradingbook_SBV[[#This Row],[Conv]]*(0.01^2))</f>
        <v>0</v>
      </c>
      <c r="EC340" t="s">
        <v>166</v>
      </c>
      <c r="ED340" t="s">
        <v>3302</v>
      </c>
      <c r="EE340" t="s">
        <v>711</v>
      </c>
      <c r="EF340" t="s">
        <v>169</v>
      </c>
      <c r="EG340" s="35" t="s">
        <v>3476</v>
      </c>
      <c r="EH340" t="s">
        <v>170</v>
      </c>
      <c r="EI340" s="500">
        <v>103606</v>
      </c>
      <c r="EJ340" s="500">
        <v>103606</v>
      </c>
      <c r="EK340" s="500">
        <v>1428209</v>
      </c>
      <c r="EL340" s="500">
        <v>142820900000</v>
      </c>
      <c r="EM340" s="500">
        <v>113019.30899999999</v>
      </c>
      <c r="EN340" s="500">
        <v>147971021654</v>
      </c>
      <c r="EO340">
        <v>4.9000000000000004</v>
      </c>
      <c r="EP340">
        <v>4564</v>
      </c>
      <c r="EQ340">
        <v>39539344600</v>
      </c>
      <c r="ER340">
        <v>44269790042.900269</v>
      </c>
      <c r="ES340">
        <v>-31066570267.451241</v>
      </c>
      <c r="ET340">
        <v>4.5277252890000002</v>
      </c>
      <c r="EU340">
        <v>9.1773769399468001</v>
      </c>
      <c r="EV340">
        <v>9.5929033599999993</v>
      </c>
      <c r="EW340">
        <v>111.9273450544646</v>
      </c>
      <c r="EX340">
        <v>172915.84746776309</v>
      </c>
      <c r="EY340">
        <v>-141780.715903679</v>
      </c>
      <c r="EZ340">
        <v>18743.940999999999</v>
      </c>
      <c r="FA340">
        <v>4641325112.8071938</v>
      </c>
      <c r="FB340">
        <v>-13444172131.807301</v>
      </c>
      <c r="FC340">
        <v>-8802847019.0001068</v>
      </c>
      <c r="FD340">
        <v>-8802847019.0001068</v>
      </c>
      <c r="FE340">
        <v>-8802847019</v>
      </c>
      <c r="FF340">
        <v>-8802847019.0001068</v>
      </c>
      <c r="FG340" s="32">
        <f>Bankingbook_SBV[[#This Row],[Mat. Date]]-RPT</f>
        <v>4773</v>
      </c>
      <c r="FH340" s="32">
        <f>IF(Bankingbook_SBV[[#This Row],[Days]]&lt;=0,0,YEARFRAC(RPT,Bankingbook_SBV[[#This Row],[Mat. Date]],3))</f>
        <v>13.076712328767123</v>
      </c>
      <c r="FI340" s="32" t="str">
        <f>IF(Bankingbook_SBV[[#This Row],[Days (year)]]=0,0,INDEX(Ref!$K$2:$K$13,MATCH(Bankingbook_SBV[[#This Row],[Days (year)]],Ref!$I$2:$I$13,1)))</f>
        <v>15Y</v>
      </c>
      <c r="FJ340" s="32" t="str">
        <f>VLOOKUP(Bankingbook_SBV[[#This Row],[Security Name]],Ref!X:Z,3,0)</f>
        <v>TPCP</v>
      </c>
      <c r="FK340" s="32" t="str">
        <f>VLOOKUP(Bankingbook_SBV[[#This Row],[Security Name]],Ref!X:Y,2,0)</f>
        <v>KBNN</v>
      </c>
      <c r="FL340" s="72">
        <f>IF((Bankingbook_SBV[[#This Row],[Mat. Date]]-RPT)&lt;=0,0,Bankingbook_SBV[[#This Row],[QUANTITY]])</f>
        <v>1428209</v>
      </c>
      <c r="FM340" s="32">
        <f>IF(Bankingbook_SBV[[#This Row],[Quantity_edited]]=0,0,Bankingbook_SBV[[#This Row],[DURATION]])</f>
        <v>9.5929033599999993</v>
      </c>
      <c r="FN340" s="32">
        <f>IF(Bankingbook_SBV[[#This Row],[Quantity_edited]]=0,0,Bankingbook_SBV[[#This Row],[Mod Dur]])</f>
        <v>9.1773769399468001</v>
      </c>
      <c r="FO340" s="32">
        <f>IF(Bankingbook_SBV[[#This Row],[Quantity_edited]]=0,0,Bankingbook_SBV[[#This Row],[Cnvx.]])</f>
        <v>111.9273450544646</v>
      </c>
      <c r="FP340" s="32">
        <f>(Bankingbook_SBV[[#This Row],[MARKET_VALUE]]+Bankingbook_SBV[[#This Row],[Accr Int]]*Bankingbook_SBV[[#This Row],[Quantity_edited]])*(-Bankingbook_SBV[[#This Row],[Modified Duration]]*0.0001+0.5*Bankingbook_SBV[[#This Row],[Conv]]*(0.0001^2))</f>
        <v>-141694257.97994491</v>
      </c>
      <c r="FQ340" s="32">
        <f>(Bankingbook_SBV[[#This Row],[MARKET_VALUE]]+Bankingbook_SBV[[#This Row],[Accr Int]]*Bankingbook_SBV[[#This Row],[Quantity_edited]])*(-Bankingbook_SBV[[#This Row],[Modified Duration]]*0.01+0.5*Bankingbook_SBV[[#This Row],[Conv]]*(0.01^2))</f>
        <v>-13313492353.029064</v>
      </c>
    </row>
    <row r="341" spans="2:173" x14ac:dyDescent="0.3">
      <c r="B341" t="s">
        <v>166</v>
      </c>
      <c r="C341" t="s">
        <v>167</v>
      </c>
      <c r="D341" t="s">
        <v>529</v>
      </c>
      <c r="E341" t="s">
        <v>169</v>
      </c>
      <c r="F341" s="502">
        <v>45350</v>
      </c>
      <c r="G341" t="s">
        <v>3322</v>
      </c>
      <c r="H341"/>
      <c r="I341"/>
      <c r="J341" s="38">
        <v>0</v>
      </c>
      <c r="K341">
        <v>0</v>
      </c>
      <c r="L341">
        <v>0</v>
      </c>
      <c r="M341" s="38">
        <v>0</v>
      </c>
      <c r="N341">
        <v>8.8000000000000007</v>
      </c>
      <c r="O341">
        <v>0</v>
      </c>
      <c r="P341" s="37">
        <v>8800000000</v>
      </c>
      <c r="Q341" s="37">
        <v>10663781333.333355</v>
      </c>
      <c r="R341" s="37">
        <v>4930075409.3555164</v>
      </c>
      <c r="S341">
        <v>8.8000000000000007</v>
      </c>
      <c r="T341" s="70">
        <v>0</v>
      </c>
      <c r="U341">
        <v>0</v>
      </c>
      <c r="V341">
        <v>0</v>
      </c>
      <c r="W341">
        <v>0</v>
      </c>
      <c r="X341" s="38">
        <v>0</v>
      </c>
      <c r="Y341">
        <v>0</v>
      </c>
      <c r="Z341" s="70">
        <v>37456070000</v>
      </c>
      <c r="AA341" s="70">
        <v>0</v>
      </c>
      <c r="AB341" s="70">
        <v>37456070000</v>
      </c>
      <c r="AC341" s="70">
        <v>37456070000</v>
      </c>
      <c r="AD341" s="70">
        <v>37456070000</v>
      </c>
      <c r="AE341" s="70">
        <v>37456070000</v>
      </c>
      <c r="AF341">
        <v>0</v>
      </c>
      <c r="AG341" s="72">
        <f>Tradingbook_MSB[[#This Row],[Mat. Date]]-RPT</f>
        <v>-902</v>
      </c>
      <c r="AH341" s="71">
        <f>IF(Tradingbook_MSB[[#This Row],[Days]]&lt;=0,0,YEARFRAC(RPT,Tradingbook_MSB[[#This Row],[Mat. Date]],3))</f>
        <v>0</v>
      </c>
      <c r="AI341" s="71">
        <f>IF(Tradingbook_MSB[[#This Row],[Days (year)]]=0,0,INDEX(Ref!$K$2:$K$13,MATCH(Tradingbook_MSB[[#This Row],[Days (year)]],Ref!$I$2:$I$13,1)))</f>
        <v>0</v>
      </c>
      <c r="AJ341" s="120" t="str">
        <f>VLOOKUP(Tradingbook_MSB[[#This Row],[Security Name]],Ref!X:Z,3,0)</f>
        <v>TPCP</v>
      </c>
      <c r="AK341" s="120" t="str">
        <f>VLOOKUP(Tradingbook_MSB[[#This Row],[Security Name]],Ref!X:Y,2,0)</f>
        <v>KBNN</v>
      </c>
      <c r="AL341" s="71">
        <f>IF((Tradingbook_MSB[[#This Row],[Mat. Date]]-RPT)&lt;=0,0,Tradingbook_MSB[[#This Row],[QUANTITY]])</f>
        <v>0</v>
      </c>
      <c r="AM341" s="71">
        <f>IF(Tradingbook_MSB[[#This Row],[Quantity_edited]]=0,0,Tradingbook_MSB[[#This Row],[DURATION]])</f>
        <v>0</v>
      </c>
      <c r="AN341" s="71">
        <f>IF(Tradingbook_MSB[[#This Row],[Quantity_edited]]=0,0,Tradingbook_MSB[[#This Row],[Mod Dur]])</f>
        <v>0</v>
      </c>
      <c r="AO341" s="71">
        <f>IF(Tradingbook_MSB[[#This Row],[Quantity_edited]]=0,0,Tradingbook_MSB[[#This Row],[Cnvx.]])</f>
        <v>0</v>
      </c>
      <c r="AP341" s="71">
        <f>(Tradingbook_MSB[[#This Row],[MARKET_VALUE]]+Tradingbook_MSB[[#This Row],[Accr Int]]*Tradingbook_MSB[[#This Row],[Quantity_edited]])*(-Tradingbook_MSB[[#This Row],[Modified Duration]]*0.0001+0.5*Tradingbook_MSB[[#This Row],[Conv]]*(0.0001^2))</f>
        <v>0</v>
      </c>
      <c r="AQ341" s="72">
        <f>(Tradingbook_MSB[[#This Row],[MARKET_VALUE]]+Tradingbook_MSB[[#This Row],[Accr Int]]*Tradingbook_MSB[[#This Row],[Quantity_edited]])*(-Tradingbook_MSB[[#This Row],[Modified Duration]]*0.01+0.5*Tradingbook_MSB[[#This Row],[Conv]]*(0.01^2))</f>
        <v>0</v>
      </c>
      <c r="AR341" s="71"/>
      <c r="CL341" t="s">
        <v>166</v>
      </c>
      <c r="CM341" t="s">
        <v>167</v>
      </c>
      <c r="CN341" t="s">
        <v>534</v>
      </c>
      <c r="CO341" t="s">
        <v>169</v>
      </c>
      <c r="CP341" s="35">
        <v>45451</v>
      </c>
      <c r="CQ341" t="s">
        <v>3322</v>
      </c>
      <c r="CR341" t="s">
        <v>174</v>
      </c>
      <c r="CS341" t="s">
        <v>174</v>
      </c>
      <c r="CT341" s="49">
        <v>0</v>
      </c>
      <c r="CU341">
        <v>0</v>
      </c>
      <c r="CV341">
        <v>0</v>
      </c>
      <c r="CW341" s="70">
        <v>0</v>
      </c>
      <c r="CX341">
        <v>5.3</v>
      </c>
      <c r="CY341">
        <v>0</v>
      </c>
      <c r="CZ341">
        <v>13250000000</v>
      </c>
      <c r="DA341">
        <v>14499395500.000019</v>
      </c>
      <c r="DB341">
        <v>-5564264557.0833931</v>
      </c>
      <c r="DC341">
        <v>5.3</v>
      </c>
      <c r="DD341">
        <v>0</v>
      </c>
      <c r="DE341">
        <v>0</v>
      </c>
      <c r="DF341">
        <v>0</v>
      </c>
      <c r="DG341">
        <v>0</v>
      </c>
      <c r="DH341">
        <v>0</v>
      </c>
      <c r="DI341">
        <v>0</v>
      </c>
      <c r="DJ341" s="500">
        <v>-466500000</v>
      </c>
      <c r="DK341" s="500">
        <v>0</v>
      </c>
      <c r="DL341" s="37">
        <v>-466500000</v>
      </c>
      <c r="DM341" s="37">
        <v>-466500000</v>
      </c>
      <c r="DN341" s="37">
        <v>-466500000</v>
      </c>
      <c r="DO341" s="37">
        <v>-466500000</v>
      </c>
      <c r="DP341" s="32">
        <f>Tradingbook_SBV[[#This Row],[Mat. Date]]-RPT</f>
        <v>-801</v>
      </c>
      <c r="DQ341" s="32">
        <f>IF(Tradingbook_SBV[[#This Row],[Days]]&lt;=0,0,YEARFRAC(RPT,Tradingbook_SBV[[#This Row],[Mat. Date]],3))</f>
        <v>0</v>
      </c>
      <c r="DR341" s="32">
        <f>IF(Tradingbook_SBV[[#This Row],[Days (year)]]=0,0,INDEX(Ref!$K$2:$K$13,MATCH(Tradingbook_SBV[[#This Row],[Days (year)]],Ref!$I$2:$I$13,1)))</f>
        <v>0</v>
      </c>
      <c r="DS341" s="32" t="str">
        <f>VLOOKUP(Tradingbook_SBV[[#This Row],[Security Name]],Ref!X:Z,3,0)</f>
        <v>TPCP</v>
      </c>
      <c r="DT341" s="32" t="str">
        <f>VLOOKUP(Tradingbook_SBV[[#This Row],[Security Name]],Ref!X:Y,2,0)</f>
        <v>KBNN</v>
      </c>
      <c r="DU341" s="71">
        <f>IF((Tradingbook_SBV[[#This Row],[Mat. Date]]-RPT)&lt;=0,0,Tradingbook_SBV[[#This Row],[QUANTITY]])</f>
        <v>0</v>
      </c>
      <c r="DV341" s="71">
        <f>IF(Tradingbook_SBV[[#This Row],[Quantity_edited]]=0,0,Tradingbook_SBV[[#This Row],[DURATION]])</f>
        <v>0</v>
      </c>
      <c r="DW341" s="71">
        <f>IF(Tradingbook_SBV[[#This Row],[Quantity_edited]]=0,0,Tradingbook_SBV[[#This Row],[Mod Dur]])</f>
        <v>0</v>
      </c>
      <c r="DX341" s="71">
        <f>IF(Tradingbook_SBV[[#This Row],[Quantity_edited]]=0,0,Tradingbook_SBV[[#This Row],[Cnvx.]])</f>
        <v>0</v>
      </c>
      <c r="DY341" s="71">
        <f>(Tradingbook_SBV[[#This Row],[MARKET_VALUE]]+Tradingbook_SBV[[#This Row],[Accr Int]]*Tradingbook_SBV[[#This Row],[Quantity_edited]])*(-Tradingbook_SBV[[#This Row],[Modified Duration]]*0.0001+0.5*Tradingbook_SBV[[#This Row],[Conv]]*(0.0001^2))</f>
        <v>0</v>
      </c>
      <c r="DZ341" s="71">
        <f>(Tradingbook_SBV[[#This Row],[MARKET_VALUE]]+Tradingbook_SBV[[#This Row],[Accr Int]]*Tradingbook_SBV[[#This Row],[Quantity_edited]])*(-Tradingbook_SBV[[#This Row],[Modified Duration]]*0.01+0.5*Tradingbook_SBV[[#This Row],[Conv]]*(0.01^2))</f>
        <v>0</v>
      </c>
      <c r="EC341" t="s">
        <v>166</v>
      </c>
      <c r="ED341" t="s">
        <v>3303</v>
      </c>
      <c r="EE341" t="s">
        <v>2741</v>
      </c>
      <c r="EF341" t="s">
        <v>169</v>
      </c>
      <c r="EG341" s="35" t="s">
        <v>3471</v>
      </c>
      <c r="EH341" t="s">
        <v>170</v>
      </c>
      <c r="EI341" s="500">
        <v>84678</v>
      </c>
      <c r="EJ341" s="500">
        <v>84678</v>
      </c>
      <c r="EK341" s="500">
        <v>8500000</v>
      </c>
      <c r="EL341" s="500">
        <v>850000000000</v>
      </c>
      <c r="EM341" s="500">
        <v>100260.355</v>
      </c>
      <c r="EN341" s="500">
        <v>719763000000</v>
      </c>
      <c r="EO341">
        <v>2.8</v>
      </c>
      <c r="EP341">
        <v>437</v>
      </c>
      <c r="EQ341">
        <v>60275000000</v>
      </c>
      <c r="ER341">
        <v>63227878715.277809</v>
      </c>
      <c r="ES341">
        <v>-79582341004.513916</v>
      </c>
      <c r="ET341">
        <v>4.4958650389999999</v>
      </c>
      <c r="EU341">
        <v>9.5933399052079</v>
      </c>
      <c r="EV341">
        <v>10.02464352</v>
      </c>
      <c r="EW341">
        <v>111.465403856297</v>
      </c>
      <c r="EX341">
        <v>806427.11718444095</v>
      </c>
      <c r="EY341">
        <v>-694056.55712700798</v>
      </c>
      <c r="EZ341">
        <v>87174.013999999996</v>
      </c>
      <c r="FA341">
        <v>-3889481308.4116321</v>
      </c>
      <c r="FB341">
        <v>-132450018691.58881</v>
      </c>
      <c r="FC341">
        <v>-136339500000.00044</v>
      </c>
      <c r="FD341">
        <v>-136339500000.00044</v>
      </c>
      <c r="FE341">
        <v>-136339500000</v>
      </c>
      <c r="FF341">
        <v>-136339500000.00044</v>
      </c>
      <c r="FG341" s="32">
        <f>Bankingbook_SBV[[#This Row],[Mat. Date]]-RPT</f>
        <v>4326</v>
      </c>
      <c r="FH341" s="32">
        <f>IF(Bankingbook_SBV[[#This Row],[Days]]&lt;=0,0,YEARFRAC(RPT,Bankingbook_SBV[[#This Row],[Mat. Date]],3))</f>
        <v>11.852054794520548</v>
      </c>
      <c r="FI341" s="32" t="str">
        <f>IF(Bankingbook_SBV[[#This Row],[Days (year)]]=0,0,INDEX(Ref!$K$2:$K$13,MATCH(Bankingbook_SBV[[#This Row],[Days (year)]],Ref!$I$2:$I$13,1)))</f>
        <v>15Y</v>
      </c>
      <c r="FJ341" s="32" t="str">
        <f>VLOOKUP(Bankingbook_SBV[[#This Row],[Security Name]],Ref!X:Z,3,0)</f>
        <v>TPCP</v>
      </c>
      <c r="FK341" s="32" t="str">
        <f>VLOOKUP(Bankingbook_SBV[[#This Row],[Security Name]],Ref!X:Y,2,0)</f>
        <v>KBNN</v>
      </c>
      <c r="FL341" s="72">
        <f>IF((Bankingbook_SBV[[#This Row],[Mat. Date]]-RPT)&lt;=0,0,Bankingbook_SBV[[#This Row],[QUANTITY]])</f>
        <v>8500000</v>
      </c>
      <c r="FM341" s="32">
        <f>IF(Bankingbook_SBV[[#This Row],[Quantity_edited]]=0,0,Bankingbook_SBV[[#This Row],[DURATION]])</f>
        <v>10.02464352</v>
      </c>
      <c r="FN341" s="32">
        <f>IF(Bankingbook_SBV[[#This Row],[Quantity_edited]]=0,0,Bankingbook_SBV[[#This Row],[Mod Dur]])</f>
        <v>9.5933399052079</v>
      </c>
      <c r="FO341" s="32">
        <f>IF(Bankingbook_SBV[[#This Row],[Quantity_edited]]=0,0,Bankingbook_SBV[[#This Row],[Cnvx.]])</f>
        <v>111.465403856297</v>
      </c>
      <c r="FP341" s="32">
        <f>(Bankingbook_SBV[[#This Row],[MARKET_VALUE]]+Bankingbook_SBV[[#This Row],[Accr Int]]*Bankingbook_SBV[[#This Row],[Quantity_edited]])*(-Bankingbook_SBV[[#This Row],[Modified Duration]]*0.0001+0.5*Bankingbook_SBV[[#This Row],[Conv]]*(0.0001^2))</f>
        <v>-693653343.56841278</v>
      </c>
      <c r="FQ341" s="32">
        <f>(Bankingbook_SBV[[#This Row],[MARKET_VALUE]]+Bankingbook_SBV[[#This Row],[Accr Int]]*Bankingbook_SBV[[#This Row],[Quantity_edited]])*(-Bankingbook_SBV[[#This Row],[Modified Duration]]*0.01+0.5*Bankingbook_SBV[[#This Row],[Conv]]*(0.01^2))</f>
        <v>-65373520126.778275</v>
      </c>
    </row>
    <row r="342" spans="2:173" x14ac:dyDescent="0.3">
      <c r="B342" t="s">
        <v>166</v>
      </c>
      <c r="C342" t="s">
        <v>167</v>
      </c>
      <c r="D342" t="s">
        <v>530</v>
      </c>
      <c r="E342" t="s">
        <v>169</v>
      </c>
      <c r="F342" s="502">
        <v>45353</v>
      </c>
      <c r="G342" t="s">
        <v>3322</v>
      </c>
      <c r="H342"/>
      <c r="I342"/>
      <c r="J342" s="38">
        <v>0</v>
      </c>
      <c r="K342">
        <v>0</v>
      </c>
      <c r="L342">
        <v>0</v>
      </c>
      <c r="M342" s="38">
        <v>0</v>
      </c>
      <c r="N342">
        <v>5.3</v>
      </c>
      <c r="O342">
        <v>0</v>
      </c>
      <c r="P342" s="37">
        <v>5300000000</v>
      </c>
      <c r="Q342" s="37">
        <v>5819779465.2777367</v>
      </c>
      <c r="R342" s="37">
        <v>-4250977479.8611164</v>
      </c>
      <c r="S342">
        <v>5.3</v>
      </c>
      <c r="T342" s="70">
        <v>0</v>
      </c>
      <c r="U342">
        <v>0</v>
      </c>
      <c r="V342">
        <v>0</v>
      </c>
      <c r="W342">
        <v>0</v>
      </c>
      <c r="X342" s="38">
        <v>0</v>
      </c>
      <c r="Y342">
        <v>0</v>
      </c>
      <c r="Z342" s="70">
        <v>1836000000</v>
      </c>
      <c r="AA342" s="70">
        <v>0</v>
      </c>
      <c r="AB342" s="70">
        <v>1836000000</v>
      </c>
      <c r="AC342" s="70">
        <v>1836000000</v>
      </c>
      <c r="AD342" s="70">
        <v>1836000000</v>
      </c>
      <c r="AE342" s="70">
        <v>1836000000</v>
      </c>
      <c r="AF342">
        <v>0</v>
      </c>
      <c r="AG342" s="72">
        <f>Tradingbook_MSB[[#This Row],[Mat. Date]]-RPT</f>
        <v>-899</v>
      </c>
      <c r="AH342" s="71">
        <f>IF(Tradingbook_MSB[[#This Row],[Days]]&lt;=0,0,YEARFRAC(RPT,Tradingbook_MSB[[#This Row],[Mat. Date]],3))</f>
        <v>0</v>
      </c>
      <c r="AI342" s="71">
        <f>IF(Tradingbook_MSB[[#This Row],[Days (year)]]=0,0,INDEX(Ref!$K$2:$K$13,MATCH(Tradingbook_MSB[[#This Row],[Days (year)]],Ref!$I$2:$I$13,1)))</f>
        <v>0</v>
      </c>
      <c r="AJ342" s="120" t="str">
        <f>VLOOKUP(Tradingbook_MSB[[#This Row],[Security Name]],Ref!X:Z,3,0)</f>
        <v>TPCP</v>
      </c>
      <c r="AK342" s="120" t="str">
        <f>VLOOKUP(Tradingbook_MSB[[#This Row],[Security Name]],Ref!X:Y,2,0)</f>
        <v>KBNN</v>
      </c>
      <c r="AL342" s="71">
        <f>IF((Tradingbook_MSB[[#This Row],[Mat. Date]]-RPT)&lt;=0,0,Tradingbook_MSB[[#This Row],[QUANTITY]])</f>
        <v>0</v>
      </c>
      <c r="AM342" s="71">
        <f>IF(Tradingbook_MSB[[#This Row],[Quantity_edited]]=0,0,Tradingbook_MSB[[#This Row],[DURATION]])</f>
        <v>0</v>
      </c>
      <c r="AN342" s="71">
        <f>IF(Tradingbook_MSB[[#This Row],[Quantity_edited]]=0,0,Tradingbook_MSB[[#This Row],[Mod Dur]])</f>
        <v>0</v>
      </c>
      <c r="AO342" s="71">
        <f>IF(Tradingbook_MSB[[#This Row],[Quantity_edited]]=0,0,Tradingbook_MSB[[#This Row],[Cnvx.]])</f>
        <v>0</v>
      </c>
      <c r="AP342" s="71">
        <f>(Tradingbook_MSB[[#This Row],[MARKET_VALUE]]+Tradingbook_MSB[[#This Row],[Accr Int]]*Tradingbook_MSB[[#This Row],[Quantity_edited]])*(-Tradingbook_MSB[[#This Row],[Modified Duration]]*0.0001+0.5*Tradingbook_MSB[[#This Row],[Conv]]*(0.0001^2))</f>
        <v>0</v>
      </c>
      <c r="AQ342" s="72">
        <f>(Tradingbook_MSB[[#This Row],[MARKET_VALUE]]+Tradingbook_MSB[[#This Row],[Accr Int]]*Tradingbook_MSB[[#This Row],[Quantity_edited]])*(-Tradingbook_MSB[[#This Row],[Modified Duration]]*0.01+0.5*Tradingbook_MSB[[#This Row],[Conv]]*(0.01^2))</f>
        <v>0</v>
      </c>
      <c r="AR342" s="71"/>
      <c r="CL342" t="s">
        <v>166</v>
      </c>
      <c r="CM342" t="s">
        <v>167</v>
      </c>
      <c r="CN342" t="s">
        <v>535</v>
      </c>
      <c r="CO342" t="s">
        <v>169</v>
      </c>
      <c r="CP342" s="35">
        <v>45479</v>
      </c>
      <c r="CQ342" t="s">
        <v>3322</v>
      </c>
      <c r="CR342" t="s">
        <v>174</v>
      </c>
      <c r="CS342" t="s">
        <v>174</v>
      </c>
      <c r="CT342" s="49">
        <v>0</v>
      </c>
      <c r="CU342">
        <v>0</v>
      </c>
      <c r="CV342">
        <v>0</v>
      </c>
      <c r="CW342" s="70">
        <v>0</v>
      </c>
      <c r="CX342">
        <v>5.0999999999999996</v>
      </c>
      <c r="CY342">
        <v>0</v>
      </c>
      <c r="CZ342">
        <v>7650000000</v>
      </c>
      <c r="DA342">
        <v>8600356312.4999943</v>
      </c>
      <c r="DB342">
        <v>-5228925921.0514021</v>
      </c>
      <c r="DC342">
        <v>5.0999999999999996</v>
      </c>
      <c r="DD342">
        <v>0</v>
      </c>
      <c r="DE342">
        <v>0</v>
      </c>
      <c r="DF342">
        <v>0</v>
      </c>
      <c r="DG342">
        <v>0</v>
      </c>
      <c r="DH342">
        <v>0</v>
      </c>
      <c r="DI342">
        <v>0</v>
      </c>
      <c r="DJ342" s="500">
        <v>759870000</v>
      </c>
      <c r="DK342" s="500">
        <v>0</v>
      </c>
      <c r="DL342" s="37">
        <v>759870000</v>
      </c>
      <c r="DM342" s="37">
        <v>759870000</v>
      </c>
      <c r="DN342" s="37">
        <v>759870000</v>
      </c>
      <c r="DO342" s="37">
        <v>759870000</v>
      </c>
      <c r="DP342" s="32">
        <f>Tradingbook_SBV[[#This Row],[Mat. Date]]-RPT</f>
        <v>-773</v>
      </c>
      <c r="DQ342" s="32">
        <f>IF(Tradingbook_SBV[[#This Row],[Days]]&lt;=0,0,YEARFRAC(RPT,Tradingbook_SBV[[#This Row],[Mat. Date]],3))</f>
        <v>0</v>
      </c>
      <c r="DR342" s="32">
        <f>IF(Tradingbook_SBV[[#This Row],[Days (year)]]=0,0,INDEX(Ref!$K$2:$K$13,MATCH(Tradingbook_SBV[[#This Row],[Days (year)]],Ref!$I$2:$I$13,1)))</f>
        <v>0</v>
      </c>
      <c r="DS342" s="32" t="str">
        <f>VLOOKUP(Tradingbook_SBV[[#This Row],[Security Name]],Ref!X:Z,3,0)</f>
        <v>TPCP</v>
      </c>
      <c r="DT342" s="32" t="str">
        <f>VLOOKUP(Tradingbook_SBV[[#This Row],[Security Name]],Ref!X:Y,2,0)</f>
        <v>KBNN</v>
      </c>
      <c r="DU342" s="71">
        <f>IF((Tradingbook_SBV[[#This Row],[Mat. Date]]-RPT)&lt;=0,0,Tradingbook_SBV[[#This Row],[QUANTITY]])</f>
        <v>0</v>
      </c>
      <c r="DV342" s="71">
        <f>IF(Tradingbook_SBV[[#This Row],[Quantity_edited]]=0,0,Tradingbook_SBV[[#This Row],[DURATION]])</f>
        <v>0</v>
      </c>
      <c r="DW342" s="71">
        <f>IF(Tradingbook_SBV[[#This Row],[Quantity_edited]]=0,0,Tradingbook_SBV[[#This Row],[Mod Dur]])</f>
        <v>0</v>
      </c>
      <c r="DX342" s="71">
        <f>IF(Tradingbook_SBV[[#This Row],[Quantity_edited]]=0,0,Tradingbook_SBV[[#This Row],[Cnvx.]])</f>
        <v>0</v>
      </c>
      <c r="DY342" s="71">
        <f>(Tradingbook_SBV[[#This Row],[MARKET_VALUE]]+Tradingbook_SBV[[#This Row],[Accr Int]]*Tradingbook_SBV[[#This Row],[Quantity_edited]])*(-Tradingbook_SBV[[#This Row],[Modified Duration]]*0.0001+0.5*Tradingbook_SBV[[#This Row],[Conv]]*(0.0001^2))</f>
        <v>0</v>
      </c>
      <c r="DZ342" s="71">
        <f>(Tradingbook_SBV[[#This Row],[MARKET_VALUE]]+Tradingbook_SBV[[#This Row],[Accr Int]]*Tradingbook_SBV[[#This Row],[Quantity_edited]])*(-Tradingbook_SBV[[#This Row],[Modified Duration]]*0.01+0.5*Tradingbook_SBV[[#This Row],[Conv]]*(0.01^2))</f>
        <v>0</v>
      </c>
      <c r="EC342" t="s">
        <v>166</v>
      </c>
      <c r="ED342" t="s">
        <v>3303</v>
      </c>
      <c r="EE342" t="s">
        <v>2786</v>
      </c>
      <c r="EF342" t="s">
        <v>169</v>
      </c>
      <c r="EG342" s="35" t="s">
        <v>2787</v>
      </c>
      <c r="EH342" t="s">
        <v>170</v>
      </c>
      <c r="EI342" s="500">
        <v>82446</v>
      </c>
      <c r="EJ342" s="500">
        <v>82446</v>
      </c>
      <c r="EK342" s="500">
        <v>4500000</v>
      </c>
      <c r="EL342" s="500">
        <v>450000000000</v>
      </c>
      <c r="EM342" s="500">
        <v>98786.894</v>
      </c>
      <c r="EN342" s="500">
        <v>371007000000</v>
      </c>
      <c r="EO342">
        <v>2.6</v>
      </c>
      <c r="EP342">
        <v>2158</v>
      </c>
      <c r="EQ342">
        <v>19500000000</v>
      </c>
      <c r="ER342">
        <v>20760350000.000015</v>
      </c>
      <c r="ES342">
        <v>-39971222725.694527</v>
      </c>
      <c r="ET342">
        <v>4.5043266329999998</v>
      </c>
      <c r="EU342">
        <v>9.6925601503940992</v>
      </c>
      <c r="EV342">
        <v>10.129144719999999</v>
      </c>
      <c r="EW342">
        <v>115.6562787559466</v>
      </c>
      <c r="EX342">
        <v>440324.27135406493</v>
      </c>
      <c r="EY342">
        <v>-369013.21153377398</v>
      </c>
      <c r="EZ342">
        <v>45958.343999999997</v>
      </c>
      <c r="FA342">
        <v>-3410477272.7272792</v>
      </c>
      <c r="FB342">
        <v>-73534022727.27272</v>
      </c>
      <c r="FC342">
        <v>-76944500000</v>
      </c>
      <c r="FD342">
        <v>-76944500000</v>
      </c>
      <c r="FE342">
        <v>-76944500000</v>
      </c>
      <c r="FF342">
        <v>-76944500000</v>
      </c>
      <c r="FG342" s="32">
        <f>Bankingbook_SBV[[#This Row],[Mat. Date]]-RPT</f>
        <v>4445</v>
      </c>
      <c r="FH342" s="32">
        <f>IF(Bankingbook_SBV[[#This Row],[Days]]&lt;=0,0,YEARFRAC(RPT,Bankingbook_SBV[[#This Row],[Mat. Date]],3))</f>
        <v>12.178082191780822</v>
      </c>
      <c r="FI342" s="32" t="str">
        <f>IF(Bankingbook_SBV[[#This Row],[Days (year)]]=0,0,INDEX(Ref!$K$2:$K$13,MATCH(Bankingbook_SBV[[#This Row],[Days (year)]],Ref!$I$2:$I$13,1)))</f>
        <v>15Y</v>
      </c>
      <c r="FJ342" s="32" t="str">
        <f>VLOOKUP(Bankingbook_SBV[[#This Row],[Security Name]],Ref!X:Z,3,0)</f>
        <v>TPCP</v>
      </c>
      <c r="FK342" s="32" t="str">
        <f>VLOOKUP(Bankingbook_SBV[[#This Row],[Security Name]],Ref!X:Y,2,0)</f>
        <v>KBNN</v>
      </c>
      <c r="FL342" s="72">
        <f>IF((Bankingbook_SBV[[#This Row],[Mat. Date]]-RPT)&lt;=0,0,Bankingbook_SBV[[#This Row],[QUANTITY]])</f>
        <v>4500000</v>
      </c>
      <c r="FM342" s="32">
        <f>IF(Bankingbook_SBV[[#This Row],[Quantity_edited]]=0,0,Bankingbook_SBV[[#This Row],[DURATION]])</f>
        <v>10.129144719999999</v>
      </c>
      <c r="FN342" s="32">
        <f>IF(Bankingbook_SBV[[#This Row],[Quantity_edited]]=0,0,Bankingbook_SBV[[#This Row],[Mod Dur]])</f>
        <v>9.6925601503940992</v>
      </c>
      <c r="FO342" s="32">
        <f>IF(Bankingbook_SBV[[#This Row],[Quantity_edited]]=0,0,Bankingbook_SBV[[#This Row],[Cnvx.]])</f>
        <v>115.6562787559466</v>
      </c>
      <c r="FP342" s="32">
        <f>(Bankingbook_SBV[[#This Row],[MARKET_VALUE]]+Bankingbook_SBV[[#This Row],[Accr Int]]*Bankingbook_SBV[[#This Row],[Quantity_edited]])*(-Bankingbook_SBV[[#This Row],[Modified Duration]]*0.0001+0.5*Bankingbook_SBV[[#This Row],[Conv]]*(0.0001^2))</f>
        <v>-368793049.3980971</v>
      </c>
      <c r="FQ342" s="32">
        <f>(Bankingbook_SBV[[#This Row],[MARKET_VALUE]]+Bankingbook_SBV[[#This Row],[Accr Int]]*Bankingbook_SBV[[#This Row],[Quantity_edited]])*(-Bankingbook_SBV[[#This Row],[Modified Duration]]*0.01+0.5*Bankingbook_SBV[[#This Row],[Conv]]*(0.01^2))</f>
        <v>-34699699796.607086</v>
      </c>
    </row>
    <row r="343" spans="2:173" x14ac:dyDescent="0.3">
      <c r="B343" t="s">
        <v>166</v>
      </c>
      <c r="C343" t="s">
        <v>167</v>
      </c>
      <c r="D343" t="s">
        <v>531</v>
      </c>
      <c r="E343" t="s">
        <v>169</v>
      </c>
      <c r="F343" s="502">
        <v>45374</v>
      </c>
      <c r="G343" t="s">
        <v>3322</v>
      </c>
      <c r="H343"/>
      <c r="I343"/>
      <c r="J343" s="38">
        <v>0</v>
      </c>
      <c r="K343">
        <v>0</v>
      </c>
      <c r="L343">
        <v>0</v>
      </c>
      <c r="M343" s="38">
        <v>0</v>
      </c>
      <c r="N343">
        <v>5.4</v>
      </c>
      <c r="O343">
        <v>0</v>
      </c>
      <c r="P343" s="37">
        <v>5400000000</v>
      </c>
      <c r="Q343" s="37">
        <v>5883496874.999999</v>
      </c>
      <c r="R343" s="37">
        <v>-3363799629.4444661</v>
      </c>
      <c r="S343">
        <v>5.4</v>
      </c>
      <c r="T343" s="70">
        <v>0</v>
      </c>
      <c r="U343">
        <v>0</v>
      </c>
      <c r="V343">
        <v>0</v>
      </c>
      <c r="W343">
        <v>0</v>
      </c>
      <c r="X343" s="38">
        <v>0</v>
      </c>
      <c r="Y343">
        <v>0</v>
      </c>
      <c r="Z343" s="70">
        <v>5745000000</v>
      </c>
      <c r="AA343" s="70">
        <v>0</v>
      </c>
      <c r="AB343" s="70">
        <v>5745000000</v>
      </c>
      <c r="AC343" s="70">
        <v>5745000000</v>
      </c>
      <c r="AD343" s="70">
        <v>5745000000</v>
      </c>
      <c r="AE343" s="70">
        <v>5745000000</v>
      </c>
      <c r="AF343">
        <v>0</v>
      </c>
      <c r="AG343" s="72">
        <f>Tradingbook_MSB[[#This Row],[Mat. Date]]-RPT</f>
        <v>-878</v>
      </c>
      <c r="AH343" s="71">
        <f>IF(Tradingbook_MSB[[#This Row],[Days]]&lt;=0,0,YEARFRAC(RPT,Tradingbook_MSB[[#This Row],[Mat. Date]],3))</f>
        <v>0</v>
      </c>
      <c r="AI343" s="71">
        <f>IF(Tradingbook_MSB[[#This Row],[Days (year)]]=0,0,INDEX(Ref!$K$2:$K$13,MATCH(Tradingbook_MSB[[#This Row],[Days (year)]],Ref!$I$2:$I$13,1)))</f>
        <v>0</v>
      </c>
      <c r="AJ343" s="120" t="str">
        <f>VLOOKUP(Tradingbook_MSB[[#This Row],[Security Name]],Ref!X:Z,3,0)</f>
        <v>TPCP</v>
      </c>
      <c r="AK343" s="120" t="str">
        <f>VLOOKUP(Tradingbook_MSB[[#This Row],[Security Name]],Ref!X:Y,2,0)</f>
        <v>KBNN</v>
      </c>
      <c r="AL343" s="71">
        <f>IF((Tradingbook_MSB[[#This Row],[Mat. Date]]-RPT)&lt;=0,0,Tradingbook_MSB[[#This Row],[QUANTITY]])</f>
        <v>0</v>
      </c>
      <c r="AM343" s="71">
        <f>IF(Tradingbook_MSB[[#This Row],[Quantity_edited]]=0,0,Tradingbook_MSB[[#This Row],[DURATION]])</f>
        <v>0</v>
      </c>
      <c r="AN343" s="71">
        <f>IF(Tradingbook_MSB[[#This Row],[Quantity_edited]]=0,0,Tradingbook_MSB[[#This Row],[Mod Dur]])</f>
        <v>0</v>
      </c>
      <c r="AO343" s="71">
        <f>IF(Tradingbook_MSB[[#This Row],[Quantity_edited]]=0,0,Tradingbook_MSB[[#This Row],[Cnvx.]])</f>
        <v>0</v>
      </c>
      <c r="AP343" s="71">
        <f>(Tradingbook_MSB[[#This Row],[MARKET_VALUE]]+Tradingbook_MSB[[#This Row],[Accr Int]]*Tradingbook_MSB[[#This Row],[Quantity_edited]])*(-Tradingbook_MSB[[#This Row],[Modified Duration]]*0.0001+0.5*Tradingbook_MSB[[#This Row],[Conv]]*(0.0001^2))</f>
        <v>0</v>
      </c>
      <c r="AQ343" s="72">
        <f>(Tradingbook_MSB[[#This Row],[MARKET_VALUE]]+Tradingbook_MSB[[#This Row],[Accr Int]]*Tradingbook_MSB[[#This Row],[Quantity_edited]])*(-Tradingbook_MSB[[#This Row],[Modified Duration]]*0.01+0.5*Tradingbook_MSB[[#This Row],[Conv]]*(0.01^2))</f>
        <v>0</v>
      </c>
      <c r="AR343" s="71"/>
      <c r="CL343" t="s">
        <v>166</v>
      </c>
      <c r="CM343" t="s">
        <v>167</v>
      </c>
      <c r="CN343" t="s">
        <v>536</v>
      </c>
      <c r="CO343" t="s">
        <v>169</v>
      </c>
      <c r="CP343" s="35">
        <v>45535</v>
      </c>
      <c r="CQ343" t="s">
        <v>3322</v>
      </c>
      <c r="CR343" t="s">
        <v>174</v>
      </c>
      <c r="CS343" t="s">
        <v>174</v>
      </c>
      <c r="CT343" s="49">
        <v>0</v>
      </c>
      <c r="CU343">
        <v>0</v>
      </c>
      <c r="CV343">
        <v>0</v>
      </c>
      <c r="CW343" s="70">
        <v>0</v>
      </c>
      <c r="CX343">
        <v>7.8</v>
      </c>
      <c r="CY343">
        <v>0</v>
      </c>
      <c r="CZ343">
        <v>3900000000</v>
      </c>
      <c r="DA343">
        <v>4369518291.6670675</v>
      </c>
      <c r="DB343">
        <v>-6099027943.4726896</v>
      </c>
      <c r="DC343">
        <v>7.8</v>
      </c>
      <c r="DD343">
        <v>0</v>
      </c>
      <c r="DE343">
        <v>0</v>
      </c>
      <c r="DF343">
        <v>0</v>
      </c>
      <c r="DG343">
        <v>0</v>
      </c>
      <c r="DH343">
        <v>0</v>
      </c>
      <c r="DI343">
        <v>0</v>
      </c>
      <c r="DJ343" s="500">
        <v>693000000</v>
      </c>
      <c r="DK343" s="500">
        <v>0</v>
      </c>
      <c r="DL343" s="37">
        <v>693000000</v>
      </c>
      <c r="DM343" s="37">
        <v>693000000</v>
      </c>
      <c r="DN343" s="37">
        <v>693000000</v>
      </c>
      <c r="DO343" s="37">
        <v>693000000</v>
      </c>
      <c r="DP343" s="32">
        <f>Tradingbook_SBV[[#This Row],[Mat. Date]]-RPT</f>
        <v>-717</v>
      </c>
      <c r="DQ343" s="32">
        <f>IF(Tradingbook_SBV[[#This Row],[Days]]&lt;=0,0,YEARFRAC(RPT,Tradingbook_SBV[[#This Row],[Mat. Date]],3))</f>
        <v>0</v>
      </c>
      <c r="DR343" s="32">
        <f>IF(Tradingbook_SBV[[#This Row],[Days (year)]]=0,0,INDEX(Ref!$K$2:$K$13,MATCH(Tradingbook_SBV[[#This Row],[Days (year)]],Ref!$I$2:$I$13,1)))</f>
        <v>0</v>
      </c>
      <c r="DS343" s="32" t="str">
        <f>VLOOKUP(Tradingbook_SBV[[#This Row],[Security Name]],Ref!X:Z,3,0)</f>
        <v>TPCP</v>
      </c>
      <c r="DT343" s="32" t="str">
        <f>VLOOKUP(Tradingbook_SBV[[#This Row],[Security Name]],Ref!X:Y,2,0)</f>
        <v>KBNN</v>
      </c>
      <c r="DU343" s="71">
        <f>IF((Tradingbook_SBV[[#This Row],[Mat. Date]]-RPT)&lt;=0,0,Tradingbook_SBV[[#This Row],[QUANTITY]])</f>
        <v>0</v>
      </c>
      <c r="DV343" s="71">
        <f>IF(Tradingbook_SBV[[#This Row],[Quantity_edited]]=0,0,Tradingbook_SBV[[#This Row],[DURATION]])</f>
        <v>0</v>
      </c>
      <c r="DW343" s="71">
        <f>IF(Tradingbook_SBV[[#This Row],[Quantity_edited]]=0,0,Tradingbook_SBV[[#This Row],[Mod Dur]])</f>
        <v>0</v>
      </c>
      <c r="DX343" s="71">
        <f>IF(Tradingbook_SBV[[#This Row],[Quantity_edited]]=0,0,Tradingbook_SBV[[#This Row],[Cnvx.]])</f>
        <v>0</v>
      </c>
      <c r="DY343" s="71">
        <f>(Tradingbook_SBV[[#This Row],[MARKET_VALUE]]+Tradingbook_SBV[[#This Row],[Accr Int]]*Tradingbook_SBV[[#This Row],[Quantity_edited]])*(-Tradingbook_SBV[[#This Row],[Modified Duration]]*0.0001+0.5*Tradingbook_SBV[[#This Row],[Conv]]*(0.0001^2))</f>
        <v>0</v>
      </c>
      <c r="DZ343" s="71">
        <f>(Tradingbook_SBV[[#This Row],[MARKET_VALUE]]+Tradingbook_SBV[[#This Row],[Accr Int]]*Tradingbook_SBV[[#This Row],[Quantity_edited]])*(-Tradingbook_SBV[[#This Row],[Modified Duration]]*0.01+0.5*Tradingbook_SBV[[#This Row],[Conv]]*(0.01^2))</f>
        <v>0</v>
      </c>
      <c r="EC343" t="s">
        <v>166</v>
      </c>
      <c r="ED343" t="s">
        <v>3303</v>
      </c>
      <c r="EE343" t="s">
        <v>2800</v>
      </c>
      <c r="EF343" t="s">
        <v>169</v>
      </c>
      <c r="EG343" s="35" t="s">
        <v>3473</v>
      </c>
      <c r="EH343" t="s">
        <v>170</v>
      </c>
      <c r="EI343" s="500">
        <v>79340</v>
      </c>
      <c r="EJ343" s="500">
        <v>79340</v>
      </c>
      <c r="EK343" s="500">
        <v>6000000</v>
      </c>
      <c r="EL343" s="500">
        <v>600000000000</v>
      </c>
      <c r="EM343" s="500">
        <v>95223.277000000002</v>
      </c>
      <c r="EN343" s="500">
        <v>476040000000</v>
      </c>
      <c r="EO343">
        <v>2.2999999999999998</v>
      </c>
      <c r="EP343">
        <v>1380</v>
      </c>
      <c r="EQ343">
        <v>27600000000</v>
      </c>
      <c r="ER343">
        <v>29184642500.000015</v>
      </c>
      <c r="ES343">
        <v>-57103209029.166687</v>
      </c>
      <c r="ET343">
        <v>4.5103035919999996</v>
      </c>
      <c r="EU343">
        <v>10.0730458643232</v>
      </c>
      <c r="EV343">
        <v>10.527370810000001</v>
      </c>
      <c r="EW343">
        <v>122.80369470974399</v>
      </c>
      <c r="EX343">
        <v>594762.85421823221</v>
      </c>
      <c r="EY343">
        <v>-487857.75730090099</v>
      </c>
      <c r="EZ343">
        <v>58540.548999999999</v>
      </c>
      <c r="FA343">
        <v>-12213838461.538195</v>
      </c>
      <c r="FB343">
        <v>-95299661538.461517</v>
      </c>
      <c r="FC343">
        <v>-107513499999.99971</v>
      </c>
      <c r="FD343">
        <v>-107513499999.99971</v>
      </c>
      <c r="FE343">
        <v>-107513500000</v>
      </c>
      <c r="FF343">
        <v>-107513499999.99971</v>
      </c>
      <c r="FG343" s="32">
        <f>Bankingbook_SBV[[#This Row],[Mat. Date]]-RPT</f>
        <v>4529</v>
      </c>
      <c r="FH343" s="32">
        <f>IF(Bankingbook_SBV[[#This Row],[Days]]&lt;=0,0,YEARFRAC(RPT,Bankingbook_SBV[[#This Row],[Mat. Date]],3))</f>
        <v>12.408219178082192</v>
      </c>
      <c r="FI343" s="32" t="str">
        <f>IF(Bankingbook_SBV[[#This Row],[Days (year)]]=0,0,INDEX(Ref!$K$2:$K$13,MATCH(Bankingbook_SBV[[#This Row],[Days (year)]],Ref!$I$2:$I$13,1)))</f>
        <v>15Y</v>
      </c>
      <c r="FJ343" s="32" t="str">
        <f>VLOOKUP(Bankingbook_SBV[[#This Row],[Security Name]],Ref!X:Z,3,0)</f>
        <v>TPCP</v>
      </c>
      <c r="FK343" s="32" t="str">
        <f>VLOOKUP(Bankingbook_SBV[[#This Row],[Security Name]],Ref!X:Y,2,0)</f>
        <v>KBNN</v>
      </c>
      <c r="FL343" s="72">
        <f>IF((Bankingbook_SBV[[#This Row],[Mat. Date]]-RPT)&lt;=0,0,Bankingbook_SBV[[#This Row],[QUANTITY]])</f>
        <v>6000000</v>
      </c>
      <c r="FM343" s="32">
        <f>IF(Bankingbook_SBV[[#This Row],[Quantity_edited]]=0,0,Bankingbook_SBV[[#This Row],[DURATION]])</f>
        <v>10.527370810000001</v>
      </c>
      <c r="FN343" s="32">
        <f>IF(Bankingbook_SBV[[#This Row],[Quantity_edited]]=0,0,Bankingbook_SBV[[#This Row],[Mod Dur]])</f>
        <v>10.0730458643232</v>
      </c>
      <c r="FO343" s="32">
        <f>IF(Bankingbook_SBV[[#This Row],[Quantity_edited]]=0,0,Bankingbook_SBV[[#This Row],[Cnvx.]])</f>
        <v>122.80369470974399</v>
      </c>
      <c r="FP343" s="32">
        <f>(Bankingbook_SBV[[#This Row],[MARKET_VALUE]]+Bankingbook_SBV[[#This Row],[Accr Int]]*Bankingbook_SBV[[#This Row],[Quantity_edited]])*(-Bankingbook_SBV[[#This Row],[Modified Duration]]*0.0001+0.5*Bankingbook_SBV[[#This Row],[Conv]]*(0.0001^2))</f>
        <v>-487560375.87379211</v>
      </c>
      <c r="FQ343" s="32">
        <f>(Bankingbook_SBV[[#This Row],[MARKET_VALUE]]+Bankingbook_SBV[[#This Row],[Accr Int]]*Bankingbook_SBV[[#This Row],[Quantity_edited]])*(-Bankingbook_SBV[[#This Row],[Modified Duration]]*0.01+0.5*Bankingbook_SBV[[#This Row],[Conv]]*(0.01^2))</f>
        <v>-45811961458.998962</v>
      </c>
    </row>
    <row r="344" spans="2:173" x14ac:dyDescent="0.3">
      <c r="B344" t="s">
        <v>166</v>
      </c>
      <c r="C344" t="s">
        <v>167</v>
      </c>
      <c r="D344" t="s">
        <v>532</v>
      </c>
      <c r="E344" t="s">
        <v>169</v>
      </c>
      <c r="F344" s="502">
        <v>45430</v>
      </c>
      <c r="G344" t="s">
        <v>3322</v>
      </c>
      <c r="H344"/>
      <c r="I344"/>
      <c r="J344" s="38">
        <v>0</v>
      </c>
      <c r="K344">
        <v>0</v>
      </c>
      <c r="L344">
        <v>0</v>
      </c>
      <c r="M344" s="38">
        <v>0</v>
      </c>
      <c r="N344">
        <v>5.4</v>
      </c>
      <c r="O344">
        <v>0</v>
      </c>
      <c r="P344" s="37">
        <v>2700000000</v>
      </c>
      <c r="Q344" s="37">
        <v>3038783625.000031</v>
      </c>
      <c r="R344" s="37">
        <v>-2818265626.0347891</v>
      </c>
      <c r="S344">
        <v>5.4</v>
      </c>
      <c r="T344" s="70">
        <v>0</v>
      </c>
      <c r="U344">
        <v>0</v>
      </c>
      <c r="V344">
        <v>0</v>
      </c>
      <c r="W344">
        <v>0</v>
      </c>
      <c r="X344" s="38">
        <v>0</v>
      </c>
      <c r="Y344">
        <v>0</v>
      </c>
      <c r="Z344" s="70">
        <v>21312200000</v>
      </c>
      <c r="AA344" s="70">
        <v>0</v>
      </c>
      <c r="AB344" s="70">
        <v>21312200000</v>
      </c>
      <c r="AC344" s="70">
        <v>21312200000</v>
      </c>
      <c r="AD344" s="70">
        <v>21312200000</v>
      </c>
      <c r="AE344" s="70">
        <v>21312200000</v>
      </c>
      <c r="AF344">
        <v>0</v>
      </c>
      <c r="AG344" s="72">
        <f>Tradingbook_MSB[[#This Row],[Mat. Date]]-RPT</f>
        <v>-822</v>
      </c>
      <c r="AH344" s="71">
        <f>IF(Tradingbook_MSB[[#This Row],[Days]]&lt;=0,0,YEARFRAC(RPT,Tradingbook_MSB[[#This Row],[Mat. Date]],3))</f>
        <v>0</v>
      </c>
      <c r="AI344" s="71">
        <f>IF(Tradingbook_MSB[[#This Row],[Days (year)]]=0,0,INDEX(Ref!$K$2:$K$13,MATCH(Tradingbook_MSB[[#This Row],[Days (year)]],Ref!$I$2:$I$13,1)))</f>
        <v>0</v>
      </c>
      <c r="AJ344" s="120" t="str">
        <f>VLOOKUP(Tradingbook_MSB[[#This Row],[Security Name]],Ref!X:Z,3,0)</f>
        <v>TPCP</v>
      </c>
      <c r="AK344" s="120" t="str">
        <f>VLOOKUP(Tradingbook_MSB[[#This Row],[Security Name]],Ref!X:Y,2,0)</f>
        <v>KBNN</v>
      </c>
      <c r="AL344" s="71">
        <f>IF((Tradingbook_MSB[[#This Row],[Mat. Date]]-RPT)&lt;=0,0,Tradingbook_MSB[[#This Row],[QUANTITY]])</f>
        <v>0</v>
      </c>
      <c r="AM344" s="71">
        <f>IF(Tradingbook_MSB[[#This Row],[Quantity_edited]]=0,0,Tradingbook_MSB[[#This Row],[DURATION]])</f>
        <v>0</v>
      </c>
      <c r="AN344" s="71">
        <f>IF(Tradingbook_MSB[[#This Row],[Quantity_edited]]=0,0,Tradingbook_MSB[[#This Row],[Mod Dur]])</f>
        <v>0</v>
      </c>
      <c r="AO344" s="71">
        <f>IF(Tradingbook_MSB[[#This Row],[Quantity_edited]]=0,0,Tradingbook_MSB[[#This Row],[Cnvx.]])</f>
        <v>0</v>
      </c>
      <c r="AP344" s="71">
        <f>(Tradingbook_MSB[[#This Row],[MARKET_VALUE]]+Tradingbook_MSB[[#This Row],[Accr Int]]*Tradingbook_MSB[[#This Row],[Quantity_edited]])*(-Tradingbook_MSB[[#This Row],[Modified Duration]]*0.0001+0.5*Tradingbook_MSB[[#This Row],[Conv]]*(0.0001^2))</f>
        <v>0</v>
      </c>
      <c r="AQ344" s="72">
        <f>(Tradingbook_MSB[[#This Row],[MARKET_VALUE]]+Tradingbook_MSB[[#This Row],[Accr Int]]*Tradingbook_MSB[[#This Row],[Quantity_edited]])*(-Tradingbook_MSB[[#This Row],[Modified Duration]]*0.01+0.5*Tradingbook_MSB[[#This Row],[Conv]]*(0.01^2))</f>
        <v>0</v>
      </c>
      <c r="AR344" s="71"/>
      <c r="CL344" t="s">
        <v>166</v>
      </c>
      <c r="CM344" t="s">
        <v>167</v>
      </c>
      <c r="CN344" t="s">
        <v>537</v>
      </c>
      <c r="CO344" t="s">
        <v>169</v>
      </c>
      <c r="CP344" s="35">
        <v>45547</v>
      </c>
      <c r="CQ344" t="s">
        <v>3322</v>
      </c>
      <c r="CR344" t="s">
        <v>174</v>
      </c>
      <c r="CS344" t="s">
        <v>174</v>
      </c>
      <c r="CT344" s="49">
        <v>0</v>
      </c>
      <c r="CU344">
        <v>0</v>
      </c>
      <c r="CV344">
        <v>0</v>
      </c>
      <c r="CW344" s="70">
        <v>0</v>
      </c>
      <c r="CX344">
        <v>3.1</v>
      </c>
      <c r="CY344">
        <v>0</v>
      </c>
      <c r="CZ344">
        <v>0</v>
      </c>
      <c r="DA344">
        <v>0</v>
      </c>
      <c r="DB344">
        <v>-6201494.4444446564</v>
      </c>
      <c r="DC344">
        <v>3.1</v>
      </c>
      <c r="DD344">
        <v>0</v>
      </c>
      <c r="DE344">
        <v>0</v>
      </c>
      <c r="DF344">
        <v>0</v>
      </c>
      <c r="DG344">
        <v>0</v>
      </c>
      <c r="DH344">
        <v>0</v>
      </c>
      <c r="DI344">
        <v>0</v>
      </c>
      <c r="DJ344" s="500">
        <v>65500000</v>
      </c>
      <c r="DK344" s="500">
        <v>0</v>
      </c>
      <c r="DL344" s="37">
        <v>65500000</v>
      </c>
      <c r="DM344" s="37">
        <v>65500000</v>
      </c>
      <c r="DN344" s="37">
        <v>65500000</v>
      </c>
      <c r="DO344" s="37">
        <v>65500000</v>
      </c>
      <c r="DP344" s="32">
        <f>Tradingbook_SBV[[#This Row],[Mat. Date]]-RPT</f>
        <v>-705</v>
      </c>
      <c r="DQ344" s="32">
        <f>IF(Tradingbook_SBV[[#This Row],[Days]]&lt;=0,0,YEARFRAC(RPT,Tradingbook_SBV[[#This Row],[Mat. Date]],3))</f>
        <v>0</v>
      </c>
      <c r="DR344" s="32">
        <f>IF(Tradingbook_SBV[[#This Row],[Days (year)]]=0,0,INDEX(Ref!$K$2:$K$13,MATCH(Tradingbook_SBV[[#This Row],[Days (year)]],Ref!$I$2:$I$13,1)))</f>
        <v>0</v>
      </c>
      <c r="DS344" s="32" t="str">
        <f>VLOOKUP(Tradingbook_SBV[[#This Row],[Security Name]],Ref!X:Z,3,0)</f>
        <v>TPCP</v>
      </c>
      <c r="DT344" s="32" t="str">
        <f>VLOOKUP(Tradingbook_SBV[[#This Row],[Security Name]],Ref!X:Y,2,0)</f>
        <v>KBNN</v>
      </c>
      <c r="DU344" s="71">
        <f>IF((Tradingbook_SBV[[#This Row],[Mat. Date]]-RPT)&lt;=0,0,Tradingbook_SBV[[#This Row],[QUANTITY]])</f>
        <v>0</v>
      </c>
      <c r="DV344" s="71">
        <f>IF(Tradingbook_SBV[[#This Row],[Quantity_edited]]=0,0,Tradingbook_SBV[[#This Row],[DURATION]])</f>
        <v>0</v>
      </c>
      <c r="DW344" s="71">
        <f>IF(Tradingbook_SBV[[#This Row],[Quantity_edited]]=0,0,Tradingbook_SBV[[#This Row],[Mod Dur]])</f>
        <v>0</v>
      </c>
      <c r="DX344" s="71">
        <f>IF(Tradingbook_SBV[[#This Row],[Quantity_edited]]=0,0,Tradingbook_SBV[[#This Row],[Cnvx.]])</f>
        <v>0</v>
      </c>
      <c r="DY344" s="71">
        <f>(Tradingbook_SBV[[#This Row],[MARKET_VALUE]]+Tradingbook_SBV[[#This Row],[Accr Int]]*Tradingbook_SBV[[#This Row],[Quantity_edited]])*(-Tradingbook_SBV[[#This Row],[Modified Duration]]*0.0001+0.5*Tradingbook_SBV[[#This Row],[Conv]]*(0.0001^2))</f>
        <v>0</v>
      </c>
      <c r="DZ344" s="71">
        <f>(Tradingbook_SBV[[#This Row],[MARKET_VALUE]]+Tradingbook_SBV[[#This Row],[Accr Int]]*Tradingbook_SBV[[#This Row],[Quantity_edited]])*(-Tradingbook_SBV[[#This Row],[Modified Duration]]*0.01+0.5*Tradingbook_SBV[[#This Row],[Conv]]*(0.01^2))</f>
        <v>0</v>
      </c>
      <c r="EC344" t="s">
        <v>166</v>
      </c>
      <c r="ED344" t="s">
        <v>3303</v>
      </c>
      <c r="EE344" t="s">
        <v>2835</v>
      </c>
      <c r="EF344" t="s">
        <v>169</v>
      </c>
      <c r="EG344" s="35" t="s">
        <v>3474</v>
      </c>
      <c r="EH344" t="s">
        <v>170</v>
      </c>
      <c r="EI344" s="500">
        <v>82677</v>
      </c>
      <c r="EJ344" s="500">
        <v>82677</v>
      </c>
      <c r="EK344" s="500">
        <v>12500000</v>
      </c>
      <c r="EL344" s="500">
        <v>1250000000000</v>
      </c>
      <c r="EM344" s="500">
        <v>97261.055999999997</v>
      </c>
      <c r="EN344" s="500">
        <v>1033462500000</v>
      </c>
      <c r="EO344">
        <v>2.7</v>
      </c>
      <c r="EP344">
        <v>747</v>
      </c>
      <c r="EQ344">
        <v>60750000000</v>
      </c>
      <c r="ER344">
        <v>63093628125</v>
      </c>
      <c r="ES344">
        <v>-105671919939.75011</v>
      </c>
      <c r="ET344">
        <v>4.5186916220000004</v>
      </c>
      <c r="EU344">
        <v>10.1675929399412</v>
      </c>
      <c r="EV344">
        <v>10.62703511</v>
      </c>
      <c r="EW344">
        <v>125.7741433700055</v>
      </c>
      <c r="EX344">
        <v>1311572.7670624172</v>
      </c>
      <c r="EY344">
        <v>-1060276.591777069</v>
      </c>
      <c r="EZ344">
        <v>126274.25900000001</v>
      </c>
      <c r="FA344">
        <v>-9131842455.3583107</v>
      </c>
      <c r="FB344">
        <v>-182300697544.64294</v>
      </c>
      <c r="FC344">
        <v>-191432540000.00125</v>
      </c>
      <c r="FD344">
        <v>-191432540000.00125</v>
      </c>
      <c r="FE344">
        <v>-191432540000.00101</v>
      </c>
      <c r="FF344">
        <v>-191432540000.00125</v>
      </c>
      <c r="FG344" s="32">
        <f>Bankingbook_SBV[[#This Row],[Mat. Date]]-RPT</f>
        <v>4647</v>
      </c>
      <c r="FH344" s="32">
        <f>IF(Bankingbook_SBV[[#This Row],[Days]]&lt;=0,0,YEARFRAC(RPT,Bankingbook_SBV[[#This Row],[Mat. Date]],3))</f>
        <v>12.731506849315069</v>
      </c>
      <c r="FI344" s="32" t="str">
        <f>IF(Bankingbook_SBV[[#This Row],[Days (year)]]=0,0,INDEX(Ref!$K$2:$K$13,MATCH(Bankingbook_SBV[[#This Row],[Days (year)]],Ref!$I$2:$I$13,1)))</f>
        <v>15Y</v>
      </c>
      <c r="FJ344" s="32" t="str">
        <f>VLOOKUP(Bankingbook_SBV[[#This Row],[Security Name]],Ref!X:Z,3,0)</f>
        <v>TPCP</v>
      </c>
      <c r="FK344" s="32" t="str">
        <f>VLOOKUP(Bankingbook_SBV[[#This Row],[Security Name]],Ref!X:Y,2,0)</f>
        <v>KBNN</v>
      </c>
      <c r="FL344" s="72">
        <f>IF((Bankingbook_SBV[[#This Row],[Mat. Date]]-RPT)&lt;=0,0,Bankingbook_SBV[[#This Row],[QUANTITY]])</f>
        <v>12500000</v>
      </c>
      <c r="FM344" s="32">
        <f>IF(Bankingbook_SBV[[#This Row],[Quantity_edited]]=0,0,Bankingbook_SBV[[#This Row],[DURATION]])</f>
        <v>10.62703511</v>
      </c>
      <c r="FN344" s="32">
        <f>IF(Bankingbook_SBV[[#This Row],[Quantity_edited]]=0,0,Bankingbook_SBV[[#This Row],[Mod Dur]])</f>
        <v>10.1675929399412</v>
      </c>
      <c r="FO344" s="32">
        <f>IF(Bankingbook_SBV[[#This Row],[Quantity_edited]]=0,0,Bankingbook_SBV[[#This Row],[Cnvx.]])</f>
        <v>125.7741433700055</v>
      </c>
      <c r="FP344" s="32">
        <f>(Bankingbook_SBV[[#This Row],[MARKET_VALUE]]+Bankingbook_SBV[[#This Row],[Accr Int]]*Bankingbook_SBV[[#This Row],[Quantity_edited]])*(-Bankingbook_SBV[[#This Row],[Modified Duration]]*0.0001+0.5*Bankingbook_SBV[[#This Row],[Conv]]*(0.0001^2))</f>
        <v>-1059620805.393537</v>
      </c>
      <c r="FQ344" s="32">
        <f>(Bankingbook_SBV[[#This Row],[MARKET_VALUE]]+Bankingbook_SBV[[#This Row],[Accr Int]]*Bankingbook_SBV[[#This Row],[Quantity_edited]])*(-Bankingbook_SBV[[#This Row],[Modified Duration]]*0.01+0.5*Bankingbook_SBV[[#This Row],[Conv]]*(0.01^2))</f>
        <v>-99469795342.394745</v>
      </c>
    </row>
    <row r="345" spans="2:173" x14ac:dyDescent="0.3">
      <c r="B345" t="s">
        <v>166</v>
      </c>
      <c r="C345" t="s">
        <v>167</v>
      </c>
      <c r="D345" t="s">
        <v>533</v>
      </c>
      <c r="E345" t="s">
        <v>169</v>
      </c>
      <c r="F345" s="502">
        <v>45443</v>
      </c>
      <c r="G345" t="s">
        <v>3322</v>
      </c>
      <c r="H345"/>
      <c r="I345"/>
      <c r="J345" s="38">
        <v>0</v>
      </c>
      <c r="K345">
        <v>0</v>
      </c>
      <c r="L345">
        <v>0</v>
      </c>
      <c r="M345" s="38">
        <v>0</v>
      </c>
      <c r="N345">
        <v>8.6999999999999993</v>
      </c>
      <c r="O345">
        <v>0</v>
      </c>
      <c r="P345" s="37">
        <v>4350000000</v>
      </c>
      <c r="Q345" s="37">
        <v>4894072020.833147</v>
      </c>
      <c r="R345" s="37">
        <v>936361524.91662788</v>
      </c>
      <c r="S345">
        <v>8.6999999999999993</v>
      </c>
      <c r="T345" s="70">
        <v>0</v>
      </c>
      <c r="U345">
        <v>0</v>
      </c>
      <c r="V345">
        <v>0</v>
      </c>
      <c r="W345">
        <v>0</v>
      </c>
      <c r="X345" s="38">
        <v>0</v>
      </c>
      <c r="Y345">
        <v>0</v>
      </c>
      <c r="Z345" s="70">
        <v>33122395000</v>
      </c>
      <c r="AA345" s="70">
        <v>0</v>
      </c>
      <c r="AB345" s="70">
        <v>33122395000</v>
      </c>
      <c r="AC345" s="70">
        <v>33122395000</v>
      </c>
      <c r="AD345" s="70">
        <v>33122395000</v>
      </c>
      <c r="AE345" s="70">
        <v>33122395000</v>
      </c>
      <c r="AF345">
        <v>0</v>
      </c>
      <c r="AG345" s="72">
        <f>Tradingbook_MSB[[#This Row],[Mat. Date]]-RPT</f>
        <v>-809</v>
      </c>
      <c r="AH345" s="71">
        <f>IF(Tradingbook_MSB[[#This Row],[Days]]&lt;=0,0,YEARFRAC(RPT,Tradingbook_MSB[[#This Row],[Mat. Date]],3))</f>
        <v>0</v>
      </c>
      <c r="AI345" s="71">
        <f>IF(Tradingbook_MSB[[#This Row],[Days (year)]]=0,0,INDEX(Ref!$K$2:$K$13,MATCH(Tradingbook_MSB[[#This Row],[Days (year)]],Ref!$I$2:$I$13,1)))</f>
        <v>0</v>
      </c>
      <c r="AJ345" s="120" t="str">
        <f>VLOOKUP(Tradingbook_MSB[[#This Row],[Security Name]],Ref!X:Z,3,0)</f>
        <v>TPCP</v>
      </c>
      <c r="AK345" s="120" t="str">
        <f>VLOOKUP(Tradingbook_MSB[[#This Row],[Security Name]],Ref!X:Y,2,0)</f>
        <v>KBNN</v>
      </c>
      <c r="AL345" s="71">
        <f>IF((Tradingbook_MSB[[#This Row],[Mat. Date]]-RPT)&lt;=0,0,Tradingbook_MSB[[#This Row],[QUANTITY]])</f>
        <v>0</v>
      </c>
      <c r="AM345" s="71">
        <f>IF(Tradingbook_MSB[[#This Row],[Quantity_edited]]=0,0,Tradingbook_MSB[[#This Row],[DURATION]])</f>
        <v>0</v>
      </c>
      <c r="AN345" s="71">
        <f>IF(Tradingbook_MSB[[#This Row],[Quantity_edited]]=0,0,Tradingbook_MSB[[#This Row],[Mod Dur]])</f>
        <v>0</v>
      </c>
      <c r="AO345" s="71">
        <f>IF(Tradingbook_MSB[[#This Row],[Quantity_edited]]=0,0,Tradingbook_MSB[[#This Row],[Cnvx.]])</f>
        <v>0</v>
      </c>
      <c r="AP345" s="71">
        <f>(Tradingbook_MSB[[#This Row],[MARKET_VALUE]]+Tradingbook_MSB[[#This Row],[Accr Int]]*Tradingbook_MSB[[#This Row],[Quantity_edited]])*(-Tradingbook_MSB[[#This Row],[Modified Duration]]*0.0001+0.5*Tradingbook_MSB[[#This Row],[Conv]]*(0.0001^2))</f>
        <v>0</v>
      </c>
      <c r="AQ345" s="72">
        <f>(Tradingbook_MSB[[#This Row],[MARKET_VALUE]]+Tradingbook_MSB[[#This Row],[Accr Int]]*Tradingbook_MSB[[#This Row],[Quantity_edited]])*(-Tradingbook_MSB[[#This Row],[Modified Duration]]*0.01+0.5*Tradingbook_MSB[[#This Row],[Conv]]*(0.01^2))</f>
        <v>0</v>
      </c>
      <c r="AR345" s="71"/>
      <c r="CL345" t="s">
        <v>166</v>
      </c>
      <c r="CM345" t="s">
        <v>167</v>
      </c>
      <c r="CN345" t="s">
        <v>538</v>
      </c>
      <c r="CO345" t="s">
        <v>169</v>
      </c>
      <c r="CP345" s="35">
        <v>45550</v>
      </c>
      <c r="CQ345" t="s">
        <v>3322</v>
      </c>
      <c r="CR345" t="s">
        <v>174</v>
      </c>
      <c r="CS345" t="s">
        <v>174</v>
      </c>
      <c r="CT345" s="49">
        <v>0</v>
      </c>
      <c r="CU345">
        <v>0</v>
      </c>
      <c r="CV345">
        <v>0</v>
      </c>
      <c r="CW345" s="70">
        <v>0</v>
      </c>
      <c r="CX345">
        <v>7.3</v>
      </c>
      <c r="CY345">
        <v>0</v>
      </c>
      <c r="CZ345">
        <v>0</v>
      </c>
      <c r="DA345">
        <v>-7.6000000000000004E-5</v>
      </c>
      <c r="DB345">
        <v>-896312477.43051481</v>
      </c>
      <c r="DC345">
        <v>7.3</v>
      </c>
      <c r="DD345">
        <v>0</v>
      </c>
      <c r="DE345">
        <v>0</v>
      </c>
      <c r="DF345">
        <v>0</v>
      </c>
      <c r="DG345">
        <v>0</v>
      </c>
      <c r="DH345">
        <v>0</v>
      </c>
      <c r="DI345">
        <v>0</v>
      </c>
      <c r="DJ345" s="500">
        <v>4186500000</v>
      </c>
      <c r="DK345" s="500">
        <v>0</v>
      </c>
      <c r="DL345" s="37">
        <v>4186500000</v>
      </c>
      <c r="DM345" s="37">
        <v>4186500000</v>
      </c>
      <c r="DN345" s="37">
        <v>4186500000</v>
      </c>
      <c r="DO345" s="37">
        <v>4186500000</v>
      </c>
      <c r="DP345" s="32">
        <f>Tradingbook_SBV[[#This Row],[Mat. Date]]-RPT</f>
        <v>-702</v>
      </c>
      <c r="DQ345" s="32">
        <f>IF(Tradingbook_SBV[[#This Row],[Days]]&lt;=0,0,YEARFRAC(RPT,Tradingbook_SBV[[#This Row],[Mat. Date]],3))</f>
        <v>0</v>
      </c>
      <c r="DR345" s="32">
        <f>IF(Tradingbook_SBV[[#This Row],[Days (year)]]=0,0,INDEX(Ref!$K$2:$K$13,MATCH(Tradingbook_SBV[[#This Row],[Days (year)]],Ref!$I$2:$I$13,1)))</f>
        <v>0</v>
      </c>
      <c r="DS345" s="32" t="str">
        <f>VLOOKUP(Tradingbook_SBV[[#This Row],[Security Name]],Ref!X:Z,3,0)</f>
        <v>TPCP</v>
      </c>
      <c r="DT345" s="32" t="str">
        <f>VLOOKUP(Tradingbook_SBV[[#This Row],[Security Name]],Ref!X:Y,2,0)</f>
        <v>KBNN</v>
      </c>
      <c r="DU345" s="71">
        <f>IF((Tradingbook_SBV[[#This Row],[Mat. Date]]-RPT)&lt;=0,0,Tradingbook_SBV[[#This Row],[QUANTITY]])</f>
        <v>0</v>
      </c>
      <c r="DV345" s="71">
        <f>IF(Tradingbook_SBV[[#This Row],[Quantity_edited]]=0,0,Tradingbook_SBV[[#This Row],[DURATION]])</f>
        <v>0</v>
      </c>
      <c r="DW345" s="71">
        <f>IF(Tradingbook_SBV[[#This Row],[Quantity_edited]]=0,0,Tradingbook_SBV[[#This Row],[Mod Dur]])</f>
        <v>0</v>
      </c>
      <c r="DX345" s="71">
        <f>IF(Tradingbook_SBV[[#This Row],[Quantity_edited]]=0,0,Tradingbook_SBV[[#This Row],[Cnvx.]])</f>
        <v>0</v>
      </c>
      <c r="DY345" s="71">
        <f>(Tradingbook_SBV[[#This Row],[MARKET_VALUE]]+Tradingbook_SBV[[#This Row],[Accr Int]]*Tradingbook_SBV[[#This Row],[Quantity_edited]])*(-Tradingbook_SBV[[#This Row],[Modified Duration]]*0.0001+0.5*Tradingbook_SBV[[#This Row],[Conv]]*(0.0001^2))</f>
        <v>0</v>
      </c>
      <c r="DZ345" s="71">
        <f>(Tradingbook_SBV[[#This Row],[MARKET_VALUE]]+Tradingbook_SBV[[#This Row],[Accr Int]]*Tradingbook_SBV[[#This Row],[Quantity_edited]])*(-Tradingbook_SBV[[#This Row],[Modified Duration]]*0.01+0.5*Tradingbook_SBV[[#This Row],[Conv]]*(0.01^2))</f>
        <v>0</v>
      </c>
      <c r="EC345" t="s">
        <v>166</v>
      </c>
      <c r="ED345" t="s">
        <v>3303</v>
      </c>
      <c r="EE345" t="s">
        <v>2840</v>
      </c>
      <c r="EF345" t="s">
        <v>169</v>
      </c>
      <c r="EG345" s="35" t="s">
        <v>3475</v>
      </c>
      <c r="EH345" t="s">
        <v>170</v>
      </c>
      <c r="EI345" s="500">
        <v>84269</v>
      </c>
      <c r="EJ345" s="500">
        <v>84269</v>
      </c>
      <c r="EK345" s="500">
        <v>4000000</v>
      </c>
      <c r="EL345" s="500">
        <v>400000000000</v>
      </c>
      <c r="EM345" s="500">
        <v>100084.101</v>
      </c>
      <c r="EN345" s="500">
        <v>337076000000</v>
      </c>
      <c r="EO345">
        <v>2.9</v>
      </c>
      <c r="EP345">
        <v>2868</v>
      </c>
      <c r="EQ345">
        <v>11600000000</v>
      </c>
      <c r="ER345">
        <v>12234407222.222229</v>
      </c>
      <c r="ES345">
        <v>-33641660913.194473</v>
      </c>
      <c r="ET345">
        <v>4.5261596429999997</v>
      </c>
      <c r="EU345">
        <v>9.9982765652124996</v>
      </c>
      <c r="EV345">
        <v>10.45081452</v>
      </c>
      <c r="EW345">
        <v>125.61506209779949</v>
      </c>
      <c r="EX345">
        <v>437828.78664063802</v>
      </c>
      <c r="EY345">
        <v>-348487.93002516701</v>
      </c>
      <c r="EZ345">
        <v>42274.451000000001</v>
      </c>
      <c r="FA345">
        <v>-9654095959.5956001</v>
      </c>
      <c r="FB345">
        <v>-63260404040.404015</v>
      </c>
      <c r="FC345">
        <v>-72914499999.999619</v>
      </c>
      <c r="FD345">
        <v>-72914499999.999619</v>
      </c>
      <c r="FE345">
        <v>-72914500000</v>
      </c>
      <c r="FF345">
        <v>-72914499999.999619</v>
      </c>
      <c r="FG345" s="32">
        <f>Bankingbook_SBV[[#This Row],[Mat. Date]]-RPT</f>
        <v>4752</v>
      </c>
      <c r="FH345" s="32">
        <f>IF(Bankingbook_SBV[[#This Row],[Days]]&lt;=0,0,YEARFRAC(RPT,Bankingbook_SBV[[#This Row],[Mat. Date]],3))</f>
        <v>13.019178082191781</v>
      </c>
      <c r="FI345" s="32" t="str">
        <f>IF(Bankingbook_SBV[[#This Row],[Days (year)]]=0,0,INDEX(Ref!$K$2:$K$13,MATCH(Bankingbook_SBV[[#This Row],[Days (year)]],Ref!$I$2:$I$13,1)))</f>
        <v>15Y</v>
      </c>
      <c r="FJ345" s="32" t="str">
        <f>VLOOKUP(Bankingbook_SBV[[#This Row],[Security Name]],Ref!X:Z,3,0)</f>
        <v>TPCP</v>
      </c>
      <c r="FK345" s="32" t="str">
        <f>VLOOKUP(Bankingbook_SBV[[#This Row],[Security Name]],Ref!X:Y,2,0)</f>
        <v>KBNN</v>
      </c>
      <c r="FL345" s="72">
        <f>IF((Bankingbook_SBV[[#This Row],[Mat. Date]]-RPT)&lt;=0,0,Bankingbook_SBV[[#This Row],[QUANTITY]])</f>
        <v>4000000</v>
      </c>
      <c r="FM345" s="32">
        <f>IF(Bankingbook_SBV[[#This Row],[Quantity_edited]]=0,0,Bankingbook_SBV[[#This Row],[DURATION]])</f>
        <v>10.45081452</v>
      </c>
      <c r="FN345" s="32">
        <f>IF(Bankingbook_SBV[[#This Row],[Quantity_edited]]=0,0,Bankingbook_SBV[[#This Row],[Mod Dur]])</f>
        <v>9.9982765652124996</v>
      </c>
      <c r="FO345" s="32">
        <f>IF(Bankingbook_SBV[[#This Row],[Quantity_edited]]=0,0,Bankingbook_SBV[[#This Row],[Cnvx.]])</f>
        <v>125.61506209779949</v>
      </c>
      <c r="FP345" s="32">
        <f>(Bankingbook_SBV[[#This Row],[MARKET_VALUE]]+Bankingbook_SBV[[#This Row],[Accr Int]]*Bankingbook_SBV[[#This Row],[Quantity_edited]])*(-Bankingbook_SBV[[#This Row],[Modified Duration]]*0.0001+0.5*Bankingbook_SBV[[#This Row],[Conv]]*(0.0001^2))</f>
        <v>-348269015.63184828</v>
      </c>
      <c r="FQ345" s="32">
        <f>(Bankingbook_SBV[[#This Row],[MARKET_VALUE]]+Bankingbook_SBV[[#This Row],[Accr Int]]*Bankingbook_SBV[[#This Row],[Quantity_edited]])*(-Bankingbook_SBV[[#This Row],[Modified Duration]]*0.01+0.5*Bankingbook_SBV[[#This Row],[Conv]]*(0.01^2))</f>
        <v>-32659649069.313671</v>
      </c>
    </row>
    <row r="346" spans="2:173" x14ac:dyDescent="0.3">
      <c r="B346" t="s">
        <v>166</v>
      </c>
      <c r="C346" t="s">
        <v>167</v>
      </c>
      <c r="D346" t="s">
        <v>534</v>
      </c>
      <c r="E346" t="s">
        <v>169</v>
      </c>
      <c r="F346" s="502">
        <v>45451</v>
      </c>
      <c r="G346" t="s">
        <v>3322</v>
      </c>
      <c r="H346"/>
      <c r="I346"/>
      <c r="J346" s="38">
        <v>0</v>
      </c>
      <c r="K346">
        <v>0</v>
      </c>
      <c r="L346">
        <v>0</v>
      </c>
      <c r="M346" s="38">
        <v>0</v>
      </c>
      <c r="N346">
        <v>5.3</v>
      </c>
      <c r="O346">
        <v>0</v>
      </c>
      <c r="P346" s="37">
        <v>15900000000</v>
      </c>
      <c r="Q346" s="37">
        <v>17311909326.388889</v>
      </c>
      <c r="R346" s="37">
        <v>-6524281294.0694923</v>
      </c>
      <c r="S346">
        <v>5.3</v>
      </c>
      <c r="T346" s="70">
        <v>0</v>
      </c>
      <c r="U346">
        <v>0</v>
      </c>
      <c r="V346">
        <v>0</v>
      </c>
      <c r="W346">
        <v>0</v>
      </c>
      <c r="X346" s="38">
        <v>0</v>
      </c>
      <c r="Y346">
        <v>0</v>
      </c>
      <c r="Z346" s="70">
        <v>6301599999.9990234</v>
      </c>
      <c r="AA346" s="70">
        <v>0</v>
      </c>
      <c r="AB346" s="70">
        <v>6301599999.9990234</v>
      </c>
      <c r="AC346" s="70">
        <v>6301599999.9990234</v>
      </c>
      <c r="AD346" s="70">
        <v>6301599999.9989996</v>
      </c>
      <c r="AE346" s="70">
        <v>6301599999.9990234</v>
      </c>
      <c r="AF346">
        <v>0</v>
      </c>
      <c r="AG346" s="72">
        <f>Tradingbook_MSB[[#This Row],[Mat. Date]]-RPT</f>
        <v>-801</v>
      </c>
      <c r="AH346" s="71">
        <f>IF(Tradingbook_MSB[[#This Row],[Days]]&lt;=0,0,YEARFRAC(RPT,Tradingbook_MSB[[#This Row],[Mat. Date]],3))</f>
        <v>0</v>
      </c>
      <c r="AI346" s="71">
        <f>IF(Tradingbook_MSB[[#This Row],[Days (year)]]=0,0,INDEX(Ref!$K$2:$K$13,MATCH(Tradingbook_MSB[[#This Row],[Days (year)]],Ref!$I$2:$I$13,1)))</f>
        <v>0</v>
      </c>
      <c r="AJ346" s="120" t="str">
        <f>VLOOKUP(Tradingbook_MSB[[#This Row],[Security Name]],Ref!X:Z,3,0)</f>
        <v>TPCP</v>
      </c>
      <c r="AK346" s="120" t="str">
        <f>VLOOKUP(Tradingbook_MSB[[#This Row],[Security Name]],Ref!X:Y,2,0)</f>
        <v>KBNN</v>
      </c>
      <c r="AL346" s="71">
        <f>IF((Tradingbook_MSB[[#This Row],[Mat. Date]]-RPT)&lt;=0,0,Tradingbook_MSB[[#This Row],[QUANTITY]])</f>
        <v>0</v>
      </c>
      <c r="AM346" s="71">
        <f>IF(Tradingbook_MSB[[#This Row],[Quantity_edited]]=0,0,Tradingbook_MSB[[#This Row],[DURATION]])</f>
        <v>0</v>
      </c>
      <c r="AN346" s="71">
        <f>IF(Tradingbook_MSB[[#This Row],[Quantity_edited]]=0,0,Tradingbook_MSB[[#This Row],[Mod Dur]])</f>
        <v>0</v>
      </c>
      <c r="AO346" s="71">
        <f>IF(Tradingbook_MSB[[#This Row],[Quantity_edited]]=0,0,Tradingbook_MSB[[#This Row],[Cnvx.]])</f>
        <v>0</v>
      </c>
      <c r="AP346" s="71">
        <f>(Tradingbook_MSB[[#This Row],[MARKET_VALUE]]+Tradingbook_MSB[[#This Row],[Accr Int]]*Tradingbook_MSB[[#This Row],[Quantity_edited]])*(-Tradingbook_MSB[[#This Row],[Modified Duration]]*0.0001+0.5*Tradingbook_MSB[[#This Row],[Conv]]*(0.0001^2))</f>
        <v>0</v>
      </c>
      <c r="AQ346" s="72">
        <f>(Tradingbook_MSB[[#This Row],[MARKET_VALUE]]+Tradingbook_MSB[[#This Row],[Accr Int]]*Tradingbook_MSB[[#This Row],[Quantity_edited]])*(-Tradingbook_MSB[[#This Row],[Modified Duration]]*0.01+0.5*Tradingbook_MSB[[#This Row],[Conv]]*(0.01^2))</f>
        <v>0</v>
      </c>
      <c r="AR346" s="71"/>
      <c r="CL346" t="s">
        <v>166</v>
      </c>
      <c r="CM346" t="s">
        <v>167</v>
      </c>
      <c r="CN346" t="s">
        <v>539</v>
      </c>
      <c r="CO346" t="s">
        <v>169</v>
      </c>
      <c r="CP346" s="35">
        <v>45567</v>
      </c>
      <c r="CQ346" t="s">
        <v>3322</v>
      </c>
      <c r="CR346" t="s">
        <v>174</v>
      </c>
      <c r="CS346" t="s">
        <v>174</v>
      </c>
      <c r="CT346" s="49">
        <v>0</v>
      </c>
      <c r="CU346">
        <v>0</v>
      </c>
      <c r="CV346">
        <v>0</v>
      </c>
      <c r="CW346" s="70">
        <v>0</v>
      </c>
      <c r="CX346">
        <v>7.3</v>
      </c>
      <c r="CY346">
        <v>0</v>
      </c>
      <c r="CZ346">
        <v>0</v>
      </c>
      <c r="DA346">
        <v>0</v>
      </c>
      <c r="DB346">
        <v>-230958210.83336639</v>
      </c>
      <c r="DC346">
        <v>7.3</v>
      </c>
      <c r="DD346">
        <v>0</v>
      </c>
      <c r="DE346">
        <v>0</v>
      </c>
      <c r="DF346">
        <v>0</v>
      </c>
      <c r="DG346">
        <v>0</v>
      </c>
      <c r="DH346">
        <v>0</v>
      </c>
      <c r="DI346">
        <v>0</v>
      </c>
      <c r="DJ346" s="500">
        <v>-39000000</v>
      </c>
      <c r="DK346" s="500">
        <v>0</v>
      </c>
      <c r="DL346" s="37">
        <v>-39000000</v>
      </c>
      <c r="DM346" s="37">
        <v>-39000000</v>
      </c>
      <c r="DN346" s="37">
        <v>-39000000</v>
      </c>
      <c r="DO346" s="37">
        <v>-39000000</v>
      </c>
      <c r="DP346" s="32">
        <f>Tradingbook_SBV[[#This Row],[Mat. Date]]-RPT</f>
        <v>-685</v>
      </c>
      <c r="DQ346" s="32">
        <f>IF(Tradingbook_SBV[[#This Row],[Days]]&lt;=0,0,YEARFRAC(RPT,Tradingbook_SBV[[#This Row],[Mat. Date]],3))</f>
        <v>0</v>
      </c>
      <c r="DR346" s="32">
        <f>IF(Tradingbook_SBV[[#This Row],[Days (year)]]=0,0,INDEX(Ref!$K$2:$K$13,MATCH(Tradingbook_SBV[[#This Row],[Days (year)]],Ref!$I$2:$I$13,1)))</f>
        <v>0</v>
      </c>
      <c r="DS346" s="32" t="str">
        <f>VLOOKUP(Tradingbook_SBV[[#This Row],[Security Name]],Ref!X:Z,3,0)</f>
        <v>TPCQĐP</v>
      </c>
      <c r="DT346" s="32" t="str">
        <f>VLOOKUP(Tradingbook_SBV[[#This Row],[Security Name]],Ref!X:Y,2,0)</f>
        <v>HIFU</v>
      </c>
      <c r="DU346" s="71">
        <f>IF((Tradingbook_SBV[[#This Row],[Mat. Date]]-RPT)&lt;=0,0,Tradingbook_SBV[[#This Row],[QUANTITY]])</f>
        <v>0</v>
      </c>
      <c r="DV346" s="71">
        <f>IF(Tradingbook_SBV[[#This Row],[Quantity_edited]]=0,0,Tradingbook_SBV[[#This Row],[DURATION]])</f>
        <v>0</v>
      </c>
      <c r="DW346" s="71">
        <f>IF(Tradingbook_SBV[[#This Row],[Quantity_edited]]=0,0,Tradingbook_SBV[[#This Row],[Mod Dur]])</f>
        <v>0</v>
      </c>
      <c r="DX346" s="71">
        <f>IF(Tradingbook_SBV[[#This Row],[Quantity_edited]]=0,0,Tradingbook_SBV[[#This Row],[Cnvx.]])</f>
        <v>0</v>
      </c>
      <c r="DY346" s="71">
        <f>(Tradingbook_SBV[[#This Row],[MARKET_VALUE]]+Tradingbook_SBV[[#This Row],[Accr Int]]*Tradingbook_SBV[[#This Row],[Quantity_edited]])*(-Tradingbook_SBV[[#This Row],[Modified Duration]]*0.0001+0.5*Tradingbook_SBV[[#This Row],[Conv]]*(0.0001^2))</f>
        <v>0</v>
      </c>
      <c r="DZ346" s="71">
        <f>(Tradingbook_SBV[[#This Row],[MARKET_VALUE]]+Tradingbook_SBV[[#This Row],[Accr Int]]*Tradingbook_SBV[[#This Row],[Quantity_edited]])*(-Tradingbook_SBV[[#This Row],[Modified Duration]]*0.01+0.5*Tradingbook_SBV[[#This Row],[Conv]]*(0.01^2))</f>
        <v>0</v>
      </c>
      <c r="EC346" t="s">
        <v>166</v>
      </c>
      <c r="ED346" t="s">
        <v>3303</v>
      </c>
      <c r="EE346" t="s">
        <v>712</v>
      </c>
      <c r="EF346" t="s">
        <v>169</v>
      </c>
      <c r="EG346" s="35" t="s">
        <v>3477</v>
      </c>
      <c r="EH346" t="s">
        <v>170</v>
      </c>
      <c r="EI346" s="500">
        <v>90735</v>
      </c>
      <c r="EJ346" s="500">
        <v>90735</v>
      </c>
      <c r="EK346" s="500">
        <v>4000000</v>
      </c>
      <c r="EL346" s="500">
        <v>400000000000</v>
      </c>
      <c r="EM346" s="500">
        <v>100853.27</v>
      </c>
      <c r="EN346" s="500">
        <v>362940000000</v>
      </c>
      <c r="EO346">
        <v>3.6</v>
      </c>
      <c r="EP346">
        <v>2180</v>
      </c>
      <c r="EQ346">
        <v>126000000000</v>
      </c>
      <c r="ER346">
        <v>141898974499.99957</v>
      </c>
      <c r="ES346">
        <v>-124874129279.74031</v>
      </c>
      <c r="ET346">
        <v>4.5361371769999996</v>
      </c>
      <c r="EU346">
        <v>10.0112106148161</v>
      </c>
      <c r="EV346">
        <v>10.46533286</v>
      </c>
      <c r="EW346">
        <v>127.213464513856</v>
      </c>
      <c r="EX346">
        <v>472801.56221219711</v>
      </c>
      <c r="EY346">
        <v>-372076.65371025499</v>
      </c>
      <c r="EZ346">
        <v>45174.847000000002</v>
      </c>
      <c r="FA346">
        <v>-135535520906.98219</v>
      </c>
      <c r="FB346">
        <v>-40473079093.019127</v>
      </c>
      <c r="FC346">
        <v>-176008600000.00131</v>
      </c>
      <c r="FD346">
        <v>-176008600000.00131</v>
      </c>
      <c r="FE346">
        <v>-176008600000.00101</v>
      </c>
      <c r="FF346">
        <v>-176008600000.00131</v>
      </c>
      <c r="FG346" s="32">
        <f>Bankingbook_SBV[[#This Row],[Mat. Date]]-RPT</f>
        <v>4892</v>
      </c>
      <c r="FH346" s="32">
        <f>IF(Bankingbook_SBV[[#This Row],[Days]]&lt;=0,0,YEARFRAC(RPT,Bankingbook_SBV[[#This Row],[Mat. Date]],3))</f>
        <v>13.402739726027397</v>
      </c>
      <c r="FI346" s="32" t="str">
        <f>IF(Bankingbook_SBV[[#This Row],[Days (year)]]=0,0,INDEX(Ref!$K$2:$K$13,MATCH(Bankingbook_SBV[[#This Row],[Days (year)]],Ref!$I$2:$I$13,1)))</f>
        <v>15Y</v>
      </c>
      <c r="FJ346" s="32" t="str">
        <f>VLOOKUP(Bankingbook_SBV[[#This Row],[Security Name]],Ref!X:Z,3,0)</f>
        <v>TPCP</v>
      </c>
      <c r="FK346" s="32" t="str">
        <f>VLOOKUP(Bankingbook_SBV[[#This Row],[Security Name]],Ref!X:Y,2,0)</f>
        <v>KBNN</v>
      </c>
      <c r="FL346" s="72">
        <f>IF((Bankingbook_SBV[[#This Row],[Mat. Date]]-RPT)&lt;=0,0,Bankingbook_SBV[[#This Row],[QUANTITY]])</f>
        <v>4000000</v>
      </c>
      <c r="FM346" s="32">
        <f>IF(Bankingbook_SBV[[#This Row],[Quantity_edited]]=0,0,Bankingbook_SBV[[#This Row],[DURATION]])</f>
        <v>10.46533286</v>
      </c>
      <c r="FN346" s="32">
        <f>IF(Bankingbook_SBV[[#This Row],[Quantity_edited]]=0,0,Bankingbook_SBV[[#This Row],[Mod Dur]])</f>
        <v>10.0112106148161</v>
      </c>
      <c r="FO346" s="32">
        <f>IF(Bankingbook_SBV[[#This Row],[Quantity_edited]]=0,0,Bankingbook_SBV[[#This Row],[Cnvx.]])</f>
        <v>127.213464513856</v>
      </c>
      <c r="FP346" s="32">
        <f>(Bankingbook_SBV[[#This Row],[MARKET_VALUE]]+Bankingbook_SBV[[#This Row],[Accr Int]]*Bankingbook_SBV[[#This Row],[Quantity_edited]])*(-Bankingbook_SBV[[#This Row],[Modified Duration]]*0.0001+0.5*Bankingbook_SBV[[#This Row],[Conv]]*(0.0001^2))</f>
        <v>-371840252.92914915</v>
      </c>
      <c r="FQ346" s="32">
        <f>(Bankingbook_SBV[[#This Row],[MARKET_VALUE]]+Bankingbook_SBV[[#This Row],[Accr Int]]*Bankingbook_SBV[[#This Row],[Quantity_edited]])*(-Bankingbook_SBV[[#This Row],[Modified Duration]]*0.01+0.5*Bankingbook_SBV[[#This Row],[Conv]]*(0.01^2))</f>
        <v>-34843657559.964531</v>
      </c>
    </row>
    <row r="347" spans="2:173" x14ac:dyDescent="0.3">
      <c r="B347" t="s">
        <v>166</v>
      </c>
      <c r="C347" t="s">
        <v>167</v>
      </c>
      <c r="D347" t="s">
        <v>535</v>
      </c>
      <c r="E347" t="s">
        <v>169</v>
      </c>
      <c r="F347" s="502">
        <v>45479</v>
      </c>
      <c r="G347" t="s">
        <v>3322</v>
      </c>
      <c r="H347"/>
      <c r="I347"/>
      <c r="J347" s="38">
        <v>0</v>
      </c>
      <c r="K347">
        <v>0</v>
      </c>
      <c r="L347">
        <v>0</v>
      </c>
      <c r="M347" s="38">
        <v>0</v>
      </c>
      <c r="N347">
        <v>5.0999999999999996</v>
      </c>
      <c r="O347">
        <v>0</v>
      </c>
      <c r="P347" s="37">
        <v>17850000000</v>
      </c>
      <c r="Q347" s="37">
        <v>19743381729.166687</v>
      </c>
      <c r="R347" s="37">
        <v>-8268512020.7041941</v>
      </c>
      <c r="S347">
        <v>5.0999999999999996</v>
      </c>
      <c r="T347" s="70">
        <v>0</v>
      </c>
      <c r="U347">
        <v>0</v>
      </c>
      <c r="V347">
        <v>0</v>
      </c>
      <c r="W347">
        <v>0</v>
      </c>
      <c r="X347" s="38">
        <v>0</v>
      </c>
      <c r="Y347">
        <v>0</v>
      </c>
      <c r="Z347" s="70">
        <v>9279370000</v>
      </c>
      <c r="AA347" s="70">
        <v>0</v>
      </c>
      <c r="AB347" s="70">
        <v>9279370000</v>
      </c>
      <c r="AC347" s="70">
        <v>9279370000</v>
      </c>
      <c r="AD347" s="70">
        <v>9279370000</v>
      </c>
      <c r="AE347" s="70">
        <v>9279370000</v>
      </c>
      <c r="AF347">
        <v>0</v>
      </c>
      <c r="AG347" s="72">
        <f>Tradingbook_MSB[[#This Row],[Mat. Date]]-RPT</f>
        <v>-773</v>
      </c>
      <c r="AH347" s="71">
        <f>IF(Tradingbook_MSB[[#This Row],[Days]]&lt;=0,0,YEARFRAC(RPT,Tradingbook_MSB[[#This Row],[Mat. Date]],3))</f>
        <v>0</v>
      </c>
      <c r="AI347" s="71">
        <f>IF(Tradingbook_MSB[[#This Row],[Days (year)]]=0,0,INDEX(Ref!$K$2:$K$13,MATCH(Tradingbook_MSB[[#This Row],[Days (year)]],Ref!$I$2:$I$13,1)))</f>
        <v>0</v>
      </c>
      <c r="AJ347" s="120" t="str">
        <f>VLOOKUP(Tradingbook_MSB[[#This Row],[Security Name]],Ref!X:Z,3,0)</f>
        <v>TPCP</v>
      </c>
      <c r="AK347" s="120" t="str">
        <f>VLOOKUP(Tradingbook_MSB[[#This Row],[Security Name]],Ref!X:Y,2,0)</f>
        <v>KBNN</v>
      </c>
      <c r="AL347" s="71">
        <f>IF((Tradingbook_MSB[[#This Row],[Mat. Date]]-RPT)&lt;=0,0,Tradingbook_MSB[[#This Row],[QUANTITY]])</f>
        <v>0</v>
      </c>
      <c r="AM347" s="71">
        <f>IF(Tradingbook_MSB[[#This Row],[Quantity_edited]]=0,0,Tradingbook_MSB[[#This Row],[DURATION]])</f>
        <v>0</v>
      </c>
      <c r="AN347" s="71">
        <f>IF(Tradingbook_MSB[[#This Row],[Quantity_edited]]=0,0,Tradingbook_MSB[[#This Row],[Mod Dur]])</f>
        <v>0</v>
      </c>
      <c r="AO347" s="71">
        <f>IF(Tradingbook_MSB[[#This Row],[Quantity_edited]]=0,0,Tradingbook_MSB[[#This Row],[Cnvx.]])</f>
        <v>0</v>
      </c>
      <c r="AP347" s="71">
        <f>(Tradingbook_MSB[[#This Row],[MARKET_VALUE]]+Tradingbook_MSB[[#This Row],[Accr Int]]*Tradingbook_MSB[[#This Row],[Quantity_edited]])*(-Tradingbook_MSB[[#This Row],[Modified Duration]]*0.0001+0.5*Tradingbook_MSB[[#This Row],[Conv]]*(0.0001^2))</f>
        <v>0</v>
      </c>
      <c r="AQ347" s="72">
        <f>(Tradingbook_MSB[[#This Row],[MARKET_VALUE]]+Tradingbook_MSB[[#This Row],[Accr Int]]*Tradingbook_MSB[[#This Row],[Quantity_edited]])*(-Tradingbook_MSB[[#This Row],[Modified Duration]]*0.01+0.5*Tradingbook_MSB[[#This Row],[Conv]]*(0.01^2))</f>
        <v>0</v>
      </c>
      <c r="AR347" s="71"/>
      <c r="CL347" t="s">
        <v>166</v>
      </c>
      <c r="CM347" t="s">
        <v>167</v>
      </c>
      <c r="CN347" t="s">
        <v>540</v>
      </c>
      <c r="CO347" t="s">
        <v>169</v>
      </c>
      <c r="CP347" s="35">
        <v>45580</v>
      </c>
      <c r="CQ347" t="s">
        <v>3322</v>
      </c>
      <c r="CR347" t="s">
        <v>174</v>
      </c>
      <c r="CS347" t="s">
        <v>174</v>
      </c>
      <c r="CT347" s="49">
        <v>0</v>
      </c>
      <c r="CU347">
        <v>0</v>
      </c>
      <c r="CV347">
        <v>0</v>
      </c>
      <c r="CW347" s="70">
        <v>0</v>
      </c>
      <c r="CX347">
        <v>6.1</v>
      </c>
      <c r="CY347">
        <v>0</v>
      </c>
      <c r="CZ347">
        <v>12200000000</v>
      </c>
      <c r="DA347">
        <v>13679729527.777782</v>
      </c>
      <c r="DB347">
        <v>-7398506202.9861717</v>
      </c>
      <c r="DC347">
        <v>6.1</v>
      </c>
      <c r="DD347">
        <v>0</v>
      </c>
      <c r="DE347">
        <v>0</v>
      </c>
      <c r="DF347">
        <v>0</v>
      </c>
      <c r="DG347">
        <v>0</v>
      </c>
      <c r="DH347">
        <v>0</v>
      </c>
      <c r="DI347">
        <v>0</v>
      </c>
      <c r="DJ347" s="500">
        <v>-7043500000</v>
      </c>
      <c r="DK347" s="500">
        <v>0</v>
      </c>
      <c r="DL347" s="37">
        <v>-7043500000</v>
      </c>
      <c r="DM347" s="37">
        <v>-7043500000</v>
      </c>
      <c r="DN347" s="37">
        <v>-7043500000</v>
      </c>
      <c r="DO347" s="37">
        <v>-7043500000</v>
      </c>
      <c r="DP347" s="32">
        <f>Tradingbook_SBV[[#This Row],[Mat. Date]]-RPT</f>
        <v>-672</v>
      </c>
      <c r="DQ347" s="32">
        <f>IF(Tradingbook_SBV[[#This Row],[Days]]&lt;=0,0,YEARFRAC(RPT,Tradingbook_SBV[[#This Row],[Mat. Date]],3))</f>
        <v>0</v>
      </c>
      <c r="DR347" s="32">
        <f>IF(Tradingbook_SBV[[#This Row],[Days (year)]]=0,0,INDEX(Ref!$K$2:$K$13,MATCH(Tradingbook_SBV[[#This Row],[Days (year)]],Ref!$I$2:$I$13,1)))</f>
        <v>0</v>
      </c>
      <c r="DS347" s="32" t="str">
        <f>VLOOKUP(Tradingbook_SBV[[#This Row],[Security Name]],Ref!X:Z,3,0)</f>
        <v>TPCP</v>
      </c>
      <c r="DT347" s="32" t="str">
        <f>VLOOKUP(Tradingbook_SBV[[#This Row],[Security Name]],Ref!X:Y,2,0)</f>
        <v>KBNN</v>
      </c>
      <c r="DU347" s="71">
        <f>IF((Tradingbook_SBV[[#This Row],[Mat. Date]]-RPT)&lt;=0,0,Tradingbook_SBV[[#This Row],[QUANTITY]])</f>
        <v>0</v>
      </c>
      <c r="DV347" s="71">
        <f>IF(Tradingbook_SBV[[#This Row],[Quantity_edited]]=0,0,Tradingbook_SBV[[#This Row],[DURATION]])</f>
        <v>0</v>
      </c>
      <c r="DW347" s="71">
        <f>IF(Tradingbook_SBV[[#This Row],[Quantity_edited]]=0,0,Tradingbook_SBV[[#This Row],[Mod Dur]])</f>
        <v>0</v>
      </c>
      <c r="DX347" s="71">
        <f>IF(Tradingbook_SBV[[#This Row],[Quantity_edited]]=0,0,Tradingbook_SBV[[#This Row],[Cnvx.]])</f>
        <v>0</v>
      </c>
      <c r="DY347" s="71">
        <f>(Tradingbook_SBV[[#This Row],[MARKET_VALUE]]+Tradingbook_SBV[[#This Row],[Accr Int]]*Tradingbook_SBV[[#This Row],[Quantity_edited]])*(-Tradingbook_SBV[[#This Row],[Modified Duration]]*0.0001+0.5*Tradingbook_SBV[[#This Row],[Conv]]*(0.0001^2))</f>
        <v>0</v>
      </c>
      <c r="DZ347" s="71">
        <f>(Tradingbook_SBV[[#This Row],[MARKET_VALUE]]+Tradingbook_SBV[[#This Row],[Accr Int]]*Tradingbook_SBV[[#This Row],[Quantity_edited]])*(-Tradingbook_SBV[[#This Row],[Modified Duration]]*0.01+0.5*Tradingbook_SBV[[#This Row],[Conv]]*(0.01^2))</f>
        <v>0</v>
      </c>
      <c r="EC347" t="s">
        <v>166</v>
      </c>
      <c r="ED347" t="s">
        <v>3303</v>
      </c>
      <c r="EE347" t="s">
        <v>3621</v>
      </c>
      <c r="EF347" t="s">
        <v>169</v>
      </c>
      <c r="EG347" s="35" t="s">
        <v>3477</v>
      </c>
      <c r="EH347" t="s">
        <v>3322</v>
      </c>
      <c r="EI347" s="500">
        <v>83825</v>
      </c>
      <c r="EJ347" s="500">
        <v>83825</v>
      </c>
      <c r="EK347" s="500">
        <v>0</v>
      </c>
      <c r="EL347" s="500">
        <v>0</v>
      </c>
      <c r="EM347" s="500">
        <v>0</v>
      </c>
      <c r="EN347" s="500">
        <v>0</v>
      </c>
      <c r="EO347">
        <v>2.9</v>
      </c>
      <c r="EP347">
        <v>1756</v>
      </c>
      <c r="EQ347">
        <v>0</v>
      </c>
      <c r="ER347">
        <v>0</v>
      </c>
      <c r="ES347">
        <v>-2661325514.6805553</v>
      </c>
      <c r="ET347">
        <v>4.5361857890000001</v>
      </c>
      <c r="EU347">
        <v>10.362622375108399</v>
      </c>
      <c r="EV347">
        <v>10.83269018</v>
      </c>
      <c r="EW347">
        <v>133.38669912761429</v>
      </c>
      <c r="EX347">
        <v>0</v>
      </c>
      <c r="EY347">
        <v>0</v>
      </c>
      <c r="EZ347">
        <v>0</v>
      </c>
      <c r="FA347">
        <v>741950000</v>
      </c>
      <c r="FB347">
        <v>0</v>
      </c>
      <c r="FC347">
        <v>741950000</v>
      </c>
      <c r="FD347">
        <v>741950000</v>
      </c>
      <c r="FE347">
        <v>741950000</v>
      </c>
      <c r="FF347">
        <v>741950000</v>
      </c>
      <c r="FG347" s="32">
        <f>Bankingbook_SBV[[#This Row],[Mat. Date]]-RPT</f>
        <v>4892</v>
      </c>
      <c r="FH347" s="32">
        <f>IF(Bankingbook_SBV[[#This Row],[Days]]&lt;=0,0,YEARFRAC(RPT,Bankingbook_SBV[[#This Row],[Mat. Date]],3))</f>
        <v>13.402739726027397</v>
      </c>
      <c r="FI347" s="32" t="str">
        <f>IF(Bankingbook_SBV[[#This Row],[Days (year)]]=0,0,INDEX(Ref!$K$2:$K$13,MATCH(Bankingbook_SBV[[#This Row],[Days (year)]],Ref!$I$2:$I$13,1)))</f>
        <v>15Y</v>
      </c>
      <c r="FJ347" s="32" t="str">
        <f>VLOOKUP(Bankingbook_SBV[[#This Row],[Security Name]],Ref!X:Z,3,0)</f>
        <v>TPCP</v>
      </c>
      <c r="FK347" s="32" t="str">
        <f>VLOOKUP(Bankingbook_SBV[[#This Row],[Security Name]],Ref!X:Y,2,0)</f>
        <v>KBNN</v>
      </c>
      <c r="FL347" s="72">
        <f>IF((Bankingbook_SBV[[#This Row],[Mat. Date]]-RPT)&lt;=0,0,Bankingbook_SBV[[#This Row],[QUANTITY]])</f>
        <v>0</v>
      </c>
      <c r="FM347" s="32">
        <f>IF(Bankingbook_SBV[[#This Row],[Quantity_edited]]=0,0,Bankingbook_SBV[[#This Row],[DURATION]])</f>
        <v>0</v>
      </c>
      <c r="FN347" s="32">
        <f>IF(Bankingbook_SBV[[#This Row],[Quantity_edited]]=0,0,Bankingbook_SBV[[#This Row],[Mod Dur]])</f>
        <v>0</v>
      </c>
      <c r="FO347" s="32">
        <f>IF(Bankingbook_SBV[[#This Row],[Quantity_edited]]=0,0,Bankingbook_SBV[[#This Row],[Cnvx.]])</f>
        <v>0</v>
      </c>
      <c r="FP347" s="32">
        <f>(Bankingbook_SBV[[#This Row],[MARKET_VALUE]]+Bankingbook_SBV[[#This Row],[Accr Int]]*Bankingbook_SBV[[#This Row],[Quantity_edited]])*(-Bankingbook_SBV[[#This Row],[Modified Duration]]*0.0001+0.5*Bankingbook_SBV[[#This Row],[Conv]]*(0.0001^2))</f>
        <v>0</v>
      </c>
      <c r="FQ347" s="32">
        <f>(Bankingbook_SBV[[#This Row],[MARKET_VALUE]]+Bankingbook_SBV[[#This Row],[Accr Int]]*Bankingbook_SBV[[#This Row],[Quantity_edited]])*(-Bankingbook_SBV[[#This Row],[Modified Duration]]*0.01+0.5*Bankingbook_SBV[[#This Row],[Conv]]*(0.01^2))</f>
        <v>0</v>
      </c>
    </row>
    <row r="348" spans="2:173" x14ac:dyDescent="0.3">
      <c r="B348" t="s">
        <v>166</v>
      </c>
      <c r="C348" t="s">
        <v>167</v>
      </c>
      <c r="D348" t="s">
        <v>536</v>
      </c>
      <c r="E348" t="s">
        <v>169</v>
      </c>
      <c r="F348" s="502">
        <v>45535</v>
      </c>
      <c r="G348" t="s">
        <v>3322</v>
      </c>
      <c r="H348"/>
      <c r="I348"/>
      <c r="J348" s="38">
        <v>0</v>
      </c>
      <c r="K348">
        <v>0</v>
      </c>
      <c r="L348">
        <v>0</v>
      </c>
      <c r="M348" s="38">
        <v>0</v>
      </c>
      <c r="N348">
        <v>7.8</v>
      </c>
      <c r="O348">
        <v>0</v>
      </c>
      <c r="P348" s="37">
        <v>23400000000</v>
      </c>
      <c r="Q348" s="37">
        <v>25087914583.333645</v>
      </c>
      <c r="R348" s="37">
        <v>-8732244483.1254005</v>
      </c>
      <c r="S348">
        <v>7.8</v>
      </c>
      <c r="T348" s="70">
        <v>0</v>
      </c>
      <c r="U348">
        <v>0</v>
      </c>
      <c r="V348">
        <v>0</v>
      </c>
      <c r="W348">
        <v>0</v>
      </c>
      <c r="X348" s="38">
        <v>0</v>
      </c>
      <c r="Y348">
        <v>0</v>
      </c>
      <c r="Z348" s="70">
        <v>-5229000000</v>
      </c>
      <c r="AA348" s="70">
        <v>0</v>
      </c>
      <c r="AB348" s="70">
        <v>-5229000000</v>
      </c>
      <c r="AC348" s="70">
        <v>-5229000000</v>
      </c>
      <c r="AD348" s="70">
        <v>-5229000000</v>
      </c>
      <c r="AE348" s="70">
        <v>-5229000000</v>
      </c>
      <c r="AF348">
        <v>0</v>
      </c>
      <c r="AG348" s="72">
        <f>Tradingbook_MSB[[#This Row],[Mat. Date]]-RPT</f>
        <v>-717</v>
      </c>
      <c r="AH348" s="71">
        <f>IF(Tradingbook_MSB[[#This Row],[Days]]&lt;=0,0,YEARFRAC(RPT,Tradingbook_MSB[[#This Row],[Mat. Date]],3))</f>
        <v>0</v>
      </c>
      <c r="AI348" s="71">
        <f>IF(Tradingbook_MSB[[#This Row],[Days (year)]]=0,0,INDEX(Ref!$K$2:$K$13,MATCH(Tradingbook_MSB[[#This Row],[Days (year)]],Ref!$I$2:$I$13,1)))</f>
        <v>0</v>
      </c>
      <c r="AJ348" s="120" t="str">
        <f>VLOOKUP(Tradingbook_MSB[[#This Row],[Security Name]],Ref!X:Z,3,0)</f>
        <v>TPCP</v>
      </c>
      <c r="AK348" s="120" t="str">
        <f>VLOOKUP(Tradingbook_MSB[[#This Row],[Security Name]],Ref!X:Y,2,0)</f>
        <v>KBNN</v>
      </c>
      <c r="AL348" s="71">
        <f>IF((Tradingbook_MSB[[#This Row],[Mat. Date]]-RPT)&lt;=0,0,Tradingbook_MSB[[#This Row],[QUANTITY]])</f>
        <v>0</v>
      </c>
      <c r="AM348" s="71">
        <f>IF(Tradingbook_MSB[[#This Row],[Quantity_edited]]=0,0,Tradingbook_MSB[[#This Row],[DURATION]])</f>
        <v>0</v>
      </c>
      <c r="AN348" s="71">
        <f>IF(Tradingbook_MSB[[#This Row],[Quantity_edited]]=0,0,Tradingbook_MSB[[#This Row],[Mod Dur]])</f>
        <v>0</v>
      </c>
      <c r="AO348" s="71">
        <f>IF(Tradingbook_MSB[[#This Row],[Quantity_edited]]=0,0,Tradingbook_MSB[[#This Row],[Cnvx.]])</f>
        <v>0</v>
      </c>
      <c r="AP348" s="71">
        <f>(Tradingbook_MSB[[#This Row],[MARKET_VALUE]]+Tradingbook_MSB[[#This Row],[Accr Int]]*Tradingbook_MSB[[#This Row],[Quantity_edited]])*(-Tradingbook_MSB[[#This Row],[Modified Duration]]*0.0001+0.5*Tradingbook_MSB[[#This Row],[Conv]]*(0.0001^2))</f>
        <v>0</v>
      </c>
      <c r="AQ348" s="72">
        <f>(Tradingbook_MSB[[#This Row],[MARKET_VALUE]]+Tradingbook_MSB[[#This Row],[Accr Int]]*Tradingbook_MSB[[#This Row],[Quantity_edited]])*(-Tradingbook_MSB[[#This Row],[Modified Duration]]*0.01+0.5*Tradingbook_MSB[[#This Row],[Conv]]*(0.01^2))</f>
        <v>0</v>
      </c>
      <c r="AR348" s="71"/>
      <c r="CL348" t="s">
        <v>166</v>
      </c>
      <c r="CM348" t="s">
        <v>167</v>
      </c>
      <c r="CN348" t="s">
        <v>542</v>
      </c>
      <c r="CO348" t="s">
        <v>169</v>
      </c>
      <c r="CP348" s="35">
        <v>45584</v>
      </c>
      <c r="CQ348" t="s">
        <v>3322</v>
      </c>
      <c r="CR348" t="s">
        <v>174</v>
      </c>
      <c r="CS348" t="s">
        <v>174</v>
      </c>
      <c r="CT348" s="49">
        <v>0</v>
      </c>
      <c r="CU348">
        <v>0</v>
      </c>
      <c r="CV348">
        <v>0</v>
      </c>
      <c r="CW348" s="70">
        <v>0</v>
      </c>
      <c r="CX348">
        <v>4.8</v>
      </c>
      <c r="CY348">
        <v>0</v>
      </c>
      <c r="CZ348">
        <v>2400000000</v>
      </c>
      <c r="DA348">
        <v>2691017666.6666708</v>
      </c>
      <c r="DB348">
        <v>-2399029161.4278255</v>
      </c>
      <c r="DC348">
        <v>4.8</v>
      </c>
      <c r="DD348">
        <v>0</v>
      </c>
      <c r="DE348">
        <v>0</v>
      </c>
      <c r="DF348">
        <v>0</v>
      </c>
      <c r="DG348">
        <v>0</v>
      </c>
      <c r="DH348">
        <v>0</v>
      </c>
      <c r="DI348">
        <v>0</v>
      </c>
      <c r="DJ348" s="500">
        <v>397580000</v>
      </c>
      <c r="DK348" s="500">
        <v>0</v>
      </c>
      <c r="DL348" s="37">
        <v>397580000</v>
      </c>
      <c r="DM348" s="37">
        <v>397580000</v>
      </c>
      <c r="DN348" s="37">
        <v>397580000</v>
      </c>
      <c r="DO348" s="37">
        <v>397580000</v>
      </c>
      <c r="DP348" s="32">
        <f>Tradingbook_SBV[[#This Row],[Mat. Date]]-RPT</f>
        <v>-668</v>
      </c>
      <c r="DQ348" s="32">
        <f>IF(Tradingbook_SBV[[#This Row],[Days]]&lt;=0,0,YEARFRAC(RPT,Tradingbook_SBV[[#This Row],[Mat. Date]],3))</f>
        <v>0</v>
      </c>
      <c r="DR348" s="32">
        <f>IF(Tradingbook_SBV[[#This Row],[Days (year)]]=0,0,INDEX(Ref!$K$2:$K$13,MATCH(Tradingbook_SBV[[#This Row],[Days (year)]],Ref!$I$2:$I$13,1)))</f>
        <v>0</v>
      </c>
      <c r="DS348" s="32" t="str">
        <f>VLOOKUP(Tradingbook_SBV[[#This Row],[Security Name]],Ref!X:Z,3,0)</f>
        <v>TPCP</v>
      </c>
      <c r="DT348" s="32" t="str">
        <f>VLOOKUP(Tradingbook_SBV[[#This Row],[Security Name]],Ref!X:Y,2,0)</f>
        <v>KBNN</v>
      </c>
      <c r="DU348" s="71">
        <f>IF((Tradingbook_SBV[[#This Row],[Mat. Date]]-RPT)&lt;=0,0,Tradingbook_SBV[[#This Row],[QUANTITY]])</f>
        <v>0</v>
      </c>
      <c r="DV348" s="71">
        <f>IF(Tradingbook_SBV[[#This Row],[Quantity_edited]]=0,0,Tradingbook_SBV[[#This Row],[DURATION]])</f>
        <v>0</v>
      </c>
      <c r="DW348" s="71">
        <f>IF(Tradingbook_SBV[[#This Row],[Quantity_edited]]=0,0,Tradingbook_SBV[[#This Row],[Mod Dur]])</f>
        <v>0</v>
      </c>
      <c r="DX348" s="71">
        <f>IF(Tradingbook_SBV[[#This Row],[Quantity_edited]]=0,0,Tradingbook_SBV[[#This Row],[Cnvx.]])</f>
        <v>0</v>
      </c>
      <c r="DY348" s="71">
        <f>(Tradingbook_SBV[[#This Row],[MARKET_VALUE]]+Tradingbook_SBV[[#This Row],[Accr Int]]*Tradingbook_SBV[[#This Row],[Quantity_edited]])*(-Tradingbook_SBV[[#This Row],[Modified Duration]]*0.0001+0.5*Tradingbook_SBV[[#This Row],[Conv]]*(0.0001^2))</f>
        <v>0</v>
      </c>
      <c r="DZ348" s="71">
        <f>(Tradingbook_SBV[[#This Row],[MARKET_VALUE]]+Tradingbook_SBV[[#This Row],[Accr Int]]*Tradingbook_SBV[[#This Row],[Quantity_edited]])*(-Tradingbook_SBV[[#This Row],[Modified Duration]]*0.01+0.5*Tradingbook_SBV[[#This Row],[Conv]]*(0.01^2))</f>
        <v>0</v>
      </c>
      <c r="EC348" t="s">
        <v>166</v>
      </c>
      <c r="ED348" t="s">
        <v>3303</v>
      </c>
      <c r="EE348" t="s">
        <v>713</v>
      </c>
      <c r="EF348" t="s">
        <v>169</v>
      </c>
      <c r="EG348" s="35" t="s">
        <v>3478</v>
      </c>
      <c r="EH348" t="s">
        <v>170</v>
      </c>
      <c r="EI348" s="500">
        <v>87240</v>
      </c>
      <c r="EJ348" s="500">
        <v>87240</v>
      </c>
      <c r="EK348" s="500">
        <v>10000000</v>
      </c>
      <c r="EL348" s="500">
        <v>1000000000000</v>
      </c>
      <c r="EM348" s="500">
        <v>102419.102</v>
      </c>
      <c r="EN348" s="500">
        <v>872400000000</v>
      </c>
      <c r="EO348">
        <v>3.3</v>
      </c>
      <c r="EP348">
        <v>-18</v>
      </c>
      <c r="EQ348">
        <v>110220000000</v>
      </c>
      <c r="ER348">
        <v>116940756533.33325</v>
      </c>
      <c r="ES348">
        <v>-112908838913.35515</v>
      </c>
      <c r="ET348">
        <v>4.5520935729999996</v>
      </c>
      <c r="EU348">
        <v>10.734901679093401</v>
      </c>
      <c r="EV348">
        <v>11.22356445</v>
      </c>
      <c r="EW348">
        <v>142.41581795648381</v>
      </c>
      <c r="EX348">
        <v>1242179.2473800427</v>
      </c>
      <c r="EY348">
        <v>-936319.594253883</v>
      </c>
      <c r="EZ348">
        <v>106382.114</v>
      </c>
      <c r="FA348">
        <v>-61900220158.730392</v>
      </c>
      <c r="FB348">
        <v>-151791019841.26987</v>
      </c>
      <c r="FC348">
        <v>-213691240000.00024</v>
      </c>
      <c r="FD348">
        <v>-213691240000.00024</v>
      </c>
      <c r="FE348">
        <v>-213691240000</v>
      </c>
      <c r="FF348">
        <v>-213691240000.00024</v>
      </c>
      <c r="FG348" s="32">
        <f>Bankingbook_SBV[[#This Row],[Mat. Date]]-RPT</f>
        <v>5116</v>
      </c>
      <c r="FH348" s="32">
        <f>IF(Bankingbook_SBV[[#This Row],[Days]]&lt;=0,0,YEARFRAC(RPT,Bankingbook_SBV[[#This Row],[Mat. Date]],3))</f>
        <v>14.016438356164384</v>
      </c>
      <c r="FI348" s="32" t="str">
        <f>IF(Bankingbook_SBV[[#This Row],[Days (year)]]=0,0,INDEX(Ref!$K$2:$K$13,MATCH(Bankingbook_SBV[[#This Row],[Days (year)]],Ref!$I$2:$I$13,1)))</f>
        <v>15Y</v>
      </c>
      <c r="FJ348" s="32" t="str">
        <f>VLOOKUP(Bankingbook_SBV[[#This Row],[Security Name]],Ref!X:Z,3,0)</f>
        <v>TPCP</v>
      </c>
      <c r="FK348" s="32" t="str">
        <f>VLOOKUP(Bankingbook_SBV[[#This Row],[Security Name]],Ref!X:Y,2,0)</f>
        <v>KBNN</v>
      </c>
      <c r="FL348" s="72">
        <f>IF((Bankingbook_SBV[[#This Row],[Mat. Date]]-RPT)&lt;=0,0,Bankingbook_SBV[[#This Row],[QUANTITY]])</f>
        <v>10000000</v>
      </c>
      <c r="FM348" s="32">
        <f>IF(Bankingbook_SBV[[#This Row],[Quantity_edited]]=0,0,Bankingbook_SBV[[#This Row],[DURATION]])</f>
        <v>11.22356445</v>
      </c>
      <c r="FN348" s="32">
        <f>IF(Bankingbook_SBV[[#This Row],[Quantity_edited]]=0,0,Bankingbook_SBV[[#This Row],[Mod Dur]])</f>
        <v>10.734901679093401</v>
      </c>
      <c r="FO348" s="32">
        <f>IF(Bankingbook_SBV[[#This Row],[Quantity_edited]]=0,0,Bankingbook_SBV[[#This Row],[Cnvx.]])</f>
        <v>142.41581795648381</v>
      </c>
      <c r="FP348" s="32">
        <f>(Bankingbook_SBV[[#This Row],[MARKET_VALUE]]+Bankingbook_SBV[[#This Row],[Accr Int]]*Bankingbook_SBV[[#This Row],[Quantity_edited]])*(-Bankingbook_SBV[[#This Row],[Modified Duration]]*0.0001+0.5*Bankingbook_SBV[[#This Row],[Conv]]*(0.0001^2))</f>
        <v>-935698504.63019466</v>
      </c>
      <c r="FQ348" s="32">
        <f>(Bankingbook_SBV[[#This Row],[MARKET_VALUE]]+Bankingbook_SBV[[#This Row],[Accr Int]]*Bankingbook_SBV[[#This Row],[Quantity_edited]])*(-Bankingbook_SBV[[#This Row],[Modified Duration]]*0.01+0.5*Bankingbook_SBV[[#This Row],[Conv]]*(0.01^2))</f>
        <v>-87421063188.488235</v>
      </c>
    </row>
    <row r="349" spans="2:173" x14ac:dyDescent="0.3">
      <c r="B349" t="s">
        <v>166</v>
      </c>
      <c r="C349" t="s">
        <v>167</v>
      </c>
      <c r="D349" t="s">
        <v>537</v>
      </c>
      <c r="E349" t="s">
        <v>169</v>
      </c>
      <c r="F349" s="502">
        <v>45547</v>
      </c>
      <c r="G349" t="s">
        <v>3322</v>
      </c>
      <c r="H349"/>
      <c r="I349"/>
      <c r="J349" s="38">
        <v>0</v>
      </c>
      <c r="K349">
        <v>0</v>
      </c>
      <c r="L349">
        <v>0</v>
      </c>
      <c r="M349" s="38">
        <v>0</v>
      </c>
      <c r="N349">
        <v>3.1</v>
      </c>
      <c r="O349">
        <v>0</v>
      </c>
      <c r="P349" s="37">
        <v>0</v>
      </c>
      <c r="Q349" s="37">
        <v>0</v>
      </c>
      <c r="R349" s="37">
        <v>-6201494.4444446564</v>
      </c>
      <c r="S349">
        <v>3.1</v>
      </c>
      <c r="T349" s="70">
        <v>0</v>
      </c>
      <c r="U349">
        <v>0</v>
      </c>
      <c r="V349">
        <v>0</v>
      </c>
      <c r="W349">
        <v>0</v>
      </c>
      <c r="X349" s="38">
        <v>0</v>
      </c>
      <c r="Y349">
        <v>0</v>
      </c>
      <c r="Z349" s="70">
        <v>65500000</v>
      </c>
      <c r="AA349" s="70">
        <v>0</v>
      </c>
      <c r="AB349" s="70">
        <v>65500000</v>
      </c>
      <c r="AC349" s="70">
        <v>65500000</v>
      </c>
      <c r="AD349" s="70">
        <v>65500000</v>
      </c>
      <c r="AE349" s="70">
        <v>65500000</v>
      </c>
      <c r="AF349">
        <v>0</v>
      </c>
      <c r="AG349" s="72">
        <f>Tradingbook_MSB[[#This Row],[Mat. Date]]-RPT</f>
        <v>-705</v>
      </c>
      <c r="AH349" s="71">
        <f>IF(Tradingbook_MSB[[#This Row],[Days]]&lt;=0,0,YEARFRAC(RPT,Tradingbook_MSB[[#This Row],[Mat. Date]],3))</f>
        <v>0</v>
      </c>
      <c r="AI349" s="71">
        <f>IF(Tradingbook_MSB[[#This Row],[Days (year)]]=0,0,INDEX(Ref!$K$2:$K$13,MATCH(Tradingbook_MSB[[#This Row],[Days (year)]],Ref!$I$2:$I$13,1)))</f>
        <v>0</v>
      </c>
      <c r="AJ349" s="120" t="str">
        <f>VLOOKUP(Tradingbook_MSB[[#This Row],[Security Name]],Ref!X:Z,3,0)</f>
        <v>TPCP</v>
      </c>
      <c r="AK349" s="120" t="str">
        <f>VLOOKUP(Tradingbook_MSB[[#This Row],[Security Name]],Ref!X:Y,2,0)</f>
        <v>KBNN</v>
      </c>
      <c r="AL349" s="71">
        <f>IF((Tradingbook_MSB[[#This Row],[Mat. Date]]-RPT)&lt;=0,0,Tradingbook_MSB[[#This Row],[QUANTITY]])</f>
        <v>0</v>
      </c>
      <c r="AM349" s="71">
        <f>IF(Tradingbook_MSB[[#This Row],[Quantity_edited]]=0,0,Tradingbook_MSB[[#This Row],[DURATION]])</f>
        <v>0</v>
      </c>
      <c r="AN349" s="71">
        <f>IF(Tradingbook_MSB[[#This Row],[Quantity_edited]]=0,0,Tradingbook_MSB[[#This Row],[Mod Dur]])</f>
        <v>0</v>
      </c>
      <c r="AO349" s="71">
        <f>IF(Tradingbook_MSB[[#This Row],[Quantity_edited]]=0,0,Tradingbook_MSB[[#This Row],[Cnvx.]])</f>
        <v>0</v>
      </c>
      <c r="AP349" s="71">
        <f>(Tradingbook_MSB[[#This Row],[MARKET_VALUE]]+Tradingbook_MSB[[#This Row],[Accr Int]]*Tradingbook_MSB[[#This Row],[Quantity_edited]])*(-Tradingbook_MSB[[#This Row],[Modified Duration]]*0.0001+0.5*Tradingbook_MSB[[#This Row],[Conv]]*(0.0001^2))</f>
        <v>0</v>
      </c>
      <c r="AQ349" s="72">
        <f>(Tradingbook_MSB[[#This Row],[MARKET_VALUE]]+Tradingbook_MSB[[#This Row],[Accr Int]]*Tradingbook_MSB[[#This Row],[Quantity_edited]])*(-Tradingbook_MSB[[#This Row],[Modified Duration]]*0.01+0.5*Tradingbook_MSB[[#This Row],[Conv]]*(0.01^2))</f>
        <v>0</v>
      </c>
      <c r="AR349" s="71"/>
      <c r="CL349" t="s">
        <v>166</v>
      </c>
      <c r="CM349" t="s">
        <v>167</v>
      </c>
      <c r="CN349" t="s">
        <v>546</v>
      </c>
      <c r="CO349" t="s">
        <v>169</v>
      </c>
      <c r="CP349" s="35">
        <v>45668</v>
      </c>
      <c r="CQ349" t="s">
        <v>3322</v>
      </c>
      <c r="CR349" t="s">
        <v>174</v>
      </c>
      <c r="CS349" t="s">
        <v>174</v>
      </c>
      <c r="CT349" s="49">
        <v>0</v>
      </c>
      <c r="CU349">
        <v>0</v>
      </c>
      <c r="CV349">
        <v>0</v>
      </c>
      <c r="CW349" s="70">
        <v>0</v>
      </c>
      <c r="CX349">
        <v>4.3</v>
      </c>
      <c r="CY349">
        <v>0</v>
      </c>
      <c r="CZ349">
        <v>8600000000</v>
      </c>
      <c r="DA349">
        <v>9639188166.6666222</v>
      </c>
      <c r="DB349">
        <v>-16581571552.91687</v>
      </c>
      <c r="DC349">
        <v>4.3</v>
      </c>
      <c r="DD349">
        <v>0</v>
      </c>
      <c r="DE349">
        <v>0</v>
      </c>
      <c r="DF349">
        <v>0</v>
      </c>
      <c r="DG349">
        <v>0</v>
      </c>
      <c r="DH349">
        <v>0</v>
      </c>
      <c r="DI349">
        <v>0</v>
      </c>
      <c r="DJ349" s="500">
        <v>11851000000</v>
      </c>
      <c r="DK349" s="500">
        <v>0</v>
      </c>
      <c r="DL349" s="37">
        <v>11851000000</v>
      </c>
      <c r="DM349" s="37">
        <v>11851000000</v>
      </c>
      <c r="DN349" s="37">
        <v>11851000000</v>
      </c>
      <c r="DO349" s="37">
        <v>11851000000</v>
      </c>
      <c r="DP349" s="32">
        <f>Tradingbook_SBV[[#This Row],[Mat. Date]]-RPT</f>
        <v>-584</v>
      </c>
      <c r="DQ349" s="32">
        <f>IF(Tradingbook_SBV[[#This Row],[Days]]&lt;=0,0,YEARFRAC(RPT,Tradingbook_SBV[[#This Row],[Mat. Date]],3))</f>
        <v>0</v>
      </c>
      <c r="DR349" s="32">
        <f>IF(Tradingbook_SBV[[#This Row],[Days (year)]]=0,0,INDEX(Ref!$K$2:$K$13,MATCH(Tradingbook_SBV[[#This Row],[Days (year)]],Ref!$I$2:$I$13,1)))</f>
        <v>0</v>
      </c>
      <c r="DS349" s="32" t="str">
        <f>VLOOKUP(Tradingbook_SBV[[#This Row],[Security Name]],Ref!X:Z,3,0)</f>
        <v>TPCP</v>
      </c>
      <c r="DT349" s="32" t="str">
        <f>VLOOKUP(Tradingbook_SBV[[#This Row],[Security Name]],Ref!X:Y,2,0)</f>
        <v>KBNN</v>
      </c>
      <c r="DU349" s="71">
        <f>IF((Tradingbook_SBV[[#This Row],[Mat. Date]]-RPT)&lt;=0,0,Tradingbook_SBV[[#This Row],[QUANTITY]])</f>
        <v>0</v>
      </c>
      <c r="DV349" s="71">
        <f>IF(Tradingbook_SBV[[#This Row],[Quantity_edited]]=0,0,Tradingbook_SBV[[#This Row],[DURATION]])</f>
        <v>0</v>
      </c>
      <c r="DW349" s="71">
        <f>IF(Tradingbook_SBV[[#This Row],[Quantity_edited]]=0,0,Tradingbook_SBV[[#This Row],[Mod Dur]])</f>
        <v>0</v>
      </c>
      <c r="DX349" s="71">
        <f>IF(Tradingbook_SBV[[#This Row],[Quantity_edited]]=0,0,Tradingbook_SBV[[#This Row],[Cnvx.]])</f>
        <v>0</v>
      </c>
      <c r="DY349" s="71">
        <f>(Tradingbook_SBV[[#This Row],[MARKET_VALUE]]+Tradingbook_SBV[[#This Row],[Accr Int]]*Tradingbook_SBV[[#This Row],[Quantity_edited]])*(-Tradingbook_SBV[[#This Row],[Modified Duration]]*0.0001+0.5*Tradingbook_SBV[[#This Row],[Conv]]*(0.0001^2))</f>
        <v>0</v>
      </c>
      <c r="DZ349" s="71">
        <f>(Tradingbook_SBV[[#This Row],[MARKET_VALUE]]+Tradingbook_SBV[[#This Row],[Accr Int]]*Tradingbook_SBV[[#This Row],[Quantity_edited]])*(-Tradingbook_SBV[[#This Row],[Modified Duration]]*0.01+0.5*Tradingbook_SBV[[#This Row],[Conv]]*(0.01^2))</f>
        <v>0</v>
      </c>
      <c r="EC349" t="s">
        <v>166</v>
      </c>
      <c r="ED349" t="s">
        <v>3303</v>
      </c>
      <c r="EE349" t="s">
        <v>714</v>
      </c>
      <c r="EF349" t="s">
        <v>169</v>
      </c>
      <c r="EG349" s="35" t="s">
        <v>3845</v>
      </c>
      <c r="EH349" t="s">
        <v>3322</v>
      </c>
      <c r="EI349" s="500">
        <v>81666</v>
      </c>
      <c r="EJ349" s="500">
        <v>81666</v>
      </c>
      <c r="EK349" s="500">
        <v>0</v>
      </c>
      <c r="EL349" s="500">
        <v>0</v>
      </c>
      <c r="EM349" s="500">
        <v>0</v>
      </c>
      <c r="EN349" s="500">
        <v>0</v>
      </c>
      <c r="EO349">
        <v>2.8</v>
      </c>
      <c r="EP349">
        <v>1657</v>
      </c>
      <c r="EQ349">
        <v>0</v>
      </c>
      <c r="ER349">
        <v>-1.9999999999999999E-6</v>
      </c>
      <c r="ES349">
        <v>-1137018820.5166388</v>
      </c>
      <c r="ET349">
        <v>4.5625832180000003</v>
      </c>
      <c r="EU349">
        <v>11.017805410770601</v>
      </c>
      <c r="EV349">
        <v>11.52050195</v>
      </c>
      <c r="EW349">
        <v>151.13390137431171</v>
      </c>
      <c r="EX349">
        <v>0</v>
      </c>
      <c r="EY349">
        <v>0</v>
      </c>
      <c r="EZ349">
        <v>0</v>
      </c>
      <c r="FA349">
        <v>-5980430000</v>
      </c>
      <c r="FB349">
        <v>0</v>
      </c>
      <c r="FC349">
        <v>-5980430000</v>
      </c>
      <c r="FD349">
        <v>-5980430000</v>
      </c>
      <c r="FE349">
        <v>-5980430000</v>
      </c>
      <c r="FF349">
        <v>-5980430000</v>
      </c>
      <c r="FG349" s="32">
        <f>Bankingbook_SBV[[#This Row],[Mat. Date]]-RPT</f>
        <v>5263</v>
      </c>
      <c r="FH349" s="32">
        <f>IF(Bankingbook_SBV[[#This Row],[Days]]&lt;=0,0,YEARFRAC(RPT,Bankingbook_SBV[[#This Row],[Mat. Date]],3))</f>
        <v>14.419178082191781</v>
      </c>
      <c r="FI349" s="32" t="str">
        <f>IF(Bankingbook_SBV[[#This Row],[Days (year)]]=0,0,INDEX(Ref!$K$2:$K$13,MATCH(Bankingbook_SBV[[#This Row],[Days (year)]],Ref!$I$2:$I$13,1)))</f>
        <v>15Y</v>
      </c>
      <c r="FJ349" s="32" t="str">
        <f>VLOOKUP(Bankingbook_SBV[[#This Row],[Security Name]],Ref!X:Z,3,0)</f>
        <v>TPCP</v>
      </c>
      <c r="FK349" s="32" t="str">
        <f>VLOOKUP(Bankingbook_SBV[[#This Row],[Security Name]],Ref!X:Y,2,0)</f>
        <v>KBNN</v>
      </c>
      <c r="FL349" s="72">
        <f>IF((Bankingbook_SBV[[#This Row],[Mat. Date]]-RPT)&lt;=0,0,Bankingbook_SBV[[#This Row],[QUANTITY]])</f>
        <v>0</v>
      </c>
      <c r="FM349" s="32">
        <f>IF(Bankingbook_SBV[[#This Row],[Quantity_edited]]=0,0,Bankingbook_SBV[[#This Row],[DURATION]])</f>
        <v>0</v>
      </c>
      <c r="FN349" s="32">
        <f>IF(Bankingbook_SBV[[#This Row],[Quantity_edited]]=0,0,Bankingbook_SBV[[#This Row],[Mod Dur]])</f>
        <v>0</v>
      </c>
      <c r="FO349" s="32">
        <f>IF(Bankingbook_SBV[[#This Row],[Quantity_edited]]=0,0,Bankingbook_SBV[[#This Row],[Cnvx.]])</f>
        <v>0</v>
      </c>
      <c r="FP349" s="32">
        <f>(Bankingbook_SBV[[#This Row],[MARKET_VALUE]]+Bankingbook_SBV[[#This Row],[Accr Int]]*Bankingbook_SBV[[#This Row],[Quantity_edited]])*(-Bankingbook_SBV[[#This Row],[Modified Duration]]*0.0001+0.5*Bankingbook_SBV[[#This Row],[Conv]]*(0.0001^2))</f>
        <v>0</v>
      </c>
      <c r="FQ349" s="32">
        <f>(Bankingbook_SBV[[#This Row],[MARKET_VALUE]]+Bankingbook_SBV[[#This Row],[Accr Int]]*Bankingbook_SBV[[#This Row],[Quantity_edited]])*(-Bankingbook_SBV[[#This Row],[Modified Duration]]*0.01+0.5*Bankingbook_SBV[[#This Row],[Conv]]*(0.01^2))</f>
        <v>0</v>
      </c>
    </row>
    <row r="350" spans="2:173" x14ac:dyDescent="0.3">
      <c r="B350" t="s">
        <v>166</v>
      </c>
      <c r="C350" t="s">
        <v>167</v>
      </c>
      <c r="D350" t="s">
        <v>538</v>
      </c>
      <c r="E350" t="s">
        <v>169</v>
      </c>
      <c r="F350" s="502">
        <v>45550</v>
      </c>
      <c r="G350" t="s">
        <v>3322</v>
      </c>
      <c r="H350"/>
      <c r="I350"/>
      <c r="J350" s="38">
        <v>0</v>
      </c>
      <c r="K350">
        <v>0</v>
      </c>
      <c r="L350">
        <v>0</v>
      </c>
      <c r="M350" s="38">
        <v>0</v>
      </c>
      <c r="N350">
        <v>7.3</v>
      </c>
      <c r="O350">
        <v>0</v>
      </c>
      <c r="P350" s="37">
        <v>14600000000</v>
      </c>
      <c r="Q350" s="37">
        <v>16091137541.666603</v>
      </c>
      <c r="R350" s="37">
        <v>-5915410051.7361059</v>
      </c>
      <c r="S350">
        <v>7.3</v>
      </c>
      <c r="T350" s="70">
        <v>0</v>
      </c>
      <c r="U350">
        <v>0</v>
      </c>
      <c r="V350">
        <v>0</v>
      </c>
      <c r="W350">
        <v>0</v>
      </c>
      <c r="X350" s="38">
        <v>0</v>
      </c>
      <c r="Y350">
        <v>0</v>
      </c>
      <c r="Z350" s="70">
        <v>12462500000</v>
      </c>
      <c r="AA350" s="70">
        <v>0</v>
      </c>
      <c r="AB350" s="70">
        <v>12462500000</v>
      </c>
      <c r="AC350" s="70">
        <v>12462500000</v>
      </c>
      <c r="AD350" s="70">
        <v>12462500000</v>
      </c>
      <c r="AE350" s="70">
        <v>12462500000</v>
      </c>
      <c r="AF350">
        <v>0</v>
      </c>
      <c r="AG350" s="72">
        <f>Tradingbook_MSB[[#This Row],[Mat. Date]]-RPT</f>
        <v>-702</v>
      </c>
      <c r="AH350" s="71">
        <f>IF(Tradingbook_MSB[[#This Row],[Days]]&lt;=0,0,YEARFRAC(RPT,Tradingbook_MSB[[#This Row],[Mat. Date]],3))</f>
        <v>0</v>
      </c>
      <c r="AI350" s="71">
        <f>IF(Tradingbook_MSB[[#This Row],[Days (year)]]=0,0,INDEX(Ref!$K$2:$K$13,MATCH(Tradingbook_MSB[[#This Row],[Days (year)]],Ref!$I$2:$I$13,1)))</f>
        <v>0</v>
      </c>
      <c r="AJ350" s="120" t="str">
        <f>VLOOKUP(Tradingbook_MSB[[#This Row],[Security Name]],Ref!X:Z,3,0)</f>
        <v>TPCP</v>
      </c>
      <c r="AK350" s="120" t="str">
        <f>VLOOKUP(Tradingbook_MSB[[#This Row],[Security Name]],Ref!X:Y,2,0)</f>
        <v>KBNN</v>
      </c>
      <c r="AL350" s="71">
        <f>IF((Tradingbook_MSB[[#This Row],[Mat. Date]]-RPT)&lt;=0,0,Tradingbook_MSB[[#This Row],[QUANTITY]])</f>
        <v>0</v>
      </c>
      <c r="AM350" s="71">
        <f>IF(Tradingbook_MSB[[#This Row],[Quantity_edited]]=0,0,Tradingbook_MSB[[#This Row],[DURATION]])</f>
        <v>0</v>
      </c>
      <c r="AN350" s="71">
        <f>IF(Tradingbook_MSB[[#This Row],[Quantity_edited]]=0,0,Tradingbook_MSB[[#This Row],[Mod Dur]])</f>
        <v>0</v>
      </c>
      <c r="AO350" s="71">
        <f>IF(Tradingbook_MSB[[#This Row],[Quantity_edited]]=0,0,Tradingbook_MSB[[#This Row],[Cnvx.]])</f>
        <v>0</v>
      </c>
      <c r="AP350" s="71">
        <f>(Tradingbook_MSB[[#This Row],[MARKET_VALUE]]+Tradingbook_MSB[[#This Row],[Accr Int]]*Tradingbook_MSB[[#This Row],[Quantity_edited]])*(-Tradingbook_MSB[[#This Row],[Modified Duration]]*0.0001+0.5*Tradingbook_MSB[[#This Row],[Conv]]*(0.0001^2))</f>
        <v>0</v>
      </c>
      <c r="AQ350" s="72">
        <f>(Tradingbook_MSB[[#This Row],[MARKET_VALUE]]+Tradingbook_MSB[[#This Row],[Accr Int]]*Tradingbook_MSB[[#This Row],[Quantity_edited]])*(-Tradingbook_MSB[[#This Row],[Modified Duration]]*0.01+0.5*Tradingbook_MSB[[#This Row],[Conv]]*(0.01^2))</f>
        <v>0</v>
      </c>
      <c r="AR350" s="71"/>
      <c r="CL350" t="s">
        <v>166</v>
      </c>
      <c r="CM350" t="s">
        <v>167</v>
      </c>
      <c r="CN350" t="s">
        <v>547</v>
      </c>
      <c r="CO350" t="s">
        <v>169</v>
      </c>
      <c r="CP350" s="35">
        <v>45688</v>
      </c>
      <c r="CQ350" t="s">
        <v>3322</v>
      </c>
      <c r="CR350" t="s">
        <v>174</v>
      </c>
      <c r="CS350" t="s">
        <v>174</v>
      </c>
      <c r="CT350" s="49">
        <v>0</v>
      </c>
      <c r="CU350">
        <v>0</v>
      </c>
      <c r="CV350">
        <v>0</v>
      </c>
      <c r="CW350" s="70">
        <v>0</v>
      </c>
      <c r="CX350">
        <v>6.5</v>
      </c>
      <c r="CY350">
        <v>0</v>
      </c>
      <c r="CZ350">
        <v>3250000000</v>
      </c>
      <c r="DA350">
        <v>3642729999.9999962</v>
      </c>
      <c r="DB350">
        <v>-2285903470.5694122</v>
      </c>
      <c r="DC350">
        <v>6.5</v>
      </c>
      <c r="DD350">
        <v>0</v>
      </c>
      <c r="DE350">
        <v>0</v>
      </c>
      <c r="DF350">
        <v>0</v>
      </c>
      <c r="DG350">
        <v>0</v>
      </c>
      <c r="DH350">
        <v>0</v>
      </c>
      <c r="DI350">
        <v>0</v>
      </c>
      <c r="DJ350" s="500">
        <v>11205000000</v>
      </c>
      <c r="DK350" s="500">
        <v>0</v>
      </c>
      <c r="DL350" s="37">
        <v>11205000000</v>
      </c>
      <c r="DM350" s="37">
        <v>11205000000</v>
      </c>
      <c r="DN350" s="37">
        <v>11205000000</v>
      </c>
      <c r="DO350" s="37">
        <v>11205000000</v>
      </c>
      <c r="DP350" s="32">
        <f>Tradingbook_SBV[[#This Row],[Mat. Date]]-RPT</f>
        <v>-564</v>
      </c>
      <c r="DQ350" s="32">
        <f>IF(Tradingbook_SBV[[#This Row],[Days]]&lt;=0,0,YEARFRAC(RPT,Tradingbook_SBV[[#This Row],[Mat. Date]],3))</f>
        <v>0</v>
      </c>
      <c r="DR350" s="32">
        <f>IF(Tradingbook_SBV[[#This Row],[Days (year)]]=0,0,INDEX(Ref!$K$2:$K$13,MATCH(Tradingbook_SBV[[#This Row],[Days (year)]],Ref!$I$2:$I$13,1)))</f>
        <v>0</v>
      </c>
      <c r="DS350" s="32" t="str">
        <f>VLOOKUP(Tradingbook_SBV[[#This Row],[Security Name]],Ref!X:Z,3,0)</f>
        <v>TPCP</v>
      </c>
      <c r="DT350" s="32" t="str">
        <f>VLOOKUP(Tradingbook_SBV[[#This Row],[Security Name]],Ref!X:Y,2,0)</f>
        <v>KBNN</v>
      </c>
      <c r="DU350" s="71">
        <f>IF((Tradingbook_SBV[[#This Row],[Mat. Date]]-RPT)&lt;=0,0,Tradingbook_SBV[[#This Row],[QUANTITY]])</f>
        <v>0</v>
      </c>
      <c r="DV350" s="71">
        <f>IF(Tradingbook_SBV[[#This Row],[Quantity_edited]]=0,0,Tradingbook_SBV[[#This Row],[DURATION]])</f>
        <v>0</v>
      </c>
      <c r="DW350" s="71">
        <f>IF(Tradingbook_SBV[[#This Row],[Quantity_edited]]=0,0,Tradingbook_SBV[[#This Row],[Mod Dur]])</f>
        <v>0</v>
      </c>
      <c r="DX350" s="71">
        <f>IF(Tradingbook_SBV[[#This Row],[Quantity_edited]]=0,0,Tradingbook_SBV[[#This Row],[Cnvx.]])</f>
        <v>0</v>
      </c>
      <c r="DY350" s="71">
        <f>(Tradingbook_SBV[[#This Row],[MARKET_VALUE]]+Tradingbook_SBV[[#This Row],[Accr Int]]*Tradingbook_SBV[[#This Row],[Quantity_edited]])*(-Tradingbook_SBV[[#This Row],[Modified Duration]]*0.0001+0.5*Tradingbook_SBV[[#This Row],[Conv]]*(0.0001^2))</f>
        <v>0</v>
      </c>
      <c r="DZ350" s="71">
        <f>(Tradingbook_SBV[[#This Row],[MARKET_VALUE]]+Tradingbook_SBV[[#This Row],[Accr Int]]*Tradingbook_SBV[[#This Row],[Quantity_edited]])*(-Tradingbook_SBV[[#This Row],[Modified Duration]]*0.01+0.5*Tradingbook_SBV[[#This Row],[Conv]]*(0.01^2))</f>
        <v>0</v>
      </c>
      <c r="EC350" t="s">
        <v>166</v>
      </c>
      <c r="ED350" t="s">
        <v>3303</v>
      </c>
      <c r="EE350" t="s">
        <v>715</v>
      </c>
      <c r="EF350" t="s">
        <v>169</v>
      </c>
      <c r="EG350" s="35" t="s">
        <v>3846</v>
      </c>
      <c r="EH350" t="s">
        <v>3322</v>
      </c>
      <c r="EI350" s="500">
        <v>79629</v>
      </c>
      <c r="EJ350" s="500">
        <v>79629</v>
      </c>
      <c r="EK350" s="500">
        <v>0</v>
      </c>
      <c r="EL350" s="500">
        <v>0</v>
      </c>
      <c r="EM350" s="500">
        <v>0</v>
      </c>
      <c r="EN350" s="500">
        <v>0</v>
      </c>
      <c r="EO350">
        <v>2.7</v>
      </c>
      <c r="EP350">
        <v>1968</v>
      </c>
      <c r="EQ350">
        <v>0</v>
      </c>
      <c r="ER350">
        <v>-3.1000000000000001E-5</v>
      </c>
      <c r="ES350">
        <v>-18081722021.333138</v>
      </c>
      <c r="ET350">
        <v>4.5827418550000001</v>
      </c>
      <c r="EU350">
        <v>11.519586653810601</v>
      </c>
      <c r="EV350">
        <v>12.047499569999999</v>
      </c>
      <c r="EW350">
        <v>166.33191274209079</v>
      </c>
      <c r="EX350">
        <v>0</v>
      </c>
      <c r="EY350">
        <v>0</v>
      </c>
      <c r="EZ350">
        <v>0</v>
      </c>
      <c r="FA350">
        <v>-241010000.00048828</v>
      </c>
      <c r="FB350">
        <v>0</v>
      </c>
      <c r="FC350">
        <v>-241010000.00048831</v>
      </c>
      <c r="FD350">
        <v>-241010000.00048831</v>
      </c>
      <c r="FE350">
        <v>-241010000</v>
      </c>
      <c r="FF350">
        <v>-241010000.00048831</v>
      </c>
      <c r="FG350" s="32">
        <f>Bankingbook_SBV[[#This Row],[Mat. Date]]-RPT</f>
        <v>5578</v>
      </c>
      <c r="FH350" s="32">
        <f>IF(Bankingbook_SBV[[#This Row],[Days]]&lt;=0,0,YEARFRAC(RPT,Bankingbook_SBV[[#This Row],[Mat. Date]],3))</f>
        <v>15.282191780821918</v>
      </c>
      <c r="FI350" s="32" t="str">
        <f>IF(Bankingbook_SBV[[#This Row],[Days (year)]]=0,0,INDEX(Ref!$K$2:$K$13,MATCH(Bankingbook_SBV[[#This Row],[Days (year)]],Ref!$I$2:$I$13,1)))</f>
        <v>15Y</v>
      </c>
      <c r="FJ350" s="32" t="str">
        <f>VLOOKUP(Bankingbook_SBV[[#This Row],[Security Name]],Ref!X:Z,3,0)</f>
        <v>TPCP</v>
      </c>
      <c r="FK350" s="32" t="str">
        <f>VLOOKUP(Bankingbook_SBV[[#This Row],[Security Name]],Ref!X:Y,2,0)</f>
        <v>KBNN</v>
      </c>
      <c r="FL350" s="72">
        <f>IF((Bankingbook_SBV[[#This Row],[Mat. Date]]-RPT)&lt;=0,0,Bankingbook_SBV[[#This Row],[QUANTITY]])</f>
        <v>0</v>
      </c>
      <c r="FM350" s="32">
        <f>IF(Bankingbook_SBV[[#This Row],[Quantity_edited]]=0,0,Bankingbook_SBV[[#This Row],[DURATION]])</f>
        <v>0</v>
      </c>
      <c r="FN350" s="32">
        <f>IF(Bankingbook_SBV[[#This Row],[Quantity_edited]]=0,0,Bankingbook_SBV[[#This Row],[Mod Dur]])</f>
        <v>0</v>
      </c>
      <c r="FO350" s="32">
        <f>IF(Bankingbook_SBV[[#This Row],[Quantity_edited]]=0,0,Bankingbook_SBV[[#This Row],[Cnvx.]])</f>
        <v>0</v>
      </c>
      <c r="FP350" s="32">
        <f>(Bankingbook_SBV[[#This Row],[MARKET_VALUE]]+Bankingbook_SBV[[#This Row],[Accr Int]]*Bankingbook_SBV[[#This Row],[Quantity_edited]])*(-Bankingbook_SBV[[#This Row],[Modified Duration]]*0.0001+0.5*Bankingbook_SBV[[#This Row],[Conv]]*(0.0001^2))</f>
        <v>0</v>
      </c>
      <c r="FQ350" s="32">
        <f>(Bankingbook_SBV[[#This Row],[MARKET_VALUE]]+Bankingbook_SBV[[#This Row],[Accr Int]]*Bankingbook_SBV[[#This Row],[Quantity_edited]])*(-Bankingbook_SBV[[#This Row],[Modified Duration]]*0.01+0.5*Bankingbook_SBV[[#This Row],[Conv]]*(0.01^2))</f>
        <v>0</v>
      </c>
    </row>
    <row r="351" spans="2:173" x14ac:dyDescent="0.3">
      <c r="B351" t="s">
        <v>166</v>
      </c>
      <c r="C351" t="s">
        <v>167</v>
      </c>
      <c r="D351" t="s">
        <v>539</v>
      </c>
      <c r="E351" t="s">
        <v>169</v>
      </c>
      <c r="F351" s="502">
        <v>45567</v>
      </c>
      <c r="G351" t="s">
        <v>3322</v>
      </c>
      <c r="H351"/>
      <c r="I351"/>
      <c r="J351" s="38">
        <v>0</v>
      </c>
      <c r="K351">
        <v>0</v>
      </c>
      <c r="L351">
        <v>0</v>
      </c>
      <c r="M351" s="38">
        <v>0</v>
      </c>
      <c r="N351">
        <v>7.3</v>
      </c>
      <c r="O351">
        <v>0</v>
      </c>
      <c r="P351" s="37">
        <v>0</v>
      </c>
      <c r="Q351" s="37">
        <v>0</v>
      </c>
      <c r="R351" s="37">
        <v>-230958210.83336639</v>
      </c>
      <c r="S351">
        <v>7.3</v>
      </c>
      <c r="T351" s="70">
        <v>0</v>
      </c>
      <c r="U351">
        <v>0</v>
      </c>
      <c r="V351">
        <v>0</v>
      </c>
      <c r="W351">
        <v>0</v>
      </c>
      <c r="X351" s="38">
        <v>0</v>
      </c>
      <c r="Y351">
        <v>0</v>
      </c>
      <c r="Z351" s="70">
        <v>-39000000</v>
      </c>
      <c r="AA351" s="70">
        <v>0</v>
      </c>
      <c r="AB351" s="70">
        <v>-39000000</v>
      </c>
      <c r="AC351" s="70">
        <v>-39000000</v>
      </c>
      <c r="AD351" s="70">
        <v>-39000000</v>
      </c>
      <c r="AE351" s="70">
        <v>-39000000</v>
      </c>
      <c r="AF351">
        <v>0</v>
      </c>
      <c r="AG351" s="72">
        <f>Tradingbook_MSB[[#This Row],[Mat. Date]]-RPT</f>
        <v>-685</v>
      </c>
      <c r="AH351" s="71">
        <f>IF(Tradingbook_MSB[[#This Row],[Days]]&lt;=0,0,YEARFRAC(RPT,Tradingbook_MSB[[#This Row],[Mat. Date]],3))</f>
        <v>0</v>
      </c>
      <c r="AI351" s="71">
        <f>IF(Tradingbook_MSB[[#This Row],[Days (year)]]=0,0,INDEX(Ref!$K$2:$K$13,MATCH(Tradingbook_MSB[[#This Row],[Days (year)]],Ref!$I$2:$I$13,1)))</f>
        <v>0</v>
      </c>
      <c r="AJ351" s="120" t="str">
        <f>VLOOKUP(Tradingbook_MSB[[#This Row],[Security Name]],Ref!X:Z,3,0)</f>
        <v>TPCQĐP</v>
      </c>
      <c r="AK351" s="120" t="str">
        <f>VLOOKUP(Tradingbook_MSB[[#This Row],[Security Name]],Ref!X:Y,2,0)</f>
        <v>HIFU</v>
      </c>
      <c r="AL351" s="71">
        <f>IF((Tradingbook_MSB[[#This Row],[Mat. Date]]-RPT)&lt;=0,0,Tradingbook_MSB[[#This Row],[QUANTITY]])</f>
        <v>0</v>
      </c>
      <c r="AM351" s="71">
        <f>IF(Tradingbook_MSB[[#This Row],[Quantity_edited]]=0,0,Tradingbook_MSB[[#This Row],[DURATION]])</f>
        <v>0</v>
      </c>
      <c r="AN351" s="71">
        <f>IF(Tradingbook_MSB[[#This Row],[Quantity_edited]]=0,0,Tradingbook_MSB[[#This Row],[Mod Dur]])</f>
        <v>0</v>
      </c>
      <c r="AO351" s="71">
        <f>IF(Tradingbook_MSB[[#This Row],[Quantity_edited]]=0,0,Tradingbook_MSB[[#This Row],[Cnvx.]])</f>
        <v>0</v>
      </c>
      <c r="AP351" s="71">
        <f>(Tradingbook_MSB[[#This Row],[MARKET_VALUE]]+Tradingbook_MSB[[#This Row],[Accr Int]]*Tradingbook_MSB[[#This Row],[Quantity_edited]])*(-Tradingbook_MSB[[#This Row],[Modified Duration]]*0.0001+0.5*Tradingbook_MSB[[#This Row],[Conv]]*(0.0001^2))</f>
        <v>0</v>
      </c>
      <c r="AQ351" s="72">
        <f>(Tradingbook_MSB[[#This Row],[MARKET_VALUE]]+Tradingbook_MSB[[#This Row],[Accr Int]]*Tradingbook_MSB[[#This Row],[Quantity_edited]])*(-Tradingbook_MSB[[#This Row],[Modified Duration]]*0.01+0.5*Tradingbook_MSB[[#This Row],[Conv]]*(0.01^2))</f>
        <v>0</v>
      </c>
      <c r="AR351" s="71"/>
      <c r="CL351" t="s">
        <v>166</v>
      </c>
      <c r="CM351" t="s">
        <v>167</v>
      </c>
      <c r="CN351" t="s">
        <v>548</v>
      </c>
      <c r="CO351" t="s">
        <v>169</v>
      </c>
      <c r="CP351" s="35">
        <v>45716</v>
      </c>
      <c r="CQ351" t="s">
        <v>3322</v>
      </c>
      <c r="CR351" t="s">
        <v>174</v>
      </c>
      <c r="CS351" t="s">
        <v>174</v>
      </c>
      <c r="CT351" s="49">
        <v>0</v>
      </c>
      <c r="CU351">
        <v>0</v>
      </c>
      <c r="CV351">
        <v>0</v>
      </c>
      <c r="CW351" s="70">
        <v>0</v>
      </c>
      <c r="CX351">
        <v>6.4</v>
      </c>
      <c r="CY351">
        <v>0</v>
      </c>
      <c r="CZ351">
        <v>0</v>
      </c>
      <c r="DA351">
        <v>-1.5E-5</v>
      </c>
      <c r="DB351">
        <v>-273639918.12498474</v>
      </c>
      <c r="DC351">
        <v>6.4</v>
      </c>
      <c r="DD351">
        <v>0</v>
      </c>
      <c r="DE351">
        <v>0</v>
      </c>
      <c r="DF351">
        <v>0</v>
      </c>
      <c r="DG351">
        <v>0</v>
      </c>
      <c r="DH351">
        <v>0</v>
      </c>
      <c r="DI351">
        <v>0</v>
      </c>
      <c r="DJ351" s="500">
        <v>572500000</v>
      </c>
      <c r="DK351" s="500">
        <v>0</v>
      </c>
      <c r="DL351" s="37">
        <v>572500000</v>
      </c>
      <c r="DM351" s="37">
        <v>572500000</v>
      </c>
      <c r="DN351" s="37">
        <v>572500000</v>
      </c>
      <c r="DO351" s="37">
        <v>572500000</v>
      </c>
      <c r="DP351" s="32">
        <f>Tradingbook_SBV[[#This Row],[Mat. Date]]-RPT</f>
        <v>-536</v>
      </c>
      <c r="DQ351" s="32">
        <f>IF(Tradingbook_SBV[[#This Row],[Days]]&lt;=0,0,YEARFRAC(RPT,Tradingbook_SBV[[#This Row],[Mat. Date]],3))</f>
        <v>0</v>
      </c>
      <c r="DR351" s="32">
        <f>IF(Tradingbook_SBV[[#This Row],[Days (year)]]=0,0,INDEX(Ref!$K$2:$K$13,MATCH(Tradingbook_SBV[[#This Row],[Days (year)]],Ref!$I$2:$I$13,1)))</f>
        <v>0</v>
      </c>
      <c r="DS351" s="32" t="str">
        <f>VLOOKUP(Tradingbook_SBV[[#This Row],[Security Name]],Ref!X:Z,3,0)</f>
        <v>TPCP</v>
      </c>
      <c r="DT351" s="32" t="str">
        <f>VLOOKUP(Tradingbook_SBV[[#This Row],[Security Name]],Ref!X:Y,2,0)</f>
        <v>KBNN</v>
      </c>
      <c r="DU351" s="71">
        <f>IF((Tradingbook_SBV[[#This Row],[Mat. Date]]-RPT)&lt;=0,0,Tradingbook_SBV[[#This Row],[QUANTITY]])</f>
        <v>0</v>
      </c>
      <c r="DV351" s="71">
        <f>IF(Tradingbook_SBV[[#This Row],[Quantity_edited]]=0,0,Tradingbook_SBV[[#This Row],[DURATION]])</f>
        <v>0</v>
      </c>
      <c r="DW351" s="71">
        <f>IF(Tradingbook_SBV[[#This Row],[Quantity_edited]]=0,0,Tradingbook_SBV[[#This Row],[Mod Dur]])</f>
        <v>0</v>
      </c>
      <c r="DX351" s="71">
        <f>IF(Tradingbook_SBV[[#This Row],[Quantity_edited]]=0,0,Tradingbook_SBV[[#This Row],[Cnvx.]])</f>
        <v>0</v>
      </c>
      <c r="DY351" s="71">
        <f>(Tradingbook_SBV[[#This Row],[MARKET_VALUE]]+Tradingbook_SBV[[#This Row],[Accr Int]]*Tradingbook_SBV[[#This Row],[Quantity_edited]])*(-Tradingbook_SBV[[#This Row],[Modified Duration]]*0.0001+0.5*Tradingbook_SBV[[#This Row],[Conv]]*(0.0001^2))</f>
        <v>0</v>
      </c>
      <c r="DZ351" s="71">
        <f>(Tradingbook_SBV[[#This Row],[MARKET_VALUE]]+Tradingbook_SBV[[#This Row],[Accr Int]]*Tradingbook_SBV[[#This Row],[Quantity_edited]])*(-Tradingbook_SBV[[#This Row],[Modified Duration]]*0.01+0.5*Tradingbook_SBV[[#This Row],[Conv]]*(0.01^2))</f>
        <v>0</v>
      </c>
      <c r="EC351" t="s">
        <v>166</v>
      </c>
      <c r="ED351" t="s">
        <v>3303</v>
      </c>
      <c r="EE351" t="s">
        <v>716</v>
      </c>
      <c r="EF351" t="s">
        <v>169</v>
      </c>
      <c r="EG351" s="35" t="s">
        <v>3847</v>
      </c>
      <c r="EH351" t="s">
        <v>3322</v>
      </c>
      <c r="EI351" s="500">
        <v>79501</v>
      </c>
      <c r="EJ351" s="500">
        <v>79501</v>
      </c>
      <c r="EK351" s="500">
        <v>0</v>
      </c>
      <c r="EL351" s="500">
        <v>0</v>
      </c>
      <c r="EM351" s="500">
        <v>0</v>
      </c>
      <c r="EN351" s="500">
        <v>0</v>
      </c>
      <c r="EO351">
        <v>2.7</v>
      </c>
      <c r="EP351">
        <v>1657</v>
      </c>
      <c r="EQ351">
        <v>0</v>
      </c>
      <c r="ER351">
        <v>-1.9999999999999999E-6</v>
      </c>
      <c r="ES351">
        <v>-1388223533.1248989</v>
      </c>
      <c r="ET351">
        <v>4.5847935250000003</v>
      </c>
      <c r="EU351">
        <v>11.628920760757801</v>
      </c>
      <c r="EV351">
        <v>12.16208277</v>
      </c>
      <c r="EW351">
        <v>168.96893468039039</v>
      </c>
      <c r="EX351">
        <v>0</v>
      </c>
      <c r="EY351">
        <v>0</v>
      </c>
      <c r="EZ351">
        <v>0</v>
      </c>
      <c r="FA351">
        <v>-4807500000.0001221</v>
      </c>
      <c r="FB351">
        <v>0</v>
      </c>
      <c r="FC351">
        <v>-4807500000.0001221</v>
      </c>
      <c r="FD351">
        <v>-4807500000.0001221</v>
      </c>
      <c r="FE351">
        <v>-4807500000</v>
      </c>
      <c r="FF351">
        <v>-4807500000.0001221</v>
      </c>
      <c r="FG351" s="32">
        <f>Bankingbook_SBV[[#This Row],[Mat. Date]]-RPT</f>
        <v>5620</v>
      </c>
      <c r="FH351" s="32">
        <f>IF(Bankingbook_SBV[[#This Row],[Days]]&lt;=0,0,YEARFRAC(RPT,Bankingbook_SBV[[#This Row],[Mat. Date]],3))</f>
        <v>15.397260273972602</v>
      </c>
      <c r="FI351" s="32" t="str">
        <f>IF(Bankingbook_SBV[[#This Row],[Days (year)]]=0,0,INDEX(Ref!$K$2:$K$13,MATCH(Bankingbook_SBV[[#This Row],[Days (year)]],Ref!$I$2:$I$13,1)))</f>
        <v>15Y</v>
      </c>
      <c r="FJ351" s="32" t="str">
        <f>VLOOKUP(Bankingbook_SBV[[#This Row],[Security Name]],Ref!X:Z,3,0)</f>
        <v>TPCP</v>
      </c>
      <c r="FK351" s="32" t="str">
        <f>VLOOKUP(Bankingbook_SBV[[#This Row],[Security Name]],Ref!X:Y,2,0)</f>
        <v>KBNN</v>
      </c>
      <c r="FL351" s="72">
        <f>IF((Bankingbook_SBV[[#This Row],[Mat. Date]]-RPT)&lt;=0,0,Bankingbook_SBV[[#This Row],[QUANTITY]])</f>
        <v>0</v>
      </c>
      <c r="FM351" s="32">
        <f>IF(Bankingbook_SBV[[#This Row],[Quantity_edited]]=0,0,Bankingbook_SBV[[#This Row],[DURATION]])</f>
        <v>0</v>
      </c>
      <c r="FN351" s="32">
        <f>IF(Bankingbook_SBV[[#This Row],[Quantity_edited]]=0,0,Bankingbook_SBV[[#This Row],[Mod Dur]])</f>
        <v>0</v>
      </c>
      <c r="FO351" s="32">
        <f>IF(Bankingbook_SBV[[#This Row],[Quantity_edited]]=0,0,Bankingbook_SBV[[#This Row],[Cnvx.]])</f>
        <v>0</v>
      </c>
      <c r="FP351" s="32">
        <f>(Bankingbook_SBV[[#This Row],[MARKET_VALUE]]+Bankingbook_SBV[[#This Row],[Accr Int]]*Bankingbook_SBV[[#This Row],[Quantity_edited]])*(-Bankingbook_SBV[[#This Row],[Modified Duration]]*0.0001+0.5*Bankingbook_SBV[[#This Row],[Conv]]*(0.0001^2))</f>
        <v>0</v>
      </c>
      <c r="FQ351" s="32">
        <f>(Bankingbook_SBV[[#This Row],[MARKET_VALUE]]+Bankingbook_SBV[[#This Row],[Accr Int]]*Bankingbook_SBV[[#This Row],[Quantity_edited]])*(-Bankingbook_SBV[[#This Row],[Modified Duration]]*0.01+0.5*Bankingbook_SBV[[#This Row],[Conv]]*(0.01^2))</f>
        <v>0</v>
      </c>
    </row>
    <row r="352" spans="2:173" x14ac:dyDescent="0.3">
      <c r="B352" t="s">
        <v>166</v>
      </c>
      <c r="C352" t="s">
        <v>167</v>
      </c>
      <c r="D352" t="s">
        <v>540</v>
      </c>
      <c r="E352" t="s">
        <v>169</v>
      </c>
      <c r="F352" s="502">
        <v>45580</v>
      </c>
      <c r="G352" t="s">
        <v>3322</v>
      </c>
      <c r="H352"/>
      <c r="I352"/>
      <c r="J352" s="38">
        <v>0</v>
      </c>
      <c r="K352">
        <v>0</v>
      </c>
      <c r="L352">
        <v>0</v>
      </c>
      <c r="M352" s="38">
        <v>0</v>
      </c>
      <c r="N352">
        <v>6.1</v>
      </c>
      <c r="O352">
        <v>0</v>
      </c>
      <c r="P352" s="37">
        <v>12200000000</v>
      </c>
      <c r="Q352" s="37">
        <v>13679729527.777782</v>
      </c>
      <c r="R352" s="37">
        <v>-7398506202.9861717</v>
      </c>
      <c r="S352">
        <v>6.1</v>
      </c>
      <c r="T352" s="70">
        <v>0</v>
      </c>
      <c r="U352">
        <v>0</v>
      </c>
      <c r="V352">
        <v>0</v>
      </c>
      <c r="W352">
        <v>0</v>
      </c>
      <c r="X352" s="38">
        <v>0</v>
      </c>
      <c r="Y352">
        <v>0</v>
      </c>
      <c r="Z352" s="70">
        <v>-7043500000</v>
      </c>
      <c r="AA352" s="70">
        <v>0</v>
      </c>
      <c r="AB352" s="70">
        <v>-7043500000</v>
      </c>
      <c r="AC352" s="70">
        <v>-7043500000</v>
      </c>
      <c r="AD352" s="70">
        <v>-7043500000</v>
      </c>
      <c r="AE352" s="70">
        <v>-7043500000</v>
      </c>
      <c r="AF352">
        <v>0</v>
      </c>
      <c r="AG352" s="72">
        <f>Tradingbook_MSB[[#This Row],[Mat. Date]]-RPT</f>
        <v>-672</v>
      </c>
      <c r="AH352" s="71">
        <f>IF(Tradingbook_MSB[[#This Row],[Days]]&lt;=0,0,YEARFRAC(RPT,Tradingbook_MSB[[#This Row],[Mat. Date]],3))</f>
        <v>0</v>
      </c>
      <c r="AI352" s="71">
        <f>IF(Tradingbook_MSB[[#This Row],[Days (year)]]=0,0,INDEX(Ref!$K$2:$K$13,MATCH(Tradingbook_MSB[[#This Row],[Days (year)]],Ref!$I$2:$I$13,1)))</f>
        <v>0</v>
      </c>
      <c r="AJ352" s="120" t="str">
        <f>VLOOKUP(Tradingbook_MSB[[#This Row],[Security Name]],Ref!X:Z,3,0)</f>
        <v>TPCP</v>
      </c>
      <c r="AK352" s="120" t="str">
        <f>VLOOKUP(Tradingbook_MSB[[#This Row],[Security Name]],Ref!X:Y,2,0)</f>
        <v>KBNN</v>
      </c>
      <c r="AL352" s="71">
        <f>IF((Tradingbook_MSB[[#This Row],[Mat. Date]]-RPT)&lt;=0,0,Tradingbook_MSB[[#This Row],[QUANTITY]])</f>
        <v>0</v>
      </c>
      <c r="AM352" s="71">
        <f>IF(Tradingbook_MSB[[#This Row],[Quantity_edited]]=0,0,Tradingbook_MSB[[#This Row],[DURATION]])</f>
        <v>0</v>
      </c>
      <c r="AN352" s="71">
        <f>IF(Tradingbook_MSB[[#This Row],[Quantity_edited]]=0,0,Tradingbook_MSB[[#This Row],[Mod Dur]])</f>
        <v>0</v>
      </c>
      <c r="AO352" s="71">
        <f>IF(Tradingbook_MSB[[#This Row],[Quantity_edited]]=0,0,Tradingbook_MSB[[#This Row],[Cnvx.]])</f>
        <v>0</v>
      </c>
      <c r="AP352" s="71">
        <f>(Tradingbook_MSB[[#This Row],[MARKET_VALUE]]+Tradingbook_MSB[[#This Row],[Accr Int]]*Tradingbook_MSB[[#This Row],[Quantity_edited]])*(-Tradingbook_MSB[[#This Row],[Modified Duration]]*0.0001+0.5*Tradingbook_MSB[[#This Row],[Conv]]*(0.0001^2))</f>
        <v>0</v>
      </c>
      <c r="AQ352" s="72">
        <f>(Tradingbook_MSB[[#This Row],[MARKET_VALUE]]+Tradingbook_MSB[[#This Row],[Accr Int]]*Tradingbook_MSB[[#This Row],[Quantity_edited]])*(-Tradingbook_MSB[[#This Row],[Modified Duration]]*0.01+0.5*Tradingbook_MSB[[#This Row],[Conv]]*(0.01^2))</f>
        <v>0</v>
      </c>
      <c r="AR352" s="71"/>
      <c r="CL352" t="s">
        <v>166</v>
      </c>
      <c r="CM352" t="s">
        <v>167</v>
      </c>
      <c r="CN352" t="s">
        <v>549</v>
      </c>
      <c r="CO352" t="s">
        <v>169</v>
      </c>
      <c r="CP352" s="35">
        <v>45731</v>
      </c>
      <c r="CQ352" t="s">
        <v>3322</v>
      </c>
      <c r="CR352" t="s">
        <v>174</v>
      </c>
      <c r="CS352" t="s">
        <v>174</v>
      </c>
      <c r="CT352" s="49">
        <v>0</v>
      </c>
      <c r="CU352">
        <v>0</v>
      </c>
      <c r="CV352">
        <v>0</v>
      </c>
      <c r="CW352" s="70">
        <v>0</v>
      </c>
      <c r="CX352">
        <v>6.3</v>
      </c>
      <c r="CY352">
        <v>0</v>
      </c>
      <c r="CZ352">
        <v>9450000000</v>
      </c>
      <c r="DA352">
        <v>10267414499.99992</v>
      </c>
      <c r="DB352">
        <v>-2335234431.165122</v>
      </c>
      <c r="DC352">
        <v>6.3</v>
      </c>
      <c r="DD352">
        <v>0</v>
      </c>
      <c r="DE352">
        <v>0</v>
      </c>
      <c r="DF352">
        <v>0</v>
      </c>
      <c r="DG352">
        <v>0</v>
      </c>
      <c r="DH352">
        <v>0</v>
      </c>
      <c r="DI352">
        <v>0</v>
      </c>
      <c r="DJ352" s="500">
        <v>-4832377592</v>
      </c>
      <c r="DK352" s="500">
        <v>0</v>
      </c>
      <c r="DL352" s="37">
        <v>-4832377592</v>
      </c>
      <c r="DM352" s="37">
        <v>-4832377592</v>
      </c>
      <c r="DN352" s="37">
        <v>-4832377592</v>
      </c>
      <c r="DO352" s="37">
        <v>-4832377592</v>
      </c>
      <c r="DP352" s="32">
        <f>Tradingbook_SBV[[#This Row],[Mat. Date]]-RPT</f>
        <v>-521</v>
      </c>
      <c r="DQ352" s="32">
        <f>IF(Tradingbook_SBV[[#This Row],[Days]]&lt;=0,0,YEARFRAC(RPT,Tradingbook_SBV[[#This Row],[Mat. Date]],3))</f>
        <v>0</v>
      </c>
      <c r="DR352" s="32">
        <f>IF(Tradingbook_SBV[[#This Row],[Days (year)]]=0,0,INDEX(Ref!$K$2:$K$13,MATCH(Tradingbook_SBV[[#This Row],[Days (year)]],Ref!$I$2:$I$13,1)))</f>
        <v>0</v>
      </c>
      <c r="DS352" s="32" t="str">
        <f>VLOOKUP(Tradingbook_SBV[[#This Row],[Security Name]],Ref!X:Z,3,0)</f>
        <v>TPCP</v>
      </c>
      <c r="DT352" s="32" t="str">
        <f>VLOOKUP(Tradingbook_SBV[[#This Row],[Security Name]],Ref!X:Y,2,0)</f>
        <v>KBNN</v>
      </c>
      <c r="DU352" s="71">
        <f>IF((Tradingbook_SBV[[#This Row],[Mat. Date]]-RPT)&lt;=0,0,Tradingbook_SBV[[#This Row],[QUANTITY]])</f>
        <v>0</v>
      </c>
      <c r="DV352" s="71">
        <f>IF(Tradingbook_SBV[[#This Row],[Quantity_edited]]=0,0,Tradingbook_SBV[[#This Row],[DURATION]])</f>
        <v>0</v>
      </c>
      <c r="DW352" s="71">
        <f>IF(Tradingbook_SBV[[#This Row],[Quantity_edited]]=0,0,Tradingbook_SBV[[#This Row],[Mod Dur]])</f>
        <v>0</v>
      </c>
      <c r="DX352" s="71">
        <f>IF(Tradingbook_SBV[[#This Row],[Quantity_edited]]=0,0,Tradingbook_SBV[[#This Row],[Cnvx.]])</f>
        <v>0</v>
      </c>
      <c r="DY352" s="71">
        <f>(Tradingbook_SBV[[#This Row],[MARKET_VALUE]]+Tradingbook_SBV[[#This Row],[Accr Int]]*Tradingbook_SBV[[#This Row],[Quantity_edited]])*(-Tradingbook_SBV[[#This Row],[Modified Duration]]*0.0001+0.5*Tradingbook_SBV[[#This Row],[Conv]]*(0.0001^2))</f>
        <v>0</v>
      </c>
      <c r="DZ352" s="71">
        <f>(Tradingbook_SBV[[#This Row],[MARKET_VALUE]]+Tradingbook_SBV[[#This Row],[Accr Int]]*Tradingbook_SBV[[#This Row],[Quantity_edited]])*(-Tradingbook_SBV[[#This Row],[Modified Duration]]*0.01+0.5*Tradingbook_SBV[[#This Row],[Conv]]*(0.01^2))</f>
        <v>0</v>
      </c>
      <c r="EC352" t="s">
        <v>166</v>
      </c>
      <c r="ED352" t="s">
        <v>3303</v>
      </c>
      <c r="EE352" t="s">
        <v>2498</v>
      </c>
      <c r="EF352" t="s">
        <v>169</v>
      </c>
      <c r="EG352" s="35" t="s">
        <v>3500</v>
      </c>
      <c r="EH352" t="s">
        <v>170</v>
      </c>
      <c r="EI352" s="500">
        <v>89616</v>
      </c>
      <c r="EJ352" s="500">
        <v>89616</v>
      </c>
      <c r="EK352" s="500">
        <v>500000</v>
      </c>
      <c r="EL352" s="500">
        <v>50000000000</v>
      </c>
      <c r="EM352" s="500">
        <v>107207.974</v>
      </c>
      <c r="EN352" s="500">
        <v>44808000000</v>
      </c>
      <c r="EO352">
        <v>3.7</v>
      </c>
      <c r="EP352">
        <v>1429</v>
      </c>
      <c r="EQ352">
        <v>3700000000</v>
      </c>
      <c r="ER352">
        <v>3872992986.1111121</v>
      </c>
      <c r="ES352">
        <v>-4657731006.7055607</v>
      </c>
      <c r="ET352">
        <v>4.6063254560000004</v>
      </c>
      <c r="EU352">
        <v>11.7180954083719</v>
      </c>
      <c r="EV352">
        <v>12.257869019999999</v>
      </c>
      <c r="EW352">
        <v>177.51287295957289</v>
      </c>
      <c r="EX352">
        <v>80808.297593021605</v>
      </c>
      <c r="EY352">
        <v>-53343.699822761002</v>
      </c>
      <c r="EZ352">
        <v>5616.93</v>
      </c>
      <c r="FA352">
        <v>-1409953011.1523752</v>
      </c>
      <c r="FB352">
        <v>-8795986988.84758</v>
      </c>
      <c r="FC352">
        <v>-10205939999.999954</v>
      </c>
      <c r="FD352">
        <v>-10205939999.999954</v>
      </c>
      <c r="FE352">
        <v>-10205940000</v>
      </c>
      <c r="FF352">
        <v>-10205939999.999954</v>
      </c>
      <c r="FG352" s="32">
        <f>Bankingbook_SBV[[#This Row],[Mat. Date]]-RPT</f>
        <v>6068</v>
      </c>
      <c r="FH352" s="32">
        <f>IF(Bankingbook_SBV[[#This Row],[Days]]&lt;=0,0,YEARFRAC(RPT,Bankingbook_SBV[[#This Row],[Mat. Date]],3))</f>
        <v>16.624657534246577</v>
      </c>
      <c r="FI352" s="32" t="str">
        <f>IF(Bankingbook_SBV[[#This Row],[Days (year)]]=0,0,INDEX(Ref!$K$2:$K$13,MATCH(Bankingbook_SBV[[#This Row],[Days (year)]],Ref!$I$2:$I$13,1)))</f>
        <v>20Y</v>
      </c>
      <c r="FJ352" s="32" t="str">
        <f>VLOOKUP(Bankingbook_SBV[[#This Row],[Security Name]],Ref!X:Z,3,0)</f>
        <v>TPCP</v>
      </c>
      <c r="FK352" s="32" t="str">
        <f>VLOOKUP(Bankingbook_SBV[[#This Row],[Security Name]],Ref!X:Y,2,0)</f>
        <v>KBNN</v>
      </c>
      <c r="FL352" s="72">
        <f>IF((Bankingbook_SBV[[#This Row],[Mat. Date]]-RPT)&lt;=0,0,Bankingbook_SBV[[#This Row],[QUANTITY]])</f>
        <v>500000</v>
      </c>
      <c r="FM352" s="32">
        <f>IF(Bankingbook_SBV[[#This Row],[Quantity_edited]]=0,0,Bankingbook_SBV[[#This Row],[DURATION]])</f>
        <v>12.257869019999999</v>
      </c>
      <c r="FN352" s="32">
        <f>IF(Bankingbook_SBV[[#This Row],[Quantity_edited]]=0,0,Bankingbook_SBV[[#This Row],[Mod Dur]])</f>
        <v>11.7180954083719</v>
      </c>
      <c r="FO352" s="32">
        <f>IF(Bankingbook_SBV[[#This Row],[Quantity_edited]]=0,0,Bankingbook_SBV[[#This Row],[Cnvx.]])</f>
        <v>177.51287295957289</v>
      </c>
      <c r="FP352" s="32">
        <f>(Bankingbook_SBV[[#This Row],[MARKET_VALUE]]+Bankingbook_SBV[[#This Row],[Accr Int]]*Bankingbook_SBV[[#This Row],[Quantity_edited]])*(-Bankingbook_SBV[[#This Row],[Modified Duration]]*0.0001+0.5*Bankingbook_SBV[[#This Row],[Conv]]*(0.0001^2))</f>
        <v>-53303295.673964471</v>
      </c>
      <c r="FQ352" s="32">
        <f>(Bankingbook_SBV[[#This Row],[MARKET_VALUE]]+Bankingbook_SBV[[#This Row],[Accr Int]]*Bankingbook_SBV[[#This Row],[Quantity_edited]])*(-Bankingbook_SBV[[#This Row],[Modified Duration]]*0.01+0.5*Bankingbook_SBV[[#This Row],[Conv]]*(0.01^2))</f>
        <v>-4930328494.3109903</v>
      </c>
    </row>
    <row r="353" spans="2:173" x14ac:dyDescent="0.3">
      <c r="B353" t="s">
        <v>166</v>
      </c>
      <c r="C353" t="s">
        <v>167</v>
      </c>
      <c r="D353" t="s">
        <v>542</v>
      </c>
      <c r="E353" t="s">
        <v>169</v>
      </c>
      <c r="F353" s="502">
        <v>45584</v>
      </c>
      <c r="G353" t="s">
        <v>3322</v>
      </c>
      <c r="H353"/>
      <c r="I353"/>
      <c r="J353" s="38">
        <v>0</v>
      </c>
      <c r="K353">
        <v>0</v>
      </c>
      <c r="L353">
        <v>0</v>
      </c>
      <c r="M353" s="38">
        <v>0</v>
      </c>
      <c r="N353">
        <v>4.8</v>
      </c>
      <c r="O353">
        <v>0</v>
      </c>
      <c r="P353" s="37">
        <v>4512000000</v>
      </c>
      <c r="Q353" s="37">
        <v>5000678440</v>
      </c>
      <c r="R353" s="37">
        <v>-3471003981.7722788</v>
      </c>
      <c r="S353">
        <v>4.8</v>
      </c>
      <c r="T353" s="70">
        <v>0</v>
      </c>
      <c r="U353">
        <v>0</v>
      </c>
      <c r="V353">
        <v>0</v>
      </c>
      <c r="W353">
        <v>0</v>
      </c>
      <c r="X353" s="38">
        <v>0</v>
      </c>
      <c r="Y353">
        <v>0</v>
      </c>
      <c r="Z353" s="70">
        <v>4331960000</v>
      </c>
      <c r="AA353" s="70">
        <v>0</v>
      </c>
      <c r="AB353" s="70">
        <v>4331960000</v>
      </c>
      <c r="AC353" s="70">
        <v>4331960000</v>
      </c>
      <c r="AD353" s="70">
        <v>4331960000</v>
      </c>
      <c r="AE353" s="70">
        <v>4331960000</v>
      </c>
      <c r="AF353">
        <v>0</v>
      </c>
      <c r="AG353" s="72">
        <f>Tradingbook_MSB[[#This Row],[Mat. Date]]-RPT</f>
        <v>-668</v>
      </c>
      <c r="AH353" s="71">
        <f>IF(Tradingbook_MSB[[#This Row],[Days]]&lt;=0,0,YEARFRAC(RPT,Tradingbook_MSB[[#This Row],[Mat. Date]],3))</f>
        <v>0</v>
      </c>
      <c r="AI353" s="71">
        <f>IF(Tradingbook_MSB[[#This Row],[Days (year)]]=0,0,INDEX(Ref!$K$2:$K$13,MATCH(Tradingbook_MSB[[#This Row],[Days (year)]],Ref!$I$2:$I$13,1)))</f>
        <v>0</v>
      </c>
      <c r="AJ353" s="120" t="str">
        <f>VLOOKUP(Tradingbook_MSB[[#This Row],[Security Name]],Ref!X:Z,3,0)</f>
        <v>TPCP</v>
      </c>
      <c r="AK353" s="120" t="str">
        <f>VLOOKUP(Tradingbook_MSB[[#This Row],[Security Name]],Ref!X:Y,2,0)</f>
        <v>KBNN</v>
      </c>
      <c r="AL353" s="71">
        <f>IF((Tradingbook_MSB[[#This Row],[Mat. Date]]-RPT)&lt;=0,0,Tradingbook_MSB[[#This Row],[QUANTITY]])</f>
        <v>0</v>
      </c>
      <c r="AM353" s="71">
        <f>IF(Tradingbook_MSB[[#This Row],[Quantity_edited]]=0,0,Tradingbook_MSB[[#This Row],[DURATION]])</f>
        <v>0</v>
      </c>
      <c r="AN353" s="71">
        <f>IF(Tradingbook_MSB[[#This Row],[Quantity_edited]]=0,0,Tradingbook_MSB[[#This Row],[Mod Dur]])</f>
        <v>0</v>
      </c>
      <c r="AO353" s="71">
        <f>IF(Tradingbook_MSB[[#This Row],[Quantity_edited]]=0,0,Tradingbook_MSB[[#This Row],[Cnvx.]])</f>
        <v>0</v>
      </c>
      <c r="AP353" s="71">
        <f>(Tradingbook_MSB[[#This Row],[MARKET_VALUE]]+Tradingbook_MSB[[#This Row],[Accr Int]]*Tradingbook_MSB[[#This Row],[Quantity_edited]])*(-Tradingbook_MSB[[#This Row],[Modified Duration]]*0.0001+0.5*Tradingbook_MSB[[#This Row],[Conv]]*(0.0001^2))</f>
        <v>0</v>
      </c>
      <c r="AQ353" s="72">
        <f>(Tradingbook_MSB[[#This Row],[MARKET_VALUE]]+Tradingbook_MSB[[#This Row],[Accr Int]]*Tradingbook_MSB[[#This Row],[Quantity_edited]])*(-Tradingbook_MSB[[#This Row],[Modified Duration]]*0.01+0.5*Tradingbook_MSB[[#This Row],[Conv]]*(0.01^2))</f>
        <v>0</v>
      </c>
      <c r="AR353" s="71"/>
      <c r="CL353" t="s">
        <v>166</v>
      </c>
      <c r="CM353" t="s">
        <v>167</v>
      </c>
      <c r="CN353" t="s">
        <v>550</v>
      </c>
      <c r="CO353" t="s">
        <v>169</v>
      </c>
      <c r="CP353" s="35">
        <v>45738</v>
      </c>
      <c r="CQ353" t="s">
        <v>3322</v>
      </c>
      <c r="CR353" t="s">
        <v>174</v>
      </c>
      <c r="CS353" t="s">
        <v>174</v>
      </c>
      <c r="CT353" s="49">
        <v>0</v>
      </c>
      <c r="CU353">
        <v>0</v>
      </c>
      <c r="CV353">
        <v>0</v>
      </c>
      <c r="CW353" s="70">
        <v>0</v>
      </c>
      <c r="CX353">
        <v>3.4</v>
      </c>
      <c r="CY353">
        <v>0</v>
      </c>
      <c r="CZ353">
        <v>0</v>
      </c>
      <c r="DA353">
        <v>1.5E-5</v>
      </c>
      <c r="DB353">
        <v>-3098575050.9722414</v>
      </c>
      <c r="DC353">
        <v>3.4</v>
      </c>
      <c r="DD353">
        <v>0</v>
      </c>
      <c r="DE353">
        <v>0</v>
      </c>
      <c r="DF353">
        <v>0</v>
      </c>
      <c r="DG353">
        <v>0</v>
      </c>
      <c r="DH353">
        <v>0</v>
      </c>
      <c r="DI353">
        <v>0</v>
      </c>
      <c r="DJ353" s="500">
        <v>-10969000000</v>
      </c>
      <c r="DK353" s="500">
        <v>0</v>
      </c>
      <c r="DL353" s="37">
        <v>-10969000000</v>
      </c>
      <c r="DM353" s="37">
        <v>-10969000000</v>
      </c>
      <c r="DN353" s="37">
        <v>-10969000000</v>
      </c>
      <c r="DO353" s="37">
        <v>-10969000000</v>
      </c>
      <c r="DP353" s="32">
        <f>Tradingbook_SBV[[#This Row],[Mat. Date]]-RPT</f>
        <v>-514</v>
      </c>
      <c r="DQ353" s="32">
        <f>IF(Tradingbook_SBV[[#This Row],[Days]]&lt;=0,0,YEARFRAC(RPT,Tradingbook_SBV[[#This Row],[Mat. Date]],3))</f>
        <v>0</v>
      </c>
      <c r="DR353" s="32">
        <f>IF(Tradingbook_SBV[[#This Row],[Days (year)]]=0,0,INDEX(Ref!$K$2:$K$13,MATCH(Tradingbook_SBV[[#This Row],[Days (year)]],Ref!$I$2:$I$13,1)))</f>
        <v>0</v>
      </c>
      <c r="DS353" s="32" t="str">
        <f>VLOOKUP(Tradingbook_SBV[[#This Row],[Security Name]],Ref!X:Z,3,0)</f>
        <v>TPCP</v>
      </c>
      <c r="DT353" s="32" t="str">
        <f>VLOOKUP(Tradingbook_SBV[[#This Row],[Security Name]],Ref!X:Y,2,0)</f>
        <v>KBNN</v>
      </c>
      <c r="DU353" s="71">
        <f>IF((Tradingbook_SBV[[#This Row],[Mat. Date]]-RPT)&lt;=0,0,Tradingbook_SBV[[#This Row],[QUANTITY]])</f>
        <v>0</v>
      </c>
      <c r="DV353" s="71">
        <f>IF(Tradingbook_SBV[[#This Row],[Quantity_edited]]=0,0,Tradingbook_SBV[[#This Row],[DURATION]])</f>
        <v>0</v>
      </c>
      <c r="DW353" s="71">
        <f>IF(Tradingbook_SBV[[#This Row],[Quantity_edited]]=0,0,Tradingbook_SBV[[#This Row],[Mod Dur]])</f>
        <v>0</v>
      </c>
      <c r="DX353" s="71">
        <f>IF(Tradingbook_SBV[[#This Row],[Quantity_edited]]=0,0,Tradingbook_SBV[[#This Row],[Cnvx.]])</f>
        <v>0</v>
      </c>
      <c r="DY353" s="71">
        <f>(Tradingbook_SBV[[#This Row],[MARKET_VALUE]]+Tradingbook_SBV[[#This Row],[Accr Int]]*Tradingbook_SBV[[#This Row],[Quantity_edited]])*(-Tradingbook_SBV[[#This Row],[Modified Duration]]*0.0001+0.5*Tradingbook_SBV[[#This Row],[Conv]]*(0.0001^2))</f>
        <v>0</v>
      </c>
      <c r="DZ353" s="71">
        <f>(Tradingbook_SBV[[#This Row],[MARKET_VALUE]]+Tradingbook_SBV[[#This Row],[Accr Int]]*Tradingbook_SBV[[#This Row],[Quantity_edited]])*(-Tradingbook_SBV[[#This Row],[Modified Duration]]*0.01+0.5*Tradingbook_SBV[[#This Row],[Conv]]*(0.01^2))</f>
        <v>0</v>
      </c>
      <c r="EC353" t="s">
        <v>166</v>
      </c>
      <c r="ED353" t="s">
        <v>3303</v>
      </c>
      <c r="EE353" t="s">
        <v>717</v>
      </c>
      <c r="EF353" t="s">
        <v>169</v>
      </c>
      <c r="EG353" s="35" t="s">
        <v>3848</v>
      </c>
      <c r="EH353" t="s">
        <v>3322</v>
      </c>
      <c r="EI353" s="500">
        <v>142049</v>
      </c>
      <c r="EJ353" s="500">
        <v>142049</v>
      </c>
      <c r="EK353" s="500">
        <v>0</v>
      </c>
      <c r="EL353" s="500">
        <v>0</v>
      </c>
      <c r="EM353" s="500">
        <v>0</v>
      </c>
      <c r="EN353" s="500">
        <v>0</v>
      </c>
      <c r="EO353">
        <v>8</v>
      </c>
      <c r="EP353">
        <v>5063</v>
      </c>
      <c r="EQ353">
        <v>0</v>
      </c>
      <c r="ER353">
        <v>2.4399999999999999E-4</v>
      </c>
      <c r="ES353">
        <v>-142430005815.83252</v>
      </c>
      <c r="ET353">
        <v>4.6547900689999997</v>
      </c>
      <c r="EU353">
        <v>10.9604055434662</v>
      </c>
      <c r="EV353">
        <v>11.470589410000001</v>
      </c>
      <c r="EW353">
        <v>173.85481697186279</v>
      </c>
      <c r="EX353">
        <v>0</v>
      </c>
      <c r="EY353">
        <v>0</v>
      </c>
      <c r="EZ353">
        <v>0</v>
      </c>
      <c r="FA353">
        <v>-88092900000</v>
      </c>
      <c r="FB353">
        <v>0</v>
      </c>
      <c r="FC353">
        <v>-88092900000</v>
      </c>
      <c r="FD353">
        <v>-88092900000</v>
      </c>
      <c r="FE353">
        <v>-88092900000</v>
      </c>
      <c r="FF353">
        <v>-88092900000</v>
      </c>
      <c r="FG353" s="32">
        <f>Bankingbook_SBV[[#This Row],[Mat. Date]]-RPT</f>
        <v>7074</v>
      </c>
      <c r="FH353" s="32">
        <f>IF(Bankingbook_SBV[[#This Row],[Days]]&lt;=0,0,YEARFRAC(RPT,Bankingbook_SBV[[#This Row],[Mat. Date]],3))</f>
        <v>19.38082191780822</v>
      </c>
      <c r="FI353" s="32" t="str">
        <f>IF(Bankingbook_SBV[[#This Row],[Days (year)]]=0,0,INDEX(Ref!$K$2:$K$13,MATCH(Bankingbook_SBV[[#This Row],[Days (year)]],Ref!$I$2:$I$13,1)))</f>
        <v>20Y</v>
      </c>
      <c r="FJ353" s="32" t="str">
        <f>VLOOKUP(Bankingbook_SBV[[#This Row],[Security Name]],Ref!X:Z,3,0)</f>
        <v>TPCP</v>
      </c>
      <c r="FK353" s="32" t="str">
        <f>VLOOKUP(Bankingbook_SBV[[#This Row],[Security Name]],Ref!X:Y,2,0)</f>
        <v>KBNN</v>
      </c>
      <c r="FL353" s="72">
        <f>IF((Bankingbook_SBV[[#This Row],[Mat. Date]]-RPT)&lt;=0,0,Bankingbook_SBV[[#This Row],[QUANTITY]])</f>
        <v>0</v>
      </c>
      <c r="FM353" s="32">
        <f>IF(Bankingbook_SBV[[#This Row],[Quantity_edited]]=0,0,Bankingbook_SBV[[#This Row],[DURATION]])</f>
        <v>0</v>
      </c>
      <c r="FN353" s="32">
        <f>IF(Bankingbook_SBV[[#This Row],[Quantity_edited]]=0,0,Bankingbook_SBV[[#This Row],[Mod Dur]])</f>
        <v>0</v>
      </c>
      <c r="FO353" s="32">
        <f>IF(Bankingbook_SBV[[#This Row],[Quantity_edited]]=0,0,Bankingbook_SBV[[#This Row],[Cnvx.]])</f>
        <v>0</v>
      </c>
      <c r="FP353" s="32">
        <f>(Bankingbook_SBV[[#This Row],[MARKET_VALUE]]+Bankingbook_SBV[[#This Row],[Accr Int]]*Bankingbook_SBV[[#This Row],[Quantity_edited]])*(-Bankingbook_SBV[[#This Row],[Modified Duration]]*0.0001+0.5*Bankingbook_SBV[[#This Row],[Conv]]*(0.0001^2))</f>
        <v>0</v>
      </c>
      <c r="FQ353" s="32">
        <f>(Bankingbook_SBV[[#This Row],[MARKET_VALUE]]+Bankingbook_SBV[[#This Row],[Accr Int]]*Bankingbook_SBV[[#This Row],[Quantity_edited]])*(-Bankingbook_SBV[[#This Row],[Modified Duration]]*0.01+0.5*Bankingbook_SBV[[#This Row],[Conv]]*(0.01^2))</f>
        <v>0</v>
      </c>
    </row>
    <row r="354" spans="2:173" x14ac:dyDescent="0.3">
      <c r="B354" t="s">
        <v>166</v>
      </c>
      <c r="C354" t="s">
        <v>167</v>
      </c>
      <c r="D354" t="s">
        <v>543</v>
      </c>
      <c r="E354" t="s">
        <v>169</v>
      </c>
      <c r="F354" s="502">
        <v>45616</v>
      </c>
      <c r="G354" t="s">
        <v>3322</v>
      </c>
      <c r="H354"/>
      <c r="I354"/>
      <c r="J354" s="38">
        <v>0</v>
      </c>
      <c r="K354">
        <v>0</v>
      </c>
      <c r="L354">
        <v>0</v>
      </c>
      <c r="M354" s="38">
        <v>0</v>
      </c>
      <c r="N354">
        <v>3.7</v>
      </c>
      <c r="O354">
        <v>0</v>
      </c>
      <c r="P354" s="37">
        <v>18500000000</v>
      </c>
      <c r="Q354" s="37">
        <v>19717430527.777702</v>
      </c>
      <c r="R354" s="37">
        <v>-8456286525.2774696</v>
      </c>
      <c r="S354">
        <v>3.7</v>
      </c>
      <c r="T354" s="70">
        <v>0</v>
      </c>
      <c r="U354">
        <v>0</v>
      </c>
      <c r="V354">
        <v>0</v>
      </c>
      <c r="W354">
        <v>0</v>
      </c>
      <c r="X354" s="38">
        <v>0</v>
      </c>
      <c r="Y354">
        <v>0</v>
      </c>
      <c r="Z354" s="70">
        <v>-133000000</v>
      </c>
      <c r="AA354" s="70">
        <v>0</v>
      </c>
      <c r="AB354" s="70">
        <v>-133000000</v>
      </c>
      <c r="AC354" s="70">
        <v>-133000000</v>
      </c>
      <c r="AD354" s="70">
        <v>-133000000</v>
      </c>
      <c r="AE354" s="70">
        <v>-133000000</v>
      </c>
      <c r="AF354">
        <v>0</v>
      </c>
      <c r="AG354" s="72">
        <f>Tradingbook_MSB[[#This Row],[Mat. Date]]-RPT</f>
        <v>-636</v>
      </c>
      <c r="AH354" s="71">
        <f>IF(Tradingbook_MSB[[#This Row],[Days]]&lt;=0,0,YEARFRAC(RPT,Tradingbook_MSB[[#This Row],[Mat. Date]],3))</f>
        <v>0</v>
      </c>
      <c r="AI354" s="71">
        <f>IF(Tradingbook_MSB[[#This Row],[Days (year)]]=0,0,INDEX(Ref!$K$2:$K$13,MATCH(Tradingbook_MSB[[#This Row],[Days (year)]],Ref!$I$2:$I$13,1)))</f>
        <v>0</v>
      </c>
      <c r="AJ354" s="120" t="str">
        <f>VLOOKUP(Tradingbook_MSB[[#This Row],[Security Name]],Ref!X:Z,3,0)</f>
        <v>TPCPBL</v>
      </c>
      <c r="AK354" s="120" t="str">
        <f>VLOOKUP(Tradingbook_MSB[[#This Row],[Security Name]],Ref!X:Y,2,0)</f>
        <v>VDB</v>
      </c>
      <c r="AL354" s="71">
        <f>IF((Tradingbook_MSB[[#This Row],[Mat. Date]]-RPT)&lt;=0,0,Tradingbook_MSB[[#This Row],[QUANTITY]])</f>
        <v>0</v>
      </c>
      <c r="AM354" s="71">
        <f>IF(Tradingbook_MSB[[#This Row],[Quantity_edited]]=0,0,Tradingbook_MSB[[#This Row],[DURATION]])</f>
        <v>0</v>
      </c>
      <c r="AN354" s="71">
        <f>IF(Tradingbook_MSB[[#This Row],[Quantity_edited]]=0,0,Tradingbook_MSB[[#This Row],[Mod Dur]])</f>
        <v>0</v>
      </c>
      <c r="AO354" s="71">
        <f>IF(Tradingbook_MSB[[#This Row],[Quantity_edited]]=0,0,Tradingbook_MSB[[#This Row],[Cnvx.]])</f>
        <v>0</v>
      </c>
      <c r="AP354" s="71">
        <f>(Tradingbook_MSB[[#This Row],[MARKET_VALUE]]+Tradingbook_MSB[[#This Row],[Accr Int]]*Tradingbook_MSB[[#This Row],[Quantity_edited]])*(-Tradingbook_MSB[[#This Row],[Modified Duration]]*0.0001+0.5*Tradingbook_MSB[[#This Row],[Conv]]*(0.0001^2))</f>
        <v>0</v>
      </c>
      <c r="AQ354" s="72">
        <f>(Tradingbook_MSB[[#This Row],[MARKET_VALUE]]+Tradingbook_MSB[[#This Row],[Accr Int]]*Tradingbook_MSB[[#This Row],[Quantity_edited]])*(-Tradingbook_MSB[[#This Row],[Modified Duration]]*0.01+0.5*Tradingbook_MSB[[#This Row],[Conv]]*(0.01^2))</f>
        <v>0</v>
      </c>
      <c r="AR354" s="71"/>
      <c r="CL354" t="s">
        <v>166</v>
      </c>
      <c r="CM354" t="s">
        <v>167</v>
      </c>
      <c r="CN354" t="s">
        <v>551</v>
      </c>
      <c r="CO354" t="s">
        <v>169</v>
      </c>
      <c r="CP354" s="35">
        <v>45812</v>
      </c>
      <c r="CQ354" t="s">
        <v>3322</v>
      </c>
      <c r="CR354" t="s">
        <v>174</v>
      </c>
      <c r="CS354" t="s">
        <v>174</v>
      </c>
      <c r="CT354" s="49">
        <v>0</v>
      </c>
      <c r="CU354">
        <v>0</v>
      </c>
      <c r="CV354">
        <v>0</v>
      </c>
      <c r="CW354" s="70">
        <v>0</v>
      </c>
      <c r="CX354">
        <v>1.9</v>
      </c>
      <c r="CY354">
        <v>0</v>
      </c>
      <c r="CZ354">
        <v>1900000000</v>
      </c>
      <c r="DA354">
        <v>2077790388.8888769</v>
      </c>
      <c r="DB354">
        <v>-1064044683.61096</v>
      </c>
      <c r="DC354">
        <v>1.9</v>
      </c>
      <c r="DD354">
        <v>0</v>
      </c>
      <c r="DE354">
        <v>0</v>
      </c>
      <c r="DF354">
        <v>0</v>
      </c>
      <c r="DG354">
        <v>0</v>
      </c>
      <c r="DH354">
        <v>0</v>
      </c>
      <c r="DI354">
        <v>0</v>
      </c>
      <c r="DJ354" s="500">
        <v>953500000.00048828</v>
      </c>
      <c r="DK354" s="500">
        <v>0</v>
      </c>
      <c r="DL354" s="37">
        <v>953500000.00048828</v>
      </c>
      <c r="DM354" s="37">
        <v>953500000.00048828</v>
      </c>
      <c r="DN354" s="37">
        <v>953500000</v>
      </c>
      <c r="DO354" s="37">
        <v>953500000.00048828</v>
      </c>
      <c r="DP354" s="32">
        <f>Tradingbook_SBV[[#This Row],[Mat. Date]]-RPT</f>
        <v>-440</v>
      </c>
      <c r="DQ354" s="32">
        <f>IF(Tradingbook_SBV[[#This Row],[Days]]&lt;=0,0,YEARFRAC(RPT,Tradingbook_SBV[[#This Row],[Mat. Date]],3))</f>
        <v>0</v>
      </c>
      <c r="DR354" s="32">
        <f>IF(Tradingbook_SBV[[#This Row],[Days (year)]]=0,0,INDEX(Ref!$K$2:$K$13,MATCH(Tradingbook_SBV[[#This Row],[Days (year)]],Ref!$I$2:$I$13,1)))</f>
        <v>0</v>
      </c>
      <c r="DS354" s="32" t="str">
        <f>VLOOKUP(Tradingbook_SBV[[#This Row],[Security Name]],Ref!X:Z,3,0)</f>
        <v>TPCP</v>
      </c>
      <c r="DT354" s="32" t="str">
        <f>VLOOKUP(Tradingbook_SBV[[#This Row],[Security Name]],Ref!X:Y,2,0)</f>
        <v>KBNN</v>
      </c>
      <c r="DU354" s="71">
        <f>IF((Tradingbook_SBV[[#This Row],[Mat. Date]]-RPT)&lt;=0,0,Tradingbook_SBV[[#This Row],[QUANTITY]])</f>
        <v>0</v>
      </c>
      <c r="DV354" s="71">
        <f>IF(Tradingbook_SBV[[#This Row],[Quantity_edited]]=0,0,Tradingbook_SBV[[#This Row],[DURATION]])</f>
        <v>0</v>
      </c>
      <c r="DW354" s="71">
        <f>IF(Tradingbook_SBV[[#This Row],[Quantity_edited]]=0,0,Tradingbook_SBV[[#This Row],[Mod Dur]])</f>
        <v>0</v>
      </c>
      <c r="DX354" s="71">
        <f>IF(Tradingbook_SBV[[#This Row],[Quantity_edited]]=0,0,Tradingbook_SBV[[#This Row],[Cnvx.]])</f>
        <v>0</v>
      </c>
      <c r="DY354" s="71">
        <f>(Tradingbook_SBV[[#This Row],[MARKET_VALUE]]+Tradingbook_SBV[[#This Row],[Accr Int]]*Tradingbook_SBV[[#This Row],[Quantity_edited]])*(-Tradingbook_SBV[[#This Row],[Modified Duration]]*0.0001+0.5*Tradingbook_SBV[[#This Row],[Conv]]*(0.0001^2))</f>
        <v>0</v>
      </c>
      <c r="DZ354" s="71">
        <f>(Tradingbook_SBV[[#This Row],[MARKET_VALUE]]+Tradingbook_SBV[[#This Row],[Accr Int]]*Tradingbook_SBV[[#This Row],[Quantity_edited]])*(-Tradingbook_SBV[[#This Row],[Modified Duration]]*0.01+0.5*Tradingbook_SBV[[#This Row],[Conv]]*(0.01^2))</f>
        <v>0</v>
      </c>
      <c r="EC354" t="s">
        <v>166</v>
      </c>
      <c r="ED354" t="s">
        <v>3303</v>
      </c>
      <c r="EE354" t="s">
        <v>718</v>
      </c>
      <c r="EF354" t="s">
        <v>169</v>
      </c>
      <c r="EG354" s="35" t="s">
        <v>3849</v>
      </c>
      <c r="EH354" t="s">
        <v>3322</v>
      </c>
      <c r="EI354" s="500">
        <v>142132</v>
      </c>
      <c r="EJ354" s="500">
        <v>142132</v>
      </c>
      <c r="EK354" s="500">
        <v>0</v>
      </c>
      <c r="EL354" s="500">
        <v>0</v>
      </c>
      <c r="EM354" s="500">
        <v>0</v>
      </c>
      <c r="EN354" s="500">
        <v>0</v>
      </c>
      <c r="EO354">
        <v>8</v>
      </c>
      <c r="EP354">
        <v>4427</v>
      </c>
      <c r="EQ354">
        <v>0</v>
      </c>
      <c r="ER354">
        <v>6.0999999999999999E-5</v>
      </c>
      <c r="ES354">
        <v>-24234457878.67358</v>
      </c>
      <c r="ET354">
        <v>4.6561609600000002</v>
      </c>
      <c r="EU354">
        <v>11.035586276161499</v>
      </c>
      <c r="EV354">
        <v>11.549420939999999</v>
      </c>
      <c r="EW354">
        <v>175.57971165533729</v>
      </c>
      <c r="EX354">
        <v>0</v>
      </c>
      <c r="EY354">
        <v>0</v>
      </c>
      <c r="EZ354">
        <v>0</v>
      </c>
      <c r="FA354">
        <v>-15675890000.000977</v>
      </c>
      <c r="FB354">
        <v>0</v>
      </c>
      <c r="FC354">
        <v>-15675890000.000977</v>
      </c>
      <c r="FD354">
        <v>-15675890000.000977</v>
      </c>
      <c r="FE354">
        <v>-15675890000.000999</v>
      </c>
      <c r="FF354">
        <v>-15675890000.000977</v>
      </c>
      <c r="FG354" s="32">
        <f>Bankingbook_SBV[[#This Row],[Mat. Date]]-RPT</f>
        <v>7103</v>
      </c>
      <c r="FH354" s="32">
        <f>IF(Bankingbook_SBV[[#This Row],[Days]]&lt;=0,0,YEARFRAC(RPT,Bankingbook_SBV[[#This Row],[Mat. Date]],3))</f>
        <v>19.460273972602739</v>
      </c>
      <c r="FI354" s="32" t="str">
        <f>IF(Bankingbook_SBV[[#This Row],[Days (year)]]=0,0,INDEX(Ref!$K$2:$K$13,MATCH(Bankingbook_SBV[[#This Row],[Days (year)]],Ref!$I$2:$I$13,1)))</f>
        <v>20Y</v>
      </c>
      <c r="FJ354" s="32" t="str">
        <f>VLOOKUP(Bankingbook_SBV[[#This Row],[Security Name]],Ref!X:Z,3,0)</f>
        <v>TPCP</v>
      </c>
      <c r="FK354" s="32" t="str">
        <f>VLOOKUP(Bankingbook_SBV[[#This Row],[Security Name]],Ref!X:Y,2,0)</f>
        <v>KBNN</v>
      </c>
      <c r="FL354" s="72">
        <f>IF((Bankingbook_SBV[[#This Row],[Mat. Date]]-RPT)&lt;=0,0,Bankingbook_SBV[[#This Row],[QUANTITY]])</f>
        <v>0</v>
      </c>
      <c r="FM354" s="32">
        <f>IF(Bankingbook_SBV[[#This Row],[Quantity_edited]]=0,0,Bankingbook_SBV[[#This Row],[DURATION]])</f>
        <v>0</v>
      </c>
      <c r="FN354" s="32">
        <f>IF(Bankingbook_SBV[[#This Row],[Quantity_edited]]=0,0,Bankingbook_SBV[[#This Row],[Mod Dur]])</f>
        <v>0</v>
      </c>
      <c r="FO354" s="32">
        <f>IF(Bankingbook_SBV[[#This Row],[Quantity_edited]]=0,0,Bankingbook_SBV[[#This Row],[Cnvx.]])</f>
        <v>0</v>
      </c>
      <c r="FP354" s="32">
        <f>(Bankingbook_SBV[[#This Row],[MARKET_VALUE]]+Bankingbook_SBV[[#This Row],[Accr Int]]*Bankingbook_SBV[[#This Row],[Quantity_edited]])*(-Bankingbook_SBV[[#This Row],[Modified Duration]]*0.0001+0.5*Bankingbook_SBV[[#This Row],[Conv]]*(0.0001^2))</f>
        <v>0</v>
      </c>
      <c r="FQ354" s="32">
        <f>(Bankingbook_SBV[[#This Row],[MARKET_VALUE]]+Bankingbook_SBV[[#This Row],[Accr Int]]*Bankingbook_SBV[[#This Row],[Quantity_edited]])*(-Bankingbook_SBV[[#This Row],[Modified Duration]]*0.01+0.5*Bankingbook_SBV[[#This Row],[Conv]]*(0.01^2))</f>
        <v>0</v>
      </c>
    </row>
    <row r="355" spans="2:173" x14ac:dyDescent="0.3">
      <c r="B355" t="s">
        <v>166</v>
      </c>
      <c r="C355" t="s">
        <v>167</v>
      </c>
      <c r="D355" t="s">
        <v>545</v>
      </c>
      <c r="E355" t="s">
        <v>169</v>
      </c>
      <c r="F355" s="502">
        <v>45666</v>
      </c>
      <c r="G355" t="s">
        <v>3322</v>
      </c>
      <c r="H355"/>
      <c r="I355"/>
      <c r="J355" s="38">
        <v>0</v>
      </c>
      <c r="K355">
        <v>0</v>
      </c>
      <c r="L355">
        <v>0</v>
      </c>
      <c r="M355" s="38">
        <v>0</v>
      </c>
      <c r="N355">
        <v>1.8</v>
      </c>
      <c r="O355">
        <v>0</v>
      </c>
      <c r="P355" s="37">
        <v>900000000</v>
      </c>
      <c r="Q355" s="37">
        <v>968553062.49999404</v>
      </c>
      <c r="R355" s="37">
        <v>-908298506.41383743</v>
      </c>
      <c r="S355">
        <v>1.8</v>
      </c>
      <c r="T355" s="70">
        <v>0</v>
      </c>
      <c r="U355">
        <v>0</v>
      </c>
      <c r="V355">
        <v>0</v>
      </c>
      <c r="W355">
        <v>0</v>
      </c>
      <c r="X355" s="38">
        <v>0</v>
      </c>
      <c r="Y355">
        <v>0</v>
      </c>
      <c r="Z355" s="70">
        <v>624640000</v>
      </c>
      <c r="AA355" s="70">
        <v>0</v>
      </c>
      <c r="AB355" s="70">
        <v>624640000</v>
      </c>
      <c r="AC355" s="70">
        <v>624640000</v>
      </c>
      <c r="AD355" s="70">
        <v>624640000</v>
      </c>
      <c r="AE355" s="70">
        <v>624640000</v>
      </c>
      <c r="AF355">
        <v>0</v>
      </c>
      <c r="AG355" s="72">
        <f>Tradingbook_MSB[[#This Row],[Mat. Date]]-RPT</f>
        <v>-586</v>
      </c>
      <c r="AH355" s="71">
        <f>IF(Tradingbook_MSB[[#This Row],[Days]]&lt;=0,0,YEARFRAC(RPT,Tradingbook_MSB[[#This Row],[Mat. Date]],3))</f>
        <v>0</v>
      </c>
      <c r="AI355" s="71">
        <f>IF(Tradingbook_MSB[[#This Row],[Days (year)]]=0,0,INDEX(Ref!$K$2:$K$13,MATCH(Tradingbook_MSB[[#This Row],[Days (year)]],Ref!$I$2:$I$13,1)))</f>
        <v>0</v>
      </c>
      <c r="AJ355" s="120" t="str">
        <f>VLOOKUP(Tradingbook_MSB[[#This Row],[Security Name]],Ref!X:Z,3,0)</f>
        <v>TPCP</v>
      </c>
      <c r="AK355" s="120" t="str">
        <f>VLOOKUP(Tradingbook_MSB[[#This Row],[Security Name]],Ref!X:Y,2,0)</f>
        <v>KBNN</v>
      </c>
      <c r="AL355" s="71">
        <f>IF((Tradingbook_MSB[[#This Row],[Mat. Date]]-RPT)&lt;=0,0,Tradingbook_MSB[[#This Row],[QUANTITY]])</f>
        <v>0</v>
      </c>
      <c r="AM355" s="71">
        <f>IF(Tradingbook_MSB[[#This Row],[Quantity_edited]]=0,0,Tradingbook_MSB[[#This Row],[DURATION]])</f>
        <v>0</v>
      </c>
      <c r="AN355" s="71">
        <f>IF(Tradingbook_MSB[[#This Row],[Quantity_edited]]=0,0,Tradingbook_MSB[[#This Row],[Mod Dur]])</f>
        <v>0</v>
      </c>
      <c r="AO355" s="71">
        <f>IF(Tradingbook_MSB[[#This Row],[Quantity_edited]]=0,0,Tradingbook_MSB[[#This Row],[Cnvx.]])</f>
        <v>0</v>
      </c>
      <c r="AP355" s="71">
        <f>(Tradingbook_MSB[[#This Row],[MARKET_VALUE]]+Tradingbook_MSB[[#This Row],[Accr Int]]*Tradingbook_MSB[[#This Row],[Quantity_edited]])*(-Tradingbook_MSB[[#This Row],[Modified Duration]]*0.0001+0.5*Tradingbook_MSB[[#This Row],[Conv]]*(0.0001^2))</f>
        <v>0</v>
      </c>
      <c r="AQ355" s="72">
        <f>(Tradingbook_MSB[[#This Row],[MARKET_VALUE]]+Tradingbook_MSB[[#This Row],[Accr Int]]*Tradingbook_MSB[[#This Row],[Quantity_edited]])*(-Tradingbook_MSB[[#This Row],[Modified Duration]]*0.01+0.5*Tradingbook_MSB[[#This Row],[Conv]]*(0.01^2))</f>
        <v>0</v>
      </c>
      <c r="AR355" s="71"/>
      <c r="CL355" t="s">
        <v>166</v>
      </c>
      <c r="CM355" t="s">
        <v>167</v>
      </c>
      <c r="CN355" t="s">
        <v>553</v>
      </c>
      <c r="CO355" t="s">
        <v>169</v>
      </c>
      <c r="CP355" s="35">
        <v>45964</v>
      </c>
      <c r="CQ355" t="s">
        <v>3322</v>
      </c>
      <c r="CR355" t="s">
        <v>174</v>
      </c>
      <c r="CS355" t="s">
        <v>174</v>
      </c>
      <c r="CT355" s="49">
        <v>0</v>
      </c>
      <c r="CU355">
        <v>0</v>
      </c>
      <c r="CV355">
        <v>0</v>
      </c>
      <c r="CW355" s="70">
        <v>0</v>
      </c>
      <c r="CX355">
        <v>1.6</v>
      </c>
      <c r="CY355">
        <v>0</v>
      </c>
      <c r="CZ355">
        <v>0</v>
      </c>
      <c r="DA355">
        <v>0</v>
      </c>
      <c r="DB355">
        <v>58887557.916650772</v>
      </c>
      <c r="DC355">
        <v>1.6</v>
      </c>
      <c r="DD355">
        <v>0</v>
      </c>
      <c r="DE355">
        <v>0</v>
      </c>
      <c r="DF355">
        <v>0</v>
      </c>
      <c r="DG355">
        <v>0</v>
      </c>
      <c r="DH355">
        <v>0</v>
      </c>
      <c r="DI355">
        <v>0</v>
      </c>
      <c r="DJ355" s="500">
        <v>491500000</v>
      </c>
      <c r="DK355" s="500">
        <v>0</v>
      </c>
      <c r="DL355" s="37">
        <v>491500000</v>
      </c>
      <c r="DM355" s="37">
        <v>491500000</v>
      </c>
      <c r="DN355" s="37">
        <v>491500000</v>
      </c>
      <c r="DO355" s="37">
        <v>491500000</v>
      </c>
      <c r="DP355" s="32">
        <f>Tradingbook_SBV[[#This Row],[Mat. Date]]-RPT</f>
        <v>-288</v>
      </c>
      <c r="DQ355" s="32">
        <f>IF(Tradingbook_SBV[[#This Row],[Days]]&lt;=0,0,YEARFRAC(RPT,Tradingbook_SBV[[#This Row],[Mat. Date]],3))</f>
        <v>0</v>
      </c>
      <c r="DR355" s="32">
        <f>IF(Tradingbook_SBV[[#This Row],[Days (year)]]=0,0,INDEX(Ref!$K$2:$K$13,MATCH(Tradingbook_SBV[[#This Row],[Days (year)]],Ref!$I$2:$I$13,1)))</f>
        <v>0</v>
      </c>
      <c r="DS355" s="32" t="str">
        <f>VLOOKUP(Tradingbook_SBV[[#This Row],[Security Name]],Ref!X:Z,3,0)</f>
        <v>TPCP</v>
      </c>
      <c r="DT355" s="32" t="str">
        <f>VLOOKUP(Tradingbook_SBV[[#This Row],[Security Name]],Ref!X:Y,2,0)</f>
        <v>KBNN</v>
      </c>
      <c r="DU355" s="71">
        <f>IF((Tradingbook_SBV[[#This Row],[Mat. Date]]-RPT)&lt;=0,0,Tradingbook_SBV[[#This Row],[QUANTITY]])</f>
        <v>0</v>
      </c>
      <c r="DV355" s="71">
        <f>IF(Tradingbook_SBV[[#This Row],[Quantity_edited]]=0,0,Tradingbook_SBV[[#This Row],[DURATION]])</f>
        <v>0</v>
      </c>
      <c r="DW355" s="71">
        <f>IF(Tradingbook_SBV[[#This Row],[Quantity_edited]]=0,0,Tradingbook_SBV[[#This Row],[Mod Dur]])</f>
        <v>0</v>
      </c>
      <c r="DX355" s="71">
        <f>IF(Tradingbook_SBV[[#This Row],[Quantity_edited]]=0,0,Tradingbook_SBV[[#This Row],[Cnvx.]])</f>
        <v>0</v>
      </c>
      <c r="DY355" s="71">
        <f>(Tradingbook_SBV[[#This Row],[MARKET_VALUE]]+Tradingbook_SBV[[#This Row],[Accr Int]]*Tradingbook_SBV[[#This Row],[Quantity_edited]])*(-Tradingbook_SBV[[#This Row],[Modified Duration]]*0.0001+0.5*Tradingbook_SBV[[#This Row],[Conv]]*(0.0001^2))</f>
        <v>0</v>
      </c>
      <c r="DZ355" s="71">
        <f>(Tradingbook_SBV[[#This Row],[MARKET_VALUE]]+Tradingbook_SBV[[#This Row],[Accr Int]]*Tradingbook_SBV[[#This Row],[Quantity_edited]])*(-Tradingbook_SBV[[#This Row],[Modified Duration]]*0.01+0.5*Tradingbook_SBV[[#This Row],[Conv]]*(0.01^2))</f>
        <v>0</v>
      </c>
      <c r="EC355" t="s">
        <v>166</v>
      </c>
      <c r="ED355" t="s">
        <v>3303</v>
      </c>
      <c r="EE355" t="s">
        <v>719</v>
      </c>
      <c r="EF355" t="s">
        <v>169</v>
      </c>
      <c r="EG355" s="35" t="s">
        <v>3850</v>
      </c>
      <c r="EH355" t="s">
        <v>3322</v>
      </c>
      <c r="EI355" s="500">
        <v>142528</v>
      </c>
      <c r="EJ355" s="500">
        <v>142528</v>
      </c>
      <c r="EK355" s="500">
        <v>0</v>
      </c>
      <c r="EL355" s="500">
        <v>0</v>
      </c>
      <c r="EM355" s="500">
        <v>0</v>
      </c>
      <c r="EN355" s="500">
        <v>0</v>
      </c>
      <c r="EO355">
        <v>8</v>
      </c>
      <c r="EP355">
        <v>1534</v>
      </c>
      <c r="EQ355">
        <v>0</v>
      </c>
      <c r="ER355">
        <v>1.5E-5</v>
      </c>
      <c r="ES355">
        <v>-25313528255.833229</v>
      </c>
      <c r="ET355">
        <v>4.6625396370000001</v>
      </c>
      <c r="EU355">
        <v>11.377688241596401</v>
      </c>
      <c r="EV355">
        <v>11.90817747</v>
      </c>
      <c r="EW355">
        <v>183.57132121317071</v>
      </c>
      <c r="EX355">
        <v>0</v>
      </c>
      <c r="EY355">
        <v>0</v>
      </c>
      <c r="EZ355">
        <v>0</v>
      </c>
      <c r="FA355">
        <v>-1818950000</v>
      </c>
      <c r="FB355">
        <v>0</v>
      </c>
      <c r="FC355">
        <v>-1818950000</v>
      </c>
      <c r="FD355">
        <v>-1818950000</v>
      </c>
      <c r="FE355">
        <v>-1818950000</v>
      </c>
      <c r="FF355">
        <v>-1818950000</v>
      </c>
      <c r="FG355" s="32">
        <f>Bankingbook_SBV[[#This Row],[Mat. Date]]-RPT</f>
        <v>7235</v>
      </c>
      <c r="FH355" s="32">
        <f>IF(Bankingbook_SBV[[#This Row],[Days]]&lt;=0,0,YEARFRAC(RPT,Bankingbook_SBV[[#This Row],[Mat. Date]],3))</f>
        <v>19.82191780821918</v>
      </c>
      <c r="FI355" s="32" t="str">
        <f>IF(Bankingbook_SBV[[#This Row],[Days (year)]]=0,0,INDEX(Ref!$K$2:$K$13,MATCH(Bankingbook_SBV[[#This Row],[Days (year)]],Ref!$I$2:$I$13,1)))</f>
        <v>20Y</v>
      </c>
      <c r="FJ355" s="32" t="str">
        <f>VLOOKUP(Bankingbook_SBV[[#This Row],[Security Name]],Ref!X:Z,3,0)</f>
        <v>TPCP</v>
      </c>
      <c r="FK355" s="32" t="str">
        <f>VLOOKUP(Bankingbook_SBV[[#This Row],[Security Name]],Ref!X:Y,2,0)</f>
        <v>KBNN</v>
      </c>
      <c r="FL355" s="72">
        <f>IF((Bankingbook_SBV[[#This Row],[Mat. Date]]-RPT)&lt;=0,0,Bankingbook_SBV[[#This Row],[QUANTITY]])</f>
        <v>0</v>
      </c>
      <c r="FM355" s="32">
        <f>IF(Bankingbook_SBV[[#This Row],[Quantity_edited]]=0,0,Bankingbook_SBV[[#This Row],[DURATION]])</f>
        <v>0</v>
      </c>
      <c r="FN355" s="32">
        <f>IF(Bankingbook_SBV[[#This Row],[Quantity_edited]]=0,0,Bankingbook_SBV[[#This Row],[Mod Dur]])</f>
        <v>0</v>
      </c>
      <c r="FO355" s="32">
        <f>IF(Bankingbook_SBV[[#This Row],[Quantity_edited]]=0,0,Bankingbook_SBV[[#This Row],[Cnvx.]])</f>
        <v>0</v>
      </c>
      <c r="FP355" s="32">
        <f>(Bankingbook_SBV[[#This Row],[MARKET_VALUE]]+Bankingbook_SBV[[#This Row],[Accr Int]]*Bankingbook_SBV[[#This Row],[Quantity_edited]])*(-Bankingbook_SBV[[#This Row],[Modified Duration]]*0.0001+0.5*Bankingbook_SBV[[#This Row],[Conv]]*(0.0001^2))</f>
        <v>0</v>
      </c>
      <c r="FQ355" s="32">
        <f>(Bankingbook_SBV[[#This Row],[MARKET_VALUE]]+Bankingbook_SBV[[#This Row],[Accr Int]]*Bankingbook_SBV[[#This Row],[Quantity_edited]])*(-Bankingbook_SBV[[#This Row],[Modified Duration]]*0.01+0.5*Bankingbook_SBV[[#This Row],[Conv]]*(0.01^2))</f>
        <v>0</v>
      </c>
    </row>
    <row r="356" spans="2:173" x14ac:dyDescent="0.3">
      <c r="B356" t="s">
        <v>166</v>
      </c>
      <c r="C356" t="s">
        <v>167</v>
      </c>
      <c r="D356" t="s">
        <v>546</v>
      </c>
      <c r="E356" t="s">
        <v>169</v>
      </c>
      <c r="F356" s="502">
        <v>45668</v>
      </c>
      <c r="G356" t="s">
        <v>3322</v>
      </c>
      <c r="H356"/>
      <c r="I356"/>
      <c r="J356" s="38">
        <v>0</v>
      </c>
      <c r="K356">
        <v>0</v>
      </c>
      <c r="L356">
        <v>0</v>
      </c>
      <c r="M356" s="38">
        <v>0</v>
      </c>
      <c r="N356">
        <v>4.3</v>
      </c>
      <c r="O356">
        <v>0</v>
      </c>
      <c r="P356" s="37">
        <v>8600000000</v>
      </c>
      <c r="Q356" s="37">
        <v>9639188166.6666222</v>
      </c>
      <c r="R356" s="37">
        <v>-17427427498.847408</v>
      </c>
      <c r="S356">
        <v>4.3</v>
      </c>
      <c r="T356" s="70">
        <v>0</v>
      </c>
      <c r="U356">
        <v>0</v>
      </c>
      <c r="V356">
        <v>0</v>
      </c>
      <c r="W356">
        <v>0</v>
      </c>
      <c r="X356" s="38">
        <v>0</v>
      </c>
      <c r="Y356">
        <v>0</v>
      </c>
      <c r="Z356" s="70">
        <v>8658270000</v>
      </c>
      <c r="AA356" s="70">
        <v>0</v>
      </c>
      <c r="AB356" s="70">
        <v>8658270000</v>
      </c>
      <c r="AC356" s="70">
        <v>8658270000</v>
      </c>
      <c r="AD356" s="70">
        <v>8658270000</v>
      </c>
      <c r="AE356" s="70">
        <v>8658270000</v>
      </c>
      <c r="AF356">
        <v>0</v>
      </c>
      <c r="AG356" s="72">
        <f>Tradingbook_MSB[[#This Row],[Mat. Date]]-RPT</f>
        <v>-584</v>
      </c>
      <c r="AH356" s="71">
        <f>IF(Tradingbook_MSB[[#This Row],[Days]]&lt;=0,0,YEARFRAC(RPT,Tradingbook_MSB[[#This Row],[Mat. Date]],3))</f>
        <v>0</v>
      </c>
      <c r="AI356" s="71">
        <f>IF(Tradingbook_MSB[[#This Row],[Days (year)]]=0,0,INDEX(Ref!$K$2:$K$13,MATCH(Tradingbook_MSB[[#This Row],[Days (year)]],Ref!$I$2:$I$13,1)))</f>
        <v>0</v>
      </c>
      <c r="AJ356" s="120" t="str">
        <f>VLOOKUP(Tradingbook_MSB[[#This Row],[Security Name]],Ref!X:Z,3,0)</f>
        <v>TPCP</v>
      </c>
      <c r="AK356" s="120" t="str">
        <f>VLOOKUP(Tradingbook_MSB[[#This Row],[Security Name]],Ref!X:Y,2,0)</f>
        <v>KBNN</v>
      </c>
      <c r="AL356" s="71">
        <f>IF((Tradingbook_MSB[[#This Row],[Mat. Date]]-RPT)&lt;=0,0,Tradingbook_MSB[[#This Row],[QUANTITY]])</f>
        <v>0</v>
      </c>
      <c r="AM356" s="71">
        <f>IF(Tradingbook_MSB[[#This Row],[Quantity_edited]]=0,0,Tradingbook_MSB[[#This Row],[DURATION]])</f>
        <v>0</v>
      </c>
      <c r="AN356" s="71">
        <f>IF(Tradingbook_MSB[[#This Row],[Quantity_edited]]=0,0,Tradingbook_MSB[[#This Row],[Mod Dur]])</f>
        <v>0</v>
      </c>
      <c r="AO356" s="71">
        <f>IF(Tradingbook_MSB[[#This Row],[Quantity_edited]]=0,0,Tradingbook_MSB[[#This Row],[Cnvx.]])</f>
        <v>0</v>
      </c>
      <c r="AP356" s="71">
        <f>(Tradingbook_MSB[[#This Row],[MARKET_VALUE]]+Tradingbook_MSB[[#This Row],[Accr Int]]*Tradingbook_MSB[[#This Row],[Quantity_edited]])*(-Tradingbook_MSB[[#This Row],[Modified Duration]]*0.0001+0.5*Tradingbook_MSB[[#This Row],[Conv]]*(0.0001^2))</f>
        <v>0</v>
      </c>
      <c r="AQ356" s="72">
        <f>(Tradingbook_MSB[[#This Row],[MARKET_VALUE]]+Tradingbook_MSB[[#This Row],[Accr Int]]*Tradingbook_MSB[[#This Row],[Quantity_edited]])*(-Tradingbook_MSB[[#This Row],[Modified Duration]]*0.01+0.5*Tradingbook_MSB[[#This Row],[Conv]]*(0.01^2))</f>
        <v>0</v>
      </c>
      <c r="AR356" s="71"/>
      <c r="CL356" t="s">
        <v>166</v>
      </c>
      <c r="CM356" t="s">
        <v>167</v>
      </c>
      <c r="CN356" t="s">
        <v>1174</v>
      </c>
      <c r="CO356" t="s">
        <v>169</v>
      </c>
      <c r="CP356" s="35">
        <v>46017</v>
      </c>
      <c r="CQ356" t="s">
        <v>3322</v>
      </c>
      <c r="CR356" t="s">
        <v>174</v>
      </c>
      <c r="CS356" t="s">
        <v>174</v>
      </c>
      <c r="CT356" s="49">
        <v>0</v>
      </c>
      <c r="CU356">
        <v>0</v>
      </c>
      <c r="CV356">
        <v>0</v>
      </c>
      <c r="CW356" s="70">
        <v>0</v>
      </c>
      <c r="CX356">
        <v>5.5</v>
      </c>
      <c r="CY356">
        <v>0</v>
      </c>
      <c r="CZ356">
        <v>5500000000</v>
      </c>
      <c r="DA356">
        <v>5847019444.4444447</v>
      </c>
      <c r="DB356">
        <v>-609594803.33332253</v>
      </c>
      <c r="DC356">
        <v>5.5</v>
      </c>
      <c r="DD356">
        <v>0</v>
      </c>
      <c r="DE356">
        <v>0</v>
      </c>
      <c r="DF356">
        <v>0</v>
      </c>
      <c r="DG356">
        <v>0</v>
      </c>
      <c r="DH356">
        <v>0</v>
      </c>
      <c r="DI356">
        <v>0</v>
      </c>
      <c r="DJ356" s="500">
        <v>-1295000000</v>
      </c>
      <c r="DK356" s="500">
        <v>0</v>
      </c>
      <c r="DL356" s="37">
        <v>-1295000000</v>
      </c>
      <c r="DM356" s="37">
        <v>-1295000000</v>
      </c>
      <c r="DN356" s="37">
        <v>-1295000000</v>
      </c>
      <c r="DO356" s="37">
        <v>-1295000000</v>
      </c>
      <c r="DP356" s="32">
        <f>Tradingbook_SBV[[#This Row],[Mat. Date]]-RPT</f>
        <v>-235</v>
      </c>
      <c r="DQ356" s="32">
        <f>IF(Tradingbook_SBV[[#This Row],[Days]]&lt;=0,0,YEARFRAC(RPT,Tradingbook_SBV[[#This Row],[Mat. Date]],3))</f>
        <v>0</v>
      </c>
      <c r="DR356" s="32">
        <f>IF(Tradingbook_SBV[[#This Row],[Days (year)]]=0,0,INDEX(Ref!$K$2:$K$13,MATCH(Tradingbook_SBV[[#This Row],[Days (year)]],Ref!$I$2:$I$13,1)))</f>
        <v>0</v>
      </c>
      <c r="DS356" s="32" t="str">
        <f>VLOOKUP(Tradingbook_SBV[[#This Row],[Security Name]],Ref!X:Z,3,0)</f>
        <v>TPCPBL</v>
      </c>
      <c r="DT356" s="32" t="str">
        <f>VLOOKUP(Tradingbook_SBV[[#This Row],[Security Name]],Ref!X:Y,2,0)</f>
        <v>VDB</v>
      </c>
      <c r="DU356" s="71">
        <f>IF((Tradingbook_SBV[[#This Row],[Mat. Date]]-RPT)&lt;=0,0,Tradingbook_SBV[[#This Row],[QUANTITY]])</f>
        <v>0</v>
      </c>
      <c r="DV356" s="71">
        <f>IF(Tradingbook_SBV[[#This Row],[Quantity_edited]]=0,0,Tradingbook_SBV[[#This Row],[DURATION]])</f>
        <v>0</v>
      </c>
      <c r="DW356" s="71">
        <f>IF(Tradingbook_SBV[[#This Row],[Quantity_edited]]=0,0,Tradingbook_SBV[[#This Row],[Mod Dur]])</f>
        <v>0</v>
      </c>
      <c r="DX356" s="71">
        <f>IF(Tradingbook_SBV[[#This Row],[Quantity_edited]]=0,0,Tradingbook_SBV[[#This Row],[Cnvx.]])</f>
        <v>0</v>
      </c>
      <c r="DY356" s="71">
        <f>(Tradingbook_SBV[[#This Row],[MARKET_VALUE]]+Tradingbook_SBV[[#This Row],[Accr Int]]*Tradingbook_SBV[[#This Row],[Quantity_edited]])*(-Tradingbook_SBV[[#This Row],[Modified Duration]]*0.0001+0.5*Tradingbook_SBV[[#This Row],[Conv]]*(0.0001^2))</f>
        <v>0</v>
      </c>
      <c r="DZ356" s="71">
        <f>(Tradingbook_SBV[[#This Row],[MARKET_VALUE]]+Tradingbook_SBV[[#This Row],[Accr Int]]*Tradingbook_SBV[[#This Row],[Quantity_edited]])*(-Tradingbook_SBV[[#This Row],[Modified Duration]]*0.01+0.5*Tradingbook_SBV[[#This Row],[Conv]]*(0.01^2))</f>
        <v>0</v>
      </c>
      <c r="EC356" t="s">
        <v>166</v>
      </c>
      <c r="ED356" t="s">
        <v>3303</v>
      </c>
      <c r="EE356" t="s">
        <v>1193</v>
      </c>
      <c r="EF356" t="s">
        <v>169</v>
      </c>
      <c r="EG356" s="35" t="s">
        <v>3851</v>
      </c>
      <c r="EH356" t="s">
        <v>3322</v>
      </c>
      <c r="EI356" s="500">
        <v>141546</v>
      </c>
      <c r="EJ356" s="500">
        <v>141546</v>
      </c>
      <c r="EK356" s="500">
        <v>0</v>
      </c>
      <c r="EL356" s="500">
        <v>0</v>
      </c>
      <c r="EM356" s="500">
        <v>0</v>
      </c>
      <c r="EN356" s="500">
        <v>0</v>
      </c>
      <c r="EO356">
        <v>7.9</v>
      </c>
      <c r="EP356">
        <v>7294</v>
      </c>
      <c r="EQ356">
        <v>0</v>
      </c>
      <c r="ER356">
        <v>0</v>
      </c>
      <c r="ES356">
        <v>-50971367939.76947</v>
      </c>
      <c r="ET356">
        <v>4.6664498270000001</v>
      </c>
      <c r="EU356">
        <v>11.0461064649847</v>
      </c>
      <c r="EV356">
        <v>11.561567480000001</v>
      </c>
      <c r="EW356">
        <v>180.29947343378311</v>
      </c>
      <c r="EX356">
        <v>0</v>
      </c>
      <c r="EY356">
        <v>0</v>
      </c>
      <c r="EZ356">
        <v>0</v>
      </c>
      <c r="FA356">
        <v>-5287249999.9990234</v>
      </c>
      <c r="FB356">
        <v>0</v>
      </c>
      <c r="FC356">
        <v>-5287249999.9990234</v>
      </c>
      <c r="FD356">
        <v>-5287249999.9990234</v>
      </c>
      <c r="FE356">
        <v>-5287249999.9989996</v>
      </c>
      <c r="FF356">
        <v>-5287249999.9990234</v>
      </c>
      <c r="FG356" s="32">
        <f>Bankingbook_SBV[[#This Row],[Mat. Date]]-RPT</f>
        <v>7333</v>
      </c>
      <c r="FH356" s="32">
        <f>IF(Bankingbook_SBV[[#This Row],[Days]]&lt;=0,0,YEARFRAC(RPT,Bankingbook_SBV[[#This Row],[Mat. Date]],3))</f>
        <v>20.090410958904108</v>
      </c>
      <c r="FI356" s="32" t="str">
        <f>IF(Bankingbook_SBV[[#This Row],[Days (year)]]=0,0,INDEX(Ref!$K$2:$K$13,MATCH(Bankingbook_SBV[[#This Row],[Days (year)]],Ref!$I$2:$I$13,1)))</f>
        <v>20Y</v>
      </c>
      <c r="FJ356" s="32" t="str">
        <f>VLOOKUP(Bankingbook_SBV[[#This Row],[Security Name]],Ref!X:Z,3,0)</f>
        <v>TPCP</v>
      </c>
      <c r="FK356" s="32" t="str">
        <f>VLOOKUP(Bankingbook_SBV[[#This Row],[Security Name]],Ref!X:Y,2,0)</f>
        <v>KBNN</v>
      </c>
      <c r="FL356" s="72">
        <f>IF((Bankingbook_SBV[[#This Row],[Mat. Date]]-RPT)&lt;=0,0,Bankingbook_SBV[[#This Row],[QUANTITY]])</f>
        <v>0</v>
      </c>
      <c r="FM356" s="32">
        <f>IF(Bankingbook_SBV[[#This Row],[Quantity_edited]]=0,0,Bankingbook_SBV[[#This Row],[DURATION]])</f>
        <v>0</v>
      </c>
      <c r="FN356" s="32">
        <f>IF(Bankingbook_SBV[[#This Row],[Quantity_edited]]=0,0,Bankingbook_SBV[[#This Row],[Mod Dur]])</f>
        <v>0</v>
      </c>
      <c r="FO356" s="32">
        <f>IF(Bankingbook_SBV[[#This Row],[Quantity_edited]]=0,0,Bankingbook_SBV[[#This Row],[Cnvx.]])</f>
        <v>0</v>
      </c>
      <c r="FP356" s="32">
        <f>(Bankingbook_SBV[[#This Row],[MARKET_VALUE]]+Bankingbook_SBV[[#This Row],[Accr Int]]*Bankingbook_SBV[[#This Row],[Quantity_edited]])*(-Bankingbook_SBV[[#This Row],[Modified Duration]]*0.0001+0.5*Bankingbook_SBV[[#This Row],[Conv]]*(0.0001^2))</f>
        <v>0</v>
      </c>
      <c r="FQ356" s="32">
        <f>(Bankingbook_SBV[[#This Row],[MARKET_VALUE]]+Bankingbook_SBV[[#This Row],[Accr Int]]*Bankingbook_SBV[[#This Row],[Quantity_edited]])*(-Bankingbook_SBV[[#This Row],[Modified Duration]]*0.01+0.5*Bankingbook_SBV[[#This Row],[Conv]]*(0.01^2))</f>
        <v>0</v>
      </c>
    </row>
    <row r="357" spans="2:173" x14ac:dyDescent="0.3">
      <c r="B357" t="s">
        <v>166</v>
      </c>
      <c r="C357" t="s">
        <v>167</v>
      </c>
      <c r="D357" t="s">
        <v>547</v>
      </c>
      <c r="E357" t="s">
        <v>169</v>
      </c>
      <c r="F357" s="502">
        <v>45688</v>
      </c>
      <c r="G357" t="s">
        <v>3322</v>
      </c>
      <c r="H357"/>
      <c r="I357"/>
      <c r="J357" s="38">
        <v>0</v>
      </c>
      <c r="K357">
        <v>0</v>
      </c>
      <c r="L357">
        <v>0</v>
      </c>
      <c r="M357" s="38">
        <v>0</v>
      </c>
      <c r="N357">
        <v>6.5</v>
      </c>
      <c r="O357">
        <v>0</v>
      </c>
      <c r="P357" s="37">
        <v>3250000000</v>
      </c>
      <c r="Q357" s="37">
        <v>3642729999.9999962</v>
      </c>
      <c r="R357" s="37">
        <v>-2362253489.7360821</v>
      </c>
      <c r="S357">
        <v>6.5</v>
      </c>
      <c r="T357" s="70">
        <v>0</v>
      </c>
      <c r="U357">
        <v>0</v>
      </c>
      <c r="V357">
        <v>0</v>
      </c>
      <c r="W357">
        <v>0</v>
      </c>
      <c r="X357" s="38">
        <v>0</v>
      </c>
      <c r="Y357">
        <v>0</v>
      </c>
      <c r="Z357" s="70">
        <v>11026500000</v>
      </c>
      <c r="AA357" s="70">
        <v>0</v>
      </c>
      <c r="AB357" s="70">
        <v>11026500000</v>
      </c>
      <c r="AC357" s="70">
        <v>11026500000</v>
      </c>
      <c r="AD357" s="70">
        <v>11026500000</v>
      </c>
      <c r="AE357" s="70">
        <v>11026500000</v>
      </c>
      <c r="AF357">
        <v>0</v>
      </c>
      <c r="AG357" s="72">
        <f>Tradingbook_MSB[[#This Row],[Mat. Date]]-RPT</f>
        <v>-564</v>
      </c>
      <c r="AH357" s="71">
        <f>IF(Tradingbook_MSB[[#This Row],[Days]]&lt;=0,0,YEARFRAC(RPT,Tradingbook_MSB[[#This Row],[Mat. Date]],3))</f>
        <v>0</v>
      </c>
      <c r="AI357" s="71">
        <f>IF(Tradingbook_MSB[[#This Row],[Days (year)]]=0,0,INDEX(Ref!$K$2:$K$13,MATCH(Tradingbook_MSB[[#This Row],[Days (year)]],Ref!$I$2:$I$13,1)))</f>
        <v>0</v>
      </c>
      <c r="AJ357" s="120" t="str">
        <f>VLOOKUP(Tradingbook_MSB[[#This Row],[Security Name]],Ref!X:Z,3,0)</f>
        <v>TPCP</v>
      </c>
      <c r="AK357" s="120" t="str">
        <f>VLOOKUP(Tradingbook_MSB[[#This Row],[Security Name]],Ref!X:Y,2,0)</f>
        <v>KBNN</v>
      </c>
      <c r="AL357" s="71">
        <f>IF((Tradingbook_MSB[[#This Row],[Mat. Date]]-RPT)&lt;=0,0,Tradingbook_MSB[[#This Row],[QUANTITY]])</f>
        <v>0</v>
      </c>
      <c r="AM357" s="71">
        <f>IF(Tradingbook_MSB[[#This Row],[Quantity_edited]]=0,0,Tradingbook_MSB[[#This Row],[DURATION]])</f>
        <v>0</v>
      </c>
      <c r="AN357" s="71">
        <f>IF(Tradingbook_MSB[[#This Row],[Quantity_edited]]=0,0,Tradingbook_MSB[[#This Row],[Mod Dur]])</f>
        <v>0</v>
      </c>
      <c r="AO357" s="71">
        <f>IF(Tradingbook_MSB[[#This Row],[Quantity_edited]]=0,0,Tradingbook_MSB[[#This Row],[Cnvx.]])</f>
        <v>0</v>
      </c>
      <c r="AP357" s="71">
        <f>(Tradingbook_MSB[[#This Row],[MARKET_VALUE]]+Tradingbook_MSB[[#This Row],[Accr Int]]*Tradingbook_MSB[[#This Row],[Quantity_edited]])*(-Tradingbook_MSB[[#This Row],[Modified Duration]]*0.0001+0.5*Tradingbook_MSB[[#This Row],[Conv]]*(0.0001^2))</f>
        <v>0</v>
      </c>
      <c r="AQ357" s="72">
        <f>(Tradingbook_MSB[[#This Row],[MARKET_VALUE]]+Tradingbook_MSB[[#This Row],[Accr Int]]*Tradingbook_MSB[[#This Row],[Quantity_edited]])*(-Tradingbook_MSB[[#This Row],[Modified Duration]]*0.01+0.5*Tradingbook_MSB[[#This Row],[Conv]]*(0.01^2))</f>
        <v>0</v>
      </c>
      <c r="AR357" s="71"/>
      <c r="CL357" t="s">
        <v>166</v>
      </c>
      <c r="CM357" t="s">
        <v>167</v>
      </c>
      <c r="CN357" t="s">
        <v>554</v>
      </c>
      <c r="CO357" t="s">
        <v>169</v>
      </c>
      <c r="CP357" s="35">
        <v>46032</v>
      </c>
      <c r="CQ357" t="s">
        <v>3322</v>
      </c>
      <c r="CR357" t="s">
        <v>174</v>
      </c>
      <c r="CS357" t="s">
        <v>174</v>
      </c>
      <c r="CT357" s="49">
        <v>0</v>
      </c>
      <c r="CU357">
        <v>0</v>
      </c>
      <c r="CV357">
        <v>0</v>
      </c>
      <c r="CW357" s="70">
        <v>0</v>
      </c>
      <c r="CX357">
        <v>4.3</v>
      </c>
      <c r="CY357">
        <v>0</v>
      </c>
      <c r="CZ357">
        <v>19350000000</v>
      </c>
      <c r="DA357">
        <v>21941016062.500038</v>
      </c>
      <c r="DB357">
        <v>-3191896292.7026558</v>
      </c>
      <c r="DC357">
        <v>4.3</v>
      </c>
      <c r="DD357">
        <v>0</v>
      </c>
      <c r="DE357">
        <v>0</v>
      </c>
      <c r="DF357">
        <v>0</v>
      </c>
      <c r="DG357">
        <v>0</v>
      </c>
      <c r="DH357">
        <v>0</v>
      </c>
      <c r="DI357">
        <v>0</v>
      </c>
      <c r="DJ357" s="500">
        <v>48001470000</v>
      </c>
      <c r="DK357" s="500">
        <v>0</v>
      </c>
      <c r="DL357" s="37">
        <v>48001470000</v>
      </c>
      <c r="DM357" s="37">
        <v>48001470000</v>
      </c>
      <c r="DN357" s="37">
        <v>48001470000</v>
      </c>
      <c r="DO357" s="37">
        <v>48001470000</v>
      </c>
      <c r="DP357" s="32">
        <f>Tradingbook_SBV[[#This Row],[Mat. Date]]-RPT</f>
        <v>-220</v>
      </c>
      <c r="DQ357" s="32">
        <f>IF(Tradingbook_SBV[[#This Row],[Days]]&lt;=0,0,YEARFRAC(RPT,Tradingbook_SBV[[#This Row],[Mat. Date]],3))</f>
        <v>0</v>
      </c>
      <c r="DR357" s="32">
        <f>IF(Tradingbook_SBV[[#This Row],[Days (year)]]=0,0,INDEX(Ref!$K$2:$K$13,MATCH(Tradingbook_SBV[[#This Row],[Days (year)]],Ref!$I$2:$I$13,1)))</f>
        <v>0</v>
      </c>
      <c r="DS357" s="32" t="str">
        <f>VLOOKUP(Tradingbook_SBV[[#This Row],[Security Name]],Ref!X:Z,3,0)</f>
        <v>TPCP</v>
      </c>
      <c r="DT357" s="32" t="str">
        <f>VLOOKUP(Tradingbook_SBV[[#This Row],[Security Name]],Ref!X:Y,2,0)</f>
        <v>KBNN</v>
      </c>
      <c r="DU357" s="71">
        <f>IF((Tradingbook_SBV[[#This Row],[Mat. Date]]-RPT)&lt;=0,0,Tradingbook_SBV[[#This Row],[QUANTITY]])</f>
        <v>0</v>
      </c>
      <c r="DV357" s="71">
        <f>IF(Tradingbook_SBV[[#This Row],[Quantity_edited]]=0,0,Tradingbook_SBV[[#This Row],[DURATION]])</f>
        <v>0</v>
      </c>
      <c r="DW357" s="71">
        <f>IF(Tradingbook_SBV[[#This Row],[Quantity_edited]]=0,0,Tradingbook_SBV[[#This Row],[Mod Dur]])</f>
        <v>0</v>
      </c>
      <c r="DX357" s="71">
        <f>IF(Tradingbook_SBV[[#This Row],[Quantity_edited]]=0,0,Tradingbook_SBV[[#This Row],[Cnvx.]])</f>
        <v>0</v>
      </c>
      <c r="DY357" s="71">
        <f>(Tradingbook_SBV[[#This Row],[MARKET_VALUE]]+Tradingbook_SBV[[#This Row],[Accr Int]]*Tradingbook_SBV[[#This Row],[Quantity_edited]])*(-Tradingbook_SBV[[#This Row],[Modified Duration]]*0.0001+0.5*Tradingbook_SBV[[#This Row],[Conv]]*(0.0001^2))</f>
        <v>0</v>
      </c>
      <c r="DZ357" s="71">
        <f>(Tradingbook_SBV[[#This Row],[MARKET_VALUE]]+Tradingbook_SBV[[#This Row],[Accr Int]]*Tradingbook_SBV[[#This Row],[Quantity_edited]])*(-Tradingbook_SBV[[#This Row],[Modified Duration]]*0.01+0.5*Tradingbook_SBV[[#This Row],[Conv]]*(0.01^2))</f>
        <v>0</v>
      </c>
      <c r="EC357" t="s">
        <v>166</v>
      </c>
      <c r="ED357" t="s">
        <v>3303</v>
      </c>
      <c r="EE357" t="s">
        <v>720</v>
      </c>
      <c r="EF357" t="s">
        <v>169</v>
      </c>
      <c r="EG357" s="35" t="s">
        <v>3852</v>
      </c>
      <c r="EH357" t="s">
        <v>3322</v>
      </c>
      <c r="EI357" s="500">
        <v>141623</v>
      </c>
      <c r="EJ357" s="500">
        <v>141623</v>
      </c>
      <c r="EK357" s="500">
        <v>0</v>
      </c>
      <c r="EL357" s="500">
        <v>0</v>
      </c>
      <c r="EM357" s="500">
        <v>0</v>
      </c>
      <c r="EN357" s="500">
        <v>0</v>
      </c>
      <c r="EO357">
        <v>7.9</v>
      </c>
      <c r="EP357">
        <v>6688</v>
      </c>
      <c r="EQ357">
        <v>0</v>
      </c>
      <c r="ER357">
        <v>1.5E-5</v>
      </c>
      <c r="ES357">
        <v>-96958359449.755112</v>
      </c>
      <c r="ET357">
        <v>4.6670052020000004</v>
      </c>
      <c r="EU357">
        <v>11.119074574833</v>
      </c>
      <c r="EV357">
        <v>11.63800236</v>
      </c>
      <c r="EW357">
        <v>181.98620370713749</v>
      </c>
      <c r="EX357">
        <v>0</v>
      </c>
      <c r="EY357">
        <v>0</v>
      </c>
      <c r="EZ357">
        <v>0</v>
      </c>
      <c r="FA357">
        <v>-14649140000</v>
      </c>
      <c r="FB357">
        <v>0</v>
      </c>
      <c r="FC357">
        <v>-14649140000</v>
      </c>
      <c r="FD357">
        <v>-14649140000</v>
      </c>
      <c r="FE357">
        <v>-14649140000</v>
      </c>
      <c r="FF357">
        <v>-14649140000</v>
      </c>
      <c r="FG357" s="32">
        <f>Bankingbook_SBV[[#This Row],[Mat. Date]]-RPT</f>
        <v>7361</v>
      </c>
      <c r="FH357" s="32">
        <f>IF(Bankingbook_SBV[[#This Row],[Days]]&lt;=0,0,YEARFRAC(RPT,Bankingbook_SBV[[#This Row],[Mat. Date]],3))</f>
        <v>20.167123287671235</v>
      </c>
      <c r="FI357" s="32" t="str">
        <f>IF(Bankingbook_SBV[[#This Row],[Days (year)]]=0,0,INDEX(Ref!$K$2:$K$13,MATCH(Bankingbook_SBV[[#This Row],[Days (year)]],Ref!$I$2:$I$13,1)))</f>
        <v>20Y</v>
      </c>
      <c r="FJ357" s="32" t="str">
        <f>VLOOKUP(Bankingbook_SBV[[#This Row],[Security Name]],Ref!X:Z,3,0)</f>
        <v>TPCP</v>
      </c>
      <c r="FK357" s="32" t="str">
        <f>VLOOKUP(Bankingbook_SBV[[#This Row],[Security Name]],Ref!X:Y,2,0)</f>
        <v>KBNN</v>
      </c>
      <c r="FL357" s="72">
        <f>IF((Bankingbook_SBV[[#This Row],[Mat. Date]]-RPT)&lt;=0,0,Bankingbook_SBV[[#This Row],[QUANTITY]])</f>
        <v>0</v>
      </c>
      <c r="FM357" s="32">
        <f>IF(Bankingbook_SBV[[#This Row],[Quantity_edited]]=0,0,Bankingbook_SBV[[#This Row],[DURATION]])</f>
        <v>0</v>
      </c>
      <c r="FN357" s="32">
        <f>IF(Bankingbook_SBV[[#This Row],[Quantity_edited]]=0,0,Bankingbook_SBV[[#This Row],[Mod Dur]])</f>
        <v>0</v>
      </c>
      <c r="FO357" s="32">
        <f>IF(Bankingbook_SBV[[#This Row],[Quantity_edited]]=0,0,Bankingbook_SBV[[#This Row],[Cnvx.]])</f>
        <v>0</v>
      </c>
      <c r="FP357" s="32">
        <f>(Bankingbook_SBV[[#This Row],[MARKET_VALUE]]+Bankingbook_SBV[[#This Row],[Accr Int]]*Bankingbook_SBV[[#This Row],[Quantity_edited]])*(-Bankingbook_SBV[[#This Row],[Modified Duration]]*0.0001+0.5*Bankingbook_SBV[[#This Row],[Conv]]*(0.0001^2))</f>
        <v>0</v>
      </c>
      <c r="FQ357" s="32">
        <f>(Bankingbook_SBV[[#This Row],[MARKET_VALUE]]+Bankingbook_SBV[[#This Row],[Accr Int]]*Bankingbook_SBV[[#This Row],[Quantity_edited]])*(-Bankingbook_SBV[[#This Row],[Modified Duration]]*0.01+0.5*Bankingbook_SBV[[#This Row],[Conv]]*(0.01^2))</f>
        <v>0</v>
      </c>
    </row>
    <row r="358" spans="2:173" x14ac:dyDescent="0.3">
      <c r="B358" t="s">
        <v>166</v>
      </c>
      <c r="C358" t="s">
        <v>167</v>
      </c>
      <c r="D358" t="s">
        <v>548</v>
      </c>
      <c r="E358" t="s">
        <v>169</v>
      </c>
      <c r="F358" s="502">
        <v>45716</v>
      </c>
      <c r="G358" t="s">
        <v>3322</v>
      </c>
      <c r="H358"/>
      <c r="I358"/>
      <c r="J358" s="38">
        <v>0</v>
      </c>
      <c r="K358">
        <v>0</v>
      </c>
      <c r="L358">
        <v>0</v>
      </c>
      <c r="M358" s="38">
        <v>0</v>
      </c>
      <c r="N358">
        <v>6.4</v>
      </c>
      <c r="O358">
        <v>0</v>
      </c>
      <c r="P358" s="37">
        <v>0</v>
      </c>
      <c r="Q358" s="37">
        <v>-1.5E-5</v>
      </c>
      <c r="R358" s="37">
        <v>-273639918.12498474</v>
      </c>
      <c r="S358">
        <v>6.4</v>
      </c>
      <c r="T358" s="70">
        <v>0</v>
      </c>
      <c r="U358">
        <v>0</v>
      </c>
      <c r="V358">
        <v>0</v>
      </c>
      <c r="W358">
        <v>0</v>
      </c>
      <c r="X358" s="38">
        <v>0</v>
      </c>
      <c r="Y358">
        <v>0</v>
      </c>
      <c r="Z358" s="70">
        <v>572500000</v>
      </c>
      <c r="AA358" s="70">
        <v>0</v>
      </c>
      <c r="AB358" s="70">
        <v>572500000</v>
      </c>
      <c r="AC358" s="70">
        <v>572500000</v>
      </c>
      <c r="AD358" s="70">
        <v>572500000</v>
      </c>
      <c r="AE358" s="70">
        <v>572500000</v>
      </c>
      <c r="AF358">
        <v>0</v>
      </c>
      <c r="AG358" s="72">
        <f>Tradingbook_MSB[[#This Row],[Mat. Date]]-RPT</f>
        <v>-536</v>
      </c>
      <c r="AH358" s="71">
        <f>IF(Tradingbook_MSB[[#This Row],[Days]]&lt;=0,0,YEARFRAC(RPT,Tradingbook_MSB[[#This Row],[Mat. Date]],3))</f>
        <v>0</v>
      </c>
      <c r="AI358" s="71">
        <f>IF(Tradingbook_MSB[[#This Row],[Days (year)]]=0,0,INDEX(Ref!$K$2:$K$13,MATCH(Tradingbook_MSB[[#This Row],[Days (year)]],Ref!$I$2:$I$13,1)))</f>
        <v>0</v>
      </c>
      <c r="AJ358" s="120" t="str">
        <f>VLOOKUP(Tradingbook_MSB[[#This Row],[Security Name]],Ref!X:Z,3,0)</f>
        <v>TPCP</v>
      </c>
      <c r="AK358" s="120" t="str">
        <f>VLOOKUP(Tradingbook_MSB[[#This Row],[Security Name]],Ref!X:Y,2,0)</f>
        <v>KBNN</v>
      </c>
      <c r="AL358" s="71">
        <f>IF((Tradingbook_MSB[[#This Row],[Mat. Date]]-RPT)&lt;=0,0,Tradingbook_MSB[[#This Row],[QUANTITY]])</f>
        <v>0</v>
      </c>
      <c r="AM358" s="71">
        <f>IF(Tradingbook_MSB[[#This Row],[Quantity_edited]]=0,0,Tradingbook_MSB[[#This Row],[DURATION]])</f>
        <v>0</v>
      </c>
      <c r="AN358" s="71">
        <f>IF(Tradingbook_MSB[[#This Row],[Quantity_edited]]=0,0,Tradingbook_MSB[[#This Row],[Mod Dur]])</f>
        <v>0</v>
      </c>
      <c r="AO358" s="71">
        <f>IF(Tradingbook_MSB[[#This Row],[Quantity_edited]]=0,0,Tradingbook_MSB[[#This Row],[Cnvx.]])</f>
        <v>0</v>
      </c>
      <c r="AP358" s="71">
        <f>(Tradingbook_MSB[[#This Row],[MARKET_VALUE]]+Tradingbook_MSB[[#This Row],[Accr Int]]*Tradingbook_MSB[[#This Row],[Quantity_edited]])*(-Tradingbook_MSB[[#This Row],[Modified Duration]]*0.0001+0.5*Tradingbook_MSB[[#This Row],[Conv]]*(0.0001^2))</f>
        <v>0</v>
      </c>
      <c r="AQ358" s="72">
        <f>(Tradingbook_MSB[[#This Row],[MARKET_VALUE]]+Tradingbook_MSB[[#This Row],[Accr Int]]*Tradingbook_MSB[[#This Row],[Quantity_edited]])*(-Tradingbook_MSB[[#This Row],[Modified Duration]]*0.01+0.5*Tradingbook_MSB[[#This Row],[Conv]]*(0.01^2))</f>
        <v>0</v>
      </c>
      <c r="AR358" s="71"/>
      <c r="CL358" t="s">
        <v>166</v>
      </c>
      <c r="CM358" t="s">
        <v>167</v>
      </c>
      <c r="CN358" t="s">
        <v>556</v>
      </c>
      <c r="CO358" t="s">
        <v>169</v>
      </c>
      <c r="CP358" s="35">
        <v>46084</v>
      </c>
      <c r="CQ358" t="s">
        <v>3322</v>
      </c>
      <c r="CR358" t="s">
        <v>174</v>
      </c>
      <c r="CS358" t="s">
        <v>174</v>
      </c>
      <c r="CT358" s="49">
        <v>0</v>
      </c>
      <c r="CU358">
        <v>0</v>
      </c>
      <c r="CV358">
        <v>0</v>
      </c>
      <c r="CW358" s="70">
        <v>0</v>
      </c>
      <c r="CX358">
        <v>6.9</v>
      </c>
      <c r="CY358">
        <v>0</v>
      </c>
      <c r="CZ358">
        <v>93150000000</v>
      </c>
      <c r="DA358">
        <v>109420217250.00012</v>
      </c>
      <c r="DB358">
        <v>-17302186533.291611</v>
      </c>
      <c r="DC358">
        <v>6.9</v>
      </c>
      <c r="DD358">
        <v>0</v>
      </c>
      <c r="DE358">
        <v>0</v>
      </c>
      <c r="DF358">
        <v>0</v>
      </c>
      <c r="DG358">
        <v>0</v>
      </c>
      <c r="DH358">
        <v>0</v>
      </c>
      <c r="DI358">
        <v>0</v>
      </c>
      <c r="DJ358" s="500">
        <v>50732350000</v>
      </c>
      <c r="DK358" s="500">
        <v>0</v>
      </c>
      <c r="DL358" s="37">
        <v>50732350000</v>
      </c>
      <c r="DM358" s="37">
        <v>50732350000</v>
      </c>
      <c r="DN358" s="37">
        <v>50732350000</v>
      </c>
      <c r="DO358" s="37">
        <v>50732350000</v>
      </c>
      <c r="DP358" s="32">
        <f>Tradingbook_SBV[[#This Row],[Mat. Date]]-RPT</f>
        <v>-168</v>
      </c>
      <c r="DQ358" s="32">
        <f>IF(Tradingbook_SBV[[#This Row],[Days]]&lt;=0,0,YEARFRAC(RPT,Tradingbook_SBV[[#This Row],[Mat. Date]],3))</f>
        <v>0</v>
      </c>
      <c r="DR358" s="32">
        <f>IF(Tradingbook_SBV[[#This Row],[Days (year)]]=0,0,INDEX(Ref!$K$2:$K$13,MATCH(Tradingbook_SBV[[#This Row],[Days (year)]],Ref!$I$2:$I$13,1)))</f>
        <v>0</v>
      </c>
      <c r="DS358" s="32" t="str">
        <f>VLOOKUP(Tradingbook_SBV[[#This Row],[Security Name]],Ref!X:Z,3,0)</f>
        <v>TPCP</v>
      </c>
      <c r="DT358" s="32" t="str">
        <f>VLOOKUP(Tradingbook_SBV[[#This Row],[Security Name]],Ref!X:Y,2,0)</f>
        <v>KBNN</v>
      </c>
      <c r="DU358" s="71">
        <f>IF((Tradingbook_SBV[[#This Row],[Mat. Date]]-RPT)&lt;=0,0,Tradingbook_SBV[[#This Row],[QUANTITY]])</f>
        <v>0</v>
      </c>
      <c r="DV358" s="71">
        <f>IF(Tradingbook_SBV[[#This Row],[Quantity_edited]]=0,0,Tradingbook_SBV[[#This Row],[DURATION]])</f>
        <v>0</v>
      </c>
      <c r="DW358" s="71">
        <f>IF(Tradingbook_SBV[[#This Row],[Quantity_edited]]=0,0,Tradingbook_SBV[[#This Row],[Mod Dur]])</f>
        <v>0</v>
      </c>
      <c r="DX358" s="71">
        <f>IF(Tradingbook_SBV[[#This Row],[Quantity_edited]]=0,0,Tradingbook_SBV[[#This Row],[Cnvx.]])</f>
        <v>0</v>
      </c>
      <c r="DY358" s="71">
        <f>(Tradingbook_SBV[[#This Row],[MARKET_VALUE]]+Tradingbook_SBV[[#This Row],[Accr Int]]*Tradingbook_SBV[[#This Row],[Quantity_edited]])*(-Tradingbook_SBV[[#This Row],[Modified Duration]]*0.0001+0.5*Tradingbook_SBV[[#This Row],[Conv]]*(0.0001^2))</f>
        <v>0</v>
      </c>
      <c r="DZ358" s="71">
        <f>(Tradingbook_SBV[[#This Row],[MARKET_VALUE]]+Tradingbook_SBV[[#This Row],[Accr Int]]*Tradingbook_SBV[[#This Row],[Quantity_edited]])*(-Tradingbook_SBV[[#This Row],[Modified Duration]]*0.01+0.5*Tradingbook_SBV[[#This Row],[Conv]]*(0.01^2))</f>
        <v>0</v>
      </c>
      <c r="EC358" t="s">
        <v>166</v>
      </c>
      <c r="ED358" t="s">
        <v>3303</v>
      </c>
      <c r="EE358" t="s">
        <v>721</v>
      </c>
      <c r="EF358" t="s">
        <v>169</v>
      </c>
      <c r="EG358" s="35" t="s">
        <v>3853</v>
      </c>
      <c r="EH358" t="s">
        <v>3322</v>
      </c>
      <c r="EI358" s="500">
        <v>141888</v>
      </c>
      <c r="EJ358" s="500">
        <v>141888</v>
      </c>
      <c r="EK358" s="500">
        <v>0</v>
      </c>
      <c r="EL358" s="500">
        <v>0</v>
      </c>
      <c r="EM358" s="500">
        <v>0</v>
      </c>
      <c r="EN358" s="500">
        <v>0</v>
      </c>
      <c r="EO358">
        <v>7.9</v>
      </c>
      <c r="EP358">
        <v>4718</v>
      </c>
      <c r="EQ358">
        <v>3397000000</v>
      </c>
      <c r="ER358">
        <v>3972498036.9444289</v>
      </c>
      <c r="ES358">
        <v>-32206748055.333454</v>
      </c>
      <c r="ET358">
        <v>4.6686827009999998</v>
      </c>
      <c r="EU358">
        <v>11.3562902529704</v>
      </c>
      <c r="EV358">
        <v>11.88647941</v>
      </c>
      <c r="EW358">
        <v>187.54333196556561</v>
      </c>
      <c r="EX358">
        <v>0</v>
      </c>
      <c r="EY358">
        <v>0</v>
      </c>
      <c r="EZ358">
        <v>0</v>
      </c>
      <c r="FA358">
        <v>-4881990000.0009766</v>
      </c>
      <c r="FB358">
        <v>0</v>
      </c>
      <c r="FC358">
        <v>-4881990000.0009766</v>
      </c>
      <c r="FD358">
        <v>-4881990000.0009766</v>
      </c>
      <c r="FE358">
        <v>-4881990000.0010004</v>
      </c>
      <c r="FF358">
        <v>-4881990000.0009766</v>
      </c>
      <c r="FG358" s="32">
        <f>Bankingbook_SBV[[#This Row],[Mat. Date]]-RPT</f>
        <v>7452</v>
      </c>
      <c r="FH358" s="32">
        <f>IF(Bankingbook_SBV[[#This Row],[Days]]&lt;=0,0,YEARFRAC(RPT,Bankingbook_SBV[[#This Row],[Mat. Date]],3))</f>
        <v>20.416438356164385</v>
      </c>
      <c r="FI358" s="32" t="str">
        <f>IF(Bankingbook_SBV[[#This Row],[Days (year)]]=0,0,INDEX(Ref!$K$2:$K$13,MATCH(Bankingbook_SBV[[#This Row],[Days (year)]],Ref!$I$2:$I$13,1)))</f>
        <v>20Y</v>
      </c>
      <c r="FJ358" s="32" t="str">
        <f>VLOOKUP(Bankingbook_SBV[[#This Row],[Security Name]],Ref!X:Z,3,0)</f>
        <v>TPCP</v>
      </c>
      <c r="FK358" s="32" t="str">
        <f>VLOOKUP(Bankingbook_SBV[[#This Row],[Security Name]],Ref!X:Y,2,0)</f>
        <v>KBNN</v>
      </c>
      <c r="FL358" s="72">
        <f>IF((Bankingbook_SBV[[#This Row],[Mat. Date]]-RPT)&lt;=0,0,Bankingbook_SBV[[#This Row],[QUANTITY]])</f>
        <v>0</v>
      </c>
      <c r="FM358" s="32">
        <f>IF(Bankingbook_SBV[[#This Row],[Quantity_edited]]=0,0,Bankingbook_SBV[[#This Row],[DURATION]])</f>
        <v>0</v>
      </c>
      <c r="FN358" s="32">
        <f>IF(Bankingbook_SBV[[#This Row],[Quantity_edited]]=0,0,Bankingbook_SBV[[#This Row],[Mod Dur]])</f>
        <v>0</v>
      </c>
      <c r="FO358" s="32">
        <f>IF(Bankingbook_SBV[[#This Row],[Quantity_edited]]=0,0,Bankingbook_SBV[[#This Row],[Cnvx.]])</f>
        <v>0</v>
      </c>
      <c r="FP358" s="32">
        <f>(Bankingbook_SBV[[#This Row],[MARKET_VALUE]]+Bankingbook_SBV[[#This Row],[Accr Int]]*Bankingbook_SBV[[#This Row],[Quantity_edited]])*(-Bankingbook_SBV[[#This Row],[Modified Duration]]*0.0001+0.5*Bankingbook_SBV[[#This Row],[Conv]]*(0.0001^2))</f>
        <v>0</v>
      </c>
      <c r="FQ358" s="32">
        <f>(Bankingbook_SBV[[#This Row],[MARKET_VALUE]]+Bankingbook_SBV[[#This Row],[Accr Int]]*Bankingbook_SBV[[#This Row],[Quantity_edited]])*(-Bankingbook_SBV[[#This Row],[Modified Duration]]*0.01+0.5*Bankingbook_SBV[[#This Row],[Conv]]*(0.01^2))</f>
        <v>0</v>
      </c>
    </row>
    <row r="359" spans="2:173" x14ac:dyDescent="0.3">
      <c r="B359" t="s">
        <v>166</v>
      </c>
      <c r="C359" t="s">
        <v>167</v>
      </c>
      <c r="D359" t="s">
        <v>549</v>
      </c>
      <c r="E359" t="s">
        <v>169</v>
      </c>
      <c r="F359" s="502">
        <v>45731</v>
      </c>
      <c r="G359" t="s">
        <v>3322</v>
      </c>
      <c r="H359"/>
      <c r="I359"/>
      <c r="J359" s="38">
        <v>0</v>
      </c>
      <c r="K359">
        <v>0</v>
      </c>
      <c r="L359">
        <v>0</v>
      </c>
      <c r="M359" s="38">
        <v>0</v>
      </c>
      <c r="N359">
        <v>6.3</v>
      </c>
      <c r="O359">
        <v>0</v>
      </c>
      <c r="P359" s="37">
        <v>9450000000</v>
      </c>
      <c r="Q359" s="37">
        <v>10267414499.999912</v>
      </c>
      <c r="R359" s="37">
        <v>-2332880164.7761774</v>
      </c>
      <c r="S359">
        <v>6.3</v>
      </c>
      <c r="T359" s="70">
        <v>0</v>
      </c>
      <c r="U359">
        <v>0</v>
      </c>
      <c r="V359">
        <v>0</v>
      </c>
      <c r="W359">
        <v>0</v>
      </c>
      <c r="X359" s="38">
        <v>0</v>
      </c>
      <c r="Y359">
        <v>0</v>
      </c>
      <c r="Z359" s="70">
        <v>-3654877592</v>
      </c>
      <c r="AA359" s="70">
        <v>0</v>
      </c>
      <c r="AB359" s="70">
        <v>-3654877592</v>
      </c>
      <c r="AC359" s="70">
        <v>-3654877592</v>
      </c>
      <c r="AD359" s="70">
        <v>-3654877592</v>
      </c>
      <c r="AE359" s="70">
        <v>-3654877592</v>
      </c>
      <c r="AF359">
        <v>0</v>
      </c>
      <c r="AG359" s="72">
        <f>Tradingbook_MSB[[#This Row],[Mat. Date]]-RPT</f>
        <v>-521</v>
      </c>
      <c r="AH359" s="71">
        <f>IF(Tradingbook_MSB[[#This Row],[Days]]&lt;=0,0,YEARFRAC(RPT,Tradingbook_MSB[[#This Row],[Mat. Date]],3))</f>
        <v>0</v>
      </c>
      <c r="AI359" s="71">
        <f>IF(Tradingbook_MSB[[#This Row],[Days (year)]]=0,0,INDEX(Ref!$K$2:$K$13,MATCH(Tradingbook_MSB[[#This Row],[Days (year)]],Ref!$I$2:$I$13,1)))</f>
        <v>0</v>
      </c>
      <c r="AJ359" s="120" t="str">
        <f>VLOOKUP(Tradingbook_MSB[[#This Row],[Security Name]],Ref!X:Z,3,0)</f>
        <v>TPCP</v>
      </c>
      <c r="AK359" s="120" t="str">
        <f>VLOOKUP(Tradingbook_MSB[[#This Row],[Security Name]],Ref!X:Y,2,0)</f>
        <v>KBNN</v>
      </c>
      <c r="AL359" s="71">
        <f>IF((Tradingbook_MSB[[#This Row],[Mat. Date]]-RPT)&lt;=0,0,Tradingbook_MSB[[#This Row],[QUANTITY]])</f>
        <v>0</v>
      </c>
      <c r="AM359" s="71">
        <f>IF(Tradingbook_MSB[[#This Row],[Quantity_edited]]=0,0,Tradingbook_MSB[[#This Row],[DURATION]])</f>
        <v>0</v>
      </c>
      <c r="AN359" s="71">
        <f>IF(Tradingbook_MSB[[#This Row],[Quantity_edited]]=0,0,Tradingbook_MSB[[#This Row],[Mod Dur]])</f>
        <v>0</v>
      </c>
      <c r="AO359" s="71">
        <f>IF(Tradingbook_MSB[[#This Row],[Quantity_edited]]=0,0,Tradingbook_MSB[[#This Row],[Cnvx.]])</f>
        <v>0</v>
      </c>
      <c r="AP359" s="71">
        <f>(Tradingbook_MSB[[#This Row],[MARKET_VALUE]]+Tradingbook_MSB[[#This Row],[Accr Int]]*Tradingbook_MSB[[#This Row],[Quantity_edited]])*(-Tradingbook_MSB[[#This Row],[Modified Duration]]*0.0001+0.5*Tradingbook_MSB[[#This Row],[Conv]]*(0.0001^2))</f>
        <v>0</v>
      </c>
      <c r="AQ359" s="72">
        <f>(Tradingbook_MSB[[#This Row],[MARKET_VALUE]]+Tradingbook_MSB[[#This Row],[Accr Int]]*Tradingbook_MSB[[#This Row],[Quantity_edited]])*(-Tradingbook_MSB[[#This Row],[Modified Duration]]*0.01+0.5*Tradingbook_MSB[[#This Row],[Conv]]*(0.01^2))</f>
        <v>0</v>
      </c>
      <c r="AR359" s="71"/>
      <c r="CL359" t="s">
        <v>166</v>
      </c>
      <c r="CM359" t="s">
        <v>167</v>
      </c>
      <c r="CN359" t="s">
        <v>559</v>
      </c>
      <c r="CO359" t="s">
        <v>169</v>
      </c>
      <c r="CP359" s="35">
        <v>46291</v>
      </c>
      <c r="CQ359" t="s">
        <v>3322</v>
      </c>
      <c r="CR359" t="s">
        <v>4160</v>
      </c>
      <c r="CS359" t="s">
        <v>4161</v>
      </c>
      <c r="CT359" s="49">
        <v>0</v>
      </c>
      <c r="CU359">
        <v>0</v>
      </c>
      <c r="CV359">
        <v>0</v>
      </c>
      <c r="CW359" s="70">
        <v>0</v>
      </c>
      <c r="CX359">
        <v>3.5</v>
      </c>
      <c r="CY359">
        <v>3126</v>
      </c>
      <c r="CZ359">
        <v>0</v>
      </c>
      <c r="DA359">
        <v>7.9999999999999996E-6</v>
      </c>
      <c r="DB359">
        <v>-184446105.41664314</v>
      </c>
      <c r="DC359">
        <v>3.8224354190000001</v>
      </c>
      <c r="DD359">
        <v>0</v>
      </c>
      <c r="DE359">
        <v>0</v>
      </c>
      <c r="DF359">
        <v>0</v>
      </c>
      <c r="DG359">
        <v>0</v>
      </c>
      <c r="DH359">
        <v>0</v>
      </c>
      <c r="DI359">
        <v>0</v>
      </c>
      <c r="DJ359" s="500">
        <v>1338000000</v>
      </c>
      <c r="DK359" s="500">
        <v>0</v>
      </c>
      <c r="DL359" s="37">
        <v>1338000000</v>
      </c>
      <c r="DM359" s="37">
        <v>1338000000</v>
      </c>
      <c r="DN359" s="37">
        <v>1338000000</v>
      </c>
      <c r="DO359" s="37">
        <v>1338000000</v>
      </c>
      <c r="DP359" s="32">
        <f>Tradingbook_SBV[[#This Row],[Mat. Date]]-RPT</f>
        <v>39</v>
      </c>
      <c r="DQ359" s="32">
        <f>IF(Tradingbook_SBV[[#This Row],[Days]]&lt;=0,0,YEARFRAC(RPT,Tradingbook_SBV[[#This Row],[Mat. Date]],3))</f>
        <v>0.10684931506849316</v>
      </c>
      <c r="DR359" s="32" t="str">
        <f>IF(Tradingbook_SBV[[#This Row],[Days (year)]]=0,0,INDEX(Ref!$K$2:$K$13,MATCH(Tradingbook_SBV[[#This Row],[Days (year)]],Ref!$I$2:$I$13,1)))</f>
        <v>3M</v>
      </c>
      <c r="DS359" s="32" t="str">
        <f>VLOOKUP(Tradingbook_SBV[[#This Row],[Security Name]],Ref!X:Z,3,0)</f>
        <v>TPCP</v>
      </c>
      <c r="DT359" s="32" t="str">
        <f>VLOOKUP(Tradingbook_SBV[[#This Row],[Security Name]],Ref!X:Y,2,0)</f>
        <v>KBNN</v>
      </c>
      <c r="DU359" s="71">
        <f>IF((Tradingbook_SBV[[#This Row],[Mat. Date]]-RPT)&lt;=0,0,Tradingbook_SBV[[#This Row],[QUANTITY]])</f>
        <v>0</v>
      </c>
      <c r="DV359" s="71">
        <f>IF(Tradingbook_SBV[[#This Row],[Quantity_edited]]=0,0,Tradingbook_SBV[[#This Row],[DURATION]])</f>
        <v>0</v>
      </c>
      <c r="DW359" s="71">
        <f>IF(Tradingbook_SBV[[#This Row],[Quantity_edited]]=0,0,Tradingbook_SBV[[#This Row],[Mod Dur]])</f>
        <v>0</v>
      </c>
      <c r="DX359" s="71">
        <f>IF(Tradingbook_SBV[[#This Row],[Quantity_edited]]=0,0,Tradingbook_SBV[[#This Row],[Cnvx.]])</f>
        <v>0</v>
      </c>
      <c r="DY359" s="71">
        <f>(Tradingbook_SBV[[#This Row],[MARKET_VALUE]]+Tradingbook_SBV[[#This Row],[Accr Int]]*Tradingbook_SBV[[#This Row],[Quantity_edited]])*(-Tradingbook_SBV[[#This Row],[Modified Duration]]*0.0001+0.5*Tradingbook_SBV[[#This Row],[Conv]]*(0.0001^2))</f>
        <v>0</v>
      </c>
      <c r="DZ359" s="71">
        <f>(Tradingbook_SBV[[#This Row],[MARKET_VALUE]]+Tradingbook_SBV[[#This Row],[Accr Int]]*Tradingbook_SBV[[#This Row],[Quantity_edited]])*(-Tradingbook_SBV[[#This Row],[Modified Duration]]*0.01+0.5*Tradingbook_SBV[[#This Row],[Conv]]*(0.01^2))</f>
        <v>0</v>
      </c>
      <c r="EC359" t="s">
        <v>166</v>
      </c>
      <c r="ED359" t="s">
        <v>3303</v>
      </c>
      <c r="EE359" t="s">
        <v>722</v>
      </c>
      <c r="EF359" t="s">
        <v>169</v>
      </c>
      <c r="EG359" s="35" t="s">
        <v>3479</v>
      </c>
      <c r="EH359" t="s">
        <v>3322</v>
      </c>
      <c r="EI359" s="500">
        <v>142082</v>
      </c>
      <c r="EJ359" s="500">
        <v>142082</v>
      </c>
      <c r="EK359" s="500">
        <v>0</v>
      </c>
      <c r="EL359" s="500">
        <v>0</v>
      </c>
      <c r="EM359" s="500">
        <v>0</v>
      </c>
      <c r="EN359" s="500">
        <v>0</v>
      </c>
      <c r="EO359">
        <v>7.9</v>
      </c>
      <c r="EP359">
        <v>3355</v>
      </c>
      <c r="EQ359">
        <v>11850000000</v>
      </c>
      <c r="ER359">
        <v>14145720250.000015</v>
      </c>
      <c r="ES359">
        <v>-31364416596.736122</v>
      </c>
      <c r="ET359">
        <v>4.669810129</v>
      </c>
      <c r="EU359">
        <v>11.520531958846799</v>
      </c>
      <c r="EV359">
        <v>12.05851893</v>
      </c>
      <c r="EW359">
        <v>191.45688893852449</v>
      </c>
      <c r="EX359">
        <v>0</v>
      </c>
      <c r="EY359">
        <v>0</v>
      </c>
      <c r="EZ359">
        <v>0</v>
      </c>
      <c r="FA359">
        <v>-47667560000</v>
      </c>
      <c r="FB359">
        <v>0</v>
      </c>
      <c r="FC359">
        <v>-47667560000</v>
      </c>
      <c r="FD359">
        <v>-47667560000</v>
      </c>
      <c r="FE359">
        <v>-47667560000</v>
      </c>
      <c r="FF359">
        <v>-47667560000</v>
      </c>
      <c r="FG359" s="32">
        <f>Bankingbook_SBV[[#This Row],[Mat. Date]]-RPT</f>
        <v>7515</v>
      </c>
      <c r="FH359" s="32">
        <f>IF(Bankingbook_SBV[[#This Row],[Days]]&lt;=0,0,YEARFRAC(RPT,Bankingbook_SBV[[#This Row],[Mat. Date]],3))</f>
        <v>20.589041095890412</v>
      </c>
      <c r="FI359" s="32" t="str">
        <f>IF(Bankingbook_SBV[[#This Row],[Days (year)]]=0,0,INDEX(Ref!$K$2:$K$13,MATCH(Bankingbook_SBV[[#This Row],[Days (year)]],Ref!$I$2:$I$13,1)))</f>
        <v>30Y</v>
      </c>
      <c r="FJ359" s="32" t="str">
        <f>VLOOKUP(Bankingbook_SBV[[#This Row],[Security Name]],Ref!X:Z,3,0)</f>
        <v>TPCP</v>
      </c>
      <c r="FK359" s="32" t="str">
        <f>VLOOKUP(Bankingbook_SBV[[#This Row],[Security Name]],Ref!X:Y,2,0)</f>
        <v>KBNN</v>
      </c>
      <c r="FL359" s="72">
        <f>IF((Bankingbook_SBV[[#This Row],[Mat. Date]]-RPT)&lt;=0,0,Bankingbook_SBV[[#This Row],[QUANTITY]])</f>
        <v>0</v>
      </c>
      <c r="FM359" s="32">
        <f>IF(Bankingbook_SBV[[#This Row],[Quantity_edited]]=0,0,Bankingbook_SBV[[#This Row],[DURATION]])</f>
        <v>0</v>
      </c>
      <c r="FN359" s="32">
        <f>IF(Bankingbook_SBV[[#This Row],[Quantity_edited]]=0,0,Bankingbook_SBV[[#This Row],[Mod Dur]])</f>
        <v>0</v>
      </c>
      <c r="FO359" s="32">
        <f>IF(Bankingbook_SBV[[#This Row],[Quantity_edited]]=0,0,Bankingbook_SBV[[#This Row],[Cnvx.]])</f>
        <v>0</v>
      </c>
      <c r="FP359" s="32">
        <f>(Bankingbook_SBV[[#This Row],[MARKET_VALUE]]+Bankingbook_SBV[[#This Row],[Accr Int]]*Bankingbook_SBV[[#This Row],[Quantity_edited]])*(-Bankingbook_SBV[[#This Row],[Modified Duration]]*0.0001+0.5*Bankingbook_SBV[[#This Row],[Conv]]*(0.0001^2))</f>
        <v>0</v>
      </c>
      <c r="FQ359" s="32">
        <f>(Bankingbook_SBV[[#This Row],[MARKET_VALUE]]+Bankingbook_SBV[[#This Row],[Accr Int]]*Bankingbook_SBV[[#This Row],[Quantity_edited]])*(-Bankingbook_SBV[[#This Row],[Modified Duration]]*0.01+0.5*Bankingbook_SBV[[#This Row],[Conv]]*(0.01^2))</f>
        <v>0</v>
      </c>
    </row>
    <row r="360" spans="2:173" x14ac:dyDescent="0.3">
      <c r="B360" t="s">
        <v>166</v>
      </c>
      <c r="C360" t="s">
        <v>167</v>
      </c>
      <c r="D360" t="s">
        <v>550</v>
      </c>
      <c r="E360" t="s">
        <v>169</v>
      </c>
      <c r="F360" s="502">
        <v>45738</v>
      </c>
      <c r="G360" t="s">
        <v>3322</v>
      </c>
      <c r="H360"/>
      <c r="I360"/>
      <c r="J360" s="38">
        <v>0</v>
      </c>
      <c r="K360">
        <v>0</v>
      </c>
      <c r="L360">
        <v>0</v>
      </c>
      <c r="M360" s="38">
        <v>0</v>
      </c>
      <c r="N360">
        <v>3.4</v>
      </c>
      <c r="O360">
        <v>0</v>
      </c>
      <c r="P360" s="37">
        <v>1700000000</v>
      </c>
      <c r="Q360" s="37">
        <v>1831176722.222239</v>
      </c>
      <c r="R360" s="37">
        <v>-3349367282.0833521</v>
      </c>
      <c r="S360">
        <v>3.4</v>
      </c>
      <c r="T360" s="70">
        <v>0</v>
      </c>
      <c r="U360">
        <v>0</v>
      </c>
      <c r="V360">
        <v>0</v>
      </c>
      <c r="W360">
        <v>0</v>
      </c>
      <c r="X360" s="38">
        <v>0</v>
      </c>
      <c r="Y360">
        <v>0</v>
      </c>
      <c r="Z360" s="70">
        <v>-11768500000</v>
      </c>
      <c r="AA360" s="70">
        <v>0</v>
      </c>
      <c r="AB360" s="70">
        <v>-11768500000</v>
      </c>
      <c r="AC360" s="70">
        <v>-11768500000</v>
      </c>
      <c r="AD360" s="70">
        <v>-11768500000</v>
      </c>
      <c r="AE360" s="70">
        <v>-11768500000</v>
      </c>
      <c r="AF360">
        <v>0</v>
      </c>
      <c r="AG360" s="72">
        <f>Tradingbook_MSB[[#This Row],[Mat. Date]]-RPT</f>
        <v>-514</v>
      </c>
      <c r="AH360" s="71">
        <f>IF(Tradingbook_MSB[[#This Row],[Days]]&lt;=0,0,YEARFRAC(RPT,Tradingbook_MSB[[#This Row],[Mat. Date]],3))</f>
        <v>0</v>
      </c>
      <c r="AI360" s="71">
        <f>IF(Tradingbook_MSB[[#This Row],[Days (year)]]=0,0,INDEX(Ref!$K$2:$K$13,MATCH(Tradingbook_MSB[[#This Row],[Days (year)]],Ref!$I$2:$I$13,1)))</f>
        <v>0</v>
      </c>
      <c r="AJ360" s="120" t="str">
        <f>VLOOKUP(Tradingbook_MSB[[#This Row],[Security Name]],Ref!X:Z,3,0)</f>
        <v>TPCP</v>
      </c>
      <c r="AK360" s="120" t="str">
        <f>VLOOKUP(Tradingbook_MSB[[#This Row],[Security Name]],Ref!X:Y,2,0)</f>
        <v>KBNN</v>
      </c>
      <c r="AL360" s="71">
        <f>IF((Tradingbook_MSB[[#This Row],[Mat. Date]]-RPT)&lt;=0,0,Tradingbook_MSB[[#This Row],[QUANTITY]])</f>
        <v>0</v>
      </c>
      <c r="AM360" s="71">
        <f>IF(Tradingbook_MSB[[#This Row],[Quantity_edited]]=0,0,Tradingbook_MSB[[#This Row],[DURATION]])</f>
        <v>0</v>
      </c>
      <c r="AN360" s="71">
        <f>IF(Tradingbook_MSB[[#This Row],[Quantity_edited]]=0,0,Tradingbook_MSB[[#This Row],[Mod Dur]])</f>
        <v>0</v>
      </c>
      <c r="AO360" s="71">
        <f>IF(Tradingbook_MSB[[#This Row],[Quantity_edited]]=0,0,Tradingbook_MSB[[#This Row],[Cnvx.]])</f>
        <v>0</v>
      </c>
      <c r="AP360" s="71">
        <f>(Tradingbook_MSB[[#This Row],[MARKET_VALUE]]+Tradingbook_MSB[[#This Row],[Accr Int]]*Tradingbook_MSB[[#This Row],[Quantity_edited]])*(-Tradingbook_MSB[[#This Row],[Modified Duration]]*0.0001+0.5*Tradingbook_MSB[[#This Row],[Conv]]*(0.0001^2))</f>
        <v>0</v>
      </c>
      <c r="AQ360" s="72">
        <f>(Tradingbook_MSB[[#This Row],[MARKET_VALUE]]+Tradingbook_MSB[[#This Row],[Accr Int]]*Tradingbook_MSB[[#This Row],[Quantity_edited]])*(-Tradingbook_MSB[[#This Row],[Modified Duration]]*0.01+0.5*Tradingbook_MSB[[#This Row],[Conv]]*(0.01^2))</f>
        <v>0</v>
      </c>
      <c r="AR360" s="71"/>
      <c r="CL360" t="s">
        <v>166</v>
      </c>
      <c r="CM360" t="s">
        <v>167</v>
      </c>
      <c r="CN360" t="s">
        <v>560</v>
      </c>
      <c r="CO360" t="s">
        <v>169</v>
      </c>
      <c r="CP360" s="35">
        <v>46301</v>
      </c>
      <c r="CQ360" t="s">
        <v>3322</v>
      </c>
      <c r="CR360" t="s">
        <v>4162</v>
      </c>
      <c r="CS360" t="s">
        <v>4163</v>
      </c>
      <c r="CT360" s="49">
        <v>0</v>
      </c>
      <c r="CU360">
        <v>0</v>
      </c>
      <c r="CV360">
        <v>0</v>
      </c>
      <c r="CW360" s="70">
        <v>0</v>
      </c>
      <c r="CX360">
        <v>6.2</v>
      </c>
      <c r="CY360">
        <v>5368</v>
      </c>
      <c r="CZ360">
        <v>18600000000</v>
      </c>
      <c r="DA360">
        <v>21810725111.11116</v>
      </c>
      <c r="DB360">
        <v>-1883115227.2222443</v>
      </c>
      <c r="DC360">
        <v>3.8282327889999999</v>
      </c>
      <c r="DD360">
        <v>0</v>
      </c>
      <c r="DE360">
        <v>0</v>
      </c>
      <c r="DF360">
        <v>0</v>
      </c>
      <c r="DG360">
        <v>0</v>
      </c>
      <c r="DH360">
        <v>0</v>
      </c>
      <c r="DI360">
        <v>0</v>
      </c>
      <c r="DJ360" s="500">
        <v>13997000000</v>
      </c>
      <c r="DK360" s="500">
        <v>0</v>
      </c>
      <c r="DL360" s="37">
        <v>13997000000</v>
      </c>
      <c r="DM360" s="37">
        <v>13997000000</v>
      </c>
      <c r="DN360" s="37">
        <v>13997000000</v>
      </c>
      <c r="DO360" s="37">
        <v>13997000000</v>
      </c>
      <c r="DP360" s="32">
        <f>Tradingbook_SBV[[#This Row],[Mat. Date]]-RPT</f>
        <v>49</v>
      </c>
      <c r="DQ360" s="32">
        <f>IF(Tradingbook_SBV[[#This Row],[Days]]&lt;=0,0,YEARFRAC(RPT,Tradingbook_SBV[[#This Row],[Mat. Date]],3))</f>
        <v>0.13424657534246576</v>
      </c>
      <c r="DR360" s="32" t="str">
        <f>IF(Tradingbook_SBV[[#This Row],[Days (year)]]=0,0,INDEX(Ref!$K$2:$K$13,MATCH(Tradingbook_SBV[[#This Row],[Days (year)]],Ref!$I$2:$I$13,1)))</f>
        <v>3M</v>
      </c>
      <c r="DS360" s="32" t="str">
        <f>VLOOKUP(Tradingbook_SBV[[#This Row],[Security Name]],Ref!X:Z,3,0)</f>
        <v>TPCP</v>
      </c>
      <c r="DT360" s="32" t="str">
        <f>VLOOKUP(Tradingbook_SBV[[#This Row],[Security Name]],Ref!X:Y,2,0)</f>
        <v>KBNN</v>
      </c>
      <c r="DU360" s="71">
        <f>IF((Tradingbook_SBV[[#This Row],[Mat. Date]]-RPT)&lt;=0,0,Tradingbook_SBV[[#This Row],[QUANTITY]])</f>
        <v>0</v>
      </c>
      <c r="DV360" s="71">
        <f>IF(Tradingbook_SBV[[#This Row],[Quantity_edited]]=0,0,Tradingbook_SBV[[#This Row],[DURATION]])</f>
        <v>0</v>
      </c>
      <c r="DW360" s="71">
        <f>IF(Tradingbook_SBV[[#This Row],[Quantity_edited]]=0,0,Tradingbook_SBV[[#This Row],[Mod Dur]])</f>
        <v>0</v>
      </c>
      <c r="DX360" s="71">
        <f>IF(Tradingbook_SBV[[#This Row],[Quantity_edited]]=0,0,Tradingbook_SBV[[#This Row],[Cnvx.]])</f>
        <v>0</v>
      </c>
      <c r="DY360" s="71">
        <f>(Tradingbook_SBV[[#This Row],[MARKET_VALUE]]+Tradingbook_SBV[[#This Row],[Accr Int]]*Tradingbook_SBV[[#This Row],[Quantity_edited]])*(-Tradingbook_SBV[[#This Row],[Modified Duration]]*0.0001+0.5*Tradingbook_SBV[[#This Row],[Conv]]*(0.0001^2))</f>
        <v>0</v>
      </c>
      <c r="DZ360" s="71">
        <f>(Tradingbook_SBV[[#This Row],[MARKET_VALUE]]+Tradingbook_SBV[[#This Row],[Accr Int]]*Tradingbook_SBV[[#This Row],[Quantity_edited]])*(-Tradingbook_SBV[[#This Row],[Modified Duration]]*0.01+0.5*Tradingbook_SBV[[#This Row],[Conv]]*(0.01^2))</f>
        <v>0</v>
      </c>
      <c r="EC360" t="s">
        <v>166</v>
      </c>
      <c r="ED360" t="s">
        <v>3303</v>
      </c>
      <c r="EE360" t="s">
        <v>723</v>
      </c>
      <c r="EF360" t="s">
        <v>169</v>
      </c>
      <c r="EG360" s="35" t="s">
        <v>3480</v>
      </c>
      <c r="EH360" t="s">
        <v>3322</v>
      </c>
      <c r="EI360" s="500">
        <v>140846</v>
      </c>
      <c r="EJ360" s="500">
        <v>140846</v>
      </c>
      <c r="EK360" s="500">
        <v>0</v>
      </c>
      <c r="EL360" s="500">
        <v>0</v>
      </c>
      <c r="EM360" s="500">
        <v>0</v>
      </c>
      <c r="EN360" s="500">
        <v>0</v>
      </c>
      <c r="EO360">
        <v>7.8</v>
      </c>
      <c r="EP360">
        <v>2842</v>
      </c>
      <c r="EQ360">
        <v>42900000000</v>
      </c>
      <c r="ER360">
        <v>50650863249.999969</v>
      </c>
      <c r="ES360">
        <v>-55066124004.015297</v>
      </c>
      <c r="ET360">
        <v>4.6702365119999998</v>
      </c>
      <c r="EU360">
        <v>11.605814348993899</v>
      </c>
      <c r="EV360">
        <v>12.147833329999999</v>
      </c>
      <c r="EW360">
        <v>193.573080709615</v>
      </c>
      <c r="EX360">
        <v>0</v>
      </c>
      <c r="EY360">
        <v>0</v>
      </c>
      <c r="EZ360">
        <v>0</v>
      </c>
      <c r="FA360">
        <v>22074100000</v>
      </c>
      <c r="FB360">
        <v>0</v>
      </c>
      <c r="FC360">
        <v>22074100000</v>
      </c>
      <c r="FD360">
        <v>22074100000</v>
      </c>
      <c r="FE360">
        <v>22074100000</v>
      </c>
      <c r="FF360">
        <v>22074100000</v>
      </c>
      <c r="FG360" s="32">
        <f>Bankingbook_SBV[[#This Row],[Mat. Date]]-RPT</f>
        <v>7537</v>
      </c>
      <c r="FH360" s="32">
        <f>IF(Bankingbook_SBV[[#This Row],[Days]]&lt;=0,0,YEARFRAC(RPT,Bankingbook_SBV[[#This Row],[Mat. Date]],3))</f>
        <v>20.649315068493152</v>
      </c>
      <c r="FI360" s="32" t="str">
        <f>IF(Bankingbook_SBV[[#This Row],[Days (year)]]=0,0,INDEX(Ref!$K$2:$K$13,MATCH(Bankingbook_SBV[[#This Row],[Days (year)]],Ref!$I$2:$I$13,1)))</f>
        <v>30Y</v>
      </c>
      <c r="FJ360" s="32" t="str">
        <f>VLOOKUP(Bankingbook_SBV[[#This Row],[Security Name]],Ref!X:Z,3,0)</f>
        <v>TPCP</v>
      </c>
      <c r="FK360" s="32" t="str">
        <f>VLOOKUP(Bankingbook_SBV[[#This Row],[Security Name]],Ref!X:Y,2,0)</f>
        <v>KBNN</v>
      </c>
      <c r="FL360" s="72">
        <f>IF((Bankingbook_SBV[[#This Row],[Mat. Date]]-RPT)&lt;=0,0,Bankingbook_SBV[[#This Row],[QUANTITY]])</f>
        <v>0</v>
      </c>
      <c r="FM360" s="32">
        <f>IF(Bankingbook_SBV[[#This Row],[Quantity_edited]]=0,0,Bankingbook_SBV[[#This Row],[DURATION]])</f>
        <v>0</v>
      </c>
      <c r="FN360" s="32">
        <f>IF(Bankingbook_SBV[[#This Row],[Quantity_edited]]=0,0,Bankingbook_SBV[[#This Row],[Mod Dur]])</f>
        <v>0</v>
      </c>
      <c r="FO360" s="32">
        <f>IF(Bankingbook_SBV[[#This Row],[Quantity_edited]]=0,0,Bankingbook_SBV[[#This Row],[Cnvx.]])</f>
        <v>0</v>
      </c>
      <c r="FP360" s="32">
        <f>(Bankingbook_SBV[[#This Row],[MARKET_VALUE]]+Bankingbook_SBV[[#This Row],[Accr Int]]*Bankingbook_SBV[[#This Row],[Quantity_edited]])*(-Bankingbook_SBV[[#This Row],[Modified Duration]]*0.0001+0.5*Bankingbook_SBV[[#This Row],[Conv]]*(0.0001^2))</f>
        <v>0</v>
      </c>
      <c r="FQ360" s="32">
        <f>(Bankingbook_SBV[[#This Row],[MARKET_VALUE]]+Bankingbook_SBV[[#This Row],[Accr Int]]*Bankingbook_SBV[[#This Row],[Quantity_edited]])*(-Bankingbook_SBV[[#This Row],[Modified Duration]]*0.01+0.5*Bankingbook_SBV[[#This Row],[Conv]]*(0.01^2))</f>
        <v>0</v>
      </c>
    </row>
    <row r="361" spans="2:173" x14ac:dyDescent="0.3">
      <c r="B361" t="s">
        <v>166</v>
      </c>
      <c r="C361" t="s">
        <v>167</v>
      </c>
      <c r="D361" t="s">
        <v>551</v>
      </c>
      <c r="E361" t="s">
        <v>169</v>
      </c>
      <c r="F361" s="502">
        <v>45812</v>
      </c>
      <c r="G361" t="s">
        <v>3322</v>
      </c>
      <c r="H361"/>
      <c r="I361"/>
      <c r="J361" s="38">
        <v>0</v>
      </c>
      <c r="K361">
        <v>0</v>
      </c>
      <c r="L361">
        <v>0</v>
      </c>
      <c r="M361" s="38">
        <v>0</v>
      </c>
      <c r="N361">
        <v>1.9</v>
      </c>
      <c r="O361">
        <v>0</v>
      </c>
      <c r="P361" s="37">
        <v>1900000000</v>
      </c>
      <c r="Q361" s="37">
        <v>2077790388.8888841</v>
      </c>
      <c r="R361" s="37">
        <v>-1054630589.6526048</v>
      </c>
      <c r="S361">
        <v>1.9</v>
      </c>
      <c r="T361" s="70">
        <v>0</v>
      </c>
      <c r="U361">
        <v>0</v>
      </c>
      <c r="V361">
        <v>0</v>
      </c>
      <c r="W361">
        <v>0</v>
      </c>
      <c r="X361" s="38">
        <v>0</v>
      </c>
      <c r="Y361">
        <v>0</v>
      </c>
      <c r="Z361" s="70">
        <v>1444500000</v>
      </c>
      <c r="AA361" s="70">
        <v>0</v>
      </c>
      <c r="AB361" s="70">
        <v>1444500000</v>
      </c>
      <c r="AC361" s="70">
        <v>1444500000</v>
      </c>
      <c r="AD361" s="70">
        <v>1444500000</v>
      </c>
      <c r="AE361" s="70">
        <v>1444500000</v>
      </c>
      <c r="AF361">
        <v>0</v>
      </c>
      <c r="AG361" s="72">
        <f>Tradingbook_MSB[[#This Row],[Mat. Date]]-RPT</f>
        <v>-440</v>
      </c>
      <c r="AH361" s="71">
        <f>IF(Tradingbook_MSB[[#This Row],[Days]]&lt;=0,0,YEARFRAC(RPT,Tradingbook_MSB[[#This Row],[Mat. Date]],3))</f>
        <v>0</v>
      </c>
      <c r="AI361" s="71">
        <f>IF(Tradingbook_MSB[[#This Row],[Days (year)]]=0,0,INDEX(Ref!$K$2:$K$13,MATCH(Tradingbook_MSB[[#This Row],[Days (year)]],Ref!$I$2:$I$13,1)))</f>
        <v>0</v>
      </c>
      <c r="AJ361" s="120" t="str">
        <f>VLOOKUP(Tradingbook_MSB[[#This Row],[Security Name]],Ref!X:Z,3,0)</f>
        <v>TPCP</v>
      </c>
      <c r="AK361" s="120" t="str">
        <f>VLOOKUP(Tradingbook_MSB[[#This Row],[Security Name]],Ref!X:Y,2,0)</f>
        <v>KBNN</v>
      </c>
      <c r="AL361" s="71">
        <f>IF((Tradingbook_MSB[[#This Row],[Mat. Date]]-RPT)&lt;=0,0,Tradingbook_MSB[[#This Row],[QUANTITY]])</f>
        <v>0</v>
      </c>
      <c r="AM361" s="71">
        <f>IF(Tradingbook_MSB[[#This Row],[Quantity_edited]]=0,0,Tradingbook_MSB[[#This Row],[DURATION]])</f>
        <v>0</v>
      </c>
      <c r="AN361" s="71">
        <f>IF(Tradingbook_MSB[[#This Row],[Quantity_edited]]=0,0,Tradingbook_MSB[[#This Row],[Mod Dur]])</f>
        <v>0</v>
      </c>
      <c r="AO361" s="71">
        <f>IF(Tradingbook_MSB[[#This Row],[Quantity_edited]]=0,0,Tradingbook_MSB[[#This Row],[Cnvx.]])</f>
        <v>0</v>
      </c>
      <c r="AP361" s="71">
        <f>(Tradingbook_MSB[[#This Row],[MARKET_VALUE]]+Tradingbook_MSB[[#This Row],[Accr Int]]*Tradingbook_MSB[[#This Row],[Quantity_edited]])*(-Tradingbook_MSB[[#This Row],[Modified Duration]]*0.0001+0.5*Tradingbook_MSB[[#This Row],[Conv]]*(0.0001^2))</f>
        <v>0</v>
      </c>
      <c r="AQ361" s="72">
        <f>(Tradingbook_MSB[[#This Row],[MARKET_VALUE]]+Tradingbook_MSB[[#This Row],[Accr Int]]*Tradingbook_MSB[[#This Row],[Quantity_edited]])*(-Tradingbook_MSB[[#This Row],[Modified Duration]]*0.01+0.5*Tradingbook_MSB[[#This Row],[Conv]]*(0.01^2))</f>
        <v>0</v>
      </c>
      <c r="AR361" s="71"/>
      <c r="CL361" t="s">
        <v>166</v>
      </c>
      <c r="CM361" t="s">
        <v>167</v>
      </c>
      <c r="CN361" t="s">
        <v>561</v>
      </c>
      <c r="CO361" t="s">
        <v>169</v>
      </c>
      <c r="CP361" s="35">
        <v>46323</v>
      </c>
      <c r="CQ361" t="s">
        <v>3322</v>
      </c>
      <c r="CR361" t="s">
        <v>4164</v>
      </c>
      <c r="CS361" t="s">
        <v>4165</v>
      </c>
      <c r="CT361" s="49">
        <v>0</v>
      </c>
      <c r="CU361">
        <v>0</v>
      </c>
      <c r="CV361">
        <v>0</v>
      </c>
      <c r="CW361" s="70">
        <v>0</v>
      </c>
      <c r="CX361">
        <v>0.8</v>
      </c>
      <c r="CY361">
        <v>644</v>
      </c>
      <c r="CZ361">
        <v>0</v>
      </c>
      <c r="DA361">
        <v>-9.9999999999999995E-7</v>
      </c>
      <c r="DB361">
        <v>-26181664.305511475</v>
      </c>
      <c r="DC361">
        <v>3.8278242740000001</v>
      </c>
      <c r="DD361">
        <v>0</v>
      </c>
      <c r="DE361">
        <v>0</v>
      </c>
      <c r="DF361">
        <v>0</v>
      </c>
      <c r="DG361">
        <v>0</v>
      </c>
      <c r="DH361">
        <v>0</v>
      </c>
      <c r="DI361">
        <v>0</v>
      </c>
      <c r="DJ361" s="500">
        <v>48000000</v>
      </c>
      <c r="DK361" s="500">
        <v>0</v>
      </c>
      <c r="DL361" s="37">
        <v>48000000</v>
      </c>
      <c r="DM361" s="37">
        <v>48000000</v>
      </c>
      <c r="DN361" s="37">
        <v>48000000</v>
      </c>
      <c r="DO361" s="37">
        <v>48000000</v>
      </c>
      <c r="DP361" s="32">
        <f>Tradingbook_SBV[[#This Row],[Mat. Date]]-RPT</f>
        <v>71</v>
      </c>
      <c r="DQ361" s="32">
        <f>IF(Tradingbook_SBV[[#This Row],[Days]]&lt;=0,0,YEARFRAC(RPT,Tradingbook_SBV[[#This Row],[Mat. Date]],3))</f>
        <v>0.19452054794520549</v>
      </c>
      <c r="DR361" s="32" t="str">
        <f>IF(Tradingbook_SBV[[#This Row],[Days (year)]]=0,0,INDEX(Ref!$K$2:$K$13,MATCH(Tradingbook_SBV[[#This Row],[Days (year)]],Ref!$I$2:$I$13,1)))</f>
        <v>3M</v>
      </c>
      <c r="DS361" s="32" t="str">
        <f>VLOOKUP(Tradingbook_SBV[[#This Row],[Security Name]],Ref!X:Z,3,0)</f>
        <v>TPCP</v>
      </c>
      <c r="DT361" s="32" t="str">
        <f>VLOOKUP(Tradingbook_SBV[[#This Row],[Security Name]],Ref!X:Y,2,0)</f>
        <v>KBNN</v>
      </c>
      <c r="DU361" s="71">
        <f>IF((Tradingbook_SBV[[#This Row],[Mat. Date]]-RPT)&lt;=0,0,Tradingbook_SBV[[#This Row],[QUANTITY]])</f>
        <v>0</v>
      </c>
      <c r="DV361" s="71">
        <f>IF(Tradingbook_SBV[[#This Row],[Quantity_edited]]=0,0,Tradingbook_SBV[[#This Row],[DURATION]])</f>
        <v>0</v>
      </c>
      <c r="DW361" s="71">
        <f>IF(Tradingbook_SBV[[#This Row],[Quantity_edited]]=0,0,Tradingbook_SBV[[#This Row],[Mod Dur]])</f>
        <v>0</v>
      </c>
      <c r="DX361" s="71">
        <f>IF(Tradingbook_SBV[[#This Row],[Quantity_edited]]=0,0,Tradingbook_SBV[[#This Row],[Cnvx.]])</f>
        <v>0</v>
      </c>
      <c r="DY361" s="71">
        <f>(Tradingbook_SBV[[#This Row],[MARKET_VALUE]]+Tradingbook_SBV[[#This Row],[Accr Int]]*Tradingbook_SBV[[#This Row],[Quantity_edited]])*(-Tradingbook_SBV[[#This Row],[Modified Duration]]*0.0001+0.5*Tradingbook_SBV[[#This Row],[Conv]]*(0.0001^2))</f>
        <v>0</v>
      </c>
      <c r="DZ361" s="71">
        <f>(Tradingbook_SBV[[#This Row],[MARKET_VALUE]]+Tradingbook_SBV[[#This Row],[Accr Int]]*Tradingbook_SBV[[#This Row],[Quantity_edited]])*(-Tradingbook_SBV[[#This Row],[Modified Duration]]*0.01+0.5*Tradingbook_SBV[[#This Row],[Conv]]*(0.01^2))</f>
        <v>0</v>
      </c>
      <c r="EC361" t="s">
        <v>166</v>
      </c>
      <c r="ED361" t="s">
        <v>3303</v>
      </c>
      <c r="EE361" t="s">
        <v>724</v>
      </c>
      <c r="EF361" t="s">
        <v>169</v>
      </c>
      <c r="EG361" s="35" t="s">
        <v>3854</v>
      </c>
      <c r="EH361" t="s">
        <v>3322</v>
      </c>
      <c r="EI361" s="500">
        <v>138272</v>
      </c>
      <c r="EJ361" s="500">
        <v>138272</v>
      </c>
      <c r="EK361" s="500">
        <v>0</v>
      </c>
      <c r="EL361" s="500">
        <v>0</v>
      </c>
      <c r="EM361" s="500">
        <v>0</v>
      </c>
      <c r="EN361" s="500">
        <v>0</v>
      </c>
      <c r="EO361">
        <v>7.6</v>
      </c>
      <c r="EP361">
        <v>2499</v>
      </c>
      <c r="EQ361">
        <v>7600000000</v>
      </c>
      <c r="ER361">
        <v>9044620666.6666851</v>
      </c>
      <c r="ES361">
        <v>-27490012220.486092</v>
      </c>
      <c r="ET361">
        <v>4.6704401530000004</v>
      </c>
      <c r="EU361">
        <v>11.6972140173363</v>
      </c>
      <c r="EV361">
        <v>12.243525399999999</v>
      </c>
      <c r="EW361">
        <v>195.91425692105679</v>
      </c>
      <c r="EX361">
        <v>0</v>
      </c>
      <c r="EY361">
        <v>0</v>
      </c>
      <c r="EZ361">
        <v>0</v>
      </c>
      <c r="FA361">
        <v>-1131780000</v>
      </c>
      <c r="FB361">
        <v>0</v>
      </c>
      <c r="FC361">
        <v>-1131780000</v>
      </c>
      <c r="FD361">
        <v>-1131780000</v>
      </c>
      <c r="FE361">
        <v>-1131780000</v>
      </c>
      <c r="FF361">
        <v>-1131780000</v>
      </c>
      <c r="FG361" s="32">
        <f>Bankingbook_SBV[[#This Row],[Mat. Date]]-RPT</f>
        <v>7550</v>
      </c>
      <c r="FH361" s="32">
        <f>IF(Bankingbook_SBV[[#This Row],[Days]]&lt;=0,0,YEARFRAC(RPT,Bankingbook_SBV[[#This Row],[Mat. Date]],3))</f>
        <v>20.684931506849313</v>
      </c>
      <c r="FI361" s="32" t="str">
        <f>IF(Bankingbook_SBV[[#This Row],[Days (year)]]=0,0,INDEX(Ref!$K$2:$K$13,MATCH(Bankingbook_SBV[[#This Row],[Days (year)]],Ref!$I$2:$I$13,1)))</f>
        <v>30Y</v>
      </c>
      <c r="FJ361" s="32" t="str">
        <f>VLOOKUP(Bankingbook_SBV[[#This Row],[Security Name]],Ref!X:Z,3,0)</f>
        <v>TPCP</v>
      </c>
      <c r="FK361" s="32" t="str">
        <f>VLOOKUP(Bankingbook_SBV[[#This Row],[Security Name]],Ref!X:Y,2,0)</f>
        <v>KBNN</v>
      </c>
      <c r="FL361" s="72">
        <f>IF((Bankingbook_SBV[[#This Row],[Mat. Date]]-RPT)&lt;=0,0,Bankingbook_SBV[[#This Row],[QUANTITY]])</f>
        <v>0</v>
      </c>
      <c r="FM361" s="32">
        <f>IF(Bankingbook_SBV[[#This Row],[Quantity_edited]]=0,0,Bankingbook_SBV[[#This Row],[DURATION]])</f>
        <v>0</v>
      </c>
      <c r="FN361" s="32">
        <f>IF(Bankingbook_SBV[[#This Row],[Quantity_edited]]=0,0,Bankingbook_SBV[[#This Row],[Mod Dur]])</f>
        <v>0</v>
      </c>
      <c r="FO361" s="32">
        <f>IF(Bankingbook_SBV[[#This Row],[Quantity_edited]]=0,0,Bankingbook_SBV[[#This Row],[Cnvx.]])</f>
        <v>0</v>
      </c>
      <c r="FP361" s="32">
        <f>(Bankingbook_SBV[[#This Row],[MARKET_VALUE]]+Bankingbook_SBV[[#This Row],[Accr Int]]*Bankingbook_SBV[[#This Row],[Quantity_edited]])*(-Bankingbook_SBV[[#This Row],[Modified Duration]]*0.0001+0.5*Bankingbook_SBV[[#This Row],[Conv]]*(0.0001^2))</f>
        <v>0</v>
      </c>
      <c r="FQ361" s="32">
        <f>(Bankingbook_SBV[[#This Row],[MARKET_VALUE]]+Bankingbook_SBV[[#This Row],[Accr Int]]*Bankingbook_SBV[[#This Row],[Quantity_edited]])*(-Bankingbook_SBV[[#This Row],[Modified Duration]]*0.01+0.5*Bankingbook_SBV[[#This Row],[Conv]]*(0.01^2))</f>
        <v>0</v>
      </c>
    </row>
    <row r="362" spans="2:173" x14ac:dyDescent="0.3">
      <c r="B362" t="s">
        <v>166</v>
      </c>
      <c r="C362" t="s">
        <v>167</v>
      </c>
      <c r="D362" t="s">
        <v>553</v>
      </c>
      <c r="E362" t="s">
        <v>169</v>
      </c>
      <c r="F362" s="502">
        <v>45964</v>
      </c>
      <c r="G362" t="s">
        <v>3322</v>
      </c>
      <c r="H362"/>
      <c r="I362"/>
      <c r="J362" s="38">
        <v>0</v>
      </c>
      <c r="K362">
        <v>0</v>
      </c>
      <c r="L362">
        <v>0</v>
      </c>
      <c r="M362" s="38">
        <v>0</v>
      </c>
      <c r="N362">
        <v>1.6</v>
      </c>
      <c r="O362">
        <v>0</v>
      </c>
      <c r="P362" s="37">
        <v>0</v>
      </c>
      <c r="Q362" s="37">
        <v>-1.5E-5</v>
      </c>
      <c r="R362" s="37">
        <v>968672034.61668777</v>
      </c>
      <c r="S362">
        <v>1.6</v>
      </c>
      <c r="T362" s="70">
        <v>0</v>
      </c>
      <c r="U362">
        <v>0</v>
      </c>
      <c r="V362">
        <v>0</v>
      </c>
      <c r="W362">
        <v>0</v>
      </c>
      <c r="X362" s="38">
        <v>0</v>
      </c>
      <c r="Y362">
        <v>0</v>
      </c>
      <c r="Z362" s="70">
        <v>8267540000</v>
      </c>
      <c r="AA362" s="70">
        <v>0</v>
      </c>
      <c r="AB362" s="70">
        <v>8267540000</v>
      </c>
      <c r="AC362" s="70">
        <v>8267540000</v>
      </c>
      <c r="AD362" s="70">
        <v>8267540000</v>
      </c>
      <c r="AE362" s="70">
        <v>8267540000</v>
      </c>
      <c r="AF362">
        <v>0</v>
      </c>
      <c r="AG362" s="72">
        <f>Tradingbook_MSB[[#This Row],[Mat. Date]]-RPT</f>
        <v>-288</v>
      </c>
      <c r="AH362" s="71">
        <f>IF(Tradingbook_MSB[[#This Row],[Days]]&lt;=0,0,YEARFRAC(RPT,Tradingbook_MSB[[#This Row],[Mat. Date]],3))</f>
        <v>0</v>
      </c>
      <c r="AI362" s="71">
        <f>IF(Tradingbook_MSB[[#This Row],[Days (year)]]=0,0,INDEX(Ref!$K$2:$K$13,MATCH(Tradingbook_MSB[[#This Row],[Days (year)]],Ref!$I$2:$I$13,1)))</f>
        <v>0</v>
      </c>
      <c r="AJ362" s="120" t="str">
        <f>VLOOKUP(Tradingbook_MSB[[#This Row],[Security Name]],Ref!X:Z,3,0)</f>
        <v>TPCP</v>
      </c>
      <c r="AK362" s="120" t="str">
        <f>VLOOKUP(Tradingbook_MSB[[#This Row],[Security Name]],Ref!X:Y,2,0)</f>
        <v>KBNN</v>
      </c>
      <c r="AL362" s="71">
        <f>IF((Tradingbook_MSB[[#This Row],[Mat. Date]]-RPT)&lt;=0,0,Tradingbook_MSB[[#This Row],[QUANTITY]])</f>
        <v>0</v>
      </c>
      <c r="AM362" s="71">
        <f>IF(Tradingbook_MSB[[#This Row],[Quantity_edited]]=0,0,Tradingbook_MSB[[#This Row],[DURATION]])</f>
        <v>0</v>
      </c>
      <c r="AN362" s="71">
        <f>IF(Tradingbook_MSB[[#This Row],[Quantity_edited]]=0,0,Tradingbook_MSB[[#This Row],[Mod Dur]])</f>
        <v>0</v>
      </c>
      <c r="AO362" s="71">
        <f>IF(Tradingbook_MSB[[#This Row],[Quantity_edited]]=0,0,Tradingbook_MSB[[#This Row],[Cnvx.]])</f>
        <v>0</v>
      </c>
      <c r="AP362" s="71">
        <f>(Tradingbook_MSB[[#This Row],[MARKET_VALUE]]+Tradingbook_MSB[[#This Row],[Accr Int]]*Tradingbook_MSB[[#This Row],[Quantity_edited]])*(-Tradingbook_MSB[[#This Row],[Modified Duration]]*0.0001+0.5*Tradingbook_MSB[[#This Row],[Conv]]*(0.0001^2))</f>
        <v>0</v>
      </c>
      <c r="AQ362" s="72">
        <f>(Tradingbook_MSB[[#This Row],[MARKET_VALUE]]+Tradingbook_MSB[[#This Row],[Accr Int]]*Tradingbook_MSB[[#This Row],[Quantity_edited]])*(-Tradingbook_MSB[[#This Row],[Modified Duration]]*0.01+0.5*Tradingbook_MSB[[#This Row],[Conv]]*(0.01^2))</f>
        <v>0</v>
      </c>
      <c r="AR362" s="71"/>
      <c r="CL362" t="s">
        <v>166</v>
      </c>
      <c r="CM362" t="s">
        <v>167</v>
      </c>
      <c r="CN362" t="s">
        <v>565</v>
      </c>
      <c r="CO362" t="s">
        <v>169</v>
      </c>
      <c r="CP362" s="35">
        <v>46403</v>
      </c>
      <c r="CQ362" t="s">
        <v>3322</v>
      </c>
      <c r="CR362" t="s">
        <v>4166</v>
      </c>
      <c r="CS362" t="s">
        <v>4167</v>
      </c>
      <c r="CT362" s="49">
        <v>0</v>
      </c>
      <c r="CU362">
        <v>0</v>
      </c>
      <c r="CV362">
        <v>0</v>
      </c>
      <c r="CW362" s="70">
        <v>0</v>
      </c>
      <c r="CX362">
        <v>6.8</v>
      </c>
      <c r="CY362">
        <v>3987</v>
      </c>
      <c r="CZ362">
        <v>34000000000</v>
      </c>
      <c r="DA362">
        <v>41721319722.222382</v>
      </c>
      <c r="DB362">
        <v>-6668919145.2086639</v>
      </c>
      <c r="DC362">
        <v>4.277345639</v>
      </c>
      <c r="DD362">
        <v>0</v>
      </c>
      <c r="DE362">
        <v>0</v>
      </c>
      <c r="DF362">
        <v>0</v>
      </c>
      <c r="DG362">
        <v>0</v>
      </c>
      <c r="DH362">
        <v>0</v>
      </c>
      <c r="DI362">
        <v>0</v>
      </c>
      <c r="DJ362" s="500">
        <v>9184500000</v>
      </c>
      <c r="DK362" s="500">
        <v>0</v>
      </c>
      <c r="DL362" s="37">
        <v>9184500000</v>
      </c>
      <c r="DM362" s="37">
        <v>9184500000</v>
      </c>
      <c r="DN362" s="37">
        <v>9184500000</v>
      </c>
      <c r="DO362" s="37">
        <v>9184500000</v>
      </c>
      <c r="DP362" s="32">
        <f>Tradingbook_SBV[[#This Row],[Mat. Date]]-RPT</f>
        <v>151</v>
      </c>
      <c r="DQ362" s="32">
        <f>IF(Tradingbook_SBV[[#This Row],[Days]]&lt;=0,0,YEARFRAC(RPT,Tradingbook_SBV[[#This Row],[Mat. Date]],3))</f>
        <v>0.41369863013698632</v>
      </c>
      <c r="DR362" s="32" t="str">
        <f>IF(Tradingbook_SBV[[#This Row],[Days (year)]]=0,0,INDEX(Ref!$K$2:$K$13,MATCH(Tradingbook_SBV[[#This Row],[Days (year)]],Ref!$I$2:$I$13,1)))</f>
        <v>6M</v>
      </c>
      <c r="DS362" s="32" t="str">
        <f>VLOOKUP(Tradingbook_SBV[[#This Row],[Security Name]],Ref!X:Z,3,0)</f>
        <v>TPCPBL</v>
      </c>
      <c r="DT362" s="32" t="str">
        <f>VLOOKUP(Tradingbook_SBV[[#This Row],[Security Name]],Ref!X:Y,2,0)</f>
        <v>VDB</v>
      </c>
      <c r="DU362" s="71">
        <f>IF((Tradingbook_SBV[[#This Row],[Mat. Date]]-RPT)&lt;=0,0,Tradingbook_SBV[[#This Row],[QUANTITY]])</f>
        <v>0</v>
      </c>
      <c r="DV362" s="71">
        <f>IF(Tradingbook_SBV[[#This Row],[Quantity_edited]]=0,0,Tradingbook_SBV[[#This Row],[DURATION]])</f>
        <v>0</v>
      </c>
      <c r="DW362" s="71">
        <f>IF(Tradingbook_SBV[[#This Row],[Quantity_edited]]=0,0,Tradingbook_SBV[[#This Row],[Mod Dur]])</f>
        <v>0</v>
      </c>
      <c r="DX362" s="71">
        <f>IF(Tradingbook_SBV[[#This Row],[Quantity_edited]]=0,0,Tradingbook_SBV[[#This Row],[Cnvx.]])</f>
        <v>0</v>
      </c>
      <c r="DY362" s="71">
        <f>(Tradingbook_SBV[[#This Row],[MARKET_VALUE]]+Tradingbook_SBV[[#This Row],[Accr Int]]*Tradingbook_SBV[[#This Row],[Quantity_edited]])*(-Tradingbook_SBV[[#This Row],[Modified Duration]]*0.0001+0.5*Tradingbook_SBV[[#This Row],[Conv]]*(0.0001^2))</f>
        <v>0</v>
      </c>
      <c r="DZ362" s="71">
        <f>(Tradingbook_SBV[[#This Row],[MARKET_VALUE]]+Tradingbook_SBV[[#This Row],[Accr Int]]*Tradingbook_SBV[[#This Row],[Quantity_edited]])*(-Tradingbook_SBV[[#This Row],[Modified Duration]]*0.01+0.5*Tradingbook_SBV[[#This Row],[Conv]]*(0.01^2))</f>
        <v>0</v>
      </c>
      <c r="EC362" t="s">
        <v>166</v>
      </c>
      <c r="ED362" t="s">
        <v>3303</v>
      </c>
      <c r="EE362" t="s">
        <v>725</v>
      </c>
      <c r="EF362" t="s">
        <v>169</v>
      </c>
      <c r="EG362" s="35" t="s">
        <v>3481</v>
      </c>
      <c r="EH362" t="s">
        <v>3322</v>
      </c>
      <c r="EI362" s="500">
        <v>134499</v>
      </c>
      <c r="EJ362" s="500">
        <v>134499</v>
      </c>
      <c r="EK362" s="500">
        <v>0</v>
      </c>
      <c r="EL362" s="500">
        <v>0</v>
      </c>
      <c r="EM362" s="500">
        <v>0</v>
      </c>
      <c r="EN362" s="500">
        <v>0</v>
      </c>
      <c r="EO362">
        <v>7.3</v>
      </c>
      <c r="EP362">
        <v>1280</v>
      </c>
      <c r="EQ362">
        <v>46136000000</v>
      </c>
      <c r="ER362">
        <v>55226697158.055695</v>
      </c>
      <c r="ES362">
        <v>-8840088069.7806492</v>
      </c>
      <c r="ET362">
        <v>4.6715104700000003</v>
      </c>
      <c r="EU362">
        <v>11.933620020607</v>
      </c>
      <c r="EV362">
        <v>12.49110033</v>
      </c>
      <c r="EW362">
        <v>201.90792310541639</v>
      </c>
      <c r="EX362">
        <v>0</v>
      </c>
      <c r="EY362">
        <v>0</v>
      </c>
      <c r="EZ362">
        <v>0</v>
      </c>
      <c r="FA362">
        <v>38256360000</v>
      </c>
      <c r="FB362">
        <v>0</v>
      </c>
      <c r="FC362">
        <v>38256360000</v>
      </c>
      <c r="FD362">
        <v>38256360000</v>
      </c>
      <c r="FE362">
        <v>38256360000</v>
      </c>
      <c r="FF362">
        <v>38256360000</v>
      </c>
      <c r="FG362" s="32">
        <f>Bankingbook_SBV[[#This Row],[Mat. Date]]-RPT</f>
        <v>7606</v>
      </c>
      <c r="FH362" s="32">
        <f>IF(Bankingbook_SBV[[#This Row],[Days]]&lt;=0,0,YEARFRAC(RPT,Bankingbook_SBV[[#This Row],[Mat. Date]],3))</f>
        <v>20.838356164383562</v>
      </c>
      <c r="FI362" s="32" t="str">
        <f>IF(Bankingbook_SBV[[#This Row],[Days (year)]]=0,0,INDEX(Ref!$K$2:$K$13,MATCH(Bankingbook_SBV[[#This Row],[Days (year)]],Ref!$I$2:$I$13,1)))</f>
        <v>30Y</v>
      </c>
      <c r="FJ362" s="32" t="str">
        <f>VLOOKUP(Bankingbook_SBV[[#This Row],[Security Name]],Ref!X:Z,3,0)</f>
        <v>TPCP</v>
      </c>
      <c r="FK362" s="32" t="str">
        <f>VLOOKUP(Bankingbook_SBV[[#This Row],[Security Name]],Ref!X:Y,2,0)</f>
        <v>KBNN</v>
      </c>
      <c r="FL362" s="72">
        <f>IF((Bankingbook_SBV[[#This Row],[Mat. Date]]-RPT)&lt;=0,0,Bankingbook_SBV[[#This Row],[QUANTITY]])</f>
        <v>0</v>
      </c>
      <c r="FM362" s="32">
        <f>IF(Bankingbook_SBV[[#This Row],[Quantity_edited]]=0,0,Bankingbook_SBV[[#This Row],[DURATION]])</f>
        <v>0</v>
      </c>
      <c r="FN362" s="32">
        <f>IF(Bankingbook_SBV[[#This Row],[Quantity_edited]]=0,0,Bankingbook_SBV[[#This Row],[Mod Dur]])</f>
        <v>0</v>
      </c>
      <c r="FO362" s="32">
        <f>IF(Bankingbook_SBV[[#This Row],[Quantity_edited]]=0,0,Bankingbook_SBV[[#This Row],[Cnvx.]])</f>
        <v>0</v>
      </c>
      <c r="FP362" s="32">
        <f>(Bankingbook_SBV[[#This Row],[MARKET_VALUE]]+Bankingbook_SBV[[#This Row],[Accr Int]]*Bankingbook_SBV[[#This Row],[Quantity_edited]])*(-Bankingbook_SBV[[#This Row],[Modified Duration]]*0.0001+0.5*Bankingbook_SBV[[#This Row],[Conv]]*(0.0001^2))</f>
        <v>0</v>
      </c>
      <c r="FQ362" s="32">
        <f>(Bankingbook_SBV[[#This Row],[MARKET_VALUE]]+Bankingbook_SBV[[#This Row],[Accr Int]]*Bankingbook_SBV[[#This Row],[Quantity_edited]])*(-Bankingbook_SBV[[#This Row],[Modified Duration]]*0.01+0.5*Bankingbook_SBV[[#This Row],[Conv]]*(0.01^2))</f>
        <v>0</v>
      </c>
    </row>
    <row r="363" spans="2:173" x14ac:dyDescent="0.3">
      <c r="B363" t="s">
        <v>166</v>
      </c>
      <c r="C363" t="s">
        <v>167</v>
      </c>
      <c r="D363" t="s">
        <v>552</v>
      </c>
      <c r="E363" t="s">
        <v>169</v>
      </c>
      <c r="F363" s="502">
        <v>46010</v>
      </c>
      <c r="G363" t="s">
        <v>3322</v>
      </c>
      <c r="H363"/>
      <c r="I363"/>
      <c r="J363" s="38">
        <v>0</v>
      </c>
      <c r="K363">
        <v>0</v>
      </c>
      <c r="L363">
        <v>0</v>
      </c>
      <c r="M363" s="38">
        <v>0</v>
      </c>
      <c r="N363">
        <v>5.5</v>
      </c>
      <c r="O363">
        <v>0</v>
      </c>
      <c r="P363" s="37">
        <v>0</v>
      </c>
      <c r="Q363" s="37">
        <v>0</v>
      </c>
      <c r="R363" s="37">
        <v>2670918.0555496216</v>
      </c>
      <c r="S363">
        <v>5.5</v>
      </c>
      <c r="T363" s="70">
        <v>0</v>
      </c>
      <c r="U363">
        <v>0</v>
      </c>
      <c r="V363">
        <v>0</v>
      </c>
      <c r="W363">
        <v>0</v>
      </c>
      <c r="X363" s="38">
        <v>0</v>
      </c>
      <c r="Y363">
        <v>0</v>
      </c>
      <c r="Z363" s="70">
        <v>-45000000</v>
      </c>
      <c r="AA363" s="70">
        <v>0</v>
      </c>
      <c r="AB363" s="70">
        <v>-45000000</v>
      </c>
      <c r="AC363" s="70">
        <v>-45000000</v>
      </c>
      <c r="AD363" s="70">
        <v>-45000000</v>
      </c>
      <c r="AE363" s="70">
        <v>-45000000</v>
      </c>
      <c r="AF363">
        <v>0</v>
      </c>
      <c r="AG363" s="72">
        <f>Tradingbook_MSB[[#This Row],[Mat. Date]]-RPT</f>
        <v>-242</v>
      </c>
      <c r="AH363" s="71">
        <f>IF(Tradingbook_MSB[[#This Row],[Days]]&lt;=0,0,YEARFRAC(RPT,Tradingbook_MSB[[#This Row],[Mat. Date]],3))</f>
        <v>0</v>
      </c>
      <c r="AI363" s="71">
        <f>IF(Tradingbook_MSB[[#This Row],[Days (year)]]=0,0,INDEX(Ref!$K$2:$K$13,MATCH(Tradingbook_MSB[[#This Row],[Days (year)]],Ref!$I$2:$I$13,1)))</f>
        <v>0</v>
      </c>
      <c r="AJ363" s="120" t="str">
        <f>VLOOKUP(Tradingbook_MSB[[#This Row],[Security Name]],Ref!X:Z,3,0)</f>
        <v>TPCPBL</v>
      </c>
      <c r="AK363" s="120" t="str">
        <f>VLOOKUP(Tradingbook_MSB[[#This Row],[Security Name]],Ref!X:Y,2,0)</f>
        <v>VDB</v>
      </c>
      <c r="AL363" s="71">
        <f>IF((Tradingbook_MSB[[#This Row],[Mat. Date]]-RPT)&lt;=0,0,Tradingbook_MSB[[#This Row],[QUANTITY]])</f>
        <v>0</v>
      </c>
      <c r="AM363" s="71">
        <f>IF(Tradingbook_MSB[[#This Row],[Quantity_edited]]=0,0,Tradingbook_MSB[[#This Row],[DURATION]])</f>
        <v>0</v>
      </c>
      <c r="AN363" s="71">
        <f>IF(Tradingbook_MSB[[#This Row],[Quantity_edited]]=0,0,Tradingbook_MSB[[#This Row],[Mod Dur]])</f>
        <v>0</v>
      </c>
      <c r="AO363" s="71">
        <f>IF(Tradingbook_MSB[[#This Row],[Quantity_edited]]=0,0,Tradingbook_MSB[[#This Row],[Cnvx.]])</f>
        <v>0</v>
      </c>
      <c r="AP363" s="71">
        <f>(Tradingbook_MSB[[#This Row],[MARKET_VALUE]]+Tradingbook_MSB[[#This Row],[Accr Int]]*Tradingbook_MSB[[#This Row],[Quantity_edited]])*(-Tradingbook_MSB[[#This Row],[Modified Duration]]*0.0001+0.5*Tradingbook_MSB[[#This Row],[Conv]]*(0.0001^2))</f>
        <v>0</v>
      </c>
      <c r="AQ363" s="72">
        <f>(Tradingbook_MSB[[#This Row],[MARKET_VALUE]]+Tradingbook_MSB[[#This Row],[Accr Int]]*Tradingbook_MSB[[#This Row],[Quantity_edited]])*(-Tradingbook_MSB[[#This Row],[Modified Duration]]*0.01+0.5*Tradingbook_MSB[[#This Row],[Conv]]*(0.01^2))</f>
        <v>0</v>
      </c>
      <c r="AR363" s="71"/>
      <c r="CL363" t="s">
        <v>166</v>
      </c>
      <c r="CM363" t="s">
        <v>167</v>
      </c>
      <c r="CN363" t="s">
        <v>566</v>
      </c>
      <c r="CO363" t="s">
        <v>169</v>
      </c>
      <c r="CP363" s="35">
        <v>46403</v>
      </c>
      <c r="CQ363" t="s">
        <v>3322</v>
      </c>
      <c r="CR363" t="s">
        <v>4168</v>
      </c>
      <c r="CS363" t="s">
        <v>4169</v>
      </c>
      <c r="CT363" s="49">
        <v>0</v>
      </c>
      <c r="CU363">
        <v>0</v>
      </c>
      <c r="CV363">
        <v>0</v>
      </c>
      <c r="CW363" s="70">
        <v>0</v>
      </c>
      <c r="CX363">
        <v>2.2000000000000002</v>
      </c>
      <c r="CY363">
        <v>1290</v>
      </c>
      <c r="CZ363">
        <v>1100000000</v>
      </c>
      <c r="DA363">
        <v>1276731347.222214</v>
      </c>
      <c r="DB363">
        <v>-1298295187.152729</v>
      </c>
      <c r="DC363">
        <v>3.776153307</v>
      </c>
      <c r="DD363">
        <v>0</v>
      </c>
      <c r="DE363">
        <v>0</v>
      </c>
      <c r="DF363">
        <v>0</v>
      </c>
      <c r="DG363">
        <v>0</v>
      </c>
      <c r="DH363">
        <v>0</v>
      </c>
      <c r="DI363">
        <v>0</v>
      </c>
      <c r="DJ363" s="500">
        <v>-5124500000</v>
      </c>
      <c r="DK363" s="500">
        <v>0</v>
      </c>
      <c r="DL363" s="37">
        <v>-5124500000</v>
      </c>
      <c r="DM363" s="37">
        <v>-5124500000</v>
      </c>
      <c r="DN363" s="37">
        <v>-5124500000</v>
      </c>
      <c r="DO363" s="37">
        <v>-5124500000</v>
      </c>
      <c r="DP363" s="32">
        <f>Tradingbook_SBV[[#This Row],[Mat. Date]]-RPT</f>
        <v>151</v>
      </c>
      <c r="DQ363" s="32">
        <f>IF(Tradingbook_SBV[[#This Row],[Days]]&lt;=0,0,YEARFRAC(RPT,Tradingbook_SBV[[#This Row],[Mat. Date]],3))</f>
        <v>0.41369863013698632</v>
      </c>
      <c r="DR363" s="32" t="str">
        <f>IF(Tradingbook_SBV[[#This Row],[Days (year)]]=0,0,INDEX(Ref!$K$2:$K$13,MATCH(Tradingbook_SBV[[#This Row],[Days (year)]],Ref!$I$2:$I$13,1)))</f>
        <v>6M</v>
      </c>
      <c r="DS363" s="32" t="str">
        <f>VLOOKUP(Tradingbook_SBV[[#This Row],[Security Name]],Ref!X:Z,3,0)</f>
        <v>TPCP</v>
      </c>
      <c r="DT363" s="32" t="str">
        <f>VLOOKUP(Tradingbook_SBV[[#This Row],[Security Name]],Ref!X:Y,2,0)</f>
        <v>KBNN</v>
      </c>
      <c r="DU363" s="71">
        <f>IF((Tradingbook_SBV[[#This Row],[Mat. Date]]-RPT)&lt;=0,0,Tradingbook_SBV[[#This Row],[QUANTITY]])</f>
        <v>0</v>
      </c>
      <c r="DV363" s="71">
        <f>IF(Tradingbook_SBV[[#This Row],[Quantity_edited]]=0,0,Tradingbook_SBV[[#This Row],[DURATION]])</f>
        <v>0</v>
      </c>
      <c r="DW363" s="71">
        <f>IF(Tradingbook_SBV[[#This Row],[Quantity_edited]]=0,0,Tradingbook_SBV[[#This Row],[Mod Dur]])</f>
        <v>0</v>
      </c>
      <c r="DX363" s="71">
        <f>IF(Tradingbook_SBV[[#This Row],[Quantity_edited]]=0,0,Tradingbook_SBV[[#This Row],[Cnvx.]])</f>
        <v>0</v>
      </c>
      <c r="DY363" s="71">
        <f>(Tradingbook_SBV[[#This Row],[MARKET_VALUE]]+Tradingbook_SBV[[#This Row],[Accr Int]]*Tradingbook_SBV[[#This Row],[Quantity_edited]])*(-Tradingbook_SBV[[#This Row],[Modified Duration]]*0.0001+0.5*Tradingbook_SBV[[#This Row],[Conv]]*(0.0001^2))</f>
        <v>0</v>
      </c>
      <c r="DZ363" s="71">
        <f>(Tradingbook_SBV[[#This Row],[MARKET_VALUE]]+Tradingbook_SBV[[#This Row],[Accr Int]]*Tradingbook_SBV[[#This Row],[Quantity_edited]])*(-Tradingbook_SBV[[#This Row],[Modified Duration]]*0.01+0.5*Tradingbook_SBV[[#This Row],[Conv]]*(0.01^2))</f>
        <v>0</v>
      </c>
      <c r="EC363" t="s">
        <v>166</v>
      </c>
      <c r="ED363" t="s">
        <v>3303</v>
      </c>
      <c r="EE363" t="s">
        <v>727</v>
      </c>
      <c r="EF363" t="s">
        <v>169</v>
      </c>
      <c r="EG363" s="35" t="s">
        <v>3482</v>
      </c>
      <c r="EH363" t="s">
        <v>3322</v>
      </c>
      <c r="EI363" s="500">
        <v>109643</v>
      </c>
      <c r="EJ363" s="500">
        <v>109643</v>
      </c>
      <c r="EK363" s="500">
        <v>0</v>
      </c>
      <c r="EL363" s="500">
        <v>0</v>
      </c>
      <c r="EM363" s="500">
        <v>0</v>
      </c>
      <c r="EN363" s="500">
        <v>0</v>
      </c>
      <c r="EO363">
        <v>5.4</v>
      </c>
      <c r="EP363">
        <v>3136</v>
      </c>
      <c r="EQ363">
        <v>54324000000</v>
      </c>
      <c r="ER363">
        <v>63606016484.999908</v>
      </c>
      <c r="ES363">
        <v>-5102954956.4884987</v>
      </c>
      <c r="ET363">
        <v>4.6755032840000004</v>
      </c>
      <c r="EU363">
        <v>12.621498746741601</v>
      </c>
      <c r="EV363">
        <v>13.21161734</v>
      </c>
      <c r="EW363">
        <v>225.38439749715431</v>
      </c>
      <c r="EX363">
        <v>0</v>
      </c>
      <c r="EY363">
        <v>0</v>
      </c>
      <c r="EZ363">
        <v>0</v>
      </c>
      <c r="FA363">
        <v>88243760000</v>
      </c>
      <c r="FB363">
        <v>0</v>
      </c>
      <c r="FC363">
        <v>88243760000</v>
      </c>
      <c r="FD363">
        <v>88243760000</v>
      </c>
      <c r="FE363">
        <v>88243760000</v>
      </c>
      <c r="FF363">
        <v>88243760000</v>
      </c>
      <c r="FG363" s="32">
        <f>Bankingbook_SBV[[#This Row],[Mat. Date]]-RPT</f>
        <v>7823</v>
      </c>
      <c r="FH363" s="32">
        <f>IF(Bankingbook_SBV[[#This Row],[Days]]&lt;=0,0,YEARFRAC(RPT,Bankingbook_SBV[[#This Row],[Mat. Date]],3))</f>
        <v>21.432876712328767</v>
      </c>
      <c r="FI363" s="32" t="str">
        <f>IF(Bankingbook_SBV[[#This Row],[Days (year)]]=0,0,INDEX(Ref!$K$2:$K$13,MATCH(Bankingbook_SBV[[#This Row],[Days (year)]],Ref!$I$2:$I$13,1)))</f>
        <v>30Y</v>
      </c>
      <c r="FJ363" s="32" t="str">
        <f>VLOOKUP(Bankingbook_SBV[[#This Row],[Security Name]],Ref!X:Z,3,0)</f>
        <v>TPCP</v>
      </c>
      <c r="FK363" s="32" t="str">
        <f>VLOOKUP(Bankingbook_SBV[[#This Row],[Security Name]],Ref!X:Y,2,0)</f>
        <v>KBNN</v>
      </c>
      <c r="FL363" s="72">
        <f>IF((Bankingbook_SBV[[#This Row],[Mat. Date]]-RPT)&lt;=0,0,Bankingbook_SBV[[#This Row],[QUANTITY]])</f>
        <v>0</v>
      </c>
      <c r="FM363" s="32">
        <f>IF(Bankingbook_SBV[[#This Row],[Quantity_edited]]=0,0,Bankingbook_SBV[[#This Row],[DURATION]])</f>
        <v>0</v>
      </c>
      <c r="FN363" s="32">
        <f>IF(Bankingbook_SBV[[#This Row],[Quantity_edited]]=0,0,Bankingbook_SBV[[#This Row],[Mod Dur]])</f>
        <v>0</v>
      </c>
      <c r="FO363" s="32">
        <f>IF(Bankingbook_SBV[[#This Row],[Quantity_edited]]=0,0,Bankingbook_SBV[[#This Row],[Cnvx.]])</f>
        <v>0</v>
      </c>
      <c r="FP363" s="32">
        <f>(Bankingbook_SBV[[#This Row],[MARKET_VALUE]]+Bankingbook_SBV[[#This Row],[Accr Int]]*Bankingbook_SBV[[#This Row],[Quantity_edited]])*(-Bankingbook_SBV[[#This Row],[Modified Duration]]*0.0001+0.5*Bankingbook_SBV[[#This Row],[Conv]]*(0.0001^2))</f>
        <v>0</v>
      </c>
      <c r="FQ363" s="32">
        <f>(Bankingbook_SBV[[#This Row],[MARKET_VALUE]]+Bankingbook_SBV[[#This Row],[Accr Int]]*Bankingbook_SBV[[#This Row],[Quantity_edited]])*(-Bankingbook_SBV[[#This Row],[Modified Duration]]*0.01+0.5*Bankingbook_SBV[[#This Row],[Conv]]*(0.01^2))</f>
        <v>0</v>
      </c>
    </row>
    <row r="364" spans="2:173" x14ac:dyDescent="0.3">
      <c r="B364" t="s">
        <v>166</v>
      </c>
      <c r="C364" t="s">
        <v>167</v>
      </c>
      <c r="D364" t="s">
        <v>1174</v>
      </c>
      <c r="E364" t="s">
        <v>169</v>
      </c>
      <c r="F364" s="502">
        <v>46017</v>
      </c>
      <c r="G364" t="s">
        <v>170</v>
      </c>
      <c r="H364"/>
      <c r="I364"/>
      <c r="J364" s="38">
        <v>1000000</v>
      </c>
      <c r="K364">
        <v>100000000000</v>
      </c>
      <c r="L364">
        <v>105355.75</v>
      </c>
      <c r="M364" s="38">
        <v>0</v>
      </c>
      <c r="N364">
        <v>5.5</v>
      </c>
      <c r="O364">
        <v>0</v>
      </c>
      <c r="P364" s="37">
        <v>16500000000</v>
      </c>
      <c r="Q364" s="37">
        <v>17096123611.11112</v>
      </c>
      <c r="R364" s="37">
        <v>-7942093559.7222185</v>
      </c>
      <c r="S364">
        <v>5.5</v>
      </c>
      <c r="T364" s="70">
        <v>0</v>
      </c>
      <c r="U364">
        <v>0</v>
      </c>
      <c r="V364">
        <v>0</v>
      </c>
      <c r="W364">
        <v>0</v>
      </c>
      <c r="X364" s="38">
        <v>0</v>
      </c>
      <c r="Y364">
        <v>0</v>
      </c>
      <c r="Z364" s="70">
        <v>-6927999999.9999857</v>
      </c>
      <c r="AA364" s="70">
        <v>0</v>
      </c>
      <c r="AB364" s="70">
        <v>-6927999999.9999857</v>
      </c>
      <c r="AC364" s="70">
        <v>-6927999999.9999857</v>
      </c>
      <c r="AD364" s="70">
        <v>-6928000000</v>
      </c>
      <c r="AE364" s="70">
        <v>-6927999999.9999857</v>
      </c>
      <c r="AF364">
        <v>3.1941518219999998</v>
      </c>
      <c r="AG364" s="72">
        <f>Tradingbook_MSB[[#This Row],[Mat. Date]]-RPT</f>
        <v>-235</v>
      </c>
      <c r="AH364" s="71">
        <f>IF(Tradingbook_MSB[[#This Row],[Days]]&lt;=0,0,YEARFRAC(RPT,Tradingbook_MSB[[#This Row],[Mat. Date]],3))</f>
        <v>0</v>
      </c>
      <c r="AI364" s="71">
        <f>IF(Tradingbook_MSB[[#This Row],[Days (year)]]=0,0,INDEX(Ref!$K$2:$K$13,MATCH(Tradingbook_MSB[[#This Row],[Days (year)]],Ref!$I$2:$I$13,1)))</f>
        <v>0</v>
      </c>
      <c r="AJ364" s="120" t="str">
        <f>VLOOKUP(Tradingbook_MSB[[#This Row],[Security Name]],Ref!X:Z,3,0)</f>
        <v>TPCPBL</v>
      </c>
      <c r="AK364" s="120" t="str">
        <f>VLOOKUP(Tradingbook_MSB[[#This Row],[Security Name]],Ref!X:Y,2,0)</f>
        <v>VDB</v>
      </c>
      <c r="AL364" s="71">
        <f>IF((Tradingbook_MSB[[#This Row],[Mat. Date]]-RPT)&lt;=0,0,Tradingbook_MSB[[#This Row],[QUANTITY]])</f>
        <v>0</v>
      </c>
      <c r="AM364" s="71">
        <f>IF(Tradingbook_MSB[[#This Row],[Quantity_edited]]=0,0,Tradingbook_MSB[[#This Row],[DURATION]])</f>
        <v>0</v>
      </c>
      <c r="AN364" s="71">
        <f>IF(Tradingbook_MSB[[#This Row],[Quantity_edited]]=0,0,Tradingbook_MSB[[#This Row],[Mod Dur]])</f>
        <v>0</v>
      </c>
      <c r="AO364" s="71">
        <f>IF(Tradingbook_MSB[[#This Row],[Quantity_edited]]=0,0,Tradingbook_MSB[[#This Row],[Cnvx.]])</f>
        <v>0</v>
      </c>
      <c r="AP364" s="71">
        <f>(Tradingbook_MSB[[#This Row],[MARKET_VALUE]]+Tradingbook_MSB[[#This Row],[Accr Int]]*Tradingbook_MSB[[#This Row],[Quantity_edited]])*(-Tradingbook_MSB[[#This Row],[Modified Duration]]*0.0001+0.5*Tradingbook_MSB[[#This Row],[Conv]]*(0.0001^2))</f>
        <v>0</v>
      </c>
      <c r="AQ364" s="72">
        <f>(Tradingbook_MSB[[#This Row],[MARKET_VALUE]]+Tradingbook_MSB[[#This Row],[Accr Int]]*Tradingbook_MSB[[#This Row],[Quantity_edited]])*(-Tradingbook_MSB[[#This Row],[Modified Duration]]*0.01+0.5*Tradingbook_MSB[[#This Row],[Conv]]*(0.01^2))</f>
        <v>0</v>
      </c>
      <c r="AR364" s="71"/>
      <c r="CL364" t="s">
        <v>166</v>
      </c>
      <c r="CM364" t="s">
        <v>167</v>
      </c>
      <c r="CN364" t="s">
        <v>567</v>
      </c>
      <c r="CO364" t="s">
        <v>169</v>
      </c>
      <c r="CP364" s="35">
        <v>46426</v>
      </c>
      <c r="CQ364" t="s">
        <v>3322</v>
      </c>
      <c r="CR364" t="s">
        <v>4170</v>
      </c>
      <c r="CS364" t="s">
        <v>4171</v>
      </c>
      <c r="CT364" s="49">
        <v>0</v>
      </c>
      <c r="CU364">
        <v>0</v>
      </c>
      <c r="CV364">
        <v>0</v>
      </c>
      <c r="CW364" s="70">
        <v>0</v>
      </c>
      <c r="CX364">
        <v>6.7</v>
      </c>
      <c r="CY364">
        <v>3506</v>
      </c>
      <c r="CZ364">
        <v>0</v>
      </c>
      <c r="DA364">
        <v>3.9999999999999998E-6</v>
      </c>
      <c r="DB364">
        <v>-316040947.49996758</v>
      </c>
      <c r="DC364">
        <v>4.2585076449999999</v>
      </c>
      <c r="DD364">
        <v>0</v>
      </c>
      <c r="DE364">
        <v>0</v>
      </c>
      <c r="DF364">
        <v>0</v>
      </c>
      <c r="DG364">
        <v>0</v>
      </c>
      <c r="DH364">
        <v>0</v>
      </c>
      <c r="DI364">
        <v>0</v>
      </c>
      <c r="DJ364" s="500">
        <v>-1869000000</v>
      </c>
      <c r="DK364" s="500">
        <v>0</v>
      </c>
      <c r="DL364" s="37">
        <v>-1869000000</v>
      </c>
      <c r="DM364" s="37">
        <v>-1869000000</v>
      </c>
      <c r="DN364" s="37">
        <v>-1869000000</v>
      </c>
      <c r="DO364" s="37">
        <v>-1869000000</v>
      </c>
      <c r="DP364" s="32">
        <f>Tradingbook_SBV[[#This Row],[Mat. Date]]-RPT</f>
        <v>174</v>
      </c>
      <c r="DQ364" s="32">
        <f>IF(Tradingbook_SBV[[#This Row],[Days]]&lt;=0,0,YEARFRAC(RPT,Tradingbook_SBV[[#This Row],[Mat. Date]],3))</f>
        <v>0.47671232876712327</v>
      </c>
      <c r="DR364" s="32" t="str">
        <f>IF(Tradingbook_SBV[[#This Row],[Days (year)]]=0,0,INDEX(Ref!$K$2:$K$13,MATCH(Tradingbook_SBV[[#This Row],[Days (year)]],Ref!$I$2:$I$13,1)))</f>
        <v>6M</v>
      </c>
      <c r="DS364" s="32" t="str">
        <f>VLOOKUP(Tradingbook_SBV[[#This Row],[Security Name]],Ref!X:Z,3,0)</f>
        <v>TPCPBL</v>
      </c>
      <c r="DT364" s="32" t="str">
        <f>VLOOKUP(Tradingbook_SBV[[#This Row],[Security Name]],Ref!X:Y,2,0)</f>
        <v>VDB</v>
      </c>
      <c r="DU364" s="71">
        <f>IF((Tradingbook_SBV[[#This Row],[Mat. Date]]-RPT)&lt;=0,0,Tradingbook_SBV[[#This Row],[QUANTITY]])</f>
        <v>0</v>
      </c>
      <c r="DV364" s="71">
        <f>IF(Tradingbook_SBV[[#This Row],[Quantity_edited]]=0,0,Tradingbook_SBV[[#This Row],[DURATION]])</f>
        <v>0</v>
      </c>
      <c r="DW364" s="71">
        <f>IF(Tradingbook_SBV[[#This Row],[Quantity_edited]]=0,0,Tradingbook_SBV[[#This Row],[Mod Dur]])</f>
        <v>0</v>
      </c>
      <c r="DX364" s="71">
        <f>IF(Tradingbook_SBV[[#This Row],[Quantity_edited]]=0,0,Tradingbook_SBV[[#This Row],[Cnvx.]])</f>
        <v>0</v>
      </c>
      <c r="DY364" s="71">
        <f>(Tradingbook_SBV[[#This Row],[MARKET_VALUE]]+Tradingbook_SBV[[#This Row],[Accr Int]]*Tradingbook_SBV[[#This Row],[Quantity_edited]])*(-Tradingbook_SBV[[#This Row],[Modified Duration]]*0.0001+0.5*Tradingbook_SBV[[#This Row],[Conv]]*(0.0001^2))</f>
        <v>0</v>
      </c>
      <c r="DZ364" s="71">
        <f>(Tradingbook_SBV[[#This Row],[MARKET_VALUE]]+Tradingbook_SBV[[#This Row],[Accr Int]]*Tradingbook_SBV[[#This Row],[Quantity_edited]])*(-Tradingbook_SBV[[#This Row],[Modified Duration]]*0.01+0.5*Tradingbook_SBV[[#This Row],[Conv]]*(0.01^2))</f>
        <v>0</v>
      </c>
      <c r="EC364" t="s">
        <v>166</v>
      </c>
      <c r="ED364" t="s">
        <v>3303</v>
      </c>
      <c r="EE364" t="s">
        <v>728</v>
      </c>
      <c r="EF364" t="s">
        <v>169</v>
      </c>
      <c r="EG364" s="35" t="s">
        <v>3855</v>
      </c>
      <c r="EH364" t="s">
        <v>3322</v>
      </c>
      <c r="EI364" s="500">
        <v>115288</v>
      </c>
      <c r="EJ364" s="500">
        <v>115288</v>
      </c>
      <c r="EK364" s="500">
        <v>0</v>
      </c>
      <c r="EL364" s="500">
        <v>0</v>
      </c>
      <c r="EM364" s="500">
        <v>0</v>
      </c>
      <c r="EN364" s="500">
        <v>0</v>
      </c>
      <c r="EO364">
        <v>5.8</v>
      </c>
      <c r="EP364">
        <v>3273</v>
      </c>
      <c r="EQ364">
        <v>0</v>
      </c>
      <c r="ER364">
        <v>7.2000000000000002E-5</v>
      </c>
      <c r="ES364">
        <v>-2940416207.4306402</v>
      </c>
      <c r="ET364">
        <v>4.6822935470000004</v>
      </c>
      <c r="EU364">
        <v>12.780787273017101</v>
      </c>
      <c r="EV364">
        <v>13.379221250000001</v>
      </c>
      <c r="EW364">
        <v>234.4919427265404</v>
      </c>
      <c r="EX364">
        <v>0</v>
      </c>
      <c r="EY364">
        <v>0</v>
      </c>
      <c r="EZ364">
        <v>0</v>
      </c>
      <c r="FA364">
        <v>-6111670000</v>
      </c>
      <c r="FB364">
        <v>0</v>
      </c>
      <c r="FC364">
        <v>-6111670000</v>
      </c>
      <c r="FD364">
        <v>-6111670000</v>
      </c>
      <c r="FE364">
        <v>-6111670000</v>
      </c>
      <c r="FF364">
        <v>-6111670000</v>
      </c>
      <c r="FG364" s="32">
        <f>Bankingbook_SBV[[#This Row],[Mat. Date]]-RPT</f>
        <v>8195</v>
      </c>
      <c r="FH364" s="32">
        <f>IF(Bankingbook_SBV[[#This Row],[Days]]&lt;=0,0,YEARFRAC(RPT,Bankingbook_SBV[[#This Row],[Mat. Date]],3))</f>
        <v>22.452054794520549</v>
      </c>
      <c r="FI364" s="32" t="str">
        <f>IF(Bankingbook_SBV[[#This Row],[Days (year)]]=0,0,INDEX(Ref!$K$2:$K$13,MATCH(Bankingbook_SBV[[#This Row],[Days (year)]],Ref!$I$2:$I$13,1)))</f>
        <v>30Y</v>
      </c>
      <c r="FJ364" s="32" t="str">
        <f>VLOOKUP(Bankingbook_SBV[[#This Row],[Security Name]],Ref!X:Z,3,0)</f>
        <v>TPCP</v>
      </c>
      <c r="FK364" s="32" t="str">
        <f>VLOOKUP(Bankingbook_SBV[[#This Row],[Security Name]],Ref!X:Y,2,0)</f>
        <v>KBNN</v>
      </c>
      <c r="FL364" s="72">
        <f>IF((Bankingbook_SBV[[#This Row],[Mat. Date]]-RPT)&lt;=0,0,Bankingbook_SBV[[#This Row],[QUANTITY]])</f>
        <v>0</v>
      </c>
      <c r="FM364" s="32">
        <f>IF(Bankingbook_SBV[[#This Row],[Quantity_edited]]=0,0,Bankingbook_SBV[[#This Row],[DURATION]])</f>
        <v>0</v>
      </c>
      <c r="FN364" s="32">
        <f>IF(Bankingbook_SBV[[#This Row],[Quantity_edited]]=0,0,Bankingbook_SBV[[#This Row],[Mod Dur]])</f>
        <v>0</v>
      </c>
      <c r="FO364" s="32">
        <f>IF(Bankingbook_SBV[[#This Row],[Quantity_edited]]=0,0,Bankingbook_SBV[[#This Row],[Cnvx.]])</f>
        <v>0</v>
      </c>
      <c r="FP364" s="32">
        <f>(Bankingbook_SBV[[#This Row],[MARKET_VALUE]]+Bankingbook_SBV[[#This Row],[Accr Int]]*Bankingbook_SBV[[#This Row],[Quantity_edited]])*(-Bankingbook_SBV[[#This Row],[Modified Duration]]*0.0001+0.5*Bankingbook_SBV[[#This Row],[Conv]]*(0.0001^2))</f>
        <v>0</v>
      </c>
      <c r="FQ364" s="32">
        <f>(Bankingbook_SBV[[#This Row],[MARKET_VALUE]]+Bankingbook_SBV[[#This Row],[Accr Int]]*Bankingbook_SBV[[#This Row],[Quantity_edited]])*(-Bankingbook_SBV[[#This Row],[Modified Duration]]*0.01+0.5*Bankingbook_SBV[[#This Row],[Conv]]*(0.01^2))</f>
        <v>0</v>
      </c>
    </row>
    <row r="365" spans="2:173" x14ac:dyDescent="0.3">
      <c r="B365" t="s">
        <v>166</v>
      </c>
      <c r="C365" t="s">
        <v>167</v>
      </c>
      <c r="D365" t="s">
        <v>554</v>
      </c>
      <c r="E365" t="s">
        <v>169</v>
      </c>
      <c r="F365" s="502">
        <v>46032</v>
      </c>
      <c r="G365" t="s">
        <v>3322</v>
      </c>
      <c r="H365"/>
      <c r="I365"/>
      <c r="J365" s="38">
        <v>0</v>
      </c>
      <c r="K365">
        <v>0</v>
      </c>
      <c r="L365">
        <v>0</v>
      </c>
      <c r="M365" s="38">
        <v>0</v>
      </c>
      <c r="N365">
        <v>4.3</v>
      </c>
      <c r="O365">
        <v>0</v>
      </c>
      <c r="P365" s="37">
        <v>34400000000</v>
      </c>
      <c r="Q365" s="37">
        <v>38930251263.888901</v>
      </c>
      <c r="R365" s="37">
        <v>-6216536780.855197</v>
      </c>
      <c r="S365">
        <v>4.3</v>
      </c>
      <c r="T365" s="70">
        <v>0</v>
      </c>
      <c r="U365">
        <v>0</v>
      </c>
      <c r="V365">
        <v>0</v>
      </c>
      <c r="W365">
        <v>0</v>
      </c>
      <c r="X365" s="38">
        <v>0</v>
      </c>
      <c r="Y365">
        <v>0</v>
      </c>
      <c r="Z365" s="70">
        <v>66641670000</v>
      </c>
      <c r="AA365" s="70">
        <v>0</v>
      </c>
      <c r="AB365" s="70">
        <v>66641670000</v>
      </c>
      <c r="AC365" s="70">
        <v>66641670000</v>
      </c>
      <c r="AD365" s="70">
        <v>66641670000</v>
      </c>
      <c r="AE365" s="70">
        <v>66641670000</v>
      </c>
      <c r="AF365">
        <v>0</v>
      </c>
      <c r="AG365" s="72">
        <f>Tradingbook_MSB[[#This Row],[Mat. Date]]-RPT</f>
        <v>-220</v>
      </c>
      <c r="AH365" s="71">
        <f>IF(Tradingbook_MSB[[#This Row],[Days]]&lt;=0,0,YEARFRAC(RPT,Tradingbook_MSB[[#This Row],[Mat. Date]],3))</f>
        <v>0</v>
      </c>
      <c r="AI365" s="71">
        <f>IF(Tradingbook_MSB[[#This Row],[Days (year)]]=0,0,INDEX(Ref!$K$2:$K$13,MATCH(Tradingbook_MSB[[#This Row],[Days (year)]],Ref!$I$2:$I$13,1)))</f>
        <v>0</v>
      </c>
      <c r="AJ365" s="120" t="str">
        <f>VLOOKUP(Tradingbook_MSB[[#This Row],[Security Name]],Ref!X:Z,3,0)</f>
        <v>TPCP</v>
      </c>
      <c r="AK365" s="120" t="str">
        <f>VLOOKUP(Tradingbook_MSB[[#This Row],[Security Name]],Ref!X:Y,2,0)</f>
        <v>KBNN</v>
      </c>
      <c r="AL365" s="71">
        <f>IF((Tradingbook_MSB[[#This Row],[Mat. Date]]-RPT)&lt;=0,0,Tradingbook_MSB[[#This Row],[QUANTITY]])</f>
        <v>0</v>
      </c>
      <c r="AM365" s="71">
        <f>IF(Tradingbook_MSB[[#This Row],[Quantity_edited]]=0,0,Tradingbook_MSB[[#This Row],[DURATION]])</f>
        <v>0</v>
      </c>
      <c r="AN365" s="71">
        <f>IF(Tradingbook_MSB[[#This Row],[Quantity_edited]]=0,0,Tradingbook_MSB[[#This Row],[Mod Dur]])</f>
        <v>0</v>
      </c>
      <c r="AO365" s="71">
        <f>IF(Tradingbook_MSB[[#This Row],[Quantity_edited]]=0,0,Tradingbook_MSB[[#This Row],[Cnvx.]])</f>
        <v>0</v>
      </c>
      <c r="AP365" s="71">
        <f>(Tradingbook_MSB[[#This Row],[MARKET_VALUE]]+Tradingbook_MSB[[#This Row],[Accr Int]]*Tradingbook_MSB[[#This Row],[Quantity_edited]])*(-Tradingbook_MSB[[#This Row],[Modified Duration]]*0.0001+0.5*Tradingbook_MSB[[#This Row],[Conv]]*(0.0001^2))</f>
        <v>0</v>
      </c>
      <c r="AQ365" s="72">
        <f>(Tradingbook_MSB[[#This Row],[MARKET_VALUE]]+Tradingbook_MSB[[#This Row],[Accr Int]]*Tradingbook_MSB[[#This Row],[Quantity_edited]])*(-Tradingbook_MSB[[#This Row],[Modified Duration]]*0.01+0.5*Tradingbook_MSB[[#This Row],[Conv]]*(0.01^2))</f>
        <v>0</v>
      </c>
      <c r="AR365" s="71"/>
      <c r="CL365" t="s">
        <v>166</v>
      </c>
      <c r="CM365" t="s">
        <v>167</v>
      </c>
      <c r="CN365" t="s">
        <v>568</v>
      </c>
      <c r="CO365" t="s">
        <v>169</v>
      </c>
      <c r="CP365" s="35">
        <v>46432</v>
      </c>
      <c r="CQ365" t="s">
        <v>3322</v>
      </c>
      <c r="CR365" t="s">
        <v>4172</v>
      </c>
      <c r="CS365" t="s">
        <v>4173</v>
      </c>
      <c r="CT365" s="49">
        <v>0</v>
      </c>
      <c r="CU365">
        <v>0</v>
      </c>
      <c r="CV365">
        <v>0</v>
      </c>
      <c r="CW365" s="70">
        <v>0</v>
      </c>
      <c r="CX365">
        <v>6.6</v>
      </c>
      <c r="CY365">
        <v>3345</v>
      </c>
      <c r="CZ365">
        <v>0</v>
      </c>
      <c r="DA365">
        <v>6.0999999999999999E-5</v>
      </c>
      <c r="DB365">
        <v>-1.525879E-5</v>
      </c>
      <c r="DC365">
        <v>4.2532643739999996</v>
      </c>
      <c r="DD365">
        <v>0</v>
      </c>
      <c r="DE365">
        <v>1</v>
      </c>
      <c r="DF365">
        <v>0</v>
      </c>
      <c r="DG365">
        <v>0</v>
      </c>
      <c r="DH365">
        <v>0</v>
      </c>
      <c r="DI365">
        <v>0</v>
      </c>
      <c r="DJ365" s="500">
        <v>0</v>
      </c>
      <c r="DK365" s="500">
        <v>0</v>
      </c>
      <c r="DL365" s="37">
        <v>0</v>
      </c>
      <c r="DM365" s="37">
        <v>0</v>
      </c>
      <c r="DN365" s="37">
        <v>0</v>
      </c>
      <c r="DO365" s="37">
        <v>0</v>
      </c>
      <c r="DP365" s="32">
        <f>Tradingbook_SBV[[#This Row],[Mat. Date]]-RPT</f>
        <v>180</v>
      </c>
      <c r="DQ365" s="32">
        <f>IF(Tradingbook_SBV[[#This Row],[Days]]&lt;=0,0,YEARFRAC(RPT,Tradingbook_SBV[[#This Row],[Mat. Date]],3))</f>
        <v>0.49315068493150682</v>
      </c>
      <c r="DR365" s="32" t="str">
        <f>IF(Tradingbook_SBV[[#This Row],[Days (year)]]=0,0,INDEX(Ref!$K$2:$K$13,MATCH(Tradingbook_SBV[[#This Row],[Days (year)]],Ref!$I$2:$I$13,1)))</f>
        <v>6M</v>
      </c>
      <c r="DS365" s="32" t="str">
        <f>VLOOKUP(Tradingbook_SBV[[#This Row],[Security Name]],Ref!X:Z,3,0)</f>
        <v>TPCPBL</v>
      </c>
      <c r="DT365" s="32" t="str">
        <f>VLOOKUP(Tradingbook_SBV[[#This Row],[Security Name]],Ref!X:Y,2,0)</f>
        <v>VDB</v>
      </c>
      <c r="DU365" s="71">
        <f>IF((Tradingbook_SBV[[#This Row],[Mat. Date]]-RPT)&lt;=0,0,Tradingbook_SBV[[#This Row],[QUANTITY]])</f>
        <v>0</v>
      </c>
      <c r="DV365" s="71">
        <f>IF(Tradingbook_SBV[[#This Row],[Quantity_edited]]=0,0,Tradingbook_SBV[[#This Row],[DURATION]])</f>
        <v>0</v>
      </c>
      <c r="DW365" s="71">
        <f>IF(Tradingbook_SBV[[#This Row],[Quantity_edited]]=0,0,Tradingbook_SBV[[#This Row],[Mod Dur]])</f>
        <v>0</v>
      </c>
      <c r="DX365" s="71">
        <f>IF(Tradingbook_SBV[[#This Row],[Quantity_edited]]=0,0,Tradingbook_SBV[[#This Row],[Cnvx.]])</f>
        <v>0</v>
      </c>
      <c r="DY365" s="71">
        <f>(Tradingbook_SBV[[#This Row],[MARKET_VALUE]]+Tradingbook_SBV[[#This Row],[Accr Int]]*Tradingbook_SBV[[#This Row],[Quantity_edited]])*(-Tradingbook_SBV[[#This Row],[Modified Duration]]*0.0001+0.5*Tradingbook_SBV[[#This Row],[Conv]]*(0.0001^2))</f>
        <v>0</v>
      </c>
      <c r="DZ365" s="71">
        <f>(Tradingbook_SBV[[#This Row],[MARKET_VALUE]]+Tradingbook_SBV[[#This Row],[Accr Int]]*Tradingbook_SBV[[#This Row],[Quantity_edited]])*(-Tradingbook_SBV[[#This Row],[Modified Duration]]*0.01+0.5*Tradingbook_SBV[[#This Row],[Conv]]*(0.01^2))</f>
        <v>0</v>
      </c>
      <c r="EC365" t="s">
        <v>166</v>
      </c>
      <c r="ED365" t="s">
        <v>3303</v>
      </c>
      <c r="EE365" t="s">
        <v>729</v>
      </c>
      <c r="EF365" t="s">
        <v>169</v>
      </c>
      <c r="EG365" s="35" t="s">
        <v>3483</v>
      </c>
      <c r="EH365" t="s">
        <v>3322</v>
      </c>
      <c r="EI365" s="500">
        <v>107139</v>
      </c>
      <c r="EJ365" s="500">
        <v>107139</v>
      </c>
      <c r="EK365" s="500">
        <v>0</v>
      </c>
      <c r="EL365" s="500">
        <v>0</v>
      </c>
      <c r="EM365" s="500">
        <v>0</v>
      </c>
      <c r="EN365" s="500">
        <v>0</v>
      </c>
      <c r="EO365">
        <v>5.2</v>
      </c>
      <c r="EP365">
        <v>4644</v>
      </c>
      <c r="EQ365">
        <v>41600000000</v>
      </c>
      <c r="ER365">
        <v>48175631111.110962</v>
      </c>
      <c r="ES365">
        <v>3808172643.2618575</v>
      </c>
      <c r="ET365">
        <v>4.6867977439999997</v>
      </c>
      <c r="EU365">
        <v>13.080224004397399</v>
      </c>
      <c r="EV365">
        <v>13.693267649999999</v>
      </c>
      <c r="EW365">
        <v>248.39838340353759</v>
      </c>
      <c r="EX365">
        <v>0</v>
      </c>
      <c r="EY365">
        <v>0</v>
      </c>
      <c r="EZ365">
        <v>0</v>
      </c>
      <c r="FA365">
        <v>122501580000</v>
      </c>
      <c r="FB365">
        <v>0</v>
      </c>
      <c r="FC365">
        <v>122501580000</v>
      </c>
      <c r="FD365">
        <v>122501580000</v>
      </c>
      <c r="FE365">
        <v>122501580000</v>
      </c>
      <c r="FF365">
        <v>122501580000</v>
      </c>
      <c r="FG365" s="32">
        <f>Bankingbook_SBV[[#This Row],[Mat. Date]]-RPT</f>
        <v>8440</v>
      </c>
      <c r="FH365" s="32">
        <f>IF(Bankingbook_SBV[[#This Row],[Days]]&lt;=0,0,YEARFRAC(RPT,Bankingbook_SBV[[#This Row],[Mat. Date]],3))</f>
        <v>23.123287671232877</v>
      </c>
      <c r="FI365" s="32" t="str">
        <f>IF(Bankingbook_SBV[[#This Row],[Days (year)]]=0,0,INDEX(Ref!$K$2:$K$13,MATCH(Bankingbook_SBV[[#This Row],[Days (year)]],Ref!$I$2:$I$13,1)))</f>
        <v>30Y</v>
      </c>
      <c r="FJ365" s="32" t="str">
        <f>VLOOKUP(Bankingbook_SBV[[#This Row],[Security Name]],Ref!X:Z,3,0)</f>
        <v>TPCP</v>
      </c>
      <c r="FK365" s="32" t="str">
        <f>VLOOKUP(Bankingbook_SBV[[#This Row],[Security Name]],Ref!X:Y,2,0)</f>
        <v>KBNN</v>
      </c>
      <c r="FL365" s="72">
        <f>IF((Bankingbook_SBV[[#This Row],[Mat. Date]]-RPT)&lt;=0,0,Bankingbook_SBV[[#This Row],[QUANTITY]])</f>
        <v>0</v>
      </c>
      <c r="FM365" s="32">
        <f>IF(Bankingbook_SBV[[#This Row],[Quantity_edited]]=0,0,Bankingbook_SBV[[#This Row],[DURATION]])</f>
        <v>0</v>
      </c>
      <c r="FN365" s="32">
        <f>IF(Bankingbook_SBV[[#This Row],[Quantity_edited]]=0,0,Bankingbook_SBV[[#This Row],[Mod Dur]])</f>
        <v>0</v>
      </c>
      <c r="FO365" s="32">
        <f>IF(Bankingbook_SBV[[#This Row],[Quantity_edited]]=0,0,Bankingbook_SBV[[#This Row],[Cnvx.]])</f>
        <v>0</v>
      </c>
      <c r="FP365" s="32">
        <f>(Bankingbook_SBV[[#This Row],[MARKET_VALUE]]+Bankingbook_SBV[[#This Row],[Accr Int]]*Bankingbook_SBV[[#This Row],[Quantity_edited]])*(-Bankingbook_SBV[[#This Row],[Modified Duration]]*0.0001+0.5*Bankingbook_SBV[[#This Row],[Conv]]*(0.0001^2))</f>
        <v>0</v>
      </c>
      <c r="FQ365" s="32">
        <f>(Bankingbook_SBV[[#This Row],[MARKET_VALUE]]+Bankingbook_SBV[[#This Row],[Accr Int]]*Bankingbook_SBV[[#This Row],[Quantity_edited]])*(-Bankingbook_SBV[[#This Row],[Modified Duration]]*0.01+0.5*Bankingbook_SBV[[#This Row],[Conv]]*(0.01^2))</f>
        <v>0</v>
      </c>
    </row>
    <row r="366" spans="2:173" x14ac:dyDescent="0.3">
      <c r="B366" t="s">
        <v>166</v>
      </c>
      <c r="C366" t="s">
        <v>167</v>
      </c>
      <c r="D366" t="s">
        <v>555</v>
      </c>
      <c r="E366" t="s">
        <v>169</v>
      </c>
      <c r="F366" s="502">
        <v>46050</v>
      </c>
      <c r="G366" t="s">
        <v>3322</v>
      </c>
      <c r="H366"/>
      <c r="I366"/>
      <c r="J366" s="38">
        <v>0</v>
      </c>
      <c r="K366">
        <v>0</v>
      </c>
      <c r="L366">
        <v>0</v>
      </c>
      <c r="M366" s="38">
        <v>0</v>
      </c>
      <c r="N366">
        <v>1</v>
      </c>
      <c r="O366">
        <v>0</v>
      </c>
      <c r="P366" s="37">
        <v>0</v>
      </c>
      <c r="Q366" s="37">
        <v>0</v>
      </c>
      <c r="R366" s="37">
        <v>-167023363.54165459</v>
      </c>
      <c r="S366">
        <v>1</v>
      </c>
      <c r="T366" s="70">
        <v>0</v>
      </c>
      <c r="U366">
        <v>0</v>
      </c>
      <c r="V366">
        <v>0</v>
      </c>
      <c r="W366">
        <v>0</v>
      </c>
      <c r="X366" s="38">
        <v>0</v>
      </c>
      <c r="Y366">
        <v>0</v>
      </c>
      <c r="Z366" s="70">
        <v>-927000000</v>
      </c>
      <c r="AA366" s="70">
        <v>0</v>
      </c>
      <c r="AB366" s="70">
        <v>-927000000</v>
      </c>
      <c r="AC366" s="70">
        <v>-927000000</v>
      </c>
      <c r="AD366" s="70">
        <v>-927000000</v>
      </c>
      <c r="AE366" s="70">
        <v>-927000000</v>
      </c>
      <c r="AF366">
        <v>0</v>
      </c>
      <c r="AG366" s="72">
        <f>Tradingbook_MSB[[#This Row],[Mat. Date]]-RPT</f>
        <v>-202</v>
      </c>
      <c r="AH366" s="71">
        <f>IF(Tradingbook_MSB[[#This Row],[Days]]&lt;=0,0,YEARFRAC(RPT,Tradingbook_MSB[[#This Row],[Mat. Date]],3))</f>
        <v>0</v>
      </c>
      <c r="AI366" s="71">
        <f>IF(Tradingbook_MSB[[#This Row],[Days (year)]]=0,0,INDEX(Ref!$K$2:$K$13,MATCH(Tradingbook_MSB[[#This Row],[Days (year)]],Ref!$I$2:$I$13,1)))</f>
        <v>0</v>
      </c>
      <c r="AJ366" s="120" t="str">
        <f>VLOOKUP(Tradingbook_MSB[[#This Row],[Security Name]],Ref!X:Z,3,0)</f>
        <v>TPCP</v>
      </c>
      <c r="AK366" s="120" t="str">
        <f>VLOOKUP(Tradingbook_MSB[[#This Row],[Security Name]],Ref!X:Y,2,0)</f>
        <v>KBNN</v>
      </c>
      <c r="AL366" s="71">
        <f>IF((Tradingbook_MSB[[#This Row],[Mat. Date]]-RPT)&lt;=0,0,Tradingbook_MSB[[#This Row],[QUANTITY]])</f>
        <v>0</v>
      </c>
      <c r="AM366" s="71">
        <f>IF(Tradingbook_MSB[[#This Row],[Quantity_edited]]=0,0,Tradingbook_MSB[[#This Row],[DURATION]])</f>
        <v>0</v>
      </c>
      <c r="AN366" s="71">
        <f>IF(Tradingbook_MSB[[#This Row],[Quantity_edited]]=0,0,Tradingbook_MSB[[#This Row],[Mod Dur]])</f>
        <v>0</v>
      </c>
      <c r="AO366" s="71">
        <f>IF(Tradingbook_MSB[[#This Row],[Quantity_edited]]=0,0,Tradingbook_MSB[[#This Row],[Cnvx.]])</f>
        <v>0</v>
      </c>
      <c r="AP366" s="71">
        <f>(Tradingbook_MSB[[#This Row],[MARKET_VALUE]]+Tradingbook_MSB[[#This Row],[Accr Int]]*Tradingbook_MSB[[#This Row],[Quantity_edited]])*(-Tradingbook_MSB[[#This Row],[Modified Duration]]*0.0001+0.5*Tradingbook_MSB[[#This Row],[Conv]]*(0.0001^2))</f>
        <v>0</v>
      </c>
      <c r="AQ366" s="72">
        <f>(Tradingbook_MSB[[#This Row],[MARKET_VALUE]]+Tradingbook_MSB[[#This Row],[Accr Int]]*Tradingbook_MSB[[#This Row],[Quantity_edited]])*(-Tradingbook_MSB[[#This Row],[Modified Duration]]*0.01+0.5*Tradingbook_MSB[[#This Row],[Conv]]*(0.01^2))</f>
        <v>0</v>
      </c>
      <c r="AR366" s="71"/>
      <c r="CL366" t="s">
        <v>166</v>
      </c>
      <c r="CM366" t="s">
        <v>167</v>
      </c>
      <c r="CN366" t="s">
        <v>569</v>
      </c>
      <c r="CO366" t="s">
        <v>169</v>
      </c>
      <c r="CP366" s="35">
        <v>46434</v>
      </c>
      <c r="CQ366" t="s">
        <v>3322</v>
      </c>
      <c r="CR366" t="s">
        <v>4174</v>
      </c>
      <c r="CS366" t="s">
        <v>4175</v>
      </c>
      <c r="CT366" s="49">
        <v>0</v>
      </c>
      <c r="CU366">
        <v>0</v>
      </c>
      <c r="CV366">
        <v>0</v>
      </c>
      <c r="CW366" s="70">
        <v>0</v>
      </c>
      <c r="CX366">
        <v>6</v>
      </c>
      <c r="CY366">
        <v>3008</v>
      </c>
      <c r="CZ366">
        <v>15000000000</v>
      </c>
      <c r="DA366">
        <v>17857299999.999977</v>
      </c>
      <c r="DB366">
        <v>-5254936317.0833025</v>
      </c>
      <c r="DC366">
        <v>3.752604732</v>
      </c>
      <c r="DD366">
        <v>0</v>
      </c>
      <c r="DE366">
        <v>1</v>
      </c>
      <c r="DF366">
        <v>0</v>
      </c>
      <c r="DG366">
        <v>0</v>
      </c>
      <c r="DH366">
        <v>0</v>
      </c>
      <c r="DI366">
        <v>0</v>
      </c>
      <c r="DJ366" s="500">
        <v>-7000500000</v>
      </c>
      <c r="DK366" s="500">
        <v>0</v>
      </c>
      <c r="DL366" s="37">
        <v>-7000500000</v>
      </c>
      <c r="DM366" s="37">
        <v>-7000500000</v>
      </c>
      <c r="DN366" s="37">
        <v>-7000500000</v>
      </c>
      <c r="DO366" s="37">
        <v>-7000500000</v>
      </c>
      <c r="DP366" s="32">
        <f>Tradingbook_SBV[[#This Row],[Mat. Date]]-RPT</f>
        <v>182</v>
      </c>
      <c r="DQ366" s="32">
        <f>IF(Tradingbook_SBV[[#This Row],[Days]]&lt;=0,0,YEARFRAC(RPT,Tradingbook_SBV[[#This Row],[Mat. Date]],3))</f>
        <v>0.49863013698630138</v>
      </c>
      <c r="DR366" s="32" t="str">
        <f>IF(Tradingbook_SBV[[#This Row],[Days (year)]]=0,0,INDEX(Ref!$K$2:$K$13,MATCH(Tradingbook_SBV[[#This Row],[Days (year)]],Ref!$I$2:$I$13,1)))</f>
        <v>6M</v>
      </c>
      <c r="DS366" s="32" t="str">
        <f>VLOOKUP(Tradingbook_SBV[[#This Row],[Security Name]],Ref!X:Z,3,0)</f>
        <v>TPCP</v>
      </c>
      <c r="DT366" s="32" t="str">
        <f>VLOOKUP(Tradingbook_SBV[[#This Row],[Security Name]],Ref!X:Y,2,0)</f>
        <v>KBNN</v>
      </c>
      <c r="DU366" s="71">
        <f>IF((Tradingbook_SBV[[#This Row],[Mat. Date]]-RPT)&lt;=0,0,Tradingbook_SBV[[#This Row],[QUANTITY]])</f>
        <v>0</v>
      </c>
      <c r="DV366" s="71">
        <f>IF(Tradingbook_SBV[[#This Row],[Quantity_edited]]=0,0,Tradingbook_SBV[[#This Row],[DURATION]])</f>
        <v>0</v>
      </c>
      <c r="DW366" s="71">
        <f>IF(Tradingbook_SBV[[#This Row],[Quantity_edited]]=0,0,Tradingbook_SBV[[#This Row],[Mod Dur]])</f>
        <v>0</v>
      </c>
      <c r="DX366" s="71">
        <f>IF(Tradingbook_SBV[[#This Row],[Quantity_edited]]=0,0,Tradingbook_SBV[[#This Row],[Cnvx.]])</f>
        <v>0</v>
      </c>
      <c r="DY366" s="71">
        <f>(Tradingbook_SBV[[#This Row],[MARKET_VALUE]]+Tradingbook_SBV[[#This Row],[Accr Int]]*Tradingbook_SBV[[#This Row],[Quantity_edited]])*(-Tradingbook_SBV[[#This Row],[Modified Duration]]*0.0001+0.5*Tradingbook_SBV[[#This Row],[Conv]]*(0.0001^2))</f>
        <v>0</v>
      </c>
      <c r="DZ366" s="71">
        <f>(Tradingbook_SBV[[#This Row],[MARKET_VALUE]]+Tradingbook_SBV[[#This Row],[Accr Int]]*Tradingbook_SBV[[#This Row],[Quantity_edited]])*(-Tradingbook_SBV[[#This Row],[Modified Duration]]*0.01+0.5*Tradingbook_SBV[[#This Row],[Conv]]*(0.01^2))</f>
        <v>0</v>
      </c>
      <c r="EC366" t="s">
        <v>166</v>
      </c>
      <c r="ED366" t="s">
        <v>3303</v>
      </c>
      <c r="EE366" t="s">
        <v>730</v>
      </c>
      <c r="EF366" t="s">
        <v>169</v>
      </c>
      <c r="EG366" s="35" t="s">
        <v>3856</v>
      </c>
      <c r="EH366" t="s">
        <v>3322</v>
      </c>
      <c r="EI366" s="500">
        <v>87506</v>
      </c>
      <c r="EJ366" s="500">
        <v>87506</v>
      </c>
      <c r="EK366" s="500">
        <v>0</v>
      </c>
      <c r="EL366" s="500">
        <v>0</v>
      </c>
      <c r="EM366" s="500">
        <v>0</v>
      </c>
      <c r="EN366" s="500">
        <v>0</v>
      </c>
      <c r="EO366">
        <v>3.8</v>
      </c>
      <c r="EP366">
        <v>2228</v>
      </c>
      <c r="EQ366">
        <v>17100000000</v>
      </c>
      <c r="ER366">
        <v>19801400999.999962</v>
      </c>
      <c r="ES366">
        <v>-48353914907.793922</v>
      </c>
      <c r="ET366">
        <v>4.6888325450000004</v>
      </c>
      <c r="EU366">
        <v>14.2946364333944</v>
      </c>
      <c r="EV366">
        <v>14.964888</v>
      </c>
      <c r="EW366">
        <v>283.59915308009471</v>
      </c>
      <c r="EX366">
        <v>0</v>
      </c>
      <c r="EY366">
        <v>0</v>
      </c>
      <c r="EZ366">
        <v>0</v>
      </c>
      <c r="FA366">
        <v>-28846037614.878906</v>
      </c>
      <c r="FB366">
        <v>0</v>
      </c>
      <c r="FC366">
        <v>-28846037614.878906</v>
      </c>
      <c r="FD366">
        <v>-28846037614.878906</v>
      </c>
      <c r="FE366">
        <v>-28846037614.879002</v>
      </c>
      <c r="FF366">
        <v>-28846037614.878906</v>
      </c>
      <c r="FG366" s="32">
        <f>Bankingbook_SBV[[#This Row],[Mat. Date]]-RPT</f>
        <v>8552</v>
      </c>
      <c r="FH366" s="32">
        <f>IF(Bankingbook_SBV[[#This Row],[Days]]&lt;=0,0,YEARFRAC(RPT,Bankingbook_SBV[[#This Row],[Mat. Date]],3))</f>
        <v>23.43013698630137</v>
      </c>
      <c r="FI366" s="32" t="str">
        <f>IF(Bankingbook_SBV[[#This Row],[Days (year)]]=0,0,INDEX(Ref!$K$2:$K$13,MATCH(Bankingbook_SBV[[#This Row],[Days (year)]],Ref!$I$2:$I$13,1)))</f>
        <v>30Y</v>
      </c>
      <c r="FJ366" s="32" t="str">
        <f>VLOOKUP(Bankingbook_SBV[[#This Row],[Security Name]],Ref!X:Z,3,0)</f>
        <v>TPCP</v>
      </c>
      <c r="FK366" s="32" t="str">
        <f>VLOOKUP(Bankingbook_SBV[[#This Row],[Security Name]],Ref!X:Y,2,0)</f>
        <v>KBNN</v>
      </c>
      <c r="FL366" s="72">
        <f>IF((Bankingbook_SBV[[#This Row],[Mat. Date]]-RPT)&lt;=0,0,Bankingbook_SBV[[#This Row],[QUANTITY]])</f>
        <v>0</v>
      </c>
      <c r="FM366" s="32">
        <f>IF(Bankingbook_SBV[[#This Row],[Quantity_edited]]=0,0,Bankingbook_SBV[[#This Row],[DURATION]])</f>
        <v>0</v>
      </c>
      <c r="FN366" s="32">
        <f>IF(Bankingbook_SBV[[#This Row],[Quantity_edited]]=0,0,Bankingbook_SBV[[#This Row],[Mod Dur]])</f>
        <v>0</v>
      </c>
      <c r="FO366" s="32">
        <f>IF(Bankingbook_SBV[[#This Row],[Quantity_edited]]=0,0,Bankingbook_SBV[[#This Row],[Cnvx.]])</f>
        <v>0</v>
      </c>
      <c r="FP366" s="32">
        <f>(Bankingbook_SBV[[#This Row],[MARKET_VALUE]]+Bankingbook_SBV[[#This Row],[Accr Int]]*Bankingbook_SBV[[#This Row],[Quantity_edited]])*(-Bankingbook_SBV[[#This Row],[Modified Duration]]*0.0001+0.5*Bankingbook_SBV[[#This Row],[Conv]]*(0.0001^2))</f>
        <v>0</v>
      </c>
      <c r="FQ366" s="32">
        <f>(Bankingbook_SBV[[#This Row],[MARKET_VALUE]]+Bankingbook_SBV[[#This Row],[Accr Int]]*Bankingbook_SBV[[#This Row],[Quantity_edited]])*(-Bankingbook_SBV[[#This Row],[Modified Duration]]*0.01+0.5*Bankingbook_SBV[[#This Row],[Conv]]*(0.01^2))</f>
        <v>0</v>
      </c>
    </row>
    <row r="367" spans="2:173" x14ac:dyDescent="0.3">
      <c r="B367" t="s">
        <v>166</v>
      </c>
      <c r="C367" t="s">
        <v>167</v>
      </c>
      <c r="D367" t="s">
        <v>556</v>
      </c>
      <c r="E367" t="s">
        <v>169</v>
      </c>
      <c r="F367" s="502">
        <v>46084</v>
      </c>
      <c r="G367" t="s">
        <v>3322</v>
      </c>
      <c r="H367"/>
      <c r="I367"/>
      <c r="J367" s="38">
        <v>0</v>
      </c>
      <c r="K367">
        <v>0</v>
      </c>
      <c r="L367">
        <v>0</v>
      </c>
      <c r="M367" s="38">
        <v>0</v>
      </c>
      <c r="N367">
        <v>6.9</v>
      </c>
      <c r="O367">
        <v>0</v>
      </c>
      <c r="P367" s="37">
        <v>172500000000</v>
      </c>
      <c r="Q367" s="37">
        <v>200085119958.3335</v>
      </c>
      <c r="R367" s="37">
        <v>-27476381375.499992</v>
      </c>
      <c r="S367">
        <v>6.9</v>
      </c>
      <c r="T367" s="70">
        <v>0</v>
      </c>
      <c r="U367">
        <v>0</v>
      </c>
      <c r="V367">
        <v>0</v>
      </c>
      <c r="W367">
        <v>0</v>
      </c>
      <c r="X367" s="38">
        <v>0</v>
      </c>
      <c r="Y367">
        <v>0</v>
      </c>
      <c r="Z367" s="70">
        <v>152738440000</v>
      </c>
      <c r="AA367" s="70">
        <v>0</v>
      </c>
      <c r="AB367" s="70">
        <v>152738440000</v>
      </c>
      <c r="AC367" s="70">
        <v>152738440000</v>
      </c>
      <c r="AD367" s="70">
        <v>152738440000</v>
      </c>
      <c r="AE367" s="70">
        <v>152738440000</v>
      </c>
      <c r="AF367">
        <v>0</v>
      </c>
      <c r="AG367" s="72">
        <f>Tradingbook_MSB[[#This Row],[Mat. Date]]-RPT</f>
        <v>-168</v>
      </c>
      <c r="AH367" s="71">
        <f>IF(Tradingbook_MSB[[#This Row],[Days]]&lt;=0,0,YEARFRAC(RPT,Tradingbook_MSB[[#This Row],[Mat. Date]],3))</f>
        <v>0</v>
      </c>
      <c r="AI367" s="71">
        <f>IF(Tradingbook_MSB[[#This Row],[Days (year)]]=0,0,INDEX(Ref!$K$2:$K$13,MATCH(Tradingbook_MSB[[#This Row],[Days (year)]],Ref!$I$2:$I$13,1)))</f>
        <v>0</v>
      </c>
      <c r="AJ367" s="120" t="str">
        <f>VLOOKUP(Tradingbook_MSB[[#This Row],[Security Name]],Ref!X:Z,3,0)</f>
        <v>TPCP</v>
      </c>
      <c r="AK367" s="120" t="str">
        <f>VLOOKUP(Tradingbook_MSB[[#This Row],[Security Name]],Ref!X:Y,2,0)</f>
        <v>KBNN</v>
      </c>
      <c r="AL367" s="71">
        <f>IF((Tradingbook_MSB[[#This Row],[Mat. Date]]-RPT)&lt;=0,0,Tradingbook_MSB[[#This Row],[QUANTITY]])</f>
        <v>0</v>
      </c>
      <c r="AM367" s="71">
        <f>IF(Tradingbook_MSB[[#This Row],[Quantity_edited]]=0,0,Tradingbook_MSB[[#This Row],[DURATION]])</f>
        <v>0</v>
      </c>
      <c r="AN367" s="71">
        <f>IF(Tradingbook_MSB[[#This Row],[Quantity_edited]]=0,0,Tradingbook_MSB[[#This Row],[Mod Dur]])</f>
        <v>0</v>
      </c>
      <c r="AO367" s="71">
        <f>IF(Tradingbook_MSB[[#This Row],[Quantity_edited]]=0,0,Tradingbook_MSB[[#This Row],[Cnvx.]])</f>
        <v>0</v>
      </c>
      <c r="AP367" s="71">
        <f>(Tradingbook_MSB[[#This Row],[MARKET_VALUE]]+Tradingbook_MSB[[#This Row],[Accr Int]]*Tradingbook_MSB[[#This Row],[Quantity_edited]])*(-Tradingbook_MSB[[#This Row],[Modified Duration]]*0.0001+0.5*Tradingbook_MSB[[#This Row],[Conv]]*(0.0001^2))</f>
        <v>0</v>
      </c>
      <c r="AQ367" s="72">
        <f>(Tradingbook_MSB[[#This Row],[MARKET_VALUE]]+Tradingbook_MSB[[#This Row],[Accr Int]]*Tradingbook_MSB[[#This Row],[Quantity_edited]])*(-Tradingbook_MSB[[#This Row],[Modified Duration]]*0.01+0.5*Tradingbook_MSB[[#This Row],[Conv]]*(0.01^2))</f>
        <v>0</v>
      </c>
      <c r="AR367" s="71"/>
      <c r="CL367" t="s">
        <v>166</v>
      </c>
      <c r="CM367" t="s">
        <v>167</v>
      </c>
      <c r="CN367" t="s">
        <v>570</v>
      </c>
      <c r="CO367" t="s">
        <v>169</v>
      </c>
      <c r="CP367" s="35">
        <v>46453</v>
      </c>
      <c r="CQ367" t="s">
        <v>3322</v>
      </c>
      <c r="CR367" t="s">
        <v>4176</v>
      </c>
      <c r="CS367" t="s">
        <v>4177</v>
      </c>
      <c r="CT367" s="49">
        <v>0</v>
      </c>
      <c r="CU367">
        <v>0</v>
      </c>
      <c r="CV367">
        <v>0</v>
      </c>
      <c r="CW367" s="70">
        <v>0</v>
      </c>
      <c r="CX367">
        <v>6.5</v>
      </c>
      <c r="CY367">
        <v>2921</v>
      </c>
      <c r="CZ367">
        <v>0</v>
      </c>
      <c r="DA367">
        <v>3.9999999999999998E-6</v>
      </c>
      <c r="DB367">
        <v>-80356732.083332062</v>
      </c>
      <c r="DC367">
        <v>4.2633302249999998</v>
      </c>
      <c r="DD367">
        <v>1</v>
      </c>
      <c r="DE367">
        <v>1</v>
      </c>
      <c r="DF367">
        <v>1</v>
      </c>
      <c r="DG367">
        <v>0</v>
      </c>
      <c r="DH367">
        <v>0</v>
      </c>
      <c r="DI367">
        <v>0</v>
      </c>
      <c r="DJ367" s="500">
        <v>-28000000</v>
      </c>
      <c r="DK367" s="500">
        <v>0</v>
      </c>
      <c r="DL367" s="37">
        <v>-28000000</v>
      </c>
      <c r="DM367" s="37">
        <v>-28000000</v>
      </c>
      <c r="DN367" s="37">
        <v>-28000000</v>
      </c>
      <c r="DO367" s="37">
        <v>-28000000</v>
      </c>
      <c r="DP367" s="32">
        <f>Tradingbook_SBV[[#This Row],[Mat. Date]]-RPT</f>
        <v>201</v>
      </c>
      <c r="DQ367" s="32">
        <f>IF(Tradingbook_SBV[[#This Row],[Days]]&lt;=0,0,YEARFRAC(RPT,Tradingbook_SBV[[#This Row],[Mat. Date]],3))</f>
        <v>0.55068493150684927</v>
      </c>
      <c r="DR367" s="32" t="str">
        <f>IF(Tradingbook_SBV[[#This Row],[Days (year)]]=0,0,INDEX(Ref!$K$2:$K$13,MATCH(Tradingbook_SBV[[#This Row],[Days (year)]],Ref!$I$2:$I$13,1)))</f>
        <v>6M</v>
      </c>
      <c r="DS367" s="32" t="str">
        <f>VLOOKUP(Tradingbook_SBV[[#This Row],[Security Name]],Ref!X:Z,3,0)</f>
        <v>TPCPBL</v>
      </c>
      <c r="DT367" s="32" t="str">
        <f>VLOOKUP(Tradingbook_SBV[[#This Row],[Security Name]],Ref!X:Y,2,0)</f>
        <v>VBS</v>
      </c>
      <c r="DU367" s="71">
        <f>IF((Tradingbook_SBV[[#This Row],[Mat. Date]]-RPT)&lt;=0,0,Tradingbook_SBV[[#This Row],[QUANTITY]])</f>
        <v>0</v>
      </c>
      <c r="DV367" s="71">
        <f>IF(Tradingbook_SBV[[#This Row],[Quantity_edited]]=0,0,Tradingbook_SBV[[#This Row],[DURATION]])</f>
        <v>0</v>
      </c>
      <c r="DW367" s="71">
        <f>IF(Tradingbook_SBV[[#This Row],[Quantity_edited]]=0,0,Tradingbook_SBV[[#This Row],[Mod Dur]])</f>
        <v>0</v>
      </c>
      <c r="DX367" s="71">
        <f>IF(Tradingbook_SBV[[#This Row],[Quantity_edited]]=0,0,Tradingbook_SBV[[#This Row],[Cnvx.]])</f>
        <v>0</v>
      </c>
      <c r="DY367" s="71">
        <f>(Tradingbook_SBV[[#This Row],[MARKET_VALUE]]+Tradingbook_SBV[[#This Row],[Accr Int]]*Tradingbook_SBV[[#This Row],[Quantity_edited]])*(-Tradingbook_SBV[[#This Row],[Modified Duration]]*0.0001+0.5*Tradingbook_SBV[[#This Row],[Conv]]*(0.0001^2))</f>
        <v>0</v>
      </c>
      <c r="DZ367" s="71">
        <f>(Tradingbook_SBV[[#This Row],[MARKET_VALUE]]+Tradingbook_SBV[[#This Row],[Accr Int]]*Tradingbook_SBV[[#This Row],[Quantity_edited]])*(-Tradingbook_SBV[[#This Row],[Modified Duration]]*0.01+0.5*Tradingbook_SBV[[#This Row],[Conv]]*(0.01^2))</f>
        <v>0</v>
      </c>
      <c r="EC367" t="s">
        <v>166</v>
      </c>
      <c r="ED367" t="s">
        <v>3303</v>
      </c>
      <c r="EE367" t="s">
        <v>731</v>
      </c>
      <c r="EF367" t="s">
        <v>169</v>
      </c>
      <c r="EG367" s="35" t="s">
        <v>3857</v>
      </c>
      <c r="EH367" t="s">
        <v>3322</v>
      </c>
      <c r="EI367" s="500">
        <v>78672</v>
      </c>
      <c r="EJ367" s="500">
        <v>78672</v>
      </c>
      <c r="EK367" s="500">
        <v>0</v>
      </c>
      <c r="EL367" s="500">
        <v>0</v>
      </c>
      <c r="EM367" s="500">
        <v>0</v>
      </c>
      <c r="EN367" s="500">
        <v>0</v>
      </c>
      <c r="EO367">
        <v>3.2</v>
      </c>
      <c r="EP367">
        <v>2692</v>
      </c>
      <c r="EQ367">
        <v>0</v>
      </c>
      <c r="ER367">
        <v>7.6000000000000004E-5</v>
      </c>
      <c r="ES367">
        <v>-44249695784.931854</v>
      </c>
      <c r="ET367">
        <v>4.693814991</v>
      </c>
      <c r="EU367">
        <v>14.9399224627045</v>
      </c>
      <c r="EV367">
        <v>15.64117478</v>
      </c>
      <c r="EW367">
        <v>309.10034361705272</v>
      </c>
      <c r="EX367">
        <v>0</v>
      </c>
      <c r="EY367">
        <v>0</v>
      </c>
      <c r="EZ367">
        <v>0</v>
      </c>
      <c r="FA367">
        <v>4637790000</v>
      </c>
      <c r="FB367">
        <v>0</v>
      </c>
      <c r="FC367">
        <v>4637790000</v>
      </c>
      <c r="FD367">
        <v>4637790000</v>
      </c>
      <c r="FE367">
        <v>4637790000</v>
      </c>
      <c r="FF367">
        <v>4637790000</v>
      </c>
      <c r="FG367" s="32">
        <f>Bankingbook_SBV[[#This Row],[Mat. Date]]-RPT</f>
        <v>8824</v>
      </c>
      <c r="FH367" s="32">
        <f>IF(Bankingbook_SBV[[#This Row],[Days]]&lt;=0,0,YEARFRAC(RPT,Bankingbook_SBV[[#This Row],[Mat. Date]],3))</f>
        <v>24.175342465753424</v>
      </c>
      <c r="FI367" s="32" t="str">
        <f>IF(Bankingbook_SBV[[#This Row],[Days (year)]]=0,0,INDEX(Ref!$K$2:$K$13,MATCH(Bankingbook_SBV[[#This Row],[Days (year)]],Ref!$I$2:$I$13,1)))</f>
        <v>30Y</v>
      </c>
      <c r="FJ367" s="32" t="str">
        <f>VLOOKUP(Bankingbook_SBV[[#This Row],[Security Name]],Ref!X:Z,3,0)</f>
        <v>TPCP</v>
      </c>
      <c r="FK367" s="32" t="str">
        <f>VLOOKUP(Bankingbook_SBV[[#This Row],[Security Name]],Ref!X:Y,2,0)</f>
        <v>KBNN</v>
      </c>
      <c r="FL367" s="72">
        <f>IF((Bankingbook_SBV[[#This Row],[Mat. Date]]-RPT)&lt;=0,0,Bankingbook_SBV[[#This Row],[QUANTITY]])</f>
        <v>0</v>
      </c>
      <c r="FM367" s="32">
        <f>IF(Bankingbook_SBV[[#This Row],[Quantity_edited]]=0,0,Bankingbook_SBV[[#This Row],[DURATION]])</f>
        <v>0</v>
      </c>
      <c r="FN367" s="32">
        <f>IF(Bankingbook_SBV[[#This Row],[Quantity_edited]]=0,0,Bankingbook_SBV[[#This Row],[Mod Dur]])</f>
        <v>0</v>
      </c>
      <c r="FO367" s="32">
        <f>IF(Bankingbook_SBV[[#This Row],[Quantity_edited]]=0,0,Bankingbook_SBV[[#This Row],[Cnvx.]])</f>
        <v>0</v>
      </c>
      <c r="FP367" s="32">
        <f>(Bankingbook_SBV[[#This Row],[MARKET_VALUE]]+Bankingbook_SBV[[#This Row],[Accr Int]]*Bankingbook_SBV[[#This Row],[Quantity_edited]])*(-Bankingbook_SBV[[#This Row],[Modified Duration]]*0.0001+0.5*Bankingbook_SBV[[#This Row],[Conv]]*(0.0001^2))</f>
        <v>0</v>
      </c>
      <c r="FQ367" s="32">
        <f>(Bankingbook_SBV[[#This Row],[MARKET_VALUE]]+Bankingbook_SBV[[#This Row],[Accr Int]]*Bankingbook_SBV[[#This Row],[Quantity_edited]])*(-Bankingbook_SBV[[#This Row],[Modified Duration]]*0.01+0.5*Bankingbook_SBV[[#This Row],[Conv]]*(0.01^2))</f>
        <v>0</v>
      </c>
    </row>
    <row r="368" spans="2:173" x14ac:dyDescent="0.3">
      <c r="B368" t="s">
        <v>166</v>
      </c>
      <c r="C368" t="s">
        <v>167</v>
      </c>
      <c r="D368" t="s">
        <v>557</v>
      </c>
      <c r="E368" t="s">
        <v>169</v>
      </c>
      <c r="F368" s="502">
        <v>46135</v>
      </c>
      <c r="G368" t="s">
        <v>3322</v>
      </c>
      <c r="H368"/>
      <c r="I368"/>
      <c r="J368" s="38">
        <v>0</v>
      </c>
      <c r="K368">
        <v>0</v>
      </c>
      <c r="L368">
        <v>0</v>
      </c>
      <c r="M368" s="38">
        <v>0</v>
      </c>
      <c r="N368">
        <v>1.1000000000000001</v>
      </c>
      <c r="O368">
        <v>0</v>
      </c>
      <c r="P368" s="37">
        <v>0</v>
      </c>
      <c r="Q368" s="37">
        <v>-1.0000000000000001E-5</v>
      </c>
      <c r="R368" s="37">
        <v>-342040183.64717293</v>
      </c>
      <c r="S368">
        <v>1.1000000000000001</v>
      </c>
      <c r="T368" s="70">
        <v>0</v>
      </c>
      <c r="U368">
        <v>0</v>
      </c>
      <c r="V368">
        <v>0</v>
      </c>
      <c r="W368">
        <v>0</v>
      </c>
      <c r="X368" s="38">
        <v>0</v>
      </c>
      <c r="Y368">
        <v>0</v>
      </c>
      <c r="Z368" s="70">
        <v>608240000</v>
      </c>
      <c r="AA368" s="70">
        <v>0</v>
      </c>
      <c r="AB368" s="70">
        <v>608240000</v>
      </c>
      <c r="AC368" s="70">
        <v>608240000</v>
      </c>
      <c r="AD368" s="70">
        <v>608240000</v>
      </c>
      <c r="AE368" s="70">
        <v>608240000</v>
      </c>
      <c r="AF368">
        <v>0</v>
      </c>
      <c r="AG368" s="72">
        <f>Tradingbook_MSB[[#This Row],[Mat. Date]]-RPT</f>
        <v>-117</v>
      </c>
      <c r="AH368" s="71">
        <f>IF(Tradingbook_MSB[[#This Row],[Days]]&lt;=0,0,YEARFRAC(RPT,Tradingbook_MSB[[#This Row],[Mat. Date]],3))</f>
        <v>0</v>
      </c>
      <c r="AI368" s="71">
        <f>IF(Tradingbook_MSB[[#This Row],[Days (year)]]=0,0,INDEX(Ref!$K$2:$K$13,MATCH(Tradingbook_MSB[[#This Row],[Days (year)]],Ref!$I$2:$I$13,1)))</f>
        <v>0</v>
      </c>
      <c r="AJ368" s="120" t="str">
        <f>VLOOKUP(Tradingbook_MSB[[#This Row],[Security Name]],Ref!X:Z,3,0)</f>
        <v>TPCP</v>
      </c>
      <c r="AK368" s="120" t="str">
        <f>VLOOKUP(Tradingbook_MSB[[#This Row],[Security Name]],Ref!X:Y,2,0)</f>
        <v>KBNN</v>
      </c>
      <c r="AL368" s="71">
        <f>IF((Tradingbook_MSB[[#This Row],[Mat. Date]]-RPT)&lt;=0,0,Tradingbook_MSB[[#This Row],[QUANTITY]])</f>
        <v>0</v>
      </c>
      <c r="AM368" s="71">
        <f>IF(Tradingbook_MSB[[#This Row],[Quantity_edited]]=0,0,Tradingbook_MSB[[#This Row],[DURATION]])</f>
        <v>0</v>
      </c>
      <c r="AN368" s="71">
        <f>IF(Tradingbook_MSB[[#This Row],[Quantity_edited]]=0,0,Tradingbook_MSB[[#This Row],[Mod Dur]])</f>
        <v>0</v>
      </c>
      <c r="AO368" s="71">
        <f>IF(Tradingbook_MSB[[#This Row],[Quantity_edited]]=0,0,Tradingbook_MSB[[#This Row],[Cnvx.]])</f>
        <v>0</v>
      </c>
      <c r="AP368" s="71">
        <f>(Tradingbook_MSB[[#This Row],[MARKET_VALUE]]+Tradingbook_MSB[[#This Row],[Accr Int]]*Tradingbook_MSB[[#This Row],[Quantity_edited]])*(-Tradingbook_MSB[[#This Row],[Modified Duration]]*0.0001+0.5*Tradingbook_MSB[[#This Row],[Conv]]*(0.0001^2))</f>
        <v>0</v>
      </c>
      <c r="AQ368" s="72">
        <f>(Tradingbook_MSB[[#This Row],[MARKET_VALUE]]+Tradingbook_MSB[[#This Row],[Accr Int]]*Tradingbook_MSB[[#This Row],[Quantity_edited]])*(-Tradingbook_MSB[[#This Row],[Modified Duration]]*0.01+0.5*Tradingbook_MSB[[#This Row],[Conv]]*(0.01^2))</f>
        <v>0</v>
      </c>
      <c r="AR368" s="71"/>
      <c r="CL368" t="s">
        <v>166</v>
      </c>
      <c r="CM368" t="s">
        <v>167</v>
      </c>
      <c r="CN368" t="s">
        <v>572</v>
      </c>
      <c r="CO368" t="s">
        <v>169</v>
      </c>
      <c r="CP368" s="35">
        <v>46511</v>
      </c>
      <c r="CQ368" t="s">
        <v>3322</v>
      </c>
      <c r="CR368" t="s">
        <v>4178</v>
      </c>
      <c r="CS368" t="s">
        <v>4179</v>
      </c>
      <c r="CT368" s="49">
        <v>0</v>
      </c>
      <c r="CU368">
        <v>0</v>
      </c>
      <c r="CV368">
        <v>0</v>
      </c>
      <c r="CW368" s="70">
        <v>0</v>
      </c>
      <c r="CX368">
        <v>6</v>
      </c>
      <c r="CY368">
        <v>1742</v>
      </c>
      <c r="CZ368">
        <v>33000000000</v>
      </c>
      <c r="DA368">
        <v>39038475416.666695</v>
      </c>
      <c r="DB368">
        <v>-9904111507.8472309</v>
      </c>
      <c r="DC368">
        <v>3.8390214810000001</v>
      </c>
      <c r="DD368">
        <v>1</v>
      </c>
      <c r="DE368">
        <v>1</v>
      </c>
      <c r="DF368">
        <v>1</v>
      </c>
      <c r="DG368">
        <v>0</v>
      </c>
      <c r="DH368">
        <v>0</v>
      </c>
      <c r="DI368">
        <v>0</v>
      </c>
      <c r="DJ368" s="500">
        <v>20218000000</v>
      </c>
      <c r="DK368" s="500">
        <v>0</v>
      </c>
      <c r="DL368" s="37">
        <v>20218000000</v>
      </c>
      <c r="DM368" s="37">
        <v>20218000000</v>
      </c>
      <c r="DN368" s="37">
        <v>20218000000</v>
      </c>
      <c r="DO368" s="37">
        <v>20218000000</v>
      </c>
      <c r="DP368" s="32">
        <f>Tradingbook_SBV[[#This Row],[Mat. Date]]-RPT</f>
        <v>259</v>
      </c>
      <c r="DQ368" s="32">
        <f>IF(Tradingbook_SBV[[#This Row],[Days]]&lt;=0,0,YEARFRAC(RPT,Tradingbook_SBV[[#This Row],[Mat. Date]],3))</f>
        <v>0.70958904109589038</v>
      </c>
      <c r="DR368" s="32" t="str">
        <f>IF(Tradingbook_SBV[[#This Row],[Days (year)]]=0,0,INDEX(Ref!$K$2:$K$13,MATCH(Tradingbook_SBV[[#This Row],[Days (year)]],Ref!$I$2:$I$13,1)))</f>
        <v>6M</v>
      </c>
      <c r="DS368" s="32" t="str">
        <f>VLOOKUP(Tradingbook_SBV[[#This Row],[Security Name]],Ref!X:Z,3,0)</f>
        <v>TPCP</v>
      </c>
      <c r="DT368" s="32" t="str">
        <f>VLOOKUP(Tradingbook_SBV[[#This Row],[Security Name]],Ref!X:Y,2,0)</f>
        <v>KBNN</v>
      </c>
      <c r="DU368" s="71">
        <f>IF((Tradingbook_SBV[[#This Row],[Mat. Date]]-RPT)&lt;=0,0,Tradingbook_SBV[[#This Row],[QUANTITY]])</f>
        <v>0</v>
      </c>
      <c r="DV368" s="71">
        <f>IF(Tradingbook_SBV[[#This Row],[Quantity_edited]]=0,0,Tradingbook_SBV[[#This Row],[DURATION]])</f>
        <v>0</v>
      </c>
      <c r="DW368" s="71">
        <f>IF(Tradingbook_SBV[[#This Row],[Quantity_edited]]=0,0,Tradingbook_SBV[[#This Row],[Mod Dur]])</f>
        <v>0</v>
      </c>
      <c r="DX368" s="71">
        <f>IF(Tradingbook_SBV[[#This Row],[Quantity_edited]]=0,0,Tradingbook_SBV[[#This Row],[Cnvx.]])</f>
        <v>0</v>
      </c>
      <c r="DY368" s="71">
        <f>(Tradingbook_SBV[[#This Row],[MARKET_VALUE]]+Tradingbook_SBV[[#This Row],[Accr Int]]*Tradingbook_SBV[[#This Row],[Quantity_edited]])*(-Tradingbook_SBV[[#This Row],[Modified Duration]]*0.0001+0.5*Tradingbook_SBV[[#This Row],[Conv]]*(0.0001^2))</f>
        <v>0</v>
      </c>
      <c r="DZ368" s="71">
        <f>(Tradingbook_SBV[[#This Row],[MARKET_VALUE]]+Tradingbook_SBV[[#This Row],[Accr Int]]*Tradingbook_SBV[[#This Row],[Quantity_edited]])*(-Tradingbook_SBV[[#This Row],[Modified Duration]]*0.01+0.5*Tradingbook_SBV[[#This Row],[Conv]]*(0.01^2))</f>
        <v>0</v>
      </c>
      <c r="EC368" t="s">
        <v>166</v>
      </c>
      <c r="ED368" t="s">
        <v>3303</v>
      </c>
      <c r="EE368" t="s">
        <v>732</v>
      </c>
      <c r="EF368" t="s">
        <v>169</v>
      </c>
      <c r="EG368" s="35" t="s">
        <v>3858</v>
      </c>
      <c r="EH368" t="s">
        <v>3322</v>
      </c>
      <c r="EI368" s="500">
        <v>77090</v>
      </c>
      <c r="EJ368" s="500">
        <v>77090</v>
      </c>
      <c r="EK368" s="500">
        <v>0</v>
      </c>
      <c r="EL368" s="500">
        <v>0</v>
      </c>
      <c r="EM368" s="500">
        <v>0</v>
      </c>
      <c r="EN368" s="500">
        <v>0</v>
      </c>
      <c r="EO368">
        <v>3.1</v>
      </c>
      <c r="EP368">
        <v>1835</v>
      </c>
      <c r="EQ368">
        <v>0</v>
      </c>
      <c r="ER368">
        <v>4.8999999999999998E-5</v>
      </c>
      <c r="ES368">
        <v>-47799770622.750099</v>
      </c>
      <c r="ET368">
        <v>4.695484156</v>
      </c>
      <c r="EU368">
        <v>15.2817431813887</v>
      </c>
      <c r="EV368">
        <v>15.999295010000001</v>
      </c>
      <c r="EW368">
        <v>319.67786241969043</v>
      </c>
      <c r="EX368">
        <v>0</v>
      </c>
      <c r="EY368">
        <v>0</v>
      </c>
      <c r="EZ368">
        <v>0</v>
      </c>
      <c r="FA368">
        <v>8156640000</v>
      </c>
      <c r="FB368">
        <v>0</v>
      </c>
      <c r="FC368">
        <v>8156640000</v>
      </c>
      <c r="FD368">
        <v>8156640000</v>
      </c>
      <c r="FE368">
        <v>8156640000</v>
      </c>
      <c r="FF368">
        <v>8156640000</v>
      </c>
      <c r="FG368" s="32">
        <f>Bankingbook_SBV[[#This Row],[Mat. Date]]-RPT</f>
        <v>8915</v>
      </c>
      <c r="FH368" s="32">
        <f>IF(Bankingbook_SBV[[#This Row],[Days]]&lt;=0,0,YEARFRAC(RPT,Bankingbook_SBV[[#This Row],[Mat. Date]],3))</f>
        <v>24.424657534246574</v>
      </c>
      <c r="FI368" s="32" t="str">
        <f>IF(Bankingbook_SBV[[#This Row],[Days (year)]]=0,0,INDEX(Ref!$K$2:$K$13,MATCH(Bankingbook_SBV[[#This Row],[Days (year)]],Ref!$I$2:$I$13,1)))</f>
        <v>30Y</v>
      </c>
      <c r="FJ368" s="32" t="str">
        <f>VLOOKUP(Bankingbook_SBV[[#This Row],[Security Name]],Ref!X:Z,3,0)</f>
        <v>TPCP</v>
      </c>
      <c r="FK368" s="32" t="str">
        <f>VLOOKUP(Bankingbook_SBV[[#This Row],[Security Name]],Ref!X:Y,2,0)</f>
        <v>KBNN</v>
      </c>
      <c r="FL368" s="72">
        <f>IF((Bankingbook_SBV[[#This Row],[Mat. Date]]-RPT)&lt;=0,0,Bankingbook_SBV[[#This Row],[QUANTITY]])</f>
        <v>0</v>
      </c>
      <c r="FM368" s="32">
        <f>IF(Bankingbook_SBV[[#This Row],[Quantity_edited]]=0,0,Bankingbook_SBV[[#This Row],[DURATION]])</f>
        <v>0</v>
      </c>
      <c r="FN368" s="32">
        <f>IF(Bankingbook_SBV[[#This Row],[Quantity_edited]]=0,0,Bankingbook_SBV[[#This Row],[Mod Dur]])</f>
        <v>0</v>
      </c>
      <c r="FO368" s="32">
        <f>IF(Bankingbook_SBV[[#This Row],[Quantity_edited]]=0,0,Bankingbook_SBV[[#This Row],[Cnvx.]])</f>
        <v>0</v>
      </c>
      <c r="FP368" s="32">
        <f>(Bankingbook_SBV[[#This Row],[MARKET_VALUE]]+Bankingbook_SBV[[#This Row],[Accr Int]]*Bankingbook_SBV[[#This Row],[Quantity_edited]])*(-Bankingbook_SBV[[#This Row],[Modified Duration]]*0.0001+0.5*Bankingbook_SBV[[#This Row],[Conv]]*(0.0001^2))</f>
        <v>0</v>
      </c>
      <c r="FQ368" s="32">
        <f>(Bankingbook_SBV[[#This Row],[MARKET_VALUE]]+Bankingbook_SBV[[#This Row],[Accr Int]]*Bankingbook_SBV[[#This Row],[Quantity_edited]])*(-Bankingbook_SBV[[#This Row],[Modified Duration]]*0.01+0.5*Bankingbook_SBV[[#This Row],[Conv]]*(0.01^2))</f>
        <v>0</v>
      </c>
    </row>
    <row r="369" spans="2:173" x14ac:dyDescent="0.3">
      <c r="B369" t="s">
        <v>166</v>
      </c>
      <c r="C369" t="s">
        <v>167</v>
      </c>
      <c r="D369" t="s">
        <v>558</v>
      </c>
      <c r="E369" t="s">
        <v>169</v>
      </c>
      <c r="F369" s="502">
        <v>46225</v>
      </c>
      <c r="G369" t="s">
        <v>3322</v>
      </c>
      <c r="H369"/>
      <c r="I369"/>
      <c r="J369" s="38">
        <v>0</v>
      </c>
      <c r="K369">
        <v>0</v>
      </c>
      <c r="L369">
        <v>0</v>
      </c>
      <c r="M369" s="38">
        <v>0</v>
      </c>
      <c r="N369">
        <v>1</v>
      </c>
      <c r="O369">
        <v>0</v>
      </c>
      <c r="P369" s="37">
        <v>0</v>
      </c>
      <c r="Q369" s="37">
        <v>0</v>
      </c>
      <c r="R369" s="37">
        <v>-498096144.33610725</v>
      </c>
      <c r="S369">
        <v>1</v>
      </c>
      <c r="T369" s="70">
        <v>0</v>
      </c>
      <c r="U369">
        <v>0</v>
      </c>
      <c r="V369">
        <v>0</v>
      </c>
      <c r="W369">
        <v>0</v>
      </c>
      <c r="X369" s="38">
        <v>0</v>
      </c>
      <c r="Y369">
        <v>0</v>
      </c>
      <c r="Z369" s="70">
        <v>-1892060000</v>
      </c>
      <c r="AA369" s="70">
        <v>0</v>
      </c>
      <c r="AB369" s="70">
        <v>-1892060000</v>
      </c>
      <c r="AC369" s="70">
        <v>-1892060000</v>
      </c>
      <c r="AD369" s="70">
        <v>-1892060000</v>
      </c>
      <c r="AE369" s="70">
        <v>-1892060000</v>
      </c>
      <c r="AF369">
        <v>0</v>
      </c>
      <c r="AG369" s="72">
        <f>Tradingbook_MSB[[#This Row],[Mat. Date]]-RPT</f>
        <v>-27</v>
      </c>
      <c r="AH369" s="71">
        <f>IF(Tradingbook_MSB[[#This Row],[Days]]&lt;=0,0,YEARFRAC(RPT,Tradingbook_MSB[[#This Row],[Mat. Date]],3))</f>
        <v>0</v>
      </c>
      <c r="AI369" s="71">
        <f>IF(Tradingbook_MSB[[#This Row],[Days (year)]]=0,0,INDEX(Ref!$K$2:$K$13,MATCH(Tradingbook_MSB[[#This Row],[Days (year)]],Ref!$I$2:$I$13,1)))</f>
        <v>0</v>
      </c>
      <c r="AJ369" s="120" t="str">
        <f>VLOOKUP(Tradingbook_MSB[[#This Row],[Security Name]],Ref!X:Z,3,0)</f>
        <v>TPCP</v>
      </c>
      <c r="AK369" s="120" t="str">
        <f>VLOOKUP(Tradingbook_MSB[[#This Row],[Security Name]],Ref!X:Y,2,0)</f>
        <v>KBNN</v>
      </c>
      <c r="AL369" s="71">
        <f>IF((Tradingbook_MSB[[#This Row],[Mat. Date]]-RPT)&lt;=0,0,Tradingbook_MSB[[#This Row],[QUANTITY]])</f>
        <v>0</v>
      </c>
      <c r="AM369" s="71">
        <f>IF(Tradingbook_MSB[[#This Row],[Quantity_edited]]=0,0,Tradingbook_MSB[[#This Row],[DURATION]])</f>
        <v>0</v>
      </c>
      <c r="AN369" s="71">
        <f>IF(Tradingbook_MSB[[#This Row],[Quantity_edited]]=0,0,Tradingbook_MSB[[#This Row],[Mod Dur]])</f>
        <v>0</v>
      </c>
      <c r="AO369" s="71">
        <f>IF(Tradingbook_MSB[[#This Row],[Quantity_edited]]=0,0,Tradingbook_MSB[[#This Row],[Cnvx.]])</f>
        <v>0</v>
      </c>
      <c r="AP369" s="71">
        <f>(Tradingbook_MSB[[#This Row],[MARKET_VALUE]]+Tradingbook_MSB[[#This Row],[Accr Int]]*Tradingbook_MSB[[#This Row],[Quantity_edited]])*(-Tradingbook_MSB[[#This Row],[Modified Duration]]*0.0001+0.5*Tradingbook_MSB[[#This Row],[Conv]]*(0.0001^2))</f>
        <v>0</v>
      </c>
      <c r="AQ369" s="72">
        <f>(Tradingbook_MSB[[#This Row],[MARKET_VALUE]]+Tradingbook_MSB[[#This Row],[Accr Int]]*Tradingbook_MSB[[#This Row],[Quantity_edited]])*(-Tradingbook_MSB[[#This Row],[Modified Duration]]*0.01+0.5*Tradingbook_MSB[[#This Row],[Conv]]*(0.01^2))</f>
        <v>0</v>
      </c>
      <c r="AR369" s="71"/>
      <c r="CL369" t="s">
        <v>166</v>
      </c>
      <c r="CM369" t="s">
        <v>167</v>
      </c>
      <c r="CN369" t="s">
        <v>573</v>
      </c>
      <c r="CO369" t="s">
        <v>169</v>
      </c>
      <c r="CP369" s="35">
        <v>46523</v>
      </c>
      <c r="CQ369" t="s">
        <v>3322</v>
      </c>
      <c r="CR369" t="s">
        <v>4180</v>
      </c>
      <c r="CS369" t="s">
        <v>4181</v>
      </c>
      <c r="CT369" s="49">
        <v>0</v>
      </c>
      <c r="CU369">
        <v>0</v>
      </c>
      <c r="CV369">
        <v>0</v>
      </c>
      <c r="CW369" s="70">
        <v>0</v>
      </c>
      <c r="CX369">
        <v>6.4</v>
      </c>
      <c r="CY369">
        <v>1648</v>
      </c>
      <c r="CZ369">
        <v>0</v>
      </c>
      <c r="DA369">
        <v>0</v>
      </c>
      <c r="DB369">
        <v>-67015965.777772903</v>
      </c>
      <c r="DC369">
        <v>4.354163346</v>
      </c>
      <c r="DD369">
        <v>1</v>
      </c>
      <c r="DE369">
        <v>1</v>
      </c>
      <c r="DF369">
        <v>1</v>
      </c>
      <c r="DG369">
        <v>0</v>
      </c>
      <c r="DH369">
        <v>0</v>
      </c>
      <c r="DI369">
        <v>0</v>
      </c>
      <c r="DJ369" s="500">
        <v>-16400000</v>
      </c>
      <c r="DK369" s="500">
        <v>0</v>
      </c>
      <c r="DL369" s="37">
        <v>-16400000</v>
      </c>
      <c r="DM369" s="37">
        <v>-16400000</v>
      </c>
      <c r="DN369" s="37">
        <v>-16400000</v>
      </c>
      <c r="DO369" s="37">
        <v>-16400000</v>
      </c>
      <c r="DP369" s="32">
        <f>Tradingbook_SBV[[#This Row],[Mat. Date]]-RPT</f>
        <v>271</v>
      </c>
      <c r="DQ369" s="32">
        <f>IF(Tradingbook_SBV[[#This Row],[Days]]&lt;=0,0,YEARFRAC(RPT,Tradingbook_SBV[[#This Row],[Mat. Date]],3))</f>
        <v>0.74246575342465748</v>
      </c>
      <c r="DR369" s="32" t="str">
        <f>IF(Tradingbook_SBV[[#This Row],[Days (year)]]=0,0,INDEX(Ref!$K$2:$K$13,MATCH(Tradingbook_SBV[[#This Row],[Days (year)]],Ref!$I$2:$I$13,1)))</f>
        <v>6M</v>
      </c>
      <c r="DS369" s="32" t="str">
        <f>VLOOKUP(Tradingbook_SBV[[#This Row],[Security Name]],Ref!X:Z,3,0)</f>
        <v>TPCPBL</v>
      </c>
      <c r="DT369" s="32" t="str">
        <f>VLOOKUP(Tradingbook_SBV[[#This Row],[Security Name]],Ref!X:Y,2,0)</f>
        <v>VBS</v>
      </c>
      <c r="DU369" s="71">
        <f>IF((Tradingbook_SBV[[#This Row],[Mat. Date]]-RPT)&lt;=0,0,Tradingbook_SBV[[#This Row],[QUANTITY]])</f>
        <v>0</v>
      </c>
      <c r="DV369" s="71">
        <f>IF(Tradingbook_SBV[[#This Row],[Quantity_edited]]=0,0,Tradingbook_SBV[[#This Row],[DURATION]])</f>
        <v>0</v>
      </c>
      <c r="DW369" s="71">
        <f>IF(Tradingbook_SBV[[#This Row],[Quantity_edited]]=0,0,Tradingbook_SBV[[#This Row],[Mod Dur]])</f>
        <v>0</v>
      </c>
      <c r="DX369" s="71">
        <f>IF(Tradingbook_SBV[[#This Row],[Quantity_edited]]=0,0,Tradingbook_SBV[[#This Row],[Cnvx.]])</f>
        <v>0</v>
      </c>
      <c r="DY369" s="71">
        <f>(Tradingbook_SBV[[#This Row],[MARKET_VALUE]]+Tradingbook_SBV[[#This Row],[Accr Int]]*Tradingbook_SBV[[#This Row],[Quantity_edited]])*(-Tradingbook_SBV[[#This Row],[Modified Duration]]*0.0001+0.5*Tradingbook_SBV[[#This Row],[Conv]]*(0.0001^2))</f>
        <v>0</v>
      </c>
      <c r="DZ369" s="71">
        <f>(Tradingbook_SBV[[#This Row],[MARKET_VALUE]]+Tradingbook_SBV[[#This Row],[Accr Int]]*Tradingbook_SBV[[#This Row],[Quantity_edited]])*(-Tradingbook_SBV[[#This Row],[Modified Duration]]*0.01+0.5*Tradingbook_SBV[[#This Row],[Conv]]*(0.01^2))</f>
        <v>0</v>
      </c>
      <c r="EC369" t="s">
        <v>166</v>
      </c>
      <c r="ED369" t="s">
        <v>3303</v>
      </c>
      <c r="EE369" t="s">
        <v>733</v>
      </c>
      <c r="EF369" t="s">
        <v>169</v>
      </c>
      <c r="EG369" s="35" t="s">
        <v>3859</v>
      </c>
      <c r="EH369" t="s">
        <v>3322</v>
      </c>
      <c r="EI369" s="500">
        <v>73842</v>
      </c>
      <c r="EJ369" s="500">
        <v>73842</v>
      </c>
      <c r="EK369" s="500">
        <v>0</v>
      </c>
      <c r="EL369" s="500">
        <v>0</v>
      </c>
      <c r="EM369" s="500">
        <v>0</v>
      </c>
      <c r="EN369" s="500">
        <v>0</v>
      </c>
      <c r="EO369">
        <v>2.9</v>
      </c>
      <c r="EP369">
        <v>2836</v>
      </c>
      <c r="EQ369">
        <v>0</v>
      </c>
      <c r="ER369">
        <v>2.5000000000000001E-5</v>
      </c>
      <c r="ES369">
        <v>-116717368097.81754</v>
      </c>
      <c r="ET369">
        <v>4.6995773930000002</v>
      </c>
      <c r="EU369">
        <v>15.4800005120108</v>
      </c>
      <c r="EV369">
        <v>16.207495120000001</v>
      </c>
      <c r="EW369">
        <v>332.41661772197273</v>
      </c>
      <c r="EX369">
        <v>0</v>
      </c>
      <c r="EY369">
        <v>0</v>
      </c>
      <c r="EZ369">
        <v>0</v>
      </c>
      <c r="FA369">
        <v>42112089999.998047</v>
      </c>
      <c r="FB369">
        <v>0</v>
      </c>
      <c r="FC369">
        <v>42112089999.998047</v>
      </c>
      <c r="FD369">
        <v>42112089999.998047</v>
      </c>
      <c r="FE369">
        <v>42112089999.998001</v>
      </c>
      <c r="FF369">
        <v>42112089999.998047</v>
      </c>
      <c r="FG369" s="32">
        <f>Bankingbook_SBV[[#This Row],[Mat. Date]]-RPT</f>
        <v>9139</v>
      </c>
      <c r="FH369" s="32">
        <f>IF(Bankingbook_SBV[[#This Row],[Days]]&lt;=0,0,YEARFRAC(RPT,Bankingbook_SBV[[#This Row],[Mat. Date]],3))</f>
        <v>25.038356164383561</v>
      </c>
      <c r="FI369" s="32" t="str">
        <f>IF(Bankingbook_SBV[[#This Row],[Days (year)]]=0,0,INDEX(Ref!$K$2:$K$13,MATCH(Bankingbook_SBV[[#This Row],[Days (year)]],Ref!$I$2:$I$13,1)))</f>
        <v>30Y</v>
      </c>
      <c r="FJ369" s="32" t="str">
        <f>VLOOKUP(Bankingbook_SBV[[#This Row],[Security Name]],Ref!X:Z,3,0)</f>
        <v>TPCP</v>
      </c>
      <c r="FK369" s="32" t="str">
        <f>VLOOKUP(Bankingbook_SBV[[#This Row],[Security Name]],Ref!X:Y,2,0)</f>
        <v>KBNN</v>
      </c>
      <c r="FL369" s="72">
        <f>IF((Bankingbook_SBV[[#This Row],[Mat. Date]]-RPT)&lt;=0,0,Bankingbook_SBV[[#This Row],[QUANTITY]])</f>
        <v>0</v>
      </c>
      <c r="FM369" s="32">
        <f>IF(Bankingbook_SBV[[#This Row],[Quantity_edited]]=0,0,Bankingbook_SBV[[#This Row],[DURATION]])</f>
        <v>0</v>
      </c>
      <c r="FN369" s="32">
        <f>IF(Bankingbook_SBV[[#This Row],[Quantity_edited]]=0,0,Bankingbook_SBV[[#This Row],[Mod Dur]])</f>
        <v>0</v>
      </c>
      <c r="FO369" s="32">
        <f>IF(Bankingbook_SBV[[#This Row],[Quantity_edited]]=0,0,Bankingbook_SBV[[#This Row],[Cnvx.]])</f>
        <v>0</v>
      </c>
      <c r="FP369" s="32">
        <f>(Bankingbook_SBV[[#This Row],[MARKET_VALUE]]+Bankingbook_SBV[[#This Row],[Accr Int]]*Bankingbook_SBV[[#This Row],[Quantity_edited]])*(-Bankingbook_SBV[[#This Row],[Modified Duration]]*0.0001+0.5*Bankingbook_SBV[[#This Row],[Conv]]*(0.0001^2))</f>
        <v>0</v>
      </c>
      <c r="FQ369" s="32">
        <f>(Bankingbook_SBV[[#This Row],[MARKET_VALUE]]+Bankingbook_SBV[[#This Row],[Accr Int]]*Bankingbook_SBV[[#This Row],[Quantity_edited]])*(-Bankingbook_SBV[[#This Row],[Modified Duration]]*0.01+0.5*Bankingbook_SBV[[#This Row],[Conv]]*(0.01^2))</f>
        <v>0</v>
      </c>
    </row>
    <row r="370" spans="2:173" x14ac:dyDescent="0.3">
      <c r="B370" t="s">
        <v>166</v>
      </c>
      <c r="C370" t="s">
        <v>167</v>
      </c>
      <c r="D370" t="s">
        <v>559</v>
      </c>
      <c r="E370" t="s">
        <v>169</v>
      </c>
      <c r="F370" s="502">
        <v>46291</v>
      </c>
      <c r="G370" t="s">
        <v>3322</v>
      </c>
      <c r="H370">
        <v>99953</v>
      </c>
      <c r="I370">
        <v>99953</v>
      </c>
      <c r="J370" s="38">
        <v>0</v>
      </c>
      <c r="K370">
        <v>0</v>
      </c>
      <c r="L370">
        <v>0</v>
      </c>
      <c r="M370" s="38">
        <v>0</v>
      </c>
      <c r="N370">
        <v>3.5</v>
      </c>
      <c r="O370">
        <v>3126</v>
      </c>
      <c r="P370" s="37">
        <v>0</v>
      </c>
      <c r="Q370" s="37">
        <v>1.9999999999999999E-6</v>
      </c>
      <c r="R370" s="37">
        <v>-227046066.59719658</v>
      </c>
      <c r="S370">
        <v>3.8224354190000001</v>
      </c>
      <c r="T370" s="70">
        <v>0.1064146912844</v>
      </c>
      <c r="U370">
        <v>0.11048231999999999</v>
      </c>
      <c r="V370">
        <v>2.2648173042300001E-2</v>
      </c>
      <c r="W370">
        <v>0</v>
      </c>
      <c r="X370" s="38">
        <v>0</v>
      </c>
      <c r="Y370">
        <v>0</v>
      </c>
      <c r="Z370" s="70">
        <v>1212000000</v>
      </c>
      <c r="AA370" s="70">
        <v>0</v>
      </c>
      <c r="AB370" s="70">
        <v>1212000000</v>
      </c>
      <c r="AC370" s="70">
        <v>1212000000</v>
      </c>
      <c r="AD370" s="70">
        <v>1212000000</v>
      </c>
      <c r="AE370" s="70">
        <v>1212000000</v>
      </c>
      <c r="AF370">
        <v>0</v>
      </c>
      <c r="AG370" s="72">
        <f>Tradingbook_MSB[[#This Row],[Mat. Date]]-RPT</f>
        <v>39</v>
      </c>
      <c r="AH370" s="71">
        <f>IF(Tradingbook_MSB[[#This Row],[Days]]&lt;=0,0,YEARFRAC(RPT,Tradingbook_MSB[[#This Row],[Mat. Date]],3))</f>
        <v>0.10684931506849316</v>
      </c>
      <c r="AI370" s="71" t="str">
        <f>IF(Tradingbook_MSB[[#This Row],[Days (year)]]=0,0,INDEX(Ref!$K$2:$K$13,MATCH(Tradingbook_MSB[[#This Row],[Days (year)]],Ref!$I$2:$I$13,1)))</f>
        <v>3M</v>
      </c>
      <c r="AJ370" s="120" t="str">
        <f>VLOOKUP(Tradingbook_MSB[[#This Row],[Security Name]],Ref!X:Z,3,0)</f>
        <v>TPCP</v>
      </c>
      <c r="AK370" s="120" t="str">
        <f>VLOOKUP(Tradingbook_MSB[[#This Row],[Security Name]],Ref!X:Y,2,0)</f>
        <v>KBNN</v>
      </c>
      <c r="AL370" s="71">
        <f>IF((Tradingbook_MSB[[#This Row],[Mat. Date]]-RPT)&lt;=0,0,Tradingbook_MSB[[#This Row],[QUANTITY]])</f>
        <v>0</v>
      </c>
      <c r="AM370" s="71">
        <f>IF(Tradingbook_MSB[[#This Row],[Quantity_edited]]=0,0,Tradingbook_MSB[[#This Row],[DURATION]])</f>
        <v>0</v>
      </c>
      <c r="AN370" s="71">
        <f>IF(Tradingbook_MSB[[#This Row],[Quantity_edited]]=0,0,Tradingbook_MSB[[#This Row],[Mod Dur]])</f>
        <v>0</v>
      </c>
      <c r="AO370" s="71">
        <f>IF(Tradingbook_MSB[[#This Row],[Quantity_edited]]=0,0,Tradingbook_MSB[[#This Row],[Cnvx.]])</f>
        <v>0</v>
      </c>
      <c r="AP370" s="71">
        <f>(Tradingbook_MSB[[#This Row],[MARKET_VALUE]]+Tradingbook_MSB[[#This Row],[Accr Int]]*Tradingbook_MSB[[#This Row],[Quantity_edited]])*(-Tradingbook_MSB[[#This Row],[Modified Duration]]*0.0001+0.5*Tradingbook_MSB[[#This Row],[Conv]]*(0.0001^2))</f>
        <v>0</v>
      </c>
      <c r="AQ370" s="72">
        <f>(Tradingbook_MSB[[#This Row],[MARKET_VALUE]]+Tradingbook_MSB[[#This Row],[Accr Int]]*Tradingbook_MSB[[#This Row],[Quantity_edited]])*(-Tradingbook_MSB[[#This Row],[Modified Duration]]*0.01+0.5*Tradingbook_MSB[[#This Row],[Conv]]*(0.01^2))</f>
        <v>0</v>
      </c>
      <c r="AR370" s="71"/>
      <c r="CL370" t="s">
        <v>166</v>
      </c>
      <c r="CM370" t="s">
        <v>167</v>
      </c>
      <c r="CN370" t="s">
        <v>575</v>
      </c>
      <c r="CO370" t="s">
        <v>169</v>
      </c>
      <c r="CP370" s="35">
        <v>46581</v>
      </c>
      <c r="CQ370" t="s">
        <v>3322</v>
      </c>
      <c r="CR370" t="s">
        <v>4182</v>
      </c>
      <c r="CS370" t="s">
        <v>4183</v>
      </c>
      <c r="CT370" s="70">
        <v>0</v>
      </c>
      <c r="CU370">
        <v>0</v>
      </c>
      <c r="CV370">
        <v>0</v>
      </c>
      <c r="CW370" s="70">
        <v>0</v>
      </c>
      <c r="CX370">
        <v>5.3</v>
      </c>
      <c r="CY370">
        <v>523</v>
      </c>
      <c r="CZ370">
        <v>22578000000</v>
      </c>
      <c r="DA370">
        <v>26746344794.999962</v>
      </c>
      <c r="DB370">
        <v>-4251879047.3084259</v>
      </c>
      <c r="DC370">
        <v>3.6578434130000002</v>
      </c>
      <c r="DD370">
        <v>1</v>
      </c>
      <c r="DE370">
        <v>1</v>
      </c>
      <c r="DF370">
        <v>2</v>
      </c>
      <c r="DG370">
        <v>0</v>
      </c>
      <c r="DH370">
        <v>0</v>
      </c>
      <c r="DI370">
        <v>0</v>
      </c>
      <c r="DJ370" s="500">
        <v>31186480000</v>
      </c>
      <c r="DK370" s="500">
        <v>0</v>
      </c>
      <c r="DL370" s="37">
        <v>31186480000</v>
      </c>
      <c r="DM370" s="37">
        <v>31186480000</v>
      </c>
      <c r="DN370" s="37">
        <v>31186480000</v>
      </c>
      <c r="DO370" s="37">
        <v>31186480000</v>
      </c>
      <c r="DP370" s="32">
        <f>Tradingbook_SBV[[#This Row],[Mat. Date]]-RPT</f>
        <v>329</v>
      </c>
      <c r="DQ370" s="32">
        <f>IF(Tradingbook_SBV[[#This Row],[Days]]&lt;=0,0,YEARFRAC(RPT,Tradingbook_SBV[[#This Row],[Mat. Date]],3))</f>
        <v>0.90136986301369859</v>
      </c>
      <c r="DR370" s="32" t="str">
        <f>IF(Tradingbook_SBV[[#This Row],[Days (year)]]=0,0,INDEX(Ref!$K$2:$K$13,MATCH(Tradingbook_SBV[[#This Row],[Days (year)]],Ref!$I$2:$I$13,1)))</f>
        <v>1Y</v>
      </c>
      <c r="DS370" s="32" t="str">
        <f>VLOOKUP(Tradingbook_SBV[[#This Row],[Security Name]],Ref!X:Z,3,0)</f>
        <v>TPCP</v>
      </c>
      <c r="DT370" s="32" t="str">
        <f>VLOOKUP(Tradingbook_SBV[[#This Row],[Security Name]],Ref!X:Y,2,0)</f>
        <v>KBNN</v>
      </c>
      <c r="DU370" s="71">
        <f>IF((Tradingbook_SBV[[#This Row],[Mat. Date]]-RPT)&lt;=0,0,Tradingbook_SBV[[#This Row],[QUANTITY]])</f>
        <v>0</v>
      </c>
      <c r="DV370" s="71">
        <f>IF(Tradingbook_SBV[[#This Row],[Quantity_edited]]=0,0,Tradingbook_SBV[[#This Row],[DURATION]])</f>
        <v>0</v>
      </c>
      <c r="DW370" s="71">
        <f>IF(Tradingbook_SBV[[#This Row],[Quantity_edited]]=0,0,Tradingbook_SBV[[#This Row],[Mod Dur]])</f>
        <v>0</v>
      </c>
      <c r="DX370" s="71">
        <f>IF(Tradingbook_SBV[[#This Row],[Quantity_edited]]=0,0,Tradingbook_SBV[[#This Row],[Cnvx.]])</f>
        <v>0</v>
      </c>
      <c r="DY370" s="71">
        <f>(Tradingbook_SBV[[#This Row],[MARKET_VALUE]]+Tradingbook_SBV[[#This Row],[Accr Int]]*Tradingbook_SBV[[#This Row],[Quantity_edited]])*(-Tradingbook_SBV[[#This Row],[Modified Duration]]*0.0001+0.5*Tradingbook_SBV[[#This Row],[Conv]]*(0.0001^2))</f>
        <v>0</v>
      </c>
      <c r="DZ370" s="71">
        <f>(Tradingbook_SBV[[#This Row],[MARKET_VALUE]]+Tradingbook_SBV[[#This Row],[Accr Int]]*Tradingbook_SBV[[#This Row],[Quantity_edited]])*(-Tradingbook_SBV[[#This Row],[Modified Duration]]*0.01+0.5*Tradingbook_SBV[[#This Row],[Conv]]*(0.01^2))</f>
        <v>0</v>
      </c>
      <c r="EC370" t="s">
        <v>166</v>
      </c>
      <c r="ED370" t="s">
        <v>3303</v>
      </c>
      <c r="EE370" t="s">
        <v>2371</v>
      </c>
      <c r="EF370" t="s">
        <v>169</v>
      </c>
      <c r="EG370" s="35" t="s">
        <v>3860</v>
      </c>
      <c r="EH370" t="s">
        <v>3322</v>
      </c>
      <c r="EI370" s="500">
        <v>73584</v>
      </c>
      <c r="EJ370" s="500">
        <v>73584</v>
      </c>
      <c r="EK370" s="500">
        <v>0</v>
      </c>
      <c r="EL370" s="500">
        <v>0</v>
      </c>
      <c r="EM370" s="500">
        <v>0</v>
      </c>
      <c r="EN370" s="500">
        <v>0</v>
      </c>
      <c r="EO370">
        <v>2.9</v>
      </c>
      <c r="EP370">
        <v>1724</v>
      </c>
      <c r="EQ370">
        <v>0</v>
      </c>
      <c r="ER370">
        <v>0</v>
      </c>
      <c r="ES370">
        <v>-26865759372.347214</v>
      </c>
      <c r="ET370">
        <v>4.7021866250000004</v>
      </c>
      <c r="EU370">
        <v>15.8439153373218</v>
      </c>
      <c r="EV370">
        <v>16.588925809999999</v>
      </c>
      <c r="EW370">
        <v>344.16687027631701</v>
      </c>
      <c r="EX370">
        <v>0</v>
      </c>
      <c r="EY370">
        <v>0</v>
      </c>
      <c r="EZ370">
        <v>0</v>
      </c>
      <c r="FA370">
        <v>7132340000</v>
      </c>
      <c r="FB370">
        <v>0</v>
      </c>
      <c r="FC370">
        <v>7132340000</v>
      </c>
      <c r="FD370">
        <v>7132340000</v>
      </c>
      <c r="FE370">
        <v>7132340000</v>
      </c>
      <c r="FF370">
        <v>7132340000</v>
      </c>
      <c r="FG370" s="32">
        <f>Bankingbook_SBV[[#This Row],[Mat. Date]]-RPT</f>
        <v>9279</v>
      </c>
      <c r="FH370" s="32">
        <f>IF(Bankingbook_SBV[[#This Row],[Days]]&lt;=0,0,YEARFRAC(RPT,Bankingbook_SBV[[#This Row],[Mat. Date]],3))</f>
        <v>25.421917808219177</v>
      </c>
      <c r="FI370" s="32" t="str">
        <f>IF(Bankingbook_SBV[[#This Row],[Days (year)]]=0,0,INDEX(Ref!$K$2:$K$13,MATCH(Bankingbook_SBV[[#This Row],[Days (year)]],Ref!$I$2:$I$13,1)))</f>
        <v>30Y</v>
      </c>
      <c r="FJ370" s="32" t="str">
        <f>VLOOKUP(Bankingbook_SBV[[#This Row],[Security Name]],Ref!X:Z,3,0)</f>
        <v>TPCP</v>
      </c>
      <c r="FK370" s="32" t="str">
        <f>VLOOKUP(Bankingbook_SBV[[#This Row],[Security Name]],Ref!X:Y,2,0)</f>
        <v>KBNN</v>
      </c>
      <c r="FL370" s="72">
        <f>IF((Bankingbook_SBV[[#This Row],[Mat. Date]]-RPT)&lt;=0,0,Bankingbook_SBV[[#This Row],[QUANTITY]])</f>
        <v>0</v>
      </c>
      <c r="FM370" s="32">
        <f>IF(Bankingbook_SBV[[#This Row],[Quantity_edited]]=0,0,Bankingbook_SBV[[#This Row],[DURATION]])</f>
        <v>0</v>
      </c>
      <c r="FN370" s="32">
        <f>IF(Bankingbook_SBV[[#This Row],[Quantity_edited]]=0,0,Bankingbook_SBV[[#This Row],[Mod Dur]])</f>
        <v>0</v>
      </c>
      <c r="FO370" s="32">
        <f>IF(Bankingbook_SBV[[#This Row],[Quantity_edited]]=0,0,Bankingbook_SBV[[#This Row],[Cnvx.]])</f>
        <v>0</v>
      </c>
      <c r="FP370" s="32">
        <f>(Bankingbook_SBV[[#This Row],[MARKET_VALUE]]+Bankingbook_SBV[[#This Row],[Accr Int]]*Bankingbook_SBV[[#This Row],[Quantity_edited]])*(-Bankingbook_SBV[[#This Row],[Modified Duration]]*0.0001+0.5*Bankingbook_SBV[[#This Row],[Conv]]*(0.0001^2))</f>
        <v>0</v>
      </c>
      <c r="FQ370" s="32">
        <f>(Bankingbook_SBV[[#This Row],[MARKET_VALUE]]+Bankingbook_SBV[[#This Row],[Accr Int]]*Bankingbook_SBV[[#This Row],[Quantity_edited]])*(-Bankingbook_SBV[[#This Row],[Modified Duration]]*0.01+0.5*Bankingbook_SBV[[#This Row],[Conv]]*(0.01^2))</f>
        <v>0</v>
      </c>
    </row>
    <row r="371" spans="2:173" x14ac:dyDescent="0.3">
      <c r="B371" t="s">
        <v>166</v>
      </c>
      <c r="C371" t="s">
        <v>167</v>
      </c>
      <c r="D371" t="s">
        <v>560</v>
      </c>
      <c r="E371" t="s">
        <v>169</v>
      </c>
      <c r="F371" s="502">
        <v>46301</v>
      </c>
      <c r="G371" t="s">
        <v>3322</v>
      </c>
      <c r="H371">
        <v>100289</v>
      </c>
      <c r="I371">
        <v>100289</v>
      </c>
      <c r="J371" s="38">
        <v>0</v>
      </c>
      <c r="K371">
        <v>0</v>
      </c>
      <c r="L371">
        <v>0</v>
      </c>
      <c r="M371" s="38">
        <v>0</v>
      </c>
      <c r="N371">
        <v>6.2</v>
      </c>
      <c r="O371">
        <v>5368</v>
      </c>
      <c r="P371" s="37">
        <v>43400000000</v>
      </c>
      <c r="Q371" s="37">
        <v>50977838055.555542</v>
      </c>
      <c r="R371" s="37">
        <v>-6480563013.958231</v>
      </c>
      <c r="S371">
        <v>3.8282327889999999</v>
      </c>
      <c r="T371" s="70">
        <v>0.1335601733614</v>
      </c>
      <c r="U371">
        <v>0.13867317000000001</v>
      </c>
      <c r="V371">
        <v>3.5676639816599999E-2</v>
      </c>
      <c r="W371">
        <v>0</v>
      </c>
      <c r="X371" s="38">
        <v>0</v>
      </c>
      <c r="Y371">
        <v>0</v>
      </c>
      <c r="Z371" s="70">
        <v>32761500000.000488</v>
      </c>
      <c r="AA371" s="70">
        <v>0</v>
      </c>
      <c r="AB371" s="70">
        <v>32761500000.000488</v>
      </c>
      <c r="AC371" s="70">
        <v>32761500000.000488</v>
      </c>
      <c r="AD371" s="70">
        <v>32761500000</v>
      </c>
      <c r="AE371" s="70">
        <v>32761500000.000488</v>
      </c>
      <c r="AF371">
        <v>0</v>
      </c>
      <c r="AG371" s="72">
        <f>Tradingbook_MSB[[#This Row],[Mat. Date]]-RPT</f>
        <v>49</v>
      </c>
      <c r="AH371" s="71">
        <f>IF(Tradingbook_MSB[[#This Row],[Days]]&lt;=0,0,YEARFRAC(RPT,Tradingbook_MSB[[#This Row],[Mat. Date]],3))</f>
        <v>0.13424657534246576</v>
      </c>
      <c r="AI371" s="71" t="str">
        <f>IF(Tradingbook_MSB[[#This Row],[Days (year)]]=0,0,INDEX(Ref!$K$2:$K$13,MATCH(Tradingbook_MSB[[#This Row],[Days (year)]],Ref!$I$2:$I$13,1)))</f>
        <v>3M</v>
      </c>
      <c r="AJ371" s="120" t="str">
        <f>VLOOKUP(Tradingbook_MSB[[#This Row],[Security Name]],Ref!X:Z,3,0)</f>
        <v>TPCP</v>
      </c>
      <c r="AK371" s="120" t="str">
        <f>VLOOKUP(Tradingbook_MSB[[#This Row],[Security Name]],Ref!X:Y,2,0)</f>
        <v>KBNN</v>
      </c>
      <c r="AL371" s="71">
        <f>IF((Tradingbook_MSB[[#This Row],[Mat. Date]]-RPT)&lt;=0,0,Tradingbook_MSB[[#This Row],[QUANTITY]])</f>
        <v>0</v>
      </c>
      <c r="AM371" s="71">
        <f>IF(Tradingbook_MSB[[#This Row],[Quantity_edited]]=0,0,Tradingbook_MSB[[#This Row],[DURATION]])</f>
        <v>0</v>
      </c>
      <c r="AN371" s="71">
        <f>IF(Tradingbook_MSB[[#This Row],[Quantity_edited]]=0,0,Tradingbook_MSB[[#This Row],[Mod Dur]])</f>
        <v>0</v>
      </c>
      <c r="AO371" s="71">
        <f>IF(Tradingbook_MSB[[#This Row],[Quantity_edited]]=0,0,Tradingbook_MSB[[#This Row],[Cnvx.]])</f>
        <v>0</v>
      </c>
      <c r="AP371" s="71">
        <f>(Tradingbook_MSB[[#This Row],[MARKET_VALUE]]+Tradingbook_MSB[[#This Row],[Accr Int]]*Tradingbook_MSB[[#This Row],[Quantity_edited]])*(-Tradingbook_MSB[[#This Row],[Modified Duration]]*0.0001+0.5*Tradingbook_MSB[[#This Row],[Conv]]*(0.0001^2))</f>
        <v>0</v>
      </c>
      <c r="AQ371" s="72">
        <f>(Tradingbook_MSB[[#This Row],[MARKET_VALUE]]+Tradingbook_MSB[[#This Row],[Accr Int]]*Tradingbook_MSB[[#This Row],[Quantity_edited]])*(-Tradingbook_MSB[[#This Row],[Modified Duration]]*0.01+0.5*Tradingbook_MSB[[#This Row],[Conv]]*(0.01^2))</f>
        <v>0</v>
      </c>
      <c r="AR371" s="71"/>
      <c r="CL371" t="s">
        <v>166</v>
      </c>
      <c r="CM371" t="s">
        <v>3299</v>
      </c>
      <c r="CN371" t="s">
        <v>576</v>
      </c>
      <c r="CO371" t="s">
        <v>169</v>
      </c>
      <c r="CP371" s="35">
        <v>46689</v>
      </c>
      <c r="CQ371" t="s">
        <v>3322</v>
      </c>
      <c r="CR371" t="s">
        <v>4184</v>
      </c>
      <c r="CS371" t="s">
        <v>4185</v>
      </c>
      <c r="CT371" s="70">
        <v>0</v>
      </c>
      <c r="CU371">
        <v>0</v>
      </c>
      <c r="CV371">
        <v>0</v>
      </c>
      <c r="CW371" s="70">
        <v>0</v>
      </c>
      <c r="CX371">
        <v>1.5</v>
      </c>
      <c r="CY371">
        <v>1204</v>
      </c>
      <c r="CZ371">
        <v>0</v>
      </c>
      <c r="DA371">
        <v>0</v>
      </c>
      <c r="DB371">
        <v>-51634.027779579163</v>
      </c>
      <c r="DC371">
        <v>3.5498239589999998</v>
      </c>
      <c r="DD371">
        <v>1</v>
      </c>
      <c r="DE371">
        <v>1</v>
      </c>
      <c r="DF371">
        <v>2</v>
      </c>
      <c r="DG371">
        <v>0</v>
      </c>
      <c r="DH371">
        <v>0</v>
      </c>
      <c r="DI371">
        <v>0</v>
      </c>
      <c r="DJ371" s="500">
        <v>0</v>
      </c>
      <c r="DK371" s="500">
        <v>0</v>
      </c>
      <c r="DL371" s="37">
        <v>0</v>
      </c>
      <c r="DM371" s="37">
        <v>0</v>
      </c>
      <c r="DN371" s="37">
        <v>0</v>
      </c>
      <c r="DO371" s="37">
        <v>0</v>
      </c>
      <c r="DP371" s="32">
        <f>Tradingbook_SBV[[#This Row],[Mat. Date]]-RPT</f>
        <v>437</v>
      </c>
      <c r="DQ371" s="32">
        <f>IF(Tradingbook_SBV[[#This Row],[Days]]&lt;=0,0,YEARFRAC(RPT,Tradingbook_SBV[[#This Row],[Mat. Date]],3))</f>
        <v>1.1972602739726028</v>
      </c>
      <c r="DR371" s="32" t="str">
        <f>IF(Tradingbook_SBV[[#This Row],[Days (year)]]=0,0,INDEX(Ref!$K$2:$K$13,MATCH(Tradingbook_SBV[[#This Row],[Days (year)]],Ref!$I$2:$I$13,1)))</f>
        <v>1Y</v>
      </c>
      <c r="DS371" s="32" t="str">
        <f>VLOOKUP(Tradingbook_SBV[[#This Row],[Security Name]],Ref!X:Z,3,0)</f>
        <v>TPCP</v>
      </c>
      <c r="DT371" s="32" t="str">
        <f>VLOOKUP(Tradingbook_SBV[[#This Row],[Security Name]],Ref!X:Y,2,0)</f>
        <v>KBNN</v>
      </c>
      <c r="DU371" s="71">
        <f>IF((Tradingbook_SBV[[#This Row],[Mat. Date]]-RPT)&lt;=0,0,Tradingbook_SBV[[#This Row],[QUANTITY]])</f>
        <v>0</v>
      </c>
      <c r="DV371" s="71">
        <f>IF(Tradingbook_SBV[[#This Row],[Quantity_edited]]=0,0,Tradingbook_SBV[[#This Row],[DURATION]])</f>
        <v>0</v>
      </c>
      <c r="DW371" s="71">
        <f>IF(Tradingbook_SBV[[#This Row],[Quantity_edited]]=0,0,Tradingbook_SBV[[#This Row],[Mod Dur]])</f>
        <v>0</v>
      </c>
      <c r="DX371" s="71">
        <f>IF(Tradingbook_SBV[[#This Row],[Quantity_edited]]=0,0,Tradingbook_SBV[[#This Row],[Cnvx.]])</f>
        <v>0</v>
      </c>
      <c r="DY371" s="71">
        <f>(Tradingbook_SBV[[#This Row],[MARKET_VALUE]]+Tradingbook_SBV[[#This Row],[Accr Int]]*Tradingbook_SBV[[#This Row],[Quantity_edited]])*(-Tradingbook_SBV[[#This Row],[Modified Duration]]*0.0001+0.5*Tradingbook_SBV[[#This Row],[Conv]]*(0.0001^2))</f>
        <v>0</v>
      </c>
      <c r="DZ371" s="71">
        <f>(Tradingbook_SBV[[#This Row],[MARKET_VALUE]]+Tradingbook_SBV[[#This Row],[Accr Int]]*Tradingbook_SBV[[#This Row],[Quantity_edited]])*(-Tradingbook_SBV[[#This Row],[Modified Duration]]*0.01+0.5*Tradingbook_SBV[[#This Row],[Conv]]*(0.01^2))</f>
        <v>0</v>
      </c>
      <c r="EC371" t="s">
        <v>166</v>
      </c>
      <c r="ED371" t="s">
        <v>3303</v>
      </c>
      <c r="EE371" t="s">
        <v>2497</v>
      </c>
      <c r="EF371" t="s">
        <v>169</v>
      </c>
      <c r="EG371" s="35" t="s">
        <v>3484</v>
      </c>
      <c r="EH371" t="s">
        <v>170</v>
      </c>
      <c r="EI371" s="500">
        <v>92330</v>
      </c>
      <c r="EJ371" s="500">
        <v>92330</v>
      </c>
      <c r="EK371" s="500">
        <v>6000000</v>
      </c>
      <c r="EL371" s="500">
        <v>600000000000</v>
      </c>
      <c r="EM371" s="500">
        <v>105186.798</v>
      </c>
      <c r="EN371" s="500">
        <v>553980000000</v>
      </c>
      <c r="EO371">
        <v>4.2</v>
      </c>
      <c r="EP371">
        <v>1703</v>
      </c>
      <c r="EQ371">
        <v>60900000000</v>
      </c>
      <c r="ER371">
        <v>64319327916.666687</v>
      </c>
      <c r="ES371">
        <v>-298582205962.49799</v>
      </c>
      <c r="ET371">
        <v>4.7101924540000004</v>
      </c>
      <c r="EU371">
        <v>15.0779556773807</v>
      </c>
      <c r="EV371">
        <v>15.788156409999999</v>
      </c>
      <c r="EW371">
        <v>325.46127060580602</v>
      </c>
      <c r="EX371">
        <v>1836245.9795325452</v>
      </c>
      <c r="EY371">
        <v>-850695.24372668401</v>
      </c>
      <c r="EZ371">
        <v>71149.508000000002</v>
      </c>
      <c r="FA371">
        <v>79973798678.409668</v>
      </c>
      <c r="FB371">
        <v>-77140786678.412552</v>
      </c>
      <c r="FC371">
        <v>2833011999.9971161</v>
      </c>
      <c r="FD371">
        <v>2833011999.9971161</v>
      </c>
      <c r="FE371">
        <v>2833011999.9970002</v>
      </c>
      <c r="FF371">
        <v>2833011999.9971161</v>
      </c>
      <c r="FG371" s="32">
        <f>Bankingbook_SBV[[#This Row],[Mat. Date]]-RPT</f>
        <v>9714</v>
      </c>
      <c r="FH371" s="32">
        <f>IF(Bankingbook_SBV[[#This Row],[Days]]&lt;=0,0,YEARFRAC(RPT,Bankingbook_SBV[[#This Row],[Mat. Date]],3))</f>
        <v>26.613698630136987</v>
      </c>
      <c r="FI371" s="32" t="str">
        <f>IF(Bankingbook_SBV[[#This Row],[Days (year)]]=0,0,INDEX(Ref!$K$2:$K$13,MATCH(Bankingbook_SBV[[#This Row],[Days (year)]],Ref!$I$2:$I$13,1)))</f>
        <v>30Y</v>
      </c>
      <c r="FJ371" s="32" t="str">
        <f>VLOOKUP(Bankingbook_SBV[[#This Row],[Security Name]],Ref!X:Z,3,0)</f>
        <v>TPCP</v>
      </c>
      <c r="FK371" s="32" t="str">
        <f>VLOOKUP(Bankingbook_SBV[[#This Row],[Security Name]],Ref!X:Y,2,0)</f>
        <v>KBNN</v>
      </c>
      <c r="FL371" s="72">
        <f>IF((Bankingbook_SBV[[#This Row],[Mat. Date]]-RPT)&lt;=0,0,Bankingbook_SBV[[#This Row],[QUANTITY]])</f>
        <v>6000000</v>
      </c>
      <c r="FM371" s="32">
        <f>IF(Bankingbook_SBV[[#This Row],[Quantity_edited]]=0,0,Bankingbook_SBV[[#This Row],[DURATION]])</f>
        <v>15.788156409999999</v>
      </c>
      <c r="FN371" s="32">
        <f>IF(Bankingbook_SBV[[#This Row],[Quantity_edited]]=0,0,Bankingbook_SBV[[#This Row],[Mod Dur]])</f>
        <v>15.0779556773807</v>
      </c>
      <c r="FO371" s="32">
        <f>IF(Bankingbook_SBV[[#This Row],[Quantity_edited]]=0,0,Bankingbook_SBV[[#This Row],[Cnvx.]])</f>
        <v>325.46127060580602</v>
      </c>
      <c r="FP371" s="32">
        <f>(Bankingbook_SBV[[#This Row],[MARKET_VALUE]]+Bankingbook_SBV[[#This Row],[Accr Int]]*Bankingbook_SBV[[#This Row],[Quantity_edited]])*(-Bankingbook_SBV[[#This Row],[Modified Duration]]*0.0001+0.5*Bankingbook_SBV[[#This Row],[Conv]]*(0.0001^2))</f>
        <v>-849777120.73691738</v>
      </c>
      <c r="FQ371" s="32">
        <f>(Bankingbook_SBV[[#This Row],[MARKET_VALUE]]+Bankingbook_SBV[[#This Row],[Accr Int]]*Bankingbook_SBV[[#This Row],[Quantity_edited]])*(-Bankingbook_SBV[[#This Row],[Modified Duration]]*0.01+0.5*Bankingbook_SBV[[#This Row],[Conv]]*(0.01^2))</f>
        <v>-75888294475.005646</v>
      </c>
    </row>
    <row r="372" spans="2:173" x14ac:dyDescent="0.3">
      <c r="B372" t="s">
        <v>166</v>
      </c>
      <c r="C372" t="s">
        <v>167</v>
      </c>
      <c r="D372" t="s">
        <v>561</v>
      </c>
      <c r="E372" t="s">
        <v>169</v>
      </c>
      <c r="F372" s="502">
        <v>46323</v>
      </c>
      <c r="G372" t="s">
        <v>3322</v>
      </c>
      <c r="H372">
        <v>99411</v>
      </c>
      <c r="I372">
        <v>99411</v>
      </c>
      <c r="J372" s="38">
        <v>0</v>
      </c>
      <c r="K372">
        <v>0</v>
      </c>
      <c r="L372">
        <v>0</v>
      </c>
      <c r="M372" s="38">
        <v>0</v>
      </c>
      <c r="N372">
        <v>0.8</v>
      </c>
      <c r="O372">
        <v>644</v>
      </c>
      <c r="P372" s="37">
        <v>0</v>
      </c>
      <c r="Q372" s="37">
        <v>-1.9999999999999999E-6</v>
      </c>
      <c r="R372" s="37">
        <v>-251134810.1388073</v>
      </c>
      <c r="S372">
        <v>3.8278242740000001</v>
      </c>
      <c r="T372" s="70">
        <v>0.1930828712764</v>
      </c>
      <c r="U372">
        <v>0.20047374000000001</v>
      </c>
      <c r="V372">
        <v>7.4561990360700006E-2</v>
      </c>
      <c r="W372">
        <v>0</v>
      </c>
      <c r="X372" s="38">
        <v>0</v>
      </c>
      <c r="Y372">
        <v>0</v>
      </c>
      <c r="Z372" s="70">
        <v>-410500000</v>
      </c>
      <c r="AA372" s="70">
        <v>0</v>
      </c>
      <c r="AB372" s="70">
        <v>-410500000</v>
      </c>
      <c r="AC372" s="70">
        <v>-410500000</v>
      </c>
      <c r="AD372" s="70">
        <v>-410500000</v>
      </c>
      <c r="AE372" s="70">
        <v>-410500000</v>
      </c>
      <c r="AF372">
        <v>0</v>
      </c>
      <c r="AG372" s="72">
        <f>Tradingbook_MSB[[#This Row],[Mat. Date]]-RPT</f>
        <v>71</v>
      </c>
      <c r="AH372" s="71">
        <f>IF(Tradingbook_MSB[[#This Row],[Days]]&lt;=0,0,YEARFRAC(RPT,Tradingbook_MSB[[#This Row],[Mat. Date]],3))</f>
        <v>0.19452054794520549</v>
      </c>
      <c r="AI372" s="71" t="str">
        <f>IF(Tradingbook_MSB[[#This Row],[Days (year)]]=0,0,INDEX(Ref!$K$2:$K$13,MATCH(Tradingbook_MSB[[#This Row],[Days (year)]],Ref!$I$2:$I$13,1)))</f>
        <v>3M</v>
      </c>
      <c r="AJ372" s="120" t="str">
        <f>VLOOKUP(Tradingbook_MSB[[#This Row],[Security Name]],Ref!X:Z,3,0)</f>
        <v>TPCP</v>
      </c>
      <c r="AK372" s="120" t="str">
        <f>VLOOKUP(Tradingbook_MSB[[#This Row],[Security Name]],Ref!X:Y,2,0)</f>
        <v>KBNN</v>
      </c>
      <c r="AL372" s="71">
        <f>IF((Tradingbook_MSB[[#This Row],[Mat. Date]]-RPT)&lt;=0,0,Tradingbook_MSB[[#This Row],[QUANTITY]])</f>
        <v>0</v>
      </c>
      <c r="AM372" s="71">
        <f>IF(Tradingbook_MSB[[#This Row],[Quantity_edited]]=0,0,Tradingbook_MSB[[#This Row],[DURATION]])</f>
        <v>0</v>
      </c>
      <c r="AN372" s="71">
        <f>IF(Tradingbook_MSB[[#This Row],[Quantity_edited]]=0,0,Tradingbook_MSB[[#This Row],[Mod Dur]])</f>
        <v>0</v>
      </c>
      <c r="AO372" s="71">
        <f>IF(Tradingbook_MSB[[#This Row],[Quantity_edited]]=0,0,Tradingbook_MSB[[#This Row],[Cnvx.]])</f>
        <v>0</v>
      </c>
      <c r="AP372" s="71">
        <f>(Tradingbook_MSB[[#This Row],[MARKET_VALUE]]+Tradingbook_MSB[[#This Row],[Accr Int]]*Tradingbook_MSB[[#This Row],[Quantity_edited]])*(-Tradingbook_MSB[[#This Row],[Modified Duration]]*0.0001+0.5*Tradingbook_MSB[[#This Row],[Conv]]*(0.0001^2))</f>
        <v>0</v>
      </c>
      <c r="AQ372" s="72">
        <f>(Tradingbook_MSB[[#This Row],[MARKET_VALUE]]+Tradingbook_MSB[[#This Row],[Accr Int]]*Tradingbook_MSB[[#This Row],[Quantity_edited]])*(-Tradingbook_MSB[[#This Row],[Modified Duration]]*0.01+0.5*Tradingbook_MSB[[#This Row],[Conv]]*(0.01^2))</f>
        <v>0</v>
      </c>
      <c r="AR372" s="71"/>
      <c r="CL372" t="s">
        <v>166</v>
      </c>
      <c r="CM372" t="s">
        <v>3299</v>
      </c>
      <c r="CN372" t="s">
        <v>577</v>
      </c>
      <c r="CO372" t="s">
        <v>169</v>
      </c>
      <c r="CP372" s="35">
        <v>46693</v>
      </c>
      <c r="CQ372" t="s">
        <v>3322</v>
      </c>
      <c r="CR372" t="s">
        <v>4186</v>
      </c>
      <c r="CS372" t="s">
        <v>4187</v>
      </c>
      <c r="CT372" s="70">
        <v>0</v>
      </c>
      <c r="CU372">
        <v>0</v>
      </c>
      <c r="CV372">
        <v>0</v>
      </c>
      <c r="CW372" s="70">
        <v>0</v>
      </c>
      <c r="CX372">
        <v>5.4</v>
      </c>
      <c r="CY372">
        <v>4276</v>
      </c>
      <c r="CZ372">
        <v>51300000000</v>
      </c>
      <c r="DA372">
        <v>61115260125.000183</v>
      </c>
      <c r="DB372">
        <v>-24494232486.569603</v>
      </c>
      <c r="DC372">
        <v>3.5507032160000001</v>
      </c>
      <c r="DD372">
        <v>1</v>
      </c>
      <c r="DE372">
        <v>1</v>
      </c>
      <c r="DF372">
        <v>2</v>
      </c>
      <c r="DG372">
        <v>0</v>
      </c>
      <c r="DH372">
        <v>0</v>
      </c>
      <c r="DI372">
        <v>0</v>
      </c>
      <c r="DJ372" s="500">
        <v>27969400000</v>
      </c>
      <c r="DK372" s="500">
        <v>0</v>
      </c>
      <c r="DL372" s="37">
        <v>27969400000</v>
      </c>
      <c r="DM372" s="37">
        <v>27969400000</v>
      </c>
      <c r="DN372" s="37">
        <v>27969400000</v>
      </c>
      <c r="DO372" s="37">
        <v>27969400000</v>
      </c>
      <c r="DP372" s="32">
        <f>Tradingbook_SBV[[#This Row],[Mat. Date]]-RPT</f>
        <v>441</v>
      </c>
      <c r="DQ372" s="32">
        <f>IF(Tradingbook_SBV[[#This Row],[Days]]&lt;=0,0,YEARFRAC(RPT,Tradingbook_SBV[[#This Row],[Mat. Date]],3))</f>
        <v>1.2082191780821918</v>
      </c>
      <c r="DR372" s="32" t="str">
        <f>IF(Tradingbook_SBV[[#This Row],[Days (year)]]=0,0,INDEX(Ref!$K$2:$K$13,MATCH(Tradingbook_SBV[[#This Row],[Days (year)]],Ref!$I$2:$I$13,1)))</f>
        <v>1Y</v>
      </c>
      <c r="DS372" s="32" t="str">
        <f>VLOOKUP(Tradingbook_SBV[[#This Row],[Security Name]],Ref!X:Z,3,0)</f>
        <v>TPCP</v>
      </c>
      <c r="DT372" s="32" t="str">
        <f>VLOOKUP(Tradingbook_SBV[[#This Row],[Security Name]],Ref!X:Y,2,0)</f>
        <v>KBNN</v>
      </c>
      <c r="DU372" s="71">
        <f>IF((Tradingbook_SBV[[#This Row],[Mat. Date]]-RPT)&lt;=0,0,Tradingbook_SBV[[#This Row],[QUANTITY]])</f>
        <v>0</v>
      </c>
      <c r="DV372" s="71">
        <f>IF(Tradingbook_SBV[[#This Row],[Quantity_edited]]=0,0,Tradingbook_SBV[[#This Row],[DURATION]])</f>
        <v>0</v>
      </c>
      <c r="DW372" s="71">
        <f>IF(Tradingbook_SBV[[#This Row],[Quantity_edited]]=0,0,Tradingbook_SBV[[#This Row],[Mod Dur]])</f>
        <v>0</v>
      </c>
      <c r="DX372" s="71">
        <f>IF(Tradingbook_SBV[[#This Row],[Quantity_edited]]=0,0,Tradingbook_SBV[[#This Row],[Cnvx.]])</f>
        <v>0</v>
      </c>
      <c r="DY372" s="71">
        <f>(Tradingbook_SBV[[#This Row],[MARKET_VALUE]]+Tradingbook_SBV[[#This Row],[Accr Int]]*Tradingbook_SBV[[#This Row],[Quantity_edited]])*(-Tradingbook_SBV[[#This Row],[Modified Duration]]*0.0001+0.5*Tradingbook_SBV[[#This Row],[Conv]]*(0.0001^2))</f>
        <v>0</v>
      </c>
      <c r="DZ372" s="71">
        <f>(Tradingbook_SBV[[#This Row],[MARKET_VALUE]]+Tradingbook_SBV[[#This Row],[Accr Int]]*Tradingbook_SBV[[#This Row],[Quantity_edited]])*(-Tradingbook_SBV[[#This Row],[Modified Duration]]*0.01+0.5*Tradingbook_SBV[[#This Row],[Conv]]*(0.01^2))</f>
        <v>0</v>
      </c>
      <c r="EC372" t="s">
        <v>166</v>
      </c>
      <c r="ED372" t="s">
        <v>3303</v>
      </c>
      <c r="EE372" t="s">
        <v>3026</v>
      </c>
      <c r="EF372" t="s">
        <v>169</v>
      </c>
      <c r="EG372" s="35" t="s">
        <v>3861</v>
      </c>
      <c r="EH372" t="s">
        <v>3322</v>
      </c>
      <c r="EI372" s="500">
        <v>70844</v>
      </c>
      <c r="EJ372" s="500">
        <v>70844</v>
      </c>
      <c r="EK372" s="500">
        <v>0</v>
      </c>
      <c r="EL372" s="500">
        <v>0</v>
      </c>
      <c r="EM372" s="500">
        <v>0</v>
      </c>
      <c r="EN372" s="500">
        <v>0</v>
      </c>
      <c r="EO372">
        <v>2.8</v>
      </c>
      <c r="EP372">
        <v>1626</v>
      </c>
      <c r="EQ372">
        <v>0</v>
      </c>
      <c r="ER372">
        <v>9.0000000000000002E-6</v>
      </c>
      <c r="ES372">
        <v>-63245157959.708267</v>
      </c>
      <c r="ET372">
        <v>4.7157167209999997</v>
      </c>
      <c r="EU372">
        <v>16.616543770634301</v>
      </c>
      <c r="EV372">
        <v>17.400132899999999</v>
      </c>
      <c r="EW372">
        <v>383.97952550017288</v>
      </c>
      <c r="EX372">
        <v>0</v>
      </c>
      <c r="EY372">
        <v>0</v>
      </c>
      <c r="EZ372">
        <v>0</v>
      </c>
      <c r="FA372">
        <v>13288470000.000977</v>
      </c>
      <c r="FB372">
        <v>0</v>
      </c>
      <c r="FC372">
        <v>13288470000.000977</v>
      </c>
      <c r="FD372">
        <v>13288470000.000977</v>
      </c>
      <c r="FE372">
        <v>13288470000.000999</v>
      </c>
      <c r="FF372">
        <v>13288470000.000977</v>
      </c>
      <c r="FG372" s="32">
        <f>Bankingbook_SBV[[#This Row],[Mat. Date]]-RPT</f>
        <v>10015</v>
      </c>
      <c r="FH372" s="32">
        <f>IF(Bankingbook_SBV[[#This Row],[Days]]&lt;=0,0,YEARFRAC(RPT,Bankingbook_SBV[[#This Row],[Mat. Date]],3))</f>
        <v>27.438356164383563</v>
      </c>
      <c r="FI372" s="32" t="str">
        <f>IF(Bankingbook_SBV[[#This Row],[Days (year)]]=0,0,INDEX(Ref!$K$2:$K$13,MATCH(Bankingbook_SBV[[#This Row],[Days (year)]],Ref!$I$2:$I$13,1)))</f>
        <v>30Y</v>
      </c>
      <c r="FJ372" s="32" t="str">
        <f>VLOOKUP(Bankingbook_SBV[[#This Row],[Security Name]],Ref!X:Z,3,0)</f>
        <v>TPCP</v>
      </c>
      <c r="FK372" s="32" t="str">
        <f>VLOOKUP(Bankingbook_SBV[[#This Row],[Security Name]],Ref!X:Y,2,0)</f>
        <v>KBNN</v>
      </c>
      <c r="FL372" s="72">
        <f>IF((Bankingbook_SBV[[#This Row],[Mat. Date]]-RPT)&lt;=0,0,Bankingbook_SBV[[#This Row],[QUANTITY]])</f>
        <v>0</v>
      </c>
      <c r="FM372" s="32">
        <f>IF(Bankingbook_SBV[[#This Row],[Quantity_edited]]=0,0,Bankingbook_SBV[[#This Row],[DURATION]])</f>
        <v>0</v>
      </c>
      <c r="FN372" s="32">
        <f>IF(Bankingbook_SBV[[#This Row],[Quantity_edited]]=0,0,Bankingbook_SBV[[#This Row],[Mod Dur]])</f>
        <v>0</v>
      </c>
      <c r="FO372" s="32">
        <f>IF(Bankingbook_SBV[[#This Row],[Quantity_edited]]=0,0,Bankingbook_SBV[[#This Row],[Cnvx.]])</f>
        <v>0</v>
      </c>
      <c r="FP372" s="32">
        <f>(Bankingbook_SBV[[#This Row],[MARKET_VALUE]]+Bankingbook_SBV[[#This Row],[Accr Int]]*Bankingbook_SBV[[#This Row],[Quantity_edited]])*(-Bankingbook_SBV[[#This Row],[Modified Duration]]*0.0001+0.5*Bankingbook_SBV[[#This Row],[Conv]]*(0.0001^2))</f>
        <v>0</v>
      </c>
      <c r="FQ372" s="32">
        <f>(Bankingbook_SBV[[#This Row],[MARKET_VALUE]]+Bankingbook_SBV[[#This Row],[Accr Int]]*Bankingbook_SBV[[#This Row],[Quantity_edited]])*(-Bankingbook_SBV[[#This Row],[Modified Duration]]*0.01+0.5*Bankingbook_SBV[[#This Row],[Conv]]*(0.01^2))</f>
        <v>0</v>
      </c>
    </row>
    <row r="373" spans="2:173" x14ac:dyDescent="0.3">
      <c r="B373" t="s">
        <v>166</v>
      </c>
      <c r="C373" t="s">
        <v>167</v>
      </c>
      <c r="D373" t="s">
        <v>562</v>
      </c>
      <c r="E373" t="s">
        <v>169</v>
      </c>
      <c r="F373" s="502">
        <v>46339</v>
      </c>
      <c r="G373" t="s">
        <v>3322</v>
      </c>
      <c r="H373">
        <v>99892</v>
      </c>
      <c r="I373">
        <v>99892</v>
      </c>
      <c r="J373" s="38">
        <v>0</v>
      </c>
      <c r="K373">
        <v>0</v>
      </c>
      <c r="L373">
        <v>0</v>
      </c>
      <c r="M373" s="38">
        <v>0</v>
      </c>
      <c r="N373">
        <v>4</v>
      </c>
      <c r="O373">
        <v>3047</v>
      </c>
      <c r="P373" s="37">
        <v>24000000000</v>
      </c>
      <c r="Q373" s="37">
        <v>27781284999.999886</v>
      </c>
      <c r="R373" s="37">
        <v>-4371555320.4855537</v>
      </c>
      <c r="S373">
        <v>4.3242326420000001</v>
      </c>
      <c r="T373" s="70">
        <v>0.23592447312930001</v>
      </c>
      <c r="U373">
        <v>0.2461264</v>
      </c>
      <c r="V373">
        <v>0.1113207140428</v>
      </c>
      <c r="W373">
        <v>0</v>
      </c>
      <c r="X373" s="38">
        <v>0</v>
      </c>
      <c r="Y373">
        <v>0</v>
      </c>
      <c r="Z373" s="70">
        <v>18977500000</v>
      </c>
      <c r="AA373" s="70">
        <v>0</v>
      </c>
      <c r="AB373" s="70">
        <v>18977500000</v>
      </c>
      <c r="AC373" s="70">
        <v>18977500000</v>
      </c>
      <c r="AD373" s="70">
        <v>18977500000</v>
      </c>
      <c r="AE373" s="70">
        <v>18977500000</v>
      </c>
      <c r="AF373">
        <v>0</v>
      </c>
      <c r="AG373" s="72">
        <f>Tradingbook_MSB[[#This Row],[Mat. Date]]-RPT</f>
        <v>87</v>
      </c>
      <c r="AH373" s="71">
        <f>IF(Tradingbook_MSB[[#This Row],[Days]]&lt;=0,0,YEARFRAC(RPT,Tradingbook_MSB[[#This Row],[Mat. Date]],3))</f>
        <v>0.23835616438356164</v>
      </c>
      <c r="AI373" s="71" t="str">
        <f>IF(Tradingbook_MSB[[#This Row],[Days (year)]]=0,0,INDEX(Ref!$K$2:$K$13,MATCH(Tradingbook_MSB[[#This Row],[Days (year)]],Ref!$I$2:$I$13,1)))</f>
        <v>3M</v>
      </c>
      <c r="AJ373" s="120" t="str">
        <f>VLOOKUP(Tradingbook_MSB[[#This Row],[Security Name]],Ref!X:Z,3,0)</f>
        <v>TPCPBL</v>
      </c>
      <c r="AK373" s="120" t="str">
        <f>VLOOKUP(Tradingbook_MSB[[#This Row],[Security Name]],Ref!X:Y,2,0)</f>
        <v>VDB</v>
      </c>
      <c r="AL373" s="71">
        <f>IF((Tradingbook_MSB[[#This Row],[Mat. Date]]-RPT)&lt;=0,0,Tradingbook_MSB[[#This Row],[QUANTITY]])</f>
        <v>0</v>
      </c>
      <c r="AM373" s="71">
        <f>IF(Tradingbook_MSB[[#This Row],[Quantity_edited]]=0,0,Tradingbook_MSB[[#This Row],[DURATION]])</f>
        <v>0</v>
      </c>
      <c r="AN373" s="71">
        <f>IF(Tradingbook_MSB[[#This Row],[Quantity_edited]]=0,0,Tradingbook_MSB[[#This Row],[Mod Dur]])</f>
        <v>0</v>
      </c>
      <c r="AO373" s="71">
        <f>IF(Tradingbook_MSB[[#This Row],[Quantity_edited]]=0,0,Tradingbook_MSB[[#This Row],[Cnvx.]])</f>
        <v>0</v>
      </c>
      <c r="AP373" s="71">
        <f>(Tradingbook_MSB[[#This Row],[MARKET_VALUE]]+Tradingbook_MSB[[#This Row],[Accr Int]]*Tradingbook_MSB[[#This Row],[Quantity_edited]])*(-Tradingbook_MSB[[#This Row],[Modified Duration]]*0.0001+0.5*Tradingbook_MSB[[#This Row],[Conv]]*(0.0001^2))</f>
        <v>0</v>
      </c>
      <c r="AQ373" s="72">
        <f>(Tradingbook_MSB[[#This Row],[MARKET_VALUE]]+Tradingbook_MSB[[#This Row],[Accr Int]]*Tradingbook_MSB[[#This Row],[Quantity_edited]])*(-Tradingbook_MSB[[#This Row],[Modified Duration]]*0.01+0.5*Tradingbook_MSB[[#This Row],[Conv]]*(0.01^2))</f>
        <v>0</v>
      </c>
      <c r="CL373" t="s">
        <v>166</v>
      </c>
      <c r="CM373" t="s">
        <v>3299</v>
      </c>
      <c r="CN373" t="s">
        <v>579</v>
      </c>
      <c r="CO373" t="s">
        <v>169</v>
      </c>
      <c r="CP373">
        <v>46727</v>
      </c>
      <c r="CQ373" t="s">
        <v>3322</v>
      </c>
      <c r="CR373" t="s">
        <v>4188</v>
      </c>
      <c r="CS373" t="s">
        <v>4189</v>
      </c>
      <c r="CT373">
        <v>0</v>
      </c>
      <c r="CU373">
        <v>0</v>
      </c>
      <c r="CV373">
        <v>0</v>
      </c>
      <c r="CW373">
        <v>0</v>
      </c>
      <c r="CX373">
        <v>5.9</v>
      </c>
      <c r="CY373">
        <v>4122</v>
      </c>
      <c r="CZ373">
        <v>0</v>
      </c>
      <c r="DA373">
        <v>2.4399999999999999E-4</v>
      </c>
      <c r="DB373">
        <v>-1307811323.3699188</v>
      </c>
      <c r="DC373">
        <v>4.0604530409999997</v>
      </c>
      <c r="DD373">
        <v>1</v>
      </c>
      <c r="DE373">
        <v>1</v>
      </c>
      <c r="DF373">
        <v>3</v>
      </c>
      <c r="DG373">
        <v>0</v>
      </c>
      <c r="DH373">
        <v>0</v>
      </c>
      <c r="DI373">
        <v>0</v>
      </c>
      <c r="DJ373">
        <v>-587960000</v>
      </c>
      <c r="DK373">
        <v>0</v>
      </c>
      <c r="DL373">
        <v>-587960000</v>
      </c>
      <c r="DM373">
        <v>-587960000</v>
      </c>
      <c r="DN373">
        <v>-587960000</v>
      </c>
      <c r="DO373">
        <v>-587960000</v>
      </c>
      <c r="DP373" s="32">
        <f>Tradingbook_SBV[[#This Row],[Mat. Date]]-RPT</f>
        <v>475</v>
      </c>
      <c r="DQ373" s="32">
        <f>IF(Tradingbook_SBV[[#This Row],[Days]]&lt;=0,0,YEARFRAC(RPT,Tradingbook_SBV[[#This Row],[Mat. Date]],3))</f>
        <v>1.3013698630136987</v>
      </c>
      <c r="DR373" s="32" t="str">
        <f>IF(Tradingbook_SBV[[#This Row],[Days (year)]]=0,0,INDEX(Ref!$K$2:$K$13,MATCH(Tradingbook_SBV[[#This Row],[Days (year)]],Ref!$I$2:$I$13,1)))</f>
        <v>1Y</v>
      </c>
      <c r="DS373" s="32" t="str">
        <f>VLOOKUP(Tradingbook_SBV[[#This Row],[Security Name]],Ref!X:Z,3,0)</f>
        <v>TPCPBL</v>
      </c>
      <c r="DT373" s="32" t="str">
        <f>VLOOKUP(Tradingbook_SBV[[#This Row],[Security Name]],Ref!X:Y,2,0)</f>
        <v>VDB</v>
      </c>
      <c r="DU373" s="71">
        <f>IF((Tradingbook_SBV[[#This Row],[Mat. Date]]-RPT)&lt;=0,0,Tradingbook_SBV[[#This Row],[QUANTITY]])</f>
        <v>0</v>
      </c>
      <c r="DV373" s="71">
        <f>IF(Tradingbook_SBV[[#This Row],[Quantity_edited]]=0,0,Tradingbook_SBV[[#This Row],[DURATION]])</f>
        <v>0</v>
      </c>
      <c r="DW373" s="71">
        <f>IF(Tradingbook_SBV[[#This Row],[Quantity_edited]]=0,0,Tradingbook_SBV[[#This Row],[Mod Dur]])</f>
        <v>0</v>
      </c>
      <c r="DX373" s="71">
        <f>IF(Tradingbook_SBV[[#This Row],[Quantity_edited]]=0,0,Tradingbook_SBV[[#This Row],[Cnvx.]])</f>
        <v>0</v>
      </c>
      <c r="DY373" s="71">
        <f>(Tradingbook_SBV[[#This Row],[MARKET_VALUE]]+Tradingbook_SBV[[#This Row],[Accr Int]]*Tradingbook_SBV[[#This Row],[Quantity_edited]])*(-Tradingbook_SBV[[#This Row],[Modified Duration]]*0.0001+0.5*Tradingbook_SBV[[#This Row],[Conv]]*(0.0001^2))</f>
        <v>0</v>
      </c>
      <c r="DZ373" s="71">
        <f>(Tradingbook_SBV[[#This Row],[MARKET_VALUE]]+Tradingbook_SBV[[#This Row],[Accr Int]]*Tradingbook_SBV[[#This Row],[Quantity_edited]])*(-Tradingbook_SBV[[#This Row],[Modified Duration]]*0.01+0.5*Tradingbook_SBV[[#This Row],[Conv]]*(0.01^2))</f>
        <v>0</v>
      </c>
      <c r="EC373" t="s">
        <v>166</v>
      </c>
      <c r="ED373" t="s">
        <v>3303</v>
      </c>
      <c r="EE373" t="s">
        <v>3306</v>
      </c>
      <c r="EF373" t="s">
        <v>169</v>
      </c>
      <c r="EG373" t="s">
        <v>3862</v>
      </c>
      <c r="EH373" t="s">
        <v>3322</v>
      </c>
      <c r="EI373">
        <v>75201</v>
      </c>
      <c r="EJ373">
        <v>75201</v>
      </c>
      <c r="EK373">
        <v>0</v>
      </c>
      <c r="EL373">
        <v>0</v>
      </c>
      <c r="EM373">
        <v>0</v>
      </c>
      <c r="EN373">
        <v>0</v>
      </c>
      <c r="EO373">
        <v>3.1</v>
      </c>
      <c r="EP373">
        <v>561</v>
      </c>
      <c r="EQ373">
        <v>0</v>
      </c>
      <c r="ER373">
        <v>7.9999999999999996E-6</v>
      </c>
      <c r="ES373">
        <v>-24241642184.583462</v>
      </c>
      <c r="ET373">
        <v>4.7184129390000003</v>
      </c>
      <c r="EU373">
        <v>16.620291155745001</v>
      </c>
      <c r="EV373">
        <v>17.40450512</v>
      </c>
      <c r="EW373">
        <v>383.98620001742808</v>
      </c>
      <c r="EX373">
        <v>0</v>
      </c>
      <c r="EY373">
        <v>0</v>
      </c>
      <c r="EZ373">
        <v>0</v>
      </c>
      <c r="FA373">
        <v>6262500000.0004883</v>
      </c>
      <c r="FB373">
        <v>0</v>
      </c>
      <c r="FC373">
        <v>6262500000.0004883</v>
      </c>
      <c r="FD373">
        <v>6262500000.0004883</v>
      </c>
      <c r="FE373">
        <v>6262500000</v>
      </c>
      <c r="FF373">
        <v>6262500000.0004883</v>
      </c>
      <c r="FG373" s="32">
        <f>Bankingbook_SBV[[#This Row],[Mat. Date]]-RPT</f>
        <v>10161</v>
      </c>
      <c r="FH373" s="32">
        <f>IF(Bankingbook_SBV[[#This Row],[Days]]&lt;=0,0,YEARFRAC(RPT,Bankingbook_SBV[[#This Row],[Mat. Date]],3))</f>
        <v>27.838356164383562</v>
      </c>
      <c r="FI373" s="32" t="str">
        <f>IF(Bankingbook_SBV[[#This Row],[Days (year)]]=0,0,INDEX(Ref!$K$2:$K$13,MATCH(Bankingbook_SBV[[#This Row],[Days (year)]],Ref!$I$2:$I$13,1)))</f>
        <v>30Y</v>
      </c>
      <c r="FJ373" s="32" t="str">
        <f>VLOOKUP(Bankingbook_SBV[[#This Row],[Security Name]],Ref!X:Z,3,0)</f>
        <v>TPCP</v>
      </c>
      <c r="FK373" s="32" t="str">
        <f>VLOOKUP(Bankingbook_SBV[[#This Row],[Security Name]],Ref!X:Y,2,0)</f>
        <v>KBNN</v>
      </c>
      <c r="FL373" s="72">
        <f>IF((Bankingbook_SBV[[#This Row],[Mat. Date]]-RPT)&lt;=0,0,Bankingbook_SBV[[#This Row],[QUANTITY]])</f>
        <v>0</v>
      </c>
      <c r="FM373" s="32">
        <f>IF(Bankingbook_SBV[[#This Row],[Quantity_edited]]=0,0,Bankingbook_SBV[[#This Row],[DURATION]])</f>
        <v>0</v>
      </c>
      <c r="FN373" s="32">
        <f>IF(Bankingbook_SBV[[#This Row],[Quantity_edited]]=0,0,Bankingbook_SBV[[#This Row],[Mod Dur]])</f>
        <v>0</v>
      </c>
      <c r="FO373" s="32">
        <f>IF(Bankingbook_SBV[[#This Row],[Quantity_edited]]=0,0,Bankingbook_SBV[[#This Row],[Cnvx.]])</f>
        <v>0</v>
      </c>
      <c r="FP373" s="32">
        <f>(Bankingbook_SBV[[#This Row],[MARKET_VALUE]]+Bankingbook_SBV[[#This Row],[Accr Int]]*Bankingbook_SBV[[#This Row],[Quantity_edited]])*(-Bankingbook_SBV[[#This Row],[Modified Duration]]*0.0001+0.5*Bankingbook_SBV[[#This Row],[Conv]]*(0.0001^2))</f>
        <v>0</v>
      </c>
      <c r="FQ373" s="32">
        <f>(Bankingbook_SBV[[#This Row],[MARKET_VALUE]]+Bankingbook_SBV[[#This Row],[Accr Int]]*Bankingbook_SBV[[#This Row],[Quantity_edited]])*(-Bankingbook_SBV[[#This Row],[Modified Duration]]*0.01+0.5*Bankingbook_SBV[[#This Row],[Conv]]*(0.01^2))</f>
        <v>0</v>
      </c>
    </row>
    <row r="374" spans="2:173" x14ac:dyDescent="0.3">
      <c r="B374" t="s">
        <v>166</v>
      </c>
      <c r="C374" t="s">
        <v>167</v>
      </c>
      <c r="D374" t="s">
        <v>563</v>
      </c>
      <c r="E374" t="s">
        <v>169</v>
      </c>
      <c r="F374" s="502">
        <v>46346</v>
      </c>
      <c r="G374" t="s">
        <v>3322</v>
      </c>
      <c r="H374">
        <v>99860</v>
      </c>
      <c r="I374">
        <v>99860</v>
      </c>
      <c r="J374" s="38">
        <v>0</v>
      </c>
      <c r="K374">
        <v>0</v>
      </c>
      <c r="L374">
        <v>0</v>
      </c>
      <c r="M374" s="38">
        <v>0</v>
      </c>
      <c r="N374">
        <v>3.9</v>
      </c>
      <c r="O374">
        <v>2896</v>
      </c>
      <c r="P374" s="37">
        <v>13650000000</v>
      </c>
      <c r="Q374" s="37">
        <v>15833208083.333275</v>
      </c>
      <c r="R374" s="37">
        <v>-4457595249.1664591</v>
      </c>
      <c r="S374">
        <v>4.3229861610000002</v>
      </c>
      <c r="T374" s="70">
        <v>0.25469864332140002</v>
      </c>
      <c r="U374">
        <v>0.26570923000000002</v>
      </c>
      <c r="V374">
        <v>0.12974279781949999</v>
      </c>
      <c r="W374">
        <v>0</v>
      </c>
      <c r="X374" s="38">
        <v>0</v>
      </c>
      <c r="Y374">
        <v>0</v>
      </c>
      <c r="Z374" s="70">
        <v>7169000000</v>
      </c>
      <c r="AA374" s="70">
        <v>0</v>
      </c>
      <c r="AB374" s="70">
        <v>7169000000</v>
      </c>
      <c r="AC374" s="70">
        <v>7169000000</v>
      </c>
      <c r="AD374" s="70">
        <v>7169000000</v>
      </c>
      <c r="AE374" s="70">
        <v>7169000000</v>
      </c>
      <c r="AF374">
        <v>0</v>
      </c>
      <c r="AG374" s="72">
        <f>Tradingbook_MSB[[#This Row],[Mat. Date]]-RPT</f>
        <v>94</v>
      </c>
      <c r="AH374" s="71">
        <f>IF(Tradingbook_MSB[[#This Row],[Days]]&lt;=0,0,YEARFRAC(RPT,Tradingbook_MSB[[#This Row],[Mat. Date]],3))</f>
        <v>0.25753424657534246</v>
      </c>
      <c r="AI374" s="71" t="str">
        <f>IF(Tradingbook_MSB[[#This Row],[Days (year)]]=0,0,INDEX(Ref!$K$2:$K$13,MATCH(Tradingbook_MSB[[#This Row],[Days (year)]],Ref!$I$2:$I$13,1)))</f>
        <v>3M</v>
      </c>
      <c r="AJ374" s="120" t="str">
        <f>VLOOKUP(Tradingbook_MSB[[#This Row],[Security Name]],Ref!X:Z,3,0)</f>
        <v>TPCPBL</v>
      </c>
      <c r="AK374" s="120" t="str">
        <f>VLOOKUP(Tradingbook_MSB[[#This Row],[Security Name]],Ref!X:Y,2,0)</f>
        <v>VDB</v>
      </c>
      <c r="AL374" s="71">
        <f>IF((Tradingbook_MSB[[#This Row],[Mat. Date]]-RPT)&lt;=0,0,Tradingbook_MSB[[#This Row],[QUANTITY]])</f>
        <v>0</v>
      </c>
      <c r="AM374" s="71">
        <f>IF(Tradingbook_MSB[[#This Row],[Quantity_edited]]=0,0,Tradingbook_MSB[[#This Row],[DURATION]])</f>
        <v>0</v>
      </c>
      <c r="AN374" s="71">
        <f>IF(Tradingbook_MSB[[#This Row],[Quantity_edited]]=0,0,Tradingbook_MSB[[#This Row],[Mod Dur]])</f>
        <v>0</v>
      </c>
      <c r="AO374" s="71">
        <f>IF(Tradingbook_MSB[[#This Row],[Quantity_edited]]=0,0,Tradingbook_MSB[[#This Row],[Cnvx.]])</f>
        <v>0</v>
      </c>
      <c r="AP374" s="71">
        <f>(Tradingbook_MSB[[#This Row],[MARKET_VALUE]]+Tradingbook_MSB[[#This Row],[Accr Int]]*Tradingbook_MSB[[#This Row],[Quantity_edited]])*(-Tradingbook_MSB[[#This Row],[Modified Duration]]*0.0001+0.5*Tradingbook_MSB[[#This Row],[Conv]]*(0.0001^2))</f>
        <v>0</v>
      </c>
      <c r="AQ374" s="72">
        <f>(Tradingbook_MSB[[#This Row],[MARKET_VALUE]]+Tradingbook_MSB[[#This Row],[Accr Int]]*Tradingbook_MSB[[#This Row],[Quantity_edited]])*(-Tradingbook_MSB[[#This Row],[Modified Duration]]*0.01+0.5*Tradingbook_MSB[[#This Row],[Conv]]*(0.01^2))</f>
        <v>0</v>
      </c>
      <c r="CL374" t="s">
        <v>166</v>
      </c>
      <c r="CM374" t="s">
        <v>3299</v>
      </c>
      <c r="CN374" t="s">
        <v>580</v>
      </c>
      <c r="CO374" t="s">
        <v>169</v>
      </c>
      <c r="CP374">
        <v>46756</v>
      </c>
      <c r="CQ374" t="s">
        <v>3322</v>
      </c>
      <c r="CR374" t="s">
        <v>4190</v>
      </c>
      <c r="CS374" t="s">
        <v>4191</v>
      </c>
      <c r="CT374">
        <v>0</v>
      </c>
      <c r="CU374">
        <v>0</v>
      </c>
      <c r="CV374">
        <v>0</v>
      </c>
      <c r="CW374">
        <v>0</v>
      </c>
      <c r="CX374">
        <v>5.0999999999999996</v>
      </c>
      <c r="CY374">
        <v>3158</v>
      </c>
      <c r="CZ374">
        <v>20400000000</v>
      </c>
      <c r="DA374">
        <v>24191674333.333344</v>
      </c>
      <c r="DB374">
        <v>-9938810723.7779045</v>
      </c>
      <c r="DC374">
        <v>3.5685508000000001</v>
      </c>
      <c r="DD374">
        <v>1</v>
      </c>
      <c r="DE374">
        <v>1</v>
      </c>
      <c r="DF374">
        <v>3</v>
      </c>
      <c r="DG374">
        <v>0</v>
      </c>
      <c r="DH374">
        <v>0</v>
      </c>
      <c r="DI374">
        <v>0</v>
      </c>
      <c r="DJ374">
        <v>16364500000</v>
      </c>
      <c r="DK374">
        <v>0</v>
      </c>
      <c r="DL374">
        <v>16364500000</v>
      </c>
      <c r="DM374">
        <v>16364500000</v>
      </c>
      <c r="DN374">
        <v>16364500000</v>
      </c>
      <c r="DO374">
        <v>16364500000</v>
      </c>
      <c r="DP374" s="32">
        <f>Tradingbook_SBV[[#This Row],[Mat. Date]]-RPT</f>
        <v>504</v>
      </c>
      <c r="DQ374" s="32">
        <f>IF(Tradingbook_SBV[[#This Row],[Days]]&lt;=0,0,YEARFRAC(RPT,Tradingbook_SBV[[#This Row],[Mat. Date]],3))</f>
        <v>1.3808219178082193</v>
      </c>
      <c r="DR374" s="32" t="str">
        <f>IF(Tradingbook_SBV[[#This Row],[Days (year)]]=0,0,INDEX(Ref!$K$2:$K$13,MATCH(Tradingbook_SBV[[#This Row],[Days (year)]],Ref!$I$2:$I$13,1)))</f>
        <v>1Y</v>
      </c>
      <c r="DS374" s="32" t="str">
        <f>VLOOKUP(Tradingbook_SBV[[#This Row],[Security Name]],Ref!X:Z,3,0)</f>
        <v>TPCP</v>
      </c>
      <c r="DT374" s="32" t="str">
        <f>VLOOKUP(Tradingbook_SBV[[#This Row],[Security Name]],Ref!X:Y,2,0)</f>
        <v>KBNN</v>
      </c>
      <c r="DU374" s="71">
        <f>IF((Tradingbook_SBV[[#This Row],[Mat. Date]]-RPT)&lt;=0,0,Tradingbook_SBV[[#This Row],[QUANTITY]])</f>
        <v>0</v>
      </c>
      <c r="DV374" s="71">
        <f>IF(Tradingbook_SBV[[#This Row],[Quantity_edited]]=0,0,Tradingbook_SBV[[#This Row],[DURATION]])</f>
        <v>0</v>
      </c>
      <c r="DW374" s="71">
        <f>IF(Tradingbook_SBV[[#This Row],[Quantity_edited]]=0,0,Tradingbook_SBV[[#This Row],[Mod Dur]])</f>
        <v>0</v>
      </c>
      <c r="DX374" s="71">
        <f>IF(Tradingbook_SBV[[#This Row],[Quantity_edited]]=0,0,Tradingbook_SBV[[#This Row],[Cnvx.]])</f>
        <v>0</v>
      </c>
      <c r="DY374" s="71">
        <f>(Tradingbook_SBV[[#This Row],[MARKET_VALUE]]+Tradingbook_SBV[[#This Row],[Accr Int]]*Tradingbook_SBV[[#This Row],[Quantity_edited]])*(-Tradingbook_SBV[[#This Row],[Modified Duration]]*0.0001+0.5*Tradingbook_SBV[[#This Row],[Conv]]*(0.0001^2))</f>
        <v>0</v>
      </c>
      <c r="DZ374" s="71">
        <f>(Tradingbook_SBV[[#This Row],[MARKET_VALUE]]+Tradingbook_SBV[[#This Row],[Accr Int]]*Tradingbook_SBV[[#This Row],[Quantity_edited]])*(-Tradingbook_SBV[[#This Row],[Modified Duration]]*0.01+0.5*Tradingbook_SBV[[#This Row],[Conv]]*(0.01^2))</f>
        <v>0</v>
      </c>
      <c r="FG374" s="32"/>
      <c r="FH374" s="32"/>
      <c r="FI374" s="32"/>
      <c r="FJ374" s="32"/>
      <c r="FK374" s="32"/>
      <c r="FL374" s="72"/>
      <c r="FM374" s="32"/>
      <c r="FN374" s="32"/>
      <c r="FO374" s="32"/>
      <c r="FP374" s="32"/>
      <c r="FQ374" s="32"/>
    </row>
    <row r="375" spans="2:173" x14ac:dyDescent="0.3">
      <c r="B375" t="s">
        <v>166</v>
      </c>
      <c r="C375" t="s">
        <v>167</v>
      </c>
      <c r="D375" t="s">
        <v>565</v>
      </c>
      <c r="E375" t="s">
        <v>169</v>
      </c>
      <c r="F375" s="502">
        <v>46403</v>
      </c>
      <c r="G375" t="s">
        <v>3322</v>
      </c>
      <c r="H375">
        <v>100956</v>
      </c>
      <c r="I375">
        <v>100956</v>
      </c>
      <c r="J375" s="38">
        <v>0</v>
      </c>
      <c r="K375">
        <v>0</v>
      </c>
      <c r="L375">
        <v>0</v>
      </c>
      <c r="M375" s="38">
        <v>0</v>
      </c>
      <c r="N375">
        <v>6.8</v>
      </c>
      <c r="O375">
        <v>3987</v>
      </c>
      <c r="P375" s="37">
        <v>142800000000</v>
      </c>
      <c r="Q375" s="37">
        <v>169486668000.00006</v>
      </c>
      <c r="R375" s="37">
        <v>-34144378157.360981</v>
      </c>
      <c r="S375">
        <v>4.277345639</v>
      </c>
      <c r="T375" s="70">
        <v>0.40650538710329998</v>
      </c>
      <c r="U375">
        <v>0.42389303</v>
      </c>
      <c r="V375">
        <v>0.33049325948739999</v>
      </c>
      <c r="W375">
        <v>0</v>
      </c>
      <c r="X375" s="38">
        <v>0</v>
      </c>
      <c r="Y375">
        <v>0</v>
      </c>
      <c r="Z375" s="70">
        <v>71565000000</v>
      </c>
      <c r="AA375" s="70">
        <v>0</v>
      </c>
      <c r="AB375" s="70">
        <v>71565000000</v>
      </c>
      <c r="AC375" s="70">
        <v>71565000000</v>
      </c>
      <c r="AD375" s="70">
        <v>71565000000</v>
      </c>
      <c r="AE375" s="70">
        <v>71565000000</v>
      </c>
      <c r="AF375">
        <v>0</v>
      </c>
      <c r="AG375" s="72">
        <f>Tradingbook_MSB[[#This Row],[Mat. Date]]-RPT</f>
        <v>151</v>
      </c>
      <c r="AH375" s="71">
        <f>IF(Tradingbook_MSB[[#This Row],[Days]]&lt;=0,0,YEARFRAC(RPT,Tradingbook_MSB[[#This Row],[Mat. Date]],3))</f>
        <v>0.41369863013698632</v>
      </c>
      <c r="AI375" s="71" t="str">
        <f>IF(Tradingbook_MSB[[#This Row],[Days (year)]]=0,0,INDEX(Ref!$K$2:$K$13,MATCH(Tradingbook_MSB[[#This Row],[Days (year)]],Ref!$I$2:$I$13,1)))</f>
        <v>6M</v>
      </c>
      <c r="AJ375" s="120" t="str">
        <f>VLOOKUP(Tradingbook_MSB[[#This Row],[Security Name]],Ref!X:Z,3,0)</f>
        <v>TPCPBL</v>
      </c>
      <c r="AK375" s="120" t="str">
        <f>VLOOKUP(Tradingbook_MSB[[#This Row],[Security Name]],Ref!X:Y,2,0)</f>
        <v>VDB</v>
      </c>
      <c r="AL375" s="71">
        <f>IF((Tradingbook_MSB[[#This Row],[Mat. Date]]-RPT)&lt;=0,0,Tradingbook_MSB[[#This Row],[QUANTITY]])</f>
        <v>0</v>
      </c>
      <c r="AM375" s="71">
        <f>IF(Tradingbook_MSB[[#This Row],[Quantity_edited]]=0,0,Tradingbook_MSB[[#This Row],[DURATION]])</f>
        <v>0</v>
      </c>
      <c r="AN375" s="71">
        <f>IF(Tradingbook_MSB[[#This Row],[Quantity_edited]]=0,0,Tradingbook_MSB[[#This Row],[Mod Dur]])</f>
        <v>0</v>
      </c>
      <c r="AO375" s="71">
        <f>IF(Tradingbook_MSB[[#This Row],[Quantity_edited]]=0,0,Tradingbook_MSB[[#This Row],[Cnvx.]])</f>
        <v>0</v>
      </c>
      <c r="AP375" s="71">
        <f>(Tradingbook_MSB[[#This Row],[MARKET_VALUE]]+Tradingbook_MSB[[#This Row],[Accr Int]]*Tradingbook_MSB[[#This Row],[Quantity_edited]])*(-Tradingbook_MSB[[#This Row],[Modified Duration]]*0.0001+0.5*Tradingbook_MSB[[#This Row],[Conv]]*(0.0001^2))</f>
        <v>0</v>
      </c>
      <c r="AQ375" s="72">
        <f>(Tradingbook_MSB[[#This Row],[MARKET_VALUE]]+Tradingbook_MSB[[#This Row],[Accr Int]]*Tradingbook_MSB[[#This Row],[Quantity_edited]])*(-Tradingbook_MSB[[#This Row],[Modified Duration]]*0.01+0.5*Tradingbook_MSB[[#This Row],[Conv]]*(0.01^2))</f>
        <v>0</v>
      </c>
      <c r="CL375" t="s">
        <v>166</v>
      </c>
      <c r="CM375" t="s">
        <v>3299</v>
      </c>
      <c r="CN375" t="s">
        <v>581</v>
      </c>
      <c r="CO375" t="s">
        <v>169</v>
      </c>
      <c r="CP375">
        <v>46791</v>
      </c>
      <c r="CQ375" t="s">
        <v>3322</v>
      </c>
      <c r="CR375" t="s">
        <v>4192</v>
      </c>
      <c r="CS375" t="s">
        <v>4193</v>
      </c>
      <c r="CT375">
        <v>0</v>
      </c>
      <c r="CU375">
        <v>0</v>
      </c>
      <c r="CV375">
        <v>0</v>
      </c>
      <c r="CW375">
        <v>0</v>
      </c>
      <c r="CX375">
        <v>4.3</v>
      </c>
      <c r="CY375">
        <v>2250</v>
      </c>
      <c r="CZ375">
        <v>4300000000</v>
      </c>
      <c r="DA375">
        <v>5085964152.7777863</v>
      </c>
      <c r="DB375">
        <v>-3091143050.2778091</v>
      </c>
      <c r="DC375">
        <v>3.578772995</v>
      </c>
      <c r="DD375">
        <v>1</v>
      </c>
      <c r="DE375">
        <v>1</v>
      </c>
      <c r="DF375">
        <v>3</v>
      </c>
      <c r="DG375">
        <v>0</v>
      </c>
      <c r="DH375">
        <v>0</v>
      </c>
      <c r="DI375">
        <v>0</v>
      </c>
      <c r="DJ375">
        <v>2622500000</v>
      </c>
      <c r="DK375">
        <v>0</v>
      </c>
      <c r="DL375">
        <v>2622500000</v>
      </c>
      <c r="DM375">
        <v>2622500000</v>
      </c>
      <c r="DN375">
        <v>2622500000</v>
      </c>
      <c r="DO375">
        <v>2622500000</v>
      </c>
      <c r="DP375" s="32">
        <f>Tradingbook_SBV[[#This Row],[Mat. Date]]-RPT</f>
        <v>539</v>
      </c>
      <c r="DQ375" s="32">
        <f>IF(Tradingbook_SBV[[#This Row],[Days]]&lt;=0,0,YEARFRAC(RPT,Tradingbook_SBV[[#This Row],[Mat. Date]],3))</f>
        <v>1.4767123287671233</v>
      </c>
      <c r="DR375" s="32" t="str">
        <f>IF(Tradingbook_SBV[[#This Row],[Days (year)]]=0,0,INDEX(Ref!$K$2:$K$13,MATCH(Tradingbook_SBV[[#This Row],[Days (year)]],Ref!$I$2:$I$13,1)))</f>
        <v>1Y</v>
      </c>
      <c r="DS375" s="32" t="str">
        <f>VLOOKUP(Tradingbook_SBV[[#This Row],[Security Name]],Ref!X:Z,3,0)</f>
        <v>TPCP</v>
      </c>
      <c r="DT375" s="32" t="str">
        <f>VLOOKUP(Tradingbook_SBV[[#This Row],[Security Name]],Ref!X:Y,2,0)</f>
        <v>KBNN</v>
      </c>
      <c r="DU375" s="71">
        <f>IF((Tradingbook_SBV[[#This Row],[Mat. Date]]-RPT)&lt;=0,0,Tradingbook_SBV[[#This Row],[QUANTITY]])</f>
        <v>0</v>
      </c>
      <c r="DV375" s="71">
        <f>IF(Tradingbook_SBV[[#This Row],[Quantity_edited]]=0,0,Tradingbook_SBV[[#This Row],[DURATION]])</f>
        <v>0</v>
      </c>
      <c r="DW375" s="71">
        <f>IF(Tradingbook_SBV[[#This Row],[Quantity_edited]]=0,0,Tradingbook_SBV[[#This Row],[Mod Dur]])</f>
        <v>0</v>
      </c>
      <c r="DX375" s="71">
        <f>IF(Tradingbook_SBV[[#This Row],[Quantity_edited]]=0,0,Tradingbook_SBV[[#This Row],[Cnvx.]])</f>
        <v>0</v>
      </c>
      <c r="DY375" s="71">
        <f>(Tradingbook_SBV[[#This Row],[MARKET_VALUE]]+Tradingbook_SBV[[#This Row],[Accr Int]]*Tradingbook_SBV[[#This Row],[Quantity_edited]])*(-Tradingbook_SBV[[#This Row],[Modified Duration]]*0.0001+0.5*Tradingbook_SBV[[#This Row],[Conv]]*(0.0001^2))</f>
        <v>0</v>
      </c>
      <c r="DZ375" s="71">
        <f>(Tradingbook_SBV[[#This Row],[MARKET_VALUE]]+Tradingbook_SBV[[#This Row],[Accr Int]]*Tradingbook_SBV[[#This Row],[Quantity_edited]])*(-Tradingbook_SBV[[#This Row],[Modified Duration]]*0.01+0.5*Tradingbook_SBV[[#This Row],[Conv]]*(0.01^2))</f>
        <v>0</v>
      </c>
    </row>
    <row r="376" spans="2:173" x14ac:dyDescent="0.3">
      <c r="B376" t="s">
        <v>166</v>
      </c>
      <c r="C376" t="s">
        <v>167</v>
      </c>
      <c r="D376" t="s">
        <v>566</v>
      </c>
      <c r="E376" t="s">
        <v>169</v>
      </c>
      <c r="F376" s="502">
        <v>46403</v>
      </c>
      <c r="G376" t="s">
        <v>3322</v>
      </c>
      <c r="H376">
        <v>99338</v>
      </c>
      <c r="I376">
        <v>99338</v>
      </c>
      <c r="J376" s="38">
        <v>0</v>
      </c>
      <c r="K376">
        <v>0</v>
      </c>
      <c r="L376">
        <v>0</v>
      </c>
      <c r="M376" s="38">
        <v>0</v>
      </c>
      <c r="N376">
        <v>2.2000000000000002</v>
      </c>
      <c r="O376">
        <v>1290</v>
      </c>
      <c r="P376" s="37">
        <v>4400000000</v>
      </c>
      <c r="Q376" s="37">
        <v>5098054347.2222099</v>
      </c>
      <c r="R376" s="37">
        <v>-1877940766.9442539</v>
      </c>
      <c r="S376">
        <v>3.776153307</v>
      </c>
      <c r="T376" s="70">
        <v>0.40733528134430003</v>
      </c>
      <c r="U376">
        <v>0.42271689000000001</v>
      </c>
      <c r="V376">
        <v>0.33184406285590001</v>
      </c>
      <c r="W376">
        <v>0</v>
      </c>
      <c r="X376" s="38">
        <v>0</v>
      </c>
      <c r="Y376">
        <v>0</v>
      </c>
      <c r="Z376" s="70">
        <v>3969500000</v>
      </c>
      <c r="AA376" s="70">
        <v>0</v>
      </c>
      <c r="AB376" s="70">
        <v>3969500000</v>
      </c>
      <c r="AC376" s="70">
        <v>3969500000</v>
      </c>
      <c r="AD376" s="70">
        <v>3969500000</v>
      </c>
      <c r="AE376" s="70">
        <v>3969500000</v>
      </c>
      <c r="AF376">
        <v>0</v>
      </c>
      <c r="AG376" s="72">
        <f>Tradingbook_MSB[[#This Row],[Mat. Date]]-RPT</f>
        <v>151</v>
      </c>
      <c r="AH376" s="71">
        <f>IF(Tradingbook_MSB[[#This Row],[Days]]&lt;=0,0,YEARFRAC(RPT,Tradingbook_MSB[[#This Row],[Mat. Date]],3))</f>
        <v>0.41369863013698632</v>
      </c>
      <c r="AI376" s="71" t="str">
        <f>IF(Tradingbook_MSB[[#This Row],[Days (year)]]=0,0,INDEX(Ref!$K$2:$K$13,MATCH(Tradingbook_MSB[[#This Row],[Days (year)]],Ref!$I$2:$I$13,1)))</f>
        <v>6M</v>
      </c>
      <c r="AJ376" s="120" t="str">
        <f>VLOOKUP(Tradingbook_MSB[[#This Row],[Security Name]],Ref!X:Z,3,0)</f>
        <v>TPCP</v>
      </c>
      <c r="AK376" s="120" t="str">
        <f>VLOOKUP(Tradingbook_MSB[[#This Row],[Security Name]],Ref!X:Y,2,0)</f>
        <v>KBNN</v>
      </c>
      <c r="AL376" s="71">
        <f>IF((Tradingbook_MSB[[#This Row],[Mat. Date]]-RPT)&lt;=0,0,Tradingbook_MSB[[#This Row],[QUANTITY]])</f>
        <v>0</v>
      </c>
      <c r="AM376" s="71">
        <f>IF(Tradingbook_MSB[[#This Row],[Quantity_edited]]=0,0,Tradingbook_MSB[[#This Row],[DURATION]])</f>
        <v>0</v>
      </c>
      <c r="AN376" s="71">
        <f>IF(Tradingbook_MSB[[#This Row],[Quantity_edited]]=0,0,Tradingbook_MSB[[#This Row],[Mod Dur]])</f>
        <v>0</v>
      </c>
      <c r="AO376" s="71">
        <f>IF(Tradingbook_MSB[[#This Row],[Quantity_edited]]=0,0,Tradingbook_MSB[[#This Row],[Cnvx.]])</f>
        <v>0</v>
      </c>
      <c r="AP376" s="71">
        <f>(Tradingbook_MSB[[#This Row],[MARKET_VALUE]]+Tradingbook_MSB[[#This Row],[Accr Int]]*Tradingbook_MSB[[#This Row],[Quantity_edited]])*(-Tradingbook_MSB[[#This Row],[Modified Duration]]*0.0001+0.5*Tradingbook_MSB[[#This Row],[Conv]]*(0.0001^2))</f>
        <v>0</v>
      </c>
      <c r="AQ376" s="72">
        <f>(Tradingbook_MSB[[#This Row],[MARKET_VALUE]]+Tradingbook_MSB[[#This Row],[Accr Int]]*Tradingbook_MSB[[#This Row],[Quantity_edited]])*(-Tradingbook_MSB[[#This Row],[Modified Duration]]*0.01+0.5*Tradingbook_MSB[[#This Row],[Conv]]*(0.01^2))</f>
        <v>0</v>
      </c>
      <c r="CL376" t="s">
        <v>166</v>
      </c>
      <c r="CM376" t="s">
        <v>3299</v>
      </c>
      <c r="CN376" t="s">
        <v>2494</v>
      </c>
      <c r="CO376" t="s">
        <v>169</v>
      </c>
      <c r="CP376">
        <v>46799</v>
      </c>
      <c r="CQ376" t="s">
        <v>3322</v>
      </c>
      <c r="CR376" t="s">
        <v>4073</v>
      </c>
      <c r="CS376" t="s">
        <v>4074</v>
      </c>
      <c r="CT376">
        <v>0</v>
      </c>
      <c r="CU376">
        <v>0</v>
      </c>
      <c r="CV376">
        <v>0</v>
      </c>
      <c r="CW376">
        <v>0</v>
      </c>
      <c r="CX376">
        <v>3.6</v>
      </c>
      <c r="CY376">
        <v>1805</v>
      </c>
      <c r="CZ376">
        <v>0</v>
      </c>
      <c r="DA376">
        <v>0</v>
      </c>
      <c r="DB376">
        <v>-49014763.194444656</v>
      </c>
      <c r="DC376">
        <v>3.580548523</v>
      </c>
      <c r="DD376">
        <v>1</v>
      </c>
      <c r="DE376">
        <v>1</v>
      </c>
      <c r="DF376">
        <v>3</v>
      </c>
      <c r="DG376">
        <v>0</v>
      </c>
      <c r="DH376">
        <v>0</v>
      </c>
      <c r="DI376">
        <v>0</v>
      </c>
      <c r="DJ376">
        <v>129500000</v>
      </c>
      <c r="DK376">
        <v>0</v>
      </c>
      <c r="DL376">
        <v>129500000</v>
      </c>
      <c r="DM376">
        <v>129500000</v>
      </c>
      <c r="DN376">
        <v>129500000</v>
      </c>
      <c r="DO376">
        <v>129500000</v>
      </c>
      <c r="DP376" s="32">
        <f>Tradingbook_SBV[[#This Row],[Mat. Date]]-RPT</f>
        <v>547</v>
      </c>
      <c r="DQ376" s="32">
        <f>IF(Tradingbook_SBV[[#This Row],[Days]]&lt;=0,0,YEARFRAC(RPT,Tradingbook_SBV[[#This Row],[Mat. Date]],3))</f>
        <v>1.4986301369863013</v>
      </c>
      <c r="DR376" s="32" t="str">
        <f>IF(Tradingbook_SBV[[#This Row],[Days (year)]]=0,0,INDEX(Ref!$K$2:$K$13,MATCH(Tradingbook_SBV[[#This Row],[Days (year)]],Ref!$I$2:$I$13,1)))</f>
        <v>1Y</v>
      </c>
      <c r="DS376" s="32" t="str">
        <f>VLOOKUP(Tradingbook_SBV[[#This Row],[Security Name]],Ref!X:Z,3,0)</f>
        <v>TPCP</v>
      </c>
      <c r="DT376" s="32" t="str">
        <f>VLOOKUP(Tradingbook_SBV[[#This Row],[Security Name]],Ref!X:Y,2,0)</f>
        <v>KBNN</v>
      </c>
      <c r="DU376" s="71">
        <f>IF((Tradingbook_SBV[[#This Row],[Mat. Date]]-RPT)&lt;=0,0,Tradingbook_SBV[[#This Row],[QUANTITY]])</f>
        <v>0</v>
      </c>
      <c r="DV376" s="71">
        <f>IF(Tradingbook_SBV[[#This Row],[Quantity_edited]]=0,0,Tradingbook_SBV[[#This Row],[DURATION]])</f>
        <v>0</v>
      </c>
      <c r="DW376" s="71">
        <f>IF(Tradingbook_SBV[[#This Row],[Quantity_edited]]=0,0,Tradingbook_SBV[[#This Row],[Mod Dur]])</f>
        <v>0</v>
      </c>
      <c r="DX376" s="71">
        <f>IF(Tradingbook_SBV[[#This Row],[Quantity_edited]]=0,0,Tradingbook_SBV[[#This Row],[Cnvx.]])</f>
        <v>0</v>
      </c>
      <c r="DY376" s="71">
        <f>(Tradingbook_SBV[[#This Row],[MARKET_VALUE]]+Tradingbook_SBV[[#This Row],[Accr Int]]*Tradingbook_SBV[[#This Row],[Quantity_edited]])*(-Tradingbook_SBV[[#This Row],[Modified Duration]]*0.0001+0.5*Tradingbook_SBV[[#This Row],[Conv]]*(0.0001^2))</f>
        <v>0</v>
      </c>
      <c r="DZ376" s="71">
        <f>(Tradingbook_SBV[[#This Row],[MARKET_VALUE]]+Tradingbook_SBV[[#This Row],[Accr Int]]*Tradingbook_SBV[[#This Row],[Quantity_edited]])*(-Tradingbook_SBV[[#This Row],[Modified Duration]]*0.01+0.5*Tradingbook_SBV[[#This Row],[Conv]]*(0.01^2))</f>
        <v>0</v>
      </c>
    </row>
    <row r="377" spans="2:173" x14ac:dyDescent="0.3">
      <c r="B377" t="s">
        <v>166</v>
      </c>
      <c r="C377" t="s">
        <v>167</v>
      </c>
      <c r="D377" t="s">
        <v>567</v>
      </c>
      <c r="E377" t="s">
        <v>169</v>
      </c>
      <c r="F377" s="502">
        <v>46426</v>
      </c>
      <c r="G377" t="s">
        <v>3322</v>
      </c>
      <c r="H377">
        <v>101071</v>
      </c>
      <c r="I377">
        <v>101071</v>
      </c>
      <c r="J377" s="38">
        <v>0</v>
      </c>
      <c r="K377">
        <v>0</v>
      </c>
      <c r="L377">
        <v>0</v>
      </c>
      <c r="M377" s="38">
        <v>0</v>
      </c>
      <c r="N377">
        <v>6.7</v>
      </c>
      <c r="O377">
        <v>3506</v>
      </c>
      <c r="P377" s="37">
        <v>6700000000</v>
      </c>
      <c r="Q377" s="37">
        <v>7362499722.2222328</v>
      </c>
      <c r="R377" s="37">
        <v>-3096831696.9444122</v>
      </c>
      <c r="S377">
        <v>4.2585076449999999</v>
      </c>
      <c r="T377" s="70">
        <v>0.467227227794</v>
      </c>
      <c r="U377">
        <v>0.48712413999999998</v>
      </c>
      <c r="V377">
        <v>0.43660256478350001</v>
      </c>
      <c r="W377">
        <v>0</v>
      </c>
      <c r="X377" s="38">
        <v>0</v>
      </c>
      <c r="Y377">
        <v>0</v>
      </c>
      <c r="Z377" s="70">
        <v>-4332000000</v>
      </c>
      <c r="AA377" s="70">
        <v>0</v>
      </c>
      <c r="AB377" s="70">
        <v>-4332000000</v>
      </c>
      <c r="AC377" s="70">
        <v>-4332000000</v>
      </c>
      <c r="AD377" s="70">
        <v>-4332000000</v>
      </c>
      <c r="AE377" s="70">
        <v>-4332000000</v>
      </c>
      <c r="AF377">
        <v>0</v>
      </c>
      <c r="AG377" s="72">
        <f>Tradingbook_MSB[[#This Row],[Mat. Date]]-RPT</f>
        <v>174</v>
      </c>
      <c r="AH377" s="71">
        <f>IF(Tradingbook_MSB[[#This Row],[Days]]&lt;=0,0,YEARFRAC(RPT,Tradingbook_MSB[[#This Row],[Mat. Date]],3))</f>
        <v>0.47671232876712327</v>
      </c>
      <c r="AI377" s="71" t="str">
        <f>IF(Tradingbook_MSB[[#This Row],[Days (year)]]=0,0,INDEX(Ref!$K$2:$K$13,MATCH(Tradingbook_MSB[[#This Row],[Days (year)]],Ref!$I$2:$I$13,1)))</f>
        <v>6M</v>
      </c>
      <c r="AJ377" s="120" t="str">
        <f>VLOOKUP(Tradingbook_MSB[[#This Row],[Security Name]],Ref!X:Z,3,0)</f>
        <v>TPCPBL</v>
      </c>
      <c r="AK377" s="120" t="str">
        <f>VLOOKUP(Tradingbook_MSB[[#This Row],[Security Name]],Ref!X:Y,2,0)</f>
        <v>VDB</v>
      </c>
      <c r="AL377" s="71">
        <f>IF((Tradingbook_MSB[[#This Row],[Mat. Date]]-RPT)&lt;=0,0,Tradingbook_MSB[[#This Row],[QUANTITY]])</f>
        <v>0</v>
      </c>
      <c r="AM377" s="71">
        <f>IF(Tradingbook_MSB[[#This Row],[Quantity_edited]]=0,0,Tradingbook_MSB[[#This Row],[DURATION]])</f>
        <v>0</v>
      </c>
      <c r="AN377" s="71">
        <f>IF(Tradingbook_MSB[[#This Row],[Quantity_edited]]=0,0,Tradingbook_MSB[[#This Row],[Mod Dur]])</f>
        <v>0</v>
      </c>
      <c r="AO377" s="71">
        <f>IF(Tradingbook_MSB[[#This Row],[Quantity_edited]]=0,0,Tradingbook_MSB[[#This Row],[Cnvx.]])</f>
        <v>0</v>
      </c>
      <c r="AP377" s="71">
        <f>(Tradingbook_MSB[[#This Row],[MARKET_VALUE]]+Tradingbook_MSB[[#This Row],[Accr Int]]*Tradingbook_MSB[[#This Row],[Quantity_edited]])*(-Tradingbook_MSB[[#This Row],[Modified Duration]]*0.0001+0.5*Tradingbook_MSB[[#This Row],[Conv]]*(0.0001^2))</f>
        <v>0</v>
      </c>
      <c r="AQ377" s="72">
        <f>(Tradingbook_MSB[[#This Row],[MARKET_VALUE]]+Tradingbook_MSB[[#This Row],[Accr Int]]*Tradingbook_MSB[[#This Row],[Quantity_edited]])*(-Tradingbook_MSB[[#This Row],[Modified Duration]]*0.01+0.5*Tradingbook_MSB[[#This Row],[Conv]]*(0.01^2))</f>
        <v>0</v>
      </c>
      <c r="CL377" t="s">
        <v>166</v>
      </c>
      <c r="CM377" t="s">
        <v>3299</v>
      </c>
      <c r="CN377" t="s">
        <v>2730</v>
      </c>
      <c r="CO377" t="s">
        <v>169</v>
      </c>
      <c r="CP377">
        <v>46898</v>
      </c>
      <c r="CQ377" t="s">
        <v>3322</v>
      </c>
      <c r="CR377" t="s">
        <v>4194</v>
      </c>
      <c r="CS377" t="s">
        <v>4195</v>
      </c>
      <c r="CT377">
        <v>0</v>
      </c>
      <c r="CU377">
        <v>0</v>
      </c>
      <c r="CV377">
        <v>0</v>
      </c>
      <c r="CW377">
        <v>0</v>
      </c>
      <c r="CX377">
        <v>2.4</v>
      </c>
      <c r="CY377">
        <v>559</v>
      </c>
      <c r="CZ377">
        <v>0</v>
      </c>
      <c r="DA377">
        <v>0</v>
      </c>
      <c r="DB377">
        <v>-3635566.4583330154</v>
      </c>
      <c r="DC377">
        <v>3.6089515990000001</v>
      </c>
      <c r="DD377">
        <v>2</v>
      </c>
      <c r="DE377">
        <v>2</v>
      </c>
      <c r="DF377">
        <v>4</v>
      </c>
      <c r="DG377">
        <v>0</v>
      </c>
      <c r="DH377">
        <v>0</v>
      </c>
      <c r="DI377">
        <v>0</v>
      </c>
      <c r="DJ377">
        <v>-500000</v>
      </c>
      <c r="DK377">
        <v>0</v>
      </c>
      <c r="DL377">
        <v>-500000</v>
      </c>
      <c r="DM377">
        <v>-500000</v>
      </c>
      <c r="DN377">
        <v>-500000</v>
      </c>
      <c r="DO377">
        <v>-500000</v>
      </c>
      <c r="DP377" s="32">
        <f>Tradingbook_SBV[[#This Row],[Mat. Date]]-RPT</f>
        <v>646</v>
      </c>
      <c r="DQ377" s="32">
        <f>IF(Tradingbook_SBV[[#This Row],[Days]]&lt;=0,0,YEARFRAC(RPT,Tradingbook_SBV[[#This Row],[Mat. Date]],3))</f>
        <v>1.7698630136986302</v>
      </c>
      <c r="DR377" s="32" t="str">
        <f>IF(Tradingbook_SBV[[#This Row],[Days (year)]]=0,0,INDEX(Ref!$K$2:$K$13,MATCH(Tradingbook_SBV[[#This Row],[Days (year)]],Ref!$I$2:$I$13,1)))</f>
        <v>2Y</v>
      </c>
      <c r="DS377" s="32" t="str">
        <f>VLOOKUP(Tradingbook_SBV[[#This Row],[Security Name]],Ref!X:Z,3,0)</f>
        <v>TPCP</v>
      </c>
      <c r="DT377" s="32" t="str">
        <f>VLOOKUP(Tradingbook_SBV[[#This Row],[Security Name]],Ref!X:Y,2,0)</f>
        <v>KBNN</v>
      </c>
      <c r="DU377" s="71">
        <f>IF((Tradingbook_SBV[[#This Row],[Mat. Date]]-RPT)&lt;=0,0,Tradingbook_SBV[[#This Row],[QUANTITY]])</f>
        <v>0</v>
      </c>
      <c r="DV377" s="71">
        <f>IF(Tradingbook_SBV[[#This Row],[Quantity_edited]]=0,0,Tradingbook_SBV[[#This Row],[DURATION]])</f>
        <v>0</v>
      </c>
      <c r="DW377" s="71">
        <f>IF(Tradingbook_SBV[[#This Row],[Quantity_edited]]=0,0,Tradingbook_SBV[[#This Row],[Mod Dur]])</f>
        <v>0</v>
      </c>
      <c r="DX377" s="71">
        <f>IF(Tradingbook_SBV[[#This Row],[Quantity_edited]]=0,0,Tradingbook_SBV[[#This Row],[Cnvx.]])</f>
        <v>0</v>
      </c>
      <c r="DY377" s="71">
        <f>(Tradingbook_SBV[[#This Row],[MARKET_VALUE]]+Tradingbook_SBV[[#This Row],[Accr Int]]*Tradingbook_SBV[[#This Row],[Quantity_edited]])*(-Tradingbook_SBV[[#This Row],[Modified Duration]]*0.0001+0.5*Tradingbook_SBV[[#This Row],[Conv]]*(0.0001^2))</f>
        <v>0</v>
      </c>
      <c r="DZ377" s="71">
        <f>(Tradingbook_SBV[[#This Row],[MARKET_VALUE]]+Tradingbook_SBV[[#This Row],[Accr Int]]*Tradingbook_SBV[[#This Row],[Quantity_edited]])*(-Tradingbook_SBV[[#This Row],[Modified Duration]]*0.01+0.5*Tradingbook_SBV[[#This Row],[Conv]]*(0.01^2))</f>
        <v>0</v>
      </c>
    </row>
    <row r="378" spans="2:173" x14ac:dyDescent="0.3">
      <c r="B378" t="s">
        <v>166</v>
      </c>
      <c r="C378" t="s">
        <v>167</v>
      </c>
      <c r="D378" t="s">
        <v>568</v>
      </c>
      <c r="E378" t="s">
        <v>169</v>
      </c>
      <c r="F378" s="502">
        <v>46432</v>
      </c>
      <c r="G378" t="s">
        <v>170</v>
      </c>
      <c r="H378">
        <v>101065</v>
      </c>
      <c r="I378">
        <v>101065</v>
      </c>
      <c r="J378" s="38">
        <v>3520000</v>
      </c>
      <c r="K378">
        <v>352000000000</v>
      </c>
      <c r="L378">
        <v>103544.463</v>
      </c>
      <c r="M378" s="38">
        <v>355748800000</v>
      </c>
      <c r="N378">
        <v>6.6</v>
      </c>
      <c r="O378">
        <v>3345</v>
      </c>
      <c r="P378" s="37">
        <v>97944000000</v>
      </c>
      <c r="Q378" s="37">
        <v>115110648950.00009</v>
      </c>
      <c r="R378" s="37">
        <v>-28934495769.249962</v>
      </c>
      <c r="S378">
        <v>4.2532643739999996</v>
      </c>
      <c r="T378" s="70">
        <v>0.48301935285089997</v>
      </c>
      <c r="U378">
        <v>0.50356343999999997</v>
      </c>
      <c r="V378">
        <v>0.46661539045610001</v>
      </c>
      <c r="W378">
        <v>1714.9198146967001</v>
      </c>
      <c r="X378" s="38">
        <v>-17752.081822169999</v>
      </c>
      <c r="Y378">
        <v>41951.62</v>
      </c>
      <c r="Z378" s="70">
        <v>40772690241.287201</v>
      </c>
      <c r="AA378" s="70">
        <v>-8727710241.2868423</v>
      </c>
      <c r="AB378" s="70">
        <v>32044980000.000359</v>
      </c>
      <c r="AC378" s="70">
        <v>32044980000.000359</v>
      </c>
      <c r="AD378" s="70">
        <v>32044980000</v>
      </c>
      <c r="AE378" s="70">
        <v>32044980000.000359</v>
      </c>
      <c r="AF378">
        <v>5.5678587879999997</v>
      </c>
      <c r="AG378" s="72">
        <f>Tradingbook_MSB[[#This Row],[Mat. Date]]-RPT</f>
        <v>180</v>
      </c>
      <c r="AH378" s="71">
        <f>IF(Tradingbook_MSB[[#This Row],[Days]]&lt;=0,0,YEARFRAC(RPT,Tradingbook_MSB[[#This Row],[Mat. Date]],3))</f>
        <v>0.49315068493150682</v>
      </c>
      <c r="AI378" s="71" t="str">
        <f>IF(Tradingbook_MSB[[#This Row],[Days (year)]]=0,0,INDEX(Ref!$K$2:$K$13,MATCH(Tradingbook_MSB[[#This Row],[Days (year)]],Ref!$I$2:$I$13,1)))</f>
        <v>6M</v>
      </c>
      <c r="AJ378" s="120" t="str">
        <f>VLOOKUP(Tradingbook_MSB[[#This Row],[Security Name]],Ref!X:Z,3,0)</f>
        <v>TPCPBL</v>
      </c>
      <c r="AK378" s="120" t="str">
        <f>VLOOKUP(Tradingbook_MSB[[#This Row],[Security Name]],Ref!X:Y,2,0)</f>
        <v>VDB</v>
      </c>
      <c r="AL378" s="71">
        <f>IF((Tradingbook_MSB[[#This Row],[Mat. Date]]-RPT)&lt;=0,0,Tradingbook_MSB[[#This Row],[QUANTITY]])</f>
        <v>3520000</v>
      </c>
      <c r="AM378" s="71">
        <f>IF(Tradingbook_MSB[[#This Row],[Quantity_edited]]=0,0,Tradingbook_MSB[[#This Row],[DURATION]])</f>
        <v>0.50356343999999997</v>
      </c>
      <c r="AN378" s="71">
        <f>IF(Tradingbook_MSB[[#This Row],[Quantity_edited]]=0,0,Tradingbook_MSB[[#This Row],[Mod Dur]])</f>
        <v>0.48301935285089997</v>
      </c>
      <c r="AO378" s="71">
        <f>IF(Tradingbook_MSB[[#This Row],[Quantity_edited]]=0,0,Tradingbook_MSB[[#This Row],[Cnvx.]])</f>
        <v>0.46661539045610001</v>
      </c>
      <c r="AP378" s="71">
        <f>(Tradingbook_MSB[[#This Row],[MARKET_VALUE]]+Tradingbook_MSB[[#This Row],[Accr Int]]*Tradingbook_MSB[[#This Row],[Quantity_edited]])*(-Tradingbook_MSB[[#This Row],[Modified Duration]]*0.0001+0.5*Tradingbook_MSB[[#This Row],[Conv]]*(0.0001^2))</f>
        <v>-17751224.362261839</v>
      </c>
      <c r="AQ378" s="72">
        <f>(Tradingbook_MSB[[#This Row],[MARKET_VALUE]]+Tradingbook_MSB[[#This Row],[Accr Int]]*Tradingbook_MSB[[#This Row],[Quantity_edited]])*(-Tradingbook_MSB[[#This Row],[Modified Duration]]*0.01+0.5*Tradingbook_MSB[[#This Row],[Conv]]*(0.01^2))</f>
        <v>-1766633583.143435</v>
      </c>
      <c r="CL378" t="s">
        <v>166</v>
      </c>
      <c r="CM378" t="s">
        <v>3299</v>
      </c>
      <c r="CN378" t="s">
        <v>582</v>
      </c>
      <c r="CO378" t="s">
        <v>169</v>
      </c>
      <c r="CP378">
        <v>46934</v>
      </c>
      <c r="CQ378" t="s">
        <v>3322</v>
      </c>
      <c r="CR378" t="s">
        <v>4196</v>
      </c>
      <c r="CS378" t="s">
        <v>4197</v>
      </c>
      <c r="CT378">
        <v>0</v>
      </c>
      <c r="CU378">
        <v>0</v>
      </c>
      <c r="CV378">
        <v>0</v>
      </c>
      <c r="CW378">
        <v>0</v>
      </c>
      <c r="CX378">
        <v>8.9</v>
      </c>
      <c r="CY378">
        <v>1195</v>
      </c>
      <c r="CZ378">
        <v>26700000000</v>
      </c>
      <c r="DA378">
        <v>32097963104.166668</v>
      </c>
      <c r="DB378">
        <v>-13128501654.291695</v>
      </c>
      <c r="DC378">
        <v>3.619217533</v>
      </c>
      <c r="DD378">
        <v>2</v>
      </c>
      <c r="DE378">
        <v>2</v>
      </c>
      <c r="DF378">
        <v>5</v>
      </c>
      <c r="DG378">
        <v>0</v>
      </c>
      <c r="DH378">
        <v>0</v>
      </c>
      <c r="DI378">
        <v>0</v>
      </c>
      <c r="DJ378">
        <v>-2063400000</v>
      </c>
      <c r="DK378">
        <v>0</v>
      </c>
      <c r="DL378">
        <v>-2063400000</v>
      </c>
      <c r="DM378">
        <v>-2063400000</v>
      </c>
      <c r="DN378">
        <v>-2063400000</v>
      </c>
      <c r="DO378">
        <v>-2063400000</v>
      </c>
      <c r="DP378" s="32">
        <f>Tradingbook_SBV[[#This Row],[Mat. Date]]-RPT</f>
        <v>682</v>
      </c>
      <c r="DQ378" s="32">
        <f>IF(Tradingbook_SBV[[#This Row],[Days]]&lt;=0,0,YEARFRAC(RPT,Tradingbook_SBV[[#This Row],[Mat. Date]],3))</f>
        <v>1.8684931506849316</v>
      </c>
      <c r="DR378" s="32" t="str">
        <f>IF(Tradingbook_SBV[[#This Row],[Days (year)]]=0,0,INDEX(Ref!$K$2:$K$13,MATCH(Tradingbook_SBV[[#This Row],[Days (year)]],Ref!$I$2:$I$13,1)))</f>
        <v>2Y</v>
      </c>
      <c r="DS378" s="32" t="str">
        <f>VLOOKUP(Tradingbook_SBV[[#This Row],[Security Name]],Ref!X:Z,3,0)</f>
        <v>TPCP</v>
      </c>
      <c r="DT378" s="32" t="str">
        <f>VLOOKUP(Tradingbook_SBV[[#This Row],[Security Name]],Ref!X:Y,2,0)</f>
        <v>KBNN</v>
      </c>
      <c r="DU378" s="71">
        <f>IF((Tradingbook_SBV[[#This Row],[Mat. Date]]-RPT)&lt;=0,0,Tradingbook_SBV[[#This Row],[QUANTITY]])</f>
        <v>0</v>
      </c>
      <c r="DV378" s="71">
        <f>IF(Tradingbook_SBV[[#This Row],[Quantity_edited]]=0,0,Tradingbook_SBV[[#This Row],[DURATION]])</f>
        <v>0</v>
      </c>
      <c r="DW378" s="71">
        <f>IF(Tradingbook_SBV[[#This Row],[Quantity_edited]]=0,0,Tradingbook_SBV[[#This Row],[Mod Dur]])</f>
        <v>0</v>
      </c>
      <c r="DX378" s="71">
        <f>IF(Tradingbook_SBV[[#This Row],[Quantity_edited]]=0,0,Tradingbook_SBV[[#This Row],[Cnvx.]])</f>
        <v>0</v>
      </c>
      <c r="DY378" s="71">
        <f>(Tradingbook_SBV[[#This Row],[MARKET_VALUE]]+Tradingbook_SBV[[#This Row],[Accr Int]]*Tradingbook_SBV[[#This Row],[Quantity_edited]])*(-Tradingbook_SBV[[#This Row],[Modified Duration]]*0.0001+0.5*Tradingbook_SBV[[#This Row],[Conv]]*(0.0001^2))</f>
        <v>0</v>
      </c>
      <c r="DZ378" s="71">
        <f>(Tradingbook_SBV[[#This Row],[MARKET_VALUE]]+Tradingbook_SBV[[#This Row],[Accr Int]]*Tradingbook_SBV[[#This Row],[Quantity_edited]])*(-Tradingbook_SBV[[#This Row],[Modified Duration]]*0.01+0.5*Tradingbook_SBV[[#This Row],[Conv]]*(0.01^2))</f>
        <v>0</v>
      </c>
    </row>
    <row r="379" spans="2:173" x14ac:dyDescent="0.3">
      <c r="B379" t="s">
        <v>166</v>
      </c>
      <c r="C379" t="s">
        <v>167</v>
      </c>
      <c r="D379" t="s">
        <v>569</v>
      </c>
      <c r="E379" t="s">
        <v>169</v>
      </c>
      <c r="F379" s="502">
        <v>46434</v>
      </c>
      <c r="G379" t="s">
        <v>3322</v>
      </c>
      <c r="H379">
        <v>101045</v>
      </c>
      <c r="I379">
        <v>101045</v>
      </c>
      <c r="J379" s="38">
        <v>0</v>
      </c>
      <c r="K379">
        <v>0</v>
      </c>
      <c r="L379">
        <v>0</v>
      </c>
      <c r="M379" s="38">
        <v>0</v>
      </c>
      <c r="N379">
        <v>6</v>
      </c>
      <c r="O379">
        <v>3008</v>
      </c>
      <c r="P379" s="37">
        <v>66000000000</v>
      </c>
      <c r="Q379" s="37">
        <v>77307572083.333252</v>
      </c>
      <c r="R379" s="37">
        <v>-10449784672.680134</v>
      </c>
      <c r="S379">
        <v>3.752604732</v>
      </c>
      <c r="T379" s="70">
        <v>0.48947133626450001</v>
      </c>
      <c r="U379">
        <v>0.50783926000000001</v>
      </c>
      <c r="V379">
        <v>0.4791643780482</v>
      </c>
      <c r="W379">
        <v>0</v>
      </c>
      <c r="X379" s="38">
        <v>0</v>
      </c>
      <c r="Y379">
        <v>0</v>
      </c>
      <c r="Z379" s="70">
        <v>36368700000</v>
      </c>
      <c r="AA379" s="70">
        <v>0</v>
      </c>
      <c r="AB379" s="70">
        <v>36368700000</v>
      </c>
      <c r="AC379" s="70">
        <v>36368700000</v>
      </c>
      <c r="AD379" s="70">
        <v>36368700000</v>
      </c>
      <c r="AE379" s="70">
        <v>36368700000</v>
      </c>
      <c r="AF379">
        <v>0</v>
      </c>
      <c r="AG379" s="72">
        <f>Tradingbook_MSB[[#This Row],[Mat. Date]]-RPT</f>
        <v>182</v>
      </c>
      <c r="AH379" s="71">
        <f>IF(Tradingbook_MSB[[#This Row],[Days]]&lt;=0,0,YEARFRAC(RPT,Tradingbook_MSB[[#This Row],[Mat. Date]],3))</f>
        <v>0.49863013698630138</v>
      </c>
      <c r="AI379" s="71" t="str">
        <f>IF(Tradingbook_MSB[[#This Row],[Days (year)]]=0,0,INDEX(Ref!$K$2:$K$13,MATCH(Tradingbook_MSB[[#This Row],[Days (year)]],Ref!$I$2:$I$13,1)))</f>
        <v>6M</v>
      </c>
      <c r="AJ379" s="120" t="str">
        <f>VLOOKUP(Tradingbook_MSB[[#This Row],[Security Name]],Ref!X:Z,3,0)</f>
        <v>TPCP</v>
      </c>
      <c r="AK379" s="120" t="str">
        <f>VLOOKUP(Tradingbook_MSB[[#This Row],[Security Name]],Ref!X:Y,2,0)</f>
        <v>KBNN</v>
      </c>
      <c r="AL379" s="71">
        <f>IF((Tradingbook_MSB[[#This Row],[Mat. Date]]-RPT)&lt;=0,0,Tradingbook_MSB[[#This Row],[QUANTITY]])</f>
        <v>0</v>
      </c>
      <c r="AM379" s="71">
        <f>IF(Tradingbook_MSB[[#This Row],[Quantity_edited]]=0,0,Tradingbook_MSB[[#This Row],[DURATION]])</f>
        <v>0</v>
      </c>
      <c r="AN379" s="71">
        <f>IF(Tradingbook_MSB[[#This Row],[Quantity_edited]]=0,0,Tradingbook_MSB[[#This Row],[Mod Dur]])</f>
        <v>0</v>
      </c>
      <c r="AO379" s="71">
        <f>IF(Tradingbook_MSB[[#This Row],[Quantity_edited]]=0,0,Tradingbook_MSB[[#This Row],[Cnvx.]])</f>
        <v>0</v>
      </c>
      <c r="AP379" s="71">
        <f>(Tradingbook_MSB[[#This Row],[MARKET_VALUE]]+Tradingbook_MSB[[#This Row],[Accr Int]]*Tradingbook_MSB[[#This Row],[Quantity_edited]])*(-Tradingbook_MSB[[#This Row],[Modified Duration]]*0.0001+0.5*Tradingbook_MSB[[#This Row],[Conv]]*(0.0001^2))</f>
        <v>0</v>
      </c>
      <c r="AQ379" s="72">
        <f>(Tradingbook_MSB[[#This Row],[MARKET_VALUE]]+Tradingbook_MSB[[#This Row],[Accr Int]]*Tradingbook_MSB[[#This Row],[Quantity_edited]])*(-Tradingbook_MSB[[#This Row],[Modified Duration]]*0.01+0.5*Tradingbook_MSB[[#This Row],[Conv]]*(0.01^2))</f>
        <v>0</v>
      </c>
      <c r="CL379" t="s">
        <v>166</v>
      </c>
      <c r="CM379" t="s">
        <v>3299</v>
      </c>
      <c r="CN379" t="s">
        <v>2769</v>
      </c>
      <c r="CO379" t="s">
        <v>169</v>
      </c>
      <c r="CP379">
        <v>46989</v>
      </c>
      <c r="CQ379" t="s">
        <v>3322</v>
      </c>
      <c r="CR379" t="s">
        <v>4198</v>
      </c>
      <c r="CS379" t="s">
        <v>4199</v>
      </c>
      <c r="CT379">
        <v>0</v>
      </c>
      <c r="CU379">
        <v>0</v>
      </c>
      <c r="CV379">
        <v>0</v>
      </c>
      <c r="CW379">
        <v>0</v>
      </c>
      <c r="CX379">
        <v>1.7</v>
      </c>
      <c r="CY379">
        <v>1672</v>
      </c>
      <c r="CZ379">
        <v>0</v>
      </c>
      <c r="DA379">
        <v>9.9999999999999995E-7</v>
      </c>
      <c r="DB379">
        <v>-10902417.847215652</v>
      </c>
      <c r="DC379">
        <v>3.6343052400000002</v>
      </c>
      <c r="DD379">
        <v>2</v>
      </c>
      <c r="DE379">
        <v>2</v>
      </c>
      <c r="DF379">
        <v>6</v>
      </c>
      <c r="DG379">
        <v>0</v>
      </c>
      <c r="DH379">
        <v>0</v>
      </c>
      <c r="DI379">
        <v>0</v>
      </c>
      <c r="DJ379">
        <v>0</v>
      </c>
      <c r="DK379">
        <v>0</v>
      </c>
      <c r="DL379">
        <v>0</v>
      </c>
      <c r="DM379">
        <v>0</v>
      </c>
      <c r="DN379">
        <v>0</v>
      </c>
      <c r="DO379">
        <v>0</v>
      </c>
      <c r="DP379" s="32">
        <f>Tradingbook_SBV[[#This Row],[Mat. Date]]-RPT</f>
        <v>737</v>
      </c>
      <c r="DQ379" s="32">
        <f>IF(Tradingbook_SBV[[#This Row],[Days]]&lt;=0,0,YEARFRAC(RPT,Tradingbook_SBV[[#This Row],[Mat. Date]],3))</f>
        <v>2.0191780821917806</v>
      </c>
      <c r="DR379" s="32" t="str">
        <f>IF(Tradingbook_SBV[[#This Row],[Days (year)]]=0,0,INDEX(Ref!$K$2:$K$13,MATCH(Tradingbook_SBV[[#This Row],[Days (year)]],Ref!$I$2:$I$13,1)))</f>
        <v>2Y</v>
      </c>
      <c r="DS379" s="32" t="str">
        <f>VLOOKUP(Tradingbook_SBV[[#This Row],[Security Name]],Ref!X:Z,3,0)</f>
        <v>TPCP</v>
      </c>
      <c r="DT379" s="32" t="str">
        <f>VLOOKUP(Tradingbook_SBV[[#This Row],[Security Name]],Ref!X:Y,2,0)</f>
        <v>KBNN</v>
      </c>
      <c r="DU379" s="71">
        <f>IF((Tradingbook_SBV[[#This Row],[Mat. Date]]-RPT)&lt;=0,0,Tradingbook_SBV[[#This Row],[QUANTITY]])</f>
        <v>0</v>
      </c>
      <c r="DV379" s="71">
        <f>IF(Tradingbook_SBV[[#This Row],[Quantity_edited]]=0,0,Tradingbook_SBV[[#This Row],[DURATION]])</f>
        <v>0</v>
      </c>
      <c r="DW379" s="71">
        <f>IF(Tradingbook_SBV[[#This Row],[Quantity_edited]]=0,0,Tradingbook_SBV[[#This Row],[Mod Dur]])</f>
        <v>0</v>
      </c>
      <c r="DX379" s="71">
        <f>IF(Tradingbook_SBV[[#This Row],[Quantity_edited]]=0,0,Tradingbook_SBV[[#This Row],[Cnvx.]])</f>
        <v>0</v>
      </c>
      <c r="DY379" s="71">
        <f>(Tradingbook_SBV[[#This Row],[MARKET_VALUE]]+Tradingbook_SBV[[#This Row],[Accr Int]]*Tradingbook_SBV[[#This Row],[Quantity_edited]])*(-Tradingbook_SBV[[#This Row],[Modified Duration]]*0.0001+0.5*Tradingbook_SBV[[#This Row],[Conv]]*(0.0001^2))</f>
        <v>0</v>
      </c>
      <c r="DZ379" s="71">
        <f>(Tradingbook_SBV[[#This Row],[MARKET_VALUE]]+Tradingbook_SBV[[#This Row],[Accr Int]]*Tradingbook_SBV[[#This Row],[Quantity_edited]])*(-Tradingbook_SBV[[#This Row],[Modified Duration]]*0.01+0.5*Tradingbook_SBV[[#This Row],[Conv]]*(0.01^2))</f>
        <v>0</v>
      </c>
    </row>
    <row r="380" spans="2:173" x14ac:dyDescent="0.3">
      <c r="B380" t="s">
        <v>166</v>
      </c>
      <c r="C380" t="s">
        <v>167</v>
      </c>
      <c r="D380" t="s">
        <v>570</v>
      </c>
      <c r="E380" t="s">
        <v>169</v>
      </c>
      <c r="F380" s="502">
        <v>46453</v>
      </c>
      <c r="G380" t="s">
        <v>3322</v>
      </c>
      <c r="H380">
        <v>101136</v>
      </c>
      <c r="I380">
        <v>101136</v>
      </c>
      <c r="J380" s="38">
        <v>0</v>
      </c>
      <c r="K380">
        <v>0</v>
      </c>
      <c r="L380">
        <v>0</v>
      </c>
      <c r="M380" s="38">
        <v>0</v>
      </c>
      <c r="N380">
        <v>6.5</v>
      </c>
      <c r="O380">
        <v>2921</v>
      </c>
      <c r="P380" s="37">
        <v>0</v>
      </c>
      <c r="Q380" s="37">
        <v>3.9999999999999998E-6</v>
      </c>
      <c r="R380" s="37">
        <v>-80356732.083332062</v>
      </c>
      <c r="S380">
        <v>4.2633302249999998</v>
      </c>
      <c r="T380" s="70">
        <v>0.53805278796129996</v>
      </c>
      <c r="U380">
        <v>0.56099175999999995</v>
      </c>
      <c r="V380">
        <v>0.57900160526540001</v>
      </c>
      <c r="W380">
        <v>0</v>
      </c>
      <c r="X380" s="38">
        <v>0</v>
      </c>
      <c r="Y380">
        <v>0</v>
      </c>
      <c r="Z380" s="70">
        <v>-28000000</v>
      </c>
      <c r="AA380" s="70">
        <v>0</v>
      </c>
      <c r="AB380" s="70">
        <v>-28000000</v>
      </c>
      <c r="AC380" s="70">
        <v>-28000000</v>
      </c>
      <c r="AD380" s="70">
        <v>-28000000</v>
      </c>
      <c r="AE380" s="70">
        <v>-28000000</v>
      </c>
      <c r="AF380">
        <v>0</v>
      </c>
      <c r="AG380" s="72">
        <f>Tradingbook_MSB[[#This Row],[Mat. Date]]-RPT</f>
        <v>201</v>
      </c>
      <c r="AH380" s="71">
        <f>IF(Tradingbook_MSB[[#This Row],[Days]]&lt;=0,0,YEARFRAC(RPT,Tradingbook_MSB[[#This Row],[Mat. Date]],3))</f>
        <v>0.55068493150684927</v>
      </c>
      <c r="AI380" s="71" t="str">
        <f>IF(Tradingbook_MSB[[#This Row],[Days (year)]]=0,0,INDEX(Ref!$K$2:$K$13,MATCH(Tradingbook_MSB[[#This Row],[Days (year)]],Ref!$I$2:$I$13,1)))</f>
        <v>6M</v>
      </c>
      <c r="AJ380" s="120" t="str">
        <f>VLOOKUP(Tradingbook_MSB[[#This Row],[Security Name]],Ref!X:Z,3,0)</f>
        <v>TPCPBL</v>
      </c>
      <c r="AK380" s="120" t="str">
        <f>VLOOKUP(Tradingbook_MSB[[#This Row],[Security Name]],Ref!X:Y,2,0)</f>
        <v>VBS</v>
      </c>
      <c r="AL380" s="71">
        <f>IF((Tradingbook_MSB[[#This Row],[Mat. Date]]-RPT)&lt;=0,0,Tradingbook_MSB[[#This Row],[QUANTITY]])</f>
        <v>0</v>
      </c>
      <c r="AM380" s="71">
        <f>IF(Tradingbook_MSB[[#This Row],[Quantity_edited]]=0,0,Tradingbook_MSB[[#This Row],[DURATION]])</f>
        <v>0</v>
      </c>
      <c r="AN380" s="71">
        <f>IF(Tradingbook_MSB[[#This Row],[Quantity_edited]]=0,0,Tradingbook_MSB[[#This Row],[Mod Dur]])</f>
        <v>0</v>
      </c>
      <c r="AO380" s="71">
        <f>IF(Tradingbook_MSB[[#This Row],[Quantity_edited]]=0,0,Tradingbook_MSB[[#This Row],[Cnvx.]])</f>
        <v>0</v>
      </c>
      <c r="AP380" s="71">
        <f>(Tradingbook_MSB[[#This Row],[MARKET_VALUE]]+Tradingbook_MSB[[#This Row],[Accr Int]]*Tradingbook_MSB[[#This Row],[Quantity_edited]])*(-Tradingbook_MSB[[#This Row],[Modified Duration]]*0.0001+0.5*Tradingbook_MSB[[#This Row],[Conv]]*(0.0001^2))</f>
        <v>0</v>
      </c>
      <c r="AQ380" s="72">
        <f>(Tradingbook_MSB[[#This Row],[MARKET_VALUE]]+Tradingbook_MSB[[#This Row],[Accr Int]]*Tradingbook_MSB[[#This Row],[Quantity_edited]])*(-Tradingbook_MSB[[#This Row],[Modified Duration]]*0.01+0.5*Tradingbook_MSB[[#This Row],[Conv]]*(0.01^2))</f>
        <v>0</v>
      </c>
      <c r="CL380" t="s">
        <v>166</v>
      </c>
      <c r="CM380" t="s">
        <v>3299</v>
      </c>
      <c r="CN380" t="s">
        <v>1199</v>
      </c>
      <c r="CO380" t="s">
        <v>169</v>
      </c>
      <c r="CP380">
        <v>47016</v>
      </c>
      <c r="CQ380" t="s">
        <v>3322</v>
      </c>
      <c r="CR380" t="s">
        <v>4200</v>
      </c>
      <c r="CS380" t="s">
        <v>4201</v>
      </c>
      <c r="CT380">
        <v>0</v>
      </c>
      <c r="CU380">
        <v>0</v>
      </c>
      <c r="CV380">
        <v>0</v>
      </c>
      <c r="CW380">
        <v>0</v>
      </c>
      <c r="CX380">
        <v>4.7</v>
      </c>
      <c r="CY380">
        <v>4275</v>
      </c>
      <c r="CZ380">
        <v>0</v>
      </c>
      <c r="DA380">
        <v>0</v>
      </c>
      <c r="DB380">
        <v>-11016377.916668892</v>
      </c>
      <c r="DC380">
        <v>3.6396227890000001</v>
      </c>
      <c r="DD380">
        <v>2</v>
      </c>
      <c r="DE380">
        <v>2</v>
      </c>
      <c r="DF380">
        <v>6</v>
      </c>
      <c r="DG380">
        <v>0</v>
      </c>
      <c r="DH380">
        <v>0</v>
      </c>
      <c r="DI380">
        <v>0</v>
      </c>
      <c r="DJ380">
        <v>-113500000</v>
      </c>
      <c r="DK380">
        <v>0</v>
      </c>
      <c r="DL380">
        <v>-113500000</v>
      </c>
      <c r="DM380">
        <v>-113500000</v>
      </c>
      <c r="DN380">
        <v>-113500000</v>
      </c>
      <c r="DO380">
        <v>-113500000</v>
      </c>
      <c r="DP380" s="32">
        <f>Tradingbook_SBV[[#This Row],[Mat. Date]]-RPT</f>
        <v>764</v>
      </c>
      <c r="DQ380" s="32">
        <f>IF(Tradingbook_SBV[[#This Row],[Days]]&lt;=0,0,YEARFRAC(RPT,Tradingbook_SBV[[#This Row],[Mat. Date]],3))</f>
        <v>2.0931506849315067</v>
      </c>
      <c r="DR380" s="32" t="str">
        <f>IF(Tradingbook_SBV[[#This Row],[Days (year)]]=0,0,INDEX(Ref!$K$2:$K$13,MATCH(Tradingbook_SBV[[#This Row],[Days (year)]],Ref!$I$2:$I$13,1)))</f>
        <v>2Y</v>
      </c>
      <c r="DS380" s="32" t="str">
        <f>VLOOKUP(Tradingbook_SBV[[#This Row],[Security Name]],Ref!X:Z,3,0)</f>
        <v>TPCP</v>
      </c>
      <c r="DT380" s="32" t="str">
        <f>VLOOKUP(Tradingbook_SBV[[#This Row],[Security Name]],Ref!X:Y,2,0)</f>
        <v>KBNN</v>
      </c>
      <c r="DU380" s="71">
        <f>IF((Tradingbook_SBV[[#This Row],[Mat. Date]]-RPT)&lt;=0,0,Tradingbook_SBV[[#This Row],[QUANTITY]])</f>
        <v>0</v>
      </c>
      <c r="DV380" s="71">
        <f>IF(Tradingbook_SBV[[#This Row],[Quantity_edited]]=0,0,Tradingbook_SBV[[#This Row],[DURATION]])</f>
        <v>0</v>
      </c>
      <c r="DW380" s="71">
        <f>IF(Tradingbook_SBV[[#This Row],[Quantity_edited]]=0,0,Tradingbook_SBV[[#This Row],[Mod Dur]])</f>
        <v>0</v>
      </c>
      <c r="DX380" s="71">
        <f>IF(Tradingbook_SBV[[#This Row],[Quantity_edited]]=0,0,Tradingbook_SBV[[#This Row],[Cnvx.]])</f>
        <v>0</v>
      </c>
      <c r="DY380" s="71">
        <f>(Tradingbook_SBV[[#This Row],[MARKET_VALUE]]+Tradingbook_SBV[[#This Row],[Accr Int]]*Tradingbook_SBV[[#This Row],[Quantity_edited]])*(-Tradingbook_SBV[[#This Row],[Modified Duration]]*0.0001+0.5*Tradingbook_SBV[[#This Row],[Conv]]*(0.0001^2))</f>
        <v>0</v>
      </c>
      <c r="DZ380" s="71">
        <f>(Tradingbook_SBV[[#This Row],[MARKET_VALUE]]+Tradingbook_SBV[[#This Row],[Accr Int]]*Tradingbook_SBV[[#This Row],[Quantity_edited]])*(-Tradingbook_SBV[[#This Row],[Modified Duration]]*0.01+0.5*Tradingbook_SBV[[#This Row],[Conv]]*(0.01^2))</f>
        <v>0</v>
      </c>
    </row>
    <row r="381" spans="2:173" x14ac:dyDescent="0.3">
      <c r="B381" t="s">
        <v>166</v>
      </c>
      <c r="C381" t="s">
        <v>167</v>
      </c>
      <c r="D381" t="s">
        <v>571</v>
      </c>
      <c r="E381" t="s">
        <v>169</v>
      </c>
      <c r="F381" s="502">
        <v>46460</v>
      </c>
      <c r="G381" t="s">
        <v>3322</v>
      </c>
      <c r="H381">
        <v>101172</v>
      </c>
      <c r="I381">
        <v>101172</v>
      </c>
      <c r="J381" s="38">
        <v>0</v>
      </c>
      <c r="K381">
        <v>0</v>
      </c>
      <c r="L381">
        <v>0</v>
      </c>
      <c r="M381" s="38">
        <v>0</v>
      </c>
      <c r="N381">
        <v>6.5</v>
      </c>
      <c r="O381">
        <v>2796</v>
      </c>
      <c r="P381" s="37">
        <v>0</v>
      </c>
      <c r="Q381" s="37">
        <v>0</v>
      </c>
      <c r="R381" s="37">
        <v>-15864145.97221756</v>
      </c>
      <c r="S381">
        <v>4.2735967580000001</v>
      </c>
      <c r="T381" s="70">
        <v>0.55631472120129999</v>
      </c>
      <c r="U381">
        <v>0.58008937000000005</v>
      </c>
      <c r="V381">
        <v>0.61897213805210005</v>
      </c>
      <c r="W381">
        <v>0</v>
      </c>
      <c r="X381" s="38">
        <v>0</v>
      </c>
      <c r="Y381">
        <v>0</v>
      </c>
      <c r="Z381" s="70">
        <v>-43000000</v>
      </c>
      <c r="AA381" s="70">
        <v>0</v>
      </c>
      <c r="AB381" s="70">
        <v>-43000000</v>
      </c>
      <c r="AC381" s="70">
        <v>-43000000</v>
      </c>
      <c r="AD381" s="70">
        <v>-43000000</v>
      </c>
      <c r="AE381" s="70">
        <v>-43000000</v>
      </c>
      <c r="AF381">
        <v>0</v>
      </c>
      <c r="AG381" s="72">
        <f>Tradingbook_MSB[[#This Row],[Mat. Date]]-RPT</f>
        <v>208</v>
      </c>
      <c r="AH381" s="71">
        <f>IF(Tradingbook_MSB[[#This Row],[Days]]&lt;=0,0,YEARFRAC(RPT,Tradingbook_MSB[[#This Row],[Mat. Date]],3))</f>
        <v>0.56986301369863013</v>
      </c>
      <c r="AI381" s="71" t="str">
        <f>IF(Tradingbook_MSB[[#This Row],[Days (year)]]=0,0,INDEX(Ref!$K$2:$K$13,MATCH(Tradingbook_MSB[[#This Row],[Days (year)]],Ref!$I$2:$I$13,1)))</f>
        <v>6M</v>
      </c>
      <c r="AJ381" s="120" t="str">
        <f>VLOOKUP(Tradingbook_MSB[[#This Row],[Security Name]],Ref!X:Z,3,0)</f>
        <v>TPCPBL</v>
      </c>
      <c r="AK381" s="120" t="str">
        <f>VLOOKUP(Tradingbook_MSB[[#This Row],[Security Name]],Ref!X:Y,2,0)</f>
        <v>VBS</v>
      </c>
      <c r="AL381" s="71">
        <f>IF((Tradingbook_MSB[[#This Row],[Mat. Date]]-RPT)&lt;=0,0,Tradingbook_MSB[[#This Row],[QUANTITY]])</f>
        <v>0</v>
      </c>
      <c r="AM381" s="71">
        <f>IF(Tradingbook_MSB[[#This Row],[Quantity_edited]]=0,0,Tradingbook_MSB[[#This Row],[DURATION]])</f>
        <v>0</v>
      </c>
      <c r="AN381" s="71">
        <f>IF(Tradingbook_MSB[[#This Row],[Quantity_edited]]=0,0,Tradingbook_MSB[[#This Row],[Mod Dur]])</f>
        <v>0</v>
      </c>
      <c r="AO381" s="71">
        <f>IF(Tradingbook_MSB[[#This Row],[Quantity_edited]]=0,0,Tradingbook_MSB[[#This Row],[Cnvx.]])</f>
        <v>0</v>
      </c>
      <c r="AP381" s="71">
        <f>(Tradingbook_MSB[[#This Row],[MARKET_VALUE]]+Tradingbook_MSB[[#This Row],[Accr Int]]*Tradingbook_MSB[[#This Row],[Quantity_edited]])*(-Tradingbook_MSB[[#This Row],[Modified Duration]]*0.0001+0.5*Tradingbook_MSB[[#This Row],[Conv]]*(0.0001^2))</f>
        <v>0</v>
      </c>
      <c r="AQ381" s="72">
        <f>(Tradingbook_MSB[[#This Row],[MARKET_VALUE]]+Tradingbook_MSB[[#This Row],[Accr Int]]*Tradingbook_MSB[[#This Row],[Quantity_edited]])*(-Tradingbook_MSB[[#This Row],[Modified Duration]]*0.01+0.5*Tradingbook_MSB[[#This Row],[Conv]]*(0.01^2))</f>
        <v>0</v>
      </c>
      <c r="CL381" t="s">
        <v>166</v>
      </c>
      <c r="CM381" t="s">
        <v>3299</v>
      </c>
      <c r="CN381" t="s">
        <v>2773</v>
      </c>
      <c r="CO381" t="s">
        <v>169</v>
      </c>
      <c r="CP381">
        <v>47071</v>
      </c>
      <c r="CQ381" t="s">
        <v>3322</v>
      </c>
      <c r="CR381" t="s">
        <v>4202</v>
      </c>
      <c r="CS381" t="s">
        <v>4203</v>
      </c>
      <c r="CT381">
        <v>0</v>
      </c>
      <c r="CU381">
        <v>0</v>
      </c>
      <c r="CV381">
        <v>0</v>
      </c>
      <c r="CW381">
        <v>0</v>
      </c>
      <c r="CX381">
        <v>2.4</v>
      </c>
      <c r="CY381">
        <v>1821</v>
      </c>
      <c r="CZ381">
        <v>0</v>
      </c>
      <c r="DA381">
        <v>3.9999999999999998E-6</v>
      </c>
      <c r="DB381">
        <v>398394513.88891602</v>
      </c>
      <c r="DC381">
        <v>4.1497937489999996</v>
      </c>
      <c r="DD381">
        <v>2</v>
      </c>
      <c r="DE381">
        <v>2</v>
      </c>
      <c r="DF381">
        <v>6</v>
      </c>
      <c r="DG381">
        <v>0</v>
      </c>
      <c r="DH381">
        <v>0</v>
      </c>
      <c r="DI381">
        <v>0</v>
      </c>
      <c r="DJ381">
        <v>6220000000</v>
      </c>
      <c r="DK381">
        <v>0</v>
      </c>
      <c r="DL381">
        <v>6220000000</v>
      </c>
      <c r="DM381">
        <v>6220000000</v>
      </c>
      <c r="DN381">
        <v>6220000000</v>
      </c>
      <c r="DO381">
        <v>6220000000</v>
      </c>
      <c r="DP381" s="32">
        <f>Tradingbook_SBV[[#This Row],[Mat. Date]]-RPT</f>
        <v>819</v>
      </c>
      <c r="DQ381" s="32">
        <f>IF(Tradingbook_SBV[[#This Row],[Days]]&lt;=0,0,YEARFRAC(RPT,Tradingbook_SBV[[#This Row],[Mat. Date]],3))</f>
        <v>2.2438356164383562</v>
      </c>
      <c r="DR381" s="32" t="str">
        <f>IF(Tradingbook_SBV[[#This Row],[Days (year)]]=0,0,INDEX(Ref!$K$2:$K$13,MATCH(Tradingbook_SBV[[#This Row],[Days (year)]],Ref!$I$2:$I$13,1)))</f>
        <v>2Y</v>
      </c>
      <c r="DS381" s="32" t="str">
        <f>VLOOKUP(Tradingbook_SBV[[#This Row],[Security Name]],Ref!X:Z,3,0)</f>
        <v>TPCPBL</v>
      </c>
      <c r="DT381" s="32" t="str">
        <f>VLOOKUP(Tradingbook_SBV[[#This Row],[Security Name]],Ref!X:Y,2,0)</f>
        <v>VBS</v>
      </c>
      <c r="DU381" s="71">
        <f>IF((Tradingbook_SBV[[#This Row],[Mat. Date]]-RPT)&lt;=0,0,Tradingbook_SBV[[#This Row],[QUANTITY]])</f>
        <v>0</v>
      </c>
      <c r="DV381" s="71">
        <f>IF(Tradingbook_SBV[[#This Row],[Quantity_edited]]=0,0,Tradingbook_SBV[[#This Row],[DURATION]])</f>
        <v>0</v>
      </c>
      <c r="DW381" s="71">
        <f>IF(Tradingbook_SBV[[#This Row],[Quantity_edited]]=0,0,Tradingbook_SBV[[#This Row],[Mod Dur]])</f>
        <v>0</v>
      </c>
      <c r="DX381" s="71">
        <f>IF(Tradingbook_SBV[[#This Row],[Quantity_edited]]=0,0,Tradingbook_SBV[[#This Row],[Cnvx.]])</f>
        <v>0</v>
      </c>
      <c r="DY381" s="71">
        <f>(Tradingbook_SBV[[#This Row],[MARKET_VALUE]]+Tradingbook_SBV[[#This Row],[Accr Int]]*Tradingbook_SBV[[#This Row],[Quantity_edited]])*(-Tradingbook_SBV[[#This Row],[Modified Duration]]*0.0001+0.5*Tradingbook_SBV[[#This Row],[Conv]]*(0.0001^2))</f>
        <v>0</v>
      </c>
      <c r="DZ381" s="71">
        <f>(Tradingbook_SBV[[#This Row],[MARKET_VALUE]]+Tradingbook_SBV[[#This Row],[Accr Int]]*Tradingbook_SBV[[#This Row],[Quantity_edited]])*(-Tradingbook_SBV[[#This Row],[Modified Duration]]*0.01+0.5*Tradingbook_SBV[[#This Row],[Conv]]*(0.01^2))</f>
        <v>0</v>
      </c>
    </row>
    <row r="382" spans="2:173" x14ac:dyDescent="0.3">
      <c r="B382" t="s">
        <v>166</v>
      </c>
      <c r="C382" t="s">
        <v>167</v>
      </c>
      <c r="D382" t="s">
        <v>572</v>
      </c>
      <c r="E382" t="s">
        <v>169</v>
      </c>
      <c r="F382" s="502">
        <v>46511</v>
      </c>
      <c r="G382" t="s">
        <v>3322</v>
      </c>
      <c r="H382">
        <v>101447</v>
      </c>
      <c r="I382">
        <v>101447</v>
      </c>
      <c r="J382" s="38">
        <v>0</v>
      </c>
      <c r="K382">
        <v>0</v>
      </c>
      <c r="L382">
        <v>0</v>
      </c>
      <c r="M382" s="38">
        <v>0</v>
      </c>
      <c r="N382">
        <v>6</v>
      </c>
      <c r="O382">
        <v>1742</v>
      </c>
      <c r="P382" s="37">
        <v>33000000000</v>
      </c>
      <c r="Q382" s="37">
        <v>39038475416.666672</v>
      </c>
      <c r="R382" s="37">
        <v>-10627338754.166445</v>
      </c>
      <c r="S382">
        <v>3.8390214810000001</v>
      </c>
      <c r="T382" s="70">
        <v>0.69077154303819999</v>
      </c>
      <c r="U382">
        <v>0.71729041000000004</v>
      </c>
      <c r="V382">
        <v>0.95433064934019995</v>
      </c>
      <c r="W382">
        <v>0</v>
      </c>
      <c r="X382" s="38">
        <v>0</v>
      </c>
      <c r="Y382">
        <v>0</v>
      </c>
      <c r="Z382" s="70">
        <v>18757250000</v>
      </c>
      <c r="AA382" s="70">
        <v>0</v>
      </c>
      <c r="AB382" s="70">
        <v>18757250000</v>
      </c>
      <c r="AC382" s="70">
        <v>18757250000</v>
      </c>
      <c r="AD382" s="70">
        <v>18757250000</v>
      </c>
      <c r="AE382" s="70">
        <v>18757250000</v>
      </c>
      <c r="AF382">
        <v>0</v>
      </c>
      <c r="AG382" s="72">
        <f>Tradingbook_MSB[[#This Row],[Mat. Date]]-RPT</f>
        <v>259</v>
      </c>
      <c r="AH382" s="71">
        <f>IF(Tradingbook_MSB[[#This Row],[Days]]&lt;=0,0,YEARFRAC(RPT,Tradingbook_MSB[[#This Row],[Mat. Date]],3))</f>
        <v>0.70958904109589038</v>
      </c>
      <c r="AI382" s="71" t="str">
        <f>IF(Tradingbook_MSB[[#This Row],[Days (year)]]=0,0,INDEX(Ref!$K$2:$K$13,MATCH(Tradingbook_MSB[[#This Row],[Days (year)]],Ref!$I$2:$I$13,1)))</f>
        <v>6M</v>
      </c>
      <c r="AJ382" s="120" t="str">
        <f>VLOOKUP(Tradingbook_MSB[[#This Row],[Security Name]],Ref!X:Z,3,0)</f>
        <v>TPCP</v>
      </c>
      <c r="AK382" s="120" t="str">
        <f>VLOOKUP(Tradingbook_MSB[[#This Row],[Security Name]],Ref!X:Y,2,0)</f>
        <v>KBNN</v>
      </c>
      <c r="AL382" s="71">
        <f>IF((Tradingbook_MSB[[#This Row],[Mat. Date]]-RPT)&lt;=0,0,Tradingbook_MSB[[#This Row],[QUANTITY]])</f>
        <v>0</v>
      </c>
      <c r="AM382" s="71">
        <f>IF(Tradingbook_MSB[[#This Row],[Quantity_edited]]=0,0,Tradingbook_MSB[[#This Row],[DURATION]])</f>
        <v>0</v>
      </c>
      <c r="AN382" s="71">
        <f>IF(Tradingbook_MSB[[#This Row],[Quantity_edited]]=0,0,Tradingbook_MSB[[#This Row],[Mod Dur]])</f>
        <v>0</v>
      </c>
      <c r="AO382" s="71">
        <f>IF(Tradingbook_MSB[[#This Row],[Quantity_edited]]=0,0,Tradingbook_MSB[[#This Row],[Cnvx.]])</f>
        <v>0</v>
      </c>
      <c r="AP382" s="71">
        <f>(Tradingbook_MSB[[#This Row],[MARKET_VALUE]]+Tradingbook_MSB[[#This Row],[Accr Int]]*Tradingbook_MSB[[#This Row],[Quantity_edited]])*(-Tradingbook_MSB[[#This Row],[Modified Duration]]*0.0001+0.5*Tradingbook_MSB[[#This Row],[Conv]]*(0.0001^2))</f>
        <v>0</v>
      </c>
      <c r="AQ382" s="72">
        <f>(Tradingbook_MSB[[#This Row],[MARKET_VALUE]]+Tradingbook_MSB[[#This Row],[Accr Int]]*Tradingbook_MSB[[#This Row],[Quantity_edited]])*(-Tradingbook_MSB[[#This Row],[Modified Duration]]*0.01+0.5*Tradingbook_MSB[[#This Row],[Conv]]*(0.01^2))</f>
        <v>0</v>
      </c>
      <c r="CL382" t="s">
        <v>166</v>
      </c>
      <c r="CM382" t="s">
        <v>3299</v>
      </c>
      <c r="CN382" t="s">
        <v>585</v>
      </c>
      <c r="CO382" t="s">
        <v>169</v>
      </c>
      <c r="CP382">
        <v>47072</v>
      </c>
      <c r="CQ382" t="s">
        <v>3322</v>
      </c>
      <c r="CR382" t="s">
        <v>4204</v>
      </c>
      <c r="CS382" t="s">
        <v>4205</v>
      </c>
      <c r="CT382">
        <v>0</v>
      </c>
      <c r="CU382">
        <v>0</v>
      </c>
      <c r="CV382">
        <v>0</v>
      </c>
      <c r="CW382">
        <v>0</v>
      </c>
      <c r="CX382">
        <v>5</v>
      </c>
      <c r="CY382">
        <v>3781</v>
      </c>
      <c r="CZ382">
        <v>0</v>
      </c>
      <c r="DA382">
        <v>0</v>
      </c>
      <c r="DB382">
        <v>-12591783.75</v>
      </c>
      <c r="DC382">
        <v>3.6504307009999999</v>
      </c>
      <c r="DD382">
        <v>2</v>
      </c>
      <c r="DE382">
        <v>2</v>
      </c>
      <c r="DF382">
        <v>6</v>
      </c>
      <c r="DG382">
        <v>0</v>
      </c>
      <c r="DH382">
        <v>0</v>
      </c>
      <c r="DI382">
        <v>0</v>
      </c>
      <c r="DJ382">
        <v>64000000</v>
      </c>
      <c r="DK382">
        <v>0</v>
      </c>
      <c r="DL382">
        <v>64000000</v>
      </c>
      <c r="DM382">
        <v>64000000</v>
      </c>
      <c r="DN382">
        <v>64000000</v>
      </c>
      <c r="DO382">
        <v>64000000</v>
      </c>
      <c r="DP382" s="32">
        <f>Tradingbook_SBV[[#This Row],[Mat. Date]]-RPT</f>
        <v>820</v>
      </c>
      <c r="DQ382" s="32">
        <f>IF(Tradingbook_SBV[[#This Row],[Days]]&lt;=0,0,YEARFRAC(RPT,Tradingbook_SBV[[#This Row],[Mat. Date]],3))</f>
        <v>2.2465753424657535</v>
      </c>
      <c r="DR382" s="32" t="str">
        <f>IF(Tradingbook_SBV[[#This Row],[Days (year)]]=0,0,INDEX(Ref!$K$2:$K$13,MATCH(Tradingbook_SBV[[#This Row],[Days (year)]],Ref!$I$2:$I$13,1)))</f>
        <v>2Y</v>
      </c>
      <c r="DS382" s="32" t="str">
        <f>VLOOKUP(Tradingbook_SBV[[#This Row],[Security Name]],Ref!X:Z,3,0)</f>
        <v>TPCP</v>
      </c>
      <c r="DT382" s="32" t="str">
        <f>VLOOKUP(Tradingbook_SBV[[#This Row],[Security Name]],Ref!X:Y,2,0)</f>
        <v>KBNN</v>
      </c>
      <c r="DU382" s="71">
        <f>IF((Tradingbook_SBV[[#This Row],[Mat. Date]]-RPT)&lt;=0,0,Tradingbook_SBV[[#This Row],[QUANTITY]])</f>
        <v>0</v>
      </c>
      <c r="DV382" s="71">
        <f>IF(Tradingbook_SBV[[#This Row],[Quantity_edited]]=0,0,Tradingbook_SBV[[#This Row],[DURATION]])</f>
        <v>0</v>
      </c>
      <c r="DW382" s="71">
        <f>IF(Tradingbook_SBV[[#This Row],[Quantity_edited]]=0,0,Tradingbook_SBV[[#This Row],[Mod Dur]])</f>
        <v>0</v>
      </c>
      <c r="DX382" s="71">
        <f>IF(Tradingbook_SBV[[#This Row],[Quantity_edited]]=0,0,Tradingbook_SBV[[#This Row],[Cnvx.]])</f>
        <v>0</v>
      </c>
      <c r="DY382" s="71">
        <f>(Tradingbook_SBV[[#This Row],[MARKET_VALUE]]+Tradingbook_SBV[[#This Row],[Accr Int]]*Tradingbook_SBV[[#This Row],[Quantity_edited]])*(-Tradingbook_SBV[[#This Row],[Modified Duration]]*0.0001+0.5*Tradingbook_SBV[[#This Row],[Conv]]*(0.0001^2))</f>
        <v>0</v>
      </c>
      <c r="DZ382" s="71">
        <f>(Tradingbook_SBV[[#This Row],[MARKET_VALUE]]+Tradingbook_SBV[[#This Row],[Accr Int]]*Tradingbook_SBV[[#This Row],[Quantity_edited]])*(-Tradingbook_SBV[[#This Row],[Modified Duration]]*0.01+0.5*Tradingbook_SBV[[#This Row],[Conv]]*(0.01^2))</f>
        <v>0</v>
      </c>
    </row>
    <row r="383" spans="2:173" x14ac:dyDescent="0.3">
      <c r="B383" t="s">
        <v>166</v>
      </c>
      <c r="C383" t="s">
        <v>167</v>
      </c>
      <c r="D383" t="s">
        <v>573</v>
      </c>
      <c r="E383" t="s">
        <v>169</v>
      </c>
      <c r="F383" s="502">
        <v>46523</v>
      </c>
      <c r="G383" t="s">
        <v>3322</v>
      </c>
      <c r="H383">
        <v>101420</v>
      </c>
      <c r="I383">
        <v>101420</v>
      </c>
      <c r="J383" s="38">
        <v>0</v>
      </c>
      <c r="K383">
        <v>0</v>
      </c>
      <c r="L383">
        <v>0</v>
      </c>
      <c r="M383" s="38">
        <v>0</v>
      </c>
      <c r="N383">
        <v>6.4</v>
      </c>
      <c r="O383">
        <v>1648</v>
      </c>
      <c r="P383" s="37">
        <v>0</v>
      </c>
      <c r="Q383" s="37">
        <v>0</v>
      </c>
      <c r="R383" s="37">
        <v>-67015965.777772903</v>
      </c>
      <c r="S383">
        <v>4.354163346</v>
      </c>
      <c r="T383" s="70">
        <v>0.71921485219930004</v>
      </c>
      <c r="U383">
        <v>0.75053064000000003</v>
      </c>
      <c r="V383">
        <v>1.034540007248</v>
      </c>
      <c r="W383">
        <v>0</v>
      </c>
      <c r="X383" s="38">
        <v>0</v>
      </c>
      <c r="Y383">
        <v>0</v>
      </c>
      <c r="Z383" s="70">
        <v>-16400000</v>
      </c>
      <c r="AA383" s="70">
        <v>0</v>
      </c>
      <c r="AB383" s="70">
        <v>-16400000</v>
      </c>
      <c r="AC383" s="70">
        <v>-16400000</v>
      </c>
      <c r="AD383" s="70">
        <v>-16400000</v>
      </c>
      <c r="AE383" s="70">
        <v>-16400000</v>
      </c>
      <c r="AF383">
        <v>0</v>
      </c>
      <c r="AG383" s="72">
        <f>Tradingbook_MSB[[#This Row],[Mat. Date]]-RPT</f>
        <v>271</v>
      </c>
      <c r="AH383" s="71">
        <f>IF(Tradingbook_MSB[[#This Row],[Days]]&lt;=0,0,YEARFRAC(RPT,Tradingbook_MSB[[#This Row],[Mat. Date]],3))</f>
        <v>0.74246575342465748</v>
      </c>
      <c r="AI383" s="71" t="str">
        <f>IF(Tradingbook_MSB[[#This Row],[Days (year)]]=0,0,INDEX(Ref!$K$2:$K$13,MATCH(Tradingbook_MSB[[#This Row],[Days (year)]],Ref!$I$2:$I$13,1)))</f>
        <v>6M</v>
      </c>
      <c r="AJ383" s="120" t="str">
        <f>VLOOKUP(Tradingbook_MSB[[#This Row],[Security Name]],Ref!X:Z,3,0)</f>
        <v>TPCPBL</v>
      </c>
      <c r="AK383" s="120" t="str">
        <f>VLOOKUP(Tradingbook_MSB[[#This Row],[Security Name]],Ref!X:Y,2,0)</f>
        <v>VBS</v>
      </c>
      <c r="AL383" s="71">
        <f>IF((Tradingbook_MSB[[#This Row],[Mat. Date]]-RPT)&lt;=0,0,Tradingbook_MSB[[#This Row],[QUANTITY]])</f>
        <v>0</v>
      </c>
      <c r="AM383" s="71">
        <f>IF(Tradingbook_MSB[[#This Row],[Quantity_edited]]=0,0,Tradingbook_MSB[[#This Row],[DURATION]])</f>
        <v>0</v>
      </c>
      <c r="AN383" s="71">
        <f>IF(Tradingbook_MSB[[#This Row],[Quantity_edited]]=0,0,Tradingbook_MSB[[#This Row],[Mod Dur]])</f>
        <v>0</v>
      </c>
      <c r="AO383" s="71">
        <f>IF(Tradingbook_MSB[[#This Row],[Quantity_edited]]=0,0,Tradingbook_MSB[[#This Row],[Cnvx.]])</f>
        <v>0</v>
      </c>
      <c r="AP383" s="71">
        <f>(Tradingbook_MSB[[#This Row],[MARKET_VALUE]]+Tradingbook_MSB[[#This Row],[Accr Int]]*Tradingbook_MSB[[#This Row],[Quantity_edited]])*(-Tradingbook_MSB[[#This Row],[Modified Duration]]*0.0001+0.5*Tradingbook_MSB[[#This Row],[Conv]]*(0.0001^2))</f>
        <v>0</v>
      </c>
      <c r="AQ383" s="72">
        <f>(Tradingbook_MSB[[#This Row],[MARKET_VALUE]]+Tradingbook_MSB[[#This Row],[Accr Int]]*Tradingbook_MSB[[#This Row],[Quantity_edited]])*(-Tradingbook_MSB[[#This Row],[Modified Duration]]*0.01+0.5*Tradingbook_MSB[[#This Row],[Conv]]*(0.01^2))</f>
        <v>0</v>
      </c>
      <c r="CL383" t="s">
        <v>166</v>
      </c>
      <c r="CM383" t="s">
        <v>3299</v>
      </c>
      <c r="CN383" t="s">
        <v>587</v>
      </c>
      <c r="CO383" t="s">
        <v>169</v>
      </c>
      <c r="CP383">
        <v>47100</v>
      </c>
      <c r="CQ383" t="s">
        <v>3322</v>
      </c>
      <c r="CR383" t="s">
        <v>4206</v>
      </c>
      <c r="CS383" t="s">
        <v>4207</v>
      </c>
      <c r="CT383">
        <v>0</v>
      </c>
      <c r="CU383">
        <v>0</v>
      </c>
      <c r="CV383">
        <v>0</v>
      </c>
      <c r="CW383">
        <v>0</v>
      </c>
      <c r="CX383">
        <v>5.0999999999999996</v>
      </c>
      <c r="CY383">
        <v>3465</v>
      </c>
      <c r="CZ383">
        <v>10200000000</v>
      </c>
      <c r="DA383">
        <v>11867140770.8333</v>
      </c>
      <c r="DB383">
        <v>954066147.43066216</v>
      </c>
      <c r="DC383">
        <v>3.6555125789999998</v>
      </c>
      <c r="DD383">
        <v>2</v>
      </c>
      <c r="DE383">
        <v>2</v>
      </c>
      <c r="DF383">
        <v>7</v>
      </c>
      <c r="DG383">
        <v>0</v>
      </c>
      <c r="DH383">
        <v>0</v>
      </c>
      <c r="DI383">
        <v>0</v>
      </c>
      <c r="DJ383">
        <v>17592000000</v>
      </c>
      <c r="DK383">
        <v>0</v>
      </c>
      <c r="DL383">
        <v>17592000000</v>
      </c>
      <c r="DM383">
        <v>17592000000</v>
      </c>
      <c r="DN383">
        <v>17592000000</v>
      </c>
      <c r="DO383">
        <v>17592000000</v>
      </c>
      <c r="DP383" s="32">
        <f>Tradingbook_SBV[[#This Row],[Mat. Date]]-RPT</f>
        <v>848</v>
      </c>
      <c r="DQ383" s="32">
        <f>IF(Tradingbook_SBV[[#This Row],[Days]]&lt;=0,0,YEARFRAC(RPT,Tradingbook_SBV[[#This Row],[Mat. Date]],3))</f>
        <v>2.3232876712328765</v>
      </c>
      <c r="DR383" s="32" t="str">
        <f>IF(Tradingbook_SBV[[#This Row],[Days (year)]]=0,0,INDEX(Ref!$K$2:$K$13,MATCH(Tradingbook_SBV[[#This Row],[Days (year)]],Ref!$I$2:$I$13,1)))</f>
        <v>2Y</v>
      </c>
      <c r="DS383" s="32" t="str">
        <f>VLOOKUP(Tradingbook_SBV[[#This Row],[Security Name]],Ref!X:Z,3,0)</f>
        <v>TPCP</v>
      </c>
      <c r="DT383" s="32" t="str">
        <f>VLOOKUP(Tradingbook_SBV[[#This Row],[Security Name]],Ref!X:Y,2,0)</f>
        <v>KBNN</v>
      </c>
      <c r="DU383" s="71">
        <f>IF((Tradingbook_SBV[[#This Row],[Mat. Date]]-RPT)&lt;=0,0,Tradingbook_SBV[[#This Row],[QUANTITY]])</f>
        <v>0</v>
      </c>
      <c r="DV383" s="71">
        <f>IF(Tradingbook_SBV[[#This Row],[Quantity_edited]]=0,0,Tradingbook_SBV[[#This Row],[DURATION]])</f>
        <v>0</v>
      </c>
      <c r="DW383" s="71">
        <f>IF(Tradingbook_SBV[[#This Row],[Quantity_edited]]=0,0,Tradingbook_SBV[[#This Row],[Mod Dur]])</f>
        <v>0</v>
      </c>
      <c r="DX383" s="71">
        <f>IF(Tradingbook_SBV[[#This Row],[Quantity_edited]]=0,0,Tradingbook_SBV[[#This Row],[Cnvx.]])</f>
        <v>0</v>
      </c>
      <c r="DY383" s="71">
        <f>(Tradingbook_SBV[[#This Row],[MARKET_VALUE]]+Tradingbook_SBV[[#This Row],[Accr Int]]*Tradingbook_SBV[[#This Row],[Quantity_edited]])*(-Tradingbook_SBV[[#This Row],[Modified Duration]]*0.0001+0.5*Tradingbook_SBV[[#This Row],[Conv]]*(0.0001^2))</f>
        <v>0</v>
      </c>
      <c r="DZ383" s="71">
        <f>(Tradingbook_SBV[[#This Row],[MARKET_VALUE]]+Tradingbook_SBV[[#This Row],[Accr Int]]*Tradingbook_SBV[[#This Row],[Quantity_edited]])*(-Tradingbook_SBV[[#This Row],[Modified Duration]]*0.01+0.5*Tradingbook_SBV[[#This Row],[Conv]]*(0.01^2))</f>
        <v>0</v>
      </c>
    </row>
    <row r="384" spans="2:173" x14ac:dyDescent="0.3">
      <c r="B384" t="s">
        <v>166</v>
      </c>
      <c r="C384" t="s">
        <v>167</v>
      </c>
      <c r="D384" t="s">
        <v>574</v>
      </c>
      <c r="E384" t="s">
        <v>169</v>
      </c>
      <c r="F384" s="502">
        <v>46537</v>
      </c>
      <c r="G384" t="s">
        <v>3322</v>
      </c>
      <c r="H384">
        <v>101305</v>
      </c>
      <c r="I384">
        <v>101305</v>
      </c>
      <c r="J384" s="38">
        <v>0</v>
      </c>
      <c r="K384">
        <v>0</v>
      </c>
      <c r="L384">
        <v>0</v>
      </c>
      <c r="M384" s="38">
        <v>0</v>
      </c>
      <c r="N384">
        <v>6.1</v>
      </c>
      <c r="O384">
        <v>1337</v>
      </c>
      <c r="P384" s="37">
        <v>0</v>
      </c>
      <c r="Q384" s="37">
        <v>0</v>
      </c>
      <c r="R384" s="37">
        <v>-12341161.388893127</v>
      </c>
      <c r="S384">
        <v>4.3146730059999996</v>
      </c>
      <c r="T384" s="70">
        <v>0.75537345228550001</v>
      </c>
      <c r="U384">
        <v>0.78796535000000001</v>
      </c>
      <c r="V384">
        <v>1.1411781048367</v>
      </c>
      <c r="W384">
        <v>0</v>
      </c>
      <c r="X384" s="38">
        <v>0</v>
      </c>
      <c r="Y384">
        <v>0</v>
      </c>
      <c r="Z384" s="70">
        <v>-53000000</v>
      </c>
      <c r="AA384" s="70">
        <v>0</v>
      </c>
      <c r="AB384" s="70">
        <v>-53000000</v>
      </c>
      <c r="AC384" s="70">
        <v>-53000000</v>
      </c>
      <c r="AD384" s="70">
        <v>-53000000</v>
      </c>
      <c r="AE384" s="70">
        <v>-53000000</v>
      </c>
      <c r="AF384">
        <v>0</v>
      </c>
      <c r="AG384" s="72">
        <f>Tradingbook_MSB[[#This Row],[Mat. Date]]-RPT</f>
        <v>285</v>
      </c>
      <c r="AH384" s="71">
        <f>IF(Tradingbook_MSB[[#This Row],[Days]]&lt;=0,0,YEARFRAC(RPT,Tradingbook_MSB[[#This Row],[Mat. Date]],3))</f>
        <v>0.78082191780821919</v>
      </c>
      <c r="AI384" s="71" t="str">
        <f>IF(Tradingbook_MSB[[#This Row],[Days (year)]]=0,0,INDEX(Ref!$K$2:$K$13,MATCH(Tradingbook_MSB[[#This Row],[Days (year)]],Ref!$I$2:$I$13,1)))</f>
        <v>1Y</v>
      </c>
      <c r="AJ384" s="120" t="str">
        <f>VLOOKUP(Tradingbook_MSB[[#This Row],[Security Name]],Ref!X:Z,3,0)</f>
        <v>TPCPBL</v>
      </c>
      <c r="AK384" s="120" t="str">
        <f>VLOOKUP(Tradingbook_MSB[[#This Row],[Security Name]],Ref!X:Y,2,0)</f>
        <v>VBS</v>
      </c>
      <c r="AL384" s="71">
        <f>IF((Tradingbook_MSB[[#This Row],[Mat. Date]]-RPT)&lt;=0,0,Tradingbook_MSB[[#This Row],[QUANTITY]])</f>
        <v>0</v>
      </c>
      <c r="AM384" s="71">
        <f>IF(Tradingbook_MSB[[#This Row],[Quantity_edited]]=0,0,Tradingbook_MSB[[#This Row],[DURATION]])</f>
        <v>0</v>
      </c>
      <c r="AN384" s="71">
        <f>IF(Tradingbook_MSB[[#This Row],[Quantity_edited]]=0,0,Tradingbook_MSB[[#This Row],[Mod Dur]])</f>
        <v>0</v>
      </c>
      <c r="AO384" s="71">
        <f>IF(Tradingbook_MSB[[#This Row],[Quantity_edited]]=0,0,Tradingbook_MSB[[#This Row],[Cnvx.]])</f>
        <v>0</v>
      </c>
      <c r="AP384" s="71">
        <f>(Tradingbook_MSB[[#This Row],[MARKET_VALUE]]+Tradingbook_MSB[[#This Row],[Accr Int]]*Tradingbook_MSB[[#This Row],[Quantity_edited]])*(-Tradingbook_MSB[[#This Row],[Modified Duration]]*0.0001+0.5*Tradingbook_MSB[[#This Row],[Conv]]*(0.0001^2))</f>
        <v>0</v>
      </c>
      <c r="AQ384" s="72">
        <f>(Tradingbook_MSB[[#This Row],[MARKET_VALUE]]+Tradingbook_MSB[[#This Row],[Accr Int]]*Tradingbook_MSB[[#This Row],[Quantity_edited]])*(-Tradingbook_MSB[[#This Row],[Modified Duration]]*0.01+0.5*Tradingbook_MSB[[#This Row],[Conv]]*(0.01^2))</f>
        <v>0</v>
      </c>
      <c r="CL384" t="s">
        <v>166</v>
      </c>
      <c r="CM384" t="s">
        <v>3299</v>
      </c>
      <c r="CN384" t="s">
        <v>589</v>
      </c>
      <c r="CO384" t="s">
        <v>169</v>
      </c>
      <c r="CP384">
        <v>47114</v>
      </c>
      <c r="CQ384" t="s">
        <v>3322</v>
      </c>
      <c r="CR384" t="s">
        <v>4208</v>
      </c>
      <c r="CS384" t="s">
        <v>4209</v>
      </c>
      <c r="CT384">
        <v>0</v>
      </c>
      <c r="CU384">
        <v>0</v>
      </c>
      <c r="CV384">
        <v>0</v>
      </c>
      <c r="CW384">
        <v>0</v>
      </c>
      <c r="CX384">
        <v>5.0999999999999996</v>
      </c>
      <c r="CY384">
        <v>3270</v>
      </c>
      <c r="CZ384">
        <v>0</v>
      </c>
      <c r="DA384">
        <v>-3.9999999999999998E-6</v>
      </c>
      <c r="DB384">
        <v>172823020.41668701</v>
      </c>
      <c r="DC384">
        <v>3.6582762469999999</v>
      </c>
      <c r="DD384">
        <v>2</v>
      </c>
      <c r="DE384">
        <v>2</v>
      </c>
      <c r="DF384">
        <v>7</v>
      </c>
      <c r="DG384">
        <v>0</v>
      </c>
      <c r="DH384">
        <v>0</v>
      </c>
      <c r="DI384">
        <v>0</v>
      </c>
      <c r="DJ384">
        <v>1708500000</v>
      </c>
      <c r="DK384">
        <v>0</v>
      </c>
      <c r="DL384">
        <v>1708500000</v>
      </c>
      <c r="DM384">
        <v>1708500000</v>
      </c>
      <c r="DN384">
        <v>1708500000</v>
      </c>
      <c r="DO384">
        <v>1708500000</v>
      </c>
      <c r="DP384" s="32">
        <f>Tradingbook_SBV[[#This Row],[Mat. Date]]-RPT</f>
        <v>862</v>
      </c>
      <c r="DQ384" s="32">
        <f>IF(Tradingbook_SBV[[#This Row],[Days]]&lt;=0,0,YEARFRAC(RPT,Tradingbook_SBV[[#This Row],[Mat. Date]],3))</f>
        <v>2.3616438356164382</v>
      </c>
      <c r="DR384" s="32" t="str">
        <f>IF(Tradingbook_SBV[[#This Row],[Days (year)]]=0,0,INDEX(Ref!$K$2:$K$13,MATCH(Tradingbook_SBV[[#This Row],[Days (year)]],Ref!$I$2:$I$13,1)))</f>
        <v>2Y</v>
      </c>
      <c r="DS384" s="32" t="str">
        <f>VLOOKUP(Tradingbook_SBV[[#This Row],[Security Name]],Ref!X:Z,3,0)</f>
        <v>TPCP</v>
      </c>
      <c r="DT384" s="32" t="str">
        <f>VLOOKUP(Tradingbook_SBV[[#This Row],[Security Name]],Ref!X:Y,2,0)</f>
        <v>KBNN</v>
      </c>
      <c r="DU384" s="71">
        <f>IF((Tradingbook_SBV[[#This Row],[Mat. Date]]-RPT)&lt;=0,0,Tradingbook_SBV[[#This Row],[QUANTITY]])</f>
        <v>0</v>
      </c>
      <c r="DV384" s="71">
        <f>IF(Tradingbook_SBV[[#This Row],[Quantity_edited]]=0,0,Tradingbook_SBV[[#This Row],[DURATION]])</f>
        <v>0</v>
      </c>
      <c r="DW384" s="71">
        <f>IF(Tradingbook_SBV[[#This Row],[Quantity_edited]]=0,0,Tradingbook_SBV[[#This Row],[Mod Dur]])</f>
        <v>0</v>
      </c>
      <c r="DX384" s="71">
        <f>IF(Tradingbook_SBV[[#This Row],[Quantity_edited]]=0,0,Tradingbook_SBV[[#This Row],[Cnvx.]])</f>
        <v>0</v>
      </c>
      <c r="DY384" s="71">
        <f>(Tradingbook_SBV[[#This Row],[MARKET_VALUE]]+Tradingbook_SBV[[#This Row],[Accr Int]]*Tradingbook_SBV[[#This Row],[Quantity_edited]])*(-Tradingbook_SBV[[#This Row],[Modified Duration]]*0.0001+0.5*Tradingbook_SBV[[#This Row],[Conv]]*(0.0001^2))</f>
        <v>0</v>
      </c>
      <c r="DZ384" s="71">
        <f>(Tradingbook_SBV[[#This Row],[MARKET_VALUE]]+Tradingbook_SBV[[#This Row],[Accr Int]]*Tradingbook_SBV[[#This Row],[Quantity_edited]])*(-Tradingbook_SBV[[#This Row],[Modified Duration]]*0.01+0.5*Tradingbook_SBV[[#This Row],[Conv]]*(0.01^2))</f>
        <v>0</v>
      </c>
    </row>
    <row r="385" spans="2:130" x14ac:dyDescent="0.3">
      <c r="B385" t="s">
        <v>166</v>
      </c>
      <c r="C385" t="s">
        <v>167</v>
      </c>
      <c r="D385" t="s">
        <v>575</v>
      </c>
      <c r="E385" t="s">
        <v>169</v>
      </c>
      <c r="F385" s="502">
        <v>46581</v>
      </c>
      <c r="G385" t="s">
        <v>3322</v>
      </c>
      <c r="H385">
        <v>101416</v>
      </c>
      <c r="I385">
        <v>101416</v>
      </c>
      <c r="J385" s="38">
        <v>0</v>
      </c>
      <c r="K385">
        <v>0</v>
      </c>
      <c r="L385">
        <v>0</v>
      </c>
      <c r="M385" s="38">
        <v>0</v>
      </c>
      <c r="N385">
        <v>5.3</v>
      </c>
      <c r="O385">
        <v>523</v>
      </c>
      <c r="P385" s="37">
        <v>42506000000</v>
      </c>
      <c r="Q385" s="37">
        <v>50579252515.833359</v>
      </c>
      <c r="R385" s="37">
        <v>-9899096743.038929</v>
      </c>
      <c r="S385">
        <v>3.6578434130000002</v>
      </c>
      <c r="T385" s="70">
        <v>0.87259964355209996</v>
      </c>
      <c r="U385">
        <v>0.90451797</v>
      </c>
      <c r="V385">
        <v>1.5228602758523</v>
      </c>
      <c r="W385">
        <v>0</v>
      </c>
      <c r="X385" s="38">
        <v>0</v>
      </c>
      <c r="Y385">
        <v>0</v>
      </c>
      <c r="Z385" s="70">
        <v>54681030000</v>
      </c>
      <c r="AA385" s="70">
        <v>0</v>
      </c>
      <c r="AB385" s="70">
        <v>54681030000</v>
      </c>
      <c r="AC385" s="70">
        <v>54681030000</v>
      </c>
      <c r="AD385" s="70">
        <v>54681030000</v>
      </c>
      <c r="AE385" s="70">
        <v>54681030000</v>
      </c>
      <c r="AF385">
        <v>0</v>
      </c>
      <c r="AG385" s="72">
        <f>Tradingbook_MSB[[#This Row],[Mat. Date]]-RPT</f>
        <v>329</v>
      </c>
      <c r="AH385" s="71">
        <f>IF(Tradingbook_MSB[[#This Row],[Days]]&lt;=0,0,YEARFRAC(RPT,Tradingbook_MSB[[#This Row],[Mat. Date]],3))</f>
        <v>0.90136986301369859</v>
      </c>
      <c r="AI385" s="71" t="str">
        <f>IF(Tradingbook_MSB[[#This Row],[Days (year)]]=0,0,INDEX(Ref!$K$2:$K$13,MATCH(Tradingbook_MSB[[#This Row],[Days (year)]],Ref!$I$2:$I$13,1)))</f>
        <v>1Y</v>
      </c>
      <c r="AJ385" s="120" t="str">
        <f>VLOOKUP(Tradingbook_MSB[[#This Row],[Security Name]],Ref!X:Z,3,0)</f>
        <v>TPCP</v>
      </c>
      <c r="AK385" s="120" t="str">
        <f>VLOOKUP(Tradingbook_MSB[[#This Row],[Security Name]],Ref!X:Y,2,0)</f>
        <v>KBNN</v>
      </c>
      <c r="AL385" s="71">
        <f>IF((Tradingbook_MSB[[#This Row],[Mat. Date]]-RPT)&lt;=0,0,Tradingbook_MSB[[#This Row],[QUANTITY]])</f>
        <v>0</v>
      </c>
      <c r="AM385" s="71">
        <f>IF(Tradingbook_MSB[[#This Row],[Quantity_edited]]=0,0,Tradingbook_MSB[[#This Row],[DURATION]])</f>
        <v>0</v>
      </c>
      <c r="AN385" s="71">
        <f>IF(Tradingbook_MSB[[#This Row],[Quantity_edited]]=0,0,Tradingbook_MSB[[#This Row],[Mod Dur]])</f>
        <v>0</v>
      </c>
      <c r="AO385" s="71">
        <f>IF(Tradingbook_MSB[[#This Row],[Quantity_edited]]=0,0,Tradingbook_MSB[[#This Row],[Cnvx.]])</f>
        <v>0</v>
      </c>
      <c r="AP385" s="71">
        <f>(Tradingbook_MSB[[#This Row],[MARKET_VALUE]]+Tradingbook_MSB[[#This Row],[Accr Int]]*Tradingbook_MSB[[#This Row],[Quantity_edited]])*(-Tradingbook_MSB[[#This Row],[Modified Duration]]*0.0001+0.5*Tradingbook_MSB[[#This Row],[Conv]]*(0.0001^2))</f>
        <v>0</v>
      </c>
      <c r="AQ385" s="72">
        <f>(Tradingbook_MSB[[#This Row],[MARKET_VALUE]]+Tradingbook_MSB[[#This Row],[Accr Int]]*Tradingbook_MSB[[#This Row],[Quantity_edited]])*(-Tradingbook_MSB[[#This Row],[Modified Duration]]*0.01+0.5*Tradingbook_MSB[[#This Row],[Conv]]*(0.01^2))</f>
        <v>0</v>
      </c>
      <c r="CL385" t="s">
        <v>166</v>
      </c>
      <c r="CM385" t="s">
        <v>3299</v>
      </c>
      <c r="CN385" t="s">
        <v>590</v>
      </c>
      <c r="CO385" t="s">
        <v>169</v>
      </c>
      <c r="CP385">
        <v>47121</v>
      </c>
      <c r="CQ385" t="s">
        <v>3322</v>
      </c>
      <c r="CR385" t="s">
        <v>4210</v>
      </c>
      <c r="CS385" t="s">
        <v>4211</v>
      </c>
      <c r="CT385">
        <v>0</v>
      </c>
      <c r="CU385">
        <v>0</v>
      </c>
      <c r="CV385">
        <v>0</v>
      </c>
      <c r="CW385">
        <v>0</v>
      </c>
      <c r="CX385">
        <v>5.0999999999999996</v>
      </c>
      <c r="CY385">
        <v>3172</v>
      </c>
      <c r="CZ385">
        <v>30600000000</v>
      </c>
      <c r="DA385">
        <v>35514314666.666573</v>
      </c>
      <c r="DB385">
        <v>-5426633514.8276711</v>
      </c>
      <c r="DC385">
        <v>3.6598761770000001</v>
      </c>
      <c r="DD385">
        <v>2</v>
      </c>
      <c r="DE385">
        <v>2</v>
      </c>
      <c r="DF385">
        <v>7</v>
      </c>
      <c r="DG385">
        <v>0</v>
      </c>
      <c r="DH385">
        <v>0</v>
      </c>
      <c r="DI385">
        <v>0</v>
      </c>
      <c r="DJ385">
        <v>21482190000</v>
      </c>
      <c r="DK385">
        <v>0</v>
      </c>
      <c r="DL385">
        <v>21482190000</v>
      </c>
      <c r="DM385">
        <v>21482190000</v>
      </c>
      <c r="DN385">
        <v>21482190000</v>
      </c>
      <c r="DO385">
        <v>21482190000</v>
      </c>
      <c r="DP385" s="32">
        <f>Tradingbook_SBV[[#This Row],[Mat. Date]]-RPT</f>
        <v>869</v>
      </c>
      <c r="DQ385" s="32">
        <f>IF(Tradingbook_SBV[[#This Row],[Days]]&lt;=0,0,YEARFRAC(RPT,Tradingbook_SBV[[#This Row],[Mat. Date]],3))</f>
        <v>2.3808219178082193</v>
      </c>
      <c r="DR385" s="32" t="str">
        <f>IF(Tradingbook_SBV[[#This Row],[Days (year)]]=0,0,INDEX(Ref!$K$2:$K$13,MATCH(Tradingbook_SBV[[#This Row],[Days (year)]],Ref!$I$2:$I$13,1)))</f>
        <v>2Y</v>
      </c>
      <c r="DS385" s="32" t="str">
        <f>VLOOKUP(Tradingbook_SBV[[#This Row],[Security Name]],Ref!X:Z,3,0)</f>
        <v>TPCP</v>
      </c>
      <c r="DT385" s="32" t="str">
        <f>VLOOKUP(Tradingbook_SBV[[#This Row],[Security Name]],Ref!X:Y,2,0)</f>
        <v>KBNN</v>
      </c>
      <c r="DU385" s="71">
        <f>IF((Tradingbook_SBV[[#This Row],[Mat. Date]]-RPT)&lt;=0,0,Tradingbook_SBV[[#This Row],[QUANTITY]])</f>
        <v>0</v>
      </c>
      <c r="DV385" s="71">
        <f>IF(Tradingbook_SBV[[#This Row],[Quantity_edited]]=0,0,Tradingbook_SBV[[#This Row],[DURATION]])</f>
        <v>0</v>
      </c>
      <c r="DW385" s="71">
        <f>IF(Tradingbook_SBV[[#This Row],[Quantity_edited]]=0,0,Tradingbook_SBV[[#This Row],[Mod Dur]])</f>
        <v>0</v>
      </c>
      <c r="DX385" s="71">
        <f>IF(Tradingbook_SBV[[#This Row],[Quantity_edited]]=0,0,Tradingbook_SBV[[#This Row],[Cnvx.]])</f>
        <v>0</v>
      </c>
      <c r="DY385" s="71">
        <f>(Tradingbook_SBV[[#This Row],[MARKET_VALUE]]+Tradingbook_SBV[[#This Row],[Accr Int]]*Tradingbook_SBV[[#This Row],[Quantity_edited]])*(-Tradingbook_SBV[[#This Row],[Modified Duration]]*0.0001+0.5*Tradingbook_SBV[[#This Row],[Conv]]*(0.0001^2))</f>
        <v>0</v>
      </c>
      <c r="DZ385" s="71">
        <f>(Tradingbook_SBV[[#This Row],[MARKET_VALUE]]+Tradingbook_SBV[[#This Row],[Accr Int]]*Tradingbook_SBV[[#This Row],[Quantity_edited]])*(-Tradingbook_SBV[[#This Row],[Modified Duration]]*0.01+0.5*Tradingbook_SBV[[#This Row],[Conv]]*(0.01^2))</f>
        <v>0</v>
      </c>
    </row>
    <row r="386" spans="2:130" x14ac:dyDescent="0.3">
      <c r="B386" t="s">
        <v>166</v>
      </c>
      <c r="C386" t="s">
        <v>3299</v>
      </c>
      <c r="D386" t="s">
        <v>576</v>
      </c>
      <c r="E386" t="s">
        <v>169</v>
      </c>
      <c r="F386" s="502">
        <v>46689</v>
      </c>
      <c r="G386" t="s">
        <v>3322</v>
      </c>
      <c r="H386">
        <v>97634</v>
      </c>
      <c r="I386">
        <v>97634</v>
      </c>
      <c r="J386" s="38">
        <v>0</v>
      </c>
      <c r="K386">
        <v>0</v>
      </c>
      <c r="L386">
        <v>0</v>
      </c>
      <c r="M386" s="38">
        <v>0</v>
      </c>
      <c r="N386">
        <v>1.5</v>
      </c>
      <c r="O386">
        <v>1204</v>
      </c>
      <c r="P386" s="37">
        <v>0</v>
      </c>
      <c r="Q386" s="37">
        <v>0</v>
      </c>
      <c r="R386" s="37">
        <v>-73644204.791669846</v>
      </c>
      <c r="S386">
        <v>3.5498239589999998</v>
      </c>
      <c r="T386" s="70">
        <v>1.1416610373289999</v>
      </c>
      <c r="U386">
        <v>1.1821879900000001</v>
      </c>
      <c r="V386">
        <v>2.4197580543927</v>
      </c>
      <c r="W386">
        <v>0</v>
      </c>
      <c r="X386" s="38">
        <v>0</v>
      </c>
      <c r="Y386">
        <v>0</v>
      </c>
      <c r="Z386" s="70">
        <v>-452000000</v>
      </c>
      <c r="AA386" s="70">
        <v>0</v>
      </c>
      <c r="AB386" s="70">
        <v>-452000000</v>
      </c>
      <c r="AC386" s="70">
        <v>-452000000</v>
      </c>
      <c r="AD386" s="70">
        <v>-452000000</v>
      </c>
      <c r="AE386" s="70">
        <v>-452000000</v>
      </c>
      <c r="AF386">
        <v>0</v>
      </c>
      <c r="AG386" s="72">
        <f>Tradingbook_MSB[[#This Row],[Mat. Date]]-RPT</f>
        <v>437</v>
      </c>
      <c r="AH386" s="71">
        <f>IF(Tradingbook_MSB[[#This Row],[Days]]&lt;=0,0,YEARFRAC(RPT,Tradingbook_MSB[[#This Row],[Mat. Date]],3))</f>
        <v>1.1972602739726028</v>
      </c>
      <c r="AI386" s="71" t="str">
        <f>IF(Tradingbook_MSB[[#This Row],[Days (year)]]=0,0,INDEX(Ref!$K$2:$K$13,MATCH(Tradingbook_MSB[[#This Row],[Days (year)]],Ref!$I$2:$I$13,1)))</f>
        <v>1Y</v>
      </c>
      <c r="AJ386" s="120" t="str">
        <f>VLOOKUP(Tradingbook_MSB[[#This Row],[Security Name]],Ref!X:Z,3,0)</f>
        <v>TPCP</v>
      </c>
      <c r="AK386" s="120" t="str">
        <f>VLOOKUP(Tradingbook_MSB[[#This Row],[Security Name]],Ref!X:Y,2,0)</f>
        <v>KBNN</v>
      </c>
      <c r="AL386" s="71">
        <f>IF((Tradingbook_MSB[[#This Row],[Mat. Date]]-RPT)&lt;=0,0,Tradingbook_MSB[[#This Row],[QUANTITY]])</f>
        <v>0</v>
      </c>
      <c r="AM386" s="71">
        <f>IF(Tradingbook_MSB[[#This Row],[Quantity_edited]]=0,0,Tradingbook_MSB[[#This Row],[DURATION]])</f>
        <v>0</v>
      </c>
      <c r="AN386" s="71">
        <f>IF(Tradingbook_MSB[[#This Row],[Quantity_edited]]=0,0,Tradingbook_MSB[[#This Row],[Mod Dur]])</f>
        <v>0</v>
      </c>
      <c r="AO386" s="71">
        <f>IF(Tradingbook_MSB[[#This Row],[Quantity_edited]]=0,0,Tradingbook_MSB[[#This Row],[Cnvx.]])</f>
        <v>0</v>
      </c>
      <c r="AP386" s="71">
        <f>(Tradingbook_MSB[[#This Row],[MARKET_VALUE]]+Tradingbook_MSB[[#This Row],[Accr Int]]*Tradingbook_MSB[[#This Row],[Quantity_edited]])*(-Tradingbook_MSB[[#This Row],[Modified Duration]]*0.0001+0.5*Tradingbook_MSB[[#This Row],[Conv]]*(0.0001^2))</f>
        <v>0</v>
      </c>
      <c r="AQ386" s="72">
        <f>(Tradingbook_MSB[[#This Row],[MARKET_VALUE]]+Tradingbook_MSB[[#This Row],[Accr Int]]*Tradingbook_MSB[[#This Row],[Quantity_edited]])*(-Tradingbook_MSB[[#This Row],[Modified Duration]]*0.01+0.5*Tradingbook_MSB[[#This Row],[Conv]]*(0.01^2))</f>
        <v>0</v>
      </c>
      <c r="CL386" t="s">
        <v>166</v>
      </c>
      <c r="CM386" t="s">
        <v>3299</v>
      </c>
      <c r="CN386" t="s">
        <v>2798</v>
      </c>
      <c r="CO386" t="s">
        <v>169</v>
      </c>
      <c r="CP386">
        <v>47129</v>
      </c>
      <c r="CQ386" t="s">
        <v>3322</v>
      </c>
      <c r="CR386" t="s">
        <v>4212</v>
      </c>
      <c r="CS386" t="s">
        <v>4213</v>
      </c>
      <c r="CT386">
        <v>0</v>
      </c>
      <c r="CU386">
        <v>0</v>
      </c>
      <c r="CV386">
        <v>0</v>
      </c>
      <c r="CW386">
        <v>0</v>
      </c>
      <c r="CX386">
        <v>1.5</v>
      </c>
      <c r="CY386">
        <v>900</v>
      </c>
      <c r="CZ386">
        <v>0</v>
      </c>
      <c r="DA386">
        <v>0</v>
      </c>
      <c r="DB386">
        <v>10619731.249999046</v>
      </c>
      <c r="DC386">
        <v>3.661180066</v>
      </c>
      <c r="DD386">
        <v>2</v>
      </c>
      <c r="DE386">
        <v>2</v>
      </c>
      <c r="DF386">
        <v>7</v>
      </c>
      <c r="DG386">
        <v>0</v>
      </c>
      <c r="DH386">
        <v>0</v>
      </c>
      <c r="DI386">
        <v>0</v>
      </c>
      <c r="DJ386">
        <v>116000000</v>
      </c>
      <c r="DK386">
        <v>0</v>
      </c>
      <c r="DL386">
        <v>116000000</v>
      </c>
      <c r="DM386">
        <v>116000000</v>
      </c>
      <c r="DN386">
        <v>116000000</v>
      </c>
      <c r="DO386">
        <v>116000000</v>
      </c>
      <c r="DP386" s="32">
        <f>Tradingbook_SBV[[#This Row],[Mat. Date]]-RPT</f>
        <v>877</v>
      </c>
      <c r="DQ386" s="32">
        <f>IF(Tradingbook_SBV[[#This Row],[Days]]&lt;=0,0,YEARFRAC(RPT,Tradingbook_SBV[[#This Row],[Mat. Date]],3))</f>
        <v>2.4027397260273973</v>
      </c>
      <c r="DR386" s="32" t="str">
        <f>IF(Tradingbook_SBV[[#This Row],[Days (year)]]=0,0,INDEX(Ref!$K$2:$K$13,MATCH(Tradingbook_SBV[[#This Row],[Days (year)]],Ref!$I$2:$I$13,1)))</f>
        <v>2Y</v>
      </c>
      <c r="DS386" s="32" t="str">
        <f>VLOOKUP(Tradingbook_SBV[[#This Row],[Security Name]],Ref!X:Z,3,0)</f>
        <v>TPCP</v>
      </c>
      <c r="DT386" s="32" t="str">
        <f>VLOOKUP(Tradingbook_SBV[[#This Row],[Security Name]],Ref!X:Y,2,0)</f>
        <v>KBNN</v>
      </c>
      <c r="DU386" s="71">
        <f>IF((Tradingbook_SBV[[#This Row],[Mat. Date]]-RPT)&lt;=0,0,Tradingbook_SBV[[#This Row],[QUANTITY]])</f>
        <v>0</v>
      </c>
      <c r="DV386" s="71">
        <f>IF(Tradingbook_SBV[[#This Row],[Quantity_edited]]=0,0,Tradingbook_SBV[[#This Row],[DURATION]])</f>
        <v>0</v>
      </c>
      <c r="DW386" s="71">
        <f>IF(Tradingbook_SBV[[#This Row],[Quantity_edited]]=0,0,Tradingbook_SBV[[#This Row],[Mod Dur]])</f>
        <v>0</v>
      </c>
      <c r="DX386" s="71">
        <f>IF(Tradingbook_SBV[[#This Row],[Quantity_edited]]=0,0,Tradingbook_SBV[[#This Row],[Cnvx.]])</f>
        <v>0</v>
      </c>
      <c r="DY386" s="71">
        <f>(Tradingbook_SBV[[#This Row],[MARKET_VALUE]]+Tradingbook_SBV[[#This Row],[Accr Int]]*Tradingbook_SBV[[#This Row],[Quantity_edited]])*(-Tradingbook_SBV[[#This Row],[Modified Duration]]*0.0001+0.5*Tradingbook_SBV[[#This Row],[Conv]]*(0.0001^2))</f>
        <v>0</v>
      </c>
      <c r="DZ386" s="71">
        <f>(Tradingbook_SBV[[#This Row],[MARKET_VALUE]]+Tradingbook_SBV[[#This Row],[Accr Int]]*Tradingbook_SBV[[#This Row],[Quantity_edited]])*(-Tradingbook_SBV[[#This Row],[Modified Duration]]*0.01+0.5*Tradingbook_SBV[[#This Row],[Conv]]*(0.01^2))</f>
        <v>0</v>
      </c>
    </row>
    <row r="387" spans="2:130" x14ac:dyDescent="0.3">
      <c r="B387" t="s">
        <v>166</v>
      </c>
      <c r="C387" t="s">
        <v>3299</v>
      </c>
      <c r="D387" t="s">
        <v>577</v>
      </c>
      <c r="E387" t="s">
        <v>169</v>
      </c>
      <c r="F387" s="502">
        <v>46693</v>
      </c>
      <c r="G387" t="s">
        <v>3322</v>
      </c>
      <c r="H387">
        <v>102134</v>
      </c>
      <c r="I387">
        <v>102134</v>
      </c>
      <c r="J387" s="38">
        <v>0</v>
      </c>
      <c r="K387">
        <v>0</v>
      </c>
      <c r="L387">
        <v>0</v>
      </c>
      <c r="M387" s="38">
        <v>0</v>
      </c>
      <c r="N387">
        <v>5.4</v>
      </c>
      <c r="O387">
        <v>4276</v>
      </c>
      <c r="P387" s="37">
        <v>108000000000</v>
      </c>
      <c r="Q387" s="37">
        <v>128313136500</v>
      </c>
      <c r="R387" s="37">
        <v>-36495119860.38913</v>
      </c>
      <c r="S387">
        <v>3.5507032160000001</v>
      </c>
      <c r="T387" s="70">
        <v>1.1181376605314</v>
      </c>
      <c r="U387">
        <v>1.15783941</v>
      </c>
      <c r="V387">
        <v>2.3746460561720002</v>
      </c>
      <c r="W387">
        <v>0</v>
      </c>
      <c r="X387" s="38">
        <v>0</v>
      </c>
      <c r="Y387">
        <v>0</v>
      </c>
      <c r="Z387" s="70">
        <v>110154399999.99902</v>
      </c>
      <c r="AA387" s="70">
        <v>0</v>
      </c>
      <c r="AB387" s="70">
        <v>110154399999.99902</v>
      </c>
      <c r="AC387" s="70">
        <v>110154399999.99902</v>
      </c>
      <c r="AD387" s="70">
        <v>110154399999.99899</v>
      </c>
      <c r="AE387" s="70">
        <v>110154399999.99902</v>
      </c>
      <c r="AF387">
        <v>0</v>
      </c>
      <c r="AG387" s="72">
        <f>Tradingbook_MSB[[#This Row],[Mat. Date]]-RPT</f>
        <v>441</v>
      </c>
      <c r="AH387" s="71">
        <f>IF(Tradingbook_MSB[[#This Row],[Days]]&lt;=0,0,YEARFRAC(RPT,Tradingbook_MSB[[#This Row],[Mat. Date]],3))</f>
        <v>1.2082191780821918</v>
      </c>
      <c r="AI387" s="71" t="str">
        <f>IF(Tradingbook_MSB[[#This Row],[Days (year)]]=0,0,INDEX(Ref!$K$2:$K$13,MATCH(Tradingbook_MSB[[#This Row],[Days (year)]],Ref!$I$2:$I$13,1)))</f>
        <v>1Y</v>
      </c>
      <c r="AJ387" s="120" t="str">
        <f>VLOOKUP(Tradingbook_MSB[[#This Row],[Security Name]],Ref!X:Z,3,0)</f>
        <v>TPCP</v>
      </c>
      <c r="AK387" s="120" t="str">
        <f>VLOOKUP(Tradingbook_MSB[[#This Row],[Security Name]],Ref!X:Y,2,0)</f>
        <v>KBNN</v>
      </c>
      <c r="AL387" s="71">
        <f>IF((Tradingbook_MSB[[#This Row],[Mat. Date]]-RPT)&lt;=0,0,Tradingbook_MSB[[#This Row],[QUANTITY]])</f>
        <v>0</v>
      </c>
      <c r="AM387" s="71">
        <f>IF(Tradingbook_MSB[[#This Row],[Quantity_edited]]=0,0,Tradingbook_MSB[[#This Row],[DURATION]])</f>
        <v>0</v>
      </c>
      <c r="AN387" s="71">
        <f>IF(Tradingbook_MSB[[#This Row],[Quantity_edited]]=0,0,Tradingbook_MSB[[#This Row],[Mod Dur]])</f>
        <v>0</v>
      </c>
      <c r="AO387" s="71">
        <f>IF(Tradingbook_MSB[[#This Row],[Quantity_edited]]=0,0,Tradingbook_MSB[[#This Row],[Cnvx.]])</f>
        <v>0</v>
      </c>
      <c r="AP387" s="71">
        <f>(Tradingbook_MSB[[#This Row],[MARKET_VALUE]]+Tradingbook_MSB[[#This Row],[Accr Int]]*Tradingbook_MSB[[#This Row],[Quantity_edited]])*(-Tradingbook_MSB[[#This Row],[Modified Duration]]*0.0001+0.5*Tradingbook_MSB[[#This Row],[Conv]]*(0.0001^2))</f>
        <v>0</v>
      </c>
      <c r="AQ387" s="72">
        <f>(Tradingbook_MSB[[#This Row],[MARKET_VALUE]]+Tradingbook_MSB[[#This Row],[Accr Int]]*Tradingbook_MSB[[#This Row],[Quantity_edited]])*(-Tradingbook_MSB[[#This Row],[Modified Duration]]*0.01+0.5*Tradingbook_MSB[[#This Row],[Conv]]*(0.01^2))</f>
        <v>0</v>
      </c>
      <c r="CL387" t="s">
        <v>166</v>
      </c>
      <c r="CM387" t="s">
        <v>3299</v>
      </c>
      <c r="CN387" t="s">
        <v>591</v>
      </c>
      <c r="CO387" t="s">
        <v>169</v>
      </c>
      <c r="CP387">
        <v>47149</v>
      </c>
      <c r="CQ387" t="s">
        <v>3322</v>
      </c>
      <c r="CR387" t="s">
        <v>4214</v>
      </c>
      <c r="CS387" t="s">
        <v>4215</v>
      </c>
      <c r="CT387">
        <v>0</v>
      </c>
      <c r="CU387">
        <v>0</v>
      </c>
      <c r="CV387">
        <v>0</v>
      </c>
      <c r="CW387">
        <v>0</v>
      </c>
      <c r="CX387">
        <v>4.8</v>
      </c>
      <c r="CY387">
        <v>2617</v>
      </c>
      <c r="CZ387">
        <v>33600000000</v>
      </c>
      <c r="DA387">
        <v>39052793666.66655</v>
      </c>
      <c r="DB387">
        <v>1848532446.666791</v>
      </c>
      <c r="DC387">
        <v>3.6652110200000001</v>
      </c>
      <c r="DD387">
        <v>2</v>
      </c>
      <c r="DE387">
        <v>2</v>
      </c>
      <c r="DF387">
        <v>7</v>
      </c>
      <c r="DG387">
        <v>0</v>
      </c>
      <c r="DH387">
        <v>0</v>
      </c>
      <c r="DI387">
        <v>0</v>
      </c>
      <c r="DJ387">
        <v>51342000000</v>
      </c>
      <c r="DK387">
        <v>0</v>
      </c>
      <c r="DL387">
        <v>51342000000</v>
      </c>
      <c r="DM387">
        <v>51342000000</v>
      </c>
      <c r="DN387">
        <v>51342000000</v>
      </c>
      <c r="DO387">
        <v>51342000000</v>
      </c>
      <c r="DP387" s="32">
        <f>Tradingbook_SBV[[#This Row],[Mat. Date]]-RPT</f>
        <v>897</v>
      </c>
      <c r="DQ387" s="32">
        <f>IF(Tradingbook_SBV[[#This Row],[Days]]&lt;=0,0,YEARFRAC(RPT,Tradingbook_SBV[[#This Row],[Mat. Date]],3))</f>
        <v>2.4575342465753423</v>
      </c>
      <c r="DR387" s="32" t="str">
        <f>IF(Tradingbook_SBV[[#This Row],[Days (year)]]=0,0,INDEX(Ref!$K$2:$K$13,MATCH(Tradingbook_SBV[[#This Row],[Days (year)]],Ref!$I$2:$I$13,1)))</f>
        <v>2Y</v>
      </c>
      <c r="DS387" s="32" t="str">
        <f>VLOOKUP(Tradingbook_SBV[[#This Row],[Security Name]],Ref!X:Z,3,0)</f>
        <v>TPCP</v>
      </c>
      <c r="DT387" s="32" t="str">
        <f>VLOOKUP(Tradingbook_SBV[[#This Row],[Security Name]],Ref!X:Y,2,0)</f>
        <v>KBNN</v>
      </c>
      <c r="DU387" s="71">
        <f>IF((Tradingbook_SBV[[#This Row],[Mat. Date]]-RPT)&lt;=0,0,Tradingbook_SBV[[#This Row],[QUANTITY]])</f>
        <v>0</v>
      </c>
      <c r="DV387" s="71">
        <f>IF(Tradingbook_SBV[[#This Row],[Quantity_edited]]=0,0,Tradingbook_SBV[[#This Row],[DURATION]])</f>
        <v>0</v>
      </c>
      <c r="DW387" s="71">
        <f>IF(Tradingbook_SBV[[#This Row],[Quantity_edited]]=0,0,Tradingbook_SBV[[#This Row],[Mod Dur]])</f>
        <v>0</v>
      </c>
      <c r="DX387" s="71">
        <f>IF(Tradingbook_SBV[[#This Row],[Quantity_edited]]=0,0,Tradingbook_SBV[[#This Row],[Cnvx.]])</f>
        <v>0</v>
      </c>
      <c r="DY387" s="71">
        <f>(Tradingbook_SBV[[#This Row],[MARKET_VALUE]]+Tradingbook_SBV[[#This Row],[Accr Int]]*Tradingbook_SBV[[#This Row],[Quantity_edited]])*(-Tradingbook_SBV[[#This Row],[Modified Duration]]*0.0001+0.5*Tradingbook_SBV[[#This Row],[Conv]]*(0.0001^2))</f>
        <v>0</v>
      </c>
      <c r="DZ387" s="71">
        <f>(Tradingbook_SBV[[#This Row],[MARKET_VALUE]]+Tradingbook_SBV[[#This Row],[Accr Int]]*Tradingbook_SBV[[#This Row],[Quantity_edited]])*(-Tradingbook_SBV[[#This Row],[Modified Duration]]*0.01+0.5*Tradingbook_SBV[[#This Row],[Conv]]*(0.01^2))</f>
        <v>0</v>
      </c>
    </row>
    <row r="388" spans="2:130" x14ac:dyDescent="0.3">
      <c r="B388" t="s">
        <v>166</v>
      </c>
      <c r="C388" t="s">
        <v>3299</v>
      </c>
      <c r="D388" t="s">
        <v>578</v>
      </c>
      <c r="E388" t="s">
        <v>169</v>
      </c>
      <c r="F388" s="502">
        <v>46720</v>
      </c>
      <c r="G388" t="s">
        <v>3322</v>
      </c>
      <c r="H388">
        <v>102233</v>
      </c>
      <c r="I388">
        <v>102233</v>
      </c>
      <c r="J388" s="38">
        <v>0</v>
      </c>
      <c r="K388">
        <v>0</v>
      </c>
      <c r="L388">
        <v>0</v>
      </c>
      <c r="M388" s="38">
        <v>0</v>
      </c>
      <c r="N388">
        <v>5.9</v>
      </c>
      <c r="O388">
        <v>4235</v>
      </c>
      <c r="P388" s="37">
        <v>0</v>
      </c>
      <c r="Q388" s="37">
        <v>0</v>
      </c>
      <c r="R388" s="37">
        <v>-16776526.666687012</v>
      </c>
      <c r="S388">
        <v>4.058252285</v>
      </c>
      <c r="T388" s="70">
        <v>1.1795265132756001</v>
      </c>
      <c r="U388">
        <v>1.22739467</v>
      </c>
      <c r="V388">
        <v>2.5726412155705001</v>
      </c>
      <c r="W388">
        <v>0</v>
      </c>
      <c r="X388" s="38">
        <v>0</v>
      </c>
      <c r="Y388">
        <v>0</v>
      </c>
      <c r="Z388" s="70">
        <v>-8000000</v>
      </c>
      <c r="AA388" s="70">
        <v>0</v>
      </c>
      <c r="AB388" s="70">
        <v>-8000000</v>
      </c>
      <c r="AC388" s="70">
        <v>-8000000</v>
      </c>
      <c r="AD388" s="70">
        <v>-8000000</v>
      </c>
      <c r="AE388" s="70">
        <v>-8000000</v>
      </c>
      <c r="AF388">
        <v>0</v>
      </c>
      <c r="AG388" s="72">
        <f>Tradingbook_MSB[[#This Row],[Mat. Date]]-RPT</f>
        <v>468</v>
      </c>
      <c r="AH388" s="71">
        <f>IF(Tradingbook_MSB[[#This Row],[Days]]&lt;=0,0,YEARFRAC(RPT,Tradingbook_MSB[[#This Row],[Mat. Date]],3))</f>
        <v>1.2821917808219179</v>
      </c>
      <c r="AI388" s="71" t="str">
        <f>IF(Tradingbook_MSB[[#This Row],[Days (year)]]=0,0,INDEX(Ref!$K$2:$K$13,MATCH(Tradingbook_MSB[[#This Row],[Days (year)]],Ref!$I$2:$I$13,1)))</f>
        <v>1Y</v>
      </c>
      <c r="AJ388" s="120" t="str">
        <f>VLOOKUP(Tradingbook_MSB[[#This Row],[Security Name]],Ref!X:Z,3,0)</f>
        <v>TPCPBL</v>
      </c>
      <c r="AK388" s="120" t="str">
        <f>VLOOKUP(Tradingbook_MSB[[#This Row],[Security Name]],Ref!X:Y,2,0)</f>
        <v>VDB</v>
      </c>
      <c r="AL388" s="71">
        <f>IF((Tradingbook_MSB[[#This Row],[Mat. Date]]-RPT)&lt;=0,0,Tradingbook_MSB[[#This Row],[QUANTITY]])</f>
        <v>0</v>
      </c>
      <c r="AM388" s="71">
        <f>IF(Tradingbook_MSB[[#This Row],[Quantity_edited]]=0,0,Tradingbook_MSB[[#This Row],[DURATION]])</f>
        <v>0</v>
      </c>
      <c r="AN388" s="71">
        <f>IF(Tradingbook_MSB[[#This Row],[Quantity_edited]]=0,0,Tradingbook_MSB[[#This Row],[Mod Dur]])</f>
        <v>0</v>
      </c>
      <c r="AO388" s="71">
        <f>IF(Tradingbook_MSB[[#This Row],[Quantity_edited]]=0,0,Tradingbook_MSB[[#This Row],[Cnvx.]])</f>
        <v>0</v>
      </c>
      <c r="AP388" s="71">
        <f>(Tradingbook_MSB[[#This Row],[MARKET_VALUE]]+Tradingbook_MSB[[#This Row],[Accr Int]]*Tradingbook_MSB[[#This Row],[Quantity_edited]])*(-Tradingbook_MSB[[#This Row],[Modified Duration]]*0.0001+0.5*Tradingbook_MSB[[#This Row],[Conv]]*(0.0001^2))</f>
        <v>0</v>
      </c>
      <c r="AQ388" s="72">
        <f>(Tradingbook_MSB[[#This Row],[MARKET_VALUE]]+Tradingbook_MSB[[#This Row],[Accr Int]]*Tradingbook_MSB[[#This Row],[Quantity_edited]])*(-Tradingbook_MSB[[#This Row],[Modified Duration]]*0.01+0.5*Tradingbook_MSB[[#This Row],[Conv]]*(0.01^2))</f>
        <v>0</v>
      </c>
      <c r="CL388" t="s">
        <v>166</v>
      </c>
      <c r="CM388" t="s">
        <v>3299</v>
      </c>
      <c r="CN388" t="s">
        <v>592</v>
      </c>
      <c r="CO388" t="s">
        <v>169</v>
      </c>
      <c r="CP388">
        <v>47184</v>
      </c>
      <c r="CQ388" t="s">
        <v>3322</v>
      </c>
      <c r="CR388" t="s">
        <v>4216</v>
      </c>
      <c r="CS388" t="s">
        <v>4217</v>
      </c>
      <c r="CT388">
        <v>0</v>
      </c>
      <c r="CU388">
        <v>0</v>
      </c>
      <c r="CV388">
        <v>0</v>
      </c>
      <c r="CW388">
        <v>0</v>
      </c>
      <c r="CX388">
        <v>4.7</v>
      </c>
      <c r="CY388">
        <v>2112</v>
      </c>
      <c r="CZ388">
        <v>2350000000</v>
      </c>
      <c r="DA388">
        <v>2724329541.6666598</v>
      </c>
      <c r="DB388">
        <v>1826317728.4722271</v>
      </c>
      <c r="DC388">
        <v>3.6720211109999998</v>
      </c>
      <c r="DD388">
        <v>2</v>
      </c>
      <c r="DE388">
        <v>2</v>
      </c>
      <c r="DF388">
        <v>8</v>
      </c>
      <c r="DG388">
        <v>0</v>
      </c>
      <c r="DH388">
        <v>0</v>
      </c>
      <c r="DI388">
        <v>0</v>
      </c>
      <c r="DJ388">
        <v>15372500000</v>
      </c>
      <c r="DK388">
        <v>0</v>
      </c>
      <c r="DL388">
        <v>15372500000</v>
      </c>
      <c r="DM388">
        <v>15372500000</v>
      </c>
      <c r="DN388">
        <v>15372500000</v>
      </c>
      <c r="DO388">
        <v>15372500000</v>
      </c>
      <c r="DP388" s="32">
        <f>Tradingbook_SBV[[#This Row],[Mat. Date]]-RPT</f>
        <v>932</v>
      </c>
      <c r="DQ388" s="32">
        <f>IF(Tradingbook_SBV[[#This Row],[Days]]&lt;=0,0,YEARFRAC(RPT,Tradingbook_SBV[[#This Row],[Mat. Date]],3))</f>
        <v>2.5534246575342467</v>
      </c>
      <c r="DR388" s="32" t="str">
        <f>IF(Tradingbook_SBV[[#This Row],[Days (year)]]=0,0,INDEX(Ref!$K$2:$K$13,MATCH(Tradingbook_SBV[[#This Row],[Days (year)]],Ref!$I$2:$I$13,1)))</f>
        <v>3Y</v>
      </c>
      <c r="DS388" s="32" t="str">
        <f>VLOOKUP(Tradingbook_SBV[[#This Row],[Security Name]],Ref!X:Z,3,0)</f>
        <v>TPCP</v>
      </c>
      <c r="DT388" s="32" t="str">
        <f>VLOOKUP(Tradingbook_SBV[[#This Row],[Security Name]],Ref!X:Y,2,0)</f>
        <v>KBNN</v>
      </c>
      <c r="DU388" s="71">
        <f>IF((Tradingbook_SBV[[#This Row],[Mat. Date]]-RPT)&lt;=0,0,Tradingbook_SBV[[#This Row],[QUANTITY]])</f>
        <v>0</v>
      </c>
      <c r="DV388" s="71">
        <f>IF(Tradingbook_SBV[[#This Row],[Quantity_edited]]=0,0,Tradingbook_SBV[[#This Row],[DURATION]])</f>
        <v>0</v>
      </c>
      <c r="DW388" s="71">
        <f>IF(Tradingbook_SBV[[#This Row],[Quantity_edited]]=0,0,Tradingbook_SBV[[#This Row],[Mod Dur]])</f>
        <v>0</v>
      </c>
      <c r="DX388" s="71">
        <f>IF(Tradingbook_SBV[[#This Row],[Quantity_edited]]=0,0,Tradingbook_SBV[[#This Row],[Cnvx.]])</f>
        <v>0</v>
      </c>
      <c r="DY388" s="71">
        <f>(Tradingbook_SBV[[#This Row],[MARKET_VALUE]]+Tradingbook_SBV[[#This Row],[Accr Int]]*Tradingbook_SBV[[#This Row],[Quantity_edited]])*(-Tradingbook_SBV[[#This Row],[Modified Duration]]*0.0001+0.5*Tradingbook_SBV[[#This Row],[Conv]]*(0.0001^2))</f>
        <v>0</v>
      </c>
      <c r="DZ388" s="71">
        <f>(Tradingbook_SBV[[#This Row],[MARKET_VALUE]]+Tradingbook_SBV[[#This Row],[Accr Int]]*Tradingbook_SBV[[#This Row],[Quantity_edited]])*(-Tradingbook_SBV[[#This Row],[Modified Duration]]*0.01+0.5*Tradingbook_SBV[[#This Row],[Conv]]*(0.01^2))</f>
        <v>0</v>
      </c>
    </row>
    <row r="389" spans="2:130" x14ac:dyDescent="0.3">
      <c r="B389" t="s">
        <v>166</v>
      </c>
      <c r="C389" t="s">
        <v>3299</v>
      </c>
      <c r="D389" t="s">
        <v>579</v>
      </c>
      <c r="E389" t="s">
        <v>169</v>
      </c>
      <c r="F389" s="502">
        <v>46727</v>
      </c>
      <c r="G389" t="s">
        <v>3322</v>
      </c>
      <c r="H389">
        <v>102262</v>
      </c>
      <c r="I389">
        <v>102262</v>
      </c>
      <c r="J389" s="38">
        <v>0</v>
      </c>
      <c r="K389">
        <v>0</v>
      </c>
      <c r="L389">
        <v>0</v>
      </c>
      <c r="M389" s="38">
        <v>0</v>
      </c>
      <c r="N389">
        <v>5.9</v>
      </c>
      <c r="O389">
        <v>4122</v>
      </c>
      <c r="P389" s="37">
        <v>106967000000</v>
      </c>
      <c r="Q389" s="37">
        <v>127504636663.33371</v>
      </c>
      <c r="R389" s="37">
        <v>-50983821880.883827</v>
      </c>
      <c r="S389">
        <v>4.0604530409999997</v>
      </c>
      <c r="T389" s="70">
        <v>1.1979302658232001</v>
      </c>
      <c r="U389">
        <v>1.2465716600000001</v>
      </c>
      <c r="V389">
        <v>2.6340558822393998</v>
      </c>
      <c r="W389">
        <v>0</v>
      </c>
      <c r="X389" s="38">
        <v>0</v>
      </c>
      <c r="Y389">
        <v>0</v>
      </c>
      <c r="Z389" s="70">
        <v>39099920000</v>
      </c>
      <c r="AA389" s="70">
        <v>0</v>
      </c>
      <c r="AB389" s="70">
        <v>39099920000</v>
      </c>
      <c r="AC389" s="70">
        <v>39099920000</v>
      </c>
      <c r="AD389" s="70">
        <v>39099920000</v>
      </c>
      <c r="AE389" s="70">
        <v>39099920000</v>
      </c>
      <c r="AF389">
        <v>0</v>
      </c>
      <c r="AG389" s="72">
        <f>Tradingbook_MSB[[#This Row],[Mat. Date]]-RPT</f>
        <v>475</v>
      </c>
      <c r="AH389" s="71">
        <f>IF(Tradingbook_MSB[[#This Row],[Days]]&lt;=0,0,YEARFRAC(RPT,Tradingbook_MSB[[#This Row],[Mat. Date]],3))</f>
        <v>1.3013698630136987</v>
      </c>
      <c r="AI389" s="71" t="str">
        <f>IF(Tradingbook_MSB[[#This Row],[Days (year)]]=0,0,INDEX(Ref!$K$2:$K$13,MATCH(Tradingbook_MSB[[#This Row],[Days (year)]],Ref!$I$2:$I$13,1)))</f>
        <v>1Y</v>
      </c>
      <c r="AJ389" s="120" t="str">
        <f>VLOOKUP(Tradingbook_MSB[[#This Row],[Security Name]],Ref!X:Z,3,0)</f>
        <v>TPCPBL</v>
      </c>
      <c r="AK389" s="120" t="str">
        <f>VLOOKUP(Tradingbook_MSB[[#This Row],[Security Name]],Ref!X:Y,2,0)</f>
        <v>VDB</v>
      </c>
      <c r="AL389" s="71">
        <f>IF((Tradingbook_MSB[[#This Row],[Mat. Date]]-RPT)&lt;=0,0,Tradingbook_MSB[[#This Row],[QUANTITY]])</f>
        <v>0</v>
      </c>
      <c r="AM389" s="71">
        <f>IF(Tradingbook_MSB[[#This Row],[Quantity_edited]]=0,0,Tradingbook_MSB[[#This Row],[DURATION]])</f>
        <v>0</v>
      </c>
      <c r="AN389" s="71">
        <f>IF(Tradingbook_MSB[[#This Row],[Quantity_edited]]=0,0,Tradingbook_MSB[[#This Row],[Mod Dur]])</f>
        <v>0</v>
      </c>
      <c r="AO389" s="71">
        <f>IF(Tradingbook_MSB[[#This Row],[Quantity_edited]]=0,0,Tradingbook_MSB[[#This Row],[Cnvx.]])</f>
        <v>0</v>
      </c>
      <c r="AP389" s="71">
        <f>(Tradingbook_MSB[[#This Row],[MARKET_VALUE]]+Tradingbook_MSB[[#This Row],[Accr Int]]*Tradingbook_MSB[[#This Row],[Quantity_edited]])*(-Tradingbook_MSB[[#This Row],[Modified Duration]]*0.0001+0.5*Tradingbook_MSB[[#This Row],[Conv]]*(0.0001^2))</f>
        <v>0</v>
      </c>
      <c r="AQ389" s="72">
        <f>(Tradingbook_MSB[[#This Row],[MARKET_VALUE]]+Tradingbook_MSB[[#This Row],[Accr Int]]*Tradingbook_MSB[[#This Row],[Quantity_edited]])*(-Tradingbook_MSB[[#This Row],[Modified Duration]]*0.01+0.5*Tradingbook_MSB[[#This Row],[Conv]]*(0.01^2))</f>
        <v>0</v>
      </c>
      <c r="CL389" t="s">
        <v>166</v>
      </c>
      <c r="CM389" t="s">
        <v>3299</v>
      </c>
      <c r="CN389" t="s">
        <v>593</v>
      </c>
      <c r="CO389" t="s">
        <v>169</v>
      </c>
      <c r="CP389">
        <v>47192</v>
      </c>
      <c r="CQ389" t="s">
        <v>3322</v>
      </c>
      <c r="CR389" t="s">
        <v>4218</v>
      </c>
      <c r="CS389" t="s">
        <v>4219</v>
      </c>
      <c r="CT389">
        <v>0</v>
      </c>
      <c r="CU389">
        <v>0</v>
      </c>
      <c r="CV389">
        <v>0</v>
      </c>
      <c r="CW389">
        <v>0</v>
      </c>
      <c r="CX389">
        <v>8.8000000000000007</v>
      </c>
      <c r="CY389">
        <v>3761</v>
      </c>
      <c r="CZ389">
        <v>61600000000</v>
      </c>
      <c r="DA389">
        <v>73404790555.55632</v>
      </c>
      <c r="DB389">
        <v>-21458289940.507957</v>
      </c>
      <c r="DC389">
        <v>3.6732719949999999</v>
      </c>
      <c r="DD389">
        <v>2</v>
      </c>
      <c r="DE389">
        <v>2</v>
      </c>
      <c r="DF389">
        <v>8</v>
      </c>
      <c r="DG389">
        <v>0</v>
      </c>
      <c r="DH389">
        <v>0</v>
      </c>
      <c r="DI389">
        <v>0</v>
      </c>
      <c r="DJ389">
        <v>-24658121303</v>
      </c>
      <c r="DK389">
        <v>0</v>
      </c>
      <c r="DL389">
        <v>-24658121303</v>
      </c>
      <c r="DM389">
        <v>-24658121303</v>
      </c>
      <c r="DN389">
        <v>-24658121303</v>
      </c>
      <c r="DO389">
        <v>-24658121303</v>
      </c>
      <c r="DP389" s="32">
        <f>Tradingbook_SBV[[#This Row],[Mat. Date]]-RPT</f>
        <v>940</v>
      </c>
      <c r="DQ389" s="32">
        <f>IF(Tradingbook_SBV[[#This Row],[Days]]&lt;=0,0,YEARFRAC(RPT,Tradingbook_SBV[[#This Row],[Mat. Date]],3))</f>
        <v>2.5753424657534247</v>
      </c>
      <c r="DR389" s="32" t="str">
        <f>IF(Tradingbook_SBV[[#This Row],[Days (year)]]=0,0,INDEX(Ref!$K$2:$K$13,MATCH(Tradingbook_SBV[[#This Row],[Days (year)]],Ref!$I$2:$I$13,1)))</f>
        <v>3Y</v>
      </c>
      <c r="DS389" s="32" t="str">
        <f>VLOOKUP(Tradingbook_SBV[[#This Row],[Security Name]],Ref!X:Z,3,0)</f>
        <v>TPCP</v>
      </c>
      <c r="DT389" s="32" t="str">
        <f>VLOOKUP(Tradingbook_SBV[[#This Row],[Security Name]],Ref!X:Y,2,0)</f>
        <v>KBNN</v>
      </c>
      <c r="DU389" s="71">
        <f>IF((Tradingbook_SBV[[#This Row],[Mat. Date]]-RPT)&lt;=0,0,Tradingbook_SBV[[#This Row],[QUANTITY]])</f>
        <v>0</v>
      </c>
      <c r="DV389" s="71">
        <f>IF(Tradingbook_SBV[[#This Row],[Quantity_edited]]=0,0,Tradingbook_SBV[[#This Row],[DURATION]])</f>
        <v>0</v>
      </c>
      <c r="DW389" s="71">
        <f>IF(Tradingbook_SBV[[#This Row],[Quantity_edited]]=0,0,Tradingbook_SBV[[#This Row],[Mod Dur]])</f>
        <v>0</v>
      </c>
      <c r="DX389" s="71">
        <f>IF(Tradingbook_SBV[[#This Row],[Quantity_edited]]=0,0,Tradingbook_SBV[[#This Row],[Cnvx.]])</f>
        <v>0</v>
      </c>
      <c r="DY389" s="71">
        <f>(Tradingbook_SBV[[#This Row],[MARKET_VALUE]]+Tradingbook_SBV[[#This Row],[Accr Int]]*Tradingbook_SBV[[#This Row],[Quantity_edited]])*(-Tradingbook_SBV[[#This Row],[Modified Duration]]*0.0001+0.5*Tradingbook_SBV[[#This Row],[Conv]]*(0.0001^2))</f>
        <v>0</v>
      </c>
      <c r="DZ389" s="71">
        <f>(Tradingbook_SBV[[#This Row],[MARKET_VALUE]]+Tradingbook_SBV[[#This Row],[Accr Int]]*Tradingbook_SBV[[#This Row],[Quantity_edited]])*(-Tradingbook_SBV[[#This Row],[Modified Duration]]*0.01+0.5*Tradingbook_SBV[[#This Row],[Conv]]*(0.01^2))</f>
        <v>0</v>
      </c>
    </row>
    <row r="390" spans="2:130" x14ac:dyDescent="0.3">
      <c r="B390" t="s">
        <v>166</v>
      </c>
      <c r="C390" t="s">
        <v>3299</v>
      </c>
      <c r="D390" t="s">
        <v>2493</v>
      </c>
      <c r="E390" t="s">
        <v>169</v>
      </c>
      <c r="F390" s="502">
        <v>46741</v>
      </c>
      <c r="G390" t="s">
        <v>3322</v>
      </c>
      <c r="H390">
        <v>100920</v>
      </c>
      <c r="I390">
        <v>100920</v>
      </c>
      <c r="J390" s="38">
        <v>0</v>
      </c>
      <c r="K390">
        <v>0</v>
      </c>
      <c r="L390">
        <v>0</v>
      </c>
      <c r="M390" s="38">
        <v>0</v>
      </c>
      <c r="N390">
        <v>4.8</v>
      </c>
      <c r="O390">
        <v>3169</v>
      </c>
      <c r="P390" s="37">
        <v>0</v>
      </c>
      <c r="Q390" s="37">
        <v>3.0000000000000001E-6</v>
      </c>
      <c r="R390" s="37">
        <v>-48700187.638908386</v>
      </c>
      <c r="S390">
        <v>4.0640113060000003</v>
      </c>
      <c r="T390" s="70">
        <v>1.2436879047430001</v>
      </c>
      <c r="U390">
        <v>1.2942315200000001</v>
      </c>
      <c r="V390">
        <v>2.7819770224194</v>
      </c>
      <c r="W390">
        <v>0</v>
      </c>
      <c r="X390" s="38">
        <v>0</v>
      </c>
      <c r="Y390">
        <v>0</v>
      </c>
      <c r="Z390" s="70">
        <v>806500000</v>
      </c>
      <c r="AA390" s="70">
        <v>0</v>
      </c>
      <c r="AB390" s="70">
        <v>806500000</v>
      </c>
      <c r="AC390" s="70">
        <v>806500000</v>
      </c>
      <c r="AD390" s="70">
        <v>806500000</v>
      </c>
      <c r="AE390" s="70">
        <v>806500000</v>
      </c>
      <c r="AF390">
        <v>0</v>
      </c>
      <c r="AG390" s="72">
        <f>Tradingbook_MSB[[#This Row],[Mat. Date]]-RPT</f>
        <v>489</v>
      </c>
      <c r="AH390" s="71">
        <f>IF(Tradingbook_MSB[[#This Row],[Days]]&lt;=0,0,YEARFRAC(RPT,Tradingbook_MSB[[#This Row],[Mat. Date]],3))</f>
        <v>1.3397260273972602</v>
      </c>
      <c r="AI390" s="71" t="str">
        <f>IF(Tradingbook_MSB[[#This Row],[Days (year)]]=0,0,INDEX(Ref!$K$2:$K$13,MATCH(Tradingbook_MSB[[#This Row],[Days (year)]],Ref!$I$2:$I$13,1)))</f>
        <v>1Y</v>
      </c>
      <c r="AJ390" s="120" t="str">
        <f>VLOOKUP(Tradingbook_MSB[[#This Row],[Security Name]],Ref!X:Z,3,0)</f>
        <v>TPCPBL</v>
      </c>
      <c r="AK390" s="120" t="str">
        <f>VLOOKUP(Tradingbook_MSB[[#This Row],[Security Name]],Ref!X:Y,2,0)</f>
        <v>VBS</v>
      </c>
      <c r="AL390" s="71">
        <f>IF((Tradingbook_MSB[[#This Row],[Mat. Date]]-RPT)&lt;=0,0,Tradingbook_MSB[[#This Row],[QUANTITY]])</f>
        <v>0</v>
      </c>
      <c r="AM390" s="71">
        <f>IF(Tradingbook_MSB[[#This Row],[Quantity_edited]]=0,0,Tradingbook_MSB[[#This Row],[DURATION]])</f>
        <v>0</v>
      </c>
      <c r="AN390" s="71">
        <f>IF(Tradingbook_MSB[[#This Row],[Quantity_edited]]=0,0,Tradingbook_MSB[[#This Row],[Mod Dur]])</f>
        <v>0</v>
      </c>
      <c r="AO390" s="71">
        <f>IF(Tradingbook_MSB[[#This Row],[Quantity_edited]]=0,0,Tradingbook_MSB[[#This Row],[Cnvx.]])</f>
        <v>0</v>
      </c>
      <c r="AP390" s="71">
        <f>(Tradingbook_MSB[[#This Row],[MARKET_VALUE]]+Tradingbook_MSB[[#This Row],[Accr Int]]*Tradingbook_MSB[[#This Row],[Quantity_edited]])*(-Tradingbook_MSB[[#This Row],[Modified Duration]]*0.0001+0.5*Tradingbook_MSB[[#This Row],[Conv]]*(0.0001^2))</f>
        <v>0</v>
      </c>
      <c r="AQ390" s="72">
        <f>(Tradingbook_MSB[[#This Row],[MARKET_VALUE]]+Tradingbook_MSB[[#This Row],[Accr Int]]*Tradingbook_MSB[[#This Row],[Quantity_edited]])*(-Tradingbook_MSB[[#This Row],[Modified Duration]]*0.01+0.5*Tradingbook_MSB[[#This Row],[Conv]]*(0.01^2))</f>
        <v>0</v>
      </c>
      <c r="CL390" t="s">
        <v>166</v>
      </c>
      <c r="CM390" t="s">
        <v>3299</v>
      </c>
      <c r="CN390" t="s">
        <v>594</v>
      </c>
      <c r="CO390" t="s">
        <v>169</v>
      </c>
      <c r="CP390">
        <v>47247</v>
      </c>
      <c r="CQ390" t="s">
        <v>3322</v>
      </c>
      <c r="CR390" t="s">
        <v>4220</v>
      </c>
      <c r="CS390" t="s">
        <v>4221</v>
      </c>
      <c r="CT390">
        <v>0</v>
      </c>
      <c r="CU390">
        <v>0</v>
      </c>
      <c r="CV390">
        <v>0</v>
      </c>
      <c r="CW390">
        <v>0</v>
      </c>
      <c r="CX390">
        <v>4.7</v>
      </c>
      <c r="CY390">
        <v>1301</v>
      </c>
      <c r="CZ390">
        <v>14100000000</v>
      </c>
      <c r="DA390">
        <v>16371165986.111084</v>
      </c>
      <c r="DB390">
        <v>-2855387131.3887215</v>
      </c>
      <c r="DC390">
        <v>3.684051218</v>
      </c>
      <c r="DD390">
        <v>3</v>
      </c>
      <c r="DE390">
        <v>3</v>
      </c>
      <c r="DF390">
        <v>9</v>
      </c>
      <c r="DG390">
        <v>0</v>
      </c>
      <c r="DH390">
        <v>0</v>
      </c>
      <c r="DI390">
        <v>0</v>
      </c>
      <c r="DJ390">
        <v>7046000000</v>
      </c>
      <c r="DK390">
        <v>0</v>
      </c>
      <c r="DL390">
        <v>7046000000</v>
      </c>
      <c r="DM390">
        <v>7046000000</v>
      </c>
      <c r="DN390">
        <v>7046000000</v>
      </c>
      <c r="DO390">
        <v>7046000000</v>
      </c>
      <c r="DP390" s="32">
        <f>Tradingbook_SBV[[#This Row],[Mat. Date]]-RPT</f>
        <v>995</v>
      </c>
      <c r="DQ390" s="32">
        <f>IF(Tradingbook_SBV[[#This Row],[Days]]&lt;=0,0,YEARFRAC(RPT,Tradingbook_SBV[[#This Row],[Mat. Date]],3))</f>
        <v>2.7260273972602738</v>
      </c>
      <c r="DR390" s="32" t="str">
        <f>IF(Tradingbook_SBV[[#This Row],[Days (year)]]=0,0,INDEX(Ref!$K$2:$K$13,MATCH(Tradingbook_SBV[[#This Row],[Days (year)]],Ref!$I$2:$I$13,1)))</f>
        <v>3Y</v>
      </c>
      <c r="DS390" s="32" t="str">
        <f>VLOOKUP(Tradingbook_SBV[[#This Row],[Security Name]],Ref!X:Z,3,0)</f>
        <v>TPCP</v>
      </c>
      <c r="DT390" s="32" t="str">
        <f>VLOOKUP(Tradingbook_SBV[[#This Row],[Security Name]],Ref!X:Y,2,0)</f>
        <v>KBNN</v>
      </c>
      <c r="DU390" s="71">
        <f>IF((Tradingbook_SBV[[#This Row],[Mat. Date]]-RPT)&lt;=0,0,Tradingbook_SBV[[#This Row],[QUANTITY]])</f>
        <v>0</v>
      </c>
      <c r="DV390" s="71">
        <f>IF(Tradingbook_SBV[[#This Row],[Quantity_edited]]=0,0,Tradingbook_SBV[[#This Row],[DURATION]])</f>
        <v>0</v>
      </c>
      <c r="DW390" s="71">
        <f>IF(Tradingbook_SBV[[#This Row],[Quantity_edited]]=0,0,Tradingbook_SBV[[#This Row],[Mod Dur]])</f>
        <v>0</v>
      </c>
      <c r="DX390" s="71">
        <f>IF(Tradingbook_SBV[[#This Row],[Quantity_edited]]=0,0,Tradingbook_SBV[[#This Row],[Cnvx.]])</f>
        <v>0</v>
      </c>
      <c r="DY390" s="71">
        <f>(Tradingbook_SBV[[#This Row],[MARKET_VALUE]]+Tradingbook_SBV[[#This Row],[Accr Int]]*Tradingbook_SBV[[#This Row],[Quantity_edited]])*(-Tradingbook_SBV[[#This Row],[Modified Duration]]*0.0001+0.5*Tradingbook_SBV[[#This Row],[Conv]]*(0.0001^2))</f>
        <v>0</v>
      </c>
      <c r="DZ390" s="71">
        <f>(Tradingbook_SBV[[#This Row],[MARKET_VALUE]]+Tradingbook_SBV[[#This Row],[Accr Int]]*Tradingbook_SBV[[#This Row],[Quantity_edited]])*(-Tradingbook_SBV[[#This Row],[Modified Duration]]*0.01+0.5*Tradingbook_SBV[[#This Row],[Conv]]*(0.01^2))</f>
        <v>0</v>
      </c>
    </row>
    <row r="391" spans="2:130" x14ac:dyDescent="0.3">
      <c r="B391" t="s">
        <v>166</v>
      </c>
      <c r="C391" t="s">
        <v>3299</v>
      </c>
      <c r="D391" t="s">
        <v>580</v>
      </c>
      <c r="E391" t="s">
        <v>169</v>
      </c>
      <c r="F391" s="502">
        <v>46756</v>
      </c>
      <c r="G391" t="s">
        <v>3322</v>
      </c>
      <c r="H391">
        <v>102007</v>
      </c>
      <c r="I391">
        <v>102007</v>
      </c>
      <c r="J391" s="38">
        <v>0</v>
      </c>
      <c r="K391">
        <v>0</v>
      </c>
      <c r="L391">
        <v>0</v>
      </c>
      <c r="M391" s="38">
        <v>0</v>
      </c>
      <c r="N391">
        <v>5.0999999999999996</v>
      </c>
      <c r="O391">
        <v>3158</v>
      </c>
      <c r="P391" s="37">
        <v>40800000000</v>
      </c>
      <c r="Q391" s="37">
        <v>48278004979.166641</v>
      </c>
      <c r="R391" s="37">
        <v>-16608169404.402954</v>
      </c>
      <c r="S391">
        <v>3.5685508000000001</v>
      </c>
      <c r="T391" s="70">
        <v>1.2870412266857001</v>
      </c>
      <c r="U391">
        <v>1.3329699500000001</v>
      </c>
      <c r="V391">
        <v>2.9416466213189998</v>
      </c>
      <c r="W391">
        <v>0</v>
      </c>
      <c r="X391" s="38">
        <v>0</v>
      </c>
      <c r="Y391">
        <v>0</v>
      </c>
      <c r="Z391" s="70">
        <v>47848000000</v>
      </c>
      <c r="AA391" s="70">
        <v>0</v>
      </c>
      <c r="AB391" s="70">
        <v>47848000000</v>
      </c>
      <c r="AC391" s="70">
        <v>47848000000</v>
      </c>
      <c r="AD391" s="70">
        <v>47848000000</v>
      </c>
      <c r="AE391" s="70">
        <v>47848000000</v>
      </c>
      <c r="AF391">
        <v>0</v>
      </c>
      <c r="AG391" s="72">
        <f>Tradingbook_MSB[[#This Row],[Mat. Date]]-RPT</f>
        <v>504</v>
      </c>
      <c r="AH391" s="71">
        <f>IF(Tradingbook_MSB[[#This Row],[Days]]&lt;=0,0,YEARFRAC(RPT,Tradingbook_MSB[[#This Row],[Mat. Date]],3))</f>
        <v>1.3808219178082193</v>
      </c>
      <c r="AI391" s="71" t="str">
        <f>IF(Tradingbook_MSB[[#This Row],[Days (year)]]=0,0,INDEX(Ref!$K$2:$K$13,MATCH(Tradingbook_MSB[[#This Row],[Days (year)]],Ref!$I$2:$I$13,1)))</f>
        <v>1Y</v>
      </c>
      <c r="AJ391" s="120" t="str">
        <f>VLOOKUP(Tradingbook_MSB[[#This Row],[Security Name]],Ref!X:Z,3,0)</f>
        <v>TPCP</v>
      </c>
      <c r="AK391" s="120" t="str">
        <f>VLOOKUP(Tradingbook_MSB[[#This Row],[Security Name]],Ref!X:Y,2,0)</f>
        <v>KBNN</v>
      </c>
      <c r="AL391" s="71">
        <f>IF((Tradingbook_MSB[[#This Row],[Mat. Date]]-RPT)&lt;=0,0,Tradingbook_MSB[[#This Row],[QUANTITY]])</f>
        <v>0</v>
      </c>
      <c r="AM391" s="71">
        <f>IF(Tradingbook_MSB[[#This Row],[Quantity_edited]]=0,0,Tradingbook_MSB[[#This Row],[DURATION]])</f>
        <v>0</v>
      </c>
      <c r="AN391" s="71">
        <f>IF(Tradingbook_MSB[[#This Row],[Quantity_edited]]=0,0,Tradingbook_MSB[[#This Row],[Mod Dur]])</f>
        <v>0</v>
      </c>
      <c r="AO391" s="71">
        <f>IF(Tradingbook_MSB[[#This Row],[Quantity_edited]]=0,0,Tradingbook_MSB[[#This Row],[Cnvx.]])</f>
        <v>0</v>
      </c>
      <c r="AP391" s="71">
        <f>(Tradingbook_MSB[[#This Row],[MARKET_VALUE]]+Tradingbook_MSB[[#This Row],[Accr Int]]*Tradingbook_MSB[[#This Row],[Quantity_edited]])*(-Tradingbook_MSB[[#This Row],[Modified Duration]]*0.0001+0.5*Tradingbook_MSB[[#This Row],[Conv]]*(0.0001^2))</f>
        <v>0</v>
      </c>
      <c r="AQ391" s="72">
        <f>(Tradingbook_MSB[[#This Row],[MARKET_VALUE]]+Tradingbook_MSB[[#This Row],[Accr Int]]*Tradingbook_MSB[[#This Row],[Quantity_edited]])*(-Tradingbook_MSB[[#This Row],[Modified Duration]]*0.01+0.5*Tradingbook_MSB[[#This Row],[Conv]]*(0.01^2))</f>
        <v>0</v>
      </c>
      <c r="CL391" t="s">
        <v>166</v>
      </c>
      <c r="CM391" t="s">
        <v>3299</v>
      </c>
      <c r="CN391" t="s">
        <v>595</v>
      </c>
      <c r="CO391" t="s">
        <v>169</v>
      </c>
      <c r="CP391">
        <v>47324</v>
      </c>
      <c r="CQ391" t="s">
        <v>3322</v>
      </c>
      <c r="CR391" t="s">
        <v>4222</v>
      </c>
      <c r="CS391" t="s">
        <v>4223</v>
      </c>
      <c r="CT391">
        <v>0</v>
      </c>
      <c r="CU391">
        <v>0</v>
      </c>
      <c r="CV391">
        <v>0</v>
      </c>
      <c r="CW391">
        <v>0</v>
      </c>
      <c r="CX391">
        <v>4.4000000000000004</v>
      </c>
      <c r="CY391">
        <v>289</v>
      </c>
      <c r="CZ391">
        <v>0</v>
      </c>
      <c r="DA391">
        <v>-1.1E-5</v>
      </c>
      <c r="DB391">
        <v>-1822408443.4027529</v>
      </c>
      <c r="DC391">
        <v>3.699108609</v>
      </c>
      <c r="DD391">
        <v>3</v>
      </c>
      <c r="DE391">
        <v>3</v>
      </c>
      <c r="DF391">
        <v>10</v>
      </c>
      <c r="DG391">
        <v>0</v>
      </c>
      <c r="DH391">
        <v>0</v>
      </c>
      <c r="DI391">
        <v>0</v>
      </c>
      <c r="DJ391">
        <v>-313500000</v>
      </c>
      <c r="DK391">
        <v>0</v>
      </c>
      <c r="DL391">
        <v>-313500000</v>
      </c>
      <c r="DM391">
        <v>-313500000</v>
      </c>
      <c r="DN391">
        <v>-313500000</v>
      </c>
      <c r="DO391">
        <v>-313500000</v>
      </c>
      <c r="DP391" s="32">
        <f>Tradingbook_SBV[[#This Row],[Mat. Date]]-RPT</f>
        <v>1072</v>
      </c>
      <c r="DQ391" s="32">
        <f>IF(Tradingbook_SBV[[#This Row],[Days]]&lt;=0,0,YEARFRAC(RPT,Tradingbook_SBV[[#This Row],[Mat. Date]],3))</f>
        <v>2.9369863013698629</v>
      </c>
      <c r="DR391" s="32" t="str">
        <f>IF(Tradingbook_SBV[[#This Row],[Days (year)]]=0,0,INDEX(Ref!$K$2:$K$13,MATCH(Tradingbook_SBV[[#This Row],[Days (year)]],Ref!$I$2:$I$13,1)))</f>
        <v>3Y</v>
      </c>
      <c r="DS391" s="32" t="str">
        <f>VLOOKUP(Tradingbook_SBV[[#This Row],[Security Name]],Ref!X:Z,3,0)</f>
        <v>TPCP</v>
      </c>
      <c r="DT391" s="32" t="str">
        <f>VLOOKUP(Tradingbook_SBV[[#This Row],[Security Name]],Ref!X:Y,2,0)</f>
        <v>KBNN</v>
      </c>
      <c r="DU391" s="71">
        <f>IF((Tradingbook_SBV[[#This Row],[Mat. Date]]-RPT)&lt;=0,0,Tradingbook_SBV[[#This Row],[QUANTITY]])</f>
        <v>0</v>
      </c>
      <c r="DV391" s="71">
        <f>IF(Tradingbook_SBV[[#This Row],[Quantity_edited]]=0,0,Tradingbook_SBV[[#This Row],[DURATION]])</f>
        <v>0</v>
      </c>
      <c r="DW391" s="71">
        <f>IF(Tradingbook_SBV[[#This Row],[Quantity_edited]]=0,0,Tradingbook_SBV[[#This Row],[Mod Dur]])</f>
        <v>0</v>
      </c>
      <c r="DX391" s="71">
        <f>IF(Tradingbook_SBV[[#This Row],[Quantity_edited]]=0,0,Tradingbook_SBV[[#This Row],[Cnvx.]])</f>
        <v>0</v>
      </c>
      <c r="DY391" s="71">
        <f>(Tradingbook_SBV[[#This Row],[MARKET_VALUE]]+Tradingbook_SBV[[#This Row],[Accr Int]]*Tradingbook_SBV[[#This Row],[Quantity_edited]])*(-Tradingbook_SBV[[#This Row],[Modified Duration]]*0.0001+0.5*Tradingbook_SBV[[#This Row],[Conv]]*(0.0001^2))</f>
        <v>0</v>
      </c>
      <c r="DZ391" s="71">
        <f>(Tradingbook_SBV[[#This Row],[MARKET_VALUE]]+Tradingbook_SBV[[#This Row],[Accr Int]]*Tradingbook_SBV[[#This Row],[Quantity_edited]])*(-Tradingbook_SBV[[#This Row],[Modified Duration]]*0.01+0.5*Tradingbook_SBV[[#This Row],[Conv]]*(0.01^2))</f>
        <v>0</v>
      </c>
    </row>
    <row r="392" spans="2:130" x14ac:dyDescent="0.3">
      <c r="B392" t="s">
        <v>166</v>
      </c>
      <c r="C392" t="s">
        <v>3299</v>
      </c>
      <c r="D392" t="s">
        <v>581</v>
      </c>
      <c r="E392" t="s">
        <v>169</v>
      </c>
      <c r="F392" s="502">
        <v>46791</v>
      </c>
      <c r="G392" t="s">
        <v>3322</v>
      </c>
      <c r="H392">
        <v>101001</v>
      </c>
      <c r="I392">
        <v>101001</v>
      </c>
      <c r="J392" s="38">
        <v>0</v>
      </c>
      <c r="K392">
        <v>0</v>
      </c>
      <c r="L392">
        <v>0</v>
      </c>
      <c r="M392" s="38">
        <v>0</v>
      </c>
      <c r="N392">
        <v>4.3</v>
      </c>
      <c r="O392">
        <v>2250</v>
      </c>
      <c r="P392" s="37">
        <v>21500000000</v>
      </c>
      <c r="Q392" s="37">
        <v>25269910930.555588</v>
      </c>
      <c r="R392" s="37">
        <v>-6997483986.6250734</v>
      </c>
      <c r="S392">
        <v>3.578772995</v>
      </c>
      <c r="T392" s="70">
        <v>1.3861512993239999</v>
      </c>
      <c r="U392">
        <v>1.4357585100000001</v>
      </c>
      <c r="V392">
        <v>3.2962828893601999</v>
      </c>
      <c r="W392">
        <v>0</v>
      </c>
      <c r="X392" s="38">
        <v>0</v>
      </c>
      <c r="Y392">
        <v>0</v>
      </c>
      <c r="Z392" s="70">
        <v>46036400000</v>
      </c>
      <c r="AA392" s="70">
        <v>0</v>
      </c>
      <c r="AB392" s="70">
        <v>46036400000</v>
      </c>
      <c r="AC392" s="70">
        <v>46036400000</v>
      </c>
      <c r="AD392" s="70">
        <v>46036400000</v>
      </c>
      <c r="AE392" s="70">
        <v>46036400000</v>
      </c>
      <c r="AF392">
        <v>0</v>
      </c>
      <c r="AG392" s="72">
        <f>Tradingbook_MSB[[#This Row],[Mat. Date]]-RPT</f>
        <v>539</v>
      </c>
      <c r="AH392" s="71">
        <f>IF(Tradingbook_MSB[[#This Row],[Days]]&lt;=0,0,YEARFRAC(RPT,Tradingbook_MSB[[#This Row],[Mat. Date]],3))</f>
        <v>1.4767123287671233</v>
      </c>
      <c r="AI392" s="71" t="str">
        <f>IF(Tradingbook_MSB[[#This Row],[Days (year)]]=0,0,INDEX(Ref!$K$2:$K$13,MATCH(Tradingbook_MSB[[#This Row],[Days (year)]],Ref!$I$2:$I$13,1)))</f>
        <v>1Y</v>
      </c>
      <c r="AJ392" s="120" t="str">
        <f>VLOOKUP(Tradingbook_MSB[[#This Row],[Security Name]],Ref!X:Z,3,0)</f>
        <v>TPCP</v>
      </c>
      <c r="AK392" s="120" t="str">
        <f>VLOOKUP(Tradingbook_MSB[[#This Row],[Security Name]],Ref!X:Y,2,0)</f>
        <v>KBNN</v>
      </c>
      <c r="AL392" s="71">
        <f>IF((Tradingbook_MSB[[#This Row],[Mat. Date]]-RPT)&lt;=0,0,Tradingbook_MSB[[#This Row],[QUANTITY]])</f>
        <v>0</v>
      </c>
      <c r="AM392" s="71">
        <f>IF(Tradingbook_MSB[[#This Row],[Quantity_edited]]=0,0,Tradingbook_MSB[[#This Row],[DURATION]])</f>
        <v>0</v>
      </c>
      <c r="AN392" s="71">
        <f>IF(Tradingbook_MSB[[#This Row],[Quantity_edited]]=0,0,Tradingbook_MSB[[#This Row],[Mod Dur]])</f>
        <v>0</v>
      </c>
      <c r="AO392" s="71">
        <f>IF(Tradingbook_MSB[[#This Row],[Quantity_edited]]=0,0,Tradingbook_MSB[[#This Row],[Cnvx.]])</f>
        <v>0</v>
      </c>
      <c r="AP392" s="71">
        <f>(Tradingbook_MSB[[#This Row],[MARKET_VALUE]]+Tradingbook_MSB[[#This Row],[Accr Int]]*Tradingbook_MSB[[#This Row],[Quantity_edited]])*(-Tradingbook_MSB[[#This Row],[Modified Duration]]*0.0001+0.5*Tradingbook_MSB[[#This Row],[Conv]]*(0.0001^2))</f>
        <v>0</v>
      </c>
      <c r="AQ392" s="72">
        <f>(Tradingbook_MSB[[#This Row],[MARKET_VALUE]]+Tradingbook_MSB[[#This Row],[Accr Int]]*Tradingbook_MSB[[#This Row],[Quantity_edited]])*(-Tradingbook_MSB[[#This Row],[Modified Duration]]*0.01+0.5*Tradingbook_MSB[[#This Row],[Conv]]*(0.01^2))</f>
        <v>0</v>
      </c>
      <c r="CL392" t="s">
        <v>166</v>
      </c>
      <c r="CM392" t="s">
        <v>3299</v>
      </c>
      <c r="CN392" t="s">
        <v>596</v>
      </c>
      <c r="CO392" t="s">
        <v>169</v>
      </c>
      <c r="CP392">
        <v>47393</v>
      </c>
      <c r="CQ392" t="s">
        <v>3322</v>
      </c>
      <c r="CR392" t="s">
        <v>4224</v>
      </c>
      <c r="CS392" t="s">
        <v>4225</v>
      </c>
      <c r="CT392">
        <v>0</v>
      </c>
      <c r="CU392">
        <v>0</v>
      </c>
      <c r="CV392">
        <v>0</v>
      </c>
      <c r="CW392">
        <v>0</v>
      </c>
      <c r="CX392">
        <v>7.83</v>
      </c>
      <c r="CY392">
        <v>6865</v>
      </c>
      <c r="CZ392">
        <v>0</v>
      </c>
      <c r="DA392">
        <v>0</v>
      </c>
      <c r="DB392">
        <v>-249870386.66677856</v>
      </c>
      <c r="DC392">
        <v>4.235474484</v>
      </c>
      <c r="DD392">
        <v>3</v>
      </c>
      <c r="DE392">
        <v>3</v>
      </c>
      <c r="DF392">
        <v>10</v>
      </c>
      <c r="DG392">
        <v>0</v>
      </c>
      <c r="DH392">
        <v>0</v>
      </c>
      <c r="DI392">
        <v>0</v>
      </c>
      <c r="DJ392">
        <v>-138000000</v>
      </c>
      <c r="DK392">
        <v>0</v>
      </c>
      <c r="DL392">
        <v>-138000000</v>
      </c>
      <c r="DM392">
        <v>-138000000</v>
      </c>
      <c r="DN392">
        <v>-138000000</v>
      </c>
      <c r="DO392">
        <v>-138000000</v>
      </c>
      <c r="DP392" s="32">
        <f>Tradingbook_SBV[[#This Row],[Mat. Date]]-RPT</f>
        <v>1141</v>
      </c>
      <c r="DQ392" s="32">
        <f>IF(Tradingbook_SBV[[#This Row],[Days]]&lt;=0,0,YEARFRAC(RPT,Tradingbook_SBV[[#This Row],[Mat. Date]],3))</f>
        <v>3.1260273972602741</v>
      </c>
      <c r="DR392" s="32" t="str">
        <f>IF(Tradingbook_SBV[[#This Row],[Days (year)]]=0,0,INDEX(Ref!$K$2:$K$13,MATCH(Tradingbook_SBV[[#This Row],[Days (year)]],Ref!$I$2:$I$13,1)))</f>
        <v>3Y</v>
      </c>
      <c r="DS392" s="32" t="str">
        <f>VLOOKUP(Tradingbook_SBV[[#This Row],[Security Name]],Ref!X:Z,3,0)</f>
        <v>TPCQĐP</v>
      </c>
      <c r="DT392" s="32" t="str">
        <f>VLOOKUP(Tradingbook_SBV[[#This Row],[Security Name]],Ref!X:Y,2,0)</f>
        <v>HIFU</v>
      </c>
      <c r="DU392" s="71">
        <f>IF((Tradingbook_SBV[[#This Row],[Mat. Date]]-RPT)&lt;=0,0,Tradingbook_SBV[[#This Row],[QUANTITY]])</f>
        <v>0</v>
      </c>
      <c r="DV392" s="71">
        <f>IF(Tradingbook_SBV[[#This Row],[Quantity_edited]]=0,0,Tradingbook_SBV[[#This Row],[DURATION]])</f>
        <v>0</v>
      </c>
      <c r="DW392" s="71">
        <f>IF(Tradingbook_SBV[[#This Row],[Quantity_edited]]=0,0,Tradingbook_SBV[[#This Row],[Mod Dur]])</f>
        <v>0</v>
      </c>
      <c r="DX392" s="71">
        <f>IF(Tradingbook_SBV[[#This Row],[Quantity_edited]]=0,0,Tradingbook_SBV[[#This Row],[Cnvx.]])</f>
        <v>0</v>
      </c>
      <c r="DY392" s="71">
        <f>(Tradingbook_SBV[[#This Row],[MARKET_VALUE]]+Tradingbook_SBV[[#This Row],[Accr Int]]*Tradingbook_SBV[[#This Row],[Quantity_edited]])*(-Tradingbook_SBV[[#This Row],[Modified Duration]]*0.0001+0.5*Tradingbook_SBV[[#This Row],[Conv]]*(0.0001^2))</f>
        <v>0</v>
      </c>
      <c r="DZ392" s="71">
        <f>(Tradingbook_SBV[[#This Row],[MARKET_VALUE]]+Tradingbook_SBV[[#This Row],[Accr Int]]*Tradingbook_SBV[[#This Row],[Quantity_edited]])*(-Tradingbook_SBV[[#This Row],[Modified Duration]]*0.01+0.5*Tradingbook_SBV[[#This Row],[Conv]]*(0.01^2))</f>
        <v>0</v>
      </c>
    </row>
    <row r="393" spans="2:130" x14ac:dyDescent="0.3">
      <c r="B393" t="s">
        <v>166</v>
      </c>
      <c r="C393" t="s">
        <v>3299</v>
      </c>
      <c r="D393" t="s">
        <v>2494</v>
      </c>
      <c r="E393" t="s">
        <v>169</v>
      </c>
      <c r="F393" s="502">
        <v>46799</v>
      </c>
      <c r="G393" t="s">
        <v>3322</v>
      </c>
      <c r="H393">
        <v>100012</v>
      </c>
      <c r="I393">
        <v>100012</v>
      </c>
      <c r="J393" s="38">
        <v>0</v>
      </c>
      <c r="K393">
        <v>0</v>
      </c>
      <c r="L393">
        <v>0</v>
      </c>
      <c r="M393" s="38">
        <v>0</v>
      </c>
      <c r="N393">
        <v>3.6</v>
      </c>
      <c r="O393">
        <v>1805</v>
      </c>
      <c r="P393" s="37">
        <v>0</v>
      </c>
      <c r="Q393" s="37">
        <v>0</v>
      </c>
      <c r="R393" s="37">
        <v>-87366533.866668701</v>
      </c>
      <c r="S393">
        <v>3.580548523</v>
      </c>
      <c r="T393" s="70">
        <v>1.4132840777122</v>
      </c>
      <c r="U393">
        <v>1.4638873999999999</v>
      </c>
      <c r="V393">
        <v>3.3930591287060001</v>
      </c>
      <c r="W393">
        <v>0</v>
      </c>
      <c r="X393" s="38">
        <v>0</v>
      </c>
      <c r="Y393">
        <v>0</v>
      </c>
      <c r="Z393" s="70">
        <v>185380000</v>
      </c>
      <c r="AA393" s="70">
        <v>0</v>
      </c>
      <c r="AB393" s="70">
        <v>185380000</v>
      </c>
      <c r="AC393" s="70">
        <v>185380000</v>
      </c>
      <c r="AD393" s="70">
        <v>185380000</v>
      </c>
      <c r="AE393" s="70">
        <v>185380000</v>
      </c>
      <c r="AF393">
        <v>0</v>
      </c>
      <c r="AG393" s="72">
        <f>Tradingbook_MSB[[#This Row],[Mat. Date]]-RPT</f>
        <v>547</v>
      </c>
      <c r="AH393" s="71">
        <f>IF(Tradingbook_MSB[[#This Row],[Days]]&lt;=0,0,YEARFRAC(RPT,Tradingbook_MSB[[#This Row],[Mat. Date]],3))</f>
        <v>1.4986301369863013</v>
      </c>
      <c r="AI393" s="71" t="str">
        <f>IF(Tradingbook_MSB[[#This Row],[Days (year)]]=0,0,INDEX(Ref!$K$2:$K$13,MATCH(Tradingbook_MSB[[#This Row],[Days (year)]],Ref!$I$2:$I$13,1)))</f>
        <v>1Y</v>
      </c>
      <c r="AJ393" s="120" t="str">
        <f>VLOOKUP(Tradingbook_MSB[[#This Row],[Security Name]],Ref!X:Z,3,0)</f>
        <v>TPCP</v>
      </c>
      <c r="AK393" s="120" t="str">
        <f>VLOOKUP(Tradingbook_MSB[[#This Row],[Security Name]],Ref!X:Y,2,0)</f>
        <v>KBNN</v>
      </c>
      <c r="AL393" s="71">
        <f>IF((Tradingbook_MSB[[#This Row],[Mat. Date]]-RPT)&lt;=0,0,Tradingbook_MSB[[#This Row],[QUANTITY]])</f>
        <v>0</v>
      </c>
      <c r="AM393" s="71">
        <f>IF(Tradingbook_MSB[[#This Row],[Quantity_edited]]=0,0,Tradingbook_MSB[[#This Row],[DURATION]])</f>
        <v>0</v>
      </c>
      <c r="AN393" s="71">
        <f>IF(Tradingbook_MSB[[#This Row],[Quantity_edited]]=0,0,Tradingbook_MSB[[#This Row],[Mod Dur]])</f>
        <v>0</v>
      </c>
      <c r="AO393" s="71">
        <f>IF(Tradingbook_MSB[[#This Row],[Quantity_edited]]=0,0,Tradingbook_MSB[[#This Row],[Cnvx.]])</f>
        <v>0</v>
      </c>
      <c r="AP393" s="71">
        <f>(Tradingbook_MSB[[#This Row],[MARKET_VALUE]]+Tradingbook_MSB[[#This Row],[Accr Int]]*Tradingbook_MSB[[#This Row],[Quantity_edited]])*(-Tradingbook_MSB[[#This Row],[Modified Duration]]*0.0001+0.5*Tradingbook_MSB[[#This Row],[Conv]]*(0.0001^2))</f>
        <v>0</v>
      </c>
      <c r="AQ393" s="72">
        <f>(Tradingbook_MSB[[#This Row],[MARKET_VALUE]]+Tradingbook_MSB[[#This Row],[Accr Int]]*Tradingbook_MSB[[#This Row],[Quantity_edited]])*(-Tradingbook_MSB[[#This Row],[Modified Duration]]*0.01+0.5*Tradingbook_MSB[[#This Row],[Conv]]*(0.01^2))</f>
        <v>0</v>
      </c>
      <c r="CL393" t="s">
        <v>166</v>
      </c>
      <c r="CM393" t="s">
        <v>3299</v>
      </c>
      <c r="CN393" t="s">
        <v>597</v>
      </c>
      <c r="CO393" t="s">
        <v>169</v>
      </c>
      <c r="CP393">
        <v>47394</v>
      </c>
      <c r="CQ393" t="s">
        <v>3322</v>
      </c>
      <c r="CR393" t="s">
        <v>4226</v>
      </c>
      <c r="CS393" t="s">
        <v>4227</v>
      </c>
      <c r="CT393">
        <v>0</v>
      </c>
      <c r="CU393">
        <v>0</v>
      </c>
      <c r="CV393">
        <v>0</v>
      </c>
      <c r="CW393">
        <v>0</v>
      </c>
      <c r="CX393">
        <v>3.9</v>
      </c>
      <c r="CY393">
        <v>3408</v>
      </c>
      <c r="CZ393">
        <v>0</v>
      </c>
      <c r="DA393">
        <v>0</v>
      </c>
      <c r="DB393">
        <v>-881224204.02777576</v>
      </c>
      <c r="DC393">
        <v>3.7363846070000002</v>
      </c>
      <c r="DD393">
        <v>3</v>
      </c>
      <c r="DE393">
        <v>3</v>
      </c>
      <c r="DF393">
        <v>11</v>
      </c>
      <c r="DG393">
        <v>0</v>
      </c>
      <c r="DH393">
        <v>0</v>
      </c>
      <c r="DI393">
        <v>0</v>
      </c>
      <c r="DJ393">
        <v>477500000</v>
      </c>
      <c r="DK393">
        <v>0</v>
      </c>
      <c r="DL393">
        <v>477500000</v>
      </c>
      <c r="DM393">
        <v>477500000</v>
      </c>
      <c r="DN393">
        <v>477500000</v>
      </c>
      <c r="DO393">
        <v>477500000</v>
      </c>
      <c r="DP393" s="32">
        <f>Tradingbook_SBV[[#This Row],[Mat. Date]]-RPT</f>
        <v>1142</v>
      </c>
      <c r="DQ393" s="32">
        <f>IF(Tradingbook_SBV[[#This Row],[Days]]&lt;=0,0,YEARFRAC(RPT,Tradingbook_SBV[[#This Row],[Mat. Date]],3))</f>
        <v>3.128767123287671</v>
      </c>
      <c r="DR393" s="32" t="str">
        <f>IF(Tradingbook_SBV[[#This Row],[Days (year)]]=0,0,INDEX(Ref!$K$2:$K$13,MATCH(Tradingbook_SBV[[#This Row],[Days (year)]],Ref!$I$2:$I$13,1)))</f>
        <v>3Y</v>
      </c>
      <c r="DS393" s="32" t="str">
        <f>VLOOKUP(Tradingbook_SBV[[#This Row],[Security Name]],Ref!X:Z,3,0)</f>
        <v>TPCP</v>
      </c>
      <c r="DT393" s="32" t="str">
        <f>VLOOKUP(Tradingbook_SBV[[#This Row],[Security Name]],Ref!X:Y,2,0)</f>
        <v>KBNN</v>
      </c>
      <c r="DU393" s="71">
        <f>IF((Tradingbook_SBV[[#This Row],[Mat. Date]]-RPT)&lt;=0,0,Tradingbook_SBV[[#This Row],[QUANTITY]])</f>
        <v>0</v>
      </c>
      <c r="DV393" s="71">
        <f>IF(Tradingbook_SBV[[#This Row],[Quantity_edited]]=0,0,Tradingbook_SBV[[#This Row],[DURATION]])</f>
        <v>0</v>
      </c>
      <c r="DW393" s="71">
        <f>IF(Tradingbook_SBV[[#This Row],[Quantity_edited]]=0,0,Tradingbook_SBV[[#This Row],[Mod Dur]])</f>
        <v>0</v>
      </c>
      <c r="DX393" s="71">
        <f>IF(Tradingbook_SBV[[#This Row],[Quantity_edited]]=0,0,Tradingbook_SBV[[#This Row],[Cnvx.]])</f>
        <v>0</v>
      </c>
      <c r="DY393" s="71">
        <f>(Tradingbook_SBV[[#This Row],[MARKET_VALUE]]+Tradingbook_SBV[[#This Row],[Accr Int]]*Tradingbook_SBV[[#This Row],[Quantity_edited]])*(-Tradingbook_SBV[[#This Row],[Modified Duration]]*0.0001+0.5*Tradingbook_SBV[[#This Row],[Conv]]*(0.0001^2))</f>
        <v>0</v>
      </c>
      <c r="DZ393" s="71">
        <f>(Tradingbook_SBV[[#This Row],[MARKET_VALUE]]+Tradingbook_SBV[[#This Row],[Accr Int]]*Tradingbook_SBV[[#This Row],[Quantity_edited]])*(-Tradingbook_SBV[[#This Row],[Modified Duration]]*0.01+0.5*Tradingbook_SBV[[#This Row],[Conv]]*(0.01^2))</f>
        <v>0</v>
      </c>
    </row>
    <row r="394" spans="2:130" x14ac:dyDescent="0.3">
      <c r="B394" t="s">
        <v>166</v>
      </c>
      <c r="C394" t="s">
        <v>3299</v>
      </c>
      <c r="D394" t="s">
        <v>583</v>
      </c>
      <c r="E394" t="s">
        <v>169</v>
      </c>
      <c r="F394" s="502">
        <v>46816</v>
      </c>
      <c r="G394" t="s">
        <v>3322</v>
      </c>
      <c r="H394">
        <v>96770</v>
      </c>
      <c r="I394">
        <v>96770</v>
      </c>
      <c r="J394" s="38">
        <v>0</v>
      </c>
      <c r="K394">
        <v>0</v>
      </c>
      <c r="L394">
        <v>0</v>
      </c>
      <c r="M394" s="38">
        <v>0</v>
      </c>
      <c r="N394">
        <v>1.4</v>
      </c>
      <c r="O394">
        <v>641</v>
      </c>
      <c r="P394" s="37">
        <v>0</v>
      </c>
      <c r="Q394" s="37">
        <v>0</v>
      </c>
      <c r="R394" s="37">
        <v>16656497.022212029</v>
      </c>
      <c r="S394">
        <v>3.5853429979999998</v>
      </c>
      <c r="T394" s="70">
        <v>1.4754651967001999</v>
      </c>
      <c r="U394">
        <v>1.5283656800000001</v>
      </c>
      <c r="V394">
        <v>3.6143488684605001</v>
      </c>
      <c r="W394">
        <v>0</v>
      </c>
      <c r="X394" s="38">
        <v>0</v>
      </c>
      <c r="Y394">
        <v>0</v>
      </c>
      <c r="Z394" s="70">
        <v>567110000</v>
      </c>
      <c r="AA394" s="70">
        <v>0</v>
      </c>
      <c r="AB394" s="70">
        <v>567110000</v>
      </c>
      <c r="AC394" s="70">
        <v>567110000</v>
      </c>
      <c r="AD394" s="70">
        <v>567110000</v>
      </c>
      <c r="AE394" s="70">
        <v>567110000</v>
      </c>
      <c r="AF394">
        <v>0</v>
      </c>
      <c r="AG394" s="72">
        <f>Tradingbook_MSB[[#This Row],[Mat. Date]]-RPT</f>
        <v>564</v>
      </c>
      <c r="AH394" s="71">
        <f>IF(Tradingbook_MSB[[#This Row],[Days]]&lt;=0,0,YEARFRAC(RPT,Tradingbook_MSB[[#This Row],[Mat. Date]],3))</f>
        <v>1.5452054794520549</v>
      </c>
      <c r="AI394" s="71" t="str">
        <f>IF(Tradingbook_MSB[[#This Row],[Days (year)]]=0,0,INDEX(Ref!$K$2:$K$13,MATCH(Tradingbook_MSB[[#This Row],[Days (year)]],Ref!$I$2:$I$13,1)))</f>
        <v>2Y</v>
      </c>
      <c r="AJ394" s="120" t="str">
        <f>VLOOKUP(Tradingbook_MSB[[#This Row],[Security Name]],Ref!X:Z,3,0)</f>
        <v>TPCP</v>
      </c>
      <c r="AK394" s="120" t="str">
        <f>VLOOKUP(Tradingbook_MSB[[#This Row],[Security Name]],Ref!X:Y,2,0)</f>
        <v>KBNN</v>
      </c>
      <c r="AL394" s="71">
        <f>IF((Tradingbook_MSB[[#This Row],[Mat. Date]]-RPT)&lt;=0,0,Tradingbook_MSB[[#This Row],[QUANTITY]])</f>
        <v>0</v>
      </c>
      <c r="AM394" s="71">
        <f>IF(Tradingbook_MSB[[#This Row],[Quantity_edited]]=0,0,Tradingbook_MSB[[#This Row],[DURATION]])</f>
        <v>0</v>
      </c>
      <c r="AN394" s="71">
        <f>IF(Tradingbook_MSB[[#This Row],[Quantity_edited]]=0,0,Tradingbook_MSB[[#This Row],[Mod Dur]])</f>
        <v>0</v>
      </c>
      <c r="AO394" s="71">
        <f>IF(Tradingbook_MSB[[#This Row],[Quantity_edited]]=0,0,Tradingbook_MSB[[#This Row],[Cnvx.]])</f>
        <v>0</v>
      </c>
      <c r="AP394" s="71">
        <f>(Tradingbook_MSB[[#This Row],[MARKET_VALUE]]+Tradingbook_MSB[[#This Row],[Accr Int]]*Tradingbook_MSB[[#This Row],[Quantity_edited]])*(-Tradingbook_MSB[[#This Row],[Modified Duration]]*0.0001+0.5*Tradingbook_MSB[[#This Row],[Conv]]*(0.0001^2))</f>
        <v>0</v>
      </c>
      <c r="AQ394" s="72">
        <f>(Tradingbook_MSB[[#This Row],[MARKET_VALUE]]+Tradingbook_MSB[[#This Row],[Accr Int]]*Tradingbook_MSB[[#This Row],[Quantity_edited]])*(-Tradingbook_MSB[[#This Row],[Modified Duration]]*0.01+0.5*Tradingbook_MSB[[#This Row],[Conv]]*(0.01^2))</f>
        <v>0</v>
      </c>
      <c r="CL394" t="s">
        <v>166</v>
      </c>
      <c r="CM394" t="s">
        <v>3299</v>
      </c>
      <c r="CN394" t="s">
        <v>598</v>
      </c>
      <c r="CO394" t="s">
        <v>169</v>
      </c>
      <c r="CP394">
        <v>47406</v>
      </c>
      <c r="CQ394" t="s">
        <v>3322</v>
      </c>
      <c r="CR394" t="s">
        <v>4228</v>
      </c>
      <c r="CS394" t="s">
        <v>4229</v>
      </c>
      <c r="CT394">
        <v>0</v>
      </c>
      <c r="CU394">
        <v>0</v>
      </c>
      <c r="CV394">
        <v>0</v>
      </c>
      <c r="CW394">
        <v>0</v>
      </c>
      <c r="CX394">
        <v>7</v>
      </c>
      <c r="CY394">
        <v>5888</v>
      </c>
      <c r="CZ394">
        <v>10500000000</v>
      </c>
      <c r="DA394">
        <v>11569045833.333317</v>
      </c>
      <c r="DB394">
        <v>-1242530962.0138512</v>
      </c>
      <c r="DC394">
        <v>3.7452069200000002</v>
      </c>
      <c r="DD394">
        <v>3</v>
      </c>
      <c r="DE394">
        <v>3</v>
      </c>
      <c r="DF394">
        <v>11</v>
      </c>
      <c r="DG394">
        <v>0</v>
      </c>
      <c r="DH394">
        <v>0</v>
      </c>
      <c r="DI394">
        <v>0</v>
      </c>
      <c r="DJ394">
        <v>91000000</v>
      </c>
      <c r="DK394">
        <v>0</v>
      </c>
      <c r="DL394">
        <v>91000000</v>
      </c>
      <c r="DM394">
        <v>91000000</v>
      </c>
      <c r="DN394">
        <v>91000000</v>
      </c>
      <c r="DO394">
        <v>91000000</v>
      </c>
      <c r="DP394" s="32">
        <f>Tradingbook_SBV[[#This Row],[Mat. Date]]-RPT</f>
        <v>1154</v>
      </c>
      <c r="DQ394" s="32">
        <f>IF(Tradingbook_SBV[[#This Row],[Days]]&lt;=0,0,YEARFRAC(RPT,Tradingbook_SBV[[#This Row],[Mat. Date]],3))</f>
        <v>3.1616438356164385</v>
      </c>
      <c r="DR394" s="32" t="str">
        <f>IF(Tradingbook_SBV[[#This Row],[Days (year)]]=0,0,INDEX(Ref!$K$2:$K$13,MATCH(Tradingbook_SBV[[#This Row],[Days (year)]],Ref!$I$2:$I$13,1)))</f>
        <v>3Y</v>
      </c>
      <c r="DS394" s="32" t="str">
        <f>VLOOKUP(Tradingbook_SBV[[#This Row],[Security Name]],Ref!X:Z,3,0)</f>
        <v>TPCP</v>
      </c>
      <c r="DT394" s="32" t="str">
        <f>VLOOKUP(Tradingbook_SBV[[#This Row],[Security Name]],Ref!X:Y,2,0)</f>
        <v>KBNN</v>
      </c>
      <c r="DU394" s="71">
        <f>IF((Tradingbook_SBV[[#This Row],[Mat. Date]]-RPT)&lt;=0,0,Tradingbook_SBV[[#This Row],[QUANTITY]])</f>
        <v>0</v>
      </c>
      <c r="DV394" s="71">
        <f>IF(Tradingbook_SBV[[#This Row],[Quantity_edited]]=0,0,Tradingbook_SBV[[#This Row],[DURATION]])</f>
        <v>0</v>
      </c>
      <c r="DW394" s="71">
        <f>IF(Tradingbook_SBV[[#This Row],[Quantity_edited]]=0,0,Tradingbook_SBV[[#This Row],[Mod Dur]])</f>
        <v>0</v>
      </c>
      <c r="DX394" s="71">
        <f>IF(Tradingbook_SBV[[#This Row],[Quantity_edited]]=0,0,Tradingbook_SBV[[#This Row],[Cnvx.]])</f>
        <v>0</v>
      </c>
      <c r="DY394" s="71">
        <f>(Tradingbook_SBV[[#This Row],[MARKET_VALUE]]+Tradingbook_SBV[[#This Row],[Accr Int]]*Tradingbook_SBV[[#This Row],[Quantity_edited]])*(-Tradingbook_SBV[[#This Row],[Modified Duration]]*0.0001+0.5*Tradingbook_SBV[[#This Row],[Conv]]*(0.0001^2))</f>
        <v>0</v>
      </c>
      <c r="DZ394" s="71">
        <f>(Tradingbook_SBV[[#This Row],[MARKET_VALUE]]+Tradingbook_SBV[[#This Row],[Accr Int]]*Tradingbook_SBV[[#This Row],[Quantity_edited]])*(-Tradingbook_SBV[[#This Row],[Modified Duration]]*0.01+0.5*Tradingbook_SBV[[#This Row],[Conv]]*(0.01^2))</f>
        <v>0</v>
      </c>
    </row>
    <row r="395" spans="2:130" x14ac:dyDescent="0.3">
      <c r="B395" t="s">
        <v>166</v>
      </c>
      <c r="C395" t="s">
        <v>3299</v>
      </c>
      <c r="D395" t="s">
        <v>2730</v>
      </c>
      <c r="E395" t="s">
        <v>169</v>
      </c>
      <c r="F395" s="502">
        <v>46898</v>
      </c>
      <c r="G395" t="s">
        <v>3322</v>
      </c>
      <c r="H395">
        <v>97958</v>
      </c>
      <c r="I395">
        <v>97958</v>
      </c>
      <c r="J395" s="38">
        <v>0</v>
      </c>
      <c r="K395">
        <v>0</v>
      </c>
      <c r="L395">
        <v>0</v>
      </c>
      <c r="M395" s="38">
        <v>0</v>
      </c>
      <c r="N395">
        <v>2.4</v>
      </c>
      <c r="O395">
        <v>559</v>
      </c>
      <c r="P395" s="37">
        <v>0</v>
      </c>
      <c r="Q395" s="37">
        <v>0</v>
      </c>
      <c r="R395" s="37">
        <v>-3635566.4583330154</v>
      </c>
      <c r="S395">
        <v>3.6089515990000001</v>
      </c>
      <c r="T395" s="70">
        <v>1.6826882366683</v>
      </c>
      <c r="U395">
        <v>1.74341564</v>
      </c>
      <c r="V395">
        <v>4.4770770598818004</v>
      </c>
      <c r="W395">
        <v>0</v>
      </c>
      <c r="X395" s="38">
        <v>0</v>
      </c>
      <c r="Y395">
        <v>0</v>
      </c>
      <c r="Z395" s="70">
        <v>-500000</v>
      </c>
      <c r="AA395" s="70">
        <v>0</v>
      </c>
      <c r="AB395" s="70">
        <v>-500000</v>
      </c>
      <c r="AC395" s="70">
        <v>-500000</v>
      </c>
      <c r="AD395" s="70">
        <v>-500000</v>
      </c>
      <c r="AE395" s="70">
        <v>-500000</v>
      </c>
      <c r="AF395">
        <v>0</v>
      </c>
      <c r="AG395" s="72">
        <f>Tradingbook_MSB[[#This Row],[Mat. Date]]-RPT</f>
        <v>646</v>
      </c>
      <c r="AH395" s="71">
        <f>IF(Tradingbook_MSB[[#This Row],[Days]]&lt;=0,0,YEARFRAC(RPT,Tradingbook_MSB[[#This Row],[Mat. Date]],3))</f>
        <v>1.7698630136986302</v>
      </c>
      <c r="AI395" s="71" t="str">
        <f>IF(Tradingbook_MSB[[#This Row],[Days (year)]]=0,0,INDEX(Ref!$K$2:$K$13,MATCH(Tradingbook_MSB[[#This Row],[Days (year)]],Ref!$I$2:$I$13,1)))</f>
        <v>2Y</v>
      </c>
      <c r="AJ395" s="120" t="str">
        <f>VLOOKUP(Tradingbook_MSB[[#This Row],[Security Name]],Ref!X:Z,3,0)</f>
        <v>TPCP</v>
      </c>
      <c r="AK395" s="120" t="str">
        <f>VLOOKUP(Tradingbook_MSB[[#This Row],[Security Name]],Ref!X:Y,2,0)</f>
        <v>KBNN</v>
      </c>
      <c r="AL395" s="71">
        <f>IF((Tradingbook_MSB[[#This Row],[Mat. Date]]-RPT)&lt;=0,0,Tradingbook_MSB[[#This Row],[QUANTITY]])</f>
        <v>0</v>
      </c>
      <c r="AM395" s="71">
        <f>IF(Tradingbook_MSB[[#This Row],[Quantity_edited]]=0,0,Tradingbook_MSB[[#This Row],[DURATION]])</f>
        <v>0</v>
      </c>
      <c r="AN395" s="71">
        <f>IF(Tradingbook_MSB[[#This Row],[Quantity_edited]]=0,0,Tradingbook_MSB[[#This Row],[Mod Dur]])</f>
        <v>0</v>
      </c>
      <c r="AO395" s="71">
        <f>IF(Tradingbook_MSB[[#This Row],[Quantity_edited]]=0,0,Tradingbook_MSB[[#This Row],[Cnvx.]])</f>
        <v>0</v>
      </c>
      <c r="AP395" s="71">
        <f>(Tradingbook_MSB[[#This Row],[MARKET_VALUE]]+Tradingbook_MSB[[#This Row],[Accr Int]]*Tradingbook_MSB[[#This Row],[Quantity_edited]])*(-Tradingbook_MSB[[#This Row],[Modified Duration]]*0.0001+0.5*Tradingbook_MSB[[#This Row],[Conv]]*(0.0001^2))</f>
        <v>0</v>
      </c>
      <c r="AQ395" s="72">
        <f>(Tradingbook_MSB[[#This Row],[MARKET_VALUE]]+Tradingbook_MSB[[#This Row],[Accr Int]]*Tradingbook_MSB[[#This Row],[Quantity_edited]])*(-Tradingbook_MSB[[#This Row],[Modified Duration]]*0.01+0.5*Tradingbook_MSB[[#This Row],[Conv]]*(0.01^2))</f>
        <v>0</v>
      </c>
      <c r="CL395" t="s">
        <v>166</v>
      </c>
      <c r="CM395" t="s">
        <v>3300</v>
      </c>
      <c r="CN395" t="s">
        <v>602</v>
      </c>
      <c r="CO395" t="s">
        <v>169</v>
      </c>
      <c r="CP395">
        <v>47442</v>
      </c>
      <c r="CQ395" t="s">
        <v>3322</v>
      </c>
      <c r="CR395" t="s">
        <v>4230</v>
      </c>
      <c r="CS395" t="s">
        <v>4231</v>
      </c>
      <c r="CT395">
        <v>0</v>
      </c>
      <c r="CU395">
        <v>0</v>
      </c>
      <c r="CV395">
        <v>0</v>
      </c>
      <c r="CW395">
        <v>0</v>
      </c>
      <c r="CX395">
        <v>4.4000000000000004</v>
      </c>
      <c r="CY395">
        <v>3267</v>
      </c>
      <c r="CZ395">
        <v>0</v>
      </c>
      <c r="DA395">
        <v>0</v>
      </c>
      <c r="DB395">
        <v>-469527270.20832825</v>
      </c>
      <c r="DC395">
        <v>4.2716320430000003</v>
      </c>
      <c r="DD395">
        <v>3</v>
      </c>
      <c r="DE395">
        <v>3</v>
      </c>
      <c r="DF395">
        <v>12</v>
      </c>
      <c r="DG395">
        <v>0</v>
      </c>
      <c r="DH395">
        <v>0</v>
      </c>
      <c r="DI395">
        <v>0</v>
      </c>
      <c r="DJ395">
        <v>-3049500000</v>
      </c>
      <c r="DK395">
        <v>0</v>
      </c>
      <c r="DL395">
        <v>-3049500000</v>
      </c>
      <c r="DM395">
        <v>-3049500000</v>
      </c>
      <c r="DN395">
        <v>-3049500000</v>
      </c>
      <c r="DO395">
        <v>-3049500000</v>
      </c>
      <c r="DP395" s="32">
        <f>Tradingbook_SBV[[#This Row],[Mat. Date]]-RPT</f>
        <v>1190</v>
      </c>
      <c r="DQ395" s="32">
        <f>IF(Tradingbook_SBV[[#This Row],[Days]]&lt;=0,0,YEARFRAC(RPT,Tradingbook_SBV[[#This Row],[Mat. Date]],3))</f>
        <v>3.2602739726027399</v>
      </c>
      <c r="DR395" s="32" t="str">
        <f>IF(Tradingbook_SBV[[#This Row],[Days (year)]]=0,0,INDEX(Ref!$K$2:$K$13,MATCH(Tradingbook_SBV[[#This Row],[Days (year)]],Ref!$I$2:$I$13,1)))</f>
        <v>3Y</v>
      </c>
      <c r="DS395" s="32" t="str">
        <f>VLOOKUP(Tradingbook_SBV[[#This Row],[Security Name]],Ref!X:Z,3,0)</f>
        <v>TPCPBL</v>
      </c>
      <c r="DT395" s="32" t="str">
        <f>VLOOKUP(Tradingbook_SBV[[#This Row],[Security Name]],Ref!X:Y,2,0)</f>
        <v>VDB</v>
      </c>
      <c r="DU395" s="71">
        <f>IF((Tradingbook_SBV[[#This Row],[Mat. Date]]-RPT)&lt;=0,0,Tradingbook_SBV[[#This Row],[QUANTITY]])</f>
        <v>0</v>
      </c>
      <c r="DV395" s="71">
        <f>IF(Tradingbook_SBV[[#This Row],[Quantity_edited]]=0,0,Tradingbook_SBV[[#This Row],[DURATION]])</f>
        <v>0</v>
      </c>
      <c r="DW395" s="71">
        <f>IF(Tradingbook_SBV[[#This Row],[Quantity_edited]]=0,0,Tradingbook_SBV[[#This Row],[Mod Dur]])</f>
        <v>0</v>
      </c>
      <c r="DX395" s="71">
        <f>IF(Tradingbook_SBV[[#This Row],[Quantity_edited]]=0,0,Tradingbook_SBV[[#This Row],[Cnvx.]])</f>
        <v>0</v>
      </c>
      <c r="DY395" s="71">
        <f>(Tradingbook_SBV[[#This Row],[MARKET_VALUE]]+Tradingbook_SBV[[#This Row],[Accr Int]]*Tradingbook_SBV[[#This Row],[Quantity_edited]])*(-Tradingbook_SBV[[#This Row],[Modified Duration]]*0.0001+0.5*Tradingbook_SBV[[#This Row],[Conv]]*(0.0001^2))</f>
        <v>0</v>
      </c>
      <c r="DZ395" s="71">
        <f>(Tradingbook_SBV[[#This Row],[MARKET_VALUE]]+Tradingbook_SBV[[#This Row],[Accr Int]]*Tradingbook_SBV[[#This Row],[Quantity_edited]])*(-Tradingbook_SBV[[#This Row],[Modified Duration]]*0.01+0.5*Tradingbook_SBV[[#This Row],[Conv]]*(0.01^2))</f>
        <v>0</v>
      </c>
    </row>
    <row r="396" spans="2:130" x14ac:dyDescent="0.3">
      <c r="B396" t="s">
        <v>166</v>
      </c>
      <c r="C396" t="s">
        <v>3299</v>
      </c>
      <c r="D396" t="s">
        <v>582</v>
      </c>
      <c r="E396" t="s">
        <v>169</v>
      </c>
      <c r="F396" s="502">
        <v>46934</v>
      </c>
      <c r="G396" t="s">
        <v>3322</v>
      </c>
      <c r="H396">
        <v>109346</v>
      </c>
      <c r="I396">
        <v>109346</v>
      </c>
      <c r="J396" s="38">
        <v>0</v>
      </c>
      <c r="K396">
        <v>0</v>
      </c>
      <c r="L396">
        <v>0</v>
      </c>
      <c r="M396" s="38">
        <v>0</v>
      </c>
      <c r="N396">
        <v>8.9</v>
      </c>
      <c r="O396">
        <v>1195</v>
      </c>
      <c r="P396" s="37">
        <v>40050000000</v>
      </c>
      <c r="Q396" s="37">
        <v>47605226687.500153</v>
      </c>
      <c r="R396" s="37">
        <v>-11750653211.583382</v>
      </c>
      <c r="S396">
        <v>3.619217533</v>
      </c>
      <c r="T396" s="70">
        <v>1.7252405314667001</v>
      </c>
      <c r="U396">
        <v>1.7876807400000001</v>
      </c>
      <c r="V396">
        <v>4.7084732244819998</v>
      </c>
      <c r="W396">
        <v>0</v>
      </c>
      <c r="X396" s="38">
        <v>0</v>
      </c>
      <c r="Y396">
        <v>0</v>
      </c>
      <c r="Z396" s="70">
        <v>-9968900000.0009766</v>
      </c>
      <c r="AA396" s="70">
        <v>0</v>
      </c>
      <c r="AB396" s="70">
        <v>-9968900000.0009766</v>
      </c>
      <c r="AC396" s="70">
        <v>-9968900000.0009766</v>
      </c>
      <c r="AD396" s="70">
        <v>-9968900000.0009995</v>
      </c>
      <c r="AE396" s="70">
        <v>-9968900000.0009766</v>
      </c>
      <c r="AF396">
        <v>0</v>
      </c>
      <c r="AG396" s="72">
        <f>Tradingbook_MSB[[#This Row],[Mat. Date]]-RPT</f>
        <v>682</v>
      </c>
      <c r="AH396" s="71">
        <f>IF(Tradingbook_MSB[[#This Row],[Days]]&lt;=0,0,YEARFRAC(RPT,Tradingbook_MSB[[#This Row],[Mat. Date]],3))</f>
        <v>1.8684931506849316</v>
      </c>
      <c r="AI396" s="71" t="str">
        <f>IF(Tradingbook_MSB[[#This Row],[Days (year)]]=0,0,INDEX(Ref!$K$2:$K$13,MATCH(Tradingbook_MSB[[#This Row],[Days (year)]],Ref!$I$2:$I$13,1)))</f>
        <v>2Y</v>
      </c>
      <c r="AJ396" s="120" t="str">
        <f>VLOOKUP(Tradingbook_MSB[[#This Row],[Security Name]],Ref!X:Z,3,0)</f>
        <v>TPCP</v>
      </c>
      <c r="AK396" s="120" t="str">
        <f>VLOOKUP(Tradingbook_MSB[[#This Row],[Security Name]],Ref!X:Y,2,0)</f>
        <v>KBNN</v>
      </c>
      <c r="AL396" s="71">
        <f>IF((Tradingbook_MSB[[#This Row],[Mat. Date]]-RPT)&lt;=0,0,Tradingbook_MSB[[#This Row],[QUANTITY]])</f>
        <v>0</v>
      </c>
      <c r="AM396" s="71">
        <f>IF(Tradingbook_MSB[[#This Row],[Quantity_edited]]=0,0,Tradingbook_MSB[[#This Row],[DURATION]])</f>
        <v>0</v>
      </c>
      <c r="AN396" s="71">
        <f>IF(Tradingbook_MSB[[#This Row],[Quantity_edited]]=0,0,Tradingbook_MSB[[#This Row],[Mod Dur]])</f>
        <v>0</v>
      </c>
      <c r="AO396" s="71">
        <f>IF(Tradingbook_MSB[[#This Row],[Quantity_edited]]=0,0,Tradingbook_MSB[[#This Row],[Cnvx.]])</f>
        <v>0</v>
      </c>
      <c r="AP396" s="71">
        <f>(Tradingbook_MSB[[#This Row],[MARKET_VALUE]]+Tradingbook_MSB[[#This Row],[Accr Int]]*Tradingbook_MSB[[#This Row],[Quantity_edited]])*(-Tradingbook_MSB[[#This Row],[Modified Duration]]*0.0001+0.5*Tradingbook_MSB[[#This Row],[Conv]]*(0.0001^2))</f>
        <v>0</v>
      </c>
      <c r="AQ396" s="72">
        <f>(Tradingbook_MSB[[#This Row],[MARKET_VALUE]]+Tradingbook_MSB[[#This Row],[Accr Int]]*Tradingbook_MSB[[#This Row],[Quantity_edited]])*(-Tradingbook_MSB[[#This Row],[Modified Duration]]*0.01+0.5*Tradingbook_MSB[[#This Row],[Conv]]*(0.01^2))</f>
        <v>0</v>
      </c>
      <c r="CL396" t="s">
        <v>166</v>
      </c>
      <c r="CM396" t="s">
        <v>3300</v>
      </c>
      <c r="CN396" t="s">
        <v>604</v>
      </c>
      <c r="CO396" t="s">
        <v>169</v>
      </c>
      <c r="CP396">
        <v>47456</v>
      </c>
      <c r="CQ396" t="s">
        <v>3322</v>
      </c>
      <c r="CR396" t="s">
        <v>4232</v>
      </c>
      <c r="CS396" t="s">
        <v>4233</v>
      </c>
      <c r="CT396">
        <v>0</v>
      </c>
      <c r="CU396">
        <v>0</v>
      </c>
      <c r="CV396">
        <v>0</v>
      </c>
      <c r="CW396">
        <v>0</v>
      </c>
      <c r="CX396">
        <v>4.2</v>
      </c>
      <c r="CY396">
        <v>2957</v>
      </c>
      <c r="CZ396">
        <v>0</v>
      </c>
      <c r="DA396">
        <v>7.9999999999999996E-6</v>
      </c>
      <c r="DB396">
        <v>-909370141.66665649</v>
      </c>
      <c r="DC396">
        <v>4.2819000650000003</v>
      </c>
      <c r="DD396">
        <v>3</v>
      </c>
      <c r="DE396">
        <v>3</v>
      </c>
      <c r="DF396">
        <v>12</v>
      </c>
      <c r="DG396">
        <v>0</v>
      </c>
      <c r="DH396">
        <v>0</v>
      </c>
      <c r="DI396">
        <v>0</v>
      </c>
      <c r="DJ396">
        <v>-5947000000</v>
      </c>
      <c r="DK396">
        <v>0</v>
      </c>
      <c r="DL396">
        <v>-5947000000</v>
      </c>
      <c r="DM396">
        <v>-5947000000</v>
      </c>
      <c r="DN396">
        <v>-5947000000</v>
      </c>
      <c r="DO396">
        <v>-5947000000</v>
      </c>
      <c r="DP396" s="32">
        <f>Tradingbook_SBV[[#This Row],[Mat. Date]]-RPT</f>
        <v>1204</v>
      </c>
      <c r="DQ396" s="32">
        <f>IF(Tradingbook_SBV[[#This Row],[Days]]&lt;=0,0,YEARFRAC(RPT,Tradingbook_SBV[[#This Row],[Mat. Date]],3))</f>
        <v>3.2986301369863016</v>
      </c>
      <c r="DR396" s="32" t="str">
        <f>IF(Tradingbook_SBV[[#This Row],[Days (year)]]=0,0,INDEX(Ref!$K$2:$K$13,MATCH(Tradingbook_SBV[[#This Row],[Days (year)]],Ref!$I$2:$I$13,1)))</f>
        <v>3Y</v>
      </c>
      <c r="DS396" s="32" t="str">
        <f>VLOOKUP(Tradingbook_SBV[[#This Row],[Security Name]],Ref!X:Z,3,0)</f>
        <v>TPCPBL</v>
      </c>
      <c r="DT396" s="32" t="str">
        <f>VLOOKUP(Tradingbook_SBV[[#This Row],[Security Name]],Ref!X:Y,2,0)</f>
        <v>VDB</v>
      </c>
      <c r="DU396" s="71">
        <f>IF((Tradingbook_SBV[[#This Row],[Mat. Date]]-RPT)&lt;=0,0,Tradingbook_SBV[[#This Row],[QUANTITY]])</f>
        <v>0</v>
      </c>
      <c r="DV396" s="71">
        <f>IF(Tradingbook_SBV[[#This Row],[Quantity_edited]]=0,0,Tradingbook_SBV[[#This Row],[DURATION]])</f>
        <v>0</v>
      </c>
      <c r="DW396" s="71">
        <f>IF(Tradingbook_SBV[[#This Row],[Quantity_edited]]=0,0,Tradingbook_SBV[[#This Row],[Mod Dur]])</f>
        <v>0</v>
      </c>
      <c r="DX396" s="71">
        <f>IF(Tradingbook_SBV[[#This Row],[Quantity_edited]]=0,0,Tradingbook_SBV[[#This Row],[Cnvx.]])</f>
        <v>0</v>
      </c>
      <c r="DY396" s="71">
        <f>(Tradingbook_SBV[[#This Row],[MARKET_VALUE]]+Tradingbook_SBV[[#This Row],[Accr Int]]*Tradingbook_SBV[[#This Row],[Quantity_edited]])*(-Tradingbook_SBV[[#This Row],[Modified Duration]]*0.0001+0.5*Tradingbook_SBV[[#This Row],[Conv]]*(0.0001^2))</f>
        <v>0</v>
      </c>
      <c r="DZ396" s="71">
        <f>(Tradingbook_SBV[[#This Row],[MARKET_VALUE]]+Tradingbook_SBV[[#This Row],[Accr Int]]*Tradingbook_SBV[[#This Row],[Quantity_edited]])*(-Tradingbook_SBV[[#This Row],[Modified Duration]]*0.01+0.5*Tradingbook_SBV[[#This Row],[Conv]]*(0.01^2))</f>
        <v>0</v>
      </c>
    </row>
    <row r="397" spans="2:130" x14ac:dyDescent="0.3">
      <c r="B397" t="s">
        <v>166</v>
      </c>
      <c r="C397" t="s">
        <v>3299</v>
      </c>
      <c r="D397" t="s">
        <v>2769</v>
      </c>
      <c r="E397" t="s">
        <v>169</v>
      </c>
      <c r="F397" s="502">
        <v>46989</v>
      </c>
      <c r="G397" t="s">
        <v>3322</v>
      </c>
      <c r="H397">
        <v>96303</v>
      </c>
      <c r="I397">
        <v>96303</v>
      </c>
      <c r="J397" s="38">
        <v>0</v>
      </c>
      <c r="K397">
        <v>0</v>
      </c>
      <c r="L397">
        <v>0</v>
      </c>
      <c r="M397" s="38">
        <v>0</v>
      </c>
      <c r="N397">
        <v>1.7</v>
      </c>
      <c r="O397">
        <v>1672</v>
      </c>
      <c r="P397" s="37">
        <v>0</v>
      </c>
      <c r="Q397" s="37">
        <v>9.9999999999999995E-7</v>
      </c>
      <c r="R397" s="37">
        <v>-10902417.847215652</v>
      </c>
      <c r="S397">
        <v>3.6343052400000002</v>
      </c>
      <c r="T397" s="70">
        <v>1.8961124156025</v>
      </c>
      <c r="U397">
        <v>1.9650229299999999</v>
      </c>
      <c r="V397">
        <v>5.5025644331864996</v>
      </c>
      <c r="W397">
        <v>0</v>
      </c>
      <c r="X397" s="38">
        <v>0</v>
      </c>
      <c r="Y397">
        <v>0</v>
      </c>
      <c r="Z397" s="70">
        <v>0</v>
      </c>
      <c r="AA397" s="70">
        <v>0</v>
      </c>
      <c r="AB397" s="70">
        <v>0</v>
      </c>
      <c r="AC397" s="70">
        <v>0</v>
      </c>
      <c r="AD397" s="70">
        <v>0</v>
      </c>
      <c r="AE397" s="70">
        <v>0</v>
      </c>
      <c r="AF397">
        <v>0</v>
      </c>
      <c r="AG397" s="72">
        <f>Tradingbook_MSB[[#This Row],[Mat. Date]]-RPT</f>
        <v>737</v>
      </c>
      <c r="AH397" s="71">
        <f>IF(Tradingbook_MSB[[#This Row],[Days]]&lt;=0,0,YEARFRAC(RPT,Tradingbook_MSB[[#This Row],[Mat. Date]],3))</f>
        <v>2.0191780821917806</v>
      </c>
      <c r="AI397" s="71" t="str">
        <f>IF(Tradingbook_MSB[[#This Row],[Days (year)]]=0,0,INDEX(Ref!$K$2:$K$13,MATCH(Tradingbook_MSB[[#This Row],[Days (year)]],Ref!$I$2:$I$13,1)))</f>
        <v>2Y</v>
      </c>
      <c r="AJ397" s="120" t="str">
        <f>VLOOKUP(Tradingbook_MSB[[#This Row],[Security Name]],Ref!X:Z,3,0)</f>
        <v>TPCP</v>
      </c>
      <c r="AK397" s="120" t="str">
        <f>VLOOKUP(Tradingbook_MSB[[#This Row],[Security Name]],Ref!X:Y,2,0)</f>
        <v>KBNN</v>
      </c>
      <c r="AL397" s="71">
        <f>IF((Tradingbook_MSB[[#This Row],[Mat. Date]]-RPT)&lt;=0,0,Tradingbook_MSB[[#This Row],[QUANTITY]])</f>
        <v>0</v>
      </c>
      <c r="AM397" s="71">
        <f>IF(Tradingbook_MSB[[#This Row],[Quantity_edited]]=0,0,Tradingbook_MSB[[#This Row],[DURATION]])</f>
        <v>0</v>
      </c>
      <c r="AN397" s="71">
        <f>IF(Tradingbook_MSB[[#This Row],[Quantity_edited]]=0,0,Tradingbook_MSB[[#This Row],[Mod Dur]])</f>
        <v>0</v>
      </c>
      <c r="AO397" s="71">
        <f>IF(Tradingbook_MSB[[#This Row],[Quantity_edited]]=0,0,Tradingbook_MSB[[#This Row],[Cnvx.]])</f>
        <v>0</v>
      </c>
      <c r="AP397" s="71">
        <f>(Tradingbook_MSB[[#This Row],[MARKET_VALUE]]+Tradingbook_MSB[[#This Row],[Accr Int]]*Tradingbook_MSB[[#This Row],[Quantity_edited]])*(-Tradingbook_MSB[[#This Row],[Modified Duration]]*0.0001+0.5*Tradingbook_MSB[[#This Row],[Conv]]*(0.0001^2))</f>
        <v>0</v>
      </c>
      <c r="AQ397" s="72">
        <f>(Tradingbook_MSB[[#This Row],[MARKET_VALUE]]+Tradingbook_MSB[[#This Row],[Accr Int]]*Tradingbook_MSB[[#This Row],[Quantity_edited]])*(-Tradingbook_MSB[[#This Row],[Modified Duration]]*0.01+0.5*Tradingbook_MSB[[#This Row],[Conv]]*(0.01^2))</f>
        <v>0</v>
      </c>
      <c r="CL397" t="s">
        <v>166</v>
      </c>
      <c r="CM397" t="s">
        <v>3300</v>
      </c>
      <c r="CN397" t="s">
        <v>605</v>
      </c>
      <c r="CO397" t="s">
        <v>169</v>
      </c>
      <c r="CP397">
        <v>47457</v>
      </c>
      <c r="CQ397" t="s">
        <v>3322</v>
      </c>
      <c r="CR397" t="s">
        <v>4234</v>
      </c>
      <c r="CS397" t="s">
        <v>4235</v>
      </c>
      <c r="CT397">
        <v>0</v>
      </c>
      <c r="CU397">
        <v>0</v>
      </c>
      <c r="CV397">
        <v>0</v>
      </c>
      <c r="CW397">
        <v>0</v>
      </c>
      <c r="CX397">
        <v>3.5</v>
      </c>
      <c r="CY397">
        <v>2455</v>
      </c>
      <c r="CZ397">
        <v>0</v>
      </c>
      <c r="DA397">
        <v>0</v>
      </c>
      <c r="DB397">
        <v>84198460.972229004</v>
      </c>
      <c r="DC397">
        <v>3.7825897720000001</v>
      </c>
      <c r="DD397">
        <v>3</v>
      </c>
      <c r="DE397">
        <v>3</v>
      </c>
      <c r="DF397">
        <v>12</v>
      </c>
      <c r="DG397">
        <v>0</v>
      </c>
      <c r="DH397">
        <v>0</v>
      </c>
      <c r="DI397">
        <v>0</v>
      </c>
      <c r="DJ397">
        <v>789000000</v>
      </c>
      <c r="DK397">
        <v>0</v>
      </c>
      <c r="DL397">
        <v>789000000</v>
      </c>
      <c r="DM397">
        <v>789000000</v>
      </c>
      <c r="DN397">
        <v>789000000</v>
      </c>
      <c r="DO397">
        <v>789000000</v>
      </c>
      <c r="DP397" s="32">
        <f>Tradingbook_SBV[[#This Row],[Mat. Date]]-RPT</f>
        <v>1205</v>
      </c>
      <c r="DQ397" s="32">
        <f>IF(Tradingbook_SBV[[#This Row],[Days]]&lt;=0,0,YEARFRAC(RPT,Tradingbook_SBV[[#This Row],[Mat. Date]],3))</f>
        <v>3.3013698630136985</v>
      </c>
      <c r="DR397" s="32" t="str">
        <f>IF(Tradingbook_SBV[[#This Row],[Days (year)]]=0,0,INDEX(Ref!$K$2:$K$13,MATCH(Tradingbook_SBV[[#This Row],[Days (year)]],Ref!$I$2:$I$13,1)))</f>
        <v>3Y</v>
      </c>
      <c r="DS397" s="32" t="str">
        <f>VLOOKUP(Tradingbook_SBV[[#This Row],[Security Name]],Ref!X:Z,3,0)</f>
        <v>TPCP</v>
      </c>
      <c r="DT397" s="32" t="str">
        <f>VLOOKUP(Tradingbook_SBV[[#This Row],[Security Name]],Ref!X:Y,2,0)</f>
        <v>KBNN</v>
      </c>
      <c r="DU397" s="71">
        <f>IF((Tradingbook_SBV[[#This Row],[Mat. Date]]-RPT)&lt;=0,0,Tradingbook_SBV[[#This Row],[QUANTITY]])</f>
        <v>0</v>
      </c>
      <c r="DV397" s="71">
        <f>IF(Tradingbook_SBV[[#This Row],[Quantity_edited]]=0,0,Tradingbook_SBV[[#This Row],[DURATION]])</f>
        <v>0</v>
      </c>
      <c r="DW397" s="71">
        <f>IF(Tradingbook_SBV[[#This Row],[Quantity_edited]]=0,0,Tradingbook_SBV[[#This Row],[Mod Dur]])</f>
        <v>0</v>
      </c>
      <c r="DX397" s="71">
        <f>IF(Tradingbook_SBV[[#This Row],[Quantity_edited]]=0,0,Tradingbook_SBV[[#This Row],[Cnvx.]])</f>
        <v>0</v>
      </c>
      <c r="DY397" s="71">
        <f>(Tradingbook_SBV[[#This Row],[MARKET_VALUE]]+Tradingbook_SBV[[#This Row],[Accr Int]]*Tradingbook_SBV[[#This Row],[Quantity_edited]])*(-Tradingbook_SBV[[#This Row],[Modified Duration]]*0.0001+0.5*Tradingbook_SBV[[#This Row],[Conv]]*(0.0001^2))</f>
        <v>0</v>
      </c>
      <c r="DZ397" s="71">
        <f>(Tradingbook_SBV[[#This Row],[MARKET_VALUE]]+Tradingbook_SBV[[#This Row],[Accr Int]]*Tradingbook_SBV[[#This Row],[Quantity_edited]])*(-Tradingbook_SBV[[#This Row],[Modified Duration]]*0.01+0.5*Tradingbook_SBV[[#This Row],[Conv]]*(0.01^2))</f>
        <v>0</v>
      </c>
    </row>
    <row r="398" spans="2:130" x14ac:dyDescent="0.3">
      <c r="B398" t="s">
        <v>166</v>
      </c>
      <c r="C398" t="s">
        <v>3299</v>
      </c>
      <c r="D398" t="s">
        <v>584</v>
      </c>
      <c r="E398" t="s">
        <v>169</v>
      </c>
      <c r="F398" s="502">
        <v>47005</v>
      </c>
      <c r="G398" t="s">
        <v>3322</v>
      </c>
      <c r="H398">
        <v>95048</v>
      </c>
      <c r="I398">
        <v>95048</v>
      </c>
      <c r="J398" s="38">
        <v>0</v>
      </c>
      <c r="K398">
        <v>0</v>
      </c>
      <c r="L398">
        <v>0</v>
      </c>
      <c r="M398" s="38">
        <v>0</v>
      </c>
      <c r="N398">
        <v>1.1000000000000001</v>
      </c>
      <c r="O398">
        <v>1034</v>
      </c>
      <c r="P398" s="37">
        <v>0</v>
      </c>
      <c r="Q398" s="37">
        <v>0</v>
      </c>
      <c r="R398" s="37">
        <v>-109993720.97219849</v>
      </c>
      <c r="S398">
        <v>3.6374581969999999</v>
      </c>
      <c r="T398" s="70">
        <v>1.9552806338138</v>
      </c>
      <c r="U398">
        <v>2.0264031500000002</v>
      </c>
      <c r="V398">
        <v>5.7615157432831996</v>
      </c>
      <c r="W398">
        <v>0</v>
      </c>
      <c r="X398" s="38">
        <v>0</v>
      </c>
      <c r="Y398">
        <v>0</v>
      </c>
      <c r="Z398" s="70">
        <v>-269000000</v>
      </c>
      <c r="AA398" s="70">
        <v>0</v>
      </c>
      <c r="AB398" s="70">
        <v>-269000000</v>
      </c>
      <c r="AC398" s="70">
        <v>-269000000</v>
      </c>
      <c r="AD398" s="70">
        <v>-269000000</v>
      </c>
      <c r="AE398" s="70">
        <v>-269000000</v>
      </c>
      <c r="AF398">
        <v>0</v>
      </c>
      <c r="AG398" s="72">
        <f>Tradingbook_MSB[[#This Row],[Mat. Date]]-RPT</f>
        <v>753</v>
      </c>
      <c r="AH398" s="71">
        <f>IF(Tradingbook_MSB[[#This Row],[Days]]&lt;=0,0,YEARFRAC(RPT,Tradingbook_MSB[[#This Row],[Mat. Date]],3))</f>
        <v>2.0630136986301371</v>
      </c>
      <c r="AI398" s="71" t="str">
        <f>IF(Tradingbook_MSB[[#This Row],[Days (year)]]=0,0,INDEX(Ref!$K$2:$K$13,MATCH(Tradingbook_MSB[[#This Row],[Days (year)]],Ref!$I$2:$I$13,1)))</f>
        <v>2Y</v>
      </c>
      <c r="AJ398" s="120" t="str">
        <f>VLOOKUP(Tradingbook_MSB[[#This Row],[Security Name]],Ref!X:Z,3,0)</f>
        <v>TPCP</v>
      </c>
      <c r="AK398" s="120" t="str">
        <f>VLOOKUP(Tradingbook_MSB[[#This Row],[Security Name]],Ref!X:Y,2,0)</f>
        <v>KBNN</v>
      </c>
      <c r="AL398" s="71">
        <f>IF((Tradingbook_MSB[[#This Row],[Mat. Date]]-RPT)&lt;=0,0,Tradingbook_MSB[[#This Row],[QUANTITY]])</f>
        <v>0</v>
      </c>
      <c r="AM398" s="71">
        <f>IF(Tradingbook_MSB[[#This Row],[Quantity_edited]]=0,0,Tradingbook_MSB[[#This Row],[DURATION]])</f>
        <v>0</v>
      </c>
      <c r="AN398" s="71">
        <f>IF(Tradingbook_MSB[[#This Row],[Quantity_edited]]=0,0,Tradingbook_MSB[[#This Row],[Mod Dur]])</f>
        <v>0</v>
      </c>
      <c r="AO398" s="71">
        <f>IF(Tradingbook_MSB[[#This Row],[Quantity_edited]]=0,0,Tradingbook_MSB[[#This Row],[Cnvx.]])</f>
        <v>0</v>
      </c>
      <c r="AP398" s="71">
        <f>(Tradingbook_MSB[[#This Row],[MARKET_VALUE]]+Tradingbook_MSB[[#This Row],[Accr Int]]*Tradingbook_MSB[[#This Row],[Quantity_edited]])*(-Tradingbook_MSB[[#This Row],[Modified Duration]]*0.0001+0.5*Tradingbook_MSB[[#This Row],[Conv]]*(0.0001^2))</f>
        <v>0</v>
      </c>
      <c r="AQ398" s="72">
        <f>(Tradingbook_MSB[[#This Row],[MARKET_VALUE]]+Tradingbook_MSB[[#This Row],[Accr Int]]*Tradingbook_MSB[[#This Row],[Quantity_edited]])*(-Tradingbook_MSB[[#This Row],[Modified Duration]]*0.01+0.5*Tradingbook_MSB[[#This Row],[Conv]]*(0.01^2))</f>
        <v>0</v>
      </c>
      <c r="CL398" t="s">
        <v>166</v>
      </c>
      <c r="CM398" t="s">
        <v>3300</v>
      </c>
      <c r="CN398" t="s">
        <v>606</v>
      </c>
      <c r="CO398" t="s">
        <v>169</v>
      </c>
      <c r="CP398">
        <v>47492</v>
      </c>
      <c r="CQ398" t="s">
        <v>3322</v>
      </c>
      <c r="CR398" t="s">
        <v>4236</v>
      </c>
      <c r="CS398" t="s">
        <v>4237</v>
      </c>
      <c r="CT398">
        <v>0</v>
      </c>
      <c r="CU398">
        <v>0</v>
      </c>
      <c r="CV398">
        <v>0</v>
      </c>
      <c r="CW398">
        <v>0</v>
      </c>
      <c r="CX398">
        <v>3.1</v>
      </c>
      <c r="CY398">
        <v>1877</v>
      </c>
      <c r="CZ398">
        <v>4650000000</v>
      </c>
      <c r="DA398">
        <v>5372736152.7777367</v>
      </c>
      <c r="DB398">
        <v>-4917887109.6525345</v>
      </c>
      <c r="DC398">
        <v>3.8082994710000002</v>
      </c>
      <c r="DD398" s="806">
        <v>3</v>
      </c>
      <c r="DE398" s="806">
        <v>3</v>
      </c>
      <c r="DF398">
        <v>13</v>
      </c>
      <c r="DG398">
        <v>0</v>
      </c>
      <c r="DH398">
        <v>0</v>
      </c>
      <c r="DI398">
        <v>0</v>
      </c>
      <c r="DJ398">
        <v>-19916500000</v>
      </c>
      <c r="DK398">
        <v>0</v>
      </c>
      <c r="DL398">
        <v>-19916500000</v>
      </c>
      <c r="DM398">
        <v>-19916500000</v>
      </c>
      <c r="DN398">
        <v>-19916500000</v>
      </c>
      <c r="DO398">
        <v>-19916500000</v>
      </c>
      <c r="DP398" s="32">
        <f>Tradingbook_SBV[[#This Row],[Mat. Date]]-RPT</f>
        <v>1240</v>
      </c>
      <c r="DQ398" s="32">
        <f>IF(Tradingbook_SBV[[#This Row],[Days]]&lt;=0,0,YEARFRAC(RPT,Tradingbook_SBV[[#This Row],[Mat. Date]],3))</f>
        <v>3.3972602739726026</v>
      </c>
      <c r="DR398" s="32" t="str">
        <f>IF(Tradingbook_SBV[[#This Row],[Days (year)]]=0,0,INDEX(Ref!$K$2:$K$13,MATCH(Tradingbook_SBV[[#This Row],[Days (year)]],Ref!$I$2:$I$13,1)))</f>
        <v>3Y</v>
      </c>
      <c r="DS398" s="32" t="str">
        <f>VLOOKUP(Tradingbook_SBV[[#This Row],[Security Name]],Ref!X:Z,3,0)</f>
        <v>TPCP</v>
      </c>
      <c r="DT398" s="32" t="str">
        <f>VLOOKUP(Tradingbook_SBV[[#This Row],[Security Name]],Ref!X:Y,2,0)</f>
        <v>KBNN</v>
      </c>
      <c r="DU398" s="71">
        <f>IF((Tradingbook_SBV[[#This Row],[Mat. Date]]-RPT)&lt;=0,0,Tradingbook_SBV[[#This Row],[QUANTITY]])</f>
        <v>0</v>
      </c>
      <c r="DV398" s="71">
        <f>IF(Tradingbook_SBV[[#This Row],[Quantity_edited]]=0,0,Tradingbook_SBV[[#This Row],[DURATION]])</f>
        <v>0</v>
      </c>
      <c r="DW398" s="71">
        <f>IF(Tradingbook_SBV[[#This Row],[Quantity_edited]]=0,0,Tradingbook_SBV[[#This Row],[Mod Dur]])</f>
        <v>0</v>
      </c>
      <c r="DX398" s="71">
        <f>IF(Tradingbook_SBV[[#This Row],[Quantity_edited]]=0,0,Tradingbook_SBV[[#This Row],[Cnvx.]])</f>
        <v>0</v>
      </c>
      <c r="DY398" s="71">
        <f>(Tradingbook_SBV[[#This Row],[MARKET_VALUE]]+Tradingbook_SBV[[#This Row],[Accr Int]]*Tradingbook_SBV[[#This Row],[Quantity_edited]])*(-Tradingbook_SBV[[#This Row],[Modified Duration]]*0.0001+0.5*Tradingbook_SBV[[#This Row],[Conv]]*(0.0001^2))</f>
        <v>0</v>
      </c>
      <c r="DZ398" s="71">
        <f>(Tradingbook_SBV[[#This Row],[MARKET_VALUE]]+Tradingbook_SBV[[#This Row],[Accr Int]]*Tradingbook_SBV[[#This Row],[Quantity_edited]])*(-Tradingbook_SBV[[#This Row],[Modified Duration]]*0.01+0.5*Tradingbook_SBV[[#This Row],[Conv]]*(0.01^2))</f>
        <v>0</v>
      </c>
    </row>
    <row r="399" spans="2:130" x14ac:dyDescent="0.3">
      <c r="B399" t="s">
        <v>166</v>
      </c>
      <c r="C399" t="s">
        <v>3299</v>
      </c>
      <c r="D399" t="s">
        <v>1199</v>
      </c>
      <c r="E399" t="s">
        <v>169</v>
      </c>
      <c r="F399" s="502">
        <v>47016</v>
      </c>
      <c r="G399" t="s">
        <v>3322</v>
      </c>
      <c r="H399">
        <v>102091</v>
      </c>
      <c r="I399">
        <v>102091</v>
      </c>
      <c r="J399" s="38">
        <v>0</v>
      </c>
      <c r="K399">
        <v>0</v>
      </c>
      <c r="L399">
        <v>0</v>
      </c>
      <c r="M399" s="38">
        <v>0</v>
      </c>
      <c r="N399">
        <v>4.7</v>
      </c>
      <c r="O399">
        <v>4275</v>
      </c>
      <c r="P399" s="37">
        <v>0</v>
      </c>
      <c r="Q399" s="37">
        <v>0</v>
      </c>
      <c r="R399" s="37">
        <v>-11016377.916668892</v>
      </c>
      <c r="S399">
        <v>3.6396227890000001</v>
      </c>
      <c r="T399" s="70">
        <v>1.8909990903141001</v>
      </c>
      <c r="U399">
        <v>1.9598243200000001</v>
      </c>
      <c r="V399">
        <v>5.5881785779528004</v>
      </c>
      <c r="W399">
        <v>0</v>
      </c>
      <c r="X399" s="38">
        <v>0</v>
      </c>
      <c r="Y399">
        <v>0</v>
      </c>
      <c r="Z399" s="70">
        <v>-113500000</v>
      </c>
      <c r="AA399" s="70">
        <v>0</v>
      </c>
      <c r="AB399" s="70">
        <v>-113500000</v>
      </c>
      <c r="AC399" s="70">
        <v>-113500000</v>
      </c>
      <c r="AD399" s="70">
        <v>-113500000</v>
      </c>
      <c r="AE399" s="70">
        <v>-113500000</v>
      </c>
      <c r="AF399">
        <v>0</v>
      </c>
      <c r="AG399" s="72">
        <f>Tradingbook_MSB[[#This Row],[Mat. Date]]-RPT</f>
        <v>764</v>
      </c>
      <c r="AH399" s="71">
        <f>IF(Tradingbook_MSB[[#This Row],[Days]]&lt;=0,0,YEARFRAC(RPT,Tradingbook_MSB[[#This Row],[Mat. Date]],3))</f>
        <v>2.0931506849315067</v>
      </c>
      <c r="AI399" s="71" t="str">
        <f>IF(Tradingbook_MSB[[#This Row],[Days (year)]]=0,0,INDEX(Ref!$K$2:$K$13,MATCH(Tradingbook_MSB[[#This Row],[Days (year)]],Ref!$I$2:$I$13,1)))</f>
        <v>2Y</v>
      </c>
      <c r="AJ399" s="120" t="str">
        <f>VLOOKUP(Tradingbook_MSB[[#This Row],[Security Name]],Ref!X:Z,3,0)</f>
        <v>TPCP</v>
      </c>
      <c r="AK399" s="120" t="str">
        <f>VLOOKUP(Tradingbook_MSB[[#This Row],[Security Name]],Ref!X:Y,2,0)</f>
        <v>KBNN</v>
      </c>
      <c r="AL399" s="71">
        <f>IF((Tradingbook_MSB[[#This Row],[Mat. Date]]-RPT)&lt;=0,0,Tradingbook_MSB[[#This Row],[QUANTITY]])</f>
        <v>0</v>
      </c>
      <c r="AM399" s="71">
        <f>IF(Tradingbook_MSB[[#This Row],[Quantity_edited]]=0,0,Tradingbook_MSB[[#This Row],[DURATION]])</f>
        <v>0</v>
      </c>
      <c r="AN399" s="71">
        <f>IF(Tradingbook_MSB[[#This Row],[Quantity_edited]]=0,0,Tradingbook_MSB[[#This Row],[Mod Dur]])</f>
        <v>0</v>
      </c>
      <c r="AO399" s="71">
        <f>IF(Tradingbook_MSB[[#This Row],[Quantity_edited]]=0,0,Tradingbook_MSB[[#This Row],[Cnvx.]])</f>
        <v>0</v>
      </c>
      <c r="AP399" s="71">
        <f>(Tradingbook_MSB[[#This Row],[MARKET_VALUE]]+Tradingbook_MSB[[#This Row],[Accr Int]]*Tradingbook_MSB[[#This Row],[Quantity_edited]])*(-Tradingbook_MSB[[#This Row],[Modified Duration]]*0.0001+0.5*Tradingbook_MSB[[#This Row],[Conv]]*(0.0001^2))</f>
        <v>0</v>
      </c>
      <c r="AQ399" s="72">
        <f>(Tradingbook_MSB[[#This Row],[MARKET_VALUE]]+Tradingbook_MSB[[#This Row],[Accr Int]]*Tradingbook_MSB[[#This Row],[Quantity_edited]])*(-Tradingbook_MSB[[#This Row],[Modified Duration]]*0.01+0.5*Tradingbook_MSB[[#This Row],[Conv]]*(0.01^2))</f>
        <v>0</v>
      </c>
      <c r="CL399" t="s">
        <v>166</v>
      </c>
      <c r="CM399" t="s">
        <v>3300</v>
      </c>
      <c r="CN399" t="s">
        <v>607</v>
      </c>
      <c r="CO399" t="s">
        <v>169</v>
      </c>
      <c r="CP399">
        <v>47514</v>
      </c>
      <c r="CQ399" t="s">
        <v>3322</v>
      </c>
      <c r="CR399" t="s">
        <v>4238</v>
      </c>
      <c r="CS399" t="s">
        <v>4239</v>
      </c>
      <c r="CT399">
        <v>0</v>
      </c>
      <c r="CU399">
        <v>0</v>
      </c>
      <c r="CV399">
        <v>0</v>
      </c>
      <c r="CW399">
        <v>0</v>
      </c>
      <c r="CX399">
        <v>7.6</v>
      </c>
      <c r="CY399">
        <v>4144</v>
      </c>
      <c r="CZ399">
        <v>0</v>
      </c>
      <c r="DA399">
        <v>-7.9999999999999996E-6</v>
      </c>
      <c r="DB399">
        <v>-4745040141.9860954</v>
      </c>
      <c r="DC399">
        <v>3.8243177140000002</v>
      </c>
      <c r="DD399" s="806">
        <v>3</v>
      </c>
      <c r="DE399" s="806">
        <v>3</v>
      </c>
      <c r="DF399">
        <v>12</v>
      </c>
      <c r="DG399">
        <v>0</v>
      </c>
      <c r="DH399">
        <v>0</v>
      </c>
      <c r="DI399">
        <v>0</v>
      </c>
      <c r="DJ399">
        <v>-10823200000</v>
      </c>
      <c r="DK399">
        <v>0</v>
      </c>
      <c r="DL399">
        <v>-10823200000</v>
      </c>
      <c r="DM399">
        <v>-10823200000</v>
      </c>
      <c r="DN399">
        <v>-10823200000</v>
      </c>
      <c r="DO399">
        <v>-10823200000</v>
      </c>
      <c r="DP399" s="32">
        <f>Tradingbook_SBV[[#This Row],[Mat. Date]]-RPT</f>
        <v>1262</v>
      </c>
      <c r="DQ399" s="32">
        <f>IF(Tradingbook_SBV[[#This Row],[Days]]&lt;=0,0,YEARFRAC(RPT,Tradingbook_SBV[[#This Row],[Mat. Date]],3))</f>
        <v>3.4575342465753423</v>
      </c>
      <c r="DR399" s="32" t="str">
        <f>IF(Tradingbook_SBV[[#This Row],[Days (year)]]=0,0,INDEX(Ref!$K$2:$K$13,MATCH(Tradingbook_SBV[[#This Row],[Days (year)]],Ref!$I$2:$I$13,1)))</f>
        <v>3Y</v>
      </c>
      <c r="DS399" s="32" t="str">
        <f>VLOOKUP(Tradingbook_SBV[[#This Row],[Security Name]],Ref!X:Z,3,0)</f>
        <v>TPCP</v>
      </c>
      <c r="DT399" s="32" t="str">
        <f>VLOOKUP(Tradingbook_SBV[[#This Row],[Security Name]],Ref!X:Y,2,0)</f>
        <v>KBNN</v>
      </c>
      <c r="DU399" s="71">
        <f>IF((Tradingbook_SBV[[#This Row],[Mat. Date]]-RPT)&lt;=0,0,Tradingbook_SBV[[#This Row],[QUANTITY]])</f>
        <v>0</v>
      </c>
      <c r="DV399" s="71">
        <f>IF(Tradingbook_SBV[[#This Row],[Quantity_edited]]=0,0,Tradingbook_SBV[[#This Row],[DURATION]])</f>
        <v>0</v>
      </c>
      <c r="DW399" s="71">
        <f>IF(Tradingbook_SBV[[#This Row],[Quantity_edited]]=0,0,Tradingbook_SBV[[#This Row],[Mod Dur]])</f>
        <v>0</v>
      </c>
      <c r="DX399" s="71">
        <f>IF(Tradingbook_SBV[[#This Row],[Quantity_edited]]=0,0,Tradingbook_SBV[[#This Row],[Cnvx.]])</f>
        <v>0</v>
      </c>
      <c r="DY399" s="71">
        <f>(Tradingbook_SBV[[#This Row],[MARKET_VALUE]]+Tradingbook_SBV[[#This Row],[Accr Int]]*Tradingbook_SBV[[#This Row],[Quantity_edited]])*(-Tradingbook_SBV[[#This Row],[Modified Duration]]*0.0001+0.5*Tradingbook_SBV[[#This Row],[Conv]]*(0.0001^2))</f>
        <v>0</v>
      </c>
      <c r="DZ399" s="71">
        <f>(Tradingbook_SBV[[#This Row],[MARKET_VALUE]]+Tradingbook_SBV[[#This Row],[Accr Int]]*Tradingbook_SBV[[#This Row],[Quantity_edited]])*(-Tradingbook_SBV[[#This Row],[Modified Duration]]*0.01+0.5*Tradingbook_SBV[[#This Row],[Conv]]*(0.01^2))</f>
        <v>0</v>
      </c>
    </row>
    <row r="400" spans="2:130" x14ac:dyDescent="0.3">
      <c r="B400" t="s">
        <v>166</v>
      </c>
      <c r="C400" t="s">
        <v>3299</v>
      </c>
      <c r="D400" t="s">
        <v>2773</v>
      </c>
      <c r="E400" t="s">
        <v>169</v>
      </c>
      <c r="F400" s="502">
        <v>47071</v>
      </c>
      <c r="G400" t="s">
        <v>3322</v>
      </c>
      <c r="H400">
        <v>96319</v>
      </c>
      <c r="I400">
        <v>96319</v>
      </c>
      <c r="J400" s="38">
        <v>0</v>
      </c>
      <c r="K400">
        <v>0</v>
      </c>
      <c r="L400">
        <v>0</v>
      </c>
      <c r="M400" s="38">
        <v>0</v>
      </c>
      <c r="N400">
        <v>2.4</v>
      </c>
      <c r="O400">
        <v>1821</v>
      </c>
      <c r="P400" s="37">
        <v>0</v>
      </c>
      <c r="Q400" s="37">
        <v>3.9999999999999998E-6</v>
      </c>
      <c r="R400" s="37">
        <v>398394513.88891602</v>
      </c>
      <c r="S400">
        <v>4.1497937489999996</v>
      </c>
      <c r="T400" s="70">
        <v>2.0829727964862998</v>
      </c>
      <c r="U400">
        <v>2.1694118699999998</v>
      </c>
      <c r="V400">
        <v>6.4447515949219998</v>
      </c>
      <c r="W400">
        <v>0</v>
      </c>
      <c r="X400" s="38">
        <v>0</v>
      </c>
      <c r="Y400">
        <v>0</v>
      </c>
      <c r="Z400" s="70">
        <v>6220000000</v>
      </c>
      <c r="AA400" s="70">
        <v>0</v>
      </c>
      <c r="AB400" s="70">
        <v>6220000000</v>
      </c>
      <c r="AC400" s="70">
        <v>6220000000</v>
      </c>
      <c r="AD400" s="70">
        <v>6220000000</v>
      </c>
      <c r="AE400" s="70">
        <v>6220000000</v>
      </c>
      <c r="AF400">
        <v>0</v>
      </c>
      <c r="AG400" s="72">
        <f>Tradingbook_MSB[[#This Row],[Mat. Date]]-RPT</f>
        <v>819</v>
      </c>
      <c r="AH400" s="71">
        <f>IF(Tradingbook_MSB[[#This Row],[Days]]&lt;=0,0,YEARFRAC(RPT,Tradingbook_MSB[[#This Row],[Mat. Date]],3))</f>
        <v>2.2438356164383562</v>
      </c>
      <c r="AI400" s="71" t="str">
        <f>IF(Tradingbook_MSB[[#This Row],[Days (year)]]=0,0,INDEX(Ref!$K$2:$K$13,MATCH(Tradingbook_MSB[[#This Row],[Days (year)]],Ref!$I$2:$I$13,1)))</f>
        <v>2Y</v>
      </c>
      <c r="AJ400" s="120" t="str">
        <f>VLOOKUP(Tradingbook_MSB[[#This Row],[Security Name]],Ref!X:Z,3,0)</f>
        <v>TPCPBL</v>
      </c>
      <c r="AK400" s="120" t="str">
        <f>VLOOKUP(Tradingbook_MSB[[#This Row],[Security Name]],Ref!X:Y,2,0)</f>
        <v>VBS</v>
      </c>
      <c r="AL400" s="71">
        <f>IF((Tradingbook_MSB[[#This Row],[Mat. Date]]-RPT)&lt;=0,0,Tradingbook_MSB[[#This Row],[QUANTITY]])</f>
        <v>0</v>
      </c>
      <c r="AM400" s="71">
        <f>IF(Tradingbook_MSB[[#This Row],[Quantity_edited]]=0,0,Tradingbook_MSB[[#This Row],[DURATION]])</f>
        <v>0</v>
      </c>
      <c r="AN400" s="71">
        <f>IF(Tradingbook_MSB[[#This Row],[Quantity_edited]]=0,0,Tradingbook_MSB[[#This Row],[Mod Dur]])</f>
        <v>0</v>
      </c>
      <c r="AO400" s="71">
        <f>IF(Tradingbook_MSB[[#This Row],[Quantity_edited]]=0,0,Tradingbook_MSB[[#This Row],[Cnvx.]])</f>
        <v>0</v>
      </c>
      <c r="AP400" s="71">
        <f>(Tradingbook_MSB[[#This Row],[MARKET_VALUE]]+Tradingbook_MSB[[#This Row],[Accr Int]]*Tradingbook_MSB[[#This Row],[Quantity_edited]])*(-Tradingbook_MSB[[#This Row],[Modified Duration]]*0.0001+0.5*Tradingbook_MSB[[#This Row],[Conv]]*(0.0001^2))</f>
        <v>0</v>
      </c>
      <c r="AQ400" s="72">
        <f>(Tradingbook_MSB[[#This Row],[MARKET_VALUE]]+Tradingbook_MSB[[#This Row],[Accr Int]]*Tradingbook_MSB[[#This Row],[Quantity_edited]])*(-Tradingbook_MSB[[#This Row],[Modified Duration]]*0.01+0.5*Tradingbook_MSB[[#This Row],[Conv]]*(0.01^2))</f>
        <v>0</v>
      </c>
      <c r="CL400" t="s">
        <v>166</v>
      </c>
      <c r="CM400" t="s">
        <v>3300</v>
      </c>
      <c r="CN400" t="s">
        <v>608</v>
      </c>
      <c r="CO400" t="s">
        <v>169</v>
      </c>
      <c r="CP400">
        <v>47542</v>
      </c>
      <c r="CQ400" t="s">
        <v>3322</v>
      </c>
      <c r="CR400" t="s">
        <v>4240</v>
      </c>
      <c r="CS400" t="s">
        <v>4241</v>
      </c>
      <c r="CT400">
        <v>0</v>
      </c>
      <c r="CU400">
        <v>0</v>
      </c>
      <c r="CV400">
        <v>0</v>
      </c>
      <c r="CW400">
        <v>0</v>
      </c>
      <c r="CX400">
        <v>7.5</v>
      </c>
      <c r="CY400">
        <v>3514</v>
      </c>
      <c r="CZ400">
        <v>15000000000</v>
      </c>
      <c r="DA400">
        <v>18199718749.999664</v>
      </c>
      <c r="DB400">
        <v>-16762561024.568899</v>
      </c>
      <c r="DC400">
        <v>3.8426167800000002</v>
      </c>
      <c r="DD400" s="806">
        <v>3</v>
      </c>
      <c r="DE400" s="806">
        <v>3</v>
      </c>
      <c r="DF400">
        <v>13</v>
      </c>
      <c r="DG400">
        <v>0</v>
      </c>
      <c r="DH400">
        <v>0</v>
      </c>
      <c r="DI400">
        <v>0</v>
      </c>
      <c r="DJ400">
        <v>-260381000000</v>
      </c>
      <c r="DK400">
        <v>0</v>
      </c>
      <c r="DL400">
        <v>-260381000000</v>
      </c>
      <c r="DM400">
        <v>-260381000000</v>
      </c>
      <c r="DN400">
        <v>-260381000000</v>
      </c>
      <c r="DO400">
        <v>-260381000000</v>
      </c>
      <c r="DP400" s="32">
        <f>Tradingbook_SBV[[#This Row],[Mat. Date]]-RPT</f>
        <v>1290</v>
      </c>
      <c r="DQ400" s="32">
        <f>IF(Tradingbook_SBV[[#This Row],[Days]]&lt;=0,0,YEARFRAC(RPT,Tradingbook_SBV[[#This Row],[Mat. Date]],3))</f>
        <v>3.5342465753424657</v>
      </c>
      <c r="DR400" s="32" t="str">
        <f>IF(Tradingbook_SBV[[#This Row],[Days (year)]]=0,0,INDEX(Ref!$K$2:$K$13,MATCH(Tradingbook_SBV[[#This Row],[Days (year)]],Ref!$I$2:$I$13,1)))</f>
        <v>4Y</v>
      </c>
      <c r="DS400" s="32" t="str">
        <f>VLOOKUP(Tradingbook_SBV[[#This Row],[Security Name]],Ref!X:Z,3,0)</f>
        <v>TPCP</v>
      </c>
      <c r="DT400" s="32" t="str">
        <f>VLOOKUP(Tradingbook_SBV[[#This Row],[Security Name]],Ref!X:Y,2,0)</f>
        <v>KBNN</v>
      </c>
      <c r="DU400" s="71">
        <f>IF((Tradingbook_SBV[[#This Row],[Mat. Date]]-RPT)&lt;=0,0,Tradingbook_SBV[[#This Row],[QUANTITY]])</f>
        <v>0</v>
      </c>
      <c r="DV400" s="71">
        <f>IF(Tradingbook_SBV[[#This Row],[Quantity_edited]]=0,0,Tradingbook_SBV[[#This Row],[DURATION]])</f>
        <v>0</v>
      </c>
      <c r="DW400" s="71">
        <f>IF(Tradingbook_SBV[[#This Row],[Quantity_edited]]=0,0,Tradingbook_SBV[[#This Row],[Mod Dur]])</f>
        <v>0</v>
      </c>
      <c r="DX400" s="71">
        <f>IF(Tradingbook_SBV[[#This Row],[Quantity_edited]]=0,0,Tradingbook_SBV[[#This Row],[Cnvx.]])</f>
        <v>0</v>
      </c>
      <c r="DY400" s="71">
        <f>(Tradingbook_SBV[[#This Row],[MARKET_VALUE]]+Tradingbook_SBV[[#This Row],[Accr Int]]*Tradingbook_SBV[[#This Row],[Quantity_edited]])*(-Tradingbook_SBV[[#This Row],[Modified Duration]]*0.0001+0.5*Tradingbook_SBV[[#This Row],[Conv]]*(0.0001^2))</f>
        <v>0</v>
      </c>
      <c r="DZ400" s="71">
        <f>(Tradingbook_SBV[[#This Row],[MARKET_VALUE]]+Tradingbook_SBV[[#This Row],[Accr Int]]*Tradingbook_SBV[[#This Row],[Quantity_edited]])*(-Tradingbook_SBV[[#This Row],[Modified Duration]]*0.01+0.5*Tradingbook_SBV[[#This Row],[Conv]]*(0.01^2))</f>
        <v>0</v>
      </c>
    </row>
    <row r="401" spans="2:130" x14ac:dyDescent="0.3">
      <c r="B401" t="s">
        <v>166</v>
      </c>
      <c r="C401" t="s">
        <v>3299</v>
      </c>
      <c r="D401" t="s">
        <v>585</v>
      </c>
      <c r="E401" t="s">
        <v>169</v>
      </c>
      <c r="F401" s="502">
        <v>47072</v>
      </c>
      <c r="G401" t="s">
        <v>3322</v>
      </c>
      <c r="H401">
        <v>102841</v>
      </c>
      <c r="I401">
        <v>102841</v>
      </c>
      <c r="J401" s="38">
        <v>0</v>
      </c>
      <c r="K401">
        <v>0</v>
      </c>
      <c r="L401">
        <v>0</v>
      </c>
      <c r="M401" s="38">
        <v>0</v>
      </c>
      <c r="N401">
        <v>5</v>
      </c>
      <c r="O401">
        <v>3781</v>
      </c>
      <c r="P401" s="37">
        <v>0</v>
      </c>
      <c r="Q401" s="37">
        <v>0</v>
      </c>
      <c r="R401" s="37">
        <v>-52063081.805561066</v>
      </c>
      <c r="S401">
        <v>3.6504307009999999</v>
      </c>
      <c r="T401" s="70">
        <v>2.0318424548396998</v>
      </c>
      <c r="U401">
        <v>2.1060134599999998</v>
      </c>
      <c r="V401">
        <v>6.2858116028491997</v>
      </c>
      <c r="W401">
        <v>0</v>
      </c>
      <c r="X401" s="38">
        <v>0</v>
      </c>
      <c r="Y401">
        <v>0</v>
      </c>
      <c r="Z401" s="70">
        <v>149500000</v>
      </c>
      <c r="AA401" s="70">
        <v>0</v>
      </c>
      <c r="AB401" s="70">
        <v>149500000</v>
      </c>
      <c r="AC401" s="70">
        <v>149500000</v>
      </c>
      <c r="AD401" s="70">
        <v>149500000</v>
      </c>
      <c r="AE401" s="70">
        <v>149500000</v>
      </c>
      <c r="AF401">
        <v>0</v>
      </c>
      <c r="AG401" s="72">
        <f>Tradingbook_MSB[[#This Row],[Mat. Date]]-RPT</f>
        <v>820</v>
      </c>
      <c r="AH401" s="71">
        <f>IF(Tradingbook_MSB[[#This Row],[Days]]&lt;=0,0,YEARFRAC(RPT,Tradingbook_MSB[[#This Row],[Mat. Date]],3))</f>
        <v>2.2465753424657535</v>
      </c>
      <c r="AI401" s="71" t="str">
        <f>IF(Tradingbook_MSB[[#This Row],[Days (year)]]=0,0,INDEX(Ref!$K$2:$K$13,MATCH(Tradingbook_MSB[[#This Row],[Days (year)]],Ref!$I$2:$I$13,1)))</f>
        <v>2Y</v>
      </c>
      <c r="AJ401" s="120" t="str">
        <f>VLOOKUP(Tradingbook_MSB[[#This Row],[Security Name]],Ref!X:Z,3,0)</f>
        <v>TPCP</v>
      </c>
      <c r="AK401" s="120" t="str">
        <f>VLOOKUP(Tradingbook_MSB[[#This Row],[Security Name]],Ref!X:Y,2,0)</f>
        <v>KBNN</v>
      </c>
      <c r="AL401" s="71">
        <f>IF((Tradingbook_MSB[[#This Row],[Mat. Date]]-RPT)&lt;=0,0,Tradingbook_MSB[[#This Row],[QUANTITY]])</f>
        <v>0</v>
      </c>
      <c r="AM401" s="71">
        <f>IF(Tradingbook_MSB[[#This Row],[Quantity_edited]]=0,0,Tradingbook_MSB[[#This Row],[DURATION]])</f>
        <v>0</v>
      </c>
      <c r="AN401" s="71">
        <f>IF(Tradingbook_MSB[[#This Row],[Quantity_edited]]=0,0,Tradingbook_MSB[[#This Row],[Mod Dur]])</f>
        <v>0</v>
      </c>
      <c r="AO401" s="71">
        <f>IF(Tradingbook_MSB[[#This Row],[Quantity_edited]]=0,0,Tradingbook_MSB[[#This Row],[Cnvx.]])</f>
        <v>0</v>
      </c>
      <c r="AP401" s="71">
        <f>(Tradingbook_MSB[[#This Row],[MARKET_VALUE]]+Tradingbook_MSB[[#This Row],[Accr Int]]*Tradingbook_MSB[[#This Row],[Quantity_edited]])*(-Tradingbook_MSB[[#This Row],[Modified Duration]]*0.0001+0.5*Tradingbook_MSB[[#This Row],[Conv]]*(0.0001^2))</f>
        <v>0</v>
      </c>
      <c r="AQ401" s="72">
        <f>(Tradingbook_MSB[[#This Row],[MARKET_VALUE]]+Tradingbook_MSB[[#This Row],[Accr Int]]*Tradingbook_MSB[[#This Row],[Quantity_edited]])*(-Tradingbook_MSB[[#This Row],[Modified Duration]]*0.01+0.5*Tradingbook_MSB[[#This Row],[Conv]]*(0.01^2))</f>
        <v>0</v>
      </c>
      <c r="CL401" t="s">
        <v>166</v>
      </c>
      <c r="CM401" t="s">
        <v>3300</v>
      </c>
      <c r="CN401" t="s">
        <v>609</v>
      </c>
      <c r="CO401" t="s">
        <v>169</v>
      </c>
      <c r="CP401">
        <v>47557</v>
      </c>
      <c r="CQ401" t="s">
        <v>3322</v>
      </c>
      <c r="CR401" t="s">
        <v>4242</v>
      </c>
      <c r="CS401" t="s">
        <v>4243</v>
      </c>
      <c r="CT401">
        <v>0</v>
      </c>
      <c r="CU401">
        <v>0</v>
      </c>
      <c r="CV401">
        <v>0</v>
      </c>
      <c r="CW401">
        <v>0</v>
      </c>
      <c r="CX401">
        <v>7.2</v>
      </c>
      <c r="CY401">
        <v>3077</v>
      </c>
      <c r="CZ401">
        <v>3600000000</v>
      </c>
      <c r="DA401">
        <v>4138075999.9999242</v>
      </c>
      <c r="DB401">
        <v>-4609837727.0137138</v>
      </c>
      <c r="DC401">
        <v>3.8558409789999999</v>
      </c>
      <c r="DD401" s="806">
        <v>3</v>
      </c>
      <c r="DE401" s="806">
        <v>3</v>
      </c>
      <c r="DF401">
        <v>13</v>
      </c>
      <c r="DG401">
        <v>0</v>
      </c>
      <c r="DH401">
        <v>0</v>
      </c>
      <c r="DI401">
        <v>0</v>
      </c>
      <c r="DJ401">
        <v>-12816000000</v>
      </c>
      <c r="DK401">
        <v>0</v>
      </c>
      <c r="DL401">
        <v>-12816000000</v>
      </c>
      <c r="DM401">
        <v>-12816000000</v>
      </c>
      <c r="DN401">
        <v>-12816000000</v>
      </c>
      <c r="DO401">
        <v>-12816000000</v>
      </c>
      <c r="DP401" s="32">
        <f>Tradingbook_SBV[[#This Row],[Mat. Date]]-RPT</f>
        <v>1305</v>
      </c>
      <c r="DQ401" s="32">
        <f>IF(Tradingbook_SBV[[#This Row],[Days]]&lt;=0,0,YEARFRAC(RPT,Tradingbook_SBV[[#This Row],[Mat. Date]],3))</f>
        <v>3.5753424657534247</v>
      </c>
      <c r="DR401" s="32" t="str">
        <f>IF(Tradingbook_SBV[[#This Row],[Days (year)]]=0,0,INDEX(Ref!$K$2:$K$13,MATCH(Tradingbook_SBV[[#This Row],[Days (year)]],Ref!$I$2:$I$13,1)))</f>
        <v>4Y</v>
      </c>
      <c r="DS401" s="32" t="str">
        <f>VLOOKUP(Tradingbook_SBV[[#This Row],[Security Name]],Ref!X:Z,3,0)</f>
        <v>TPCP</v>
      </c>
      <c r="DT401" s="32" t="str">
        <f>VLOOKUP(Tradingbook_SBV[[#This Row],[Security Name]],Ref!X:Y,2,0)</f>
        <v>KBNN</v>
      </c>
      <c r="DU401" s="71">
        <f>IF((Tradingbook_SBV[[#This Row],[Mat. Date]]-RPT)&lt;=0,0,Tradingbook_SBV[[#This Row],[QUANTITY]])</f>
        <v>0</v>
      </c>
      <c r="DV401" s="71">
        <f>IF(Tradingbook_SBV[[#This Row],[Quantity_edited]]=0,0,Tradingbook_SBV[[#This Row],[DURATION]])</f>
        <v>0</v>
      </c>
      <c r="DW401" s="71">
        <f>IF(Tradingbook_SBV[[#This Row],[Quantity_edited]]=0,0,Tradingbook_SBV[[#This Row],[Mod Dur]])</f>
        <v>0</v>
      </c>
      <c r="DX401" s="71">
        <f>IF(Tradingbook_SBV[[#This Row],[Quantity_edited]]=0,0,Tradingbook_SBV[[#This Row],[Cnvx.]])</f>
        <v>0</v>
      </c>
      <c r="DY401" s="71">
        <f>(Tradingbook_SBV[[#This Row],[MARKET_VALUE]]+Tradingbook_SBV[[#This Row],[Accr Int]]*Tradingbook_SBV[[#This Row],[Quantity_edited]])*(-Tradingbook_SBV[[#This Row],[Modified Duration]]*0.0001+0.5*Tradingbook_SBV[[#This Row],[Conv]]*(0.0001^2))</f>
        <v>0</v>
      </c>
      <c r="DZ401" s="71">
        <f>(Tradingbook_SBV[[#This Row],[MARKET_VALUE]]+Tradingbook_SBV[[#This Row],[Accr Int]]*Tradingbook_SBV[[#This Row],[Quantity_edited]])*(-Tradingbook_SBV[[#This Row],[Modified Duration]]*0.01+0.5*Tradingbook_SBV[[#This Row],[Conv]]*(0.01^2))</f>
        <v>0</v>
      </c>
    </row>
    <row r="402" spans="2:130" x14ac:dyDescent="0.3">
      <c r="B402" t="s">
        <v>166</v>
      </c>
      <c r="C402" t="s">
        <v>3299</v>
      </c>
      <c r="D402" t="s">
        <v>2801</v>
      </c>
      <c r="E402" t="s">
        <v>169</v>
      </c>
      <c r="F402" s="502">
        <v>47087</v>
      </c>
      <c r="G402" t="s">
        <v>3322</v>
      </c>
      <c r="H402">
        <v>95570</v>
      </c>
      <c r="I402">
        <v>95570</v>
      </c>
      <c r="J402" s="38">
        <v>0</v>
      </c>
      <c r="K402">
        <v>0</v>
      </c>
      <c r="L402">
        <v>0</v>
      </c>
      <c r="M402" s="38">
        <v>0</v>
      </c>
      <c r="N402">
        <v>1.6</v>
      </c>
      <c r="O402">
        <v>1144</v>
      </c>
      <c r="P402" s="37">
        <v>0</v>
      </c>
      <c r="Q402" s="37">
        <v>0</v>
      </c>
      <c r="R402" s="37">
        <v>46393381.250000954</v>
      </c>
      <c r="S402">
        <v>3.6533493890000002</v>
      </c>
      <c r="T402" s="70">
        <v>2.1575594503599</v>
      </c>
      <c r="U402">
        <v>2.23638264</v>
      </c>
      <c r="V402">
        <v>6.8100530783030004</v>
      </c>
      <c r="W402">
        <v>0</v>
      </c>
      <c r="X402" s="38">
        <v>0</v>
      </c>
      <c r="Y402">
        <v>0</v>
      </c>
      <c r="Z402" s="70">
        <v>463000000</v>
      </c>
      <c r="AA402" s="70">
        <v>0</v>
      </c>
      <c r="AB402" s="70">
        <v>463000000</v>
      </c>
      <c r="AC402" s="70">
        <v>463000000</v>
      </c>
      <c r="AD402" s="70">
        <v>463000000</v>
      </c>
      <c r="AE402" s="70">
        <v>463000000</v>
      </c>
      <c r="AF402">
        <v>0</v>
      </c>
      <c r="AG402" s="72">
        <f>Tradingbook_MSB[[#This Row],[Mat. Date]]-RPT</f>
        <v>835</v>
      </c>
      <c r="AH402" s="71">
        <f>IF(Tradingbook_MSB[[#This Row],[Days]]&lt;=0,0,YEARFRAC(RPT,Tradingbook_MSB[[#This Row],[Mat. Date]],3))</f>
        <v>2.2876712328767121</v>
      </c>
      <c r="AI402" s="71" t="str">
        <f>IF(Tradingbook_MSB[[#This Row],[Days (year)]]=0,0,INDEX(Ref!$K$2:$K$13,MATCH(Tradingbook_MSB[[#This Row],[Days (year)]],Ref!$I$2:$I$13,1)))</f>
        <v>2Y</v>
      </c>
      <c r="AJ402" s="120" t="str">
        <f>VLOOKUP(Tradingbook_MSB[[#This Row],[Security Name]],Ref!X:Z,3,0)</f>
        <v>TPCP</v>
      </c>
      <c r="AK402" s="120" t="str">
        <f>VLOOKUP(Tradingbook_MSB[[#This Row],[Security Name]],Ref!X:Y,2,0)</f>
        <v>KBNN</v>
      </c>
      <c r="AL402" s="71">
        <f>IF((Tradingbook_MSB[[#This Row],[Mat. Date]]-RPT)&lt;=0,0,Tradingbook_MSB[[#This Row],[QUANTITY]])</f>
        <v>0</v>
      </c>
      <c r="AM402" s="71">
        <f>IF(Tradingbook_MSB[[#This Row],[Quantity_edited]]=0,0,Tradingbook_MSB[[#This Row],[DURATION]])</f>
        <v>0</v>
      </c>
      <c r="AN402" s="71">
        <f>IF(Tradingbook_MSB[[#This Row],[Quantity_edited]]=0,0,Tradingbook_MSB[[#This Row],[Mod Dur]])</f>
        <v>0</v>
      </c>
      <c r="AO402" s="71">
        <f>IF(Tradingbook_MSB[[#This Row],[Quantity_edited]]=0,0,Tradingbook_MSB[[#This Row],[Cnvx.]])</f>
        <v>0</v>
      </c>
      <c r="AP402" s="71">
        <f>(Tradingbook_MSB[[#This Row],[MARKET_VALUE]]+Tradingbook_MSB[[#This Row],[Accr Int]]*Tradingbook_MSB[[#This Row],[Quantity_edited]])*(-Tradingbook_MSB[[#This Row],[Modified Duration]]*0.0001+0.5*Tradingbook_MSB[[#This Row],[Conv]]*(0.0001^2))</f>
        <v>0</v>
      </c>
      <c r="AQ402" s="72">
        <f>(Tradingbook_MSB[[#This Row],[MARKET_VALUE]]+Tradingbook_MSB[[#This Row],[Accr Int]]*Tradingbook_MSB[[#This Row],[Quantity_edited]])*(-Tradingbook_MSB[[#This Row],[Modified Duration]]*0.01+0.5*Tradingbook_MSB[[#This Row],[Conv]]*(0.01^2))</f>
        <v>0</v>
      </c>
      <c r="CL402" t="s">
        <v>166</v>
      </c>
      <c r="CM402" t="s">
        <v>3300</v>
      </c>
      <c r="CN402" t="s">
        <v>610</v>
      </c>
      <c r="CO402" t="s">
        <v>169</v>
      </c>
      <c r="CP402">
        <v>47617</v>
      </c>
      <c r="CQ402" t="s">
        <v>3322</v>
      </c>
      <c r="CR402" t="s">
        <v>4244</v>
      </c>
      <c r="CS402" t="s">
        <v>4245</v>
      </c>
      <c r="CT402">
        <v>0</v>
      </c>
      <c r="CU402">
        <v>0</v>
      </c>
      <c r="CV402">
        <v>0</v>
      </c>
      <c r="CW402">
        <v>0</v>
      </c>
      <c r="CX402">
        <v>2.7</v>
      </c>
      <c r="CY402">
        <v>710</v>
      </c>
      <c r="CZ402">
        <v>0</v>
      </c>
      <c r="DA402">
        <v>1.5E-5</v>
      </c>
      <c r="DB402">
        <v>143445396.89999962</v>
      </c>
      <c r="DC402">
        <v>3.899705505</v>
      </c>
      <c r="DD402" s="806">
        <v>3</v>
      </c>
      <c r="DE402" s="806">
        <v>4</v>
      </c>
      <c r="DF402">
        <v>15</v>
      </c>
      <c r="DG402">
        <v>0</v>
      </c>
      <c r="DH402">
        <v>0</v>
      </c>
      <c r="DI402">
        <v>0</v>
      </c>
      <c r="DJ402">
        <v>-439620000.00012207</v>
      </c>
      <c r="DK402">
        <v>0</v>
      </c>
      <c r="DL402">
        <v>-439620000.00012207</v>
      </c>
      <c r="DM402">
        <v>-439620000.00012207</v>
      </c>
      <c r="DN402">
        <v>-439620000</v>
      </c>
      <c r="DO402">
        <v>-439620000.00012207</v>
      </c>
      <c r="DP402" s="32">
        <f>Tradingbook_SBV[[#This Row],[Mat. Date]]-RPT</f>
        <v>1365</v>
      </c>
      <c r="DQ402" s="32">
        <f>IF(Tradingbook_SBV[[#This Row],[Days]]&lt;=0,0,YEARFRAC(RPT,Tradingbook_SBV[[#This Row],[Mat. Date]],3))</f>
        <v>3.7397260273972601</v>
      </c>
      <c r="DR402" s="32" t="str">
        <f>IF(Tradingbook_SBV[[#This Row],[Days (year)]]=0,0,INDEX(Ref!$K$2:$K$13,MATCH(Tradingbook_SBV[[#This Row],[Days (year)]],Ref!$I$2:$I$13,1)))</f>
        <v>4Y</v>
      </c>
      <c r="DS402" s="32" t="str">
        <f>VLOOKUP(Tradingbook_SBV[[#This Row],[Security Name]],Ref!X:Z,3,0)</f>
        <v>TPCP</v>
      </c>
      <c r="DT402" s="32" t="str">
        <f>VLOOKUP(Tradingbook_SBV[[#This Row],[Security Name]],Ref!X:Y,2,0)</f>
        <v>KBNN</v>
      </c>
      <c r="DU402" s="71">
        <f>IF((Tradingbook_SBV[[#This Row],[Mat. Date]]-RPT)&lt;=0,0,Tradingbook_SBV[[#This Row],[QUANTITY]])</f>
        <v>0</v>
      </c>
      <c r="DV402" s="71">
        <f>IF(Tradingbook_SBV[[#This Row],[Quantity_edited]]=0,0,Tradingbook_SBV[[#This Row],[DURATION]])</f>
        <v>0</v>
      </c>
      <c r="DW402" s="71">
        <f>IF(Tradingbook_SBV[[#This Row],[Quantity_edited]]=0,0,Tradingbook_SBV[[#This Row],[Mod Dur]])</f>
        <v>0</v>
      </c>
      <c r="DX402" s="71">
        <f>IF(Tradingbook_SBV[[#This Row],[Quantity_edited]]=0,0,Tradingbook_SBV[[#This Row],[Cnvx.]])</f>
        <v>0</v>
      </c>
      <c r="DY402" s="71">
        <f>(Tradingbook_SBV[[#This Row],[MARKET_VALUE]]+Tradingbook_SBV[[#This Row],[Accr Int]]*Tradingbook_SBV[[#This Row],[Quantity_edited]])*(-Tradingbook_SBV[[#This Row],[Modified Duration]]*0.0001+0.5*Tradingbook_SBV[[#This Row],[Conv]]*(0.0001^2))</f>
        <v>0</v>
      </c>
      <c r="DZ402" s="71">
        <f>(Tradingbook_SBV[[#This Row],[MARKET_VALUE]]+Tradingbook_SBV[[#This Row],[Accr Int]]*Tradingbook_SBV[[#This Row],[Quantity_edited]])*(-Tradingbook_SBV[[#This Row],[Modified Duration]]*0.01+0.5*Tradingbook_SBV[[#This Row],[Conv]]*(0.01^2))</f>
        <v>0</v>
      </c>
    </row>
    <row r="403" spans="2:130" x14ac:dyDescent="0.3">
      <c r="B403" t="s">
        <v>166</v>
      </c>
      <c r="C403" t="s">
        <v>3299</v>
      </c>
      <c r="D403" t="s">
        <v>586</v>
      </c>
      <c r="E403" t="s">
        <v>169</v>
      </c>
      <c r="F403" s="502">
        <v>47099</v>
      </c>
      <c r="G403" t="s">
        <v>3322</v>
      </c>
      <c r="H403">
        <v>103538</v>
      </c>
      <c r="I403">
        <v>103538</v>
      </c>
      <c r="J403" s="38">
        <v>0</v>
      </c>
      <c r="K403">
        <v>0</v>
      </c>
      <c r="L403">
        <v>0</v>
      </c>
      <c r="M403" s="38">
        <v>0</v>
      </c>
      <c r="N403">
        <v>5.8</v>
      </c>
      <c r="O403">
        <v>3957</v>
      </c>
      <c r="P403" s="37">
        <v>2900000000</v>
      </c>
      <c r="Q403" s="37">
        <v>3397035027.777771</v>
      </c>
      <c r="R403" s="37">
        <v>-939671150.13887596</v>
      </c>
      <c r="S403">
        <v>4.1554187819999999</v>
      </c>
      <c r="T403" s="70">
        <v>2.0739642549875001</v>
      </c>
      <c r="U403">
        <v>2.16014616</v>
      </c>
      <c r="V403">
        <v>6.5131620692650998</v>
      </c>
      <c r="W403">
        <v>0</v>
      </c>
      <c r="X403" s="38">
        <v>0</v>
      </c>
      <c r="Y403">
        <v>0</v>
      </c>
      <c r="Z403" s="70">
        <v>-747500000</v>
      </c>
      <c r="AA403" s="70">
        <v>0</v>
      </c>
      <c r="AB403" s="70">
        <v>-747500000</v>
      </c>
      <c r="AC403" s="70">
        <v>-747500000</v>
      </c>
      <c r="AD403" s="70">
        <v>-747500000</v>
      </c>
      <c r="AE403" s="70">
        <v>-747500000</v>
      </c>
      <c r="AF403">
        <v>0</v>
      </c>
      <c r="AG403" s="72">
        <f>Tradingbook_MSB[[#This Row],[Mat. Date]]-RPT</f>
        <v>847</v>
      </c>
      <c r="AH403" s="71">
        <f>IF(Tradingbook_MSB[[#This Row],[Days]]&lt;=0,0,YEARFRAC(RPT,Tradingbook_MSB[[#This Row],[Mat. Date]],3))</f>
        <v>2.3205479452054796</v>
      </c>
      <c r="AI403" s="71" t="str">
        <f>IF(Tradingbook_MSB[[#This Row],[Days (year)]]=0,0,INDEX(Ref!$K$2:$K$13,MATCH(Tradingbook_MSB[[#This Row],[Days (year)]],Ref!$I$2:$I$13,1)))</f>
        <v>2Y</v>
      </c>
      <c r="AJ403" s="120" t="str">
        <f>VLOOKUP(Tradingbook_MSB[[#This Row],[Security Name]],Ref!X:Z,3,0)</f>
        <v>TPCPBL</v>
      </c>
      <c r="AK403" s="120" t="str">
        <f>VLOOKUP(Tradingbook_MSB[[#This Row],[Security Name]],Ref!X:Y,2,0)</f>
        <v>VDB</v>
      </c>
      <c r="AL403" s="71">
        <f>IF((Tradingbook_MSB[[#This Row],[Mat. Date]]-RPT)&lt;=0,0,Tradingbook_MSB[[#This Row],[QUANTITY]])</f>
        <v>0</v>
      </c>
      <c r="AM403" s="71">
        <f>IF(Tradingbook_MSB[[#This Row],[Quantity_edited]]=0,0,Tradingbook_MSB[[#This Row],[DURATION]])</f>
        <v>0</v>
      </c>
      <c r="AN403" s="71">
        <f>IF(Tradingbook_MSB[[#This Row],[Quantity_edited]]=0,0,Tradingbook_MSB[[#This Row],[Mod Dur]])</f>
        <v>0</v>
      </c>
      <c r="AO403" s="71">
        <f>IF(Tradingbook_MSB[[#This Row],[Quantity_edited]]=0,0,Tradingbook_MSB[[#This Row],[Cnvx.]])</f>
        <v>0</v>
      </c>
      <c r="AP403" s="71">
        <f>(Tradingbook_MSB[[#This Row],[MARKET_VALUE]]+Tradingbook_MSB[[#This Row],[Accr Int]]*Tradingbook_MSB[[#This Row],[Quantity_edited]])*(-Tradingbook_MSB[[#This Row],[Modified Duration]]*0.0001+0.5*Tradingbook_MSB[[#This Row],[Conv]]*(0.0001^2))</f>
        <v>0</v>
      </c>
      <c r="AQ403" s="72">
        <f>(Tradingbook_MSB[[#This Row],[MARKET_VALUE]]+Tradingbook_MSB[[#This Row],[Accr Int]]*Tradingbook_MSB[[#This Row],[Quantity_edited]])*(-Tradingbook_MSB[[#This Row],[Modified Duration]]*0.01+0.5*Tradingbook_MSB[[#This Row],[Conv]]*(0.01^2))</f>
        <v>0</v>
      </c>
      <c r="CL403" t="s">
        <v>166</v>
      </c>
      <c r="CM403" t="s">
        <v>3300</v>
      </c>
      <c r="CN403" t="s">
        <v>611</v>
      </c>
      <c r="CO403" t="s">
        <v>169</v>
      </c>
      <c r="CP403">
        <v>47634</v>
      </c>
      <c r="CQ403" t="s">
        <v>3322</v>
      </c>
      <c r="CR403" t="s">
        <v>4246</v>
      </c>
      <c r="CS403" t="s">
        <v>4247</v>
      </c>
      <c r="CT403">
        <v>0</v>
      </c>
      <c r="CU403">
        <v>0</v>
      </c>
      <c r="CV403">
        <v>0</v>
      </c>
      <c r="CW403">
        <v>0</v>
      </c>
      <c r="CX403">
        <v>7.6</v>
      </c>
      <c r="CY403">
        <v>1645</v>
      </c>
      <c r="CZ403">
        <v>64600000000</v>
      </c>
      <c r="DA403">
        <v>77293156361.111084</v>
      </c>
      <c r="DB403">
        <v>-28339172725.770775</v>
      </c>
      <c r="DC403">
        <v>3.912205573</v>
      </c>
      <c r="DD403" s="806">
        <v>3</v>
      </c>
      <c r="DE403" s="806">
        <v>3</v>
      </c>
      <c r="DF403">
        <v>15</v>
      </c>
      <c r="DG403">
        <v>0</v>
      </c>
      <c r="DH403">
        <v>0</v>
      </c>
      <c r="DI403">
        <v>0</v>
      </c>
      <c r="DJ403">
        <v>13411850000</v>
      </c>
      <c r="DK403">
        <v>0</v>
      </c>
      <c r="DL403">
        <v>13411850000</v>
      </c>
      <c r="DM403">
        <v>13411850000</v>
      </c>
      <c r="DN403">
        <v>13411850000</v>
      </c>
      <c r="DO403">
        <v>13411850000</v>
      </c>
      <c r="DP403" s="32">
        <f>Tradingbook_SBV[[#This Row],[Mat. Date]]-RPT</f>
        <v>1382</v>
      </c>
      <c r="DQ403" s="32">
        <f>IF(Tradingbook_SBV[[#This Row],[Days]]&lt;=0,0,YEARFRAC(RPT,Tradingbook_SBV[[#This Row],[Mat. Date]],3))</f>
        <v>3.7863013698630139</v>
      </c>
      <c r="DR403" s="32" t="str">
        <f>IF(Tradingbook_SBV[[#This Row],[Days (year)]]=0,0,INDEX(Ref!$K$2:$K$13,MATCH(Tradingbook_SBV[[#This Row],[Days (year)]],Ref!$I$2:$I$13,1)))</f>
        <v>4Y</v>
      </c>
      <c r="DS403" s="32" t="str">
        <f>VLOOKUP(Tradingbook_SBV[[#This Row],[Security Name]],Ref!X:Z,3,0)</f>
        <v>TPCP</v>
      </c>
      <c r="DT403" s="32" t="str">
        <f>VLOOKUP(Tradingbook_SBV[[#This Row],[Security Name]],Ref!X:Y,2,0)</f>
        <v>KBNN</v>
      </c>
      <c r="DU403" s="71">
        <f>IF((Tradingbook_SBV[[#This Row],[Mat. Date]]-RPT)&lt;=0,0,Tradingbook_SBV[[#This Row],[QUANTITY]])</f>
        <v>0</v>
      </c>
      <c r="DV403" s="71">
        <f>IF(Tradingbook_SBV[[#This Row],[Quantity_edited]]=0,0,Tradingbook_SBV[[#This Row],[DURATION]])</f>
        <v>0</v>
      </c>
      <c r="DW403" s="71">
        <f>IF(Tradingbook_SBV[[#This Row],[Quantity_edited]]=0,0,Tradingbook_SBV[[#This Row],[Mod Dur]])</f>
        <v>0</v>
      </c>
      <c r="DX403" s="71">
        <f>IF(Tradingbook_SBV[[#This Row],[Quantity_edited]]=0,0,Tradingbook_SBV[[#This Row],[Cnvx.]])</f>
        <v>0</v>
      </c>
      <c r="DY403" s="71">
        <f>(Tradingbook_SBV[[#This Row],[MARKET_VALUE]]+Tradingbook_SBV[[#This Row],[Accr Int]]*Tradingbook_SBV[[#This Row],[Quantity_edited]])*(-Tradingbook_SBV[[#This Row],[Modified Duration]]*0.0001+0.5*Tradingbook_SBV[[#This Row],[Conv]]*(0.0001^2))</f>
        <v>0</v>
      </c>
      <c r="DZ403" s="71">
        <f>(Tradingbook_SBV[[#This Row],[MARKET_VALUE]]+Tradingbook_SBV[[#This Row],[Accr Int]]*Tradingbook_SBV[[#This Row],[Quantity_edited]])*(-Tradingbook_SBV[[#This Row],[Modified Duration]]*0.01+0.5*Tradingbook_SBV[[#This Row],[Conv]]*(0.01^2))</f>
        <v>0</v>
      </c>
    </row>
    <row r="404" spans="2:130" x14ac:dyDescent="0.3">
      <c r="B404" t="s">
        <v>166</v>
      </c>
      <c r="C404" t="s">
        <v>3299</v>
      </c>
      <c r="D404" t="s">
        <v>587</v>
      </c>
      <c r="E404" t="s">
        <v>169</v>
      </c>
      <c r="F404" s="502">
        <v>47100</v>
      </c>
      <c r="G404" t="s">
        <v>3322</v>
      </c>
      <c r="H404">
        <v>103139</v>
      </c>
      <c r="I404">
        <v>103139</v>
      </c>
      <c r="J404" s="38">
        <v>0</v>
      </c>
      <c r="K404">
        <v>0</v>
      </c>
      <c r="L404">
        <v>0</v>
      </c>
      <c r="M404" s="38">
        <v>0</v>
      </c>
      <c r="N404">
        <v>5.0999999999999996</v>
      </c>
      <c r="O404">
        <v>3465</v>
      </c>
      <c r="P404" s="37">
        <v>17850000000</v>
      </c>
      <c r="Q404" s="37">
        <v>20747495583.333267</v>
      </c>
      <c r="R404" s="37">
        <v>1107647867.7139988</v>
      </c>
      <c r="S404">
        <v>3.6555125789999998</v>
      </c>
      <c r="T404" s="70">
        <v>2.1034445504059001</v>
      </c>
      <c r="U404">
        <v>2.18033623</v>
      </c>
      <c r="V404">
        <v>6.6539756765506999</v>
      </c>
      <c r="W404">
        <v>0</v>
      </c>
      <c r="X404" s="38">
        <v>0</v>
      </c>
      <c r="Y404">
        <v>0</v>
      </c>
      <c r="Z404" s="70">
        <v>28858140000</v>
      </c>
      <c r="AA404" s="70">
        <v>0</v>
      </c>
      <c r="AB404" s="70">
        <v>28858140000</v>
      </c>
      <c r="AC404" s="70">
        <v>28858140000</v>
      </c>
      <c r="AD404" s="70">
        <v>28858140000</v>
      </c>
      <c r="AE404" s="70">
        <v>28858140000</v>
      </c>
      <c r="AF404">
        <v>0</v>
      </c>
      <c r="AG404" s="72">
        <f>Tradingbook_MSB[[#This Row],[Mat. Date]]-RPT</f>
        <v>848</v>
      </c>
      <c r="AH404" s="71">
        <f>IF(Tradingbook_MSB[[#This Row],[Days]]&lt;=0,0,YEARFRAC(RPT,Tradingbook_MSB[[#This Row],[Mat. Date]],3))</f>
        <v>2.3232876712328765</v>
      </c>
      <c r="AI404" s="71" t="str">
        <f>IF(Tradingbook_MSB[[#This Row],[Days (year)]]=0,0,INDEX(Ref!$K$2:$K$13,MATCH(Tradingbook_MSB[[#This Row],[Days (year)]],Ref!$I$2:$I$13,1)))</f>
        <v>2Y</v>
      </c>
      <c r="AJ404" s="120" t="str">
        <f>VLOOKUP(Tradingbook_MSB[[#This Row],[Security Name]],Ref!X:Z,3,0)</f>
        <v>TPCP</v>
      </c>
      <c r="AK404" s="120" t="str">
        <f>VLOOKUP(Tradingbook_MSB[[#This Row],[Security Name]],Ref!X:Y,2,0)</f>
        <v>KBNN</v>
      </c>
      <c r="AL404" s="71">
        <f>IF((Tradingbook_MSB[[#This Row],[Mat. Date]]-RPT)&lt;=0,0,Tradingbook_MSB[[#This Row],[QUANTITY]])</f>
        <v>0</v>
      </c>
      <c r="AM404" s="71">
        <f>IF(Tradingbook_MSB[[#This Row],[Quantity_edited]]=0,0,Tradingbook_MSB[[#This Row],[DURATION]])</f>
        <v>0</v>
      </c>
      <c r="AN404" s="71">
        <f>IF(Tradingbook_MSB[[#This Row],[Quantity_edited]]=0,0,Tradingbook_MSB[[#This Row],[Mod Dur]])</f>
        <v>0</v>
      </c>
      <c r="AO404" s="71">
        <f>IF(Tradingbook_MSB[[#This Row],[Quantity_edited]]=0,0,Tradingbook_MSB[[#This Row],[Cnvx.]])</f>
        <v>0</v>
      </c>
      <c r="AP404" s="71">
        <f>(Tradingbook_MSB[[#This Row],[MARKET_VALUE]]+Tradingbook_MSB[[#This Row],[Accr Int]]*Tradingbook_MSB[[#This Row],[Quantity_edited]])*(-Tradingbook_MSB[[#This Row],[Modified Duration]]*0.0001+0.5*Tradingbook_MSB[[#This Row],[Conv]]*(0.0001^2))</f>
        <v>0</v>
      </c>
      <c r="AQ404" s="72">
        <f>(Tradingbook_MSB[[#This Row],[MARKET_VALUE]]+Tradingbook_MSB[[#This Row],[Accr Int]]*Tradingbook_MSB[[#This Row],[Quantity_edited]])*(-Tradingbook_MSB[[#This Row],[Modified Duration]]*0.01+0.5*Tradingbook_MSB[[#This Row],[Conv]]*(0.01^2))</f>
        <v>0</v>
      </c>
      <c r="CL404" t="s">
        <v>166</v>
      </c>
      <c r="CM404" t="s">
        <v>3300</v>
      </c>
      <c r="CN404" t="s">
        <v>612</v>
      </c>
      <c r="CO404" t="s">
        <v>169</v>
      </c>
      <c r="CP404">
        <v>47652</v>
      </c>
      <c r="CQ404" t="s">
        <v>3322</v>
      </c>
      <c r="CR404" t="s">
        <v>4248</v>
      </c>
      <c r="CS404" t="s">
        <v>4249</v>
      </c>
      <c r="CT404">
        <v>0</v>
      </c>
      <c r="CU404">
        <v>0</v>
      </c>
      <c r="CV404">
        <v>0</v>
      </c>
      <c r="CW404">
        <v>0</v>
      </c>
      <c r="CX404">
        <v>3</v>
      </c>
      <c r="CY404">
        <v>501</v>
      </c>
      <c r="CZ404">
        <v>3000000000</v>
      </c>
      <c r="DA404">
        <v>3454050833.333313</v>
      </c>
      <c r="DB404">
        <v>-3872163550.902607</v>
      </c>
      <c r="DC404">
        <v>3.9256365870000001</v>
      </c>
      <c r="DD404" s="806">
        <v>4</v>
      </c>
      <c r="DE404" s="806">
        <v>4</v>
      </c>
      <c r="DF404">
        <v>16</v>
      </c>
      <c r="DG404">
        <v>0</v>
      </c>
      <c r="DH404">
        <v>0</v>
      </c>
      <c r="DI404">
        <v>0</v>
      </c>
      <c r="DJ404">
        <v>-7745500000</v>
      </c>
      <c r="DK404">
        <v>0</v>
      </c>
      <c r="DL404">
        <v>-7745500000</v>
      </c>
      <c r="DM404">
        <v>-7745500000</v>
      </c>
      <c r="DN404">
        <v>-7745500000</v>
      </c>
      <c r="DO404">
        <v>-7745500000</v>
      </c>
      <c r="DP404" s="32">
        <f>Tradingbook_SBV[[#This Row],[Mat. Date]]-RPT</f>
        <v>1400</v>
      </c>
      <c r="DQ404" s="32">
        <f>IF(Tradingbook_SBV[[#This Row],[Days]]&lt;=0,0,YEARFRAC(RPT,Tradingbook_SBV[[#This Row],[Mat. Date]],3))</f>
        <v>3.8356164383561642</v>
      </c>
      <c r="DR404" s="32" t="str">
        <f>IF(Tradingbook_SBV[[#This Row],[Days (year)]]=0,0,INDEX(Ref!$K$2:$K$13,MATCH(Tradingbook_SBV[[#This Row],[Days (year)]],Ref!$I$2:$I$13,1)))</f>
        <v>4Y</v>
      </c>
      <c r="DS404" s="32" t="str">
        <f>VLOOKUP(Tradingbook_SBV[[#This Row],[Security Name]],Ref!X:Z,3,0)</f>
        <v>TPCP</v>
      </c>
      <c r="DT404" s="32" t="str">
        <f>VLOOKUP(Tradingbook_SBV[[#This Row],[Security Name]],Ref!X:Y,2,0)</f>
        <v>KBNN</v>
      </c>
      <c r="DU404" s="71">
        <f>IF((Tradingbook_SBV[[#This Row],[Mat. Date]]-RPT)&lt;=0,0,Tradingbook_SBV[[#This Row],[QUANTITY]])</f>
        <v>0</v>
      </c>
      <c r="DV404" s="71">
        <f>IF(Tradingbook_SBV[[#This Row],[Quantity_edited]]=0,0,Tradingbook_SBV[[#This Row],[DURATION]])</f>
        <v>0</v>
      </c>
      <c r="DW404" s="71">
        <f>IF(Tradingbook_SBV[[#This Row],[Quantity_edited]]=0,0,Tradingbook_SBV[[#This Row],[Mod Dur]])</f>
        <v>0</v>
      </c>
      <c r="DX404" s="71">
        <f>IF(Tradingbook_SBV[[#This Row],[Quantity_edited]]=0,0,Tradingbook_SBV[[#This Row],[Cnvx.]])</f>
        <v>0</v>
      </c>
      <c r="DY404" s="71">
        <f>(Tradingbook_SBV[[#This Row],[MARKET_VALUE]]+Tradingbook_SBV[[#This Row],[Accr Int]]*Tradingbook_SBV[[#This Row],[Quantity_edited]])*(-Tradingbook_SBV[[#This Row],[Modified Duration]]*0.0001+0.5*Tradingbook_SBV[[#This Row],[Conv]]*(0.0001^2))</f>
        <v>0</v>
      </c>
      <c r="DZ404" s="71">
        <f>(Tradingbook_SBV[[#This Row],[MARKET_VALUE]]+Tradingbook_SBV[[#This Row],[Accr Int]]*Tradingbook_SBV[[#This Row],[Quantity_edited]])*(-Tradingbook_SBV[[#This Row],[Modified Duration]]*0.01+0.5*Tradingbook_SBV[[#This Row],[Conv]]*(0.01^2))</f>
        <v>0</v>
      </c>
    </row>
    <row r="405" spans="2:130" x14ac:dyDescent="0.3">
      <c r="B405" t="s">
        <v>166</v>
      </c>
      <c r="C405" t="s">
        <v>3299</v>
      </c>
      <c r="D405" t="s">
        <v>589</v>
      </c>
      <c r="E405" t="s">
        <v>169</v>
      </c>
      <c r="F405" s="502">
        <v>47114</v>
      </c>
      <c r="G405" t="s">
        <v>3322</v>
      </c>
      <c r="H405">
        <v>103181</v>
      </c>
      <c r="I405">
        <v>103181</v>
      </c>
      <c r="J405" s="38">
        <v>0</v>
      </c>
      <c r="K405">
        <v>0</v>
      </c>
      <c r="L405">
        <v>0</v>
      </c>
      <c r="M405" s="38">
        <v>0</v>
      </c>
      <c r="N405">
        <v>5.0999999999999996</v>
      </c>
      <c r="O405">
        <v>3270</v>
      </c>
      <c r="P405" s="37">
        <v>0</v>
      </c>
      <c r="Q405" s="37">
        <v>-3.9999999999999998E-6</v>
      </c>
      <c r="R405" s="37">
        <v>-35861914.722198486</v>
      </c>
      <c r="S405">
        <v>3.6582762469999999</v>
      </c>
      <c r="T405" s="70">
        <v>2.1403854464793</v>
      </c>
      <c r="U405">
        <v>2.2186866599999999</v>
      </c>
      <c r="V405">
        <v>6.8463271752491002</v>
      </c>
      <c r="W405">
        <v>0</v>
      </c>
      <c r="X405" s="38">
        <v>0</v>
      </c>
      <c r="Y405">
        <v>0</v>
      </c>
      <c r="Z405" s="70">
        <v>723500000</v>
      </c>
      <c r="AA405" s="70">
        <v>0</v>
      </c>
      <c r="AB405" s="70">
        <v>723500000</v>
      </c>
      <c r="AC405" s="70">
        <v>723500000</v>
      </c>
      <c r="AD405" s="70">
        <v>723500000</v>
      </c>
      <c r="AE405" s="70">
        <v>723500000</v>
      </c>
      <c r="AF405">
        <v>0</v>
      </c>
      <c r="AG405" s="72">
        <f>Tradingbook_MSB[[#This Row],[Mat. Date]]-RPT</f>
        <v>862</v>
      </c>
      <c r="AH405" s="71">
        <f>IF(Tradingbook_MSB[[#This Row],[Days]]&lt;=0,0,YEARFRAC(RPT,Tradingbook_MSB[[#This Row],[Mat. Date]],3))</f>
        <v>2.3616438356164382</v>
      </c>
      <c r="AI405" s="71" t="str">
        <f>IF(Tradingbook_MSB[[#This Row],[Days (year)]]=0,0,INDEX(Ref!$K$2:$K$13,MATCH(Tradingbook_MSB[[#This Row],[Days (year)]],Ref!$I$2:$I$13,1)))</f>
        <v>2Y</v>
      </c>
      <c r="AJ405" s="120" t="str">
        <f>VLOOKUP(Tradingbook_MSB[[#This Row],[Security Name]],Ref!X:Z,3,0)</f>
        <v>TPCP</v>
      </c>
      <c r="AK405" s="120" t="str">
        <f>VLOOKUP(Tradingbook_MSB[[#This Row],[Security Name]],Ref!X:Y,2,0)</f>
        <v>KBNN</v>
      </c>
      <c r="AL405" s="71">
        <f>IF((Tradingbook_MSB[[#This Row],[Mat. Date]]-RPT)&lt;=0,0,Tradingbook_MSB[[#This Row],[QUANTITY]])</f>
        <v>0</v>
      </c>
      <c r="AM405" s="71">
        <f>IF(Tradingbook_MSB[[#This Row],[Quantity_edited]]=0,0,Tradingbook_MSB[[#This Row],[DURATION]])</f>
        <v>0</v>
      </c>
      <c r="AN405" s="71">
        <f>IF(Tradingbook_MSB[[#This Row],[Quantity_edited]]=0,0,Tradingbook_MSB[[#This Row],[Mod Dur]])</f>
        <v>0</v>
      </c>
      <c r="AO405" s="71">
        <f>IF(Tradingbook_MSB[[#This Row],[Quantity_edited]]=0,0,Tradingbook_MSB[[#This Row],[Cnvx.]])</f>
        <v>0</v>
      </c>
      <c r="AP405" s="71">
        <f>(Tradingbook_MSB[[#This Row],[MARKET_VALUE]]+Tradingbook_MSB[[#This Row],[Accr Int]]*Tradingbook_MSB[[#This Row],[Quantity_edited]])*(-Tradingbook_MSB[[#This Row],[Modified Duration]]*0.0001+0.5*Tradingbook_MSB[[#This Row],[Conv]]*(0.0001^2))</f>
        <v>0</v>
      </c>
      <c r="AQ405" s="72">
        <f>(Tradingbook_MSB[[#This Row],[MARKET_VALUE]]+Tradingbook_MSB[[#This Row],[Accr Int]]*Tradingbook_MSB[[#This Row],[Quantity_edited]])*(-Tradingbook_MSB[[#This Row],[Modified Duration]]*0.01+0.5*Tradingbook_MSB[[#This Row],[Conv]]*(0.01^2))</f>
        <v>0</v>
      </c>
      <c r="CL405" t="s">
        <v>166</v>
      </c>
      <c r="CM405" t="s">
        <v>3300</v>
      </c>
      <c r="CN405" t="s">
        <v>613</v>
      </c>
      <c r="CO405" t="s">
        <v>169</v>
      </c>
      <c r="CP405">
        <v>47664</v>
      </c>
      <c r="CQ405" t="s">
        <v>3322</v>
      </c>
      <c r="CR405" t="s">
        <v>4250</v>
      </c>
      <c r="CS405" t="s">
        <v>4251</v>
      </c>
      <c r="CT405">
        <v>0</v>
      </c>
      <c r="CU405">
        <v>0</v>
      </c>
      <c r="CV405">
        <v>0</v>
      </c>
      <c r="CW405">
        <v>0</v>
      </c>
      <c r="CX405">
        <v>7.6</v>
      </c>
      <c r="CY405">
        <v>1020</v>
      </c>
      <c r="CZ405">
        <v>0</v>
      </c>
      <c r="DA405">
        <v>-3.1000000000000001E-5</v>
      </c>
      <c r="DB405">
        <v>-1684522093.6117096</v>
      </c>
      <c r="DC405">
        <v>3.9343883929999999</v>
      </c>
      <c r="DD405">
        <v>3</v>
      </c>
      <c r="DE405">
        <v>3</v>
      </c>
      <c r="DF405">
        <v>15</v>
      </c>
      <c r="DG405">
        <v>0</v>
      </c>
      <c r="DH405">
        <v>0</v>
      </c>
      <c r="DI405">
        <v>0</v>
      </c>
      <c r="DJ405">
        <v>-6784340000.0019531</v>
      </c>
      <c r="DK405">
        <v>0</v>
      </c>
      <c r="DL405">
        <v>-6784340000.0019531</v>
      </c>
      <c r="DM405">
        <v>-6784340000.0019531</v>
      </c>
      <c r="DN405">
        <v>-6784340000.0019999</v>
      </c>
      <c r="DO405">
        <v>-6784340000.0019531</v>
      </c>
      <c r="DP405" s="32">
        <f>Tradingbook_SBV[[#This Row],[Mat. Date]]-RPT</f>
        <v>1412</v>
      </c>
      <c r="DQ405" s="32">
        <f>IF(Tradingbook_SBV[[#This Row],[Days]]&lt;=0,0,YEARFRAC(RPT,Tradingbook_SBV[[#This Row],[Mat. Date]],3))</f>
        <v>3.8684931506849316</v>
      </c>
      <c r="DR405" s="32" t="str">
        <f>IF(Tradingbook_SBV[[#This Row],[Days (year)]]=0,0,INDEX(Ref!$K$2:$K$13,MATCH(Tradingbook_SBV[[#This Row],[Days (year)]],Ref!$I$2:$I$13,1)))</f>
        <v>4Y</v>
      </c>
      <c r="DS405" s="32" t="str">
        <f>VLOOKUP(Tradingbook_SBV[[#This Row],[Security Name]],Ref!X:Z,3,0)</f>
        <v>TPCP</v>
      </c>
      <c r="DT405" s="32" t="str">
        <f>VLOOKUP(Tradingbook_SBV[[#This Row],[Security Name]],Ref!X:Y,2,0)</f>
        <v>KBNN</v>
      </c>
      <c r="DU405" s="71">
        <f>IF((Tradingbook_SBV[[#This Row],[Mat. Date]]-RPT)&lt;=0,0,Tradingbook_SBV[[#This Row],[QUANTITY]])</f>
        <v>0</v>
      </c>
      <c r="DV405" s="71">
        <f>IF(Tradingbook_SBV[[#This Row],[Quantity_edited]]=0,0,Tradingbook_SBV[[#This Row],[DURATION]])</f>
        <v>0</v>
      </c>
      <c r="DW405" s="71">
        <f>IF(Tradingbook_SBV[[#This Row],[Quantity_edited]]=0,0,Tradingbook_SBV[[#This Row],[Mod Dur]])</f>
        <v>0</v>
      </c>
      <c r="DX405" s="71">
        <f>IF(Tradingbook_SBV[[#This Row],[Quantity_edited]]=0,0,Tradingbook_SBV[[#This Row],[Cnvx.]])</f>
        <v>0</v>
      </c>
      <c r="DY405" s="71">
        <f>(Tradingbook_SBV[[#This Row],[MARKET_VALUE]]+Tradingbook_SBV[[#This Row],[Accr Int]]*Tradingbook_SBV[[#This Row],[Quantity_edited]])*(-Tradingbook_SBV[[#This Row],[Modified Duration]]*0.0001+0.5*Tradingbook_SBV[[#This Row],[Conv]]*(0.0001^2))</f>
        <v>0</v>
      </c>
      <c r="DZ405" s="71">
        <f>(Tradingbook_SBV[[#This Row],[MARKET_VALUE]]+Tradingbook_SBV[[#This Row],[Accr Int]]*Tradingbook_SBV[[#This Row],[Quantity_edited]])*(-Tradingbook_SBV[[#This Row],[Modified Duration]]*0.01+0.5*Tradingbook_SBV[[#This Row],[Conv]]*(0.01^2))</f>
        <v>0</v>
      </c>
    </row>
    <row r="406" spans="2:130" x14ac:dyDescent="0.3">
      <c r="B406" t="s">
        <v>166</v>
      </c>
      <c r="C406" t="s">
        <v>3299</v>
      </c>
      <c r="D406" t="s">
        <v>590</v>
      </c>
      <c r="E406" t="s">
        <v>169</v>
      </c>
      <c r="F406" s="502">
        <v>47121</v>
      </c>
      <c r="G406" t="s">
        <v>3322</v>
      </c>
      <c r="H406">
        <v>103202</v>
      </c>
      <c r="I406">
        <v>103202</v>
      </c>
      <c r="J406" s="38">
        <v>0</v>
      </c>
      <c r="K406">
        <v>0</v>
      </c>
      <c r="L406">
        <v>0</v>
      </c>
      <c r="M406" s="38">
        <v>0</v>
      </c>
      <c r="N406">
        <v>5.0999999999999996</v>
      </c>
      <c r="O406">
        <v>3172</v>
      </c>
      <c r="P406" s="37">
        <v>35700000000</v>
      </c>
      <c r="Q406" s="37">
        <v>41433971083.333267</v>
      </c>
      <c r="R406" s="37">
        <v>-7780612475.5165367</v>
      </c>
      <c r="S406">
        <v>3.6598761770000001</v>
      </c>
      <c r="T406" s="70">
        <v>2.1588501769616002</v>
      </c>
      <c r="U406">
        <v>2.2378614200000002</v>
      </c>
      <c r="V406">
        <v>6.9434909063905002</v>
      </c>
      <c r="W406">
        <v>0</v>
      </c>
      <c r="X406" s="38">
        <v>0</v>
      </c>
      <c r="Y406">
        <v>0</v>
      </c>
      <c r="Z406" s="70">
        <v>37564080000</v>
      </c>
      <c r="AA406" s="70">
        <v>0</v>
      </c>
      <c r="AB406" s="70">
        <v>37564080000</v>
      </c>
      <c r="AC406" s="70">
        <v>37564080000</v>
      </c>
      <c r="AD406" s="70">
        <v>37564080000</v>
      </c>
      <c r="AE406" s="70">
        <v>37564080000</v>
      </c>
      <c r="AF406">
        <v>0</v>
      </c>
      <c r="AG406" s="72">
        <f>Tradingbook_MSB[[#This Row],[Mat. Date]]-RPT</f>
        <v>869</v>
      </c>
      <c r="AH406" s="71">
        <f>IF(Tradingbook_MSB[[#This Row],[Days]]&lt;=0,0,YEARFRAC(RPT,Tradingbook_MSB[[#This Row],[Mat. Date]],3))</f>
        <v>2.3808219178082193</v>
      </c>
      <c r="AI406" s="71" t="str">
        <f>IF(Tradingbook_MSB[[#This Row],[Days (year)]]=0,0,INDEX(Ref!$K$2:$K$13,MATCH(Tradingbook_MSB[[#This Row],[Days (year)]],Ref!$I$2:$I$13,1)))</f>
        <v>2Y</v>
      </c>
      <c r="AJ406" s="120" t="str">
        <f>VLOOKUP(Tradingbook_MSB[[#This Row],[Security Name]],Ref!X:Z,3,0)</f>
        <v>TPCP</v>
      </c>
      <c r="AK406" s="120" t="str">
        <f>VLOOKUP(Tradingbook_MSB[[#This Row],[Security Name]],Ref!X:Y,2,0)</f>
        <v>KBNN</v>
      </c>
      <c r="AL406" s="71">
        <f>IF((Tradingbook_MSB[[#This Row],[Mat. Date]]-RPT)&lt;=0,0,Tradingbook_MSB[[#This Row],[QUANTITY]])</f>
        <v>0</v>
      </c>
      <c r="AM406" s="71">
        <f>IF(Tradingbook_MSB[[#This Row],[Quantity_edited]]=0,0,Tradingbook_MSB[[#This Row],[DURATION]])</f>
        <v>0</v>
      </c>
      <c r="AN406" s="71">
        <f>IF(Tradingbook_MSB[[#This Row],[Quantity_edited]]=0,0,Tradingbook_MSB[[#This Row],[Mod Dur]])</f>
        <v>0</v>
      </c>
      <c r="AO406" s="71">
        <f>IF(Tradingbook_MSB[[#This Row],[Quantity_edited]]=0,0,Tradingbook_MSB[[#This Row],[Cnvx.]])</f>
        <v>0</v>
      </c>
      <c r="AP406" s="71">
        <f>(Tradingbook_MSB[[#This Row],[MARKET_VALUE]]+Tradingbook_MSB[[#This Row],[Accr Int]]*Tradingbook_MSB[[#This Row],[Quantity_edited]])*(-Tradingbook_MSB[[#This Row],[Modified Duration]]*0.0001+0.5*Tradingbook_MSB[[#This Row],[Conv]]*(0.0001^2))</f>
        <v>0</v>
      </c>
      <c r="AQ406" s="72">
        <f>(Tradingbook_MSB[[#This Row],[MARKET_VALUE]]+Tradingbook_MSB[[#This Row],[Accr Int]]*Tradingbook_MSB[[#This Row],[Quantity_edited]])*(-Tradingbook_MSB[[#This Row],[Modified Duration]]*0.01+0.5*Tradingbook_MSB[[#This Row],[Conv]]*(0.01^2))</f>
        <v>0</v>
      </c>
      <c r="CL406" t="s">
        <v>166</v>
      </c>
      <c r="CM406" t="s">
        <v>3300</v>
      </c>
      <c r="CN406" t="s">
        <v>614</v>
      </c>
      <c r="CO406" t="s">
        <v>169</v>
      </c>
      <c r="CP406">
        <v>47666</v>
      </c>
      <c r="CQ406" t="s">
        <v>3322</v>
      </c>
      <c r="CR406" t="s">
        <v>4252</v>
      </c>
      <c r="CS406" t="s">
        <v>4253</v>
      </c>
      <c r="CT406">
        <v>0</v>
      </c>
      <c r="CU406">
        <v>0</v>
      </c>
      <c r="CV406">
        <v>0</v>
      </c>
      <c r="CW406">
        <v>0</v>
      </c>
      <c r="CX406">
        <v>2.9</v>
      </c>
      <c r="CY406">
        <v>373</v>
      </c>
      <c r="CZ406">
        <v>8700000000</v>
      </c>
      <c r="DA406">
        <v>10013907833.333265</v>
      </c>
      <c r="DB406">
        <v>-8434171263.9580059</v>
      </c>
      <c r="DC406">
        <v>3.935804182</v>
      </c>
      <c r="DD406">
        <v>4</v>
      </c>
      <c r="DE406">
        <v>4</v>
      </c>
      <c r="DF406">
        <v>16</v>
      </c>
      <c r="DG406">
        <v>0</v>
      </c>
      <c r="DH406">
        <v>0</v>
      </c>
      <c r="DI406">
        <v>0</v>
      </c>
      <c r="DJ406">
        <v>-25457000000</v>
      </c>
      <c r="DK406">
        <v>0</v>
      </c>
      <c r="DL406">
        <v>-25457000000</v>
      </c>
      <c r="DM406">
        <v>-25457000000</v>
      </c>
      <c r="DN406">
        <v>-25457000000</v>
      </c>
      <c r="DO406">
        <v>-25457000000</v>
      </c>
      <c r="DP406" s="32">
        <f>Tradingbook_SBV[[#This Row],[Mat. Date]]-RPT</f>
        <v>1414</v>
      </c>
      <c r="DQ406" s="32">
        <f>IF(Tradingbook_SBV[[#This Row],[Days]]&lt;=0,0,YEARFRAC(RPT,Tradingbook_SBV[[#This Row],[Mat. Date]],3))</f>
        <v>3.8739726027397259</v>
      </c>
      <c r="DR406" s="32" t="str">
        <f>IF(Tradingbook_SBV[[#This Row],[Days (year)]]=0,0,INDEX(Ref!$K$2:$K$13,MATCH(Tradingbook_SBV[[#This Row],[Days (year)]],Ref!$I$2:$I$13,1)))</f>
        <v>4Y</v>
      </c>
      <c r="DS406" s="32" t="str">
        <f>VLOOKUP(Tradingbook_SBV[[#This Row],[Security Name]],Ref!X:Z,3,0)</f>
        <v>TPCP</v>
      </c>
      <c r="DT406" s="32" t="str">
        <f>VLOOKUP(Tradingbook_SBV[[#This Row],[Security Name]],Ref!X:Y,2,0)</f>
        <v>KBNN</v>
      </c>
      <c r="DU406" s="71">
        <f>IF((Tradingbook_SBV[[#This Row],[Mat. Date]]-RPT)&lt;=0,0,Tradingbook_SBV[[#This Row],[QUANTITY]])</f>
        <v>0</v>
      </c>
      <c r="DV406" s="71">
        <f>IF(Tradingbook_SBV[[#This Row],[Quantity_edited]]=0,0,Tradingbook_SBV[[#This Row],[DURATION]])</f>
        <v>0</v>
      </c>
      <c r="DW406" s="71">
        <f>IF(Tradingbook_SBV[[#This Row],[Quantity_edited]]=0,0,Tradingbook_SBV[[#This Row],[Mod Dur]])</f>
        <v>0</v>
      </c>
      <c r="DX406" s="71">
        <f>IF(Tradingbook_SBV[[#This Row],[Quantity_edited]]=0,0,Tradingbook_SBV[[#This Row],[Cnvx.]])</f>
        <v>0</v>
      </c>
      <c r="DY406" s="71">
        <f>(Tradingbook_SBV[[#This Row],[MARKET_VALUE]]+Tradingbook_SBV[[#This Row],[Accr Int]]*Tradingbook_SBV[[#This Row],[Quantity_edited]])*(-Tradingbook_SBV[[#This Row],[Modified Duration]]*0.0001+0.5*Tradingbook_SBV[[#This Row],[Conv]]*(0.0001^2))</f>
        <v>0</v>
      </c>
      <c r="DZ406" s="71">
        <f>(Tradingbook_SBV[[#This Row],[MARKET_VALUE]]+Tradingbook_SBV[[#This Row],[Accr Int]]*Tradingbook_SBV[[#This Row],[Quantity_edited]])*(-Tradingbook_SBV[[#This Row],[Modified Duration]]*0.01+0.5*Tradingbook_SBV[[#This Row],[Conv]]*(0.01^2))</f>
        <v>0</v>
      </c>
    </row>
    <row r="407" spans="2:130" x14ac:dyDescent="0.3">
      <c r="B407" t="s">
        <v>166</v>
      </c>
      <c r="C407" t="s">
        <v>3299</v>
      </c>
      <c r="D407" t="s">
        <v>2798</v>
      </c>
      <c r="E407" t="s">
        <v>169</v>
      </c>
      <c r="F407" s="502">
        <v>47129</v>
      </c>
      <c r="G407" t="s">
        <v>3322</v>
      </c>
      <c r="H407">
        <v>95113</v>
      </c>
      <c r="I407">
        <v>95113</v>
      </c>
      <c r="J407" s="38">
        <v>0</v>
      </c>
      <c r="K407">
        <v>0</v>
      </c>
      <c r="L407">
        <v>0</v>
      </c>
      <c r="M407" s="38">
        <v>0</v>
      </c>
      <c r="N407">
        <v>1.5</v>
      </c>
      <c r="O407">
        <v>900</v>
      </c>
      <c r="P407" s="37">
        <v>0</v>
      </c>
      <c r="Q407" s="37">
        <v>1.9999999999999999E-6</v>
      </c>
      <c r="R407" s="37">
        <v>-647435982.26388359</v>
      </c>
      <c r="S407">
        <v>3.661180066</v>
      </c>
      <c r="T407" s="70">
        <v>2.2711921024096999</v>
      </c>
      <c r="U407">
        <v>2.3543445300000001</v>
      </c>
      <c r="V407">
        <v>7.4185001148724998</v>
      </c>
      <c r="W407">
        <v>0</v>
      </c>
      <c r="X407" s="38">
        <v>0</v>
      </c>
      <c r="Y407">
        <v>0</v>
      </c>
      <c r="Z407" s="70">
        <v>-308280000</v>
      </c>
      <c r="AA407" s="70">
        <v>0</v>
      </c>
      <c r="AB407" s="70">
        <v>-308280000</v>
      </c>
      <c r="AC407" s="70">
        <v>-308280000</v>
      </c>
      <c r="AD407" s="70">
        <v>-308280000</v>
      </c>
      <c r="AE407" s="70">
        <v>-308280000</v>
      </c>
      <c r="AF407">
        <v>0</v>
      </c>
      <c r="AG407" s="72">
        <f>Tradingbook_MSB[[#This Row],[Mat. Date]]-RPT</f>
        <v>877</v>
      </c>
      <c r="AH407" s="71">
        <f>IF(Tradingbook_MSB[[#This Row],[Days]]&lt;=0,0,YEARFRAC(RPT,Tradingbook_MSB[[#This Row],[Mat. Date]],3))</f>
        <v>2.4027397260273973</v>
      </c>
      <c r="AI407" s="71" t="str">
        <f>IF(Tradingbook_MSB[[#This Row],[Days (year)]]=0,0,INDEX(Ref!$K$2:$K$13,MATCH(Tradingbook_MSB[[#This Row],[Days (year)]],Ref!$I$2:$I$13,1)))</f>
        <v>2Y</v>
      </c>
      <c r="AJ407" s="120" t="str">
        <f>VLOOKUP(Tradingbook_MSB[[#This Row],[Security Name]],Ref!X:Z,3,0)</f>
        <v>TPCP</v>
      </c>
      <c r="AK407" s="120" t="str">
        <f>VLOOKUP(Tradingbook_MSB[[#This Row],[Security Name]],Ref!X:Y,2,0)</f>
        <v>KBNN</v>
      </c>
      <c r="AL407" s="71">
        <f>IF((Tradingbook_MSB[[#This Row],[Mat. Date]]-RPT)&lt;=0,0,Tradingbook_MSB[[#This Row],[QUANTITY]])</f>
        <v>0</v>
      </c>
      <c r="AM407" s="71">
        <f>IF(Tradingbook_MSB[[#This Row],[Quantity_edited]]=0,0,Tradingbook_MSB[[#This Row],[DURATION]])</f>
        <v>0</v>
      </c>
      <c r="AN407" s="71">
        <f>IF(Tradingbook_MSB[[#This Row],[Quantity_edited]]=0,0,Tradingbook_MSB[[#This Row],[Mod Dur]])</f>
        <v>0</v>
      </c>
      <c r="AO407" s="71">
        <f>IF(Tradingbook_MSB[[#This Row],[Quantity_edited]]=0,0,Tradingbook_MSB[[#This Row],[Cnvx.]])</f>
        <v>0</v>
      </c>
      <c r="AP407" s="71">
        <f>(Tradingbook_MSB[[#This Row],[MARKET_VALUE]]+Tradingbook_MSB[[#This Row],[Accr Int]]*Tradingbook_MSB[[#This Row],[Quantity_edited]])*(-Tradingbook_MSB[[#This Row],[Modified Duration]]*0.0001+0.5*Tradingbook_MSB[[#This Row],[Conv]]*(0.0001^2))</f>
        <v>0</v>
      </c>
      <c r="AQ407" s="72">
        <f>(Tradingbook_MSB[[#This Row],[MARKET_VALUE]]+Tradingbook_MSB[[#This Row],[Accr Int]]*Tradingbook_MSB[[#This Row],[Quantity_edited]])*(-Tradingbook_MSB[[#This Row],[Modified Duration]]*0.01+0.5*Tradingbook_MSB[[#This Row],[Conv]]*(0.01^2))</f>
        <v>0</v>
      </c>
      <c r="CL407" t="s">
        <v>166</v>
      </c>
      <c r="CM407" t="s">
        <v>3300</v>
      </c>
      <c r="CN407" t="s">
        <v>626</v>
      </c>
      <c r="CO407" t="s">
        <v>169</v>
      </c>
      <c r="CP407">
        <v>47673</v>
      </c>
      <c r="CQ407" t="s">
        <v>3322</v>
      </c>
      <c r="CR407" t="s">
        <v>4254</v>
      </c>
      <c r="CS407" t="s">
        <v>4255</v>
      </c>
      <c r="CT407">
        <v>0</v>
      </c>
      <c r="CU407">
        <v>0</v>
      </c>
      <c r="CV407">
        <v>0</v>
      </c>
      <c r="CW407">
        <v>0</v>
      </c>
      <c r="CX407">
        <v>2.8</v>
      </c>
      <c r="CY407">
        <v>307</v>
      </c>
      <c r="CZ407">
        <v>1400000000</v>
      </c>
      <c r="DA407">
        <v>1603083999.999989</v>
      </c>
      <c r="DB407">
        <v>-2453488286.180439</v>
      </c>
      <c r="DC407">
        <v>3.94083016</v>
      </c>
      <c r="DD407">
        <v>4</v>
      </c>
      <c r="DE407">
        <v>4</v>
      </c>
      <c r="DF407">
        <v>17</v>
      </c>
      <c r="DG407">
        <v>0</v>
      </c>
      <c r="DH407">
        <v>0</v>
      </c>
      <c r="DI407">
        <v>0</v>
      </c>
      <c r="DJ407">
        <v>-2396000000</v>
      </c>
      <c r="DK407">
        <v>0</v>
      </c>
      <c r="DL407">
        <v>-2396000000</v>
      </c>
      <c r="DM407">
        <v>-2396000000</v>
      </c>
      <c r="DN407">
        <v>-2396000000</v>
      </c>
      <c r="DO407">
        <v>-2396000000</v>
      </c>
      <c r="DP407" s="32">
        <f>Tradingbook_SBV[[#This Row],[Mat. Date]]-RPT</f>
        <v>1421</v>
      </c>
      <c r="DQ407" s="32">
        <f>IF(Tradingbook_SBV[[#This Row],[Days]]&lt;=0,0,YEARFRAC(RPT,Tradingbook_SBV[[#This Row],[Mat. Date]],3))</f>
        <v>3.893150684931507</v>
      </c>
      <c r="DR407" s="32" t="str">
        <f>IF(Tradingbook_SBV[[#This Row],[Days (year)]]=0,0,INDEX(Ref!$K$2:$K$13,MATCH(Tradingbook_SBV[[#This Row],[Days (year)]],Ref!$I$2:$I$13,1)))</f>
        <v>4Y</v>
      </c>
      <c r="DS407" s="32" t="str">
        <f>VLOOKUP(Tradingbook_SBV[[#This Row],[Security Name]],Ref!X:Z,3,0)</f>
        <v>TPCP</v>
      </c>
      <c r="DT407" s="32" t="str">
        <f>VLOOKUP(Tradingbook_SBV[[#This Row],[Security Name]],Ref!X:Y,2,0)</f>
        <v>KBNN</v>
      </c>
      <c r="DU407" s="71">
        <f>IF((Tradingbook_SBV[[#This Row],[Mat. Date]]-RPT)&lt;=0,0,Tradingbook_SBV[[#This Row],[QUANTITY]])</f>
        <v>0</v>
      </c>
      <c r="DV407" s="71">
        <f>IF(Tradingbook_SBV[[#This Row],[Quantity_edited]]=0,0,Tradingbook_SBV[[#This Row],[DURATION]])</f>
        <v>0</v>
      </c>
      <c r="DW407" s="71">
        <f>IF(Tradingbook_SBV[[#This Row],[Quantity_edited]]=0,0,Tradingbook_SBV[[#This Row],[Mod Dur]])</f>
        <v>0</v>
      </c>
      <c r="DX407" s="71">
        <f>IF(Tradingbook_SBV[[#This Row],[Quantity_edited]]=0,0,Tradingbook_SBV[[#This Row],[Cnvx.]])</f>
        <v>0</v>
      </c>
      <c r="DY407" s="71">
        <f>(Tradingbook_SBV[[#This Row],[MARKET_VALUE]]+Tradingbook_SBV[[#This Row],[Accr Int]]*Tradingbook_SBV[[#This Row],[Quantity_edited]])*(-Tradingbook_SBV[[#This Row],[Modified Duration]]*0.0001+0.5*Tradingbook_SBV[[#This Row],[Conv]]*(0.0001^2))</f>
        <v>0</v>
      </c>
      <c r="DZ407" s="71">
        <f>(Tradingbook_SBV[[#This Row],[MARKET_VALUE]]+Tradingbook_SBV[[#This Row],[Accr Int]]*Tradingbook_SBV[[#This Row],[Quantity_edited]])*(-Tradingbook_SBV[[#This Row],[Modified Duration]]*0.01+0.5*Tradingbook_SBV[[#This Row],[Conv]]*(0.01^2))</f>
        <v>0</v>
      </c>
    </row>
    <row r="408" spans="2:130" x14ac:dyDescent="0.3">
      <c r="B408" t="s">
        <v>166</v>
      </c>
      <c r="C408" t="s">
        <v>3299</v>
      </c>
      <c r="D408" t="s">
        <v>591</v>
      </c>
      <c r="E408" t="s">
        <v>169</v>
      </c>
      <c r="F408" s="502">
        <v>47149</v>
      </c>
      <c r="G408" t="s">
        <v>3322</v>
      </c>
      <c r="H408">
        <v>102597</v>
      </c>
      <c r="I408">
        <v>102597</v>
      </c>
      <c r="J408" s="38">
        <v>0</v>
      </c>
      <c r="K408">
        <v>0</v>
      </c>
      <c r="L408">
        <v>0</v>
      </c>
      <c r="M408" s="38">
        <v>0</v>
      </c>
      <c r="N408">
        <v>4.8</v>
      </c>
      <c r="O408">
        <v>2617</v>
      </c>
      <c r="P408" s="37">
        <v>55200000000</v>
      </c>
      <c r="Q408" s="37">
        <v>64080784666.666451</v>
      </c>
      <c r="R408" s="37">
        <v>2979230462.7084999</v>
      </c>
      <c r="S408">
        <v>3.6652110200000001</v>
      </c>
      <c r="T408" s="70">
        <v>2.2396518000459</v>
      </c>
      <c r="U408">
        <v>2.3217397599999998</v>
      </c>
      <c r="V408">
        <v>7.3673709839542001</v>
      </c>
      <c r="W408">
        <v>0</v>
      </c>
      <c r="X408" s="38">
        <v>0</v>
      </c>
      <c r="Y408">
        <v>0</v>
      </c>
      <c r="Z408" s="70">
        <v>78998000000</v>
      </c>
      <c r="AA408" s="70">
        <v>0</v>
      </c>
      <c r="AB408" s="70">
        <v>78998000000</v>
      </c>
      <c r="AC408" s="70">
        <v>78998000000</v>
      </c>
      <c r="AD408" s="70">
        <v>78998000000</v>
      </c>
      <c r="AE408" s="70">
        <v>78998000000</v>
      </c>
      <c r="AF408">
        <v>0</v>
      </c>
      <c r="AG408" s="72">
        <f>Tradingbook_MSB[[#This Row],[Mat. Date]]-RPT</f>
        <v>897</v>
      </c>
      <c r="AH408" s="71">
        <f>IF(Tradingbook_MSB[[#This Row],[Days]]&lt;=0,0,YEARFRAC(RPT,Tradingbook_MSB[[#This Row],[Mat. Date]],3))</f>
        <v>2.4575342465753423</v>
      </c>
      <c r="AI408" s="71" t="str">
        <f>IF(Tradingbook_MSB[[#This Row],[Days (year)]]=0,0,INDEX(Ref!$K$2:$K$13,MATCH(Tradingbook_MSB[[#This Row],[Days (year)]],Ref!$I$2:$I$13,1)))</f>
        <v>2Y</v>
      </c>
      <c r="AJ408" s="120" t="str">
        <f>VLOOKUP(Tradingbook_MSB[[#This Row],[Security Name]],Ref!X:Z,3,0)</f>
        <v>TPCP</v>
      </c>
      <c r="AK408" s="120" t="str">
        <f>VLOOKUP(Tradingbook_MSB[[#This Row],[Security Name]],Ref!X:Y,2,0)</f>
        <v>KBNN</v>
      </c>
      <c r="AL408" s="71">
        <f>IF((Tradingbook_MSB[[#This Row],[Mat. Date]]-RPT)&lt;=0,0,Tradingbook_MSB[[#This Row],[QUANTITY]])</f>
        <v>0</v>
      </c>
      <c r="AM408" s="71">
        <f>IF(Tradingbook_MSB[[#This Row],[Quantity_edited]]=0,0,Tradingbook_MSB[[#This Row],[DURATION]])</f>
        <v>0</v>
      </c>
      <c r="AN408" s="71">
        <f>IF(Tradingbook_MSB[[#This Row],[Quantity_edited]]=0,0,Tradingbook_MSB[[#This Row],[Mod Dur]])</f>
        <v>0</v>
      </c>
      <c r="AO408" s="71">
        <f>IF(Tradingbook_MSB[[#This Row],[Quantity_edited]]=0,0,Tradingbook_MSB[[#This Row],[Cnvx.]])</f>
        <v>0</v>
      </c>
      <c r="AP408" s="71">
        <f>(Tradingbook_MSB[[#This Row],[MARKET_VALUE]]+Tradingbook_MSB[[#This Row],[Accr Int]]*Tradingbook_MSB[[#This Row],[Quantity_edited]])*(-Tradingbook_MSB[[#This Row],[Modified Duration]]*0.0001+0.5*Tradingbook_MSB[[#This Row],[Conv]]*(0.0001^2))</f>
        <v>0</v>
      </c>
      <c r="AQ408" s="72">
        <f>(Tradingbook_MSB[[#This Row],[MARKET_VALUE]]+Tradingbook_MSB[[#This Row],[Accr Int]]*Tradingbook_MSB[[#This Row],[Quantity_edited]])*(-Tradingbook_MSB[[#This Row],[Modified Duration]]*0.01+0.5*Tradingbook_MSB[[#This Row],[Conv]]*(0.01^2))</f>
        <v>0</v>
      </c>
      <c r="CL408" t="s">
        <v>166</v>
      </c>
      <c r="CM408" t="s">
        <v>3300</v>
      </c>
      <c r="CN408" t="s">
        <v>627</v>
      </c>
      <c r="CO408" t="s">
        <v>169</v>
      </c>
      <c r="CP408">
        <v>47680</v>
      </c>
      <c r="CQ408" t="s">
        <v>3322</v>
      </c>
      <c r="CR408" t="s">
        <v>4256</v>
      </c>
      <c r="CS408" t="s">
        <v>4257</v>
      </c>
      <c r="CT408">
        <v>0</v>
      </c>
      <c r="CU408">
        <v>0</v>
      </c>
      <c r="CV408">
        <v>0</v>
      </c>
      <c r="CW408">
        <v>0</v>
      </c>
      <c r="CX408">
        <v>2.7</v>
      </c>
      <c r="CY408">
        <v>244</v>
      </c>
      <c r="CZ408">
        <v>1350000000</v>
      </c>
      <c r="DA408">
        <v>1545569437.499984</v>
      </c>
      <c r="DB408">
        <v>-1906196777.6388216</v>
      </c>
      <c r="DC408">
        <v>3.9460088780000002</v>
      </c>
      <c r="DD408">
        <v>4</v>
      </c>
      <c r="DE408">
        <v>4</v>
      </c>
      <c r="DF408">
        <v>17</v>
      </c>
      <c r="DG408">
        <v>0</v>
      </c>
      <c r="DH408">
        <v>0</v>
      </c>
      <c r="DI408">
        <v>0</v>
      </c>
      <c r="DJ408">
        <v>-6133999999.9998779</v>
      </c>
      <c r="DK408">
        <v>0</v>
      </c>
      <c r="DL408">
        <v>-6133999999.9998779</v>
      </c>
      <c r="DM408">
        <v>-6133999999.9998779</v>
      </c>
      <c r="DN408">
        <v>-6134000000</v>
      </c>
      <c r="DO408">
        <v>-6133999999.9998779</v>
      </c>
      <c r="DP408" s="32">
        <f>Tradingbook_SBV[[#This Row],[Mat. Date]]-RPT</f>
        <v>1428</v>
      </c>
      <c r="DQ408" s="32">
        <f>IF(Tradingbook_SBV[[#This Row],[Days]]&lt;=0,0,YEARFRAC(RPT,Tradingbook_SBV[[#This Row],[Mat. Date]],3))</f>
        <v>3.9123287671232876</v>
      </c>
      <c r="DR408" s="32" t="str">
        <f>IF(Tradingbook_SBV[[#This Row],[Days (year)]]=0,0,INDEX(Ref!$K$2:$K$13,MATCH(Tradingbook_SBV[[#This Row],[Days (year)]],Ref!$I$2:$I$13,1)))</f>
        <v>4Y</v>
      </c>
      <c r="DS408" s="32" t="str">
        <f>VLOOKUP(Tradingbook_SBV[[#This Row],[Security Name]],Ref!X:Z,3,0)</f>
        <v>TPCP</v>
      </c>
      <c r="DT408" s="32" t="str">
        <f>VLOOKUP(Tradingbook_SBV[[#This Row],[Security Name]],Ref!X:Y,2,0)</f>
        <v>KBNN</v>
      </c>
      <c r="DU408" s="71">
        <f>IF((Tradingbook_SBV[[#This Row],[Mat. Date]]-RPT)&lt;=0,0,Tradingbook_SBV[[#This Row],[QUANTITY]])</f>
        <v>0</v>
      </c>
      <c r="DV408" s="71">
        <f>IF(Tradingbook_SBV[[#This Row],[Quantity_edited]]=0,0,Tradingbook_SBV[[#This Row],[DURATION]])</f>
        <v>0</v>
      </c>
      <c r="DW408" s="71">
        <f>IF(Tradingbook_SBV[[#This Row],[Quantity_edited]]=0,0,Tradingbook_SBV[[#This Row],[Mod Dur]])</f>
        <v>0</v>
      </c>
      <c r="DX408" s="71">
        <f>IF(Tradingbook_SBV[[#This Row],[Quantity_edited]]=0,0,Tradingbook_SBV[[#This Row],[Cnvx.]])</f>
        <v>0</v>
      </c>
      <c r="DY408" s="71">
        <f>(Tradingbook_SBV[[#This Row],[MARKET_VALUE]]+Tradingbook_SBV[[#This Row],[Accr Int]]*Tradingbook_SBV[[#This Row],[Quantity_edited]])*(-Tradingbook_SBV[[#This Row],[Modified Duration]]*0.0001+0.5*Tradingbook_SBV[[#This Row],[Conv]]*(0.0001^2))</f>
        <v>0</v>
      </c>
      <c r="DZ408" s="71">
        <f>(Tradingbook_SBV[[#This Row],[MARKET_VALUE]]+Tradingbook_SBV[[#This Row],[Accr Int]]*Tradingbook_SBV[[#This Row],[Quantity_edited]])*(-Tradingbook_SBV[[#This Row],[Modified Duration]]*0.01+0.5*Tradingbook_SBV[[#This Row],[Conv]]*(0.01^2))</f>
        <v>0</v>
      </c>
    </row>
    <row r="409" spans="2:130" x14ac:dyDescent="0.3">
      <c r="B409" t="s">
        <v>166</v>
      </c>
      <c r="C409" t="s">
        <v>3299</v>
      </c>
      <c r="D409" t="s">
        <v>592</v>
      </c>
      <c r="E409" t="s">
        <v>169</v>
      </c>
      <c r="F409" s="502">
        <v>47184</v>
      </c>
      <c r="G409" t="s">
        <v>3322</v>
      </c>
      <c r="H409">
        <v>102439</v>
      </c>
      <c r="I409">
        <v>102439</v>
      </c>
      <c r="J409" s="38">
        <v>0</v>
      </c>
      <c r="K409">
        <v>0</v>
      </c>
      <c r="L409">
        <v>0</v>
      </c>
      <c r="M409" s="38">
        <v>0</v>
      </c>
      <c r="N409">
        <v>4.7</v>
      </c>
      <c r="O409">
        <v>2112</v>
      </c>
      <c r="P409" s="37">
        <v>2350000000</v>
      </c>
      <c r="Q409" s="37">
        <v>2724329541.6666598</v>
      </c>
      <c r="R409" s="37">
        <v>202414527.1555624</v>
      </c>
      <c r="S409">
        <v>3.6720211109999998</v>
      </c>
      <c r="T409" s="70">
        <v>2.3343185914493998</v>
      </c>
      <c r="U409">
        <v>2.4200352600000001</v>
      </c>
      <c r="V409">
        <v>7.8883653343095999</v>
      </c>
      <c r="W409">
        <v>0</v>
      </c>
      <c r="X409" s="38">
        <v>0</v>
      </c>
      <c r="Y409">
        <v>0</v>
      </c>
      <c r="Z409" s="70">
        <v>6893260000</v>
      </c>
      <c r="AA409" s="70">
        <v>0</v>
      </c>
      <c r="AB409" s="70">
        <v>6893260000</v>
      </c>
      <c r="AC409" s="70">
        <v>6893260000</v>
      </c>
      <c r="AD409" s="70">
        <v>6893260000</v>
      </c>
      <c r="AE409" s="70">
        <v>6893260000</v>
      </c>
      <c r="AF409">
        <v>0</v>
      </c>
      <c r="AG409" s="72">
        <f>Tradingbook_MSB[[#This Row],[Mat. Date]]-RPT</f>
        <v>932</v>
      </c>
      <c r="AH409" s="71">
        <f>IF(Tradingbook_MSB[[#This Row],[Days]]&lt;=0,0,YEARFRAC(RPT,Tradingbook_MSB[[#This Row],[Mat. Date]],3))</f>
        <v>2.5534246575342467</v>
      </c>
      <c r="AI409" s="71" t="str">
        <f>IF(Tradingbook_MSB[[#This Row],[Days (year)]]=0,0,INDEX(Ref!$K$2:$K$13,MATCH(Tradingbook_MSB[[#This Row],[Days (year)]],Ref!$I$2:$I$13,1)))</f>
        <v>3Y</v>
      </c>
      <c r="AJ409" s="120" t="str">
        <f>VLOOKUP(Tradingbook_MSB[[#This Row],[Security Name]],Ref!X:Z,3,0)</f>
        <v>TPCP</v>
      </c>
      <c r="AK409" s="120" t="str">
        <f>VLOOKUP(Tradingbook_MSB[[#This Row],[Security Name]],Ref!X:Y,2,0)</f>
        <v>KBNN</v>
      </c>
      <c r="AL409" s="71">
        <f>IF((Tradingbook_MSB[[#This Row],[Mat. Date]]-RPT)&lt;=0,0,Tradingbook_MSB[[#This Row],[QUANTITY]])</f>
        <v>0</v>
      </c>
      <c r="AM409" s="71">
        <f>IF(Tradingbook_MSB[[#This Row],[Quantity_edited]]=0,0,Tradingbook_MSB[[#This Row],[DURATION]])</f>
        <v>0</v>
      </c>
      <c r="AN409" s="71">
        <f>IF(Tradingbook_MSB[[#This Row],[Quantity_edited]]=0,0,Tradingbook_MSB[[#This Row],[Mod Dur]])</f>
        <v>0</v>
      </c>
      <c r="AO409" s="71">
        <f>IF(Tradingbook_MSB[[#This Row],[Quantity_edited]]=0,0,Tradingbook_MSB[[#This Row],[Cnvx.]])</f>
        <v>0</v>
      </c>
      <c r="AP409" s="71">
        <f>(Tradingbook_MSB[[#This Row],[MARKET_VALUE]]+Tradingbook_MSB[[#This Row],[Accr Int]]*Tradingbook_MSB[[#This Row],[Quantity_edited]])*(-Tradingbook_MSB[[#This Row],[Modified Duration]]*0.0001+0.5*Tradingbook_MSB[[#This Row],[Conv]]*(0.0001^2))</f>
        <v>0</v>
      </c>
      <c r="AQ409" s="72">
        <f>(Tradingbook_MSB[[#This Row],[MARKET_VALUE]]+Tradingbook_MSB[[#This Row],[Accr Int]]*Tradingbook_MSB[[#This Row],[Quantity_edited]])*(-Tradingbook_MSB[[#This Row],[Modified Duration]]*0.01+0.5*Tradingbook_MSB[[#This Row],[Conv]]*(0.01^2))</f>
        <v>0</v>
      </c>
      <c r="CL409" t="s">
        <v>166</v>
      </c>
      <c r="CM409" t="s">
        <v>3300</v>
      </c>
      <c r="CN409" t="s">
        <v>3517</v>
      </c>
      <c r="CO409" t="s">
        <v>169</v>
      </c>
      <c r="CP409">
        <v>47688</v>
      </c>
      <c r="CQ409" t="s">
        <v>3322</v>
      </c>
      <c r="CR409" t="s">
        <v>4258</v>
      </c>
      <c r="CS409" t="s">
        <v>4259</v>
      </c>
      <c r="CT409">
        <v>0</v>
      </c>
      <c r="CU409">
        <v>0</v>
      </c>
      <c r="CV409">
        <v>0</v>
      </c>
      <c r="CW409">
        <v>0</v>
      </c>
      <c r="CX409">
        <v>2.7</v>
      </c>
      <c r="CY409">
        <v>185</v>
      </c>
      <c r="CZ409">
        <v>0</v>
      </c>
      <c r="DA409">
        <v>0</v>
      </c>
      <c r="DB409">
        <v>-1615455303.4722314</v>
      </c>
      <c r="DC409">
        <v>3.9519875469999999</v>
      </c>
      <c r="DD409">
        <v>4</v>
      </c>
      <c r="DE409">
        <v>4</v>
      </c>
      <c r="DF409">
        <v>17</v>
      </c>
      <c r="DG409">
        <v>0</v>
      </c>
      <c r="DH409">
        <v>0</v>
      </c>
      <c r="DI409">
        <v>0</v>
      </c>
      <c r="DJ409">
        <v>1293000000</v>
      </c>
      <c r="DK409">
        <v>0</v>
      </c>
      <c r="DL409">
        <v>1293000000</v>
      </c>
      <c r="DM409">
        <v>1293000000</v>
      </c>
      <c r="DN409">
        <v>1293000000</v>
      </c>
      <c r="DO409">
        <v>1293000000</v>
      </c>
      <c r="DP409" s="32">
        <f>Tradingbook_SBV[[#This Row],[Mat. Date]]-RPT</f>
        <v>1436</v>
      </c>
      <c r="DQ409" s="32">
        <f>IF(Tradingbook_SBV[[#This Row],[Days]]&lt;=0,0,YEARFRAC(RPT,Tradingbook_SBV[[#This Row],[Mat. Date]],3))</f>
        <v>3.9342465753424656</v>
      </c>
      <c r="DR409" s="32" t="str">
        <f>IF(Tradingbook_SBV[[#This Row],[Days (year)]]=0,0,INDEX(Ref!$K$2:$K$13,MATCH(Tradingbook_SBV[[#This Row],[Days (year)]],Ref!$I$2:$I$13,1)))</f>
        <v>4Y</v>
      </c>
      <c r="DS409" s="32" t="str">
        <f>VLOOKUP(Tradingbook_SBV[[#This Row],[Security Name]],Ref!X:Z,3,0)</f>
        <v>TPCP</v>
      </c>
      <c r="DT409" s="32" t="str">
        <f>VLOOKUP(Tradingbook_SBV[[#This Row],[Security Name]],Ref!X:Y,2,0)</f>
        <v>KBNN</v>
      </c>
      <c r="DU409" s="71">
        <f>IF((Tradingbook_SBV[[#This Row],[Mat. Date]]-RPT)&lt;=0,0,Tradingbook_SBV[[#This Row],[QUANTITY]])</f>
        <v>0</v>
      </c>
      <c r="DV409" s="71">
        <f>IF(Tradingbook_SBV[[#This Row],[Quantity_edited]]=0,0,Tradingbook_SBV[[#This Row],[DURATION]])</f>
        <v>0</v>
      </c>
      <c r="DW409" s="71">
        <f>IF(Tradingbook_SBV[[#This Row],[Quantity_edited]]=0,0,Tradingbook_SBV[[#This Row],[Mod Dur]])</f>
        <v>0</v>
      </c>
      <c r="DX409" s="71">
        <f>IF(Tradingbook_SBV[[#This Row],[Quantity_edited]]=0,0,Tradingbook_SBV[[#This Row],[Cnvx.]])</f>
        <v>0</v>
      </c>
      <c r="DY409" s="71">
        <f>(Tradingbook_SBV[[#This Row],[MARKET_VALUE]]+Tradingbook_SBV[[#This Row],[Accr Int]]*Tradingbook_SBV[[#This Row],[Quantity_edited]])*(-Tradingbook_SBV[[#This Row],[Modified Duration]]*0.0001+0.5*Tradingbook_SBV[[#This Row],[Conv]]*(0.0001^2))</f>
        <v>0</v>
      </c>
      <c r="DZ409" s="71">
        <f>(Tradingbook_SBV[[#This Row],[MARKET_VALUE]]+Tradingbook_SBV[[#This Row],[Accr Int]]*Tradingbook_SBV[[#This Row],[Quantity_edited]])*(-Tradingbook_SBV[[#This Row],[Modified Duration]]*0.01+0.5*Tradingbook_SBV[[#This Row],[Conv]]*(0.01^2))</f>
        <v>0</v>
      </c>
    </row>
    <row r="410" spans="2:130" x14ac:dyDescent="0.3">
      <c r="B410" t="s">
        <v>166</v>
      </c>
      <c r="C410" t="s">
        <v>3299</v>
      </c>
      <c r="D410" t="s">
        <v>593</v>
      </c>
      <c r="E410" t="s">
        <v>169</v>
      </c>
      <c r="F410" s="502">
        <v>47192</v>
      </c>
      <c r="G410" t="s">
        <v>3322</v>
      </c>
      <c r="H410">
        <v>112331</v>
      </c>
      <c r="I410">
        <v>112331</v>
      </c>
      <c r="J410" s="38">
        <v>0</v>
      </c>
      <c r="K410">
        <v>0</v>
      </c>
      <c r="L410">
        <v>0</v>
      </c>
      <c r="M410" s="38">
        <v>0</v>
      </c>
      <c r="N410">
        <v>8.8000000000000007</v>
      </c>
      <c r="O410">
        <v>3761</v>
      </c>
      <c r="P410" s="37">
        <v>198000000000</v>
      </c>
      <c r="Q410" s="37">
        <v>232378788888.88934</v>
      </c>
      <c r="R410" s="37">
        <v>-70111598442.729584</v>
      </c>
      <c r="S410">
        <v>3.6732719949999999</v>
      </c>
      <c r="T410" s="70">
        <v>2.2691257268527001</v>
      </c>
      <c r="U410">
        <v>2.3524768900000002</v>
      </c>
      <c r="V410">
        <v>7.6355478479801997</v>
      </c>
      <c r="W410">
        <v>0</v>
      </c>
      <c r="X410" s="38">
        <v>0</v>
      </c>
      <c r="Y410">
        <v>0</v>
      </c>
      <c r="Z410" s="70">
        <v>3738678697</v>
      </c>
      <c r="AA410" s="70">
        <v>0</v>
      </c>
      <c r="AB410" s="70">
        <v>3738678697</v>
      </c>
      <c r="AC410" s="70">
        <v>3738678697</v>
      </c>
      <c r="AD410" s="70">
        <v>3738678697</v>
      </c>
      <c r="AE410" s="70">
        <v>3738678697</v>
      </c>
      <c r="AF410">
        <v>0</v>
      </c>
      <c r="AG410" s="72">
        <f>Tradingbook_MSB[[#This Row],[Mat. Date]]-RPT</f>
        <v>940</v>
      </c>
      <c r="AH410" s="71">
        <f>IF(Tradingbook_MSB[[#This Row],[Days]]&lt;=0,0,YEARFRAC(RPT,Tradingbook_MSB[[#This Row],[Mat. Date]],3))</f>
        <v>2.5753424657534247</v>
      </c>
      <c r="AI410" s="71" t="str">
        <f>IF(Tradingbook_MSB[[#This Row],[Days (year)]]=0,0,INDEX(Ref!$K$2:$K$13,MATCH(Tradingbook_MSB[[#This Row],[Days (year)]],Ref!$I$2:$I$13,1)))</f>
        <v>3Y</v>
      </c>
      <c r="AJ410" s="120" t="str">
        <f>VLOOKUP(Tradingbook_MSB[[#This Row],[Security Name]],Ref!X:Z,3,0)</f>
        <v>TPCP</v>
      </c>
      <c r="AK410" s="120" t="str">
        <f>VLOOKUP(Tradingbook_MSB[[#This Row],[Security Name]],Ref!X:Y,2,0)</f>
        <v>KBNN</v>
      </c>
      <c r="AL410" s="71">
        <f>IF((Tradingbook_MSB[[#This Row],[Mat. Date]]-RPT)&lt;=0,0,Tradingbook_MSB[[#This Row],[QUANTITY]])</f>
        <v>0</v>
      </c>
      <c r="AM410" s="71">
        <f>IF(Tradingbook_MSB[[#This Row],[Quantity_edited]]=0,0,Tradingbook_MSB[[#This Row],[DURATION]])</f>
        <v>0</v>
      </c>
      <c r="AN410" s="71">
        <f>IF(Tradingbook_MSB[[#This Row],[Quantity_edited]]=0,0,Tradingbook_MSB[[#This Row],[Mod Dur]])</f>
        <v>0</v>
      </c>
      <c r="AO410" s="71">
        <f>IF(Tradingbook_MSB[[#This Row],[Quantity_edited]]=0,0,Tradingbook_MSB[[#This Row],[Cnvx.]])</f>
        <v>0</v>
      </c>
      <c r="AP410" s="71">
        <f>(Tradingbook_MSB[[#This Row],[MARKET_VALUE]]+Tradingbook_MSB[[#This Row],[Accr Int]]*Tradingbook_MSB[[#This Row],[Quantity_edited]])*(-Tradingbook_MSB[[#This Row],[Modified Duration]]*0.0001+0.5*Tradingbook_MSB[[#This Row],[Conv]]*(0.0001^2))</f>
        <v>0</v>
      </c>
      <c r="AQ410" s="72">
        <f>(Tradingbook_MSB[[#This Row],[MARKET_VALUE]]+Tradingbook_MSB[[#This Row],[Accr Int]]*Tradingbook_MSB[[#This Row],[Quantity_edited]])*(-Tradingbook_MSB[[#This Row],[Modified Duration]]*0.01+0.5*Tradingbook_MSB[[#This Row],[Conv]]*(0.01^2))</f>
        <v>0</v>
      </c>
      <c r="CL410" t="s">
        <v>166</v>
      </c>
      <c r="CM410" t="s">
        <v>3300</v>
      </c>
      <c r="CN410" t="s">
        <v>628</v>
      </c>
      <c r="CO410" t="s">
        <v>169</v>
      </c>
      <c r="CP410">
        <v>47722</v>
      </c>
      <c r="CQ410" t="s">
        <v>3322</v>
      </c>
      <c r="CR410" t="s">
        <v>4260</v>
      </c>
      <c r="CS410" t="s">
        <v>4261</v>
      </c>
      <c r="CT410">
        <v>0</v>
      </c>
      <c r="CU410">
        <v>0</v>
      </c>
      <c r="CV410">
        <v>0</v>
      </c>
      <c r="CW410">
        <v>0</v>
      </c>
      <c r="CX410">
        <v>2.9</v>
      </c>
      <c r="CY410">
        <v>2828</v>
      </c>
      <c r="CZ410">
        <v>8700000000</v>
      </c>
      <c r="DA410">
        <v>9925538993.0555191</v>
      </c>
      <c r="DB410">
        <v>-7604510089.7914009</v>
      </c>
      <c r="DC410">
        <v>3.976814048</v>
      </c>
      <c r="DD410">
        <v>4</v>
      </c>
      <c r="DE410">
        <v>4</v>
      </c>
      <c r="DF410">
        <v>17</v>
      </c>
      <c r="DG410">
        <v>0</v>
      </c>
      <c r="DH410">
        <v>0</v>
      </c>
      <c r="DI410">
        <v>0</v>
      </c>
      <c r="DJ410">
        <v>-14947500000</v>
      </c>
      <c r="DK410">
        <v>0</v>
      </c>
      <c r="DL410">
        <v>-14947500000</v>
      </c>
      <c r="DM410">
        <v>-14947500000</v>
      </c>
      <c r="DN410">
        <v>-14947500000</v>
      </c>
      <c r="DO410">
        <v>-14947500000</v>
      </c>
      <c r="DP410" s="32">
        <f>Tradingbook_SBV[[#This Row],[Mat. Date]]-RPT</f>
        <v>1470</v>
      </c>
      <c r="DQ410" s="32">
        <f>IF(Tradingbook_SBV[[#This Row],[Days]]&lt;=0,0,YEARFRAC(RPT,Tradingbook_SBV[[#This Row],[Mat. Date]],3))</f>
        <v>4.0273972602739727</v>
      </c>
      <c r="DR410" s="32" t="str">
        <f>IF(Tradingbook_SBV[[#This Row],[Days (year)]]=0,0,INDEX(Ref!$K$2:$K$13,MATCH(Tradingbook_SBV[[#This Row],[Days (year)]],Ref!$I$2:$I$13,1)))</f>
        <v>4Y</v>
      </c>
      <c r="DS410" s="32" t="str">
        <f>VLOOKUP(Tradingbook_SBV[[#This Row],[Security Name]],Ref!X:Z,3,0)</f>
        <v>TPCP</v>
      </c>
      <c r="DT410" s="32" t="str">
        <f>VLOOKUP(Tradingbook_SBV[[#This Row],[Security Name]],Ref!X:Y,2,0)</f>
        <v>KBNN</v>
      </c>
      <c r="DU410" s="71">
        <f>IF((Tradingbook_SBV[[#This Row],[Mat. Date]]-RPT)&lt;=0,0,Tradingbook_SBV[[#This Row],[QUANTITY]])</f>
        <v>0</v>
      </c>
      <c r="DV410" s="71">
        <f>IF(Tradingbook_SBV[[#This Row],[Quantity_edited]]=0,0,Tradingbook_SBV[[#This Row],[DURATION]])</f>
        <v>0</v>
      </c>
      <c r="DW410" s="71">
        <f>IF(Tradingbook_SBV[[#This Row],[Quantity_edited]]=0,0,Tradingbook_SBV[[#This Row],[Mod Dur]])</f>
        <v>0</v>
      </c>
      <c r="DX410" s="71">
        <f>IF(Tradingbook_SBV[[#This Row],[Quantity_edited]]=0,0,Tradingbook_SBV[[#This Row],[Cnvx.]])</f>
        <v>0</v>
      </c>
      <c r="DY410" s="71">
        <f>(Tradingbook_SBV[[#This Row],[MARKET_VALUE]]+Tradingbook_SBV[[#This Row],[Accr Int]]*Tradingbook_SBV[[#This Row],[Quantity_edited]])*(-Tradingbook_SBV[[#This Row],[Modified Duration]]*0.0001+0.5*Tradingbook_SBV[[#This Row],[Conv]]*(0.0001^2))</f>
        <v>0</v>
      </c>
      <c r="DZ410" s="71">
        <f>(Tradingbook_SBV[[#This Row],[MARKET_VALUE]]+Tradingbook_SBV[[#This Row],[Accr Int]]*Tradingbook_SBV[[#This Row],[Quantity_edited]])*(-Tradingbook_SBV[[#This Row],[Modified Duration]]*0.01+0.5*Tradingbook_SBV[[#This Row],[Conv]]*(0.01^2))</f>
        <v>0</v>
      </c>
    </row>
    <row r="411" spans="2:130" x14ac:dyDescent="0.3">
      <c r="B411" t="s">
        <v>166</v>
      </c>
      <c r="C411" t="s">
        <v>3299</v>
      </c>
      <c r="D411" t="s">
        <v>594</v>
      </c>
      <c r="E411" t="s">
        <v>169</v>
      </c>
      <c r="F411" s="502">
        <v>47247</v>
      </c>
      <c r="G411" t="s">
        <v>3322</v>
      </c>
      <c r="H411">
        <v>102570</v>
      </c>
      <c r="I411">
        <v>102570</v>
      </c>
      <c r="J411" s="38">
        <v>0</v>
      </c>
      <c r="K411">
        <v>0</v>
      </c>
      <c r="L411">
        <v>0</v>
      </c>
      <c r="M411" s="38">
        <v>0</v>
      </c>
      <c r="N411">
        <v>4.7</v>
      </c>
      <c r="O411">
        <v>1301</v>
      </c>
      <c r="P411" s="37">
        <v>30550000000</v>
      </c>
      <c r="Q411" s="37">
        <v>35362583604.166565</v>
      </c>
      <c r="R411" s="37">
        <v>-10361823331.516243</v>
      </c>
      <c r="S411">
        <v>3.684051218</v>
      </c>
      <c r="T411" s="70">
        <v>2.5004950749380002</v>
      </c>
      <c r="U411">
        <v>2.5926145900000002</v>
      </c>
      <c r="V411">
        <v>8.8517987192511001</v>
      </c>
      <c r="W411">
        <v>0</v>
      </c>
      <c r="X411" s="38">
        <v>0</v>
      </c>
      <c r="Y411">
        <v>0</v>
      </c>
      <c r="Z411" s="70">
        <v>-13580420000</v>
      </c>
      <c r="AA411" s="70">
        <v>0</v>
      </c>
      <c r="AB411" s="70">
        <v>-13580420000</v>
      </c>
      <c r="AC411" s="70">
        <v>-13580420000</v>
      </c>
      <c r="AD411" s="70">
        <v>-13580420000</v>
      </c>
      <c r="AE411" s="70">
        <v>-13580420000</v>
      </c>
      <c r="AF411">
        <v>0</v>
      </c>
      <c r="AG411" s="72">
        <f>Tradingbook_MSB[[#This Row],[Mat. Date]]-RPT</f>
        <v>995</v>
      </c>
      <c r="AH411" s="71">
        <f>IF(Tradingbook_MSB[[#This Row],[Days]]&lt;=0,0,YEARFRAC(RPT,Tradingbook_MSB[[#This Row],[Mat. Date]],3))</f>
        <v>2.7260273972602738</v>
      </c>
      <c r="AI411" s="71" t="str">
        <f>IF(Tradingbook_MSB[[#This Row],[Days (year)]]=0,0,INDEX(Ref!$K$2:$K$13,MATCH(Tradingbook_MSB[[#This Row],[Days (year)]],Ref!$I$2:$I$13,1)))</f>
        <v>3Y</v>
      </c>
      <c r="AJ411" s="120" t="str">
        <f>VLOOKUP(Tradingbook_MSB[[#This Row],[Security Name]],Ref!X:Z,3,0)</f>
        <v>TPCP</v>
      </c>
      <c r="AK411" s="120" t="str">
        <f>VLOOKUP(Tradingbook_MSB[[#This Row],[Security Name]],Ref!X:Y,2,0)</f>
        <v>KBNN</v>
      </c>
      <c r="AL411" s="71">
        <f>IF((Tradingbook_MSB[[#This Row],[Mat. Date]]-RPT)&lt;=0,0,Tradingbook_MSB[[#This Row],[QUANTITY]])</f>
        <v>0</v>
      </c>
      <c r="AM411" s="71">
        <f>IF(Tradingbook_MSB[[#This Row],[Quantity_edited]]=0,0,Tradingbook_MSB[[#This Row],[DURATION]])</f>
        <v>0</v>
      </c>
      <c r="AN411" s="71">
        <f>IF(Tradingbook_MSB[[#This Row],[Quantity_edited]]=0,0,Tradingbook_MSB[[#This Row],[Mod Dur]])</f>
        <v>0</v>
      </c>
      <c r="AO411" s="71">
        <f>IF(Tradingbook_MSB[[#This Row],[Quantity_edited]]=0,0,Tradingbook_MSB[[#This Row],[Cnvx.]])</f>
        <v>0</v>
      </c>
      <c r="AP411" s="71">
        <f>(Tradingbook_MSB[[#This Row],[MARKET_VALUE]]+Tradingbook_MSB[[#This Row],[Accr Int]]*Tradingbook_MSB[[#This Row],[Quantity_edited]])*(-Tradingbook_MSB[[#This Row],[Modified Duration]]*0.0001+0.5*Tradingbook_MSB[[#This Row],[Conv]]*(0.0001^2))</f>
        <v>0</v>
      </c>
      <c r="AQ411" s="72">
        <f>(Tradingbook_MSB[[#This Row],[MARKET_VALUE]]+Tradingbook_MSB[[#This Row],[Accr Int]]*Tradingbook_MSB[[#This Row],[Quantity_edited]])*(-Tradingbook_MSB[[#This Row],[Modified Duration]]*0.01+0.5*Tradingbook_MSB[[#This Row],[Conv]]*(0.01^2))</f>
        <v>0</v>
      </c>
      <c r="CL411" t="s">
        <v>166</v>
      </c>
      <c r="CM411" t="s">
        <v>3300</v>
      </c>
      <c r="CN411" t="s">
        <v>629</v>
      </c>
      <c r="CO411" t="s">
        <v>169</v>
      </c>
      <c r="CP411">
        <v>47729</v>
      </c>
      <c r="CQ411" t="s">
        <v>3322</v>
      </c>
      <c r="CR411" t="s">
        <v>4262</v>
      </c>
      <c r="CS411" t="s">
        <v>4263</v>
      </c>
      <c r="CT411">
        <v>0</v>
      </c>
      <c r="CU411">
        <v>0</v>
      </c>
      <c r="CV411">
        <v>0</v>
      </c>
      <c r="CW411">
        <v>0</v>
      </c>
      <c r="CX411">
        <v>2.9</v>
      </c>
      <c r="CY411">
        <v>2773</v>
      </c>
      <c r="CZ411">
        <v>4350000000</v>
      </c>
      <c r="DA411">
        <v>4916911534.7222204</v>
      </c>
      <c r="DB411">
        <v>-3410596760.3359947</v>
      </c>
      <c r="DC411">
        <v>3.9818672839999998</v>
      </c>
      <c r="DD411">
        <v>4</v>
      </c>
      <c r="DE411">
        <v>4</v>
      </c>
      <c r="DF411">
        <v>17</v>
      </c>
      <c r="DG411">
        <v>0</v>
      </c>
      <c r="DH411">
        <v>0</v>
      </c>
      <c r="DI411">
        <v>0</v>
      </c>
      <c r="DJ411">
        <v>-7696710000</v>
      </c>
      <c r="DK411">
        <v>0</v>
      </c>
      <c r="DL411">
        <v>-7696710000</v>
      </c>
      <c r="DM411">
        <v>-7696710000</v>
      </c>
      <c r="DN411">
        <v>-7696710000</v>
      </c>
      <c r="DO411">
        <v>-7696710000</v>
      </c>
      <c r="DP411" s="32">
        <f>Tradingbook_SBV[[#This Row],[Mat. Date]]-RPT</f>
        <v>1477</v>
      </c>
      <c r="DQ411" s="32">
        <f>IF(Tradingbook_SBV[[#This Row],[Days]]&lt;=0,0,YEARFRAC(RPT,Tradingbook_SBV[[#This Row],[Mat. Date]],3))</f>
        <v>4.0465753424657533</v>
      </c>
      <c r="DR411" s="32" t="str">
        <f>IF(Tradingbook_SBV[[#This Row],[Days (year)]]=0,0,INDEX(Ref!$K$2:$K$13,MATCH(Tradingbook_SBV[[#This Row],[Days (year)]],Ref!$I$2:$I$13,1)))</f>
        <v>4Y</v>
      </c>
      <c r="DS411" s="32" t="str">
        <f>VLOOKUP(Tradingbook_SBV[[#This Row],[Security Name]],Ref!X:Z,3,0)</f>
        <v>TPCP</v>
      </c>
      <c r="DT411" s="32" t="str">
        <f>VLOOKUP(Tradingbook_SBV[[#This Row],[Security Name]],Ref!X:Y,2,0)</f>
        <v>KBNN</v>
      </c>
      <c r="DU411" s="71">
        <f>IF((Tradingbook_SBV[[#This Row],[Mat. Date]]-RPT)&lt;=0,0,Tradingbook_SBV[[#This Row],[QUANTITY]])</f>
        <v>0</v>
      </c>
      <c r="DV411" s="71">
        <f>IF(Tradingbook_SBV[[#This Row],[Quantity_edited]]=0,0,Tradingbook_SBV[[#This Row],[DURATION]])</f>
        <v>0</v>
      </c>
      <c r="DW411" s="71">
        <f>IF(Tradingbook_SBV[[#This Row],[Quantity_edited]]=0,0,Tradingbook_SBV[[#This Row],[Mod Dur]])</f>
        <v>0</v>
      </c>
      <c r="DX411" s="71">
        <f>IF(Tradingbook_SBV[[#This Row],[Quantity_edited]]=0,0,Tradingbook_SBV[[#This Row],[Cnvx.]])</f>
        <v>0</v>
      </c>
      <c r="DY411" s="71">
        <f>(Tradingbook_SBV[[#This Row],[MARKET_VALUE]]+Tradingbook_SBV[[#This Row],[Accr Int]]*Tradingbook_SBV[[#This Row],[Quantity_edited]])*(-Tradingbook_SBV[[#This Row],[Modified Duration]]*0.0001+0.5*Tradingbook_SBV[[#This Row],[Conv]]*(0.0001^2))</f>
        <v>0</v>
      </c>
      <c r="DZ411" s="71">
        <f>(Tradingbook_SBV[[#This Row],[MARKET_VALUE]]+Tradingbook_SBV[[#This Row],[Accr Int]]*Tradingbook_SBV[[#This Row],[Quantity_edited]])*(-Tradingbook_SBV[[#This Row],[Modified Duration]]*0.01+0.5*Tradingbook_SBV[[#This Row],[Conv]]*(0.01^2))</f>
        <v>0</v>
      </c>
    </row>
    <row r="412" spans="2:130" x14ac:dyDescent="0.3">
      <c r="B412" t="s">
        <v>166</v>
      </c>
      <c r="C412" t="s">
        <v>3299</v>
      </c>
      <c r="D412" t="s">
        <v>595</v>
      </c>
      <c r="E412" t="s">
        <v>169</v>
      </c>
      <c r="F412" s="502">
        <v>47324</v>
      </c>
      <c r="G412" t="s">
        <v>3322</v>
      </c>
      <c r="H412">
        <v>101911</v>
      </c>
      <c r="I412">
        <v>101911</v>
      </c>
      <c r="J412" s="38">
        <v>0</v>
      </c>
      <c r="K412">
        <v>0</v>
      </c>
      <c r="L412">
        <v>0</v>
      </c>
      <c r="M412" s="38">
        <v>0</v>
      </c>
      <c r="N412">
        <v>4.4000000000000004</v>
      </c>
      <c r="O412">
        <v>289</v>
      </c>
      <c r="P412" s="37">
        <v>2188000000</v>
      </c>
      <c r="Q412" s="37">
        <v>2529901438.3332849</v>
      </c>
      <c r="R412" s="37">
        <v>-3673491679.6776609</v>
      </c>
      <c r="S412">
        <v>3.699108609</v>
      </c>
      <c r="T412" s="70">
        <v>2.7106134990010999</v>
      </c>
      <c r="U412">
        <v>2.8108820400000001</v>
      </c>
      <c r="V412">
        <v>10.1393156610952</v>
      </c>
      <c r="W412">
        <v>0</v>
      </c>
      <c r="X412" s="38">
        <v>0</v>
      </c>
      <c r="Y412">
        <v>0</v>
      </c>
      <c r="Z412" s="70">
        <v>-4749840000</v>
      </c>
      <c r="AA412" s="70">
        <v>0</v>
      </c>
      <c r="AB412" s="70">
        <v>-4749840000</v>
      </c>
      <c r="AC412" s="70">
        <v>-4749840000</v>
      </c>
      <c r="AD412" s="70">
        <v>-4749840000</v>
      </c>
      <c r="AE412" s="70">
        <v>-4749840000</v>
      </c>
      <c r="AF412">
        <v>0</v>
      </c>
      <c r="AG412" s="72">
        <f>Tradingbook_MSB[[#This Row],[Mat. Date]]-RPT</f>
        <v>1072</v>
      </c>
      <c r="AH412" s="71">
        <f>IF(Tradingbook_MSB[[#This Row],[Days]]&lt;=0,0,YEARFRAC(RPT,Tradingbook_MSB[[#This Row],[Mat. Date]],3))</f>
        <v>2.9369863013698629</v>
      </c>
      <c r="AI412" s="71" t="str">
        <f>IF(Tradingbook_MSB[[#This Row],[Days (year)]]=0,0,INDEX(Ref!$K$2:$K$13,MATCH(Tradingbook_MSB[[#This Row],[Days (year)]],Ref!$I$2:$I$13,1)))</f>
        <v>3Y</v>
      </c>
      <c r="AJ412" s="120" t="str">
        <f>VLOOKUP(Tradingbook_MSB[[#This Row],[Security Name]],Ref!X:Z,3,0)</f>
        <v>TPCP</v>
      </c>
      <c r="AK412" s="120" t="str">
        <f>VLOOKUP(Tradingbook_MSB[[#This Row],[Security Name]],Ref!X:Y,2,0)</f>
        <v>KBNN</v>
      </c>
      <c r="AL412" s="71">
        <f>IF((Tradingbook_MSB[[#This Row],[Mat. Date]]-RPT)&lt;=0,0,Tradingbook_MSB[[#This Row],[QUANTITY]])</f>
        <v>0</v>
      </c>
      <c r="AM412" s="71">
        <f>IF(Tradingbook_MSB[[#This Row],[Quantity_edited]]=0,0,Tradingbook_MSB[[#This Row],[DURATION]])</f>
        <v>0</v>
      </c>
      <c r="AN412" s="71">
        <f>IF(Tradingbook_MSB[[#This Row],[Quantity_edited]]=0,0,Tradingbook_MSB[[#This Row],[Mod Dur]])</f>
        <v>0</v>
      </c>
      <c r="AO412" s="71">
        <f>IF(Tradingbook_MSB[[#This Row],[Quantity_edited]]=0,0,Tradingbook_MSB[[#This Row],[Cnvx.]])</f>
        <v>0</v>
      </c>
      <c r="AP412" s="71">
        <f>(Tradingbook_MSB[[#This Row],[MARKET_VALUE]]+Tradingbook_MSB[[#This Row],[Accr Int]]*Tradingbook_MSB[[#This Row],[Quantity_edited]])*(-Tradingbook_MSB[[#This Row],[Modified Duration]]*0.0001+0.5*Tradingbook_MSB[[#This Row],[Conv]]*(0.0001^2))</f>
        <v>0</v>
      </c>
      <c r="AQ412" s="72">
        <f>(Tradingbook_MSB[[#This Row],[MARKET_VALUE]]+Tradingbook_MSB[[#This Row],[Accr Int]]*Tradingbook_MSB[[#This Row],[Quantity_edited]])*(-Tradingbook_MSB[[#This Row],[Modified Duration]]*0.01+0.5*Tradingbook_MSB[[#This Row],[Conv]]*(0.01^2))</f>
        <v>0</v>
      </c>
      <c r="CL412" t="s">
        <v>166</v>
      </c>
      <c r="CM412" t="s">
        <v>3300</v>
      </c>
      <c r="CN412" t="s">
        <v>630</v>
      </c>
      <c r="CO412" t="s">
        <v>169</v>
      </c>
      <c r="CP412">
        <v>47798</v>
      </c>
      <c r="CQ412" t="s">
        <v>3322</v>
      </c>
      <c r="CR412" t="s">
        <v>4264</v>
      </c>
      <c r="CS412" t="s">
        <v>4265</v>
      </c>
      <c r="CT412">
        <v>0</v>
      </c>
      <c r="CU412">
        <v>0</v>
      </c>
      <c r="CV412">
        <v>0</v>
      </c>
      <c r="CW412">
        <v>0</v>
      </c>
      <c r="CX412">
        <v>3.1</v>
      </c>
      <c r="CY412">
        <v>2378</v>
      </c>
      <c r="CZ412">
        <v>0</v>
      </c>
      <c r="DA412">
        <v>0</v>
      </c>
      <c r="DB412">
        <v>-1739313.6111183167</v>
      </c>
      <c r="DC412">
        <v>4.5326903710000002</v>
      </c>
      <c r="DD412">
        <v>4</v>
      </c>
      <c r="DE412">
        <v>4</v>
      </c>
      <c r="DF412">
        <v>18</v>
      </c>
      <c r="DG412">
        <v>0</v>
      </c>
      <c r="DH412">
        <v>0</v>
      </c>
      <c r="DI412">
        <v>0</v>
      </c>
      <c r="DJ412">
        <v>0</v>
      </c>
      <c r="DK412">
        <v>0</v>
      </c>
      <c r="DL412">
        <v>0</v>
      </c>
      <c r="DM412">
        <v>0</v>
      </c>
      <c r="DN412">
        <v>0</v>
      </c>
      <c r="DO412">
        <v>0</v>
      </c>
      <c r="DP412" s="32">
        <f>Tradingbook_SBV[[#This Row],[Mat. Date]]-RPT</f>
        <v>1546</v>
      </c>
      <c r="DQ412" s="32">
        <f>IF(Tradingbook_SBV[[#This Row],[Days]]&lt;=0,0,YEARFRAC(RPT,Tradingbook_SBV[[#This Row],[Mat. Date]],3))</f>
        <v>4.2356164383561641</v>
      </c>
      <c r="DR412" s="32" t="str">
        <f>IF(Tradingbook_SBV[[#This Row],[Days (year)]]=0,0,INDEX(Ref!$K$2:$K$13,MATCH(Tradingbook_SBV[[#This Row],[Days (year)]],Ref!$I$2:$I$13,1)))</f>
        <v>4Y</v>
      </c>
      <c r="DS412" s="32" t="str">
        <f>VLOOKUP(Tradingbook_SBV[[#This Row],[Security Name]],Ref!X:Z,3,0)</f>
        <v>TPCPBL</v>
      </c>
      <c r="DT412" s="32" t="str">
        <f>VLOOKUP(Tradingbook_SBV[[#This Row],[Security Name]],Ref!X:Y,2,0)</f>
        <v>VDB</v>
      </c>
      <c r="DU412" s="71">
        <f>IF((Tradingbook_SBV[[#This Row],[Mat. Date]]-RPT)&lt;=0,0,Tradingbook_SBV[[#This Row],[QUANTITY]])</f>
        <v>0</v>
      </c>
      <c r="DV412" s="71">
        <f>IF(Tradingbook_SBV[[#This Row],[Quantity_edited]]=0,0,Tradingbook_SBV[[#This Row],[DURATION]])</f>
        <v>0</v>
      </c>
      <c r="DW412" s="71">
        <f>IF(Tradingbook_SBV[[#This Row],[Quantity_edited]]=0,0,Tradingbook_SBV[[#This Row],[Mod Dur]])</f>
        <v>0</v>
      </c>
      <c r="DX412" s="71">
        <f>IF(Tradingbook_SBV[[#This Row],[Quantity_edited]]=0,0,Tradingbook_SBV[[#This Row],[Cnvx.]])</f>
        <v>0</v>
      </c>
      <c r="DY412" s="71">
        <f>(Tradingbook_SBV[[#This Row],[MARKET_VALUE]]+Tradingbook_SBV[[#This Row],[Accr Int]]*Tradingbook_SBV[[#This Row],[Quantity_edited]])*(-Tradingbook_SBV[[#This Row],[Modified Duration]]*0.0001+0.5*Tradingbook_SBV[[#This Row],[Conv]]*(0.0001^2))</f>
        <v>0</v>
      </c>
      <c r="DZ412" s="71">
        <f>(Tradingbook_SBV[[#This Row],[MARKET_VALUE]]+Tradingbook_SBV[[#This Row],[Accr Int]]*Tradingbook_SBV[[#This Row],[Quantity_edited]])*(-Tradingbook_SBV[[#This Row],[Modified Duration]]*0.01+0.5*Tradingbook_SBV[[#This Row],[Conv]]*(0.01^2))</f>
        <v>0</v>
      </c>
    </row>
    <row r="413" spans="2:130" x14ac:dyDescent="0.3">
      <c r="B413" t="s">
        <v>166</v>
      </c>
      <c r="C413" t="s">
        <v>3299</v>
      </c>
      <c r="D413" t="s">
        <v>596</v>
      </c>
      <c r="E413" t="s">
        <v>169</v>
      </c>
      <c r="F413" s="502">
        <v>47393</v>
      </c>
      <c r="G413" t="s">
        <v>170</v>
      </c>
      <c r="H413">
        <v>110295</v>
      </c>
      <c r="I413">
        <v>110295</v>
      </c>
      <c r="J413" s="38">
        <v>3000000</v>
      </c>
      <c r="K413">
        <v>300000000000</v>
      </c>
      <c r="L413">
        <v>107768.857</v>
      </c>
      <c r="M413" s="38">
        <v>330885000000</v>
      </c>
      <c r="N413">
        <v>7.83</v>
      </c>
      <c r="O413">
        <v>6865</v>
      </c>
      <c r="P413" s="37">
        <v>23490000000</v>
      </c>
      <c r="Q413" s="37">
        <v>24662053125.000004</v>
      </c>
      <c r="R413" s="37">
        <v>-28673133165.833504</v>
      </c>
      <c r="S413">
        <v>4.235474484</v>
      </c>
      <c r="T413" s="70">
        <v>2.6239055386625001</v>
      </c>
      <c r="U413">
        <v>2.73504039</v>
      </c>
      <c r="V413">
        <v>10.105371098622699</v>
      </c>
      <c r="W413">
        <v>35518.358337439</v>
      </c>
      <c r="X413" s="38">
        <v>-92225.031872909007</v>
      </c>
      <c r="Y413">
        <v>39948.050000000003</v>
      </c>
      <c r="Z413" s="70">
        <v>-14947428571.428579</v>
      </c>
      <c r="AA413" s="70">
        <v>7578428571.428565</v>
      </c>
      <c r="AB413" s="70">
        <v>-7369000000.0000143</v>
      </c>
      <c r="AC413" s="70">
        <v>-7369000000.0000143</v>
      </c>
      <c r="AD413" s="70">
        <v>-7369000000</v>
      </c>
      <c r="AE413" s="70">
        <v>-7369000000.0000143</v>
      </c>
      <c r="AF413">
        <v>5.9789000000000003</v>
      </c>
      <c r="AG413" s="72">
        <f>Tradingbook_MSB[[#This Row],[Mat. Date]]-RPT</f>
        <v>1141</v>
      </c>
      <c r="AH413" s="71">
        <f>IF(Tradingbook_MSB[[#This Row],[Days]]&lt;=0,0,YEARFRAC(RPT,Tradingbook_MSB[[#This Row],[Mat. Date]],3))</f>
        <v>3.1260273972602741</v>
      </c>
      <c r="AI413" s="71" t="str">
        <f>IF(Tradingbook_MSB[[#This Row],[Days (year)]]=0,0,INDEX(Ref!$K$2:$K$13,MATCH(Tradingbook_MSB[[#This Row],[Days (year)]],Ref!$I$2:$I$13,1)))</f>
        <v>3Y</v>
      </c>
      <c r="AJ413" s="120" t="str">
        <f>VLOOKUP(Tradingbook_MSB[[#This Row],[Security Name]],Ref!X:Z,3,0)</f>
        <v>TPCQĐP</v>
      </c>
      <c r="AK413" s="120" t="str">
        <f>VLOOKUP(Tradingbook_MSB[[#This Row],[Security Name]],Ref!X:Y,2,0)</f>
        <v>HIFU</v>
      </c>
      <c r="AL413" s="71">
        <f>IF((Tradingbook_MSB[[#This Row],[Mat. Date]]-RPT)&lt;=0,0,Tradingbook_MSB[[#This Row],[QUANTITY]])</f>
        <v>3000000</v>
      </c>
      <c r="AM413" s="71">
        <f>IF(Tradingbook_MSB[[#This Row],[Quantity_edited]]=0,0,Tradingbook_MSB[[#This Row],[DURATION]])</f>
        <v>2.73504039</v>
      </c>
      <c r="AN413" s="71">
        <f>IF(Tradingbook_MSB[[#This Row],[Quantity_edited]]=0,0,Tradingbook_MSB[[#This Row],[Mod Dur]])</f>
        <v>2.6239055386625001</v>
      </c>
      <c r="AO413" s="71">
        <f>IF(Tradingbook_MSB[[#This Row],[Quantity_edited]]=0,0,Tradingbook_MSB[[#This Row],[Cnvx.]])</f>
        <v>10.105371098622699</v>
      </c>
      <c r="AP413" s="71">
        <f>(Tradingbook_MSB[[#This Row],[MARKET_VALUE]]+Tradingbook_MSB[[#This Row],[Accr Int]]*Tradingbook_MSB[[#This Row],[Quantity_edited]])*(-Tradingbook_MSB[[#This Row],[Modified Duration]]*0.0001+0.5*Tradingbook_MSB[[#This Row],[Conv]]*(0.0001^2))</f>
        <v>-92207272.69374083</v>
      </c>
      <c r="AQ413" s="72">
        <f>(Tradingbook_MSB[[#This Row],[MARKET_VALUE]]+Tradingbook_MSB[[#This Row],[Accr Int]]*Tradingbook_MSB[[#This Row],[Quantity_edited]])*(-Tradingbook_MSB[[#This Row],[Modified Duration]]*0.01+0.5*Tradingbook_MSB[[#This Row],[Conv]]*(0.01^2))</f>
        <v>-9044911395.6037598</v>
      </c>
      <c r="CL413" t="s">
        <v>166</v>
      </c>
      <c r="CM413" t="s">
        <v>3300</v>
      </c>
      <c r="CN413" t="s">
        <v>631</v>
      </c>
      <c r="CO413" t="s">
        <v>169</v>
      </c>
      <c r="CP413">
        <v>47799</v>
      </c>
      <c r="CQ413" t="s">
        <v>3322</v>
      </c>
      <c r="CR413" t="s">
        <v>4266</v>
      </c>
      <c r="CS413" t="s">
        <v>4267</v>
      </c>
      <c r="CT413">
        <v>0</v>
      </c>
      <c r="CU413">
        <v>0</v>
      </c>
      <c r="CV413">
        <v>0</v>
      </c>
      <c r="CW413">
        <v>0</v>
      </c>
      <c r="CX413">
        <v>2.5</v>
      </c>
      <c r="CY413">
        <v>1911</v>
      </c>
      <c r="CZ413">
        <v>0</v>
      </c>
      <c r="DA413">
        <v>-1.0000000000000001E-5</v>
      </c>
      <c r="DB413">
        <v>356391603.68064308</v>
      </c>
      <c r="DC413">
        <v>4.0332223730000001</v>
      </c>
      <c r="DD413">
        <v>4</v>
      </c>
      <c r="DE413">
        <v>4</v>
      </c>
      <c r="DF413">
        <v>19</v>
      </c>
      <c r="DG413">
        <v>0</v>
      </c>
      <c r="DH413">
        <v>0</v>
      </c>
      <c r="DI413">
        <v>0</v>
      </c>
      <c r="DJ413">
        <v>2981000000</v>
      </c>
      <c r="DK413">
        <v>0</v>
      </c>
      <c r="DL413">
        <v>2981000000</v>
      </c>
      <c r="DM413">
        <v>2981000000</v>
      </c>
      <c r="DN413">
        <v>2981000000</v>
      </c>
      <c r="DO413">
        <v>2981000000</v>
      </c>
      <c r="DP413" s="32">
        <f>Tradingbook_SBV[[#This Row],[Mat. Date]]-RPT</f>
        <v>1547</v>
      </c>
      <c r="DQ413" s="32">
        <f>IF(Tradingbook_SBV[[#This Row],[Days]]&lt;=0,0,YEARFRAC(RPT,Tradingbook_SBV[[#This Row],[Mat. Date]],3))</f>
        <v>4.2383561643835614</v>
      </c>
      <c r="DR413" s="32" t="str">
        <f>IF(Tradingbook_SBV[[#This Row],[Days (year)]]=0,0,INDEX(Ref!$K$2:$K$13,MATCH(Tradingbook_SBV[[#This Row],[Days (year)]],Ref!$I$2:$I$13,1)))</f>
        <v>4Y</v>
      </c>
      <c r="DS413" s="32" t="str">
        <f>VLOOKUP(Tradingbook_SBV[[#This Row],[Security Name]],Ref!X:Z,3,0)</f>
        <v>TPCP</v>
      </c>
      <c r="DT413" s="32" t="str">
        <f>VLOOKUP(Tradingbook_SBV[[#This Row],[Security Name]],Ref!X:Y,2,0)</f>
        <v>KBNN</v>
      </c>
      <c r="DU413" s="71">
        <f>IF((Tradingbook_SBV[[#This Row],[Mat. Date]]-RPT)&lt;=0,0,Tradingbook_SBV[[#This Row],[QUANTITY]])</f>
        <v>0</v>
      </c>
      <c r="DV413" s="71">
        <f>IF(Tradingbook_SBV[[#This Row],[Quantity_edited]]=0,0,Tradingbook_SBV[[#This Row],[DURATION]])</f>
        <v>0</v>
      </c>
      <c r="DW413" s="71">
        <f>IF(Tradingbook_SBV[[#This Row],[Quantity_edited]]=0,0,Tradingbook_SBV[[#This Row],[Mod Dur]])</f>
        <v>0</v>
      </c>
      <c r="DX413" s="71">
        <f>IF(Tradingbook_SBV[[#This Row],[Quantity_edited]]=0,0,Tradingbook_SBV[[#This Row],[Cnvx.]])</f>
        <v>0</v>
      </c>
      <c r="DY413" s="71">
        <f>(Tradingbook_SBV[[#This Row],[MARKET_VALUE]]+Tradingbook_SBV[[#This Row],[Accr Int]]*Tradingbook_SBV[[#This Row],[Quantity_edited]])*(-Tradingbook_SBV[[#This Row],[Modified Duration]]*0.0001+0.5*Tradingbook_SBV[[#This Row],[Conv]]*(0.0001^2))</f>
        <v>0</v>
      </c>
      <c r="DZ413" s="71">
        <f>(Tradingbook_SBV[[#This Row],[MARKET_VALUE]]+Tradingbook_SBV[[#This Row],[Accr Int]]*Tradingbook_SBV[[#This Row],[Quantity_edited]])*(-Tradingbook_SBV[[#This Row],[Modified Duration]]*0.01+0.5*Tradingbook_SBV[[#This Row],[Conv]]*(0.01^2))</f>
        <v>0</v>
      </c>
    </row>
    <row r="414" spans="2:130" x14ac:dyDescent="0.3">
      <c r="B414" t="s">
        <v>166</v>
      </c>
      <c r="C414" t="s">
        <v>3299</v>
      </c>
      <c r="D414" t="s">
        <v>597</v>
      </c>
      <c r="E414" t="s">
        <v>169</v>
      </c>
      <c r="F414" s="502">
        <v>47394</v>
      </c>
      <c r="G414" t="s">
        <v>3322</v>
      </c>
      <c r="H414">
        <v>100467</v>
      </c>
      <c r="I414">
        <v>100467</v>
      </c>
      <c r="J414" s="38">
        <v>0</v>
      </c>
      <c r="K414">
        <v>0</v>
      </c>
      <c r="L414">
        <v>0</v>
      </c>
      <c r="M414" s="38">
        <v>0</v>
      </c>
      <c r="N414">
        <v>3.9</v>
      </c>
      <c r="O414">
        <v>3408</v>
      </c>
      <c r="P414" s="37">
        <v>3900000000</v>
      </c>
      <c r="Q414" s="37">
        <v>4503910666.6666412</v>
      </c>
      <c r="R414" s="37">
        <v>-4271968548.6803408</v>
      </c>
      <c r="S414">
        <v>3.7363846070000002</v>
      </c>
      <c r="T414" s="70">
        <v>2.8024221783507</v>
      </c>
      <c r="U414">
        <v>2.9071314500000001</v>
      </c>
      <c r="V414">
        <v>10.989264701426</v>
      </c>
      <c r="W414">
        <v>0</v>
      </c>
      <c r="X414" s="38">
        <v>0</v>
      </c>
      <c r="Y414">
        <v>0</v>
      </c>
      <c r="Z414" s="70">
        <v>-11459999999.999512</v>
      </c>
      <c r="AA414" s="70">
        <v>0</v>
      </c>
      <c r="AB414" s="70">
        <v>-11459999999.999512</v>
      </c>
      <c r="AC414" s="70">
        <v>-11459999999.999512</v>
      </c>
      <c r="AD414" s="70">
        <v>-11460000000</v>
      </c>
      <c r="AE414" s="70">
        <v>-11459999999.999512</v>
      </c>
      <c r="AF414">
        <v>0</v>
      </c>
      <c r="AG414" s="72">
        <f>Tradingbook_MSB[[#This Row],[Mat. Date]]-RPT</f>
        <v>1142</v>
      </c>
      <c r="AH414" s="71">
        <f>IF(Tradingbook_MSB[[#This Row],[Days]]&lt;=0,0,YEARFRAC(RPT,Tradingbook_MSB[[#This Row],[Mat. Date]],3))</f>
        <v>3.128767123287671</v>
      </c>
      <c r="AI414" s="71" t="str">
        <f>IF(Tradingbook_MSB[[#This Row],[Days (year)]]=0,0,INDEX(Ref!$K$2:$K$13,MATCH(Tradingbook_MSB[[#This Row],[Days (year)]],Ref!$I$2:$I$13,1)))</f>
        <v>3Y</v>
      </c>
      <c r="AJ414" s="120" t="str">
        <f>VLOOKUP(Tradingbook_MSB[[#This Row],[Security Name]],Ref!X:Z,3,0)</f>
        <v>TPCP</v>
      </c>
      <c r="AK414" s="120" t="str">
        <f>VLOOKUP(Tradingbook_MSB[[#This Row],[Security Name]],Ref!X:Y,2,0)</f>
        <v>KBNN</v>
      </c>
      <c r="AL414" s="71">
        <f>IF((Tradingbook_MSB[[#This Row],[Mat. Date]]-RPT)&lt;=0,0,Tradingbook_MSB[[#This Row],[QUANTITY]])</f>
        <v>0</v>
      </c>
      <c r="AM414" s="71">
        <f>IF(Tradingbook_MSB[[#This Row],[Quantity_edited]]=0,0,Tradingbook_MSB[[#This Row],[DURATION]])</f>
        <v>0</v>
      </c>
      <c r="AN414" s="71">
        <f>IF(Tradingbook_MSB[[#This Row],[Quantity_edited]]=0,0,Tradingbook_MSB[[#This Row],[Mod Dur]])</f>
        <v>0</v>
      </c>
      <c r="AO414" s="71">
        <f>IF(Tradingbook_MSB[[#This Row],[Quantity_edited]]=0,0,Tradingbook_MSB[[#This Row],[Cnvx.]])</f>
        <v>0</v>
      </c>
      <c r="AP414" s="71">
        <f>(Tradingbook_MSB[[#This Row],[MARKET_VALUE]]+Tradingbook_MSB[[#This Row],[Accr Int]]*Tradingbook_MSB[[#This Row],[Quantity_edited]])*(-Tradingbook_MSB[[#This Row],[Modified Duration]]*0.0001+0.5*Tradingbook_MSB[[#This Row],[Conv]]*(0.0001^2))</f>
        <v>0</v>
      </c>
      <c r="AQ414" s="72">
        <f>(Tradingbook_MSB[[#This Row],[MARKET_VALUE]]+Tradingbook_MSB[[#This Row],[Accr Int]]*Tradingbook_MSB[[#This Row],[Quantity_edited]])*(-Tradingbook_MSB[[#This Row],[Modified Duration]]*0.01+0.5*Tradingbook_MSB[[#This Row],[Conv]]*(0.01^2))</f>
        <v>0</v>
      </c>
      <c r="CL414" t="s">
        <v>166</v>
      </c>
      <c r="CM414" t="s">
        <v>3300</v>
      </c>
      <c r="CN414" t="s">
        <v>634</v>
      </c>
      <c r="CO414" t="s">
        <v>169</v>
      </c>
      <c r="CP414">
        <v>47826</v>
      </c>
      <c r="CQ414" t="s">
        <v>3322</v>
      </c>
      <c r="CR414" t="s">
        <v>4268</v>
      </c>
      <c r="CS414" t="s">
        <v>4269</v>
      </c>
      <c r="CT414">
        <v>0</v>
      </c>
      <c r="CU414">
        <v>0</v>
      </c>
      <c r="CV414">
        <v>0</v>
      </c>
      <c r="CW414">
        <v>0</v>
      </c>
      <c r="CX414">
        <v>2.7</v>
      </c>
      <c r="CY414">
        <v>1864</v>
      </c>
      <c r="CZ414">
        <v>0</v>
      </c>
      <c r="DA414">
        <v>-9.9999999999999995E-7</v>
      </c>
      <c r="DB414">
        <v>-1560634.2361135483</v>
      </c>
      <c r="DC414">
        <v>4.5531430630000003</v>
      </c>
      <c r="DD414">
        <v>4</v>
      </c>
      <c r="DE414">
        <v>4</v>
      </c>
      <c r="DF414">
        <v>19</v>
      </c>
      <c r="DG414">
        <v>0</v>
      </c>
      <c r="DH414">
        <v>0</v>
      </c>
      <c r="DI414">
        <v>0</v>
      </c>
      <c r="DJ414">
        <v>1000000</v>
      </c>
      <c r="DK414">
        <v>0</v>
      </c>
      <c r="DL414">
        <v>1000000</v>
      </c>
      <c r="DM414">
        <v>1000000</v>
      </c>
      <c r="DN414">
        <v>1000000</v>
      </c>
      <c r="DO414">
        <v>1000000</v>
      </c>
      <c r="DP414" s="32">
        <f>Tradingbook_SBV[[#This Row],[Mat. Date]]-RPT</f>
        <v>1574</v>
      </c>
      <c r="DQ414" s="32">
        <f>IF(Tradingbook_SBV[[#This Row],[Days]]&lt;=0,0,YEARFRAC(RPT,Tradingbook_SBV[[#This Row],[Mat. Date]],3))</f>
        <v>4.3123287671232875</v>
      </c>
      <c r="DR414" s="32" t="str">
        <f>IF(Tradingbook_SBV[[#This Row],[Days (year)]]=0,0,INDEX(Ref!$K$2:$K$13,MATCH(Tradingbook_SBV[[#This Row],[Days (year)]],Ref!$I$2:$I$13,1)))</f>
        <v>4Y</v>
      </c>
      <c r="DS414" s="32" t="str">
        <f>VLOOKUP(Tradingbook_SBV[[#This Row],[Security Name]],Ref!X:Z,3,0)</f>
        <v>TPCPBL</v>
      </c>
      <c r="DT414" s="32" t="str">
        <f>VLOOKUP(Tradingbook_SBV[[#This Row],[Security Name]],Ref!X:Y,2,0)</f>
        <v>VDB</v>
      </c>
      <c r="DU414" s="71">
        <f>IF((Tradingbook_SBV[[#This Row],[Mat. Date]]-RPT)&lt;=0,0,Tradingbook_SBV[[#This Row],[QUANTITY]])</f>
        <v>0</v>
      </c>
      <c r="DV414" s="71">
        <f>IF(Tradingbook_SBV[[#This Row],[Quantity_edited]]=0,0,Tradingbook_SBV[[#This Row],[DURATION]])</f>
        <v>0</v>
      </c>
      <c r="DW414" s="71">
        <f>IF(Tradingbook_SBV[[#This Row],[Quantity_edited]]=0,0,Tradingbook_SBV[[#This Row],[Mod Dur]])</f>
        <v>0</v>
      </c>
      <c r="DX414" s="71">
        <f>IF(Tradingbook_SBV[[#This Row],[Quantity_edited]]=0,0,Tradingbook_SBV[[#This Row],[Cnvx.]])</f>
        <v>0</v>
      </c>
      <c r="DY414" s="71">
        <f>(Tradingbook_SBV[[#This Row],[MARKET_VALUE]]+Tradingbook_SBV[[#This Row],[Accr Int]]*Tradingbook_SBV[[#This Row],[Quantity_edited]])*(-Tradingbook_SBV[[#This Row],[Modified Duration]]*0.0001+0.5*Tradingbook_SBV[[#This Row],[Conv]]*(0.0001^2))</f>
        <v>0</v>
      </c>
      <c r="DZ414" s="71">
        <f>(Tradingbook_SBV[[#This Row],[MARKET_VALUE]]+Tradingbook_SBV[[#This Row],[Accr Int]]*Tradingbook_SBV[[#This Row],[Quantity_edited]])*(-Tradingbook_SBV[[#This Row],[Modified Duration]]*0.01+0.5*Tradingbook_SBV[[#This Row],[Conv]]*(0.01^2))</f>
        <v>0</v>
      </c>
    </row>
    <row r="415" spans="2:130" x14ac:dyDescent="0.3">
      <c r="B415" t="s">
        <v>166</v>
      </c>
      <c r="C415" t="s">
        <v>3299</v>
      </c>
      <c r="D415" t="s">
        <v>598</v>
      </c>
      <c r="E415" t="s">
        <v>169</v>
      </c>
      <c r="F415" s="502">
        <v>47406</v>
      </c>
      <c r="G415" t="s">
        <v>3322</v>
      </c>
      <c r="H415">
        <v>109512</v>
      </c>
      <c r="I415">
        <v>109512</v>
      </c>
      <c r="J415" s="38">
        <v>0</v>
      </c>
      <c r="K415">
        <v>0</v>
      </c>
      <c r="L415">
        <v>0</v>
      </c>
      <c r="M415" s="38">
        <v>0</v>
      </c>
      <c r="N415">
        <v>7</v>
      </c>
      <c r="O415">
        <v>5888</v>
      </c>
      <c r="P415" s="37">
        <v>10500000000</v>
      </c>
      <c r="Q415" s="37">
        <v>11569045833.333355</v>
      </c>
      <c r="R415" s="37">
        <v>-20890804467.222225</v>
      </c>
      <c r="S415">
        <v>3.7452069200000002</v>
      </c>
      <c r="T415" s="70">
        <v>2.7044163468010001</v>
      </c>
      <c r="U415">
        <v>2.8057023299999999</v>
      </c>
      <c r="V415">
        <v>10.5771011580701</v>
      </c>
      <c r="W415">
        <v>0</v>
      </c>
      <c r="X415" s="38">
        <v>0</v>
      </c>
      <c r="Y415">
        <v>0</v>
      </c>
      <c r="Z415" s="70">
        <v>-2172650000</v>
      </c>
      <c r="AA415" s="70">
        <v>0</v>
      </c>
      <c r="AB415" s="70">
        <v>-2172650000</v>
      </c>
      <c r="AC415" s="70">
        <v>-2172650000</v>
      </c>
      <c r="AD415" s="70">
        <v>-2172650000</v>
      </c>
      <c r="AE415" s="70">
        <v>-2172650000</v>
      </c>
      <c r="AF415">
        <v>0</v>
      </c>
      <c r="AG415" s="72">
        <f>Tradingbook_MSB[[#This Row],[Mat. Date]]-RPT</f>
        <v>1154</v>
      </c>
      <c r="AH415" s="71">
        <f>IF(Tradingbook_MSB[[#This Row],[Days]]&lt;=0,0,YEARFRAC(RPT,Tradingbook_MSB[[#This Row],[Mat. Date]],3))</f>
        <v>3.1616438356164385</v>
      </c>
      <c r="AI415" s="71" t="str">
        <f>IF(Tradingbook_MSB[[#This Row],[Days (year)]]=0,0,INDEX(Ref!$K$2:$K$13,MATCH(Tradingbook_MSB[[#This Row],[Days (year)]],Ref!$I$2:$I$13,1)))</f>
        <v>3Y</v>
      </c>
      <c r="AJ415" s="120" t="str">
        <f>VLOOKUP(Tradingbook_MSB[[#This Row],[Security Name]],Ref!X:Z,3,0)</f>
        <v>TPCP</v>
      </c>
      <c r="AK415" s="120" t="str">
        <f>VLOOKUP(Tradingbook_MSB[[#This Row],[Security Name]],Ref!X:Y,2,0)</f>
        <v>KBNN</v>
      </c>
      <c r="AL415" s="71">
        <f>IF((Tradingbook_MSB[[#This Row],[Mat. Date]]-RPT)&lt;=0,0,Tradingbook_MSB[[#This Row],[QUANTITY]])</f>
        <v>0</v>
      </c>
      <c r="AM415" s="71">
        <f>IF(Tradingbook_MSB[[#This Row],[Quantity_edited]]=0,0,Tradingbook_MSB[[#This Row],[DURATION]])</f>
        <v>0</v>
      </c>
      <c r="AN415" s="71">
        <f>IF(Tradingbook_MSB[[#This Row],[Quantity_edited]]=0,0,Tradingbook_MSB[[#This Row],[Mod Dur]])</f>
        <v>0</v>
      </c>
      <c r="AO415" s="71">
        <f>IF(Tradingbook_MSB[[#This Row],[Quantity_edited]]=0,0,Tradingbook_MSB[[#This Row],[Cnvx.]])</f>
        <v>0</v>
      </c>
      <c r="AP415" s="71">
        <f>(Tradingbook_MSB[[#This Row],[MARKET_VALUE]]+Tradingbook_MSB[[#This Row],[Accr Int]]*Tradingbook_MSB[[#This Row],[Quantity_edited]])*(-Tradingbook_MSB[[#This Row],[Modified Duration]]*0.0001+0.5*Tradingbook_MSB[[#This Row],[Conv]]*(0.0001^2))</f>
        <v>0</v>
      </c>
      <c r="AQ415" s="72">
        <f>(Tradingbook_MSB[[#This Row],[MARKET_VALUE]]+Tradingbook_MSB[[#This Row],[Accr Int]]*Tradingbook_MSB[[#This Row],[Quantity_edited]])*(-Tradingbook_MSB[[#This Row],[Modified Duration]]*0.01+0.5*Tradingbook_MSB[[#This Row],[Conv]]*(0.01^2))</f>
        <v>0</v>
      </c>
      <c r="CL415" t="s">
        <v>166</v>
      </c>
      <c r="CM415" t="s">
        <v>3300</v>
      </c>
      <c r="CN415" t="s">
        <v>635</v>
      </c>
      <c r="CO415" t="s">
        <v>169</v>
      </c>
      <c r="CP415">
        <v>47834</v>
      </c>
      <c r="CQ415" t="s">
        <v>3322</v>
      </c>
      <c r="CR415" t="s">
        <v>4270</v>
      </c>
      <c r="CS415" t="s">
        <v>4271</v>
      </c>
      <c r="CT415">
        <v>0</v>
      </c>
      <c r="CU415">
        <v>0</v>
      </c>
      <c r="CV415">
        <v>0</v>
      </c>
      <c r="CW415">
        <v>0</v>
      </c>
      <c r="CX415">
        <v>2.2999999999999998</v>
      </c>
      <c r="CY415">
        <v>1538</v>
      </c>
      <c r="CZ415">
        <v>0</v>
      </c>
      <c r="DA415">
        <v>-3.9999999999999998E-6</v>
      </c>
      <c r="DB415">
        <v>-11769068.541641235</v>
      </c>
      <c r="DC415">
        <v>4.0589890180000001</v>
      </c>
      <c r="DD415">
        <v>4</v>
      </c>
      <c r="DE415">
        <v>4</v>
      </c>
      <c r="DF415">
        <v>20</v>
      </c>
      <c r="DG415">
        <v>0</v>
      </c>
      <c r="DH415">
        <v>0</v>
      </c>
      <c r="DI415">
        <v>0</v>
      </c>
      <c r="DJ415">
        <v>-2500000</v>
      </c>
      <c r="DK415">
        <v>0</v>
      </c>
      <c r="DL415">
        <v>-2500000</v>
      </c>
      <c r="DM415">
        <v>-2500000</v>
      </c>
      <c r="DN415">
        <v>-2500000</v>
      </c>
      <c r="DO415">
        <v>-2500000</v>
      </c>
      <c r="DP415" s="32">
        <f>Tradingbook_SBV[[#This Row],[Mat. Date]]-RPT</f>
        <v>1582</v>
      </c>
      <c r="DQ415" s="32">
        <f>IF(Tradingbook_SBV[[#This Row],[Days]]&lt;=0,0,YEARFRAC(RPT,Tradingbook_SBV[[#This Row],[Mat. Date]],3))</f>
        <v>4.3342465753424655</v>
      </c>
      <c r="DR415" s="32" t="str">
        <f>IF(Tradingbook_SBV[[#This Row],[Days (year)]]=0,0,INDEX(Ref!$K$2:$K$13,MATCH(Tradingbook_SBV[[#This Row],[Days (year)]],Ref!$I$2:$I$13,1)))</f>
        <v>4Y</v>
      </c>
      <c r="DS415" s="32" t="str">
        <f>VLOOKUP(Tradingbook_SBV[[#This Row],[Security Name]],Ref!X:Z,3,0)</f>
        <v>TPCP</v>
      </c>
      <c r="DT415" s="32" t="str">
        <f>VLOOKUP(Tradingbook_SBV[[#This Row],[Security Name]],Ref!X:Y,2,0)</f>
        <v>KBNN</v>
      </c>
      <c r="DU415" s="71">
        <f>IF((Tradingbook_SBV[[#This Row],[Mat. Date]]-RPT)&lt;=0,0,Tradingbook_SBV[[#This Row],[QUANTITY]])</f>
        <v>0</v>
      </c>
      <c r="DV415" s="71">
        <f>IF(Tradingbook_SBV[[#This Row],[Quantity_edited]]=0,0,Tradingbook_SBV[[#This Row],[DURATION]])</f>
        <v>0</v>
      </c>
      <c r="DW415" s="71">
        <f>IF(Tradingbook_SBV[[#This Row],[Quantity_edited]]=0,0,Tradingbook_SBV[[#This Row],[Mod Dur]])</f>
        <v>0</v>
      </c>
      <c r="DX415" s="71">
        <f>IF(Tradingbook_SBV[[#This Row],[Quantity_edited]]=0,0,Tradingbook_SBV[[#This Row],[Cnvx.]])</f>
        <v>0</v>
      </c>
      <c r="DY415" s="71">
        <f>(Tradingbook_SBV[[#This Row],[MARKET_VALUE]]+Tradingbook_SBV[[#This Row],[Accr Int]]*Tradingbook_SBV[[#This Row],[Quantity_edited]])*(-Tradingbook_SBV[[#This Row],[Modified Duration]]*0.0001+0.5*Tradingbook_SBV[[#This Row],[Conv]]*(0.0001^2))</f>
        <v>0</v>
      </c>
      <c r="DZ415" s="71">
        <f>(Tradingbook_SBV[[#This Row],[MARKET_VALUE]]+Tradingbook_SBV[[#This Row],[Accr Int]]*Tradingbook_SBV[[#This Row],[Quantity_edited]])*(-Tradingbook_SBV[[#This Row],[Modified Duration]]*0.01+0.5*Tradingbook_SBV[[#This Row],[Conv]]*(0.01^2))</f>
        <v>0</v>
      </c>
    </row>
    <row r="416" spans="2:130" x14ac:dyDescent="0.3">
      <c r="B416" t="s">
        <v>166</v>
      </c>
      <c r="C416" t="s">
        <v>3299</v>
      </c>
      <c r="D416" t="s">
        <v>600</v>
      </c>
      <c r="E416" t="s">
        <v>169</v>
      </c>
      <c r="F416" s="502">
        <v>47435</v>
      </c>
      <c r="G416" t="s">
        <v>3322</v>
      </c>
      <c r="H416">
        <v>100676</v>
      </c>
      <c r="I416">
        <v>100676</v>
      </c>
      <c r="J416" s="38">
        <v>0</v>
      </c>
      <c r="K416">
        <v>0</v>
      </c>
      <c r="L416">
        <v>0</v>
      </c>
      <c r="M416" s="38">
        <v>0</v>
      </c>
      <c r="N416">
        <v>4.5</v>
      </c>
      <c r="O416">
        <v>3427</v>
      </c>
      <c r="P416" s="37">
        <v>36000000000</v>
      </c>
      <c r="Q416" s="37">
        <v>41459139999.999893</v>
      </c>
      <c r="R416" s="37">
        <v>-8804524455.8328381</v>
      </c>
      <c r="S416">
        <v>4.2664437929999997</v>
      </c>
      <c r="T416" s="70">
        <v>2.8662154503155</v>
      </c>
      <c r="U416">
        <v>2.9885009199999999</v>
      </c>
      <c r="V416">
        <v>11.448244020492901</v>
      </c>
      <c r="W416">
        <v>0</v>
      </c>
      <c r="X416" s="38">
        <v>0</v>
      </c>
      <c r="Y416">
        <v>0</v>
      </c>
      <c r="Z416" s="70">
        <v>23722000000</v>
      </c>
      <c r="AA416" s="70">
        <v>0</v>
      </c>
      <c r="AB416" s="70">
        <v>23722000000</v>
      </c>
      <c r="AC416" s="70">
        <v>23722000000</v>
      </c>
      <c r="AD416" s="70">
        <v>23722000000</v>
      </c>
      <c r="AE416" s="70">
        <v>23722000000</v>
      </c>
      <c r="AF416">
        <v>0</v>
      </c>
      <c r="AG416" s="72">
        <f>Tradingbook_MSB[[#This Row],[Mat. Date]]-RPT</f>
        <v>1183</v>
      </c>
      <c r="AH416" s="71">
        <f>IF(Tradingbook_MSB[[#This Row],[Days]]&lt;=0,0,YEARFRAC(RPT,Tradingbook_MSB[[#This Row],[Mat. Date]],3))</f>
        <v>3.2410958904109588</v>
      </c>
      <c r="AI416" s="71" t="str">
        <f>IF(Tradingbook_MSB[[#This Row],[Days (year)]]=0,0,INDEX(Ref!$K$2:$K$13,MATCH(Tradingbook_MSB[[#This Row],[Days (year)]],Ref!$I$2:$I$13,1)))</f>
        <v>3Y</v>
      </c>
      <c r="AJ416" s="120" t="str">
        <f>VLOOKUP(Tradingbook_MSB[[#This Row],[Security Name]],Ref!X:Z,3,0)</f>
        <v>TPCPBL</v>
      </c>
      <c r="AK416" s="120" t="str">
        <f>VLOOKUP(Tradingbook_MSB[[#This Row],[Security Name]],Ref!X:Y,2,0)</f>
        <v>VDB</v>
      </c>
      <c r="AL416" s="71">
        <f>IF((Tradingbook_MSB[[#This Row],[Mat. Date]]-RPT)&lt;=0,0,Tradingbook_MSB[[#This Row],[QUANTITY]])</f>
        <v>0</v>
      </c>
      <c r="AM416" s="71">
        <f>IF(Tradingbook_MSB[[#This Row],[Quantity_edited]]=0,0,Tradingbook_MSB[[#This Row],[DURATION]])</f>
        <v>0</v>
      </c>
      <c r="AN416" s="71">
        <f>IF(Tradingbook_MSB[[#This Row],[Quantity_edited]]=0,0,Tradingbook_MSB[[#This Row],[Mod Dur]])</f>
        <v>0</v>
      </c>
      <c r="AO416" s="71">
        <f>IF(Tradingbook_MSB[[#This Row],[Quantity_edited]]=0,0,Tradingbook_MSB[[#This Row],[Cnvx.]])</f>
        <v>0</v>
      </c>
      <c r="AP416" s="71">
        <f>(Tradingbook_MSB[[#This Row],[MARKET_VALUE]]+Tradingbook_MSB[[#This Row],[Accr Int]]*Tradingbook_MSB[[#This Row],[Quantity_edited]])*(-Tradingbook_MSB[[#This Row],[Modified Duration]]*0.0001+0.5*Tradingbook_MSB[[#This Row],[Conv]]*(0.0001^2))</f>
        <v>0</v>
      </c>
      <c r="AQ416" s="72">
        <f>(Tradingbook_MSB[[#This Row],[MARKET_VALUE]]+Tradingbook_MSB[[#This Row],[Accr Int]]*Tradingbook_MSB[[#This Row],[Quantity_edited]])*(-Tradingbook_MSB[[#This Row],[Modified Duration]]*0.01+0.5*Tradingbook_MSB[[#This Row],[Conv]]*(0.01^2))</f>
        <v>0</v>
      </c>
      <c r="CL416" t="s">
        <v>166</v>
      </c>
      <c r="CM416" t="s">
        <v>3300</v>
      </c>
      <c r="CN416" t="s">
        <v>615</v>
      </c>
      <c r="CO416" t="s">
        <v>169</v>
      </c>
      <c r="CP416">
        <v>47855</v>
      </c>
      <c r="CQ416" t="s">
        <v>3322</v>
      </c>
      <c r="CR416" t="s">
        <v>4272</v>
      </c>
      <c r="CS416" t="s">
        <v>4273</v>
      </c>
      <c r="CT416">
        <v>0</v>
      </c>
      <c r="CU416">
        <v>0</v>
      </c>
      <c r="CV416">
        <v>0</v>
      </c>
      <c r="CW416">
        <v>0</v>
      </c>
      <c r="CX416">
        <v>7.6</v>
      </c>
      <c r="CY416">
        <v>4643</v>
      </c>
      <c r="CZ416">
        <v>0</v>
      </c>
      <c r="DA416">
        <v>-6.0999999999999999E-5</v>
      </c>
      <c r="DB416">
        <v>-1616259275.1943436</v>
      </c>
      <c r="DC416">
        <v>4.0744868490000004</v>
      </c>
      <c r="DD416">
        <v>4</v>
      </c>
      <c r="DE416">
        <v>4</v>
      </c>
      <c r="DF416">
        <v>18</v>
      </c>
      <c r="DG416">
        <v>0</v>
      </c>
      <c r="DH416">
        <v>0</v>
      </c>
      <c r="DI416">
        <v>0</v>
      </c>
      <c r="DJ416">
        <v>-12804979999.999023</v>
      </c>
      <c r="DK416">
        <v>0</v>
      </c>
      <c r="DL416">
        <v>-12804979999.999023</v>
      </c>
      <c r="DM416">
        <v>-12804979999.999023</v>
      </c>
      <c r="DN416">
        <v>-12804979999.999001</v>
      </c>
      <c r="DO416">
        <v>-12804979999.999023</v>
      </c>
      <c r="DP416" s="32">
        <f>Tradingbook_SBV[[#This Row],[Mat. Date]]-RPT</f>
        <v>1603</v>
      </c>
      <c r="DQ416" s="32">
        <f>IF(Tradingbook_SBV[[#This Row],[Days]]&lt;=0,0,YEARFRAC(RPT,Tradingbook_SBV[[#This Row],[Mat. Date]],3))</f>
        <v>4.3917808219178083</v>
      </c>
      <c r="DR416" s="32" t="str">
        <f>IF(Tradingbook_SBV[[#This Row],[Days (year)]]=0,0,INDEX(Ref!$K$2:$K$13,MATCH(Tradingbook_SBV[[#This Row],[Days (year)]],Ref!$I$2:$I$13,1)))</f>
        <v>4Y</v>
      </c>
      <c r="DS416" s="32" t="str">
        <f>VLOOKUP(Tradingbook_SBV[[#This Row],[Security Name]],Ref!X:Z,3,0)</f>
        <v>TPCP</v>
      </c>
      <c r="DT416" s="32" t="str">
        <f>VLOOKUP(Tradingbook_SBV[[#This Row],[Security Name]],Ref!X:Y,2,0)</f>
        <v>KBNN</v>
      </c>
      <c r="DU416" s="71">
        <f>IF((Tradingbook_SBV[[#This Row],[Mat. Date]]-RPT)&lt;=0,0,Tradingbook_SBV[[#This Row],[QUANTITY]])</f>
        <v>0</v>
      </c>
      <c r="DV416" s="71">
        <f>IF(Tradingbook_SBV[[#This Row],[Quantity_edited]]=0,0,Tradingbook_SBV[[#This Row],[DURATION]])</f>
        <v>0</v>
      </c>
      <c r="DW416" s="71">
        <f>IF(Tradingbook_SBV[[#This Row],[Quantity_edited]]=0,0,Tradingbook_SBV[[#This Row],[Mod Dur]])</f>
        <v>0</v>
      </c>
      <c r="DX416" s="71">
        <f>IF(Tradingbook_SBV[[#This Row],[Quantity_edited]]=0,0,Tradingbook_SBV[[#This Row],[Cnvx.]])</f>
        <v>0</v>
      </c>
      <c r="DY416" s="71">
        <f>(Tradingbook_SBV[[#This Row],[MARKET_VALUE]]+Tradingbook_SBV[[#This Row],[Accr Int]]*Tradingbook_SBV[[#This Row],[Quantity_edited]])*(-Tradingbook_SBV[[#This Row],[Modified Duration]]*0.0001+0.5*Tradingbook_SBV[[#This Row],[Conv]]*(0.0001^2))</f>
        <v>0</v>
      </c>
      <c r="DZ416" s="71">
        <f>(Tradingbook_SBV[[#This Row],[MARKET_VALUE]]+Tradingbook_SBV[[#This Row],[Accr Int]]*Tradingbook_SBV[[#This Row],[Quantity_edited]])*(-Tradingbook_SBV[[#This Row],[Modified Duration]]*0.01+0.5*Tradingbook_SBV[[#This Row],[Conv]]*(0.01^2))</f>
        <v>0</v>
      </c>
    </row>
    <row r="417" spans="2:130" x14ac:dyDescent="0.3">
      <c r="B417" t="s">
        <v>166</v>
      </c>
      <c r="C417" t="s">
        <v>3300</v>
      </c>
      <c r="D417" t="s">
        <v>602</v>
      </c>
      <c r="E417" t="s">
        <v>169</v>
      </c>
      <c r="F417" s="502">
        <v>47442</v>
      </c>
      <c r="G417" t="s">
        <v>3322</v>
      </c>
      <c r="H417">
        <v>100365</v>
      </c>
      <c r="I417">
        <v>100365</v>
      </c>
      <c r="J417" s="38">
        <v>0</v>
      </c>
      <c r="K417">
        <v>0</v>
      </c>
      <c r="L417">
        <v>0</v>
      </c>
      <c r="M417" s="38">
        <v>0</v>
      </c>
      <c r="N417">
        <v>4.4000000000000004</v>
      </c>
      <c r="O417">
        <v>3267</v>
      </c>
      <c r="P417" s="37">
        <v>0</v>
      </c>
      <c r="Q417" s="37">
        <v>0</v>
      </c>
      <c r="R417" s="37">
        <v>-1462877793.1944389</v>
      </c>
      <c r="S417">
        <v>4.2716320430000003</v>
      </c>
      <c r="T417" s="70">
        <v>2.8889243395855999</v>
      </c>
      <c r="U417">
        <v>3.0123285599999998</v>
      </c>
      <c r="V417">
        <v>11.592577121293001</v>
      </c>
      <c r="W417">
        <v>0</v>
      </c>
      <c r="X417" s="38">
        <v>0</v>
      </c>
      <c r="Y417">
        <v>0</v>
      </c>
      <c r="Z417" s="70">
        <v>9760250000</v>
      </c>
      <c r="AA417" s="70">
        <v>0</v>
      </c>
      <c r="AB417" s="70">
        <v>9760250000</v>
      </c>
      <c r="AC417" s="70">
        <v>9760250000</v>
      </c>
      <c r="AD417" s="70">
        <v>9760250000</v>
      </c>
      <c r="AE417" s="70">
        <v>9760250000</v>
      </c>
      <c r="AF417">
        <v>0</v>
      </c>
      <c r="AG417" s="72">
        <f>Tradingbook_MSB[[#This Row],[Mat. Date]]-RPT</f>
        <v>1190</v>
      </c>
      <c r="AH417" s="71">
        <f>IF(Tradingbook_MSB[[#This Row],[Days]]&lt;=0,0,YEARFRAC(RPT,Tradingbook_MSB[[#This Row],[Mat. Date]],3))</f>
        <v>3.2602739726027399</v>
      </c>
      <c r="AI417" s="71" t="str">
        <f>IF(Tradingbook_MSB[[#This Row],[Days (year)]]=0,0,INDEX(Ref!$K$2:$K$13,MATCH(Tradingbook_MSB[[#This Row],[Days (year)]],Ref!$I$2:$I$13,1)))</f>
        <v>3Y</v>
      </c>
      <c r="AJ417" s="120" t="str">
        <f>VLOOKUP(Tradingbook_MSB[[#This Row],[Security Name]],Ref!X:Z,3,0)</f>
        <v>TPCPBL</v>
      </c>
      <c r="AK417" s="120" t="str">
        <f>VLOOKUP(Tradingbook_MSB[[#This Row],[Security Name]],Ref!X:Y,2,0)</f>
        <v>VDB</v>
      </c>
      <c r="AL417" s="71">
        <f>IF((Tradingbook_MSB[[#This Row],[Mat. Date]]-RPT)&lt;=0,0,Tradingbook_MSB[[#This Row],[QUANTITY]])</f>
        <v>0</v>
      </c>
      <c r="AM417" s="71">
        <f>IF(Tradingbook_MSB[[#This Row],[Quantity_edited]]=0,0,Tradingbook_MSB[[#This Row],[DURATION]])</f>
        <v>0</v>
      </c>
      <c r="AN417" s="71">
        <f>IF(Tradingbook_MSB[[#This Row],[Quantity_edited]]=0,0,Tradingbook_MSB[[#This Row],[Mod Dur]])</f>
        <v>0</v>
      </c>
      <c r="AO417" s="71">
        <f>IF(Tradingbook_MSB[[#This Row],[Quantity_edited]]=0,0,Tradingbook_MSB[[#This Row],[Cnvx.]])</f>
        <v>0</v>
      </c>
      <c r="AP417" s="71">
        <f>(Tradingbook_MSB[[#This Row],[MARKET_VALUE]]+Tradingbook_MSB[[#This Row],[Accr Int]]*Tradingbook_MSB[[#This Row],[Quantity_edited]])*(-Tradingbook_MSB[[#This Row],[Modified Duration]]*0.0001+0.5*Tradingbook_MSB[[#This Row],[Conv]]*(0.0001^2))</f>
        <v>0</v>
      </c>
      <c r="AQ417" s="72">
        <f>(Tradingbook_MSB[[#This Row],[MARKET_VALUE]]+Tradingbook_MSB[[#This Row],[Accr Int]]*Tradingbook_MSB[[#This Row],[Quantity_edited]])*(-Tradingbook_MSB[[#This Row],[Modified Duration]]*0.01+0.5*Tradingbook_MSB[[#This Row],[Conv]]*(0.01^2))</f>
        <v>0</v>
      </c>
      <c r="CL417" t="s">
        <v>166</v>
      </c>
      <c r="CM417" t="s">
        <v>3300</v>
      </c>
      <c r="CN417" t="s">
        <v>636</v>
      </c>
      <c r="CO417" t="s">
        <v>169</v>
      </c>
      <c r="CP417">
        <v>47862</v>
      </c>
      <c r="CQ417" t="s">
        <v>3322</v>
      </c>
      <c r="CR417" t="s">
        <v>4274</v>
      </c>
      <c r="CS417" t="s">
        <v>4275</v>
      </c>
      <c r="CT417">
        <v>0</v>
      </c>
      <c r="CU417">
        <v>0</v>
      </c>
      <c r="CV417">
        <v>0</v>
      </c>
      <c r="CW417">
        <v>0</v>
      </c>
      <c r="CX417">
        <v>2.2000000000000002</v>
      </c>
      <c r="CY417">
        <v>1302</v>
      </c>
      <c r="CZ417">
        <v>0</v>
      </c>
      <c r="DA417">
        <v>0</v>
      </c>
      <c r="DB417">
        <v>-4949613.4722261429</v>
      </c>
      <c r="DC417">
        <v>4.0794990389999999</v>
      </c>
      <c r="DD417">
        <v>4</v>
      </c>
      <c r="DE417">
        <v>4</v>
      </c>
      <c r="DF417">
        <v>21</v>
      </c>
      <c r="DG417">
        <v>0</v>
      </c>
      <c r="DH417">
        <v>0</v>
      </c>
      <c r="DI417">
        <v>0</v>
      </c>
      <c r="DJ417">
        <v>500000</v>
      </c>
      <c r="DK417">
        <v>0</v>
      </c>
      <c r="DL417">
        <v>500000</v>
      </c>
      <c r="DM417">
        <v>500000</v>
      </c>
      <c r="DN417">
        <v>500000</v>
      </c>
      <c r="DO417">
        <v>500000</v>
      </c>
      <c r="DP417" s="32">
        <f>Tradingbook_SBV[[#This Row],[Mat. Date]]-RPT</f>
        <v>1610</v>
      </c>
      <c r="DQ417" s="32">
        <f>IF(Tradingbook_SBV[[#This Row],[Days]]&lt;=0,0,YEARFRAC(RPT,Tradingbook_SBV[[#This Row],[Mat. Date]],3))</f>
        <v>4.4109589041095889</v>
      </c>
      <c r="DR417" s="32" t="str">
        <f>IF(Tradingbook_SBV[[#This Row],[Days (year)]]=0,0,INDEX(Ref!$K$2:$K$13,MATCH(Tradingbook_SBV[[#This Row],[Days (year)]],Ref!$I$2:$I$13,1)))</f>
        <v>4Y</v>
      </c>
      <c r="DS417" s="32" t="str">
        <f>VLOOKUP(Tradingbook_SBV[[#This Row],[Security Name]],Ref!X:Z,3,0)</f>
        <v>TPCP</v>
      </c>
      <c r="DT417" s="32" t="str">
        <f>VLOOKUP(Tradingbook_SBV[[#This Row],[Security Name]],Ref!X:Y,2,0)</f>
        <v>KBNN</v>
      </c>
      <c r="DU417" s="71">
        <f>IF((Tradingbook_SBV[[#This Row],[Mat. Date]]-RPT)&lt;=0,0,Tradingbook_SBV[[#This Row],[QUANTITY]])</f>
        <v>0</v>
      </c>
      <c r="DV417" s="71">
        <f>IF(Tradingbook_SBV[[#This Row],[Quantity_edited]]=0,0,Tradingbook_SBV[[#This Row],[DURATION]])</f>
        <v>0</v>
      </c>
      <c r="DW417" s="71">
        <f>IF(Tradingbook_SBV[[#This Row],[Quantity_edited]]=0,0,Tradingbook_SBV[[#This Row],[Mod Dur]])</f>
        <v>0</v>
      </c>
      <c r="DX417" s="71">
        <f>IF(Tradingbook_SBV[[#This Row],[Quantity_edited]]=0,0,Tradingbook_SBV[[#This Row],[Cnvx.]])</f>
        <v>0</v>
      </c>
      <c r="DY417" s="71">
        <f>(Tradingbook_SBV[[#This Row],[MARKET_VALUE]]+Tradingbook_SBV[[#This Row],[Accr Int]]*Tradingbook_SBV[[#This Row],[Quantity_edited]])*(-Tradingbook_SBV[[#This Row],[Modified Duration]]*0.0001+0.5*Tradingbook_SBV[[#This Row],[Conv]]*(0.0001^2))</f>
        <v>0</v>
      </c>
      <c r="DZ417" s="71">
        <f>(Tradingbook_SBV[[#This Row],[MARKET_VALUE]]+Tradingbook_SBV[[#This Row],[Accr Int]]*Tradingbook_SBV[[#This Row],[Quantity_edited]])*(-Tradingbook_SBV[[#This Row],[Modified Duration]]*0.01+0.5*Tradingbook_SBV[[#This Row],[Conv]]*(0.01^2))</f>
        <v>0</v>
      </c>
    </row>
    <row r="418" spans="2:130" x14ac:dyDescent="0.3">
      <c r="B418" t="s">
        <v>166</v>
      </c>
      <c r="C418" t="s">
        <v>3300</v>
      </c>
      <c r="D418" t="s">
        <v>603</v>
      </c>
      <c r="E418" t="s">
        <v>169</v>
      </c>
      <c r="F418" s="502">
        <v>47449</v>
      </c>
      <c r="G418" t="s">
        <v>3322</v>
      </c>
      <c r="H418">
        <v>100052</v>
      </c>
      <c r="I418">
        <v>100052</v>
      </c>
      <c r="J418" s="38">
        <v>0</v>
      </c>
      <c r="K418">
        <v>0</v>
      </c>
      <c r="L418">
        <v>0</v>
      </c>
      <c r="M418" s="38">
        <v>0</v>
      </c>
      <c r="N418">
        <v>4.3</v>
      </c>
      <c r="O418">
        <v>3110</v>
      </c>
      <c r="P418" s="37">
        <v>0</v>
      </c>
      <c r="Q418" s="37">
        <v>7.9999999999999996E-6</v>
      </c>
      <c r="R418" s="37">
        <v>-202516634.16666412</v>
      </c>
      <c r="S418">
        <v>4.2766728519999999</v>
      </c>
      <c r="T418" s="70">
        <v>2.9116689226732002</v>
      </c>
      <c r="U418">
        <v>3.0361914799999998</v>
      </c>
      <c r="V418">
        <v>11.738087386867299</v>
      </c>
      <c r="W418">
        <v>0</v>
      </c>
      <c r="X418" s="38">
        <v>0</v>
      </c>
      <c r="Y418">
        <v>0</v>
      </c>
      <c r="Z418" s="70">
        <v>-707000000</v>
      </c>
      <c r="AA418" s="70">
        <v>0</v>
      </c>
      <c r="AB418" s="70">
        <v>-707000000</v>
      </c>
      <c r="AC418" s="70">
        <v>-707000000</v>
      </c>
      <c r="AD418" s="70">
        <v>-707000000</v>
      </c>
      <c r="AE418" s="70">
        <v>-707000000</v>
      </c>
      <c r="AF418">
        <v>0</v>
      </c>
      <c r="AG418" s="72">
        <f>Tradingbook_MSB[[#This Row],[Mat. Date]]-RPT</f>
        <v>1197</v>
      </c>
      <c r="AH418" s="71">
        <f>IF(Tradingbook_MSB[[#This Row],[Days]]&lt;=0,0,YEARFRAC(RPT,Tradingbook_MSB[[#This Row],[Mat. Date]],3))</f>
        <v>3.2794520547945205</v>
      </c>
      <c r="AI418" s="71" t="str">
        <f>IF(Tradingbook_MSB[[#This Row],[Days (year)]]=0,0,INDEX(Ref!$K$2:$K$13,MATCH(Tradingbook_MSB[[#This Row],[Days (year)]],Ref!$I$2:$I$13,1)))</f>
        <v>3Y</v>
      </c>
      <c r="AJ418" s="120" t="str">
        <f>VLOOKUP(Tradingbook_MSB[[#This Row],[Security Name]],Ref!X:Z,3,0)</f>
        <v>TPCPBL</v>
      </c>
      <c r="AK418" s="120" t="str">
        <f>VLOOKUP(Tradingbook_MSB[[#This Row],[Security Name]],Ref!X:Y,2,0)</f>
        <v>VDB</v>
      </c>
      <c r="AL418" s="71">
        <f>IF((Tradingbook_MSB[[#This Row],[Mat. Date]]-RPT)&lt;=0,0,Tradingbook_MSB[[#This Row],[QUANTITY]])</f>
        <v>0</v>
      </c>
      <c r="AM418" s="71">
        <f>IF(Tradingbook_MSB[[#This Row],[Quantity_edited]]=0,0,Tradingbook_MSB[[#This Row],[DURATION]])</f>
        <v>0</v>
      </c>
      <c r="AN418" s="71">
        <f>IF(Tradingbook_MSB[[#This Row],[Quantity_edited]]=0,0,Tradingbook_MSB[[#This Row],[Mod Dur]])</f>
        <v>0</v>
      </c>
      <c r="AO418" s="71">
        <f>IF(Tradingbook_MSB[[#This Row],[Quantity_edited]]=0,0,Tradingbook_MSB[[#This Row],[Cnvx.]])</f>
        <v>0</v>
      </c>
      <c r="AP418" s="71">
        <f>(Tradingbook_MSB[[#This Row],[MARKET_VALUE]]+Tradingbook_MSB[[#This Row],[Accr Int]]*Tradingbook_MSB[[#This Row],[Quantity_edited]])*(-Tradingbook_MSB[[#This Row],[Modified Duration]]*0.0001+0.5*Tradingbook_MSB[[#This Row],[Conv]]*(0.0001^2))</f>
        <v>0</v>
      </c>
      <c r="AQ418" s="72">
        <f>(Tradingbook_MSB[[#This Row],[MARKET_VALUE]]+Tradingbook_MSB[[#This Row],[Accr Int]]*Tradingbook_MSB[[#This Row],[Quantity_edited]])*(-Tradingbook_MSB[[#This Row],[Modified Duration]]*0.01+0.5*Tradingbook_MSB[[#This Row],[Conv]]*(0.01^2))</f>
        <v>0</v>
      </c>
      <c r="CL418" t="s">
        <v>166</v>
      </c>
      <c r="CM418" t="s">
        <v>3300</v>
      </c>
      <c r="CN418" t="s">
        <v>637</v>
      </c>
      <c r="CO418" t="s">
        <v>169</v>
      </c>
      <c r="CP418">
        <v>47946</v>
      </c>
      <c r="CQ418" t="s">
        <v>3322</v>
      </c>
      <c r="CR418" t="s">
        <v>4276</v>
      </c>
      <c r="CS418" t="s">
        <v>4277</v>
      </c>
      <c r="CT418">
        <v>0</v>
      </c>
      <c r="CU418">
        <v>0</v>
      </c>
      <c r="CV418">
        <v>0</v>
      </c>
      <c r="CW418">
        <v>0</v>
      </c>
      <c r="CX418">
        <v>2.2999999999999998</v>
      </c>
      <c r="CY418">
        <v>832</v>
      </c>
      <c r="CZ418">
        <v>0</v>
      </c>
      <c r="DA418">
        <v>-1.9999999999999999E-6</v>
      </c>
      <c r="DB418">
        <v>-2884122746.6110878</v>
      </c>
      <c r="DC418">
        <v>4.1412774849999998</v>
      </c>
      <c r="DD418">
        <v>4</v>
      </c>
      <c r="DE418">
        <v>4</v>
      </c>
      <c r="DF418">
        <v>23</v>
      </c>
      <c r="DG418">
        <v>0</v>
      </c>
      <c r="DH418">
        <v>0</v>
      </c>
      <c r="DI418">
        <v>0</v>
      </c>
      <c r="DJ418">
        <v>-16992500000</v>
      </c>
      <c r="DK418">
        <v>0</v>
      </c>
      <c r="DL418">
        <v>-16992500000</v>
      </c>
      <c r="DM418">
        <v>-16992500000</v>
      </c>
      <c r="DN418">
        <v>-16992500000</v>
      </c>
      <c r="DO418">
        <v>-16992500000</v>
      </c>
      <c r="DP418" s="32">
        <f>Tradingbook_SBV[[#This Row],[Mat. Date]]-RPT</f>
        <v>1694</v>
      </c>
      <c r="DQ418" s="32">
        <f>IF(Tradingbook_SBV[[#This Row],[Days]]&lt;=0,0,YEARFRAC(RPT,Tradingbook_SBV[[#This Row],[Mat. Date]],3))</f>
        <v>4.6410958904109592</v>
      </c>
      <c r="DR418" s="32" t="str">
        <f>IF(Tradingbook_SBV[[#This Row],[Days (year)]]=0,0,INDEX(Ref!$K$2:$K$13,MATCH(Tradingbook_SBV[[#This Row],[Days (year)]],Ref!$I$2:$I$13,1)))</f>
        <v>5Y</v>
      </c>
      <c r="DS418" s="32" t="str">
        <f>VLOOKUP(Tradingbook_SBV[[#This Row],[Security Name]],Ref!X:Z,3,0)</f>
        <v>TPCP</v>
      </c>
      <c r="DT418" s="32" t="str">
        <f>VLOOKUP(Tradingbook_SBV[[#This Row],[Security Name]],Ref!X:Y,2,0)</f>
        <v>KBNN</v>
      </c>
      <c r="DU418" s="71">
        <f>IF((Tradingbook_SBV[[#This Row],[Mat. Date]]-RPT)&lt;=0,0,Tradingbook_SBV[[#This Row],[QUANTITY]])</f>
        <v>0</v>
      </c>
      <c r="DV418" s="71">
        <f>IF(Tradingbook_SBV[[#This Row],[Quantity_edited]]=0,0,Tradingbook_SBV[[#This Row],[DURATION]])</f>
        <v>0</v>
      </c>
      <c r="DW418" s="71">
        <f>IF(Tradingbook_SBV[[#This Row],[Quantity_edited]]=0,0,Tradingbook_SBV[[#This Row],[Mod Dur]])</f>
        <v>0</v>
      </c>
      <c r="DX418" s="71">
        <f>IF(Tradingbook_SBV[[#This Row],[Quantity_edited]]=0,0,Tradingbook_SBV[[#This Row],[Cnvx.]])</f>
        <v>0</v>
      </c>
      <c r="DY418" s="71">
        <f>(Tradingbook_SBV[[#This Row],[MARKET_VALUE]]+Tradingbook_SBV[[#This Row],[Accr Int]]*Tradingbook_SBV[[#This Row],[Quantity_edited]])*(-Tradingbook_SBV[[#This Row],[Modified Duration]]*0.0001+0.5*Tradingbook_SBV[[#This Row],[Conv]]*(0.0001^2))</f>
        <v>0</v>
      </c>
      <c r="DZ418" s="71">
        <f>(Tradingbook_SBV[[#This Row],[MARKET_VALUE]]+Tradingbook_SBV[[#This Row],[Accr Int]]*Tradingbook_SBV[[#This Row],[Quantity_edited]])*(-Tradingbook_SBV[[#This Row],[Modified Duration]]*0.01+0.5*Tradingbook_SBV[[#This Row],[Conv]]*(0.01^2))</f>
        <v>0</v>
      </c>
    </row>
    <row r="419" spans="2:130" x14ac:dyDescent="0.3">
      <c r="B419" t="s">
        <v>166</v>
      </c>
      <c r="C419" t="s">
        <v>3300</v>
      </c>
      <c r="D419" t="s">
        <v>604</v>
      </c>
      <c r="E419" t="s">
        <v>169</v>
      </c>
      <c r="F419" s="502">
        <v>47456</v>
      </c>
      <c r="G419" t="s">
        <v>3322</v>
      </c>
      <c r="H419">
        <v>99735</v>
      </c>
      <c r="I419">
        <v>99735</v>
      </c>
      <c r="J419" s="38">
        <v>0</v>
      </c>
      <c r="K419">
        <v>0</v>
      </c>
      <c r="L419">
        <v>0</v>
      </c>
      <c r="M419" s="38">
        <v>0</v>
      </c>
      <c r="N419">
        <v>4.2</v>
      </c>
      <c r="O419">
        <v>2957</v>
      </c>
      <c r="P419" s="37">
        <v>0</v>
      </c>
      <c r="Q419" s="37">
        <v>3.9999999999999998E-6</v>
      </c>
      <c r="R419" s="37">
        <v>-1061058410.4611053</v>
      </c>
      <c r="S419">
        <v>4.2819000650000003</v>
      </c>
      <c r="T419" s="70">
        <v>2.9344386914189999</v>
      </c>
      <c r="U419">
        <v>3.06008842</v>
      </c>
      <c r="V419">
        <v>11.8846976860916</v>
      </c>
      <c r="W419">
        <v>0</v>
      </c>
      <c r="X419" s="38">
        <v>0</v>
      </c>
      <c r="Y419">
        <v>0</v>
      </c>
      <c r="Z419" s="70">
        <v>-5924000000</v>
      </c>
      <c r="AA419" s="70">
        <v>0</v>
      </c>
      <c r="AB419" s="70">
        <v>-5924000000</v>
      </c>
      <c r="AC419" s="70">
        <v>-5924000000</v>
      </c>
      <c r="AD419" s="70">
        <v>-5924000000</v>
      </c>
      <c r="AE419" s="70">
        <v>-5924000000</v>
      </c>
      <c r="AF419">
        <v>0</v>
      </c>
      <c r="AG419" s="72">
        <f>Tradingbook_MSB[[#This Row],[Mat. Date]]-RPT</f>
        <v>1204</v>
      </c>
      <c r="AH419" s="71">
        <f>IF(Tradingbook_MSB[[#This Row],[Days]]&lt;=0,0,YEARFRAC(RPT,Tradingbook_MSB[[#This Row],[Mat. Date]],3))</f>
        <v>3.2986301369863016</v>
      </c>
      <c r="AI419" s="71" t="str">
        <f>IF(Tradingbook_MSB[[#This Row],[Days (year)]]=0,0,INDEX(Ref!$K$2:$K$13,MATCH(Tradingbook_MSB[[#This Row],[Days (year)]],Ref!$I$2:$I$13,1)))</f>
        <v>3Y</v>
      </c>
      <c r="AJ419" s="120" t="str">
        <f>VLOOKUP(Tradingbook_MSB[[#This Row],[Security Name]],Ref!X:Z,3,0)</f>
        <v>TPCPBL</v>
      </c>
      <c r="AK419" s="120" t="str">
        <f>VLOOKUP(Tradingbook_MSB[[#This Row],[Security Name]],Ref!X:Y,2,0)</f>
        <v>VDB</v>
      </c>
      <c r="AL419" s="71">
        <f>IF((Tradingbook_MSB[[#This Row],[Mat. Date]]-RPT)&lt;=0,0,Tradingbook_MSB[[#This Row],[QUANTITY]])</f>
        <v>0</v>
      </c>
      <c r="AM419" s="71">
        <f>IF(Tradingbook_MSB[[#This Row],[Quantity_edited]]=0,0,Tradingbook_MSB[[#This Row],[DURATION]])</f>
        <v>0</v>
      </c>
      <c r="AN419" s="71">
        <f>IF(Tradingbook_MSB[[#This Row],[Quantity_edited]]=0,0,Tradingbook_MSB[[#This Row],[Mod Dur]])</f>
        <v>0</v>
      </c>
      <c r="AO419" s="71">
        <f>IF(Tradingbook_MSB[[#This Row],[Quantity_edited]]=0,0,Tradingbook_MSB[[#This Row],[Cnvx.]])</f>
        <v>0</v>
      </c>
      <c r="AP419" s="71">
        <f>(Tradingbook_MSB[[#This Row],[MARKET_VALUE]]+Tradingbook_MSB[[#This Row],[Accr Int]]*Tradingbook_MSB[[#This Row],[Quantity_edited]])*(-Tradingbook_MSB[[#This Row],[Modified Duration]]*0.0001+0.5*Tradingbook_MSB[[#This Row],[Conv]]*(0.0001^2))</f>
        <v>0</v>
      </c>
      <c r="AQ419" s="72">
        <f>(Tradingbook_MSB[[#This Row],[MARKET_VALUE]]+Tradingbook_MSB[[#This Row],[Accr Int]]*Tradingbook_MSB[[#This Row],[Quantity_edited]])*(-Tradingbook_MSB[[#This Row],[Modified Duration]]*0.01+0.5*Tradingbook_MSB[[#This Row],[Conv]]*(0.01^2))</f>
        <v>0</v>
      </c>
      <c r="CL419" t="s">
        <v>166</v>
      </c>
      <c r="CM419" t="s">
        <v>3300</v>
      </c>
      <c r="CN419" t="s">
        <v>616</v>
      </c>
      <c r="CO419" t="s">
        <v>169</v>
      </c>
      <c r="CP419">
        <v>47952</v>
      </c>
      <c r="CQ419" t="s">
        <v>3322</v>
      </c>
      <c r="CR419" t="s">
        <v>4278</v>
      </c>
      <c r="CS419" t="s">
        <v>4279</v>
      </c>
      <c r="CT419">
        <v>0</v>
      </c>
      <c r="CU419">
        <v>0</v>
      </c>
      <c r="CV419">
        <v>0</v>
      </c>
      <c r="CW419">
        <v>0</v>
      </c>
      <c r="CX419">
        <v>7.6</v>
      </c>
      <c r="CY419">
        <v>2624</v>
      </c>
      <c r="CZ419">
        <v>36404000000</v>
      </c>
      <c r="DA419">
        <v>44360313196.111603</v>
      </c>
      <c r="DB419">
        <v>-2127384351.6489229</v>
      </c>
      <c r="DC419">
        <v>4.1456087889999997</v>
      </c>
      <c r="DD419">
        <v>4</v>
      </c>
      <c r="DE419">
        <v>4</v>
      </c>
      <c r="DF419">
        <v>20</v>
      </c>
      <c r="DG419">
        <v>0</v>
      </c>
      <c r="DH419">
        <v>0</v>
      </c>
      <c r="DI419">
        <v>0</v>
      </c>
      <c r="DJ419">
        <v>30129440000</v>
      </c>
      <c r="DK419">
        <v>0</v>
      </c>
      <c r="DL419">
        <v>30129440000</v>
      </c>
      <c r="DM419">
        <v>30129440000</v>
      </c>
      <c r="DN419">
        <v>30129440000</v>
      </c>
      <c r="DO419">
        <v>30129440000</v>
      </c>
      <c r="DP419" s="32">
        <f>Tradingbook_SBV[[#This Row],[Mat. Date]]-RPT</f>
        <v>1700</v>
      </c>
      <c r="DQ419" s="32">
        <f>IF(Tradingbook_SBV[[#This Row],[Days]]&lt;=0,0,YEARFRAC(RPT,Tradingbook_SBV[[#This Row],[Mat. Date]],3))</f>
        <v>4.6575342465753424</v>
      </c>
      <c r="DR419" s="32" t="str">
        <f>IF(Tradingbook_SBV[[#This Row],[Days (year)]]=0,0,INDEX(Ref!$K$2:$K$13,MATCH(Tradingbook_SBV[[#This Row],[Days (year)]],Ref!$I$2:$I$13,1)))</f>
        <v>5Y</v>
      </c>
      <c r="DS419" s="32" t="str">
        <f>VLOOKUP(Tradingbook_SBV[[#This Row],[Security Name]],Ref!X:Z,3,0)</f>
        <v>TPCP</v>
      </c>
      <c r="DT419" s="32" t="str">
        <f>VLOOKUP(Tradingbook_SBV[[#This Row],[Security Name]],Ref!X:Y,2,0)</f>
        <v>KBNN</v>
      </c>
      <c r="DU419" s="71">
        <f>IF((Tradingbook_SBV[[#This Row],[Mat. Date]]-RPT)&lt;=0,0,Tradingbook_SBV[[#This Row],[QUANTITY]])</f>
        <v>0</v>
      </c>
      <c r="DV419" s="71">
        <f>IF(Tradingbook_SBV[[#This Row],[Quantity_edited]]=0,0,Tradingbook_SBV[[#This Row],[DURATION]])</f>
        <v>0</v>
      </c>
      <c r="DW419" s="71">
        <f>IF(Tradingbook_SBV[[#This Row],[Quantity_edited]]=0,0,Tradingbook_SBV[[#This Row],[Mod Dur]])</f>
        <v>0</v>
      </c>
      <c r="DX419" s="71">
        <f>IF(Tradingbook_SBV[[#This Row],[Quantity_edited]]=0,0,Tradingbook_SBV[[#This Row],[Cnvx.]])</f>
        <v>0</v>
      </c>
      <c r="DY419" s="71">
        <f>(Tradingbook_SBV[[#This Row],[MARKET_VALUE]]+Tradingbook_SBV[[#This Row],[Accr Int]]*Tradingbook_SBV[[#This Row],[Quantity_edited]])*(-Tradingbook_SBV[[#This Row],[Modified Duration]]*0.0001+0.5*Tradingbook_SBV[[#This Row],[Conv]]*(0.0001^2))</f>
        <v>0</v>
      </c>
      <c r="DZ419" s="71">
        <f>(Tradingbook_SBV[[#This Row],[MARKET_VALUE]]+Tradingbook_SBV[[#This Row],[Accr Int]]*Tradingbook_SBV[[#This Row],[Quantity_edited]])*(-Tradingbook_SBV[[#This Row],[Modified Duration]]*0.01+0.5*Tradingbook_SBV[[#This Row],[Conv]]*(0.01^2))</f>
        <v>0</v>
      </c>
    </row>
    <row r="420" spans="2:130" x14ac:dyDescent="0.3">
      <c r="B420" t="s">
        <v>166</v>
      </c>
      <c r="C420" t="s">
        <v>3300</v>
      </c>
      <c r="D420" t="s">
        <v>605</v>
      </c>
      <c r="E420" t="s">
        <v>169</v>
      </c>
      <c r="F420" s="502">
        <v>47457</v>
      </c>
      <c r="G420" t="s">
        <v>3322</v>
      </c>
      <c r="H420">
        <v>99125</v>
      </c>
      <c r="I420">
        <v>99125</v>
      </c>
      <c r="J420" s="38">
        <v>0</v>
      </c>
      <c r="K420">
        <v>0</v>
      </c>
      <c r="L420">
        <v>0</v>
      </c>
      <c r="M420" s="38">
        <v>0</v>
      </c>
      <c r="N420">
        <v>3.5</v>
      </c>
      <c r="O420">
        <v>2455</v>
      </c>
      <c r="P420" s="37">
        <v>0</v>
      </c>
      <c r="Q420" s="37">
        <v>0</v>
      </c>
      <c r="R420" s="37">
        <v>79915247.083343506</v>
      </c>
      <c r="S420">
        <v>3.7825897720000001</v>
      </c>
      <c r="T420" s="70">
        <v>2.9861450146904001</v>
      </c>
      <c r="U420">
        <v>3.0990986299999999</v>
      </c>
      <c r="V420">
        <v>12.1934485312331</v>
      </c>
      <c r="W420">
        <v>0</v>
      </c>
      <c r="X420" s="38">
        <v>0</v>
      </c>
      <c r="Y420">
        <v>0</v>
      </c>
      <c r="Z420" s="70">
        <v>789500000</v>
      </c>
      <c r="AA420" s="70">
        <v>0</v>
      </c>
      <c r="AB420" s="70">
        <v>789500000</v>
      </c>
      <c r="AC420" s="70">
        <v>789500000</v>
      </c>
      <c r="AD420" s="70">
        <v>789500000</v>
      </c>
      <c r="AE420" s="70">
        <v>789500000</v>
      </c>
      <c r="AF420">
        <v>0</v>
      </c>
      <c r="AG420" s="72">
        <f>Tradingbook_MSB[[#This Row],[Mat. Date]]-RPT</f>
        <v>1205</v>
      </c>
      <c r="AH420" s="71">
        <f>IF(Tradingbook_MSB[[#This Row],[Days]]&lt;=0,0,YEARFRAC(RPT,Tradingbook_MSB[[#This Row],[Mat. Date]],3))</f>
        <v>3.3013698630136985</v>
      </c>
      <c r="AI420" s="71" t="str">
        <f>IF(Tradingbook_MSB[[#This Row],[Days (year)]]=0,0,INDEX(Ref!$K$2:$K$13,MATCH(Tradingbook_MSB[[#This Row],[Days (year)]],Ref!$I$2:$I$13,1)))</f>
        <v>3Y</v>
      </c>
      <c r="AJ420" s="120" t="str">
        <f>VLOOKUP(Tradingbook_MSB[[#This Row],[Security Name]],Ref!X:Z,3,0)</f>
        <v>TPCP</v>
      </c>
      <c r="AK420" s="120" t="str">
        <f>VLOOKUP(Tradingbook_MSB[[#This Row],[Security Name]],Ref!X:Y,2,0)</f>
        <v>KBNN</v>
      </c>
      <c r="AL420" s="71">
        <f>IF((Tradingbook_MSB[[#This Row],[Mat. Date]]-RPT)&lt;=0,0,Tradingbook_MSB[[#This Row],[QUANTITY]])</f>
        <v>0</v>
      </c>
      <c r="AM420" s="71">
        <f>IF(Tradingbook_MSB[[#This Row],[Quantity_edited]]=0,0,Tradingbook_MSB[[#This Row],[DURATION]])</f>
        <v>0</v>
      </c>
      <c r="AN420" s="71">
        <f>IF(Tradingbook_MSB[[#This Row],[Quantity_edited]]=0,0,Tradingbook_MSB[[#This Row],[Mod Dur]])</f>
        <v>0</v>
      </c>
      <c r="AO420" s="71">
        <f>IF(Tradingbook_MSB[[#This Row],[Quantity_edited]]=0,0,Tradingbook_MSB[[#This Row],[Cnvx.]])</f>
        <v>0</v>
      </c>
      <c r="AP420" s="71">
        <f>(Tradingbook_MSB[[#This Row],[MARKET_VALUE]]+Tradingbook_MSB[[#This Row],[Accr Int]]*Tradingbook_MSB[[#This Row],[Quantity_edited]])*(-Tradingbook_MSB[[#This Row],[Modified Duration]]*0.0001+0.5*Tradingbook_MSB[[#This Row],[Conv]]*(0.0001^2))</f>
        <v>0</v>
      </c>
      <c r="AQ420" s="72">
        <f>(Tradingbook_MSB[[#This Row],[MARKET_VALUE]]+Tradingbook_MSB[[#This Row],[Accr Int]]*Tradingbook_MSB[[#This Row],[Quantity_edited]])*(-Tradingbook_MSB[[#This Row],[Modified Duration]]*0.01+0.5*Tradingbook_MSB[[#This Row],[Conv]]*(0.01^2))</f>
        <v>0</v>
      </c>
      <c r="CL420" t="s">
        <v>166</v>
      </c>
      <c r="CM420" t="s">
        <v>3300</v>
      </c>
      <c r="CN420" t="s">
        <v>638</v>
      </c>
      <c r="CO420" t="s">
        <v>169</v>
      </c>
      <c r="CP420">
        <v>47974</v>
      </c>
      <c r="CQ420" t="s">
        <v>3322</v>
      </c>
      <c r="CR420" t="s">
        <v>4280</v>
      </c>
      <c r="CS420" t="s">
        <v>4281</v>
      </c>
      <c r="CT420">
        <v>0</v>
      </c>
      <c r="CU420">
        <v>0</v>
      </c>
      <c r="CV420">
        <v>0</v>
      </c>
      <c r="CW420">
        <v>0</v>
      </c>
      <c r="CX420">
        <v>2.2999999999999998</v>
      </c>
      <c r="CY420">
        <v>655</v>
      </c>
      <c r="CZ420">
        <v>0</v>
      </c>
      <c r="DA420">
        <v>0</v>
      </c>
      <c r="DB420">
        <v>6705791.0416660309</v>
      </c>
      <c r="DC420">
        <v>4.1616270110000002</v>
      </c>
      <c r="DD420">
        <v>4</v>
      </c>
      <c r="DE420">
        <v>4</v>
      </c>
      <c r="DF420">
        <v>23</v>
      </c>
      <c r="DG420">
        <v>0</v>
      </c>
      <c r="DH420">
        <v>0</v>
      </c>
      <c r="DI420">
        <v>0</v>
      </c>
      <c r="DJ420">
        <v>478000000</v>
      </c>
      <c r="DK420">
        <v>0</v>
      </c>
      <c r="DL420">
        <v>478000000</v>
      </c>
      <c r="DM420">
        <v>478000000</v>
      </c>
      <c r="DN420">
        <v>478000000</v>
      </c>
      <c r="DO420">
        <v>478000000</v>
      </c>
      <c r="DP420" s="32">
        <f>Tradingbook_SBV[[#This Row],[Mat. Date]]-RPT</f>
        <v>1722</v>
      </c>
      <c r="DQ420" s="32">
        <f>IF(Tradingbook_SBV[[#This Row],[Days]]&lt;=0,0,YEARFRAC(RPT,Tradingbook_SBV[[#This Row],[Mat. Date]],3))</f>
        <v>4.7178082191780826</v>
      </c>
      <c r="DR420" s="32" t="str">
        <f>IF(Tradingbook_SBV[[#This Row],[Days (year)]]=0,0,INDEX(Ref!$K$2:$K$13,MATCH(Tradingbook_SBV[[#This Row],[Days (year)]],Ref!$I$2:$I$13,1)))</f>
        <v>5Y</v>
      </c>
      <c r="DS420" s="32" t="str">
        <f>VLOOKUP(Tradingbook_SBV[[#This Row],[Security Name]],Ref!X:Z,3,0)</f>
        <v>TPCP</v>
      </c>
      <c r="DT420" s="32" t="str">
        <f>VLOOKUP(Tradingbook_SBV[[#This Row],[Security Name]],Ref!X:Y,2,0)</f>
        <v>KBNN</v>
      </c>
      <c r="DU420" s="71">
        <f>IF((Tradingbook_SBV[[#This Row],[Mat. Date]]-RPT)&lt;=0,0,Tradingbook_SBV[[#This Row],[QUANTITY]])</f>
        <v>0</v>
      </c>
      <c r="DV420" s="71">
        <f>IF(Tradingbook_SBV[[#This Row],[Quantity_edited]]=0,0,Tradingbook_SBV[[#This Row],[DURATION]])</f>
        <v>0</v>
      </c>
      <c r="DW420" s="71">
        <f>IF(Tradingbook_SBV[[#This Row],[Quantity_edited]]=0,0,Tradingbook_SBV[[#This Row],[Mod Dur]])</f>
        <v>0</v>
      </c>
      <c r="DX420" s="71">
        <f>IF(Tradingbook_SBV[[#This Row],[Quantity_edited]]=0,0,Tradingbook_SBV[[#This Row],[Cnvx.]])</f>
        <v>0</v>
      </c>
      <c r="DY420" s="71">
        <f>(Tradingbook_SBV[[#This Row],[MARKET_VALUE]]+Tradingbook_SBV[[#This Row],[Accr Int]]*Tradingbook_SBV[[#This Row],[Quantity_edited]])*(-Tradingbook_SBV[[#This Row],[Modified Duration]]*0.0001+0.5*Tradingbook_SBV[[#This Row],[Conv]]*(0.0001^2))</f>
        <v>0</v>
      </c>
      <c r="DZ420" s="71">
        <f>(Tradingbook_SBV[[#This Row],[MARKET_VALUE]]+Tradingbook_SBV[[#This Row],[Accr Int]]*Tradingbook_SBV[[#This Row],[Quantity_edited]])*(-Tradingbook_SBV[[#This Row],[Modified Duration]]*0.01+0.5*Tradingbook_SBV[[#This Row],[Conv]]*(0.01^2))</f>
        <v>0</v>
      </c>
    </row>
    <row r="421" spans="2:130" x14ac:dyDescent="0.3">
      <c r="B421" t="s">
        <v>166</v>
      </c>
      <c r="C421" t="s">
        <v>3300</v>
      </c>
      <c r="D421" t="s">
        <v>606</v>
      </c>
      <c r="E421" t="s">
        <v>169</v>
      </c>
      <c r="F421" s="502">
        <v>47492</v>
      </c>
      <c r="G421" t="s">
        <v>3322</v>
      </c>
      <c r="H421">
        <v>97770</v>
      </c>
      <c r="I421">
        <v>97770</v>
      </c>
      <c r="J421" s="38">
        <v>0</v>
      </c>
      <c r="K421">
        <v>0</v>
      </c>
      <c r="L421">
        <v>0</v>
      </c>
      <c r="M421" s="38">
        <v>0</v>
      </c>
      <c r="N421">
        <v>3.1</v>
      </c>
      <c r="O421">
        <v>1877</v>
      </c>
      <c r="P421" s="37">
        <v>24800000000</v>
      </c>
      <c r="Q421" s="37">
        <v>28626023659.722115</v>
      </c>
      <c r="R421" s="37">
        <v>-21818501716.423721</v>
      </c>
      <c r="S421">
        <v>3.8082994710000002</v>
      </c>
      <c r="T421" s="70">
        <v>3.0971039215367999</v>
      </c>
      <c r="U421">
        <v>3.21505091</v>
      </c>
      <c r="V421">
        <v>12.937675480988601</v>
      </c>
      <c r="W421">
        <v>0</v>
      </c>
      <c r="X421" s="38">
        <v>0</v>
      </c>
      <c r="Y421">
        <v>0</v>
      </c>
      <c r="Z421" s="70">
        <v>-69306680000</v>
      </c>
      <c r="AA421" s="70">
        <v>0</v>
      </c>
      <c r="AB421" s="70">
        <v>-69306680000</v>
      </c>
      <c r="AC421" s="70">
        <v>-69306680000</v>
      </c>
      <c r="AD421" s="70">
        <v>-69306680000</v>
      </c>
      <c r="AE421" s="70">
        <v>-69306680000</v>
      </c>
      <c r="AF421">
        <v>0</v>
      </c>
      <c r="AG421" s="72">
        <f>Tradingbook_MSB[[#This Row],[Mat. Date]]-RPT</f>
        <v>1240</v>
      </c>
      <c r="AH421" s="71">
        <f>IF(Tradingbook_MSB[[#This Row],[Days]]&lt;=0,0,YEARFRAC(RPT,Tradingbook_MSB[[#This Row],[Mat. Date]],3))</f>
        <v>3.3972602739726026</v>
      </c>
      <c r="AI421" s="71" t="str">
        <f>IF(Tradingbook_MSB[[#This Row],[Days (year)]]=0,0,INDEX(Ref!$K$2:$K$13,MATCH(Tradingbook_MSB[[#This Row],[Days (year)]],Ref!$I$2:$I$13,1)))</f>
        <v>3Y</v>
      </c>
      <c r="AJ421" s="120" t="str">
        <f>VLOOKUP(Tradingbook_MSB[[#This Row],[Security Name]],Ref!X:Z,3,0)</f>
        <v>TPCP</v>
      </c>
      <c r="AK421" s="120" t="str">
        <f>VLOOKUP(Tradingbook_MSB[[#This Row],[Security Name]],Ref!X:Y,2,0)</f>
        <v>KBNN</v>
      </c>
      <c r="AL421" s="71">
        <f>IF((Tradingbook_MSB[[#This Row],[Mat. Date]]-RPT)&lt;=0,0,Tradingbook_MSB[[#This Row],[QUANTITY]])</f>
        <v>0</v>
      </c>
      <c r="AM421" s="71">
        <f>IF(Tradingbook_MSB[[#This Row],[Quantity_edited]]=0,0,Tradingbook_MSB[[#This Row],[DURATION]])</f>
        <v>0</v>
      </c>
      <c r="AN421" s="71">
        <f>IF(Tradingbook_MSB[[#This Row],[Quantity_edited]]=0,0,Tradingbook_MSB[[#This Row],[Mod Dur]])</f>
        <v>0</v>
      </c>
      <c r="AO421" s="71">
        <f>IF(Tradingbook_MSB[[#This Row],[Quantity_edited]]=0,0,Tradingbook_MSB[[#This Row],[Cnvx.]])</f>
        <v>0</v>
      </c>
      <c r="AP421" s="71">
        <f>(Tradingbook_MSB[[#This Row],[MARKET_VALUE]]+Tradingbook_MSB[[#This Row],[Accr Int]]*Tradingbook_MSB[[#This Row],[Quantity_edited]])*(-Tradingbook_MSB[[#This Row],[Modified Duration]]*0.0001+0.5*Tradingbook_MSB[[#This Row],[Conv]]*(0.0001^2))</f>
        <v>0</v>
      </c>
      <c r="AQ421" s="72">
        <f>(Tradingbook_MSB[[#This Row],[MARKET_VALUE]]+Tradingbook_MSB[[#This Row],[Accr Int]]*Tradingbook_MSB[[#This Row],[Quantity_edited]])*(-Tradingbook_MSB[[#This Row],[Modified Duration]]*0.01+0.5*Tradingbook_MSB[[#This Row],[Conv]]*(0.01^2))</f>
        <v>0</v>
      </c>
      <c r="CL421" t="s">
        <v>166</v>
      </c>
      <c r="CM421" t="s">
        <v>3300</v>
      </c>
      <c r="CN421" t="s">
        <v>617</v>
      </c>
      <c r="CO421" t="s">
        <v>169</v>
      </c>
      <c r="CP421">
        <v>48001</v>
      </c>
      <c r="CQ421" t="s">
        <v>3322</v>
      </c>
      <c r="CR421" t="s">
        <v>4282</v>
      </c>
      <c r="CS421" t="s">
        <v>4283</v>
      </c>
      <c r="CT421">
        <v>0</v>
      </c>
      <c r="CU421">
        <v>0</v>
      </c>
      <c r="CV421">
        <v>0</v>
      </c>
      <c r="CW421">
        <v>0</v>
      </c>
      <c r="CX421">
        <v>7.6</v>
      </c>
      <c r="CY421">
        <v>1603</v>
      </c>
      <c r="CZ421">
        <v>15200000000</v>
      </c>
      <c r="DA421">
        <v>18168848166.666721</v>
      </c>
      <c r="DB421">
        <v>400595751.11104584</v>
      </c>
      <c r="DC421">
        <v>4.1814161509999996</v>
      </c>
      <c r="DD421">
        <v>4</v>
      </c>
      <c r="DE421">
        <v>4</v>
      </c>
      <c r="DF421">
        <v>21</v>
      </c>
      <c r="DG421">
        <v>0</v>
      </c>
      <c r="DH421">
        <v>0</v>
      </c>
      <c r="DI421">
        <v>0</v>
      </c>
      <c r="DJ421">
        <v>14092000000</v>
      </c>
      <c r="DK421">
        <v>0</v>
      </c>
      <c r="DL421">
        <v>14092000000</v>
      </c>
      <c r="DM421">
        <v>14092000000</v>
      </c>
      <c r="DN421">
        <v>14092000000</v>
      </c>
      <c r="DO421">
        <v>14092000000</v>
      </c>
      <c r="DP421" s="32">
        <f>Tradingbook_SBV[[#This Row],[Mat. Date]]-RPT</f>
        <v>1749</v>
      </c>
      <c r="DQ421" s="32">
        <f>IF(Tradingbook_SBV[[#This Row],[Days]]&lt;=0,0,YEARFRAC(RPT,Tradingbook_SBV[[#This Row],[Mat. Date]],3))</f>
        <v>4.7917808219178086</v>
      </c>
      <c r="DR421" s="32" t="str">
        <f>IF(Tradingbook_SBV[[#This Row],[Days (year)]]=0,0,INDEX(Ref!$K$2:$K$13,MATCH(Tradingbook_SBV[[#This Row],[Days (year)]],Ref!$I$2:$I$13,1)))</f>
        <v>5Y</v>
      </c>
      <c r="DS421" s="32" t="str">
        <f>VLOOKUP(Tradingbook_SBV[[#This Row],[Security Name]],Ref!X:Z,3,0)</f>
        <v>TPCP</v>
      </c>
      <c r="DT421" s="32" t="str">
        <f>VLOOKUP(Tradingbook_SBV[[#This Row],[Security Name]],Ref!X:Y,2,0)</f>
        <v>KBNN</v>
      </c>
      <c r="DU421" s="71">
        <f>IF((Tradingbook_SBV[[#This Row],[Mat. Date]]-RPT)&lt;=0,0,Tradingbook_SBV[[#This Row],[QUANTITY]])</f>
        <v>0</v>
      </c>
      <c r="DV421" s="71">
        <f>IF(Tradingbook_SBV[[#This Row],[Quantity_edited]]=0,0,Tradingbook_SBV[[#This Row],[DURATION]])</f>
        <v>0</v>
      </c>
      <c r="DW421" s="71">
        <f>IF(Tradingbook_SBV[[#This Row],[Quantity_edited]]=0,0,Tradingbook_SBV[[#This Row],[Mod Dur]])</f>
        <v>0</v>
      </c>
      <c r="DX421" s="71">
        <f>IF(Tradingbook_SBV[[#This Row],[Quantity_edited]]=0,0,Tradingbook_SBV[[#This Row],[Cnvx.]])</f>
        <v>0</v>
      </c>
      <c r="DY421" s="71">
        <f>(Tradingbook_SBV[[#This Row],[MARKET_VALUE]]+Tradingbook_SBV[[#This Row],[Accr Int]]*Tradingbook_SBV[[#This Row],[Quantity_edited]])*(-Tradingbook_SBV[[#This Row],[Modified Duration]]*0.0001+0.5*Tradingbook_SBV[[#This Row],[Conv]]*(0.0001^2))</f>
        <v>0</v>
      </c>
      <c r="DZ421" s="71">
        <f>(Tradingbook_SBV[[#This Row],[MARKET_VALUE]]+Tradingbook_SBV[[#This Row],[Accr Int]]*Tradingbook_SBV[[#This Row],[Quantity_edited]])*(-Tradingbook_SBV[[#This Row],[Modified Duration]]*0.01+0.5*Tradingbook_SBV[[#This Row],[Conv]]*(0.01^2))</f>
        <v>0</v>
      </c>
    </row>
    <row r="422" spans="2:130" x14ac:dyDescent="0.3">
      <c r="B422" t="s">
        <v>166</v>
      </c>
      <c r="C422" t="s">
        <v>3300</v>
      </c>
      <c r="D422" t="s">
        <v>607</v>
      </c>
      <c r="E422" t="s">
        <v>169</v>
      </c>
      <c r="F422" s="502">
        <v>47514</v>
      </c>
      <c r="G422" t="s">
        <v>3322</v>
      </c>
      <c r="H422">
        <v>111970</v>
      </c>
      <c r="I422">
        <v>111970</v>
      </c>
      <c r="J422" s="38">
        <v>0</v>
      </c>
      <c r="K422">
        <v>0</v>
      </c>
      <c r="L422">
        <v>0</v>
      </c>
      <c r="M422" s="38">
        <v>0</v>
      </c>
      <c r="N422">
        <v>7.6</v>
      </c>
      <c r="O422">
        <v>4144</v>
      </c>
      <c r="P422" s="37">
        <v>7600000000</v>
      </c>
      <c r="Q422" s="37">
        <v>8788037805.5555573</v>
      </c>
      <c r="R422" s="37">
        <v>-29220362779.44434</v>
      </c>
      <c r="S422">
        <v>3.8243177140000002</v>
      </c>
      <c r="T422" s="70">
        <v>2.9647355076893001</v>
      </c>
      <c r="U422">
        <v>3.0781164099999998</v>
      </c>
      <c r="V422">
        <v>12.3361416545442</v>
      </c>
      <c r="W422">
        <v>0</v>
      </c>
      <c r="X422" s="38">
        <v>0</v>
      </c>
      <c r="Y422">
        <v>0</v>
      </c>
      <c r="Z422" s="70">
        <v>-19959650000</v>
      </c>
      <c r="AA422" s="70">
        <v>0</v>
      </c>
      <c r="AB422" s="70">
        <v>-19959650000</v>
      </c>
      <c r="AC422" s="70">
        <v>-19959650000</v>
      </c>
      <c r="AD422" s="70">
        <v>-19959650000</v>
      </c>
      <c r="AE422" s="70">
        <v>-19959650000</v>
      </c>
      <c r="AF422">
        <v>0</v>
      </c>
      <c r="AG422" s="72">
        <f>Tradingbook_MSB[[#This Row],[Mat. Date]]-RPT</f>
        <v>1262</v>
      </c>
      <c r="AH422" s="71">
        <f>IF(Tradingbook_MSB[[#This Row],[Days]]&lt;=0,0,YEARFRAC(RPT,Tradingbook_MSB[[#This Row],[Mat. Date]],3))</f>
        <v>3.4575342465753423</v>
      </c>
      <c r="AI422" s="71" t="str">
        <f>IF(Tradingbook_MSB[[#This Row],[Days (year)]]=0,0,INDEX(Ref!$K$2:$K$13,MATCH(Tradingbook_MSB[[#This Row],[Days (year)]],Ref!$I$2:$I$13,1)))</f>
        <v>3Y</v>
      </c>
      <c r="AJ422" s="120" t="str">
        <f>VLOOKUP(Tradingbook_MSB[[#This Row],[Security Name]],Ref!X:Z,3,0)</f>
        <v>TPCP</v>
      </c>
      <c r="AK422" s="120" t="str">
        <f>VLOOKUP(Tradingbook_MSB[[#This Row],[Security Name]],Ref!X:Y,2,0)</f>
        <v>KBNN</v>
      </c>
      <c r="AL422" s="71">
        <f>IF((Tradingbook_MSB[[#This Row],[Mat. Date]]-RPT)&lt;=0,0,Tradingbook_MSB[[#This Row],[QUANTITY]])</f>
        <v>0</v>
      </c>
      <c r="AM422" s="71">
        <f>IF(Tradingbook_MSB[[#This Row],[Quantity_edited]]=0,0,Tradingbook_MSB[[#This Row],[DURATION]])</f>
        <v>0</v>
      </c>
      <c r="AN422" s="71">
        <f>IF(Tradingbook_MSB[[#This Row],[Quantity_edited]]=0,0,Tradingbook_MSB[[#This Row],[Mod Dur]])</f>
        <v>0</v>
      </c>
      <c r="AO422" s="71">
        <f>IF(Tradingbook_MSB[[#This Row],[Quantity_edited]]=0,0,Tradingbook_MSB[[#This Row],[Cnvx.]])</f>
        <v>0</v>
      </c>
      <c r="AP422" s="71">
        <f>(Tradingbook_MSB[[#This Row],[MARKET_VALUE]]+Tradingbook_MSB[[#This Row],[Accr Int]]*Tradingbook_MSB[[#This Row],[Quantity_edited]])*(-Tradingbook_MSB[[#This Row],[Modified Duration]]*0.0001+0.5*Tradingbook_MSB[[#This Row],[Conv]]*(0.0001^2))</f>
        <v>0</v>
      </c>
      <c r="AQ422" s="72">
        <f>(Tradingbook_MSB[[#This Row],[MARKET_VALUE]]+Tradingbook_MSB[[#This Row],[Accr Int]]*Tradingbook_MSB[[#This Row],[Quantity_edited]])*(-Tradingbook_MSB[[#This Row],[Modified Duration]]*0.01+0.5*Tradingbook_MSB[[#This Row],[Conv]]*(0.01^2))</f>
        <v>0</v>
      </c>
      <c r="CL422" t="s">
        <v>166</v>
      </c>
      <c r="CM422" t="s">
        <v>3300</v>
      </c>
      <c r="CN422" t="s">
        <v>639</v>
      </c>
      <c r="CO422" t="s">
        <v>169</v>
      </c>
      <c r="CP422">
        <v>48009</v>
      </c>
      <c r="CQ422" t="s">
        <v>3322</v>
      </c>
      <c r="CR422" t="s">
        <v>4284</v>
      </c>
      <c r="CS422" t="s">
        <v>4285</v>
      </c>
      <c r="CT422">
        <v>0</v>
      </c>
      <c r="CU422">
        <v>0</v>
      </c>
      <c r="CV422">
        <v>0</v>
      </c>
      <c r="CW422">
        <v>0</v>
      </c>
      <c r="CX422">
        <v>2.2000000000000002</v>
      </c>
      <c r="CY422">
        <v>416</v>
      </c>
      <c r="CZ422">
        <v>0</v>
      </c>
      <c r="DA422">
        <v>-7.9999999999999996E-6</v>
      </c>
      <c r="DB422">
        <v>-496575354.79160595</v>
      </c>
      <c r="DC422">
        <v>4.1873502890000003</v>
      </c>
      <c r="DD422">
        <v>4</v>
      </c>
      <c r="DE422">
        <v>5</v>
      </c>
      <c r="DF422">
        <v>24</v>
      </c>
      <c r="DG422">
        <v>0</v>
      </c>
      <c r="DH422">
        <v>0</v>
      </c>
      <c r="DI422">
        <v>0</v>
      </c>
      <c r="DJ422">
        <v>-2163499999.999939</v>
      </c>
      <c r="DK422">
        <v>0</v>
      </c>
      <c r="DL422">
        <v>-2163499999.999939</v>
      </c>
      <c r="DM422">
        <v>-2163499999.999939</v>
      </c>
      <c r="DN422">
        <v>-2163500000</v>
      </c>
      <c r="DO422">
        <v>-2163499999.999939</v>
      </c>
      <c r="DP422" s="32">
        <f>Tradingbook_SBV[[#This Row],[Mat. Date]]-RPT</f>
        <v>1757</v>
      </c>
      <c r="DQ422" s="32">
        <f>IF(Tradingbook_SBV[[#This Row],[Days]]&lt;=0,0,YEARFRAC(RPT,Tradingbook_SBV[[#This Row],[Mat. Date]],3))</f>
        <v>4.8136986301369866</v>
      </c>
      <c r="DR422" s="32" t="str">
        <f>IF(Tradingbook_SBV[[#This Row],[Days (year)]]=0,0,INDEX(Ref!$K$2:$K$13,MATCH(Tradingbook_SBV[[#This Row],[Days (year)]],Ref!$I$2:$I$13,1)))</f>
        <v>5Y</v>
      </c>
      <c r="DS422" s="32" t="str">
        <f>VLOOKUP(Tradingbook_SBV[[#This Row],[Security Name]],Ref!X:Z,3,0)</f>
        <v>TPCP</v>
      </c>
      <c r="DT422" s="32" t="str">
        <f>VLOOKUP(Tradingbook_SBV[[#This Row],[Security Name]],Ref!X:Y,2,0)</f>
        <v>KBNN</v>
      </c>
      <c r="DU422" s="71">
        <f>IF((Tradingbook_SBV[[#This Row],[Mat. Date]]-RPT)&lt;=0,0,Tradingbook_SBV[[#This Row],[QUANTITY]])</f>
        <v>0</v>
      </c>
      <c r="DV422" s="71">
        <f>IF(Tradingbook_SBV[[#This Row],[Quantity_edited]]=0,0,Tradingbook_SBV[[#This Row],[DURATION]])</f>
        <v>0</v>
      </c>
      <c r="DW422" s="71">
        <f>IF(Tradingbook_SBV[[#This Row],[Quantity_edited]]=0,0,Tradingbook_SBV[[#This Row],[Mod Dur]])</f>
        <v>0</v>
      </c>
      <c r="DX422" s="71">
        <f>IF(Tradingbook_SBV[[#This Row],[Quantity_edited]]=0,0,Tradingbook_SBV[[#This Row],[Cnvx.]])</f>
        <v>0</v>
      </c>
      <c r="DY422" s="71">
        <f>(Tradingbook_SBV[[#This Row],[MARKET_VALUE]]+Tradingbook_SBV[[#This Row],[Accr Int]]*Tradingbook_SBV[[#This Row],[Quantity_edited]])*(-Tradingbook_SBV[[#This Row],[Modified Duration]]*0.0001+0.5*Tradingbook_SBV[[#This Row],[Conv]]*(0.0001^2))</f>
        <v>0</v>
      </c>
      <c r="DZ422" s="71">
        <f>(Tradingbook_SBV[[#This Row],[MARKET_VALUE]]+Tradingbook_SBV[[#This Row],[Accr Int]]*Tradingbook_SBV[[#This Row],[Quantity_edited]])*(-Tradingbook_SBV[[#This Row],[Modified Duration]]*0.01+0.5*Tradingbook_SBV[[#This Row],[Conv]]*(0.01^2))</f>
        <v>0</v>
      </c>
    </row>
    <row r="423" spans="2:130" x14ac:dyDescent="0.3">
      <c r="B423" t="s">
        <v>166</v>
      </c>
      <c r="C423" t="s">
        <v>3300</v>
      </c>
      <c r="D423" t="s">
        <v>2397</v>
      </c>
      <c r="E423" t="s">
        <v>169</v>
      </c>
      <c r="F423" s="502">
        <v>47523</v>
      </c>
      <c r="G423" t="s">
        <v>3322</v>
      </c>
      <c r="H423">
        <v>99883</v>
      </c>
      <c r="I423">
        <v>99883</v>
      </c>
      <c r="J423" s="38">
        <v>0</v>
      </c>
      <c r="K423">
        <v>0</v>
      </c>
      <c r="L423">
        <v>0</v>
      </c>
      <c r="M423" s="38">
        <v>0</v>
      </c>
      <c r="N423">
        <v>3.8</v>
      </c>
      <c r="O423">
        <v>1978</v>
      </c>
      <c r="P423" s="37">
        <v>0</v>
      </c>
      <c r="Q423" s="37">
        <v>0</v>
      </c>
      <c r="R423" s="37">
        <v>-64333916.666679382</v>
      </c>
      <c r="S423">
        <v>3.831010429</v>
      </c>
      <c r="T423" s="70">
        <v>3.1445072194326</v>
      </c>
      <c r="U423">
        <v>3.2649736200000001</v>
      </c>
      <c r="V423">
        <v>13.3420615487403</v>
      </c>
      <c r="W423">
        <v>0</v>
      </c>
      <c r="X423" s="38">
        <v>0</v>
      </c>
      <c r="Y423">
        <v>0</v>
      </c>
      <c r="Z423" s="70">
        <v>299500000</v>
      </c>
      <c r="AA423" s="70">
        <v>0</v>
      </c>
      <c r="AB423" s="70">
        <v>299500000</v>
      </c>
      <c r="AC423" s="70">
        <v>299500000</v>
      </c>
      <c r="AD423" s="70">
        <v>299500000</v>
      </c>
      <c r="AE423" s="70">
        <v>299500000</v>
      </c>
      <c r="AF423">
        <v>0</v>
      </c>
      <c r="AG423" s="72">
        <f>Tradingbook_MSB[[#This Row],[Mat. Date]]-RPT</f>
        <v>1271</v>
      </c>
      <c r="AH423" s="71">
        <f>IF(Tradingbook_MSB[[#This Row],[Days]]&lt;=0,0,YEARFRAC(RPT,Tradingbook_MSB[[#This Row],[Mat. Date]],3))</f>
        <v>3.4821917808219176</v>
      </c>
      <c r="AI423" s="71" t="str">
        <f>IF(Tradingbook_MSB[[#This Row],[Days (year)]]=0,0,INDEX(Ref!$K$2:$K$13,MATCH(Tradingbook_MSB[[#This Row],[Days (year)]],Ref!$I$2:$I$13,1)))</f>
        <v>3Y</v>
      </c>
      <c r="AJ423" s="120" t="str">
        <f>VLOOKUP(Tradingbook_MSB[[#This Row],[Security Name]],Ref!X:Z,3,0)</f>
        <v>TPCP</v>
      </c>
      <c r="AK423" s="120" t="str">
        <f>VLOOKUP(Tradingbook_MSB[[#This Row],[Security Name]],Ref!X:Y,2,0)</f>
        <v>KBNN</v>
      </c>
      <c r="AL423" s="71">
        <f>IF((Tradingbook_MSB[[#This Row],[Mat. Date]]-RPT)&lt;=0,0,Tradingbook_MSB[[#This Row],[QUANTITY]])</f>
        <v>0</v>
      </c>
      <c r="AM423" s="71">
        <f>IF(Tradingbook_MSB[[#This Row],[Quantity_edited]]=0,0,Tradingbook_MSB[[#This Row],[DURATION]])</f>
        <v>0</v>
      </c>
      <c r="AN423" s="71">
        <f>IF(Tradingbook_MSB[[#This Row],[Quantity_edited]]=0,0,Tradingbook_MSB[[#This Row],[Mod Dur]])</f>
        <v>0</v>
      </c>
      <c r="AO423" s="71">
        <f>IF(Tradingbook_MSB[[#This Row],[Quantity_edited]]=0,0,Tradingbook_MSB[[#This Row],[Cnvx.]])</f>
        <v>0</v>
      </c>
      <c r="AP423" s="71">
        <f>(Tradingbook_MSB[[#This Row],[MARKET_VALUE]]+Tradingbook_MSB[[#This Row],[Accr Int]]*Tradingbook_MSB[[#This Row],[Quantity_edited]])*(-Tradingbook_MSB[[#This Row],[Modified Duration]]*0.0001+0.5*Tradingbook_MSB[[#This Row],[Conv]]*(0.0001^2))</f>
        <v>0</v>
      </c>
      <c r="AQ423" s="72">
        <f>(Tradingbook_MSB[[#This Row],[MARKET_VALUE]]+Tradingbook_MSB[[#This Row],[Accr Int]]*Tradingbook_MSB[[#This Row],[Quantity_edited]])*(-Tradingbook_MSB[[#This Row],[Modified Duration]]*0.01+0.5*Tradingbook_MSB[[#This Row],[Conv]]*(0.01^2))</f>
        <v>0</v>
      </c>
      <c r="CL423" t="s">
        <v>166</v>
      </c>
      <c r="CM423" t="s">
        <v>3300</v>
      </c>
      <c r="CN423" t="s">
        <v>618</v>
      </c>
      <c r="CO423" t="s">
        <v>169</v>
      </c>
      <c r="CP423">
        <v>48016</v>
      </c>
      <c r="CQ423" t="s">
        <v>3322</v>
      </c>
      <c r="CR423" t="s">
        <v>4286</v>
      </c>
      <c r="CS423" t="s">
        <v>4287</v>
      </c>
      <c r="CT423">
        <v>0</v>
      </c>
      <c r="CU423">
        <v>0</v>
      </c>
      <c r="CV423">
        <v>0</v>
      </c>
      <c r="CW423">
        <v>0</v>
      </c>
      <c r="CX423">
        <v>8.1</v>
      </c>
      <c r="CY423">
        <v>1376</v>
      </c>
      <c r="CZ423">
        <v>0</v>
      </c>
      <c r="DA423">
        <v>0</v>
      </c>
      <c r="DB423">
        <v>-3492217.2222251892</v>
      </c>
      <c r="DC423">
        <v>4.6925604339999998</v>
      </c>
      <c r="DD423">
        <v>4</v>
      </c>
      <c r="DE423">
        <v>4</v>
      </c>
      <c r="DF423">
        <v>21</v>
      </c>
      <c r="DG423">
        <v>0</v>
      </c>
      <c r="DH423">
        <v>0</v>
      </c>
      <c r="DI423">
        <v>0</v>
      </c>
      <c r="DJ423">
        <v>15000000</v>
      </c>
      <c r="DK423">
        <v>0</v>
      </c>
      <c r="DL423">
        <v>15000000</v>
      </c>
      <c r="DM423">
        <v>15000000</v>
      </c>
      <c r="DN423">
        <v>15000000</v>
      </c>
      <c r="DO423">
        <v>15000000</v>
      </c>
      <c r="DP423" s="32">
        <f>Tradingbook_SBV[[#This Row],[Mat. Date]]-RPT</f>
        <v>1764</v>
      </c>
      <c r="DQ423" s="32">
        <f>IF(Tradingbook_SBV[[#This Row],[Days]]&lt;=0,0,YEARFRAC(RPT,Tradingbook_SBV[[#This Row],[Mat. Date]],3))</f>
        <v>4.8328767123287673</v>
      </c>
      <c r="DR423" s="32" t="str">
        <f>IF(Tradingbook_SBV[[#This Row],[Days (year)]]=0,0,INDEX(Ref!$K$2:$K$13,MATCH(Tradingbook_SBV[[#This Row],[Days (year)]],Ref!$I$2:$I$13,1)))</f>
        <v>5Y</v>
      </c>
      <c r="DS423" s="32" t="str">
        <f>VLOOKUP(Tradingbook_SBV[[#This Row],[Security Name]],Ref!X:Z,3,0)</f>
        <v>TPCPBL</v>
      </c>
      <c r="DT423" s="32" t="str">
        <f>VLOOKUP(Tradingbook_SBV[[#This Row],[Security Name]],Ref!X:Y,2,0)</f>
        <v>VBS</v>
      </c>
      <c r="DU423" s="71">
        <f>IF((Tradingbook_SBV[[#This Row],[Mat. Date]]-RPT)&lt;=0,0,Tradingbook_SBV[[#This Row],[QUANTITY]])</f>
        <v>0</v>
      </c>
      <c r="DV423" s="71">
        <f>IF(Tradingbook_SBV[[#This Row],[Quantity_edited]]=0,0,Tradingbook_SBV[[#This Row],[DURATION]])</f>
        <v>0</v>
      </c>
      <c r="DW423" s="71">
        <f>IF(Tradingbook_SBV[[#This Row],[Quantity_edited]]=0,0,Tradingbook_SBV[[#This Row],[Mod Dur]])</f>
        <v>0</v>
      </c>
      <c r="DX423" s="71">
        <f>IF(Tradingbook_SBV[[#This Row],[Quantity_edited]]=0,0,Tradingbook_SBV[[#This Row],[Cnvx.]])</f>
        <v>0</v>
      </c>
      <c r="DY423" s="71">
        <f>(Tradingbook_SBV[[#This Row],[MARKET_VALUE]]+Tradingbook_SBV[[#This Row],[Accr Int]]*Tradingbook_SBV[[#This Row],[Quantity_edited]])*(-Tradingbook_SBV[[#This Row],[Modified Duration]]*0.0001+0.5*Tradingbook_SBV[[#This Row],[Conv]]*(0.0001^2))</f>
        <v>0</v>
      </c>
      <c r="DZ423" s="71">
        <f>(Tradingbook_SBV[[#This Row],[MARKET_VALUE]]+Tradingbook_SBV[[#This Row],[Accr Int]]*Tradingbook_SBV[[#This Row],[Quantity_edited]])*(-Tradingbook_SBV[[#This Row],[Modified Duration]]*0.01+0.5*Tradingbook_SBV[[#This Row],[Conv]]*(0.01^2))</f>
        <v>0</v>
      </c>
    </row>
    <row r="424" spans="2:130" x14ac:dyDescent="0.3">
      <c r="B424" t="s">
        <v>166</v>
      </c>
      <c r="C424" t="s">
        <v>3300</v>
      </c>
      <c r="D424" t="s">
        <v>608</v>
      </c>
      <c r="E424" t="s">
        <v>169</v>
      </c>
      <c r="F424" s="502">
        <v>47542</v>
      </c>
      <c r="G424" t="s">
        <v>3322</v>
      </c>
      <c r="H424">
        <v>111831</v>
      </c>
      <c r="I424">
        <v>111831</v>
      </c>
      <c r="J424" s="38">
        <v>0</v>
      </c>
      <c r="K424">
        <v>0</v>
      </c>
      <c r="L424">
        <v>0</v>
      </c>
      <c r="M424" s="38">
        <v>0</v>
      </c>
      <c r="N424">
        <v>7.5</v>
      </c>
      <c r="O424">
        <v>3514</v>
      </c>
      <c r="P424" s="37">
        <v>15000000000</v>
      </c>
      <c r="Q424" s="37">
        <v>18199718749.999657</v>
      </c>
      <c r="R424" s="37">
        <v>-51396111144.082764</v>
      </c>
      <c r="S424">
        <v>3.8426167800000002</v>
      </c>
      <c r="T424" s="70">
        <v>3.0415835763121</v>
      </c>
      <c r="U424">
        <v>3.1584599799999999</v>
      </c>
      <c r="V424">
        <v>12.865604272612201</v>
      </c>
      <c r="W424">
        <v>0</v>
      </c>
      <c r="X424" s="38">
        <v>0</v>
      </c>
      <c r="Y424">
        <v>0</v>
      </c>
      <c r="Z424" s="70">
        <v>-265274400000</v>
      </c>
      <c r="AA424" s="70">
        <v>0</v>
      </c>
      <c r="AB424" s="70">
        <v>-265274400000</v>
      </c>
      <c r="AC424" s="70">
        <v>-265274400000</v>
      </c>
      <c r="AD424" s="70">
        <v>-265274400000</v>
      </c>
      <c r="AE424" s="70">
        <v>-265274400000</v>
      </c>
      <c r="AF424">
        <v>0</v>
      </c>
      <c r="AG424" s="72">
        <f>Tradingbook_MSB[[#This Row],[Mat. Date]]-RPT</f>
        <v>1290</v>
      </c>
      <c r="AH424" s="71">
        <f>IF(Tradingbook_MSB[[#This Row],[Days]]&lt;=0,0,YEARFRAC(RPT,Tradingbook_MSB[[#This Row],[Mat. Date]],3))</f>
        <v>3.5342465753424657</v>
      </c>
      <c r="AI424" s="71" t="str">
        <f>IF(Tradingbook_MSB[[#This Row],[Days (year)]]=0,0,INDEX(Ref!$K$2:$K$13,MATCH(Tradingbook_MSB[[#This Row],[Days (year)]],Ref!$I$2:$I$13,1)))</f>
        <v>4Y</v>
      </c>
      <c r="AJ424" s="120" t="str">
        <f>VLOOKUP(Tradingbook_MSB[[#This Row],[Security Name]],Ref!X:Z,3,0)</f>
        <v>TPCP</v>
      </c>
      <c r="AK424" s="120" t="str">
        <f>VLOOKUP(Tradingbook_MSB[[#This Row],[Security Name]],Ref!X:Y,2,0)</f>
        <v>KBNN</v>
      </c>
      <c r="AL424" s="71">
        <f>IF((Tradingbook_MSB[[#This Row],[Mat. Date]]-RPT)&lt;=0,0,Tradingbook_MSB[[#This Row],[QUANTITY]])</f>
        <v>0</v>
      </c>
      <c r="AM424" s="71">
        <f>IF(Tradingbook_MSB[[#This Row],[Quantity_edited]]=0,0,Tradingbook_MSB[[#This Row],[DURATION]])</f>
        <v>0</v>
      </c>
      <c r="AN424" s="71">
        <f>IF(Tradingbook_MSB[[#This Row],[Quantity_edited]]=0,0,Tradingbook_MSB[[#This Row],[Mod Dur]])</f>
        <v>0</v>
      </c>
      <c r="AO424" s="71">
        <f>IF(Tradingbook_MSB[[#This Row],[Quantity_edited]]=0,0,Tradingbook_MSB[[#This Row],[Cnvx.]])</f>
        <v>0</v>
      </c>
      <c r="AP424" s="71">
        <f>(Tradingbook_MSB[[#This Row],[MARKET_VALUE]]+Tradingbook_MSB[[#This Row],[Accr Int]]*Tradingbook_MSB[[#This Row],[Quantity_edited]])*(-Tradingbook_MSB[[#This Row],[Modified Duration]]*0.0001+0.5*Tradingbook_MSB[[#This Row],[Conv]]*(0.0001^2))</f>
        <v>0</v>
      </c>
      <c r="AQ424" s="72">
        <f>(Tradingbook_MSB[[#This Row],[MARKET_VALUE]]+Tradingbook_MSB[[#This Row],[Accr Int]]*Tradingbook_MSB[[#This Row],[Quantity_edited]])*(-Tradingbook_MSB[[#This Row],[Modified Duration]]*0.01+0.5*Tradingbook_MSB[[#This Row],[Conv]]*(0.01^2))</f>
        <v>0</v>
      </c>
      <c r="CL424" t="s">
        <v>166</v>
      </c>
      <c r="CM424" t="s">
        <v>3300</v>
      </c>
      <c r="CN424" t="s">
        <v>619</v>
      </c>
      <c r="CO424" t="s">
        <v>169</v>
      </c>
      <c r="CP424">
        <v>48021</v>
      </c>
      <c r="CQ424" t="s">
        <v>3322</v>
      </c>
      <c r="CR424" t="s">
        <v>4288</v>
      </c>
      <c r="CS424" t="s">
        <v>4289</v>
      </c>
      <c r="CT424">
        <v>0</v>
      </c>
      <c r="CU424">
        <v>0</v>
      </c>
      <c r="CV424">
        <v>0</v>
      </c>
      <c r="CW424">
        <v>0</v>
      </c>
      <c r="CX424">
        <v>8.1</v>
      </c>
      <c r="CY424">
        <v>1265</v>
      </c>
      <c r="CZ424">
        <v>0</v>
      </c>
      <c r="DA424">
        <v>0</v>
      </c>
      <c r="DB424">
        <v>-1743936.3888912201</v>
      </c>
      <c r="DC424">
        <v>4.696286422</v>
      </c>
      <c r="DD424">
        <v>4</v>
      </c>
      <c r="DE424">
        <v>4</v>
      </c>
      <c r="DF424">
        <v>21</v>
      </c>
      <c r="DG424">
        <v>0</v>
      </c>
      <c r="DH424">
        <v>0</v>
      </c>
      <c r="DI424">
        <v>0</v>
      </c>
      <c r="DJ424">
        <v>7500000</v>
      </c>
      <c r="DK424">
        <v>0</v>
      </c>
      <c r="DL424">
        <v>7500000</v>
      </c>
      <c r="DM424">
        <v>7500000</v>
      </c>
      <c r="DN424">
        <v>7500000</v>
      </c>
      <c r="DO424">
        <v>7500000</v>
      </c>
      <c r="DP424" s="32">
        <f>Tradingbook_SBV[[#This Row],[Mat. Date]]-RPT</f>
        <v>1769</v>
      </c>
      <c r="DQ424" s="32">
        <f>IF(Tradingbook_SBV[[#This Row],[Days]]&lt;=0,0,YEARFRAC(RPT,Tradingbook_SBV[[#This Row],[Mat. Date]],3))</f>
        <v>4.8465753424657532</v>
      </c>
      <c r="DR424" s="32" t="str">
        <f>IF(Tradingbook_SBV[[#This Row],[Days (year)]]=0,0,INDEX(Ref!$K$2:$K$13,MATCH(Tradingbook_SBV[[#This Row],[Days (year)]],Ref!$I$2:$I$13,1)))</f>
        <v>5Y</v>
      </c>
      <c r="DS424" s="32" t="str">
        <f>VLOOKUP(Tradingbook_SBV[[#This Row],[Security Name]],Ref!X:Z,3,0)</f>
        <v>TPCPBL</v>
      </c>
      <c r="DT424" s="32" t="str">
        <f>VLOOKUP(Tradingbook_SBV[[#This Row],[Security Name]],Ref!X:Y,2,0)</f>
        <v>VBS</v>
      </c>
      <c r="DU424" s="71">
        <f>IF((Tradingbook_SBV[[#This Row],[Mat. Date]]-RPT)&lt;=0,0,Tradingbook_SBV[[#This Row],[QUANTITY]])</f>
        <v>0</v>
      </c>
      <c r="DV424" s="71">
        <f>IF(Tradingbook_SBV[[#This Row],[Quantity_edited]]=0,0,Tradingbook_SBV[[#This Row],[DURATION]])</f>
        <v>0</v>
      </c>
      <c r="DW424" s="71">
        <f>IF(Tradingbook_SBV[[#This Row],[Quantity_edited]]=0,0,Tradingbook_SBV[[#This Row],[Mod Dur]])</f>
        <v>0</v>
      </c>
      <c r="DX424" s="71">
        <f>IF(Tradingbook_SBV[[#This Row],[Quantity_edited]]=0,0,Tradingbook_SBV[[#This Row],[Cnvx.]])</f>
        <v>0</v>
      </c>
      <c r="DY424" s="71">
        <f>(Tradingbook_SBV[[#This Row],[MARKET_VALUE]]+Tradingbook_SBV[[#This Row],[Accr Int]]*Tradingbook_SBV[[#This Row],[Quantity_edited]])*(-Tradingbook_SBV[[#This Row],[Modified Duration]]*0.0001+0.5*Tradingbook_SBV[[#This Row],[Conv]]*(0.0001^2))</f>
        <v>0</v>
      </c>
      <c r="DZ424" s="71">
        <f>(Tradingbook_SBV[[#This Row],[MARKET_VALUE]]+Tradingbook_SBV[[#This Row],[Accr Int]]*Tradingbook_SBV[[#This Row],[Quantity_edited]])*(-Tradingbook_SBV[[#This Row],[Modified Duration]]*0.01+0.5*Tradingbook_SBV[[#This Row],[Conv]]*(0.01^2))</f>
        <v>0</v>
      </c>
    </row>
    <row r="425" spans="2:130" x14ac:dyDescent="0.3">
      <c r="B425" t="s">
        <v>166</v>
      </c>
      <c r="C425" t="s">
        <v>3300</v>
      </c>
      <c r="D425" t="s">
        <v>609</v>
      </c>
      <c r="E425" t="s">
        <v>169</v>
      </c>
      <c r="F425" s="502">
        <v>47557</v>
      </c>
      <c r="G425" t="s">
        <v>3322</v>
      </c>
      <c r="H425">
        <v>110932</v>
      </c>
      <c r="I425">
        <v>110932</v>
      </c>
      <c r="J425" s="38">
        <v>0</v>
      </c>
      <c r="K425">
        <v>0</v>
      </c>
      <c r="L425">
        <v>0</v>
      </c>
      <c r="M425" s="38">
        <v>0</v>
      </c>
      <c r="N425">
        <v>7.2</v>
      </c>
      <c r="O425">
        <v>3077</v>
      </c>
      <c r="P425" s="37">
        <v>3600000000</v>
      </c>
      <c r="Q425" s="37">
        <v>4138075999.9999242</v>
      </c>
      <c r="R425" s="37">
        <v>-4728843441.5275879</v>
      </c>
      <c r="S425">
        <v>3.8558409789999999</v>
      </c>
      <c r="T425" s="70">
        <v>3.0916876754317002</v>
      </c>
      <c r="U425">
        <v>3.2108982400000001</v>
      </c>
      <c r="V425">
        <v>13.2035973402257</v>
      </c>
      <c r="W425">
        <v>0</v>
      </c>
      <c r="X425" s="38">
        <v>0</v>
      </c>
      <c r="Y425">
        <v>0</v>
      </c>
      <c r="Z425" s="70">
        <v>-13283000000</v>
      </c>
      <c r="AA425" s="70">
        <v>0</v>
      </c>
      <c r="AB425" s="70">
        <v>-13283000000</v>
      </c>
      <c r="AC425" s="70">
        <v>-13283000000</v>
      </c>
      <c r="AD425" s="70">
        <v>-13283000000</v>
      </c>
      <c r="AE425" s="70">
        <v>-13283000000</v>
      </c>
      <c r="AF425">
        <v>0</v>
      </c>
      <c r="AG425" s="72">
        <f>Tradingbook_MSB[[#This Row],[Mat. Date]]-RPT</f>
        <v>1305</v>
      </c>
      <c r="AH425" s="71">
        <f>IF(Tradingbook_MSB[[#This Row],[Days]]&lt;=0,0,YEARFRAC(RPT,Tradingbook_MSB[[#This Row],[Mat. Date]],3))</f>
        <v>3.5753424657534247</v>
      </c>
      <c r="AI425" s="71" t="str">
        <f>IF(Tradingbook_MSB[[#This Row],[Days (year)]]=0,0,INDEX(Ref!$K$2:$K$13,MATCH(Tradingbook_MSB[[#This Row],[Days (year)]],Ref!$I$2:$I$13,1)))</f>
        <v>4Y</v>
      </c>
      <c r="AJ425" s="120" t="str">
        <f>VLOOKUP(Tradingbook_MSB[[#This Row],[Security Name]],Ref!X:Z,3,0)</f>
        <v>TPCP</v>
      </c>
      <c r="AK425" s="120" t="str">
        <f>VLOOKUP(Tradingbook_MSB[[#This Row],[Security Name]],Ref!X:Y,2,0)</f>
        <v>KBNN</v>
      </c>
      <c r="AL425" s="71">
        <f>IF((Tradingbook_MSB[[#This Row],[Mat. Date]]-RPT)&lt;=0,0,Tradingbook_MSB[[#This Row],[QUANTITY]])</f>
        <v>0</v>
      </c>
      <c r="AM425" s="71">
        <f>IF(Tradingbook_MSB[[#This Row],[Quantity_edited]]=0,0,Tradingbook_MSB[[#This Row],[DURATION]])</f>
        <v>0</v>
      </c>
      <c r="AN425" s="71">
        <f>IF(Tradingbook_MSB[[#This Row],[Quantity_edited]]=0,0,Tradingbook_MSB[[#This Row],[Mod Dur]])</f>
        <v>0</v>
      </c>
      <c r="AO425" s="71">
        <f>IF(Tradingbook_MSB[[#This Row],[Quantity_edited]]=0,0,Tradingbook_MSB[[#This Row],[Cnvx.]])</f>
        <v>0</v>
      </c>
      <c r="AP425" s="71">
        <f>(Tradingbook_MSB[[#This Row],[MARKET_VALUE]]+Tradingbook_MSB[[#This Row],[Accr Int]]*Tradingbook_MSB[[#This Row],[Quantity_edited]])*(-Tradingbook_MSB[[#This Row],[Modified Duration]]*0.0001+0.5*Tradingbook_MSB[[#This Row],[Conv]]*(0.0001^2))</f>
        <v>0</v>
      </c>
      <c r="AQ425" s="72">
        <f>(Tradingbook_MSB[[#This Row],[MARKET_VALUE]]+Tradingbook_MSB[[#This Row],[Accr Int]]*Tradingbook_MSB[[#This Row],[Quantity_edited]])*(-Tradingbook_MSB[[#This Row],[Modified Duration]]*0.01+0.5*Tradingbook_MSB[[#This Row],[Conv]]*(0.01^2))</f>
        <v>0</v>
      </c>
      <c r="CL425" t="s">
        <v>166</v>
      </c>
      <c r="CM425" t="s">
        <v>3300</v>
      </c>
      <c r="CN425" t="s">
        <v>640</v>
      </c>
      <c r="CO425" t="s">
        <v>169</v>
      </c>
      <c r="CP425">
        <v>48026</v>
      </c>
      <c r="CQ425" t="s">
        <v>3322</v>
      </c>
      <c r="CR425" t="s">
        <v>4290</v>
      </c>
      <c r="CS425" t="s">
        <v>4291</v>
      </c>
      <c r="CT425">
        <v>0</v>
      </c>
      <c r="CU425">
        <v>0</v>
      </c>
      <c r="CV425">
        <v>0</v>
      </c>
      <c r="CW425">
        <v>0</v>
      </c>
      <c r="CX425">
        <v>2.2000000000000002</v>
      </c>
      <c r="CY425">
        <v>313</v>
      </c>
      <c r="CZ425">
        <v>0</v>
      </c>
      <c r="DA425">
        <v>0</v>
      </c>
      <c r="DB425">
        <v>-164576206.47221851</v>
      </c>
      <c r="DC425">
        <v>4.1997462160000003</v>
      </c>
      <c r="DD425">
        <v>4</v>
      </c>
      <c r="DE425">
        <v>5</v>
      </c>
      <c r="DF425">
        <v>25</v>
      </c>
      <c r="DG425">
        <v>0</v>
      </c>
      <c r="DH425">
        <v>0</v>
      </c>
      <c r="DI425">
        <v>0</v>
      </c>
      <c r="DJ425">
        <v>-588000000.00012207</v>
      </c>
      <c r="DK425">
        <v>0</v>
      </c>
      <c r="DL425">
        <v>-588000000.00012207</v>
      </c>
      <c r="DM425">
        <v>-588000000.00012207</v>
      </c>
      <c r="DN425">
        <v>-588000000</v>
      </c>
      <c r="DO425">
        <v>-588000000.00012207</v>
      </c>
      <c r="DP425" s="32">
        <f>Tradingbook_SBV[[#This Row],[Mat. Date]]-RPT</f>
        <v>1774</v>
      </c>
      <c r="DQ425" s="32">
        <f>IF(Tradingbook_SBV[[#This Row],[Days]]&lt;=0,0,YEARFRAC(RPT,Tradingbook_SBV[[#This Row],[Mat. Date]],3))</f>
        <v>4.86027397260274</v>
      </c>
      <c r="DR425" s="32" t="str">
        <f>IF(Tradingbook_SBV[[#This Row],[Days (year)]]=0,0,INDEX(Ref!$K$2:$K$13,MATCH(Tradingbook_SBV[[#This Row],[Days (year)]],Ref!$I$2:$I$13,1)))</f>
        <v>5Y</v>
      </c>
      <c r="DS425" s="32" t="str">
        <f>VLOOKUP(Tradingbook_SBV[[#This Row],[Security Name]],Ref!X:Z,3,0)</f>
        <v>TPCP</v>
      </c>
      <c r="DT425" s="32" t="str">
        <f>VLOOKUP(Tradingbook_SBV[[#This Row],[Security Name]],Ref!X:Y,2,0)</f>
        <v>KBNN</v>
      </c>
      <c r="DU425" s="71">
        <f>IF((Tradingbook_SBV[[#This Row],[Mat. Date]]-RPT)&lt;=0,0,Tradingbook_SBV[[#This Row],[QUANTITY]])</f>
        <v>0</v>
      </c>
      <c r="DV425" s="71">
        <f>IF(Tradingbook_SBV[[#This Row],[Quantity_edited]]=0,0,Tradingbook_SBV[[#This Row],[DURATION]])</f>
        <v>0</v>
      </c>
      <c r="DW425" s="71">
        <f>IF(Tradingbook_SBV[[#This Row],[Quantity_edited]]=0,0,Tradingbook_SBV[[#This Row],[Mod Dur]])</f>
        <v>0</v>
      </c>
      <c r="DX425" s="71">
        <f>IF(Tradingbook_SBV[[#This Row],[Quantity_edited]]=0,0,Tradingbook_SBV[[#This Row],[Cnvx.]])</f>
        <v>0</v>
      </c>
      <c r="DY425" s="71">
        <f>(Tradingbook_SBV[[#This Row],[MARKET_VALUE]]+Tradingbook_SBV[[#This Row],[Accr Int]]*Tradingbook_SBV[[#This Row],[Quantity_edited]])*(-Tradingbook_SBV[[#This Row],[Modified Duration]]*0.0001+0.5*Tradingbook_SBV[[#This Row],[Conv]]*(0.0001^2))</f>
        <v>0</v>
      </c>
      <c r="DZ425" s="71">
        <f>(Tradingbook_SBV[[#This Row],[MARKET_VALUE]]+Tradingbook_SBV[[#This Row],[Accr Int]]*Tradingbook_SBV[[#This Row],[Quantity_edited]])*(-Tradingbook_SBV[[#This Row],[Modified Duration]]*0.01+0.5*Tradingbook_SBV[[#This Row],[Conv]]*(0.01^2))</f>
        <v>0</v>
      </c>
    </row>
    <row r="426" spans="2:130" x14ac:dyDescent="0.3">
      <c r="B426" t="s">
        <v>166</v>
      </c>
      <c r="C426" t="s">
        <v>3300</v>
      </c>
      <c r="D426" t="s">
        <v>610</v>
      </c>
      <c r="E426" t="s">
        <v>169</v>
      </c>
      <c r="F426" s="502">
        <v>47617</v>
      </c>
      <c r="G426" t="s">
        <v>3322</v>
      </c>
      <c r="H426">
        <v>95892</v>
      </c>
      <c r="I426">
        <v>95892</v>
      </c>
      <c r="J426" s="38">
        <v>0</v>
      </c>
      <c r="K426">
        <v>0</v>
      </c>
      <c r="L426">
        <v>0</v>
      </c>
      <c r="M426" s="38">
        <v>0</v>
      </c>
      <c r="N426">
        <v>2.7</v>
      </c>
      <c r="O426">
        <v>710</v>
      </c>
      <c r="P426" s="37">
        <v>5508000000</v>
      </c>
      <c r="Q426" s="37">
        <v>6322841279.9999886</v>
      </c>
      <c r="R426" s="37">
        <v>-7546101939.3873558</v>
      </c>
      <c r="S426">
        <v>3.899705505</v>
      </c>
      <c r="T426" s="70">
        <v>3.4436971841810999</v>
      </c>
      <c r="U426">
        <v>3.5779912299999999</v>
      </c>
      <c r="V426">
        <v>15.4968406946813</v>
      </c>
      <c r="W426">
        <v>0</v>
      </c>
      <c r="X426" s="38">
        <v>0</v>
      </c>
      <c r="Y426">
        <v>0</v>
      </c>
      <c r="Z426" s="70">
        <v>-26029790000.000488</v>
      </c>
      <c r="AA426" s="70">
        <v>0</v>
      </c>
      <c r="AB426" s="70">
        <v>-26029790000.000488</v>
      </c>
      <c r="AC426" s="70">
        <v>-26029790000.000488</v>
      </c>
      <c r="AD426" s="70">
        <v>-26029790000</v>
      </c>
      <c r="AE426" s="70">
        <v>-26029790000.000488</v>
      </c>
      <c r="AF426">
        <v>0</v>
      </c>
      <c r="AG426" s="72">
        <f>Tradingbook_MSB[[#This Row],[Mat. Date]]-RPT</f>
        <v>1365</v>
      </c>
      <c r="AH426" s="71">
        <f>IF(Tradingbook_MSB[[#This Row],[Days]]&lt;=0,0,YEARFRAC(RPT,Tradingbook_MSB[[#This Row],[Mat. Date]],3))</f>
        <v>3.7397260273972601</v>
      </c>
      <c r="AI426" s="71" t="str">
        <f>IF(Tradingbook_MSB[[#This Row],[Days (year)]]=0,0,INDEX(Ref!$K$2:$K$13,MATCH(Tradingbook_MSB[[#This Row],[Days (year)]],Ref!$I$2:$I$13,1)))</f>
        <v>4Y</v>
      </c>
      <c r="AJ426" s="120" t="str">
        <f>VLOOKUP(Tradingbook_MSB[[#This Row],[Security Name]],Ref!X:Z,3,0)</f>
        <v>TPCP</v>
      </c>
      <c r="AK426" s="120" t="str">
        <f>VLOOKUP(Tradingbook_MSB[[#This Row],[Security Name]],Ref!X:Y,2,0)</f>
        <v>KBNN</v>
      </c>
      <c r="AL426" s="71">
        <f>IF((Tradingbook_MSB[[#This Row],[Mat. Date]]-RPT)&lt;=0,0,Tradingbook_MSB[[#This Row],[QUANTITY]])</f>
        <v>0</v>
      </c>
      <c r="AM426" s="71">
        <f>IF(Tradingbook_MSB[[#This Row],[Quantity_edited]]=0,0,Tradingbook_MSB[[#This Row],[DURATION]])</f>
        <v>0</v>
      </c>
      <c r="AN426" s="71">
        <f>IF(Tradingbook_MSB[[#This Row],[Quantity_edited]]=0,0,Tradingbook_MSB[[#This Row],[Mod Dur]])</f>
        <v>0</v>
      </c>
      <c r="AO426" s="71">
        <f>IF(Tradingbook_MSB[[#This Row],[Quantity_edited]]=0,0,Tradingbook_MSB[[#This Row],[Cnvx.]])</f>
        <v>0</v>
      </c>
      <c r="AP426" s="71">
        <f>(Tradingbook_MSB[[#This Row],[MARKET_VALUE]]+Tradingbook_MSB[[#This Row],[Accr Int]]*Tradingbook_MSB[[#This Row],[Quantity_edited]])*(-Tradingbook_MSB[[#This Row],[Modified Duration]]*0.0001+0.5*Tradingbook_MSB[[#This Row],[Conv]]*(0.0001^2))</f>
        <v>0</v>
      </c>
      <c r="AQ426" s="72">
        <f>(Tradingbook_MSB[[#This Row],[MARKET_VALUE]]+Tradingbook_MSB[[#This Row],[Accr Int]]*Tradingbook_MSB[[#This Row],[Quantity_edited]])*(-Tradingbook_MSB[[#This Row],[Modified Duration]]*0.01+0.5*Tradingbook_MSB[[#This Row],[Conv]]*(0.01^2))</f>
        <v>0</v>
      </c>
      <c r="CL426" t="s">
        <v>166</v>
      </c>
      <c r="CM426" t="s">
        <v>3300</v>
      </c>
      <c r="CN426" t="s">
        <v>641</v>
      </c>
      <c r="CO426" t="s">
        <v>169</v>
      </c>
      <c r="CP426">
        <v>48051</v>
      </c>
      <c r="CQ426" t="s">
        <v>3322</v>
      </c>
      <c r="CR426" t="s">
        <v>4292</v>
      </c>
      <c r="CS426" t="s">
        <v>4293</v>
      </c>
      <c r="CT426">
        <v>0</v>
      </c>
      <c r="CU426">
        <v>0</v>
      </c>
      <c r="CV426">
        <v>0</v>
      </c>
      <c r="CW426">
        <v>0</v>
      </c>
      <c r="CX426">
        <v>2.1</v>
      </c>
      <c r="CY426">
        <v>155</v>
      </c>
      <c r="CZ426">
        <v>2100000000</v>
      </c>
      <c r="DA426">
        <v>2403807874.9999938</v>
      </c>
      <c r="DB426">
        <v>-556072438.61111832</v>
      </c>
      <c r="DC426">
        <v>4.2182202709999999</v>
      </c>
      <c r="DD426">
        <v>5</v>
      </c>
      <c r="DE426">
        <v>5</v>
      </c>
      <c r="DF426">
        <v>25</v>
      </c>
      <c r="DG426">
        <v>0</v>
      </c>
      <c r="DH426">
        <v>0</v>
      </c>
      <c r="DI426">
        <v>0</v>
      </c>
      <c r="DJ426">
        <v>-304500000</v>
      </c>
      <c r="DK426">
        <v>0</v>
      </c>
      <c r="DL426">
        <v>-304500000</v>
      </c>
      <c r="DM426">
        <v>-304500000</v>
      </c>
      <c r="DN426">
        <v>-304500000</v>
      </c>
      <c r="DO426">
        <v>-304500000</v>
      </c>
      <c r="DP426" s="32">
        <f>Tradingbook_SBV[[#This Row],[Mat. Date]]-RPT</f>
        <v>1799</v>
      </c>
      <c r="DQ426" s="32">
        <f>IF(Tradingbook_SBV[[#This Row],[Days]]&lt;=0,0,YEARFRAC(RPT,Tradingbook_SBV[[#This Row],[Mat. Date]],3))</f>
        <v>4.9287671232876713</v>
      </c>
      <c r="DR426" s="32" t="str">
        <f>IF(Tradingbook_SBV[[#This Row],[Days (year)]]=0,0,INDEX(Ref!$K$2:$K$13,MATCH(Tradingbook_SBV[[#This Row],[Days (year)]],Ref!$I$2:$I$13,1)))</f>
        <v>5Y</v>
      </c>
      <c r="DS426" s="32" t="str">
        <f>VLOOKUP(Tradingbook_SBV[[#This Row],[Security Name]],Ref!X:Z,3,0)</f>
        <v>TPCP</v>
      </c>
      <c r="DT426" s="32" t="str">
        <f>VLOOKUP(Tradingbook_SBV[[#This Row],[Security Name]],Ref!X:Y,2,0)</f>
        <v>KBNN</v>
      </c>
      <c r="DU426" s="71">
        <f>IF((Tradingbook_SBV[[#This Row],[Mat. Date]]-RPT)&lt;=0,0,Tradingbook_SBV[[#This Row],[QUANTITY]])</f>
        <v>0</v>
      </c>
      <c r="DV426" s="71">
        <f>IF(Tradingbook_SBV[[#This Row],[Quantity_edited]]=0,0,Tradingbook_SBV[[#This Row],[DURATION]])</f>
        <v>0</v>
      </c>
      <c r="DW426" s="71">
        <f>IF(Tradingbook_SBV[[#This Row],[Quantity_edited]]=0,0,Tradingbook_SBV[[#This Row],[Mod Dur]])</f>
        <v>0</v>
      </c>
      <c r="DX426" s="71">
        <f>IF(Tradingbook_SBV[[#This Row],[Quantity_edited]]=0,0,Tradingbook_SBV[[#This Row],[Cnvx.]])</f>
        <v>0</v>
      </c>
      <c r="DY426" s="71">
        <f>(Tradingbook_SBV[[#This Row],[MARKET_VALUE]]+Tradingbook_SBV[[#This Row],[Accr Int]]*Tradingbook_SBV[[#This Row],[Quantity_edited]])*(-Tradingbook_SBV[[#This Row],[Modified Duration]]*0.0001+0.5*Tradingbook_SBV[[#This Row],[Conv]]*(0.0001^2))</f>
        <v>0</v>
      </c>
      <c r="DZ426" s="71">
        <f>(Tradingbook_SBV[[#This Row],[MARKET_VALUE]]+Tradingbook_SBV[[#This Row],[Accr Int]]*Tradingbook_SBV[[#This Row],[Quantity_edited]])*(-Tradingbook_SBV[[#This Row],[Modified Duration]]*0.01+0.5*Tradingbook_SBV[[#This Row],[Conv]]*(0.01^2))</f>
        <v>0</v>
      </c>
    </row>
    <row r="427" spans="2:130" x14ac:dyDescent="0.3">
      <c r="B427" t="s">
        <v>166</v>
      </c>
      <c r="C427" t="s">
        <v>3300</v>
      </c>
      <c r="D427" t="s">
        <v>611</v>
      </c>
      <c r="E427" t="s">
        <v>169</v>
      </c>
      <c r="F427" s="502">
        <v>47634</v>
      </c>
      <c r="G427" t="s">
        <v>3322</v>
      </c>
      <c r="H427">
        <v>112715</v>
      </c>
      <c r="I427">
        <v>112715</v>
      </c>
      <c r="J427" s="38">
        <v>0</v>
      </c>
      <c r="K427">
        <v>0</v>
      </c>
      <c r="L427">
        <v>0</v>
      </c>
      <c r="M427" s="38">
        <v>0</v>
      </c>
      <c r="N427">
        <v>7.6</v>
      </c>
      <c r="O427">
        <v>1645</v>
      </c>
      <c r="P427" s="37">
        <v>95000000000</v>
      </c>
      <c r="Q427" s="37">
        <v>112459506916.66644</v>
      </c>
      <c r="R427" s="37">
        <v>-75457626716.534225</v>
      </c>
      <c r="S427">
        <v>3.912205573</v>
      </c>
      <c r="T427" s="70">
        <v>3.2780103117218</v>
      </c>
      <c r="U427">
        <v>3.4062528099999998</v>
      </c>
      <c r="V427">
        <v>14.590829313101301</v>
      </c>
      <c r="W427">
        <v>0</v>
      </c>
      <c r="X427" s="38">
        <v>0</v>
      </c>
      <c r="Y427">
        <v>0</v>
      </c>
      <c r="Z427" s="70">
        <v>-30206650000</v>
      </c>
      <c r="AA427" s="70">
        <v>0</v>
      </c>
      <c r="AB427" s="70">
        <v>-30206650000</v>
      </c>
      <c r="AC427" s="70">
        <v>-30206650000</v>
      </c>
      <c r="AD427" s="70">
        <v>-30206650000</v>
      </c>
      <c r="AE427" s="70">
        <v>-30206650000</v>
      </c>
      <c r="AF427">
        <v>0</v>
      </c>
      <c r="AG427" s="72">
        <f>Tradingbook_MSB[[#This Row],[Mat. Date]]-RPT</f>
        <v>1382</v>
      </c>
      <c r="AH427" s="71">
        <f>IF(Tradingbook_MSB[[#This Row],[Days]]&lt;=0,0,YEARFRAC(RPT,Tradingbook_MSB[[#This Row],[Mat. Date]],3))</f>
        <v>3.7863013698630139</v>
      </c>
      <c r="AI427" s="71" t="str">
        <f>IF(Tradingbook_MSB[[#This Row],[Days (year)]]=0,0,INDEX(Ref!$K$2:$K$13,MATCH(Tradingbook_MSB[[#This Row],[Days (year)]],Ref!$I$2:$I$13,1)))</f>
        <v>4Y</v>
      </c>
      <c r="AJ427" s="120" t="str">
        <f>VLOOKUP(Tradingbook_MSB[[#This Row],[Security Name]],Ref!X:Z,3,0)</f>
        <v>TPCP</v>
      </c>
      <c r="AK427" s="120" t="str">
        <f>VLOOKUP(Tradingbook_MSB[[#This Row],[Security Name]],Ref!X:Y,2,0)</f>
        <v>KBNN</v>
      </c>
      <c r="AL427" s="71">
        <f>IF((Tradingbook_MSB[[#This Row],[Mat. Date]]-RPT)&lt;=0,0,Tradingbook_MSB[[#This Row],[QUANTITY]])</f>
        <v>0</v>
      </c>
      <c r="AM427" s="71">
        <f>IF(Tradingbook_MSB[[#This Row],[Quantity_edited]]=0,0,Tradingbook_MSB[[#This Row],[DURATION]])</f>
        <v>0</v>
      </c>
      <c r="AN427" s="71">
        <f>IF(Tradingbook_MSB[[#This Row],[Quantity_edited]]=0,0,Tradingbook_MSB[[#This Row],[Mod Dur]])</f>
        <v>0</v>
      </c>
      <c r="AO427" s="71">
        <f>IF(Tradingbook_MSB[[#This Row],[Quantity_edited]]=0,0,Tradingbook_MSB[[#This Row],[Cnvx.]])</f>
        <v>0</v>
      </c>
      <c r="AP427" s="71">
        <f>(Tradingbook_MSB[[#This Row],[MARKET_VALUE]]+Tradingbook_MSB[[#This Row],[Accr Int]]*Tradingbook_MSB[[#This Row],[Quantity_edited]])*(-Tradingbook_MSB[[#This Row],[Modified Duration]]*0.0001+0.5*Tradingbook_MSB[[#This Row],[Conv]]*(0.0001^2))</f>
        <v>0</v>
      </c>
      <c r="AQ427" s="72">
        <f>(Tradingbook_MSB[[#This Row],[MARKET_VALUE]]+Tradingbook_MSB[[#This Row],[Accr Int]]*Tradingbook_MSB[[#This Row],[Quantity_edited]])*(-Tradingbook_MSB[[#This Row],[Modified Duration]]*0.01+0.5*Tradingbook_MSB[[#This Row],[Conv]]*(0.01^2))</f>
        <v>0</v>
      </c>
      <c r="CL427" t="s">
        <v>166</v>
      </c>
      <c r="CM427" t="s">
        <v>3300</v>
      </c>
      <c r="CN427" t="s">
        <v>620</v>
      </c>
      <c r="CO427" t="s">
        <v>169</v>
      </c>
      <c r="CP427">
        <v>48064</v>
      </c>
      <c r="CQ427" t="s">
        <v>3322</v>
      </c>
      <c r="CR427" t="s">
        <v>4294</v>
      </c>
      <c r="CS427" t="s">
        <v>4295</v>
      </c>
      <c r="CT427">
        <v>0</v>
      </c>
      <c r="CU427">
        <v>0</v>
      </c>
      <c r="CV427">
        <v>0</v>
      </c>
      <c r="CW427">
        <v>0</v>
      </c>
      <c r="CX427">
        <v>7.6</v>
      </c>
      <c r="CY427">
        <v>292</v>
      </c>
      <c r="CZ427">
        <v>0</v>
      </c>
      <c r="DA427">
        <v>3.1000000000000001E-5</v>
      </c>
      <c r="DB427">
        <v>-180716282.22497559</v>
      </c>
      <c r="DC427">
        <v>4.2276983330000002</v>
      </c>
      <c r="DD427">
        <v>4</v>
      </c>
      <c r="DE427">
        <v>4</v>
      </c>
      <c r="DF427">
        <v>23</v>
      </c>
      <c r="DG427">
        <v>0</v>
      </c>
      <c r="DH427">
        <v>0</v>
      </c>
      <c r="DI427">
        <v>0</v>
      </c>
      <c r="DJ427">
        <v>-912939999.99951172</v>
      </c>
      <c r="DK427">
        <v>0</v>
      </c>
      <c r="DL427">
        <v>-912939999.99951172</v>
      </c>
      <c r="DM427">
        <v>-912939999.99951172</v>
      </c>
      <c r="DN427">
        <v>-912940000</v>
      </c>
      <c r="DO427">
        <v>-912939999.99951172</v>
      </c>
      <c r="DP427" s="32">
        <f>Tradingbook_SBV[[#This Row],[Mat. Date]]-RPT</f>
        <v>1812</v>
      </c>
      <c r="DQ427" s="32">
        <f>IF(Tradingbook_SBV[[#This Row],[Days]]&lt;=0,0,YEARFRAC(RPT,Tradingbook_SBV[[#This Row],[Mat. Date]],3))</f>
        <v>4.9643835616438352</v>
      </c>
      <c r="DR427" s="32" t="str">
        <f>IF(Tradingbook_SBV[[#This Row],[Days (year)]]=0,0,INDEX(Ref!$K$2:$K$13,MATCH(Tradingbook_SBV[[#This Row],[Days (year)]],Ref!$I$2:$I$13,1)))</f>
        <v>5Y</v>
      </c>
      <c r="DS427" s="32" t="str">
        <f>VLOOKUP(Tradingbook_SBV[[#This Row],[Security Name]],Ref!X:Z,3,0)</f>
        <v>TPCP</v>
      </c>
      <c r="DT427" s="32" t="str">
        <f>VLOOKUP(Tradingbook_SBV[[#This Row],[Security Name]],Ref!X:Y,2,0)</f>
        <v>KBNN</v>
      </c>
      <c r="DU427" s="71">
        <f>IF((Tradingbook_SBV[[#This Row],[Mat. Date]]-RPT)&lt;=0,0,Tradingbook_SBV[[#This Row],[QUANTITY]])</f>
        <v>0</v>
      </c>
      <c r="DV427" s="71">
        <f>IF(Tradingbook_SBV[[#This Row],[Quantity_edited]]=0,0,Tradingbook_SBV[[#This Row],[DURATION]])</f>
        <v>0</v>
      </c>
      <c r="DW427" s="71">
        <f>IF(Tradingbook_SBV[[#This Row],[Quantity_edited]]=0,0,Tradingbook_SBV[[#This Row],[Mod Dur]])</f>
        <v>0</v>
      </c>
      <c r="DX427" s="71">
        <f>IF(Tradingbook_SBV[[#This Row],[Quantity_edited]]=0,0,Tradingbook_SBV[[#This Row],[Cnvx.]])</f>
        <v>0</v>
      </c>
      <c r="DY427" s="71">
        <f>(Tradingbook_SBV[[#This Row],[MARKET_VALUE]]+Tradingbook_SBV[[#This Row],[Accr Int]]*Tradingbook_SBV[[#This Row],[Quantity_edited]])*(-Tradingbook_SBV[[#This Row],[Modified Duration]]*0.0001+0.5*Tradingbook_SBV[[#This Row],[Conv]]*(0.0001^2))</f>
        <v>0</v>
      </c>
      <c r="DZ427" s="71">
        <f>(Tradingbook_SBV[[#This Row],[MARKET_VALUE]]+Tradingbook_SBV[[#This Row],[Accr Int]]*Tradingbook_SBV[[#This Row],[Quantity_edited]])*(-Tradingbook_SBV[[#This Row],[Modified Duration]]*0.01+0.5*Tradingbook_SBV[[#This Row],[Conv]]*(0.01^2))</f>
        <v>0</v>
      </c>
    </row>
    <row r="428" spans="2:130" x14ac:dyDescent="0.3">
      <c r="B428" t="s">
        <v>166</v>
      </c>
      <c r="C428" t="s">
        <v>3300</v>
      </c>
      <c r="D428" t="s">
        <v>612</v>
      </c>
      <c r="E428" t="s">
        <v>169</v>
      </c>
      <c r="F428" s="502">
        <v>47652</v>
      </c>
      <c r="G428" t="s">
        <v>3322</v>
      </c>
      <c r="H428">
        <v>96757</v>
      </c>
      <c r="I428">
        <v>96757</v>
      </c>
      <c r="J428" s="38">
        <v>0</v>
      </c>
      <c r="K428">
        <v>0</v>
      </c>
      <c r="L428">
        <v>0</v>
      </c>
      <c r="M428" s="38">
        <v>0</v>
      </c>
      <c r="N428">
        <v>3</v>
      </c>
      <c r="O428">
        <v>501</v>
      </c>
      <c r="P428" s="37">
        <v>25500000000</v>
      </c>
      <c r="Q428" s="37">
        <v>29019594999.999878</v>
      </c>
      <c r="R428" s="37">
        <v>-21169688673.913147</v>
      </c>
      <c r="S428">
        <v>3.9256365870000001</v>
      </c>
      <c r="T428" s="70">
        <v>3.5199342643425</v>
      </c>
      <c r="U428">
        <v>3.6581140900000002</v>
      </c>
      <c r="V428">
        <v>16.1296176235102</v>
      </c>
      <c r="W428">
        <v>0</v>
      </c>
      <c r="X428" s="38">
        <v>0</v>
      </c>
      <c r="Y428">
        <v>0</v>
      </c>
      <c r="Z428" s="70">
        <v>-47063470000</v>
      </c>
      <c r="AA428" s="70">
        <v>0</v>
      </c>
      <c r="AB428" s="70">
        <v>-47063470000</v>
      </c>
      <c r="AC428" s="70">
        <v>-47063470000</v>
      </c>
      <c r="AD428" s="70">
        <v>-47063470000</v>
      </c>
      <c r="AE428" s="70">
        <v>-47063470000</v>
      </c>
      <c r="AF428">
        <v>0</v>
      </c>
      <c r="AG428" s="72">
        <f>Tradingbook_MSB[[#This Row],[Mat. Date]]-RPT</f>
        <v>1400</v>
      </c>
      <c r="AH428" s="71">
        <f>IF(Tradingbook_MSB[[#This Row],[Days]]&lt;=0,0,YEARFRAC(RPT,Tradingbook_MSB[[#This Row],[Mat. Date]],3))</f>
        <v>3.8356164383561642</v>
      </c>
      <c r="AI428" s="71" t="str">
        <f>IF(Tradingbook_MSB[[#This Row],[Days (year)]]=0,0,INDEX(Ref!$K$2:$K$13,MATCH(Tradingbook_MSB[[#This Row],[Days (year)]],Ref!$I$2:$I$13,1)))</f>
        <v>4Y</v>
      </c>
      <c r="AJ428" s="120" t="str">
        <f>VLOOKUP(Tradingbook_MSB[[#This Row],[Security Name]],Ref!X:Z,3,0)</f>
        <v>TPCP</v>
      </c>
      <c r="AK428" s="120" t="str">
        <f>VLOOKUP(Tradingbook_MSB[[#This Row],[Security Name]],Ref!X:Y,2,0)</f>
        <v>KBNN</v>
      </c>
      <c r="AL428" s="71">
        <f>IF((Tradingbook_MSB[[#This Row],[Mat. Date]]-RPT)&lt;=0,0,Tradingbook_MSB[[#This Row],[QUANTITY]])</f>
        <v>0</v>
      </c>
      <c r="AM428" s="71">
        <f>IF(Tradingbook_MSB[[#This Row],[Quantity_edited]]=0,0,Tradingbook_MSB[[#This Row],[DURATION]])</f>
        <v>0</v>
      </c>
      <c r="AN428" s="71">
        <f>IF(Tradingbook_MSB[[#This Row],[Quantity_edited]]=0,0,Tradingbook_MSB[[#This Row],[Mod Dur]])</f>
        <v>0</v>
      </c>
      <c r="AO428" s="71">
        <f>IF(Tradingbook_MSB[[#This Row],[Quantity_edited]]=0,0,Tradingbook_MSB[[#This Row],[Cnvx.]])</f>
        <v>0</v>
      </c>
      <c r="AP428" s="71">
        <f>(Tradingbook_MSB[[#This Row],[MARKET_VALUE]]+Tradingbook_MSB[[#This Row],[Accr Int]]*Tradingbook_MSB[[#This Row],[Quantity_edited]])*(-Tradingbook_MSB[[#This Row],[Modified Duration]]*0.0001+0.5*Tradingbook_MSB[[#This Row],[Conv]]*(0.0001^2))</f>
        <v>0</v>
      </c>
      <c r="AQ428" s="72">
        <f>(Tradingbook_MSB[[#This Row],[MARKET_VALUE]]+Tradingbook_MSB[[#This Row],[Accr Int]]*Tradingbook_MSB[[#This Row],[Quantity_edited]])*(-Tradingbook_MSB[[#This Row],[Modified Duration]]*0.01+0.5*Tradingbook_MSB[[#This Row],[Conv]]*(0.01^2))</f>
        <v>0</v>
      </c>
      <c r="CL428" t="s">
        <v>166</v>
      </c>
      <c r="CM428" t="s">
        <v>3300</v>
      </c>
      <c r="CN428" t="s">
        <v>642</v>
      </c>
      <c r="CO428" t="s">
        <v>169</v>
      </c>
      <c r="CP428">
        <v>48106</v>
      </c>
      <c r="CQ428" t="s">
        <v>3322</v>
      </c>
      <c r="CR428" t="s">
        <v>4296</v>
      </c>
      <c r="CS428" t="s">
        <v>4297</v>
      </c>
      <c r="CT428">
        <v>0</v>
      </c>
      <c r="CU428">
        <v>0</v>
      </c>
      <c r="CV428">
        <v>0</v>
      </c>
      <c r="CW428">
        <v>0</v>
      </c>
      <c r="CX428">
        <v>7.4</v>
      </c>
      <c r="CY428">
        <v>6832</v>
      </c>
      <c r="CZ428">
        <v>0</v>
      </c>
      <c r="DA428">
        <v>0</v>
      </c>
      <c r="DB428">
        <v>-369639944.93061066</v>
      </c>
      <c r="DC428">
        <v>4.2406934390000002</v>
      </c>
      <c r="DD428">
        <v>4</v>
      </c>
      <c r="DE428">
        <v>4</v>
      </c>
      <c r="DF428">
        <v>22</v>
      </c>
      <c r="DG428">
        <v>0</v>
      </c>
      <c r="DH428">
        <v>0</v>
      </c>
      <c r="DI428">
        <v>0</v>
      </c>
      <c r="DJ428">
        <v>-1011000000</v>
      </c>
      <c r="DK428">
        <v>0</v>
      </c>
      <c r="DL428">
        <v>-1011000000</v>
      </c>
      <c r="DM428">
        <v>-1011000000</v>
      </c>
      <c r="DN428">
        <v>-1011000000</v>
      </c>
      <c r="DO428">
        <v>-1011000000</v>
      </c>
      <c r="DP428" s="32">
        <f>Tradingbook_SBV[[#This Row],[Mat. Date]]-RPT</f>
        <v>1854</v>
      </c>
      <c r="DQ428" s="32">
        <f>IF(Tradingbook_SBV[[#This Row],[Days]]&lt;=0,0,YEARFRAC(RPT,Tradingbook_SBV[[#This Row],[Mat. Date]],3))</f>
        <v>5.0794520547945208</v>
      </c>
      <c r="DR428" s="32" t="str">
        <f>IF(Tradingbook_SBV[[#This Row],[Days (year)]]=0,0,INDEX(Ref!$K$2:$K$13,MATCH(Tradingbook_SBV[[#This Row],[Days (year)]],Ref!$I$2:$I$13,1)))</f>
        <v>5Y</v>
      </c>
      <c r="DS428" s="32" t="str">
        <f>VLOOKUP(Tradingbook_SBV[[#This Row],[Security Name]],Ref!X:Z,3,0)</f>
        <v>TPCP</v>
      </c>
      <c r="DT428" s="32" t="str">
        <f>VLOOKUP(Tradingbook_SBV[[#This Row],[Security Name]],Ref!X:Y,2,0)</f>
        <v>KBNN</v>
      </c>
      <c r="DU428" s="71">
        <f>IF((Tradingbook_SBV[[#This Row],[Mat. Date]]-RPT)&lt;=0,0,Tradingbook_SBV[[#This Row],[QUANTITY]])</f>
        <v>0</v>
      </c>
      <c r="DV428" s="71">
        <f>IF(Tradingbook_SBV[[#This Row],[Quantity_edited]]=0,0,Tradingbook_SBV[[#This Row],[DURATION]])</f>
        <v>0</v>
      </c>
      <c r="DW428" s="71">
        <f>IF(Tradingbook_SBV[[#This Row],[Quantity_edited]]=0,0,Tradingbook_SBV[[#This Row],[Mod Dur]])</f>
        <v>0</v>
      </c>
      <c r="DX428" s="71">
        <f>IF(Tradingbook_SBV[[#This Row],[Quantity_edited]]=0,0,Tradingbook_SBV[[#This Row],[Cnvx.]])</f>
        <v>0</v>
      </c>
      <c r="DY428" s="71">
        <f>(Tradingbook_SBV[[#This Row],[MARKET_VALUE]]+Tradingbook_SBV[[#This Row],[Accr Int]]*Tradingbook_SBV[[#This Row],[Quantity_edited]])*(-Tradingbook_SBV[[#This Row],[Modified Duration]]*0.0001+0.5*Tradingbook_SBV[[#This Row],[Conv]]*(0.0001^2))</f>
        <v>0</v>
      </c>
      <c r="DZ428" s="71">
        <f>(Tradingbook_SBV[[#This Row],[MARKET_VALUE]]+Tradingbook_SBV[[#This Row],[Accr Int]]*Tradingbook_SBV[[#This Row],[Quantity_edited]])*(-Tradingbook_SBV[[#This Row],[Modified Duration]]*0.01+0.5*Tradingbook_SBV[[#This Row],[Conv]]*(0.01^2))</f>
        <v>0</v>
      </c>
    </row>
    <row r="429" spans="2:130" x14ac:dyDescent="0.3">
      <c r="B429" t="s">
        <v>166</v>
      </c>
      <c r="C429" t="s">
        <v>3300</v>
      </c>
      <c r="D429" t="s">
        <v>613</v>
      </c>
      <c r="E429" t="s">
        <v>169</v>
      </c>
      <c r="F429" s="502">
        <v>47664</v>
      </c>
      <c r="G429" t="s">
        <v>3322</v>
      </c>
      <c r="H429">
        <v>112895</v>
      </c>
      <c r="I429">
        <v>112895</v>
      </c>
      <c r="J429" s="38">
        <v>0</v>
      </c>
      <c r="K429">
        <v>0</v>
      </c>
      <c r="L429">
        <v>0</v>
      </c>
      <c r="M429" s="38">
        <v>0</v>
      </c>
      <c r="N429">
        <v>7.6</v>
      </c>
      <c r="O429">
        <v>1020</v>
      </c>
      <c r="P429" s="37">
        <v>3800000000</v>
      </c>
      <c r="Q429" s="37">
        <v>4351935222.2221355</v>
      </c>
      <c r="R429" s="37">
        <v>-7467791509.8229218</v>
      </c>
      <c r="S429">
        <v>3.9343883929999999</v>
      </c>
      <c r="T429" s="70">
        <v>3.3562378928925001</v>
      </c>
      <c r="U429">
        <v>3.4882853300000001</v>
      </c>
      <c r="V429">
        <v>15.184385178254599</v>
      </c>
      <c r="W429">
        <v>0</v>
      </c>
      <c r="X429" s="38">
        <v>0</v>
      </c>
      <c r="Y429">
        <v>0</v>
      </c>
      <c r="Z429" s="70">
        <v>-22510402799.998047</v>
      </c>
      <c r="AA429" s="70">
        <v>0</v>
      </c>
      <c r="AB429" s="70">
        <v>-22510402799.998047</v>
      </c>
      <c r="AC429" s="70">
        <v>-22510402799.998047</v>
      </c>
      <c r="AD429" s="70">
        <v>-22510402799.998001</v>
      </c>
      <c r="AE429" s="70">
        <v>-22510402799.998047</v>
      </c>
      <c r="AF429">
        <v>0</v>
      </c>
      <c r="AG429" s="72">
        <f>Tradingbook_MSB[[#This Row],[Mat. Date]]-RPT</f>
        <v>1412</v>
      </c>
      <c r="AH429" s="71">
        <f>IF(Tradingbook_MSB[[#This Row],[Days]]&lt;=0,0,YEARFRAC(RPT,Tradingbook_MSB[[#This Row],[Mat. Date]],3))</f>
        <v>3.8684931506849316</v>
      </c>
      <c r="AI429" s="71" t="str">
        <f>IF(Tradingbook_MSB[[#This Row],[Days (year)]]=0,0,INDEX(Ref!$K$2:$K$13,MATCH(Tradingbook_MSB[[#This Row],[Days (year)]],Ref!$I$2:$I$13,1)))</f>
        <v>4Y</v>
      </c>
      <c r="AJ429" s="120" t="str">
        <f>VLOOKUP(Tradingbook_MSB[[#This Row],[Security Name]],Ref!X:Z,3,0)</f>
        <v>TPCP</v>
      </c>
      <c r="AK429" s="120" t="str">
        <f>VLOOKUP(Tradingbook_MSB[[#This Row],[Security Name]],Ref!X:Y,2,0)</f>
        <v>KBNN</v>
      </c>
      <c r="AL429" s="71">
        <f>IF((Tradingbook_MSB[[#This Row],[Mat. Date]]-RPT)&lt;=0,0,Tradingbook_MSB[[#This Row],[QUANTITY]])</f>
        <v>0</v>
      </c>
      <c r="AM429" s="71">
        <f>IF(Tradingbook_MSB[[#This Row],[Quantity_edited]]=0,0,Tradingbook_MSB[[#This Row],[DURATION]])</f>
        <v>0</v>
      </c>
      <c r="AN429" s="71">
        <f>IF(Tradingbook_MSB[[#This Row],[Quantity_edited]]=0,0,Tradingbook_MSB[[#This Row],[Mod Dur]])</f>
        <v>0</v>
      </c>
      <c r="AO429" s="71">
        <f>IF(Tradingbook_MSB[[#This Row],[Quantity_edited]]=0,0,Tradingbook_MSB[[#This Row],[Cnvx.]])</f>
        <v>0</v>
      </c>
      <c r="AP429" s="71">
        <f>(Tradingbook_MSB[[#This Row],[MARKET_VALUE]]+Tradingbook_MSB[[#This Row],[Accr Int]]*Tradingbook_MSB[[#This Row],[Quantity_edited]])*(-Tradingbook_MSB[[#This Row],[Modified Duration]]*0.0001+0.5*Tradingbook_MSB[[#This Row],[Conv]]*(0.0001^2))</f>
        <v>0</v>
      </c>
      <c r="AQ429" s="72">
        <f>(Tradingbook_MSB[[#This Row],[MARKET_VALUE]]+Tradingbook_MSB[[#This Row],[Accr Int]]*Tradingbook_MSB[[#This Row],[Quantity_edited]])*(-Tradingbook_MSB[[#This Row],[Modified Duration]]*0.01+0.5*Tradingbook_MSB[[#This Row],[Conv]]*(0.01^2))</f>
        <v>0</v>
      </c>
      <c r="CL429" t="s">
        <v>166</v>
      </c>
      <c r="CM429" t="s">
        <v>3300</v>
      </c>
      <c r="CN429" t="s">
        <v>644</v>
      </c>
      <c r="CO429" t="s">
        <v>169</v>
      </c>
      <c r="CP429">
        <v>48121</v>
      </c>
      <c r="CQ429" t="s">
        <v>3322</v>
      </c>
      <c r="CR429" t="s">
        <v>4298</v>
      </c>
      <c r="CS429" t="s">
        <v>4299</v>
      </c>
      <c r="CT429">
        <v>0</v>
      </c>
      <c r="CU429">
        <v>0</v>
      </c>
      <c r="CV429">
        <v>0</v>
      </c>
      <c r="CW429">
        <v>0</v>
      </c>
      <c r="CX429">
        <v>2.1</v>
      </c>
      <c r="CY429">
        <v>1853</v>
      </c>
      <c r="CZ429">
        <v>0</v>
      </c>
      <c r="DA429">
        <v>-1.1E-5</v>
      </c>
      <c r="DB429">
        <v>-148262624.09717083</v>
      </c>
      <c r="DC429">
        <v>4.2421015410000003</v>
      </c>
      <c r="DD429">
        <v>5</v>
      </c>
      <c r="DE429">
        <v>5</v>
      </c>
      <c r="DF429">
        <v>27</v>
      </c>
      <c r="DG429">
        <v>0</v>
      </c>
      <c r="DH429">
        <v>0</v>
      </c>
      <c r="DI429">
        <v>0</v>
      </c>
      <c r="DJ429">
        <v>1584000000</v>
      </c>
      <c r="DK429">
        <v>0</v>
      </c>
      <c r="DL429">
        <v>1584000000</v>
      </c>
      <c r="DM429">
        <v>1584000000</v>
      </c>
      <c r="DN429">
        <v>1584000000</v>
      </c>
      <c r="DO429">
        <v>1584000000</v>
      </c>
      <c r="DP429" s="32">
        <f>Tradingbook_SBV[[#This Row],[Mat. Date]]-RPT</f>
        <v>1869</v>
      </c>
      <c r="DQ429" s="32">
        <f>IF(Tradingbook_SBV[[#This Row],[Days]]&lt;=0,0,YEARFRAC(RPT,Tradingbook_SBV[[#This Row],[Mat. Date]],3))</f>
        <v>5.1205479452054794</v>
      </c>
      <c r="DR429" s="32" t="str">
        <f>IF(Tradingbook_SBV[[#This Row],[Days (year)]]=0,0,INDEX(Ref!$K$2:$K$13,MATCH(Tradingbook_SBV[[#This Row],[Days (year)]],Ref!$I$2:$I$13,1)))</f>
        <v>5Y</v>
      </c>
      <c r="DS429" s="32" t="str">
        <f>VLOOKUP(Tradingbook_SBV[[#This Row],[Security Name]],Ref!X:Z,3,0)</f>
        <v>TPCP</v>
      </c>
      <c r="DT429" s="32" t="str">
        <f>VLOOKUP(Tradingbook_SBV[[#This Row],[Security Name]],Ref!X:Y,2,0)</f>
        <v>KBNN</v>
      </c>
      <c r="DU429" s="71">
        <f>IF((Tradingbook_SBV[[#This Row],[Mat. Date]]-RPT)&lt;=0,0,Tradingbook_SBV[[#This Row],[QUANTITY]])</f>
        <v>0</v>
      </c>
      <c r="DV429" s="71">
        <f>IF(Tradingbook_SBV[[#This Row],[Quantity_edited]]=0,0,Tradingbook_SBV[[#This Row],[DURATION]])</f>
        <v>0</v>
      </c>
      <c r="DW429" s="71">
        <f>IF(Tradingbook_SBV[[#This Row],[Quantity_edited]]=0,0,Tradingbook_SBV[[#This Row],[Mod Dur]])</f>
        <v>0</v>
      </c>
      <c r="DX429" s="71">
        <f>IF(Tradingbook_SBV[[#This Row],[Quantity_edited]]=0,0,Tradingbook_SBV[[#This Row],[Cnvx.]])</f>
        <v>0</v>
      </c>
      <c r="DY429" s="71">
        <f>(Tradingbook_SBV[[#This Row],[MARKET_VALUE]]+Tradingbook_SBV[[#This Row],[Accr Int]]*Tradingbook_SBV[[#This Row],[Quantity_edited]])*(-Tradingbook_SBV[[#This Row],[Modified Duration]]*0.0001+0.5*Tradingbook_SBV[[#This Row],[Conv]]*(0.0001^2))</f>
        <v>0</v>
      </c>
      <c r="DZ429" s="71">
        <f>(Tradingbook_SBV[[#This Row],[MARKET_VALUE]]+Tradingbook_SBV[[#This Row],[Accr Int]]*Tradingbook_SBV[[#This Row],[Quantity_edited]])*(-Tradingbook_SBV[[#This Row],[Modified Duration]]*0.01+0.5*Tradingbook_SBV[[#This Row],[Conv]]*(0.01^2))</f>
        <v>0</v>
      </c>
    </row>
    <row r="430" spans="2:130" x14ac:dyDescent="0.3">
      <c r="B430" t="s">
        <v>166</v>
      </c>
      <c r="C430" t="s">
        <v>3300</v>
      </c>
      <c r="D430" t="s">
        <v>614</v>
      </c>
      <c r="E430" t="s">
        <v>169</v>
      </c>
      <c r="F430" s="502">
        <v>47666</v>
      </c>
      <c r="G430" t="s">
        <v>3322</v>
      </c>
      <c r="H430">
        <v>96341</v>
      </c>
      <c r="I430">
        <v>96341</v>
      </c>
      <c r="J430" s="38">
        <v>0</v>
      </c>
      <c r="K430">
        <v>0</v>
      </c>
      <c r="L430">
        <v>0</v>
      </c>
      <c r="M430" s="38">
        <v>0</v>
      </c>
      <c r="N430">
        <v>2.9</v>
      </c>
      <c r="O430">
        <v>373</v>
      </c>
      <c r="P430" s="37">
        <v>29000000000</v>
      </c>
      <c r="Q430" s="37">
        <v>33220449749.999886</v>
      </c>
      <c r="R430" s="37">
        <v>-24572411200.667175</v>
      </c>
      <c r="S430">
        <v>3.935804182</v>
      </c>
      <c r="T430" s="70">
        <v>3.5614496427140998</v>
      </c>
      <c r="U430">
        <v>3.70162133</v>
      </c>
      <c r="V430">
        <v>16.4535701777084</v>
      </c>
      <c r="W430">
        <v>0</v>
      </c>
      <c r="X430" s="38">
        <v>0</v>
      </c>
      <c r="Y430">
        <v>0</v>
      </c>
      <c r="Z430" s="70">
        <v>-64490740000</v>
      </c>
      <c r="AA430" s="70">
        <v>0</v>
      </c>
      <c r="AB430" s="70">
        <v>-64490740000</v>
      </c>
      <c r="AC430" s="70">
        <v>-64490740000</v>
      </c>
      <c r="AD430" s="70">
        <v>-64490740000</v>
      </c>
      <c r="AE430" s="70">
        <v>-64490740000</v>
      </c>
      <c r="AF430">
        <v>0</v>
      </c>
      <c r="AG430" s="72">
        <f>Tradingbook_MSB[[#This Row],[Mat. Date]]-RPT</f>
        <v>1414</v>
      </c>
      <c r="AH430" s="71">
        <f>IF(Tradingbook_MSB[[#This Row],[Days]]&lt;=0,0,YEARFRAC(RPT,Tradingbook_MSB[[#This Row],[Mat. Date]],3))</f>
        <v>3.8739726027397259</v>
      </c>
      <c r="AI430" s="71" t="str">
        <f>IF(Tradingbook_MSB[[#This Row],[Days (year)]]=0,0,INDEX(Ref!$K$2:$K$13,MATCH(Tradingbook_MSB[[#This Row],[Days (year)]],Ref!$I$2:$I$13,1)))</f>
        <v>4Y</v>
      </c>
      <c r="AJ430" s="120" t="str">
        <f>VLOOKUP(Tradingbook_MSB[[#This Row],[Security Name]],Ref!X:Z,3,0)</f>
        <v>TPCP</v>
      </c>
      <c r="AK430" s="120" t="str">
        <f>VLOOKUP(Tradingbook_MSB[[#This Row],[Security Name]],Ref!X:Y,2,0)</f>
        <v>KBNN</v>
      </c>
      <c r="AL430" s="71">
        <f>IF((Tradingbook_MSB[[#This Row],[Mat. Date]]-RPT)&lt;=0,0,Tradingbook_MSB[[#This Row],[QUANTITY]])</f>
        <v>0</v>
      </c>
      <c r="AM430" s="71">
        <f>IF(Tradingbook_MSB[[#This Row],[Quantity_edited]]=0,0,Tradingbook_MSB[[#This Row],[DURATION]])</f>
        <v>0</v>
      </c>
      <c r="AN430" s="71">
        <f>IF(Tradingbook_MSB[[#This Row],[Quantity_edited]]=0,0,Tradingbook_MSB[[#This Row],[Mod Dur]])</f>
        <v>0</v>
      </c>
      <c r="AO430" s="71">
        <f>IF(Tradingbook_MSB[[#This Row],[Quantity_edited]]=0,0,Tradingbook_MSB[[#This Row],[Cnvx.]])</f>
        <v>0</v>
      </c>
      <c r="AP430" s="71">
        <f>(Tradingbook_MSB[[#This Row],[MARKET_VALUE]]+Tradingbook_MSB[[#This Row],[Accr Int]]*Tradingbook_MSB[[#This Row],[Quantity_edited]])*(-Tradingbook_MSB[[#This Row],[Modified Duration]]*0.0001+0.5*Tradingbook_MSB[[#This Row],[Conv]]*(0.0001^2))</f>
        <v>0</v>
      </c>
      <c r="AQ430" s="72">
        <f>(Tradingbook_MSB[[#This Row],[MARKET_VALUE]]+Tradingbook_MSB[[#This Row],[Accr Int]]*Tradingbook_MSB[[#This Row],[Quantity_edited]])*(-Tradingbook_MSB[[#This Row],[Modified Duration]]*0.01+0.5*Tradingbook_MSB[[#This Row],[Conv]]*(0.01^2))</f>
        <v>0</v>
      </c>
      <c r="CL430" t="s">
        <v>166</v>
      </c>
      <c r="CM430" t="s">
        <v>3300</v>
      </c>
      <c r="CN430" t="s">
        <v>645</v>
      </c>
      <c r="CO430" t="s">
        <v>169</v>
      </c>
      <c r="CP430">
        <v>48170</v>
      </c>
      <c r="CQ430" t="s">
        <v>3322</v>
      </c>
      <c r="CR430" t="s">
        <v>4300</v>
      </c>
      <c r="CS430" t="s">
        <v>4301</v>
      </c>
      <c r="CT430">
        <v>0</v>
      </c>
      <c r="CU430">
        <v>0</v>
      </c>
      <c r="CV430">
        <v>0</v>
      </c>
      <c r="CW430">
        <v>0</v>
      </c>
      <c r="CX430">
        <v>2</v>
      </c>
      <c r="CY430">
        <v>1496</v>
      </c>
      <c r="CZ430">
        <v>0</v>
      </c>
      <c r="DA430">
        <v>0</v>
      </c>
      <c r="DB430">
        <v>-2265209.4444422722</v>
      </c>
      <c r="DC430">
        <v>4.2469168679999996</v>
      </c>
      <c r="DD430">
        <v>5</v>
      </c>
      <c r="DE430">
        <v>5</v>
      </c>
      <c r="DF430">
        <v>28</v>
      </c>
      <c r="DG430">
        <v>0</v>
      </c>
      <c r="DH430">
        <v>0</v>
      </c>
      <c r="DI430">
        <v>0</v>
      </c>
      <c r="DJ430">
        <v>0</v>
      </c>
      <c r="DK430">
        <v>0</v>
      </c>
      <c r="DL430">
        <v>0</v>
      </c>
      <c r="DM430">
        <v>0</v>
      </c>
      <c r="DN430">
        <v>0</v>
      </c>
      <c r="DO430">
        <v>0</v>
      </c>
      <c r="DP430" s="32">
        <f>Tradingbook_SBV[[#This Row],[Mat. Date]]-RPT</f>
        <v>1918</v>
      </c>
      <c r="DQ430" s="32">
        <f>IF(Tradingbook_SBV[[#This Row],[Days]]&lt;=0,0,YEARFRAC(RPT,Tradingbook_SBV[[#This Row],[Mat. Date]],3))</f>
        <v>5.2547945205479456</v>
      </c>
      <c r="DR430" s="32" t="str">
        <f>IF(Tradingbook_SBV[[#This Row],[Days (year)]]=0,0,INDEX(Ref!$K$2:$K$13,MATCH(Tradingbook_SBV[[#This Row],[Days (year)]],Ref!$I$2:$I$13,1)))</f>
        <v>5Y</v>
      </c>
      <c r="DS430" s="32" t="str">
        <f>VLOOKUP(Tradingbook_SBV[[#This Row],[Security Name]],Ref!X:Z,3,0)</f>
        <v>TPCP</v>
      </c>
      <c r="DT430" s="32" t="str">
        <f>VLOOKUP(Tradingbook_SBV[[#This Row],[Security Name]],Ref!X:Y,2,0)</f>
        <v>KBNN</v>
      </c>
      <c r="DU430" s="71">
        <f>IF((Tradingbook_SBV[[#This Row],[Mat. Date]]-RPT)&lt;=0,0,Tradingbook_SBV[[#This Row],[QUANTITY]])</f>
        <v>0</v>
      </c>
      <c r="DV430" s="71">
        <f>IF(Tradingbook_SBV[[#This Row],[Quantity_edited]]=0,0,Tradingbook_SBV[[#This Row],[DURATION]])</f>
        <v>0</v>
      </c>
      <c r="DW430" s="71">
        <f>IF(Tradingbook_SBV[[#This Row],[Quantity_edited]]=0,0,Tradingbook_SBV[[#This Row],[Mod Dur]])</f>
        <v>0</v>
      </c>
      <c r="DX430" s="71">
        <f>IF(Tradingbook_SBV[[#This Row],[Quantity_edited]]=0,0,Tradingbook_SBV[[#This Row],[Cnvx.]])</f>
        <v>0</v>
      </c>
      <c r="DY430" s="71">
        <f>(Tradingbook_SBV[[#This Row],[MARKET_VALUE]]+Tradingbook_SBV[[#This Row],[Accr Int]]*Tradingbook_SBV[[#This Row],[Quantity_edited]])*(-Tradingbook_SBV[[#This Row],[Modified Duration]]*0.0001+0.5*Tradingbook_SBV[[#This Row],[Conv]]*(0.0001^2))</f>
        <v>0</v>
      </c>
      <c r="DZ430" s="71">
        <f>(Tradingbook_SBV[[#This Row],[MARKET_VALUE]]+Tradingbook_SBV[[#This Row],[Accr Int]]*Tradingbook_SBV[[#This Row],[Quantity_edited]])*(-Tradingbook_SBV[[#This Row],[Modified Duration]]*0.01+0.5*Tradingbook_SBV[[#This Row],[Conv]]*(0.01^2))</f>
        <v>0</v>
      </c>
    </row>
    <row r="431" spans="2:130" x14ac:dyDescent="0.3">
      <c r="B431" t="s">
        <v>166</v>
      </c>
      <c r="C431" t="s">
        <v>3300</v>
      </c>
      <c r="D431" t="s">
        <v>626</v>
      </c>
      <c r="E431" t="s">
        <v>169</v>
      </c>
      <c r="F431" s="502">
        <v>47673</v>
      </c>
      <c r="G431" t="s">
        <v>3322</v>
      </c>
      <c r="H431">
        <v>95953</v>
      </c>
      <c r="I431">
        <v>95953</v>
      </c>
      <c r="J431" s="38">
        <v>0</v>
      </c>
      <c r="K431">
        <v>0</v>
      </c>
      <c r="L431">
        <v>0</v>
      </c>
      <c r="M431" s="38">
        <v>0</v>
      </c>
      <c r="N431">
        <v>2.8</v>
      </c>
      <c r="O431">
        <v>307</v>
      </c>
      <c r="P431" s="37">
        <v>18200000000</v>
      </c>
      <c r="Q431" s="37">
        <v>20630910999.999908</v>
      </c>
      <c r="R431" s="37">
        <v>-17253432610.138386</v>
      </c>
      <c r="S431">
        <v>3.94083016</v>
      </c>
      <c r="T431" s="70">
        <v>3.5847411295101002</v>
      </c>
      <c r="U431">
        <v>3.7260096900000002</v>
      </c>
      <c r="V431">
        <v>16.632484569084699</v>
      </c>
      <c r="W431">
        <v>0</v>
      </c>
      <c r="X431" s="38">
        <v>0</v>
      </c>
      <c r="Y431">
        <v>0</v>
      </c>
      <c r="Z431" s="70">
        <v>-25095000000</v>
      </c>
      <c r="AA431" s="70">
        <v>0</v>
      </c>
      <c r="AB431" s="70">
        <v>-25095000000</v>
      </c>
      <c r="AC431" s="70">
        <v>-25095000000</v>
      </c>
      <c r="AD431" s="70">
        <v>-25095000000</v>
      </c>
      <c r="AE431" s="70">
        <v>-25095000000</v>
      </c>
      <c r="AF431">
        <v>0</v>
      </c>
      <c r="AG431" s="72">
        <f>Tradingbook_MSB[[#This Row],[Mat. Date]]-RPT</f>
        <v>1421</v>
      </c>
      <c r="AH431" s="71">
        <f>IF(Tradingbook_MSB[[#This Row],[Days]]&lt;=0,0,YEARFRAC(RPT,Tradingbook_MSB[[#This Row],[Mat. Date]],3))</f>
        <v>3.893150684931507</v>
      </c>
      <c r="AI431" s="71" t="str">
        <f>IF(Tradingbook_MSB[[#This Row],[Days (year)]]=0,0,INDEX(Ref!$K$2:$K$13,MATCH(Tradingbook_MSB[[#This Row],[Days (year)]],Ref!$I$2:$I$13,1)))</f>
        <v>4Y</v>
      </c>
      <c r="AJ431" s="120" t="str">
        <f>VLOOKUP(Tradingbook_MSB[[#This Row],[Security Name]],Ref!X:Z,3,0)</f>
        <v>TPCP</v>
      </c>
      <c r="AK431" s="120" t="str">
        <f>VLOOKUP(Tradingbook_MSB[[#This Row],[Security Name]],Ref!X:Y,2,0)</f>
        <v>KBNN</v>
      </c>
      <c r="AL431" s="71">
        <f>IF((Tradingbook_MSB[[#This Row],[Mat. Date]]-RPT)&lt;=0,0,Tradingbook_MSB[[#This Row],[QUANTITY]])</f>
        <v>0</v>
      </c>
      <c r="AM431" s="71">
        <f>IF(Tradingbook_MSB[[#This Row],[Quantity_edited]]=0,0,Tradingbook_MSB[[#This Row],[DURATION]])</f>
        <v>0</v>
      </c>
      <c r="AN431" s="71">
        <f>IF(Tradingbook_MSB[[#This Row],[Quantity_edited]]=0,0,Tradingbook_MSB[[#This Row],[Mod Dur]])</f>
        <v>0</v>
      </c>
      <c r="AO431" s="71">
        <f>IF(Tradingbook_MSB[[#This Row],[Quantity_edited]]=0,0,Tradingbook_MSB[[#This Row],[Cnvx.]])</f>
        <v>0</v>
      </c>
      <c r="AP431" s="71">
        <f>(Tradingbook_MSB[[#This Row],[MARKET_VALUE]]+Tradingbook_MSB[[#This Row],[Accr Int]]*Tradingbook_MSB[[#This Row],[Quantity_edited]])*(-Tradingbook_MSB[[#This Row],[Modified Duration]]*0.0001+0.5*Tradingbook_MSB[[#This Row],[Conv]]*(0.0001^2))</f>
        <v>0</v>
      </c>
      <c r="AQ431" s="72">
        <f>(Tradingbook_MSB[[#This Row],[MARKET_VALUE]]+Tradingbook_MSB[[#This Row],[Accr Int]]*Tradingbook_MSB[[#This Row],[Quantity_edited]])*(-Tradingbook_MSB[[#This Row],[Modified Duration]]*0.01+0.5*Tradingbook_MSB[[#This Row],[Conv]]*(0.01^2))</f>
        <v>0</v>
      </c>
      <c r="CL431" t="s">
        <v>166</v>
      </c>
      <c r="CM431" t="s">
        <v>3300</v>
      </c>
      <c r="CN431" t="s">
        <v>646</v>
      </c>
      <c r="CO431" t="s">
        <v>169</v>
      </c>
      <c r="CP431">
        <v>48202</v>
      </c>
      <c r="CQ431" t="s">
        <v>3322</v>
      </c>
      <c r="CR431" t="s">
        <v>4302</v>
      </c>
      <c r="CS431" t="s">
        <v>4303</v>
      </c>
      <c r="CT431">
        <v>0</v>
      </c>
      <c r="CU431">
        <v>0</v>
      </c>
      <c r="CV431">
        <v>0</v>
      </c>
      <c r="CW431">
        <v>0</v>
      </c>
      <c r="CX431">
        <v>2.5</v>
      </c>
      <c r="CY431">
        <v>1651</v>
      </c>
      <c r="CZ431">
        <v>0</v>
      </c>
      <c r="DA431">
        <v>0</v>
      </c>
      <c r="DB431">
        <v>-3604703.0555534363</v>
      </c>
      <c r="DC431">
        <v>4.7500304309999999</v>
      </c>
      <c r="DD431">
        <v>5</v>
      </c>
      <c r="DE431">
        <v>5</v>
      </c>
      <c r="DF431">
        <v>28</v>
      </c>
      <c r="DG431">
        <v>0</v>
      </c>
      <c r="DH431">
        <v>0</v>
      </c>
      <c r="DI431">
        <v>0</v>
      </c>
      <c r="DJ431">
        <v>5000000</v>
      </c>
      <c r="DK431">
        <v>0</v>
      </c>
      <c r="DL431">
        <v>5000000</v>
      </c>
      <c r="DM431">
        <v>5000000</v>
      </c>
      <c r="DN431">
        <v>5000000</v>
      </c>
      <c r="DO431">
        <v>5000000</v>
      </c>
      <c r="DP431" s="32">
        <f>Tradingbook_SBV[[#This Row],[Mat. Date]]-RPT</f>
        <v>1950</v>
      </c>
      <c r="DQ431" s="32">
        <f>IF(Tradingbook_SBV[[#This Row],[Days]]&lt;=0,0,YEARFRAC(RPT,Tradingbook_SBV[[#This Row],[Mat. Date]],3))</f>
        <v>5.3424657534246576</v>
      </c>
      <c r="DR431" s="32" t="str">
        <f>IF(Tradingbook_SBV[[#This Row],[Days (year)]]=0,0,INDEX(Ref!$K$2:$K$13,MATCH(Tradingbook_SBV[[#This Row],[Days (year)]],Ref!$I$2:$I$13,1)))</f>
        <v>5Y</v>
      </c>
      <c r="DS431" s="32" t="str">
        <f>VLOOKUP(Tradingbook_SBV[[#This Row],[Security Name]],Ref!X:Z,3,0)</f>
        <v>TPCPBL</v>
      </c>
      <c r="DT431" s="32" t="str">
        <f>VLOOKUP(Tradingbook_SBV[[#This Row],[Security Name]],Ref!X:Y,2,0)</f>
        <v>VDB</v>
      </c>
      <c r="DU431" s="71">
        <f>IF((Tradingbook_SBV[[#This Row],[Mat. Date]]-RPT)&lt;=0,0,Tradingbook_SBV[[#This Row],[QUANTITY]])</f>
        <v>0</v>
      </c>
      <c r="DV431" s="71">
        <f>IF(Tradingbook_SBV[[#This Row],[Quantity_edited]]=0,0,Tradingbook_SBV[[#This Row],[DURATION]])</f>
        <v>0</v>
      </c>
      <c r="DW431" s="71">
        <f>IF(Tradingbook_SBV[[#This Row],[Quantity_edited]]=0,0,Tradingbook_SBV[[#This Row],[Mod Dur]])</f>
        <v>0</v>
      </c>
      <c r="DX431" s="71">
        <f>IF(Tradingbook_SBV[[#This Row],[Quantity_edited]]=0,0,Tradingbook_SBV[[#This Row],[Cnvx.]])</f>
        <v>0</v>
      </c>
      <c r="DY431" s="71">
        <f>(Tradingbook_SBV[[#This Row],[MARKET_VALUE]]+Tradingbook_SBV[[#This Row],[Accr Int]]*Tradingbook_SBV[[#This Row],[Quantity_edited]])*(-Tradingbook_SBV[[#This Row],[Modified Duration]]*0.0001+0.5*Tradingbook_SBV[[#This Row],[Conv]]*(0.0001^2))</f>
        <v>0</v>
      </c>
      <c r="DZ431" s="71">
        <f>(Tradingbook_SBV[[#This Row],[MARKET_VALUE]]+Tradingbook_SBV[[#This Row],[Accr Int]]*Tradingbook_SBV[[#This Row],[Quantity_edited]])*(-Tradingbook_SBV[[#This Row],[Modified Duration]]*0.01+0.5*Tradingbook_SBV[[#This Row],[Conv]]*(0.01^2))</f>
        <v>0</v>
      </c>
    </row>
    <row r="432" spans="2:130" x14ac:dyDescent="0.3">
      <c r="B432" t="s">
        <v>166</v>
      </c>
      <c r="C432" t="s">
        <v>3300</v>
      </c>
      <c r="D432" t="s">
        <v>627</v>
      </c>
      <c r="E432" t="s">
        <v>169</v>
      </c>
      <c r="F432" s="502">
        <v>47680</v>
      </c>
      <c r="G432" t="s">
        <v>3322</v>
      </c>
      <c r="H432">
        <v>95562</v>
      </c>
      <c r="I432">
        <v>95562</v>
      </c>
      <c r="J432" s="38">
        <v>0</v>
      </c>
      <c r="K432">
        <v>0</v>
      </c>
      <c r="L432">
        <v>0</v>
      </c>
      <c r="M432" s="38">
        <v>0</v>
      </c>
      <c r="N432">
        <v>2.7</v>
      </c>
      <c r="O432">
        <v>244</v>
      </c>
      <c r="P432" s="37">
        <v>13500000000</v>
      </c>
      <c r="Q432" s="37">
        <v>15534261562.499912</v>
      </c>
      <c r="R432" s="37">
        <v>-14419714012.117517</v>
      </c>
      <c r="S432">
        <v>3.9460088780000002</v>
      </c>
      <c r="T432" s="70">
        <v>3.6080638490951</v>
      </c>
      <c r="U432">
        <v>3.7504383699999999</v>
      </c>
      <c r="V432">
        <v>16.812606690156599</v>
      </c>
      <c r="W432">
        <v>0</v>
      </c>
      <c r="X432" s="38">
        <v>0</v>
      </c>
      <c r="Y432">
        <v>0</v>
      </c>
      <c r="Z432" s="70">
        <v>-42954000000</v>
      </c>
      <c r="AA432" s="70">
        <v>0</v>
      </c>
      <c r="AB432" s="70">
        <v>-42954000000</v>
      </c>
      <c r="AC432" s="70">
        <v>-42954000000</v>
      </c>
      <c r="AD432" s="70">
        <v>-42954000000</v>
      </c>
      <c r="AE432" s="70">
        <v>-42954000000</v>
      </c>
      <c r="AF432">
        <v>0</v>
      </c>
      <c r="AG432" s="72">
        <f>Tradingbook_MSB[[#This Row],[Mat. Date]]-RPT</f>
        <v>1428</v>
      </c>
      <c r="AH432" s="71">
        <f>IF(Tradingbook_MSB[[#This Row],[Days]]&lt;=0,0,YEARFRAC(RPT,Tradingbook_MSB[[#This Row],[Mat. Date]],3))</f>
        <v>3.9123287671232876</v>
      </c>
      <c r="AI432" s="71" t="str">
        <f>IF(Tradingbook_MSB[[#This Row],[Days (year)]]=0,0,INDEX(Ref!$K$2:$K$13,MATCH(Tradingbook_MSB[[#This Row],[Days (year)]],Ref!$I$2:$I$13,1)))</f>
        <v>4Y</v>
      </c>
      <c r="AJ432" s="120" t="str">
        <f>VLOOKUP(Tradingbook_MSB[[#This Row],[Security Name]],Ref!X:Z,3,0)</f>
        <v>TPCP</v>
      </c>
      <c r="AK432" s="120" t="str">
        <f>VLOOKUP(Tradingbook_MSB[[#This Row],[Security Name]],Ref!X:Y,2,0)</f>
        <v>KBNN</v>
      </c>
      <c r="AL432" s="71">
        <f>IF((Tradingbook_MSB[[#This Row],[Mat. Date]]-RPT)&lt;=0,0,Tradingbook_MSB[[#This Row],[QUANTITY]])</f>
        <v>0</v>
      </c>
      <c r="AM432" s="71">
        <f>IF(Tradingbook_MSB[[#This Row],[Quantity_edited]]=0,0,Tradingbook_MSB[[#This Row],[DURATION]])</f>
        <v>0</v>
      </c>
      <c r="AN432" s="71">
        <f>IF(Tradingbook_MSB[[#This Row],[Quantity_edited]]=0,0,Tradingbook_MSB[[#This Row],[Mod Dur]])</f>
        <v>0</v>
      </c>
      <c r="AO432" s="71">
        <f>IF(Tradingbook_MSB[[#This Row],[Quantity_edited]]=0,0,Tradingbook_MSB[[#This Row],[Cnvx.]])</f>
        <v>0</v>
      </c>
      <c r="AP432" s="71">
        <f>(Tradingbook_MSB[[#This Row],[MARKET_VALUE]]+Tradingbook_MSB[[#This Row],[Accr Int]]*Tradingbook_MSB[[#This Row],[Quantity_edited]])*(-Tradingbook_MSB[[#This Row],[Modified Duration]]*0.0001+0.5*Tradingbook_MSB[[#This Row],[Conv]]*(0.0001^2))</f>
        <v>0</v>
      </c>
      <c r="AQ432" s="72">
        <f>(Tradingbook_MSB[[#This Row],[MARKET_VALUE]]+Tradingbook_MSB[[#This Row],[Accr Int]]*Tradingbook_MSB[[#This Row],[Quantity_edited]])*(-Tradingbook_MSB[[#This Row],[Modified Duration]]*0.01+0.5*Tradingbook_MSB[[#This Row],[Conv]]*(0.01^2))</f>
        <v>0</v>
      </c>
      <c r="CL432" t="s">
        <v>166</v>
      </c>
      <c r="CM432" t="s">
        <v>3300</v>
      </c>
      <c r="CN432" t="s">
        <v>647</v>
      </c>
      <c r="CO432" t="s">
        <v>169</v>
      </c>
      <c r="CP432">
        <v>48218</v>
      </c>
      <c r="CQ432" t="s">
        <v>3322</v>
      </c>
      <c r="CR432" t="s">
        <v>4304</v>
      </c>
      <c r="CS432" t="s">
        <v>4305</v>
      </c>
      <c r="CT432">
        <v>0</v>
      </c>
      <c r="CU432">
        <v>0</v>
      </c>
      <c r="CV432">
        <v>0</v>
      </c>
      <c r="CW432">
        <v>0</v>
      </c>
      <c r="CX432">
        <v>7.2</v>
      </c>
      <c r="CY432">
        <v>4438</v>
      </c>
      <c r="CZ432">
        <v>32400000000</v>
      </c>
      <c r="DA432">
        <v>38148492000.000122</v>
      </c>
      <c r="DB432">
        <v>-6025292531.1805725</v>
      </c>
      <c r="DC432">
        <v>4.2515169320000004</v>
      </c>
      <c r="DD432">
        <v>4</v>
      </c>
      <c r="DE432">
        <v>5</v>
      </c>
      <c r="DF432">
        <v>25</v>
      </c>
      <c r="DG432">
        <v>0</v>
      </c>
      <c r="DH432">
        <v>0</v>
      </c>
      <c r="DI432">
        <v>0</v>
      </c>
      <c r="DJ432">
        <v>33081000000</v>
      </c>
      <c r="DK432">
        <v>0</v>
      </c>
      <c r="DL432">
        <v>33081000000</v>
      </c>
      <c r="DM432">
        <v>33081000000</v>
      </c>
      <c r="DN432">
        <v>33081000000</v>
      </c>
      <c r="DO432">
        <v>33081000000</v>
      </c>
      <c r="DP432" s="32">
        <f>Tradingbook_SBV[[#This Row],[Mat. Date]]-RPT</f>
        <v>1966</v>
      </c>
      <c r="DQ432" s="32">
        <f>IF(Tradingbook_SBV[[#This Row],[Days]]&lt;=0,0,YEARFRAC(RPT,Tradingbook_SBV[[#This Row],[Mat. Date]],3))</f>
        <v>5.3863013698630136</v>
      </c>
      <c r="DR432" s="32" t="str">
        <f>IF(Tradingbook_SBV[[#This Row],[Days (year)]]=0,0,INDEX(Ref!$K$2:$K$13,MATCH(Tradingbook_SBV[[#This Row],[Days (year)]],Ref!$I$2:$I$13,1)))</f>
        <v>5Y</v>
      </c>
      <c r="DS432" s="32" t="str">
        <f>VLOOKUP(Tradingbook_SBV[[#This Row],[Security Name]],Ref!X:Z,3,0)</f>
        <v>TPCP</v>
      </c>
      <c r="DT432" s="32" t="str">
        <f>VLOOKUP(Tradingbook_SBV[[#This Row],[Security Name]],Ref!X:Y,2,0)</f>
        <v>KBNN</v>
      </c>
      <c r="DU432" s="71">
        <f>IF((Tradingbook_SBV[[#This Row],[Mat. Date]]-RPT)&lt;=0,0,Tradingbook_SBV[[#This Row],[QUANTITY]])</f>
        <v>0</v>
      </c>
      <c r="DV432" s="71">
        <f>IF(Tradingbook_SBV[[#This Row],[Quantity_edited]]=0,0,Tradingbook_SBV[[#This Row],[DURATION]])</f>
        <v>0</v>
      </c>
      <c r="DW432" s="71">
        <f>IF(Tradingbook_SBV[[#This Row],[Quantity_edited]]=0,0,Tradingbook_SBV[[#This Row],[Mod Dur]])</f>
        <v>0</v>
      </c>
      <c r="DX432" s="71">
        <f>IF(Tradingbook_SBV[[#This Row],[Quantity_edited]]=0,0,Tradingbook_SBV[[#This Row],[Cnvx.]])</f>
        <v>0</v>
      </c>
      <c r="DY432" s="71">
        <f>(Tradingbook_SBV[[#This Row],[MARKET_VALUE]]+Tradingbook_SBV[[#This Row],[Accr Int]]*Tradingbook_SBV[[#This Row],[Quantity_edited]])*(-Tradingbook_SBV[[#This Row],[Modified Duration]]*0.0001+0.5*Tradingbook_SBV[[#This Row],[Conv]]*(0.0001^2))</f>
        <v>0</v>
      </c>
      <c r="DZ432" s="71">
        <f>(Tradingbook_SBV[[#This Row],[MARKET_VALUE]]+Tradingbook_SBV[[#This Row],[Accr Int]]*Tradingbook_SBV[[#This Row],[Quantity_edited]])*(-Tradingbook_SBV[[#This Row],[Modified Duration]]*0.01+0.5*Tradingbook_SBV[[#This Row],[Conv]]*(0.01^2))</f>
        <v>0</v>
      </c>
    </row>
    <row r="433" spans="2:130" x14ac:dyDescent="0.3">
      <c r="B433" t="s">
        <v>166</v>
      </c>
      <c r="C433" t="s">
        <v>3300</v>
      </c>
      <c r="D433" t="s">
        <v>3517</v>
      </c>
      <c r="E433" t="s">
        <v>169</v>
      </c>
      <c r="F433" s="502">
        <v>47688</v>
      </c>
      <c r="G433" t="s">
        <v>170</v>
      </c>
      <c r="H433">
        <v>95519</v>
      </c>
      <c r="I433">
        <v>95519</v>
      </c>
      <c r="J433" s="38">
        <v>4000000</v>
      </c>
      <c r="K433">
        <v>400000000000</v>
      </c>
      <c r="L433">
        <v>98277.842999999993</v>
      </c>
      <c r="M433" s="38">
        <v>382076000000</v>
      </c>
      <c r="N433">
        <v>2.7</v>
      </c>
      <c r="O433">
        <v>185</v>
      </c>
      <c r="P433" s="37">
        <v>10800000000</v>
      </c>
      <c r="Q433" s="37">
        <v>10836780000</v>
      </c>
      <c r="R433" s="37">
        <v>-14229447756.250013</v>
      </c>
      <c r="S433">
        <v>3.9519875469999999</v>
      </c>
      <c r="T433" s="70">
        <v>3.6289215514238</v>
      </c>
      <c r="U433">
        <v>3.7723360800000001</v>
      </c>
      <c r="V433">
        <v>16.983423983065201</v>
      </c>
      <c r="W433">
        <v>65015.264355010797</v>
      </c>
      <c r="X433" s="38">
        <v>-138920.923262984</v>
      </c>
      <c r="Y433">
        <v>40652.968000000001</v>
      </c>
      <c r="Z433" s="70">
        <v>528372549.0197103</v>
      </c>
      <c r="AA433" s="70">
        <v>-11035372549.019579</v>
      </c>
      <c r="AB433" s="70">
        <v>-10506999999.999868</v>
      </c>
      <c r="AC433" s="70">
        <v>-10506999999.999868</v>
      </c>
      <c r="AD433" s="70">
        <v>-10507000000</v>
      </c>
      <c r="AE433" s="70">
        <v>-10506999999.999868</v>
      </c>
      <c r="AF433">
        <v>3.1218821210000001</v>
      </c>
      <c r="AG433" s="72">
        <f>Tradingbook_MSB[[#This Row],[Mat. Date]]-RPT</f>
        <v>1436</v>
      </c>
      <c r="AH433" s="71">
        <f>IF(Tradingbook_MSB[[#This Row],[Days]]&lt;=0,0,YEARFRAC(RPT,Tradingbook_MSB[[#This Row],[Mat. Date]],3))</f>
        <v>3.9342465753424656</v>
      </c>
      <c r="AI433" s="71" t="str">
        <f>IF(Tradingbook_MSB[[#This Row],[Days (year)]]=0,0,INDEX(Ref!$K$2:$K$13,MATCH(Tradingbook_MSB[[#This Row],[Days (year)]],Ref!$I$2:$I$13,1)))</f>
        <v>4Y</v>
      </c>
      <c r="AJ433" s="120" t="str">
        <f>VLOOKUP(Tradingbook_MSB[[#This Row],[Security Name]],Ref!X:Z,3,0)</f>
        <v>TPCP</v>
      </c>
      <c r="AK433" s="120" t="str">
        <f>VLOOKUP(Tradingbook_MSB[[#This Row],[Security Name]],Ref!X:Y,2,0)</f>
        <v>KBNN</v>
      </c>
      <c r="AL433" s="71">
        <f>IF((Tradingbook_MSB[[#This Row],[Mat. Date]]-RPT)&lt;=0,0,Tradingbook_MSB[[#This Row],[QUANTITY]])</f>
        <v>4000000</v>
      </c>
      <c r="AM433" s="71">
        <f>IF(Tradingbook_MSB[[#This Row],[Quantity_edited]]=0,0,Tradingbook_MSB[[#This Row],[DURATION]])</f>
        <v>3.7723360800000001</v>
      </c>
      <c r="AN433" s="71">
        <f>IF(Tradingbook_MSB[[#This Row],[Quantity_edited]]=0,0,Tradingbook_MSB[[#This Row],[Mod Dur]])</f>
        <v>3.6289215514238</v>
      </c>
      <c r="AO433" s="71">
        <f>IF(Tradingbook_MSB[[#This Row],[Quantity_edited]]=0,0,Tradingbook_MSB[[#This Row],[Cnvx.]])</f>
        <v>16.983423983065201</v>
      </c>
      <c r="AP433" s="71">
        <f>(Tradingbook_MSB[[#This Row],[MARKET_VALUE]]+Tradingbook_MSB[[#This Row],[Accr Int]]*Tradingbook_MSB[[#This Row],[Quantity_edited]])*(-Tradingbook_MSB[[#This Row],[Modified Duration]]*0.0001+0.5*Tradingbook_MSB[[#This Row],[Conv]]*(0.0001^2))</f>
        <v>-138888415.63080785</v>
      </c>
      <c r="AQ433" s="72">
        <f>(Tradingbook_MSB[[#This Row],[MARKET_VALUE]]+Tradingbook_MSB[[#This Row],[Accr Int]]*Tradingbook_MSB[[#This Row],[Quantity_edited]])*(-Tradingbook_MSB[[#This Row],[Modified Duration]]*0.01+0.5*Tradingbook_MSB[[#This Row],[Conv]]*(0.01^2))</f>
        <v>-13567016004.523479</v>
      </c>
      <c r="CL433" t="s">
        <v>166</v>
      </c>
      <c r="CM433" t="s">
        <v>3300</v>
      </c>
      <c r="CN433" t="s">
        <v>624</v>
      </c>
      <c r="CO433" t="s">
        <v>169</v>
      </c>
      <c r="CP433">
        <v>48252</v>
      </c>
      <c r="CQ433" t="s">
        <v>3322</v>
      </c>
      <c r="CR433" t="s">
        <v>4306</v>
      </c>
      <c r="CS433" t="s">
        <v>4307</v>
      </c>
      <c r="CT433">
        <v>0</v>
      </c>
      <c r="CU433">
        <v>0</v>
      </c>
      <c r="CV433">
        <v>0</v>
      </c>
      <c r="CW433">
        <v>0</v>
      </c>
      <c r="CX433">
        <v>7.6</v>
      </c>
      <c r="CY433">
        <v>3977</v>
      </c>
      <c r="CZ433">
        <v>7600000000</v>
      </c>
      <c r="DA433">
        <v>9316642611.1111755</v>
      </c>
      <c r="DB433">
        <v>-723447452.91671944</v>
      </c>
      <c r="DC433">
        <v>4.7549965380000003</v>
      </c>
      <c r="DD433">
        <v>4</v>
      </c>
      <c r="DE433">
        <v>5</v>
      </c>
      <c r="DF433">
        <v>26</v>
      </c>
      <c r="DG433">
        <v>0</v>
      </c>
      <c r="DH433">
        <v>0</v>
      </c>
      <c r="DI433">
        <v>0</v>
      </c>
      <c r="DJ433">
        <v>4931000000</v>
      </c>
      <c r="DK433">
        <v>0</v>
      </c>
      <c r="DL433">
        <v>4931000000</v>
      </c>
      <c r="DM433">
        <v>4931000000</v>
      </c>
      <c r="DN433">
        <v>4931000000</v>
      </c>
      <c r="DO433">
        <v>4931000000</v>
      </c>
      <c r="DP433" s="32">
        <f>Tradingbook_SBV[[#This Row],[Mat. Date]]-RPT</f>
        <v>2000</v>
      </c>
      <c r="DQ433" s="32">
        <f>IF(Tradingbook_SBV[[#This Row],[Days]]&lt;=0,0,YEARFRAC(RPT,Tradingbook_SBV[[#This Row],[Mat. Date]],3))</f>
        <v>5.4794520547945202</v>
      </c>
      <c r="DR433" s="32" t="str">
        <f>IF(Tradingbook_SBV[[#This Row],[Days (year)]]=0,0,INDEX(Ref!$K$2:$K$13,MATCH(Tradingbook_SBV[[#This Row],[Days (year)]],Ref!$I$2:$I$13,1)))</f>
        <v>5Y</v>
      </c>
      <c r="DS433" s="32" t="str">
        <f>VLOOKUP(Tradingbook_SBV[[#This Row],[Security Name]],Ref!X:Z,3,0)</f>
        <v>TPCPBL</v>
      </c>
      <c r="DT433" s="32" t="str">
        <f>VLOOKUP(Tradingbook_SBV[[#This Row],[Security Name]],Ref!X:Y,2,0)</f>
        <v>VDB</v>
      </c>
      <c r="DU433" s="71">
        <f>IF((Tradingbook_SBV[[#This Row],[Mat. Date]]-RPT)&lt;=0,0,Tradingbook_SBV[[#This Row],[QUANTITY]])</f>
        <v>0</v>
      </c>
      <c r="DV433" s="71">
        <f>IF(Tradingbook_SBV[[#This Row],[Quantity_edited]]=0,0,Tradingbook_SBV[[#This Row],[DURATION]])</f>
        <v>0</v>
      </c>
      <c r="DW433" s="71">
        <f>IF(Tradingbook_SBV[[#This Row],[Quantity_edited]]=0,0,Tradingbook_SBV[[#This Row],[Mod Dur]])</f>
        <v>0</v>
      </c>
      <c r="DX433" s="71">
        <f>IF(Tradingbook_SBV[[#This Row],[Quantity_edited]]=0,0,Tradingbook_SBV[[#This Row],[Cnvx.]])</f>
        <v>0</v>
      </c>
      <c r="DY433" s="71">
        <f>(Tradingbook_SBV[[#This Row],[MARKET_VALUE]]+Tradingbook_SBV[[#This Row],[Accr Int]]*Tradingbook_SBV[[#This Row],[Quantity_edited]])*(-Tradingbook_SBV[[#This Row],[Modified Duration]]*0.0001+0.5*Tradingbook_SBV[[#This Row],[Conv]]*(0.0001^2))</f>
        <v>0</v>
      </c>
      <c r="DZ433" s="71">
        <f>(Tradingbook_SBV[[#This Row],[MARKET_VALUE]]+Tradingbook_SBV[[#This Row],[Accr Int]]*Tradingbook_SBV[[#This Row],[Quantity_edited]])*(-Tradingbook_SBV[[#This Row],[Modified Duration]]*0.01+0.5*Tradingbook_SBV[[#This Row],[Conv]]*(0.01^2))</f>
        <v>0</v>
      </c>
    </row>
    <row r="434" spans="2:130" x14ac:dyDescent="0.3">
      <c r="B434" t="s">
        <v>166</v>
      </c>
      <c r="C434" t="s">
        <v>3300</v>
      </c>
      <c r="D434" t="s">
        <v>628</v>
      </c>
      <c r="E434" t="s">
        <v>169</v>
      </c>
      <c r="F434" s="502">
        <v>47722</v>
      </c>
      <c r="G434" t="s">
        <v>3322</v>
      </c>
      <c r="H434">
        <v>96066</v>
      </c>
      <c r="I434">
        <v>96066</v>
      </c>
      <c r="J434" s="38">
        <v>0</v>
      </c>
      <c r="K434">
        <v>0</v>
      </c>
      <c r="L434">
        <v>0</v>
      </c>
      <c r="M434" s="38">
        <v>0</v>
      </c>
      <c r="N434">
        <v>2.9</v>
      </c>
      <c r="O434">
        <v>2828</v>
      </c>
      <c r="P434" s="37">
        <v>50750000000</v>
      </c>
      <c r="Q434" s="37">
        <v>58208623381.944176</v>
      </c>
      <c r="R434" s="37">
        <v>-40239244244.783066</v>
      </c>
      <c r="S434">
        <v>3.976814048</v>
      </c>
      <c r="T434" s="70">
        <v>3.5995413347162</v>
      </c>
      <c r="U434">
        <v>3.7426884</v>
      </c>
      <c r="V434">
        <v>17.1375138549027</v>
      </c>
      <c r="W434">
        <v>0</v>
      </c>
      <c r="X434" s="38">
        <v>0</v>
      </c>
      <c r="Y434">
        <v>0</v>
      </c>
      <c r="Z434" s="70">
        <v>-91763020000</v>
      </c>
      <c r="AA434" s="70">
        <v>0</v>
      </c>
      <c r="AB434" s="70">
        <v>-91763020000</v>
      </c>
      <c r="AC434" s="70">
        <v>-91763020000</v>
      </c>
      <c r="AD434" s="70">
        <v>-91763020000</v>
      </c>
      <c r="AE434" s="70">
        <v>-91763020000</v>
      </c>
      <c r="AF434">
        <v>0</v>
      </c>
      <c r="AG434" s="72">
        <f>Tradingbook_MSB[[#This Row],[Mat. Date]]-RPT</f>
        <v>1470</v>
      </c>
      <c r="AH434" s="71">
        <f>IF(Tradingbook_MSB[[#This Row],[Days]]&lt;=0,0,YEARFRAC(RPT,Tradingbook_MSB[[#This Row],[Mat. Date]],3))</f>
        <v>4.0273972602739727</v>
      </c>
      <c r="AI434" s="71" t="str">
        <f>IF(Tradingbook_MSB[[#This Row],[Days (year)]]=0,0,INDEX(Ref!$K$2:$K$13,MATCH(Tradingbook_MSB[[#This Row],[Days (year)]],Ref!$I$2:$I$13,1)))</f>
        <v>4Y</v>
      </c>
      <c r="AJ434" s="120" t="str">
        <f>VLOOKUP(Tradingbook_MSB[[#This Row],[Security Name]],Ref!X:Z,3,0)</f>
        <v>TPCP</v>
      </c>
      <c r="AK434" s="120" t="str">
        <f>VLOOKUP(Tradingbook_MSB[[#This Row],[Security Name]],Ref!X:Y,2,0)</f>
        <v>KBNN</v>
      </c>
      <c r="AL434" s="71">
        <f>IF((Tradingbook_MSB[[#This Row],[Mat. Date]]-RPT)&lt;=0,0,Tradingbook_MSB[[#This Row],[QUANTITY]])</f>
        <v>0</v>
      </c>
      <c r="AM434" s="71">
        <f>IF(Tradingbook_MSB[[#This Row],[Quantity_edited]]=0,0,Tradingbook_MSB[[#This Row],[DURATION]])</f>
        <v>0</v>
      </c>
      <c r="AN434" s="71">
        <f>IF(Tradingbook_MSB[[#This Row],[Quantity_edited]]=0,0,Tradingbook_MSB[[#This Row],[Mod Dur]])</f>
        <v>0</v>
      </c>
      <c r="AO434" s="71">
        <f>IF(Tradingbook_MSB[[#This Row],[Quantity_edited]]=0,0,Tradingbook_MSB[[#This Row],[Cnvx.]])</f>
        <v>0</v>
      </c>
      <c r="AP434" s="71">
        <f>(Tradingbook_MSB[[#This Row],[MARKET_VALUE]]+Tradingbook_MSB[[#This Row],[Accr Int]]*Tradingbook_MSB[[#This Row],[Quantity_edited]])*(-Tradingbook_MSB[[#This Row],[Modified Duration]]*0.0001+0.5*Tradingbook_MSB[[#This Row],[Conv]]*(0.0001^2))</f>
        <v>0</v>
      </c>
      <c r="AQ434" s="72">
        <f>(Tradingbook_MSB[[#This Row],[MARKET_VALUE]]+Tradingbook_MSB[[#This Row],[Accr Int]]*Tradingbook_MSB[[#This Row],[Quantity_edited]])*(-Tradingbook_MSB[[#This Row],[Modified Duration]]*0.01+0.5*Tradingbook_MSB[[#This Row],[Conv]]*(0.01^2))</f>
        <v>0</v>
      </c>
      <c r="CL434" t="s">
        <v>166</v>
      </c>
      <c r="CM434" t="s">
        <v>3300</v>
      </c>
      <c r="CN434" t="s">
        <v>625</v>
      </c>
      <c r="CO434" t="s">
        <v>169</v>
      </c>
      <c r="CP434">
        <v>48258</v>
      </c>
      <c r="CQ434" t="s">
        <v>3322</v>
      </c>
      <c r="CR434" t="s">
        <v>4308</v>
      </c>
      <c r="CS434" t="s">
        <v>4309</v>
      </c>
      <c r="CT434">
        <v>0</v>
      </c>
      <c r="CU434">
        <v>0</v>
      </c>
      <c r="CV434">
        <v>0</v>
      </c>
      <c r="CW434">
        <v>0</v>
      </c>
      <c r="CX434">
        <v>7.6</v>
      </c>
      <c r="CY434">
        <v>3852</v>
      </c>
      <c r="CZ434">
        <v>43244000000</v>
      </c>
      <c r="DA434">
        <v>52988092440.555679</v>
      </c>
      <c r="DB434">
        <v>-6867233083.2976217</v>
      </c>
      <c r="DC434">
        <v>4.7554636180000003</v>
      </c>
      <c r="DD434">
        <v>4</v>
      </c>
      <c r="DE434">
        <v>5</v>
      </c>
      <c r="DF434">
        <v>26</v>
      </c>
      <c r="DG434">
        <v>0</v>
      </c>
      <c r="DH434">
        <v>0</v>
      </c>
      <c r="DI434">
        <v>0</v>
      </c>
      <c r="DJ434">
        <v>5542610000</v>
      </c>
      <c r="DK434">
        <v>0</v>
      </c>
      <c r="DL434">
        <v>5542610000</v>
      </c>
      <c r="DM434">
        <v>5542610000</v>
      </c>
      <c r="DN434">
        <v>5542610000</v>
      </c>
      <c r="DO434">
        <v>5542610000</v>
      </c>
      <c r="DP434" s="32">
        <f>Tradingbook_SBV[[#This Row],[Mat. Date]]-RPT</f>
        <v>2006</v>
      </c>
      <c r="DQ434" s="32">
        <f>IF(Tradingbook_SBV[[#This Row],[Days]]&lt;=0,0,YEARFRAC(RPT,Tradingbook_SBV[[#This Row],[Mat. Date]],3))</f>
        <v>5.4958904109589044</v>
      </c>
      <c r="DR434" s="32" t="str">
        <f>IF(Tradingbook_SBV[[#This Row],[Days (year)]]=0,0,INDEX(Ref!$K$2:$K$13,MATCH(Tradingbook_SBV[[#This Row],[Days (year)]],Ref!$I$2:$I$13,1)))</f>
        <v>5Y</v>
      </c>
      <c r="DS434" s="32" t="str">
        <f>VLOOKUP(Tradingbook_SBV[[#This Row],[Security Name]],Ref!X:Z,3,0)</f>
        <v>TPCPBL</v>
      </c>
      <c r="DT434" s="32" t="str">
        <f>VLOOKUP(Tradingbook_SBV[[#This Row],[Security Name]],Ref!X:Y,2,0)</f>
        <v>VDB</v>
      </c>
      <c r="DU434" s="71">
        <f>IF((Tradingbook_SBV[[#This Row],[Mat. Date]]-RPT)&lt;=0,0,Tradingbook_SBV[[#This Row],[QUANTITY]])</f>
        <v>0</v>
      </c>
      <c r="DV434" s="71">
        <f>IF(Tradingbook_SBV[[#This Row],[Quantity_edited]]=0,0,Tradingbook_SBV[[#This Row],[DURATION]])</f>
        <v>0</v>
      </c>
      <c r="DW434" s="71">
        <f>IF(Tradingbook_SBV[[#This Row],[Quantity_edited]]=0,0,Tradingbook_SBV[[#This Row],[Mod Dur]])</f>
        <v>0</v>
      </c>
      <c r="DX434" s="71">
        <f>IF(Tradingbook_SBV[[#This Row],[Quantity_edited]]=0,0,Tradingbook_SBV[[#This Row],[Cnvx.]])</f>
        <v>0</v>
      </c>
      <c r="DY434" s="71">
        <f>(Tradingbook_SBV[[#This Row],[MARKET_VALUE]]+Tradingbook_SBV[[#This Row],[Accr Int]]*Tradingbook_SBV[[#This Row],[Quantity_edited]])*(-Tradingbook_SBV[[#This Row],[Modified Duration]]*0.0001+0.5*Tradingbook_SBV[[#This Row],[Conv]]*(0.0001^2))</f>
        <v>0</v>
      </c>
      <c r="DZ434" s="71">
        <f>(Tradingbook_SBV[[#This Row],[MARKET_VALUE]]+Tradingbook_SBV[[#This Row],[Accr Int]]*Tradingbook_SBV[[#This Row],[Quantity_edited]])*(-Tradingbook_SBV[[#This Row],[Modified Duration]]*0.01+0.5*Tradingbook_SBV[[#This Row],[Conv]]*(0.01^2))</f>
        <v>0</v>
      </c>
    </row>
    <row r="435" spans="2:130" x14ac:dyDescent="0.3">
      <c r="B435" t="s">
        <v>166</v>
      </c>
      <c r="C435" t="s">
        <v>3300</v>
      </c>
      <c r="D435" t="s">
        <v>629</v>
      </c>
      <c r="E435" t="s">
        <v>169</v>
      </c>
      <c r="F435" s="502">
        <v>47729</v>
      </c>
      <c r="G435" t="s">
        <v>3322</v>
      </c>
      <c r="H435">
        <v>96029</v>
      </c>
      <c r="I435">
        <v>96029</v>
      </c>
      <c r="J435" s="38">
        <v>0</v>
      </c>
      <c r="K435">
        <v>0</v>
      </c>
      <c r="L435">
        <v>0</v>
      </c>
      <c r="M435" s="38">
        <v>0</v>
      </c>
      <c r="N435">
        <v>2.9</v>
      </c>
      <c r="O435">
        <v>2773</v>
      </c>
      <c r="P435" s="37">
        <v>33350000000</v>
      </c>
      <c r="Q435" s="37">
        <v>38209473409.722115</v>
      </c>
      <c r="R435" s="37">
        <v>-31137775504.629578</v>
      </c>
      <c r="S435">
        <v>3.9818672839999998</v>
      </c>
      <c r="T435" s="70">
        <v>3.6177737561919998</v>
      </c>
      <c r="U435">
        <v>3.7618287100000001</v>
      </c>
      <c r="V435">
        <v>17.286497933175099</v>
      </c>
      <c r="W435">
        <v>0</v>
      </c>
      <c r="X435" s="38">
        <v>0</v>
      </c>
      <c r="Y435">
        <v>0</v>
      </c>
      <c r="Z435" s="70">
        <v>-91809390000</v>
      </c>
      <c r="AA435" s="70">
        <v>0</v>
      </c>
      <c r="AB435" s="70">
        <v>-91809390000</v>
      </c>
      <c r="AC435" s="70">
        <v>-91809390000</v>
      </c>
      <c r="AD435" s="70">
        <v>-91809390000</v>
      </c>
      <c r="AE435" s="70">
        <v>-91809390000</v>
      </c>
      <c r="AF435">
        <v>0</v>
      </c>
      <c r="AG435" s="72">
        <f>Tradingbook_MSB[[#This Row],[Mat. Date]]-RPT</f>
        <v>1477</v>
      </c>
      <c r="AH435" s="71">
        <f>IF(Tradingbook_MSB[[#This Row],[Days]]&lt;=0,0,YEARFRAC(RPT,Tradingbook_MSB[[#This Row],[Mat. Date]],3))</f>
        <v>4.0465753424657533</v>
      </c>
      <c r="AI435" s="71" t="str">
        <f>IF(Tradingbook_MSB[[#This Row],[Days (year)]]=0,0,INDEX(Ref!$K$2:$K$13,MATCH(Tradingbook_MSB[[#This Row],[Days (year)]],Ref!$I$2:$I$13,1)))</f>
        <v>4Y</v>
      </c>
      <c r="AJ435" s="120" t="str">
        <f>VLOOKUP(Tradingbook_MSB[[#This Row],[Security Name]],Ref!X:Z,3,0)</f>
        <v>TPCP</v>
      </c>
      <c r="AK435" s="120" t="str">
        <f>VLOOKUP(Tradingbook_MSB[[#This Row],[Security Name]],Ref!X:Y,2,0)</f>
        <v>KBNN</v>
      </c>
      <c r="AL435" s="71">
        <f>IF((Tradingbook_MSB[[#This Row],[Mat. Date]]-RPT)&lt;=0,0,Tradingbook_MSB[[#This Row],[QUANTITY]])</f>
        <v>0</v>
      </c>
      <c r="AM435" s="71">
        <f>IF(Tradingbook_MSB[[#This Row],[Quantity_edited]]=0,0,Tradingbook_MSB[[#This Row],[DURATION]])</f>
        <v>0</v>
      </c>
      <c r="AN435" s="71">
        <f>IF(Tradingbook_MSB[[#This Row],[Quantity_edited]]=0,0,Tradingbook_MSB[[#This Row],[Mod Dur]])</f>
        <v>0</v>
      </c>
      <c r="AO435" s="71">
        <f>IF(Tradingbook_MSB[[#This Row],[Quantity_edited]]=0,0,Tradingbook_MSB[[#This Row],[Cnvx.]])</f>
        <v>0</v>
      </c>
      <c r="AP435" s="71">
        <f>(Tradingbook_MSB[[#This Row],[MARKET_VALUE]]+Tradingbook_MSB[[#This Row],[Accr Int]]*Tradingbook_MSB[[#This Row],[Quantity_edited]])*(-Tradingbook_MSB[[#This Row],[Modified Duration]]*0.0001+0.5*Tradingbook_MSB[[#This Row],[Conv]]*(0.0001^2))</f>
        <v>0</v>
      </c>
      <c r="AQ435" s="72">
        <f>(Tradingbook_MSB[[#This Row],[MARKET_VALUE]]+Tradingbook_MSB[[#This Row],[Accr Int]]*Tradingbook_MSB[[#This Row],[Quantity_edited]])*(-Tradingbook_MSB[[#This Row],[Modified Duration]]*0.01+0.5*Tradingbook_MSB[[#This Row],[Conv]]*(0.01^2))</f>
        <v>0</v>
      </c>
      <c r="CL435" t="s">
        <v>166</v>
      </c>
      <c r="CM435" t="s">
        <v>3300</v>
      </c>
      <c r="CN435" t="s">
        <v>649</v>
      </c>
      <c r="CO435" t="s">
        <v>169</v>
      </c>
      <c r="CP435">
        <v>48287</v>
      </c>
      <c r="CQ435" t="s">
        <v>3322</v>
      </c>
      <c r="CR435" t="s">
        <v>4310</v>
      </c>
      <c r="CS435" t="s">
        <v>4311</v>
      </c>
      <c r="CT435">
        <v>0</v>
      </c>
      <c r="CU435">
        <v>0</v>
      </c>
      <c r="CV435">
        <v>0</v>
      </c>
      <c r="CW435">
        <v>0</v>
      </c>
      <c r="CX435">
        <v>7.5</v>
      </c>
      <c r="CY435">
        <v>3226</v>
      </c>
      <c r="CZ435">
        <v>0</v>
      </c>
      <c r="DA435">
        <v>0</v>
      </c>
      <c r="DB435">
        <v>-2919439.7222175598</v>
      </c>
      <c r="DC435">
        <v>4.7583233370000002</v>
      </c>
      <c r="DD435">
        <v>4</v>
      </c>
      <c r="DE435">
        <v>5</v>
      </c>
      <c r="DF435">
        <v>27</v>
      </c>
      <c r="DG435">
        <v>0</v>
      </c>
      <c r="DH435">
        <v>0</v>
      </c>
      <c r="DI435">
        <v>0</v>
      </c>
      <c r="DJ435">
        <v>-3000000</v>
      </c>
      <c r="DK435">
        <v>0</v>
      </c>
      <c r="DL435">
        <v>-3000000</v>
      </c>
      <c r="DM435">
        <v>-3000000</v>
      </c>
      <c r="DN435">
        <v>-3000000</v>
      </c>
      <c r="DO435">
        <v>-3000000</v>
      </c>
      <c r="DP435" s="32">
        <f>Tradingbook_SBV[[#This Row],[Mat. Date]]-RPT</f>
        <v>2035</v>
      </c>
      <c r="DQ435" s="32">
        <f>IF(Tradingbook_SBV[[#This Row],[Days]]&lt;=0,0,YEARFRAC(RPT,Tradingbook_SBV[[#This Row],[Mat. Date]],3))</f>
        <v>5.5753424657534243</v>
      </c>
      <c r="DR435" s="32" t="str">
        <f>IF(Tradingbook_SBV[[#This Row],[Days (year)]]=0,0,INDEX(Ref!$K$2:$K$13,MATCH(Tradingbook_SBV[[#This Row],[Days (year)]],Ref!$I$2:$I$13,1)))</f>
        <v>7Y</v>
      </c>
      <c r="DS435" s="32" t="str">
        <f>VLOOKUP(Tradingbook_SBV[[#This Row],[Security Name]],Ref!X:Z,3,0)</f>
        <v>TPCPBL</v>
      </c>
      <c r="DT435" s="32" t="str">
        <f>VLOOKUP(Tradingbook_SBV[[#This Row],[Security Name]],Ref!X:Y,2,0)</f>
        <v>VBS</v>
      </c>
      <c r="DU435" s="71">
        <f>IF((Tradingbook_SBV[[#This Row],[Mat. Date]]-RPT)&lt;=0,0,Tradingbook_SBV[[#This Row],[QUANTITY]])</f>
        <v>0</v>
      </c>
      <c r="DV435" s="71">
        <f>IF(Tradingbook_SBV[[#This Row],[Quantity_edited]]=0,0,Tradingbook_SBV[[#This Row],[DURATION]])</f>
        <v>0</v>
      </c>
      <c r="DW435" s="71">
        <f>IF(Tradingbook_SBV[[#This Row],[Quantity_edited]]=0,0,Tradingbook_SBV[[#This Row],[Mod Dur]])</f>
        <v>0</v>
      </c>
      <c r="DX435" s="71">
        <f>IF(Tradingbook_SBV[[#This Row],[Quantity_edited]]=0,0,Tradingbook_SBV[[#This Row],[Cnvx.]])</f>
        <v>0</v>
      </c>
      <c r="DY435" s="71">
        <f>(Tradingbook_SBV[[#This Row],[MARKET_VALUE]]+Tradingbook_SBV[[#This Row],[Accr Int]]*Tradingbook_SBV[[#This Row],[Quantity_edited]])*(-Tradingbook_SBV[[#This Row],[Modified Duration]]*0.0001+0.5*Tradingbook_SBV[[#This Row],[Conv]]*(0.0001^2))</f>
        <v>0</v>
      </c>
      <c r="DZ435" s="71">
        <f>(Tradingbook_SBV[[#This Row],[MARKET_VALUE]]+Tradingbook_SBV[[#This Row],[Accr Int]]*Tradingbook_SBV[[#This Row],[Quantity_edited]])*(-Tradingbook_SBV[[#This Row],[Modified Duration]]*0.01+0.5*Tradingbook_SBV[[#This Row],[Conv]]*(0.01^2))</f>
        <v>0</v>
      </c>
    </row>
    <row r="436" spans="2:130" x14ac:dyDescent="0.3">
      <c r="B436" t="s">
        <v>166</v>
      </c>
      <c r="C436" t="s">
        <v>3300</v>
      </c>
      <c r="D436" t="s">
        <v>630</v>
      </c>
      <c r="E436" t="s">
        <v>169</v>
      </c>
      <c r="F436" s="502">
        <v>47798</v>
      </c>
      <c r="G436" t="s">
        <v>3322</v>
      </c>
      <c r="H436">
        <v>94580</v>
      </c>
      <c r="I436">
        <v>94580</v>
      </c>
      <c r="J436" s="38">
        <v>0</v>
      </c>
      <c r="K436">
        <v>0</v>
      </c>
      <c r="L436">
        <v>0</v>
      </c>
      <c r="M436" s="38">
        <v>0</v>
      </c>
      <c r="N436">
        <v>3.1</v>
      </c>
      <c r="O436">
        <v>2378</v>
      </c>
      <c r="P436" s="37">
        <v>0</v>
      </c>
      <c r="Q436" s="37">
        <v>2.3E-5</v>
      </c>
      <c r="R436" s="37">
        <v>-136964785.83335495</v>
      </c>
      <c r="S436">
        <v>4.5326903710000002</v>
      </c>
      <c r="T436" s="70">
        <v>3.7594562918561998</v>
      </c>
      <c r="U436">
        <v>3.9298608100000001</v>
      </c>
      <c r="V436">
        <v>18.4899718958523</v>
      </c>
      <c r="W436">
        <v>0</v>
      </c>
      <c r="X436" s="38">
        <v>0</v>
      </c>
      <c r="Y436">
        <v>0</v>
      </c>
      <c r="Z436" s="70">
        <v>-2652000000</v>
      </c>
      <c r="AA436" s="70">
        <v>0</v>
      </c>
      <c r="AB436" s="70">
        <v>-2652000000</v>
      </c>
      <c r="AC436" s="70">
        <v>-2652000000</v>
      </c>
      <c r="AD436" s="70">
        <v>-2652000000</v>
      </c>
      <c r="AE436" s="70">
        <v>-2652000000</v>
      </c>
      <c r="AF436">
        <v>0</v>
      </c>
      <c r="AG436" s="72">
        <f>Tradingbook_MSB[[#This Row],[Mat. Date]]-RPT</f>
        <v>1546</v>
      </c>
      <c r="AH436" s="71">
        <f>IF(Tradingbook_MSB[[#This Row],[Days]]&lt;=0,0,YEARFRAC(RPT,Tradingbook_MSB[[#This Row],[Mat. Date]],3))</f>
        <v>4.2356164383561641</v>
      </c>
      <c r="AI436" s="71" t="str">
        <f>IF(Tradingbook_MSB[[#This Row],[Days (year)]]=0,0,INDEX(Ref!$K$2:$K$13,MATCH(Tradingbook_MSB[[#This Row],[Days (year)]],Ref!$I$2:$I$13,1)))</f>
        <v>4Y</v>
      </c>
      <c r="AJ436" s="120" t="str">
        <f>VLOOKUP(Tradingbook_MSB[[#This Row],[Security Name]],Ref!X:Z,3,0)</f>
        <v>TPCPBL</v>
      </c>
      <c r="AK436" s="120" t="str">
        <f>VLOOKUP(Tradingbook_MSB[[#This Row],[Security Name]],Ref!X:Y,2,0)</f>
        <v>VDB</v>
      </c>
      <c r="AL436" s="71">
        <f>IF((Tradingbook_MSB[[#This Row],[Mat. Date]]-RPT)&lt;=0,0,Tradingbook_MSB[[#This Row],[QUANTITY]])</f>
        <v>0</v>
      </c>
      <c r="AM436" s="71">
        <f>IF(Tradingbook_MSB[[#This Row],[Quantity_edited]]=0,0,Tradingbook_MSB[[#This Row],[DURATION]])</f>
        <v>0</v>
      </c>
      <c r="AN436" s="71">
        <f>IF(Tradingbook_MSB[[#This Row],[Quantity_edited]]=0,0,Tradingbook_MSB[[#This Row],[Mod Dur]])</f>
        <v>0</v>
      </c>
      <c r="AO436" s="71">
        <f>IF(Tradingbook_MSB[[#This Row],[Quantity_edited]]=0,0,Tradingbook_MSB[[#This Row],[Cnvx.]])</f>
        <v>0</v>
      </c>
      <c r="AP436" s="71">
        <f>(Tradingbook_MSB[[#This Row],[MARKET_VALUE]]+Tradingbook_MSB[[#This Row],[Accr Int]]*Tradingbook_MSB[[#This Row],[Quantity_edited]])*(-Tradingbook_MSB[[#This Row],[Modified Duration]]*0.0001+0.5*Tradingbook_MSB[[#This Row],[Conv]]*(0.0001^2))</f>
        <v>0</v>
      </c>
      <c r="AQ436" s="72">
        <f>(Tradingbook_MSB[[#This Row],[MARKET_VALUE]]+Tradingbook_MSB[[#This Row],[Accr Int]]*Tradingbook_MSB[[#This Row],[Quantity_edited]])*(-Tradingbook_MSB[[#This Row],[Modified Duration]]*0.01+0.5*Tradingbook_MSB[[#This Row],[Conv]]*(0.01^2))</f>
        <v>0</v>
      </c>
      <c r="CL436" t="s">
        <v>166</v>
      </c>
      <c r="CM436" t="s">
        <v>3300</v>
      </c>
      <c r="CN436" t="s">
        <v>650</v>
      </c>
      <c r="CO436" t="s">
        <v>169</v>
      </c>
      <c r="CP436">
        <v>48289</v>
      </c>
      <c r="CQ436" t="s">
        <v>3322</v>
      </c>
      <c r="CR436" t="s">
        <v>4312</v>
      </c>
      <c r="CS436" t="s">
        <v>4313</v>
      </c>
      <c r="CT436">
        <v>0</v>
      </c>
      <c r="CU436">
        <v>0</v>
      </c>
      <c r="CV436">
        <v>0</v>
      </c>
      <c r="CW436">
        <v>0</v>
      </c>
      <c r="CX436">
        <v>6.9</v>
      </c>
      <c r="CY436">
        <v>2930</v>
      </c>
      <c r="CZ436">
        <v>24150000000</v>
      </c>
      <c r="DA436">
        <v>29328354166.666656</v>
      </c>
      <c r="DB436">
        <v>-7494800656.8056164</v>
      </c>
      <c r="DC436">
        <v>4.2585767849999998</v>
      </c>
      <c r="DD436">
        <v>5</v>
      </c>
      <c r="DE436">
        <v>5</v>
      </c>
      <c r="DF436">
        <v>27</v>
      </c>
      <c r="DG436">
        <v>0</v>
      </c>
      <c r="DH436">
        <v>0</v>
      </c>
      <c r="DI436">
        <v>0</v>
      </c>
      <c r="DJ436">
        <v>-10414500000</v>
      </c>
      <c r="DK436">
        <v>0</v>
      </c>
      <c r="DL436">
        <v>-10414500000</v>
      </c>
      <c r="DM436">
        <v>-10414500000</v>
      </c>
      <c r="DN436">
        <v>-10414500000</v>
      </c>
      <c r="DO436">
        <v>-10414500000</v>
      </c>
      <c r="DP436" s="32">
        <f>Tradingbook_SBV[[#This Row],[Mat. Date]]-RPT</f>
        <v>2037</v>
      </c>
      <c r="DQ436" s="32">
        <f>IF(Tradingbook_SBV[[#This Row],[Days]]&lt;=0,0,YEARFRAC(RPT,Tradingbook_SBV[[#This Row],[Mat. Date]],3))</f>
        <v>5.580821917808219</v>
      </c>
      <c r="DR436" s="32" t="str">
        <f>IF(Tradingbook_SBV[[#This Row],[Days (year)]]=0,0,INDEX(Ref!$K$2:$K$13,MATCH(Tradingbook_SBV[[#This Row],[Days (year)]],Ref!$I$2:$I$13,1)))</f>
        <v>7Y</v>
      </c>
      <c r="DS436" s="32" t="str">
        <f>VLOOKUP(Tradingbook_SBV[[#This Row],[Security Name]],Ref!X:Z,3,0)</f>
        <v>TPCP</v>
      </c>
      <c r="DT436" s="32" t="str">
        <f>VLOOKUP(Tradingbook_SBV[[#This Row],[Security Name]],Ref!X:Y,2,0)</f>
        <v>KBNN</v>
      </c>
      <c r="DU436" s="71">
        <f>IF((Tradingbook_SBV[[#This Row],[Mat. Date]]-RPT)&lt;=0,0,Tradingbook_SBV[[#This Row],[QUANTITY]])</f>
        <v>0</v>
      </c>
      <c r="DV436" s="71">
        <f>IF(Tradingbook_SBV[[#This Row],[Quantity_edited]]=0,0,Tradingbook_SBV[[#This Row],[DURATION]])</f>
        <v>0</v>
      </c>
      <c r="DW436" s="71">
        <f>IF(Tradingbook_SBV[[#This Row],[Quantity_edited]]=0,0,Tradingbook_SBV[[#This Row],[Mod Dur]])</f>
        <v>0</v>
      </c>
      <c r="DX436" s="71">
        <f>IF(Tradingbook_SBV[[#This Row],[Quantity_edited]]=0,0,Tradingbook_SBV[[#This Row],[Cnvx.]])</f>
        <v>0</v>
      </c>
      <c r="DY436" s="71">
        <f>(Tradingbook_SBV[[#This Row],[MARKET_VALUE]]+Tradingbook_SBV[[#This Row],[Accr Int]]*Tradingbook_SBV[[#This Row],[Quantity_edited]])*(-Tradingbook_SBV[[#This Row],[Modified Duration]]*0.0001+0.5*Tradingbook_SBV[[#This Row],[Conv]]*(0.0001^2))</f>
        <v>0</v>
      </c>
      <c r="DZ436" s="71">
        <f>(Tradingbook_SBV[[#This Row],[MARKET_VALUE]]+Tradingbook_SBV[[#This Row],[Accr Int]]*Tradingbook_SBV[[#This Row],[Quantity_edited]])*(-Tradingbook_SBV[[#This Row],[Modified Duration]]*0.01+0.5*Tradingbook_SBV[[#This Row],[Conv]]*(0.01^2))</f>
        <v>0</v>
      </c>
    </row>
    <row r="437" spans="2:130" x14ac:dyDescent="0.3">
      <c r="B437" t="s">
        <v>166</v>
      </c>
      <c r="C437" t="s">
        <v>3300</v>
      </c>
      <c r="D437" t="s">
        <v>631</v>
      </c>
      <c r="E437" t="s">
        <v>169</v>
      </c>
      <c r="F437" s="502">
        <v>47799</v>
      </c>
      <c r="G437" t="s">
        <v>3322</v>
      </c>
      <c r="H437">
        <v>94129</v>
      </c>
      <c r="I437">
        <v>94129</v>
      </c>
      <c r="J437" s="38">
        <v>0</v>
      </c>
      <c r="K437">
        <v>0</v>
      </c>
      <c r="L437">
        <v>0</v>
      </c>
      <c r="M437" s="38">
        <v>0</v>
      </c>
      <c r="N437">
        <v>2.5</v>
      </c>
      <c r="O437">
        <v>1911</v>
      </c>
      <c r="P437" s="37">
        <v>11250000000</v>
      </c>
      <c r="Q437" s="37">
        <v>12896164583.333267</v>
      </c>
      <c r="R437" s="37">
        <v>-15674090289.282734</v>
      </c>
      <c r="S437">
        <v>4.0332223730000001</v>
      </c>
      <c r="T437" s="70">
        <v>3.8329371021324001</v>
      </c>
      <c r="U437">
        <v>3.9875279799999999</v>
      </c>
      <c r="V437">
        <v>19.0155082047246</v>
      </c>
      <c r="W437">
        <v>0</v>
      </c>
      <c r="X437" s="38">
        <v>0</v>
      </c>
      <c r="Y437">
        <v>0</v>
      </c>
      <c r="Z437" s="70">
        <v>-56483010000</v>
      </c>
      <c r="AA437" s="70">
        <v>0</v>
      </c>
      <c r="AB437" s="70">
        <v>-56483010000</v>
      </c>
      <c r="AC437" s="70">
        <v>-56483010000</v>
      </c>
      <c r="AD437" s="70">
        <v>-56483010000</v>
      </c>
      <c r="AE437" s="70">
        <v>-56483010000</v>
      </c>
      <c r="AF437">
        <v>0</v>
      </c>
      <c r="AG437" s="72">
        <f>Tradingbook_MSB[[#This Row],[Mat. Date]]-RPT</f>
        <v>1547</v>
      </c>
      <c r="AH437" s="71">
        <f>IF(Tradingbook_MSB[[#This Row],[Days]]&lt;=0,0,YEARFRAC(RPT,Tradingbook_MSB[[#This Row],[Mat. Date]],3))</f>
        <v>4.2383561643835614</v>
      </c>
      <c r="AI437" s="71" t="str">
        <f>IF(Tradingbook_MSB[[#This Row],[Days (year)]]=0,0,INDEX(Ref!$K$2:$K$13,MATCH(Tradingbook_MSB[[#This Row],[Days (year)]],Ref!$I$2:$I$13,1)))</f>
        <v>4Y</v>
      </c>
      <c r="AJ437" s="120" t="str">
        <f>VLOOKUP(Tradingbook_MSB[[#This Row],[Security Name]],Ref!X:Z,3,0)</f>
        <v>TPCP</v>
      </c>
      <c r="AK437" s="120" t="str">
        <f>VLOOKUP(Tradingbook_MSB[[#This Row],[Security Name]],Ref!X:Y,2,0)</f>
        <v>KBNN</v>
      </c>
      <c r="AL437" s="71">
        <f>IF((Tradingbook_MSB[[#This Row],[Mat. Date]]-RPT)&lt;=0,0,Tradingbook_MSB[[#This Row],[QUANTITY]])</f>
        <v>0</v>
      </c>
      <c r="AM437" s="71">
        <f>IF(Tradingbook_MSB[[#This Row],[Quantity_edited]]=0,0,Tradingbook_MSB[[#This Row],[DURATION]])</f>
        <v>0</v>
      </c>
      <c r="AN437" s="71">
        <f>IF(Tradingbook_MSB[[#This Row],[Quantity_edited]]=0,0,Tradingbook_MSB[[#This Row],[Mod Dur]])</f>
        <v>0</v>
      </c>
      <c r="AO437" s="71">
        <f>IF(Tradingbook_MSB[[#This Row],[Quantity_edited]]=0,0,Tradingbook_MSB[[#This Row],[Cnvx.]])</f>
        <v>0</v>
      </c>
      <c r="AP437" s="71">
        <f>(Tradingbook_MSB[[#This Row],[MARKET_VALUE]]+Tradingbook_MSB[[#This Row],[Accr Int]]*Tradingbook_MSB[[#This Row],[Quantity_edited]])*(-Tradingbook_MSB[[#This Row],[Modified Duration]]*0.0001+0.5*Tradingbook_MSB[[#This Row],[Conv]]*(0.0001^2))</f>
        <v>0</v>
      </c>
      <c r="AQ437" s="72">
        <f>(Tradingbook_MSB[[#This Row],[MARKET_VALUE]]+Tradingbook_MSB[[#This Row],[Accr Int]]*Tradingbook_MSB[[#This Row],[Quantity_edited]])*(-Tradingbook_MSB[[#This Row],[Modified Duration]]*0.01+0.5*Tradingbook_MSB[[#This Row],[Conv]]*(0.01^2))</f>
        <v>0</v>
      </c>
      <c r="CL437" t="s">
        <v>166</v>
      </c>
      <c r="CM437" t="s">
        <v>3300</v>
      </c>
      <c r="CN437" t="s">
        <v>651</v>
      </c>
      <c r="CO437" t="s">
        <v>169</v>
      </c>
      <c r="CP437">
        <v>48331</v>
      </c>
      <c r="CQ437" t="s">
        <v>3322</v>
      </c>
      <c r="CR437" t="s">
        <v>4314</v>
      </c>
      <c r="CS437" t="s">
        <v>4315</v>
      </c>
      <c r="CT437">
        <v>0</v>
      </c>
      <c r="CU437">
        <v>0</v>
      </c>
      <c r="CV437">
        <v>0</v>
      </c>
      <c r="CW437">
        <v>0</v>
      </c>
      <c r="CX437">
        <v>6.7</v>
      </c>
      <c r="CY437">
        <v>2074</v>
      </c>
      <c r="CZ437">
        <v>6700000000</v>
      </c>
      <c r="DA437">
        <v>8191273902.7777557</v>
      </c>
      <c r="DB437">
        <v>-2743658350.9083195</v>
      </c>
      <c r="DC437">
        <v>4.2626265339999998</v>
      </c>
      <c r="DD437">
        <v>5</v>
      </c>
      <c r="DE437">
        <v>5</v>
      </c>
      <c r="DF437">
        <v>29</v>
      </c>
      <c r="DG437">
        <v>0</v>
      </c>
      <c r="DH437">
        <v>0</v>
      </c>
      <c r="DI437">
        <v>0</v>
      </c>
      <c r="DJ437">
        <v>-5691220000</v>
      </c>
      <c r="DK437">
        <v>0</v>
      </c>
      <c r="DL437">
        <v>-5691220000</v>
      </c>
      <c r="DM437">
        <v>-5691220000</v>
      </c>
      <c r="DN437">
        <v>-5691220000</v>
      </c>
      <c r="DO437">
        <v>-5691220000</v>
      </c>
      <c r="DP437" s="32">
        <f>Tradingbook_SBV[[#This Row],[Mat. Date]]-RPT</f>
        <v>2079</v>
      </c>
      <c r="DQ437" s="32">
        <f>IF(Tradingbook_SBV[[#This Row],[Days]]&lt;=0,0,YEARFRAC(RPT,Tradingbook_SBV[[#This Row],[Mat. Date]],3))</f>
        <v>5.6958904109589037</v>
      </c>
      <c r="DR437" s="32" t="str">
        <f>IF(Tradingbook_SBV[[#This Row],[Days (year)]]=0,0,INDEX(Ref!$K$2:$K$13,MATCH(Tradingbook_SBV[[#This Row],[Days (year)]],Ref!$I$2:$I$13,1)))</f>
        <v>7Y</v>
      </c>
      <c r="DS437" s="32" t="str">
        <f>VLOOKUP(Tradingbook_SBV[[#This Row],[Security Name]],Ref!X:Z,3,0)</f>
        <v>TPCP</v>
      </c>
      <c r="DT437" s="32" t="str">
        <f>VLOOKUP(Tradingbook_SBV[[#This Row],[Security Name]],Ref!X:Y,2,0)</f>
        <v>KBNN</v>
      </c>
      <c r="DU437" s="71">
        <f>IF((Tradingbook_SBV[[#This Row],[Mat. Date]]-RPT)&lt;=0,0,Tradingbook_SBV[[#This Row],[QUANTITY]])</f>
        <v>0</v>
      </c>
      <c r="DV437" s="71">
        <f>IF(Tradingbook_SBV[[#This Row],[Quantity_edited]]=0,0,Tradingbook_SBV[[#This Row],[DURATION]])</f>
        <v>0</v>
      </c>
      <c r="DW437" s="71">
        <f>IF(Tradingbook_SBV[[#This Row],[Quantity_edited]]=0,0,Tradingbook_SBV[[#This Row],[Mod Dur]])</f>
        <v>0</v>
      </c>
      <c r="DX437" s="71">
        <f>IF(Tradingbook_SBV[[#This Row],[Quantity_edited]]=0,0,Tradingbook_SBV[[#This Row],[Cnvx.]])</f>
        <v>0</v>
      </c>
      <c r="DY437" s="71">
        <f>(Tradingbook_SBV[[#This Row],[MARKET_VALUE]]+Tradingbook_SBV[[#This Row],[Accr Int]]*Tradingbook_SBV[[#This Row],[Quantity_edited]])*(-Tradingbook_SBV[[#This Row],[Modified Duration]]*0.0001+0.5*Tradingbook_SBV[[#This Row],[Conv]]*(0.0001^2))</f>
        <v>0</v>
      </c>
      <c r="DZ437" s="71">
        <f>(Tradingbook_SBV[[#This Row],[MARKET_VALUE]]+Tradingbook_SBV[[#This Row],[Accr Int]]*Tradingbook_SBV[[#This Row],[Quantity_edited]])*(-Tradingbook_SBV[[#This Row],[Modified Duration]]*0.01+0.5*Tradingbook_SBV[[#This Row],[Conv]]*(0.01^2))</f>
        <v>0</v>
      </c>
    </row>
    <row r="438" spans="2:130" x14ac:dyDescent="0.3">
      <c r="B438" t="s">
        <v>166</v>
      </c>
      <c r="C438" t="s">
        <v>3300</v>
      </c>
      <c r="D438" t="s">
        <v>632</v>
      </c>
      <c r="E438" t="s">
        <v>169</v>
      </c>
      <c r="F438" s="502">
        <v>47814</v>
      </c>
      <c r="G438" t="s">
        <v>3322</v>
      </c>
      <c r="H438">
        <v>92963</v>
      </c>
      <c r="I438">
        <v>92963</v>
      </c>
      <c r="J438" s="38">
        <v>0</v>
      </c>
      <c r="K438">
        <v>0</v>
      </c>
      <c r="L438">
        <v>0</v>
      </c>
      <c r="M438" s="38">
        <v>0</v>
      </c>
      <c r="N438">
        <v>2.7</v>
      </c>
      <c r="O438">
        <v>1953</v>
      </c>
      <c r="P438" s="37">
        <v>0</v>
      </c>
      <c r="Q438" s="37">
        <v>0</v>
      </c>
      <c r="R438" s="37">
        <v>17385102.916666031</v>
      </c>
      <c r="S438">
        <v>4.5442897530000002</v>
      </c>
      <c r="T438" s="70">
        <v>3.8334734394144001</v>
      </c>
      <c r="U438">
        <v>4.0076775800000002</v>
      </c>
      <c r="V438">
        <v>19.045390130641302</v>
      </c>
      <c r="W438">
        <v>0</v>
      </c>
      <c r="X438" s="38">
        <v>0</v>
      </c>
      <c r="Y438">
        <v>0</v>
      </c>
      <c r="Z438" s="70">
        <v>1000000</v>
      </c>
      <c r="AA438" s="70">
        <v>0</v>
      </c>
      <c r="AB438" s="70">
        <v>1000000</v>
      </c>
      <c r="AC438" s="70">
        <v>1000000</v>
      </c>
      <c r="AD438" s="70">
        <v>1000000</v>
      </c>
      <c r="AE438" s="70">
        <v>1000000</v>
      </c>
      <c r="AF438">
        <v>0</v>
      </c>
      <c r="AG438" s="72">
        <f>Tradingbook_MSB[[#This Row],[Mat. Date]]-RPT</f>
        <v>1562</v>
      </c>
      <c r="AH438" s="71">
        <f>IF(Tradingbook_MSB[[#This Row],[Days]]&lt;=0,0,YEARFRAC(RPT,Tradingbook_MSB[[#This Row],[Mat. Date]],3))</f>
        <v>4.279452054794521</v>
      </c>
      <c r="AI438" s="71" t="str">
        <f>IF(Tradingbook_MSB[[#This Row],[Days (year)]]=0,0,INDEX(Ref!$K$2:$K$13,MATCH(Tradingbook_MSB[[#This Row],[Days (year)]],Ref!$I$2:$I$13,1)))</f>
        <v>4Y</v>
      </c>
      <c r="AJ438" s="120" t="str">
        <f>VLOOKUP(Tradingbook_MSB[[#This Row],[Security Name]],Ref!X:Z,3,0)</f>
        <v>TPCPBL</v>
      </c>
      <c r="AK438" s="120" t="str">
        <f>VLOOKUP(Tradingbook_MSB[[#This Row],[Security Name]],Ref!X:Y,2,0)</f>
        <v>VBS</v>
      </c>
      <c r="AL438" s="71">
        <f>IF((Tradingbook_MSB[[#This Row],[Mat. Date]]-RPT)&lt;=0,0,Tradingbook_MSB[[#This Row],[QUANTITY]])</f>
        <v>0</v>
      </c>
      <c r="AM438" s="71">
        <f>IF(Tradingbook_MSB[[#This Row],[Quantity_edited]]=0,0,Tradingbook_MSB[[#This Row],[DURATION]])</f>
        <v>0</v>
      </c>
      <c r="AN438" s="71">
        <f>IF(Tradingbook_MSB[[#This Row],[Quantity_edited]]=0,0,Tradingbook_MSB[[#This Row],[Mod Dur]])</f>
        <v>0</v>
      </c>
      <c r="AO438" s="71">
        <f>IF(Tradingbook_MSB[[#This Row],[Quantity_edited]]=0,0,Tradingbook_MSB[[#This Row],[Cnvx.]])</f>
        <v>0</v>
      </c>
      <c r="AP438" s="71">
        <f>(Tradingbook_MSB[[#This Row],[MARKET_VALUE]]+Tradingbook_MSB[[#This Row],[Accr Int]]*Tradingbook_MSB[[#This Row],[Quantity_edited]])*(-Tradingbook_MSB[[#This Row],[Modified Duration]]*0.0001+0.5*Tradingbook_MSB[[#This Row],[Conv]]*(0.0001^2))</f>
        <v>0</v>
      </c>
      <c r="AQ438" s="72">
        <f>(Tradingbook_MSB[[#This Row],[MARKET_VALUE]]+Tradingbook_MSB[[#This Row],[Accr Int]]*Tradingbook_MSB[[#This Row],[Quantity_edited]])*(-Tradingbook_MSB[[#This Row],[Modified Duration]]*0.01+0.5*Tradingbook_MSB[[#This Row],[Conv]]*(0.01^2))</f>
        <v>0</v>
      </c>
      <c r="CL438" t="s">
        <v>166</v>
      </c>
      <c r="CM438" t="s">
        <v>3300</v>
      </c>
      <c r="CN438" t="s">
        <v>652</v>
      </c>
      <c r="CO438" t="s">
        <v>169</v>
      </c>
      <c r="CP438">
        <v>48338</v>
      </c>
      <c r="CQ438" t="s">
        <v>3322</v>
      </c>
      <c r="CR438" t="s">
        <v>4316</v>
      </c>
      <c r="CS438" t="s">
        <v>4317</v>
      </c>
      <c r="CT438">
        <v>0</v>
      </c>
      <c r="CU438">
        <v>0</v>
      </c>
      <c r="CV438">
        <v>0</v>
      </c>
      <c r="CW438">
        <v>0</v>
      </c>
      <c r="CX438">
        <v>6.7</v>
      </c>
      <c r="CY438">
        <v>1946</v>
      </c>
      <c r="CZ438">
        <v>0</v>
      </c>
      <c r="DA438">
        <v>3.8000000000000002E-5</v>
      </c>
      <c r="DB438">
        <v>770099369.81944466</v>
      </c>
      <c r="DC438">
        <v>4.2633108330000002</v>
      </c>
      <c r="DD438">
        <v>5</v>
      </c>
      <c r="DE438">
        <v>5</v>
      </c>
      <c r="DF438">
        <v>29</v>
      </c>
      <c r="DG438">
        <v>0</v>
      </c>
      <c r="DH438">
        <v>0</v>
      </c>
      <c r="DI438">
        <v>0</v>
      </c>
      <c r="DJ438">
        <v>4127660000</v>
      </c>
      <c r="DK438">
        <v>0</v>
      </c>
      <c r="DL438">
        <v>4127660000</v>
      </c>
      <c r="DM438">
        <v>4127660000</v>
      </c>
      <c r="DN438">
        <v>4127660000</v>
      </c>
      <c r="DO438">
        <v>4127660000</v>
      </c>
      <c r="DP438" s="32">
        <f>Tradingbook_SBV[[#This Row],[Mat. Date]]-RPT</f>
        <v>2086</v>
      </c>
      <c r="DQ438" s="32">
        <f>IF(Tradingbook_SBV[[#This Row],[Days]]&lt;=0,0,YEARFRAC(RPT,Tradingbook_SBV[[#This Row],[Mat. Date]],3))</f>
        <v>5.7150684931506852</v>
      </c>
      <c r="DR438" s="32" t="str">
        <f>IF(Tradingbook_SBV[[#This Row],[Days (year)]]=0,0,INDEX(Ref!$K$2:$K$13,MATCH(Tradingbook_SBV[[#This Row],[Days (year)]],Ref!$I$2:$I$13,1)))</f>
        <v>7Y</v>
      </c>
      <c r="DS438" s="32" t="str">
        <f>VLOOKUP(Tradingbook_SBV[[#This Row],[Security Name]],Ref!X:Z,3,0)</f>
        <v>TPCP</v>
      </c>
      <c r="DT438" s="32" t="str">
        <f>VLOOKUP(Tradingbook_SBV[[#This Row],[Security Name]],Ref!X:Y,2,0)</f>
        <v>KBNN</v>
      </c>
      <c r="DU438" s="71">
        <f>IF((Tradingbook_SBV[[#This Row],[Mat. Date]]-RPT)&lt;=0,0,Tradingbook_SBV[[#This Row],[QUANTITY]])</f>
        <v>0</v>
      </c>
      <c r="DV438" s="71">
        <f>IF(Tradingbook_SBV[[#This Row],[Quantity_edited]]=0,0,Tradingbook_SBV[[#This Row],[DURATION]])</f>
        <v>0</v>
      </c>
      <c r="DW438" s="71">
        <f>IF(Tradingbook_SBV[[#This Row],[Quantity_edited]]=0,0,Tradingbook_SBV[[#This Row],[Mod Dur]])</f>
        <v>0</v>
      </c>
      <c r="DX438" s="71">
        <f>IF(Tradingbook_SBV[[#This Row],[Quantity_edited]]=0,0,Tradingbook_SBV[[#This Row],[Cnvx.]])</f>
        <v>0</v>
      </c>
      <c r="DY438" s="71">
        <f>(Tradingbook_SBV[[#This Row],[MARKET_VALUE]]+Tradingbook_SBV[[#This Row],[Accr Int]]*Tradingbook_SBV[[#This Row],[Quantity_edited]])*(-Tradingbook_SBV[[#This Row],[Modified Duration]]*0.0001+0.5*Tradingbook_SBV[[#This Row],[Conv]]*(0.0001^2))</f>
        <v>0</v>
      </c>
      <c r="DZ438" s="71">
        <f>(Tradingbook_SBV[[#This Row],[MARKET_VALUE]]+Tradingbook_SBV[[#This Row],[Accr Int]]*Tradingbook_SBV[[#This Row],[Quantity_edited]])*(-Tradingbook_SBV[[#This Row],[Modified Duration]]*0.01+0.5*Tradingbook_SBV[[#This Row],[Conv]]*(0.01^2))</f>
        <v>0</v>
      </c>
    </row>
    <row r="439" spans="2:130" x14ac:dyDescent="0.3">
      <c r="B439" t="s">
        <v>166</v>
      </c>
      <c r="C439" t="s">
        <v>3300</v>
      </c>
      <c r="D439" t="s">
        <v>634</v>
      </c>
      <c r="E439" t="s">
        <v>169</v>
      </c>
      <c r="F439" s="502">
        <v>47826</v>
      </c>
      <c r="G439" t="s">
        <v>3322</v>
      </c>
      <c r="H439">
        <v>92881</v>
      </c>
      <c r="I439">
        <v>92881</v>
      </c>
      <c r="J439" s="38">
        <v>0</v>
      </c>
      <c r="K439">
        <v>0</v>
      </c>
      <c r="L439">
        <v>0</v>
      </c>
      <c r="M439" s="38">
        <v>0</v>
      </c>
      <c r="N439">
        <v>2.7</v>
      </c>
      <c r="O439">
        <v>1864</v>
      </c>
      <c r="P439" s="37">
        <v>0</v>
      </c>
      <c r="Q439" s="37">
        <v>-9.9999999999999995E-7</v>
      </c>
      <c r="R439" s="37">
        <v>-1560634.2361135483</v>
      </c>
      <c r="S439">
        <v>4.5531430630000003</v>
      </c>
      <c r="T439" s="70">
        <v>3.8645333372355002</v>
      </c>
      <c r="U439">
        <v>4.0404910699999999</v>
      </c>
      <c r="V439">
        <v>19.313935744379201</v>
      </c>
      <c r="W439">
        <v>0</v>
      </c>
      <c r="X439" s="38">
        <v>0</v>
      </c>
      <c r="Y439">
        <v>0</v>
      </c>
      <c r="Z439" s="70">
        <v>1000000</v>
      </c>
      <c r="AA439" s="70">
        <v>0</v>
      </c>
      <c r="AB439" s="70">
        <v>1000000</v>
      </c>
      <c r="AC439" s="70">
        <v>1000000</v>
      </c>
      <c r="AD439" s="70">
        <v>1000000</v>
      </c>
      <c r="AE439" s="70">
        <v>1000000</v>
      </c>
      <c r="AF439">
        <v>0</v>
      </c>
      <c r="AG439" s="72">
        <f>Tradingbook_MSB[[#This Row],[Mat. Date]]-RPT</f>
        <v>1574</v>
      </c>
      <c r="AH439" s="71">
        <f>IF(Tradingbook_MSB[[#This Row],[Days]]&lt;=0,0,YEARFRAC(RPT,Tradingbook_MSB[[#This Row],[Mat. Date]],3))</f>
        <v>4.3123287671232875</v>
      </c>
      <c r="AI439" s="71" t="str">
        <f>IF(Tradingbook_MSB[[#This Row],[Days (year)]]=0,0,INDEX(Ref!$K$2:$K$13,MATCH(Tradingbook_MSB[[#This Row],[Days (year)]],Ref!$I$2:$I$13,1)))</f>
        <v>4Y</v>
      </c>
      <c r="AJ439" s="120" t="str">
        <f>VLOOKUP(Tradingbook_MSB[[#This Row],[Security Name]],Ref!X:Z,3,0)</f>
        <v>TPCPBL</v>
      </c>
      <c r="AK439" s="120" t="str">
        <f>VLOOKUP(Tradingbook_MSB[[#This Row],[Security Name]],Ref!X:Y,2,0)</f>
        <v>VDB</v>
      </c>
      <c r="AL439" s="71">
        <f>IF((Tradingbook_MSB[[#This Row],[Mat. Date]]-RPT)&lt;=0,0,Tradingbook_MSB[[#This Row],[QUANTITY]])</f>
        <v>0</v>
      </c>
      <c r="AM439" s="71">
        <f>IF(Tradingbook_MSB[[#This Row],[Quantity_edited]]=0,0,Tradingbook_MSB[[#This Row],[DURATION]])</f>
        <v>0</v>
      </c>
      <c r="AN439" s="71">
        <f>IF(Tradingbook_MSB[[#This Row],[Quantity_edited]]=0,0,Tradingbook_MSB[[#This Row],[Mod Dur]])</f>
        <v>0</v>
      </c>
      <c r="AO439" s="71">
        <f>IF(Tradingbook_MSB[[#This Row],[Quantity_edited]]=0,0,Tradingbook_MSB[[#This Row],[Cnvx.]])</f>
        <v>0</v>
      </c>
      <c r="AP439" s="71">
        <f>(Tradingbook_MSB[[#This Row],[MARKET_VALUE]]+Tradingbook_MSB[[#This Row],[Accr Int]]*Tradingbook_MSB[[#This Row],[Quantity_edited]])*(-Tradingbook_MSB[[#This Row],[Modified Duration]]*0.0001+0.5*Tradingbook_MSB[[#This Row],[Conv]]*(0.0001^2))</f>
        <v>0</v>
      </c>
      <c r="AQ439" s="72">
        <f>(Tradingbook_MSB[[#This Row],[MARKET_VALUE]]+Tradingbook_MSB[[#This Row],[Accr Int]]*Tradingbook_MSB[[#This Row],[Quantity_edited]])*(-Tradingbook_MSB[[#This Row],[Modified Duration]]*0.01+0.5*Tradingbook_MSB[[#This Row],[Conv]]*(0.01^2))</f>
        <v>0</v>
      </c>
      <c r="CL439" t="s">
        <v>166</v>
      </c>
      <c r="CM439" t="s">
        <v>3300</v>
      </c>
      <c r="CN439" t="s">
        <v>653</v>
      </c>
      <c r="CO439" t="s">
        <v>169</v>
      </c>
      <c r="CP439">
        <v>48357</v>
      </c>
      <c r="CQ439" t="s">
        <v>3322</v>
      </c>
      <c r="CR439" t="s">
        <v>4318</v>
      </c>
      <c r="CS439" t="s">
        <v>4319</v>
      </c>
      <c r="CT439">
        <v>0</v>
      </c>
      <c r="CU439">
        <v>0</v>
      </c>
      <c r="CV439">
        <v>0</v>
      </c>
      <c r="CW439">
        <v>0</v>
      </c>
      <c r="CX439">
        <v>7.1</v>
      </c>
      <c r="CY439">
        <v>1692</v>
      </c>
      <c r="CZ439">
        <v>0</v>
      </c>
      <c r="DA439">
        <v>0</v>
      </c>
      <c r="DB439">
        <v>-2844140.555557251</v>
      </c>
      <c r="DC439">
        <v>4.7650529349999999</v>
      </c>
      <c r="DD439">
        <v>5</v>
      </c>
      <c r="DE439">
        <v>5</v>
      </c>
      <c r="DF439">
        <v>29</v>
      </c>
      <c r="DG439">
        <v>0</v>
      </c>
      <c r="DH439">
        <v>0</v>
      </c>
      <c r="DI439">
        <v>0</v>
      </c>
      <c r="DJ439">
        <v>-3000000</v>
      </c>
      <c r="DK439">
        <v>0</v>
      </c>
      <c r="DL439">
        <v>-3000000</v>
      </c>
      <c r="DM439">
        <v>-3000000</v>
      </c>
      <c r="DN439">
        <v>-3000000</v>
      </c>
      <c r="DO439">
        <v>-3000000</v>
      </c>
      <c r="DP439" s="32">
        <f>Tradingbook_SBV[[#This Row],[Mat. Date]]-RPT</f>
        <v>2105</v>
      </c>
      <c r="DQ439" s="32">
        <f>IF(Tradingbook_SBV[[#This Row],[Days]]&lt;=0,0,YEARFRAC(RPT,Tradingbook_SBV[[#This Row],[Mat. Date]],3))</f>
        <v>5.7671232876712333</v>
      </c>
      <c r="DR439" s="32" t="str">
        <f>IF(Tradingbook_SBV[[#This Row],[Days (year)]]=0,0,INDEX(Ref!$K$2:$K$13,MATCH(Tradingbook_SBV[[#This Row],[Days (year)]],Ref!$I$2:$I$13,1)))</f>
        <v>7Y</v>
      </c>
      <c r="DS439" s="32" t="str">
        <f>VLOOKUP(Tradingbook_SBV[[#This Row],[Security Name]],Ref!X:Z,3,0)</f>
        <v>TPCPBL</v>
      </c>
      <c r="DT439" s="32" t="str">
        <f>VLOOKUP(Tradingbook_SBV[[#This Row],[Security Name]],Ref!X:Y,2,0)</f>
        <v>VBS</v>
      </c>
      <c r="DU439" s="71">
        <f>IF((Tradingbook_SBV[[#This Row],[Mat. Date]]-RPT)&lt;=0,0,Tradingbook_SBV[[#This Row],[QUANTITY]])</f>
        <v>0</v>
      </c>
      <c r="DV439" s="71">
        <f>IF(Tradingbook_SBV[[#This Row],[Quantity_edited]]=0,0,Tradingbook_SBV[[#This Row],[DURATION]])</f>
        <v>0</v>
      </c>
      <c r="DW439" s="71">
        <f>IF(Tradingbook_SBV[[#This Row],[Quantity_edited]]=0,0,Tradingbook_SBV[[#This Row],[Mod Dur]])</f>
        <v>0</v>
      </c>
      <c r="DX439" s="71">
        <f>IF(Tradingbook_SBV[[#This Row],[Quantity_edited]]=0,0,Tradingbook_SBV[[#This Row],[Cnvx.]])</f>
        <v>0</v>
      </c>
      <c r="DY439" s="71">
        <f>(Tradingbook_SBV[[#This Row],[MARKET_VALUE]]+Tradingbook_SBV[[#This Row],[Accr Int]]*Tradingbook_SBV[[#This Row],[Quantity_edited]])*(-Tradingbook_SBV[[#This Row],[Modified Duration]]*0.0001+0.5*Tradingbook_SBV[[#This Row],[Conv]]*(0.0001^2))</f>
        <v>0</v>
      </c>
      <c r="DZ439" s="71">
        <f>(Tradingbook_SBV[[#This Row],[MARKET_VALUE]]+Tradingbook_SBV[[#This Row],[Accr Int]]*Tradingbook_SBV[[#This Row],[Quantity_edited]])*(-Tradingbook_SBV[[#This Row],[Modified Duration]]*0.01+0.5*Tradingbook_SBV[[#This Row],[Conv]]*(0.01^2))</f>
        <v>0</v>
      </c>
    </row>
    <row r="440" spans="2:130" x14ac:dyDescent="0.3">
      <c r="B440" t="s">
        <v>166</v>
      </c>
      <c r="C440" t="s">
        <v>3300</v>
      </c>
      <c r="D440" t="s">
        <v>635</v>
      </c>
      <c r="E440" t="s">
        <v>169</v>
      </c>
      <c r="F440" s="502">
        <v>47834</v>
      </c>
      <c r="G440" t="s">
        <v>3322</v>
      </c>
      <c r="H440">
        <v>93129</v>
      </c>
      <c r="I440">
        <v>93129</v>
      </c>
      <c r="J440" s="38">
        <v>0</v>
      </c>
      <c r="K440">
        <v>0</v>
      </c>
      <c r="L440">
        <v>0</v>
      </c>
      <c r="M440" s="38">
        <v>0</v>
      </c>
      <c r="N440">
        <v>2.2999999999999998</v>
      </c>
      <c r="O440">
        <v>1538</v>
      </c>
      <c r="P440" s="37">
        <v>2300000000</v>
      </c>
      <c r="Q440" s="37">
        <v>2653232722.2222099</v>
      </c>
      <c r="R440" s="37">
        <v>-4620580315.2498035</v>
      </c>
      <c r="S440">
        <v>4.0589890180000001</v>
      </c>
      <c r="T440" s="70">
        <v>3.9409428213525</v>
      </c>
      <c r="U440">
        <v>4.1009052600000002</v>
      </c>
      <c r="V440">
        <v>19.916398690445099</v>
      </c>
      <c r="W440">
        <v>0</v>
      </c>
      <c r="X440" s="38">
        <v>0</v>
      </c>
      <c r="Y440">
        <v>0</v>
      </c>
      <c r="Z440" s="70">
        <v>-17730400000</v>
      </c>
      <c r="AA440" s="70">
        <v>0</v>
      </c>
      <c r="AB440" s="70">
        <v>-17730400000</v>
      </c>
      <c r="AC440" s="70">
        <v>-17730400000</v>
      </c>
      <c r="AD440" s="70">
        <v>-17730400000</v>
      </c>
      <c r="AE440" s="70">
        <v>-17730400000</v>
      </c>
      <c r="AF440">
        <v>0</v>
      </c>
      <c r="AG440" s="72">
        <f>Tradingbook_MSB[[#This Row],[Mat. Date]]-RPT</f>
        <v>1582</v>
      </c>
      <c r="AH440" s="71">
        <f>IF(Tradingbook_MSB[[#This Row],[Days]]&lt;=0,0,YEARFRAC(RPT,Tradingbook_MSB[[#This Row],[Mat. Date]],3))</f>
        <v>4.3342465753424655</v>
      </c>
      <c r="AI440" s="71" t="str">
        <f>IF(Tradingbook_MSB[[#This Row],[Days (year)]]=0,0,INDEX(Ref!$K$2:$K$13,MATCH(Tradingbook_MSB[[#This Row],[Days (year)]],Ref!$I$2:$I$13,1)))</f>
        <v>4Y</v>
      </c>
      <c r="AJ440" s="120" t="str">
        <f>VLOOKUP(Tradingbook_MSB[[#This Row],[Security Name]],Ref!X:Z,3,0)</f>
        <v>TPCP</v>
      </c>
      <c r="AK440" s="120" t="str">
        <f>VLOOKUP(Tradingbook_MSB[[#This Row],[Security Name]],Ref!X:Y,2,0)</f>
        <v>KBNN</v>
      </c>
      <c r="AL440" s="71">
        <f>IF((Tradingbook_MSB[[#This Row],[Mat. Date]]-RPT)&lt;=0,0,Tradingbook_MSB[[#This Row],[QUANTITY]])</f>
        <v>0</v>
      </c>
      <c r="AM440" s="71">
        <f>IF(Tradingbook_MSB[[#This Row],[Quantity_edited]]=0,0,Tradingbook_MSB[[#This Row],[DURATION]])</f>
        <v>0</v>
      </c>
      <c r="AN440" s="71">
        <f>IF(Tradingbook_MSB[[#This Row],[Quantity_edited]]=0,0,Tradingbook_MSB[[#This Row],[Mod Dur]])</f>
        <v>0</v>
      </c>
      <c r="AO440" s="71">
        <f>IF(Tradingbook_MSB[[#This Row],[Quantity_edited]]=0,0,Tradingbook_MSB[[#This Row],[Cnvx.]])</f>
        <v>0</v>
      </c>
      <c r="AP440" s="71">
        <f>(Tradingbook_MSB[[#This Row],[MARKET_VALUE]]+Tradingbook_MSB[[#This Row],[Accr Int]]*Tradingbook_MSB[[#This Row],[Quantity_edited]])*(-Tradingbook_MSB[[#This Row],[Modified Duration]]*0.0001+0.5*Tradingbook_MSB[[#This Row],[Conv]]*(0.0001^2))</f>
        <v>0</v>
      </c>
      <c r="AQ440" s="72">
        <f>(Tradingbook_MSB[[#This Row],[MARKET_VALUE]]+Tradingbook_MSB[[#This Row],[Accr Int]]*Tradingbook_MSB[[#This Row],[Quantity_edited]])*(-Tradingbook_MSB[[#This Row],[Modified Duration]]*0.01+0.5*Tradingbook_MSB[[#This Row],[Conv]]*(0.01^2))</f>
        <v>0</v>
      </c>
      <c r="CL440" t="s">
        <v>166</v>
      </c>
      <c r="CM440" t="s">
        <v>3300</v>
      </c>
      <c r="CN440" t="s">
        <v>654</v>
      </c>
      <c r="CO440" t="s">
        <v>169</v>
      </c>
      <c r="CP440">
        <v>48364</v>
      </c>
      <c r="CQ440" t="s">
        <v>3322</v>
      </c>
      <c r="CR440" t="s">
        <v>4320</v>
      </c>
      <c r="CS440" t="s">
        <v>4321</v>
      </c>
      <c r="CT440">
        <v>0</v>
      </c>
      <c r="CU440">
        <v>0</v>
      </c>
      <c r="CV440">
        <v>0</v>
      </c>
      <c r="CW440">
        <v>0</v>
      </c>
      <c r="CX440">
        <v>6.9</v>
      </c>
      <c r="CY440">
        <v>1512</v>
      </c>
      <c r="CZ440">
        <v>0</v>
      </c>
      <c r="DA440">
        <v>0</v>
      </c>
      <c r="DB440">
        <v>-2631129.4444465637</v>
      </c>
      <c r="DC440">
        <v>4.7657521689999998</v>
      </c>
      <c r="DD440">
        <v>5</v>
      </c>
      <c r="DE440">
        <v>5</v>
      </c>
      <c r="DF440">
        <v>29</v>
      </c>
      <c r="DG440">
        <v>0</v>
      </c>
      <c r="DH440">
        <v>0</v>
      </c>
      <c r="DI440">
        <v>0</v>
      </c>
      <c r="DJ440">
        <v>-2000000</v>
      </c>
      <c r="DK440">
        <v>0</v>
      </c>
      <c r="DL440">
        <v>-2000000</v>
      </c>
      <c r="DM440">
        <v>-2000000</v>
      </c>
      <c r="DN440">
        <v>-2000000</v>
      </c>
      <c r="DO440">
        <v>-2000000</v>
      </c>
      <c r="DP440" s="32">
        <f>Tradingbook_SBV[[#This Row],[Mat. Date]]-RPT</f>
        <v>2112</v>
      </c>
      <c r="DQ440" s="32">
        <f>IF(Tradingbook_SBV[[#This Row],[Days]]&lt;=0,0,YEARFRAC(RPT,Tradingbook_SBV[[#This Row],[Mat. Date]],3))</f>
        <v>5.7863013698630139</v>
      </c>
      <c r="DR440" s="32" t="str">
        <f>IF(Tradingbook_SBV[[#This Row],[Days (year)]]=0,0,INDEX(Ref!$K$2:$K$13,MATCH(Tradingbook_SBV[[#This Row],[Days (year)]],Ref!$I$2:$I$13,1)))</f>
        <v>7Y</v>
      </c>
      <c r="DS440" s="32" t="str">
        <f>VLOOKUP(Tradingbook_SBV[[#This Row],[Security Name]],Ref!X:Z,3,0)</f>
        <v>TPCPBL</v>
      </c>
      <c r="DT440" s="32" t="str">
        <f>VLOOKUP(Tradingbook_SBV[[#This Row],[Security Name]],Ref!X:Y,2,0)</f>
        <v>VBS</v>
      </c>
      <c r="DU440" s="71">
        <f>IF((Tradingbook_SBV[[#This Row],[Mat. Date]]-RPT)&lt;=0,0,Tradingbook_SBV[[#This Row],[QUANTITY]])</f>
        <v>0</v>
      </c>
      <c r="DV440" s="71">
        <f>IF(Tradingbook_SBV[[#This Row],[Quantity_edited]]=0,0,Tradingbook_SBV[[#This Row],[DURATION]])</f>
        <v>0</v>
      </c>
      <c r="DW440" s="71">
        <f>IF(Tradingbook_SBV[[#This Row],[Quantity_edited]]=0,0,Tradingbook_SBV[[#This Row],[Mod Dur]])</f>
        <v>0</v>
      </c>
      <c r="DX440" s="71">
        <f>IF(Tradingbook_SBV[[#This Row],[Quantity_edited]]=0,0,Tradingbook_SBV[[#This Row],[Cnvx.]])</f>
        <v>0</v>
      </c>
      <c r="DY440" s="71">
        <f>(Tradingbook_SBV[[#This Row],[MARKET_VALUE]]+Tradingbook_SBV[[#This Row],[Accr Int]]*Tradingbook_SBV[[#This Row],[Quantity_edited]])*(-Tradingbook_SBV[[#This Row],[Modified Duration]]*0.0001+0.5*Tradingbook_SBV[[#This Row],[Conv]]*(0.0001^2))</f>
        <v>0</v>
      </c>
      <c r="DZ440" s="71">
        <f>(Tradingbook_SBV[[#This Row],[MARKET_VALUE]]+Tradingbook_SBV[[#This Row],[Accr Int]]*Tradingbook_SBV[[#This Row],[Quantity_edited]])*(-Tradingbook_SBV[[#This Row],[Modified Duration]]*0.01+0.5*Tradingbook_SBV[[#This Row],[Conv]]*(0.01^2))</f>
        <v>0</v>
      </c>
    </row>
    <row r="441" spans="2:130" x14ac:dyDescent="0.3">
      <c r="B441" t="s">
        <v>166</v>
      </c>
      <c r="C441" t="s">
        <v>3300</v>
      </c>
      <c r="D441" t="s">
        <v>615</v>
      </c>
      <c r="E441" t="s">
        <v>169</v>
      </c>
      <c r="F441" s="502">
        <v>47855</v>
      </c>
      <c r="G441" t="s">
        <v>3322</v>
      </c>
      <c r="H441">
        <v>113876</v>
      </c>
      <c r="I441">
        <v>113876</v>
      </c>
      <c r="J441" s="38">
        <v>0</v>
      </c>
      <c r="K441">
        <v>0</v>
      </c>
      <c r="L441">
        <v>0</v>
      </c>
      <c r="M441" s="38">
        <v>0</v>
      </c>
      <c r="N441">
        <v>7.6</v>
      </c>
      <c r="O441">
        <v>4643</v>
      </c>
      <c r="P441" s="37">
        <v>7600000000</v>
      </c>
      <c r="Q441" s="37">
        <v>8791507944.4444885</v>
      </c>
      <c r="R441" s="37">
        <v>-71131996554.91066</v>
      </c>
      <c r="S441">
        <v>4.0744868490000004</v>
      </c>
      <c r="T441" s="70">
        <v>3.6338563326200002</v>
      </c>
      <c r="U441">
        <v>3.7819173300000002</v>
      </c>
      <c r="V441">
        <v>18.059863589655201</v>
      </c>
      <c r="W441">
        <v>0</v>
      </c>
      <c r="X441" s="38">
        <v>0</v>
      </c>
      <c r="Y441">
        <v>0</v>
      </c>
      <c r="Z441" s="70">
        <v>-56400640000</v>
      </c>
      <c r="AA441" s="70">
        <v>0</v>
      </c>
      <c r="AB441" s="70">
        <v>-56400640000</v>
      </c>
      <c r="AC441" s="70">
        <v>-56400640000</v>
      </c>
      <c r="AD441" s="70">
        <v>-56400640000</v>
      </c>
      <c r="AE441" s="70">
        <v>-56400640000</v>
      </c>
      <c r="AF441">
        <v>0</v>
      </c>
      <c r="AG441" s="72">
        <f>Tradingbook_MSB[[#This Row],[Mat. Date]]-RPT</f>
        <v>1603</v>
      </c>
      <c r="AH441" s="71">
        <f>IF(Tradingbook_MSB[[#This Row],[Days]]&lt;=0,0,YEARFRAC(RPT,Tradingbook_MSB[[#This Row],[Mat. Date]],3))</f>
        <v>4.3917808219178083</v>
      </c>
      <c r="AI441" s="71" t="str">
        <f>IF(Tradingbook_MSB[[#This Row],[Days (year)]]=0,0,INDEX(Ref!$K$2:$K$13,MATCH(Tradingbook_MSB[[#This Row],[Days (year)]],Ref!$I$2:$I$13,1)))</f>
        <v>4Y</v>
      </c>
      <c r="AJ441" s="120" t="str">
        <f>VLOOKUP(Tradingbook_MSB[[#This Row],[Security Name]],Ref!X:Z,3,0)</f>
        <v>TPCP</v>
      </c>
      <c r="AK441" s="120" t="str">
        <f>VLOOKUP(Tradingbook_MSB[[#This Row],[Security Name]],Ref!X:Y,2,0)</f>
        <v>KBNN</v>
      </c>
      <c r="AL441" s="71">
        <f>IF((Tradingbook_MSB[[#This Row],[Mat. Date]]-RPT)&lt;=0,0,Tradingbook_MSB[[#This Row],[QUANTITY]])</f>
        <v>0</v>
      </c>
      <c r="AM441" s="71">
        <f>IF(Tradingbook_MSB[[#This Row],[Quantity_edited]]=0,0,Tradingbook_MSB[[#This Row],[DURATION]])</f>
        <v>0</v>
      </c>
      <c r="AN441" s="71">
        <f>IF(Tradingbook_MSB[[#This Row],[Quantity_edited]]=0,0,Tradingbook_MSB[[#This Row],[Mod Dur]])</f>
        <v>0</v>
      </c>
      <c r="AO441" s="71">
        <f>IF(Tradingbook_MSB[[#This Row],[Quantity_edited]]=0,0,Tradingbook_MSB[[#This Row],[Cnvx.]])</f>
        <v>0</v>
      </c>
      <c r="AP441" s="71">
        <f>(Tradingbook_MSB[[#This Row],[MARKET_VALUE]]+Tradingbook_MSB[[#This Row],[Accr Int]]*Tradingbook_MSB[[#This Row],[Quantity_edited]])*(-Tradingbook_MSB[[#This Row],[Modified Duration]]*0.0001+0.5*Tradingbook_MSB[[#This Row],[Conv]]*(0.0001^2))</f>
        <v>0</v>
      </c>
      <c r="AQ441" s="72">
        <f>(Tradingbook_MSB[[#This Row],[MARKET_VALUE]]+Tradingbook_MSB[[#This Row],[Accr Int]]*Tradingbook_MSB[[#This Row],[Quantity_edited]])*(-Tradingbook_MSB[[#This Row],[Modified Duration]]*0.01+0.5*Tradingbook_MSB[[#This Row],[Conv]]*(0.01^2))</f>
        <v>0</v>
      </c>
      <c r="CL441" t="s">
        <v>166</v>
      </c>
      <c r="CM441" t="s">
        <v>3301</v>
      </c>
      <c r="CN441" t="s">
        <v>648</v>
      </c>
      <c r="CO441" t="s">
        <v>169</v>
      </c>
      <c r="CP441">
        <v>48219</v>
      </c>
      <c r="CQ441" t="s">
        <v>3322</v>
      </c>
      <c r="CR441" t="s">
        <v>4322</v>
      </c>
      <c r="CS441" t="s">
        <v>4323</v>
      </c>
      <c r="CT441">
        <v>0</v>
      </c>
      <c r="CU441">
        <v>0</v>
      </c>
      <c r="CV441">
        <v>0</v>
      </c>
      <c r="CW441">
        <v>0</v>
      </c>
      <c r="CX441">
        <v>2</v>
      </c>
      <c r="CY441">
        <v>1227</v>
      </c>
      <c r="CZ441">
        <v>0</v>
      </c>
      <c r="DA441">
        <v>-3.9999999999999998E-6</v>
      </c>
      <c r="DB441">
        <v>-165486160.41666985</v>
      </c>
      <c r="DC441">
        <v>4.2516125440000003</v>
      </c>
      <c r="DD441">
        <v>5</v>
      </c>
      <c r="DE441">
        <v>5</v>
      </c>
      <c r="DF441">
        <v>29</v>
      </c>
      <c r="DG441">
        <v>0</v>
      </c>
      <c r="DH441">
        <v>0</v>
      </c>
      <c r="DI441">
        <v>0</v>
      </c>
      <c r="DJ441">
        <v>-14000000</v>
      </c>
      <c r="DK441">
        <v>0</v>
      </c>
      <c r="DL441">
        <v>-14000000</v>
      </c>
      <c r="DM441">
        <v>-14000000</v>
      </c>
      <c r="DN441">
        <v>-14000000</v>
      </c>
      <c r="DO441">
        <v>-14000000</v>
      </c>
      <c r="DP441" s="32">
        <f>Tradingbook_SBV[[#This Row],[Mat. Date]]-RPT</f>
        <v>1967</v>
      </c>
      <c r="DQ441" s="32">
        <f>IF(Tradingbook_SBV[[#This Row],[Days]]&lt;=0,0,YEARFRAC(RPT,Tradingbook_SBV[[#This Row],[Mat. Date]],3))</f>
        <v>5.3890410958904109</v>
      </c>
      <c r="DR441" s="32" t="str">
        <f>IF(Tradingbook_SBV[[#This Row],[Days (year)]]=0,0,INDEX(Ref!$K$2:$K$13,MATCH(Tradingbook_SBV[[#This Row],[Days (year)]],Ref!$I$2:$I$13,1)))</f>
        <v>5Y</v>
      </c>
      <c r="DS441" s="32" t="str">
        <f>VLOOKUP(Tradingbook_SBV[[#This Row],[Security Name]],Ref!X:Z,3,0)</f>
        <v>TPCP</v>
      </c>
      <c r="DT441" s="32" t="str">
        <f>VLOOKUP(Tradingbook_SBV[[#This Row],[Security Name]],Ref!X:Y,2,0)</f>
        <v>KBNN</v>
      </c>
      <c r="DU441" s="71">
        <f>IF((Tradingbook_SBV[[#This Row],[Mat. Date]]-RPT)&lt;=0,0,Tradingbook_SBV[[#This Row],[QUANTITY]])</f>
        <v>0</v>
      </c>
      <c r="DV441" s="71">
        <f>IF(Tradingbook_SBV[[#This Row],[Quantity_edited]]=0,0,Tradingbook_SBV[[#This Row],[DURATION]])</f>
        <v>0</v>
      </c>
      <c r="DW441" s="71">
        <f>IF(Tradingbook_SBV[[#This Row],[Quantity_edited]]=0,0,Tradingbook_SBV[[#This Row],[Mod Dur]])</f>
        <v>0</v>
      </c>
      <c r="DX441" s="71">
        <f>IF(Tradingbook_SBV[[#This Row],[Quantity_edited]]=0,0,Tradingbook_SBV[[#This Row],[Cnvx.]])</f>
        <v>0</v>
      </c>
      <c r="DY441" s="71">
        <f>(Tradingbook_SBV[[#This Row],[MARKET_VALUE]]+Tradingbook_SBV[[#This Row],[Accr Int]]*Tradingbook_SBV[[#This Row],[Quantity_edited]])*(-Tradingbook_SBV[[#This Row],[Modified Duration]]*0.0001+0.5*Tradingbook_SBV[[#This Row],[Conv]]*(0.0001^2))</f>
        <v>0</v>
      </c>
      <c r="DZ441" s="71">
        <f>(Tradingbook_SBV[[#This Row],[MARKET_VALUE]]+Tradingbook_SBV[[#This Row],[Accr Int]]*Tradingbook_SBV[[#This Row],[Quantity_edited]])*(-Tradingbook_SBV[[#This Row],[Modified Duration]]*0.01+0.5*Tradingbook_SBV[[#This Row],[Conv]]*(0.01^2))</f>
        <v>0</v>
      </c>
    </row>
    <row r="442" spans="2:130" x14ac:dyDescent="0.3">
      <c r="B442" t="s">
        <v>166</v>
      </c>
      <c r="C442" t="s">
        <v>3300</v>
      </c>
      <c r="D442" t="s">
        <v>636</v>
      </c>
      <c r="E442" t="s">
        <v>169</v>
      </c>
      <c r="F442" s="502">
        <v>47862</v>
      </c>
      <c r="G442" t="s">
        <v>170</v>
      </c>
      <c r="H442">
        <v>92544</v>
      </c>
      <c r="I442">
        <v>92544</v>
      </c>
      <c r="J442" s="38">
        <v>3000000</v>
      </c>
      <c r="K442">
        <v>300000000000</v>
      </c>
      <c r="L442">
        <v>97929.520999999993</v>
      </c>
      <c r="M442" s="38">
        <v>277632000000</v>
      </c>
      <c r="N442">
        <v>2.2000000000000002</v>
      </c>
      <c r="O442">
        <v>1302</v>
      </c>
      <c r="P442" s="37">
        <v>4400000000</v>
      </c>
      <c r="Q442" s="37">
        <v>4651111666.6666641</v>
      </c>
      <c r="R442" s="37">
        <v>-14986169388.836088</v>
      </c>
      <c r="S442">
        <v>4.0794990389999999</v>
      </c>
      <c r="T442" s="70">
        <v>4.0223598648980996</v>
      </c>
      <c r="U442">
        <v>4.1864520000000001</v>
      </c>
      <c r="V442">
        <v>20.620932805683299</v>
      </c>
      <c r="W442">
        <v>58055.7618024646</v>
      </c>
      <c r="X442" s="38">
        <v>-113244.715164369</v>
      </c>
      <c r="Y442">
        <v>30843.471000000001</v>
      </c>
      <c r="Z442" s="70">
        <v>1703562697.9101636</v>
      </c>
      <c r="AA442" s="70">
        <v>-16156562697.910078</v>
      </c>
      <c r="AB442" s="70">
        <v>-14452999999.999914</v>
      </c>
      <c r="AC442" s="70">
        <v>-14452999999.999914</v>
      </c>
      <c r="AD442" s="70">
        <v>-14453000000</v>
      </c>
      <c r="AE442" s="70">
        <v>-14452999999.999914</v>
      </c>
      <c r="AF442">
        <v>2.6853311459999998</v>
      </c>
      <c r="AG442" s="72">
        <f>Tradingbook_MSB[[#This Row],[Mat. Date]]-RPT</f>
        <v>1610</v>
      </c>
      <c r="AH442" s="71">
        <f>IF(Tradingbook_MSB[[#This Row],[Days]]&lt;=0,0,YEARFRAC(RPT,Tradingbook_MSB[[#This Row],[Mat. Date]],3))</f>
        <v>4.4109589041095889</v>
      </c>
      <c r="AI442" s="71" t="str">
        <f>IF(Tradingbook_MSB[[#This Row],[Days (year)]]=0,0,INDEX(Ref!$K$2:$K$13,MATCH(Tradingbook_MSB[[#This Row],[Days (year)]],Ref!$I$2:$I$13,1)))</f>
        <v>4Y</v>
      </c>
      <c r="AJ442" s="120" t="str">
        <f>VLOOKUP(Tradingbook_MSB[[#This Row],[Security Name]],Ref!X:Z,3,0)</f>
        <v>TPCP</v>
      </c>
      <c r="AK442" s="120" t="str">
        <f>VLOOKUP(Tradingbook_MSB[[#This Row],[Security Name]],Ref!X:Y,2,0)</f>
        <v>KBNN</v>
      </c>
      <c r="AL442" s="71">
        <f>IF((Tradingbook_MSB[[#This Row],[Mat. Date]]-RPT)&lt;=0,0,Tradingbook_MSB[[#This Row],[QUANTITY]])</f>
        <v>3000000</v>
      </c>
      <c r="AM442" s="71">
        <f>IF(Tradingbook_MSB[[#This Row],[Quantity_edited]]=0,0,Tradingbook_MSB[[#This Row],[DURATION]])</f>
        <v>4.1864520000000001</v>
      </c>
      <c r="AN442" s="71">
        <f>IF(Tradingbook_MSB[[#This Row],[Quantity_edited]]=0,0,Tradingbook_MSB[[#This Row],[Mod Dur]])</f>
        <v>4.0223598648980996</v>
      </c>
      <c r="AO442" s="71">
        <f>IF(Tradingbook_MSB[[#This Row],[Quantity_edited]]=0,0,Tradingbook_MSB[[#This Row],[Cnvx.]])</f>
        <v>20.620932805683299</v>
      </c>
      <c r="AP442" s="71">
        <f>(Tradingbook_MSB[[#This Row],[MARKET_VALUE]]+Tradingbook_MSB[[#This Row],[Accr Int]]*Tradingbook_MSB[[#This Row],[Quantity_edited]])*(-Tradingbook_MSB[[#This Row],[Modified Duration]]*0.0001+0.5*Tradingbook_MSB[[#This Row],[Conv]]*(0.0001^2))</f>
        <v>-113215687.28346689</v>
      </c>
      <c r="AQ442" s="72">
        <f>(Tradingbook_MSB[[#This Row],[MARKET_VALUE]]+Tradingbook_MSB[[#This Row],[Accr Int]]*Tradingbook_MSB[[#This Row],[Quantity_edited]])*(-Tradingbook_MSB[[#This Row],[Modified Duration]]*0.01+0.5*Tradingbook_MSB[[#This Row],[Conv]]*(0.01^2))</f>
        <v>-11034192707.42449</v>
      </c>
      <c r="CL442" t="s">
        <v>166</v>
      </c>
      <c r="CM442" t="s">
        <v>3301</v>
      </c>
      <c r="CN442" t="s">
        <v>655</v>
      </c>
      <c r="CO442" t="s">
        <v>169</v>
      </c>
      <c r="CP442">
        <v>48415</v>
      </c>
      <c r="CQ442" t="s">
        <v>3322</v>
      </c>
      <c r="CR442" t="s">
        <v>4324</v>
      </c>
      <c r="CS442" t="s">
        <v>4325</v>
      </c>
      <c r="CT442">
        <v>0</v>
      </c>
      <c r="CU442">
        <v>0</v>
      </c>
      <c r="CV442">
        <v>0</v>
      </c>
      <c r="CW442">
        <v>0</v>
      </c>
      <c r="CX442">
        <v>5.7</v>
      </c>
      <c r="CY442">
        <v>453</v>
      </c>
      <c r="CZ442">
        <v>0</v>
      </c>
      <c r="DA442">
        <v>7.9999999999999996E-6</v>
      </c>
      <c r="DB442">
        <v>128736257.65827751</v>
      </c>
      <c r="DC442">
        <v>4.2708017280000004</v>
      </c>
      <c r="DD442">
        <v>5</v>
      </c>
      <c r="DE442">
        <v>5</v>
      </c>
      <c r="DF442">
        <v>32</v>
      </c>
      <c r="DG442">
        <v>0</v>
      </c>
      <c r="DH442">
        <v>0</v>
      </c>
      <c r="DI442">
        <v>0</v>
      </c>
      <c r="DJ442">
        <v>315280000</v>
      </c>
      <c r="DK442">
        <v>0</v>
      </c>
      <c r="DL442">
        <v>315280000</v>
      </c>
      <c r="DM442">
        <v>315280000</v>
      </c>
      <c r="DN442">
        <v>315280000</v>
      </c>
      <c r="DO442">
        <v>315280000</v>
      </c>
      <c r="DP442" s="32">
        <f>Tradingbook_SBV[[#This Row],[Mat. Date]]-RPT</f>
        <v>2163</v>
      </c>
      <c r="DQ442" s="32">
        <f>IF(Tradingbook_SBV[[#This Row],[Days]]&lt;=0,0,YEARFRAC(RPT,Tradingbook_SBV[[#This Row],[Mat. Date]],3))</f>
        <v>5.9260273972602739</v>
      </c>
      <c r="DR442" s="32" t="str">
        <f>IF(Tradingbook_SBV[[#This Row],[Days (year)]]=0,0,INDEX(Ref!$K$2:$K$13,MATCH(Tradingbook_SBV[[#This Row],[Days (year)]],Ref!$I$2:$I$13,1)))</f>
        <v>7Y</v>
      </c>
      <c r="DS442" s="32" t="str">
        <f>VLOOKUP(Tradingbook_SBV[[#This Row],[Security Name]],Ref!X:Z,3,0)</f>
        <v>TPCP</v>
      </c>
      <c r="DT442" s="32" t="str">
        <f>VLOOKUP(Tradingbook_SBV[[#This Row],[Security Name]],Ref!X:Y,2,0)</f>
        <v>KBNN</v>
      </c>
      <c r="DU442" s="71">
        <f>IF((Tradingbook_SBV[[#This Row],[Mat. Date]]-RPT)&lt;=0,0,Tradingbook_SBV[[#This Row],[QUANTITY]])</f>
        <v>0</v>
      </c>
      <c r="DV442" s="71">
        <f>IF(Tradingbook_SBV[[#This Row],[Quantity_edited]]=0,0,Tradingbook_SBV[[#This Row],[DURATION]])</f>
        <v>0</v>
      </c>
      <c r="DW442" s="71">
        <f>IF(Tradingbook_SBV[[#This Row],[Quantity_edited]]=0,0,Tradingbook_SBV[[#This Row],[Mod Dur]])</f>
        <v>0</v>
      </c>
      <c r="DX442" s="71">
        <f>IF(Tradingbook_SBV[[#This Row],[Quantity_edited]]=0,0,Tradingbook_SBV[[#This Row],[Cnvx.]])</f>
        <v>0</v>
      </c>
      <c r="DY442" s="71">
        <f>(Tradingbook_SBV[[#This Row],[MARKET_VALUE]]+Tradingbook_SBV[[#This Row],[Accr Int]]*Tradingbook_SBV[[#This Row],[Quantity_edited]])*(-Tradingbook_SBV[[#This Row],[Modified Duration]]*0.0001+0.5*Tradingbook_SBV[[#This Row],[Conv]]*(0.0001^2))</f>
        <v>0</v>
      </c>
      <c r="DZ442" s="71">
        <f>(Tradingbook_SBV[[#This Row],[MARKET_VALUE]]+Tradingbook_SBV[[#This Row],[Accr Int]]*Tradingbook_SBV[[#This Row],[Quantity_edited]])*(-Tradingbook_SBV[[#This Row],[Modified Duration]]*0.01+0.5*Tradingbook_SBV[[#This Row],[Conv]]*(0.01^2))</f>
        <v>0</v>
      </c>
    </row>
    <row r="443" spans="2:130" x14ac:dyDescent="0.3">
      <c r="B443" t="s">
        <v>166</v>
      </c>
      <c r="C443" t="s">
        <v>3300</v>
      </c>
      <c r="D443" t="s">
        <v>637</v>
      </c>
      <c r="E443" t="s">
        <v>169</v>
      </c>
      <c r="F443" s="502">
        <v>47946</v>
      </c>
      <c r="G443" t="s">
        <v>3322</v>
      </c>
      <c r="H443">
        <v>92361</v>
      </c>
      <c r="I443">
        <v>92361</v>
      </c>
      <c r="J443" s="38">
        <v>0</v>
      </c>
      <c r="K443">
        <v>0</v>
      </c>
      <c r="L443">
        <v>0</v>
      </c>
      <c r="M443" s="38">
        <v>0</v>
      </c>
      <c r="N443">
        <v>2.2999999999999998</v>
      </c>
      <c r="O443">
        <v>832</v>
      </c>
      <c r="P443" s="37">
        <v>8050000000</v>
      </c>
      <c r="Q443" s="37">
        <v>9092645902.7777443</v>
      </c>
      <c r="R443" s="37">
        <v>-9897095148.1122379</v>
      </c>
      <c r="S443">
        <v>4.1412774849999998</v>
      </c>
      <c r="T443" s="70">
        <v>4.2319838045329004</v>
      </c>
      <c r="U443">
        <v>4.4072420000000001</v>
      </c>
      <c r="V443">
        <v>22.571967844735799</v>
      </c>
      <c r="W443">
        <v>0</v>
      </c>
      <c r="X443" s="38">
        <v>0</v>
      </c>
      <c r="Y443">
        <v>0</v>
      </c>
      <c r="Z443" s="70">
        <v>-24117690000.000977</v>
      </c>
      <c r="AA443" s="70">
        <v>0</v>
      </c>
      <c r="AB443" s="70">
        <v>-24117690000.000977</v>
      </c>
      <c r="AC443" s="70">
        <v>-24117690000.000977</v>
      </c>
      <c r="AD443" s="70">
        <v>-24117690000.000999</v>
      </c>
      <c r="AE443" s="70">
        <v>-24117690000.000977</v>
      </c>
      <c r="AF443">
        <v>0</v>
      </c>
      <c r="AG443" s="72">
        <f>Tradingbook_MSB[[#This Row],[Mat. Date]]-RPT</f>
        <v>1694</v>
      </c>
      <c r="AH443" s="71">
        <f>IF(Tradingbook_MSB[[#This Row],[Days]]&lt;=0,0,YEARFRAC(RPT,Tradingbook_MSB[[#This Row],[Mat. Date]],3))</f>
        <v>4.6410958904109592</v>
      </c>
      <c r="AI443" s="71" t="str">
        <f>IF(Tradingbook_MSB[[#This Row],[Days (year)]]=0,0,INDEX(Ref!$K$2:$K$13,MATCH(Tradingbook_MSB[[#This Row],[Days (year)]],Ref!$I$2:$I$13,1)))</f>
        <v>5Y</v>
      </c>
      <c r="AJ443" s="120" t="str">
        <f>VLOOKUP(Tradingbook_MSB[[#This Row],[Security Name]],Ref!X:Z,3,0)</f>
        <v>TPCP</v>
      </c>
      <c r="AK443" s="120" t="str">
        <f>VLOOKUP(Tradingbook_MSB[[#This Row],[Security Name]],Ref!X:Y,2,0)</f>
        <v>KBNN</v>
      </c>
      <c r="AL443" s="71">
        <f>IF((Tradingbook_MSB[[#This Row],[Mat. Date]]-RPT)&lt;=0,0,Tradingbook_MSB[[#This Row],[QUANTITY]])</f>
        <v>0</v>
      </c>
      <c r="AM443" s="71">
        <f>IF(Tradingbook_MSB[[#This Row],[Quantity_edited]]=0,0,Tradingbook_MSB[[#This Row],[DURATION]])</f>
        <v>0</v>
      </c>
      <c r="AN443" s="71">
        <f>IF(Tradingbook_MSB[[#This Row],[Quantity_edited]]=0,0,Tradingbook_MSB[[#This Row],[Mod Dur]])</f>
        <v>0</v>
      </c>
      <c r="AO443" s="71">
        <f>IF(Tradingbook_MSB[[#This Row],[Quantity_edited]]=0,0,Tradingbook_MSB[[#This Row],[Cnvx.]])</f>
        <v>0</v>
      </c>
      <c r="AP443" s="71">
        <f>(Tradingbook_MSB[[#This Row],[MARKET_VALUE]]+Tradingbook_MSB[[#This Row],[Accr Int]]*Tradingbook_MSB[[#This Row],[Quantity_edited]])*(-Tradingbook_MSB[[#This Row],[Modified Duration]]*0.0001+0.5*Tradingbook_MSB[[#This Row],[Conv]]*(0.0001^2))</f>
        <v>0</v>
      </c>
      <c r="AQ443" s="72">
        <f>(Tradingbook_MSB[[#This Row],[MARKET_VALUE]]+Tradingbook_MSB[[#This Row],[Accr Int]]*Tradingbook_MSB[[#This Row],[Quantity_edited]])*(-Tradingbook_MSB[[#This Row],[Modified Duration]]*0.01+0.5*Tradingbook_MSB[[#This Row],[Conv]]*(0.01^2))</f>
        <v>0</v>
      </c>
      <c r="CL443" t="s">
        <v>166</v>
      </c>
      <c r="CM443" t="s">
        <v>3301</v>
      </c>
      <c r="CN443" t="s">
        <v>2748</v>
      </c>
      <c r="CO443" t="s">
        <v>169</v>
      </c>
      <c r="CP443">
        <v>48542</v>
      </c>
      <c r="CQ443" t="s">
        <v>3322</v>
      </c>
      <c r="CR443" t="s">
        <v>4326</v>
      </c>
      <c r="CS443" t="s">
        <v>4327</v>
      </c>
      <c r="CT443">
        <v>0</v>
      </c>
      <c r="CU443">
        <v>0</v>
      </c>
      <c r="CV443">
        <v>0</v>
      </c>
      <c r="CW443">
        <v>0</v>
      </c>
      <c r="CX443">
        <v>4.8</v>
      </c>
      <c r="CY443">
        <v>3511</v>
      </c>
      <c r="CZ443">
        <v>0</v>
      </c>
      <c r="DA443">
        <v>-1.9999999999999999E-6</v>
      </c>
      <c r="DB443">
        <v>-27733454.791667938</v>
      </c>
      <c r="DC443">
        <v>4.2829788539999996</v>
      </c>
      <c r="DD443">
        <v>5</v>
      </c>
      <c r="DE443">
        <v>5</v>
      </c>
      <c r="DF443">
        <v>35</v>
      </c>
      <c r="DG443">
        <v>0</v>
      </c>
      <c r="DH443">
        <v>0</v>
      </c>
      <c r="DI443">
        <v>0</v>
      </c>
      <c r="DJ443">
        <v>-247500000</v>
      </c>
      <c r="DK443">
        <v>0</v>
      </c>
      <c r="DL443">
        <v>-247500000</v>
      </c>
      <c r="DM443">
        <v>-247500000</v>
      </c>
      <c r="DN443">
        <v>-247500000</v>
      </c>
      <c r="DO443">
        <v>-247500000</v>
      </c>
      <c r="DP443" s="32">
        <f>Tradingbook_SBV[[#This Row],[Mat. Date]]-RPT</f>
        <v>2290</v>
      </c>
      <c r="DQ443" s="32">
        <f>IF(Tradingbook_SBV[[#This Row],[Days]]&lt;=0,0,YEARFRAC(RPT,Tradingbook_SBV[[#This Row],[Mat. Date]],3))</f>
        <v>6.2739726027397262</v>
      </c>
      <c r="DR443" s="32" t="str">
        <f>IF(Tradingbook_SBV[[#This Row],[Days (year)]]=0,0,INDEX(Ref!$K$2:$K$13,MATCH(Tradingbook_SBV[[#This Row],[Days (year)]],Ref!$I$2:$I$13,1)))</f>
        <v>7Y</v>
      </c>
      <c r="DS443" s="32" t="str">
        <f>VLOOKUP(Tradingbook_SBV[[#This Row],[Security Name]],Ref!X:Z,3,0)</f>
        <v>TPCP</v>
      </c>
      <c r="DT443" s="32" t="str">
        <f>VLOOKUP(Tradingbook_SBV[[#This Row],[Security Name]],Ref!X:Y,2,0)</f>
        <v>KBNN</v>
      </c>
      <c r="DU443" s="71">
        <f>IF((Tradingbook_SBV[[#This Row],[Mat. Date]]-RPT)&lt;=0,0,Tradingbook_SBV[[#This Row],[QUANTITY]])</f>
        <v>0</v>
      </c>
      <c r="DV443" s="71">
        <f>IF(Tradingbook_SBV[[#This Row],[Quantity_edited]]=0,0,Tradingbook_SBV[[#This Row],[DURATION]])</f>
        <v>0</v>
      </c>
      <c r="DW443" s="71">
        <f>IF(Tradingbook_SBV[[#This Row],[Quantity_edited]]=0,0,Tradingbook_SBV[[#This Row],[Mod Dur]])</f>
        <v>0</v>
      </c>
      <c r="DX443" s="71">
        <f>IF(Tradingbook_SBV[[#This Row],[Quantity_edited]]=0,0,Tradingbook_SBV[[#This Row],[Cnvx.]])</f>
        <v>0</v>
      </c>
      <c r="DY443" s="71">
        <f>(Tradingbook_SBV[[#This Row],[MARKET_VALUE]]+Tradingbook_SBV[[#This Row],[Accr Int]]*Tradingbook_SBV[[#This Row],[Quantity_edited]])*(-Tradingbook_SBV[[#This Row],[Modified Duration]]*0.0001+0.5*Tradingbook_SBV[[#This Row],[Conv]]*(0.0001^2))</f>
        <v>0</v>
      </c>
      <c r="DZ443" s="71">
        <f>(Tradingbook_SBV[[#This Row],[MARKET_VALUE]]+Tradingbook_SBV[[#This Row],[Accr Int]]*Tradingbook_SBV[[#This Row],[Quantity_edited]])*(-Tradingbook_SBV[[#This Row],[Modified Duration]]*0.01+0.5*Tradingbook_SBV[[#This Row],[Conv]]*(0.01^2))</f>
        <v>0</v>
      </c>
    </row>
    <row r="444" spans="2:130" x14ac:dyDescent="0.3">
      <c r="B444" t="s">
        <v>166</v>
      </c>
      <c r="C444" t="s">
        <v>3300</v>
      </c>
      <c r="D444" t="s">
        <v>616</v>
      </c>
      <c r="E444" t="s">
        <v>169</v>
      </c>
      <c r="F444" s="502">
        <v>47952</v>
      </c>
      <c r="G444" t="s">
        <v>170</v>
      </c>
      <c r="H444">
        <v>114320</v>
      </c>
      <c r="I444">
        <v>114320</v>
      </c>
      <c r="J444" s="38">
        <v>500000</v>
      </c>
      <c r="K444">
        <v>50000000000</v>
      </c>
      <c r="L444">
        <v>117254.436</v>
      </c>
      <c r="M444" s="38">
        <v>57160000000</v>
      </c>
      <c r="N444">
        <v>7.6</v>
      </c>
      <c r="O444">
        <v>2624</v>
      </c>
      <c r="P444" s="37">
        <v>168340000000</v>
      </c>
      <c r="Q444" s="37">
        <v>197035740681.11145</v>
      </c>
      <c r="R444" s="37">
        <v>-72522849509.612015</v>
      </c>
      <c r="S444">
        <v>4.1456087889999997</v>
      </c>
      <c r="T444" s="70">
        <v>3.8855802215974999</v>
      </c>
      <c r="U444">
        <v>4.0466611800000001</v>
      </c>
      <c r="V444">
        <v>20.192214793641799</v>
      </c>
      <c r="W444">
        <v>11806.791834138299</v>
      </c>
      <c r="X444" s="38">
        <v>-22719.764671724999</v>
      </c>
      <c r="Y444">
        <v>6507.5460000000003</v>
      </c>
      <c r="Z444" s="70">
        <v>91115867999.785233</v>
      </c>
      <c r="AA444" s="70">
        <v>-1467217999.7846906</v>
      </c>
      <c r="AB444" s="70">
        <v>89648650000.000549</v>
      </c>
      <c r="AC444" s="70">
        <v>89648650000.000549</v>
      </c>
      <c r="AD444" s="70">
        <v>89648650000.001007</v>
      </c>
      <c r="AE444" s="70">
        <v>89648650000.000549</v>
      </c>
      <c r="AF444">
        <v>4.8669735630000002</v>
      </c>
      <c r="AG444" s="72">
        <f>Tradingbook_MSB[[#This Row],[Mat. Date]]-RPT</f>
        <v>1700</v>
      </c>
      <c r="AH444" s="71">
        <f>IF(Tradingbook_MSB[[#This Row],[Days]]&lt;=0,0,YEARFRAC(RPT,Tradingbook_MSB[[#This Row],[Mat. Date]],3))</f>
        <v>4.6575342465753424</v>
      </c>
      <c r="AI444" s="71" t="str">
        <f>IF(Tradingbook_MSB[[#This Row],[Days (year)]]=0,0,INDEX(Ref!$K$2:$K$13,MATCH(Tradingbook_MSB[[#This Row],[Days (year)]],Ref!$I$2:$I$13,1)))</f>
        <v>5Y</v>
      </c>
      <c r="AJ444" s="120" t="str">
        <f>VLOOKUP(Tradingbook_MSB[[#This Row],[Security Name]],Ref!X:Z,3,0)</f>
        <v>TPCP</v>
      </c>
      <c r="AK444" s="120" t="str">
        <f>VLOOKUP(Tradingbook_MSB[[#This Row],[Security Name]],Ref!X:Y,2,0)</f>
        <v>KBNN</v>
      </c>
      <c r="AL444" s="71">
        <f>IF((Tradingbook_MSB[[#This Row],[Mat. Date]]-RPT)&lt;=0,0,Tradingbook_MSB[[#This Row],[QUANTITY]])</f>
        <v>500000</v>
      </c>
      <c r="AM444" s="71">
        <f>IF(Tradingbook_MSB[[#This Row],[Quantity_edited]]=0,0,Tradingbook_MSB[[#This Row],[DURATION]])</f>
        <v>4.0466611800000001</v>
      </c>
      <c r="AN444" s="71">
        <f>IF(Tradingbook_MSB[[#This Row],[Quantity_edited]]=0,0,Tradingbook_MSB[[#This Row],[Mod Dur]])</f>
        <v>3.8855802215974999</v>
      </c>
      <c r="AO444" s="71">
        <f>IF(Tradingbook_MSB[[#This Row],[Quantity_edited]]=0,0,Tradingbook_MSB[[#This Row],[Cnvx.]])</f>
        <v>20.192214793641799</v>
      </c>
      <c r="AP444" s="71">
        <f>(Tradingbook_MSB[[#This Row],[MARKET_VALUE]]+Tradingbook_MSB[[#This Row],[Accr Int]]*Tradingbook_MSB[[#This Row],[Quantity_edited]])*(-Tradingbook_MSB[[#This Row],[Modified Duration]]*0.0001+0.5*Tradingbook_MSB[[#This Row],[Conv]]*(0.0001^2))</f>
        <v>-22713861.275807835</v>
      </c>
      <c r="AQ444" s="72">
        <f>(Tradingbook_MSB[[#This Row],[MARKET_VALUE]]+Tradingbook_MSB[[#This Row],[Accr Int]]*Tradingbook_MSB[[#This Row],[Quantity_edited]])*(-Tradingbook_MSB[[#This Row],[Modified Duration]]*0.01+0.5*Tradingbook_MSB[[#This Row],[Conv]]*(0.01^2))</f>
        <v>-2212942508.0017996</v>
      </c>
      <c r="CL444" t="s">
        <v>166</v>
      </c>
      <c r="CM444" t="s">
        <v>3301</v>
      </c>
      <c r="CN444" t="s">
        <v>657</v>
      </c>
      <c r="CO444" t="s">
        <v>169</v>
      </c>
      <c r="CP444">
        <v>48554</v>
      </c>
      <c r="CQ444" t="s">
        <v>3322</v>
      </c>
      <c r="CR444" t="s">
        <v>4328</v>
      </c>
      <c r="CS444" t="s">
        <v>4329</v>
      </c>
      <c r="CT444">
        <v>0</v>
      </c>
      <c r="CU444">
        <v>0</v>
      </c>
      <c r="CV444">
        <v>0</v>
      </c>
      <c r="CW444">
        <v>0</v>
      </c>
      <c r="CX444">
        <v>6.2</v>
      </c>
      <c r="CY444">
        <v>4332</v>
      </c>
      <c r="CZ444">
        <v>0</v>
      </c>
      <c r="DA444">
        <v>8.0000000000000007E-5</v>
      </c>
      <c r="DB444">
        <v>2457567223.1332283</v>
      </c>
      <c r="DC444">
        <v>4.7843084950000003</v>
      </c>
      <c r="DD444">
        <v>5</v>
      </c>
      <c r="DE444">
        <v>5</v>
      </c>
      <c r="DF444">
        <v>33</v>
      </c>
      <c r="DG444">
        <v>0</v>
      </c>
      <c r="DH444">
        <v>0</v>
      </c>
      <c r="DI444">
        <v>0</v>
      </c>
      <c r="DJ444">
        <v>11301120000</v>
      </c>
      <c r="DK444">
        <v>0</v>
      </c>
      <c r="DL444">
        <v>11301120000</v>
      </c>
      <c r="DM444">
        <v>11301120000</v>
      </c>
      <c r="DN444">
        <v>11301120000</v>
      </c>
      <c r="DO444">
        <v>11301120000</v>
      </c>
      <c r="DP444" s="32">
        <f>Tradingbook_SBV[[#This Row],[Mat. Date]]-RPT</f>
        <v>2302</v>
      </c>
      <c r="DQ444" s="32">
        <f>IF(Tradingbook_SBV[[#This Row],[Days]]&lt;=0,0,YEARFRAC(RPT,Tradingbook_SBV[[#This Row],[Mat. Date]],3))</f>
        <v>6.3068493150684928</v>
      </c>
      <c r="DR444" s="32" t="str">
        <f>IF(Tradingbook_SBV[[#This Row],[Days (year)]]=0,0,INDEX(Ref!$K$2:$K$13,MATCH(Tradingbook_SBV[[#This Row],[Days (year)]],Ref!$I$2:$I$13,1)))</f>
        <v>7Y</v>
      </c>
      <c r="DS444" s="32" t="str">
        <f>VLOOKUP(Tradingbook_SBV[[#This Row],[Security Name]],Ref!X:Z,3,0)</f>
        <v>TPCPBL</v>
      </c>
      <c r="DT444" s="32" t="str">
        <f>VLOOKUP(Tradingbook_SBV[[#This Row],[Security Name]],Ref!X:Y,2,0)</f>
        <v>VDB</v>
      </c>
      <c r="DU444" s="71">
        <f>IF((Tradingbook_SBV[[#This Row],[Mat. Date]]-RPT)&lt;=0,0,Tradingbook_SBV[[#This Row],[QUANTITY]])</f>
        <v>0</v>
      </c>
      <c r="DV444" s="71">
        <f>IF(Tradingbook_SBV[[#This Row],[Quantity_edited]]=0,0,Tradingbook_SBV[[#This Row],[DURATION]])</f>
        <v>0</v>
      </c>
      <c r="DW444" s="71">
        <f>IF(Tradingbook_SBV[[#This Row],[Quantity_edited]]=0,0,Tradingbook_SBV[[#This Row],[Mod Dur]])</f>
        <v>0</v>
      </c>
      <c r="DX444" s="71">
        <f>IF(Tradingbook_SBV[[#This Row],[Quantity_edited]]=0,0,Tradingbook_SBV[[#This Row],[Cnvx.]])</f>
        <v>0</v>
      </c>
      <c r="DY444" s="71">
        <f>(Tradingbook_SBV[[#This Row],[MARKET_VALUE]]+Tradingbook_SBV[[#This Row],[Accr Int]]*Tradingbook_SBV[[#This Row],[Quantity_edited]])*(-Tradingbook_SBV[[#This Row],[Modified Duration]]*0.0001+0.5*Tradingbook_SBV[[#This Row],[Conv]]*(0.0001^2))</f>
        <v>0</v>
      </c>
      <c r="DZ444" s="71">
        <f>(Tradingbook_SBV[[#This Row],[MARKET_VALUE]]+Tradingbook_SBV[[#This Row],[Accr Int]]*Tradingbook_SBV[[#This Row],[Quantity_edited]])*(-Tradingbook_SBV[[#This Row],[Modified Duration]]*0.01+0.5*Tradingbook_SBV[[#This Row],[Conv]]*(0.01^2))</f>
        <v>0</v>
      </c>
    </row>
    <row r="445" spans="2:130" x14ac:dyDescent="0.3">
      <c r="B445" t="s">
        <v>166</v>
      </c>
      <c r="C445" t="s">
        <v>3300</v>
      </c>
      <c r="D445" t="s">
        <v>638</v>
      </c>
      <c r="E445" t="s">
        <v>169</v>
      </c>
      <c r="F445" s="502">
        <v>47974</v>
      </c>
      <c r="G445" t="s">
        <v>170</v>
      </c>
      <c r="H445">
        <v>92167</v>
      </c>
      <c r="I445">
        <v>92167</v>
      </c>
      <c r="J445" s="38">
        <v>500000</v>
      </c>
      <c r="K445">
        <v>50000000000</v>
      </c>
      <c r="L445">
        <v>99990.585000000006</v>
      </c>
      <c r="M445" s="38">
        <v>46083500000</v>
      </c>
      <c r="N445">
        <v>2.2999999999999998</v>
      </c>
      <c r="O445">
        <v>655</v>
      </c>
      <c r="P445" s="37">
        <v>11500000000</v>
      </c>
      <c r="Q445" s="37">
        <v>12656754812.500004</v>
      </c>
      <c r="R445" s="37">
        <v>-7848681965.9652519</v>
      </c>
      <c r="S445">
        <v>4.1616270110000002</v>
      </c>
      <c r="T445" s="70">
        <v>4.3046826136918002</v>
      </c>
      <c r="U445">
        <v>4.4838274499999997</v>
      </c>
      <c r="V445">
        <v>23.261681838454901</v>
      </c>
      <c r="W445">
        <v>10795.9791580453</v>
      </c>
      <c r="X445" s="38">
        <v>-19978.462478404999</v>
      </c>
      <c r="Y445">
        <v>5184.7939999999999</v>
      </c>
      <c r="Z445" s="70">
        <v>-6250337743.0617828</v>
      </c>
      <c r="AA445" s="70">
        <v>-3911792256.9377041</v>
      </c>
      <c r="AB445" s="70">
        <v>-10162129999.999487</v>
      </c>
      <c r="AC445" s="70">
        <v>-10162129999.999487</v>
      </c>
      <c r="AD445" s="70">
        <v>-10162129999.999001</v>
      </c>
      <c r="AE445" s="70">
        <v>-10162129999.999487</v>
      </c>
      <c r="AF445">
        <v>2.2955885540000001</v>
      </c>
      <c r="AG445" s="72">
        <f>Tradingbook_MSB[[#This Row],[Mat. Date]]-RPT</f>
        <v>1722</v>
      </c>
      <c r="AH445" s="71">
        <f>IF(Tradingbook_MSB[[#This Row],[Days]]&lt;=0,0,YEARFRAC(RPT,Tradingbook_MSB[[#This Row],[Mat. Date]],3))</f>
        <v>4.7178082191780826</v>
      </c>
      <c r="AI445" s="71" t="str">
        <f>IF(Tradingbook_MSB[[#This Row],[Days (year)]]=0,0,INDEX(Ref!$K$2:$K$13,MATCH(Tradingbook_MSB[[#This Row],[Days (year)]],Ref!$I$2:$I$13,1)))</f>
        <v>5Y</v>
      </c>
      <c r="AJ445" s="120" t="str">
        <f>VLOOKUP(Tradingbook_MSB[[#This Row],[Security Name]],Ref!X:Z,3,0)</f>
        <v>TPCP</v>
      </c>
      <c r="AK445" s="120" t="str">
        <f>VLOOKUP(Tradingbook_MSB[[#This Row],[Security Name]],Ref!X:Y,2,0)</f>
        <v>KBNN</v>
      </c>
      <c r="AL445" s="71">
        <f>IF((Tradingbook_MSB[[#This Row],[Mat. Date]]-RPT)&lt;=0,0,Tradingbook_MSB[[#This Row],[QUANTITY]])</f>
        <v>500000</v>
      </c>
      <c r="AM445" s="71">
        <f>IF(Tradingbook_MSB[[#This Row],[Quantity_edited]]=0,0,Tradingbook_MSB[[#This Row],[DURATION]])</f>
        <v>4.4838274499999997</v>
      </c>
      <c r="AN445" s="71">
        <f>IF(Tradingbook_MSB[[#This Row],[Quantity_edited]]=0,0,Tradingbook_MSB[[#This Row],[Mod Dur]])</f>
        <v>4.3046826136918002</v>
      </c>
      <c r="AO445" s="71">
        <f>IF(Tradingbook_MSB[[#This Row],[Quantity_edited]]=0,0,Tradingbook_MSB[[#This Row],[Cnvx.]])</f>
        <v>23.261681838454901</v>
      </c>
      <c r="AP445" s="71">
        <f>(Tradingbook_MSB[[#This Row],[MARKET_VALUE]]+Tradingbook_MSB[[#This Row],[Accr Int]]*Tradingbook_MSB[[#This Row],[Quantity_edited]])*(-Tradingbook_MSB[[#This Row],[Modified Duration]]*0.0001+0.5*Tradingbook_MSB[[#This Row],[Conv]]*(0.0001^2))</f>
        <v>-19973064.488825992</v>
      </c>
      <c r="AQ445" s="72">
        <f>(Tradingbook_MSB[[#This Row],[MARKET_VALUE]]+Tradingbook_MSB[[#This Row],[Accr Int]]*Tradingbook_MSB[[#This Row],[Quantity_edited]])*(-Tradingbook_MSB[[#This Row],[Modified Duration]]*0.01+0.5*Tradingbook_MSB[[#This Row],[Conv]]*(0.01^2))</f>
        <v>-1943866352.0502751</v>
      </c>
      <c r="CL445" t="s">
        <v>166</v>
      </c>
      <c r="CM445" t="s">
        <v>3301</v>
      </c>
      <c r="CN445" t="s">
        <v>2499</v>
      </c>
      <c r="CO445" t="s">
        <v>169</v>
      </c>
      <c r="CP445">
        <v>48556</v>
      </c>
      <c r="CQ445" t="s">
        <v>3322</v>
      </c>
      <c r="CR445" t="s">
        <v>4330</v>
      </c>
      <c r="CS445" t="s">
        <v>4331</v>
      </c>
      <c r="CT445">
        <v>0</v>
      </c>
      <c r="CU445">
        <v>0</v>
      </c>
      <c r="CV445">
        <v>0</v>
      </c>
      <c r="CW445">
        <v>0</v>
      </c>
      <c r="CX445">
        <v>4.8</v>
      </c>
      <c r="CY445">
        <v>3327</v>
      </c>
      <c r="CZ445">
        <v>0</v>
      </c>
      <c r="DA445">
        <v>-1.9999999999999999E-6</v>
      </c>
      <c r="DB445">
        <v>-224325530.48610687</v>
      </c>
      <c r="DC445">
        <v>4.2844582180000002</v>
      </c>
      <c r="DD445">
        <v>5</v>
      </c>
      <c r="DE445">
        <v>5</v>
      </c>
      <c r="DF445">
        <v>35</v>
      </c>
      <c r="DG445">
        <v>0</v>
      </c>
      <c r="DH445">
        <v>0</v>
      </c>
      <c r="DI445">
        <v>0</v>
      </c>
      <c r="DJ445">
        <v>377500000</v>
      </c>
      <c r="DK445">
        <v>0</v>
      </c>
      <c r="DL445">
        <v>377500000</v>
      </c>
      <c r="DM445">
        <v>377500000</v>
      </c>
      <c r="DN445">
        <v>377500000</v>
      </c>
      <c r="DO445">
        <v>377500000</v>
      </c>
      <c r="DP445" s="32">
        <f>Tradingbook_SBV[[#This Row],[Mat. Date]]-RPT</f>
        <v>2304</v>
      </c>
      <c r="DQ445" s="32">
        <f>IF(Tradingbook_SBV[[#This Row],[Days]]&lt;=0,0,YEARFRAC(RPT,Tradingbook_SBV[[#This Row],[Mat. Date]],3))</f>
        <v>6.3123287671232875</v>
      </c>
      <c r="DR445" s="32" t="str">
        <f>IF(Tradingbook_SBV[[#This Row],[Days (year)]]=0,0,INDEX(Ref!$K$2:$K$13,MATCH(Tradingbook_SBV[[#This Row],[Days (year)]],Ref!$I$2:$I$13,1)))</f>
        <v>7Y</v>
      </c>
      <c r="DS445" s="32" t="str">
        <f>VLOOKUP(Tradingbook_SBV[[#This Row],[Security Name]],Ref!X:Z,3,0)</f>
        <v>TPCP</v>
      </c>
      <c r="DT445" s="32" t="str">
        <f>VLOOKUP(Tradingbook_SBV[[#This Row],[Security Name]],Ref!X:Y,2,0)</f>
        <v>KBNN</v>
      </c>
      <c r="DU445" s="71">
        <f>IF((Tradingbook_SBV[[#This Row],[Mat. Date]]-RPT)&lt;=0,0,Tradingbook_SBV[[#This Row],[QUANTITY]])</f>
        <v>0</v>
      </c>
      <c r="DV445" s="71">
        <f>IF(Tradingbook_SBV[[#This Row],[Quantity_edited]]=0,0,Tradingbook_SBV[[#This Row],[DURATION]])</f>
        <v>0</v>
      </c>
      <c r="DW445" s="71">
        <f>IF(Tradingbook_SBV[[#This Row],[Quantity_edited]]=0,0,Tradingbook_SBV[[#This Row],[Mod Dur]])</f>
        <v>0</v>
      </c>
      <c r="DX445" s="71">
        <f>IF(Tradingbook_SBV[[#This Row],[Quantity_edited]]=0,0,Tradingbook_SBV[[#This Row],[Cnvx.]])</f>
        <v>0</v>
      </c>
      <c r="DY445" s="71">
        <f>(Tradingbook_SBV[[#This Row],[MARKET_VALUE]]+Tradingbook_SBV[[#This Row],[Accr Int]]*Tradingbook_SBV[[#This Row],[Quantity_edited]])*(-Tradingbook_SBV[[#This Row],[Modified Duration]]*0.0001+0.5*Tradingbook_SBV[[#This Row],[Conv]]*(0.0001^2))</f>
        <v>0</v>
      </c>
      <c r="DZ445" s="71">
        <f>(Tradingbook_SBV[[#This Row],[MARKET_VALUE]]+Tradingbook_SBV[[#This Row],[Accr Int]]*Tradingbook_SBV[[#This Row],[Quantity_edited]])*(-Tradingbook_SBV[[#This Row],[Modified Duration]]*0.01+0.5*Tradingbook_SBV[[#This Row],[Conv]]*(0.01^2))</f>
        <v>0</v>
      </c>
    </row>
    <row r="446" spans="2:130" x14ac:dyDescent="0.3">
      <c r="B446" t="s">
        <v>166</v>
      </c>
      <c r="C446" t="s">
        <v>3300</v>
      </c>
      <c r="D446" t="s">
        <v>617</v>
      </c>
      <c r="E446" t="s">
        <v>169</v>
      </c>
      <c r="F446" s="502">
        <v>48001</v>
      </c>
      <c r="G446" t="s">
        <v>3322</v>
      </c>
      <c r="H446">
        <v>114538</v>
      </c>
      <c r="I446">
        <v>114538</v>
      </c>
      <c r="J446" s="38">
        <v>0</v>
      </c>
      <c r="K446">
        <v>0</v>
      </c>
      <c r="L446">
        <v>0</v>
      </c>
      <c r="M446" s="38">
        <v>0</v>
      </c>
      <c r="N446">
        <v>7.6</v>
      </c>
      <c r="O446">
        <v>1603</v>
      </c>
      <c r="P446" s="37">
        <v>38000000000</v>
      </c>
      <c r="Q446" s="37">
        <v>44813401055.555565</v>
      </c>
      <c r="R446" s="37">
        <v>-8210577663.7527237</v>
      </c>
      <c r="S446">
        <v>4.1814161509999996</v>
      </c>
      <c r="T446" s="70">
        <v>4.0126150132375997</v>
      </c>
      <c r="U446">
        <v>4.1803991500000004</v>
      </c>
      <c r="V446">
        <v>21.316319375466701</v>
      </c>
      <c r="W446">
        <v>0</v>
      </c>
      <c r="X446" s="38">
        <v>0</v>
      </c>
      <c r="Y446">
        <v>0</v>
      </c>
      <c r="Z446" s="70">
        <v>16636933600</v>
      </c>
      <c r="AA446" s="70">
        <v>0</v>
      </c>
      <c r="AB446" s="70">
        <v>16636933600</v>
      </c>
      <c r="AC446" s="70">
        <v>16636933600</v>
      </c>
      <c r="AD446" s="70">
        <v>16636933600</v>
      </c>
      <c r="AE446" s="70">
        <v>16636933600</v>
      </c>
      <c r="AF446">
        <v>0</v>
      </c>
      <c r="AG446" s="72">
        <f>Tradingbook_MSB[[#This Row],[Mat. Date]]-RPT</f>
        <v>1749</v>
      </c>
      <c r="AH446" s="71">
        <f>IF(Tradingbook_MSB[[#This Row],[Days]]&lt;=0,0,YEARFRAC(RPT,Tradingbook_MSB[[#This Row],[Mat. Date]],3))</f>
        <v>4.7917808219178086</v>
      </c>
      <c r="AI446" s="71" t="str">
        <f>IF(Tradingbook_MSB[[#This Row],[Days (year)]]=0,0,INDEX(Ref!$K$2:$K$13,MATCH(Tradingbook_MSB[[#This Row],[Days (year)]],Ref!$I$2:$I$13,1)))</f>
        <v>5Y</v>
      </c>
      <c r="AJ446" s="120" t="str">
        <f>VLOOKUP(Tradingbook_MSB[[#This Row],[Security Name]],Ref!X:Z,3,0)</f>
        <v>TPCP</v>
      </c>
      <c r="AK446" s="120" t="str">
        <f>VLOOKUP(Tradingbook_MSB[[#This Row],[Security Name]],Ref!X:Y,2,0)</f>
        <v>KBNN</v>
      </c>
      <c r="AL446" s="71">
        <f>IF((Tradingbook_MSB[[#This Row],[Mat. Date]]-RPT)&lt;=0,0,Tradingbook_MSB[[#This Row],[QUANTITY]])</f>
        <v>0</v>
      </c>
      <c r="AM446" s="71">
        <f>IF(Tradingbook_MSB[[#This Row],[Quantity_edited]]=0,0,Tradingbook_MSB[[#This Row],[DURATION]])</f>
        <v>0</v>
      </c>
      <c r="AN446" s="71">
        <f>IF(Tradingbook_MSB[[#This Row],[Quantity_edited]]=0,0,Tradingbook_MSB[[#This Row],[Mod Dur]])</f>
        <v>0</v>
      </c>
      <c r="AO446" s="71">
        <f>IF(Tradingbook_MSB[[#This Row],[Quantity_edited]]=0,0,Tradingbook_MSB[[#This Row],[Cnvx.]])</f>
        <v>0</v>
      </c>
      <c r="AP446" s="71">
        <f>(Tradingbook_MSB[[#This Row],[MARKET_VALUE]]+Tradingbook_MSB[[#This Row],[Accr Int]]*Tradingbook_MSB[[#This Row],[Quantity_edited]])*(-Tradingbook_MSB[[#This Row],[Modified Duration]]*0.0001+0.5*Tradingbook_MSB[[#This Row],[Conv]]*(0.0001^2))</f>
        <v>0</v>
      </c>
      <c r="AQ446" s="72">
        <f>(Tradingbook_MSB[[#This Row],[MARKET_VALUE]]+Tradingbook_MSB[[#This Row],[Accr Int]]*Tradingbook_MSB[[#This Row],[Quantity_edited]])*(-Tradingbook_MSB[[#This Row],[Modified Duration]]*0.01+0.5*Tradingbook_MSB[[#This Row],[Conv]]*(0.01^2))</f>
        <v>0</v>
      </c>
      <c r="CL446" t="s">
        <v>166</v>
      </c>
      <c r="CM446" t="s">
        <v>3301</v>
      </c>
      <c r="CN446" t="s">
        <v>658</v>
      </c>
      <c r="CO446" t="s">
        <v>169</v>
      </c>
      <c r="CP446">
        <v>48573</v>
      </c>
      <c r="CQ446" t="s">
        <v>3322</v>
      </c>
      <c r="CR446" t="s">
        <v>4332</v>
      </c>
      <c r="CS446" t="s">
        <v>4333</v>
      </c>
      <c r="CT446">
        <v>0</v>
      </c>
      <c r="CU446">
        <v>0</v>
      </c>
      <c r="CV446">
        <v>0</v>
      </c>
      <c r="CW446">
        <v>0</v>
      </c>
      <c r="CX446">
        <v>5.9</v>
      </c>
      <c r="CY446">
        <v>3815</v>
      </c>
      <c r="CZ446">
        <v>0</v>
      </c>
      <c r="DA446">
        <v>0</v>
      </c>
      <c r="DB446">
        <v>0</v>
      </c>
      <c r="DC446">
        <v>4.786100974</v>
      </c>
      <c r="DD446">
        <v>5</v>
      </c>
      <c r="DE446">
        <v>5</v>
      </c>
      <c r="DF446">
        <v>34</v>
      </c>
      <c r="DG446">
        <v>0</v>
      </c>
      <c r="DH446">
        <v>0</v>
      </c>
      <c r="DI446">
        <v>0</v>
      </c>
      <c r="DJ446">
        <v>0</v>
      </c>
      <c r="DK446">
        <v>0</v>
      </c>
      <c r="DL446">
        <v>0</v>
      </c>
      <c r="DM446">
        <v>0</v>
      </c>
      <c r="DN446">
        <v>0</v>
      </c>
      <c r="DO446">
        <v>0</v>
      </c>
      <c r="DP446" s="32">
        <f>Tradingbook_SBV[[#This Row],[Mat. Date]]-RPT</f>
        <v>2321</v>
      </c>
      <c r="DQ446" s="32">
        <f>IF(Tradingbook_SBV[[#This Row],[Days]]&lt;=0,0,YEARFRAC(RPT,Tradingbook_SBV[[#This Row],[Mat. Date]],3))</f>
        <v>6.3589041095890408</v>
      </c>
      <c r="DR446" s="32" t="str">
        <f>IF(Tradingbook_SBV[[#This Row],[Days (year)]]=0,0,INDEX(Ref!$K$2:$K$13,MATCH(Tradingbook_SBV[[#This Row],[Days (year)]],Ref!$I$2:$I$13,1)))</f>
        <v>7Y</v>
      </c>
      <c r="DS446" s="32" t="str">
        <f>VLOOKUP(Tradingbook_SBV[[#This Row],[Security Name]],Ref!X:Z,3,0)</f>
        <v>TPCPBL</v>
      </c>
      <c r="DT446" s="32" t="str">
        <f>VLOOKUP(Tradingbook_SBV[[#This Row],[Security Name]],Ref!X:Y,2,0)</f>
        <v>VDB</v>
      </c>
      <c r="DU446" s="71">
        <f>IF((Tradingbook_SBV[[#This Row],[Mat. Date]]-RPT)&lt;=0,0,Tradingbook_SBV[[#This Row],[QUANTITY]])</f>
        <v>0</v>
      </c>
      <c r="DV446" s="71">
        <f>IF(Tradingbook_SBV[[#This Row],[Quantity_edited]]=0,0,Tradingbook_SBV[[#This Row],[DURATION]])</f>
        <v>0</v>
      </c>
      <c r="DW446" s="71">
        <f>IF(Tradingbook_SBV[[#This Row],[Quantity_edited]]=0,0,Tradingbook_SBV[[#This Row],[Mod Dur]])</f>
        <v>0</v>
      </c>
      <c r="DX446" s="71">
        <f>IF(Tradingbook_SBV[[#This Row],[Quantity_edited]]=0,0,Tradingbook_SBV[[#This Row],[Cnvx.]])</f>
        <v>0</v>
      </c>
      <c r="DY446" s="71">
        <f>(Tradingbook_SBV[[#This Row],[MARKET_VALUE]]+Tradingbook_SBV[[#This Row],[Accr Int]]*Tradingbook_SBV[[#This Row],[Quantity_edited]])*(-Tradingbook_SBV[[#This Row],[Modified Duration]]*0.0001+0.5*Tradingbook_SBV[[#This Row],[Conv]]*(0.0001^2))</f>
        <v>0</v>
      </c>
      <c r="DZ446" s="71">
        <f>(Tradingbook_SBV[[#This Row],[MARKET_VALUE]]+Tradingbook_SBV[[#This Row],[Accr Int]]*Tradingbook_SBV[[#This Row],[Quantity_edited]])*(-Tradingbook_SBV[[#This Row],[Modified Duration]]*0.01+0.5*Tradingbook_SBV[[#This Row],[Conv]]*(0.01^2))</f>
        <v>0</v>
      </c>
    </row>
    <row r="447" spans="2:130" x14ac:dyDescent="0.3">
      <c r="B447" t="s">
        <v>166</v>
      </c>
      <c r="C447" t="s">
        <v>3300</v>
      </c>
      <c r="D447" t="s">
        <v>639</v>
      </c>
      <c r="E447" t="s">
        <v>169</v>
      </c>
      <c r="F447" s="502">
        <v>48009</v>
      </c>
      <c r="G447" t="s">
        <v>3322</v>
      </c>
      <c r="H447">
        <v>91493</v>
      </c>
      <c r="I447">
        <v>91493</v>
      </c>
      <c r="J447" s="38">
        <v>0</v>
      </c>
      <c r="K447">
        <v>0</v>
      </c>
      <c r="L447">
        <v>0</v>
      </c>
      <c r="M447" s="38">
        <v>0</v>
      </c>
      <c r="N447">
        <v>2.2000000000000002</v>
      </c>
      <c r="O447">
        <v>416</v>
      </c>
      <c r="P447" s="37">
        <v>2200000000</v>
      </c>
      <c r="Q447" s="37">
        <v>2411716388.888876</v>
      </c>
      <c r="R447" s="37">
        <v>-2479200630.7138057</v>
      </c>
      <c r="S447">
        <v>4.1873502890000003</v>
      </c>
      <c r="T447" s="70">
        <v>4.4041273084675003</v>
      </c>
      <c r="U447">
        <v>4.5885435499999998</v>
      </c>
      <c r="V447">
        <v>24.200877633875098</v>
      </c>
      <c r="W447">
        <v>0</v>
      </c>
      <c r="X447" s="38">
        <v>0</v>
      </c>
      <c r="Y447">
        <v>0</v>
      </c>
      <c r="Z447" s="70">
        <v>-7166000000</v>
      </c>
      <c r="AA447" s="70">
        <v>0</v>
      </c>
      <c r="AB447" s="70">
        <v>-7166000000</v>
      </c>
      <c r="AC447" s="70">
        <v>-7166000000</v>
      </c>
      <c r="AD447" s="70">
        <v>-7166000000</v>
      </c>
      <c r="AE447" s="70">
        <v>-7166000000</v>
      </c>
      <c r="AF447">
        <v>0</v>
      </c>
      <c r="AG447" s="72">
        <f>Tradingbook_MSB[[#This Row],[Mat. Date]]-RPT</f>
        <v>1757</v>
      </c>
      <c r="AH447" s="71">
        <f>IF(Tradingbook_MSB[[#This Row],[Days]]&lt;=0,0,YEARFRAC(RPT,Tradingbook_MSB[[#This Row],[Mat. Date]],3))</f>
        <v>4.8136986301369866</v>
      </c>
      <c r="AI447" s="71" t="str">
        <f>IF(Tradingbook_MSB[[#This Row],[Days (year)]]=0,0,INDEX(Ref!$K$2:$K$13,MATCH(Tradingbook_MSB[[#This Row],[Days (year)]],Ref!$I$2:$I$13,1)))</f>
        <v>5Y</v>
      </c>
      <c r="AJ447" s="120" t="str">
        <f>VLOOKUP(Tradingbook_MSB[[#This Row],[Security Name]],Ref!X:Z,3,0)</f>
        <v>TPCP</v>
      </c>
      <c r="AK447" s="120" t="str">
        <f>VLOOKUP(Tradingbook_MSB[[#This Row],[Security Name]],Ref!X:Y,2,0)</f>
        <v>KBNN</v>
      </c>
      <c r="AL447" s="71">
        <f>IF((Tradingbook_MSB[[#This Row],[Mat. Date]]-RPT)&lt;=0,0,Tradingbook_MSB[[#This Row],[QUANTITY]])</f>
        <v>0</v>
      </c>
      <c r="AM447" s="71">
        <f>IF(Tradingbook_MSB[[#This Row],[Quantity_edited]]=0,0,Tradingbook_MSB[[#This Row],[DURATION]])</f>
        <v>0</v>
      </c>
      <c r="AN447" s="71">
        <f>IF(Tradingbook_MSB[[#This Row],[Quantity_edited]]=0,0,Tradingbook_MSB[[#This Row],[Mod Dur]])</f>
        <v>0</v>
      </c>
      <c r="AO447" s="71">
        <f>IF(Tradingbook_MSB[[#This Row],[Quantity_edited]]=0,0,Tradingbook_MSB[[#This Row],[Cnvx.]])</f>
        <v>0</v>
      </c>
      <c r="AP447" s="71">
        <f>(Tradingbook_MSB[[#This Row],[MARKET_VALUE]]+Tradingbook_MSB[[#This Row],[Accr Int]]*Tradingbook_MSB[[#This Row],[Quantity_edited]])*(-Tradingbook_MSB[[#This Row],[Modified Duration]]*0.0001+0.5*Tradingbook_MSB[[#This Row],[Conv]]*(0.0001^2))</f>
        <v>0</v>
      </c>
      <c r="AQ447" s="72">
        <f>(Tradingbook_MSB[[#This Row],[MARKET_VALUE]]+Tradingbook_MSB[[#This Row],[Accr Int]]*Tradingbook_MSB[[#This Row],[Quantity_edited]])*(-Tradingbook_MSB[[#This Row],[Modified Duration]]*0.01+0.5*Tradingbook_MSB[[#This Row],[Conv]]*(0.01^2))</f>
        <v>0</v>
      </c>
      <c r="CL447" t="s">
        <v>166</v>
      </c>
      <c r="CM447" t="s">
        <v>3301</v>
      </c>
      <c r="CN447" t="s">
        <v>2381</v>
      </c>
      <c r="CO447" t="s">
        <v>169</v>
      </c>
      <c r="CP447">
        <v>48584</v>
      </c>
      <c r="CQ447" t="s">
        <v>3322</v>
      </c>
      <c r="CR447" t="s">
        <v>4071</v>
      </c>
      <c r="CS447" t="s">
        <v>4072</v>
      </c>
      <c r="CT447">
        <v>0</v>
      </c>
      <c r="CU447">
        <v>0</v>
      </c>
      <c r="CV447">
        <v>0</v>
      </c>
      <c r="CW447">
        <v>0</v>
      </c>
      <c r="CX447">
        <v>4.5</v>
      </c>
      <c r="CY447">
        <v>2774</v>
      </c>
      <c r="CZ447">
        <v>2250000000</v>
      </c>
      <c r="DA447">
        <v>2432265625.000011</v>
      </c>
      <c r="DB447">
        <v>-3181132096.8055315</v>
      </c>
      <c r="DC447">
        <v>4.2870923760000004</v>
      </c>
      <c r="DD447">
        <v>5</v>
      </c>
      <c r="DE447">
        <v>6</v>
      </c>
      <c r="DF447">
        <v>36</v>
      </c>
      <c r="DG447">
        <v>0</v>
      </c>
      <c r="DH447">
        <v>0</v>
      </c>
      <c r="DI447">
        <v>0</v>
      </c>
      <c r="DJ447">
        <v>-2019500000</v>
      </c>
      <c r="DK447">
        <v>0</v>
      </c>
      <c r="DL447">
        <v>-2019500000</v>
      </c>
      <c r="DM447">
        <v>-2019500000</v>
      </c>
      <c r="DN447">
        <v>-2019500000</v>
      </c>
      <c r="DO447">
        <v>-2019500000</v>
      </c>
      <c r="DP447" s="32">
        <f>Tradingbook_SBV[[#This Row],[Mat. Date]]-RPT</f>
        <v>2332</v>
      </c>
      <c r="DQ447" s="32">
        <f>IF(Tradingbook_SBV[[#This Row],[Days]]&lt;=0,0,YEARFRAC(RPT,Tradingbook_SBV[[#This Row],[Mat. Date]],3))</f>
        <v>6.3890410958904109</v>
      </c>
      <c r="DR447" s="32" t="str">
        <f>IF(Tradingbook_SBV[[#This Row],[Days (year)]]=0,0,INDEX(Ref!$K$2:$K$13,MATCH(Tradingbook_SBV[[#This Row],[Days (year)]],Ref!$I$2:$I$13,1)))</f>
        <v>7Y</v>
      </c>
      <c r="DS447" s="32" t="str">
        <f>VLOOKUP(Tradingbook_SBV[[#This Row],[Security Name]],Ref!X:Z,3,0)</f>
        <v>TPCP</v>
      </c>
      <c r="DT447" s="32" t="str">
        <f>VLOOKUP(Tradingbook_SBV[[#This Row],[Security Name]],Ref!X:Y,2,0)</f>
        <v>KBNN</v>
      </c>
      <c r="DU447" s="71">
        <f>IF((Tradingbook_SBV[[#This Row],[Mat. Date]]-RPT)&lt;=0,0,Tradingbook_SBV[[#This Row],[QUANTITY]])</f>
        <v>0</v>
      </c>
      <c r="DV447" s="71">
        <f>IF(Tradingbook_SBV[[#This Row],[Quantity_edited]]=0,0,Tradingbook_SBV[[#This Row],[DURATION]])</f>
        <v>0</v>
      </c>
      <c r="DW447" s="71">
        <f>IF(Tradingbook_SBV[[#This Row],[Quantity_edited]]=0,0,Tradingbook_SBV[[#This Row],[Mod Dur]])</f>
        <v>0</v>
      </c>
      <c r="DX447" s="71">
        <f>IF(Tradingbook_SBV[[#This Row],[Quantity_edited]]=0,0,Tradingbook_SBV[[#This Row],[Cnvx.]])</f>
        <v>0</v>
      </c>
      <c r="DY447" s="71">
        <f>(Tradingbook_SBV[[#This Row],[MARKET_VALUE]]+Tradingbook_SBV[[#This Row],[Accr Int]]*Tradingbook_SBV[[#This Row],[Quantity_edited]])*(-Tradingbook_SBV[[#This Row],[Modified Duration]]*0.0001+0.5*Tradingbook_SBV[[#This Row],[Conv]]*(0.0001^2))</f>
        <v>0</v>
      </c>
      <c r="DZ447" s="71">
        <f>(Tradingbook_SBV[[#This Row],[MARKET_VALUE]]+Tradingbook_SBV[[#This Row],[Accr Int]]*Tradingbook_SBV[[#This Row],[Quantity_edited]])*(-Tradingbook_SBV[[#This Row],[Modified Duration]]*0.01+0.5*Tradingbook_SBV[[#This Row],[Conv]]*(0.01^2))</f>
        <v>0</v>
      </c>
    </row>
    <row r="448" spans="2:130" x14ac:dyDescent="0.3">
      <c r="B448" t="s">
        <v>166</v>
      </c>
      <c r="C448" t="s">
        <v>3300</v>
      </c>
      <c r="D448" t="s">
        <v>618</v>
      </c>
      <c r="E448" t="s">
        <v>169</v>
      </c>
      <c r="F448" s="502">
        <v>48016</v>
      </c>
      <c r="G448" t="s">
        <v>3322</v>
      </c>
      <c r="H448">
        <v>114401</v>
      </c>
      <c r="I448">
        <v>114401</v>
      </c>
      <c r="J448" s="38">
        <v>0</v>
      </c>
      <c r="K448">
        <v>0</v>
      </c>
      <c r="L448">
        <v>0</v>
      </c>
      <c r="M448" s="38">
        <v>0</v>
      </c>
      <c r="N448">
        <v>8.1</v>
      </c>
      <c r="O448">
        <v>1376</v>
      </c>
      <c r="P448" s="37">
        <v>0</v>
      </c>
      <c r="Q448" s="37">
        <v>0</v>
      </c>
      <c r="R448" s="37">
        <v>-3492217.2222251892</v>
      </c>
      <c r="S448">
        <v>4.6925604339999998</v>
      </c>
      <c r="T448" s="70">
        <v>3.9985322454377998</v>
      </c>
      <c r="U448">
        <v>4.1861657900000004</v>
      </c>
      <c r="V448">
        <v>21.2183870166098</v>
      </c>
      <c r="W448">
        <v>0</v>
      </c>
      <c r="X448" s="38">
        <v>0</v>
      </c>
      <c r="Y448">
        <v>0</v>
      </c>
      <c r="Z448" s="70">
        <v>15000000</v>
      </c>
      <c r="AA448" s="70">
        <v>0</v>
      </c>
      <c r="AB448" s="70">
        <v>15000000</v>
      </c>
      <c r="AC448" s="70">
        <v>15000000</v>
      </c>
      <c r="AD448" s="70">
        <v>15000000</v>
      </c>
      <c r="AE448" s="70">
        <v>15000000</v>
      </c>
      <c r="AF448">
        <v>0</v>
      </c>
      <c r="AG448" s="72">
        <f>Tradingbook_MSB[[#This Row],[Mat. Date]]-RPT</f>
        <v>1764</v>
      </c>
      <c r="AH448" s="71">
        <f>IF(Tradingbook_MSB[[#This Row],[Days]]&lt;=0,0,YEARFRAC(RPT,Tradingbook_MSB[[#This Row],[Mat. Date]],3))</f>
        <v>4.8328767123287673</v>
      </c>
      <c r="AI448" s="71" t="str">
        <f>IF(Tradingbook_MSB[[#This Row],[Days (year)]]=0,0,INDEX(Ref!$K$2:$K$13,MATCH(Tradingbook_MSB[[#This Row],[Days (year)]],Ref!$I$2:$I$13,1)))</f>
        <v>5Y</v>
      </c>
      <c r="AJ448" s="120" t="str">
        <f>VLOOKUP(Tradingbook_MSB[[#This Row],[Security Name]],Ref!X:Z,3,0)</f>
        <v>TPCPBL</v>
      </c>
      <c r="AK448" s="120" t="str">
        <f>VLOOKUP(Tradingbook_MSB[[#This Row],[Security Name]],Ref!X:Y,2,0)</f>
        <v>VBS</v>
      </c>
      <c r="AL448" s="71">
        <f>IF((Tradingbook_MSB[[#This Row],[Mat. Date]]-RPT)&lt;=0,0,Tradingbook_MSB[[#This Row],[QUANTITY]])</f>
        <v>0</v>
      </c>
      <c r="AM448" s="71">
        <f>IF(Tradingbook_MSB[[#This Row],[Quantity_edited]]=0,0,Tradingbook_MSB[[#This Row],[DURATION]])</f>
        <v>0</v>
      </c>
      <c r="AN448" s="71">
        <f>IF(Tradingbook_MSB[[#This Row],[Quantity_edited]]=0,0,Tradingbook_MSB[[#This Row],[Mod Dur]])</f>
        <v>0</v>
      </c>
      <c r="AO448" s="71">
        <f>IF(Tradingbook_MSB[[#This Row],[Quantity_edited]]=0,0,Tradingbook_MSB[[#This Row],[Cnvx.]])</f>
        <v>0</v>
      </c>
      <c r="AP448" s="71">
        <f>(Tradingbook_MSB[[#This Row],[MARKET_VALUE]]+Tradingbook_MSB[[#This Row],[Accr Int]]*Tradingbook_MSB[[#This Row],[Quantity_edited]])*(-Tradingbook_MSB[[#This Row],[Modified Duration]]*0.0001+0.5*Tradingbook_MSB[[#This Row],[Conv]]*(0.0001^2))</f>
        <v>0</v>
      </c>
      <c r="AQ448" s="72">
        <f>(Tradingbook_MSB[[#This Row],[MARKET_VALUE]]+Tradingbook_MSB[[#This Row],[Accr Int]]*Tradingbook_MSB[[#This Row],[Quantity_edited]])*(-Tradingbook_MSB[[#This Row],[Modified Duration]]*0.01+0.5*Tradingbook_MSB[[#This Row],[Conv]]*(0.01^2))</f>
        <v>0</v>
      </c>
      <c r="CL448" t="s">
        <v>166</v>
      </c>
      <c r="CM448" t="s">
        <v>3301</v>
      </c>
      <c r="CN448" t="s">
        <v>660</v>
      </c>
      <c r="CO448" t="s">
        <v>169</v>
      </c>
      <c r="CP448">
        <v>48590</v>
      </c>
      <c r="CQ448" t="s">
        <v>3322</v>
      </c>
      <c r="CR448" t="s">
        <v>4334</v>
      </c>
      <c r="CS448" t="s">
        <v>4335</v>
      </c>
      <c r="CT448">
        <v>0</v>
      </c>
      <c r="CU448">
        <v>0</v>
      </c>
      <c r="CV448">
        <v>0</v>
      </c>
      <c r="CW448">
        <v>0</v>
      </c>
      <c r="CX448">
        <v>5.2</v>
      </c>
      <c r="CY448">
        <v>3120</v>
      </c>
      <c r="CZ448">
        <v>10400000000</v>
      </c>
      <c r="DA448">
        <v>11433189444.44445</v>
      </c>
      <c r="DB448">
        <v>-2397131268.0555406</v>
      </c>
      <c r="DC448">
        <v>4.287722488</v>
      </c>
      <c r="DD448">
        <v>5</v>
      </c>
      <c r="DE448">
        <v>5</v>
      </c>
      <c r="DF448">
        <v>36</v>
      </c>
      <c r="DG448">
        <v>0</v>
      </c>
      <c r="DH448">
        <v>0</v>
      </c>
      <c r="DI448">
        <v>0</v>
      </c>
      <c r="DJ448">
        <v>-5766500000</v>
      </c>
      <c r="DK448">
        <v>0</v>
      </c>
      <c r="DL448">
        <v>-5766500000</v>
      </c>
      <c r="DM448">
        <v>-5766500000</v>
      </c>
      <c r="DN448">
        <v>-5766500000</v>
      </c>
      <c r="DO448">
        <v>-5766500000</v>
      </c>
      <c r="DP448" s="32">
        <f>Tradingbook_SBV[[#This Row],[Mat. Date]]-RPT</f>
        <v>2338</v>
      </c>
      <c r="DQ448" s="32">
        <f>IF(Tradingbook_SBV[[#This Row],[Days]]&lt;=0,0,YEARFRAC(RPT,Tradingbook_SBV[[#This Row],[Mat. Date]],3))</f>
        <v>6.4054794520547942</v>
      </c>
      <c r="DR448" s="32" t="str">
        <f>IF(Tradingbook_SBV[[#This Row],[Days (year)]]=0,0,INDEX(Ref!$K$2:$K$13,MATCH(Tradingbook_SBV[[#This Row],[Days (year)]],Ref!$I$2:$I$13,1)))</f>
        <v>7Y</v>
      </c>
      <c r="DS448" s="32" t="str">
        <f>VLOOKUP(Tradingbook_SBV[[#This Row],[Security Name]],Ref!X:Z,3,0)</f>
        <v>TPCP</v>
      </c>
      <c r="DT448" s="32" t="str">
        <f>VLOOKUP(Tradingbook_SBV[[#This Row],[Security Name]],Ref!X:Y,2,0)</f>
        <v>KBNN</v>
      </c>
      <c r="DU448" s="71">
        <f>IF((Tradingbook_SBV[[#This Row],[Mat. Date]]-RPT)&lt;=0,0,Tradingbook_SBV[[#This Row],[QUANTITY]])</f>
        <v>0</v>
      </c>
      <c r="DV448" s="71">
        <f>IF(Tradingbook_SBV[[#This Row],[Quantity_edited]]=0,0,Tradingbook_SBV[[#This Row],[DURATION]])</f>
        <v>0</v>
      </c>
      <c r="DW448" s="71">
        <f>IF(Tradingbook_SBV[[#This Row],[Quantity_edited]]=0,0,Tradingbook_SBV[[#This Row],[Mod Dur]])</f>
        <v>0</v>
      </c>
      <c r="DX448" s="71">
        <f>IF(Tradingbook_SBV[[#This Row],[Quantity_edited]]=0,0,Tradingbook_SBV[[#This Row],[Cnvx.]])</f>
        <v>0</v>
      </c>
      <c r="DY448" s="71">
        <f>(Tradingbook_SBV[[#This Row],[MARKET_VALUE]]+Tradingbook_SBV[[#This Row],[Accr Int]]*Tradingbook_SBV[[#This Row],[Quantity_edited]])*(-Tradingbook_SBV[[#This Row],[Modified Duration]]*0.0001+0.5*Tradingbook_SBV[[#This Row],[Conv]]*(0.0001^2))</f>
        <v>0</v>
      </c>
      <c r="DZ448" s="71">
        <f>(Tradingbook_SBV[[#This Row],[MARKET_VALUE]]+Tradingbook_SBV[[#This Row],[Accr Int]]*Tradingbook_SBV[[#This Row],[Quantity_edited]])*(-Tradingbook_SBV[[#This Row],[Modified Duration]]*0.01+0.5*Tradingbook_SBV[[#This Row],[Conv]]*(0.01^2))</f>
        <v>0</v>
      </c>
    </row>
    <row r="449" spans="2:130" x14ac:dyDescent="0.3">
      <c r="B449" t="s">
        <v>166</v>
      </c>
      <c r="C449" t="s">
        <v>3300</v>
      </c>
      <c r="D449" t="s">
        <v>619</v>
      </c>
      <c r="E449" t="s">
        <v>169</v>
      </c>
      <c r="F449" s="502">
        <v>48021</v>
      </c>
      <c r="G449" t="s">
        <v>3322</v>
      </c>
      <c r="H449">
        <v>114422</v>
      </c>
      <c r="I449">
        <v>114422</v>
      </c>
      <c r="J449" s="38">
        <v>0</v>
      </c>
      <c r="K449">
        <v>0</v>
      </c>
      <c r="L449">
        <v>0</v>
      </c>
      <c r="M449" s="38">
        <v>0</v>
      </c>
      <c r="N449">
        <v>8.1</v>
      </c>
      <c r="O449">
        <v>1265</v>
      </c>
      <c r="P449" s="37">
        <v>0</v>
      </c>
      <c r="Q449" s="37">
        <v>0</v>
      </c>
      <c r="R449" s="37">
        <v>-1743936.3888912201</v>
      </c>
      <c r="S449">
        <v>4.696286422</v>
      </c>
      <c r="T449" s="70">
        <v>4.0114215378628</v>
      </c>
      <c r="U449">
        <v>4.1998093799999996</v>
      </c>
      <c r="V449">
        <v>21.333812984971299</v>
      </c>
      <c r="W449">
        <v>0</v>
      </c>
      <c r="X449" s="38">
        <v>0</v>
      </c>
      <c r="Y449">
        <v>0</v>
      </c>
      <c r="Z449" s="70">
        <v>7500000</v>
      </c>
      <c r="AA449" s="70">
        <v>0</v>
      </c>
      <c r="AB449" s="70">
        <v>7500000</v>
      </c>
      <c r="AC449" s="70">
        <v>7500000</v>
      </c>
      <c r="AD449" s="70">
        <v>7500000</v>
      </c>
      <c r="AE449" s="70">
        <v>7500000</v>
      </c>
      <c r="AF449">
        <v>0</v>
      </c>
      <c r="AG449" s="72">
        <f>Tradingbook_MSB[[#This Row],[Mat. Date]]-RPT</f>
        <v>1769</v>
      </c>
      <c r="AH449" s="71">
        <f>IF(Tradingbook_MSB[[#This Row],[Days]]&lt;=0,0,YEARFRAC(RPT,Tradingbook_MSB[[#This Row],[Mat. Date]],3))</f>
        <v>4.8465753424657532</v>
      </c>
      <c r="AI449" s="71" t="str">
        <f>IF(Tradingbook_MSB[[#This Row],[Days (year)]]=0,0,INDEX(Ref!$K$2:$K$13,MATCH(Tradingbook_MSB[[#This Row],[Days (year)]],Ref!$I$2:$I$13,1)))</f>
        <v>5Y</v>
      </c>
      <c r="AJ449" s="120" t="str">
        <f>VLOOKUP(Tradingbook_MSB[[#This Row],[Security Name]],Ref!X:Z,3,0)</f>
        <v>TPCPBL</v>
      </c>
      <c r="AK449" s="120" t="str">
        <f>VLOOKUP(Tradingbook_MSB[[#This Row],[Security Name]],Ref!X:Y,2,0)</f>
        <v>VBS</v>
      </c>
      <c r="AL449" s="71">
        <f>IF((Tradingbook_MSB[[#This Row],[Mat. Date]]-RPT)&lt;=0,0,Tradingbook_MSB[[#This Row],[QUANTITY]])</f>
        <v>0</v>
      </c>
      <c r="AM449" s="71">
        <f>IF(Tradingbook_MSB[[#This Row],[Quantity_edited]]=0,0,Tradingbook_MSB[[#This Row],[DURATION]])</f>
        <v>0</v>
      </c>
      <c r="AN449" s="71">
        <f>IF(Tradingbook_MSB[[#This Row],[Quantity_edited]]=0,0,Tradingbook_MSB[[#This Row],[Mod Dur]])</f>
        <v>0</v>
      </c>
      <c r="AO449" s="71">
        <f>IF(Tradingbook_MSB[[#This Row],[Quantity_edited]]=0,0,Tradingbook_MSB[[#This Row],[Cnvx.]])</f>
        <v>0</v>
      </c>
      <c r="AP449" s="71">
        <f>(Tradingbook_MSB[[#This Row],[MARKET_VALUE]]+Tradingbook_MSB[[#This Row],[Accr Int]]*Tradingbook_MSB[[#This Row],[Quantity_edited]])*(-Tradingbook_MSB[[#This Row],[Modified Duration]]*0.0001+0.5*Tradingbook_MSB[[#This Row],[Conv]]*(0.0001^2))</f>
        <v>0</v>
      </c>
      <c r="AQ449" s="72">
        <f>(Tradingbook_MSB[[#This Row],[MARKET_VALUE]]+Tradingbook_MSB[[#This Row],[Accr Int]]*Tradingbook_MSB[[#This Row],[Quantity_edited]])*(-Tradingbook_MSB[[#This Row],[Modified Duration]]*0.01+0.5*Tradingbook_MSB[[#This Row],[Conv]]*(0.01^2))</f>
        <v>0</v>
      </c>
      <c r="CL449" t="s">
        <v>166</v>
      </c>
      <c r="CM449" t="s">
        <v>3301</v>
      </c>
      <c r="CN449" t="s">
        <v>2385</v>
      </c>
      <c r="CO449" t="s">
        <v>169</v>
      </c>
      <c r="CP449">
        <v>48612</v>
      </c>
      <c r="CQ449" t="s">
        <v>3322</v>
      </c>
      <c r="CR449" t="s">
        <v>4336</v>
      </c>
      <c r="CS449" t="s">
        <v>4337</v>
      </c>
      <c r="CT449">
        <v>0</v>
      </c>
      <c r="CU449">
        <v>0</v>
      </c>
      <c r="CV449">
        <v>0</v>
      </c>
      <c r="CW449">
        <v>0</v>
      </c>
      <c r="CX449">
        <v>4.2</v>
      </c>
      <c r="CY449">
        <v>2267</v>
      </c>
      <c r="CZ449">
        <v>0</v>
      </c>
      <c r="DA449">
        <v>0</v>
      </c>
      <c r="DB449">
        <v>30989615.138893127</v>
      </c>
      <c r="DC449">
        <v>4.2898791599999999</v>
      </c>
      <c r="DD449">
        <v>5</v>
      </c>
      <c r="DE449">
        <v>6</v>
      </c>
      <c r="DF449">
        <v>37</v>
      </c>
      <c r="DG449">
        <v>0</v>
      </c>
      <c r="DH449">
        <v>0</v>
      </c>
      <c r="DI449">
        <v>0</v>
      </c>
      <c r="DJ449">
        <v>257000000</v>
      </c>
      <c r="DK449">
        <v>0</v>
      </c>
      <c r="DL449">
        <v>257000000</v>
      </c>
      <c r="DM449">
        <v>257000000</v>
      </c>
      <c r="DN449">
        <v>257000000</v>
      </c>
      <c r="DO449">
        <v>257000000</v>
      </c>
      <c r="DP449" s="32">
        <f>Tradingbook_SBV[[#This Row],[Mat. Date]]-RPT</f>
        <v>2360</v>
      </c>
      <c r="DQ449" s="32">
        <f>IF(Tradingbook_SBV[[#This Row],[Days]]&lt;=0,0,YEARFRAC(RPT,Tradingbook_SBV[[#This Row],[Mat. Date]],3))</f>
        <v>6.4657534246575343</v>
      </c>
      <c r="DR449" s="32" t="str">
        <f>IF(Tradingbook_SBV[[#This Row],[Days (year)]]=0,0,INDEX(Ref!$K$2:$K$13,MATCH(Tradingbook_SBV[[#This Row],[Days (year)]],Ref!$I$2:$I$13,1)))</f>
        <v>7Y</v>
      </c>
      <c r="DS449" s="32" t="str">
        <f>VLOOKUP(Tradingbook_SBV[[#This Row],[Security Name]],Ref!X:Z,3,0)</f>
        <v>TPCP</v>
      </c>
      <c r="DT449" s="32" t="str">
        <f>VLOOKUP(Tradingbook_SBV[[#This Row],[Security Name]],Ref!X:Y,2,0)</f>
        <v>KBNN</v>
      </c>
      <c r="DU449" s="71">
        <f>IF((Tradingbook_SBV[[#This Row],[Mat. Date]]-RPT)&lt;=0,0,Tradingbook_SBV[[#This Row],[QUANTITY]])</f>
        <v>0</v>
      </c>
      <c r="DV449" s="71">
        <f>IF(Tradingbook_SBV[[#This Row],[Quantity_edited]]=0,0,Tradingbook_SBV[[#This Row],[DURATION]])</f>
        <v>0</v>
      </c>
      <c r="DW449" s="71">
        <f>IF(Tradingbook_SBV[[#This Row],[Quantity_edited]]=0,0,Tradingbook_SBV[[#This Row],[Mod Dur]])</f>
        <v>0</v>
      </c>
      <c r="DX449" s="71">
        <f>IF(Tradingbook_SBV[[#This Row],[Quantity_edited]]=0,0,Tradingbook_SBV[[#This Row],[Cnvx.]])</f>
        <v>0</v>
      </c>
      <c r="DY449" s="71">
        <f>(Tradingbook_SBV[[#This Row],[MARKET_VALUE]]+Tradingbook_SBV[[#This Row],[Accr Int]]*Tradingbook_SBV[[#This Row],[Quantity_edited]])*(-Tradingbook_SBV[[#This Row],[Modified Duration]]*0.0001+0.5*Tradingbook_SBV[[#This Row],[Conv]]*(0.0001^2))</f>
        <v>0</v>
      </c>
      <c r="DZ449" s="71">
        <f>(Tradingbook_SBV[[#This Row],[MARKET_VALUE]]+Tradingbook_SBV[[#This Row],[Accr Int]]*Tradingbook_SBV[[#This Row],[Quantity_edited]])*(-Tradingbook_SBV[[#This Row],[Modified Duration]]*0.01+0.5*Tradingbook_SBV[[#This Row],[Conv]]*(0.01^2))</f>
        <v>0</v>
      </c>
    </row>
    <row r="450" spans="2:130" x14ac:dyDescent="0.3">
      <c r="B450" t="s">
        <v>166</v>
      </c>
      <c r="C450" t="s">
        <v>3300</v>
      </c>
      <c r="D450" t="s">
        <v>640</v>
      </c>
      <c r="E450" t="s">
        <v>169</v>
      </c>
      <c r="F450" s="502">
        <v>48026</v>
      </c>
      <c r="G450" t="s">
        <v>3322</v>
      </c>
      <c r="H450">
        <v>91370</v>
      </c>
      <c r="I450">
        <v>91370</v>
      </c>
      <c r="J450" s="38">
        <v>0</v>
      </c>
      <c r="K450">
        <v>0</v>
      </c>
      <c r="L450">
        <v>0</v>
      </c>
      <c r="M450" s="38">
        <v>0</v>
      </c>
      <c r="N450">
        <v>2.2000000000000002</v>
      </c>
      <c r="O450">
        <v>313</v>
      </c>
      <c r="P450" s="37">
        <v>238700000</v>
      </c>
      <c r="Q450" s="37">
        <v>273388149.22216803</v>
      </c>
      <c r="R450" s="37">
        <v>-4079193816.4025803</v>
      </c>
      <c r="S450">
        <v>4.1997462160000003</v>
      </c>
      <c r="T450" s="70">
        <v>4.4482299380006003</v>
      </c>
      <c r="U450">
        <v>4.6350443099999996</v>
      </c>
      <c r="V450">
        <v>24.6331767604687</v>
      </c>
      <c r="W450">
        <v>0</v>
      </c>
      <c r="X450" s="38">
        <v>0</v>
      </c>
      <c r="Y450">
        <v>0</v>
      </c>
      <c r="Z450" s="70">
        <v>-18076200000</v>
      </c>
      <c r="AA450" s="70">
        <v>0</v>
      </c>
      <c r="AB450" s="70">
        <v>-18076200000</v>
      </c>
      <c r="AC450" s="70">
        <v>-18076200000</v>
      </c>
      <c r="AD450" s="70">
        <v>-18076200000</v>
      </c>
      <c r="AE450" s="70">
        <v>-18076200000</v>
      </c>
      <c r="AF450">
        <v>0</v>
      </c>
      <c r="AG450" s="72">
        <f>Tradingbook_MSB[[#This Row],[Mat. Date]]-RPT</f>
        <v>1774</v>
      </c>
      <c r="AH450" s="71">
        <f>IF(Tradingbook_MSB[[#This Row],[Days]]&lt;=0,0,YEARFRAC(RPT,Tradingbook_MSB[[#This Row],[Mat. Date]],3))</f>
        <v>4.86027397260274</v>
      </c>
      <c r="AI450" s="71" t="str">
        <f>IF(Tradingbook_MSB[[#This Row],[Days (year)]]=0,0,INDEX(Ref!$K$2:$K$13,MATCH(Tradingbook_MSB[[#This Row],[Days (year)]],Ref!$I$2:$I$13,1)))</f>
        <v>5Y</v>
      </c>
      <c r="AJ450" s="120" t="str">
        <f>VLOOKUP(Tradingbook_MSB[[#This Row],[Security Name]],Ref!X:Z,3,0)</f>
        <v>TPCP</v>
      </c>
      <c r="AK450" s="120" t="str">
        <f>VLOOKUP(Tradingbook_MSB[[#This Row],[Security Name]],Ref!X:Y,2,0)</f>
        <v>KBNN</v>
      </c>
      <c r="AL450" s="71">
        <f>IF((Tradingbook_MSB[[#This Row],[Mat. Date]]-RPT)&lt;=0,0,Tradingbook_MSB[[#This Row],[QUANTITY]])</f>
        <v>0</v>
      </c>
      <c r="AM450" s="71">
        <f>IF(Tradingbook_MSB[[#This Row],[Quantity_edited]]=0,0,Tradingbook_MSB[[#This Row],[DURATION]])</f>
        <v>0</v>
      </c>
      <c r="AN450" s="71">
        <f>IF(Tradingbook_MSB[[#This Row],[Quantity_edited]]=0,0,Tradingbook_MSB[[#This Row],[Mod Dur]])</f>
        <v>0</v>
      </c>
      <c r="AO450" s="71">
        <f>IF(Tradingbook_MSB[[#This Row],[Quantity_edited]]=0,0,Tradingbook_MSB[[#This Row],[Cnvx.]])</f>
        <v>0</v>
      </c>
      <c r="AP450" s="71">
        <f>(Tradingbook_MSB[[#This Row],[MARKET_VALUE]]+Tradingbook_MSB[[#This Row],[Accr Int]]*Tradingbook_MSB[[#This Row],[Quantity_edited]])*(-Tradingbook_MSB[[#This Row],[Modified Duration]]*0.0001+0.5*Tradingbook_MSB[[#This Row],[Conv]]*(0.0001^2))</f>
        <v>0</v>
      </c>
      <c r="AQ450" s="72">
        <f>(Tradingbook_MSB[[#This Row],[MARKET_VALUE]]+Tradingbook_MSB[[#This Row],[Accr Int]]*Tradingbook_MSB[[#This Row],[Quantity_edited]])*(-Tradingbook_MSB[[#This Row],[Modified Duration]]*0.01+0.5*Tradingbook_MSB[[#This Row],[Conv]]*(0.01^2))</f>
        <v>0</v>
      </c>
      <c r="CL450" t="s">
        <v>166</v>
      </c>
      <c r="CM450" t="s">
        <v>3301</v>
      </c>
      <c r="CN450" t="s">
        <v>2398</v>
      </c>
      <c r="CO450" t="s">
        <v>169</v>
      </c>
      <c r="CP450">
        <v>48633</v>
      </c>
      <c r="CQ450" t="s">
        <v>3322</v>
      </c>
      <c r="CR450" t="s">
        <v>4338</v>
      </c>
      <c r="CS450" t="s">
        <v>4339</v>
      </c>
      <c r="CT450">
        <v>0</v>
      </c>
      <c r="CU450">
        <v>0</v>
      </c>
      <c r="CV450">
        <v>0</v>
      </c>
      <c r="CW450">
        <v>0</v>
      </c>
      <c r="CX450">
        <v>4.0999999999999996</v>
      </c>
      <c r="CY450">
        <v>1977</v>
      </c>
      <c r="CZ450">
        <v>4100000000</v>
      </c>
      <c r="DA450">
        <v>4454561736.1111155</v>
      </c>
      <c r="DB450">
        <v>-598570771.18054295</v>
      </c>
      <c r="DC450">
        <v>4.2919382419999996</v>
      </c>
      <c r="DD450">
        <v>6</v>
      </c>
      <c r="DE450">
        <v>6</v>
      </c>
      <c r="DF450">
        <v>38</v>
      </c>
      <c r="DG450">
        <v>0</v>
      </c>
      <c r="DH450">
        <v>0</v>
      </c>
      <c r="DI450">
        <v>0</v>
      </c>
      <c r="DJ450">
        <v>970750000</v>
      </c>
      <c r="DK450">
        <v>0</v>
      </c>
      <c r="DL450">
        <v>970750000</v>
      </c>
      <c r="DM450">
        <v>970750000</v>
      </c>
      <c r="DN450">
        <v>970750000</v>
      </c>
      <c r="DO450">
        <v>970750000</v>
      </c>
      <c r="DP450" s="32">
        <f>Tradingbook_SBV[[#This Row],[Mat. Date]]-RPT</f>
        <v>2381</v>
      </c>
      <c r="DQ450" s="32">
        <f>IF(Tradingbook_SBV[[#This Row],[Days]]&lt;=0,0,YEARFRAC(RPT,Tradingbook_SBV[[#This Row],[Mat. Date]],3))</f>
        <v>6.5232876712328771</v>
      </c>
      <c r="DR450" s="32" t="str">
        <f>IF(Tradingbook_SBV[[#This Row],[Days (year)]]=0,0,INDEX(Ref!$K$2:$K$13,MATCH(Tradingbook_SBV[[#This Row],[Days (year)]],Ref!$I$2:$I$13,1)))</f>
        <v>7Y</v>
      </c>
      <c r="DS450" s="32" t="str">
        <f>VLOOKUP(Tradingbook_SBV[[#This Row],[Security Name]],Ref!X:Z,3,0)</f>
        <v>TPCP</v>
      </c>
      <c r="DT450" s="32" t="str">
        <f>VLOOKUP(Tradingbook_SBV[[#This Row],[Security Name]],Ref!X:Y,2,0)</f>
        <v>KBNN</v>
      </c>
      <c r="DU450" s="71">
        <f>IF((Tradingbook_SBV[[#This Row],[Mat. Date]]-RPT)&lt;=0,0,Tradingbook_SBV[[#This Row],[QUANTITY]])</f>
        <v>0</v>
      </c>
      <c r="DV450" s="71">
        <f>IF(Tradingbook_SBV[[#This Row],[Quantity_edited]]=0,0,Tradingbook_SBV[[#This Row],[DURATION]])</f>
        <v>0</v>
      </c>
      <c r="DW450" s="71">
        <f>IF(Tradingbook_SBV[[#This Row],[Quantity_edited]]=0,0,Tradingbook_SBV[[#This Row],[Mod Dur]])</f>
        <v>0</v>
      </c>
      <c r="DX450" s="71">
        <f>IF(Tradingbook_SBV[[#This Row],[Quantity_edited]]=0,0,Tradingbook_SBV[[#This Row],[Cnvx.]])</f>
        <v>0</v>
      </c>
      <c r="DY450" s="71">
        <f>(Tradingbook_SBV[[#This Row],[MARKET_VALUE]]+Tradingbook_SBV[[#This Row],[Accr Int]]*Tradingbook_SBV[[#This Row],[Quantity_edited]])*(-Tradingbook_SBV[[#This Row],[Modified Duration]]*0.0001+0.5*Tradingbook_SBV[[#This Row],[Conv]]*(0.0001^2))</f>
        <v>0</v>
      </c>
      <c r="DZ450" s="71">
        <f>(Tradingbook_SBV[[#This Row],[MARKET_VALUE]]+Tradingbook_SBV[[#This Row],[Accr Int]]*Tradingbook_SBV[[#This Row],[Quantity_edited]])*(-Tradingbook_SBV[[#This Row],[Modified Duration]]*0.01+0.5*Tradingbook_SBV[[#This Row],[Conv]]*(0.01^2))</f>
        <v>0</v>
      </c>
    </row>
    <row r="451" spans="2:130" x14ac:dyDescent="0.3">
      <c r="B451" t="s">
        <v>166</v>
      </c>
      <c r="C451" t="s">
        <v>3300</v>
      </c>
      <c r="D451" t="s">
        <v>641</v>
      </c>
      <c r="E451" t="s">
        <v>169</v>
      </c>
      <c r="F451" s="502">
        <v>48051</v>
      </c>
      <c r="G451" t="s">
        <v>3322</v>
      </c>
      <c r="H451">
        <v>90750</v>
      </c>
      <c r="I451">
        <v>90750</v>
      </c>
      <c r="J451" s="38">
        <v>0</v>
      </c>
      <c r="K451">
        <v>0</v>
      </c>
      <c r="L451">
        <v>0</v>
      </c>
      <c r="M451" s="38">
        <v>0</v>
      </c>
      <c r="N451">
        <v>2.1</v>
      </c>
      <c r="O451">
        <v>155</v>
      </c>
      <c r="P451" s="37">
        <v>2100000000</v>
      </c>
      <c r="Q451" s="37">
        <v>2403807874.9999738</v>
      </c>
      <c r="R451" s="37">
        <v>-3611133009.3652506</v>
      </c>
      <c r="S451">
        <v>4.2182202709999999</v>
      </c>
      <c r="T451" s="70">
        <v>4.5217689383219</v>
      </c>
      <c r="U451">
        <v>4.7125071099999998</v>
      </c>
      <c r="V451">
        <v>25.340946990487499</v>
      </c>
      <c r="W451">
        <v>0</v>
      </c>
      <c r="X451" s="38">
        <v>0</v>
      </c>
      <c r="Y451">
        <v>0</v>
      </c>
      <c r="Z451" s="70">
        <v>-15931000000</v>
      </c>
      <c r="AA451" s="70">
        <v>0</v>
      </c>
      <c r="AB451" s="70">
        <v>-15931000000</v>
      </c>
      <c r="AC451" s="70">
        <v>-15931000000</v>
      </c>
      <c r="AD451" s="70">
        <v>-15931000000</v>
      </c>
      <c r="AE451" s="70">
        <v>-15931000000</v>
      </c>
      <c r="AF451">
        <v>0</v>
      </c>
      <c r="AG451" s="72">
        <f>Tradingbook_MSB[[#This Row],[Mat. Date]]-RPT</f>
        <v>1799</v>
      </c>
      <c r="AH451" s="71">
        <f>IF(Tradingbook_MSB[[#This Row],[Days]]&lt;=0,0,YEARFRAC(RPT,Tradingbook_MSB[[#This Row],[Mat. Date]],3))</f>
        <v>4.9287671232876713</v>
      </c>
      <c r="AI451" s="71" t="str">
        <f>IF(Tradingbook_MSB[[#This Row],[Days (year)]]=0,0,INDEX(Ref!$K$2:$K$13,MATCH(Tradingbook_MSB[[#This Row],[Days (year)]],Ref!$I$2:$I$13,1)))</f>
        <v>5Y</v>
      </c>
      <c r="AJ451" s="120" t="str">
        <f>VLOOKUP(Tradingbook_MSB[[#This Row],[Security Name]],Ref!X:Z,3,0)</f>
        <v>TPCP</v>
      </c>
      <c r="AK451" s="120" t="str">
        <f>VLOOKUP(Tradingbook_MSB[[#This Row],[Security Name]],Ref!X:Y,2,0)</f>
        <v>KBNN</v>
      </c>
      <c r="AL451" s="71">
        <f>IF((Tradingbook_MSB[[#This Row],[Mat. Date]]-RPT)&lt;=0,0,Tradingbook_MSB[[#This Row],[QUANTITY]])</f>
        <v>0</v>
      </c>
      <c r="AM451" s="71">
        <f>IF(Tradingbook_MSB[[#This Row],[Quantity_edited]]=0,0,Tradingbook_MSB[[#This Row],[DURATION]])</f>
        <v>0</v>
      </c>
      <c r="AN451" s="71">
        <f>IF(Tradingbook_MSB[[#This Row],[Quantity_edited]]=0,0,Tradingbook_MSB[[#This Row],[Mod Dur]])</f>
        <v>0</v>
      </c>
      <c r="AO451" s="71">
        <f>IF(Tradingbook_MSB[[#This Row],[Quantity_edited]]=0,0,Tradingbook_MSB[[#This Row],[Cnvx.]])</f>
        <v>0</v>
      </c>
      <c r="AP451" s="71">
        <f>(Tradingbook_MSB[[#This Row],[MARKET_VALUE]]+Tradingbook_MSB[[#This Row],[Accr Int]]*Tradingbook_MSB[[#This Row],[Quantity_edited]])*(-Tradingbook_MSB[[#This Row],[Modified Duration]]*0.0001+0.5*Tradingbook_MSB[[#This Row],[Conv]]*(0.0001^2))</f>
        <v>0</v>
      </c>
      <c r="AQ451" s="72">
        <f>(Tradingbook_MSB[[#This Row],[MARKET_VALUE]]+Tradingbook_MSB[[#This Row],[Accr Int]]*Tradingbook_MSB[[#This Row],[Quantity_edited]])*(-Tradingbook_MSB[[#This Row],[Modified Duration]]*0.01+0.5*Tradingbook_MSB[[#This Row],[Conv]]*(0.01^2))</f>
        <v>0</v>
      </c>
      <c r="CL451" t="s">
        <v>166</v>
      </c>
      <c r="CM451" t="s">
        <v>3301</v>
      </c>
      <c r="CN451" t="s">
        <v>2502</v>
      </c>
      <c r="CO451" t="s">
        <v>169</v>
      </c>
      <c r="CP451">
        <v>48682</v>
      </c>
      <c r="CQ451" t="s">
        <v>3322</v>
      </c>
      <c r="CR451" t="s">
        <v>4340</v>
      </c>
      <c r="CS451" t="s">
        <v>4341</v>
      </c>
      <c r="CT451">
        <v>0</v>
      </c>
      <c r="CU451">
        <v>0</v>
      </c>
      <c r="CV451">
        <v>0</v>
      </c>
      <c r="CW451">
        <v>0</v>
      </c>
      <c r="CX451">
        <v>3.2</v>
      </c>
      <c r="CY451">
        <v>1113</v>
      </c>
      <c r="CZ451">
        <v>0</v>
      </c>
      <c r="DA451">
        <v>1.7E-5</v>
      </c>
      <c r="DB451">
        <v>-1564047460.1388903</v>
      </c>
      <c r="DC451">
        <v>4.2966392090000003</v>
      </c>
      <c r="DD451">
        <v>6</v>
      </c>
      <c r="DE451">
        <v>6</v>
      </c>
      <c r="DF451">
        <v>41</v>
      </c>
      <c r="DG451">
        <v>0</v>
      </c>
      <c r="DH451">
        <v>0</v>
      </c>
      <c r="DI451">
        <v>0</v>
      </c>
      <c r="DJ451">
        <v>-14407750000</v>
      </c>
      <c r="DK451">
        <v>0</v>
      </c>
      <c r="DL451">
        <v>-14407750000</v>
      </c>
      <c r="DM451">
        <v>-14407750000</v>
      </c>
      <c r="DN451">
        <v>-14407750000</v>
      </c>
      <c r="DO451">
        <v>-14407750000</v>
      </c>
      <c r="DP451" s="32">
        <f>Tradingbook_SBV[[#This Row],[Mat. Date]]-RPT</f>
        <v>2430</v>
      </c>
      <c r="DQ451" s="32">
        <f>IF(Tradingbook_SBV[[#This Row],[Days]]&lt;=0,0,YEARFRAC(RPT,Tradingbook_SBV[[#This Row],[Mat. Date]],3))</f>
        <v>6.6575342465753424</v>
      </c>
      <c r="DR451" s="32" t="str">
        <f>IF(Tradingbook_SBV[[#This Row],[Days (year)]]=0,0,INDEX(Ref!$K$2:$K$13,MATCH(Tradingbook_SBV[[#This Row],[Days (year)]],Ref!$I$2:$I$13,1)))</f>
        <v>7Y</v>
      </c>
      <c r="DS451" s="32" t="str">
        <f>VLOOKUP(Tradingbook_SBV[[#This Row],[Security Name]],Ref!X:Z,3,0)</f>
        <v>TPCP</v>
      </c>
      <c r="DT451" s="32" t="str">
        <f>VLOOKUP(Tradingbook_SBV[[#This Row],[Security Name]],Ref!X:Y,2,0)</f>
        <v>KBNN</v>
      </c>
      <c r="DU451" s="71">
        <f>IF((Tradingbook_SBV[[#This Row],[Mat. Date]]-RPT)&lt;=0,0,Tradingbook_SBV[[#This Row],[QUANTITY]])</f>
        <v>0</v>
      </c>
      <c r="DV451" s="71">
        <f>IF(Tradingbook_SBV[[#This Row],[Quantity_edited]]=0,0,Tradingbook_SBV[[#This Row],[DURATION]])</f>
        <v>0</v>
      </c>
      <c r="DW451" s="71">
        <f>IF(Tradingbook_SBV[[#This Row],[Quantity_edited]]=0,0,Tradingbook_SBV[[#This Row],[Mod Dur]])</f>
        <v>0</v>
      </c>
      <c r="DX451" s="71">
        <f>IF(Tradingbook_SBV[[#This Row],[Quantity_edited]]=0,0,Tradingbook_SBV[[#This Row],[Cnvx.]])</f>
        <v>0</v>
      </c>
      <c r="DY451" s="71">
        <f>(Tradingbook_SBV[[#This Row],[MARKET_VALUE]]+Tradingbook_SBV[[#This Row],[Accr Int]]*Tradingbook_SBV[[#This Row],[Quantity_edited]])*(-Tradingbook_SBV[[#This Row],[Modified Duration]]*0.0001+0.5*Tradingbook_SBV[[#This Row],[Conv]]*(0.0001^2))</f>
        <v>0</v>
      </c>
      <c r="DZ451" s="71">
        <f>(Tradingbook_SBV[[#This Row],[MARKET_VALUE]]+Tradingbook_SBV[[#This Row],[Accr Int]]*Tradingbook_SBV[[#This Row],[Quantity_edited]])*(-Tradingbook_SBV[[#This Row],[Modified Duration]]*0.01+0.5*Tradingbook_SBV[[#This Row],[Conv]]*(0.01^2))</f>
        <v>0</v>
      </c>
    </row>
    <row r="452" spans="2:130" x14ac:dyDescent="0.3">
      <c r="B452" t="s">
        <v>166</v>
      </c>
      <c r="C452" t="s">
        <v>3300</v>
      </c>
      <c r="D452" t="s">
        <v>620</v>
      </c>
      <c r="E452" t="s">
        <v>169</v>
      </c>
      <c r="F452" s="502">
        <v>48064</v>
      </c>
      <c r="G452" t="s">
        <v>3322</v>
      </c>
      <c r="H452">
        <v>114808</v>
      </c>
      <c r="I452">
        <v>114808</v>
      </c>
      <c r="J452" s="38">
        <v>0</v>
      </c>
      <c r="K452">
        <v>0</v>
      </c>
      <c r="L452">
        <v>0</v>
      </c>
      <c r="M452" s="38">
        <v>0</v>
      </c>
      <c r="N452">
        <v>7.6</v>
      </c>
      <c r="O452">
        <v>292</v>
      </c>
      <c r="P452" s="37">
        <v>19000000000</v>
      </c>
      <c r="Q452" s="37">
        <v>22089527194.444458</v>
      </c>
      <c r="R452" s="37">
        <v>-3710911652.8499174</v>
      </c>
      <c r="S452">
        <v>4.2276983330000002</v>
      </c>
      <c r="T452" s="70">
        <v>4.1758037901435996</v>
      </c>
      <c r="U452">
        <v>4.3523441800000002</v>
      </c>
      <c r="V452">
        <v>22.807572028852601</v>
      </c>
      <c r="W452">
        <v>0</v>
      </c>
      <c r="X452" s="38">
        <v>0</v>
      </c>
      <c r="Y452">
        <v>0</v>
      </c>
      <c r="Z452" s="70">
        <v>8544559999.9995117</v>
      </c>
      <c r="AA452" s="70">
        <v>0</v>
      </c>
      <c r="AB452" s="70">
        <v>8544559999.9995117</v>
      </c>
      <c r="AC452" s="70">
        <v>8544559999.9995117</v>
      </c>
      <c r="AD452" s="70">
        <v>8544560000</v>
      </c>
      <c r="AE452" s="70">
        <v>8544559999.9995117</v>
      </c>
      <c r="AF452">
        <v>0</v>
      </c>
      <c r="AG452" s="72">
        <f>Tradingbook_MSB[[#This Row],[Mat. Date]]-RPT</f>
        <v>1812</v>
      </c>
      <c r="AH452" s="71">
        <f>IF(Tradingbook_MSB[[#This Row],[Days]]&lt;=0,0,YEARFRAC(RPT,Tradingbook_MSB[[#This Row],[Mat. Date]],3))</f>
        <v>4.9643835616438352</v>
      </c>
      <c r="AI452" s="71" t="str">
        <f>IF(Tradingbook_MSB[[#This Row],[Days (year)]]=0,0,INDEX(Ref!$K$2:$K$13,MATCH(Tradingbook_MSB[[#This Row],[Days (year)]],Ref!$I$2:$I$13,1)))</f>
        <v>5Y</v>
      </c>
      <c r="AJ452" s="120" t="str">
        <f>VLOOKUP(Tradingbook_MSB[[#This Row],[Security Name]],Ref!X:Z,3,0)</f>
        <v>TPCP</v>
      </c>
      <c r="AK452" s="120" t="str">
        <f>VLOOKUP(Tradingbook_MSB[[#This Row],[Security Name]],Ref!X:Y,2,0)</f>
        <v>KBNN</v>
      </c>
      <c r="AL452" s="71">
        <f>IF((Tradingbook_MSB[[#This Row],[Mat. Date]]-RPT)&lt;=0,0,Tradingbook_MSB[[#This Row],[QUANTITY]])</f>
        <v>0</v>
      </c>
      <c r="AM452" s="71">
        <f>IF(Tradingbook_MSB[[#This Row],[Quantity_edited]]=0,0,Tradingbook_MSB[[#This Row],[DURATION]])</f>
        <v>0</v>
      </c>
      <c r="AN452" s="71">
        <f>IF(Tradingbook_MSB[[#This Row],[Quantity_edited]]=0,0,Tradingbook_MSB[[#This Row],[Mod Dur]])</f>
        <v>0</v>
      </c>
      <c r="AO452" s="71">
        <f>IF(Tradingbook_MSB[[#This Row],[Quantity_edited]]=0,0,Tradingbook_MSB[[#This Row],[Cnvx.]])</f>
        <v>0</v>
      </c>
      <c r="AP452" s="71">
        <f>(Tradingbook_MSB[[#This Row],[MARKET_VALUE]]+Tradingbook_MSB[[#This Row],[Accr Int]]*Tradingbook_MSB[[#This Row],[Quantity_edited]])*(-Tradingbook_MSB[[#This Row],[Modified Duration]]*0.0001+0.5*Tradingbook_MSB[[#This Row],[Conv]]*(0.0001^2))</f>
        <v>0</v>
      </c>
      <c r="AQ452" s="72">
        <f>(Tradingbook_MSB[[#This Row],[MARKET_VALUE]]+Tradingbook_MSB[[#This Row],[Accr Int]]*Tradingbook_MSB[[#This Row],[Quantity_edited]])*(-Tradingbook_MSB[[#This Row],[Modified Duration]]*0.01+0.5*Tradingbook_MSB[[#This Row],[Conv]]*(0.01^2))</f>
        <v>0</v>
      </c>
      <c r="CL452" t="s">
        <v>166</v>
      </c>
      <c r="CM452" t="s">
        <v>3301</v>
      </c>
      <c r="CN452" t="s">
        <v>2742</v>
      </c>
      <c r="CO452" t="s">
        <v>169</v>
      </c>
      <c r="CP452">
        <v>48766</v>
      </c>
      <c r="CQ452" t="s">
        <v>3322</v>
      </c>
      <c r="CR452" t="s">
        <v>4342</v>
      </c>
      <c r="CS452" t="s">
        <v>4343</v>
      </c>
      <c r="CT452">
        <v>0</v>
      </c>
      <c r="CU452">
        <v>0</v>
      </c>
      <c r="CV452">
        <v>0</v>
      </c>
      <c r="CW452">
        <v>0</v>
      </c>
      <c r="CX452">
        <v>2.4</v>
      </c>
      <c r="CY452">
        <v>283</v>
      </c>
      <c r="CZ452">
        <v>0</v>
      </c>
      <c r="DA452">
        <v>-5.0000000000000004E-6</v>
      </c>
      <c r="DB452">
        <v>-520381080.48610115</v>
      </c>
      <c r="DC452">
        <v>4.304883051</v>
      </c>
      <c r="DD452">
        <v>6</v>
      </c>
      <c r="DE452">
        <v>6</v>
      </c>
      <c r="DF452">
        <v>45</v>
      </c>
      <c r="DG452">
        <v>0</v>
      </c>
      <c r="DH452">
        <v>0</v>
      </c>
      <c r="DI452">
        <v>0</v>
      </c>
      <c r="DJ452">
        <v>-1245000000.0001221</v>
      </c>
      <c r="DK452">
        <v>0</v>
      </c>
      <c r="DL452">
        <v>-1245000000.0001221</v>
      </c>
      <c r="DM452">
        <v>-1245000000.0001221</v>
      </c>
      <c r="DN452">
        <v>-1245000000</v>
      </c>
      <c r="DO452">
        <v>-1245000000.0001221</v>
      </c>
      <c r="DP452" s="32">
        <f>Tradingbook_SBV[[#This Row],[Mat. Date]]-RPT</f>
        <v>2514</v>
      </c>
      <c r="DQ452" s="32">
        <f>IF(Tradingbook_SBV[[#This Row],[Days]]&lt;=0,0,YEARFRAC(RPT,Tradingbook_SBV[[#This Row],[Mat. Date]],3))</f>
        <v>6.8876712328767127</v>
      </c>
      <c r="DR452" s="32" t="str">
        <f>IF(Tradingbook_SBV[[#This Row],[Days (year)]]=0,0,INDEX(Ref!$K$2:$K$13,MATCH(Tradingbook_SBV[[#This Row],[Days (year)]],Ref!$I$2:$I$13,1)))</f>
        <v>7Y</v>
      </c>
      <c r="DS452" s="32" t="str">
        <f>VLOOKUP(Tradingbook_SBV[[#This Row],[Security Name]],Ref!X:Z,3,0)</f>
        <v>TPCP</v>
      </c>
      <c r="DT452" s="32" t="str">
        <f>VLOOKUP(Tradingbook_SBV[[#This Row],[Security Name]],Ref!X:Y,2,0)</f>
        <v>KBNN</v>
      </c>
      <c r="DU452" s="71">
        <f>IF((Tradingbook_SBV[[#This Row],[Mat. Date]]-RPT)&lt;=0,0,Tradingbook_SBV[[#This Row],[QUANTITY]])</f>
        <v>0</v>
      </c>
      <c r="DV452" s="71">
        <f>IF(Tradingbook_SBV[[#This Row],[Quantity_edited]]=0,0,Tradingbook_SBV[[#This Row],[DURATION]])</f>
        <v>0</v>
      </c>
      <c r="DW452" s="71">
        <f>IF(Tradingbook_SBV[[#This Row],[Quantity_edited]]=0,0,Tradingbook_SBV[[#This Row],[Mod Dur]])</f>
        <v>0</v>
      </c>
      <c r="DX452" s="71">
        <f>IF(Tradingbook_SBV[[#This Row],[Quantity_edited]]=0,0,Tradingbook_SBV[[#This Row],[Cnvx.]])</f>
        <v>0</v>
      </c>
      <c r="DY452" s="71">
        <f>(Tradingbook_SBV[[#This Row],[MARKET_VALUE]]+Tradingbook_SBV[[#This Row],[Accr Int]]*Tradingbook_SBV[[#This Row],[Quantity_edited]])*(-Tradingbook_SBV[[#This Row],[Modified Duration]]*0.0001+0.5*Tradingbook_SBV[[#This Row],[Conv]]*(0.0001^2))</f>
        <v>0</v>
      </c>
      <c r="DZ452" s="71">
        <f>(Tradingbook_SBV[[#This Row],[MARKET_VALUE]]+Tradingbook_SBV[[#This Row],[Accr Int]]*Tradingbook_SBV[[#This Row],[Quantity_edited]])*(-Tradingbook_SBV[[#This Row],[Modified Duration]]*0.01+0.5*Tradingbook_SBV[[#This Row],[Conv]]*(0.01^2))</f>
        <v>0</v>
      </c>
    </row>
    <row r="453" spans="2:130" x14ac:dyDescent="0.3">
      <c r="B453" t="s">
        <v>166</v>
      </c>
      <c r="C453" t="s">
        <v>3300</v>
      </c>
      <c r="D453" t="s">
        <v>642</v>
      </c>
      <c r="E453" t="s">
        <v>169</v>
      </c>
      <c r="F453" s="502">
        <v>48106</v>
      </c>
      <c r="G453" t="s">
        <v>3322</v>
      </c>
      <c r="H453">
        <v>114152</v>
      </c>
      <c r="I453">
        <v>114152</v>
      </c>
      <c r="J453" s="38">
        <v>0</v>
      </c>
      <c r="K453">
        <v>0</v>
      </c>
      <c r="L453">
        <v>0</v>
      </c>
      <c r="M453" s="38">
        <v>0</v>
      </c>
      <c r="N453">
        <v>7.4</v>
      </c>
      <c r="O453">
        <v>6832</v>
      </c>
      <c r="P453" s="37">
        <v>0</v>
      </c>
      <c r="Q453" s="37">
        <v>0</v>
      </c>
      <c r="R453" s="37">
        <v>-372500237.43060875</v>
      </c>
      <c r="S453">
        <v>4.2406934390000002</v>
      </c>
      <c r="T453" s="70">
        <v>4.0389914950814001</v>
      </c>
      <c r="U453">
        <v>4.2102727399999997</v>
      </c>
      <c r="V453">
        <v>22.471682071238899</v>
      </c>
      <c r="W453">
        <v>0</v>
      </c>
      <c r="X453" s="38">
        <v>0</v>
      </c>
      <c r="Y453">
        <v>0</v>
      </c>
      <c r="Z453" s="70">
        <v>-1008500000</v>
      </c>
      <c r="AA453" s="70">
        <v>0</v>
      </c>
      <c r="AB453" s="70">
        <v>-1008500000</v>
      </c>
      <c r="AC453" s="70">
        <v>-1008500000</v>
      </c>
      <c r="AD453" s="70">
        <v>-1008500000</v>
      </c>
      <c r="AE453" s="70">
        <v>-1008500000</v>
      </c>
      <c r="AF453">
        <v>0</v>
      </c>
      <c r="AG453" s="72">
        <f>Tradingbook_MSB[[#This Row],[Mat. Date]]-RPT</f>
        <v>1854</v>
      </c>
      <c r="AH453" s="71">
        <f>IF(Tradingbook_MSB[[#This Row],[Days]]&lt;=0,0,YEARFRAC(RPT,Tradingbook_MSB[[#This Row],[Mat. Date]],3))</f>
        <v>5.0794520547945208</v>
      </c>
      <c r="AI453" s="71" t="str">
        <f>IF(Tradingbook_MSB[[#This Row],[Days (year)]]=0,0,INDEX(Ref!$K$2:$K$13,MATCH(Tradingbook_MSB[[#This Row],[Days (year)]],Ref!$I$2:$I$13,1)))</f>
        <v>5Y</v>
      </c>
      <c r="AJ453" s="120" t="str">
        <f>VLOOKUP(Tradingbook_MSB[[#This Row],[Security Name]],Ref!X:Z,3,0)</f>
        <v>TPCP</v>
      </c>
      <c r="AK453" s="120" t="str">
        <f>VLOOKUP(Tradingbook_MSB[[#This Row],[Security Name]],Ref!X:Y,2,0)</f>
        <v>KBNN</v>
      </c>
      <c r="AL453" s="71">
        <f>IF((Tradingbook_MSB[[#This Row],[Mat. Date]]-RPT)&lt;=0,0,Tradingbook_MSB[[#This Row],[QUANTITY]])</f>
        <v>0</v>
      </c>
      <c r="AM453" s="71">
        <f>IF(Tradingbook_MSB[[#This Row],[Quantity_edited]]=0,0,Tradingbook_MSB[[#This Row],[DURATION]])</f>
        <v>0</v>
      </c>
      <c r="AN453" s="71">
        <f>IF(Tradingbook_MSB[[#This Row],[Quantity_edited]]=0,0,Tradingbook_MSB[[#This Row],[Mod Dur]])</f>
        <v>0</v>
      </c>
      <c r="AO453" s="71">
        <f>IF(Tradingbook_MSB[[#This Row],[Quantity_edited]]=0,0,Tradingbook_MSB[[#This Row],[Cnvx.]])</f>
        <v>0</v>
      </c>
      <c r="AP453" s="71">
        <f>(Tradingbook_MSB[[#This Row],[MARKET_VALUE]]+Tradingbook_MSB[[#This Row],[Accr Int]]*Tradingbook_MSB[[#This Row],[Quantity_edited]])*(-Tradingbook_MSB[[#This Row],[Modified Duration]]*0.0001+0.5*Tradingbook_MSB[[#This Row],[Conv]]*(0.0001^2))</f>
        <v>0</v>
      </c>
      <c r="AQ453" s="72">
        <f>(Tradingbook_MSB[[#This Row],[MARKET_VALUE]]+Tradingbook_MSB[[#This Row],[Accr Int]]*Tradingbook_MSB[[#This Row],[Quantity_edited]])*(-Tradingbook_MSB[[#This Row],[Modified Duration]]*0.01+0.5*Tradingbook_MSB[[#This Row],[Conv]]*(0.01^2))</f>
        <v>0</v>
      </c>
      <c r="CL453" t="s">
        <v>166</v>
      </c>
      <c r="CM453" t="s">
        <v>3301</v>
      </c>
      <c r="CN453" t="s">
        <v>2785</v>
      </c>
      <c r="CO453" t="s">
        <v>169</v>
      </c>
      <c r="CP453">
        <v>48836</v>
      </c>
      <c r="CQ453" t="s">
        <v>3322</v>
      </c>
      <c r="CR453" t="s">
        <v>4344</v>
      </c>
      <c r="CS453" t="s">
        <v>4345</v>
      </c>
      <c r="CT453">
        <v>0</v>
      </c>
      <c r="CU453">
        <v>0</v>
      </c>
      <c r="CV453">
        <v>0</v>
      </c>
      <c r="CW453">
        <v>0</v>
      </c>
      <c r="CX453">
        <v>2.2999999999999998</v>
      </c>
      <c r="CY453">
        <v>2130</v>
      </c>
      <c r="CZ453">
        <v>3450000000</v>
      </c>
      <c r="DA453">
        <v>3677209652.777781</v>
      </c>
      <c r="DB453">
        <v>-4455993533.1527805</v>
      </c>
      <c r="DC453">
        <v>4.3123858640000003</v>
      </c>
      <c r="DD453">
        <v>6</v>
      </c>
      <c r="DE453">
        <v>6</v>
      </c>
      <c r="DF453">
        <v>46</v>
      </c>
      <c r="DG453">
        <v>0</v>
      </c>
      <c r="DH453">
        <v>0</v>
      </c>
      <c r="DI453">
        <v>0</v>
      </c>
      <c r="DJ453">
        <v>-5842980000</v>
      </c>
      <c r="DK453">
        <v>0</v>
      </c>
      <c r="DL453">
        <v>-5842980000</v>
      </c>
      <c r="DM453">
        <v>-5842980000</v>
      </c>
      <c r="DN453">
        <v>-5842980000</v>
      </c>
      <c r="DO453">
        <v>-5842980000</v>
      </c>
      <c r="DP453" s="32">
        <f>Tradingbook_SBV[[#This Row],[Mat. Date]]-RPT</f>
        <v>2584</v>
      </c>
      <c r="DQ453" s="32">
        <f>IF(Tradingbook_SBV[[#This Row],[Days]]&lt;=0,0,YEARFRAC(RPT,Tradingbook_SBV[[#This Row],[Mat. Date]],3))</f>
        <v>7.0794520547945208</v>
      </c>
      <c r="DR453" s="32" t="str">
        <f>IF(Tradingbook_SBV[[#This Row],[Days (year)]]=0,0,INDEX(Ref!$K$2:$K$13,MATCH(Tradingbook_SBV[[#This Row],[Days (year)]],Ref!$I$2:$I$13,1)))</f>
        <v>7Y</v>
      </c>
      <c r="DS453" s="32" t="str">
        <f>VLOOKUP(Tradingbook_SBV[[#This Row],[Security Name]],Ref!X:Z,3,0)</f>
        <v>TPCP</v>
      </c>
      <c r="DT453" s="32" t="str">
        <f>VLOOKUP(Tradingbook_SBV[[#This Row],[Security Name]],Ref!X:Y,2,0)</f>
        <v>KBNN</v>
      </c>
      <c r="DU453" s="71">
        <f>IF((Tradingbook_SBV[[#This Row],[Mat. Date]]-RPT)&lt;=0,0,Tradingbook_SBV[[#This Row],[QUANTITY]])</f>
        <v>0</v>
      </c>
      <c r="DV453" s="71">
        <f>IF(Tradingbook_SBV[[#This Row],[Quantity_edited]]=0,0,Tradingbook_SBV[[#This Row],[DURATION]])</f>
        <v>0</v>
      </c>
      <c r="DW453" s="71">
        <f>IF(Tradingbook_SBV[[#This Row],[Quantity_edited]]=0,0,Tradingbook_SBV[[#This Row],[Mod Dur]])</f>
        <v>0</v>
      </c>
      <c r="DX453" s="71">
        <f>IF(Tradingbook_SBV[[#This Row],[Quantity_edited]]=0,0,Tradingbook_SBV[[#This Row],[Cnvx.]])</f>
        <v>0</v>
      </c>
      <c r="DY453" s="71">
        <f>(Tradingbook_SBV[[#This Row],[MARKET_VALUE]]+Tradingbook_SBV[[#This Row],[Accr Int]]*Tradingbook_SBV[[#This Row],[Quantity_edited]])*(-Tradingbook_SBV[[#This Row],[Modified Duration]]*0.0001+0.5*Tradingbook_SBV[[#This Row],[Conv]]*(0.0001^2))</f>
        <v>0</v>
      </c>
      <c r="DZ453" s="71">
        <f>(Tradingbook_SBV[[#This Row],[MARKET_VALUE]]+Tradingbook_SBV[[#This Row],[Accr Int]]*Tradingbook_SBV[[#This Row],[Quantity_edited]])*(-Tradingbook_SBV[[#This Row],[Modified Duration]]*0.01+0.5*Tradingbook_SBV[[#This Row],[Conv]]*(0.01^2))</f>
        <v>0</v>
      </c>
    </row>
    <row r="454" spans="2:130" x14ac:dyDescent="0.3">
      <c r="B454" t="s">
        <v>166</v>
      </c>
      <c r="C454" t="s">
        <v>3300</v>
      </c>
      <c r="D454" t="s">
        <v>643</v>
      </c>
      <c r="E454" t="s">
        <v>169</v>
      </c>
      <c r="F454" s="502">
        <v>48118</v>
      </c>
      <c r="G454" t="s">
        <v>3322</v>
      </c>
      <c r="H454">
        <v>112688</v>
      </c>
      <c r="I454">
        <v>112688</v>
      </c>
      <c r="J454" s="38">
        <v>0</v>
      </c>
      <c r="K454">
        <v>0</v>
      </c>
      <c r="L454">
        <v>0</v>
      </c>
      <c r="M454" s="38">
        <v>0</v>
      </c>
      <c r="N454">
        <v>7.6</v>
      </c>
      <c r="O454">
        <v>6767</v>
      </c>
      <c r="P454" s="37">
        <v>0</v>
      </c>
      <c r="Q454" s="37">
        <v>0</v>
      </c>
      <c r="R454" s="37">
        <v>-1467565926.2499733</v>
      </c>
      <c r="S454">
        <v>4.7418645770000003</v>
      </c>
      <c r="T454" s="70">
        <v>4.0246476666494004</v>
      </c>
      <c r="U454">
        <v>4.21549101</v>
      </c>
      <c r="V454">
        <v>22.357520971994902</v>
      </c>
      <c r="W454">
        <v>0</v>
      </c>
      <c r="X454" s="38">
        <v>0</v>
      </c>
      <c r="Y454">
        <v>0</v>
      </c>
      <c r="Z454" s="70">
        <v>-5025000000</v>
      </c>
      <c r="AA454" s="70">
        <v>0</v>
      </c>
      <c r="AB454" s="70">
        <v>-5025000000</v>
      </c>
      <c r="AC454" s="70">
        <v>-5025000000</v>
      </c>
      <c r="AD454" s="70">
        <v>-5025000000</v>
      </c>
      <c r="AE454" s="70">
        <v>-5025000000</v>
      </c>
      <c r="AF454">
        <v>0</v>
      </c>
      <c r="AG454" s="72">
        <f>Tradingbook_MSB[[#This Row],[Mat. Date]]-RPT</f>
        <v>1866</v>
      </c>
      <c r="AH454" s="71">
        <f>IF(Tradingbook_MSB[[#This Row],[Days]]&lt;=0,0,YEARFRAC(RPT,Tradingbook_MSB[[#This Row],[Mat. Date]],3))</f>
        <v>5.1123287671232873</v>
      </c>
      <c r="AI454" s="71" t="str">
        <f>IF(Tradingbook_MSB[[#This Row],[Days (year)]]=0,0,INDEX(Ref!$K$2:$K$13,MATCH(Tradingbook_MSB[[#This Row],[Days (year)]],Ref!$I$2:$I$13,1)))</f>
        <v>5Y</v>
      </c>
      <c r="AJ454" s="120" t="str">
        <f>VLOOKUP(Tradingbook_MSB[[#This Row],[Security Name]],Ref!X:Z,3,0)</f>
        <v>TPCPBL</v>
      </c>
      <c r="AK454" s="120" t="str">
        <f>VLOOKUP(Tradingbook_MSB[[#This Row],[Security Name]],Ref!X:Y,2,0)</f>
        <v>VBS</v>
      </c>
      <c r="AL454" s="71">
        <f>IF((Tradingbook_MSB[[#This Row],[Mat. Date]]-RPT)&lt;=0,0,Tradingbook_MSB[[#This Row],[QUANTITY]])</f>
        <v>0</v>
      </c>
      <c r="AM454" s="71">
        <f>IF(Tradingbook_MSB[[#This Row],[Quantity_edited]]=0,0,Tradingbook_MSB[[#This Row],[DURATION]])</f>
        <v>0</v>
      </c>
      <c r="AN454" s="71">
        <f>IF(Tradingbook_MSB[[#This Row],[Quantity_edited]]=0,0,Tradingbook_MSB[[#This Row],[Mod Dur]])</f>
        <v>0</v>
      </c>
      <c r="AO454" s="71">
        <f>IF(Tradingbook_MSB[[#This Row],[Quantity_edited]]=0,0,Tradingbook_MSB[[#This Row],[Cnvx.]])</f>
        <v>0</v>
      </c>
      <c r="AP454" s="71">
        <f>(Tradingbook_MSB[[#This Row],[MARKET_VALUE]]+Tradingbook_MSB[[#This Row],[Accr Int]]*Tradingbook_MSB[[#This Row],[Quantity_edited]])*(-Tradingbook_MSB[[#This Row],[Modified Duration]]*0.0001+0.5*Tradingbook_MSB[[#This Row],[Conv]]*(0.0001^2))</f>
        <v>0</v>
      </c>
      <c r="AQ454" s="72">
        <f>(Tradingbook_MSB[[#This Row],[MARKET_VALUE]]+Tradingbook_MSB[[#This Row],[Accr Int]]*Tradingbook_MSB[[#This Row],[Quantity_edited]])*(-Tradingbook_MSB[[#This Row],[Modified Duration]]*0.01+0.5*Tradingbook_MSB[[#This Row],[Conv]]*(0.01^2))</f>
        <v>0</v>
      </c>
      <c r="CL454" t="s">
        <v>166</v>
      </c>
      <c r="CM454" t="s">
        <v>3301</v>
      </c>
      <c r="CN454" t="s">
        <v>661</v>
      </c>
      <c r="CO454" t="s">
        <v>169</v>
      </c>
      <c r="CP454">
        <v>48854</v>
      </c>
      <c r="CQ454" t="s">
        <v>3322</v>
      </c>
      <c r="CR454" t="s">
        <v>4346</v>
      </c>
      <c r="CS454" t="s">
        <v>4347</v>
      </c>
      <c r="CT454">
        <v>0</v>
      </c>
      <c r="CU454">
        <v>0</v>
      </c>
      <c r="CV454">
        <v>0</v>
      </c>
      <c r="CW454">
        <v>0</v>
      </c>
      <c r="CX454">
        <v>6</v>
      </c>
      <c r="CY454">
        <v>5260</v>
      </c>
      <c r="CZ454">
        <v>12000000000</v>
      </c>
      <c r="DA454">
        <v>14115479999.999985</v>
      </c>
      <c r="DB454">
        <v>-2938706865.5555954</v>
      </c>
      <c r="DC454">
        <v>4.8147351409999999</v>
      </c>
      <c r="DD454">
        <v>5</v>
      </c>
      <c r="DE454">
        <v>6</v>
      </c>
      <c r="DF454">
        <v>40</v>
      </c>
      <c r="DG454">
        <v>0</v>
      </c>
      <c r="DH454">
        <v>0</v>
      </c>
      <c r="DI454">
        <v>0</v>
      </c>
      <c r="DJ454">
        <v>9498000000</v>
      </c>
      <c r="DK454">
        <v>0</v>
      </c>
      <c r="DL454">
        <v>9498000000</v>
      </c>
      <c r="DM454">
        <v>9498000000</v>
      </c>
      <c r="DN454">
        <v>9498000000</v>
      </c>
      <c r="DO454">
        <v>9498000000</v>
      </c>
      <c r="DP454" s="32">
        <f>Tradingbook_SBV[[#This Row],[Mat. Date]]-RPT</f>
        <v>2602</v>
      </c>
      <c r="DQ454" s="32">
        <f>IF(Tradingbook_SBV[[#This Row],[Days]]&lt;=0,0,YEARFRAC(RPT,Tradingbook_SBV[[#This Row],[Mat. Date]],3))</f>
        <v>7.1287671232876715</v>
      </c>
      <c r="DR454" s="32" t="str">
        <f>IF(Tradingbook_SBV[[#This Row],[Days (year)]]=0,0,INDEX(Ref!$K$2:$K$13,MATCH(Tradingbook_SBV[[#This Row],[Days (year)]],Ref!$I$2:$I$13,1)))</f>
        <v>7Y</v>
      </c>
      <c r="DS454" s="32" t="str">
        <f>VLOOKUP(Tradingbook_SBV[[#This Row],[Security Name]],Ref!X:Z,3,0)</f>
        <v>TPCPBL</v>
      </c>
      <c r="DT454" s="32" t="str">
        <f>VLOOKUP(Tradingbook_SBV[[#This Row],[Security Name]],Ref!X:Y,2,0)</f>
        <v>VBS</v>
      </c>
      <c r="DU454" s="71">
        <f>IF((Tradingbook_SBV[[#This Row],[Mat. Date]]-RPT)&lt;=0,0,Tradingbook_SBV[[#This Row],[QUANTITY]])</f>
        <v>0</v>
      </c>
      <c r="DV454" s="71">
        <f>IF(Tradingbook_SBV[[#This Row],[Quantity_edited]]=0,0,Tradingbook_SBV[[#This Row],[DURATION]])</f>
        <v>0</v>
      </c>
      <c r="DW454" s="71">
        <f>IF(Tradingbook_SBV[[#This Row],[Quantity_edited]]=0,0,Tradingbook_SBV[[#This Row],[Mod Dur]])</f>
        <v>0</v>
      </c>
      <c r="DX454" s="71">
        <f>IF(Tradingbook_SBV[[#This Row],[Quantity_edited]]=0,0,Tradingbook_SBV[[#This Row],[Cnvx.]])</f>
        <v>0</v>
      </c>
      <c r="DY454" s="71">
        <f>(Tradingbook_SBV[[#This Row],[MARKET_VALUE]]+Tradingbook_SBV[[#This Row],[Accr Int]]*Tradingbook_SBV[[#This Row],[Quantity_edited]])*(-Tradingbook_SBV[[#This Row],[Modified Duration]]*0.0001+0.5*Tradingbook_SBV[[#This Row],[Conv]]*(0.0001^2))</f>
        <v>0</v>
      </c>
      <c r="DZ454" s="71">
        <f>(Tradingbook_SBV[[#This Row],[MARKET_VALUE]]+Tradingbook_SBV[[#This Row],[Accr Int]]*Tradingbook_SBV[[#This Row],[Quantity_edited]])*(-Tradingbook_SBV[[#This Row],[Modified Duration]]*0.01+0.5*Tradingbook_SBV[[#This Row],[Conv]]*(0.01^2))</f>
        <v>0</v>
      </c>
    </row>
    <row r="455" spans="2:130" x14ac:dyDescent="0.3">
      <c r="B455" t="s">
        <v>166</v>
      </c>
      <c r="C455" t="s">
        <v>3300</v>
      </c>
      <c r="D455" t="s">
        <v>644</v>
      </c>
      <c r="E455" t="s">
        <v>169</v>
      </c>
      <c r="F455" s="502">
        <v>48121</v>
      </c>
      <c r="G455" t="s">
        <v>3322</v>
      </c>
      <c r="H455">
        <v>90323</v>
      </c>
      <c r="I455">
        <v>90323</v>
      </c>
      <c r="J455" s="38">
        <v>0</v>
      </c>
      <c r="K455">
        <v>0</v>
      </c>
      <c r="L455">
        <v>0</v>
      </c>
      <c r="M455" s="38">
        <v>0</v>
      </c>
      <c r="N455">
        <v>2.1</v>
      </c>
      <c r="O455">
        <v>1853</v>
      </c>
      <c r="P455" s="37">
        <v>1050000000</v>
      </c>
      <c r="Q455" s="37">
        <v>1146499375.0000041</v>
      </c>
      <c r="R455" s="37">
        <v>-1534024959.1693864</v>
      </c>
      <c r="S455">
        <v>4.2421015410000003</v>
      </c>
      <c r="T455" s="70">
        <v>4.6004801082358</v>
      </c>
      <c r="U455">
        <v>4.7956371500000001</v>
      </c>
      <c r="V455">
        <v>26.588132218512399</v>
      </c>
      <c r="W455">
        <v>0</v>
      </c>
      <c r="X455" s="38">
        <v>0</v>
      </c>
      <c r="Y455">
        <v>0</v>
      </c>
      <c r="Z455" s="70">
        <v>867350000</v>
      </c>
      <c r="AA455" s="70">
        <v>0</v>
      </c>
      <c r="AB455" s="70">
        <v>867350000</v>
      </c>
      <c r="AC455" s="70">
        <v>867350000</v>
      </c>
      <c r="AD455" s="70">
        <v>867350000</v>
      </c>
      <c r="AE455" s="70">
        <v>867350000</v>
      </c>
      <c r="AF455">
        <v>0</v>
      </c>
      <c r="AG455" s="72">
        <f>Tradingbook_MSB[[#This Row],[Mat. Date]]-RPT</f>
        <v>1869</v>
      </c>
      <c r="AH455" s="71">
        <f>IF(Tradingbook_MSB[[#This Row],[Days]]&lt;=0,0,YEARFRAC(RPT,Tradingbook_MSB[[#This Row],[Mat. Date]],3))</f>
        <v>5.1205479452054794</v>
      </c>
      <c r="AI455" s="71" t="str">
        <f>IF(Tradingbook_MSB[[#This Row],[Days (year)]]=0,0,INDEX(Ref!$K$2:$K$13,MATCH(Tradingbook_MSB[[#This Row],[Days (year)]],Ref!$I$2:$I$13,1)))</f>
        <v>5Y</v>
      </c>
      <c r="AJ455" s="120" t="str">
        <f>VLOOKUP(Tradingbook_MSB[[#This Row],[Security Name]],Ref!X:Z,3,0)</f>
        <v>TPCP</v>
      </c>
      <c r="AK455" s="120" t="str">
        <f>VLOOKUP(Tradingbook_MSB[[#This Row],[Security Name]],Ref!X:Y,2,0)</f>
        <v>KBNN</v>
      </c>
      <c r="AL455" s="71">
        <f>IF((Tradingbook_MSB[[#This Row],[Mat. Date]]-RPT)&lt;=0,0,Tradingbook_MSB[[#This Row],[QUANTITY]])</f>
        <v>0</v>
      </c>
      <c r="AM455" s="71">
        <f>IF(Tradingbook_MSB[[#This Row],[Quantity_edited]]=0,0,Tradingbook_MSB[[#This Row],[DURATION]])</f>
        <v>0</v>
      </c>
      <c r="AN455" s="71">
        <f>IF(Tradingbook_MSB[[#This Row],[Quantity_edited]]=0,0,Tradingbook_MSB[[#This Row],[Mod Dur]])</f>
        <v>0</v>
      </c>
      <c r="AO455" s="71">
        <f>IF(Tradingbook_MSB[[#This Row],[Quantity_edited]]=0,0,Tradingbook_MSB[[#This Row],[Cnvx.]])</f>
        <v>0</v>
      </c>
      <c r="AP455" s="71">
        <f>(Tradingbook_MSB[[#This Row],[MARKET_VALUE]]+Tradingbook_MSB[[#This Row],[Accr Int]]*Tradingbook_MSB[[#This Row],[Quantity_edited]])*(-Tradingbook_MSB[[#This Row],[Modified Duration]]*0.0001+0.5*Tradingbook_MSB[[#This Row],[Conv]]*(0.0001^2))</f>
        <v>0</v>
      </c>
      <c r="AQ455" s="72">
        <f>(Tradingbook_MSB[[#This Row],[MARKET_VALUE]]+Tradingbook_MSB[[#This Row],[Accr Int]]*Tradingbook_MSB[[#This Row],[Quantity_edited]])*(-Tradingbook_MSB[[#This Row],[Modified Duration]]*0.01+0.5*Tradingbook_MSB[[#This Row],[Conv]]*(0.01^2))</f>
        <v>0</v>
      </c>
      <c r="CL455" t="s">
        <v>166</v>
      </c>
      <c r="CM455" t="s">
        <v>3301</v>
      </c>
      <c r="CN455" t="s">
        <v>1147</v>
      </c>
      <c r="CO455" t="s">
        <v>169</v>
      </c>
      <c r="CP455">
        <v>48861</v>
      </c>
      <c r="CQ455" t="s">
        <v>3322</v>
      </c>
      <c r="CR455" t="s">
        <v>4348</v>
      </c>
      <c r="CS455" t="s">
        <v>4349</v>
      </c>
      <c r="CT455">
        <v>0</v>
      </c>
      <c r="CU455">
        <v>0</v>
      </c>
      <c r="CV455">
        <v>0</v>
      </c>
      <c r="CW455">
        <v>0</v>
      </c>
      <c r="CX455">
        <v>6</v>
      </c>
      <c r="CY455">
        <v>5145</v>
      </c>
      <c r="CZ455">
        <v>0</v>
      </c>
      <c r="DA455">
        <v>0</v>
      </c>
      <c r="DB455">
        <v>-36646786.944438934</v>
      </c>
      <c r="DC455">
        <v>4.81567451</v>
      </c>
      <c r="DD455">
        <v>6</v>
      </c>
      <c r="DE455">
        <v>6</v>
      </c>
      <c r="DF455">
        <v>40</v>
      </c>
      <c r="DG455">
        <v>0</v>
      </c>
      <c r="DH455">
        <v>0</v>
      </c>
      <c r="DI455">
        <v>0</v>
      </c>
      <c r="DJ455">
        <v>-3000000</v>
      </c>
      <c r="DK455">
        <v>0</v>
      </c>
      <c r="DL455">
        <v>-3000000</v>
      </c>
      <c r="DM455">
        <v>-3000000</v>
      </c>
      <c r="DN455">
        <v>-3000000</v>
      </c>
      <c r="DO455">
        <v>-3000000</v>
      </c>
      <c r="DP455" s="32">
        <f>Tradingbook_SBV[[#This Row],[Mat. Date]]-RPT</f>
        <v>2609</v>
      </c>
      <c r="DQ455" s="32">
        <f>IF(Tradingbook_SBV[[#This Row],[Days]]&lt;=0,0,YEARFRAC(RPT,Tradingbook_SBV[[#This Row],[Mat. Date]],3))</f>
        <v>7.1479452054794521</v>
      </c>
      <c r="DR455" s="32" t="str">
        <f>IF(Tradingbook_SBV[[#This Row],[Days (year)]]=0,0,INDEX(Ref!$K$2:$K$13,MATCH(Tradingbook_SBV[[#This Row],[Days (year)]],Ref!$I$2:$I$13,1)))</f>
        <v>7Y</v>
      </c>
      <c r="DS455" s="32" t="str">
        <f>VLOOKUP(Tradingbook_SBV[[#This Row],[Security Name]],Ref!X:Z,3,0)</f>
        <v>TPCPBL</v>
      </c>
      <c r="DT455" s="32" t="str">
        <f>VLOOKUP(Tradingbook_SBV[[#This Row],[Security Name]],Ref!X:Y,2,0)</f>
        <v>VBS</v>
      </c>
      <c r="DU455" s="71">
        <f>IF((Tradingbook_SBV[[#This Row],[Mat. Date]]-RPT)&lt;=0,0,Tradingbook_SBV[[#This Row],[QUANTITY]])</f>
        <v>0</v>
      </c>
      <c r="DV455" s="71">
        <f>IF(Tradingbook_SBV[[#This Row],[Quantity_edited]]=0,0,Tradingbook_SBV[[#This Row],[DURATION]])</f>
        <v>0</v>
      </c>
      <c r="DW455" s="71">
        <f>IF(Tradingbook_SBV[[#This Row],[Quantity_edited]]=0,0,Tradingbook_SBV[[#This Row],[Mod Dur]])</f>
        <v>0</v>
      </c>
      <c r="DX455" s="71">
        <f>IF(Tradingbook_SBV[[#This Row],[Quantity_edited]]=0,0,Tradingbook_SBV[[#This Row],[Cnvx.]])</f>
        <v>0</v>
      </c>
      <c r="DY455" s="71">
        <f>(Tradingbook_SBV[[#This Row],[MARKET_VALUE]]+Tradingbook_SBV[[#This Row],[Accr Int]]*Tradingbook_SBV[[#This Row],[Quantity_edited]])*(-Tradingbook_SBV[[#This Row],[Modified Duration]]*0.0001+0.5*Tradingbook_SBV[[#This Row],[Conv]]*(0.0001^2))</f>
        <v>0</v>
      </c>
      <c r="DZ455" s="71">
        <f>(Tradingbook_SBV[[#This Row],[MARKET_VALUE]]+Tradingbook_SBV[[#This Row],[Accr Int]]*Tradingbook_SBV[[#This Row],[Quantity_edited]])*(-Tradingbook_SBV[[#This Row],[Modified Duration]]*0.01+0.5*Tradingbook_SBV[[#This Row],[Conv]]*(0.01^2))</f>
        <v>0</v>
      </c>
    </row>
    <row r="456" spans="2:130" x14ac:dyDescent="0.3">
      <c r="B456" t="s">
        <v>166</v>
      </c>
      <c r="C456" t="s">
        <v>3300</v>
      </c>
      <c r="D456" t="s">
        <v>621</v>
      </c>
      <c r="E456" t="s">
        <v>169</v>
      </c>
      <c r="F456" s="502">
        <v>48146</v>
      </c>
      <c r="G456" t="s">
        <v>3322</v>
      </c>
      <c r="H456">
        <v>112834</v>
      </c>
      <c r="I456">
        <v>112834</v>
      </c>
      <c r="J456" s="38">
        <v>0</v>
      </c>
      <c r="K456">
        <v>0</v>
      </c>
      <c r="L456">
        <v>0</v>
      </c>
      <c r="M456" s="38">
        <v>0</v>
      </c>
      <c r="N456">
        <v>7.6</v>
      </c>
      <c r="O456">
        <v>6184</v>
      </c>
      <c r="P456" s="37">
        <v>0</v>
      </c>
      <c r="Q456" s="37">
        <v>0</v>
      </c>
      <c r="R456" s="37">
        <v>-948305066.66664886</v>
      </c>
      <c r="S456">
        <v>4.7445735019999997</v>
      </c>
      <c r="T456" s="70">
        <v>4.0977183280528999</v>
      </c>
      <c r="U456">
        <v>4.2921375900000003</v>
      </c>
      <c r="V456">
        <v>23.020717655697101</v>
      </c>
      <c r="W456">
        <v>0</v>
      </c>
      <c r="X456" s="38">
        <v>0</v>
      </c>
      <c r="Y456">
        <v>0</v>
      </c>
      <c r="Z456" s="70">
        <v>-3465000000</v>
      </c>
      <c r="AA456" s="70">
        <v>0</v>
      </c>
      <c r="AB456" s="70">
        <v>-3465000000</v>
      </c>
      <c r="AC456" s="70">
        <v>-3465000000</v>
      </c>
      <c r="AD456" s="70">
        <v>-3465000000</v>
      </c>
      <c r="AE456" s="70">
        <v>-3465000000</v>
      </c>
      <c r="AF456">
        <v>0</v>
      </c>
      <c r="AG456" s="72">
        <f>Tradingbook_MSB[[#This Row],[Mat. Date]]-RPT</f>
        <v>1894</v>
      </c>
      <c r="AH456" s="71">
        <f>IF(Tradingbook_MSB[[#This Row],[Days]]&lt;=0,0,YEARFRAC(RPT,Tradingbook_MSB[[#This Row],[Mat. Date]],3))</f>
        <v>5.1890410958904107</v>
      </c>
      <c r="AI456" s="71" t="str">
        <f>IF(Tradingbook_MSB[[#This Row],[Days (year)]]=0,0,INDEX(Ref!$K$2:$K$13,MATCH(Tradingbook_MSB[[#This Row],[Days (year)]],Ref!$I$2:$I$13,1)))</f>
        <v>5Y</v>
      </c>
      <c r="AJ456" s="120" t="str">
        <f>VLOOKUP(Tradingbook_MSB[[#This Row],[Security Name]],Ref!X:Z,3,0)</f>
        <v>TPCPBL</v>
      </c>
      <c r="AK456" s="120" t="str">
        <f>VLOOKUP(Tradingbook_MSB[[#This Row],[Security Name]],Ref!X:Y,2,0)</f>
        <v>VBS</v>
      </c>
      <c r="AL456" s="71">
        <f>IF((Tradingbook_MSB[[#This Row],[Mat. Date]]-RPT)&lt;=0,0,Tradingbook_MSB[[#This Row],[QUANTITY]])</f>
        <v>0</v>
      </c>
      <c r="AM456" s="71">
        <f>IF(Tradingbook_MSB[[#This Row],[Quantity_edited]]=0,0,Tradingbook_MSB[[#This Row],[DURATION]])</f>
        <v>0</v>
      </c>
      <c r="AN456" s="71">
        <f>IF(Tradingbook_MSB[[#This Row],[Quantity_edited]]=0,0,Tradingbook_MSB[[#This Row],[Mod Dur]])</f>
        <v>0</v>
      </c>
      <c r="AO456" s="71">
        <f>IF(Tradingbook_MSB[[#This Row],[Quantity_edited]]=0,0,Tradingbook_MSB[[#This Row],[Cnvx.]])</f>
        <v>0</v>
      </c>
      <c r="AP456" s="71">
        <f>(Tradingbook_MSB[[#This Row],[MARKET_VALUE]]+Tradingbook_MSB[[#This Row],[Accr Int]]*Tradingbook_MSB[[#This Row],[Quantity_edited]])*(-Tradingbook_MSB[[#This Row],[Modified Duration]]*0.0001+0.5*Tradingbook_MSB[[#This Row],[Conv]]*(0.0001^2))</f>
        <v>0</v>
      </c>
      <c r="AQ456" s="72">
        <f>(Tradingbook_MSB[[#This Row],[MARKET_VALUE]]+Tradingbook_MSB[[#This Row],[Accr Int]]*Tradingbook_MSB[[#This Row],[Quantity_edited]])*(-Tradingbook_MSB[[#This Row],[Modified Duration]]*0.01+0.5*Tradingbook_MSB[[#This Row],[Conv]]*(0.01^2))</f>
        <v>0</v>
      </c>
      <c r="CL456" t="s">
        <v>166</v>
      </c>
      <c r="CM456" t="s">
        <v>3301</v>
      </c>
      <c r="CN456" t="s">
        <v>662</v>
      </c>
      <c r="CO456" t="s">
        <v>169</v>
      </c>
      <c r="CP456">
        <v>48868</v>
      </c>
      <c r="CQ456" t="s">
        <v>3322</v>
      </c>
      <c r="CR456" t="s">
        <v>4350</v>
      </c>
      <c r="CS456" t="s">
        <v>4351</v>
      </c>
      <c r="CT456">
        <v>0</v>
      </c>
      <c r="CU456">
        <v>0</v>
      </c>
      <c r="CV456">
        <v>0</v>
      </c>
      <c r="CW456">
        <v>0</v>
      </c>
      <c r="CX456">
        <v>6</v>
      </c>
      <c r="CY456">
        <v>5030</v>
      </c>
      <c r="CZ456">
        <v>0</v>
      </c>
      <c r="DA456">
        <v>7.9999999999999996E-6</v>
      </c>
      <c r="DB456">
        <v>-18180753.888900757</v>
      </c>
      <c r="DC456">
        <v>4.8164629049999999</v>
      </c>
      <c r="DD456">
        <v>6</v>
      </c>
      <c r="DE456">
        <v>6</v>
      </c>
      <c r="DF456">
        <v>41</v>
      </c>
      <c r="DG456">
        <v>0</v>
      </c>
      <c r="DH456">
        <v>0</v>
      </c>
      <c r="DI456">
        <v>0</v>
      </c>
      <c r="DJ456">
        <v>-8000000</v>
      </c>
      <c r="DK456">
        <v>0</v>
      </c>
      <c r="DL456">
        <v>-8000000</v>
      </c>
      <c r="DM456">
        <v>-8000000</v>
      </c>
      <c r="DN456">
        <v>-8000000</v>
      </c>
      <c r="DO456">
        <v>-8000000</v>
      </c>
      <c r="DP456" s="32">
        <f>Tradingbook_SBV[[#This Row],[Mat. Date]]-RPT</f>
        <v>2616</v>
      </c>
      <c r="DQ456" s="32">
        <f>IF(Tradingbook_SBV[[#This Row],[Days]]&lt;=0,0,YEARFRAC(RPT,Tradingbook_SBV[[#This Row],[Mat. Date]],3))</f>
        <v>7.1671232876712327</v>
      </c>
      <c r="DR456" s="32" t="str">
        <f>IF(Tradingbook_SBV[[#This Row],[Days (year)]]=0,0,INDEX(Ref!$K$2:$K$13,MATCH(Tradingbook_SBV[[#This Row],[Days (year)]],Ref!$I$2:$I$13,1)))</f>
        <v>7Y</v>
      </c>
      <c r="DS456" s="32" t="str">
        <f>VLOOKUP(Tradingbook_SBV[[#This Row],[Security Name]],Ref!X:Z,3,0)</f>
        <v>TPCPBL</v>
      </c>
      <c r="DT456" s="32" t="str">
        <f>VLOOKUP(Tradingbook_SBV[[#This Row],[Security Name]],Ref!X:Y,2,0)</f>
        <v>VBS</v>
      </c>
      <c r="DU456" s="71">
        <f>IF((Tradingbook_SBV[[#This Row],[Mat. Date]]-RPT)&lt;=0,0,Tradingbook_SBV[[#This Row],[QUANTITY]])</f>
        <v>0</v>
      </c>
      <c r="DV456" s="71">
        <f>IF(Tradingbook_SBV[[#This Row],[Quantity_edited]]=0,0,Tradingbook_SBV[[#This Row],[DURATION]])</f>
        <v>0</v>
      </c>
      <c r="DW456" s="71">
        <f>IF(Tradingbook_SBV[[#This Row],[Quantity_edited]]=0,0,Tradingbook_SBV[[#This Row],[Mod Dur]])</f>
        <v>0</v>
      </c>
      <c r="DX456" s="71">
        <f>IF(Tradingbook_SBV[[#This Row],[Quantity_edited]]=0,0,Tradingbook_SBV[[#This Row],[Cnvx.]])</f>
        <v>0</v>
      </c>
      <c r="DY456" s="71">
        <f>(Tradingbook_SBV[[#This Row],[MARKET_VALUE]]+Tradingbook_SBV[[#This Row],[Accr Int]]*Tradingbook_SBV[[#This Row],[Quantity_edited]])*(-Tradingbook_SBV[[#This Row],[Modified Duration]]*0.0001+0.5*Tradingbook_SBV[[#This Row],[Conv]]*(0.0001^2))</f>
        <v>0</v>
      </c>
      <c r="DZ456" s="71">
        <f>(Tradingbook_SBV[[#This Row],[MARKET_VALUE]]+Tradingbook_SBV[[#This Row],[Accr Int]]*Tradingbook_SBV[[#This Row],[Quantity_edited]])*(-Tradingbook_SBV[[#This Row],[Modified Duration]]*0.01+0.5*Tradingbook_SBV[[#This Row],[Conv]]*(0.01^2))</f>
        <v>0</v>
      </c>
    </row>
    <row r="457" spans="2:130" x14ac:dyDescent="0.3">
      <c r="B457" t="s">
        <v>166</v>
      </c>
      <c r="C457" t="s">
        <v>3300</v>
      </c>
      <c r="D457" t="s">
        <v>622</v>
      </c>
      <c r="E457" t="s">
        <v>169</v>
      </c>
      <c r="F457" s="502">
        <v>48146</v>
      </c>
      <c r="G457" t="s">
        <v>3322</v>
      </c>
      <c r="H457">
        <v>112609</v>
      </c>
      <c r="I457">
        <v>112609</v>
      </c>
      <c r="J457" s="38">
        <v>0</v>
      </c>
      <c r="K457">
        <v>0</v>
      </c>
      <c r="L457">
        <v>0</v>
      </c>
      <c r="M457" s="38">
        <v>0</v>
      </c>
      <c r="N457">
        <v>7.55</v>
      </c>
      <c r="O457">
        <v>6143</v>
      </c>
      <c r="P457" s="37">
        <v>0</v>
      </c>
      <c r="Q457" s="37">
        <v>0</v>
      </c>
      <c r="R457" s="37">
        <v>21623888.333305359</v>
      </c>
      <c r="S457">
        <v>4.7446337989999998</v>
      </c>
      <c r="T457" s="70">
        <v>4.1014332790663</v>
      </c>
      <c r="U457">
        <v>4.2960312700000003</v>
      </c>
      <c r="V457">
        <v>23.047788197153199</v>
      </c>
      <c r="W457">
        <v>0</v>
      </c>
      <c r="X457" s="38">
        <v>0</v>
      </c>
      <c r="Y457">
        <v>0</v>
      </c>
      <c r="Z457" s="70">
        <v>-94000000</v>
      </c>
      <c r="AA457" s="70">
        <v>0</v>
      </c>
      <c r="AB457" s="70">
        <v>-94000000</v>
      </c>
      <c r="AC457" s="70">
        <v>-94000000</v>
      </c>
      <c r="AD457" s="70">
        <v>-94000000</v>
      </c>
      <c r="AE457" s="70">
        <v>-94000000</v>
      </c>
      <c r="AF457">
        <v>0</v>
      </c>
      <c r="AG457" s="72">
        <f>Tradingbook_MSB[[#This Row],[Mat. Date]]-RPT</f>
        <v>1894</v>
      </c>
      <c r="AH457" s="71">
        <f>IF(Tradingbook_MSB[[#This Row],[Days]]&lt;=0,0,YEARFRAC(RPT,Tradingbook_MSB[[#This Row],[Mat. Date]],3))</f>
        <v>5.1890410958904107</v>
      </c>
      <c r="AI457" s="71" t="str">
        <f>IF(Tradingbook_MSB[[#This Row],[Days (year)]]=0,0,INDEX(Ref!$K$2:$K$13,MATCH(Tradingbook_MSB[[#This Row],[Days (year)]],Ref!$I$2:$I$13,1)))</f>
        <v>5Y</v>
      </c>
      <c r="AJ457" s="120" t="str">
        <f>VLOOKUP(Tradingbook_MSB[[#This Row],[Security Name]],Ref!X:Z,3,0)</f>
        <v>TPCQĐP</v>
      </c>
      <c r="AK457" s="120" t="str">
        <f>VLOOKUP(Tradingbook_MSB[[#This Row],[Security Name]],Ref!X:Y,2,0)</f>
        <v>UBND-HCM</v>
      </c>
      <c r="AL457" s="71">
        <f>IF((Tradingbook_MSB[[#This Row],[Mat. Date]]-RPT)&lt;=0,0,Tradingbook_MSB[[#This Row],[QUANTITY]])</f>
        <v>0</v>
      </c>
      <c r="AM457" s="71">
        <f>IF(Tradingbook_MSB[[#This Row],[Quantity_edited]]=0,0,Tradingbook_MSB[[#This Row],[DURATION]])</f>
        <v>0</v>
      </c>
      <c r="AN457" s="71">
        <f>IF(Tradingbook_MSB[[#This Row],[Quantity_edited]]=0,0,Tradingbook_MSB[[#This Row],[Mod Dur]])</f>
        <v>0</v>
      </c>
      <c r="AO457" s="71">
        <f>IF(Tradingbook_MSB[[#This Row],[Quantity_edited]]=0,0,Tradingbook_MSB[[#This Row],[Cnvx.]])</f>
        <v>0</v>
      </c>
      <c r="AP457" s="71">
        <f>(Tradingbook_MSB[[#This Row],[MARKET_VALUE]]+Tradingbook_MSB[[#This Row],[Accr Int]]*Tradingbook_MSB[[#This Row],[Quantity_edited]])*(-Tradingbook_MSB[[#This Row],[Modified Duration]]*0.0001+0.5*Tradingbook_MSB[[#This Row],[Conv]]*(0.0001^2))</f>
        <v>0</v>
      </c>
      <c r="AQ457" s="72">
        <f>(Tradingbook_MSB[[#This Row],[MARKET_VALUE]]+Tradingbook_MSB[[#This Row],[Accr Int]]*Tradingbook_MSB[[#This Row],[Quantity_edited]])*(-Tradingbook_MSB[[#This Row],[Modified Duration]]*0.01+0.5*Tradingbook_MSB[[#This Row],[Conv]]*(0.01^2))</f>
        <v>0</v>
      </c>
      <c r="CL457" t="s">
        <v>166</v>
      </c>
      <c r="CM457" t="s">
        <v>3301</v>
      </c>
      <c r="CN457" t="s">
        <v>2774</v>
      </c>
      <c r="CO457" t="s">
        <v>169</v>
      </c>
      <c r="CP457">
        <v>48897</v>
      </c>
      <c r="CQ457" t="s">
        <v>3322</v>
      </c>
      <c r="CR457" t="s">
        <v>4352</v>
      </c>
      <c r="CS457" t="s">
        <v>4353</v>
      </c>
      <c r="CT457">
        <v>0</v>
      </c>
      <c r="CU457">
        <v>0</v>
      </c>
      <c r="CV457">
        <v>0</v>
      </c>
      <c r="CW457">
        <v>0</v>
      </c>
      <c r="CX457">
        <v>3.3</v>
      </c>
      <c r="CY457">
        <v>2504</v>
      </c>
      <c r="CZ457">
        <v>0</v>
      </c>
      <c r="DA457">
        <v>0</v>
      </c>
      <c r="DB457">
        <v>-627346899.30552292</v>
      </c>
      <c r="DC457">
        <v>4.8202100659999996</v>
      </c>
      <c r="DD457">
        <v>6</v>
      </c>
      <c r="DE457">
        <v>6</v>
      </c>
      <c r="DF457">
        <v>46</v>
      </c>
      <c r="DG457">
        <v>0</v>
      </c>
      <c r="DH457">
        <v>0</v>
      </c>
      <c r="DI457">
        <v>0</v>
      </c>
      <c r="DJ457">
        <v>1017500000</v>
      </c>
      <c r="DK457">
        <v>0</v>
      </c>
      <c r="DL457">
        <v>1017500000</v>
      </c>
      <c r="DM457">
        <v>1017500000</v>
      </c>
      <c r="DN457">
        <v>1017500000</v>
      </c>
      <c r="DO457">
        <v>1017500000</v>
      </c>
      <c r="DP457" s="32">
        <f>Tradingbook_SBV[[#This Row],[Mat. Date]]-RPT</f>
        <v>2645</v>
      </c>
      <c r="DQ457" s="32">
        <f>IF(Tradingbook_SBV[[#This Row],[Days]]&lt;=0,0,YEARFRAC(RPT,Tradingbook_SBV[[#This Row],[Mat. Date]],3))</f>
        <v>7.2465753424657535</v>
      </c>
      <c r="DR457" s="32" t="str">
        <f>IF(Tradingbook_SBV[[#This Row],[Days (year)]]=0,0,INDEX(Ref!$K$2:$K$13,MATCH(Tradingbook_SBV[[#This Row],[Days (year)]],Ref!$I$2:$I$13,1)))</f>
        <v>7Y</v>
      </c>
      <c r="DS457" s="32" t="str">
        <f>VLOOKUP(Tradingbook_SBV[[#This Row],[Security Name]],Ref!X:Z,3,0)</f>
        <v>TPCPBL</v>
      </c>
      <c r="DT457" s="32" t="str">
        <f>VLOOKUP(Tradingbook_SBV[[#This Row],[Security Name]],Ref!X:Y,2,0)</f>
        <v>VBS</v>
      </c>
      <c r="DU457" s="71">
        <f>IF((Tradingbook_SBV[[#This Row],[Mat. Date]]-RPT)&lt;=0,0,Tradingbook_SBV[[#This Row],[QUANTITY]])</f>
        <v>0</v>
      </c>
      <c r="DV457" s="71">
        <f>IF(Tradingbook_SBV[[#This Row],[Quantity_edited]]=0,0,Tradingbook_SBV[[#This Row],[DURATION]])</f>
        <v>0</v>
      </c>
      <c r="DW457" s="71">
        <f>IF(Tradingbook_SBV[[#This Row],[Quantity_edited]]=0,0,Tradingbook_SBV[[#This Row],[Mod Dur]])</f>
        <v>0</v>
      </c>
      <c r="DX457" s="71">
        <f>IF(Tradingbook_SBV[[#This Row],[Quantity_edited]]=0,0,Tradingbook_SBV[[#This Row],[Cnvx.]])</f>
        <v>0</v>
      </c>
      <c r="DY457" s="71">
        <f>(Tradingbook_SBV[[#This Row],[MARKET_VALUE]]+Tradingbook_SBV[[#This Row],[Accr Int]]*Tradingbook_SBV[[#This Row],[Quantity_edited]])*(-Tradingbook_SBV[[#This Row],[Modified Duration]]*0.0001+0.5*Tradingbook_SBV[[#This Row],[Conv]]*(0.0001^2))</f>
        <v>0</v>
      </c>
      <c r="DZ457" s="71">
        <f>(Tradingbook_SBV[[#This Row],[MARKET_VALUE]]+Tradingbook_SBV[[#This Row],[Accr Int]]*Tradingbook_SBV[[#This Row],[Quantity_edited]])*(-Tradingbook_SBV[[#This Row],[Modified Duration]]*0.01+0.5*Tradingbook_SBV[[#This Row],[Conv]]*(0.01^2))</f>
        <v>0</v>
      </c>
    </row>
    <row r="458" spans="2:130" x14ac:dyDescent="0.3">
      <c r="B458" t="s">
        <v>166</v>
      </c>
      <c r="C458" t="s">
        <v>3300</v>
      </c>
      <c r="D458" t="s">
        <v>645</v>
      </c>
      <c r="E458" t="s">
        <v>169</v>
      </c>
      <c r="F458" s="502">
        <v>48170</v>
      </c>
      <c r="G458" t="s">
        <v>3322</v>
      </c>
      <c r="H458">
        <v>89610</v>
      </c>
      <c r="I458">
        <v>89610</v>
      </c>
      <c r="J458" s="38">
        <v>0</v>
      </c>
      <c r="K458">
        <v>0</v>
      </c>
      <c r="L458">
        <v>0</v>
      </c>
      <c r="M458" s="38">
        <v>0</v>
      </c>
      <c r="N458">
        <v>2</v>
      </c>
      <c r="O458">
        <v>1496</v>
      </c>
      <c r="P458" s="37">
        <v>0</v>
      </c>
      <c r="Q458" s="37">
        <v>3.9999999999999998E-6</v>
      </c>
      <c r="R458" s="37">
        <v>-1079212667.1888514</v>
      </c>
      <c r="S458">
        <v>4.2469168679999996</v>
      </c>
      <c r="T458" s="70">
        <v>4.7419818817564003</v>
      </c>
      <c r="U458">
        <v>4.9433699100000004</v>
      </c>
      <c r="V458">
        <v>28.0071036866809</v>
      </c>
      <c r="W458">
        <v>0</v>
      </c>
      <c r="X458" s="38">
        <v>0</v>
      </c>
      <c r="Y458">
        <v>0</v>
      </c>
      <c r="Z458" s="70">
        <v>-3172200000</v>
      </c>
      <c r="AA458" s="70">
        <v>0</v>
      </c>
      <c r="AB458" s="70">
        <v>-3172200000</v>
      </c>
      <c r="AC458" s="70">
        <v>-3172200000</v>
      </c>
      <c r="AD458" s="70">
        <v>-3172200000</v>
      </c>
      <c r="AE458" s="70">
        <v>-3172200000</v>
      </c>
      <c r="AF458">
        <v>0</v>
      </c>
      <c r="AG458" s="72">
        <f>Tradingbook_MSB[[#This Row],[Mat. Date]]-RPT</f>
        <v>1918</v>
      </c>
      <c r="AH458" s="71">
        <f>IF(Tradingbook_MSB[[#This Row],[Days]]&lt;=0,0,YEARFRAC(RPT,Tradingbook_MSB[[#This Row],[Mat. Date]],3))</f>
        <v>5.2547945205479456</v>
      </c>
      <c r="AI458" s="71" t="str">
        <f>IF(Tradingbook_MSB[[#This Row],[Days (year)]]=0,0,INDEX(Ref!$K$2:$K$13,MATCH(Tradingbook_MSB[[#This Row],[Days (year)]],Ref!$I$2:$I$13,1)))</f>
        <v>5Y</v>
      </c>
      <c r="AJ458" s="120" t="str">
        <f>VLOOKUP(Tradingbook_MSB[[#This Row],[Security Name]],Ref!X:Z,3,0)</f>
        <v>TPCP</v>
      </c>
      <c r="AK458" s="120" t="str">
        <f>VLOOKUP(Tradingbook_MSB[[#This Row],[Security Name]],Ref!X:Y,2,0)</f>
        <v>KBNN</v>
      </c>
      <c r="AL458" s="71">
        <f>IF((Tradingbook_MSB[[#This Row],[Mat. Date]]-RPT)&lt;=0,0,Tradingbook_MSB[[#This Row],[QUANTITY]])</f>
        <v>0</v>
      </c>
      <c r="AM458" s="71">
        <f>IF(Tradingbook_MSB[[#This Row],[Quantity_edited]]=0,0,Tradingbook_MSB[[#This Row],[DURATION]])</f>
        <v>0</v>
      </c>
      <c r="AN458" s="71">
        <f>IF(Tradingbook_MSB[[#This Row],[Quantity_edited]]=0,0,Tradingbook_MSB[[#This Row],[Mod Dur]])</f>
        <v>0</v>
      </c>
      <c r="AO458" s="71">
        <f>IF(Tradingbook_MSB[[#This Row],[Quantity_edited]]=0,0,Tradingbook_MSB[[#This Row],[Cnvx.]])</f>
        <v>0</v>
      </c>
      <c r="AP458" s="71">
        <f>(Tradingbook_MSB[[#This Row],[MARKET_VALUE]]+Tradingbook_MSB[[#This Row],[Accr Int]]*Tradingbook_MSB[[#This Row],[Quantity_edited]])*(-Tradingbook_MSB[[#This Row],[Modified Duration]]*0.0001+0.5*Tradingbook_MSB[[#This Row],[Conv]]*(0.0001^2))</f>
        <v>0</v>
      </c>
      <c r="AQ458" s="72">
        <f>(Tradingbook_MSB[[#This Row],[MARKET_VALUE]]+Tradingbook_MSB[[#This Row],[Accr Int]]*Tradingbook_MSB[[#This Row],[Quantity_edited]])*(-Tradingbook_MSB[[#This Row],[Modified Duration]]*0.01+0.5*Tradingbook_MSB[[#This Row],[Conv]]*(0.01^2))</f>
        <v>0</v>
      </c>
      <c r="CL458" t="s">
        <v>166</v>
      </c>
      <c r="CM458" t="s">
        <v>3301</v>
      </c>
      <c r="CN458" t="s">
        <v>2779</v>
      </c>
      <c r="CO458" t="s">
        <v>169</v>
      </c>
      <c r="CP458">
        <v>48900</v>
      </c>
      <c r="CQ458" t="s">
        <v>3322</v>
      </c>
      <c r="CR458" t="s">
        <v>4354</v>
      </c>
      <c r="CS458" t="s">
        <v>4355</v>
      </c>
      <c r="CT458">
        <v>0</v>
      </c>
      <c r="CU458">
        <v>0</v>
      </c>
      <c r="CV458">
        <v>0</v>
      </c>
      <c r="CW458">
        <v>0</v>
      </c>
      <c r="CX458">
        <v>3.1</v>
      </c>
      <c r="CY458">
        <v>2327</v>
      </c>
      <c r="CZ458">
        <v>1550000000</v>
      </c>
      <c r="DA458">
        <v>1684150347.222234</v>
      </c>
      <c r="DB458">
        <v>237417167.36119795</v>
      </c>
      <c r="DC458">
        <v>4.8205569959999996</v>
      </c>
      <c r="DD458">
        <v>6</v>
      </c>
      <c r="DE458">
        <v>6</v>
      </c>
      <c r="DF458">
        <v>46</v>
      </c>
      <c r="DG458">
        <v>0</v>
      </c>
      <c r="DH458">
        <v>0</v>
      </c>
      <c r="DI458">
        <v>0</v>
      </c>
      <c r="DJ458">
        <v>15903500000</v>
      </c>
      <c r="DK458">
        <v>0</v>
      </c>
      <c r="DL458">
        <v>15903500000</v>
      </c>
      <c r="DM458">
        <v>15903500000</v>
      </c>
      <c r="DN458">
        <v>15903500000</v>
      </c>
      <c r="DO458">
        <v>15903500000</v>
      </c>
      <c r="DP458" s="32">
        <f>Tradingbook_SBV[[#This Row],[Mat. Date]]-RPT</f>
        <v>2648</v>
      </c>
      <c r="DQ458" s="32">
        <f>IF(Tradingbook_SBV[[#This Row],[Days]]&lt;=0,0,YEARFRAC(RPT,Tradingbook_SBV[[#This Row],[Mat. Date]],3))</f>
        <v>7.2547945205479456</v>
      </c>
      <c r="DR458" s="32" t="str">
        <f>IF(Tradingbook_SBV[[#This Row],[Days (year)]]=0,0,INDEX(Ref!$K$2:$K$13,MATCH(Tradingbook_SBV[[#This Row],[Days (year)]],Ref!$I$2:$I$13,1)))</f>
        <v>7Y</v>
      </c>
      <c r="DS458" s="32" t="str">
        <f>VLOOKUP(Tradingbook_SBV[[#This Row],[Security Name]],Ref!X:Z,3,0)</f>
        <v>TPCPBL</v>
      </c>
      <c r="DT458" s="32" t="str">
        <f>VLOOKUP(Tradingbook_SBV[[#This Row],[Security Name]],Ref!X:Y,2,0)</f>
        <v>VBS</v>
      </c>
      <c r="DU458" s="71">
        <f>IF((Tradingbook_SBV[[#This Row],[Mat. Date]]-RPT)&lt;=0,0,Tradingbook_SBV[[#This Row],[QUANTITY]])</f>
        <v>0</v>
      </c>
      <c r="DV458" s="71">
        <f>IF(Tradingbook_SBV[[#This Row],[Quantity_edited]]=0,0,Tradingbook_SBV[[#This Row],[DURATION]])</f>
        <v>0</v>
      </c>
      <c r="DW458" s="71">
        <f>IF(Tradingbook_SBV[[#This Row],[Quantity_edited]]=0,0,Tradingbook_SBV[[#This Row],[Mod Dur]])</f>
        <v>0</v>
      </c>
      <c r="DX458" s="71">
        <f>IF(Tradingbook_SBV[[#This Row],[Quantity_edited]]=0,0,Tradingbook_SBV[[#This Row],[Cnvx.]])</f>
        <v>0</v>
      </c>
      <c r="DY458" s="71">
        <f>(Tradingbook_SBV[[#This Row],[MARKET_VALUE]]+Tradingbook_SBV[[#This Row],[Accr Int]]*Tradingbook_SBV[[#This Row],[Quantity_edited]])*(-Tradingbook_SBV[[#This Row],[Modified Duration]]*0.0001+0.5*Tradingbook_SBV[[#This Row],[Conv]]*(0.0001^2))</f>
        <v>0</v>
      </c>
      <c r="DZ458" s="71">
        <f>(Tradingbook_SBV[[#This Row],[MARKET_VALUE]]+Tradingbook_SBV[[#This Row],[Accr Int]]*Tradingbook_SBV[[#This Row],[Quantity_edited]])*(-Tradingbook_SBV[[#This Row],[Modified Duration]]*0.01+0.5*Tradingbook_SBV[[#This Row],[Conv]]*(0.01^2))</f>
        <v>0</v>
      </c>
    </row>
    <row r="459" spans="2:130" x14ac:dyDescent="0.3">
      <c r="B459" t="s">
        <v>166</v>
      </c>
      <c r="C459" t="s">
        <v>3300</v>
      </c>
      <c r="D459" t="s">
        <v>646</v>
      </c>
      <c r="E459" t="s">
        <v>169</v>
      </c>
      <c r="F459" s="502">
        <v>48202</v>
      </c>
      <c r="G459" t="s">
        <v>3322</v>
      </c>
      <c r="H459">
        <v>89590</v>
      </c>
      <c r="I459">
        <v>89590</v>
      </c>
      <c r="J459" s="38">
        <v>0</v>
      </c>
      <c r="K459">
        <v>0</v>
      </c>
      <c r="L459">
        <v>0</v>
      </c>
      <c r="M459" s="38">
        <v>0</v>
      </c>
      <c r="N459">
        <v>2.5</v>
      </c>
      <c r="O459">
        <v>1651</v>
      </c>
      <c r="P459" s="37">
        <v>0</v>
      </c>
      <c r="Q459" s="37">
        <v>0</v>
      </c>
      <c r="R459" s="37">
        <v>-3604703.0555534363</v>
      </c>
      <c r="S459">
        <v>4.7500304309999999</v>
      </c>
      <c r="T459" s="70">
        <v>4.7339361255492998</v>
      </c>
      <c r="U459">
        <v>4.9587995300000003</v>
      </c>
      <c r="V459">
        <v>28.094731574170901</v>
      </c>
      <c r="W459">
        <v>0</v>
      </c>
      <c r="X459" s="38">
        <v>0</v>
      </c>
      <c r="Y459">
        <v>0</v>
      </c>
      <c r="Z459" s="70">
        <v>5000000</v>
      </c>
      <c r="AA459" s="70">
        <v>0</v>
      </c>
      <c r="AB459" s="70">
        <v>5000000</v>
      </c>
      <c r="AC459" s="70">
        <v>5000000</v>
      </c>
      <c r="AD459" s="70">
        <v>5000000</v>
      </c>
      <c r="AE459" s="70">
        <v>5000000</v>
      </c>
      <c r="AF459">
        <v>0</v>
      </c>
      <c r="AG459" s="72">
        <f>Tradingbook_MSB[[#This Row],[Mat. Date]]-RPT</f>
        <v>1950</v>
      </c>
      <c r="AH459" s="71">
        <f>IF(Tradingbook_MSB[[#This Row],[Days]]&lt;=0,0,YEARFRAC(RPT,Tradingbook_MSB[[#This Row],[Mat. Date]],3))</f>
        <v>5.3424657534246576</v>
      </c>
      <c r="AI459" s="71" t="str">
        <f>IF(Tradingbook_MSB[[#This Row],[Days (year)]]=0,0,INDEX(Ref!$K$2:$K$13,MATCH(Tradingbook_MSB[[#This Row],[Days (year)]],Ref!$I$2:$I$13,1)))</f>
        <v>5Y</v>
      </c>
      <c r="AJ459" s="120" t="str">
        <f>VLOOKUP(Tradingbook_MSB[[#This Row],[Security Name]],Ref!X:Z,3,0)</f>
        <v>TPCPBL</v>
      </c>
      <c r="AK459" s="120" t="str">
        <f>VLOOKUP(Tradingbook_MSB[[#This Row],[Security Name]],Ref!X:Y,2,0)</f>
        <v>VDB</v>
      </c>
      <c r="AL459" s="71">
        <f>IF((Tradingbook_MSB[[#This Row],[Mat. Date]]-RPT)&lt;=0,0,Tradingbook_MSB[[#This Row],[QUANTITY]])</f>
        <v>0</v>
      </c>
      <c r="AM459" s="71">
        <f>IF(Tradingbook_MSB[[#This Row],[Quantity_edited]]=0,0,Tradingbook_MSB[[#This Row],[DURATION]])</f>
        <v>0</v>
      </c>
      <c r="AN459" s="71">
        <f>IF(Tradingbook_MSB[[#This Row],[Quantity_edited]]=0,0,Tradingbook_MSB[[#This Row],[Mod Dur]])</f>
        <v>0</v>
      </c>
      <c r="AO459" s="71">
        <f>IF(Tradingbook_MSB[[#This Row],[Quantity_edited]]=0,0,Tradingbook_MSB[[#This Row],[Cnvx.]])</f>
        <v>0</v>
      </c>
      <c r="AP459" s="71">
        <f>(Tradingbook_MSB[[#This Row],[MARKET_VALUE]]+Tradingbook_MSB[[#This Row],[Accr Int]]*Tradingbook_MSB[[#This Row],[Quantity_edited]])*(-Tradingbook_MSB[[#This Row],[Modified Duration]]*0.0001+0.5*Tradingbook_MSB[[#This Row],[Conv]]*(0.0001^2))</f>
        <v>0</v>
      </c>
      <c r="AQ459" s="72">
        <f>(Tradingbook_MSB[[#This Row],[MARKET_VALUE]]+Tradingbook_MSB[[#This Row],[Accr Int]]*Tradingbook_MSB[[#This Row],[Quantity_edited]])*(-Tradingbook_MSB[[#This Row],[Modified Duration]]*0.01+0.5*Tradingbook_MSB[[#This Row],[Conv]]*(0.01^2))</f>
        <v>0</v>
      </c>
      <c r="CL459" t="s">
        <v>166</v>
      </c>
      <c r="CM459" t="s">
        <v>3301</v>
      </c>
      <c r="CN459" t="s">
        <v>2781</v>
      </c>
      <c r="CO459" t="s">
        <v>169</v>
      </c>
      <c r="CP459">
        <v>48904</v>
      </c>
      <c r="CQ459" t="s">
        <v>3322</v>
      </c>
      <c r="CR459" t="s">
        <v>4356</v>
      </c>
      <c r="CS459" t="s">
        <v>4357</v>
      </c>
      <c r="CT459">
        <v>0</v>
      </c>
      <c r="CU459">
        <v>0</v>
      </c>
      <c r="CV459">
        <v>0</v>
      </c>
      <c r="CW459">
        <v>0</v>
      </c>
      <c r="CX459">
        <v>3</v>
      </c>
      <c r="CY459">
        <v>2219</v>
      </c>
      <c r="CZ459">
        <v>0</v>
      </c>
      <c r="DA459">
        <v>9.9999999999999995E-7</v>
      </c>
      <c r="DB459">
        <v>790303066.66667747</v>
      </c>
      <c r="DC459">
        <v>4.8209929970000003</v>
      </c>
      <c r="DD459">
        <v>6</v>
      </c>
      <c r="DE459">
        <v>6</v>
      </c>
      <c r="DF459">
        <v>47</v>
      </c>
      <c r="DG459">
        <v>0</v>
      </c>
      <c r="DH459">
        <v>0</v>
      </c>
      <c r="DI459">
        <v>0</v>
      </c>
      <c r="DJ459">
        <v>10236000000</v>
      </c>
      <c r="DK459">
        <v>0</v>
      </c>
      <c r="DL459">
        <v>10236000000</v>
      </c>
      <c r="DM459">
        <v>10236000000</v>
      </c>
      <c r="DN459">
        <v>10236000000</v>
      </c>
      <c r="DO459">
        <v>10236000000</v>
      </c>
      <c r="DP459" s="32">
        <f>Tradingbook_SBV[[#This Row],[Mat. Date]]-RPT</f>
        <v>2652</v>
      </c>
      <c r="DQ459" s="32">
        <f>IF(Tradingbook_SBV[[#This Row],[Days]]&lt;=0,0,YEARFRAC(RPT,Tradingbook_SBV[[#This Row],[Mat. Date]],3))</f>
        <v>7.2657534246575342</v>
      </c>
      <c r="DR459" s="32" t="str">
        <f>IF(Tradingbook_SBV[[#This Row],[Days (year)]]=0,0,INDEX(Ref!$K$2:$K$13,MATCH(Tradingbook_SBV[[#This Row],[Days (year)]],Ref!$I$2:$I$13,1)))</f>
        <v>7Y</v>
      </c>
      <c r="DS459" s="32" t="str">
        <f>VLOOKUP(Tradingbook_SBV[[#This Row],[Security Name]],Ref!X:Z,3,0)</f>
        <v>TPCPBL</v>
      </c>
      <c r="DT459" s="32" t="str">
        <f>VLOOKUP(Tradingbook_SBV[[#This Row],[Security Name]],Ref!X:Y,2,0)</f>
        <v>VBS</v>
      </c>
      <c r="DU459" s="71">
        <f>IF((Tradingbook_SBV[[#This Row],[Mat. Date]]-RPT)&lt;=0,0,Tradingbook_SBV[[#This Row],[QUANTITY]])</f>
        <v>0</v>
      </c>
      <c r="DV459" s="71">
        <f>IF(Tradingbook_SBV[[#This Row],[Quantity_edited]]=0,0,Tradingbook_SBV[[#This Row],[DURATION]])</f>
        <v>0</v>
      </c>
      <c r="DW459" s="71">
        <f>IF(Tradingbook_SBV[[#This Row],[Quantity_edited]]=0,0,Tradingbook_SBV[[#This Row],[Mod Dur]])</f>
        <v>0</v>
      </c>
      <c r="DX459" s="71">
        <f>IF(Tradingbook_SBV[[#This Row],[Quantity_edited]]=0,0,Tradingbook_SBV[[#This Row],[Cnvx.]])</f>
        <v>0</v>
      </c>
      <c r="DY459" s="71">
        <f>(Tradingbook_SBV[[#This Row],[MARKET_VALUE]]+Tradingbook_SBV[[#This Row],[Accr Int]]*Tradingbook_SBV[[#This Row],[Quantity_edited]])*(-Tradingbook_SBV[[#This Row],[Modified Duration]]*0.0001+0.5*Tradingbook_SBV[[#This Row],[Conv]]*(0.0001^2))</f>
        <v>0</v>
      </c>
      <c r="DZ459" s="71">
        <f>(Tradingbook_SBV[[#This Row],[MARKET_VALUE]]+Tradingbook_SBV[[#This Row],[Accr Int]]*Tradingbook_SBV[[#This Row],[Quantity_edited]])*(-Tradingbook_SBV[[#This Row],[Modified Duration]]*0.01+0.5*Tradingbook_SBV[[#This Row],[Conv]]*(0.01^2))</f>
        <v>0</v>
      </c>
    </row>
    <row r="460" spans="2:130" x14ac:dyDescent="0.3">
      <c r="B460" t="s">
        <v>166</v>
      </c>
      <c r="C460" t="s">
        <v>3300</v>
      </c>
      <c r="D460" t="s">
        <v>647</v>
      </c>
      <c r="E460" t="s">
        <v>169</v>
      </c>
      <c r="F460" s="502">
        <v>48218</v>
      </c>
      <c r="G460" t="s">
        <v>3322</v>
      </c>
      <c r="H460">
        <v>113891</v>
      </c>
      <c r="I460">
        <v>113891</v>
      </c>
      <c r="J460" s="38">
        <v>0</v>
      </c>
      <c r="K460">
        <v>0</v>
      </c>
      <c r="L460">
        <v>0</v>
      </c>
      <c r="M460" s="38">
        <v>0</v>
      </c>
      <c r="N460">
        <v>7.2</v>
      </c>
      <c r="O460">
        <v>4438</v>
      </c>
      <c r="P460" s="37">
        <v>32400000000</v>
      </c>
      <c r="Q460" s="37">
        <v>38148492000.000122</v>
      </c>
      <c r="R460" s="37">
        <v>-6081203743.3333435</v>
      </c>
      <c r="S460">
        <v>4.2515169320000004</v>
      </c>
      <c r="T460" s="70">
        <v>4.3478361488049</v>
      </c>
      <c r="U460">
        <v>4.5326851399999999</v>
      </c>
      <c r="V460">
        <v>25.3285798938421</v>
      </c>
      <c r="W460">
        <v>0</v>
      </c>
      <c r="X460" s="38">
        <v>0</v>
      </c>
      <c r="Y460">
        <v>0</v>
      </c>
      <c r="Z460" s="70">
        <v>32720000000</v>
      </c>
      <c r="AA460" s="70">
        <v>0</v>
      </c>
      <c r="AB460" s="70">
        <v>32720000000</v>
      </c>
      <c r="AC460" s="70">
        <v>32720000000</v>
      </c>
      <c r="AD460" s="70">
        <v>32720000000</v>
      </c>
      <c r="AE460" s="70">
        <v>32720000000</v>
      </c>
      <c r="AF460">
        <v>0</v>
      </c>
      <c r="AG460" s="72">
        <f>Tradingbook_MSB[[#This Row],[Mat. Date]]-RPT</f>
        <v>1966</v>
      </c>
      <c r="AH460" s="71">
        <f>IF(Tradingbook_MSB[[#This Row],[Days]]&lt;=0,0,YEARFRAC(RPT,Tradingbook_MSB[[#This Row],[Mat. Date]],3))</f>
        <v>5.3863013698630136</v>
      </c>
      <c r="AI460" s="71" t="str">
        <f>IF(Tradingbook_MSB[[#This Row],[Days (year)]]=0,0,INDEX(Ref!$K$2:$K$13,MATCH(Tradingbook_MSB[[#This Row],[Days (year)]],Ref!$I$2:$I$13,1)))</f>
        <v>5Y</v>
      </c>
      <c r="AJ460" s="120" t="str">
        <f>VLOOKUP(Tradingbook_MSB[[#This Row],[Security Name]],Ref!X:Z,3,0)</f>
        <v>TPCP</v>
      </c>
      <c r="AK460" s="120" t="str">
        <f>VLOOKUP(Tradingbook_MSB[[#This Row],[Security Name]],Ref!X:Y,2,0)</f>
        <v>KBNN</v>
      </c>
      <c r="AL460" s="71">
        <f>IF((Tradingbook_MSB[[#This Row],[Mat. Date]]-RPT)&lt;=0,0,Tradingbook_MSB[[#This Row],[QUANTITY]])</f>
        <v>0</v>
      </c>
      <c r="AM460" s="71">
        <f>IF(Tradingbook_MSB[[#This Row],[Quantity_edited]]=0,0,Tradingbook_MSB[[#This Row],[DURATION]])</f>
        <v>0</v>
      </c>
      <c r="AN460" s="71">
        <f>IF(Tradingbook_MSB[[#This Row],[Quantity_edited]]=0,0,Tradingbook_MSB[[#This Row],[Mod Dur]])</f>
        <v>0</v>
      </c>
      <c r="AO460" s="71">
        <f>IF(Tradingbook_MSB[[#This Row],[Quantity_edited]]=0,0,Tradingbook_MSB[[#This Row],[Cnvx.]])</f>
        <v>0</v>
      </c>
      <c r="AP460" s="71">
        <f>(Tradingbook_MSB[[#This Row],[MARKET_VALUE]]+Tradingbook_MSB[[#This Row],[Accr Int]]*Tradingbook_MSB[[#This Row],[Quantity_edited]])*(-Tradingbook_MSB[[#This Row],[Modified Duration]]*0.0001+0.5*Tradingbook_MSB[[#This Row],[Conv]]*(0.0001^2))</f>
        <v>0</v>
      </c>
      <c r="AQ460" s="72">
        <f>(Tradingbook_MSB[[#This Row],[MARKET_VALUE]]+Tradingbook_MSB[[#This Row],[Accr Int]]*Tradingbook_MSB[[#This Row],[Quantity_edited]])*(-Tradingbook_MSB[[#This Row],[Modified Duration]]*0.01+0.5*Tradingbook_MSB[[#This Row],[Conv]]*(0.01^2))</f>
        <v>0</v>
      </c>
      <c r="CL460" t="s">
        <v>166</v>
      </c>
      <c r="CM460" t="s">
        <v>3301</v>
      </c>
      <c r="CN460" t="s">
        <v>2794</v>
      </c>
      <c r="CO460" t="s">
        <v>169</v>
      </c>
      <c r="CP460">
        <v>48920</v>
      </c>
      <c r="CQ460" t="s">
        <v>3322</v>
      </c>
      <c r="CR460" t="s">
        <v>4358</v>
      </c>
      <c r="CS460" t="s">
        <v>4359</v>
      </c>
      <c r="CT460">
        <v>0</v>
      </c>
      <c r="CU460">
        <v>0</v>
      </c>
      <c r="CV460">
        <v>0</v>
      </c>
      <c r="CW460">
        <v>0</v>
      </c>
      <c r="CX460">
        <v>2.2000000000000002</v>
      </c>
      <c r="CY460">
        <v>1531</v>
      </c>
      <c r="CZ460">
        <v>0</v>
      </c>
      <c r="DA460">
        <v>3.0000000000000001E-6</v>
      </c>
      <c r="DB460">
        <v>-1198875645.8333302</v>
      </c>
      <c r="DC460">
        <v>4.3230796659999999</v>
      </c>
      <c r="DD460">
        <v>6</v>
      </c>
      <c r="DE460">
        <v>7</v>
      </c>
      <c r="DF460">
        <v>50</v>
      </c>
      <c r="DG460">
        <v>0</v>
      </c>
      <c r="DH460">
        <v>0</v>
      </c>
      <c r="DI460">
        <v>0</v>
      </c>
      <c r="DJ460">
        <v>-728000000</v>
      </c>
      <c r="DK460">
        <v>0</v>
      </c>
      <c r="DL460">
        <v>-728000000</v>
      </c>
      <c r="DM460">
        <v>-728000000</v>
      </c>
      <c r="DN460">
        <v>-728000000</v>
      </c>
      <c r="DO460">
        <v>-728000000</v>
      </c>
      <c r="DP460" s="32">
        <f>Tradingbook_SBV[[#This Row],[Mat. Date]]-RPT</f>
        <v>2668</v>
      </c>
      <c r="DQ460" s="32">
        <f>IF(Tradingbook_SBV[[#This Row],[Days]]&lt;=0,0,YEARFRAC(RPT,Tradingbook_SBV[[#This Row],[Mat. Date]],3))</f>
        <v>7.3095890410958901</v>
      </c>
      <c r="DR460" s="32" t="str">
        <f>IF(Tradingbook_SBV[[#This Row],[Days (year)]]=0,0,INDEX(Ref!$K$2:$K$13,MATCH(Tradingbook_SBV[[#This Row],[Days (year)]],Ref!$I$2:$I$13,1)))</f>
        <v>7Y</v>
      </c>
      <c r="DS460" s="32" t="str">
        <f>VLOOKUP(Tradingbook_SBV[[#This Row],[Security Name]],Ref!X:Z,3,0)</f>
        <v>TPCP</v>
      </c>
      <c r="DT460" s="32" t="str">
        <f>VLOOKUP(Tradingbook_SBV[[#This Row],[Security Name]],Ref!X:Y,2,0)</f>
        <v>KBNN</v>
      </c>
      <c r="DU460" s="71">
        <f>IF((Tradingbook_SBV[[#This Row],[Mat. Date]]-RPT)&lt;=0,0,Tradingbook_SBV[[#This Row],[QUANTITY]])</f>
        <v>0</v>
      </c>
      <c r="DV460" s="71">
        <f>IF(Tradingbook_SBV[[#This Row],[Quantity_edited]]=0,0,Tradingbook_SBV[[#This Row],[DURATION]])</f>
        <v>0</v>
      </c>
      <c r="DW460" s="71">
        <f>IF(Tradingbook_SBV[[#This Row],[Quantity_edited]]=0,0,Tradingbook_SBV[[#This Row],[Mod Dur]])</f>
        <v>0</v>
      </c>
      <c r="DX460" s="71">
        <f>IF(Tradingbook_SBV[[#This Row],[Quantity_edited]]=0,0,Tradingbook_SBV[[#This Row],[Cnvx.]])</f>
        <v>0</v>
      </c>
      <c r="DY460" s="71">
        <f>(Tradingbook_SBV[[#This Row],[MARKET_VALUE]]+Tradingbook_SBV[[#This Row],[Accr Int]]*Tradingbook_SBV[[#This Row],[Quantity_edited]])*(-Tradingbook_SBV[[#This Row],[Modified Duration]]*0.0001+0.5*Tradingbook_SBV[[#This Row],[Conv]]*(0.0001^2))</f>
        <v>0</v>
      </c>
      <c r="DZ460" s="71">
        <f>(Tradingbook_SBV[[#This Row],[MARKET_VALUE]]+Tradingbook_SBV[[#This Row],[Accr Int]]*Tradingbook_SBV[[#This Row],[Quantity_edited]])*(-Tradingbook_SBV[[#This Row],[Modified Duration]]*0.01+0.5*Tradingbook_SBV[[#This Row],[Conv]]*(0.01^2))</f>
        <v>0</v>
      </c>
    </row>
    <row r="461" spans="2:130" x14ac:dyDescent="0.3">
      <c r="B461" t="s">
        <v>166</v>
      </c>
      <c r="C461" t="s">
        <v>3300</v>
      </c>
      <c r="D461" t="s">
        <v>623</v>
      </c>
      <c r="E461" t="s">
        <v>169</v>
      </c>
      <c r="F461" s="502">
        <v>48230</v>
      </c>
      <c r="G461" t="s">
        <v>3322</v>
      </c>
      <c r="H461">
        <v>113746</v>
      </c>
      <c r="I461">
        <v>113746</v>
      </c>
      <c r="J461" s="38">
        <v>0</v>
      </c>
      <c r="K461">
        <v>0</v>
      </c>
      <c r="L461">
        <v>0</v>
      </c>
      <c r="M461" s="38">
        <v>0</v>
      </c>
      <c r="N461">
        <v>7.7</v>
      </c>
      <c r="O461">
        <v>4493</v>
      </c>
      <c r="P461" s="37">
        <v>0</v>
      </c>
      <c r="Q461" s="37">
        <v>1.5E-5</v>
      </c>
      <c r="R461" s="37">
        <v>-1742524116.6666336</v>
      </c>
      <c r="S461">
        <v>4.7527846130000002</v>
      </c>
      <c r="T461" s="70">
        <v>4.3095138270749</v>
      </c>
      <c r="U461">
        <v>4.5143357399999999</v>
      </c>
      <c r="V461">
        <v>25.016988968693902</v>
      </c>
      <c r="W461">
        <v>0</v>
      </c>
      <c r="X461" s="38">
        <v>0</v>
      </c>
      <c r="Y461">
        <v>0</v>
      </c>
      <c r="Z461" s="70">
        <v>-5829000000</v>
      </c>
      <c r="AA461" s="70">
        <v>0</v>
      </c>
      <c r="AB461" s="70">
        <v>-5829000000</v>
      </c>
      <c r="AC461" s="70">
        <v>-5829000000</v>
      </c>
      <c r="AD461" s="70">
        <v>-5829000000</v>
      </c>
      <c r="AE461" s="70">
        <v>-5829000000</v>
      </c>
      <c r="AF461">
        <v>0</v>
      </c>
      <c r="AG461" s="72">
        <f>Tradingbook_MSB[[#This Row],[Mat. Date]]-RPT</f>
        <v>1978</v>
      </c>
      <c r="AH461" s="71">
        <f>IF(Tradingbook_MSB[[#This Row],[Days]]&lt;=0,0,YEARFRAC(RPT,Tradingbook_MSB[[#This Row],[Mat. Date]],3))</f>
        <v>5.419178082191781</v>
      </c>
      <c r="AI461" s="71" t="str">
        <f>IF(Tradingbook_MSB[[#This Row],[Days (year)]]=0,0,INDEX(Ref!$K$2:$K$13,MATCH(Tradingbook_MSB[[#This Row],[Days (year)]],Ref!$I$2:$I$13,1)))</f>
        <v>5Y</v>
      </c>
      <c r="AJ461" s="120" t="str">
        <f>VLOOKUP(Tradingbook_MSB[[#This Row],[Security Name]],Ref!X:Z,3,0)</f>
        <v>TPCPBL</v>
      </c>
      <c r="AK461" s="120" t="str">
        <f>VLOOKUP(Tradingbook_MSB[[#This Row],[Security Name]],Ref!X:Y,2,0)</f>
        <v>VBS</v>
      </c>
      <c r="AL461" s="71">
        <f>IF((Tradingbook_MSB[[#This Row],[Mat. Date]]-RPT)&lt;=0,0,Tradingbook_MSB[[#This Row],[QUANTITY]])</f>
        <v>0</v>
      </c>
      <c r="AM461" s="71">
        <f>IF(Tradingbook_MSB[[#This Row],[Quantity_edited]]=0,0,Tradingbook_MSB[[#This Row],[DURATION]])</f>
        <v>0</v>
      </c>
      <c r="AN461" s="71">
        <f>IF(Tradingbook_MSB[[#This Row],[Quantity_edited]]=0,0,Tradingbook_MSB[[#This Row],[Mod Dur]])</f>
        <v>0</v>
      </c>
      <c r="AO461" s="71">
        <f>IF(Tradingbook_MSB[[#This Row],[Quantity_edited]]=0,0,Tradingbook_MSB[[#This Row],[Cnvx.]])</f>
        <v>0</v>
      </c>
      <c r="AP461" s="71">
        <f>(Tradingbook_MSB[[#This Row],[MARKET_VALUE]]+Tradingbook_MSB[[#This Row],[Accr Int]]*Tradingbook_MSB[[#This Row],[Quantity_edited]])*(-Tradingbook_MSB[[#This Row],[Modified Duration]]*0.0001+0.5*Tradingbook_MSB[[#This Row],[Conv]]*(0.0001^2))</f>
        <v>0</v>
      </c>
      <c r="AQ461" s="72">
        <f>(Tradingbook_MSB[[#This Row],[MARKET_VALUE]]+Tradingbook_MSB[[#This Row],[Accr Int]]*Tradingbook_MSB[[#This Row],[Quantity_edited]])*(-Tradingbook_MSB[[#This Row],[Modified Duration]]*0.01+0.5*Tradingbook_MSB[[#This Row],[Conv]]*(0.01^2))</f>
        <v>0</v>
      </c>
      <c r="CL461" t="s">
        <v>166</v>
      </c>
      <c r="CM461" t="s">
        <v>3301</v>
      </c>
      <c r="CN461" t="s">
        <v>1205</v>
      </c>
      <c r="CO461" t="s">
        <v>169</v>
      </c>
      <c r="CP461">
        <v>48926</v>
      </c>
      <c r="CQ461" t="s">
        <v>3322</v>
      </c>
      <c r="CR461" t="s">
        <v>4360</v>
      </c>
      <c r="CS461" t="s">
        <v>4361</v>
      </c>
      <c r="CT461">
        <v>0</v>
      </c>
      <c r="CU461">
        <v>0</v>
      </c>
      <c r="CV461">
        <v>0</v>
      </c>
      <c r="CW461">
        <v>0</v>
      </c>
      <c r="CX461">
        <v>5.3</v>
      </c>
      <c r="CY461">
        <v>3601</v>
      </c>
      <c r="CZ461">
        <v>0</v>
      </c>
      <c r="DA461">
        <v>0</v>
      </c>
      <c r="DB461">
        <v>-222258143.74999809</v>
      </c>
      <c r="DC461">
        <v>4.3238908450000002</v>
      </c>
      <c r="DD461">
        <v>6</v>
      </c>
      <c r="DE461">
        <v>6</v>
      </c>
      <c r="DF461">
        <v>44</v>
      </c>
      <c r="DG461">
        <v>0</v>
      </c>
      <c r="DH461">
        <v>0</v>
      </c>
      <c r="DI461">
        <v>0</v>
      </c>
      <c r="DJ461">
        <v>-1889000000</v>
      </c>
      <c r="DK461">
        <v>0</v>
      </c>
      <c r="DL461">
        <v>-1889000000</v>
      </c>
      <c r="DM461">
        <v>-1889000000</v>
      </c>
      <c r="DN461">
        <v>-1889000000</v>
      </c>
      <c r="DO461">
        <v>-1889000000</v>
      </c>
      <c r="DP461" s="32">
        <f>Tradingbook_SBV[[#This Row],[Mat. Date]]-RPT</f>
        <v>2674</v>
      </c>
      <c r="DQ461" s="32">
        <f>IF(Tradingbook_SBV[[#This Row],[Days]]&lt;=0,0,YEARFRAC(RPT,Tradingbook_SBV[[#This Row],[Mat. Date]],3))</f>
        <v>7.3260273972602743</v>
      </c>
      <c r="DR461" s="32" t="str">
        <f>IF(Tradingbook_SBV[[#This Row],[Days (year)]]=0,0,INDEX(Ref!$K$2:$K$13,MATCH(Tradingbook_SBV[[#This Row],[Days (year)]],Ref!$I$2:$I$13,1)))</f>
        <v>7Y</v>
      </c>
      <c r="DS461" s="32" t="str">
        <f>VLOOKUP(Tradingbook_SBV[[#This Row],[Security Name]],Ref!X:Z,3,0)</f>
        <v>TPCP</v>
      </c>
      <c r="DT461" s="32" t="str">
        <f>VLOOKUP(Tradingbook_SBV[[#This Row],[Security Name]],Ref!X:Y,2,0)</f>
        <v>KBNN</v>
      </c>
      <c r="DU461" s="71">
        <f>IF((Tradingbook_SBV[[#This Row],[Mat. Date]]-RPT)&lt;=0,0,Tradingbook_SBV[[#This Row],[QUANTITY]])</f>
        <v>0</v>
      </c>
      <c r="DV461" s="71">
        <f>IF(Tradingbook_SBV[[#This Row],[Quantity_edited]]=0,0,Tradingbook_SBV[[#This Row],[DURATION]])</f>
        <v>0</v>
      </c>
      <c r="DW461" s="71">
        <f>IF(Tradingbook_SBV[[#This Row],[Quantity_edited]]=0,0,Tradingbook_SBV[[#This Row],[Mod Dur]])</f>
        <v>0</v>
      </c>
      <c r="DX461" s="71">
        <f>IF(Tradingbook_SBV[[#This Row],[Quantity_edited]]=0,0,Tradingbook_SBV[[#This Row],[Cnvx.]])</f>
        <v>0</v>
      </c>
      <c r="DY461" s="71">
        <f>(Tradingbook_SBV[[#This Row],[MARKET_VALUE]]+Tradingbook_SBV[[#This Row],[Accr Int]]*Tradingbook_SBV[[#This Row],[Quantity_edited]])*(-Tradingbook_SBV[[#This Row],[Modified Duration]]*0.0001+0.5*Tradingbook_SBV[[#This Row],[Conv]]*(0.0001^2))</f>
        <v>0</v>
      </c>
      <c r="DZ461" s="71">
        <f>(Tradingbook_SBV[[#This Row],[MARKET_VALUE]]+Tradingbook_SBV[[#This Row],[Accr Int]]*Tradingbook_SBV[[#This Row],[Quantity_edited]])*(-Tradingbook_SBV[[#This Row],[Modified Duration]]*0.01+0.5*Tradingbook_SBV[[#This Row],[Conv]]*(0.01^2))</f>
        <v>0</v>
      </c>
    </row>
    <row r="462" spans="2:130" x14ac:dyDescent="0.3">
      <c r="B462" t="s">
        <v>166</v>
      </c>
      <c r="C462" t="s">
        <v>3300</v>
      </c>
      <c r="D462" t="s">
        <v>624</v>
      </c>
      <c r="E462" t="s">
        <v>169</v>
      </c>
      <c r="F462" s="502">
        <v>48252</v>
      </c>
      <c r="G462" t="s">
        <v>3322</v>
      </c>
      <c r="H462">
        <v>113396</v>
      </c>
      <c r="I462">
        <v>113396</v>
      </c>
      <c r="J462" s="38">
        <v>0</v>
      </c>
      <c r="K462">
        <v>0</v>
      </c>
      <c r="L462">
        <v>0</v>
      </c>
      <c r="M462" s="38">
        <v>0</v>
      </c>
      <c r="N462">
        <v>7.6</v>
      </c>
      <c r="O462">
        <v>3977</v>
      </c>
      <c r="P462" s="37">
        <v>22800000000</v>
      </c>
      <c r="Q462" s="37">
        <v>27294934500.000092</v>
      </c>
      <c r="R462" s="37">
        <v>-293672825.27792168</v>
      </c>
      <c r="S462">
        <v>4.7549965380000003</v>
      </c>
      <c r="T462" s="70">
        <v>4.3742978217342001</v>
      </c>
      <c r="U462">
        <v>4.5822955299999997</v>
      </c>
      <c r="V462">
        <v>25.627649412007099</v>
      </c>
      <c r="W462">
        <v>0</v>
      </c>
      <c r="X462" s="38">
        <v>0</v>
      </c>
      <c r="Y462">
        <v>0</v>
      </c>
      <c r="Z462" s="70">
        <v>41263000000</v>
      </c>
      <c r="AA462" s="70">
        <v>0</v>
      </c>
      <c r="AB462" s="70">
        <v>41263000000</v>
      </c>
      <c r="AC462" s="70">
        <v>41263000000</v>
      </c>
      <c r="AD462" s="70">
        <v>41263000000</v>
      </c>
      <c r="AE462" s="70">
        <v>41263000000</v>
      </c>
      <c r="AF462">
        <v>0</v>
      </c>
      <c r="AG462" s="72">
        <f>Tradingbook_MSB[[#This Row],[Mat. Date]]-RPT</f>
        <v>2000</v>
      </c>
      <c r="AH462" s="71">
        <f>IF(Tradingbook_MSB[[#This Row],[Days]]&lt;=0,0,YEARFRAC(RPT,Tradingbook_MSB[[#This Row],[Mat. Date]],3))</f>
        <v>5.4794520547945202</v>
      </c>
      <c r="AI462" s="71" t="str">
        <f>IF(Tradingbook_MSB[[#This Row],[Days (year)]]=0,0,INDEX(Ref!$K$2:$K$13,MATCH(Tradingbook_MSB[[#This Row],[Days (year)]],Ref!$I$2:$I$13,1)))</f>
        <v>5Y</v>
      </c>
      <c r="AJ462" s="120" t="str">
        <f>VLOOKUP(Tradingbook_MSB[[#This Row],[Security Name]],Ref!X:Z,3,0)</f>
        <v>TPCPBL</v>
      </c>
      <c r="AK462" s="120" t="str">
        <f>VLOOKUP(Tradingbook_MSB[[#This Row],[Security Name]],Ref!X:Y,2,0)</f>
        <v>VDB</v>
      </c>
      <c r="AL462" s="71">
        <f>IF((Tradingbook_MSB[[#This Row],[Mat. Date]]-RPT)&lt;=0,0,Tradingbook_MSB[[#This Row],[QUANTITY]])</f>
        <v>0</v>
      </c>
      <c r="AM462" s="71">
        <f>IF(Tradingbook_MSB[[#This Row],[Quantity_edited]]=0,0,Tradingbook_MSB[[#This Row],[DURATION]])</f>
        <v>0</v>
      </c>
      <c r="AN462" s="71">
        <f>IF(Tradingbook_MSB[[#This Row],[Quantity_edited]]=0,0,Tradingbook_MSB[[#This Row],[Mod Dur]])</f>
        <v>0</v>
      </c>
      <c r="AO462" s="71">
        <f>IF(Tradingbook_MSB[[#This Row],[Quantity_edited]]=0,0,Tradingbook_MSB[[#This Row],[Cnvx.]])</f>
        <v>0</v>
      </c>
      <c r="AP462" s="71">
        <f>(Tradingbook_MSB[[#This Row],[MARKET_VALUE]]+Tradingbook_MSB[[#This Row],[Accr Int]]*Tradingbook_MSB[[#This Row],[Quantity_edited]])*(-Tradingbook_MSB[[#This Row],[Modified Duration]]*0.0001+0.5*Tradingbook_MSB[[#This Row],[Conv]]*(0.0001^2))</f>
        <v>0</v>
      </c>
      <c r="AQ462" s="72">
        <f>(Tradingbook_MSB[[#This Row],[MARKET_VALUE]]+Tradingbook_MSB[[#This Row],[Accr Int]]*Tradingbook_MSB[[#This Row],[Quantity_edited]])*(-Tradingbook_MSB[[#This Row],[Modified Duration]]*0.01+0.5*Tradingbook_MSB[[#This Row],[Conv]]*(0.01^2))</f>
        <v>0</v>
      </c>
      <c r="CL462" t="s">
        <v>166</v>
      </c>
      <c r="CM462" t="s">
        <v>3301</v>
      </c>
      <c r="CN462" t="s">
        <v>665</v>
      </c>
      <c r="CO462" t="s">
        <v>169</v>
      </c>
      <c r="CP462">
        <v>48947</v>
      </c>
      <c r="CQ462" t="s">
        <v>3322</v>
      </c>
      <c r="CR462" t="s">
        <v>4362</v>
      </c>
      <c r="CS462" t="s">
        <v>4363</v>
      </c>
      <c r="CT462">
        <v>0</v>
      </c>
      <c r="CU462">
        <v>0</v>
      </c>
      <c r="CV462">
        <v>0</v>
      </c>
      <c r="CW462">
        <v>0</v>
      </c>
      <c r="CX462">
        <v>5.3</v>
      </c>
      <c r="CY462">
        <v>3296</v>
      </c>
      <c r="CZ462">
        <v>13250000000</v>
      </c>
      <c r="DA462">
        <v>15110180750.000032</v>
      </c>
      <c r="DB462">
        <v>-4693143872.9722404</v>
      </c>
      <c r="DC462">
        <v>4.3264399989999998</v>
      </c>
      <c r="DD462">
        <v>6</v>
      </c>
      <c r="DE462">
        <v>6</v>
      </c>
      <c r="DF462">
        <v>45</v>
      </c>
      <c r="DG462">
        <v>0</v>
      </c>
      <c r="DH462">
        <v>0</v>
      </c>
      <c r="DI462">
        <v>0</v>
      </c>
      <c r="DJ462">
        <v>1372650000</v>
      </c>
      <c r="DK462">
        <v>0</v>
      </c>
      <c r="DL462">
        <v>1372650000</v>
      </c>
      <c r="DM462">
        <v>1372650000</v>
      </c>
      <c r="DN462">
        <v>1372650000</v>
      </c>
      <c r="DO462">
        <v>1372650000</v>
      </c>
      <c r="DP462" s="32">
        <f>Tradingbook_SBV[[#This Row],[Mat. Date]]-RPT</f>
        <v>2695</v>
      </c>
      <c r="DQ462" s="32">
        <f>IF(Tradingbook_SBV[[#This Row],[Days]]&lt;=0,0,YEARFRAC(RPT,Tradingbook_SBV[[#This Row],[Mat. Date]],3))</f>
        <v>7.3835616438356162</v>
      </c>
      <c r="DR462" s="32" t="str">
        <f>IF(Tradingbook_SBV[[#This Row],[Days (year)]]=0,0,INDEX(Ref!$K$2:$K$13,MATCH(Tradingbook_SBV[[#This Row],[Days (year)]],Ref!$I$2:$I$13,1)))</f>
        <v>7Y</v>
      </c>
      <c r="DS462" s="32" t="str">
        <f>VLOOKUP(Tradingbook_SBV[[#This Row],[Security Name]],Ref!X:Z,3,0)</f>
        <v>TPCP</v>
      </c>
      <c r="DT462" s="32" t="str">
        <f>VLOOKUP(Tradingbook_SBV[[#This Row],[Security Name]],Ref!X:Y,2,0)</f>
        <v>KBNN</v>
      </c>
      <c r="DU462" s="71">
        <f>IF((Tradingbook_SBV[[#This Row],[Mat. Date]]-RPT)&lt;=0,0,Tradingbook_SBV[[#This Row],[QUANTITY]])</f>
        <v>0</v>
      </c>
      <c r="DV462" s="71">
        <f>IF(Tradingbook_SBV[[#This Row],[Quantity_edited]]=0,0,Tradingbook_SBV[[#This Row],[DURATION]])</f>
        <v>0</v>
      </c>
      <c r="DW462" s="71">
        <f>IF(Tradingbook_SBV[[#This Row],[Quantity_edited]]=0,0,Tradingbook_SBV[[#This Row],[Mod Dur]])</f>
        <v>0</v>
      </c>
      <c r="DX462" s="71">
        <f>IF(Tradingbook_SBV[[#This Row],[Quantity_edited]]=0,0,Tradingbook_SBV[[#This Row],[Cnvx.]])</f>
        <v>0</v>
      </c>
      <c r="DY462" s="71">
        <f>(Tradingbook_SBV[[#This Row],[MARKET_VALUE]]+Tradingbook_SBV[[#This Row],[Accr Int]]*Tradingbook_SBV[[#This Row],[Quantity_edited]])*(-Tradingbook_SBV[[#This Row],[Modified Duration]]*0.0001+0.5*Tradingbook_SBV[[#This Row],[Conv]]*(0.0001^2))</f>
        <v>0</v>
      </c>
      <c r="DZ462" s="71">
        <f>(Tradingbook_SBV[[#This Row],[MARKET_VALUE]]+Tradingbook_SBV[[#This Row],[Accr Int]]*Tradingbook_SBV[[#This Row],[Quantity_edited]])*(-Tradingbook_SBV[[#This Row],[Modified Duration]]*0.01+0.5*Tradingbook_SBV[[#This Row],[Conv]]*(0.01^2))</f>
        <v>0</v>
      </c>
    </row>
    <row r="463" spans="2:130" x14ac:dyDescent="0.3">
      <c r="B463" t="s">
        <v>166</v>
      </c>
      <c r="C463" t="s">
        <v>3300</v>
      </c>
      <c r="D463" t="s">
        <v>625</v>
      </c>
      <c r="E463" t="s">
        <v>169</v>
      </c>
      <c r="F463" s="502">
        <v>48258</v>
      </c>
      <c r="G463" t="s">
        <v>3322</v>
      </c>
      <c r="H463">
        <v>113429</v>
      </c>
      <c r="I463">
        <v>113429</v>
      </c>
      <c r="J463" s="38">
        <v>0</v>
      </c>
      <c r="K463">
        <v>0</v>
      </c>
      <c r="L463">
        <v>0</v>
      </c>
      <c r="M463" s="38">
        <v>0</v>
      </c>
      <c r="N463">
        <v>7.6</v>
      </c>
      <c r="O463">
        <v>3852</v>
      </c>
      <c r="P463" s="37">
        <v>117420000000</v>
      </c>
      <c r="Q463" s="37">
        <v>139903769404.44446</v>
      </c>
      <c r="R463" s="37">
        <v>-15607211946.21529</v>
      </c>
      <c r="S463">
        <v>4.7554636180000003</v>
      </c>
      <c r="T463" s="70">
        <v>4.3899596165567996</v>
      </c>
      <c r="U463">
        <v>4.5987225499999997</v>
      </c>
      <c r="V463">
        <v>25.779850534666899</v>
      </c>
      <c r="W463">
        <v>0</v>
      </c>
      <c r="X463" s="38">
        <v>0</v>
      </c>
      <c r="Y463">
        <v>0</v>
      </c>
      <c r="Z463" s="70">
        <v>90064910000</v>
      </c>
      <c r="AA463" s="70">
        <v>0</v>
      </c>
      <c r="AB463" s="70">
        <v>90064910000</v>
      </c>
      <c r="AC463" s="70">
        <v>90064910000</v>
      </c>
      <c r="AD463" s="70">
        <v>90064910000</v>
      </c>
      <c r="AE463" s="70">
        <v>90064910000</v>
      </c>
      <c r="AF463">
        <v>0</v>
      </c>
      <c r="AG463" s="72">
        <f>Tradingbook_MSB[[#This Row],[Mat. Date]]-RPT</f>
        <v>2006</v>
      </c>
      <c r="AH463" s="71">
        <f>IF(Tradingbook_MSB[[#This Row],[Days]]&lt;=0,0,YEARFRAC(RPT,Tradingbook_MSB[[#This Row],[Mat. Date]],3))</f>
        <v>5.4958904109589044</v>
      </c>
      <c r="AI463" s="71" t="str">
        <f>IF(Tradingbook_MSB[[#This Row],[Days (year)]]=0,0,INDEX(Ref!$K$2:$K$13,MATCH(Tradingbook_MSB[[#This Row],[Days (year)]],Ref!$I$2:$I$13,1)))</f>
        <v>5Y</v>
      </c>
      <c r="AJ463" s="120" t="str">
        <f>VLOOKUP(Tradingbook_MSB[[#This Row],[Security Name]],Ref!X:Z,3,0)</f>
        <v>TPCPBL</v>
      </c>
      <c r="AK463" s="120" t="str">
        <f>VLOOKUP(Tradingbook_MSB[[#This Row],[Security Name]],Ref!X:Y,2,0)</f>
        <v>VDB</v>
      </c>
      <c r="AL463" s="71">
        <f>IF((Tradingbook_MSB[[#This Row],[Mat. Date]]-RPT)&lt;=0,0,Tradingbook_MSB[[#This Row],[QUANTITY]])</f>
        <v>0</v>
      </c>
      <c r="AM463" s="71">
        <f>IF(Tradingbook_MSB[[#This Row],[Quantity_edited]]=0,0,Tradingbook_MSB[[#This Row],[DURATION]])</f>
        <v>0</v>
      </c>
      <c r="AN463" s="71">
        <f>IF(Tradingbook_MSB[[#This Row],[Quantity_edited]]=0,0,Tradingbook_MSB[[#This Row],[Mod Dur]])</f>
        <v>0</v>
      </c>
      <c r="AO463" s="71">
        <f>IF(Tradingbook_MSB[[#This Row],[Quantity_edited]]=0,0,Tradingbook_MSB[[#This Row],[Cnvx.]])</f>
        <v>0</v>
      </c>
      <c r="AP463" s="71">
        <f>(Tradingbook_MSB[[#This Row],[MARKET_VALUE]]+Tradingbook_MSB[[#This Row],[Accr Int]]*Tradingbook_MSB[[#This Row],[Quantity_edited]])*(-Tradingbook_MSB[[#This Row],[Modified Duration]]*0.0001+0.5*Tradingbook_MSB[[#This Row],[Conv]]*(0.0001^2))</f>
        <v>0</v>
      </c>
      <c r="AQ463" s="72">
        <f>(Tradingbook_MSB[[#This Row],[MARKET_VALUE]]+Tradingbook_MSB[[#This Row],[Accr Int]]*Tradingbook_MSB[[#This Row],[Quantity_edited]])*(-Tradingbook_MSB[[#This Row],[Modified Duration]]*0.01+0.5*Tradingbook_MSB[[#This Row],[Conv]]*(0.01^2))</f>
        <v>0</v>
      </c>
      <c r="CL463" t="s">
        <v>166</v>
      </c>
      <c r="CM463" t="s">
        <v>3301</v>
      </c>
      <c r="CN463" t="s">
        <v>2799</v>
      </c>
      <c r="CO463" t="s">
        <v>169</v>
      </c>
      <c r="CP463">
        <v>48955</v>
      </c>
      <c r="CQ463" t="s">
        <v>170</v>
      </c>
      <c r="CR463" t="s">
        <v>4364</v>
      </c>
      <c r="CS463" t="s">
        <v>4365</v>
      </c>
      <c r="CT463">
        <v>500000</v>
      </c>
      <c r="CU463">
        <v>50000000000</v>
      </c>
      <c r="CV463">
        <v>90369</v>
      </c>
      <c r="CW463">
        <v>43068500000</v>
      </c>
      <c r="CX463">
        <v>2.1</v>
      </c>
      <c r="CY463">
        <v>1260</v>
      </c>
      <c r="CZ463">
        <v>1050000000</v>
      </c>
      <c r="DA463">
        <v>1086220625</v>
      </c>
      <c r="DB463">
        <v>-2506236669.4444523</v>
      </c>
      <c r="DC463">
        <v>4.3275177859999996</v>
      </c>
      <c r="DD463">
        <v>7</v>
      </c>
      <c r="DE463">
        <v>7</v>
      </c>
      <c r="DF463">
        <v>51</v>
      </c>
      <c r="DG463">
        <v>22344</v>
      </c>
      <c r="DH463">
        <v>-28443</v>
      </c>
      <c r="DI463">
        <v>5072</v>
      </c>
      <c r="DJ463">
        <v>0</v>
      </c>
      <c r="DK463">
        <v>-2116000000</v>
      </c>
      <c r="DL463">
        <v>-2116000000</v>
      </c>
      <c r="DM463">
        <v>-2116000000</v>
      </c>
      <c r="DN463">
        <v>-2116000000</v>
      </c>
      <c r="DO463">
        <v>-2116000000</v>
      </c>
      <c r="DP463" s="32">
        <f>Tradingbook_SBV[[#This Row],[Mat. Date]]-RPT</f>
        <v>2703</v>
      </c>
      <c r="DQ463" s="32">
        <f>IF(Tradingbook_SBV[[#This Row],[Days]]&lt;=0,0,YEARFRAC(RPT,Tradingbook_SBV[[#This Row],[Mat. Date]],3))</f>
        <v>7.4054794520547942</v>
      </c>
      <c r="DR463" s="32" t="str">
        <f>IF(Tradingbook_SBV[[#This Row],[Days (year)]]=0,0,INDEX(Ref!$K$2:$K$13,MATCH(Tradingbook_SBV[[#This Row],[Days (year)]],Ref!$I$2:$I$13,1)))</f>
        <v>7Y</v>
      </c>
      <c r="DS463" s="32" t="str">
        <f>VLOOKUP(Tradingbook_SBV[[#This Row],[Security Name]],Ref!X:Z,3,0)</f>
        <v>TPCP</v>
      </c>
      <c r="DT463" s="32" t="str">
        <f>VLOOKUP(Tradingbook_SBV[[#This Row],[Security Name]],Ref!X:Y,2,0)</f>
        <v>KBNN</v>
      </c>
      <c r="DU463" s="71">
        <f>IF((Tradingbook_SBV[[#This Row],[Mat. Date]]-RPT)&lt;=0,0,Tradingbook_SBV[[#This Row],[QUANTITY]])</f>
        <v>500000</v>
      </c>
      <c r="DV463" s="71">
        <f>IF(Tradingbook_SBV[[#This Row],[Quantity_edited]]=0,0,Tradingbook_SBV[[#This Row],[DURATION]])</f>
        <v>7</v>
      </c>
      <c r="DW463" s="71">
        <f>IF(Tradingbook_SBV[[#This Row],[Quantity_edited]]=0,0,Tradingbook_SBV[[#This Row],[Mod Dur]])</f>
        <v>7</v>
      </c>
      <c r="DX463" s="71">
        <f>IF(Tradingbook_SBV[[#This Row],[Quantity_edited]]=0,0,Tradingbook_SBV[[#This Row],[Cnvx.]])</f>
        <v>51</v>
      </c>
      <c r="DY463" s="71">
        <f>(Tradingbook_SBV[[#This Row],[MARKET_VALUE]]+Tradingbook_SBV[[#This Row],[Accr Int]]*Tradingbook_SBV[[#This Row],[Quantity_edited]])*(-Tradingbook_SBV[[#This Row],[Modified Duration]]*0.0001+0.5*Tradingbook_SBV[[#This Row],[Conv]]*(0.0001^2))</f>
        <v>-30577806.8825</v>
      </c>
      <c r="DZ463" s="71">
        <f>(Tradingbook_SBV[[#This Row],[MARKET_VALUE]]+Tradingbook_SBV[[#This Row],[Accr Int]]*Tradingbook_SBV[[#This Row],[Quantity_edited]])*(-Tradingbook_SBV[[#This Row],[Modified Duration]]*0.01+0.5*Tradingbook_SBV[[#This Row],[Conv]]*(0.01^2))</f>
        <v>-2947463825.0000005</v>
      </c>
    </row>
    <row r="464" spans="2:130" x14ac:dyDescent="0.3">
      <c r="B464" t="s">
        <v>166</v>
      </c>
      <c r="C464" t="s">
        <v>3300</v>
      </c>
      <c r="D464" t="s">
        <v>649</v>
      </c>
      <c r="E464" t="s">
        <v>169</v>
      </c>
      <c r="F464" s="502">
        <v>48287</v>
      </c>
      <c r="G464" t="s">
        <v>3322</v>
      </c>
      <c r="H464">
        <v>113101</v>
      </c>
      <c r="I464">
        <v>113101</v>
      </c>
      <c r="J464" s="38">
        <v>0</v>
      </c>
      <c r="K464">
        <v>0</v>
      </c>
      <c r="L464">
        <v>0</v>
      </c>
      <c r="M464" s="38">
        <v>0</v>
      </c>
      <c r="N464">
        <v>7.5</v>
      </c>
      <c r="O464">
        <v>3226</v>
      </c>
      <c r="P464" s="37">
        <v>0</v>
      </c>
      <c r="Q464" s="37">
        <v>0</v>
      </c>
      <c r="R464" s="37">
        <v>-18294591.527786255</v>
      </c>
      <c r="S464">
        <v>4.7583233370000002</v>
      </c>
      <c r="T464" s="70">
        <v>4.470456439925</v>
      </c>
      <c r="U464">
        <v>4.6831752099999999</v>
      </c>
      <c r="V464">
        <v>26.555918666175</v>
      </c>
      <c r="W464">
        <v>0</v>
      </c>
      <c r="X464" s="38">
        <v>0</v>
      </c>
      <c r="Y464">
        <v>0</v>
      </c>
      <c r="Z464" s="70">
        <v>-48000000</v>
      </c>
      <c r="AA464" s="70">
        <v>0</v>
      </c>
      <c r="AB464" s="70">
        <v>-48000000</v>
      </c>
      <c r="AC464" s="70">
        <v>-48000000</v>
      </c>
      <c r="AD464" s="70">
        <v>-48000000</v>
      </c>
      <c r="AE464" s="70">
        <v>-48000000</v>
      </c>
      <c r="AF464">
        <v>0</v>
      </c>
      <c r="AG464" s="72">
        <f>Tradingbook_MSB[[#This Row],[Mat. Date]]-RPT</f>
        <v>2035</v>
      </c>
      <c r="AH464" s="71">
        <f>IF(Tradingbook_MSB[[#This Row],[Days]]&lt;=0,0,YEARFRAC(RPT,Tradingbook_MSB[[#This Row],[Mat. Date]],3))</f>
        <v>5.5753424657534243</v>
      </c>
      <c r="AI464" s="71" t="str">
        <f>IF(Tradingbook_MSB[[#This Row],[Days (year)]]=0,0,INDEX(Ref!$K$2:$K$13,MATCH(Tradingbook_MSB[[#This Row],[Days (year)]],Ref!$I$2:$I$13,1)))</f>
        <v>7Y</v>
      </c>
      <c r="AJ464" s="120" t="str">
        <f>VLOOKUP(Tradingbook_MSB[[#This Row],[Security Name]],Ref!X:Z,3,0)</f>
        <v>TPCPBL</v>
      </c>
      <c r="AK464" s="120" t="str">
        <f>VLOOKUP(Tradingbook_MSB[[#This Row],[Security Name]],Ref!X:Y,2,0)</f>
        <v>VBS</v>
      </c>
      <c r="AL464" s="71">
        <f>IF((Tradingbook_MSB[[#This Row],[Mat. Date]]-RPT)&lt;=0,0,Tradingbook_MSB[[#This Row],[QUANTITY]])</f>
        <v>0</v>
      </c>
      <c r="AM464" s="71">
        <f>IF(Tradingbook_MSB[[#This Row],[Quantity_edited]]=0,0,Tradingbook_MSB[[#This Row],[DURATION]])</f>
        <v>0</v>
      </c>
      <c r="AN464" s="71">
        <f>IF(Tradingbook_MSB[[#This Row],[Quantity_edited]]=0,0,Tradingbook_MSB[[#This Row],[Mod Dur]])</f>
        <v>0</v>
      </c>
      <c r="AO464" s="71">
        <f>IF(Tradingbook_MSB[[#This Row],[Quantity_edited]]=0,0,Tradingbook_MSB[[#This Row],[Cnvx.]])</f>
        <v>0</v>
      </c>
      <c r="AP464" s="71">
        <f>(Tradingbook_MSB[[#This Row],[MARKET_VALUE]]+Tradingbook_MSB[[#This Row],[Accr Int]]*Tradingbook_MSB[[#This Row],[Quantity_edited]])*(-Tradingbook_MSB[[#This Row],[Modified Duration]]*0.0001+0.5*Tradingbook_MSB[[#This Row],[Conv]]*(0.0001^2))</f>
        <v>0</v>
      </c>
      <c r="AQ464" s="72">
        <f>(Tradingbook_MSB[[#This Row],[MARKET_VALUE]]+Tradingbook_MSB[[#This Row],[Accr Int]]*Tradingbook_MSB[[#This Row],[Quantity_edited]])*(-Tradingbook_MSB[[#This Row],[Modified Duration]]*0.01+0.5*Tradingbook_MSB[[#This Row],[Conv]]*(0.01^2))</f>
        <v>0</v>
      </c>
      <c r="CL464" t="s">
        <v>166</v>
      </c>
      <c r="CM464" t="s">
        <v>3301</v>
      </c>
      <c r="CN464" t="s">
        <v>666</v>
      </c>
      <c r="CO464" t="s">
        <v>169</v>
      </c>
      <c r="CP464">
        <v>48968</v>
      </c>
      <c r="CQ464" t="s">
        <v>170</v>
      </c>
      <c r="CR464" t="s">
        <v>4366</v>
      </c>
      <c r="CS464" t="s">
        <v>4367</v>
      </c>
      <c r="CT464">
        <v>1500000</v>
      </c>
      <c r="CU464">
        <v>150000000000</v>
      </c>
      <c r="CV464">
        <v>113783.421</v>
      </c>
      <c r="CW464">
        <v>157180500000</v>
      </c>
      <c r="CX464">
        <v>5.0999999999999996</v>
      </c>
      <c r="CY464">
        <v>2878</v>
      </c>
      <c r="CZ464">
        <v>17850000000</v>
      </c>
      <c r="DA464">
        <v>19606389708.333298</v>
      </c>
      <c r="DB464">
        <v>-20590479724.166607</v>
      </c>
      <c r="DC464">
        <v>4.329117353</v>
      </c>
      <c r="DD464">
        <v>6</v>
      </c>
      <c r="DE464">
        <v>6</v>
      </c>
      <c r="DF464">
        <v>46</v>
      </c>
      <c r="DG464">
        <v>73940</v>
      </c>
      <c r="DH464">
        <v>-96534</v>
      </c>
      <c r="DI464">
        <v>18753</v>
      </c>
      <c r="DJ464">
        <v>-17967869047.619133</v>
      </c>
      <c r="DK464">
        <v>-13494630952.380955</v>
      </c>
      <c r="DL464">
        <v>-31462500000.000088</v>
      </c>
      <c r="DM464">
        <v>-31462500000.000088</v>
      </c>
      <c r="DN464">
        <v>-31462500000</v>
      </c>
      <c r="DO464">
        <v>-31462500000.000088</v>
      </c>
      <c r="DP464" s="32">
        <f>Tradingbook_SBV[[#This Row],[Mat. Date]]-RPT</f>
        <v>2716</v>
      </c>
      <c r="DQ464" s="32">
        <f>IF(Tradingbook_SBV[[#This Row],[Days]]&lt;=0,0,YEARFRAC(RPT,Tradingbook_SBV[[#This Row],[Mat. Date]],3))</f>
        <v>7.441095890410959</v>
      </c>
      <c r="DR464" s="32" t="str">
        <f>IF(Tradingbook_SBV[[#This Row],[Days (year)]]=0,0,INDEX(Ref!$K$2:$K$13,MATCH(Tradingbook_SBV[[#This Row],[Days (year)]],Ref!$I$2:$I$13,1)))</f>
        <v>7Y</v>
      </c>
      <c r="DS464" s="32" t="str">
        <f>VLOOKUP(Tradingbook_SBV[[#This Row],[Security Name]],Ref!X:Z,3,0)</f>
        <v>TPCP</v>
      </c>
      <c r="DT464" s="32" t="str">
        <f>VLOOKUP(Tradingbook_SBV[[#This Row],[Security Name]],Ref!X:Y,2,0)</f>
        <v>KBNN</v>
      </c>
      <c r="DU464" s="71">
        <f>IF((Tradingbook_SBV[[#This Row],[Mat. Date]]-RPT)&lt;=0,0,Tradingbook_SBV[[#This Row],[QUANTITY]])</f>
        <v>1500000</v>
      </c>
      <c r="DV464" s="71">
        <f>IF(Tradingbook_SBV[[#This Row],[Quantity_edited]]=0,0,Tradingbook_SBV[[#This Row],[DURATION]])</f>
        <v>6</v>
      </c>
      <c r="DW464" s="71">
        <f>IF(Tradingbook_SBV[[#This Row],[Quantity_edited]]=0,0,Tradingbook_SBV[[#This Row],[Mod Dur]])</f>
        <v>6</v>
      </c>
      <c r="DX464" s="71">
        <f>IF(Tradingbook_SBV[[#This Row],[Quantity_edited]]=0,0,Tradingbook_SBV[[#This Row],[Cnvx.]])</f>
        <v>46</v>
      </c>
      <c r="DY464" s="71">
        <f>(Tradingbook_SBV[[#This Row],[MARKET_VALUE]]+Tradingbook_SBV[[#This Row],[Accr Int]]*Tradingbook_SBV[[#This Row],[Quantity_edited]])*(-Tradingbook_SBV[[#This Row],[Modified Duration]]*0.0001+0.5*Tradingbook_SBV[[#This Row],[Conv]]*(0.0001^2))</f>
        <v>-96861355.575000003</v>
      </c>
      <c r="DZ464" s="71">
        <f>(Tradingbook_SBV[[#This Row],[MARKET_VALUE]]+Tradingbook_SBV[[#This Row],[Accr Int]]*Tradingbook_SBV[[#This Row],[Quantity_edited]])*(-Tradingbook_SBV[[#This Row],[Modified Duration]]*0.01+0.5*Tradingbook_SBV[[#This Row],[Conv]]*(0.01^2))</f>
        <v>-9318405750</v>
      </c>
    </row>
    <row r="465" spans="2:130" x14ac:dyDescent="0.3">
      <c r="B465" t="s">
        <v>166</v>
      </c>
      <c r="C465" t="s">
        <v>3300</v>
      </c>
      <c r="D465" t="s">
        <v>650</v>
      </c>
      <c r="E465" t="s">
        <v>169</v>
      </c>
      <c r="F465" s="502">
        <v>48289</v>
      </c>
      <c r="G465" t="s">
        <v>3322</v>
      </c>
      <c r="H465">
        <v>112833</v>
      </c>
      <c r="I465">
        <v>112833</v>
      </c>
      <c r="J465" s="38">
        <v>0</v>
      </c>
      <c r="K465">
        <v>0</v>
      </c>
      <c r="L465">
        <v>0</v>
      </c>
      <c r="M465" s="38">
        <v>0</v>
      </c>
      <c r="N465">
        <v>6.9</v>
      </c>
      <c r="O465">
        <v>2930</v>
      </c>
      <c r="P465" s="37">
        <v>100050000000</v>
      </c>
      <c r="Q465" s="37">
        <v>118025331833.33324</v>
      </c>
      <c r="R465" s="37">
        <v>-15587580815.416283</v>
      </c>
      <c r="S465">
        <v>4.2585767849999998</v>
      </c>
      <c r="T465" s="70">
        <v>4.5546150141077</v>
      </c>
      <c r="U465">
        <v>4.7485767900000004</v>
      </c>
      <c r="V465">
        <v>27.321707687602</v>
      </c>
      <c r="W465">
        <v>0</v>
      </c>
      <c r="X465" s="38">
        <v>0</v>
      </c>
      <c r="Y465">
        <v>0</v>
      </c>
      <c r="Z465" s="70">
        <v>86802500000</v>
      </c>
      <c r="AA465" s="70">
        <v>0</v>
      </c>
      <c r="AB465" s="70">
        <v>86802500000</v>
      </c>
      <c r="AC465" s="70">
        <v>86802500000</v>
      </c>
      <c r="AD465" s="70">
        <v>86802500000</v>
      </c>
      <c r="AE465" s="70">
        <v>86802500000</v>
      </c>
      <c r="AF465">
        <v>0</v>
      </c>
      <c r="AG465" s="72">
        <f>Tradingbook_MSB[[#This Row],[Mat. Date]]-RPT</f>
        <v>2037</v>
      </c>
      <c r="AH465" s="71">
        <f>IF(Tradingbook_MSB[[#This Row],[Days]]&lt;=0,0,YEARFRAC(RPT,Tradingbook_MSB[[#This Row],[Mat. Date]],3))</f>
        <v>5.580821917808219</v>
      </c>
      <c r="AI465" s="71" t="str">
        <f>IF(Tradingbook_MSB[[#This Row],[Days (year)]]=0,0,INDEX(Ref!$K$2:$K$13,MATCH(Tradingbook_MSB[[#This Row],[Days (year)]],Ref!$I$2:$I$13,1)))</f>
        <v>7Y</v>
      </c>
      <c r="AJ465" s="120" t="str">
        <f>VLOOKUP(Tradingbook_MSB[[#This Row],[Security Name]],Ref!X:Z,3,0)</f>
        <v>TPCP</v>
      </c>
      <c r="AK465" s="120" t="str">
        <f>VLOOKUP(Tradingbook_MSB[[#This Row],[Security Name]],Ref!X:Y,2,0)</f>
        <v>KBNN</v>
      </c>
      <c r="AL465" s="71">
        <f>IF((Tradingbook_MSB[[#This Row],[Mat. Date]]-RPT)&lt;=0,0,Tradingbook_MSB[[#This Row],[QUANTITY]])</f>
        <v>0</v>
      </c>
      <c r="AM465" s="71">
        <f>IF(Tradingbook_MSB[[#This Row],[Quantity_edited]]=0,0,Tradingbook_MSB[[#This Row],[DURATION]])</f>
        <v>0</v>
      </c>
      <c r="AN465" s="71">
        <f>IF(Tradingbook_MSB[[#This Row],[Quantity_edited]]=0,0,Tradingbook_MSB[[#This Row],[Mod Dur]])</f>
        <v>0</v>
      </c>
      <c r="AO465" s="71">
        <f>IF(Tradingbook_MSB[[#This Row],[Quantity_edited]]=0,0,Tradingbook_MSB[[#This Row],[Cnvx.]])</f>
        <v>0</v>
      </c>
      <c r="AP465" s="71">
        <f>(Tradingbook_MSB[[#This Row],[MARKET_VALUE]]+Tradingbook_MSB[[#This Row],[Accr Int]]*Tradingbook_MSB[[#This Row],[Quantity_edited]])*(-Tradingbook_MSB[[#This Row],[Modified Duration]]*0.0001+0.5*Tradingbook_MSB[[#This Row],[Conv]]*(0.0001^2))</f>
        <v>0</v>
      </c>
      <c r="AQ465" s="72">
        <f>(Tradingbook_MSB[[#This Row],[MARKET_VALUE]]+Tradingbook_MSB[[#This Row],[Accr Int]]*Tradingbook_MSB[[#This Row],[Quantity_edited]])*(-Tradingbook_MSB[[#This Row],[Modified Duration]]*0.01+0.5*Tradingbook_MSB[[#This Row],[Conv]]*(0.01^2))</f>
        <v>0</v>
      </c>
      <c r="CL465" t="s">
        <v>166</v>
      </c>
      <c r="CM465" t="s">
        <v>3301</v>
      </c>
      <c r="CN465" t="s">
        <v>667</v>
      </c>
      <c r="CO465" t="s">
        <v>169</v>
      </c>
      <c r="CP465">
        <v>48996</v>
      </c>
      <c r="CQ465" t="s">
        <v>3322</v>
      </c>
      <c r="CR465" t="s">
        <v>4368</v>
      </c>
      <c r="CS465" t="s">
        <v>4369</v>
      </c>
      <c r="CT465">
        <v>0</v>
      </c>
      <c r="CU465">
        <v>0</v>
      </c>
      <c r="CV465">
        <v>0</v>
      </c>
      <c r="CW465">
        <v>0</v>
      </c>
      <c r="CX465">
        <v>5</v>
      </c>
      <c r="CY465">
        <v>2438</v>
      </c>
      <c r="CZ465">
        <v>2500000000</v>
      </c>
      <c r="DA465">
        <v>2744968749.9999938</v>
      </c>
      <c r="DB465">
        <v>-810062527.63887691</v>
      </c>
      <c r="DC465">
        <v>4.3327429889999998</v>
      </c>
      <c r="DD465">
        <v>6</v>
      </c>
      <c r="DE465">
        <v>6</v>
      </c>
      <c r="DF465">
        <v>47</v>
      </c>
      <c r="DG465">
        <v>0</v>
      </c>
      <c r="DH465">
        <v>0</v>
      </c>
      <c r="DI465">
        <v>0</v>
      </c>
      <c r="DJ465">
        <v>-2418000000</v>
      </c>
      <c r="DK465">
        <v>0</v>
      </c>
      <c r="DL465">
        <v>-2418000000</v>
      </c>
      <c r="DM465">
        <v>-2418000000</v>
      </c>
      <c r="DN465">
        <v>-2418000000</v>
      </c>
      <c r="DO465">
        <v>-2418000000</v>
      </c>
      <c r="DP465" s="32">
        <f>Tradingbook_SBV[[#This Row],[Mat. Date]]-RPT</f>
        <v>2744</v>
      </c>
      <c r="DQ465" s="32">
        <f>IF(Tradingbook_SBV[[#This Row],[Days]]&lt;=0,0,YEARFRAC(RPT,Tradingbook_SBV[[#This Row],[Mat. Date]],3))</f>
        <v>7.5178082191780824</v>
      </c>
      <c r="DR465" s="32" t="str">
        <f>IF(Tradingbook_SBV[[#This Row],[Days (year)]]=0,0,INDEX(Ref!$K$2:$K$13,MATCH(Tradingbook_SBV[[#This Row],[Days (year)]],Ref!$I$2:$I$13,1)))</f>
        <v>10Y</v>
      </c>
      <c r="DS465" s="32" t="str">
        <f>VLOOKUP(Tradingbook_SBV[[#This Row],[Security Name]],Ref!X:Z,3,0)</f>
        <v>TPCP</v>
      </c>
      <c r="DT465" s="32" t="str">
        <f>VLOOKUP(Tradingbook_SBV[[#This Row],[Security Name]],Ref!X:Y,2,0)</f>
        <v>KBNN</v>
      </c>
      <c r="DU465" s="71">
        <f>IF((Tradingbook_SBV[[#This Row],[Mat. Date]]-RPT)&lt;=0,0,Tradingbook_SBV[[#This Row],[QUANTITY]])</f>
        <v>0</v>
      </c>
      <c r="DV465" s="71">
        <f>IF(Tradingbook_SBV[[#This Row],[Quantity_edited]]=0,0,Tradingbook_SBV[[#This Row],[DURATION]])</f>
        <v>0</v>
      </c>
      <c r="DW465" s="71">
        <f>IF(Tradingbook_SBV[[#This Row],[Quantity_edited]]=0,0,Tradingbook_SBV[[#This Row],[Mod Dur]])</f>
        <v>0</v>
      </c>
      <c r="DX465" s="71">
        <f>IF(Tradingbook_SBV[[#This Row],[Quantity_edited]]=0,0,Tradingbook_SBV[[#This Row],[Cnvx.]])</f>
        <v>0</v>
      </c>
      <c r="DY465" s="71">
        <f>(Tradingbook_SBV[[#This Row],[MARKET_VALUE]]+Tradingbook_SBV[[#This Row],[Accr Int]]*Tradingbook_SBV[[#This Row],[Quantity_edited]])*(-Tradingbook_SBV[[#This Row],[Modified Duration]]*0.0001+0.5*Tradingbook_SBV[[#This Row],[Conv]]*(0.0001^2))</f>
        <v>0</v>
      </c>
      <c r="DZ465" s="71">
        <f>(Tradingbook_SBV[[#This Row],[MARKET_VALUE]]+Tradingbook_SBV[[#This Row],[Accr Int]]*Tradingbook_SBV[[#This Row],[Quantity_edited]])*(-Tradingbook_SBV[[#This Row],[Modified Duration]]*0.01+0.5*Tradingbook_SBV[[#This Row],[Conv]]*(0.01^2))</f>
        <v>0</v>
      </c>
    </row>
    <row r="466" spans="2:130" x14ac:dyDescent="0.3">
      <c r="B466" t="s">
        <v>166</v>
      </c>
      <c r="C466" t="s">
        <v>3300</v>
      </c>
      <c r="D466" t="s">
        <v>651</v>
      </c>
      <c r="E466" t="s">
        <v>169</v>
      </c>
      <c r="F466" s="502">
        <v>48331</v>
      </c>
      <c r="G466" t="s">
        <v>3322</v>
      </c>
      <c r="H466">
        <v>112060</v>
      </c>
      <c r="I466">
        <v>112060</v>
      </c>
      <c r="J466" s="38">
        <v>0</v>
      </c>
      <c r="K466">
        <v>0</v>
      </c>
      <c r="L466">
        <v>0</v>
      </c>
      <c r="M466" s="38">
        <v>0</v>
      </c>
      <c r="N466">
        <v>6.7</v>
      </c>
      <c r="O466">
        <v>2074</v>
      </c>
      <c r="P466" s="37">
        <v>56950000000</v>
      </c>
      <c r="Q466" s="37">
        <v>66672688249.999832</v>
      </c>
      <c r="R466" s="37">
        <v>-8986617515.3243904</v>
      </c>
      <c r="S466">
        <v>4.2626265339999998</v>
      </c>
      <c r="T466" s="70">
        <v>4.6805948890198001</v>
      </c>
      <c r="U466">
        <v>4.8801111700000002</v>
      </c>
      <c r="V466">
        <v>28.5739802664922</v>
      </c>
      <c r="W466">
        <v>0</v>
      </c>
      <c r="X466" s="38">
        <v>0</v>
      </c>
      <c r="Y466">
        <v>0</v>
      </c>
      <c r="Z466" s="70">
        <v>44514080000</v>
      </c>
      <c r="AA466" s="70">
        <v>0</v>
      </c>
      <c r="AB466" s="70">
        <v>44514080000</v>
      </c>
      <c r="AC466" s="70">
        <v>44514080000</v>
      </c>
      <c r="AD466" s="70">
        <v>44514080000</v>
      </c>
      <c r="AE466" s="70">
        <v>44514080000</v>
      </c>
      <c r="AF466">
        <v>0</v>
      </c>
      <c r="AG466" s="72">
        <f>Tradingbook_MSB[[#This Row],[Mat. Date]]-RPT</f>
        <v>2079</v>
      </c>
      <c r="AH466" s="71">
        <f>IF(Tradingbook_MSB[[#This Row],[Days]]&lt;=0,0,YEARFRAC(RPT,Tradingbook_MSB[[#This Row],[Mat. Date]],3))</f>
        <v>5.6958904109589037</v>
      </c>
      <c r="AI466" s="71" t="str">
        <f>IF(Tradingbook_MSB[[#This Row],[Days (year)]]=0,0,INDEX(Ref!$K$2:$K$13,MATCH(Tradingbook_MSB[[#This Row],[Days (year)]],Ref!$I$2:$I$13,1)))</f>
        <v>7Y</v>
      </c>
      <c r="AJ466" s="120" t="str">
        <f>VLOOKUP(Tradingbook_MSB[[#This Row],[Security Name]],Ref!X:Z,3,0)</f>
        <v>TPCP</v>
      </c>
      <c r="AK466" s="120" t="str">
        <f>VLOOKUP(Tradingbook_MSB[[#This Row],[Security Name]],Ref!X:Y,2,0)</f>
        <v>KBNN</v>
      </c>
      <c r="AL466" s="71">
        <f>IF((Tradingbook_MSB[[#This Row],[Mat. Date]]-RPT)&lt;=0,0,Tradingbook_MSB[[#This Row],[QUANTITY]])</f>
        <v>0</v>
      </c>
      <c r="AM466" s="71">
        <f>IF(Tradingbook_MSB[[#This Row],[Quantity_edited]]=0,0,Tradingbook_MSB[[#This Row],[DURATION]])</f>
        <v>0</v>
      </c>
      <c r="AN466" s="71">
        <f>IF(Tradingbook_MSB[[#This Row],[Quantity_edited]]=0,0,Tradingbook_MSB[[#This Row],[Mod Dur]])</f>
        <v>0</v>
      </c>
      <c r="AO466" s="71">
        <f>IF(Tradingbook_MSB[[#This Row],[Quantity_edited]]=0,0,Tradingbook_MSB[[#This Row],[Cnvx.]])</f>
        <v>0</v>
      </c>
      <c r="AP466" s="71">
        <f>(Tradingbook_MSB[[#This Row],[MARKET_VALUE]]+Tradingbook_MSB[[#This Row],[Accr Int]]*Tradingbook_MSB[[#This Row],[Quantity_edited]])*(-Tradingbook_MSB[[#This Row],[Modified Duration]]*0.0001+0.5*Tradingbook_MSB[[#This Row],[Conv]]*(0.0001^2))</f>
        <v>0</v>
      </c>
      <c r="AQ466" s="72">
        <f>(Tradingbook_MSB[[#This Row],[MARKET_VALUE]]+Tradingbook_MSB[[#This Row],[Accr Int]]*Tradingbook_MSB[[#This Row],[Quantity_edited]])*(-Tradingbook_MSB[[#This Row],[Modified Duration]]*0.01+0.5*Tradingbook_MSB[[#This Row],[Conv]]*(0.01^2))</f>
        <v>0</v>
      </c>
      <c r="CL466" t="s">
        <v>166</v>
      </c>
      <c r="CM466" t="s">
        <v>3301</v>
      </c>
      <c r="CN466" t="s">
        <v>2852</v>
      </c>
      <c r="CO466" t="s">
        <v>169</v>
      </c>
      <c r="CP466">
        <v>49045</v>
      </c>
      <c r="CQ466" t="s">
        <v>170</v>
      </c>
      <c r="CR466" t="s">
        <v>4370</v>
      </c>
      <c r="CS466" t="s">
        <v>4371</v>
      </c>
      <c r="CT466">
        <v>1000000</v>
      </c>
      <c r="CU466">
        <v>100000000000</v>
      </c>
      <c r="CV466">
        <v>93769.380999999994</v>
      </c>
      <c r="CW466">
        <v>87596000000</v>
      </c>
      <c r="CX466">
        <v>2.4</v>
      </c>
      <c r="CY466">
        <v>848</v>
      </c>
      <c r="CZ466">
        <v>2400000000</v>
      </c>
      <c r="DA466">
        <v>2448263333.333333</v>
      </c>
      <c r="DB466">
        <v>-7777831761.8055706</v>
      </c>
      <c r="DC466">
        <v>4.3389673440000003</v>
      </c>
      <c r="DD466">
        <v>7</v>
      </c>
      <c r="DE466">
        <v>7</v>
      </c>
      <c r="DF466">
        <v>54</v>
      </c>
      <c r="DG466">
        <v>47536</v>
      </c>
      <c r="DH466">
        <v>-59046</v>
      </c>
      <c r="DI466">
        <v>10293</v>
      </c>
      <c r="DJ466">
        <v>-1532119047.6190095</v>
      </c>
      <c r="DK466">
        <v>-6173380952.3809471</v>
      </c>
      <c r="DL466">
        <v>-7705499999.9999561</v>
      </c>
      <c r="DM466">
        <v>-7705499999.9999561</v>
      </c>
      <c r="DN466">
        <v>-7705500000</v>
      </c>
      <c r="DO466">
        <v>-7705499999.9999561</v>
      </c>
      <c r="DP466" s="32">
        <f>Tradingbook_SBV[[#This Row],[Mat. Date]]-RPT</f>
        <v>2793</v>
      </c>
      <c r="DQ466" s="32">
        <f>IF(Tradingbook_SBV[[#This Row],[Days]]&lt;=0,0,YEARFRAC(RPT,Tradingbook_SBV[[#This Row],[Mat. Date]],3))</f>
        <v>7.6520547945205477</v>
      </c>
      <c r="DR466" s="32" t="str">
        <f>IF(Tradingbook_SBV[[#This Row],[Days (year)]]=0,0,INDEX(Ref!$K$2:$K$13,MATCH(Tradingbook_SBV[[#This Row],[Days (year)]],Ref!$I$2:$I$13,1)))</f>
        <v>10Y</v>
      </c>
      <c r="DS466" s="32" t="str">
        <f>VLOOKUP(Tradingbook_SBV[[#This Row],[Security Name]],Ref!X:Z,3,0)</f>
        <v>TPCP</v>
      </c>
      <c r="DT466" s="32" t="str">
        <f>VLOOKUP(Tradingbook_SBV[[#This Row],[Security Name]],Ref!X:Y,2,0)</f>
        <v>KBNN</v>
      </c>
      <c r="DU466" s="71">
        <f>IF((Tradingbook_SBV[[#This Row],[Mat. Date]]-RPT)&lt;=0,0,Tradingbook_SBV[[#This Row],[QUANTITY]])</f>
        <v>1000000</v>
      </c>
      <c r="DV466" s="71">
        <f>IF(Tradingbook_SBV[[#This Row],[Quantity_edited]]=0,0,Tradingbook_SBV[[#This Row],[DURATION]])</f>
        <v>7</v>
      </c>
      <c r="DW466" s="71">
        <f>IF(Tradingbook_SBV[[#This Row],[Quantity_edited]]=0,0,Tradingbook_SBV[[#This Row],[Mod Dur]])</f>
        <v>7</v>
      </c>
      <c r="DX466" s="71">
        <f>IF(Tradingbook_SBV[[#This Row],[Quantity_edited]]=0,0,Tradingbook_SBV[[#This Row],[Cnvx.]])</f>
        <v>54</v>
      </c>
      <c r="DY466" s="71">
        <f>(Tradingbook_SBV[[#This Row],[MARKET_VALUE]]+Tradingbook_SBV[[#This Row],[Accr Int]]*Tradingbook_SBV[[#This Row],[Quantity_edited]])*(-Tradingbook_SBV[[#This Row],[Modified Duration]]*0.0001+0.5*Tradingbook_SBV[[#This Row],[Conv]]*(0.0001^2))</f>
        <v>-61886920.119999997</v>
      </c>
      <c r="DZ466" s="71">
        <f>(Tradingbook_SBV[[#This Row],[MARKET_VALUE]]+Tradingbook_SBV[[#This Row],[Accr Int]]*Tradingbook_SBV[[#This Row],[Quantity_edited]])*(-Tradingbook_SBV[[#This Row],[Modified Duration]]*0.01+0.5*Tradingbook_SBV[[#This Row],[Conv]]*(0.01^2))</f>
        <v>-5952281200.000001</v>
      </c>
    </row>
    <row r="467" spans="2:130" x14ac:dyDescent="0.3">
      <c r="B467" t="s">
        <v>166</v>
      </c>
      <c r="C467" t="s">
        <v>3300</v>
      </c>
      <c r="D467" t="s">
        <v>652</v>
      </c>
      <c r="E467" t="s">
        <v>169</v>
      </c>
      <c r="F467" s="502">
        <v>48338</v>
      </c>
      <c r="G467" t="s">
        <v>3322</v>
      </c>
      <c r="H467">
        <v>112093</v>
      </c>
      <c r="I467">
        <v>112093</v>
      </c>
      <c r="J467" s="38">
        <v>0</v>
      </c>
      <c r="K467">
        <v>0</v>
      </c>
      <c r="L467">
        <v>0</v>
      </c>
      <c r="M467" s="38">
        <v>0</v>
      </c>
      <c r="N467">
        <v>6.7</v>
      </c>
      <c r="O467">
        <v>1946</v>
      </c>
      <c r="P467" s="37">
        <v>13400000000</v>
      </c>
      <c r="Q467" s="37">
        <v>15552491319.444405</v>
      </c>
      <c r="R467" s="37">
        <v>-2586669349.8608885</v>
      </c>
      <c r="S467">
        <v>4.2633108330000002</v>
      </c>
      <c r="T467" s="70">
        <v>4.6989431671699</v>
      </c>
      <c r="U467">
        <v>4.8992737200000001</v>
      </c>
      <c r="V467">
        <v>28.763656137008901</v>
      </c>
      <c r="W467">
        <v>0</v>
      </c>
      <c r="X467" s="38">
        <v>0</v>
      </c>
      <c r="Y467">
        <v>0</v>
      </c>
      <c r="Z467" s="70">
        <v>9199000000</v>
      </c>
      <c r="AA467" s="70">
        <v>0</v>
      </c>
      <c r="AB467" s="70">
        <v>9199000000</v>
      </c>
      <c r="AC467" s="70">
        <v>9199000000</v>
      </c>
      <c r="AD467" s="70">
        <v>9199000000</v>
      </c>
      <c r="AE467" s="70">
        <v>9199000000</v>
      </c>
      <c r="AF467">
        <v>0</v>
      </c>
      <c r="AG467" s="72">
        <f>Tradingbook_MSB[[#This Row],[Mat. Date]]-RPT</f>
        <v>2086</v>
      </c>
      <c r="AH467" s="71">
        <f>IF(Tradingbook_MSB[[#This Row],[Days]]&lt;=0,0,YEARFRAC(RPT,Tradingbook_MSB[[#This Row],[Mat. Date]],3))</f>
        <v>5.7150684931506852</v>
      </c>
      <c r="AI467" s="71" t="str">
        <f>IF(Tradingbook_MSB[[#This Row],[Days (year)]]=0,0,INDEX(Ref!$K$2:$K$13,MATCH(Tradingbook_MSB[[#This Row],[Days (year)]],Ref!$I$2:$I$13,1)))</f>
        <v>7Y</v>
      </c>
      <c r="AJ467" s="120" t="str">
        <f>VLOOKUP(Tradingbook_MSB[[#This Row],[Security Name]],Ref!X:Z,3,0)</f>
        <v>TPCP</v>
      </c>
      <c r="AK467" s="120" t="str">
        <f>VLOOKUP(Tradingbook_MSB[[#This Row],[Security Name]],Ref!X:Y,2,0)</f>
        <v>KBNN</v>
      </c>
      <c r="AL467" s="71">
        <f>IF((Tradingbook_MSB[[#This Row],[Mat. Date]]-RPT)&lt;=0,0,Tradingbook_MSB[[#This Row],[QUANTITY]])</f>
        <v>0</v>
      </c>
      <c r="AM467" s="71">
        <f>IF(Tradingbook_MSB[[#This Row],[Quantity_edited]]=0,0,Tradingbook_MSB[[#This Row],[DURATION]])</f>
        <v>0</v>
      </c>
      <c r="AN467" s="71">
        <f>IF(Tradingbook_MSB[[#This Row],[Quantity_edited]]=0,0,Tradingbook_MSB[[#This Row],[Mod Dur]])</f>
        <v>0</v>
      </c>
      <c r="AO467" s="71">
        <f>IF(Tradingbook_MSB[[#This Row],[Quantity_edited]]=0,0,Tradingbook_MSB[[#This Row],[Cnvx.]])</f>
        <v>0</v>
      </c>
      <c r="AP467" s="71">
        <f>(Tradingbook_MSB[[#This Row],[MARKET_VALUE]]+Tradingbook_MSB[[#This Row],[Accr Int]]*Tradingbook_MSB[[#This Row],[Quantity_edited]])*(-Tradingbook_MSB[[#This Row],[Modified Duration]]*0.0001+0.5*Tradingbook_MSB[[#This Row],[Conv]]*(0.0001^2))</f>
        <v>0</v>
      </c>
      <c r="AQ467" s="72">
        <f>(Tradingbook_MSB[[#This Row],[MARKET_VALUE]]+Tradingbook_MSB[[#This Row],[Accr Int]]*Tradingbook_MSB[[#This Row],[Quantity_edited]])*(-Tradingbook_MSB[[#This Row],[Modified Duration]]*0.01+0.5*Tradingbook_MSB[[#This Row],[Conv]]*(0.01^2))</f>
        <v>0</v>
      </c>
      <c r="CL467" t="s">
        <v>166</v>
      </c>
      <c r="CM467" t="s">
        <v>3301</v>
      </c>
      <c r="CN467" t="s">
        <v>668</v>
      </c>
      <c r="CO467" t="s">
        <v>169</v>
      </c>
      <c r="CP467">
        <v>49094</v>
      </c>
      <c r="CQ467" t="s">
        <v>3322</v>
      </c>
      <c r="CR467" t="s">
        <v>4372</v>
      </c>
      <c r="CS467" t="s">
        <v>4373</v>
      </c>
      <c r="CT467">
        <v>0</v>
      </c>
      <c r="CU467">
        <v>0</v>
      </c>
      <c r="CV467">
        <v>0</v>
      </c>
      <c r="CW467">
        <v>0</v>
      </c>
      <c r="CX467">
        <v>5</v>
      </c>
      <c r="CY467">
        <v>1096</v>
      </c>
      <c r="CZ467">
        <v>2500000000</v>
      </c>
      <c r="DA467">
        <v>2904527083.3333631</v>
      </c>
      <c r="DB467">
        <v>-3187534717.9166412</v>
      </c>
      <c r="DC467">
        <v>4.3451645149999996</v>
      </c>
      <c r="DD467">
        <v>6</v>
      </c>
      <c r="DE467">
        <v>7</v>
      </c>
      <c r="DF467">
        <v>50</v>
      </c>
      <c r="DG467">
        <v>0</v>
      </c>
      <c r="DH467">
        <v>0</v>
      </c>
      <c r="DI467">
        <v>0</v>
      </c>
      <c r="DJ467">
        <v>-6333500000</v>
      </c>
      <c r="DK467">
        <v>0</v>
      </c>
      <c r="DL467">
        <v>-6333500000</v>
      </c>
      <c r="DM467">
        <v>-6333500000</v>
      </c>
      <c r="DN467">
        <v>-6333500000</v>
      </c>
      <c r="DO467">
        <v>-6333500000</v>
      </c>
      <c r="DP467" s="32">
        <f>Tradingbook_SBV[[#This Row],[Mat. Date]]-RPT</f>
        <v>2842</v>
      </c>
      <c r="DQ467" s="32">
        <f>IF(Tradingbook_SBV[[#This Row],[Days]]&lt;=0,0,YEARFRAC(RPT,Tradingbook_SBV[[#This Row],[Mat. Date]],3))</f>
        <v>7.7863013698630139</v>
      </c>
      <c r="DR467" s="32" t="str">
        <f>IF(Tradingbook_SBV[[#This Row],[Days (year)]]=0,0,INDEX(Ref!$K$2:$K$13,MATCH(Tradingbook_SBV[[#This Row],[Days (year)]],Ref!$I$2:$I$13,1)))</f>
        <v>10Y</v>
      </c>
      <c r="DS467" s="32" t="str">
        <f>VLOOKUP(Tradingbook_SBV[[#This Row],[Security Name]],Ref!X:Z,3,0)</f>
        <v>TPCP</v>
      </c>
      <c r="DT467" s="32" t="str">
        <f>VLOOKUP(Tradingbook_SBV[[#This Row],[Security Name]],Ref!X:Y,2,0)</f>
        <v>KBNN</v>
      </c>
      <c r="DU467" s="71">
        <f>IF((Tradingbook_SBV[[#This Row],[Mat. Date]]-RPT)&lt;=0,0,Tradingbook_SBV[[#This Row],[QUANTITY]])</f>
        <v>0</v>
      </c>
      <c r="DV467" s="71">
        <f>IF(Tradingbook_SBV[[#This Row],[Quantity_edited]]=0,0,Tradingbook_SBV[[#This Row],[DURATION]])</f>
        <v>0</v>
      </c>
      <c r="DW467" s="71">
        <f>IF(Tradingbook_SBV[[#This Row],[Quantity_edited]]=0,0,Tradingbook_SBV[[#This Row],[Mod Dur]])</f>
        <v>0</v>
      </c>
      <c r="DX467" s="71">
        <f>IF(Tradingbook_SBV[[#This Row],[Quantity_edited]]=0,0,Tradingbook_SBV[[#This Row],[Cnvx.]])</f>
        <v>0</v>
      </c>
      <c r="DY467" s="71">
        <f>(Tradingbook_SBV[[#This Row],[MARKET_VALUE]]+Tradingbook_SBV[[#This Row],[Accr Int]]*Tradingbook_SBV[[#This Row],[Quantity_edited]])*(-Tradingbook_SBV[[#This Row],[Modified Duration]]*0.0001+0.5*Tradingbook_SBV[[#This Row],[Conv]]*(0.0001^2))</f>
        <v>0</v>
      </c>
      <c r="DZ467" s="71">
        <f>(Tradingbook_SBV[[#This Row],[MARKET_VALUE]]+Tradingbook_SBV[[#This Row],[Accr Int]]*Tradingbook_SBV[[#This Row],[Quantity_edited]])*(-Tradingbook_SBV[[#This Row],[Modified Duration]]*0.01+0.5*Tradingbook_SBV[[#This Row],[Conv]]*(0.01^2))</f>
        <v>0</v>
      </c>
    </row>
    <row r="468" spans="2:130" x14ac:dyDescent="0.3">
      <c r="B468" t="s">
        <v>166</v>
      </c>
      <c r="C468" t="s">
        <v>3300</v>
      </c>
      <c r="D468" t="s">
        <v>653</v>
      </c>
      <c r="E468" t="s">
        <v>169</v>
      </c>
      <c r="F468" s="502">
        <v>48357</v>
      </c>
      <c r="G468" t="s">
        <v>3322</v>
      </c>
      <c r="H468">
        <v>111498</v>
      </c>
      <c r="I468">
        <v>111498</v>
      </c>
      <c r="J468" s="38">
        <v>0</v>
      </c>
      <c r="K468">
        <v>0</v>
      </c>
      <c r="L468">
        <v>0</v>
      </c>
      <c r="M468" s="38">
        <v>0</v>
      </c>
      <c r="N468">
        <v>7.1</v>
      </c>
      <c r="O468">
        <v>1692</v>
      </c>
      <c r="P468" s="37">
        <v>0</v>
      </c>
      <c r="Q468" s="37">
        <v>0</v>
      </c>
      <c r="R468" s="37">
        <v>-13528098.750011444</v>
      </c>
      <c r="S468">
        <v>4.7650529349999999</v>
      </c>
      <c r="T468" s="70">
        <v>4.6835754172717996</v>
      </c>
      <c r="U468">
        <v>4.9067502699999999</v>
      </c>
      <c r="V468">
        <v>28.651923589951799</v>
      </c>
      <c r="W468">
        <v>0</v>
      </c>
      <c r="X468" s="38">
        <v>0</v>
      </c>
      <c r="Y468">
        <v>0</v>
      </c>
      <c r="Z468" s="70">
        <v>-55000000</v>
      </c>
      <c r="AA468" s="70">
        <v>0</v>
      </c>
      <c r="AB468" s="70">
        <v>-55000000</v>
      </c>
      <c r="AC468" s="70">
        <v>-55000000</v>
      </c>
      <c r="AD468" s="70">
        <v>-55000000</v>
      </c>
      <c r="AE468" s="70">
        <v>-55000000</v>
      </c>
      <c r="AF468">
        <v>0</v>
      </c>
      <c r="AG468" s="72">
        <f>Tradingbook_MSB[[#This Row],[Mat. Date]]-RPT</f>
        <v>2105</v>
      </c>
      <c r="AH468" s="71">
        <f>IF(Tradingbook_MSB[[#This Row],[Days]]&lt;=0,0,YEARFRAC(RPT,Tradingbook_MSB[[#This Row],[Mat. Date]],3))</f>
        <v>5.7671232876712333</v>
      </c>
      <c r="AI468" s="71" t="str">
        <f>IF(Tradingbook_MSB[[#This Row],[Days (year)]]=0,0,INDEX(Ref!$K$2:$K$13,MATCH(Tradingbook_MSB[[#This Row],[Days (year)]],Ref!$I$2:$I$13,1)))</f>
        <v>7Y</v>
      </c>
      <c r="AJ468" s="120" t="str">
        <f>VLOOKUP(Tradingbook_MSB[[#This Row],[Security Name]],Ref!X:Z,3,0)</f>
        <v>TPCPBL</v>
      </c>
      <c r="AK468" s="120" t="str">
        <f>VLOOKUP(Tradingbook_MSB[[#This Row],[Security Name]],Ref!X:Y,2,0)</f>
        <v>VBS</v>
      </c>
      <c r="AL468" s="71">
        <f>IF((Tradingbook_MSB[[#This Row],[Mat. Date]]-RPT)&lt;=0,0,Tradingbook_MSB[[#This Row],[QUANTITY]])</f>
        <v>0</v>
      </c>
      <c r="AM468" s="71">
        <f>IF(Tradingbook_MSB[[#This Row],[Quantity_edited]]=0,0,Tradingbook_MSB[[#This Row],[DURATION]])</f>
        <v>0</v>
      </c>
      <c r="AN468" s="71">
        <f>IF(Tradingbook_MSB[[#This Row],[Quantity_edited]]=0,0,Tradingbook_MSB[[#This Row],[Mod Dur]])</f>
        <v>0</v>
      </c>
      <c r="AO468" s="71">
        <f>IF(Tradingbook_MSB[[#This Row],[Quantity_edited]]=0,0,Tradingbook_MSB[[#This Row],[Cnvx.]])</f>
        <v>0</v>
      </c>
      <c r="AP468" s="71">
        <f>(Tradingbook_MSB[[#This Row],[MARKET_VALUE]]+Tradingbook_MSB[[#This Row],[Accr Int]]*Tradingbook_MSB[[#This Row],[Quantity_edited]])*(-Tradingbook_MSB[[#This Row],[Modified Duration]]*0.0001+0.5*Tradingbook_MSB[[#This Row],[Conv]]*(0.0001^2))</f>
        <v>0</v>
      </c>
      <c r="AQ468" s="72">
        <f>(Tradingbook_MSB[[#This Row],[MARKET_VALUE]]+Tradingbook_MSB[[#This Row],[Accr Int]]*Tradingbook_MSB[[#This Row],[Quantity_edited]])*(-Tradingbook_MSB[[#This Row],[Modified Duration]]*0.01+0.5*Tradingbook_MSB[[#This Row],[Conv]]*(0.01^2))</f>
        <v>0</v>
      </c>
      <c r="CL468" t="s">
        <v>166</v>
      </c>
      <c r="CM468" t="s">
        <v>3301</v>
      </c>
      <c r="CN468" t="s">
        <v>669</v>
      </c>
      <c r="CO468" t="s">
        <v>169</v>
      </c>
      <c r="CP468">
        <v>49150</v>
      </c>
      <c r="CQ468" t="s">
        <v>3322</v>
      </c>
      <c r="CR468" t="s">
        <v>4374</v>
      </c>
      <c r="CS468" t="s">
        <v>4375</v>
      </c>
      <c r="CT468">
        <v>0</v>
      </c>
      <c r="CU468">
        <v>0</v>
      </c>
      <c r="CV468">
        <v>0</v>
      </c>
      <c r="CW468">
        <v>0</v>
      </c>
      <c r="CX468">
        <v>4.5999999999999996</v>
      </c>
      <c r="CY468">
        <v>302</v>
      </c>
      <c r="CZ468">
        <v>2300000000</v>
      </c>
      <c r="DA468">
        <v>2520764861.1111059</v>
      </c>
      <c r="DB468">
        <v>704981525.13891125</v>
      </c>
      <c r="DC468">
        <v>4.3522751990000001</v>
      </c>
      <c r="DD468">
        <v>7</v>
      </c>
      <c r="DE468">
        <v>7</v>
      </c>
      <c r="DF468">
        <v>53</v>
      </c>
      <c r="DG468">
        <v>0</v>
      </c>
      <c r="DH468">
        <v>0</v>
      </c>
      <c r="DI468">
        <v>0</v>
      </c>
      <c r="DJ468">
        <v>12494000000</v>
      </c>
      <c r="DK468">
        <v>0</v>
      </c>
      <c r="DL468">
        <v>12494000000</v>
      </c>
      <c r="DM468">
        <v>12494000000</v>
      </c>
      <c r="DN468">
        <v>12494000000</v>
      </c>
      <c r="DO468">
        <v>12494000000</v>
      </c>
      <c r="DP468" s="32">
        <f>Tradingbook_SBV[[#This Row],[Mat. Date]]-RPT</f>
        <v>2898</v>
      </c>
      <c r="DQ468" s="32">
        <f>IF(Tradingbook_SBV[[#This Row],[Days]]&lt;=0,0,YEARFRAC(RPT,Tradingbook_SBV[[#This Row],[Mat. Date]],3))</f>
        <v>7.9397260273972599</v>
      </c>
      <c r="DR468" s="32" t="str">
        <f>IF(Tradingbook_SBV[[#This Row],[Days (year)]]=0,0,INDEX(Ref!$K$2:$K$13,MATCH(Tradingbook_SBV[[#This Row],[Days (year)]],Ref!$I$2:$I$13,1)))</f>
        <v>10Y</v>
      </c>
      <c r="DS468" s="32" t="str">
        <f>VLOOKUP(Tradingbook_SBV[[#This Row],[Security Name]],Ref!X:Z,3,0)</f>
        <v>TPCP</v>
      </c>
      <c r="DT468" s="32" t="str">
        <f>VLOOKUP(Tradingbook_SBV[[#This Row],[Security Name]],Ref!X:Y,2,0)</f>
        <v>KBNN</v>
      </c>
      <c r="DU468" s="71">
        <f>IF((Tradingbook_SBV[[#This Row],[Mat. Date]]-RPT)&lt;=0,0,Tradingbook_SBV[[#This Row],[QUANTITY]])</f>
        <v>0</v>
      </c>
      <c r="DV468" s="71">
        <f>IF(Tradingbook_SBV[[#This Row],[Quantity_edited]]=0,0,Tradingbook_SBV[[#This Row],[DURATION]])</f>
        <v>0</v>
      </c>
      <c r="DW468" s="71">
        <f>IF(Tradingbook_SBV[[#This Row],[Quantity_edited]]=0,0,Tradingbook_SBV[[#This Row],[Mod Dur]])</f>
        <v>0</v>
      </c>
      <c r="DX468" s="71">
        <f>IF(Tradingbook_SBV[[#This Row],[Quantity_edited]]=0,0,Tradingbook_SBV[[#This Row],[Cnvx.]])</f>
        <v>0</v>
      </c>
      <c r="DY468" s="71">
        <f>(Tradingbook_SBV[[#This Row],[MARKET_VALUE]]+Tradingbook_SBV[[#This Row],[Accr Int]]*Tradingbook_SBV[[#This Row],[Quantity_edited]])*(-Tradingbook_SBV[[#This Row],[Modified Duration]]*0.0001+0.5*Tradingbook_SBV[[#This Row],[Conv]]*(0.0001^2))</f>
        <v>0</v>
      </c>
      <c r="DZ468" s="71">
        <f>(Tradingbook_SBV[[#This Row],[MARKET_VALUE]]+Tradingbook_SBV[[#This Row],[Accr Int]]*Tradingbook_SBV[[#This Row],[Quantity_edited]])*(-Tradingbook_SBV[[#This Row],[Modified Duration]]*0.01+0.5*Tradingbook_SBV[[#This Row],[Conv]]*(0.01^2))</f>
        <v>0</v>
      </c>
    </row>
    <row r="469" spans="2:130" x14ac:dyDescent="0.3">
      <c r="B469" t="s">
        <v>166</v>
      </c>
      <c r="C469" t="s">
        <v>3300</v>
      </c>
      <c r="D469" t="s">
        <v>654</v>
      </c>
      <c r="E469" t="s">
        <v>169</v>
      </c>
      <c r="F469" s="502">
        <v>48364</v>
      </c>
      <c r="G469" t="s">
        <v>3322</v>
      </c>
      <c r="H469">
        <v>110540</v>
      </c>
      <c r="I469">
        <v>110540</v>
      </c>
      <c r="J469" s="38">
        <v>0</v>
      </c>
      <c r="K469">
        <v>0</v>
      </c>
      <c r="L469">
        <v>0</v>
      </c>
      <c r="M469" s="38">
        <v>0</v>
      </c>
      <c r="N469">
        <v>6.9</v>
      </c>
      <c r="O469">
        <v>1512</v>
      </c>
      <c r="P469" s="37">
        <v>0</v>
      </c>
      <c r="Q469" s="37">
        <v>0</v>
      </c>
      <c r="R469" s="37">
        <v>-7276931.5277786255</v>
      </c>
      <c r="S469">
        <v>4.7657521689999998</v>
      </c>
      <c r="T469" s="70">
        <v>4.7175077344887999</v>
      </c>
      <c r="U469">
        <v>4.9423324600000003</v>
      </c>
      <c r="V469">
        <v>28.972705414920799</v>
      </c>
      <c r="W469">
        <v>0</v>
      </c>
      <c r="X469" s="38">
        <v>0</v>
      </c>
      <c r="Y469">
        <v>0</v>
      </c>
      <c r="Z469" s="70">
        <v>-90000000</v>
      </c>
      <c r="AA469" s="70">
        <v>0</v>
      </c>
      <c r="AB469" s="70">
        <v>-90000000</v>
      </c>
      <c r="AC469" s="70">
        <v>-90000000</v>
      </c>
      <c r="AD469" s="70">
        <v>-90000000</v>
      </c>
      <c r="AE469" s="70">
        <v>-90000000</v>
      </c>
      <c r="AF469">
        <v>0</v>
      </c>
      <c r="AG469" s="72">
        <f>Tradingbook_MSB[[#This Row],[Mat. Date]]-RPT</f>
        <v>2112</v>
      </c>
      <c r="AH469" s="71">
        <f>IF(Tradingbook_MSB[[#This Row],[Days]]&lt;=0,0,YEARFRAC(RPT,Tradingbook_MSB[[#This Row],[Mat. Date]],3))</f>
        <v>5.7863013698630139</v>
      </c>
      <c r="AI469" s="71" t="str">
        <f>IF(Tradingbook_MSB[[#This Row],[Days (year)]]=0,0,INDEX(Ref!$K$2:$K$13,MATCH(Tradingbook_MSB[[#This Row],[Days (year)]],Ref!$I$2:$I$13,1)))</f>
        <v>7Y</v>
      </c>
      <c r="AJ469" s="120" t="str">
        <f>VLOOKUP(Tradingbook_MSB[[#This Row],[Security Name]],Ref!X:Z,3,0)</f>
        <v>TPCPBL</v>
      </c>
      <c r="AK469" s="120" t="str">
        <f>VLOOKUP(Tradingbook_MSB[[#This Row],[Security Name]],Ref!X:Y,2,0)</f>
        <v>VBS</v>
      </c>
      <c r="AL469" s="71">
        <f>IF((Tradingbook_MSB[[#This Row],[Mat. Date]]-RPT)&lt;=0,0,Tradingbook_MSB[[#This Row],[QUANTITY]])</f>
        <v>0</v>
      </c>
      <c r="AM469" s="71">
        <f>IF(Tradingbook_MSB[[#This Row],[Quantity_edited]]=0,0,Tradingbook_MSB[[#This Row],[DURATION]])</f>
        <v>0</v>
      </c>
      <c r="AN469" s="71">
        <f>IF(Tradingbook_MSB[[#This Row],[Quantity_edited]]=0,0,Tradingbook_MSB[[#This Row],[Mod Dur]])</f>
        <v>0</v>
      </c>
      <c r="AO469" s="71">
        <f>IF(Tradingbook_MSB[[#This Row],[Quantity_edited]]=0,0,Tradingbook_MSB[[#This Row],[Cnvx.]])</f>
        <v>0</v>
      </c>
      <c r="AP469" s="71">
        <f>(Tradingbook_MSB[[#This Row],[MARKET_VALUE]]+Tradingbook_MSB[[#This Row],[Accr Int]]*Tradingbook_MSB[[#This Row],[Quantity_edited]])*(-Tradingbook_MSB[[#This Row],[Modified Duration]]*0.0001+0.5*Tradingbook_MSB[[#This Row],[Conv]]*(0.0001^2))</f>
        <v>0</v>
      </c>
      <c r="AQ469" s="72">
        <f>(Tradingbook_MSB[[#This Row],[MARKET_VALUE]]+Tradingbook_MSB[[#This Row],[Accr Int]]*Tradingbook_MSB[[#This Row],[Quantity_edited]])*(-Tradingbook_MSB[[#This Row],[Modified Duration]]*0.01+0.5*Tradingbook_MSB[[#This Row],[Conv]]*(0.01^2))</f>
        <v>0</v>
      </c>
      <c r="CL469" t="s">
        <v>166</v>
      </c>
      <c r="CM469" t="s">
        <v>3301</v>
      </c>
      <c r="CN469" t="s">
        <v>670</v>
      </c>
      <c r="CO469" t="s">
        <v>169</v>
      </c>
      <c r="CP469">
        <v>49204</v>
      </c>
      <c r="CQ469" t="s">
        <v>3322</v>
      </c>
      <c r="CR469" t="s">
        <v>4376</v>
      </c>
      <c r="CS469" t="s">
        <v>4377</v>
      </c>
      <c r="CT469">
        <v>0</v>
      </c>
      <c r="CU469">
        <v>0</v>
      </c>
      <c r="CV469">
        <v>0</v>
      </c>
      <c r="CW469">
        <v>0</v>
      </c>
      <c r="CX469">
        <v>4.7</v>
      </c>
      <c r="CY469">
        <v>4314</v>
      </c>
      <c r="CZ469">
        <v>0</v>
      </c>
      <c r="DA469">
        <v>0</v>
      </c>
      <c r="DB469">
        <v>-1453453.8888912201</v>
      </c>
      <c r="DC469">
        <v>4.8591511970000001</v>
      </c>
      <c r="DD469">
        <v>6</v>
      </c>
      <c r="DE469">
        <v>7</v>
      </c>
      <c r="DF469">
        <v>52</v>
      </c>
      <c r="DG469">
        <v>0</v>
      </c>
      <c r="DH469">
        <v>0</v>
      </c>
      <c r="DI469">
        <v>0</v>
      </c>
      <c r="DJ469">
        <v>-109000000</v>
      </c>
      <c r="DK469">
        <v>0</v>
      </c>
      <c r="DL469">
        <v>-109000000</v>
      </c>
      <c r="DM469">
        <v>-109000000</v>
      </c>
      <c r="DN469">
        <v>-109000000</v>
      </c>
      <c r="DO469">
        <v>-109000000</v>
      </c>
      <c r="DP469" s="32">
        <f>Tradingbook_SBV[[#This Row],[Mat. Date]]-RPT</f>
        <v>2952</v>
      </c>
      <c r="DQ469" s="32">
        <f>IF(Tradingbook_SBV[[#This Row],[Days]]&lt;=0,0,YEARFRAC(RPT,Tradingbook_SBV[[#This Row],[Mat. Date]],3))</f>
        <v>8.087671232876712</v>
      </c>
      <c r="DR469" s="32" t="str">
        <f>IF(Tradingbook_SBV[[#This Row],[Days (year)]]=0,0,INDEX(Ref!$K$2:$K$13,MATCH(Tradingbook_SBV[[#This Row],[Days (year)]],Ref!$I$2:$I$13,1)))</f>
        <v>10Y</v>
      </c>
      <c r="DS469" s="32" t="str">
        <f>VLOOKUP(Tradingbook_SBV[[#This Row],[Security Name]],Ref!X:Z,3,0)</f>
        <v>TPCPBL</v>
      </c>
      <c r="DT469" s="32" t="str">
        <f>VLOOKUP(Tradingbook_SBV[[#This Row],[Security Name]],Ref!X:Y,2,0)</f>
        <v>VBS</v>
      </c>
      <c r="DU469" s="71">
        <f>IF((Tradingbook_SBV[[#This Row],[Mat. Date]]-RPT)&lt;=0,0,Tradingbook_SBV[[#This Row],[QUANTITY]])</f>
        <v>0</v>
      </c>
      <c r="DV469" s="71">
        <f>IF(Tradingbook_SBV[[#This Row],[Quantity_edited]]=0,0,Tradingbook_SBV[[#This Row],[DURATION]])</f>
        <v>0</v>
      </c>
      <c r="DW469" s="71">
        <f>IF(Tradingbook_SBV[[#This Row],[Quantity_edited]]=0,0,Tradingbook_SBV[[#This Row],[Mod Dur]])</f>
        <v>0</v>
      </c>
      <c r="DX469" s="71">
        <f>IF(Tradingbook_SBV[[#This Row],[Quantity_edited]]=0,0,Tradingbook_SBV[[#This Row],[Cnvx.]])</f>
        <v>0</v>
      </c>
      <c r="DY469" s="71">
        <f>(Tradingbook_SBV[[#This Row],[MARKET_VALUE]]+Tradingbook_SBV[[#This Row],[Accr Int]]*Tradingbook_SBV[[#This Row],[Quantity_edited]])*(-Tradingbook_SBV[[#This Row],[Modified Duration]]*0.0001+0.5*Tradingbook_SBV[[#This Row],[Conv]]*(0.0001^2))</f>
        <v>0</v>
      </c>
      <c r="DZ469" s="71">
        <f>(Tradingbook_SBV[[#This Row],[MARKET_VALUE]]+Tradingbook_SBV[[#This Row],[Accr Int]]*Tradingbook_SBV[[#This Row],[Quantity_edited]])*(-Tradingbook_SBV[[#This Row],[Modified Duration]]*0.01+0.5*Tradingbook_SBV[[#This Row],[Conv]]*(0.01^2))</f>
        <v>0</v>
      </c>
    </row>
    <row r="470" spans="2:130" x14ac:dyDescent="0.3">
      <c r="B470" t="s">
        <v>166</v>
      </c>
      <c r="C470" t="s">
        <v>3301</v>
      </c>
      <c r="D470" t="s">
        <v>648</v>
      </c>
      <c r="E470" t="s">
        <v>169</v>
      </c>
      <c r="F470" s="502">
        <v>48219</v>
      </c>
      <c r="G470" t="s">
        <v>3322</v>
      </c>
      <c r="H470">
        <v>89351</v>
      </c>
      <c r="I470">
        <v>89351</v>
      </c>
      <c r="J470" s="38">
        <v>0</v>
      </c>
      <c r="K470">
        <v>0</v>
      </c>
      <c r="L470">
        <v>0</v>
      </c>
      <c r="M470" s="38">
        <v>0</v>
      </c>
      <c r="N470">
        <v>2</v>
      </c>
      <c r="O470">
        <v>1227</v>
      </c>
      <c r="P470" s="37">
        <v>900000000</v>
      </c>
      <c r="Q470" s="37">
        <v>1011096499.999993</v>
      </c>
      <c r="R470" s="37">
        <v>-808234792.2485466</v>
      </c>
      <c r="S470">
        <v>4.2516125440000003</v>
      </c>
      <c r="T470" s="70">
        <v>4.8704943576598998</v>
      </c>
      <c r="U470">
        <v>5.0775689100000001</v>
      </c>
      <c r="V470">
        <v>29.365561375392598</v>
      </c>
      <c r="W470">
        <v>0</v>
      </c>
      <c r="X470" s="38">
        <v>0</v>
      </c>
      <c r="Y470">
        <v>0</v>
      </c>
      <c r="Z470" s="70">
        <v>-682090000</v>
      </c>
      <c r="AA470" s="70">
        <v>0</v>
      </c>
      <c r="AB470" s="70">
        <v>-682090000</v>
      </c>
      <c r="AC470" s="70">
        <v>-682090000</v>
      </c>
      <c r="AD470" s="70">
        <v>-682090000</v>
      </c>
      <c r="AE470" s="70">
        <v>-682090000</v>
      </c>
      <c r="AF470">
        <v>0</v>
      </c>
      <c r="AG470" s="72">
        <f>Tradingbook_MSB[[#This Row],[Mat. Date]]-RPT</f>
        <v>1967</v>
      </c>
      <c r="AH470" s="71">
        <f>IF(Tradingbook_MSB[[#This Row],[Days]]&lt;=0,0,YEARFRAC(RPT,Tradingbook_MSB[[#This Row],[Mat. Date]],3))</f>
        <v>5.3890410958904109</v>
      </c>
      <c r="AI470" s="71" t="str">
        <f>IF(Tradingbook_MSB[[#This Row],[Days (year)]]=0,0,INDEX(Ref!$K$2:$K$13,MATCH(Tradingbook_MSB[[#This Row],[Days (year)]],Ref!$I$2:$I$13,1)))</f>
        <v>5Y</v>
      </c>
      <c r="AJ470" s="120" t="str">
        <f>VLOOKUP(Tradingbook_MSB[[#This Row],[Security Name]],Ref!X:Z,3,0)</f>
        <v>TPCP</v>
      </c>
      <c r="AK470" s="120" t="str">
        <f>VLOOKUP(Tradingbook_MSB[[#This Row],[Security Name]],Ref!X:Y,2,0)</f>
        <v>KBNN</v>
      </c>
      <c r="AL470" s="71">
        <f>IF((Tradingbook_MSB[[#This Row],[Mat. Date]]-RPT)&lt;=0,0,Tradingbook_MSB[[#This Row],[QUANTITY]])</f>
        <v>0</v>
      </c>
      <c r="AM470" s="71">
        <f>IF(Tradingbook_MSB[[#This Row],[Quantity_edited]]=0,0,Tradingbook_MSB[[#This Row],[DURATION]])</f>
        <v>0</v>
      </c>
      <c r="AN470" s="71">
        <f>IF(Tradingbook_MSB[[#This Row],[Quantity_edited]]=0,0,Tradingbook_MSB[[#This Row],[Mod Dur]])</f>
        <v>0</v>
      </c>
      <c r="AO470" s="71">
        <f>IF(Tradingbook_MSB[[#This Row],[Quantity_edited]]=0,0,Tradingbook_MSB[[#This Row],[Cnvx.]])</f>
        <v>0</v>
      </c>
      <c r="AP470" s="71">
        <f>(Tradingbook_MSB[[#This Row],[MARKET_VALUE]]+Tradingbook_MSB[[#This Row],[Accr Int]]*Tradingbook_MSB[[#This Row],[Quantity_edited]])*(-Tradingbook_MSB[[#This Row],[Modified Duration]]*0.0001+0.5*Tradingbook_MSB[[#This Row],[Conv]]*(0.0001^2))</f>
        <v>0</v>
      </c>
      <c r="AQ470" s="72">
        <f>(Tradingbook_MSB[[#This Row],[MARKET_VALUE]]+Tradingbook_MSB[[#This Row],[Accr Int]]*Tradingbook_MSB[[#This Row],[Quantity_edited]])*(-Tradingbook_MSB[[#This Row],[Modified Duration]]*0.01+0.5*Tradingbook_MSB[[#This Row],[Conv]]*(0.01^2))</f>
        <v>0</v>
      </c>
      <c r="CL470" t="s">
        <v>166</v>
      </c>
      <c r="CM470" t="s">
        <v>3301</v>
      </c>
      <c r="CN470" t="s">
        <v>671</v>
      </c>
      <c r="CO470" t="s">
        <v>169</v>
      </c>
      <c r="CP470">
        <v>49211</v>
      </c>
      <c r="CQ470" t="s">
        <v>3322</v>
      </c>
      <c r="CR470" t="s">
        <v>4378</v>
      </c>
      <c r="CS470" t="s">
        <v>4379</v>
      </c>
      <c r="CT470">
        <v>0</v>
      </c>
      <c r="CU470">
        <v>0</v>
      </c>
      <c r="CV470">
        <v>0</v>
      </c>
      <c r="CW470">
        <v>0</v>
      </c>
      <c r="CX470">
        <v>4.5999999999999996</v>
      </c>
      <c r="CY470">
        <v>4134</v>
      </c>
      <c r="CZ470">
        <v>0</v>
      </c>
      <c r="DA470">
        <v>0</v>
      </c>
      <c r="DB470">
        <v>-217605.00000190735</v>
      </c>
      <c r="DC470">
        <v>4.8600220099999998</v>
      </c>
      <c r="DD470">
        <v>6</v>
      </c>
      <c r="DE470">
        <v>7</v>
      </c>
      <c r="DF470">
        <v>52</v>
      </c>
      <c r="DG470">
        <v>0</v>
      </c>
      <c r="DH470">
        <v>0</v>
      </c>
      <c r="DI470">
        <v>0</v>
      </c>
      <c r="DJ470">
        <v>-2000000</v>
      </c>
      <c r="DK470">
        <v>0</v>
      </c>
      <c r="DL470">
        <v>-2000000</v>
      </c>
      <c r="DM470">
        <v>-2000000</v>
      </c>
      <c r="DN470">
        <v>-2000000</v>
      </c>
      <c r="DO470">
        <v>-2000000</v>
      </c>
      <c r="DP470" s="32">
        <f>Tradingbook_SBV[[#This Row],[Mat. Date]]-RPT</f>
        <v>2959</v>
      </c>
      <c r="DQ470" s="32">
        <f>IF(Tradingbook_SBV[[#This Row],[Days]]&lt;=0,0,YEARFRAC(RPT,Tradingbook_SBV[[#This Row],[Mat. Date]],3))</f>
        <v>8.1068493150684926</v>
      </c>
      <c r="DR470" s="32" t="str">
        <f>IF(Tradingbook_SBV[[#This Row],[Days (year)]]=0,0,INDEX(Ref!$K$2:$K$13,MATCH(Tradingbook_SBV[[#This Row],[Days (year)]],Ref!$I$2:$I$13,1)))</f>
        <v>10Y</v>
      </c>
      <c r="DS470" s="32" t="str">
        <f>VLOOKUP(Tradingbook_SBV[[#This Row],[Security Name]],Ref!X:Z,3,0)</f>
        <v>TPCPBL</v>
      </c>
      <c r="DT470" s="32" t="str">
        <f>VLOOKUP(Tradingbook_SBV[[#This Row],[Security Name]],Ref!X:Y,2,0)</f>
        <v>VBS</v>
      </c>
      <c r="DU470" s="71">
        <f>IF((Tradingbook_SBV[[#This Row],[Mat. Date]]-RPT)&lt;=0,0,Tradingbook_SBV[[#This Row],[QUANTITY]])</f>
        <v>0</v>
      </c>
      <c r="DV470" s="71">
        <f>IF(Tradingbook_SBV[[#This Row],[Quantity_edited]]=0,0,Tradingbook_SBV[[#This Row],[DURATION]])</f>
        <v>0</v>
      </c>
      <c r="DW470" s="71">
        <f>IF(Tradingbook_SBV[[#This Row],[Quantity_edited]]=0,0,Tradingbook_SBV[[#This Row],[Mod Dur]])</f>
        <v>0</v>
      </c>
      <c r="DX470" s="71">
        <f>IF(Tradingbook_SBV[[#This Row],[Quantity_edited]]=0,0,Tradingbook_SBV[[#This Row],[Cnvx.]])</f>
        <v>0</v>
      </c>
      <c r="DY470" s="71">
        <f>(Tradingbook_SBV[[#This Row],[MARKET_VALUE]]+Tradingbook_SBV[[#This Row],[Accr Int]]*Tradingbook_SBV[[#This Row],[Quantity_edited]])*(-Tradingbook_SBV[[#This Row],[Modified Duration]]*0.0001+0.5*Tradingbook_SBV[[#This Row],[Conv]]*(0.0001^2))</f>
        <v>0</v>
      </c>
      <c r="DZ470" s="71">
        <f>(Tradingbook_SBV[[#This Row],[MARKET_VALUE]]+Tradingbook_SBV[[#This Row],[Accr Int]]*Tradingbook_SBV[[#This Row],[Quantity_edited]])*(-Tradingbook_SBV[[#This Row],[Modified Duration]]*0.01+0.5*Tradingbook_SBV[[#This Row],[Conv]]*(0.01^2))</f>
        <v>0</v>
      </c>
    </row>
    <row r="471" spans="2:130" x14ac:dyDescent="0.3">
      <c r="B471" t="s">
        <v>166</v>
      </c>
      <c r="C471" t="s">
        <v>3301</v>
      </c>
      <c r="D471" t="s">
        <v>655</v>
      </c>
      <c r="E471" t="s">
        <v>169</v>
      </c>
      <c r="F471" s="502">
        <v>48415</v>
      </c>
      <c r="G471" t="s">
        <v>170</v>
      </c>
      <c r="H471">
        <v>107331</v>
      </c>
      <c r="I471">
        <v>107331</v>
      </c>
      <c r="J471" s="38">
        <v>340000</v>
      </c>
      <c r="K471">
        <v>34000000000</v>
      </c>
      <c r="L471">
        <v>100354.192</v>
      </c>
      <c r="M471" s="38">
        <v>36492540000</v>
      </c>
      <c r="N471">
        <v>5.7</v>
      </c>
      <c r="O471">
        <v>453</v>
      </c>
      <c r="P471" s="37">
        <v>14250000000</v>
      </c>
      <c r="Q471" s="37">
        <v>16575129354.166651</v>
      </c>
      <c r="R471" s="37">
        <v>-3364026837.7999678</v>
      </c>
      <c r="S471">
        <v>4.2708017280000004</v>
      </c>
      <c r="T471" s="70">
        <v>4.9847880722708</v>
      </c>
      <c r="U471">
        <v>5.1976784900000004</v>
      </c>
      <c r="V471">
        <v>31.628537827478699</v>
      </c>
      <c r="W471">
        <v>11590.771092069701</v>
      </c>
      <c r="X471" s="38">
        <v>-18267.533517775999</v>
      </c>
      <c r="Y471">
        <v>4199.152</v>
      </c>
      <c r="Z471" s="70">
        <v>12063905116.959063</v>
      </c>
      <c r="AA471" s="70">
        <v>2372114883.0409355</v>
      </c>
      <c r="AB471" s="70">
        <v>14436019999.999998</v>
      </c>
      <c r="AC471" s="70">
        <v>14436019999.999998</v>
      </c>
      <c r="AD471" s="70">
        <v>14436020000</v>
      </c>
      <c r="AE471" s="70">
        <v>14436019999.999998</v>
      </c>
      <c r="AF471">
        <v>5.6289397990000003</v>
      </c>
      <c r="AG471" s="72">
        <f>Tradingbook_MSB[[#This Row],[Mat. Date]]-RPT</f>
        <v>2163</v>
      </c>
      <c r="AH471" s="71">
        <f>IF(Tradingbook_MSB[[#This Row],[Days]]&lt;=0,0,YEARFRAC(RPT,Tradingbook_MSB[[#This Row],[Mat. Date]],3))</f>
        <v>5.9260273972602739</v>
      </c>
      <c r="AI471" s="71" t="str">
        <f>IF(Tradingbook_MSB[[#This Row],[Days (year)]]=0,0,INDEX(Ref!$K$2:$K$13,MATCH(Tradingbook_MSB[[#This Row],[Days (year)]],Ref!$I$2:$I$13,1)))</f>
        <v>7Y</v>
      </c>
      <c r="AJ471" s="120" t="str">
        <f>VLOOKUP(Tradingbook_MSB[[#This Row],[Security Name]],Ref!X:Z,3,0)</f>
        <v>TPCP</v>
      </c>
      <c r="AK471" s="120" t="str">
        <f>VLOOKUP(Tradingbook_MSB[[#This Row],[Security Name]],Ref!X:Y,2,0)</f>
        <v>KBNN</v>
      </c>
      <c r="AL471" s="71">
        <f>IF((Tradingbook_MSB[[#This Row],[Mat. Date]]-RPT)&lt;=0,0,Tradingbook_MSB[[#This Row],[QUANTITY]])</f>
        <v>340000</v>
      </c>
      <c r="AM471" s="71">
        <f>IF(Tradingbook_MSB[[#This Row],[Quantity_edited]]=0,0,Tradingbook_MSB[[#This Row],[DURATION]])</f>
        <v>5.1976784900000004</v>
      </c>
      <c r="AN471" s="71">
        <f>IF(Tradingbook_MSB[[#This Row],[Quantity_edited]]=0,0,Tradingbook_MSB[[#This Row],[Mod Dur]])</f>
        <v>4.9847880722708</v>
      </c>
      <c r="AO471" s="71">
        <f>IF(Tradingbook_MSB[[#This Row],[Quantity_edited]]=0,0,Tradingbook_MSB[[#This Row],[Cnvx.]])</f>
        <v>31.628537827478699</v>
      </c>
      <c r="AP471" s="71">
        <f>(Tradingbook_MSB[[#This Row],[MARKET_VALUE]]+Tradingbook_MSB[[#This Row],[Accr Int]]*Tradingbook_MSB[[#This Row],[Quantity_edited]])*(-Tradingbook_MSB[[#This Row],[Modified Duration]]*0.0001+0.5*Tradingbook_MSB[[#This Row],[Conv]]*(0.0001^2))</f>
        <v>-18261738.132229585</v>
      </c>
      <c r="AQ471" s="72">
        <f>(Tradingbook_MSB[[#This Row],[MARKET_VALUE]]+Tradingbook_MSB[[#This Row],[Accr Int]]*Tradingbook_MSB[[#This Row],[Quantity_edited]])*(-Tradingbook_MSB[[#This Row],[Modified Duration]]*0.01+0.5*Tradingbook_MSB[[#This Row],[Conv]]*(0.01^2))</f>
        <v>-1768799496.3172138</v>
      </c>
      <c r="CL471" t="s">
        <v>166</v>
      </c>
      <c r="CM471" t="s">
        <v>3301</v>
      </c>
      <c r="CN471" t="s">
        <v>672</v>
      </c>
      <c r="CO471" t="s">
        <v>169</v>
      </c>
      <c r="CP471">
        <v>49234</v>
      </c>
      <c r="CQ471" t="s">
        <v>3322</v>
      </c>
      <c r="CR471" t="s">
        <v>4380</v>
      </c>
      <c r="CS471" t="s">
        <v>4381</v>
      </c>
      <c r="CT471">
        <v>0</v>
      </c>
      <c r="CU471">
        <v>0</v>
      </c>
      <c r="CV471">
        <v>0</v>
      </c>
      <c r="CW471">
        <v>0</v>
      </c>
      <c r="CX471">
        <v>4</v>
      </c>
      <c r="CY471">
        <v>3342</v>
      </c>
      <c r="CZ471">
        <v>0</v>
      </c>
      <c r="DA471">
        <v>3.9999999999999998E-6</v>
      </c>
      <c r="DB471">
        <v>-1401875890.4027481</v>
      </c>
      <c r="DC471">
        <v>4.3629329529999996</v>
      </c>
      <c r="DD471">
        <v>7</v>
      </c>
      <c r="DE471">
        <v>7</v>
      </c>
      <c r="DF471">
        <v>55</v>
      </c>
      <c r="DG471">
        <v>0</v>
      </c>
      <c r="DH471">
        <v>0</v>
      </c>
      <c r="DI471">
        <v>0</v>
      </c>
      <c r="DJ471">
        <v>-3606000000</v>
      </c>
      <c r="DK471">
        <v>0</v>
      </c>
      <c r="DL471">
        <v>-3606000000</v>
      </c>
      <c r="DM471">
        <v>-3606000000</v>
      </c>
      <c r="DN471">
        <v>-3606000000</v>
      </c>
      <c r="DO471">
        <v>-3606000000</v>
      </c>
      <c r="DP471" s="32">
        <f>Tradingbook_SBV[[#This Row],[Mat. Date]]-RPT</f>
        <v>2982</v>
      </c>
      <c r="DQ471" s="32">
        <f>IF(Tradingbook_SBV[[#This Row],[Days]]&lt;=0,0,YEARFRAC(RPT,Tradingbook_SBV[[#This Row],[Mat. Date]],3))</f>
        <v>8.169863013698631</v>
      </c>
      <c r="DR471" s="32" t="str">
        <f>IF(Tradingbook_SBV[[#This Row],[Days (year)]]=0,0,INDEX(Ref!$K$2:$K$13,MATCH(Tradingbook_SBV[[#This Row],[Days (year)]],Ref!$I$2:$I$13,1)))</f>
        <v>10Y</v>
      </c>
      <c r="DS471" s="32" t="str">
        <f>VLOOKUP(Tradingbook_SBV[[#This Row],[Security Name]],Ref!X:Z,3,0)</f>
        <v>TPCP</v>
      </c>
      <c r="DT471" s="32" t="str">
        <f>VLOOKUP(Tradingbook_SBV[[#This Row],[Security Name]],Ref!X:Y,2,0)</f>
        <v>KBNN</v>
      </c>
      <c r="DU471" s="71">
        <f>IF((Tradingbook_SBV[[#This Row],[Mat. Date]]-RPT)&lt;=0,0,Tradingbook_SBV[[#This Row],[QUANTITY]])</f>
        <v>0</v>
      </c>
      <c r="DV471" s="71">
        <f>IF(Tradingbook_SBV[[#This Row],[Quantity_edited]]=0,0,Tradingbook_SBV[[#This Row],[DURATION]])</f>
        <v>0</v>
      </c>
      <c r="DW471" s="71">
        <f>IF(Tradingbook_SBV[[#This Row],[Quantity_edited]]=0,0,Tradingbook_SBV[[#This Row],[Mod Dur]])</f>
        <v>0</v>
      </c>
      <c r="DX471" s="71">
        <f>IF(Tradingbook_SBV[[#This Row],[Quantity_edited]]=0,0,Tradingbook_SBV[[#This Row],[Cnvx.]])</f>
        <v>0</v>
      </c>
      <c r="DY471" s="71">
        <f>(Tradingbook_SBV[[#This Row],[MARKET_VALUE]]+Tradingbook_SBV[[#This Row],[Accr Int]]*Tradingbook_SBV[[#This Row],[Quantity_edited]])*(-Tradingbook_SBV[[#This Row],[Modified Duration]]*0.0001+0.5*Tradingbook_SBV[[#This Row],[Conv]]*(0.0001^2))</f>
        <v>0</v>
      </c>
      <c r="DZ471" s="71">
        <f>(Tradingbook_SBV[[#This Row],[MARKET_VALUE]]+Tradingbook_SBV[[#This Row],[Accr Int]]*Tradingbook_SBV[[#This Row],[Quantity_edited]])*(-Tradingbook_SBV[[#This Row],[Modified Duration]]*0.01+0.5*Tradingbook_SBV[[#This Row],[Conv]]*(0.01^2))</f>
        <v>0</v>
      </c>
    </row>
    <row r="472" spans="2:130" x14ac:dyDescent="0.3">
      <c r="B472" t="s">
        <v>166</v>
      </c>
      <c r="C472" t="s">
        <v>3301</v>
      </c>
      <c r="D472" t="s">
        <v>656</v>
      </c>
      <c r="E472" t="s">
        <v>169</v>
      </c>
      <c r="F472" s="502">
        <v>48525</v>
      </c>
      <c r="G472" t="s">
        <v>3322</v>
      </c>
      <c r="H472">
        <v>107457</v>
      </c>
      <c r="I472">
        <v>107457</v>
      </c>
      <c r="J472" s="38">
        <v>0</v>
      </c>
      <c r="K472">
        <v>0</v>
      </c>
      <c r="L472">
        <v>0</v>
      </c>
      <c r="M472" s="38">
        <v>0</v>
      </c>
      <c r="N472">
        <v>6.2</v>
      </c>
      <c r="O472">
        <v>4824</v>
      </c>
      <c r="P472" s="37">
        <v>0</v>
      </c>
      <c r="Q472" s="37">
        <v>7.9999999999999996E-6</v>
      </c>
      <c r="R472" s="37">
        <v>13989999.027774811</v>
      </c>
      <c r="S472">
        <v>4.7814274709999998</v>
      </c>
      <c r="T472" s="70">
        <v>4.9223330311713998</v>
      </c>
      <c r="U472">
        <v>5.1576908100000001</v>
      </c>
      <c r="V472">
        <v>32.1943953568246</v>
      </c>
      <c r="W472">
        <v>0</v>
      </c>
      <c r="X472" s="38">
        <v>0</v>
      </c>
      <c r="Y472">
        <v>0</v>
      </c>
      <c r="Z472" s="70">
        <v>-70000000</v>
      </c>
      <c r="AA472" s="70">
        <v>0</v>
      </c>
      <c r="AB472" s="70">
        <v>-70000000</v>
      </c>
      <c r="AC472" s="70">
        <v>-70000000</v>
      </c>
      <c r="AD472" s="70">
        <v>-70000000</v>
      </c>
      <c r="AE472" s="70">
        <v>-70000000</v>
      </c>
      <c r="AF472">
        <v>0</v>
      </c>
      <c r="AG472" s="72">
        <f>Tradingbook_MSB[[#This Row],[Mat. Date]]-RPT</f>
        <v>2273</v>
      </c>
      <c r="AH472" s="71">
        <f>IF(Tradingbook_MSB[[#This Row],[Days]]&lt;=0,0,YEARFRAC(RPT,Tradingbook_MSB[[#This Row],[Mat. Date]],3))</f>
        <v>6.2273972602739729</v>
      </c>
      <c r="AI472" s="71" t="str">
        <f>IF(Tradingbook_MSB[[#This Row],[Days (year)]]=0,0,INDEX(Ref!$K$2:$K$13,MATCH(Tradingbook_MSB[[#This Row],[Days (year)]],Ref!$I$2:$I$13,1)))</f>
        <v>7Y</v>
      </c>
      <c r="AJ472" s="120" t="str">
        <f>VLOOKUP(Tradingbook_MSB[[#This Row],[Security Name]],Ref!X:Z,3,0)</f>
        <v>TPCPBL</v>
      </c>
      <c r="AK472" s="120" t="str">
        <f>VLOOKUP(Tradingbook_MSB[[#This Row],[Security Name]],Ref!X:Y,2,0)</f>
        <v>VBS</v>
      </c>
      <c r="AL472" s="71">
        <f>IF((Tradingbook_MSB[[#This Row],[Mat. Date]]-RPT)&lt;=0,0,Tradingbook_MSB[[#This Row],[QUANTITY]])</f>
        <v>0</v>
      </c>
      <c r="AM472" s="71">
        <f>IF(Tradingbook_MSB[[#This Row],[Quantity_edited]]=0,0,Tradingbook_MSB[[#This Row],[DURATION]])</f>
        <v>0</v>
      </c>
      <c r="AN472" s="71">
        <f>IF(Tradingbook_MSB[[#This Row],[Quantity_edited]]=0,0,Tradingbook_MSB[[#This Row],[Mod Dur]])</f>
        <v>0</v>
      </c>
      <c r="AO472" s="71">
        <f>IF(Tradingbook_MSB[[#This Row],[Quantity_edited]]=0,0,Tradingbook_MSB[[#This Row],[Cnvx.]])</f>
        <v>0</v>
      </c>
      <c r="AP472" s="71">
        <f>(Tradingbook_MSB[[#This Row],[MARKET_VALUE]]+Tradingbook_MSB[[#This Row],[Accr Int]]*Tradingbook_MSB[[#This Row],[Quantity_edited]])*(-Tradingbook_MSB[[#This Row],[Modified Duration]]*0.0001+0.5*Tradingbook_MSB[[#This Row],[Conv]]*(0.0001^2))</f>
        <v>0</v>
      </c>
      <c r="AQ472" s="72">
        <f>(Tradingbook_MSB[[#This Row],[MARKET_VALUE]]+Tradingbook_MSB[[#This Row],[Accr Int]]*Tradingbook_MSB[[#This Row],[Quantity_edited]])*(-Tradingbook_MSB[[#This Row],[Modified Duration]]*0.01+0.5*Tradingbook_MSB[[#This Row],[Conv]]*(0.01^2))</f>
        <v>0</v>
      </c>
      <c r="CL472" t="s">
        <v>166</v>
      </c>
      <c r="CM472" t="s">
        <v>3301</v>
      </c>
      <c r="CN472" t="s">
        <v>675</v>
      </c>
      <c r="CO472" t="s">
        <v>169</v>
      </c>
      <c r="CP472">
        <v>49268</v>
      </c>
      <c r="CQ472" t="s">
        <v>3322</v>
      </c>
      <c r="CR472" t="s">
        <v>4382</v>
      </c>
      <c r="CS472" t="s">
        <v>4383</v>
      </c>
      <c r="CT472">
        <v>0</v>
      </c>
      <c r="CU472">
        <v>0</v>
      </c>
      <c r="CV472">
        <v>0</v>
      </c>
      <c r="CW472">
        <v>0</v>
      </c>
      <c r="CX472">
        <v>4.5</v>
      </c>
      <c r="CY472">
        <v>3341</v>
      </c>
      <c r="CZ472">
        <v>0</v>
      </c>
      <c r="DA472">
        <v>0</v>
      </c>
      <c r="DB472">
        <v>-2414021.6666660309</v>
      </c>
      <c r="DC472">
        <v>4.8671602280000004</v>
      </c>
      <c r="DD472">
        <v>7</v>
      </c>
      <c r="DE472">
        <v>7</v>
      </c>
      <c r="DF472">
        <v>54</v>
      </c>
      <c r="DG472">
        <v>0</v>
      </c>
      <c r="DH472">
        <v>0</v>
      </c>
      <c r="DI472">
        <v>0</v>
      </c>
      <c r="DJ472">
        <v>-500000</v>
      </c>
      <c r="DK472">
        <v>0</v>
      </c>
      <c r="DL472">
        <v>-500000</v>
      </c>
      <c r="DM472">
        <v>-500000</v>
      </c>
      <c r="DN472">
        <v>-500000</v>
      </c>
      <c r="DO472">
        <v>-500000</v>
      </c>
      <c r="DP472" s="32">
        <f>Tradingbook_SBV[[#This Row],[Mat. Date]]-RPT</f>
        <v>3016</v>
      </c>
      <c r="DQ472" s="32">
        <f>IF(Tradingbook_SBV[[#This Row],[Days]]&lt;=0,0,YEARFRAC(RPT,Tradingbook_SBV[[#This Row],[Mat. Date]],3))</f>
        <v>8.2630136986301377</v>
      </c>
      <c r="DR472" s="32" t="str">
        <f>IF(Tradingbook_SBV[[#This Row],[Days (year)]]=0,0,INDEX(Ref!$K$2:$K$13,MATCH(Tradingbook_SBV[[#This Row],[Days (year)]],Ref!$I$2:$I$13,1)))</f>
        <v>10Y</v>
      </c>
      <c r="DS472" s="32" t="str">
        <f>VLOOKUP(Tradingbook_SBV[[#This Row],[Security Name]],Ref!X:Z,3,0)</f>
        <v>TPCPBL</v>
      </c>
      <c r="DT472" s="32" t="str">
        <f>VLOOKUP(Tradingbook_SBV[[#This Row],[Security Name]],Ref!X:Y,2,0)</f>
        <v>VDB</v>
      </c>
      <c r="DU472" s="71">
        <f>IF((Tradingbook_SBV[[#This Row],[Mat. Date]]-RPT)&lt;=0,0,Tradingbook_SBV[[#This Row],[QUANTITY]])</f>
        <v>0</v>
      </c>
      <c r="DV472" s="71">
        <f>IF(Tradingbook_SBV[[#This Row],[Quantity_edited]]=0,0,Tradingbook_SBV[[#This Row],[DURATION]])</f>
        <v>0</v>
      </c>
      <c r="DW472" s="71">
        <f>IF(Tradingbook_SBV[[#This Row],[Quantity_edited]]=0,0,Tradingbook_SBV[[#This Row],[Mod Dur]])</f>
        <v>0</v>
      </c>
      <c r="DX472" s="71">
        <f>IF(Tradingbook_SBV[[#This Row],[Quantity_edited]]=0,0,Tradingbook_SBV[[#This Row],[Cnvx.]])</f>
        <v>0</v>
      </c>
      <c r="DY472" s="71">
        <f>(Tradingbook_SBV[[#This Row],[MARKET_VALUE]]+Tradingbook_SBV[[#This Row],[Accr Int]]*Tradingbook_SBV[[#This Row],[Quantity_edited]])*(-Tradingbook_SBV[[#This Row],[Modified Duration]]*0.0001+0.5*Tradingbook_SBV[[#This Row],[Conv]]*(0.0001^2))</f>
        <v>0</v>
      </c>
      <c r="DZ472" s="71">
        <f>(Tradingbook_SBV[[#This Row],[MARKET_VALUE]]+Tradingbook_SBV[[#This Row],[Accr Int]]*Tradingbook_SBV[[#This Row],[Quantity_edited]])*(-Tradingbook_SBV[[#This Row],[Modified Duration]]*0.01+0.5*Tradingbook_SBV[[#This Row],[Conv]]*(0.01^2))</f>
        <v>0</v>
      </c>
    </row>
    <row r="473" spans="2:130" x14ac:dyDescent="0.3">
      <c r="B473" t="s">
        <v>166</v>
      </c>
      <c r="C473" t="s">
        <v>3301</v>
      </c>
      <c r="D473" t="s">
        <v>2748</v>
      </c>
      <c r="E473" t="s">
        <v>169</v>
      </c>
      <c r="F473" s="502">
        <v>48542</v>
      </c>
      <c r="G473" t="s">
        <v>3322</v>
      </c>
      <c r="H473">
        <v>102771</v>
      </c>
      <c r="I473">
        <v>102771</v>
      </c>
      <c r="J473" s="38">
        <v>0</v>
      </c>
      <c r="K473">
        <v>0</v>
      </c>
      <c r="L473">
        <v>0</v>
      </c>
      <c r="M473" s="38">
        <v>0</v>
      </c>
      <c r="N473">
        <v>4.8</v>
      </c>
      <c r="O473">
        <v>3511</v>
      </c>
      <c r="P473" s="37">
        <v>16800000000</v>
      </c>
      <c r="Q473" s="37">
        <v>18238430000</v>
      </c>
      <c r="R473" s="37">
        <v>-10187863219.374985</v>
      </c>
      <c r="S473">
        <v>4.2829788539999996</v>
      </c>
      <c r="T473" s="70">
        <v>5.1708472126157998</v>
      </c>
      <c r="U473">
        <v>5.3923135100000001</v>
      </c>
      <c r="V473">
        <v>34.555211166856203</v>
      </c>
      <c r="W473">
        <v>0</v>
      </c>
      <c r="X473" s="38">
        <v>0</v>
      </c>
      <c r="Y473">
        <v>0</v>
      </c>
      <c r="Z473" s="70">
        <v>-8155000000</v>
      </c>
      <c r="AA473" s="70">
        <v>0</v>
      </c>
      <c r="AB473" s="70">
        <v>-8155000000</v>
      </c>
      <c r="AC473" s="70">
        <v>-8155000000</v>
      </c>
      <c r="AD473" s="70">
        <v>-8155000000</v>
      </c>
      <c r="AE473" s="70">
        <v>-8155000000</v>
      </c>
      <c r="AF473">
        <v>0</v>
      </c>
      <c r="AG473" s="72">
        <f>Tradingbook_MSB[[#This Row],[Mat. Date]]-RPT</f>
        <v>2290</v>
      </c>
      <c r="AH473" s="71">
        <f>IF(Tradingbook_MSB[[#This Row],[Days]]&lt;=0,0,YEARFRAC(RPT,Tradingbook_MSB[[#This Row],[Mat. Date]],3))</f>
        <v>6.2739726027397262</v>
      </c>
      <c r="AI473" s="71" t="str">
        <f>IF(Tradingbook_MSB[[#This Row],[Days (year)]]=0,0,INDEX(Ref!$K$2:$K$13,MATCH(Tradingbook_MSB[[#This Row],[Days (year)]],Ref!$I$2:$I$13,1)))</f>
        <v>7Y</v>
      </c>
      <c r="AJ473" s="120" t="str">
        <f>VLOOKUP(Tradingbook_MSB[[#This Row],[Security Name]],Ref!X:Z,3,0)</f>
        <v>TPCP</v>
      </c>
      <c r="AK473" s="120" t="str">
        <f>VLOOKUP(Tradingbook_MSB[[#This Row],[Security Name]],Ref!X:Y,2,0)</f>
        <v>KBNN</v>
      </c>
      <c r="AL473" s="71">
        <f>IF((Tradingbook_MSB[[#This Row],[Mat. Date]]-RPT)&lt;=0,0,Tradingbook_MSB[[#This Row],[QUANTITY]])</f>
        <v>0</v>
      </c>
      <c r="AM473" s="71">
        <f>IF(Tradingbook_MSB[[#This Row],[Quantity_edited]]=0,0,Tradingbook_MSB[[#This Row],[DURATION]])</f>
        <v>0</v>
      </c>
      <c r="AN473" s="71">
        <f>IF(Tradingbook_MSB[[#This Row],[Quantity_edited]]=0,0,Tradingbook_MSB[[#This Row],[Mod Dur]])</f>
        <v>0</v>
      </c>
      <c r="AO473" s="71">
        <f>IF(Tradingbook_MSB[[#This Row],[Quantity_edited]]=0,0,Tradingbook_MSB[[#This Row],[Cnvx.]])</f>
        <v>0</v>
      </c>
      <c r="AP473" s="71">
        <f>(Tradingbook_MSB[[#This Row],[MARKET_VALUE]]+Tradingbook_MSB[[#This Row],[Accr Int]]*Tradingbook_MSB[[#This Row],[Quantity_edited]])*(-Tradingbook_MSB[[#This Row],[Modified Duration]]*0.0001+0.5*Tradingbook_MSB[[#This Row],[Conv]]*(0.0001^2))</f>
        <v>0</v>
      </c>
      <c r="AQ473" s="72">
        <f>(Tradingbook_MSB[[#This Row],[MARKET_VALUE]]+Tradingbook_MSB[[#This Row],[Accr Int]]*Tradingbook_MSB[[#This Row],[Quantity_edited]])*(-Tradingbook_MSB[[#This Row],[Modified Duration]]*0.01+0.5*Tradingbook_MSB[[#This Row],[Conv]]*(0.01^2))</f>
        <v>0</v>
      </c>
      <c r="CL473" t="s">
        <v>166</v>
      </c>
      <c r="CM473" t="s">
        <v>3301</v>
      </c>
      <c r="CN473" t="s">
        <v>676</v>
      </c>
      <c r="CO473" t="s">
        <v>169</v>
      </c>
      <c r="CP473">
        <v>49275</v>
      </c>
      <c r="CQ473" t="s">
        <v>3322</v>
      </c>
      <c r="CR473" t="s">
        <v>4384</v>
      </c>
      <c r="CS473" t="s">
        <v>4385</v>
      </c>
      <c r="CT473">
        <v>0</v>
      </c>
      <c r="CU473">
        <v>0</v>
      </c>
      <c r="CV473">
        <v>0</v>
      </c>
      <c r="CW473">
        <v>0</v>
      </c>
      <c r="CX473">
        <v>4.4000000000000004</v>
      </c>
      <c r="CY473">
        <v>3182</v>
      </c>
      <c r="CZ473">
        <v>0</v>
      </c>
      <c r="DA473">
        <v>3.9999999999999998E-6</v>
      </c>
      <c r="DB473">
        <v>-152658455.13888741</v>
      </c>
      <c r="DC473">
        <v>4.8680898939999997</v>
      </c>
      <c r="DD473">
        <v>7</v>
      </c>
      <c r="DE473">
        <v>7</v>
      </c>
      <c r="DF473">
        <v>55</v>
      </c>
      <c r="DG473">
        <v>0</v>
      </c>
      <c r="DH473">
        <v>0</v>
      </c>
      <c r="DI473">
        <v>0</v>
      </c>
      <c r="DJ473">
        <v>-1468000000</v>
      </c>
      <c r="DK473">
        <v>0</v>
      </c>
      <c r="DL473">
        <v>-1468000000</v>
      </c>
      <c r="DM473">
        <v>-1468000000</v>
      </c>
      <c r="DN473">
        <v>-1468000000</v>
      </c>
      <c r="DO473">
        <v>-1468000000</v>
      </c>
      <c r="DP473" s="32">
        <f>Tradingbook_SBV[[#This Row],[Mat. Date]]-RPT</f>
        <v>3023</v>
      </c>
      <c r="DQ473" s="32">
        <f>IF(Tradingbook_SBV[[#This Row],[Days]]&lt;=0,0,YEARFRAC(RPT,Tradingbook_SBV[[#This Row],[Mat. Date]],3))</f>
        <v>8.2821917808219183</v>
      </c>
      <c r="DR473" s="32" t="str">
        <f>IF(Tradingbook_SBV[[#This Row],[Days (year)]]=0,0,INDEX(Ref!$K$2:$K$13,MATCH(Tradingbook_SBV[[#This Row],[Days (year)]],Ref!$I$2:$I$13,1)))</f>
        <v>10Y</v>
      </c>
      <c r="DS473" s="32" t="str">
        <f>VLOOKUP(Tradingbook_SBV[[#This Row],[Security Name]],Ref!X:Z,3,0)</f>
        <v>TPCPBL</v>
      </c>
      <c r="DT473" s="32" t="str">
        <f>VLOOKUP(Tradingbook_SBV[[#This Row],[Security Name]],Ref!X:Y,2,0)</f>
        <v>VDB</v>
      </c>
      <c r="DU473" s="71">
        <f>IF((Tradingbook_SBV[[#This Row],[Mat. Date]]-RPT)&lt;=0,0,Tradingbook_SBV[[#This Row],[QUANTITY]])</f>
        <v>0</v>
      </c>
      <c r="DV473" s="71">
        <f>IF(Tradingbook_SBV[[#This Row],[Quantity_edited]]=0,0,Tradingbook_SBV[[#This Row],[DURATION]])</f>
        <v>0</v>
      </c>
      <c r="DW473" s="71">
        <f>IF(Tradingbook_SBV[[#This Row],[Quantity_edited]]=0,0,Tradingbook_SBV[[#This Row],[Mod Dur]])</f>
        <v>0</v>
      </c>
      <c r="DX473" s="71">
        <f>IF(Tradingbook_SBV[[#This Row],[Quantity_edited]]=0,0,Tradingbook_SBV[[#This Row],[Cnvx.]])</f>
        <v>0</v>
      </c>
      <c r="DY473" s="71">
        <f>(Tradingbook_SBV[[#This Row],[MARKET_VALUE]]+Tradingbook_SBV[[#This Row],[Accr Int]]*Tradingbook_SBV[[#This Row],[Quantity_edited]])*(-Tradingbook_SBV[[#This Row],[Modified Duration]]*0.0001+0.5*Tradingbook_SBV[[#This Row],[Conv]]*(0.0001^2))</f>
        <v>0</v>
      </c>
      <c r="DZ473" s="71">
        <f>(Tradingbook_SBV[[#This Row],[MARKET_VALUE]]+Tradingbook_SBV[[#This Row],[Accr Int]]*Tradingbook_SBV[[#This Row],[Quantity_edited]])*(-Tradingbook_SBV[[#This Row],[Modified Duration]]*0.01+0.5*Tradingbook_SBV[[#This Row],[Conv]]*(0.01^2))</f>
        <v>0</v>
      </c>
    </row>
    <row r="474" spans="2:130" x14ac:dyDescent="0.3">
      <c r="B474" t="s">
        <v>166</v>
      </c>
      <c r="C474" t="s">
        <v>3301</v>
      </c>
      <c r="D474" t="s">
        <v>657</v>
      </c>
      <c r="E474" t="s">
        <v>169</v>
      </c>
      <c r="F474" s="502">
        <v>48554</v>
      </c>
      <c r="G474" t="s">
        <v>3322</v>
      </c>
      <c r="H474">
        <v>107517</v>
      </c>
      <c r="I474">
        <v>107517</v>
      </c>
      <c r="J474" s="38">
        <v>0</v>
      </c>
      <c r="K474">
        <v>0</v>
      </c>
      <c r="L474">
        <v>0</v>
      </c>
      <c r="M474" s="38">
        <v>0</v>
      </c>
      <c r="N474">
        <v>6.2</v>
      </c>
      <c r="O474">
        <v>4332</v>
      </c>
      <c r="P474" s="37">
        <v>82708000000</v>
      </c>
      <c r="Q474" s="37">
        <v>97010026252.222168</v>
      </c>
      <c r="R474" s="37">
        <v>-12759054807.327751</v>
      </c>
      <c r="S474">
        <v>4.7843084950000003</v>
      </c>
      <c r="T474" s="70">
        <v>4.9979279427836003</v>
      </c>
      <c r="U474">
        <v>5.2370442300000004</v>
      </c>
      <c r="V474">
        <v>33.016415065750799</v>
      </c>
      <c r="W474">
        <v>0</v>
      </c>
      <c r="X474" s="38">
        <v>0</v>
      </c>
      <c r="Y474">
        <v>0</v>
      </c>
      <c r="Z474" s="70">
        <v>56845960000.000488</v>
      </c>
      <c r="AA474" s="70">
        <v>0</v>
      </c>
      <c r="AB474" s="70">
        <v>56845960000.000488</v>
      </c>
      <c r="AC474" s="70">
        <v>56845960000.000488</v>
      </c>
      <c r="AD474" s="70">
        <v>56845960000</v>
      </c>
      <c r="AE474" s="70">
        <v>56845960000.000488</v>
      </c>
      <c r="AF474">
        <v>0</v>
      </c>
      <c r="AG474" s="72">
        <f>Tradingbook_MSB[[#This Row],[Mat. Date]]-RPT</f>
        <v>2302</v>
      </c>
      <c r="AH474" s="71">
        <f>IF(Tradingbook_MSB[[#This Row],[Days]]&lt;=0,0,YEARFRAC(RPT,Tradingbook_MSB[[#This Row],[Mat. Date]],3))</f>
        <v>6.3068493150684928</v>
      </c>
      <c r="AI474" s="71" t="str">
        <f>IF(Tradingbook_MSB[[#This Row],[Days (year)]]=0,0,INDEX(Ref!$K$2:$K$13,MATCH(Tradingbook_MSB[[#This Row],[Days (year)]],Ref!$I$2:$I$13,1)))</f>
        <v>7Y</v>
      </c>
      <c r="AJ474" s="120" t="str">
        <f>VLOOKUP(Tradingbook_MSB[[#This Row],[Security Name]],Ref!X:Z,3,0)</f>
        <v>TPCPBL</v>
      </c>
      <c r="AK474" s="120" t="str">
        <f>VLOOKUP(Tradingbook_MSB[[#This Row],[Security Name]],Ref!X:Y,2,0)</f>
        <v>VDB</v>
      </c>
      <c r="AL474" s="71">
        <f>IF((Tradingbook_MSB[[#This Row],[Mat. Date]]-RPT)&lt;=0,0,Tradingbook_MSB[[#This Row],[QUANTITY]])</f>
        <v>0</v>
      </c>
      <c r="AM474" s="71">
        <f>IF(Tradingbook_MSB[[#This Row],[Quantity_edited]]=0,0,Tradingbook_MSB[[#This Row],[DURATION]])</f>
        <v>0</v>
      </c>
      <c r="AN474" s="71">
        <f>IF(Tradingbook_MSB[[#This Row],[Quantity_edited]]=0,0,Tradingbook_MSB[[#This Row],[Mod Dur]])</f>
        <v>0</v>
      </c>
      <c r="AO474" s="71">
        <f>IF(Tradingbook_MSB[[#This Row],[Quantity_edited]]=0,0,Tradingbook_MSB[[#This Row],[Cnvx.]])</f>
        <v>0</v>
      </c>
      <c r="AP474" s="71">
        <f>(Tradingbook_MSB[[#This Row],[MARKET_VALUE]]+Tradingbook_MSB[[#This Row],[Accr Int]]*Tradingbook_MSB[[#This Row],[Quantity_edited]])*(-Tradingbook_MSB[[#This Row],[Modified Duration]]*0.0001+0.5*Tradingbook_MSB[[#This Row],[Conv]]*(0.0001^2))</f>
        <v>0</v>
      </c>
      <c r="AQ474" s="72">
        <f>(Tradingbook_MSB[[#This Row],[MARKET_VALUE]]+Tradingbook_MSB[[#This Row],[Accr Int]]*Tradingbook_MSB[[#This Row],[Quantity_edited]])*(-Tradingbook_MSB[[#This Row],[Modified Duration]]*0.01+0.5*Tradingbook_MSB[[#This Row],[Conv]]*(0.01^2))</f>
        <v>0</v>
      </c>
      <c r="CL474" t="s">
        <v>166</v>
      </c>
      <c r="CM474" t="s">
        <v>3301</v>
      </c>
      <c r="CN474" t="s">
        <v>680</v>
      </c>
      <c r="CO474" t="s">
        <v>169</v>
      </c>
      <c r="CP474">
        <v>49553</v>
      </c>
      <c r="CQ474" t="s">
        <v>3322</v>
      </c>
      <c r="CR474" t="s">
        <v>4386</v>
      </c>
      <c r="CS474" t="s">
        <v>4387</v>
      </c>
      <c r="CT474">
        <v>0</v>
      </c>
      <c r="CU474">
        <v>0</v>
      </c>
      <c r="CV474">
        <v>0</v>
      </c>
      <c r="CW474">
        <v>0</v>
      </c>
      <c r="CX474">
        <v>7.75</v>
      </c>
      <c r="CY474">
        <v>7453</v>
      </c>
      <c r="CZ474">
        <v>11625000000</v>
      </c>
      <c r="DA474">
        <v>13499794427.083321</v>
      </c>
      <c r="DB474">
        <v>-2093472533.6805305</v>
      </c>
      <c r="DC474">
        <v>4.403357314</v>
      </c>
      <c r="DD474">
        <v>6</v>
      </c>
      <c r="DE474">
        <v>7</v>
      </c>
      <c r="DF474">
        <v>56</v>
      </c>
      <c r="DG474">
        <v>0</v>
      </c>
      <c r="DH474">
        <v>0</v>
      </c>
      <c r="DI474">
        <v>0</v>
      </c>
      <c r="DJ474">
        <v>-3682000000</v>
      </c>
      <c r="DK474">
        <v>0</v>
      </c>
      <c r="DL474">
        <v>-3682000000</v>
      </c>
      <c r="DM474">
        <v>-3682000000</v>
      </c>
      <c r="DN474">
        <v>-3682000000</v>
      </c>
      <c r="DO474">
        <v>-3682000000</v>
      </c>
      <c r="DP474" s="32">
        <f>Tradingbook_SBV[[#This Row],[Mat. Date]]-RPT</f>
        <v>3301</v>
      </c>
      <c r="DQ474" s="32">
        <f>IF(Tradingbook_SBV[[#This Row],[Days]]&lt;=0,0,YEARFRAC(RPT,Tradingbook_SBV[[#This Row],[Mat. Date]],3))</f>
        <v>9.043835616438356</v>
      </c>
      <c r="DR474" s="32" t="str">
        <f>IF(Tradingbook_SBV[[#This Row],[Days (year)]]=0,0,INDEX(Ref!$K$2:$K$13,MATCH(Tradingbook_SBV[[#This Row],[Days (year)]],Ref!$I$2:$I$13,1)))</f>
        <v>10Y</v>
      </c>
      <c r="DS474" s="32" t="str">
        <f>VLOOKUP(Tradingbook_SBV[[#This Row],[Security Name]],Ref!X:Z,3,0)</f>
        <v>TPCP</v>
      </c>
      <c r="DT474" s="32" t="str">
        <f>VLOOKUP(Tradingbook_SBV[[#This Row],[Security Name]],Ref!X:Y,2,0)</f>
        <v>KBNN</v>
      </c>
      <c r="DU474" s="71">
        <f>IF((Tradingbook_SBV[[#This Row],[Mat. Date]]-RPT)&lt;=0,0,Tradingbook_SBV[[#This Row],[QUANTITY]])</f>
        <v>0</v>
      </c>
      <c r="DV474" s="71">
        <f>IF(Tradingbook_SBV[[#This Row],[Quantity_edited]]=0,0,Tradingbook_SBV[[#This Row],[DURATION]])</f>
        <v>0</v>
      </c>
      <c r="DW474" s="71">
        <f>IF(Tradingbook_SBV[[#This Row],[Quantity_edited]]=0,0,Tradingbook_SBV[[#This Row],[Mod Dur]])</f>
        <v>0</v>
      </c>
      <c r="DX474" s="71">
        <f>IF(Tradingbook_SBV[[#This Row],[Quantity_edited]]=0,0,Tradingbook_SBV[[#This Row],[Cnvx.]])</f>
        <v>0</v>
      </c>
      <c r="DY474" s="71">
        <f>(Tradingbook_SBV[[#This Row],[MARKET_VALUE]]+Tradingbook_SBV[[#This Row],[Accr Int]]*Tradingbook_SBV[[#This Row],[Quantity_edited]])*(-Tradingbook_SBV[[#This Row],[Modified Duration]]*0.0001+0.5*Tradingbook_SBV[[#This Row],[Conv]]*(0.0001^2))</f>
        <v>0</v>
      </c>
      <c r="DZ474" s="71">
        <f>(Tradingbook_SBV[[#This Row],[MARKET_VALUE]]+Tradingbook_SBV[[#This Row],[Accr Int]]*Tradingbook_SBV[[#This Row],[Quantity_edited]])*(-Tradingbook_SBV[[#This Row],[Modified Duration]]*0.01+0.5*Tradingbook_SBV[[#This Row],[Conv]]*(0.01^2))</f>
        <v>0</v>
      </c>
    </row>
    <row r="475" spans="2:130" x14ac:dyDescent="0.3">
      <c r="B475" t="s">
        <v>166</v>
      </c>
      <c r="C475" t="s">
        <v>3301</v>
      </c>
      <c r="D475" t="s">
        <v>2499</v>
      </c>
      <c r="E475" t="s">
        <v>169</v>
      </c>
      <c r="F475" s="502">
        <v>48556</v>
      </c>
      <c r="G475" t="s">
        <v>170</v>
      </c>
      <c r="H475">
        <v>102776</v>
      </c>
      <c r="I475">
        <v>102776</v>
      </c>
      <c r="J475" s="38">
        <v>3000000</v>
      </c>
      <c r="K475">
        <v>300000000000</v>
      </c>
      <c r="L475">
        <v>113455.54</v>
      </c>
      <c r="M475" s="38">
        <v>308328000000</v>
      </c>
      <c r="N475">
        <v>4.8</v>
      </c>
      <c r="O475">
        <v>3327</v>
      </c>
      <c r="P475" s="37">
        <v>33600000000</v>
      </c>
      <c r="Q475" s="37">
        <v>35790480000.000015</v>
      </c>
      <c r="R475" s="37">
        <v>-37013646540.90284</v>
      </c>
      <c r="S475">
        <v>4.2844582180000002</v>
      </c>
      <c r="T475" s="70">
        <v>5.2075118900276998</v>
      </c>
      <c r="U475">
        <v>5.4306255600000002</v>
      </c>
      <c r="V475">
        <v>34.970870065762497</v>
      </c>
      <c r="W475">
        <v>111315.4267976281</v>
      </c>
      <c r="X475" s="38">
        <v>-165759.79022028099</v>
      </c>
      <c r="Y475">
        <v>36587.714999999997</v>
      </c>
      <c r="Z475" s="70">
        <v>-17454879310.344292</v>
      </c>
      <c r="AA475" s="70">
        <v>-32038620689.655159</v>
      </c>
      <c r="AB475" s="70">
        <v>-49493499999.999451</v>
      </c>
      <c r="AC475" s="70">
        <v>-49493499999.999451</v>
      </c>
      <c r="AD475" s="70">
        <v>-49493499999.999001</v>
      </c>
      <c r="AE475" s="70">
        <v>-49493499999.999451</v>
      </c>
      <c r="AF475">
        <v>2.8793559000000002</v>
      </c>
      <c r="AG475" s="72">
        <f>Tradingbook_MSB[[#This Row],[Mat. Date]]-RPT</f>
        <v>2304</v>
      </c>
      <c r="AH475" s="71">
        <f>IF(Tradingbook_MSB[[#This Row],[Days]]&lt;=0,0,YEARFRAC(RPT,Tradingbook_MSB[[#This Row],[Mat. Date]],3))</f>
        <v>6.3123287671232875</v>
      </c>
      <c r="AI475" s="71" t="str">
        <f>IF(Tradingbook_MSB[[#This Row],[Days (year)]]=0,0,INDEX(Ref!$K$2:$K$13,MATCH(Tradingbook_MSB[[#This Row],[Days (year)]],Ref!$I$2:$I$13,1)))</f>
        <v>7Y</v>
      </c>
      <c r="AJ475" s="120" t="str">
        <f>VLOOKUP(Tradingbook_MSB[[#This Row],[Security Name]],Ref!X:Z,3,0)</f>
        <v>TPCP</v>
      </c>
      <c r="AK475" s="120" t="str">
        <f>VLOOKUP(Tradingbook_MSB[[#This Row],[Security Name]],Ref!X:Y,2,0)</f>
        <v>KBNN</v>
      </c>
      <c r="AL475" s="71">
        <f>IF((Tradingbook_MSB[[#This Row],[Mat. Date]]-RPT)&lt;=0,0,Tradingbook_MSB[[#This Row],[QUANTITY]])</f>
        <v>3000000</v>
      </c>
      <c r="AM475" s="71">
        <f>IF(Tradingbook_MSB[[#This Row],[Quantity_edited]]=0,0,Tradingbook_MSB[[#This Row],[DURATION]])</f>
        <v>5.4306255600000002</v>
      </c>
      <c r="AN475" s="71">
        <f>IF(Tradingbook_MSB[[#This Row],[Quantity_edited]]=0,0,Tradingbook_MSB[[#This Row],[Mod Dur]])</f>
        <v>5.2075118900276998</v>
      </c>
      <c r="AO475" s="71">
        <f>IF(Tradingbook_MSB[[#This Row],[Quantity_edited]]=0,0,Tradingbook_MSB[[#This Row],[Cnvx.]])</f>
        <v>34.970870065762497</v>
      </c>
      <c r="AP475" s="71">
        <f>(Tradingbook_MSB[[#This Row],[MARKET_VALUE]]+Tradingbook_MSB[[#This Row],[Accr Int]]*Tradingbook_MSB[[#This Row],[Quantity_edited]])*(-Tradingbook_MSB[[#This Row],[Modified Duration]]*0.0001+0.5*Tradingbook_MSB[[#This Row],[Conv]]*(0.0001^2))</f>
        <v>-165704132.50688392</v>
      </c>
      <c r="AQ475" s="72">
        <f>(Tradingbook_MSB[[#This Row],[MARKET_VALUE]]+Tradingbook_MSB[[#This Row],[Accr Int]]*Tradingbook_MSB[[#This Row],[Quantity_edited]])*(-Tradingbook_MSB[[#This Row],[Modified Duration]]*0.01+0.5*Tradingbook_MSB[[#This Row],[Conv]]*(0.01^2))</f>
        <v>-16019401888.040131</v>
      </c>
      <c r="CL475" t="s">
        <v>166</v>
      </c>
      <c r="CM475" t="s">
        <v>3302</v>
      </c>
      <c r="CN475" t="s">
        <v>2831</v>
      </c>
      <c r="CO475" t="s">
        <v>169</v>
      </c>
      <c r="CP475">
        <v>49115</v>
      </c>
      <c r="CQ475" t="s">
        <v>3322</v>
      </c>
      <c r="CR475" t="s">
        <v>4388</v>
      </c>
      <c r="CS475" t="s">
        <v>4389</v>
      </c>
      <c r="CT475">
        <v>0</v>
      </c>
      <c r="CU475">
        <v>0</v>
      </c>
      <c r="CV475">
        <v>0</v>
      </c>
      <c r="CW475">
        <v>0</v>
      </c>
      <c r="CX475">
        <v>2.7</v>
      </c>
      <c r="CY475">
        <v>436</v>
      </c>
      <c r="CZ475">
        <v>1350000000</v>
      </c>
      <c r="DA475">
        <v>1434693750</v>
      </c>
      <c r="DB475">
        <v>-3781337367.3610749</v>
      </c>
      <c r="DC475">
        <v>4.3478352539999996</v>
      </c>
      <c r="DD475">
        <v>7</v>
      </c>
      <c r="DE475">
        <v>7</v>
      </c>
      <c r="DF475">
        <v>56</v>
      </c>
      <c r="DG475">
        <v>0</v>
      </c>
      <c r="DH475">
        <v>0</v>
      </c>
      <c r="DI475">
        <v>0</v>
      </c>
      <c r="DJ475">
        <v>4221500000</v>
      </c>
      <c r="DK475">
        <v>0</v>
      </c>
      <c r="DL475">
        <v>4221500000</v>
      </c>
      <c r="DM475">
        <v>4221500000</v>
      </c>
      <c r="DN475">
        <v>4221500000</v>
      </c>
      <c r="DO475">
        <v>4221500000</v>
      </c>
      <c r="DP475" s="32">
        <f>Tradingbook_SBV[[#This Row],[Mat. Date]]-RPT</f>
        <v>2863</v>
      </c>
      <c r="DQ475" s="32">
        <f>IF(Tradingbook_SBV[[#This Row],[Days]]&lt;=0,0,YEARFRAC(RPT,Tradingbook_SBV[[#This Row],[Mat. Date]],3))</f>
        <v>7.8438356164383558</v>
      </c>
      <c r="DR475" s="32" t="str">
        <f>IF(Tradingbook_SBV[[#This Row],[Days (year)]]=0,0,INDEX(Ref!$K$2:$K$13,MATCH(Tradingbook_SBV[[#This Row],[Days (year)]],Ref!$I$2:$I$13,1)))</f>
        <v>10Y</v>
      </c>
      <c r="DS475" s="32" t="str">
        <f>VLOOKUP(Tradingbook_SBV[[#This Row],[Security Name]],Ref!X:Z,3,0)</f>
        <v>TPCP</v>
      </c>
      <c r="DT475" s="32" t="str">
        <f>VLOOKUP(Tradingbook_SBV[[#This Row],[Security Name]],Ref!X:Y,2,0)</f>
        <v>KBNN</v>
      </c>
      <c r="DU475" s="71">
        <f>IF((Tradingbook_SBV[[#This Row],[Mat. Date]]-RPT)&lt;=0,0,Tradingbook_SBV[[#This Row],[QUANTITY]])</f>
        <v>0</v>
      </c>
      <c r="DV475" s="71">
        <f>IF(Tradingbook_SBV[[#This Row],[Quantity_edited]]=0,0,Tradingbook_SBV[[#This Row],[DURATION]])</f>
        <v>0</v>
      </c>
      <c r="DW475" s="71">
        <f>IF(Tradingbook_SBV[[#This Row],[Quantity_edited]]=0,0,Tradingbook_SBV[[#This Row],[Mod Dur]])</f>
        <v>0</v>
      </c>
      <c r="DX475" s="71">
        <f>IF(Tradingbook_SBV[[#This Row],[Quantity_edited]]=0,0,Tradingbook_SBV[[#This Row],[Cnvx.]])</f>
        <v>0</v>
      </c>
      <c r="DY475" s="71">
        <f>(Tradingbook_SBV[[#This Row],[MARKET_VALUE]]+Tradingbook_SBV[[#This Row],[Accr Int]]*Tradingbook_SBV[[#This Row],[Quantity_edited]])*(-Tradingbook_SBV[[#This Row],[Modified Duration]]*0.0001+0.5*Tradingbook_SBV[[#This Row],[Conv]]*(0.0001^2))</f>
        <v>0</v>
      </c>
      <c r="DZ475" s="71">
        <f>(Tradingbook_SBV[[#This Row],[MARKET_VALUE]]+Tradingbook_SBV[[#This Row],[Accr Int]]*Tradingbook_SBV[[#This Row],[Quantity_edited]])*(-Tradingbook_SBV[[#This Row],[Modified Duration]]*0.01+0.5*Tradingbook_SBV[[#This Row],[Conv]]*(0.01^2))</f>
        <v>0</v>
      </c>
    </row>
    <row r="476" spans="2:130" x14ac:dyDescent="0.3">
      <c r="B476" t="s">
        <v>166</v>
      </c>
      <c r="C476" t="s">
        <v>3301</v>
      </c>
      <c r="D476" t="s">
        <v>658</v>
      </c>
      <c r="E476" t="s">
        <v>169</v>
      </c>
      <c r="F476" s="502">
        <v>48573</v>
      </c>
      <c r="G476" t="s">
        <v>3322</v>
      </c>
      <c r="H476">
        <v>105949</v>
      </c>
      <c r="I476">
        <v>105949</v>
      </c>
      <c r="J476" s="38">
        <v>0</v>
      </c>
      <c r="K476">
        <v>0</v>
      </c>
      <c r="L476">
        <v>0</v>
      </c>
      <c r="M476" s="38">
        <v>0</v>
      </c>
      <c r="N476">
        <v>5.9</v>
      </c>
      <c r="O476">
        <v>3815</v>
      </c>
      <c r="P476" s="37">
        <v>11800000000</v>
      </c>
      <c r="Q476" s="37">
        <v>13697056500.000008</v>
      </c>
      <c r="R476" s="37">
        <v>-754377354.44441986</v>
      </c>
      <c r="S476">
        <v>4.786100974</v>
      </c>
      <c r="T476" s="70">
        <v>5.0807322089803</v>
      </c>
      <c r="U476">
        <v>5.32390118</v>
      </c>
      <c r="V476">
        <v>33.855629008986298</v>
      </c>
      <c r="W476">
        <v>0</v>
      </c>
      <c r="X476" s="38">
        <v>0</v>
      </c>
      <c r="Y476">
        <v>0</v>
      </c>
      <c r="Z476" s="70">
        <v>1954000000</v>
      </c>
      <c r="AA476" s="70">
        <v>0</v>
      </c>
      <c r="AB476" s="70">
        <v>1954000000</v>
      </c>
      <c r="AC476" s="70">
        <v>1954000000</v>
      </c>
      <c r="AD476" s="70">
        <v>1954000000</v>
      </c>
      <c r="AE476" s="70">
        <v>1954000000</v>
      </c>
      <c r="AF476">
        <v>0</v>
      </c>
      <c r="AG476" s="72">
        <f>Tradingbook_MSB[[#This Row],[Mat. Date]]-RPT</f>
        <v>2321</v>
      </c>
      <c r="AH476" s="71">
        <f>IF(Tradingbook_MSB[[#This Row],[Days]]&lt;=0,0,YEARFRAC(RPT,Tradingbook_MSB[[#This Row],[Mat. Date]],3))</f>
        <v>6.3589041095890408</v>
      </c>
      <c r="AI476" s="71" t="str">
        <f>IF(Tradingbook_MSB[[#This Row],[Days (year)]]=0,0,INDEX(Ref!$K$2:$K$13,MATCH(Tradingbook_MSB[[#This Row],[Days (year)]],Ref!$I$2:$I$13,1)))</f>
        <v>7Y</v>
      </c>
      <c r="AJ476" s="120" t="str">
        <f>VLOOKUP(Tradingbook_MSB[[#This Row],[Security Name]],Ref!X:Z,3,0)</f>
        <v>TPCPBL</v>
      </c>
      <c r="AK476" s="120" t="str">
        <f>VLOOKUP(Tradingbook_MSB[[#This Row],[Security Name]],Ref!X:Y,2,0)</f>
        <v>VDB</v>
      </c>
      <c r="AL476" s="71">
        <f>IF((Tradingbook_MSB[[#This Row],[Mat. Date]]-RPT)&lt;=0,0,Tradingbook_MSB[[#This Row],[QUANTITY]])</f>
        <v>0</v>
      </c>
      <c r="AM476" s="71">
        <f>IF(Tradingbook_MSB[[#This Row],[Quantity_edited]]=0,0,Tradingbook_MSB[[#This Row],[DURATION]])</f>
        <v>0</v>
      </c>
      <c r="AN476" s="71">
        <f>IF(Tradingbook_MSB[[#This Row],[Quantity_edited]]=0,0,Tradingbook_MSB[[#This Row],[Mod Dur]])</f>
        <v>0</v>
      </c>
      <c r="AO476" s="71">
        <f>IF(Tradingbook_MSB[[#This Row],[Quantity_edited]]=0,0,Tradingbook_MSB[[#This Row],[Cnvx.]])</f>
        <v>0</v>
      </c>
      <c r="AP476" s="71">
        <f>(Tradingbook_MSB[[#This Row],[MARKET_VALUE]]+Tradingbook_MSB[[#This Row],[Accr Int]]*Tradingbook_MSB[[#This Row],[Quantity_edited]])*(-Tradingbook_MSB[[#This Row],[Modified Duration]]*0.0001+0.5*Tradingbook_MSB[[#This Row],[Conv]]*(0.0001^2))</f>
        <v>0</v>
      </c>
      <c r="AQ476" s="72">
        <f>(Tradingbook_MSB[[#This Row],[MARKET_VALUE]]+Tradingbook_MSB[[#This Row],[Accr Int]]*Tradingbook_MSB[[#This Row],[Quantity_edited]])*(-Tradingbook_MSB[[#This Row],[Modified Duration]]*0.01+0.5*Tradingbook_MSB[[#This Row],[Conv]]*(0.01^2))</f>
        <v>0</v>
      </c>
      <c r="CL476" t="s">
        <v>166</v>
      </c>
      <c r="CM476" t="s">
        <v>3302</v>
      </c>
      <c r="CN476" t="s">
        <v>2834</v>
      </c>
      <c r="CO476" t="s">
        <v>169</v>
      </c>
      <c r="CP476">
        <v>49129</v>
      </c>
      <c r="CQ476" t="s">
        <v>170</v>
      </c>
      <c r="CR476" t="s">
        <v>4390</v>
      </c>
      <c r="CS476" t="s">
        <v>4391</v>
      </c>
      <c r="CT476">
        <v>5000000</v>
      </c>
      <c r="CU476">
        <v>500000000000</v>
      </c>
      <c r="CV476">
        <v>98349.451000000001</v>
      </c>
      <c r="CW476">
        <v>445940000000</v>
      </c>
      <c r="CX476">
        <v>2.7</v>
      </c>
      <c r="CY476">
        <v>333</v>
      </c>
      <c r="CZ476">
        <v>25650000000</v>
      </c>
      <c r="DA476">
        <v>26478918750</v>
      </c>
      <c r="DB476">
        <v>-28271799000.694496</v>
      </c>
      <c r="DC476">
        <v>4.3495893649999999</v>
      </c>
      <c r="DD476">
        <v>7</v>
      </c>
      <c r="DE476">
        <v>7</v>
      </c>
      <c r="DF476">
        <v>56</v>
      </c>
      <c r="DG476">
        <v>251606</v>
      </c>
      <c r="DH476">
        <v>-305735</v>
      </c>
      <c r="DI476">
        <v>52215</v>
      </c>
      <c r="DJ476">
        <v>-2408745098.0388675</v>
      </c>
      <c r="DK476">
        <v>-45807254901.96077</v>
      </c>
      <c r="DL476">
        <v>-48215999999.999634</v>
      </c>
      <c r="DM476">
        <v>-48215999999.999634</v>
      </c>
      <c r="DN476">
        <v>-48216000000</v>
      </c>
      <c r="DO476">
        <v>-48215999999.999634</v>
      </c>
      <c r="DP476" s="32">
        <f>Tradingbook_SBV[[#This Row],[Mat. Date]]-RPT</f>
        <v>2877</v>
      </c>
      <c r="DQ476" s="32">
        <f>IF(Tradingbook_SBV[[#This Row],[Days]]&lt;=0,0,YEARFRAC(RPT,Tradingbook_SBV[[#This Row],[Mat. Date]],3))</f>
        <v>7.882191780821918</v>
      </c>
      <c r="DR476" s="32" t="str">
        <f>IF(Tradingbook_SBV[[#This Row],[Days (year)]]=0,0,INDEX(Ref!$K$2:$K$13,MATCH(Tradingbook_SBV[[#This Row],[Days (year)]],Ref!$I$2:$I$13,1)))</f>
        <v>10Y</v>
      </c>
      <c r="DS476" s="32" t="str">
        <f>VLOOKUP(Tradingbook_SBV[[#This Row],[Security Name]],Ref!X:Z,3,0)</f>
        <v>TPCP</v>
      </c>
      <c r="DT476" s="32" t="str">
        <f>VLOOKUP(Tradingbook_SBV[[#This Row],[Security Name]],Ref!X:Y,2,0)</f>
        <v>KBNN</v>
      </c>
      <c r="DU476" s="71">
        <f>IF((Tradingbook_SBV[[#This Row],[Mat. Date]]-RPT)&lt;=0,0,Tradingbook_SBV[[#This Row],[QUANTITY]])</f>
        <v>5000000</v>
      </c>
      <c r="DV476" s="71">
        <f>IF(Tradingbook_SBV[[#This Row],[Quantity_edited]]=0,0,Tradingbook_SBV[[#This Row],[DURATION]])</f>
        <v>7</v>
      </c>
      <c r="DW476" s="71">
        <f>IF(Tradingbook_SBV[[#This Row],[Quantity_edited]]=0,0,Tradingbook_SBV[[#This Row],[Mod Dur]])</f>
        <v>7</v>
      </c>
      <c r="DX476" s="71">
        <f>IF(Tradingbook_SBV[[#This Row],[Quantity_edited]]=0,0,Tradingbook_SBV[[#This Row],[Cnvx.]])</f>
        <v>56</v>
      </c>
      <c r="DY476" s="71">
        <f>(Tradingbook_SBV[[#This Row],[MARKET_VALUE]]+Tradingbook_SBV[[#This Row],[Accr Int]]*Tradingbook_SBV[[#This Row],[Quantity_edited]])*(-Tradingbook_SBV[[#This Row],[Modified Duration]]*0.0001+0.5*Tradingbook_SBV[[#This Row],[Conv]]*(0.0001^2))</f>
        <v>-313198170.60000002</v>
      </c>
      <c r="DZ476" s="71">
        <f>(Tradingbook_SBV[[#This Row],[MARKET_VALUE]]+Tradingbook_SBV[[#This Row],[Accr Int]]*Tradingbook_SBV[[#This Row],[Quantity_edited]])*(-Tradingbook_SBV[[#This Row],[Modified Duration]]*0.01+0.5*Tradingbook_SBV[[#This Row],[Conv]]*(0.01^2))</f>
        <v>-30079056000.000004</v>
      </c>
    </row>
    <row r="477" spans="2:130" x14ac:dyDescent="0.3">
      <c r="B477" t="s">
        <v>166</v>
      </c>
      <c r="C477" t="s">
        <v>3301</v>
      </c>
      <c r="D477" t="s">
        <v>2381</v>
      </c>
      <c r="E477" t="s">
        <v>169</v>
      </c>
      <c r="F477" s="502">
        <v>48584</v>
      </c>
      <c r="G477" t="s">
        <v>170</v>
      </c>
      <c r="H477">
        <v>101145</v>
      </c>
      <c r="I477">
        <v>101145</v>
      </c>
      <c r="J477" s="38">
        <v>5000000</v>
      </c>
      <c r="K477">
        <v>500000000000</v>
      </c>
      <c r="L477">
        <v>112679.243</v>
      </c>
      <c r="M477" s="38">
        <v>505725000000</v>
      </c>
      <c r="N477">
        <v>4.5</v>
      </c>
      <c r="O477">
        <v>2774</v>
      </c>
      <c r="P477" s="37">
        <v>56250000000</v>
      </c>
      <c r="Q477" s="37">
        <v>59778328125.000031</v>
      </c>
      <c r="R477" s="37">
        <v>-58512121124.01384</v>
      </c>
      <c r="S477">
        <v>4.2870923760000004</v>
      </c>
      <c r="T477" s="70">
        <v>5.3195212281239002</v>
      </c>
      <c r="U477">
        <v>5.5475740199999999</v>
      </c>
      <c r="V477">
        <v>36.156815869633</v>
      </c>
      <c r="W477">
        <v>187869.0074178197</v>
      </c>
      <c r="X477" s="38">
        <v>-276399.66325270501</v>
      </c>
      <c r="Y477">
        <v>59760.296999999999</v>
      </c>
      <c r="Z477" s="70">
        <v>-11871586326.093618</v>
      </c>
      <c r="AA477" s="70">
        <v>-57671213673.906387</v>
      </c>
      <c r="AB477" s="70">
        <v>-69542800000</v>
      </c>
      <c r="AC477" s="70">
        <v>-69542800000</v>
      </c>
      <c r="AD477" s="70">
        <v>-69542800000</v>
      </c>
      <c r="AE477" s="70">
        <v>-69542800000</v>
      </c>
      <c r="AF477">
        <v>2.681354657</v>
      </c>
      <c r="AG477" s="72">
        <f>Tradingbook_MSB[[#This Row],[Mat. Date]]-RPT</f>
        <v>2332</v>
      </c>
      <c r="AH477" s="71">
        <f>IF(Tradingbook_MSB[[#This Row],[Days]]&lt;=0,0,YEARFRAC(RPT,Tradingbook_MSB[[#This Row],[Mat. Date]],3))</f>
        <v>6.3890410958904109</v>
      </c>
      <c r="AI477" s="71" t="str">
        <f>IF(Tradingbook_MSB[[#This Row],[Days (year)]]=0,0,INDEX(Ref!$K$2:$K$13,MATCH(Tradingbook_MSB[[#This Row],[Days (year)]],Ref!$I$2:$I$13,1)))</f>
        <v>7Y</v>
      </c>
      <c r="AJ477" s="120" t="str">
        <f>VLOOKUP(Tradingbook_MSB[[#This Row],[Security Name]],Ref!X:Z,3,0)</f>
        <v>TPCP</v>
      </c>
      <c r="AK477" s="120" t="str">
        <f>VLOOKUP(Tradingbook_MSB[[#This Row],[Security Name]],Ref!X:Y,2,0)</f>
        <v>KBNN</v>
      </c>
      <c r="AL477" s="71">
        <f>IF((Tradingbook_MSB[[#This Row],[Mat. Date]]-RPT)&lt;=0,0,Tradingbook_MSB[[#This Row],[QUANTITY]])</f>
        <v>5000000</v>
      </c>
      <c r="AM477" s="71">
        <f>IF(Tradingbook_MSB[[#This Row],[Quantity_edited]]=0,0,Tradingbook_MSB[[#This Row],[DURATION]])</f>
        <v>5.5475740199999999</v>
      </c>
      <c r="AN477" s="71">
        <f>IF(Tradingbook_MSB[[#This Row],[Quantity_edited]]=0,0,Tradingbook_MSB[[#This Row],[Mod Dur]])</f>
        <v>5.3195212281239002</v>
      </c>
      <c r="AO477" s="71">
        <f>IF(Tradingbook_MSB[[#This Row],[Quantity_edited]]=0,0,Tradingbook_MSB[[#This Row],[Cnvx.]])</f>
        <v>36.156815869633</v>
      </c>
      <c r="AP477" s="71">
        <f>(Tradingbook_MSB[[#This Row],[MARKET_VALUE]]+Tradingbook_MSB[[#This Row],[Accr Int]]*Tradingbook_MSB[[#This Row],[Quantity_edited]])*(-Tradingbook_MSB[[#This Row],[Modified Duration]]*0.0001+0.5*Tradingbook_MSB[[#This Row],[Conv]]*(0.0001^2))</f>
        <v>-276305728.74899495</v>
      </c>
      <c r="AQ477" s="72">
        <f>(Tradingbook_MSB[[#This Row],[MARKET_VALUE]]+Tradingbook_MSB[[#This Row],[Accr Int]]*Tradingbook_MSB[[#This Row],[Quantity_edited]])*(-Tradingbook_MSB[[#This Row],[Modified Duration]]*0.01+0.5*Tradingbook_MSB[[#This Row],[Conv]]*(0.01^2))</f>
        <v>-26700621288.181278</v>
      </c>
      <c r="CL477" t="s">
        <v>166</v>
      </c>
      <c r="CM477" t="s">
        <v>3302</v>
      </c>
      <c r="CN477" t="s">
        <v>2836</v>
      </c>
      <c r="CO477" t="s">
        <v>169</v>
      </c>
      <c r="CP477">
        <v>49143</v>
      </c>
      <c r="CQ477" t="s">
        <v>170</v>
      </c>
      <c r="CR477" t="s">
        <v>4392</v>
      </c>
      <c r="CS477" t="s">
        <v>4393</v>
      </c>
      <c r="CT477">
        <v>1000000</v>
      </c>
      <c r="CU477">
        <v>100000000000</v>
      </c>
      <c r="CV477">
        <v>98174.092000000004</v>
      </c>
      <c r="CW477">
        <v>89135000000</v>
      </c>
      <c r="CX477">
        <v>2.7</v>
      </c>
      <c r="CY477">
        <v>229</v>
      </c>
      <c r="CZ477">
        <v>13500000000</v>
      </c>
      <c r="DA477">
        <v>14155200000</v>
      </c>
      <c r="DB477">
        <v>-16423612210.000008</v>
      </c>
      <c r="DC477">
        <v>4.3513695300000004</v>
      </c>
      <c r="DD477">
        <v>7</v>
      </c>
      <c r="DE477">
        <v>7</v>
      </c>
      <c r="DF477">
        <v>57</v>
      </c>
      <c r="DG477">
        <v>50712</v>
      </c>
      <c r="DH477">
        <v>-61367</v>
      </c>
      <c r="DI477">
        <v>10429</v>
      </c>
      <c r="DJ477">
        <v>-3347708136.4829812</v>
      </c>
      <c r="DK477">
        <v>-9039091863.517067</v>
      </c>
      <c r="DL477">
        <v>-12386800000.000048</v>
      </c>
      <c r="DM477">
        <v>-12386800000.000048</v>
      </c>
      <c r="DN477">
        <v>-12386800000</v>
      </c>
      <c r="DO477">
        <v>-12386800000.000048</v>
      </c>
      <c r="DP477" s="32">
        <f>Tradingbook_SBV[[#This Row],[Mat. Date]]-RPT</f>
        <v>2891</v>
      </c>
      <c r="DQ477" s="32">
        <f>IF(Tradingbook_SBV[[#This Row],[Days]]&lt;=0,0,YEARFRAC(RPT,Tradingbook_SBV[[#This Row],[Mat. Date]],3))</f>
        <v>7.9205479452054792</v>
      </c>
      <c r="DR477" s="32" t="str">
        <f>IF(Tradingbook_SBV[[#This Row],[Days (year)]]=0,0,INDEX(Ref!$K$2:$K$13,MATCH(Tradingbook_SBV[[#This Row],[Days (year)]],Ref!$I$2:$I$13,1)))</f>
        <v>10Y</v>
      </c>
      <c r="DS477" s="32" t="str">
        <f>VLOOKUP(Tradingbook_SBV[[#This Row],[Security Name]],Ref!X:Z,3,0)</f>
        <v>TPCP</v>
      </c>
      <c r="DT477" s="32" t="str">
        <f>VLOOKUP(Tradingbook_SBV[[#This Row],[Security Name]],Ref!X:Y,2,0)</f>
        <v>KBNN</v>
      </c>
      <c r="DU477" s="71">
        <f>IF((Tradingbook_SBV[[#This Row],[Mat. Date]]-RPT)&lt;=0,0,Tradingbook_SBV[[#This Row],[QUANTITY]])</f>
        <v>1000000</v>
      </c>
      <c r="DV477" s="71">
        <f>IF(Tradingbook_SBV[[#This Row],[Quantity_edited]]=0,0,Tradingbook_SBV[[#This Row],[DURATION]])</f>
        <v>7</v>
      </c>
      <c r="DW477" s="71">
        <f>IF(Tradingbook_SBV[[#This Row],[Quantity_edited]]=0,0,Tradingbook_SBV[[#This Row],[Mod Dur]])</f>
        <v>7</v>
      </c>
      <c r="DX477" s="71">
        <f>IF(Tradingbook_SBV[[#This Row],[Quantity_edited]]=0,0,Tradingbook_SBV[[#This Row],[Cnvx.]])</f>
        <v>57</v>
      </c>
      <c r="DY477" s="71">
        <f>(Tradingbook_SBV[[#This Row],[MARKET_VALUE]]+Tradingbook_SBV[[#This Row],[Accr Int]]*Tradingbook_SBV[[#This Row],[Quantity_edited]])*(-Tradingbook_SBV[[#This Row],[Modified Duration]]*0.0001+0.5*Tradingbook_SBV[[#This Row],[Conv]]*(0.0001^2))</f>
        <v>-62529331.259999998</v>
      </c>
      <c r="DZ477" s="71">
        <f>(Tradingbook_SBV[[#This Row],[MARKET_VALUE]]+Tradingbook_SBV[[#This Row],[Accr Int]]*Tradingbook_SBV[[#This Row],[Quantity_edited]])*(-Tradingbook_SBV[[#This Row],[Modified Duration]]*0.01+0.5*Tradingbook_SBV[[#This Row],[Conv]]*(0.01^2))</f>
        <v>-6000792600</v>
      </c>
    </row>
    <row r="478" spans="2:130" x14ac:dyDescent="0.3">
      <c r="B478" t="s">
        <v>166</v>
      </c>
      <c r="C478" t="s">
        <v>3301</v>
      </c>
      <c r="D478" t="s">
        <v>660</v>
      </c>
      <c r="E478" t="s">
        <v>169</v>
      </c>
      <c r="F478" s="502">
        <v>48590</v>
      </c>
      <c r="G478" t="s">
        <v>170</v>
      </c>
      <c r="H478">
        <v>104987</v>
      </c>
      <c r="I478">
        <v>104987</v>
      </c>
      <c r="J478" s="38">
        <v>3600000</v>
      </c>
      <c r="K478">
        <v>360000000000</v>
      </c>
      <c r="L478">
        <v>114934.29399999999</v>
      </c>
      <c r="M478" s="38">
        <v>377953200000</v>
      </c>
      <c r="N478">
        <v>5.2</v>
      </c>
      <c r="O478">
        <v>3120</v>
      </c>
      <c r="P478" s="37">
        <v>73840000000</v>
      </c>
      <c r="Q478" s="37">
        <v>80369202333.333313</v>
      </c>
      <c r="R478" s="37">
        <v>-49638798022.585999</v>
      </c>
      <c r="S478">
        <v>4.287722488</v>
      </c>
      <c r="T478" s="70">
        <v>5.2470653083706997</v>
      </c>
      <c r="U478">
        <v>5.4720449100000002</v>
      </c>
      <c r="V478">
        <v>35.5466844143942</v>
      </c>
      <c r="W478">
        <v>138342.4348315289</v>
      </c>
      <c r="X478" s="38">
        <v>-204208.01614513199</v>
      </c>
      <c r="Y478">
        <v>44767.889000000003</v>
      </c>
      <c r="Z478" s="70">
        <v>-53368687429.599495</v>
      </c>
      <c r="AA478" s="70">
        <v>-35810257266.400223</v>
      </c>
      <c r="AB478" s="70">
        <v>-89178944695.999725</v>
      </c>
      <c r="AC478" s="70">
        <v>-89178944695.999725</v>
      </c>
      <c r="AD478" s="70">
        <v>-89178944696</v>
      </c>
      <c r="AE478" s="70">
        <v>-89178944695.999725</v>
      </c>
      <c r="AF478">
        <v>3.0118623680000001</v>
      </c>
      <c r="AG478" s="72">
        <f>Tradingbook_MSB[[#This Row],[Mat. Date]]-RPT</f>
        <v>2338</v>
      </c>
      <c r="AH478" s="71">
        <f>IF(Tradingbook_MSB[[#This Row],[Days]]&lt;=0,0,YEARFRAC(RPT,Tradingbook_MSB[[#This Row],[Mat. Date]],3))</f>
        <v>6.4054794520547942</v>
      </c>
      <c r="AI478" s="71" t="str">
        <f>IF(Tradingbook_MSB[[#This Row],[Days (year)]]=0,0,INDEX(Ref!$K$2:$K$13,MATCH(Tradingbook_MSB[[#This Row],[Days (year)]],Ref!$I$2:$I$13,1)))</f>
        <v>7Y</v>
      </c>
      <c r="AJ478" s="120" t="str">
        <f>VLOOKUP(Tradingbook_MSB[[#This Row],[Security Name]],Ref!X:Z,3,0)</f>
        <v>TPCP</v>
      </c>
      <c r="AK478" s="120" t="str">
        <f>VLOOKUP(Tradingbook_MSB[[#This Row],[Security Name]],Ref!X:Y,2,0)</f>
        <v>KBNN</v>
      </c>
      <c r="AL478" s="71">
        <f>IF((Tradingbook_MSB[[#This Row],[Mat. Date]]-RPT)&lt;=0,0,Tradingbook_MSB[[#This Row],[QUANTITY]])</f>
        <v>3600000</v>
      </c>
      <c r="AM478" s="71">
        <f>IF(Tradingbook_MSB[[#This Row],[Quantity_edited]]=0,0,Tradingbook_MSB[[#This Row],[DURATION]])</f>
        <v>5.4720449100000002</v>
      </c>
      <c r="AN478" s="71">
        <f>IF(Tradingbook_MSB[[#This Row],[Quantity_edited]]=0,0,Tradingbook_MSB[[#This Row],[Mod Dur]])</f>
        <v>5.2470653083706997</v>
      </c>
      <c r="AO478" s="71">
        <f>IF(Tradingbook_MSB[[#This Row],[Quantity_edited]]=0,0,Tradingbook_MSB[[#This Row],[Cnvx.]])</f>
        <v>35.5466844143942</v>
      </c>
      <c r="AP478" s="71">
        <f>(Tradingbook_MSB[[#This Row],[MARKET_VALUE]]+Tradingbook_MSB[[#This Row],[Accr Int]]*Tradingbook_MSB[[#This Row],[Quantity_edited]])*(-Tradingbook_MSB[[#This Row],[Modified Duration]]*0.0001+0.5*Tradingbook_MSB[[#This Row],[Conv]]*(0.0001^2))</f>
        <v>-204138844.92771551</v>
      </c>
      <c r="AQ478" s="72">
        <f>(Tradingbook_MSB[[#This Row],[MARKET_VALUE]]+Tradingbook_MSB[[#This Row],[Accr Int]]*Tradingbook_MSB[[#This Row],[Quantity_edited]])*(-Tradingbook_MSB[[#This Row],[Modified Duration]]*0.01+0.5*Tradingbook_MSB[[#This Row],[Conv]]*(0.01^2))</f>
        <v>-19729089440.35548</v>
      </c>
      <c r="CL478" t="s">
        <v>166</v>
      </c>
      <c r="CM478" t="s">
        <v>3302</v>
      </c>
      <c r="CN478" t="s">
        <v>2839</v>
      </c>
      <c r="CO478" t="s">
        <v>169</v>
      </c>
      <c r="CP478">
        <v>49171</v>
      </c>
      <c r="CQ478" t="s">
        <v>170</v>
      </c>
      <c r="CR478" t="s">
        <v>4394</v>
      </c>
      <c r="CS478" t="s">
        <v>4395</v>
      </c>
      <c r="CT478">
        <v>5500000</v>
      </c>
      <c r="CU478">
        <v>550000000000</v>
      </c>
      <c r="CV478">
        <v>98410.938999999998</v>
      </c>
      <c r="CW478">
        <v>489659500000</v>
      </c>
      <c r="CX478">
        <v>2.7</v>
      </c>
      <c r="CY478">
        <v>22</v>
      </c>
      <c r="CZ478">
        <v>24300000000</v>
      </c>
      <c r="DA478">
        <v>24831105000</v>
      </c>
      <c r="DB478">
        <v>-29865552266.666729</v>
      </c>
      <c r="DC478">
        <v>4.3548451960000003</v>
      </c>
      <c r="DD478">
        <v>7</v>
      </c>
      <c r="DE478">
        <v>7</v>
      </c>
      <c r="DF478">
        <v>58</v>
      </c>
      <c r="DG478">
        <v>283232</v>
      </c>
      <c r="DH478">
        <v>-339919</v>
      </c>
      <c r="DI478">
        <v>57203</v>
      </c>
      <c r="DJ478">
        <v>-4215336734.6938977</v>
      </c>
      <c r="DK478">
        <v>-51600663265.306137</v>
      </c>
      <c r="DL478">
        <v>-55816000000.000038</v>
      </c>
      <c r="DM478">
        <v>-55816000000.000038</v>
      </c>
      <c r="DN478">
        <v>-55816000000</v>
      </c>
      <c r="DO478">
        <v>-55816000000.000038</v>
      </c>
      <c r="DP478" s="32">
        <f>Tradingbook_SBV[[#This Row],[Mat. Date]]-RPT</f>
        <v>2919</v>
      </c>
      <c r="DQ478" s="32">
        <f>IF(Tradingbook_SBV[[#This Row],[Days]]&lt;=0,0,YEARFRAC(RPT,Tradingbook_SBV[[#This Row],[Mat. Date]],3))</f>
        <v>7.9972602739726026</v>
      </c>
      <c r="DR478" s="32" t="str">
        <f>IF(Tradingbook_SBV[[#This Row],[Days (year)]]=0,0,INDEX(Ref!$K$2:$K$13,MATCH(Tradingbook_SBV[[#This Row],[Days (year)]],Ref!$I$2:$I$13,1)))</f>
        <v>10Y</v>
      </c>
      <c r="DS478" s="32" t="str">
        <f>VLOOKUP(Tradingbook_SBV[[#This Row],[Security Name]],Ref!X:Z,3,0)</f>
        <v>TPCP</v>
      </c>
      <c r="DT478" s="32" t="str">
        <f>VLOOKUP(Tradingbook_SBV[[#This Row],[Security Name]],Ref!X:Y,2,0)</f>
        <v>KBNN</v>
      </c>
      <c r="DU478" s="71">
        <f>IF((Tradingbook_SBV[[#This Row],[Mat. Date]]-RPT)&lt;=0,0,Tradingbook_SBV[[#This Row],[QUANTITY]])</f>
        <v>5500000</v>
      </c>
      <c r="DV478" s="71">
        <f>IF(Tradingbook_SBV[[#This Row],[Quantity_edited]]=0,0,Tradingbook_SBV[[#This Row],[DURATION]])</f>
        <v>7</v>
      </c>
      <c r="DW478" s="71">
        <f>IF(Tradingbook_SBV[[#This Row],[Quantity_edited]]=0,0,Tradingbook_SBV[[#This Row],[Mod Dur]])</f>
        <v>7</v>
      </c>
      <c r="DX478" s="71">
        <f>IF(Tradingbook_SBV[[#This Row],[Quantity_edited]]=0,0,Tradingbook_SBV[[#This Row],[Cnvx.]])</f>
        <v>58</v>
      </c>
      <c r="DY478" s="71">
        <f>(Tradingbook_SBV[[#This Row],[MARKET_VALUE]]+Tradingbook_SBV[[#This Row],[Accr Int]]*Tradingbook_SBV[[#This Row],[Quantity_edited]])*(-Tradingbook_SBV[[#This Row],[Modified Duration]]*0.0001+0.5*Tradingbook_SBV[[#This Row],[Conv]]*(0.0001^2))</f>
        <v>-342704313.65499997</v>
      </c>
      <c r="DZ478" s="71">
        <f>(Tradingbook_SBV[[#This Row],[MARKET_VALUE]]+Tradingbook_SBV[[#This Row],[Accr Int]]*Tradingbook_SBV[[#This Row],[Quantity_edited]])*(-Tradingbook_SBV[[#This Row],[Modified Duration]]*0.01+0.5*Tradingbook_SBV[[#This Row],[Conv]]*(0.01^2))</f>
        <v>-32864271550.000004</v>
      </c>
    </row>
    <row r="479" spans="2:130" x14ac:dyDescent="0.3">
      <c r="B479" t="s">
        <v>166</v>
      </c>
      <c r="C479" t="s">
        <v>3301</v>
      </c>
      <c r="D479" t="s">
        <v>2385</v>
      </c>
      <c r="E479" t="s">
        <v>169</v>
      </c>
      <c r="F479" s="502">
        <v>48612</v>
      </c>
      <c r="G479" t="s">
        <v>170</v>
      </c>
      <c r="H479">
        <v>99480</v>
      </c>
      <c r="I479">
        <v>99480</v>
      </c>
      <c r="J479" s="38">
        <v>1000000</v>
      </c>
      <c r="K479">
        <v>100000000000</v>
      </c>
      <c r="L479">
        <v>109499.963</v>
      </c>
      <c r="M479" s="38">
        <v>99480000000</v>
      </c>
      <c r="N479">
        <v>4.2</v>
      </c>
      <c r="O479">
        <v>2267</v>
      </c>
      <c r="P479" s="37">
        <v>12600000000</v>
      </c>
      <c r="Q479" s="37">
        <v>13386035833.333344</v>
      </c>
      <c r="R479" s="37">
        <v>-13099909074.444441</v>
      </c>
      <c r="S479">
        <v>4.2898791599999999</v>
      </c>
      <c r="T479" s="70">
        <v>5.4329029996482001</v>
      </c>
      <c r="U479">
        <v>5.6659679699999996</v>
      </c>
      <c r="V479">
        <v>37.377323537438301</v>
      </c>
      <c r="W479">
        <v>38030.305379637299</v>
      </c>
      <c r="X479" s="38">
        <v>-55278.158150520998</v>
      </c>
      <c r="Y479">
        <v>11709.700999999999</v>
      </c>
      <c r="Z479" s="70">
        <v>-2572037037.0368762</v>
      </c>
      <c r="AA479" s="70">
        <v>-10019962962.962963</v>
      </c>
      <c r="AB479" s="70">
        <v>-12591999999.99984</v>
      </c>
      <c r="AC479" s="70">
        <v>-12591999999.99984</v>
      </c>
      <c r="AD479" s="70">
        <v>-12592000000</v>
      </c>
      <c r="AE479" s="70">
        <v>-12591999999.99984</v>
      </c>
      <c r="AF479">
        <v>2.8688795819999999</v>
      </c>
      <c r="AG479" s="72">
        <f>Tradingbook_MSB[[#This Row],[Mat. Date]]-RPT</f>
        <v>2360</v>
      </c>
      <c r="AH479" s="71">
        <f>IF(Tradingbook_MSB[[#This Row],[Days]]&lt;=0,0,YEARFRAC(RPT,Tradingbook_MSB[[#This Row],[Mat. Date]],3))</f>
        <v>6.4657534246575343</v>
      </c>
      <c r="AI479" s="71" t="str">
        <f>IF(Tradingbook_MSB[[#This Row],[Days (year)]]=0,0,INDEX(Ref!$K$2:$K$13,MATCH(Tradingbook_MSB[[#This Row],[Days (year)]],Ref!$I$2:$I$13,1)))</f>
        <v>7Y</v>
      </c>
      <c r="AJ479" s="120" t="str">
        <f>VLOOKUP(Tradingbook_MSB[[#This Row],[Security Name]],Ref!X:Z,3,0)</f>
        <v>TPCP</v>
      </c>
      <c r="AK479" s="120" t="str">
        <f>VLOOKUP(Tradingbook_MSB[[#This Row],[Security Name]],Ref!X:Y,2,0)</f>
        <v>KBNN</v>
      </c>
      <c r="AL479" s="71">
        <f>IF((Tradingbook_MSB[[#This Row],[Mat. Date]]-RPT)&lt;=0,0,Tradingbook_MSB[[#This Row],[QUANTITY]])</f>
        <v>1000000</v>
      </c>
      <c r="AM479" s="71">
        <f>IF(Tradingbook_MSB[[#This Row],[Quantity_edited]]=0,0,Tradingbook_MSB[[#This Row],[DURATION]])</f>
        <v>5.6659679699999996</v>
      </c>
      <c r="AN479" s="71">
        <f>IF(Tradingbook_MSB[[#This Row],[Quantity_edited]]=0,0,Tradingbook_MSB[[#This Row],[Mod Dur]])</f>
        <v>5.4329029996482001</v>
      </c>
      <c r="AO479" s="71">
        <f>IF(Tradingbook_MSB[[#This Row],[Quantity_edited]]=0,0,Tradingbook_MSB[[#This Row],[Cnvx.]])</f>
        <v>37.377323537438301</v>
      </c>
      <c r="AP479" s="71">
        <f>(Tradingbook_MSB[[#This Row],[MARKET_VALUE]]+Tradingbook_MSB[[#This Row],[Accr Int]]*Tradingbook_MSB[[#This Row],[Quantity_edited]])*(-Tradingbook_MSB[[#This Row],[Modified Duration]]*0.0001+0.5*Tradingbook_MSB[[#This Row],[Conv]]*(0.0001^2))</f>
        <v>-55259142.997830726</v>
      </c>
      <c r="AQ479" s="72">
        <f>(Tradingbook_MSB[[#This Row],[MARKET_VALUE]]+Tradingbook_MSB[[#This Row],[Accr Int]]*Tradingbook_MSB[[#This Row],[Quantity_edited]])*(-Tradingbook_MSB[[#This Row],[Modified Duration]]*0.01+0.5*Tradingbook_MSB[[#This Row],[Conv]]*(0.01^2))</f>
        <v>-5337664288.1538677</v>
      </c>
      <c r="CL479" t="s">
        <v>166</v>
      </c>
      <c r="CM479" t="s">
        <v>3302</v>
      </c>
      <c r="CN479" t="s">
        <v>2862</v>
      </c>
      <c r="CO479" t="s">
        <v>169</v>
      </c>
      <c r="CP479">
        <v>49213</v>
      </c>
      <c r="CQ479" t="s">
        <v>170</v>
      </c>
      <c r="CR479" t="s">
        <v>4396</v>
      </c>
      <c r="CS479" t="s">
        <v>4397</v>
      </c>
      <c r="CT479">
        <v>500000</v>
      </c>
      <c r="CU479">
        <v>50000000000</v>
      </c>
      <c r="CV479">
        <v>97829.429000000004</v>
      </c>
      <c r="CW479">
        <v>44093500000</v>
      </c>
      <c r="CX479">
        <v>2.6</v>
      </c>
      <c r="CY479">
        <v>2322</v>
      </c>
      <c r="CZ479">
        <v>5200000000</v>
      </c>
      <c r="DA479">
        <v>5463026111.1111126</v>
      </c>
      <c r="DB479">
        <v>-13166629235.416685</v>
      </c>
      <c r="DC479">
        <v>4.3603031540000003</v>
      </c>
      <c r="DD479">
        <v>7</v>
      </c>
      <c r="DE479">
        <v>7</v>
      </c>
      <c r="DF479">
        <v>58</v>
      </c>
      <c r="DG479">
        <v>26253</v>
      </c>
      <c r="DH479">
        <v>-31099</v>
      </c>
      <c r="DI479">
        <v>5292</v>
      </c>
      <c r="DJ479">
        <v>-4527785714.2857103</v>
      </c>
      <c r="DK479">
        <v>-4821214285.714283</v>
      </c>
      <c r="DL479">
        <v>-9348999999.9999924</v>
      </c>
      <c r="DM479">
        <v>-9348999999.9999924</v>
      </c>
      <c r="DN479">
        <v>-9349000000</v>
      </c>
      <c r="DO479">
        <v>-9348999999.9999924</v>
      </c>
      <c r="DP479" s="32">
        <f>Tradingbook_SBV[[#This Row],[Mat. Date]]-RPT</f>
        <v>2961</v>
      </c>
      <c r="DQ479" s="32">
        <f>IF(Tradingbook_SBV[[#This Row],[Days]]&lt;=0,0,YEARFRAC(RPT,Tradingbook_SBV[[#This Row],[Mat. Date]],3))</f>
        <v>8.1123287671232873</v>
      </c>
      <c r="DR479" s="32" t="str">
        <f>IF(Tradingbook_SBV[[#This Row],[Days (year)]]=0,0,INDEX(Ref!$K$2:$K$13,MATCH(Tradingbook_SBV[[#This Row],[Days (year)]],Ref!$I$2:$I$13,1)))</f>
        <v>10Y</v>
      </c>
      <c r="DS479" s="32" t="str">
        <f>VLOOKUP(Tradingbook_SBV[[#This Row],[Security Name]],Ref!X:Z,3,0)</f>
        <v>TPCP</v>
      </c>
      <c r="DT479" s="32" t="str">
        <f>VLOOKUP(Tradingbook_SBV[[#This Row],[Security Name]],Ref!X:Y,2,0)</f>
        <v>KBNN</v>
      </c>
      <c r="DU479" s="71">
        <f>IF((Tradingbook_SBV[[#This Row],[Mat. Date]]-RPT)&lt;=0,0,Tradingbook_SBV[[#This Row],[QUANTITY]])</f>
        <v>500000</v>
      </c>
      <c r="DV479" s="71">
        <f>IF(Tradingbook_SBV[[#This Row],[Quantity_edited]]=0,0,Tradingbook_SBV[[#This Row],[DURATION]])</f>
        <v>7</v>
      </c>
      <c r="DW479" s="71">
        <f>IF(Tradingbook_SBV[[#This Row],[Quantity_edited]]=0,0,Tradingbook_SBV[[#This Row],[Mod Dur]])</f>
        <v>7</v>
      </c>
      <c r="DX479" s="71">
        <f>IF(Tradingbook_SBV[[#This Row],[Quantity_edited]]=0,0,Tradingbook_SBV[[#This Row],[Cnvx.]])</f>
        <v>58</v>
      </c>
      <c r="DY479" s="71">
        <f>(Tradingbook_SBV[[#This Row],[MARKET_VALUE]]+Tradingbook_SBV[[#This Row],[Accr Int]]*Tradingbook_SBV[[#This Row],[Quantity_edited]])*(-Tradingbook_SBV[[#This Row],[Modified Duration]]*0.0001+0.5*Tradingbook_SBV[[#This Row],[Conv]]*(0.0001^2))</f>
        <v>-31665026.195</v>
      </c>
      <c r="DZ479" s="71">
        <f>(Tradingbook_SBV[[#This Row],[MARKET_VALUE]]+Tradingbook_SBV[[#This Row],[Accr Int]]*Tradingbook_SBV[[#This Row],[Quantity_edited]])*(-Tradingbook_SBV[[#This Row],[Modified Duration]]*0.01+0.5*Tradingbook_SBV[[#This Row],[Conv]]*(0.01^2))</f>
        <v>-3036576950.0000005</v>
      </c>
    </row>
    <row r="480" spans="2:130" x14ac:dyDescent="0.3">
      <c r="B480" t="s">
        <v>166</v>
      </c>
      <c r="C480" t="s">
        <v>3301</v>
      </c>
      <c r="D480" t="s">
        <v>2398</v>
      </c>
      <c r="E480" t="s">
        <v>169</v>
      </c>
      <c r="F480" s="502">
        <v>48633</v>
      </c>
      <c r="G480" t="s">
        <v>170</v>
      </c>
      <c r="H480">
        <v>98907</v>
      </c>
      <c r="I480">
        <v>98907</v>
      </c>
      <c r="J480" s="38">
        <v>500000</v>
      </c>
      <c r="K480">
        <v>50000000000</v>
      </c>
      <c r="L480">
        <v>110081.87</v>
      </c>
      <c r="M480" s="38">
        <v>49453500000</v>
      </c>
      <c r="N480">
        <v>4.0999999999999996</v>
      </c>
      <c r="O480">
        <v>1977</v>
      </c>
      <c r="P480" s="37">
        <v>10250000000</v>
      </c>
      <c r="Q480" s="37">
        <v>10969248194.44445</v>
      </c>
      <c r="R480" s="37">
        <v>-7251970123.1861</v>
      </c>
      <c r="S480">
        <v>4.2919382419999996</v>
      </c>
      <c r="T480" s="70">
        <v>5.5015768327657</v>
      </c>
      <c r="U480">
        <v>5.7377011099999997</v>
      </c>
      <c r="V480">
        <v>38.156695056873701</v>
      </c>
      <c r="W480">
        <v>19247.0001205882</v>
      </c>
      <c r="X480" s="38">
        <v>-27751.053859837</v>
      </c>
      <c r="Y480">
        <v>5807.9189999999999</v>
      </c>
      <c r="Z480" s="70">
        <v>426814839.55455321</v>
      </c>
      <c r="AA480" s="70">
        <v>-5587434839.5546837</v>
      </c>
      <c r="AB480" s="70">
        <v>-5160620000.0001307</v>
      </c>
      <c r="AC480" s="70">
        <v>-5160620000.0001307</v>
      </c>
      <c r="AD480" s="70">
        <v>-5160620000</v>
      </c>
      <c r="AE480" s="70">
        <v>-5160620000.0001307</v>
      </c>
      <c r="AF480">
        <v>2.7842553379999999</v>
      </c>
      <c r="AG480" s="72">
        <f>Tradingbook_MSB[[#This Row],[Mat. Date]]-RPT</f>
        <v>2381</v>
      </c>
      <c r="AH480" s="71">
        <f>IF(Tradingbook_MSB[[#This Row],[Days]]&lt;=0,0,YEARFRAC(RPT,Tradingbook_MSB[[#This Row],[Mat. Date]],3))</f>
        <v>6.5232876712328771</v>
      </c>
      <c r="AI480" s="71" t="str">
        <f>IF(Tradingbook_MSB[[#This Row],[Days (year)]]=0,0,INDEX(Ref!$K$2:$K$13,MATCH(Tradingbook_MSB[[#This Row],[Days (year)]],Ref!$I$2:$I$13,1)))</f>
        <v>7Y</v>
      </c>
      <c r="AJ480" s="120" t="str">
        <f>VLOOKUP(Tradingbook_MSB[[#This Row],[Security Name]],Ref!X:Z,3,0)</f>
        <v>TPCP</v>
      </c>
      <c r="AK480" s="120" t="str">
        <f>VLOOKUP(Tradingbook_MSB[[#This Row],[Security Name]],Ref!X:Y,2,0)</f>
        <v>KBNN</v>
      </c>
      <c r="AL480" s="71">
        <f>IF((Tradingbook_MSB[[#This Row],[Mat. Date]]-RPT)&lt;=0,0,Tradingbook_MSB[[#This Row],[QUANTITY]])</f>
        <v>500000</v>
      </c>
      <c r="AM480" s="71">
        <f>IF(Tradingbook_MSB[[#This Row],[Quantity_edited]]=0,0,Tradingbook_MSB[[#This Row],[DURATION]])</f>
        <v>5.7377011099999997</v>
      </c>
      <c r="AN480" s="71">
        <f>IF(Tradingbook_MSB[[#This Row],[Quantity_edited]]=0,0,Tradingbook_MSB[[#This Row],[Mod Dur]])</f>
        <v>5.5015768327657</v>
      </c>
      <c r="AO480" s="71">
        <f>IF(Tradingbook_MSB[[#This Row],[Quantity_edited]]=0,0,Tradingbook_MSB[[#This Row],[Cnvx.]])</f>
        <v>38.156695056873701</v>
      </c>
      <c r="AP480" s="71">
        <f>(Tradingbook_MSB[[#This Row],[MARKET_VALUE]]+Tradingbook_MSB[[#This Row],[Accr Int]]*Tradingbook_MSB[[#This Row],[Quantity_edited]])*(-Tradingbook_MSB[[#This Row],[Modified Duration]]*0.0001+0.5*Tradingbook_MSB[[#This Row],[Conv]]*(0.0001^2))</f>
        <v>-27741430.359776448</v>
      </c>
      <c r="AQ480" s="72">
        <f>(Tradingbook_MSB[[#This Row],[MARKET_VALUE]]+Tradingbook_MSB[[#This Row],[Accr Int]]*Tradingbook_MSB[[#This Row],[Quantity_edited]])*(-Tradingbook_MSB[[#This Row],[Modified Duration]]*0.01+0.5*Tradingbook_MSB[[#This Row],[Conv]]*(0.01^2))</f>
        <v>-2678870385.380733</v>
      </c>
      <c r="CL480" t="s">
        <v>166</v>
      </c>
      <c r="CM480" t="s">
        <v>3302</v>
      </c>
      <c r="CN480" t="s">
        <v>678</v>
      </c>
      <c r="CO480" t="s">
        <v>169</v>
      </c>
      <c r="CP480">
        <v>49297</v>
      </c>
      <c r="CQ480" t="s">
        <v>3322</v>
      </c>
      <c r="CR480" t="s">
        <v>4398</v>
      </c>
      <c r="CS480" t="s">
        <v>4399</v>
      </c>
      <c r="CT480">
        <v>0</v>
      </c>
      <c r="CU480">
        <v>0</v>
      </c>
      <c r="CV480">
        <v>0</v>
      </c>
      <c r="CW480">
        <v>0</v>
      </c>
      <c r="CX480">
        <v>3.6</v>
      </c>
      <c r="CY480">
        <v>2387</v>
      </c>
      <c r="CZ480">
        <v>1800000000</v>
      </c>
      <c r="DA480">
        <v>2089432749.9999981</v>
      </c>
      <c r="DB480">
        <v>466872625.34722328</v>
      </c>
      <c r="DC480">
        <v>4.3708445759999996</v>
      </c>
      <c r="DD480">
        <v>7</v>
      </c>
      <c r="DE480">
        <v>7</v>
      </c>
      <c r="DF480">
        <v>58</v>
      </c>
      <c r="DG480">
        <v>0</v>
      </c>
      <c r="DH480">
        <v>0</v>
      </c>
      <c r="DI480">
        <v>0</v>
      </c>
      <c r="DJ480">
        <v>4891000000</v>
      </c>
      <c r="DK480">
        <v>0</v>
      </c>
      <c r="DL480">
        <v>4891000000</v>
      </c>
      <c r="DM480">
        <v>4891000000</v>
      </c>
      <c r="DN480">
        <v>4891000000</v>
      </c>
      <c r="DO480">
        <v>4891000000</v>
      </c>
      <c r="DP480" s="32">
        <f>Tradingbook_SBV[[#This Row],[Mat. Date]]-RPT</f>
        <v>3045</v>
      </c>
      <c r="DQ480" s="32">
        <f>IF(Tradingbook_SBV[[#This Row],[Days]]&lt;=0,0,YEARFRAC(RPT,Tradingbook_SBV[[#This Row],[Mat. Date]],3))</f>
        <v>8.3424657534246567</v>
      </c>
      <c r="DR480" s="32" t="str">
        <f>IF(Tradingbook_SBV[[#This Row],[Days (year)]]=0,0,INDEX(Ref!$K$2:$K$13,MATCH(Tradingbook_SBV[[#This Row],[Days (year)]],Ref!$I$2:$I$13,1)))</f>
        <v>10Y</v>
      </c>
      <c r="DS480" s="32" t="str">
        <f>VLOOKUP(Tradingbook_SBV[[#This Row],[Security Name]],Ref!X:Z,3,0)</f>
        <v>TPCP</v>
      </c>
      <c r="DT480" s="32" t="str">
        <f>VLOOKUP(Tradingbook_SBV[[#This Row],[Security Name]],Ref!X:Y,2,0)</f>
        <v>KBNN</v>
      </c>
      <c r="DU480" s="71">
        <f>IF((Tradingbook_SBV[[#This Row],[Mat. Date]]-RPT)&lt;=0,0,Tradingbook_SBV[[#This Row],[QUANTITY]])</f>
        <v>0</v>
      </c>
      <c r="DV480" s="71">
        <f>IF(Tradingbook_SBV[[#This Row],[Quantity_edited]]=0,0,Tradingbook_SBV[[#This Row],[DURATION]])</f>
        <v>0</v>
      </c>
      <c r="DW480" s="71">
        <f>IF(Tradingbook_SBV[[#This Row],[Quantity_edited]]=0,0,Tradingbook_SBV[[#This Row],[Mod Dur]])</f>
        <v>0</v>
      </c>
      <c r="DX480" s="71">
        <f>IF(Tradingbook_SBV[[#This Row],[Quantity_edited]]=0,0,Tradingbook_SBV[[#This Row],[Cnvx.]])</f>
        <v>0</v>
      </c>
      <c r="DY480" s="71">
        <f>(Tradingbook_SBV[[#This Row],[MARKET_VALUE]]+Tradingbook_SBV[[#This Row],[Accr Int]]*Tradingbook_SBV[[#This Row],[Quantity_edited]])*(-Tradingbook_SBV[[#This Row],[Modified Duration]]*0.0001+0.5*Tradingbook_SBV[[#This Row],[Conv]]*(0.0001^2))</f>
        <v>0</v>
      </c>
      <c r="DZ480" s="71">
        <f>(Tradingbook_SBV[[#This Row],[MARKET_VALUE]]+Tradingbook_SBV[[#This Row],[Accr Int]]*Tradingbook_SBV[[#This Row],[Quantity_edited]])*(-Tradingbook_SBV[[#This Row],[Modified Duration]]*0.01+0.5*Tradingbook_SBV[[#This Row],[Conv]]*(0.01^2))</f>
        <v>0</v>
      </c>
    </row>
    <row r="481" spans="2:130" x14ac:dyDescent="0.3">
      <c r="B481" t="s">
        <v>166</v>
      </c>
      <c r="C481" t="s">
        <v>3301</v>
      </c>
      <c r="D481" t="s">
        <v>2502</v>
      </c>
      <c r="E481" t="s">
        <v>169</v>
      </c>
      <c r="F481" s="502">
        <v>48682</v>
      </c>
      <c r="G481" t="s">
        <v>170</v>
      </c>
      <c r="H481">
        <v>93755</v>
      </c>
      <c r="I481">
        <v>93755</v>
      </c>
      <c r="J481" s="38">
        <v>500000</v>
      </c>
      <c r="K481">
        <v>50000000000</v>
      </c>
      <c r="L481">
        <v>104582.209</v>
      </c>
      <c r="M481" s="38">
        <v>46877500000</v>
      </c>
      <c r="N481">
        <v>3.2</v>
      </c>
      <c r="O481">
        <v>1113</v>
      </c>
      <c r="P481" s="37">
        <v>9600000000</v>
      </c>
      <c r="Q481" s="37">
        <v>10360691111.11113</v>
      </c>
      <c r="R481" s="37">
        <v>-8411682792.3444481</v>
      </c>
      <c r="S481">
        <v>4.2966392090000003</v>
      </c>
      <c r="T481" s="70">
        <v>5.7607676525709</v>
      </c>
      <c r="U481">
        <v>6.0082870499999999</v>
      </c>
      <c r="V481">
        <v>40.9477374634996</v>
      </c>
      <c r="W481">
        <v>19423.1497884364</v>
      </c>
      <c r="X481" s="38">
        <v>-27325.625283205001</v>
      </c>
      <c r="Y481">
        <v>5467.4350000000004</v>
      </c>
      <c r="Z481" s="70">
        <v>-10151945454.545494</v>
      </c>
      <c r="AA481" s="70">
        <v>-5413604545.454546</v>
      </c>
      <c r="AB481" s="70">
        <v>-15565550000.00004</v>
      </c>
      <c r="AC481" s="70">
        <v>-15565550000.00004</v>
      </c>
      <c r="AD481" s="70">
        <v>-15565550000</v>
      </c>
      <c r="AE481" s="70">
        <v>-15565550000.00004</v>
      </c>
      <c r="AF481">
        <v>2.6410965420000001</v>
      </c>
      <c r="AG481" s="72">
        <f>Tradingbook_MSB[[#This Row],[Mat. Date]]-RPT</f>
        <v>2430</v>
      </c>
      <c r="AH481" s="71">
        <f>IF(Tradingbook_MSB[[#This Row],[Days]]&lt;=0,0,YEARFRAC(RPT,Tradingbook_MSB[[#This Row],[Mat. Date]],3))</f>
        <v>6.6575342465753424</v>
      </c>
      <c r="AI481" s="71" t="str">
        <f>IF(Tradingbook_MSB[[#This Row],[Days (year)]]=0,0,INDEX(Ref!$K$2:$K$13,MATCH(Tradingbook_MSB[[#This Row],[Days (year)]],Ref!$I$2:$I$13,1)))</f>
        <v>7Y</v>
      </c>
      <c r="AJ481" s="120" t="str">
        <f>VLOOKUP(Tradingbook_MSB[[#This Row],[Security Name]],Ref!X:Z,3,0)</f>
        <v>TPCP</v>
      </c>
      <c r="AK481" s="120" t="str">
        <f>VLOOKUP(Tradingbook_MSB[[#This Row],[Security Name]],Ref!X:Y,2,0)</f>
        <v>KBNN</v>
      </c>
      <c r="AL481" s="71">
        <f>IF((Tradingbook_MSB[[#This Row],[Mat. Date]]-RPT)&lt;=0,0,Tradingbook_MSB[[#This Row],[QUANTITY]])</f>
        <v>500000</v>
      </c>
      <c r="AM481" s="71">
        <f>IF(Tradingbook_MSB[[#This Row],[Quantity_edited]]=0,0,Tradingbook_MSB[[#This Row],[DURATION]])</f>
        <v>6.0082870499999999</v>
      </c>
      <c r="AN481" s="71">
        <f>IF(Tradingbook_MSB[[#This Row],[Quantity_edited]]=0,0,Tradingbook_MSB[[#This Row],[Mod Dur]])</f>
        <v>5.7607676525709</v>
      </c>
      <c r="AO481" s="71">
        <f>IF(Tradingbook_MSB[[#This Row],[Quantity_edited]]=0,0,Tradingbook_MSB[[#This Row],[Cnvx.]])</f>
        <v>40.9477374634996</v>
      </c>
      <c r="AP481" s="71">
        <f>(Tradingbook_MSB[[#This Row],[MARKET_VALUE]]+Tradingbook_MSB[[#This Row],[Accr Int]]*Tradingbook_MSB[[#This Row],[Quantity_edited]])*(-Tradingbook_MSB[[#This Row],[Modified Duration]]*0.0001+0.5*Tradingbook_MSB[[#This Row],[Conv]]*(0.0001^2))</f>
        <v>-27315913.708310589</v>
      </c>
      <c r="AQ481" s="72">
        <f>(Tradingbook_MSB[[#This Row],[MARKET_VALUE]]+Tradingbook_MSB[[#This Row],[Accr Int]]*Tradingbook_MSB[[#This Row],[Quantity_edited]])*(-Tradingbook_MSB[[#This Row],[Modified Duration]]*0.01+0.5*Tradingbook_MSB[[#This Row],[Conv]]*(0.01^2))</f>
        <v>-2635446779.3782988</v>
      </c>
      <c r="CL481" t="s">
        <v>166</v>
      </c>
      <c r="CM481" t="s">
        <v>3302</v>
      </c>
      <c r="CN481" t="s">
        <v>679</v>
      </c>
      <c r="CO481" t="s">
        <v>169</v>
      </c>
      <c r="CP481">
        <v>49318</v>
      </c>
      <c r="CQ481" t="s">
        <v>3322</v>
      </c>
      <c r="CR481" t="s">
        <v>4400</v>
      </c>
      <c r="CS481" t="s">
        <v>4401</v>
      </c>
      <c r="CT481">
        <v>0</v>
      </c>
      <c r="CU481">
        <v>0</v>
      </c>
      <c r="CV481">
        <v>0</v>
      </c>
      <c r="CW481">
        <v>0</v>
      </c>
      <c r="CX481">
        <v>3.2</v>
      </c>
      <c r="CY481">
        <v>1938</v>
      </c>
      <c r="CZ481">
        <v>0</v>
      </c>
      <c r="DA481">
        <v>-1.1E-5</v>
      </c>
      <c r="DB481">
        <v>-1154378706.1805367</v>
      </c>
      <c r="DC481">
        <v>4.373603653</v>
      </c>
      <c r="DD481">
        <v>7</v>
      </c>
      <c r="DE481">
        <v>7</v>
      </c>
      <c r="DF481">
        <v>60</v>
      </c>
      <c r="DG481">
        <v>0</v>
      </c>
      <c r="DH481">
        <v>0</v>
      </c>
      <c r="DI481">
        <v>0</v>
      </c>
      <c r="DJ481">
        <v>-2950400000</v>
      </c>
      <c r="DK481">
        <v>0</v>
      </c>
      <c r="DL481">
        <v>-2950400000</v>
      </c>
      <c r="DM481">
        <v>-2950400000</v>
      </c>
      <c r="DN481">
        <v>-2950400000</v>
      </c>
      <c r="DO481">
        <v>-2950400000</v>
      </c>
      <c r="DP481" s="32">
        <f>Tradingbook_SBV[[#This Row],[Mat. Date]]-RPT</f>
        <v>3066</v>
      </c>
      <c r="DQ481" s="32">
        <f>IF(Tradingbook_SBV[[#This Row],[Days]]&lt;=0,0,YEARFRAC(RPT,Tradingbook_SBV[[#This Row],[Mat. Date]],3))</f>
        <v>8.4</v>
      </c>
      <c r="DR481" s="32" t="str">
        <f>IF(Tradingbook_SBV[[#This Row],[Days (year)]]=0,0,INDEX(Ref!$K$2:$K$13,MATCH(Tradingbook_SBV[[#This Row],[Days (year)]],Ref!$I$2:$I$13,1)))</f>
        <v>10Y</v>
      </c>
      <c r="DS481" s="32" t="str">
        <f>VLOOKUP(Tradingbook_SBV[[#This Row],[Security Name]],Ref!X:Z,3,0)</f>
        <v>TPCP</v>
      </c>
      <c r="DT481" s="32" t="str">
        <f>VLOOKUP(Tradingbook_SBV[[#This Row],[Security Name]],Ref!X:Y,2,0)</f>
        <v>KBNN</v>
      </c>
      <c r="DU481" s="71">
        <f>IF((Tradingbook_SBV[[#This Row],[Mat. Date]]-RPT)&lt;=0,0,Tradingbook_SBV[[#This Row],[QUANTITY]])</f>
        <v>0</v>
      </c>
      <c r="DV481" s="71">
        <f>IF(Tradingbook_SBV[[#This Row],[Quantity_edited]]=0,0,Tradingbook_SBV[[#This Row],[DURATION]])</f>
        <v>0</v>
      </c>
      <c r="DW481" s="71">
        <f>IF(Tradingbook_SBV[[#This Row],[Quantity_edited]]=0,0,Tradingbook_SBV[[#This Row],[Mod Dur]])</f>
        <v>0</v>
      </c>
      <c r="DX481" s="71">
        <f>IF(Tradingbook_SBV[[#This Row],[Quantity_edited]]=0,0,Tradingbook_SBV[[#This Row],[Cnvx.]])</f>
        <v>0</v>
      </c>
      <c r="DY481" s="71">
        <f>(Tradingbook_SBV[[#This Row],[MARKET_VALUE]]+Tradingbook_SBV[[#This Row],[Accr Int]]*Tradingbook_SBV[[#This Row],[Quantity_edited]])*(-Tradingbook_SBV[[#This Row],[Modified Duration]]*0.0001+0.5*Tradingbook_SBV[[#This Row],[Conv]]*(0.0001^2))</f>
        <v>0</v>
      </c>
      <c r="DZ481" s="71">
        <f>(Tradingbook_SBV[[#This Row],[MARKET_VALUE]]+Tradingbook_SBV[[#This Row],[Accr Int]]*Tradingbook_SBV[[#This Row],[Quantity_edited]])*(-Tradingbook_SBV[[#This Row],[Modified Duration]]*0.01+0.5*Tradingbook_SBV[[#This Row],[Conv]]*(0.01^2))</f>
        <v>0</v>
      </c>
    </row>
    <row r="482" spans="2:130" x14ac:dyDescent="0.3">
      <c r="B482" t="s">
        <v>166</v>
      </c>
      <c r="C482" t="s">
        <v>3301</v>
      </c>
      <c r="D482" t="s">
        <v>2742</v>
      </c>
      <c r="E482" t="s">
        <v>169</v>
      </c>
      <c r="F482" s="502">
        <v>48766</v>
      </c>
      <c r="G482" t="s">
        <v>170</v>
      </c>
      <c r="H482">
        <v>88853</v>
      </c>
      <c r="I482">
        <v>88853</v>
      </c>
      <c r="J482" s="38">
        <v>2000000</v>
      </c>
      <c r="K482">
        <v>200000000000</v>
      </c>
      <c r="L482">
        <v>98393.823000000004</v>
      </c>
      <c r="M482" s="38">
        <v>177706000000</v>
      </c>
      <c r="N482">
        <v>2.4</v>
      </c>
      <c r="O482">
        <v>283</v>
      </c>
      <c r="P482" s="37">
        <v>14400000000</v>
      </c>
      <c r="Q482" s="37">
        <v>15182806666.666668</v>
      </c>
      <c r="R482" s="37">
        <v>-17774985302.70834</v>
      </c>
      <c r="S482">
        <v>4.304883051</v>
      </c>
      <c r="T482" s="70">
        <v>6.1103248851530001</v>
      </c>
      <c r="U482">
        <v>6.3733672300000004</v>
      </c>
      <c r="V482">
        <v>45.0258826527959</v>
      </c>
      <c r="W482">
        <v>80268.541522792395</v>
      </c>
      <c r="X482" s="38">
        <v>-108929.9837926</v>
      </c>
      <c r="Y482">
        <v>20586.960999999999</v>
      </c>
      <c r="Z482" s="70">
        <v>-3752354166.6668897</v>
      </c>
      <c r="AA482" s="70">
        <v>-19081645833.333344</v>
      </c>
      <c r="AB482" s="70">
        <v>-22834000000.000233</v>
      </c>
      <c r="AC482" s="70">
        <v>-22834000000.000233</v>
      </c>
      <c r="AD482" s="70">
        <v>-22834000000</v>
      </c>
      <c r="AE482" s="70">
        <v>-22834000000.000233</v>
      </c>
      <c r="AF482">
        <v>2.6351884839999999</v>
      </c>
      <c r="AG482" s="72">
        <f>Tradingbook_MSB[[#This Row],[Mat. Date]]-RPT</f>
        <v>2514</v>
      </c>
      <c r="AH482" s="71">
        <f>IF(Tradingbook_MSB[[#This Row],[Days]]&lt;=0,0,YEARFRAC(RPT,Tradingbook_MSB[[#This Row],[Mat. Date]],3))</f>
        <v>6.8876712328767127</v>
      </c>
      <c r="AI482" s="71" t="str">
        <f>IF(Tradingbook_MSB[[#This Row],[Days (year)]]=0,0,INDEX(Ref!$K$2:$K$13,MATCH(Tradingbook_MSB[[#This Row],[Days (year)]],Ref!$I$2:$I$13,1)))</f>
        <v>7Y</v>
      </c>
      <c r="AJ482" s="120" t="str">
        <f>VLOOKUP(Tradingbook_MSB[[#This Row],[Security Name]],Ref!X:Z,3,0)</f>
        <v>TPCP</v>
      </c>
      <c r="AK482" s="120" t="str">
        <f>VLOOKUP(Tradingbook_MSB[[#This Row],[Security Name]],Ref!X:Y,2,0)</f>
        <v>KBNN</v>
      </c>
      <c r="AL482" s="71">
        <f>IF((Tradingbook_MSB[[#This Row],[Mat. Date]]-RPT)&lt;=0,0,Tradingbook_MSB[[#This Row],[QUANTITY]])</f>
        <v>2000000</v>
      </c>
      <c r="AM482" s="71">
        <f>IF(Tradingbook_MSB[[#This Row],[Quantity_edited]]=0,0,Tradingbook_MSB[[#This Row],[DURATION]])</f>
        <v>6.3733672300000004</v>
      </c>
      <c r="AN482" s="71">
        <f>IF(Tradingbook_MSB[[#This Row],[Quantity_edited]]=0,0,Tradingbook_MSB[[#This Row],[Mod Dur]])</f>
        <v>6.1103248851530001</v>
      </c>
      <c r="AO482" s="71">
        <f>IF(Tradingbook_MSB[[#This Row],[Quantity_edited]]=0,0,Tradingbook_MSB[[#This Row],[Cnvx.]])</f>
        <v>45.0258826527959</v>
      </c>
      <c r="AP482" s="71">
        <f>(Tradingbook_MSB[[#This Row],[MARKET_VALUE]]+Tradingbook_MSB[[#This Row],[Accr Int]]*Tradingbook_MSB[[#This Row],[Quantity_edited]])*(-Tradingbook_MSB[[#This Row],[Modified Duration]]*0.0001+0.5*Tradingbook_MSB[[#This Row],[Conv]]*(0.0001^2))</f>
        <v>-108889849.52183816</v>
      </c>
      <c r="AQ482" s="72">
        <f>(Tradingbook_MSB[[#This Row],[MARKET_VALUE]]+Tradingbook_MSB[[#This Row],[Accr Int]]*Tradingbook_MSB[[#This Row],[Quantity_edited]])*(-Tradingbook_MSB[[#This Row],[Modified Duration]]*0.01+0.5*Tradingbook_MSB[[#This Row],[Conv]]*(0.01^2))</f>
        <v>-10491655671.645996</v>
      </c>
      <c r="CL482" t="s">
        <v>166</v>
      </c>
      <c r="CM482" t="s">
        <v>3302</v>
      </c>
      <c r="CN482" t="s">
        <v>3051</v>
      </c>
      <c r="CO482" t="s">
        <v>169</v>
      </c>
      <c r="CP482">
        <v>49367</v>
      </c>
      <c r="CQ482" t="s">
        <v>3322</v>
      </c>
      <c r="CR482" t="s">
        <v>4402</v>
      </c>
      <c r="CS482" t="s">
        <v>4403</v>
      </c>
      <c r="CT482">
        <v>0</v>
      </c>
      <c r="CU482">
        <v>0</v>
      </c>
      <c r="CV482">
        <v>0</v>
      </c>
      <c r="CW482">
        <v>0</v>
      </c>
      <c r="CX482">
        <v>2.9</v>
      </c>
      <c r="CY482">
        <v>1367</v>
      </c>
      <c r="CZ482">
        <v>0</v>
      </c>
      <c r="DA482">
        <v>0</v>
      </c>
      <c r="DB482">
        <v>-5043108988.6666813</v>
      </c>
      <c r="DC482">
        <v>4.3798015689999996</v>
      </c>
      <c r="DD482">
        <v>7</v>
      </c>
      <c r="DE482">
        <v>8</v>
      </c>
      <c r="DF482">
        <v>63</v>
      </c>
      <c r="DG482">
        <v>0</v>
      </c>
      <c r="DH482">
        <v>0</v>
      </c>
      <c r="DI482">
        <v>0</v>
      </c>
      <c r="DJ482">
        <v>-2544000000</v>
      </c>
      <c r="DK482">
        <v>0</v>
      </c>
      <c r="DL482">
        <v>-2544000000</v>
      </c>
      <c r="DM482">
        <v>-2544000000</v>
      </c>
      <c r="DN482">
        <v>-2544000000</v>
      </c>
      <c r="DO482">
        <v>-2544000000</v>
      </c>
      <c r="DP482" s="32">
        <f>Tradingbook_SBV[[#This Row],[Mat. Date]]-RPT</f>
        <v>3115</v>
      </c>
      <c r="DQ482" s="32">
        <f>IF(Tradingbook_SBV[[#This Row],[Days]]&lt;=0,0,YEARFRAC(RPT,Tradingbook_SBV[[#This Row],[Mat. Date]],3))</f>
        <v>8.5342465753424666</v>
      </c>
      <c r="DR482" s="32" t="str">
        <f>IF(Tradingbook_SBV[[#This Row],[Days (year)]]=0,0,INDEX(Ref!$K$2:$K$13,MATCH(Tradingbook_SBV[[#This Row],[Days (year)]],Ref!$I$2:$I$13,1)))</f>
        <v>10Y</v>
      </c>
      <c r="DS482" s="32" t="str">
        <f>VLOOKUP(Tradingbook_SBV[[#This Row],[Security Name]],Ref!X:Z,3,0)</f>
        <v>TPCP</v>
      </c>
      <c r="DT482" s="32" t="str">
        <f>VLOOKUP(Tradingbook_SBV[[#This Row],[Security Name]],Ref!X:Y,2,0)</f>
        <v>KBNN</v>
      </c>
      <c r="DU482" s="71">
        <f>IF((Tradingbook_SBV[[#This Row],[Mat. Date]]-RPT)&lt;=0,0,Tradingbook_SBV[[#This Row],[QUANTITY]])</f>
        <v>0</v>
      </c>
      <c r="DV482" s="71">
        <f>IF(Tradingbook_SBV[[#This Row],[Quantity_edited]]=0,0,Tradingbook_SBV[[#This Row],[DURATION]])</f>
        <v>0</v>
      </c>
      <c r="DW482" s="71">
        <f>IF(Tradingbook_SBV[[#This Row],[Quantity_edited]]=0,0,Tradingbook_SBV[[#This Row],[Mod Dur]])</f>
        <v>0</v>
      </c>
      <c r="DX482" s="71">
        <f>IF(Tradingbook_SBV[[#This Row],[Quantity_edited]]=0,0,Tradingbook_SBV[[#This Row],[Cnvx.]])</f>
        <v>0</v>
      </c>
      <c r="DY482" s="71">
        <f>(Tradingbook_SBV[[#This Row],[MARKET_VALUE]]+Tradingbook_SBV[[#This Row],[Accr Int]]*Tradingbook_SBV[[#This Row],[Quantity_edited]])*(-Tradingbook_SBV[[#This Row],[Modified Duration]]*0.0001+0.5*Tradingbook_SBV[[#This Row],[Conv]]*(0.0001^2))</f>
        <v>0</v>
      </c>
      <c r="DZ482" s="71">
        <f>(Tradingbook_SBV[[#This Row],[MARKET_VALUE]]+Tradingbook_SBV[[#This Row],[Accr Int]]*Tradingbook_SBV[[#This Row],[Quantity_edited]])*(-Tradingbook_SBV[[#This Row],[Modified Duration]]*0.01+0.5*Tradingbook_SBV[[#This Row],[Conv]]*(0.01^2))</f>
        <v>0</v>
      </c>
    </row>
    <row r="483" spans="2:130" x14ac:dyDescent="0.3">
      <c r="B483" t="s">
        <v>166</v>
      </c>
      <c r="C483" t="s">
        <v>3301</v>
      </c>
      <c r="D483" t="s">
        <v>2785</v>
      </c>
      <c r="E483" t="s">
        <v>169</v>
      </c>
      <c r="F483" s="502">
        <v>48836</v>
      </c>
      <c r="G483" t="s">
        <v>170</v>
      </c>
      <c r="H483">
        <v>87948</v>
      </c>
      <c r="I483">
        <v>87948</v>
      </c>
      <c r="J483" s="38">
        <v>6000000</v>
      </c>
      <c r="K483">
        <v>600000000000</v>
      </c>
      <c r="L483">
        <v>96536.273000000001</v>
      </c>
      <c r="M483" s="38">
        <v>527688000000</v>
      </c>
      <c r="N483">
        <v>2.2999999999999998</v>
      </c>
      <c r="O483">
        <v>2130</v>
      </c>
      <c r="P483" s="37">
        <v>25300000000</v>
      </c>
      <c r="Q483" s="37">
        <v>27093888194.444473</v>
      </c>
      <c r="R483" s="37">
        <v>-55244593063.680588</v>
      </c>
      <c r="S483">
        <v>4.3123858640000003</v>
      </c>
      <c r="T483" s="70">
        <v>6.1519516858437999</v>
      </c>
      <c r="U483">
        <v>6.4172475799999997</v>
      </c>
      <c r="V483">
        <v>46.440297138083302</v>
      </c>
      <c r="W483">
        <v>250994.94513625611</v>
      </c>
      <c r="X483" s="38">
        <v>-332493.302374463</v>
      </c>
      <c r="Y483">
        <v>62520.099000000002</v>
      </c>
      <c r="Z483" s="70">
        <v>-16817052864.857195</v>
      </c>
      <c r="AA483" s="70">
        <v>-51529637135.142052</v>
      </c>
      <c r="AB483" s="70">
        <v>-68346689999.999245</v>
      </c>
      <c r="AC483" s="70">
        <v>-68346689999.999245</v>
      </c>
      <c r="AD483" s="70">
        <v>-68346689999.999001</v>
      </c>
      <c r="AE483" s="70">
        <v>-68346689999.999245</v>
      </c>
      <c r="AF483">
        <v>2.7883441169999998</v>
      </c>
      <c r="AG483" s="72">
        <f>Tradingbook_MSB[[#This Row],[Mat. Date]]-RPT</f>
        <v>2584</v>
      </c>
      <c r="AH483" s="71">
        <f>IF(Tradingbook_MSB[[#This Row],[Days]]&lt;=0,0,YEARFRAC(RPT,Tradingbook_MSB[[#This Row],[Mat. Date]],3))</f>
        <v>7.0794520547945208</v>
      </c>
      <c r="AI483" s="71" t="str">
        <f>IF(Tradingbook_MSB[[#This Row],[Days (year)]]=0,0,INDEX(Ref!$K$2:$K$13,MATCH(Tradingbook_MSB[[#This Row],[Days (year)]],Ref!$I$2:$I$13,1)))</f>
        <v>7Y</v>
      </c>
      <c r="AJ483" s="120" t="str">
        <f>VLOOKUP(Tradingbook_MSB[[#This Row],[Security Name]],Ref!X:Z,3,0)</f>
        <v>TPCP</v>
      </c>
      <c r="AK483" s="120" t="str">
        <f>VLOOKUP(Tradingbook_MSB[[#This Row],[Security Name]],Ref!X:Y,2,0)</f>
        <v>KBNN</v>
      </c>
      <c r="AL483" s="71">
        <f>IF((Tradingbook_MSB[[#This Row],[Mat. Date]]-RPT)&lt;=0,0,Tradingbook_MSB[[#This Row],[QUANTITY]])</f>
        <v>6000000</v>
      </c>
      <c r="AM483" s="71">
        <f>IF(Tradingbook_MSB[[#This Row],[Quantity_edited]]=0,0,Tradingbook_MSB[[#This Row],[DURATION]])</f>
        <v>6.4172475799999997</v>
      </c>
      <c r="AN483" s="71">
        <f>IF(Tradingbook_MSB[[#This Row],[Quantity_edited]]=0,0,Tradingbook_MSB[[#This Row],[Mod Dur]])</f>
        <v>6.1519516858437999</v>
      </c>
      <c r="AO483" s="71">
        <f>IF(Tradingbook_MSB[[#This Row],[Quantity_edited]]=0,0,Tradingbook_MSB[[#This Row],[Cnvx.]])</f>
        <v>46.440297138083302</v>
      </c>
      <c r="AP483" s="71">
        <f>(Tradingbook_MSB[[#This Row],[MARKET_VALUE]]+Tradingbook_MSB[[#This Row],[Accr Int]]*Tradingbook_MSB[[#This Row],[Quantity_edited]])*(-Tradingbook_MSB[[#This Row],[Modified Duration]]*0.0001+0.5*Tradingbook_MSB[[#This Row],[Conv]]*(0.0001^2))</f>
        <v>-332367804.90189457</v>
      </c>
      <c r="AQ483" s="72">
        <f>(Tradingbook_MSB[[#This Row],[MARKET_VALUE]]+Tradingbook_MSB[[#This Row],[Accr Int]]*Tradingbook_MSB[[#This Row],[Quantity_edited]])*(-Tradingbook_MSB[[#This Row],[Modified Duration]]*0.01+0.5*Tradingbook_MSB[[#This Row],[Conv]]*(0.01^2))</f>
        <v>-31994355511.764988</v>
      </c>
      <c r="CL483" t="s">
        <v>166</v>
      </c>
      <c r="CM483" t="s">
        <v>3302</v>
      </c>
      <c r="CN483" t="s">
        <v>3081</v>
      </c>
      <c r="CO483" t="s">
        <v>169</v>
      </c>
      <c r="CP483">
        <v>49381</v>
      </c>
      <c r="CQ483" t="s">
        <v>170</v>
      </c>
      <c r="CR483" t="s">
        <v>4404</v>
      </c>
      <c r="CS483" t="s">
        <v>4405</v>
      </c>
      <c r="CT483">
        <v>500000</v>
      </c>
      <c r="CU483">
        <v>50000000000</v>
      </c>
      <c r="CV483">
        <v>98576.849000000002</v>
      </c>
      <c r="CW483">
        <v>44794500000</v>
      </c>
      <c r="CX483">
        <v>2.9</v>
      </c>
      <c r="CY483">
        <v>1255</v>
      </c>
      <c r="CZ483">
        <v>0</v>
      </c>
      <c r="DA483">
        <v>-3.0000000000000001E-6</v>
      </c>
      <c r="DB483">
        <v>-8249754446.5278196</v>
      </c>
      <c r="DC483">
        <v>4.3815510939999998</v>
      </c>
      <c r="DD483">
        <v>7</v>
      </c>
      <c r="DE483">
        <v>8</v>
      </c>
      <c r="DF483">
        <v>64</v>
      </c>
      <c r="DG483">
        <v>28945</v>
      </c>
      <c r="DH483">
        <v>-32849</v>
      </c>
      <c r="DI483">
        <v>5337</v>
      </c>
      <c r="DJ483">
        <v>-7908575268.8172216</v>
      </c>
      <c r="DK483">
        <v>-4493924731.1827927</v>
      </c>
      <c r="DL483">
        <v>-12402500000.000015</v>
      </c>
      <c r="DM483">
        <v>-12402500000.000015</v>
      </c>
      <c r="DN483">
        <v>-12402500000</v>
      </c>
      <c r="DO483">
        <v>-12402500000.000015</v>
      </c>
      <c r="DP483" s="32">
        <f>Tradingbook_SBV[[#This Row],[Mat. Date]]-RPT</f>
        <v>3129</v>
      </c>
      <c r="DQ483" s="32">
        <f>IF(Tradingbook_SBV[[#This Row],[Days]]&lt;=0,0,YEARFRAC(RPT,Tradingbook_SBV[[#This Row],[Mat. Date]],3))</f>
        <v>8.5726027397260278</v>
      </c>
      <c r="DR483" s="32" t="str">
        <f>IF(Tradingbook_SBV[[#This Row],[Days (year)]]=0,0,INDEX(Ref!$K$2:$K$13,MATCH(Tradingbook_SBV[[#This Row],[Days (year)]],Ref!$I$2:$I$13,1)))</f>
        <v>10Y</v>
      </c>
      <c r="DS483" s="32" t="str">
        <f>VLOOKUP(Tradingbook_SBV[[#This Row],[Security Name]],Ref!X:Z,3,0)</f>
        <v>TPCP</v>
      </c>
      <c r="DT483" s="32" t="str">
        <f>VLOOKUP(Tradingbook_SBV[[#This Row],[Security Name]],Ref!X:Y,2,0)</f>
        <v>KBNN</v>
      </c>
      <c r="DU483" s="71">
        <f>IF((Tradingbook_SBV[[#This Row],[Mat. Date]]-RPT)&lt;=0,0,Tradingbook_SBV[[#This Row],[QUANTITY]])</f>
        <v>500000</v>
      </c>
      <c r="DV483" s="71">
        <f>IF(Tradingbook_SBV[[#This Row],[Quantity_edited]]=0,0,Tradingbook_SBV[[#This Row],[DURATION]])</f>
        <v>8</v>
      </c>
      <c r="DW483" s="71">
        <f>IF(Tradingbook_SBV[[#This Row],[Quantity_edited]]=0,0,Tradingbook_SBV[[#This Row],[Mod Dur]])</f>
        <v>7</v>
      </c>
      <c r="DX483" s="71">
        <f>IF(Tradingbook_SBV[[#This Row],[Quantity_edited]]=0,0,Tradingbook_SBV[[#This Row],[Cnvx.]])</f>
        <v>64</v>
      </c>
      <c r="DY483" s="71">
        <f>(Tradingbook_SBV[[#This Row],[MARKET_VALUE]]+Tradingbook_SBV[[#This Row],[Accr Int]]*Tradingbook_SBV[[#This Row],[Quantity_edited]])*(-Tradingbook_SBV[[#This Row],[Modified Duration]]*0.0001+0.5*Tradingbook_SBV[[#This Row],[Conv]]*(0.0001^2))</f>
        <v>-31780864.959999997</v>
      </c>
      <c r="DZ483" s="71">
        <f>(Tradingbook_SBV[[#This Row],[MARKET_VALUE]]+Tradingbook_SBV[[#This Row],[Accr Int]]*Tradingbook_SBV[[#This Row],[Quantity_edited]])*(-Tradingbook_SBV[[#This Row],[Modified Duration]]*0.01+0.5*Tradingbook_SBV[[#This Row],[Conv]]*(0.01^2))</f>
        <v>-3034189600.0000005</v>
      </c>
    </row>
    <row r="484" spans="2:130" x14ac:dyDescent="0.3">
      <c r="B484" t="s">
        <v>166</v>
      </c>
      <c r="C484" t="s">
        <v>3301</v>
      </c>
      <c r="D484" t="s">
        <v>661</v>
      </c>
      <c r="E484" t="s">
        <v>169</v>
      </c>
      <c r="F484" s="502">
        <v>48854</v>
      </c>
      <c r="G484" t="s">
        <v>3322</v>
      </c>
      <c r="H484">
        <v>106992</v>
      </c>
      <c r="I484">
        <v>106992</v>
      </c>
      <c r="J484" s="38">
        <v>0</v>
      </c>
      <c r="K484">
        <v>0</v>
      </c>
      <c r="L484">
        <v>0</v>
      </c>
      <c r="M484" s="38">
        <v>0</v>
      </c>
      <c r="N484">
        <v>6</v>
      </c>
      <c r="O484">
        <v>5260</v>
      </c>
      <c r="P484" s="37">
        <v>12000000000</v>
      </c>
      <c r="Q484" s="37">
        <v>14115479999.999985</v>
      </c>
      <c r="R484" s="37">
        <v>-2938706865.5555954</v>
      </c>
      <c r="S484">
        <v>4.8147351409999999</v>
      </c>
      <c r="T484" s="70">
        <v>5.4996485137994</v>
      </c>
      <c r="U484">
        <v>5.7644420199999997</v>
      </c>
      <c r="V484">
        <v>40.167069201378403</v>
      </c>
      <c r="W484">
        <v>0</v>
      </c>
      <c r="X484" s="38">
        <v>0</v>
      </c>
      <c r="Y484">
        <v>0</v>
      </c>
      <c r="Z484" s="70">
        <v>9498000000</v>
      </c>
      <c r="AA484" s="70">
        <v>0</v>
      </c>
      <c r="AB484" s="70">
        <v>9498000000</v>
      </c>
      <c r="AC484" s="70">
        <v>9498000000</v>
      </c>
      <c r="AD484" s="70">
        <v>9498000000</v>
      </c>
      <c r="AE484" s="70">
        <v>9498000000</v>
      </c>
      <c r="AF484">
        <v>0</v>
      </c>
      <c r="AG484" s="72">
        <f>Tradingbook_MSB[[#This Row],[Mat. Date]]-RPT</f>
        <v>2602</v>
      </c>
      <c r="AH484" s="71">
        <f>IF(Tradingbook_MSB[[#This Row],[Days]]&lt;=0,0,YEARFRAC(RPT,Tradingbook_MSB[[#This Row],[Mat. Date]],3))</f>
        <v>7.1287671232876715</v>
      </c>
      <c r="AI484" s="71" t="str">
        <f>IF(Tradingbook_MSB[[#This Row],[Days (year)]]=0,0,INDEX(Ref!$K$2:$K$13,MATCH(Tradingbook_MSB[[#This Row],[Days (year)]],Ref!$I$2:$I$13,1)))</f>
        <v>7Y</v>
      </c>
      <c r="AJ484" s="120" t="str">
        <f>VLOOKUP(Tradingbook_MSB[[#This Row],[Security Name]],Ref!X:Z,3,0)</f>
        <v>TPCPBL</v>
      </c>
      <c r="AK484" s="120" t="str">
        <f>VLOOKUP(Tradingbook_MSB[[#This Row],[Security Name]],Ref!X:Y,2,0)</f>
        <v>VBS</v>
      </c>
      <c r="AL484" s="71">
        <f>IF((Tradingbook_MSB[[#This Row],[Mat. Date]]-RPT)&lt;=0,0,Tradingbook_MSB[[#This Row],[QUANTITY]])</f>
        <v>0</v>
      </c>
      <c r="AM484" s="71">
        <f>IF(Tradingbook_MSB[[#This Row],[Quantity_edited]]=0,0,Tradingbook_MSB[[#This Row],[DURATION]])</f>
        <v>0</v>
      </c>
      <c r="AN484" s="71">
        <f>IF(Tradingbook_MSB[[#This Row],[Quantity_edited]]=0,0,Tradingbook_MSB[[#This Row],[Mod Dur]])</f>
        <v>0</v>
      </c>
      <c r="AO484" s="71">
        <f>IF(Tradingbook_MSB[[#This Row],[Quantity_edited]]=0,0,Tradingbook_MSB[[#This Row],[Cnvx.]])</f>
        <v>0</v>
      </c>
      <c r="AP484" s="71">
        <f>(Tradingbook_MSB[[#This Row],[MARKET_VALUE]]+Tradingbook_MSB[[#This Row],[Accr Int]]*Tradingbook_MSB[[#This Row],[Quantity_edited]])*(-Tradingbook_MSB[[#This Row],[Modified Duration]]*0.0001+0.5*Tradingbook_MSB[[#This Row],[Conv]]*(0.0001^2))</f>
        <v>0</v>
      </c>
      <c r="AQ484" s="72">
        <f>(Tradingbook_MSB[[#This Row],[MARKET_VALUE]]+Tradingbook_MSB[[#This Row],[Accr Int]]*Tradingbook_MSB[[#This Row],[Quantity_edited]])*(-Tradingbook_MSB[[#This Row],[Modified Duration]]*0.01+0.5*Tradingbook_MSB[[#This Row],[Conv]]*(0.01^2))</f>
        <v>0</v>
      </c>
      <c r="CL484" t="s">
        <v>166</v>
      </c>
      <c r="CM484" t="s">
        <v>3302</v>
      </c>
      <c r="CN484" t="s">
        <v>3097</v>
      </c>
      <c r="CO484" t="s">
        <v>169</v>
      </c>
      <c r="CP484">
        <v>49388</v>
      </c>
      <c r="CQ484" t="s">
        <v>3322</v>
      </c>
      <c r="CR484" t="s">
        <v>4406</v>
      </c>
      <c r="CS484" t="s">
        <v>4407</v>
      </c>
      <c r="CT484">
        <v>0</v>
      </c>
      <c r="CU484">
        <v>0</v>
      </c>
      <c r="CV484">
        <v>0</v>
      </c>
      <c r="CW484">
        <v>0</v>
      </c>
      <c r="CX484">
        <v>2.9</v>
      </c>
      <c r="CY484">
        <v>1200</v>
      </c>
      <c r="CZ484">
        <v>0</v>
      </c>
      <c r="DA484">
        <v>-9.9999999999999995E-7</v>
      </c>
      <c r="DB484">
        <v>-1000775594.4444494</v>
      </c>
      <c r="DC484">
        <v>4.3823594779999997</v>
      </c>
      <c r="DD484">
        <v>7</v>
      </c>
      <c r="DE484">
        <v>8</v>
      </c>
      <c r="DF484">
        <v>64</v>
      </c>
      <c r="DG484">
        <v>0</v>
      </c>
      <c r="DH484">
        <v>0</v>
      </c>
      <c r="DI484">
        <v>0</v>
      </c>
      <c r="DJ484">
        <v>-1529500000</v>
      </c>
      <c r="DK484">
        <v>0</v>
      </c>
      <c r="DL484">
        <v>-1529500000</v>
      </c>
      <c r="DM484">
        <v>-1529500000</v>
      </c>
      <c r="DN484">
        <v>-1529500000</v>
      </c>
      <c r="DO484">
        <v>-1529500000</v>
      </c>
      <c r="DP484" s="32">
        <f>Tradingbook_SBV[[#This Row],[Mat. Date]]-RPT</f>
        <v>3136</v>
      </c>
      <c r="DQ484" s="32">
        <f>IF(Tradingbook_SBV[[#This Row],[Days]]&lt;=0,0,YEARFRAC(RPT,Tradingbook_SBV[[#This Row],[Mat. Date]],3))</f>
        <v>8.5917808219178085</v>
      </c>
      <c r="DR484" s="32" t="str">
        <f>IF(Tradingbook_SBV[[#This Row],[Days (year)]]=0,0,INDEX(Ref!$K$2:$K$13,MATCH(Tradingbook_SBV[[#This Row],[Days (year)]],Ref!$I$2:$I$13,1)))</f>
        <v>10Y</v>
      </c>
      <c r="DS484" s="32" t="str">
        <f>VLOOKUP(Tradingbook_SBV[[#This Row],[Security Name]],Ref!X:Z,3,0)</f>
        <v>TPCP</v>
      </c>
      <c r="DT484" s="32" t="str">
        <f>VLOOKUP(Tradingbook_SBV[[#This Row],[Security Name]],Ref!X:Y,2,0)</f>
        <v>KBNN</v>
      </c>
      <c r="DU484" s="71">
        <f>IF((Tradingbook_SBV[[#This Row],[Mat. Date]]-RPT)&lt;=0,0,Tradingbook_SBV[[#This Row],[QUANTITY]])</f>
        <v>0</v>
      </c>
      <c r="DV484" s="71">
        <f>IF(Tradingbook_SBV[[#This Row],[Quantity_edited]]=0,0,Tradingbook_SBV[[#This Row],[DURATION]])</f>
        <v>0</v>
      </c>
      <c r="DW484" s="71">
        <f>IF(Tradingbook_SBV[[#This Row],[Quantity_edited]]=0,0,Tradingbook_SBV[[#This Row],[Mod Dur]])</f>
        <v>0</v>
      </c>
      <c r="DX484" s="71">
        <f>IF(Tradingbook_SBV[[#This Row],[Quantity_edited]]=0,0,Tradingbook_SBV[[#This Row],[Cnvx.]])</f>
        <v>0</v>
      </c>
      <c r="DY484" s="71">
        <f>(Tradingbook_SBV[[#This Row],[MARKET_VALUE]]+Tradingbook_SBV[[#This Row],[Accr Int]]*Tradingbook_SBV[[#This Row],[Quantity_edited]])*(-Tradingbook_SBV[[#This Row],[Modified Duration]]*0.0001+0.5*Tradingbook_SBV[[#This Row],[Conv]]*(0.0001^2))</f>
        <v>0</v>
      </c>
      <c r="DZ484" s="71">
        <f>(Tradingbook_SBV[[#This Row],[MARKET_VALUE]]+Tradingbook_SBV[[#This Row],[Accr Int]]*Tradingbook_SBV[[#This Row],[Quantity_edited]])*(-Tradingbook_SBV[[#This Row],[Modified Duration]]*0.01+0.5*Tradingbook_SBV[[#This Row],[Conv]]*(0.01^2))</f>
        <v>0</v>
      </c>
    </row>
    <row r="485" spans="2:130" x14ac:dyDescent="0.3">
      <c r="B485" t="s">
        <v>166</v>
      </c>
      <c r="C485" t="s">
        <v>3301</v>
      </c>
      <c r="D485" t="s">
        <v>1147</v>
      </c>
      <c r="E485" t="s">
        <v>169</v>
      </c>
      <c r="F485" s="502">
        <v>48861</v>
      </c>
      <c r="G485" t="s">
        <v>3322</v>
      </c>
      <c r="H485">
        <v>107000</v>
      </c>
      <c r="I485">
        <v>107000</v>
      </c>
      <c r="J485" s="38">
        <v>0</v>
      </c>
      <c r="K485">
        <v>0</v>
      </c>
      <c r="L485">
        <v>0</v>
      </c>
      <c r="M485" s="38">
        <v>0</v>
      </c>
      <c r="N485">
        <v>6</v>
      </c>
      <c r="O485">
        <v>5145</v>
      </c>
      <c r="P485" s="37">
        <v>0</v>
      </c>
      <c r="Q485" s="37">
        <v>-9.9999999999999995E-7</v>
      </c>
      <c r="R485" s="37">
        <v>-3931080049.1666555</v>
      </c>
      <c r="S485">
        <v>4.81567451</v>
      </c>
      <c r="T485" s="70">
        <v>5.5178522802607004</v>
      </c>
      <c r="U485">
        <v>5.7835740900000001</v>
      </c>
      <c r="V485">
        <v>40.384998812780601</v>
      </c>
      <c r="W485">
        <v>0</v>
      </c>
      <c r="X485" s="38">
        <v>0</v>
      </c>
      <c r="Y485">
        <v>0</v>
      </c>
      <c r="Z485" s="70">
        <v>-2309000000</v>
      </c>
      <c r="AA485" s="70">
        <v>0</v>
      </c>
      <c r="AB485" s="70">
        <v>-2309000000</v>
      </c>
      <c r="AC485" s="70">
        <v>-2309000000</v>
      </c>
      <c r="AD485" s="70">
        <v>-2309000000</v>
      </c>
      <c r="AE485" s="70">
        <v>-2309000000</v>
      </c>
      <c r="AF485">
        <v>0</v>
      </c>
      <c r="AG485" s="72">
        <f>Tradingbook_MSB[[#This Row],[Mat. Date]]-RPT</f>
        <v>2609</v>
      </c>
      <c r="AH485" s="71">
        <f>IF(Tradingbook_MSB[[#This Row],[Days]]&lt;=0,0,YEARFRAC(RPT,Tradingbook_MSB[[#This Row],[Mat. Date]],3))</f>
        <v>7.1479452054794521</v>
      </c>
      <c r="AI485" s="71" t="str">
        <f>IF(Tradingbook_MSB[[#This Row],[Days (year)]]=0,0,INDEX(Ref!$K$2:$K$13,MATCH(Tradingbook_MSB[[#This Row],[Days (year)]],Ref!$I$2:$I$13,1)))</f>
        <v>7Y</v>
      </c>
      <c r="AJ485" s="120" t="str">
        <f>VLOOKUP(Tradingbook_MSB[[#This Row],[Security Name]],Ref!X:Z,3,0)</f>
        <v>TPCPBL</v>
      </c>
      <c r="AK485" s="120" t="str">
        <f>VLOOKUP(Tradingbook_MSB[[#This Row],[Security Name]],Ref!X:Y,2,0)</f>
        <v>VBS</v>
      </c>
      <c r="AL485" s="71">
        <f>IF((Tradingbook_MSB[[#This Row],[Mat. Date]]-RPT)&lt;=0,0,Tradingbook_MSB[[#This Row],[QUANTITY]])</f>
        <v>0</v>
      </c>
      <c r="AM485" s="71">
        <f>IF(Tradingbook_MSB[[#This Row],[Quantity_edited]]=0,0,Tradingbook_MSB[[#This Row],[DURATION]])</f>
        <v>0</v>
      </c>
      <c r="AN485" s="71">
        <f>IF(Tradingbook_MSB[[#This Row],[Quantity_edited]]=0,0,Tradingbook_MSB[[#This Row],[Mod Dur]])</f>
        <v>0</v>
      </c>
      <c r="AO485" s="71">
        <f>IF(Tradingbook_MSB[[#This Row],[Quantity_edited]]=0,0,Tradingbook_MSB[[#This Row],[Cnvx.]])</f>
        <v>0</v>
      </c>
      <c r="AP485" s="71">
        <f>(Tradingbook_MSB[[#This Row],[MARKET_VALUE]]+Tradingbook_MSB[[#This Row],[Accr Int]]*Tradingbook_MSB[[#This Row],[Quantity_edited]])*(-Tradingbook_MSB[[#This Row],[Modified Duration]]*0.0001+0.5*Tradingbook_MSB[[#This Row],[Conv]]*(0.0001^2))</f>
        <v>0</v>
      </c>
      <c r="AQ485" s="72">
        <f>(Tradingbook_MSB[[#This Row],[MARKET_VALUE]]+Tradingbook_MSB[[#This Row],[Accr Int]]*Tradingbook_MSB[[#This Row],[Quantity_edited]])*(-Tradingbook_MSB[[#This Row],[Modified Duration]]*0.01+0.5*Tradingbook_MSB[[#This Row],[Conv]]*(0.01^2))</f>
        <v>0</v>
      </c>
      <c r="CL485" t="s">
        <v>166</v>
      </c>
      <c r="CM485" t="s">
        <v>3302</v>
      </c>
      <c r="CN485" t="s">
        <v>3118</v>
      </c>
      <c r="CO485" t="s">
        <v>169</v>
      </c>
      <c r="CP485">
        <v>49395</v>
      </c>
      <c r="CQ485" t="s">
        <v>3322</v>
      </c>
      <c r="CR485" t="s">
        <v>4408</v>
      </c>
      <c r="CS485" t="s">
        <v>4409</v>
      </c>
      <c r="CT485">
        <v>0</v>
      </c>
      <c r="CU485">
        <v>0</v>
      </c>
      <c r="CV485">
        <v>0</v>
      </c>
      <c r="CW485">
        <v>0</v>
      </c>
      <c r="CX485">
        <v>2.9</v>
      </c>
      <c r="CY485">
        <v>1144</v>
      </c>
      <c r="CZ485">
        <v>0</v>
      </c>
      <c r="DA485">
        <v>3.0000000000000001E-6</v>
      </c>
      <c r="DB485">
        <v>-6262377066.6666889</v>
      </c>
      <c r="DC485">
        <v>4.38332619</v>
      </c>
      <c r="DD485">
        <v>7</v>
      </c>
      <c r="DE485">
        <v>8</v>
      </c>
      <c r="DF485">
        <v>64</v>
      </c>
      <c r="DG485">
        <v>0</v>
      </c>
      <c r="DH485">
        <v>0</v>
      </c>
      <c r="DI485">
        <v>0</v>
      </c>
      <c r="DJ485">
        <v>1655000000</v>
      </c>
      <c r="DK485">
        <v>0</v>
      </c>
      <c r="DL485">
        <v>1655000000</v>
      </c>
      <c r="DM485">
        <v>1655000000</v>
      </c>
      <c r="DN485">
        <v>1655000000</v>
      </c>
      <c r="DO485">
        <v>1655000000</v>
      </c>
      <c r="DP485" s="32">
        <f>Tradingbook_SBV[[#This Row],[Mat. Date]]-RPT</f>
        <v>3143</v>
      </c>
      <c r="DQ485" s="32">
        <f>IF(Tradingbook_SBV[[#This Row],[Days]]&lt;=0,0,YEARFRAC(RPT,Tradingbook_SBV[[#This Row],[Mat. Date]],3))</f>
        <v>8.6109589041095891</v>
      </c>
      <c r="DR485" s="32" t="str">
        <f>IF(Tradingbook_SBV[[#This Row],[Days (year)]]=0,0,INDEX(Ref!$K$2:$K$13,MATCH(Tradingbook_SBV[[#This Row],[Days (year)]],Ref!$I$2:$I$13,1)))</f>
        <v>10Y</v>
      </c>
      <c r="DS485" s="32" t="str">
        <f>VLOOKUP(Tradingbook_SBV[[#This Row],[Security Name]],Ref!X:Z,3,0)</f>
        <v>TPCP</v>
      </c>
      <c r="DT485" s="32" t="str">
        <f>VLOOKUP(Tradingbook_SBV[[#This Row],[Security Name]],Ref!X:Y,2,0)</f>
        <v>KBNN</v>
      </c>
      <c r="DU485" s="71">
        <f>IF((Tradingbook_SBV[[#This Row],[Mat. Date]]-RPT)&lt;=0,0,Tradingbook_SBV[[#This Row],[QUANTITY]])</f>
        <v>0</v>
      </c>
      <c r="DV485" s="71">
        <f>IF(Tradingbook_SBV[[#This Row],[Quantity_edited]]=0,0,Tradingbook_SBV[[#This Row],[DURATION]])</f>
        <v>0</v>
      </c>
      <c r="DW485" s="71">
        <f>IF(Tradingbook_SBV[[#This Row],[Quantity_edited]]=0,0,Tradingbook_SBV[[#This Row],[Mod Dur]])</f>
        <v>0</v>
      </c>
      <c r="DX485" s="71">
        <f>IF(Tradingbook_SBV[[#This Row],[Quantity_edited]]=0,0,Tradingbook_SBV[[#This Row],[Cnvx.]])</f>
        <v>0</v>
      </c>
      <c r="DY485" s="71">
        <f>(Tradingbook_SBV[[#This Row],[MARKET_VALUE]]+Tradingbook_SBV[[#This Row],[Accr Int]]*Tradingbook_SBV[[#This Row],[Quantity_edited]])*(-Tradingbook_SBV[[#This Row],[Modified Duration]]*0.0001+0.5*Tradingbook_SBV[[#This Row],[Conv]]*(0.0001^2))</f>
        <v>0</v>
      </c>
      <c r="DZ485" s="71">
        <f>(Tradingbook_SBV[[#This Row],[MARKET_VALUE]]+Tradingbook_SBV[[#This Row],[Accr Int]]*Tradingbook_SBV[[#This Row],[Quantity_edited]])*(-Tradingbook_SBV[[#This Row],[Modified Duration]]*0.01+0.5*Tradingbook_SBV[[#This Row],[Conv]]*(0.01^2))</f>
        <v>0</v>
      </c>
    </row>
    <row r="486" spans="2:130" x14ac:dyDescent="0.3">
      <c r="B486" t="s">
        <v>166</v>
      </c>
      <c r="C486" t="s">
        <v>3301</v>
      </c>
      <c r="D486" t="s">
        <v>662</v>
      </c>
      <c r="E486" t="s">
        <v>169</v>
      </c>
      <c r="F486" s="502">
        <v>48868</v>
      </c>
      <c r="G486" t="s">
        <v>3322</v>
      </c>
      <c r="H486">
        <v>107009</v>
      </c>
      <c r="I486">
        <v>107009</v>
      </c>
      <c r="J486" s="38">
        <v>0</v>
      </c>
      <c r="K486">
        <v>0</v>
      </c>
      <c r="L486">
        <v>0</v>
      </c>
      <c r="M486" s="38">
        <v>0</v>
      </c>
      <c r="N486">
        <v>6</v>
      </c>
      <c r="O486">
        <v>5030</v>
      </c>
      <c r="P486" s="37">
        <v>0</v>
      </c>
      <c r="Q486" s="37">
        <v>7.9999999999999996E-6</v>
      </c>
      <c r="R486" s="37">
        <v>-18180753.888900757</v>
      </c>
      <c r="S486">
        <v>4.8164629049999999</v>
      </c>
      <c r="T486" s="70">
        <v>5.5360707499987001</v>
      </c>
      <c r="U486">
        <v>5.8027135400000001</v>
      </c>
      <c r="V486">
        <v>40.603767387841998</v>
      </c>
      <c r="W486">
        <v>0</v>
      </c>
      <c r="X486" s="38">
        <v>0</v>
      </c>
      <c r="Y486">
        <v>0</v>
      </c>
      <c r="Z486" s="70">
        <v>-8000000</v>
      </c>
      <c r="AA486" s="70">
        <v>0</v>
      </c>
      <c r="AB486" s="70">
        <v>-8000000</v>
      </c>
      <c r="AC486" s="70">
        <v>-8000000</v>
      </c>
      <c r="AD486" s="70">
        <v>-8000000</v>
      </c>
      <c r="AE486" s="70">
        <v>-8000000</v>
      </c>
      <c r="AF486">
        <v>0</v>
      </c>
      <c r="AG486" s="72">
        <f>Tradingbook_MSB[[#This Row],[Mat. Date]]-RPT</f>
        <v>2616</v>
      </c>
      <c r="AH486" s="71">
        <f>IF(Tradingbook_MSB[[#This Row],[Days]]&lt;=0,0,YEARFRAC(RPT,Tradingbook_MSB[[#This Row],[Mat. Date]],3))</f>
        <v>7.1671232876712327</v>
      </c>
      <c r="AI486" s="71" t="str">
        <f>IF(Tradingbook_MSB[[#This Row],[Days (year)]]=0,0,INDEX(Ref!$K$2:$K$13,MATCH(Tradingbook_MSB[[#This Row],[Days (year)]],Ref!$I$2:$I$13,1)))</f>
        <v>7Y</v>
      </c>
      <c r="AJ486" s="120" t="str">
        <f>VLOOKUP(Tradingbook_MSB[[#This Row],[Security Name]],Ref!X:Z,3,0)</f>
        <v>TPCPBL</v>
      </c>
      <c r="AK486" s="120" t="str">
        <f>VLOOKUP(Tradingbook_MSB[[#This Row],[Security Name]],Ref!X:Y,2,0)</f>
        <v>VBS</v>
      </c>
      <c r="AL486" s="71">
        <f>IF((Tradingbook_MSB[[#This Row],[Mat. Date]]-RPT)&lt;=0,0,Tradingbook_MSB[[#This Row],[QUANTITY]])</f>
        <v>0</v>
      </c>
      <c r="AM486" s="71">
        <f>IF(Tradingbook_MSB[[#This Row],[Quantity_edited]]=0,0,Tradingbook_MSB[[#This Row],[DURATION]])</f>
        <v>0</v>
      </c>
      <c r="AN486" s="71">
        <f>IF(Tradingbook_MSB[[#This Row],[Quantity_edited]]=0,0,Tradingbook_MSB[[#This Row],[Mod Dur]])</f>
        <v>0</v>
      </c>
      <c r="AO486" s="71">
        <f>IF(Tradingbook_MSB[[#This Row],[Quantity_edited]]=0,0,Tradingbook_MSB[[#This Row],[Cnvx.]])</f>
        <v>0</v>
      </c>
      <c r="AP486" s="71">
        <f>(Tradingbook_MSB[[#This Row],[MARKET_VALUE]]+Tradingbook_MSB[[#This Row],[Accr Int]]*Tradingbook_MSB[[#This Row],[Quantity_edited]])*(-Tradingbook_MSB[[#This Row],[Modified Duration]]*0.0001+0.5*Tradingbook_MSB[[#This Row],[Conv]]*(0.0001^2))</f>
        <v>0</v>
      </c>
      <c r="AQ486" s="72">
        <f>(Tradingbook_MSB[[#This Row],[MARKET_VALUE]]+Tradingbook_MSB[[#This Row],[Accr Int]]*Tradingbook_MSB[[#This Row],[Quantity_edited]])*(-Tradingbook_MSB[[#This Row],[Modified Duration]]*0.01+0.5*Tradingbook_MSB[[#This Row],[Conv]]*(0.01^2))</f>
        <v>0</v>
      </c>
      <c r="CL486" t="s">
        <v>166</v>
      </c>
      <c r="CM486" t="s">
        <v>3302</v>
      </c>
      <c r="CN486" t="s">
        <v>685</v>
      </c>
      <c r="CO486" t="s">
        <v>169</v>
      </c>
      <c r="CP486">
        <v>49443</v>
      </c>
      <c r="CQ486" t="s">
        <v>3322</v>
      </c>
      <c r="CR486" t="s">
        <v>4410</v>
      </c>
      <c r="CS486" t="s">
        <v>4411</v>
      </c>
      <c r="CT486">
        <v>0</v>
      </c>
      <c r="CU486">
        <v>0</v>
      </c>
      <c r="CV486">
        <v>0</v>
      </c>
      <c r="CW486">
        <v>0</v>
      </c>
      <c r="CX486">
        <v>2.9</v>
      </c>
      <c r="CY486">
        <v>763</v>
      </c>
      <c r="CZ486">
        <v>0</v>
      </c>
      <c r="DA486">
        <v>-3.9999999999999998E-6</v>
      </c>
      <c r="DB486">
        <v>1736183816.4583263</v>
      </c>
      <c r="DC486">
        <v>4.3894531929999996</v>
      </c>
      <c r="DD486">
        <v>7</v>
      </c>
      <c r="DE486">
        <v>8</v>
      </c>
      <c r="DF486">
        <v>66</v>
      </c>
      <c r="DG486">
        <v>0</v>
      </c>
      <c r="DH486">
        <v>0</v>
      </c>
      <c r="DI486">
        <v>0</v>
      </c>
      <c r="DJ486">
        <v>13573500000.000244</v>
      </c>
      <c r="DK486">
        <v>0</v>
      </c>
      <c r="DL486">
        <v>13573500000.000244</v>
      </c>
      <c r="DM486">
        <v>13573500000.000244</v>
      </c>
      <c r="DN486">
        <v>13573500000</v>
      </c>
      <c r="DO486">
        <v>13573500000.000244</v>
      </c>
      <c r="DP486" s="32">
        <f>Tradingbook_SBV[[#This Row],[Mat. Date]]-RPT</f>
        <v>3191</v>
      </c>
      <c r="DQ486" s="32">
        <f>IF(Tradingbook_SBV[[#This Row],[Days]]&lt;=0,0,YEARFRAC(RPT,Tradingbook_SBV[[#This Row],[Mat. Date]],3))</f>
        <v>8.742465753424657</v>
      </c>
      <c r="DR486" s="32" t="str">
        <f>IF(Tradingbook_SBV[[#This Row],[Days (year)]]=0,0,INDEX(Ref!$K$2:$K$13,MATCH(Tradingbook_SBV[[#This Row],[Days (year)]],Ref!$I$2:$I$13,1)))</f>
        <v>10Y</v>
      </c>
      <c r="DS486" s="32" t="str">
        <f>VLOOKUP(Tradingbook_SBV[[#This Row],[Security Name]],Ref!X:Z,3,0)</f>
        <v>TPCP</v>
      </c>
      <c r="DT486" s="32" t="str">
        <f>VLOOKUP(Tradingbook_SBV[[#This Row],[Security Name]],Ref!X:Y,2,0)</f>
        <v>KBNN</v>
      </c>
      <c r="DU486" s="71">
        <f>IF((Tradingbook_SBV[[#This Row],[Mat. Date]]-RPT)&lt;=0,0,Tradingbook_SBV[[#This Row],[QUANTITY]])</f>
        <v>0</v>
      </c>
      <c r="DV486" s="71">
        <f>IF(Tradingbook_SBV[[#This Row],[Quantity_edited]]=0,0,Tradingbook_SBV[[#This Row],[DURATION]])</f>
        <v>0</v>
      </c>
      <c r="DW486" s="71">
        <f>IF(Tradingbook_SBV[[#This Row],[Quantity_edited]]=0,0,Tradingbook_SBV[[#This Row],[Mod Dur]])</f>
        <v>0</v>
      </c>
      <c r="DX486" s="71">
        <f>IF(Tradingbook_SBV[[#This Row],[Quantity_edited]]=0,0,Tradingbook_SBV[[#This Row],[Cnvx.]])</f>
        <v>0</v>
      </c>
      <c r="DY486" s="71">
        <f>(Tradingbook_SBV[[#This Row],[MARKET_VALUE]]+Tradingbook_SBV[[#This Row],[Accr Int]]*Tradingbook_SBV[[#This Row],[Quantity_edited]])*(-Tradingbook_SBV[[#This Row],[Modified Duration]]*0.0001+0.5*Tradingbook_SBV[[#This Row],[Conv]]*(0.0001^2))</f>
        <v>0</v>
      </c>
      <c r="DZ486" s="71">
        <f>(Tradingbook_SBV[[#This Row],[MARKET_VALUE]]+Tradingbook_SBV[[#This Row],[Accr Int]]*Tradingbook_SBV[[#This Row],[Quantity_edited]])*(-Tradingbook_SBV[[#This Row],[Modified Duration]]*0.01+0.5*Tradingbook_SBV[[#This Row],[Conv]]*(0.01^2))</f>
        <v>0</v>
      </c>
    </row>
    <row r="487" spans="2:130" x14ac:dyDescent="0.3">
      <c r="B487" t="s">
        <v>166</v>
      </c>
      <c r="C487" t="s">
        <v>3301</v>
      </c>
      <c r="D487" t="s">
        <v>2774</v>
      </c>
      <c r="E487" t="s">
        <v>169</v>
      </c>
      <c r="F487" s="502">
        <v>48897</v>
      </c>
      <c r="G487" t="s">
        <v>170</v>
      </c>
      <c r="H487">
        <v>90876</v>
      </c>
      <c r="I487">
        <v>90876</v>
      </c>
      <c r="J487" s="38">
        <v>2500000</v>
      </c>
      <c r="K487">
        <v>250000000000</v>
      </c>
      <c r="L487">
        <v>100602.333</v>
      </c>
      <c r="M487" s="38">
        <v>227190000000</v>
      </c>
      <c r="N487">
        <v>3.3</v>
      </c>
      <c r="O487">
        <v>2504</v>
      </c>
      <c r="P487" s="37">
        <v>16500000000</v>
      </c>
      <c r="Q487" s="37">
        <v>17579122916.666679</v>
      </c>
      <c r="R487" s="37">
        <v>-25223011211.805542</v>
      </c>
      <c r="S487">
        <v>4.8202100659999996</v>
      </c>
      <c r="T487" s="70">
        <v>6.0558459993377003</v>
      </c>
      <c r="U487">
        <v>6.3477505000000001</v>
      </c>
      <c r="V487">
        <v>45.901692843722799</v>
      </c>
      <c r="W487">
        <v>107157.5019436708</v>
      </c>
      <c r="X487" s="38">
        <v>-141373.72485453801</v>
      </c>
      <c r="Y487">
        <v>30111.499</v>
      </c>
      <c r="Z487" s="70">
        <v>1040833333.3333576</v>
      </c>
      <c r="AA487" s="70">
        <v>-24315833333.333321</v>
      </c>
      <c r="AB487" s="70">
        <v>-23274999999.999962</v>
      </c>
      <c r="AC487" s="70">
        <v>-23274999999.999962</v>
      </c>
      <c r="AD487" s="70">
        <v>-23275000000</v>
      </c>
      <c r="AE487" s="70">
        <v>-23274999999.999962</v>
      </c>
      <c r="AF487">
        <v>3.2257666669999998</v>
      </c>
      <c r="AG487" s="72">
        <f>Tradingbook_MSB[[#This Row],[Mat. Date]]-RPT</f>
        <v>2645</v>
      </c>
      <c r="AH487" s="71">
        <f>IF(Tradingbook_MSB[[#This Row],[Days]]&lt;=0,0,YEARFRAC(RPT,Tradingbook_MSB[[#This Row],[Mat. Date]],3))</f>
        <v>7.2465753424657535</v>
      </c>
      <c r="AI487" s="71" t="str">
        <f>IF(Tradingbook_MSB[[#This Row],[Days (year)]]=0,0,INDEX(Ref!$K$2:$K$13,MATCH(Tradingbook_MSB[[#This Row],[Days (year)]],Ref!$I$2:$I$13,1)))</f>
        <v>7Y</v>
      </c>
      <c r="AJ487" s="120" t="str">
        <f>VLOOKUP(Tradingbook_MSB[[#This Row],[Security Name]],Ref!X:Z,3,0)</f>
        <v>TPCPBL</v>
      </c>
      <c r="AK487" s="120" t="str">
        <f>VLOOKUP(Tradingbook_MSB[[#This Row],[Security Name]],Ref!X:Y,2,0)</f>
        <v>VBS</v>
      </c>
      <c r="AL487" s="71">
        <f>IF((Tradingbook_MSB[[#This Row],[Mat. Date]]-RPT)&lt;=0,0,Tradingbook_MSB[[#This Row],[QUANTITY]])</f>
        <v>2500000</v>
      </c>
      <c r="AM487" s="71">
        <f>IF(Tradingbook_MSB[[#This Row],[Quantity_edited]]=0,0,Tradingbook_MSB[[#This Row],[DURATION]])</f>
        <v>6.3477505000000001</v>
      </c>
      <c r="AN487" s="71">
        <f>IF(Tradingbook_MSB[[#This Row],[Quantity_edited]]=0,0,Tradingbook_MSB[[#This Row],[Mod Dur]])</f>
        <v>6.0558459993377003</v>
      </c>
      <c r="AO487" s="71">
        <f>IF(Tradingbook_MSB[[#This Row],[Quantity_edited]]=0,0,Tradingbook_MSB[[#This Row],[Cnvx.]])</f>
        <v>45.901692843722799</v>
      </c>
      <c r="AP487" s="71">
        <f>(Tradingbook_MSB[[#This Row],[MARKET_VALUE]]+Tradingbook_MSB[[#This Row],[Accr Int]]*Tradingbook_MSB[[#This Row],[Quantity_edited]])*(-Tradingbook_MSB[[#This Row],[Modified Duration]]*0.0001+0.5*Tradingbook_MSB[[#This Row],[Conv]]*(0.0001^2))</f>
        <v>-141320146.1035668</v>
      </c>
      <c r="AQ487" s="72">
        <f>(Tradingbook_MSB[[#This Row],[MARKET_VALUE]]+Tradingbook_MSB[[#This Row],[Accr Int]]*Tradingbook_MSB[[#This Row],[Quantity_edited]])*(-Tradingbook_MSB[[#This Row],[Modified Duration]]*0.01+0.5*Tradingbook_MSB[[#This Row],[Conv]]*(0.01^2))</f>
        <v>-13601584975.735508</v>
      </c>
      <c r="CL487" t="s">
        <v>166</v>
      </c>
      <c r="CM487" t="s">
        <v>3302</v>
      </c>
      <c r="CN487" t="s">
        <v>686</v>
      </c>
      <c r="CO487" t="s">
        <v>169</v>
      </c>
      <c r="CP487">
        <v>49478</v>
      </c>
      <c r="CQ487" t="s">
        <v>3322</v>
      </c>
      <c r="CR487" t="s">
        <v>4412</v>
      </c>
      <c r="CS487" t="s">
        <v>4413</v>
      </c>
      <c r="CT487">
        <v>0</v>
      </c>
      <c r="CU487">
        <v>0</v>
      </c>
      <c r="CV487">
        <v>0</v>
      </c>
      <c r="CW487">
        <v>0</v>
      </c>
      <c r="CX487">
        <v>3.1</v>
      </c>
      <c r="CY487">
        <v>518</v>
      </c>
      <c r="CZ487">
        <v>0</v>
      </c>
      <c r="DA487">
        <v>-1.4E-5</v>
      </c>
      <c r="DB487">
        <v>1040877834.0972013</v>
      </c>
      <c r="DC487">
        <v>4.3938817869999998</v>
      </c>
      <c r="DD487">
        <v>7</v>
      </c>
      <c r="DE487">
        <v>8</v>
      </c>
      <c r="DF487">
        <v>67</v>
      </c>
      <c r="DG487">
        <v>0</v>
      </c>
      <c r="DH487">
        <v>0</v>
      </c>
      <c r="DI487">
        <v>0</v>
      </c>
      <c r="DJ487">
        <v>6692000000</v>
      </c>
      <c r="DK487">
        <v>0</v>
      </c>
      <c r="DL487">
        <v>6692000000</v>
      </c>
      <c r="DM487">
        <v>6692000000</v>
      </c>
      <c r="DN487">
        <v>6692000000</v>
      </c>
      <c r="DO487">
        <v>6692000000</v>
      </c>
      <c r="DP487" s="32">
        <f>Tradingbook_SBV[[#This Row],[Mat. Date]]-RPT</f>
        <v>3226</v>
      </c>
      <c r="DQ487" s="32">
        <f>IF(Tradingbook_SBV[[#This Row],[Days]]&lt;=0,0,YEARFRAC(RPT,Tradingbook_SBV[[#This Row],[Mat. Date]],3))</f>
        <v>8.838356164383562</v>
      </c>
      <c r="DR487" s="32" t="str">
        <f>IF(Tradingbook_SBV[[#This Row],[Days (year)]]=0,0,INDEX(Ref!$K$2:$K$13,MATCH(Tradingbook_SBV[[#This Row],[Days (year)]],Ref!$I$2:$I$13,1)))</f>
        <v>10Y</v>
      </c>
      <c r="DS487" s="32" t="str">
        <f>VLOOKUP(Tradingbook_SBV[[#This Row],[Security Name]],Ref!X:Z,3,0)</f>
        <v>TPCP</v>
      </c>
      <c r="DT487" s="32" t="str">
        <f>VLOOKUP(Tradingbook_SBV[[#This Row],[Security Name]],Ref!X:Y,2,0)</f>
        <v>KBNN</v>
      </c>
      <c r="DU487" s="71">
        <f>IF((Tradingbook_SBV[[#This Row],[Mat. Date]]-RPT)&lt;=0,0,Tradingbook_SBV[[#This Row],[QUANTITY]])</f>
        <v>0</v>
      </c>
      <c r="DV487" s="71">
        <f>IF(Tradingbook_SBV[[#This Row],[Quantity_edited]]=0,0,Tradingbook_SBV[[#This Row],[DURATION]])</f>
        <v>0</v>
      </c>
      <c r="DW487" s="71">
        <f>IF(Tradingbook_SBV[[#This Row],[Quantity_edited]]=0,0,Tradingbook_SBV[[#This Row],[Mod Dur]])</f>
        <v>0</v>
      </c>
      <c r="DX487" s="71">
        <f>IF(Tradingbook_SBV[[#This Row],[Quantity_edited]]=0,0,Tradingbook_SBV[[#This Row],[Cnvx.]])</f>
        <v>0</v>
      </c>
      <c r="DY487" s="71">
        <f>(Tradingbook_SBV[[#This Row],[MARKET_VALUE]]+Tradingbook_SBV[[#This Row],[Accr Int]]*Tradingbook_SBV[[#This Row],[Quantity_edited]])*(-Tradingbook_SBV[[#This Row],[Modified Duration]]*0.0001+0.5*Tradingbook_SBV[[#This Row],[Conv]]*(0.0001^2))</f>
        <v>0</v>
      </c>
      <c r="DZ487" s="71">
        <f>(Tradingbook_SBV[[#This Row],[MARKET_VALUE]]+Tradingbook_SBV[[#This Row],[Accr Int]]*Tradingbook_SBV[[#This Row],[Quantity_edited]])*(-Tradingbook_SBV[[#This Row],[Modified Duration]]*0.01+0.5*Tradingbook_SBV[[#This Row],[Conv]]*(0.01^2))</f>
        <v>0</v>
      </c>
    </row>
    <row r="488" spans="2:130" x14ac:dyDescent="0.3">
      <c r="B488" t="s">
        <v>166</v>
      </c>
      <c r="C488" t="s">
        <v>3301</v>
      </c>
      <c r="D488" t="s">
        <v>1204</v>
      </c>
      <c r="E488" t="s">
        <v>169</v>
      </c>
      <c r="F488" s="502">
        <v>48898</v>
      </c>
      <c r="G488" t="s">
        <v>3322</v>
      </c>
      <c r="H488">
        <v>105963</v>
      </c>
      <c r="I488">
        <v>105963</v>
      </c>
      <c r="J488" s="38">
        <v>0</v>
      </c>
      <c r="K488">
        <v>0</v>
      </c>
      <c r="L488">
        <v>0</v>
      </c>
      <c r="M488" s="38">
        <v>0</v>
      </c>
      <c r="N488">
        <v>5.3</v>
      </c>
      <c r="O488">
        <v>4008</v>
      </c>
      <c r="P488" s="37">
        <v>2650000000</v>
      </c>
      <c r="Q488" s="37">
        <v>2880207708.3333378</v>
      </c>
      <c r="R488" s="37">
        <v>-2513912897.9166598</v>
      </c>
      <c r="S488">
        <v>4.320333196</v>
      </c>
      <c r="T488" s="70">
        <v>5.7642829126548998</v>
      </c>
      <c r="U488">
        <v>6.0133191400000001</v>
      </c>
      <c r="V488">
        <v>43.155053225863298</v>
      </c>
      <c r="W488">
        <v>0</v>
      </c>
      <c r="X488" s="38">
        <v>0</v>
      </c>
      <c r="Y488">
        <v>0</v>
      </c>
      <c r="Z488" s="70">
        <v>-2463500000</v>
      </c>
      <c r="AA488" s="70">
        <v>0</v>
      </c>
      <c r="AB488" s="70">
        <v>-2463500000</v>
      </c>
      <c r="AC488" s="70">
        <v>-2463500000</v>
      </c>
      <c r="AD488" s="70">
        <v>-2463500000</v>
      </c>
      <c r="AE488" s="70">
        <v>-2463500000</v>
      </c>
      <c r="AF488">
        <v>0</v>
      </c>
      <c r="AG488" s="72">
        <f>Tradingbook_MSB[[#This Row],[Mat. Date]]-RPT</f>
        <v>2646</v>
      </c>
      <c r="AH488" s="71">
        <f>IF(Tradingbook_MSB[[#This Row],[Days]]&lt;=0,0,YEARFRAC(RPT,Tradingbook_MSB[[#This Row],[Mat. Date]],3))</f>
        <v>7.2493150684931509</v>
      </c>
      <c r="AI488" s="71" t="str">
        <f>IF(Tradingbook_MSB[[#This Row],[Days (year)]]=0,0,INDEX(Ref!$K$2:$K$13,MATCH(Tradingbook_MSB[[#This Row],[Days (year)]],Ref!$I$2:$I$13,1)))</f>
        <v>7Y</v>
      </c>
      <c r="AJ488" s="120" t="str">
        <f>VLOOKUP(Tradingbook_MSB[[#This Row],[Security Name]],Ref!X:Z,3,0)</f>
        <v>TPCP</v>
      </c>
      <c r="AK488" s="120" t="str">
        <f>VLOOKUP(Tradingbook_MSB[[#This Row],[Security Name]],Ref!X:Y,2,0)</f>
        <v>KBNN</v>
      </c>
      <c r="AL488" s="71">
        <f>IF((Tradingbook_MSB[[#This Row],[Mat. Date]]-RPT)&lt;=0,0,Tradingbook_MSB[[#This Row],[QUANTITY]])</f>
        <v>0</v>
      </c>
      <c r="AM488" s="71">
        <f>IF(Tradingbook_MSB[[#This Row],[Quantity_edited]]=0,0,Tradingbook_MSB[[#This Row],[DURATION]])</f>
        <v>0</v>
      </c>
      <c r="AN488" s="71">
        <f>IF(Tradingbook_MSB[[#This Row],[Quantity_edited]]=0,0,Tradingbook_MSB[[#This Row],[Mod Dur]])</f>
        <v>0</v>
      </c>
      <c r="AO488" s="71">
        <f>IF(Tradingbook_MSB[[#This Row],[Quantity_edited]]=0,0,Tradingbook_MSB[[#This Row],[Cnvx.]])</f>
        <v>0</v>
      </c>
      <c r="AP488" s="71">
        <f>(Tradingbook_MSB[[#This Row],[MARKET_VALUE]]+Tradingbook_MSB[[#This Row],[Accr Int]]*Tradingbook_MSB[[#This Row],[Quantity_edited]])*(-Tradingbook_MSB[[#This Row],[Modified Duration]]*0.0001+0.5*Tradingbook_MSB[[#This Row],[Conv]]*(0.0001^2))</f>
        <v>0</v>
      </c>
      <c r="AQ488" s="72">
        <f>(Tradingbook_MSB[[#This Row],[MARKET_VALUE]]+Tradingbook_MSB[[#This Row],[Accr Int]]*Tradingbook_MSB[[#This Row],[Quantity_edited]])*(-Tradingbook_MSB[[#This Row],[Modified Duration]]*0.01+0.5*Tradingbook_MSB[[#This Row],[Conv]]*(0.01^2))</f>
        <v>0</v>
      </c>
      <c r="CL488" t="s">
        <v>166</v>
      </c>
      <c r="CM488" t="s">
        <v>3302</v>
      </c>
      <c r="CN488" t="s">
        <v>687</v>
      </c>
      <c r="CO488" t="s">
        <v>169</v>
      </c>
      <c r="CP488">
        <v>49499</v>
      </c>
      <c r="CQ488" t="s">
        <v>3322</v>
      </c>
      <c r="CR488" t="s">
        <v>4414</v>
      </c>
      <c r="CS488" t="s">
        <v>4415</v>
      </c>
      <c r="CT488">
        <v>0</v>
      </c>
      <c r="CU488">
        <v>0</v>
      </c>
      <c r="CV488">
        <v>0</v>
      </c>
      <c r="CW488">
        <v>0</v>
      </c>
      <c r="CX488">
        <v>3</v>
      </c>
      <c r="CY488">
        <v>329</v>
      </c>
      <c r="CZ488">
        <v>6000000000</v>
      </c>
      <c r="DA488">
        <v>6940155833.333292</v>
      </c>
      <c r="DB488">
        <v>-4158543409.583271</v>
      </c>
      <c r="DC488">
        <v>4.3965104589999999</v>
      </c>
      <c r="DD488">
        <v>8</v>
      </c>
      <c r="DE488">
        <v>8</v>
      </c>
      <c r="DF488">
        <v>68</v>
      </c>
      <c r="DG488">
        <v>0</v>
      </c>
      <c r="DH488">
        <v>0</v>
      </c>
      <c r="DI488">
        <v>0</v>
      </c>
      <c r="DJ488">
        <v>-18781000000</v>
      </c>
      <c r="DK488">
        <v>0</v>
      </c>
      <c r="DL488">
        <v>-18781000000</v>
      </c>
      <c r="DM488">
        <v>-18781000000</v>
      </c>
      <c r="DN488">
        <v>-18781000000</v>
      </c>
      <c r="DO488">
        <v>-18781000000</v>
      </c>
      <c r="DP488" s="32">
        <f>Tradingbook_SBV[[#This Row],[Mat. Date]]-RPT</f>
        <v>3247</v>
      </c>
      <c r="DQ488" s="32">
        <f>IF(Tradingbook_SBV[[#This Row],[Days]]&lt;=0,0,YEARFRAC(RPT,Tradingbook_SBV[[#This Row],[Mat. Date]],3))</f>
        <v>8.8958904109589039</v>
      </c>
      <c r="DR488" s="32" t="str">
        <f>IF(Tradingbook_SBV[[#This Row],[Days (year)]]=0,0,INDEX(Ref!$K$2:$K$13,MATCH(Tradingbook_SBV[[#This Row],[Days (year)]],Ref!$I$2:$I$13,1)))</f>
        <v>10Y</v>
      </c>
      <c r="DS488" s="32" t="str">
        <f>VLOOKUP(Tradingbook_SBV[[#This Row],[Security Name]],Ref!X:Z,3,0)</f>
        <v>TPCP</v>
      </c>
      <c r="DT488" s="32" t="str">
        <f>VLOOKUP(Tradingbook_SBV[[#This Row],[Security Name]],Ref!X:Y,2,0)</f>
        <v>KBNN</v>
      </c>
      <c r="DU488" s="71">
        <f>IF((Tradingbook_SBV[[#This Row],[Mat. Date]]-RPT)&lt;=0,0,Tradingbook_SBV[[#This Row],[QUANTITY]])</f>
        <v>0</v>
      </c>
      <c r="DV488" s="71">
        <f>IF(Tradingbook_SBV[[#This Row],[Quantity_edited]]=0,0,Tradingbook_SBV[[#This Row],[DURATION]])</f>
        <v>0</v>
      </c>
      <c r="DW488" s="71">
        <f>IF(Tradingbook_SBV[[#This Row],[Quantity_edited]]=0,0,Tradingbook_SBV[[#This Row],[Mod Dur]])</f>
        <v>0</v>
      </c>
      <c r="DX488" s="71">
        <f>IF(Tradingbook_SBV[[#This Row],[Quantity_edited]]=0,0,Tradingbook_SBV[[#This Row],[Cnvx.]])</f>
        <v>0</v>
      </c>
      <c r="DY488" s="71">
        <f>(Tradingbook_SBV[[#This Row],[MARKET_VALUE]]+Tradingbook_SBV[[#This Row],[Accr Int]]*Tradingbook_SBV[[#This Row],[Quantity_edited]])*(-Tradingbook_SBV[[#This Row],[Modified Duration]]*0.0001+0.5*Tradingbook_SBV[[#This Row],[Conv]]*(0.0001^2))</f>
        <v>0</v>
      </c>
      <c r="DZ488" s="71">
        <f>(Tradingbook_SBV[[#This Row],[MARKET_VALUE]]+Tradingbook_SBV[[#This Row],[Accr Int]]*Tradingbook_SBV[[#This Row],[Quantity_edited]])*(-Tradingbook_SBV[[#This Row],[Modified Duration]]*0.01+0.5*Tradingbook_SBV[[#This Row],[Conv]]*(0.01^2))</f>
        <v>0</v>
      </c>
    </row>
    <row r="489" spans="2:130" x14ac:dyDescent="0.3">
      <c r="B489" t="s">
        <v>166</v>
      </c>
      <c r="C489" t="s">
        <v>3301</v>
      </c>
      <c r="D489" t="s">
        <v>2779</v>
      </c>
      <c r="E489" t="s">
        <v>169</v>
      </c>
      <c r="F489" s="502">
        <v>48900</v>
      </c>
      <c r="G489" t="s">
        <v>170</v>
      </c>
      <c r="H489">
        <v>89666</v>
      </c>
      <c r="I489">
        <v>89666</v>
      </c>
      <c r="J489" s="38">
        <v>3500000</v>
      </c>
      <c r="K489">
        <v>350000000000</v>
      </c>
      <c r="L489">
        <v>100035.633</v>
      </c>
      <c r="M489" s="38">
        <v>313831000000</v>
      </c>
      <c r="N489">
        <v>3.1</v>
      </c>
      <c r="O489">
        <v>2327</v>
      </c>
      <c r="P489" s="37">
        <v>21700000000</v>
      </c>
      <c r="Q489" s="37">
        <v>23109761597.222252</v>
      </c>
      <c r="R489" s="37">
        <v>-33758283424.305489</v>
      </c>
      <c r="S489">
        <v>4.8205569959999996</v>
      </c>
      <c r="T489" s="70">
        <v>6.1035684561021002</v>
      </c>
      <c r="U489">
        <v>6.3977944500000001</v>
      </c>
      <c r="V489">
        <v>46.398306297195397</v>
      </c>
      <c r="W489">
        <v>149391.1786919263</v>
      </c>
      <c r="X489" s="38">
        <v>-196519.950543771</v>
      </c>
      <c r="Y489">
        <v>41532.860999999997</v>
      </c>
      <c r="Z489" s="70">
        <v>16524716666.666769</v>
      </c>
      <c r="AA489" s="70">
        <v>-36293716666.666656</v>
      </c>
      <c r="AB489" s="70">
        <v>-19768999999.999886</v>
      </c>
      <c r="AC489" s="70">
        <v>-19768999999.999886</v>
      </c>
      <c r="AD489" s="70">
        <v>-19769000000</v>
      </c>
      <c r="AE489" s="70">
        <v>-19768999999.999886</v>
      </c>
      <c r="AF489">
        <v>3.0917225639999999</v>
      </c>
      <c r="AG489" s="72">
        <f>Tradingbook_MSB[[#This Row],[Mat. Date]]-RPT</f>
        <v>2648</v>
      </c>
      <c r="AH489" s="71">
        <f>IF(Tradingbook_MSB[[#This Row],[Days]]&lt;=0,0,YEARFRAC(RPT,Tradingbook_MSB[[#This Row],[Mat. Date]],3))</f>
        <v>7.2547945205479456</v>
      </c>
      <c r="AI489" s="71" t="str">
        <f>IF(Tradingbook_MSB[[#This Row],[Days (year)]]=0,0,INDEX(Ref!$K$2:$K$13,MATCH(Tradingbook_MSB[[#This Row],[Days (year)]],Ref!$I$2:$I$13,1)))</f>
        <v>7Y</v>
      </c>
      <c r="AJ489" s="120" t="str">
        <f>VLOOKUP(Tradingbook_MSB[[#This Row],[Security Name]],Ref!X:Z,3,0)</f>
        <v>TPCPBL</v>
      </c>
      <c r="AK489" s="120" t="str">
        <f>VLOOKUP(Tradingbook_MSB[[#This Row],[Security Name]],Ref!X:Y,2,0)</f>
        <v>VBS</v>
      </c>
      <c r="AL489" s="71">
        <f>IF((Tradingbook_MSB[[#This Row],[Mat. Date]]-RPT)&lt;=0,0,Tradingbook_MSB[[#This Row],[QUANTITY]])</f>
        <v>3500000</v>
      </c>
      <c r="AM489" s="71">
        <f>IF(Tradingbook_MSB[[#This Row],[Quantity_edited]]=0,0,Tradingbook_MSB[[#This Row],[DURATION]])</f>
        <v>6.3977944500000001</v>
      </c>
      <c r="AN489" s="71">
        <f>IF(Tradingbook_MSB[[#This Row],[Quantity_edited]]=0,0,Tradingbook_MSB[[#This Row],[Mod Dur]])</f>
        <v>6.1035684561021002</v>
      </c>
      <c r="AO489" s="71">
        <f>IF(Tradingbook_MSB[[#This Row],[Quantity_edited]]=0,0,Tradingbook_MSB[[#This Row],[Cnvx.]])</f>
        <v>46.398306297195397</v>
      </c>
      <c r="AP489" s="71">
        <f>(Tradingbook_MSB[[#This Row],[MARKET_VALUE]]+Tradingbook_MSB[[#This Row],[Accr Int]]*Tradingbook_MSB[[#This Row],[Quantity_edited]])*(-Tradingbook_MSB[[#This Row],[Modified Duration]]*0.0001+0.5*Tradingbook_MSB[[#This Row],[Conv]]*(0.0001^2))</f>
        <v>-196445254.95442423</v>
      </c>
      <c r="AQ489" s="72">
        <f>(Tradingbook_MSB[[#This Row],[MARKET_VALUE]]+Tradingbook_MSB[[#This Row],[Accr Int]]*Tradingbook_MSB[[#This Row],[Quantity_edited]])*(-Tradingbook_MSB[[#This Row],[Modified Duration]]*0.01+0.5*Tradingbook_MSB[[#This Row],[Conv]]*(0.01^2))</f>
        <v>-18905039160.917385</v>
      </c>
      <c r="CL489" t="s">
        <v>166</v>
      </c>
      <c r="CM489" t="s">
        <v>3302</v>
      </c>
      <c r="CN489" t="s">
        <v>3317</v>
      </c>
      <c r="CO489" t="s">
        <v>169</v>
      </c>
      <c r="CP489">
        <v>49528</v>
      </c>
      <c r="CQ489" t="s">
        <v>170</v>
      </c>
      <c r="CR489" t="s">
        <v>4416</v>
      </c>
      <c r="CS489" t="s">
        <v>4417</v>
      </c>
      <c r="CT489">
        <v>4000000</v>
      </c>
      <c r="CU489">
        <v>400000000000</v>
      </c>
      <c r="CV489">
        <v>98394.188999999998</v>
      </c>
      <c r="CW489">
        <v>367948000000</v>
      </c>
      <c r="CX489">
        <v>3.3</v>
      </c>
      <c r="CY489">
        <v>99</v>
      </c>
      <c r="CZ489">
        <v>13200000000</v>
      </c>
      <c r="DA489">
        <v>13220771666.666677</v>
      </c>
      <c r="DB489">
        <v>-31627605997.222347</v>
      </c>
      <c r="DC489">
        <v>4.4002330660000002</v>
      </c>
      <c r="DD489">
        <v>8</v>
      </c>
      <c r="DE489">
        <v>8</v>
      </c>
      <c r="DF489">
        <v>69</v>
      </c>
      <c r="DG489">
        <v>252467</v>
      </c>
      <c r="DH489">
        <v>-276852</v>
      </c>
      <c r="DI489">
        <v>43459</v>
      </c>
      <c r="DJ489">
        <v>2150756756.7567167</v>
      </c>
      <c r="DK489">
        <v>-25628756756.756744</v>
      </c>
      <c r="DL489">
        <v>-23478000000.000027</v>
      </c>
      <c r="DM489">
        <v>-23478000000.000027</v>
      </c>
      <c r="DN489">
        <v>-23478000000</v>
      </c>
      <c r="DO489">
        <v>-23478000000.000027</v>
      </c>
      <c r="DP489" s="32">
        <f>Tradingbook_SBV[[#This Row],[Mat. Date]]-RPT</f>
        <v>3276</v>
      </c>
      <c r="DQ489" s="32">
        <f>IF(Tradingbook_SBV[[#This Row],[Days]]&lt;=0,0,YEARFRAC(RPT,Tradingbook_SBV[[#This Row],[Mat. Date]],3))</f>
        <v>8.9753424657534246</v>
      </c>
      <c r="DR489" s="32" t="str">
        <f>IF(Tradingbook_SBV[[#This Row],[Days (year)]]=0,0,INDEX(Ref!$K$2:$K$13,MATCH(Tradingbook_SBV[[#This Row],[Days (year)]],Ref!$I$2:$I$13,1)))</f>
        <v>10Y</v>
      </c>
      <c r="DS489" s="32" t="str">
        <f>VLOOKUP(Tradingbook_SBV[[#This Row],[Security Name]],Ref!X:Z,3,0)</f>
        <v>TPCP</v>
      </c>
      <c r="DT489" s="32" t="str">
        <f>VLOOKUP(Tradingbook_SBV[[#This Row],[Security Name]],Ref!X:Y,2,0)</f>
        <v>KBNN</v>
      </c>
      <c r="DU489" s="71">
        <f>IF((Tradingbook_SBV[[#This Row],[Mat. Date]]-RPT)&lt;=0,0,Tradingbook_SBV[[#This Row],[QUANTITY]])</f>
        <v>4000000</v>
      </c>
      <c r="DV489" s="71">
        <f>IF(Tradingbook_SBV[[#This Row],[Quantity_edited]]=0,0,Tradingbook_SBV[[#This Row],[DURATION]])</f>
        <v>8</v>
      </c>
      <c r="DW489" s="71">
        <f>IF(Tradingbook_SBV[[#This Row],[Quantity_edited]]=0,0,Tradingbook_SBV[[#This Row],[Mod Dur]])</f>
        <v>8</v>
      </c>
      <c r="DX489" s="71">
        <f>IF(Tradingbook_SBV[[#This Row],[Quantity_edited]]=0,0,Tradingbook_SBV[[#This Row],[Cnvx.]])</f>
        <v>69</v>
      </c>
      <c r="DY489" s="71">
        <f>(Tradingbook_SBV[[#This Row],[MARKET_VALUE]]+Tradingbook_SBV[[#This Row],[Accr Int]]*Tradingbook_SBV[[#This Row],[Quantity_edited]])*(-Tradingbook_SBV[[#This Row],[Modified Duration]]*0.0001+0.5*Tradingbook_SBV[[#This Row],[Conv]]*(0.0001^2))</f>
        <v>-294548121.31999999</v>
      </c>
      <c r="DZ489" s="71">
        <f>(Tradingbook_SBV[[#This Row],[MARKET_VALUE]]+Tradingbook_SBV[[#This Row],[Accr Int]]*Tradingbook_SBV[[#This Row],[Quantity_edited]])*(-Tradingbook_SBV[[#This Row],[Modified Duration]]*0.01+0.5*Tradingbook_SBV[[#This Row],[Conv]]*(0.01^2))</f>
        <v>-28196733200.000004</v>
      </c>
    </row>
    <row r="490" spans="2:130" x14ac:dyDescent="0.3">
      <c r="B490" t="s">
        <v>166</v>
      </c>
      <c r="C490" t="s">
        <v>3301</v>
      </c>
      <c r="D490" t="s">
        <v>2781</v>
      </c>
      <c r="E490" t="s">
        <v>169</v>
      </c>
      <c r="F490" s="502">
        <v>48904</v>
      </c>
      <c r="G490" t="s">
        <v>170</v>
      </c>
      <c r="H490">
        <v>89050</v>
      </c>
      <c r="I490">
        <v>89050</v>
      </c>
      <c r="J490" s="38">
        <v>5000000</v>
      </c>
      <c r="K490">
        <v>500000000000</v>
      </c>
      <c r="L490">
        <v>100587.273</v>
      </c>
      <c r="M490" s="38">
        <v>445250000000</v>
      </c>
      <c r="N490">
        <v>3</v>
      </c>
      <c r="O490">
        <v>2219</v>
      </c>
      <c r="P490" s="37">
        <v>0</v>
      </c>
      <c r="Q490" s="37">
        <v>9.9999999999999995E-7</v>
      </c>
      <c r="R490" s="37">
        <v>296022844.44443673</v>
      </c>
      <c r="S490">
        <v>4.8209929970000003</v>
      </c>
      <c r="T490" s="70">
        <v>6.1343824948699002</v>
      </c>
      <c r="U490">
        <v>6.4301206500000001</v>
      </c>
      <c r="V490">
        <v>46.737549240753502</v>
      </c>
      <c r="W490">
        <v>213284.46908271659</v>
      </c>
      <c r="X490" s="38">
        <v>-279939.47796214098</v>
      </c>
      <c r="Y490">
        <v>58870.902999999998</v>
      </c>
      <c r="Z490" s="70">
        <v>6712363636.3636761</v>
      </c>
      <c r="AA490" s="70">
        <v>-57686363636.363602</v>
      </c>
      <c r="AB490" s="70">
        <v>-50973999999.999924</v>
      </c>
      <c r="AC490" s="70">
        <v>-50973999999.999924</v>
      </c>
      <c r="AD490" s="70">
        <v>-50974000000</v>
      </c>
      <c r="AE490" s="70">
        <v>-50973999999.999924</v>
      </c>
      <c r="AF490">
        <v>2.9090909090000001</v>
      </c>
      <c r="AG490" s="72">
        <f>Tradingbook_MSB[[#This Row],[Mat. Date]]-RPT</f>
        <v>2652</v>
      </c>
      <c r="AH490" s="71">
        <f>IF(Tradingbook_MSB[[#This Row],[Days]]&lt;=0,0,YEARFRAC(RPT,Tradingbook_MSB[[#This Row],[Mat. Date]],3))</f>
        <v>7.2657534246575342</v>
      </c>
      <c r="AI490" s="71" t="str">
        <f>IF(Tradingbook_MSB[[#This Row],[Days (year)]]=0,0,INDEX(Ref!$K$2:$K$13,MATCH(Tradingbook_MSB[[#This Row],[Days (year)]],Ref!$I$2:$I$13,1)))</f>
        <v>7Y</v>
      </c>
      <c r="AJ490" s="120" t="str">
        <f>VLOOKUP(Tradingbook_MSB[[#This Row],[Security Name]],Ref!X:Z,3,0)</f>
        <v>TPCPBL</v>
      </c>
      <c r="AK490" s="120" t="str">
        <f>VLOOKUP(Tradingbook_MSB[[#This Row],[Security Name]],Ref!X:Y,2,0)</f>
        <v>VBS</v>
      </c>
      <c r="AL490" s="71">
        <f>IF((Tradingbook_MSB[[#This Row],[Mat. Date]]-RPT)&lt;=0,0,Tradingbook_MSB[[#This Row],[QUANTITY]])</f>
        <v>5000000</v>
      </c>
      <c r="AM490" s="71">
        <f>IF(Tradingbook_MSB[[#This Row],[Quantity_edited]]=0,0,Tradingbook_MSB[[#This Row],[DURATION]])</f>
        <v>6.4301206500000001</v>
      </c>
      <c r="AN490" s="71">
        <f>IF(Tradingbook_MSB[[#This Row],[Quantity_edited]]=0,0,Tradingbook_MSB[[#This Row],[Mod Dur]])</f>
        <v>6.1343824948699002</v>
      </c>
      <c r="AO490" s="71">
        <f>IF(Tradingbook_MSB[[#This Row],[Quantity_edited]]=0,0,Tradingbook_MSB[[#This Row],[Cnvx.]])</f>
        <v>46.737549240753502</v>
      </c>
      <c r="AP490" s="71">
        <f>(Tradingbook_MSB[[#This Row],[MARKET_VALUE]]+Tradingbook_MSB[[#This Row],[Accr Int]]*Tradingbook_MSB[[#This Row],[Quantity_edited]])*(-Tradingbook_MSB[[#This Row],[Modified Duration]]*0.0001+0.5*Tradingbook_MSB[[#This Row],[Conv]]*(0.0001^2))</f>
        <v>-279832835.72759914</v>
      </c>
      <c r="AQ490" s="72">
        <f>(Tradingbook_MSB[[#This Row],[MARKET_VALUE]]+Tradingbook_MSB[[#This Row],[Accr Int]]*Tradingbook_MSB[[#This Row],[Quantity_edited]])*(-Tradingbook_MSB[[#This Row],[Modified Duration]]*0.01+0.5*Tradingbook_MSB[[#This Row],[Conv]]*(0.01^2))</f>
        <v>-26927525450.800465</v>
      </c>
      <c r="CL490" t="s">
        <v>166</v>
      </c>
      <c r="CM490" t="s">
        <v>3302</v>
      </c>
      <c r="CN490" t="s">
        <v>688</v>
      </c>
      <c r="CO490" t="s">
        <v>169</v>
      </c>
      <c r="CP490">
        <v>49548</v>
      </c>
      <c r="CQ490" t="s">
        <v>3322</v>
      </c>
      <c r="CR490" t="s">
        <v>4418</v>
      </c>
      <c r="CS490" t="s">
        <v>4419</v>
      </c>
      <c r="CT490">
        <v>0</v>
      </c>
      <c r="CU490">
        <v>0</v>
      </c>
      <c r="CV490">
        <v>0</v>
      </c>
      <c r="CW490">
        <v>0</v>
      </c>
      <c r="CX490">
        <v>3</v>
      </c>
      <c r="CY490">
        <v>2926</v>
      </c>
      <c r="CZ490">
        <v>13500000000</v>
      </c>
      <c r="DA490">
        <v>15509780416.666555</v>
      </c>
      <c r="DB490">
        <v>-11255790904.443855</v>
      </c>
      <c r="DC490">
        <v>4.4026616780000003</v>
      </c>
      <c r="DD490">
        <v>7</v>
      </c>
      <c r="DE490">
        <v>8</v>
      </c>
      <c r="DF490">
        <v>68</v>
      </c>
      <c r="DG490">
        <v>0</v>
      </c>
      <c r="DH490">
        <v>0</v>
      </c>
      <c r="DI490">
        <v>0</v>
      </c>
      <c r="DJ490">
        <v>-35517500000</v>
      </c>
      <c r="DK490">
        <v>0</v>
      </c>
      <c r="DL490">
        <v>-35517500000</v>
      </c>
      <c r="DM490">
        <v>-35517500000</v>
      </c>
      <c r="DN490">
        <v>-35517500000</v>
      </c>
      <c r="DO490">
        <v>-35517500000</v>
      </c>
      <c r="DP490" s="32">
        <f>Tradingbook_SBV[[#This Row],[Mat. Date]]-RPT</f>
        <v>3296</v>
      </c>
      <c r="DQ490" s="32">
        <f>IF(Tradingbook_SBV[[#This Row],[Days]]&lt;=0,0,YEARFRAC(RPT,Tradingbook_SBV[[#This Row],[Mat. Date]],3))</f>
        <v>9.0301369863013701</v>
      </c>
      <c r="DR490" s="32" t="str">
        <f>IF(Tradingbook_SBV[[#This Row],[Days (year)]]=0,0,INDEX(Ref!$K$2:$K$13,MATCH(Tradingbook_SBV[[#This Row],[Days (year)]],Ref!$I$2:$I$13,1)))</f>
        <v>10Y</v>
      </c>
      <c r="DS490" s="32" t="str">
        <f>VLOOKUP(Tradingbook_SBV[[#This Row],[Security Name]],Ref!X:Z,3,0)</f>
        <v>TPCP</v>
      </c>
      <c r="DT490" s="32" t="str">
        <f>VLOOKUP(Tradingbook_SBV[[#This Row],[Security Name]],Ref!X:Y,2,0)</f>
        <v>KBNN</v>
      </c>
      <c r="DU490" s="71">
        <f>IF((Tradingbook_SBV[[#This Row],[Mat. Date]]-RPT)&lt;=0,0,Tradingbook_SBV[[#This Row],[QUANTITY]])</f>
        <v>0</v>
      </c>
      <c r="DV490" s="71">
        <f>IF(Tradingbook_SBV[[#This Row],[Quantity_edited]]=0,0,Tradingbook_SBV[[#This Row],[DURATION]])</f>
        <v>0</v>
      </c>
      <c r="DW490" s="71">
        <f>IF(Tradingbook_SBV[[#This Row],[Quantity_edited]]=0,0,Tradingbook_SBV[[#This Row],[Mod Dur]])</f>
        <v>0</v>
      </c>
      <c r="DX490" s="71">
        <f>IF(Tradingbook_SBV[[#This Row],[Quantity_edited]]=0,0,Tradingbook_SBV[[#This Row],[Cnvx.]])</f>
        <v>0</v>
      </c>
      <c r="DY490" s="71">
        <f>(Tradingbook_SBV[[#This Row],[MARKET_VALUE]]+Tradingbook_SBV[[#This Row],[Accr Int]]*Tradingbook_SBV[[#This Row],[Quantity_edited]])*(-Tradingbook_SBV[[#This Row],[Modified Duration]]*0.0001+0.5*Tradingbook_SBV[[#This Row],[Conv]]*(0.0001^2))</f>
        <v>0</v>
      </c>
      <c r="DZ490" s="71">
        <f>(Tradingbook_SBV[[#This Row],[MARKET_VALUE]]+Tradingbook_SBV[[#This Row],[Accr Int]]*Tradingbook_SBV[[#This Row],[Quantity_edited]])*(-Tradingbook_SBV[[#This Row],[Modified Duration]]*0.01+0.5*Tradingbook_SBV[[#This Row],[Conv]]*(0.01^2))</f>
        <v>0</v>
      </c>
    </row>
    <row r="491" spans="2:130" x14ac:dyDescent="0.3">
      <c r="B491" t="s">
        <v>166</v>
      </c>
      <c r="C491" t="s">
        <v>3301</v>
      </c>
      <c r="D491" t="s">
        <v>2794</v>
      </c>
      <c r="E491" t="s">
        <v>169</v>
      </c>
      <c r="F491" s="502">
        <v>48920</v>
      </c>
      <c r="G491" t="s">
        <v>3322</v>
      </c>
      <c r="H491">
        <v>86931</v>
      </c>
      <c r="I491">
        <v>86931</v>
      </c>
      <c r="J491" s="38">
        <v>0</v>
      </c>
      <c r="K491">
        <v>0</v>
      </c>
      <c r="L491">
        <v>0</v>
      </c>
      <c r="M491" s="38">
        <v>0</v>
      </c>
      <c r="N491">
        <v>2.2000000000000002</v>
      </c>
      <c r="O491">
        <v>1531</v>
      </c>
      <c r="P491" s="37">
        <v>3300000000</v>
      </c>
      <c r="Q491" s="37">
        <v>3577837083.3333349</v>
      </c>
      <c r="R491" s="37">
        <v>-3393383425.6944189</v>
      </c>
      <c r="S491">
        <v>4.3230796659999999</v>
      </c>
      <c r="T491" s="70">
        <v>6.3943559531145997</v>
      </c>
      <c r="U491">
        <v>6.6707890599999997</v>
      </c>
      <c r="V491">
        <v>49.630501505283299</v>
      </c>
      <c r="W491">
        <v>0</v>
      </c>
      <c r="X491" s="38">
        <v>0</v>
      </c>
      <c r="Y491">
        <v>0</v>
      </c>
      <c r="Z491" s="70">
        <v>-3843000000</v>
      </c>
      <c r="AA491" s="70">
        <v>0</v>
      </c>
      <c r="AB491" s="70">
        <v>-3843000000</v>
      </c>
      <c r="AC491" s="70">
        <v>-3843000000</v>
      </c>
      <c r="AD491" s="70">
        <v>-3843000000</v>
      </c>
      <c r="AE491" s="70">
        <v>-3843000000</v>
      </c>
      <c r="AF491">
        <v>0</v>
      </c>
      <c r="AG491" s="72">
        <f>Tradingbook_MSB[[#This Row],[Mat. Date]]-RPT</f>
        <v>2668</v>
      </c>
      <c r="AH491" s="71">
        <f>IF(Tradingbook_MSB[[#This Row],[Days]]&lt;=0,0,YEARFRAC(RPT,Tradingbook_MSB[[#This Row],[Mat. Date]],3))</f>
        <v>7.3095890410958901</v>
      </c>
      <c r="AI491" s="71" t="str">
        <f>IF(Tradingbook_MSB[[#This Row],[Days (year)]]=0,0,INDEX(Ref!$K$2:$K$13,MATCH(Tradingbook_MSB[[#This Row],[Days (year)]],Ref!$I$2:$I$13,1)))</f>
        <v>7Y</v>
      </c>
      <c r="AJ491" s="120" t="str">
        <f>VLOOKUP(Tradingbook_MSB[[#This Row],[Security Name]],Ref!X:Z,3,0)</f>
        <v>TPCP</v>
      </c>
      <c r="AK491" s="120" t="str">
        <f>VLOOKUP(Tradingbook_MSB[[#This Row],[Security Name]],Ref!X:Y,2,0)</f>
        <v>KBNN</v>
      </c>
      <c r="AL491" s="71">
        <f>IF((Tradingbook_MSB[[#This Row],[Mat. Date]]-RPT)&lt;=0,0,Tradingbook_MSB[[#This Row],[QUANTITY]])</f>
        <v>0</v>
      </c>
      <c r="AM491" s="71">
        <f>IF(Tradingbook_MSB[[#This Row],[Quantity_edited]]=0,0,Tradingbook_MSB[[#This Row],[DURATION]])</f>
        <v>0</v>
      </c>
      <c r="AN491" s="71">
        <f>IF(Tradingbook_MSB[[#This Row],[Quantity_edited]]=0,0,Tradingbook_MSB[[#This Row],[Mod Dur]])</f>
        <v>0</v>
      </c>
      <c r="AO491" s="71">
        <f>IF(Tradingbook_MSB[[#This Row],[Quantity_edited]]=0,0,Tradingbook_MSB[[#This Row],[Cnvx.]])</f>
        <v>0</v>
      </c>
      <c r="AP491" s="71">
        <f>(Tradingbook_MSB[[#This Row],[MARKET_VALUE]]+Tradingbook_MSB[[#This Row],[Accr Int]]*Tradingbook_MSB[[#This Row],[Quantity_edited]])*(-Tradingbook_MSB[[#This Row],[Modified Duration]]*0.0001+0.5*Tradingbook_MSB[[#This Row],[Conv]]*(0.0001^2))</f>
        <v>0</v>
      </c>
      <c r="AQ491" s="72">
        <f>(Tradingbook_MSB[[#This Row],[MARKET_VALUE]]+Tradingbook_MSB[[#This Row],[Accr Int]]*Tradingbook_MSB[[#This Row],[Quantity_edited]])*(-Tradingbook_MSB[[#This Row],[Modified Duration]]*0.01+0.5*Tradingbook_MSB[[#This Row],[Conv]]*(0.01^2))</f>
        <v>0</v>
      </c>
      <c r="CL491" t="s">
        <v>166</v>
      </c>
      <c r="CM491" t="s">
        <v>3302</v>
      </c>
      <c r="CN491" t="s">
        <v>689</v>
      </c>
      <c r="CO491" t="s">
        <v>169</v>
      </c>
      <c r="CP491">
        <v>49583</v>
      </c>
      <c r="CQ491" t="s">
        <v>3322</v>
      </c>
      <c r="CR491" t="s">
        <v>4420</v>
      </c>
      <c r="CS491" t="s">
        <v>4421</v>
      </c>
      <c r="CT491">
        <v>0</v>
      </c>
      <c r="CU491">
        <v>0</v>
      </c>
      <c r="CV491">
        <v>0</v>
      </c>
      <c r="CW491">
        <v>0</v>
      </c>
      <c r="CX491">
        <v>2.9</v>
      </c>
      <c r="CY491">
        <v>2550</v>
      </c>
      <c r="CZ491">
        <v>1450000000</v>
      </c>
      <c r="DA491">
        <v>1674583249.99999</v>
      </c>
      <c r="DB491">
        <v>-721037244.99994659</v>
      </c>
      <c r="DC491">
        <v>4.4071988129999999</v>
      </c>
      <c r="DD491">
        <v>8</v>
      </c>
      <c r="DE491">
        <v>8</v>
      </c>
      <c r="DF491">
        <v>70</v>
      </c>
      <c r="DG491">
        <v>0</v>
      </c>
      <c r="DH491">
        <v>0</v>
      </c>
      <c r="DI491">
        <v>0</v>
      </c>
      <c r="DJ491">
        <v>-2431000000</v>
      </c>
      <c r="DK491">
        <v>0</v>
      </c>
      <c r="DL491">
        <v>-2431000000</v>
      </c>
      <c r="DM491">
        <v>-2431000000</v>
      </c>
      <c r="DN491">
        <v>-2431000000</v>
      </c>
      <c r="DO491">
        <v>-2431000000</v>
      </c>
      <c r="DP491" s="32">
        <f>Tradingbook_SBV[[#This Row],[Mat. Date]]-RPT</f>
        <v>3331</v>
      </c>
      <c r="DQ491" s="32">
        <f>IF(Tradingbook_SBV[[#This Row],[Days]]&lt;=0,0,YEARFRAC(RPT,Tradingbook_SBV[[#This Row],[Mat. Date]],3))</f>
        <v>9.1260273972602732</v>
      </c>
      <c r="DR491" s="32" t="str">
        <f>IF(Tradingbook_SBV[[#This Row],[Days (year)]]=0,0,INDEX(Ref!$K$2:$K$13,MATCH(Tradingbook_SBV[[#This Row],[Days (year)]],Ref!$I$2:$I$13,1)))</f>
        <v>10Y</v>
      </c>
      <c r="DS491" s="32" t="str">
        <f>VLOOKUP(Tradingbook_SBV[[#This Row],[Security Name]],Ref!X:Z,3,0)</f>
        <v>TPCP</v>
      </c>
      <c r="DT491" s="32" t="str">
        <f>VLOOKUP(Tradingbook_SBV[[#This Row],[Security Name]],Ref!X:Y,2,0)</f>
        <v>KBNN</v>
      </c>
      <c r="DU491" s="71">
        <f>IF((Tradingbook_SBV[[#This Row],[Mat. Date]]-RPT)&lt;=0,0,Tradingbook_SBV[[#This Row],[QUANTITY]])</f>
        <v>0</v>
      </c>
      <c r="DV491" s="71">
        <f>IF(Tradingbook_SBV[[#This Row],[Quantity_edited]]=0,0,Tradingbook_SBV[[#This Row],[DURATION]])</f>
        <v>0</v>
      </c>
      <c r="DW491" s="71">
        <f>IF(Tradingbook_SBV[[#This Row],[Quantity_edited]]=0,0,Tradingbook_SBV[[#This Row],[Mod Dur]])</f>
        <v>0</v>
      </c>
      <c r="DX491" s="71">
        <f>IF(Tradingbook_SBV[[#This Row],[Quantity_edited]]=0,0,Tradingbook_SBV[[#This Row],[Cnvx.]])</f>
        <v>0</v>
      </c>
      <c r="DY491" s="71">
        <f>(Tradingbook_SBV[[#This Row],[MARKET_VALUE]]+Tradingbook_SBV[[#This Row],[Accr Int]]*Tradingbook_SBV[[#This Row],[Quantity_edited]])*(-Tradingbook_SBV[[#This Row],[Modified Duration]]*0.0001+0.5*Tradingbook_SBV[[#This Row],[Conv]]*(0.0001^2))</f>
        <v>0</v>
      </c>
      <c r="DZ491" s="71">
        <f>(Tradingbook_SBV[[#This Row],[MARKET_VALUE]]+Tradingbook_SBV[[#This Row],[Accr Int]]*Tradingbook_SBV[[#This Row],[Quantity_edited]])*(-Tradingbook_SBV[[#This Row],[Modified Duration]]*0.01+0.5*Tradingbook_SBV[[#This Row],[Conv]]*(0.01^2))</f>
        <v>0</v>
      </c>
    </row>
    <row r="492" spans="2:130" x14ac:dyDescent="0.3">
      <c r="B492" t="s">
        <v>166</v>
      </c>
      <c r="C492" t="s">
        <v>3301</v>
      </c>
      <c r="D492" t="s">
        <v>663</v>
      </c>
      <c r="E492" t="s">
        <v>169</v>
      </c>
      <c r="F492" s="502">
        <v>48925</v>
      </c>
      <c r="G492" t="s">
        <v>3322</v>
      </c>
      <c r="H492">
        <v>107080</v>
      </c>
      <c r="I492">
        <v>107080</v>
      </c>
      <c r="J492" s="38">
        <v>0</v>
      </c>
      <c r="K492">
        <v>0</v>
      </c>
      <c r="L492">
        <v>0</v>
      </c>
      <c r="M492" s="38">
        <v>0</v>
      </c>
      <c r="N492">
        <v>6</v>
      </c>
      <c r="O492">
        <v>4093</v>
      </c>
      <c r="P492" s="37">
        <v>21000000000</v>
      </c>
      <c r="Q492" s="37">
        <v>24377517499.999954</v>
      </c>
      <c r="R492" s="37">
        <v>-672480331.94435883</v>
      </c>
      <c r="S492">
        <v>4.8237351080000002</v>
      </c>
      <c r="T492" s="70">
        <v>5.6843248526084</v>
      </c>
      <c r="U492">
        <v>5.9585216299999999</v>
      </c>
      <c r="V492">
        <v>42.408683351731</v>
      </c>
      <c r="W492">
        <v>0</v>
      </c>
      <c r="X492" s="38">
        <v>0</v>
      </c>
      <c r="Y492">
        <v>0</v>
      </c>
      <c r="Z492" s="70">
        <v>2176500000</v>
      </c>
      <c r="AA492" s="70">
        <v>0</v>
      </c>
      <c r="AB492" s="70">
        <v>2176500000</v>
      </c>
      <c r="AC492" s="70">
        <v>2176500000</v>
      </c>
      <c r="AD492" s="70">
        <v>2176500000</v>
      </c>
      <c r="AE492" s="70">
        <v>2176500000</v>
      </c>
      <c r="AF492">
        <v>0</v>
      </c>
      <c r="AG492" s="72">
        <f>Tradingbook_MSB[[#This Row],[Mat. Date]]-RPT</f>
        <v>2673</v>
      </c>
      <c r="AH492" s="71">
        <f>IF(Tradingbook_MSB[[#This Row],[Days]]&lt;=0,0,YEARFRAC(RPT,Tradingbook_MSB[[#This Row],[Mat. Date]],3))</f>
        <v>7.3232876712328769</v>
      </c>
      <c r="AI492" s="71" t="str">
        <f>IF(Tradingbook_MSB[[#This Row],[Days (year)]]=0,0,INDEX(Ref!$K$2:$K$13,MATCH(Tradingbook_MSB[[#This Row],[Days (year)]],Ref!$I$2:$I$13,1)))</f>
        <v>7Y</v>
      </c>
      <c r="AJ492" s="120" t="str">
        <f>VLOOKUP(Tradingbook_MSB[[#This Row],[Security Name]],Ref!X:Z,3,0)</f>
        <v>TPCPBL</v>
      </c>
      <c r="AK492" s="120" t="str">
        <f>VLOOKUP(Tradingbook_MSB[[#This Row],[Security Name]],Ref!X:Y,2,0)</f>
        <v>VDB</v>
      </c>
      <c r="AL492" s="71">
        <f>IF((Tradingbook_MSB[[#This Row],[Mat. Date]]-RPT)&lt;=0,0,Tradingbook_MSB[[#This Row],[QUANTITY]])</f>
        <v>0</v>
      </c>
      <c r="AM492" s="71">
        <f>IF(Tradingbook_MSB[[#This Row],[Quantity_edited]]=0,0,Tradingbook_MSB[[#This Row],[DURATION]])</f>
        <v>0</v>
      </c>
      <c r="AN492" s="71">
        <f>IF(Tradingbook_MSB[[#This Row],[Quantity_edited]]=0,0,Tradingbook_MSB[[#This Row],[Mod Dur]])</f>
        <v>0</v>
      </c>
      <c r="AO492" s="71">
        <f>IF(Tradingbook_MSB[[#This Row],[Quantity_edited]]=0,0,Tradingbook_MSB[[#This Row],[Cnvx.]])</f>
        <v>0</v>
      </c>
      <c r="AP492" s="71">
        <f>(Tradingbook_MSB[[#This Row],[MARKET_VALUE]]+Tradingbook_MSB[[#This Row],[Accr Int]]*Tradingbook_MSB[[#This Row],[Quantity_edited]])*(-Tradingbook_MSB[[#This Row],[Modified Duration]]*0.0001+0.5*Tradingbook_MSB[[#This Row],[Conv]]*(0.0001^2))</f>
        <v>0</v>
      </c>
      <c r="AQ492" s="72">
        <f>(Tradingbook_MSB[[#This Row],[MARKET_VALUE]]+Tradingbook_MSB[[#This Row],[Accr Int]]*Tradingbook_MSB[[#This Row],[Quantity_edited]])*(-Tradingbook_MSB[[#This Row],[Modified Duration]]*0.01+0.5*Tradingbook_MSB[[#This Row],[Conv]]*(0.01^2))</f>
        <v>0</v>
      </c>
      <c r="CL492" t="s">
        <v>166</v>
      </c>
      <c r="CM492" t="s">
        <v>3302</v>
      </c>
      <c r="CN492" t="s">
        <v>690</v>
      </c>
      <c r="CO492" t="s">
        <v>169</v>
      </c>
      <c r="CP492">
        <v>49597</v>
      </c>
      <c r="CQ492" t="s">
        <v>3322</v>
      </c>
      <c r="CR492" t="s">
        <v>4422</v>
      </c>
      <c r="CS492" t="s">
        <v>4423</v>
      </c>
      <c r="CT492">
        <v>0</v>
      </c>
      <c r="CU492">
        <v>0</v>
      </c>
      <c r="CV492">
        <v>0</v>
      </c>
      <c r="CW492">
        <v>0</v>
      </c>
      <c r="CX492">
        <v>2.7</v>
      </c>
      <c r="CY492">
        <v>2271</v>
      </c>
      <c r="CZ492">
        <v>0</v>
      </c>
      <c r="DA492">
        <v>-3.0000000000000001E-6</v>
      </c>
      <c r="DB492">
        <v>488366088.12500668</v>
      </c>
      <c r="DC492">
        <v>4.4088647920000001</v>
      </c>
      <c r="DD492">
        <v>8</v>
      </c>
      <c r="DE492">
        <v>8</v>
      </c>
      <c r="DF492">
        <v>71</v>
      </c>
      <c r="DG492">
        <v>0</v>
      </c>
      <c r="DH492">
        <v>0</v>
      </c>
      <c r="DI492">
        <v>0</v>
      </c>
      <c r="DJ492">
        <v>2863500000</v>
      </c>
      <c r="DK492">
        <v>0</v>
      </c>
      <c r="DL492">
        <v>2863500000</v>
      </c>
      <c r="DM492">
        <v>2863500000</v>
      </c>
      <c r="DN492">
        <v>2863500000</v>
      </c>
      <c r="DO492">
        <v>2863500000</v>
      </c>
      <c r="DP492" s="32">
        <f>Tradingbook_SBV[[#This Row],[Mat. Date]]-RPT</f>
        <v>3345</v>
      </c>
      <c r="DQ492" s="32">
        <f>IF(Tradingbook_SBV[[#This Row],[Days]]&lt;=0,0,YEARFRAC(RPT,Tradingbook_SBV[[#This Row],[Mat. Date]],3))</f>
        <v>9.1643835616438363</v>
      </c>
      <c r="DR492" s="32" t="str">
        <f>IF(Tradingbook_SBV[[#This Row],[Days (year)]]=0,0,INDEX(Ref!$K$2:$K$13,MATCH(Tradingbook_SBV[[#This Row],[Days (year)]],Ref!$I$2:$I$13,1)))</f>
        <v>10Y</v>
      </c>
      <c r="DS492" s="32" t="str">
        <f>VLOOKUP(Tradingbook_SBV[[#This Row],[Security Name]],Ref!X:Z,3,0)</f>
        <v>TPCP</v>
      </c>
      <c r="DT492" s="32" t="str">
        <f>VLOOKUP(Tradingbook_SBV[[#This Row],[Security Name]],Ref!X:Y,2,0)</f>
        <v>KBNN</v>
      </c>
      <c r="DU492" s="71">
        <f>IF((Tradingbook_SBV[[#This Row],[Mat. Date]]-RPT)&lt;=0,0,Tradingbook_SBV[[#This Row],[QUANTITY]])</f>
        <v>0</v>
      </c>
      <c r="DV492" s="71">
        <f>IF(Tradingbook_SBV[[#This Row],[Quantity_edited]]=0,0,Tradingbook_SBV[[#This Row],[DURATION]])</f>
        <v>0</v>
      </c>
      <c r="DW492" s="71">
        <f>IF(Tradingbook_SBV[[#This Row],[Quantity_edited]]=0,0,Tradingbook_SBV[[#This Row],[Mod Dur]])</f>
        <v>0</v>
      </c>
      <c r="DX492" s="71">
        <f>IF(Tradingbook_SBV[[#This Row],[Quantity_edited]]=0,0,Tradingbook_SBV[[#This Row],[Cnvx.]])</f>
        <v>0</v>
      </c>
      <c r="DY492" s="71">
        <f>(Tradingbook_SBV[[#This Row],[MARKET_VALUE]]+Tradingbook_SBV[[#This Row],[Accr Int]]*Tradingbook_SBV[[#This Row],[Quantity_edited]])*(-Tradingbook_SBV[[#This Row],[Modified Duration]]*0.0001+0.5*Tradingbook_SBV[[#This Row],[Conv]]*(0.0001^2))</f>
        <v>0</v>
      </c>
      <c r="DZ492" s="71">
        <f>(Tradingbook_SBV[[#This Row],[MARKET_VALUE]]+Tradingbook_SBV[[#This Row],[Accr Int]]*Tradingbook_SBV[[#This Row],[Quantity_edited]])*(-Tradingbook_SBV[[#This Row],[Modified Duration]]*0.01+0.5*Tradingbook_SBV[[#This Row],[Conv]]*(0.01^2))</f>
        <v>0</v>
      </c>
    </row>
    <row r="493" spans="2:130" x14ac:dyDescent="0.3">
      <c r="B493" t="s">
        <v>166</v>
      </c>
      <c r="C493" t="s">
        <v>3301</v>
      </c>
      <c r="D493" t="s">
        <v>1205</v>
      </c>
      <c r="E493" t="s">
        <v>169</v>
      </c>
      <c r="F493" s="502">
        <v>48926</v>
      </c>
      <c r="G493" t="s">
        <v>170</v>
      </c>
      <c r="H493">
        <v>105991</v>
      </c>
      <c r="I493">
        <v>105991</v>
      </c>
      <c r="J493" s="38">
        <v>1000000</v>
      </c>
      <c r="K493">
        <v>100000000000</v>
      </c>
      <c r="L493">
        <v>119145.541</v>
      </c>
      <c r="M493" s="38">
        <v>105991000000</v>
      </c>
      <c r="N493">
        <v>5.3</v>
      </c>
      <c r="O493">
        <v>3601</v>
      </c>
      <c r="P493" s="37">
        <v>10600000000</v>
      </c>
      <c r="Q493" s="37">
        <v>11249235277.777782</v>
      </c>
      <c r="R493" s="37">
        <v>-12216823487.007847</v>
      </c>
      <c r="S493">
        <v>4.3238908450000002</v>
      </c>
      <c r="T493" s="70">
        <v>5.8374625599401</v>
      </c>
      <c r="U493">
        <v>6.0898680699999996</v>
      </c>
      <c r="V493">
        <v>44.074233164495404</v>
      </c>
      <c r="W493">
        <v>48301.833609633803</v>
      </c>
      <c r="X493" s="38">
        <v>-63973.919686895002</v>
      </c>
      <c r="Y493">
        <v>12710.468999999999</v>
      </c>
      <c r="Z493" s="70">
        <v>-7647240129.0820494</v>
      </c>
      <c r="AA493" s="70">
        <v>-13154541170.917974</v>
      </c>
      <c r="AB493" s="70">
        <v>-20801781300.000023</v>
      </c>
      <c r="AC493" s="70">
        <v>-20801781300.000023</v>
      </c>
      <c r="AD493" s="70">
        <v>-20801781300</v>
      </c>
      <c r="AE493" s="70">
        <v>-20801781300.000023</v>
      </c>
      <c r="AF493">
        <v>2.8105948380000001</v>
      </c>
      <c r="AG493" s="72">
        <f>Tradingbook_MSB[[#This Row],[Mat. Date]]-RPT</f>
        <v>2674</v>
      </c>
      <c r="AH493" s="71">
        <f>IF(Tradingbook_MSB[[#This Row],[Days]]&lt;=0,0,YEARFRAC(RPT,Tradingbook_MSB[[#This Row],[Mat. Date]],3))</f>
        <v>7.3260273972602743</v>
      </c>
      <c r="AI493" s="71" t="str">
        <f>IF(Tradingbook_MSB[[#This Row],[Days (year)]]=0,0,INDEX(Ref!$K$2:$K$13,MATCH(Tradingbook_MSB[[#This Row],[Days (year)]],Ref!$I$2:$I$13,1)))</f>
        <v>7Y</v>
      </c>
      <c r="AJ493" s="120" t="str">
        <f>VLOOKUP(Tradingbook_MSB[[#This Row],[Security Name]],Ref!X:Z,3,0)</f>
        <v>TPCP</v>
      </c>
      <c r="AK493" s="120" t="str">
        <f>VLOOKUP(Tradingbook_MSB[[#This Row],[Security Name]],Ref!X:Y,2,0)</f>
        <v>KBNN</v>
      </c>
      <c r="AL493" s="71">
        <f>IF((Tradingbook_MSB[[#This Row],[Mat. Date]]-RPT)&lt;=0,0,Tradingbook_MSB[[#This Row],[QUANTITY]])</f>
        <v>1000000</v>
      </c>
      <c r="AM493" s="71">
        <f>IF(Tradingbook_MSB[[#This Row],[Quantity_edited]]=0,0,Tradingbook_MSB[[#This Row],[DURATION]])</f>
        <v>6.0898680699999996</v>
      </c>
      <c r="AN493" s="71">
        <f>IF(Tradingbook_MSB[[#This Row],[Quantity_edited]]=0,0,Tradingbook_MSB[[#This Row],[Mod Dur]])</f>
        <v>5.8374625599401</v>
      </c>
      <c r="AO493" s="71">
        <f>IF(Tradingbook_MSB[[#This Row],[Quantity_edited]]=0,0,Tradingbook_MSB[[#This Row],[Cnvx.]])</f>
        <v>44.074233164495404</v>
      </c>
      <c r="AP493" s="71">
        <f>(Tradingbook_MSB[[#This Row],[MARKET_VALUE]]+Tradingbook_MSB[[#This Row],[Accr Int]]*Tradingbook_MSB[[#This Row],[Quantity_edited]])*(-Tradingbook_MSB[[#This Row],[Modified Duration]]*0.0001+0.5*Tradingbook_MSB[[#This Row],[Conv]]*(0.0001^2))</f>
        <v>-63949768.770090736</v>
      </c>
      <c r="AQ493" s="72">
        <f>(Tradingbook_MSB[[#This Row],[MARKET_VALUE]]+Tradingbook_MSB[[#This Row],[Accr Int]]*Tradingbook_MSB[[#This Row],[Quantity_edited]])*(-Tradingbook_MSB[[#This Row],[Modified Duration]]*0.01+0.5*Tradingbook_MSB[[#This Row],[Conv]]*(0.01^2))</f>
        <v>-6155882800.6413851</v>
      </c>
      <c r="CL493" t="s">
        <v>166</v>
      </c>
      <c r="CM493" t="s">
        <v>3302</v>
      </c>
      <c r="CN493" t="s">
        <v>692</v>
      </c>
      <c r="CO493" t="s">
        <v>169</v>
      </c>
      <c r="CP493">
        <v>49624</v>
      </c>
      <c r="CQ493" t="s">
        <v>3322</v>
      </c>
      <c r="CR493" t="s">
        <v>4424</v>
      </c>
      <c r="CS493" t="s">
        <v>4425</v>
      </c>
      <c r="CT493">
        <v>0</v>
      </c>
      <c r="CU493">
        <v>0</v>
      </c>
      <c r="CV493">
        <v>0</v>
      </c>
      <c r="CW493">
        <v>0</v>
      </c>
      <c r="CX493">
        <v>3.3</v>
      </c>
      <c r="CY493">
        <v>2532</v>
      </c>
      <c r="CZ493">
        <v>0</v>
      </c>
      <c r="DA493">
        <v>0</v>
      </c>
      <c r="DB493">
        <v>-6088241.9444484711</v>
      </c>
      <c r="DC493">
        <v>4.9124111890000002</v>
      </c>
      <c r="DD493">
        <v>7</v>
      </c>
      <c r="DE493">
        <v>8</v>
      </c>
      <c r="DF493">
        <v>69</v>
      </c>
      <c r="DG493">
        <v>0</v>
      </c>
      <c r="DH493">
        <v>0</v>
      </c>
      <c r="DI493">
        <v>0</v>
      </c>
      <c r="DJ493">
        <v>2000000</v>
      </c>
      <c r="DK493">
        <v>0</v>
      </c>
      <c r="DL493">
        <v>2000000</v>
      </c>
      <c r="DM493">
        <v>2000000</v>
      </c>
      <c r="DN493">
        <v>2000000</v>
      </c>
      <c r="DO493">
        <v>2000000</v>
      </c>
      <c r="DP493" s="32">
        <f>Tradingbook_SBV[[#This Row],[Mat. Date]]-RPT</f>
        <v>3372</v>
      </c>
      <c r="DQ493" s="32">
        <f>IF(Tradingbook_SBV[[#This Row],[Days]]&lt;=0,0,YEARFRAC(RPT,Tradingbook_SBV[[#This Row],[Mat. Date]],3))</f>
        <v>9.2383561643835623</v>
      </c>
      <c r="DR493" s="32" t="str">
        <f>IF(Tradingbook_SBV[[#This Row],[Days (year)]]=0,0,INDEX(Ref!$K$2:$K$13,MATCH(Tradingbook_SBV[[#This Row],[Days (year)]],Ref!$I$2:$I$13,1)))</f>
        <v>10Y</v>
      </c>
      <c r="DS493" s="32" t="str">
        <f>VLOOKUP(Tradingbook_SBV[[#This Row],[Security Name]],Ref!X:Z,3,0)</f>
        <v>TPCPBL</v>
      </c>
      <c r="DT493" s="32" t="str">
        <f>VLOOKUP(Tradingbook_SBV[[#This Row],[Security Name]],Ref!X:Y,2,0)</f>
        <v>VDB</v>
      </c>
      <c r="DU493" s="71">
        <f>IF((Tradingbook_SBV[[#This Row],[Mat. Date]]-RPT)&lt;=0,0,Tradingbook_SBV[[#This Row],[QUANTITY]])</f>
        <v>0</v>
      </c>
      <c r="DV493" s="71">
        <f>IF(Tradingbook_SBV[[#This Row],[Quantity_edited]]=0,0,Tradingbook_SBV[[#This Row],[DURATION]])</f>
        <v>0</v>
      </c>
      <c r="DW493" s="71">
        <f>IF(Tradingbook_SBV[[#This Row],[Quantity_edited]]=0,0,Tradingbook_SBV[[#This Row],[Mod Dur]])</f>
        <v>0</v>
      </c>
      <c r="DX493" s="71">
        <f>IF(Tradingbook_SBV[[#This Row],[Quantity_edited]]=0,0,Tradingbook_SBV[[#This Row],[Cnvx.]])</f>
        <v>0</v>
      </c>
      <c r="DY493" s="71">
        <f>(Tradingbook_SBV[[#This Row],[MARKET_VALUE]]+Tradingbook_SBV[[#This Row],[Accr Int]]*Tradingbook_SBV[[#This Row],[Quantity_edited]])*(-Tradingbook_SBV[[#This Row],[Modified Duration]]*0.0001+0.5*Tradingbook_SBV[[#This Row],[Conv]]*(0.0001^2))</f>
        <v>0</v>
      </c>
      <c r="DZ493" s="71">
        <f>(Tradingbook_SBV[[#This Row],[MARKET_VALUE]]+Tradingbook_SBV[[#This Row],[Accr Int]]*Tradingbook_SBV[[#This Row],[Quantity_edited]])*(-Tradingbook_SBV[[#This Row],[Modified Duration]]*0.01+0.5*Tradingbook_SBV[[#This Row],[Conv]]*(0.01^2))</f>
        <v>0</v>
      </c>
    </row>
    <row r="494" spans="2:130" x14ac:dyDescent="0.3">
      <c r="B494" t="s">
        <v>166</v>
      </c>
      <c r="C494" t="s">
        <v>3301</v>
      </c>
      <c r="D494" t="s">
        <v>665</v>
      </c>
      <c r="E494" t="s">
        <v>169</v>
      </c>
      <c r="F494" s="502">
        <v>48947</v>
      </c>
      <c r="G494" t="s">
        <v>3322</v>
      </c>
      <c r="H494">
        <v>106013</v>
      </c>
      <c r="I494">
        <v>106013</v>
      </c>
      <c r="J494" s="38">
        <v>0</v>
      </c>
      <c r="K494">
        <v>0</v>
      </c>
      <c r="L494">
        <v>0</v>
      </c>
      <c r="M494" s="38">
        <v>0</v>
      </c>
      <c r="N494">
        <v>5.3</v>
      </c>
      <c r="O494">
        <v>3296</v>
      </c>
      <c r="P494" s="37">
        <v>15900000000</v>
      </c>
      <c r="Q494" s="37">
        <v>18165763986.111168</v>
      </c>
      <c r="R494" s="37">
        <v>-22131951524.96933</v>
      </c>
      <c r="S494">
        <v>4.3264399989999998</v>
      </c>
      <c r="T494" s="70">
        <v>5.8923559807907999</v>
      </c>
      <c r="U494">
        <v>6.1472852299999996</v>
      </c>
      <c r="V494">
        <v>44.770753837643902</v>
      </c>
      <c r="W494">
        <v>0</v>
      </c>
      <c r="X494" s="38">
        <v>0</v>
      </c>
      <c r="Y494">
        <v>0</v>
      </c>
      <c r="Z494" s="70">
        <v>-54210320000</v>
      </c>
      <c r="AA494" s="70">
        <v>0</v>
      </c>
      <c r="AB494" s="70">
        <v>-54210320000</v>
      </c>
      <c r="AC494" s="70">
        <v>-54210320000</v>
      </c>
      <c r="AD494" s="70">
        <v>-54210320000</v>
      </c>
      <c r="AE494" s="70">
        <v>-54210320000</v>
      </c>
      <c r="AF494">
        <v>0</v>
      </c>
      <c r="AG494" s="72">
        <f>Tradingbook_MSB[[#This Row],[Mat. Date]]-RPT</f>
        <v>2695</v>
      </c>
      <c r="AH494" s="71">
        <f>IF(Tradingbook_MSB[[#This Row],[Days]]&lt;=0,0,YEARFRAC(RPT,Tradingbook_MSB[[#This Row],[Mat. Date]],3))</f>
        <v>7.3835616438356162</v>
      </c>
      <c r="AI494" s="71" t="str">
        <f>IF(Tradingbook_MSB[[#This Row],[Days (year)]]=0,0,INDEX(Ref!$K$2:$K$13,MATCH(Tradingbook_MSB[[#This Row],[Days (year)]],Ref!$I$2:$I$13,1)))</f>
        <v>7Y</v>
      </c>
      <c r="AJ494" s="120" t="str">
        <f>VLOOKUP(Tradingbook_MSB[[#This Row],[Security Name]],Ref!X:Z,3,0)</f>
        <v>TPCP</v>
      </c>
      <c r="AK494" s="120" t="str">
        <f>VLOOKUP(Tradingbook_MSB[[#This Row],[Security Name]],Ref!X:Y,2,0)</f>
        <v>KBNN</v>
      </c>
      <c r="AL494" s="71">
        <f>IF((Tradingbook_MSB[[#This Row],[Mat. Date]]-RPT)&lt;=0,0,Tradingbook_MSB[[#This Row],[QUANTITY]])</f>
        <v>0</v>
      </c>
      <c r="AM494" s="71">
        <f>IF(Tradingbook_MSB[[#This Row],[Quantity_edited]]=0,0,Tradingbook_MSB[[#This Row],[DURATION]])</f>
        <v>0</v>
      </c>
      <c r="AN494" s="71">
        <f>IF(Tradingbook_MSB[[#This Row],[Quantity_edited]]=0,0,Tradingbook_MSB[[#This Row],[Mod Dur]])</f>
        <v>0</v>
      </c>
      <c r="AO494" s="71">
        <f>IF(Tradingbook_MSB[[#This Row],[Quantity_edited]]=0,0,Tradingbook_MSB[[#This Row],[Cnvx.]])</f>
        <v>0</v>
      </c>
      <c r="AP494" s="71">
        <f>(Tradingbook_MSB[[#This Row],[MARKET_VALUE]]+Tradingbook_MSB[[#This Row],[Accr Int]]*Tradingbook_MSB[[#This Row],[Quantity_edited]])*(-Tradingbook_MSB[[#This Row],[Modified Duration]]*0.0001+0.5*Tradingbook_MSB[[#This Row],[Conv]]*(0.0001^2))</f>
        <v>0</v>
      </c>
      <c r="AQ494" s="72">
        <f>(Tradingbook_MSB[[#This Row],[MARKET_VALUE]]+Tradingbook_MSB[[#This Row],[Accr Int]]*Tradingbook_MSB[[#This Row],[Quantity_edited]])*(-Tradingbook_MSB[[#This Row],[Modified Duration]]*0.01+0.5*Tradingbook_MSB[[#This Row],[Conv]]*(0.01^2))</f>
        <v>0</v>
      </c>
      <c r="CL494" t="s">
        <v>166</v>
      </c>
      <c r="CM494" t="s">
        <v>3302</v>
      </c>
      <c r="CN494" t="s">
        <v>693</v>
      </c>
      <c r="CO494" t="s">
        <v>169</v>
      </c>
      <c r="CP494">
        <v>49639</v>
      </c>
      <c r="CQ494" t="s">
        <v>3322</v>
      </c>
      <c r="CR494" t="s">
        <v>4426</v>
      </c>
      <c r="CS494" t="s">
        <v>4427</v>
      </c>
      <c r="CT494">
        <v>0</v>
      </c>
      <c r="CU494">
        <v>0</v>
      </c>
      <c r="CV494">
        <v>0</v>
      </c>
      <c r="CW494">
        <v>0</v>
      </c>
      <c r="CX494">
        <v>2.7</v>
      </c>
      <c r="CY494">
        <v>1960</v>
      </c>
      <c r="CZ494">
        <v>0</v>
      </c>
      <c r="DA494">
        <v>0</v>
      </c>
      <c r="DB494">
        <v>62941940.972244263</v>
      </c>
      <c r="DC494">
        <v>4.4142682549999996</v>
      </c>
      <c r="DD494">
        <v>8</v>
      </c>
      <c r="DE494">
        <v>8</v>
      </c>
      <c r="DF494">
        <v>73</v>
      </c>
      <c r="DG494">
        <v>0</v>
      </c>
      <c r="DH494">
        <v>0</v>
      </c>
      <c r="DI494">
        <v>0</v>
      </c>
      <c r="DJ494">
        <v>486000000.00012207</v>
      </c>
      <c r="DK494">
        <v>0</v>
      </c>
      <c r="DL494">
        <v>486000000.00012207</v>
      </c>
      <c r="DM494">
        <v>486000000.00012207</v>
      </c>
      <c r="DN494">
        <v>486000000</v>
      </c>
      <c r="DO494">
        <v>486000000.00012207</v>
      </c>
      <c r="DP494" s="32">
        <f>Tradingbook_SBV[[#This Row],[Mat. Date]]-RPT</f>
        <v>3387</v>
      </c>
      <c r="DQ494" s="32">
        <f>IF(Tradingbook_SBV[[#This Row],[Days]]&lt;=0,0,YEARFRAC(RPT,Tradingbook_SBV[[#This Row],[Mat. Date]],3))</f>
        <v>9.2794520547945201</v>
      </c>
      <c r="DR494" s="32" t="str">
        <f>IF(Tradingbook_SBV[[#This Row],[Days (year)]]=0,0,INDEX(Ref!$K$2:$K$13,MATCH(Tradingbook_SBV[[#This Row],[Days (year)]],Ref!$I$2:$I$13,1)))</f>
        <v>10Y</v>
      </c>
      <c r="DS494" s="32" t="str">
        <f>VLOOKUP(Tradingbook_SBV[[#This Row],[Security Name]],Ref!X:Z,3,0)</f>
        <v>TPCP</v>
      </c>
      <c r="DT494" s="32" t="str">
        <f>VLOOKUP(Tradingbook_SBV[[#This Row],[Security Name]],Ref!X:Y,2,0)</f>
        <v>KBNN</v>
      </c>
      <c r="DU494" s="71">
        <f>IF((Tradingbook_SBV[[#This Row],[Mat. Date]]-RPT)&lt;=0,0,Tradingbook_SBV[[#This Row],[QUANTITY]])</f>
        <v>0</v>
      </c>
      <c r="DV494" s="71">
        <f>IF(Tradingbook_SBV[[#This Row],[Quantity_edited]]=0,0,Tradingbook_SBV[[#This Row],[DURATION]])</f>
        <v>0</v>
      </c>
      <c r="DW494" s="71">
        <f>IF(Tradingbook_SBV[[#This Row],[Quantity_edited]]=0,0,Tradingbook_SBV[[#This Row],[Mod Dur]])</f>
        <v>0</v>
      </c>
      <c r="DX494" s="71">
        <f>IF(Tradingbook_SBV[[#This Row],[Quantity_edited]]=0,0,Tradingbook_SBV[[#This Row],[Cnvx.]])</f>
        <v>0</v>
      </c>
      <c r="DY494" s="71">
        <f>(Tradingbook_SBV[[#This Row],[MARKET_VALUE]]+Tradingbook_SBV[[#This Row],[Accr Int]]*Tradingbook_SBV[[#This Row],[Quantity_edited]])*(-Tradingbook_SBV[[#This Row],[Modified Duration]]*0.0001+0.5*Tradingbook_SBV[[#This Row],[Conv]]*(0.0001^2))</f>
        <v>0</v>
      </c>
      <c r="DZ494" s="71">
        <f>(Tradingbook_SBV[[#This Row],[MARKET_VALUE]]+Tradingbook_SBV[[#This Row],[Accr Int]]*Tradingbook_SBV[[#This Row],[Quantity_edited]])*(-Tradingbook_SBV[[#This Row],[Modified Duration]]*0.01+0.5*Tradingbook_SBV[[#This Row],[Conv]]*(0.01^2))</f>
        <v>0</v>
      </c>
    </row>
    <row r="495" spans="2:130" x14ac:dyDescent="0.3">
      <c r="B495" t="s">
        <v>166</v>
      </c>
      <c r="C495" t="s">
        <v>3301</v>
      </c>
      <c r="D495" t="s">
        <v>2799</v>
      </c>
      <c r="E495" t="s">
        <v>169</v>
      </c>
      <c r="F495" s="502">
        <v>48955</v>
      </c>
      <c r="G495" t="s">
        <v>170</v>
      </c>
      <c r="H495">
        <v>86137</v>
      </c>
      <c r="I495">
        <v>86137</v>
      </c>
      <c r="J495" s="38">
        <v>4000000</v>
      </c>
      <c r="K495">
        <v>400000000000</v>
      </c>
      <c r="L495">
        <v>95509.194000000003</v>
      </c>
      <c r="M495" s="38">
        <v>344548000000</v>
      </c>
      <c r="N495">
        <v>2.1</v>
      </c>
      <c r="O495">
        <v>1260</v>
      </c>
      <c r="P495" s="37">
        <v>18900000000</v>
      </c>
      <c r="Q495" s="37">
        <v>20033265000.000015</v>
      </c>
      <c r="R495" s="37">
        <v>-38478160351.104195</v>
      </c>
      <c r="S495">
        <v>4.3275177859999996</v>
      </c>
      <c r="T495" s="70">
        <v>6.5089608663455998</v>
      </c>
      <c r="U495">
        <v>6.7906373100000001</v>
      </c>
      <c r="V495">
        <v>51.133283041925701</v>
      </c>
      <c r="W495">
        <v>178755.82152060739</v>
      </c>
      <c r="X495" s="38">
        <v>-227545.46113440301</v>
      </c>
      <c r="Y495">
        <v>40578.483</v>
      </c>
      <c r="Z495" s="70">
        <v>2145810297.0333431</v>
      </c>
      <c r="AA495" s="70">
        <v>-37488777297.033463</v>
      </c>
      <c r="AB495" s="70">
        <v>-35342967000.000122</v>
      </c>
      <c r="AC495" s="70">
        <v>-35342967000.000122</v>
      </c>
      <c r="AD495" s="70">
        <v>-35342967000</v>
      </c>
      <c r="AE495" s="70">
        <v>-35342967000.000122</v>
      </c>
      <c r="AF495">
        <v>2.695018256</v>
      </c>
      <c r="AG495" s="72">
        <f>Tradingbook_MSB[[#This Row],[Mat. Date]]-RPT</f>
        <v>2703</v>
      </c>
      <c r="AH495" s="71">
        <f>IF(Tradingbook_MSB[[#This Row],[Days]]&lt;=0,0,YEARFRAC(RPT,Tradingbook_MSB[[#This Row],[Mat. Date]],3))</f>
        <v>7.4054794520547942</v>
      </c>
      <c r="AI495" s="71" t="str">
        <f>IF(Tradingbook_MSB[[#This Row],[Days (year)]]=0,0,INDEX(Ref!$K$2:$K$13,MATCH(Tradingbook_MSB[[#This Row],[Days (year)]],Ref!$I$2:$I$13,1)))</f>
        <v>7Y</v>
      </c>
      <c r="AJ495" s="120" t="str">
        <f>VLOOKUP(Tradingbook_MSB[[#This Row],[Security Name]],Ref!X:Z,3,0)</f>
        <v>TPCP</v>
      </c>
      <c r="AK495" s="120" t="str">
        <f>VLOOKUP(Tradingbook_MSB[[#This Row],[Security Name]],Ref!X:Y,2,0)</f>
        <v>KBNN</v>
      </c>
      <c r="AL495" s="71">
        <f>IF((Tradingbook_MSB[[#This Row],[Mat. Date]]-RPT)&lt;=0,0,Tradingbook_MSB[[#This Row],[QUANTITY]])</f>
        <v>4000000</v>
      </c>
      <c r="AM495" s="71">
        <f>IF(Tradingbook_MSB[[#This Row],[Quantity_edited]]=0,0,Tradingbook_MSB[[#This Row],[DURATION]])</f>
        <v>6.7906373100000001</v>
      </c>
      <c r="AN495" s="71">
        <f>IF(Tradingbook_MSB[[#This Row],[Quantity_edited]]=0,0,Tradingbook_MSB[[#This Row],[Mod Dur]])</f>
        <v>6.5089608663455998</v>
      </c>
      <c r="AO495" s="71">
        <f>IF(Tradingbook_MSB[[#This Row],[Quantity_edited]]=0,0,Tradingbook_MSB[[#This Row],[Cnvx.]])</f>
        <v>51.133283041925701</v>
      </c>
      <c r="AP495" s="71">
        <f>(Tradingbook_MSB[[#This Row],[MARKET_VALUE]]+Tradingbook_MSB[[#This Row],[Accr Int]]*Tradingbook_MSB[[#This Row],[Quantity_edited]])*(-Tradingbook_MSB[[#This Row],[Modified Duration]]*0.0001+0.5*Tradingbook_MSB[[#This Row],[Conv]]*(0.0001^2))</f>
        <v>-227456083.22364226</v>
      </c>
      <c r="AQ495" s="72">
        <f>(Tradingbook_MSB[[#This Row],[MARKET_VALUE]]+Tradingbook_MSB[[#This Row],[Accr Int]]*Tradingbook_MSB[[#This Row],[Quantity_edited]])*(-Tradingbook_MSB[[#This Row],[Modified Duration]]*0.01+0.5*Tradingbook_MSB[[#This Row],[Conv]]*(0.01^2))</f>
        <v>-21860767005.837223</v>
      </c>
      <c r="CL495" t="s">
        <v>166</v>
      </c>
      <c r="CM495" t="s">
        <v>3302</v>
      </c>
      <c r="CN495" t="s">
        <v>697</v>
      </c>
      <c r="CO495" t="s">
        <v>169</v>
      </c>
      <c r="CP495">
        <v>49660</v>
      </c>
      <c r="CQ495" t="s">
        <v>3322</v>
      </c>
      <c r="CR495" t="s">
        <v>4428</v>
      </c>
      <c r="CS495" t="s">
        <v>4429</v>
      </c>
      <c r="CT495">
        <v>0</v>
      </c>
      <c r="CU495">
        <v>0</v>
      </c>
      <c r="CV495">
        <v>0</v>
      </c>
      <c r="CW495">
        <v>0</v>
      </c>
      <c r="CX495">
        <v>2.5</v>
      </c>
      <c r="CY495">
        <v>1671</v>
      </c>
      <c r="CZ495">
        <v>0</v>
      </c>
      <c r="DA495">
        <v>-7.9999999999999996E-6</v>
      </c>
      <c r="DB495">
        <v>993351193.74998569</v>
      </c>
      <c r="DC495">
        <v>4.41689212</v>
      </c>
      <c r="DD495">
        <v>8</v>
      </c>
      <c r="DE495">
        <v>8</v>
      </c>
      <c r="DF495">
        <v>75</v>
      </c>
      <c r="DG495">
        <v>0</v>
      </c>
      <c r="DH495">
        <v>0</v>
      </c>
      <c r="DI495">
        <v>0</v>
      </c>
      <c r="DJ495">
        <v>6699000000</v>
      </c>
      <c r="DK495">
        <v>0</v>
      </c>
      <c r="DL495">
        <v>6699000000</v>
      </c>
      <c r="DM495">
        <v>6699000000</v>
      </c>
      <c r="DN495">
        <v>6699000000</v>
      </c>
      <c r="DO495">
        <v>6699000000</v>
      </c>
      <c r="DP495" s="32">
        <f>Tradingbook_SBV[[#This Row],[Mat. Date]]-RPT</f>
        <v>3408</v>
      </c>
      <c r="DQ495" s="32">
        <f>IF(Tradingbook_SBV[[#This Row],[Days]]&lt;=0,0,YEARFRAC(RPT,Tradingbook_SBV[[#This Row],[Mat. Date]],3))</f>
        <v>9.3369863013698637</v>
      </c>
      <c r="DR495" s="32" t="str">
        <f>IF(Tradingbook_SBV[[#This Row],[Days (year)]]=0,0,INDEX(Ref!$K$2:$K$13,MATCH(Tradingbook_SBV[[#This Row],[Days (year)]],Ref!$I$2:$I$13,1)))</f>
        <v>10Y</v>
      </c>
      <c r="DS495" s="32" t="str">
        <f>VLOOKUP(Tradingbook_SBV[[#This Row],[Security Name]],Ref!X:Z,3,0)</f>
        <v>TPCP</v>
      </c>
      <c r="DT495" s="32" t="str">
        <f>VLOOKUP(Tradingbook_SBV[[#This Row],[Security Name]],Ref!X:Y,2,0)</f>
        <v>KBNN</v>
      </c>
      <c r="DU495" s="71">
        <f>IF((Tradingbook_SBV[[#This Row],[Mat. Date]]-RPT)&lt;=0,0,Tradingbook_SBV[[#This Row],[QUANTITY]])</f>
        <v>0</v>
      </c>
      <c r="DV495" s="71">
        <f>IF(Tradingbook_SBV[[#This Row],[Quantity_edited]]=0,0,Tradingbook_SBV[[#This Row],[DURATION]])</f>
        <v>0</v>
      </c>
      <c r="DW495" s="71">
        <f>IF(Tradingbook_SBV[[#This Row],[Quantity_edited]]=0,0,Tradingbook_SBV[[#This Row],[Mod Dur]])</f>
        <v>0</v>
      </c>
      <c r="DX495" s="71">
        <f>IF(Tradingbook_SBV[[#This Row],[Quantity_edited]]=0,0,Tradingbook_SBV[[#This Row],[Cnvx.]])</f>
        <v>0</v>
      </c>
      <c r="DY495" s="71">
        <f>(Tradingbook_SBV[[#This Row],[MARKET_VALUE]]+Tradingbook_SBV[[#This Row],[Accr Int]]*Tradingbook_SBV[[#This Row],[Quantity_edited]])*(-Tradingbook_SBV[[#This Row],[Modified Duration]]*0.0001+0.5*Tradingbook_SBV[[#This Row],[Conv]]*(0.0001^2))</f>
        <v>0</v>
      </c>
      <c r="DZ495" s="71">
        <f>(Tradingbook_SBV[[#This Row],[MARKET_VALUE]]+Tradingbook_SBV[[#This Row],[Accr Int]]*Tradingbook_SBV[[#This Row],[Quantity_edited]])*(-Tradingbook_SBV[[#This Row],[Modified Duration]]*0.01+0.5*Tradingbook_SBV[[#This Row],[Conv]]*(0.01^2))</f>
        <v>0</v>
      </c>
    </row>
    <row r="496" spans="2:130" x14ac:dyDescent="0.3">
      <c r="B496" t="s">
        <v>166</v>
      </c>
      <c r="C496" t="s">
        <v>3301</v>
      </c>
      <c r="D496" t="s">
        <v>666</v>
      </c>
      <c r="E496" t="s">
        <v>169</v>
      </c>
      <c r="F496" s="502">
        <v>48968</v>
      </c>
      <c r="G496" t="s">
        <v>170</v>
      </c>
      <c r="H496">
        <v>104787</v>
      </c>
      <c r="I496">
        <v>104787</v>
      </c>
      <c r="J496" s="38">
        <v>1500000</v>
      </c>
      <c r="K496">
        <v>150000000000</v>
      </c>
      <c r="L496">
        <v>112689.54300000001</v>
      </c>
      <c r="M496" s="38">
        <v>157180500000</v>
      </c>
      <c r="N496">
        <v>5.0999999999999996</v>
      </c>
      <c r="O496">
        <v>2878</v>
      </c>
      <c r="P496" s="37">
        <v>20400000000</v>
      </c>
      <c r="Q496" s="37">
        <v>22544957291.666599</v>
      </c>
      <c r="R496" s="37">
        <v>-28536616520.094318</v>
      </c>
      <c r="S496">
        <v>4.329117353</v>
      </c>
      <c r="T496" s="70">
        <v>5.9774087662172999</v>
      </c>
      <c r="U496">
        <v>6.23617781</v>
      </c>
      <c r="V496">
        <v>45.783928290290802</v>
      </c>
      <c r="W496">
        <v>73939.899590612302</v>
      </c>
      <c r="X496" s="38">
        <v>-96533.657222217997</v>
      </c>
      <c r="Y496">
        <v>18752.633000000002</v>
      </c>
      <c r="Z496" s="70">
        <v>-36904405157.339958</v>
      </c>
      <c r="AA496" s="70">
        <v>-11853814842.659216</v>
      </c>
      <c r="AB496" s="70">
        <v>-48758219999.999176</v>
      </c>
      <c r="AC496" s="70">
        <v>-48758219999.999176</v>
      </c>
      <c r="AD496" s="70">
        <v>-48758219999.999001</v>
      </c>
      <c r="AE496" s="70">
        <v>-48758219999.999176</v>
      </c>
      <c r="AF496">
        <v>3.7284107720000002</v>
      </c>
      <c r="AG496" s="72">
        <f>Tradingbook_MSB[[#This Row],[Mat. Date]]-RPT</f>
        <v>2716</v>
      </c>
      <c r="AH496" s="71">
        <f>IF(Tradingbook_MSB[[#This Row],[Days]]&lt;=0,0,YEARFRAC(RPT,Tradingbook_MSB[[#This Row],[Mat. Date]],3))</f>
        <v>7.441095890410959</v>
      </c>
      <c r="AI496" s="71" t="str">
        <f>IF(Tradingbook_MSB[[#This Row],[Days (year)]]=0,0,INDEX(Ref!$K$2:$K$13,MATCH(Tradingbook_MSB[[#This Row],[Days (year)]],Ref!$I$2:$I$13,1)))</f>
        <v>7Y</v>
      </c>
      <c r="AJ496" s="120" t="str">
        <f>VLOOKUP(Tradingbook_MSB[[#This Row],[Security Name]],Ref!X:Z,3,0)</f>
        <v>TPCP</v>
      </c>
      <c r="AK496" s="120" t="str">
        <f>VLOOKUP(Tradingbook_MSB[[#This Row],[Security Name]],Ref!X:Y,2,0)</f>
        <v>KBNN</v>
      </c>
      <c r="AL496" s="71">
        <f>IF((Tradingbook_MSB[[#This Row],[Mat. Date]]-RPT)&lt;=0,0,Tradingbook_MSB[[#This Row],[QUANTITY]])</f>
        <v>1500000</v>
      </c>
      <c r="AM496" s="71">
        <f>IF(Tradingbook_MSB[[#This Row],[Quantity_edited]]=0,0,Tradingbook_MSB[[#This Row],[DURATION]])</f>
        <v>6.23617781</v>
      </c>
      <c r="AN496" s="71">
        <f>IF(Tradingbook_MSB[[#This Row],[Quantity_edited]]=0,0,Tradingbook_MSB[[#This Row],[Mod Dur]])</f>
        <v>5.9774087662172999</v>
      </c>
      <c r="AO496" s="71">
        <f>IF(Tradingbook_MSB[[#This Row],[Quantity_edited]]=0,0,Tradingbook_MSB[[#This Row],[Cnvx.]])</f>
        <v>45.783928290290802</v>
      </c>
      <c r="AP496" s="71">
        <f>(Tradingbook_MSB[[#This Row],[MARKET_VALUE]]+Tradingbook_MSB[[#This Row],[Accr Int]]*Tradingbook_MSB[[#This Row],[Quantity_edited]])*(-Tradingbook_MSB[[#This Row],[Modified Duration]]*0.0001+0.5*Tradingbook_MSB[[#This Row],[Conv]]*(0.0001^2))</f>
        <v>-96496687.272422537</v>
      </c>
      <c r="AQ496" s="72">
        <f>(Tradingbook_MSB[[#This Row],[MARKET_VALUE]]+Tradingbook_MSB[[#This Row],[Accr Int]]*Tradingbook_MSB[[#This Row],[Quantity_edited]])*(-Tradingbook_MSB[[#This Row],[Modified Duration]]*0.01+0.5*Tradingbook_MSB[[#This Row],[Conv]]*(0.01^2))</f>
        <v>-9283666224.2687225</v>
      </c>
      <c r="CL496" t="s">
        <v>166</v>
      </c>
      <c r="CM496" t="s">
        <v>3302</v>
      </c>
      <c r="CN496" t="s">
        <v>699</v>
      </c>
      <c r="CO496" t="s">
        <v>169</v>
      </c>
      <c r="CP496">
        <v>49688</v>
      </c>
      <c r="CQ496" t="s">
        <v>3322</v>
      </c>
      <c r="CR496" t="s">
        <v>4430</v>
      </c>
      <c r="CS496" t="s">
        <v>4431</v>
      </c>
      <c r="CT496">
        <v>0</v>
      </c>
      <c r="CU496">
        <v>0</v>
      </c>
      <c r="CV496">
        <v>0</v>
      </c>
      <c r="CW496">
        <v>0</v>
      </c>
      <c r="CX496">
        <v>2.4</v>
      </c>
      <c r="CY496">
        <v>1420</v>
      </c>
      <c r="CZ496">
        <v>0</v>
      </c>
      <c r="DA496">
        <v>0</v>
      </c>
      <c r="DB496">
        <v>-150212341.18054962</v>
      </c>
      <c r="DC496">
        <v>4.4204061909999997</v>
      </c>
      <c r="DD496">
        <v>8</v>
      </c>
      <c r="DE496">
        <v>8</v>
      </c>
      <c r="DF496">
        <v>76</v>
      </c>
      <c r="DG496">
        <v>0</v>
      </c>
      <c r="DH496">
        <v>0</v>
      </c>
      <c r="DI496">
        <v>0</v>
      </c>
      <c r="DJ496">
        <v>-550500000</v>
      </c>
      <c r="DK496">
        <v>0</v>
      </c>
      <c r="DL496">
        <v>-550500000</v>
      </c>
      <c r="DM496">
        <v>-550500000</v>
      </c>
      <c r="DN496">
        <v>-550500000</v>
      </c>
      <c r="DO496">
        <v>-550500000</v>
      </c>
      <c r="DP496" s="32">
        <f>Tradingbook_SBV[[#This Row],[Mat. Date]]-RPT</f>
        <v>3436</v>
      </c>
      <c r="DQ496" s="32">
        <f>IF(Tradingbook_SBV[[#This Row],[Days]]&lt;=0,0,YEARFRAC(RPT,Tradingbook_SBV[[#This Row],[Mat. Date]],3))</f>
        <v>9.4136986301369863</v>
      </c>
      <c r="DR496" s="32" t="str">
        <f>IF(Tradingbook_SBV[[#This Row],[Days (year)]]=0,0,INDEX(Ref!$K$2:$K$13,MATCH(Tradingbook_SBV[[#This Row],[Days (year)]],Ref!$I$2:$I$13,1)))</f>
        <v>10Y</v>
      </c>
      <c r="DS496" s="32" t="str">
        <f>VLOOKUP(Tradingbook_SBV[[#This Row],[Security Name]],Ref!X:Z,3,0)</f>
        <v>TPCP</v>
      </c>
      <c r="DT496" s="32" t="str">
        <f>VLOOKUP(Tradingbook_SBV[[#This Row],[Security Name]],Ref!X:Y,2,0)</f>
        <v>KBNN</v>
      </c>
      <c r="DU496" s="71">
        <f>IF((Tradingbook_SBV[[#This Row],[Mat. Date]]-RPT)&lt;=0,0,Tradingbook_SBV[[#This Row],[QUANTITY]])</f>
        <v>0</v>
      </c>
      <c r="DV496" s="71">
        <f>IF(Tradingbook_SBV[[#This Row],[Quantity_edited]]=0,0,Tradingbook_SBV[[#This Row],[DURATION]])</f>
        <v>0</v>
      </c>
      <c r="DW496" s="71">
        <f>IF(Tradingbook_SBV[[#This Row],[Quantity_edited]]=0,0,Tradingbook_SBV[[#This Row],[Mod Dur]])</f>
        <v>0</v>
      </c>
      <c r="DX496" s="71">
        <f>IF(Tradingbook_SBV[[#This Row],[Quantity_edited]]=0,0,Tradingbook_SBV[[#This Row],[Cnvx.]])</f>
        <v>0</v>
      </c>
      <c r="DY496" s="71">
        <f>(Tradingbook_SBV[[#This Row],[MARKET_VALUE]]+Tradingbook_SBV[[#This Row],[Accr Int]]*Tradingbook_SBV[[#This Row],[Quantity_edited]])*(-Tradingbook_SBV[[#This Row],[Modified Duration]]*0.0001+0.5*Tradingbook_SBV[[#This Row],[Conv]]*(0.0001^2))</f>
        <v>0</v>
      </c>
      <c r="DZ496" s="71">
        <f>(Tradingbook_SBV[[#This Row],[MARKET_VALUE]]+Tradingbook_SBV[[#This Row],[Accr Int]]*Tradingbook_SBV[[#This Row],[Quantity_edited]])*(-Tradingbook_SBV[[#This Row],[Modified Duration]]*0.01+0.5*Tradingbook_SBV[[#This Row],[Conv]]*(0.01^2))</f>
        <v>0</v>
      </c>
    </row>
    <row r="497" spans="2:130" x14ac:dyDescent="0.3">
      <c r="B497" t="s">
        <v>166</v>
      </c>
      <c r="C497" t="s">
        <v>3301</v>
      </c>
      <c r="D497" t="s">
        <v>667</v>
      </c>
      <c r="E497" t="s">
        <v>169</v>
      </c>
      <c r="F497" s="502">
        <v>48996</v>
      </c>
      <c r="G497" t="s">
        <v>170</v>
      </c>
      <c r="H497">
        <v>104176</v>
      </c>
      <c r="I497">
        <v>104176</v>
      </c>
      <c r="J497" s="38">
        <v>1000000</v>
      </c>
      <c r="K497">
        <v>100000000000</v>
      </c>
      <c r="L497">
        <v>115163.829</v>
      </c>
      <c r="M497" s="38">
        <v>104176000000</v>
      </c>
      <c r="N497">
        <v>5</v>
      </c>
      <c r="O497">
        <v>2438</v>
      </c>
      <c r="P497" s="37">
        <v>10000000000</v>
      </c>
      <c r="Q497" s="37">
        <v>10573395833.33333</v>
      </c>
      <c r="R497" s="37">
        <v>-10637920329.583321</v>
      </c>
      <c r="S497">
        <v>4.3327429889999998</v>
      </c>
      <c r="T497" s="70">
        <v>6.0659470919293996</v>
      </c>
      <c r="U497">
        <v>6.3287689900000004</v>
      </c>
      <c r="V497">
        <v>46.894707441839699</v>
      </c>
      <c r="W497">
        <v>49996.323392042999</v>
      </c>
      <c r="X497" s="38">
        <v>-64671.488325896004</v>
      </c>
      <c r="Y497">
        <v>12389.868</v>
      </c>
      <c r="Z497" s="70">
        <v>-5873171428.5715275</v>
      </c>
      <c r="AA497" s="70">
        <v>-10987828571.428574</v>
      </c>
      <c r="AB497" s="70">
        <v>-16861000000.000101</v>
      </c>
      <c r="AC497" s="70">
        <v>-16861000000.000101</v>
      </c>
      <c r="AD497" s="70">
        <v>-16861000000</v>
      </c>
      <c r="AE497" s="70">
        <v>-16861000000.000101</v>
      </c>
      <c r="AF497">
        <v>3.3584085780000001</v>
      </c>
      <c r="AG497" s="72">
        <f>Tradingbook_MSB[[#This Row],[Mat. Date]]-RPT</f>
        <v>2744</v>
      </c>
      <c r="AH497" s="71">
        <f>IF(Tradingbook_MSB[[#This Row],[Days]]&lt;=0,0,YEARFRAC(RPT,Tradingbook_MSB[[#This Row],[Mat. Date]],3))</f>
        <v>7.5178082191780824</v>
      </c>
      <c r="AI497" s="71" t="str">
        <f>IF(Tradingbook_MSB[[#This Row],[Days (year)]]=0,0,INDEX(Ref!$K$2:$K$13,MATCH(Tradingbook_MSB[[#This Row],[Days (year)]],Ref!$I$2:$I$13,1)))</f>
        <v>10Y</v>
      </c>
      <c r="AJ497" s="120" t="str">
        <f>VLOOKUP(Tradingbook_MSB[[#This Row],[Security Name]],Ref!X:Z,3,0)</f>
        <v>TPCP</v>
      </c>
      <c r="AK497" s="120" t="str">
        <f>VLOOKUP(Tradingbook_MSB[[#This Row],[Security Name]],Ref!X:Y,2,0)</f>
        <v>KBNN</v>
      </c>
      <c r="AL497" s="71">
        <f>IF((Tradingbook_MSB[[#This Row],[Mat. Date]]-RPT)&lt;=0,0,Tradingbook_MSB[[#This Row],[QUANTITY]])</f>
        <v>1000000</v>
      </c>
      <c r="AM497" s="71">
        <f>IF(Tradingbook_MSB[[#This Row],[Quantity_edited]]=0,0,Tradingbook_MSB[[#This Row],[DURATION]])</f>
        <v>6.3287689900000004</v>
      </c>
      <c r="AN497" s="71">
        <f>IF(Tradingbook_MSB[[#This Row],[Quantity_edited]]=0,0,Tradingbook_MSB[[#This Row],[Mod Dur]])</f>
        <v>6.0659470919293996</v>
      </c>
      <c r="AO497" s="71">
        <f>IF(Tradingbook_MSB[[#This Row],[Quantity_edited]]=0,0,Tradingbook_MSB[[#This Row],[Cnvx.]])</f>
        <v>46.894707441839699</v>
      </c>
      <c r="AP497" s="71">
        <f>(Tradingbook_MSB[[#This Row],[MARKET_VALUE]]+Tradingbook_MSB[[#This Row],[Accr Int]]*Tradingbook_MSB[[#This Row],[Quantity_edited]])*(-Tradingbook_MSB[[#This Row],[Modified Duration]]*0.0001+0.5*Tradingbook_MSB[[#This Row],[Conv]]*(0.0001^2))</f>
        <v>-64646490.164200075</v>
      </c>
      <c r="AQ497" s="72">
        <f>(Tradingbook_MSB[[#This Row],[MARKET_VALUE]]+Tradingbook_MSB[[#This Row],[Accr Int]]*Tradingbook_MSB[[#This Row],[Quantity_edited]])*(-Tradingbook_MSB[[#This Row],[Modified Duration]]*0.01+0.5*Tradingbook_MSB[[#This Row],[Conv]]*(0.01^2))</f>
        <v>-6217167215.6293955</v>
      </c>
      <c r="CL497" t="s">
        <v>166</v>
      </c>
      <c r="CM497" t="s">
        <v>3302</v>
      </c>
      <c r="CN497" t="s">
        <v>681</v>
      </c>
      <c r="CO497" t="s">
        <v>169</v>
      </c>
      <c r="CP497">
        <v>49695</v>
      </c>
      <c r="CQ497" t="s">
        <v>3322</v>
      </c>
      <c r="CR497" t="s">
        <v>4432</v>
      </c>
      <c r="CS497" t="s">
        <v>4433</v>
      </c>
      <c r="CT497">
        <v>0</v>
      </c>
      <c r="CU497">
        <v>0</v>
      </c>
      <c r="CV497">
        <v>0</v>
      </c>
      <c r="CW497">
        <v>0</v>
      </c>
      <c r="CX497">
        <v>7.7</v>
      </c>
      <c r="CY497">
        <v>4409</v>
      </c>
      <c r="CZ497">
        <v>0</v>
      </c>
      <c r="DA497">
        <v>-3.1000000000000001E-5</v>
      </c>
      <c r="DB497">
        <v>-258519925.11106873</v>
      </c>
      <c r="DC497">
        <v>4.4213654299999998</v>
      </c>
      <c r="DD497">
        <v>7</v>
      </c>
      <c r="DE497">
        <v>7</v>
      </c>
      <c r="DF497">
        <v>61</v>
      </c>
      <c r="DG497">
        <v>0</v>
      </c>
      <c r="DH497">
        <v>0</v>
      </c>
      <c r="DI497">
        <v>0</v>
      </c>
      <c r="DJ497">
        <v>-706600000</v>
      </c>
      <c r="DK497">
        <v>0</v>
      </c>
      <c r="DL497">
        <v>-706600000</v>
      </c>
      <c r="DM497">
        <v>-706600000</v>
      </c>
      <c r="DN497">
        <v>-706600000</v>
      </c>
      <c r="DO497">
        <v>-706600000</v>
      </c>
      <c r="DP497" s="32">
        <f>Tradingbook_SBV[[#This Row],[Mat. Date]]-RPT</f>
        <v>3443</v>
      </c>
      <c r="DQ497" s="32">
        <f>IF(Tradingbook_SBV[[#This Row],[Days]]&lt;=0,0,YEARFRAC(RPT,Tradingbook_SBV[[#This Row],[Mat. Date]],3))</f>
        <v>9.4328767123287669</v>
      </c>
      <c r="DR497" s="32" t="str">
        <f>IF(Tradingbook_SBV[[#This Row],[Days (year)]]=0,0,INDEX(Ref!$K$2:$K$13,MATCH(Tradingbook_SBV[[#This Row],[Days (year)]],Ref!$I$2:$I$13,1)))</f>
        <v>10Y</v>
      </c>
      <c r="DS497" s="32" t="str">
        <f>VLOOKUP(Tradingbook_SBV[[#This Row],[Security Name]],Ref!X:Z,3,0)</f>
        <v>TPCP</v>
      </c>
      <c r="DT497" s="32" t="str">
        <f>VLOOKUP(Tradingbook_SBV[[#This Row],[Security Name]],Ref!X:Y,2,0)</f>
        <v>KBNN</v>
      </c>
      <c r="DU497" s="71">
        <f>IF((Tradingbook_SBV[[#This Row],[Mat. Date]]-RPT)&lt;=0,0,Tradingbook_SBV[[#This Row],[QUANTITY]])</f>
        <v>0</v>
      </c>
      <c r="DV497" s="71">
        <f>IF(Tradingbook_SBV[[#This Row],[Quantity_edited]]=0,0,Tradingbook_SBV[[#This Row],[DURATION]])</f>
        <v>0</v>
      </c>
      <c r="DW497" s="71">
        <f>IF(Tradingbook_SBV[[#This Row],[Quantity_edited]]=0,0,Tradingbook_SBV[[#This Row],[Mod Dur]])</f>
        <v>0</v>
      </c>
      <c r="DX497" s="71">
        <f>IF(Tradingbook_SBV[[#This Row],[Quantity_edited]]=0,0,Tradingbook_SBV[[#This Row],[Cnvx.]])</f>
        <v>0</v>
      </c>
      <c r="DY497" s="71">
        <f>(Tradingbook_SBV[[#This Row],[MARKET_VALUE]]+Tradingbook_SBV[[#This Row],[Accr Int]]*Tradingbook_SBV[[#This Row],[Quantity_edited]])*(-Tradingbook_SBV[[#This Row],[Modified Duration]]*0.0001+0.5*Tradingbook_SBV[[#This Row],[Conv]]*(0.0001^2))</f>
        <v>0</v>
      </c>
      <c r="DZ497" s="71">
        <f>(Tradingbook_SBV[[#This Row],[MARKET_VALUE]]+Tradingbook_SBV[[#This Row],[Accr Int]]*Tradingbook_SBV[[#This Row],[Quantity_edited]])*(-Tradingbook_SBV[[#This Row],[Modified Duration]]*0.01+0.5*Tradingbook_SBV[[#This Row],[Conv]]*(0.01^2))</f>
        <v>0</v>
      </c>
    </row>
    <row r="498" spans="2:130" x14ac:dyDescent="0.3">
      <c r="B498" t="s">
        <v>166</v>
      </c>
      <c r="C498" t="s">
        <v>3301</v>
      </c>
      <c r="D498" t="s">
        <v>2852</v>
      </c>
      <c r="E498" t="s">
        <v>169</v>
      </c>
      <c r="F498" s="502">
        <v>49045</v>
      </c>
      <c r="G498" t="s">
        <v>170</v>
      </c>
      <c r="H498">
        <v>87596</v>
      </c>
      <c r="I498">
        <v>87596</v>
      </c>
      <c r="J498" s="38">
        <v>2500000</v>
      </c>
      <c r="K498">
        <v>250000000000</v>
      </c>
      <c r="L498">
        <v>94380.475000000006</v>
      </c>
      <c r="M498" s="38">
        <v>218990000000</v>
      </c>
      <c r="N498">
        <v>2.4</v>
      </c>
      <c r="O498">
        <v>848</v>
      </c>
      <c r="P498" s="37">
        <v>6000000000</v>
      </c>
      <c r="Q498" s="37">
        <v>6180100000.000001</v>
      </c>
      <c r="R498" s="37">
        <v>-13502159626.38892</v>
      </c>
      <c r="S498">
        <v>4.3389673440000003</v>
      </c>
      <c r="T498" s="70">
        <v>6.6760721790554003</v>
      </c>
      <c r="U498">
        <v>6.9657447699999997</v>
      </c>
      <c r="V498">
        <v>53.747472036617097</v>
      </c>
      <c r="W498">
        <v>118841.035420164</v>
      </c>
      <c r="X498" s="38">
        <v>-147614.63195109501</v>
      </c>
      <c r="Y498">
        <v>25731.865000000002</v>
      </c>
      <c r="Z498" s="70">
        <v>-2194312500.0001235</v>
      </c>
      <c r="AA498" s="70">
        <v>-16961187500.000015</v>
      </c>
      <c r="AB498" s="70">
        <v>-19155500000.000137</v>
      </c>
      <c r="AC498" s="70">
        <v>-19155500000.000137</v>
      </c>
      <c r="AD498" s="70">
        <v>-19155500000</v>
      </c>
      <c r="AE498" s="70">
        <v>-19155500000.000137</v>
      </c>
      <c r="AF498">
        <v>3.1745164369999999</v>
      </c>
      <c r="AG498" s="72">
        <f>Tradingbook_MSB[[#This Row],[Mat. Date]]-RPT</f>
        <v>2793</v>
      </c>
      <c r="AH498" s="71">
        <f>IF(Tradingbook_MSB[[#This Row],[Days]]&lt;=0,0,YEARFRAC(RPT,Tradingbook_MSB[[#This Row],[Mat. Date]],3))</f>
        <v>7.6520547945205477</v>
      </c>
      <c r="AI498" s="71" t="str">
        <f>IF(Tradingbook_MSB[[#This Row],[Days (year)]]=0,0,INDEX(Ref!$K$2:$K$13,MATCH(Tradingbook_MSB[[#This Row],[Days (year)]],Ref!$I$2:$I$13,1)))</f>
        <v>10Y</v>
      </c>
      <c r="AJ498" s="120" t="str">
        <f>VLOOKUP(Tradingbook_MSB[[#This Row],[Security Name]],Ref!X:Z,3,0)</f>
        <v>TPCP</v>
      </c>
      <c r="AK498" s="120" t="str">
        <f>VLOOKUP(Tradingbook_MSB[[#This Row],[Security Name]],Ref!X:Y,2,0)</f>
        <v>KBNN</v>
      </c>
      <c r="AL498" s="71">
        <f>IF((Tradingbook_MSB[[#This Row],[Mat. Date]]-RPT)&lt;=0,0,Tradingbook_MSB[[#This Row],[QUANTITY]])</f>
        <v>2500000</v>
      </c>
      <c r="AM498" s="71">
        <f>IF(Tradingbook_MSB[[#This Row],[Quantity_edited]]=0,0,Tradingbook_MSB[[#This Row],[DURATION]])</f>
        <v>6.9657447699999997</v>
      </c>
      <c r="AN498" s="71">
        <f>IF(Tradingbook_MSB[[#This Row],[Quantity_edited]]=0,0,Tradingbook_MSB[[#This Row],[Mod Dur]])</f>
        <v>6.6760721790554003</v>
      </c>
      <c r="AO498" s="71">
        <f>IF(Tradingbook_MSB[[#This Row],[Quantity_edited]]=0,0,Tradingbook_MSB[[#This Row],[Cnvx.]])</f>
        <v>53.747472036617097</v>
      </c>
      <c r="AP498" s="71">
        <f>(Tradingbook_MSB[[#This Row],[MARKET_VALUE]]+Tradingbook_MSB[[#This Row],[Accr Int]]*Tradingbook_MSB[[#This Row],[Quantity_edited]])*(-Tradingbook_MSB[[#This Row],[Modified Duration]]*0.0001+0.5*Tradingbook_MSB[[#This Row],[Conv]]*(0.0001^2))</f>
        <v>-147555211.43338388</v>
      </c>
      <c r="AQ498" s="72">
        <f>(Tradingbook_MSB[[#This Row],[MARKET_VALUE]]+Tradingbook_MSB[[#This Row],[Accr Int]]*Tradingbook_MSB[[#This Row],[Quantity_edited]])*(-Tradingbook_MSB[[#This Row],[Modified Duration]]*0.01+0.5*Tradingbook_MSB[[#This Row],[Conv]]*(0.01^2))</f>
        <v>-14167258018.008575</v>
      </c>
      <c r="CL498" t="s">
        <v>166</v>
      </c>
      <c r="CM498" t="s">
        <v>3302</v>
      </c>
      <c r="CN498" t="s">
        <v>700</v>
      </c>
      <c r="CO498" t="s">
        <v>169</v>
      </c>
      <c r="CP498">
        <v>49780</v>
      </c>
      <c r="CQ498" t="s">
        <v>3322</v>
      </c>
      <c r="CR498" t="s">
        <v>4434</v>
      </c>
      <c r="CS498" t="s">
        <v>4435</v>
      </c>
      <c r="CT498">
        <v>0</v>
      </c>
      <c r="CU498">
        <v>0</v>
      </c>
      <c r="CV498">
        <v>0</v>
      </c>
      <c r="CW498">
        <v>0</v>
      </c>
      <c r="CX498">
        <v>2.5</v>
      </c>
      <c r="CY498">
        <v>856</v>
      </c>
      <c r="CZ498">
        <v>0</v>
      </c>
      <c r="DA498">
        <v>0</v>
      </c>
      <c r="DB498">
        <v>-19122723.313879967</v>
      </c>
      <c r="DC498">
        <v>4.4321579250000003</v>
      </c>
      <c r="DD498">
        <v>8</v>
      </c>
      <c r="DE498">
        <v>9</v>
      </c>
      <c r="DF498">
        <v>80</v>
      </c>
      <c r="DG498">
        <v>0</v>
      </c>
      <c r="DH498">
        <v>0</v>
      </c>
      <c r="DI498">
        <v>0</v>
      </c>
      <c r="DJ498">
        <v>248660000</v>
      </c>
      <c r="DK498">
        <v>0</v>
      </c>
      <c r="DL498">
        <v>248660000</v>
      </c>
      <c r="DM498">
        <v>248660000</v>
      </c>
      <c r="DN498">
        <v>248660000</v>
      </c>
      <c r="DO498">
        <v>248660000</v>
      </c>
      <c r="DP498" s="32">
        <f>Tradingbook_SBV[[#This Row],[Mat. Date]]-RPT</f>
        <v>3528</v>
      </c>
      <c r="DQ498" s="32">
        <f>IF(Tradingbook_SBV[[#This Row],[Days]]&lt;=0,0,YEARFRAC(RPT,Tradingbook_SBV[[#This Row],[Mat. Date]],3))</f>
        <v>9.6657534246575345</v>
      </c>
      <c r="DR498" s="32" t="str">
        <f>IF(Tradingbook_SBV[[#This Row],[Days (year)]]=0,0,INDEX(Ref!$K$2:$K$13,MATCH(Tradingbook_SBV[[#This Row],[Days (year)]],Ref!$I$2:$I$13,1)))</f>
        <v>10Y</v>
      </c>
      <c r="DS498" s="32" t="str">
        <f>VLOOKUP(Tradingbook_SBV[[#This Row],[Security Name]],Ref!X:Z,3,0)</f>
        <v>TPCP</v>
      </c>
      <c r="DT498" s="32" t="str">
        <f>VLOOKUP(Tradingbook_SBV[[#This Row],[Security Name]],Ref!X:Y,2,0)</f>
        <v>KBNN</v>
      </c>
      <c r="DU498" s="71">
        <f>IF((Tradingbook_SBV[[#This Row],[Mat. Date]]-RPT)&lt;=0,0,Tradingbook_SBV[[#This Row],[QUANTITY]])</f>
        <v>0</v>
      </c>
      <c r="DV498" s="71">
        <f>IF(Tradingbook_SBV[[#This Row],[Quantity_edited]]=0,0,Tradingbook_SBV[[#This Row],[DURATION]])</f>
        <v>0</v>
      </c>
      <c r="DW498" s="71">
        <f>IF(Tradingbook_SBV[[#This Row],[Quantity_edited]]=0,0,Tradingbook_SBV[[#This Row],[Mod Dur]])</f>
        <v>0</v>
      </c>
      <c r="DX498" s="71">
        <f>IF(Tradingbook_SBV[[#This Row],[Quantity_edited]]=0,0,Tradingbook_SBV[[#This Row],[Cnvx.]])</f>
        <v>0</v>
      </c>
      <c r="DY498" s="71">
        <f>(Tradingbook_SBV[[#This Row],[MARKET_VALUE]]+Tradingbook_SBV[[#This Row],[Accr Int]]*Tradingbook_SBV[[#This Row],[Quantity_edited]])*(-Tradingbook_SBV[[#This Row],[Modified Duration]]*0.0001+0.5*Tradingbook_SBV[[#This Row],[Conv]]*(0.0001^2))</f>
        <v>0</v>
      </c>
      <c r="DZ498" s="71">
        <f>(Tradingbook_SBV[[#This Row],[MARKET_VALUE]]+Tradingbook_SBV[[#This Row],[Accr Int]]*Tradingbook_SBV[[#This Row],[Quantity_edited]])*(-Tradingbook_SBV[[#This Row],[Modified Duration]]*0.01+0.5*Tradingbook_SBV[[#This Row],[Conv]]*(0.01^2))</f>
        <v>0</v>
      </c>
    </row>
    <row r="499" spans="2:130" x14ac:dyDescent="0.3">
      <c r="B499" t="s">
        <v>166</v>
      </c>
      <c r="C499" t="s">
        <v>3301</v>
      </c>
      <c r="D499" t="s">
        <v>668</v>
      </c>
      <c r="E499" t="s">
        <v>169</v>
      </c>
      <c r="F499" s="502">
        <v>49094</v>
      </c>
      <c r="G499" t="s">
        <v>3322</v>
      </c>
      <c r="H499">
        <v>104228</v>
      </c>
      <c r="I499">
        <v>104228</v>
      </c>
      <c r="J499" s="38">
        <v>0</v>
      </c>
      <c r="K499">
        <v>0</v>
      </c>
      <c r="L499">
        <v>0</v>
      </c>
      <c r="M499" s="38">
        <v>0</v>
      </c>
      <c r="N499">
        <v>5</v>
      </c>
      <c r="O499">
        <v>1096</v>
      </c>
      <c r="P499" s="37">
        <v>25000000000</v>
      </c>
      <c r="Q499" s="37">
        <v>28763712847.222198</v>
      </c>
      <c r="R499" s="37">
        <v>-18504822317.944206</v>
      </c>
      <c r="S499">
        <v>4.3451645149999996</v>
      </c>
      <c r="T499" s="70">
        <v>6.3220052127777997</v>
      </c>
      <c r="U499">
        <v>6.5967067400000001</v>
      </c>
      <c r="V499">
        <v>50.312203828647803</v>
      </c>
      <c r="W499">
        <v>0</v>
      </c>
      <c r="X499" s="38">
        <v>0</v>
      </c>
      <c r="Y499">
        <v>0</v>
      </c>
      <c r="Z499" s="70">
        <v>-54763800000</v>
      </c>
      <c r="AA499" s="70">
        <v>0</v>
      </c>
      <c r="AB499" s="70">
        <v>-54763800000</v>
      </c>
      <c r="AC499" s="70">
        <v>-54763800000</v>
      </c>
      <c r="AD499" s="70">
        <v>-54763800000</v>
      </c>
      <c r="AE499" s="70">
        <v>-54763800000</v>
      </c>
      <c r="AF499">
        <v>0</v>
      </c>
      <c r="AG499" s="72">
        <f>Tradingbook_MSB[[#This Row],[Mat. Date]]-RPT</f>
        <v>2842</v>
      </c>
      <c r="AH499" s="71">
        <f>IF(Tradingbook_MSB[[#This Row],[Days]]&lt;=0,0,YEARFRAC(RPT,Tradingbook_MSB[[#This Row],[Mat. Date]],3))</f>
        <v>7.7863013698630139</v>
      </c>
      <c r="AI499" s="71" t="str">
        <f>IF(Tradingbook_MSB[[#This Row],[Days (year)]]=0,0,INDEX(Ref!$K$2:$K$13,MATCH(Tradingbook_MSB[[#This Row],[Days (year)]],Ref!$I$2:$I$13,1)))</f>
        <v>10Y</v>
      </c>
      <c r="AJ499" s="120" t="str">
        <f>VLOOKUP(Tradingbook_MSB[[#This Row],[Security Name]],Ref!X:Z,3,0)</f>
        <v>TPCP</v>
      </c>
      <c r="AK499" s="120" t="str">
        <f>VLOOKUP(Tradingbook_MSB[[#This Row],[Security Name]],Ref!X:Y,2,0)</f>
        <v>KBNN</v>
      </c>
      <c r="AL499" s="71">
        <f>IF((Tradingbook_MSB[[#This Row],[Mat. Date]]-RPT)&lt;=0,0,Tradingbook_MSB[[#This Row],[QUANTITY]])</f>
        <v>0</v>
      </c>
      <c r="AM499" s="71">
        <f>IF(Tradingbook_MSB[[#This Row],[Quantity_edited]]=0,0,Tradingbook_MSB[[#This Row],[DURATION]])</f>
        <v>0</v>
      </c>
      <c r="AN499" s="71">
        <f>IF(Tradingbook_MSB[[#This Row],[Quantity_edited]]=0,0,Tradingbook_MSB[[#This Row],[Mod Dur]])</f>
        <v>0</v>
      </c>
      <c r="AO499" s="71">
        <f>IF(Tradingbook_MSB[[#This Row],[Quantity_edited]]=0,0,Tradingbook_MSB[[#This Row],[Cnvx.]])</f>
        <v>0</v>
      </c>
      <c r="AP499" s="71">
        <f>(Tradingbook_MSB[[#This Row],[MARKET_VALUE]]+Tradingbook_MSB[[#This Row],[Accr Int]]*Tradingbook_MSB[[#This Row],[Quantity_edited]])*(-Tradingbook_MSB[[#This Row],[Modified Duration]]*0.0001+0.5*Tradingbook_MSB[[#This Row],[Conv]]*(0.0001^2))</f>
        <v>0</v>
      </c>
      <c r="AQ499" s="72">
        <f>(Tradingbook_MSB[[#This Row],[MARKET_VALUE]]+Tradingbook_MSB[[#This Row],[Accr Int]]*Tradingbook_MSB[[#This Row],[Quantity_edited]])*(-Tradingbook_MSB[[#This Row],[Modified Duration]]*0.01+0.5*Tradingbook_MSB[[#This Row],[Conv]]*(0.01^2))</f>
        <v>0</v>
      </c>
      <c r="CL499" t="s">
        <v>166</v>
      </c>
      <c r="CM499" t="s">
        <v>3302</v>
      </c>
      <c r="CN499" t="s">
        <v>701</v>
      </c>
      <c r="CO499" t="s">
        <v>169</v>
      </c>
      <c r="CP499">
        <v>49836</v>
      </c>
      <c r="CQ499" t="s">
        <v>3322</v>
      </c>
      <c r="CR499" t="s">
        <v>4436</v>
      </c>
      <c r="CS499" t="s">
        <v>4437</v>
      </c>
      <c r="CT499">
        <v>0</v>
      </c>
      <c r="CU499">
        <v>0</v>
      </c>
      <c r="CV499">
        <v>0</v>
      </c>
      <c r="CW499">
        <v>0</v>
      </c>
      <c r="CX499">
        <v>2.4</v>
      </c>
      <c r="CY499">
        <v>454</v>
      </c>
      <c r="CZ499">
        <v>0</v>
      </c>
      <c r="DA499">
        <v>0</v>
      </c>
      <c r="DB499">
        <v>-43747542.499958038</v>
      </c>
      <c r="DC499">
        <v>4.439212157</v>
      </c>
      <c r="DD499">
        <v>8</v>
      </c>
      <c r="DE499">
        <v>9</v>
      </c>
      <c r="DF499">
        <v>83</v>
      </c>
      <c r="DG499">
        <v>0</v>
      </c>
      <c r="DH499">
        <v>0</v>
      </c>
      <c r="DI499">
        <v>0</v>
      </c>
      <c r="DJ499">
        <v>908500000</v>
      </c>
      <c r="DK499">
        <v>0</v>
      </c>
      <c r="DL499">
        <v>908500000</v>
      </c>
      <c r="DM499">
        <v>908500000</v>
      </c>
      <c r="DN499">
        <v>908500000</v>
      </c>
      <c r="DO499">
        <v>908500000</v>
      </c>
      <c r="DP499" s="32">
        <f>Tradingbook_SBV[[#This Row],[Mat. Date]]-RPT</f>
        <v>3584</v>
      </c>
      <c r="DQ499" s="32">
        <f>IF(Tradingbook_SBV[[#This Row],[Days]]&lt;=0,0,YEARFRAC(RPT,Tradingbook_SBV[[#This Row],[Mat. Date]],3))</f>
        <v>9.8191780821917813</v>
      </c>
      <c r="DR499" s="32" t="str">
        <f>IF(Tradingbook_SBV[[#This Row],[Days (year)]]=0,0,INDEX(Ref!$K$2:$K$13,MATCH(Tradingbook_SBV[[#This Row],[Days (year)]],Ref!$I$2:$I$13,1)))</f>
        <v>10Y</v>
      </c>
      <c r="DS499" s="32" t="str">
        <f>VLOOKUP(Tradingbook_SBV[[#This Row],[Security Name]],Ref!X:Z,3,0)</f>
        <v>TPCP</v>
      </c>
      <c r="DT499" s="32" t="str">
        <f>VLOOKUP(Tradingbook_SBV[[#This Row],[Security Name]],Ref!X:Y,2,0)</f>
        <v>KBNN</v>
      </c>
      <c r="DU499" s="71">
        <f>IF((Tradingbook_SBV[[#This Row],[Mat. Date]]-RPT)&lt;=0,0,Tradingbook_SBV[[#This Row],[QUANTITY]])</f>
        <v>0</v>
      </c>
      <c r="DV499" s="71">
        <f>IF(Tradingbook_SBV[[#This Row],[Quantity_edited]]=0,0,Tradingbook_SBV[[#This Row],[DURATION]])</f>
        <v>0</v>
      </c>
      <c r="DW499" s="71">
        <f>IF(Tradingbook_SBV[[#This Row],[Quantity_edited]]=0,0,Tradingbook_SBV[[#This Row],[Mod Dur]])</f>
        <v>0</v>
      </c>
      <c r="DX499" s="71">
        <f>IF(Tradingbook_SBV[[#This Row],[Quantity_edited]]=0,0,Tradingbook_SBV[[#This Row],[Cnvx.]])</f>
        <v>0</v>
      </c>
      <c r="DY499" s="71">
        <f>(Tradingbook_SBV[[#This Row],[MARKET_VALUE]]+Tradingbook_SBV[[#This Row],[Accr Int]]*Tradingbook_SBV[[#This Row],[Quantity_edited]])*(-Tradingbook_SBV[[#This Row],[Modified Duration]]*0.0001+0.5*Tradingbook_SBV[[#This Row],[Conv]]*(0.0001^2))</f>
        <v>0</v>
      </c>
      <c r="DZ499" s="71">
        <f>(Tradingbook_SBV[[#This Row],[MARKET_VALUE]]+Tradingbook_SBV[[#This Row],[Accr Int]]*Tradingbook_SBV[[#This Row],[Quantity_edited]])*(-Tradingbook_SBV[[#This Row],[Modified Duration]]*0.01+0.5*Tradingbook_SBV[[#This Row],[Conv]]*(0.01^2))</f>
        <v>0</v>
      </c>
    </row>
    <row r="500" spans="2:130" x14ac:dyDescent="0.3">
      <c r="B500" t="s">
        <v>166</v>
      </c>
      <c r="C500" t="s">
        <v>3301</v>
      </c>
      <c r="D500" t="s">
        <v>669</v>
      </c>
      <c r="E500" t="s">
        <v>169</v>
      </c>
      <c r="F500" s="502">
        <v>49150</v>
      </c>
      <c r="G500" t="s">
        <v>3322</v>
      </c>
      <c r="H500">
        <v>101627</v>
      </c>
      <c r="I500">
        <v>101627</v>
      </c>
      <c r="J500" s="38">
        <v>0</v>
      </c>
      <c r="K500">
        <v>0</v>
      </c>
      <c r="L500">
        <v>0</v>
      </c>
      <c r="M500" s="38">
        <v>0</v>
      </c>
      <c r="N500">
        <v>4.5999999999999996</v>
      </c>
      <c r="O500">
        <v>302</v>
      </c>
      <c r="P500" s="37">
        <v>29900000000</v>
      </c>
      <c r="Q500" s="37">
        <v>32674431222.22226</v>
      </c>
      <c r="R500" s="37">
        <v>-15641515327.583311</v>
      </c>
      <c r="S500">
        <v>4.3522751990000001</v>
      </c>
      <c r="T500" s="70">
        <v>6.5318287642229</v>
      </c>
      <c r="U500">
        <v>6.8161119299999999</v>
      </c>
      <c r="V500">
        <v>53.038493299621301</v>
      </c>
      <c r="W500">
        <v>0</v>
      </c>
      <c r="X500" s="38">
        <v>0</v>
      </c>
      <c r="Y500">
        <v>0</v>
      </c>
      <c r="Z500" s="70">
        <v>-1016610000</v>
      </c>
      <c r="AA500" s="70">
        <v>0</v>
      </c>
      <c r="AB500" s="70">
        <v>-1016610000</v>
      </c>
      <c r="AC500" s="70">
        <v>-1016610000</v>
      </c>
      <c r="AD500" s="70">
        <v>-1016610000</v>
      </c>
      <c r="AE500" s="70">
        <v>-1016610000</v>
      </c>
      <c r="AF500">
        <v>0</v>
      </c>
      <c r="AG500" s="72">
        <f>Tradingbook_MSB[[#This Row],[Mat. Date]]-RPT</f>
        <v>2898</v>
      </c>
      <c r="AH500" s="71">
        <f>IF(Tradingbook_MSB[[#This Row],[Days]]&lt;=0,0,YEARFRAC(RPT,Tradingbook_MSB[[#This Row],[Mat. Date]],3))</f>
        <v>7.9397260273972599</v>
      </c>
      <c r="AI500" s="71" t="str">
        <f>IF(Tradingbook_MSB[[#This Row],[Days (year)]]=0,0,INDEX(Ref!$K$2:$K$13,MATCH(Tradingbook_MSB[[#This Row],[Days (year)]],Ref!$I$2:$I$13,1)))</f>
        <v>10Y</v>
      </c>
      <c r="AJ500" s="120" t="str">
        <f>VLOOKUP(Tradingbook_MSB[[#This Row],[Security Name]],Ref!X:Z,3,0)</f>
        <v>TPCP</v>
      </c>
      <c r="AK500" s="120" t="str">
        <f>VLOOKUP(Tradingbook_MSB[[#This Row],[Security Name]],Ref!X:Y,2,0)</f>
        <v>KBNN</v>
      </c>
      <c r="AL500" s="71">
        <f>IF((Tradingbook_MSB[[#This Row],[Mat. Date]]-RPT)&lt;=0,0,Tradingbook_MSB[[#This Row],[QUANTITY]])</f>
        <v>0</v>
      </c>
      <c r="AM500" s="71">
        <f>IF(Tradingbook_MSB[[#This Row],[Quantity_edited]]=0,0,Tradingbook_MSB[[#This Row],[DURATION]])</f>
        <v>0</v>
      </c>
      <c r="AN500" s="71">
        <f>IF(Tradingbook_MSB[[#This Row],[Quantity_edited]]=0,0,Tradingbook_MSB[[#This Row],[Mod Dur]])</f>
        <v>0</v>
      </c>
      <c r="AO500" s="71">
        <f>IF(Tradingbook_MSB[[#This Row],[Quantity_edited]]=0,0,Tradingbook_MSB[[#This Row],[Cnvx.]])</f>
        <v>0</v>
      </c>
      <c r="AP500" s="71">
        <f>(Tradingbook_MSB[[#This Row],[MARKET_VALUE]]+Tradingbook_MSB[[#This Row],[Accr Int]]*Tradingbook_MSB[[#This Row],[Quantity_edited]])*(-Tradingbook_MSB[[#This Row],[Modified Duration]]*0.0001+0.5*Tradingbook_MSB[[#This Row],[Conv]]*(0.0001^2))</f>
        <v>0</v>
      </c>
      <c r="AQ500" s="72">
        <f>(Tradingbook_MSB[[#This Row],[MARKET_VALUE]]+Tradingbook_MSB[[#This Row],[Accr Int]]*Tradingbook_MSB[[#This Row],[Quantity_edited]])*(-Tradingbook_MSB[[#This Row],[Modified Duration]]*0.01+0.5*Tradingbook_MSB[[#This Row],[Conv]]*(0.01^2))</f>
        <v>0</v>
      </c>
      <c r="CL500" t="s">
        <v>166</v>
      </c>
      <c r="CM500" t="s">
        <v>3302</v>
      </c>
      <c r="CN500" t="s">
        <v>702</v>
      </c>
      <c r="CO500" t="s">
        <v>169</v>
      </c>
      <c r="CP500">
        <v>49899</v>
      </c>
      <c r="CQ500" t="s">
        <v>3322</v>
      </c>
      <c r="CR500" t="s">
        <v>4438</v>
      </c>
      <c r="CS500" t="s">
        <v>4439</v>
      </c>
      <c r="CT500">
        <v>0</v>
      </c>
      <c r="CU500">
        <v>0</v>
      </c>
      <c r="CV500">
        <v>0</v>
      </c>
      <c r="CW500">
        <v>0</v>
      </c>
      <c r="CX500">
        <v>2.2999999999999998</v>
      </c>
      <c r="CY500">
        <v>38</v>
      </c>
      <c r="CZ500">
        <v>0</v>
      </c>
      <c r="DA500">
        <v>-1.0000000000000001E-5</v>
      </c>
      <c r="DB500">
        <v>-293468277.49993706</v>
      </c>
      <c r="DC500">
        <v>4.4471972759999998</v>
      </c>
      <c r="DD500">
        <v>9</v>
      </c>
      <c r="DE500">
        <v>9</v>
      </c>
      <c r="DF500">
        <v>86</v>
      </c>
      <c r="DG500">
        <v>0</v>
      </c>
      <c r="DH500">
        <v>0</v>
      </c>
      <c r="DI500">
        <v>0</v>
      </c>
      <c r="DJ500">
        <v>667000000</v>
      </c>
      <c r="DK500">
        <v>0</v>
      </c>
      <c r="DL500">
        <v>667000000</v>
      </c>
      <c r="DM500">
        <v>667000000</v>
      </c>
      <c r="DN500">
        <v>667000000</v>
      </c>
      <c r="DO500">
        <v>667000000</v>
      </c>
      <c r="DP500" s="32">
        <f>Tradingbook_SBV[[#This Row],[Mat. Date]]-RPT</f>
        <v>3647</v>
      </c>
      <c r="DQ500" s="32">
        <f>IF(Tradingbook_SBV[[#This Row],[Days]]&lt;=0,0,YEARFRAC(RPT,Tradingbook_SBV[[#This Row],[Mat. Date]],3))</f>
        <v>9.9917808219178088</v>
      </c>
      <c r="DR500" s="32" t="str">
        <f>IF(Tradingbook_SBV[[#This Row],[Days (year)]]=0,0,INDEX(Ref!$K$2:$K$13,MATCH(Tradingbook_SBV[[#This Row],[Days (year)]],Ref!$I$2:$I$13,1)))</f>
        <v>10Y</v>
      </c>
      <c r="DS500" s="32" t="str">
        <f>VLOOKUP(Tradingbook_SBV[[#This Row],[Security Name]],Ref!X:Z,3,0)</f>
        <v>TPCP</v>
      </c>
      <c r="DT500" s="32" t="str">
        <f>VLOOKUP(Tradingbook_SBV[[#This Row],[Security Name]],Ref!X:Y,2,0)</f>
        <v>KBNN</v>
      </c>
      <c r="DU500" s="71">
        <f>IF((Tradingbook_SBV[[#This Row],[Mat. Date]]-RPT)&lt;=0,0,Tradingbook_SBV[[#This Row],[QUANTITY]])</f>
        <v>0</v>
      </c>
      <c r="DV500" s="71">
        <f>IF(Tradingbook_SBV[[#This Row],[Quantity_edited]]=0,0,Tradingbook_SBV[[#This Row],[DURATION]])</f>
        <v>0</v>
      </c>
      <c r="DW500" s="71">
        <f>IF(Tradingbook_SBV[[#This Row],[Quantity_edited]]=0,0,Tradingbook_SBV[[#This Row],[Mod Dur]])</f>
        <v>0</v>
      </c>
      <c r="DX500" s="71">
        <f>IF(Tradingbook_SBV[[#This Row],[Quantity_edited]]=0,0,Tradingbook_SBV[[#This Row],[Cnvx.]])</f>
        <v>0</v>
      </c>
      <c r="DY500" s="71">
        <f>(Tradingbook_SBV[[#This Row],[MARKET_VALUE]]+Tradingbook_SBV[[#This Row],[Accr Int]]*Tradingbook_SBV[[#This Row],[Quantity_edited]])*(-Tradingbook_SBV[[#This Row],[Modified Duration]]*0.0001+0.5*Tradingbook_SBV[[#This Row],[Conv]]*(0.0001^2))</f>
        <v>0</v>
      </c>
      <c r="DZ500" s="71">
        <f>(Tradingbook_SBV[[#This Row],[MARKET_VALUE]]+Tradingbook_SBV[[#This Row],[Accr Int]]*Tradingbook_SBV[[#This Row],[Quantity_edited]])*(-Tradingbook_SBV[[#This Row],[Modified Duration]]*0.01+0.5*Tradingbook_SBV[[#This Row],[Conv]]*(0.01^2))</f>
        <v>0</v>
      </c>
    </row>
    <row r="501" spans="2:130" x14ac:dyDescent="0.3">
      <c r="B501" t="s">
        <v>166</v>
      </c>
      <c r="C501" t="s">
        <v>3301</v>
      </c>
      <c r="D501" t="s">
        <v>670</v>
      </c>
      <c r="E501" t="s">
        <v>169</v>
      </c>
      <c r="F501" s="502">
        <v>49204</v>
      </c>
      <c r="G501" t="s">
        <v>170</v>
      </c>
      <c r="H501">
        <v>98948</v>
      </c>
      <c r="I501">
        <v>98948</v>
      </c>
      <c r="J501" s="38">
        <v>500000</v>
      </c>
      <c r="K501">
        <v>50000000000</v>
      </c>
      <c r="L501">
        <v>113955</v>
      </c>
      <c r="M501" s="38">
        <v>49474000000</v>
      </c>
      <c r="N501">
        <v>4.7</v>
      </c>
      <c r="O501">
        <v>4314</v>
      </c>
      <c r="P501" s="37">
        <v>4700000000</v>
      </c>
      <c r="Q501" s="37">
        <v>5040671666.6666679</v>
      </c>
      <c r="R501" s="37">
        <v>-5690173863.6111174</v>
      </c>
      <c r="S501">
        <v>4.8591511970000001</v>
      </c>
      <c r="T501" s="70">
        <v>6.3082559595476004</v>
      </c>
      <c r="U501">
        <v>6.6147836499999997</v>
      </c>
      <c r="V501">
        <v>51.653608945285399</v>
      </c>
      <c r="W501">
        <v>26669.274834540302</v>
      </c>
      <c r="X501" s="38">
        <v>-32570.15634474</v>
      </c>
      <c r="Y501">
        <v>6712.1620000000003</v>
      </c>
      <c r="Z501" s="70">
        <v>-353500000</v>
      </c>
      <c r="AA501" s="70">
        <v>-7503500000</v>
      </c>
      <c r="AB501" s="70">
        <v>-7857000000</v>
      </c>
      <c r="AC501" s="70">
        <v>-7857000000</v>
      </c>
      <c r="AD501" s="70">
        <v>-7857000000</v>
      </c>
      <c r="AE501" s="70">
        <v>-7857000000</v>
      </c>
      <c r="AF501">
        <v>3.243486619</v>
      </c>
      <c r="AG501" s="72">
        <f>Tradingbook_MSB[[#This Row],[Mat. Date]]-RPT</f>
        <v>2952</v>
      </c>
      <c r="AH501" s="71">
        <f>IF(Tradingbook_MSB[[#This Row],[Days]]&lt;=0,0,YEARFRAC(RPT,Tradingbook_MSB[[#This Row],[Mat. Date]],3))</f>
        <v>8.087671232876712</v>
      </c>
      <c r="AI501" s="71" t="str">
        <f>IF(Tradingbook_MSB[[#This Row],[Days (year)]]=0,0,INDEX(Ref!$K$2:$K$13,MATCH(Tradingbook_MSB[[#This Row],[Days (year)]],Ref!$I$2:$I$13,1)))</f>
        <v>10Y</v>
      </c>
      <c r="AJ501" s="120" t="str">
        <f>VLOOKUP(Tradingbook_MSB[[#This Row],[Security Name]],Ref!X:Z,3,0)</f>
        <v>TPCPBL</v>
      </c>
      <c r="AK501" s="120" t="str">
        <f>VLOOKUP(Tradingbook_MSB[[#This Row],[Security Name]],Ref!X:Y,2,0)</f>
        <v>VBS</v>
      </c>
      <c r="AL501" s="71">
        <f>IF((Tradingbook_MSB[[#This Row],[Mat. Date]]-RPT)&lt;=0,0,Tradingbook_MSB[[#This Row],[QUANTITY]])</f>
        <v>500000</v>
      </c>
      <c r="AM501" s="71">
        <f>IF(Tradingbook_MSB[[#This Row],[Quantity_edited]]=0,0,Tradingbook_MSB[[#This Row],[DURATION]])</f>
        <v>6.6147836499999997</v>
      </c>
      <c r="AN501" s="71">
        <f>IF(Tradingbook_MSB[[#This Row],[Quantity_edited]]=0,0,Tradingbook_MSB[[#This Row],[Mod Dur]])</f>
        <v>6.3082559595476004</v>
      </c>
      <c r="AO501" s="71">
        <f>IF(Tradingbook_MSB[[#This Row],[Quantity_edited]]=0,0,Tradingbook_MSB[[#This Row],[Cnvx.]])</f>
        <v>51.653608945285399</v>
      </c>
      <c r="AP501" s="71">
        <f>(Tradingbook_MSB[[#This Row],[MARKET_VALUE]]+Tradingbook_MSB[[#This Row],[Accr Int]]*Tradingbook_MSB[[#This Row],[Quantity_edited]])*(-Tradingbook_MSB[[#This Row],[Modified Duration]]*0.0001+0.5*Tradingbook_MSB[[#This Row],[Conv]]*(0.0001^2))</f>
        <v>-32556821.707322944</v>
      </c>
      <c r="AQ501" s="72">
        <f>(Tradingbook_MSB[[#This Row],[MARKET_VALUE]]+Tradingbook_MSB[[#This Row],[Accr Int]]*Tradingbook_MSB[[#This Row],[Quantity_edited]])*(-Tradingbook_MSB[[#This Row],[Modified Duration]]*0.01+0.5*Tradingbook_MSB[[#This Row],[Conv]]*(0.01^2))</f>
        <v>-3123669260.3013206</v>
      </c>
      <c r="CL501" t="s">
        <v>166</v>
      </c>
      <c r="CM501" t="s">
        <v>3302</v>
      </c>
      <c r="CN501" t="s">
        <v>703</v>
      </c>
      <c r="CO501" t="s">
        <v>169</v>
      </c>
      <c r="CP501">
        <v>49927</v>
      </c>
      <c r="CQ501" t="s">
        <v>3322</v>
      </c>
      <c r="CR501" t="s">
        <v>4440</v>
      </c>
      <c r="CS501" t="s">
        <v>4441</v>
      </c>
      <c r="CT501">
        <v>0</v>
      </c>
      <c r="CU501">
        <v>0</v>
      </c>
      <c r="CV501">
        <v>0</v>
      </c>
      <c r="CW501">
        <v>0</v>
      </c>
      <c r="CX501">
        <v>2.2000000000000002</v>
      </c>
      <c r="CY501">
        <v>2067</v>
      </c>
      <c r="CZ501">
        <v>0</v>
      </c>
      <c r="DA501">
        <v>7.9999999999999996E-6</v>
      </c>
      <c r="DB501">
        <v>-389495682.8472023</v>
      </c>
      <c r="DC501">
        <v>4.4495009530000003</v>
      </c>
      <c r="DD501">
        <v>8</v>
      </c>
      <c r="DE501">
        <v>9</v>
      </c>
      <c r="DF501">
        <v>86</v>
      </c>
      <c r="DG501">
        <v>0</v>
      </c>
      <c r="DH501">
        <v>0</v>
      </c>
      <c r="DI501">
        <v>0</v>
      </c>
      <c r="DJ501">
        <v>-505000000</v>
      </c>
      <c r="DK501">
        <v>0</v>
      </c>
      <c r="DL501">
        <v>-505000000</v>
      </c>
      <c r="DM501">
        <v>-505000000</v>
      </c>
      <c r="DN501">
        <v>-505000000</v>
      </c>
      <c r="DO501">
        <v>-505000000</v>
      </c>
      <c r="DP501" s="32">
        <f>Tradingbook_SBV[[#This Row],[Mat. Date]]-RPT</f>
        <v>3675</v>
      </c>
      <c r="DQ501" s="32">
        <f>IF(Tradingbook_SBV[[#This Row],[Days]]&lt;=0,0,YEARFRAC(RPT,Tradingbook_SBV[[#This Row],[Mat. Date]],3))</f>
        <v>10.068493150684931</v>
      </c>
      <c r="DR501" s="32" t="str">
        <f>IF(Tradingbook_SBV[[#This Row],[Days (year)]]=0,0,INDEX(Ref!$K$2:$K$13,MATCH(Tradingbook_SBV[[#This Row],[Days (year)]],Ref!$I$2:$I$13,1)))</f>
        <v>10Y</v>
      </c>
      <c r="DS501" s="32" t="str">
        <f>VLOOKUP(Tradingbook_SBV[[#This Row],[Security Name]],Ref!X:Z,3,0)</f>
        <v>TPCP</v>
      </c>
      <c r="DT501" s="32" t="str">
        <f>VLOOKUP(Tradingbook_SBV[[#This Row],[Security Name]],Ref!X:Y,2,0)</f>
        <v>KBNN</v>
      </c>
      <c r="DU501" s="71">
        <f>IF((Tradingbook_SBV[[#This Row],[Mat. Date]]-RPT)&lt;=0,0,Tradingbook_SBV[[#This Row],[QUANTITY]])</f>
        <v>0</v>
      </c>
      <c r="DV501" s="71">
        <f>IF(Tradingbook_SBV[[#This Row],[Quantity_edited]]=0,0,Tradingbook_SBV[[#This Row],[DURATION]])</f>
        <v>0</v>
      </c>
      <c r="DW501" s="71">
        <f>IF(Tradingbook_SBV[[#This Row],[Quantity_edited]]=0,0,Tradingbook_SBV[[#This Row],[Mod Dur]])</f>
        <v>0</v>
      </c>
      <c r="DX501" s="71">
        <f>IF(Tradingbook_SBV[[#This Row],[Quantity_edited]]=0,0,Tradingbook_SBV[[#This Row],[Cnvx.]])</f>
        <v>0</v>
      </c>
      <c r="DY501" s="71">
        <f>(Tradingbook_SBV[[#This Row],[MARKET_VALUE]]+Tradingbook_SBV[[#This Row],[Accr Int]]*Tradingbook_SBV[[#This Row],[Quantity_edited]])*(-Tradingbook_SBV[[#This Row],[Modified Duration]]*0.0001+0.5*Tradingbook_SBV[[#This Row],[Conv]]*(0.0001^2))</f>
        <v>0</v>
      </c>
      <c r="DZ501" s="71">
        <f>(Tradingbook_SBV[[#This Row],[MARKET_VALUE]]+Tradingbook_SBV[[#This Row],[Accr Int]]*Tradingbook_SBV[[#This Row],[Quantity_edited]])*(-Tradingbook_SBV[[#This Row],[Modified Duration]]*0.01+0.5*Tradingbook_SBV[[#This Row],[Conv]]*(0.01^2))</f>
        <v>0</v>
      </c>
    </row>
    <row r="502" spans="2:130" x14ac:dyDescent="0.3">
      <c r="B502" t="s">
        <v>166</v>
      </c>
      <c r="C502" t="s">
        <v>3301</v>
      </c>
      <c r="D502" t="s">
        <v>671</v>
      </c>
      <c r="E502" t="s">
        <v>169</v>
      </c>
      <c r="F502" s="502">
        <v>49211</v>
      </c>
      <c r="G502" t="s">
        <v>3322</v>
      </c>
      <c r="H502">
        <v>98282</v>
      </c>
      <c r="I502">
        <v>98282</v>
      </c>
      <c r="J502" s="38">
        <v>0</v>
      </c>
      <c r="K502">
        <v>0</v>
      </c>
      <c r="L502">
        <v>0</v>
      </c>
      <c r="M502" s="38">
        <v>0</v>
      </c>
      <c r="N502">
        <v>4.5999999999999996</v>
      </c>
      <c r="O502">
        <v>4134</v>
      </c>
      <c r="P502" s="37">
        <v>0</v>
      </c>
      <c r="Q502" s="37">
        <v>0</v>
      </c>
      <c r="R502" s="37">
        <v>-31307109.166669846</v>
      </c>
      <c r="S502">
        <v>4.8600220099999998</v>
      </c>
      <c r="T502" s="70">
        <v>6.3462353946723997</v>
      </c>
      <c r="U502">
        <v>6.6546638299999996</v>
      </c>
      <c r="V502">
        <v>52.1151301007502</v>
      </c>
      <c r="W502">
        <v>0</v>
      </c>
      <c r="X502" s="38">
        <v>0</v>
      </c>
      <c r="Y502">
        <v>0</v>
      </c>
      <c r="Z502" s="70">
        <v>-12500000</v>
      </c>
      <c r="AA502" s="70">
        <v>0</v>
      </c>
      <c r="AB502" s="70">
        <v>-12500000</v>
      </c>
      <c r="AC502" s="70">
        <v>-12500000</v>
      </c>
      <c r="AD502" s="70">
        <v>-12500000</v>
      </c>
      <c r="AE502" s="70">
        <v>-12500000</v>
      </c>
      <c r="AF502">
        <v>0</v>
      </c>
      <c r="AG502" s="72">
        <f>Tradingbook_MSB[[#This Row],[Mat. Date]]-RPT</f>
        <v>2959</v>
      </c>
      <c r="AH502" s="71">
        <f>IF(Tradingbook_MSB[[#This Row],[Days]]&lt;=0,0,YEARFRAC(RPT,Tradingbook_MSB[[#This Row],[Mat. Date]],3))</f>
        <v>8.1068493150684926</v>
      </c>
      <c r="AI502" s="71" t="str">
        <f>IF(Tradingbook_MSB[[#This Row],[Days (year)]]=0,0,INDEX(Ref!$K$2:$K$13,MATCH(Tradingbook_MSB[[#This Row],[Days (year)]],Ref!$I$2:$I$13,1)))</f>
        <v>10Y</v>
      </c>
      <c r="AJ502" s="120" t="str">
        <f>VLOOKUP(Tradingbook_MSB[[#This Row],[Security Name]],Ref!X:Z,3,0)</f>
        <v>TPCPBL</v>
      </c>
      <c r="AK502" s="120" t="str">
        <f>VLOOKUP(Tradingbook_MSB[[#This Row],[Security Name]],Ref!X:Y,2,0)</f>
        <v>VBS</v>
      </c>
      <c r="AL502" s="71">
        <f>IF((Tradingbook_MSB[[#This Row],[Mat. Date]]-RPT)&lt;=0,0,Tradingbook_MSB[[#This Row],[QUANTITY]])</f>
        <v>0</v>
      </c>
      <c r="AM502" s="71">
        <f>IF(Tradingbook_MSB[[#This Row],[Quantity_edited]]=0,0,Tradingbook_MSB[[#This Row],[DURATION]])</f>
        <v>0</v>
      </c>
      <c r="AN502" s="71">
        <f>IF(Tradingbook_MSB[[#This Row],[Quantity_edited]]=0,0,Tradingbook_MSB[[#This Row],[Mod Dur]])</f>
        <v>0</v>
      </c>
      <c r="AO502" s="71">
        <f>IF(Tradingbook_MSB[[#This Row],[Quantity_edited]]=0,0,Tradingbook_MSB[[#This Row],[Cnvx.]])</f>
        <v>0</v>
      </c>
      <c r="AP502" s="71">
        <f>(Tradingbook_MSB[[#This Row],[MARKET_VALUE]]+Tradingbook_MSB[[#This Row],[Accr Int]]*Tradingbook_MSB[[#This Row],[Quantity_edited]])*(-Tradingbook_MSB[[#This Row],[Modified Duration]]*0.0001+0.5*Tradingbook_MSB[[#This Row],[Conv]]*(0.0001^2))</f>
        <v>0</v>
      </c>
      <c r="AQ502" s="72">
        <f>(Tradingbook_MSB[[#This Row],[MARKET_VALUE]]+Tradingbook_MSB[[#This Row],[Accr Int]]*Tradingbook_MSB[[#This Row],[Quantity_edited]])*(-Tradingbook_MSB[[#This Row],[Modified Duration]]*0.01+0.5*Tradingbook_MSB[[#This Row],[Conv]]*(0.01^2))</f>
        <v>0</v>
      </c>
      <c r="CL502" t="s">
        <v>166</v>
      </c>
      <c r="CM502" t="s">
        <v>3302</v>
      </c>
      <c r="CN502" t="s">
        <v>682</v>
      </c>
      <c r="CO502" t="s">
        <v>169</v>
      </c>
      <c r="CP502">
        <v>49954</v>
      </c>
      <c r="CQ502" t="s">
        <v>3322</v>
      </c>
      <c r="CR502" t="s">
        <v>4442</v>
      </c>
      <c r="CS502" t="s">
        <v>4443</v>
      </c>
      <c r="CT502">
        <v>0</v>
      </c>
      <c r="CU502">
        <v>0</v>
      </c>
      <c r="CV502">
        <v>0</v>
      </c>
      <c r="CW502">
        <v>0</v>
      </c>
      <c r="CX502">
        <v>7.7</v>
      </c>
      <c r="CY502">
        <v>6666</v>
      </c>
      <c r="CZ502">
        <v>0</v>
      </c>
      <c r="DA502">
        <v>-3.1000000000000001E-5</v>
      </c>
      <c r="DB502">
        <v>-9386980364.8578033</v>
      </c>
      <c r="DC502">
        <v>4.4514785469999998</v>
      </c>
      <c r="DD502">
        <v>7</v>
      </c>
      <c r="DE502">
        <v>7</v>
      </c>
      <c r="DF502">
        <v>67</v>
      </c>
      <c r="DG502">
        <v>0</v>
      </c>
      <c r="DH502">
        <v>0</v>
      </c>
      <c r="DI502">
        <v>0</v>
      </c>
      <c r="DJ502">
        <v>-18843980000.000977</v>
      </c>
      <c r="DK502">
        <v>0</v>
      </c>
      <c r="DL502">
        <v>-18843980000.000977</v>
      </c>
      <c r="DM502">
        <v>-18843980000.000977</v>
      </c>
      <c r="DN502">
        <v>-18843980000.000999</v>
      </c>
      <c r="DO502">
        <v>-18843980000.000977</v>
      </c>
      <c r="DP502" s="32">
        <f>Tradingbook_SBV[[#This Row],[Mat. Date]]-RPT</f>
        <v>3702</v>
      </c>
      <c r="DQ502" s="32">
        <f>IF(Tradingbook_SBV[[#This Row],[Days]]&lt;=0,0,YEARFRAC(RPT,Tradingbook_SBV[[#This Row],[Mat. Date]],3))</f>
        <v>10.142465753424657</v>
      </c>
      <c r="DR502" s="32" t="str">
        <f>IF(Tradingbook_SBV[[#This Row],[Days (year)]]=0,0,INDEX(Ref!$K$2:$K$13,MATCH(Tradingbook_SBV[[#This Row],[Days (year)]],Ref!$I$2:$I$13,1)))</f>
        <v>10Y</v>
      </c>
      <c r="DS502" s="32" t="str">
        <f>VLOOKUP(Tradingbook_SBV[[#This Row],[Security Name]],Ref!X:Z,3,0)</f>
        <v>TPCP</v>
      </c>
      <c r="DT502" s="32" t="str">
        <f>VLOOKUP(Tradingbook_SBV[[#This Row],[Security Name]],Ref!X:Y,2,0)</f>
        <v>KBNN</v>
      </c>
      <c r="DU502" s="71">
        <f>IF((Tradingbook_SBV[[#This Row],[Mat. Date]]-RPT)&lt;=0,0,Tradingbook_SBV[[#This Row],[QUANTITY]])</f>
        <v>0</v>
      </c>
      <c r="DV502" s="71">
        <f>IF(Tradingbook_SBV[[#This Row],[Quantity_edited]]=0,0,Tradingbook_SBV[[#This Row],[DURATION]])</f>
        <v>0</v>
      </c>
      <c r="DW502" s="71">
        <f>IF(Tradingbook_SBV[[#This Row],[Quantity_edited]]=0,0,Tradingbook_SBV[[#This Row],[Mod Dur]])</f>
        <v>0</v>
      </c>
      <c r="DX502" s="71">
        <f>IF(Tradingbook_SBV[[#This Row],[Quantity_edited]]=0,0,Tradingbook_SBV[[#This Row],[Cnvx.]])</f>
        <v>0</v>
      </c>
      <c r="DY502" s="71">
        <f>(Tradingbook_SBV[[#This Row],[MARKET_VALUE]]+Tradingbook_SBV[[#This Row],[Accr Int]]*Tradingbook_SBV[[#This Row],[Quantity_edited]])*(-Tradingbook_SBV[[#This Row],[Modified Duration]]*0.0001+0.5*Tradingbook_SBV[[#This Row],[Conv]]*(0.0001^2))</f>
        <v>0</v>
      </c>
      <c r="DZ502" s="71">
        <f>(Tradingbook_SBV[[#This Row],[MARKET_VALUE]]+Tradingbook_SBV[[#This Row],[Accr Int]]*Tradingbook_SBV[[#This Row],[Quantity_edited]])*(-Tradingbook_SBV[[#This Row],[Modified Duration]]*0.01+0.5*Tradingbook_SBV[[#This Row],[Conv]]*(0.01^2))</f>
        <v>0</v>
      </c>
    </row>
    <row r="503" spans="2:130" x14ac:dyDescent="0.3">
      <c r="B503" t="s">
        <v>166</v>
      </c>
      <c r="C503" t="s">
        <v>3301</v>
      </c>
      <c r="D503" t="s">
        <v>2399</v>
      </c>
      <c r="E503" t="s">
        <v>169</v>
      </c>
      <c r="F503" s="502">
        <v>49218</v>
      </c>
      <c r="G503" t="s">
        <v>3322</v>
      </c>
      <c r="H503">
        <v>98930</v>
      </c>
      <c r="I503">
        <v>98930</v>
      </c>
      <c r="J503" s="38">
        <v>0</v>
      </c>
      <c r="K503">
        <v>0</v>
      </c>
      <c r="L503">
        <v>0</v>
      </c>
      <c r="M503" s="38">
        <v>0</v>
      </c>
      <c r="N503">
        <v>4.7</v>
      </c>
      <c r="O503">
        <v>4133</v>
      </c>
      <c r="P503" s="37">
        <v>0</v>
      </c>
      <c r="Q503" s="37">
        <v>0</v>
      </c>
      <c r="R503" s="37">
        <v>-29093594.444442749</v>
      </c>
      <c r="S503">
        <v>4.8608703980000003</v>
      </c>
      <c r="T503" s="70">
        <v>6.3446302198001003</v>
      </c>
      <c r="U503">
        <v>6.6530344699999997</v>
      </c>
      <c r="V503">
        <v>52.148605404319497</v>
      </c>
      <c r="W503">
        <v>0</v>
      </c>
      <c r="X503" s="38">
        <v>0</v>
      </c>
      <c r="Y503">
        <v>0</v>
      </c>
      <c r="Z503" s="70">
        <v>-9800000</v>
      </c>
      <c r="AA503" s="70">
        <v>0</v>
      </c>
      <c r="AB503" s="70">
        <v>-9800000</v>
      </c>
      <c r="AC503" s="70">
        <v>-9800000</v>
      </c>
      <c r="AD503" s="70">
        <v>-9800000</v>
      </c>
      <c r="AE503" s="70">
        <v>-9800000</v>
      </c>
      <c r="AF503">
        <v>0</v>
      </c>
      <c r="AG503" s="72">
        <f>Tradingbook_MSB[[#This Row],[Mat. Date]]-RPT</f>
        <v>2966</v>
      </c>
      <c r="AH503" s="71">
        <f>IF(Tradingbook_MSB[[#This Row],[Days]]&lt;=0,0,YEARFRAC(RPT,Tradingbook_MSB[[#This Row],[Mat. Date]],3))</f>
        <v>8.1260273972602732</v>
      </c>
      <c r="AI503" s="71" t="str">
        <f>IF(Tradingbook_MSB[[#This Row],[Days (year)]]=0,0,INDEX(Ref!$K$2:$K$13,MATCH(Tradingbook_MSB[[#This Row],[Days (year)]],Ref!$I$2:$I$13,1)))</f>
        <v>10Y</v>
      </c>
      <c r="AJ503" s="120" t="str">
        <f>VLOOKUP(Tradingbook_MSB[[#This Row],[Security Name]],Ref!X:Z,3,0)</f>
        <v>TPCPBL</v>
      </c>
      <c r="AK503" s="120" t="str">
        <f>VLOOKUP(Tradingbook_MSB[[#This Row],[Security Name]],Ref!X:Y,2,0)</f>
        <v>VBS</v>
      </c>
      <c r="AL503" s="71">
        <f>IF((Tradingbook_MSB[[#This Row],[Mat. Date]]-RPT)&lt;=0,0,Tradingbook_MSB[[#This Row],[QUANTITY]])</f>
        <v>0</v>
      </c>
      <c r="AM503" s="71">
        <f>IF(Tradingbook_MSB[[#This Row],[Quantity_edited]]=0,0,Tradingbook_MSB[[#This Row],[DURATION]])</f>
        <v>0</v>
      </c>
      <c r="AN503" s="71">
        <f>IF(Tradingbook_MSB[[#This Row],[Quantity_edited]]=0,0,Tradingbook_MSB[[#This Row],[Mod Dur]])</f>
        <v>0</v>
      </c>
      <c r="AO503" s="71">
        <f>IF(Tradingbook_MSB[[#This Row],[Quantity_edited]]=0,0,Tradingbook_MSB[[#This Row],[Cnvx.]])</f>
        <v>0</v>
      </c>
      <c r="AP503" s="71">
        <f>(Tradingbook_MSB[[#This Row],[MARKET_VALUE]]+Tradingbook_MSB[[#This Row],[Accr Int]]*Tradingbook_MSB[[#This Row],[Quantity_edited]])*(-Tradingbook_MSB[[#This Row],[Modified Duration]]*0.0001+0.5*Tradingbook_MSB[[#This Row],[Conv]]*(0.0001^2))</f>
        <v>0</v>
      </c>
      <c r="AQ503" s="72">
        <f>(Tradingbook_MSB[[#This Row],[MARKET_VALUE]]+Tradingbook_MSB[[#This Row],[Accr Int]]*Tradingbook_MSB[[#This Row],[Quantity_edited]])*(-Tradingbook_MSB[[#This Row],[Modified Duration]]*0.01+0.5*Tradingbook_MSB[[#This Row],[Conv]]*(0.01^2))</f>
        <v>0</v>
      </c>
      <c r="CL503" t="s">
        <v>166</v>
      </c>
      <c r="CM503" t="s">
        <v>3302</v>
      </c>
      <c r="CN503" t="s">
        <v>704</v>
      </c>
      <c r="CO503" t="s">
        <v>169</v>
      </c>
      <c r="CP503">
        <v>50004</v>
      </c>
      <c r="CQ503" t="s">
        <v>3322</v>
      </c>
      <c r="CR503" t="s">
        <v>4444</v>
      </c>
      <c r="CS503" t="s">
        <v>4445</v>
      </c>
      <c r="CT503">
        <v>0</v>
      </c>
      <c r="CU503">
        <v>0</v>
      </c>
      <c r="CV503">
        <v>0</v>
      </c>
      <c r="CW503">
        <v>0</v>
      </c>
      <c r="CX503">
        <v>2.2999999999999998</v>
      </c>
      <c r="CY503">
        <v>1676</v>
      </c>
      <c r="CZ503">
        <v>0</v>
      </c>
      <c r="DA503">
        <v>0</v>
      </c>
      <c r="DB503">
        <v>12170388.333333015</v>
      </c>
      <c r="DC503">
        <v>4.454982824</v>
      </c>
      <c r="DD503">
        <v>9</v>
      </c>
      <c r="DE503">
        <v>9</v>
      </c>
      <c r="DF503">
        <v>89</v>
      </c>
      <c r="DG503">
        <v>0</v>
      </c>
      <c r="DH503">
        <v>0</v>
      </c>
      <c r="DI503">
        <v>0</v>
      </c>
      <c r="DJ503">
        <v>95500000</v>
      </c>
      <c r="DK503">
        <v>0</v>
      </c>
      <c r="DL503">
        <v>95500000</v>
      </c>
      <c r="DM503">
        <v>95500000</v>
      </c>
      <c r="DN503">
        <v>95500000</v>
      </c>
      <c r="DO503">
        <v>95500000</v>
      </c>
      <c r="DP503" s="32">
        <f>Tradingbook_SBV[[#This Row],[Mat. Date]]-RPT</f>
        <v>3752</v>
      </c>
      <c r="DQ503" s="32">
        <f>IF(Tradingbook_SBV[[#This Row],[Days]]&lt;=0,0,YEARFRAC(RPT,Tradingbook_SBV[[#This Row],[Mat. Date]],3))</f>
        <v>10.27945205479452</v>
      </c>
      <c r="DR503" s="32" t="str">
        <f>IF(Tradingbook_SBV[[#This Row],[Days (year)]]=0,0,INDEX(Ref!$K$2:$K$13,MATCH(Tradingbook_SBV[[#This Row],[Days (year)]],Ref!$I$2:$I$13,1)))</f>
        <v>10Y</v>
      </c>
      <c r="DS503" s="32" t="str">
        <f>VLOOKUP(Tradingbook_SBV[[#This Row],[Security Name]],Ref!X:Z,3,0)</f>
        <v>TPCP</v>
      </c>
      <c r="DT503" s="32" t="str">
        <f>VLOOKUP(Tradingbook_SBV[[#This Row],[Security Name]],Ref!X:Y,2,0)</f>
        <v>KBNN</v>
      </c>
      <c r="DU503" s="71">
        <f>IF((Tradingbook_SBV[[#This Row],[Mat. Date]]-RPT)&lt;=0,0,Tradingbook_SBV[[#This Row],[QUANTITY]])</f>
        <v>0</v>
      </c>
      <c r="DV503" s="71">
        <f>IF(Tradingbook_SBV[[#This Row],[Quantity_edited]]=0,0,Tradingbook_SBV[[#This Row],[DURATION]])</f>
        <v>0</v>
      </c>
      <c r="DW503" s="71">
        <f>IF(Tradingbook_SBV[[#This Row],[Quantity_edited]]=0,0,Tradingbook_SBV[[#This Row],[Mod Dur]])</f>
        <v>0</v>
      </c>
      <c r="DX503" s="71">
        <f>IF(Tradingbook_SBV[[#This Row],[Quantity_edited]]=0,0,Tradingbook_SBV[[#This Row],[Cnvx.]])</f>
        <v>0</v>
      </c>
      <c r="DY503" s="71">
        <f>(Tradingbook_SBV[[#This Row],[MARKET_VALUE]]+Tradingbook_SBV[[#This Row],[Accr Int]]*Tradingbook_SBV[[#This Row],[Quantity_edited]])*(-Tradingbook_SBV[[#This Row],[Modified Duration]]*0.0001+0.5*Tradingbook_SBV[[#This Row],[Conv]]*(0.0001^2))</f>
        <v>0</v>
      </c>
      <c r="DZ503" s="71">
        <f>(Tradingbook_SBV[[#This Row],[MARKET_VALUE]]+Tradingbook_SBV[[#This Row],[Accr Int]]*Tradingbook_SBV[[#This Row],[Quantity_edited]])*(-Tradingbook_SBV[[#This Row],[Modified Duration]]*0.01+0.5*Tradingbook_SBV[[#This Row],[Conv]]*(0.01^2))</f>
        <v>0</v>
      </c>
    </row>
    <row r="504" spans="2:130" x14ac:dyDescent="0.3">
      <c r="B504" t="s">
        <v>166</v>
      </c>
      <c r="C504" t="s">
        <v>3301</v>
      </c>
      <c r="D504" t="s">
        <v>672</v>
      </c>
      <c r="E504" t="s">
        <v>169</v>
      </c>
      <c r="F504" s="502">
        <v>49234</v>
      </c>
      <c r="G504" t="s">
        <v>3322</v>
      </c>
      <c r="H504">
        <v>97540</v>
      </c>
      <c r="I504">
        <v>97540</v>
      </c>
      <c r="J504" s="38">
        <v>0</v>
      </c>
      <c r="K504">
        <v>0</v>
      </c>
      <c r="L504">
        <v>0</v>
      </c>
      <c r="M504" s="38">
        <v>0</v>
      </c>
      <c r="N504">
        <v>4</v>
      </c>
      <c r="O504">
        <v>3342</v>
      </c>
      <c r="P504" s="37">
        <v>0</v>
      </c>
      <c r="Q504" s="37">
        <v>2.0000000000000002E-5</v>
      </c>
      <c r="R504" s="37">
        <v>-2210302576.0638485</v>
      </c>
      <c r="S504">
        <v>4.3629329529999996</v>
      </c>
      <c r="T504" s="70">
        <v>6.5894131111557996</v>
      </c>
      <c r="U504">
        <v>6.8769047900000002</v>
      </c>
      <c r="V504">
        <v>55.102285697367499</v>
      </c>
      <c r="W504">
        <v>0</v>
      </c>
      <c r="X504" s="38">
        <v>0</v>
      </c>
      <c r="Y504">
        <v>0</v>
      </c>
      <c r="Z504" s="70">
        <v>-3620880000</v>
      </c>
      <c r="AA504" s="70">
        <v>0</v>
      </c>
      <c r="AB504" s="70">
        <v>-3620880000</v>
      </c>
      <c r="AC504" s="70">
        <v>-3620880000</v>
      </c>
      <c r="AD504" s="70">
        <v>-3620880000</v>
      </c>
      <c r="AE504" s="70">
        <v>-3620880000</v>
      </c>
      <c r="AF504">
        <v>0</v>
      </c>
      <c r="AG504" s="72">
        <f>Tradingbook_MSB[[#This Row],[Mat. Date]]-RPT</f>
        <v>2982</v>
      </c>
      <c r="AH504" s="71">
        <f>IF(Tradingbook_MSB[[#This Row],[Days]]&lt;=0,0,YEARFRAC(RPT,Tradingbook_MSB[[#This Row],[Mat. Date]],3))</f>
        <v>8.169863013698631</v>
      </c>
      <c r="AI504" s="71" t="str">
        <f>IF(Tradingbook_MSB[[#This Row],[Days (year)]]=0,0,INDEX(Ref!$K$2:$K$13,MATCH(Tradingbook_MSB[[#This Row],[Days (year)]],Ref!$I$2:$I$13,1)))</f>
        <v>10Y</v>
      </c>
      <c r="AJ504" s="120" t="str">
        <f>VLOOKUP(Tradingbook_MSB[[#This Row],[Security Name]],Ref!X:Z,3,0)</f>
        <v>TPCP</v>
      </c>
      <c r="AK504" s="120" t="str">
        <f>VLOOKUP(Tradingbook_MSB[[#This Row],[Security Name]],Ref!X:Y,2,0)</f>
        <v>KBNN</v>
      </c>
      <c r="AL504" s="71">
        <f>IF((Tradingbook_MSB[[#This Row],[Mat. Date]]-RPT)&lt;=0,0,Tradingbook_MSB[[#This Row],[QUANTITY]])</f>
        <v>0</v>
      </c>
      <c r="AM504" s="71">
        <f>IF(Tradingbook_MSB[[#This Row],[Quantity_edited]]=0,0,Tradingbook_MSB[[#This Row],[DURATION]])</f>
        <v>0</v>
      </c>
      <c r="AN504" s="71">
        <f>IF(Tradingbook_MSB[[#This Row],[Quantity_edited]]=0,0,Tradingbook_MSB[[#This Row],[Mod Dur]])</f>
        <v>0</v>
      </c>
      <c r="AO504" s="71">
        <f>IF(Tradingbook_MSB[[#This Row],[Quantity_edited]]=0,0,Tradingbook_MSB[[#This Row],[Cnvx.]])</f>
        <v>0</v>
      </c>
      <c r="AP504" s="71">
        <f>(Tradingbook_MSB[[#This Row],[MARKET_VALUE]]+Tradingbook_MSB[[#This Row],[Accr Int]]*Tradingbook_MSB[[#This Row],[Quantity_edited]])*(-Tradingbook_MSB[[#This Row],[Modified Duration]]*0.0001+0.5*Tradingbook_MSB[[#This Row],[Conv]]*(0.0001^2))</f>
        <v>0</v>
      </c>
      <c r="AQ504" s="72">
        <f>(Tradingbook_MSB[[#This Row],[MARKET_VALUE]]+Tradingbook_MSB[[#This Row],[Accr Int]]*Tradingbook_MSB[[#This Row],[Quantity_edited]])*(-Tradingbook_MSB[[#This Row],[Modified Duration]]*0.01+0.5*Tradingbook_MSB[[#This Row],[Conv]]*(0.01^2))</f>
        <v>0</v>
      </c>
      <c r="CL504" t="s">
        <v>166</v>
      </c>
      <c r="CM504" t="s">
        <v>3302</v>
      </c>
      <c r="CN504" t="s">
        <v>706</v>
      </c>
      <c r="CO504" t="s">
        <v>169</v>
      </c>
      <c r="CP504">
        <v>50046</v>
      </c>
      <c r="CQ504" t="s">
        <v>3322</v>
      </c>
      <c r="CR504" t="s">
        <v>4446</v>
      </c>
      <c r="CS504" t="s">
        <v>4447</v>
      </c>
      <c r="CT504">
        <v>0</v>
      </c>
      <c r="CU504">
        <v>0</v>
      </c>
      <c r="CV504">
        <v>0</v>
      </c>
      <c r="CW504">
        <v>0</v>
      </c>
      <c r="CX504">
        <v>2.2999999999999998</v>
      </c>
      <c r="CY504">
        <v>1412</v>
      </c>
      <c r="CZ504">
        <v>0</v>
      </c>
      <c r="DA504">
        <v>0</v>
      </c>
      <c r="DB504">
        <v>-1267025464.4444389</v>
      </c>
      <c r="DC504">
        <v>4.4579662320000004</v>
      </c>
      <c r="DD504">
        <v>9</v>
      </c>
      <c r="DE504">
        <v>9</v>
      </c>
      <c r="DF504">
        <v>91</v>
      </c>
      <c r="DG504">
        <v>0</v>
      </c>
      <c r="DH504">
        <v>0</v>
      </c>
      <c r="DI504">
        <v>0</v>
      </c>
      <c r="DJ504">
        <v>-8368000000</v>
      </c>
      <c r="DK504">
        <v>0</v>
      </c>
      <c r="DL504">
        <v>-8368000000</v>
      </c>
      <c r="DM504">
        <v>-8368000000</v>
      </c>
      <c r="DN504">
        <v>-8368000000</v>
      </c>
      <c r="DO504">
        <v>-8368000000</v>
      </c>
      <c r="DP504" s="32">
        <f>Tradingbook_SBV[[#This Row],[Mat. Date]]-RPT</f>
        <v>3794</v>
      </c>
      <c r="DQ504" s="32">
        <f>IF(Tradingbook_SBV[[#This Row],[Days]]&lt;=0,0,YEARFRAC(RPT,Tradingbook_SBV[[#This Row],[Mat. Date]],3))</f>
        <v>10.394520547945206</v>
      </c>
      <c r="DR504" s="32" t="str">
        <f>IF(Tradingbook_SBV[[#This Row],[Days (year)]]=0,0,INDEX(Ref!$K$2:$K$13,MATCH(Tradingbook_SBV[[#This Row],[Days (year)]],Ref!$I$2:$I$13,1)))</f>
        <v>10Y</v>
      </c>
      <c r="DS504" s="32" t="str">
        <f>VLOOKUP(Tradingbook_SBV[[#This Row],[Security Name]],Ref!X:Z,3,0)</f>
        <v>TPCP</v>
      </c>
      <c r="DT504" s="32" t="str">
        <f>VLOOKUP(Tradingbook_SBV[[#This Row],[Security Name]],Ref!X:Y,2,0)</f>
        <v>KBNN</v>
      </c>
      <c r="DU504" s="71">
        <f>IF((Tradingbook_SBV[[#This Row],[Mat. Date]]-RPT)&lt;=0,0,Tradingbook_SBV[[#This Row],[QUANTITY]])</f>
        <v>0</v>
      </c>
      <c r="DV504" s="71">
        <f>IF(Tradingbook_SBV[[#This Row],[Quantity_edited]]=0,0,Tradingbook_SBV[[#This Row],[DURATION]])</f>
        <v>0</v>
      </c>
      <c r="DW504" s="71">
        <f>IF(Tradingbook_SBV[[#This Row],[Quantity_edited]]=0,0,Tradingbook_SBV[[#This Row],[Mod Dur]])</f>
        <v>0</v>
      </c>
      <c r="DX504" s="71">
        <f>IF(Tradingbook_SBV[[#This Row],[Quantity_edited]]=0,0,Tradingbook_SBV[[#This Row],[Cnvx.]])</f>
        <v>0</v>
      </c>
      <c r="DY504" s="71">
        <f>(Tradingbook_SBV[[#This Row],[MARKET_VALUE]]+Tradingbook_SBV[[#This Row],[Accr Int]]*Tradingbook_SBV[[#This Row],[Quantity_edited]])*(-Tradingbook_SBV[[#This Row],[Modified Duration]]*0.0001+0.5*Tradingbook_SBV[[#This Row],[Conv]]*(0.0001^2))</f>
        <v>0</v>
      </c>
      <c r="DZ504" s="71">
        <f>(Tradingbook_SBV[[#This Row],[MARKET_VALUE]]+Tradingbook_SBV[[#This Row],[Accr Int]]*Tradingbook_SBV[[#This Row],[Quantity_edited]])*(-Tradingbook_SBV[[#This Row],[Modified Duration]]*0.01+0.5*Tradingbook_SBV[[#This Row],[Conv]]*(0.01^2))</f>
        <v>0</v>
      </c>
    </row>
    <row r="505" spans="2:130" x14ac:dyDescent="0.3">
      <c r="B505" t="s">
        <v>166</v>
      </c>
      <c r="C505" t="s">
        <v>3301</v>
      </c>
      <c r="D505" t="s">
        <v>674</v>
      </c>
      <c r="E505" t="s">
        <v>169</v>
      </c>
      <c r="F505" s="502">
        <v>49261</v>
      </c>
      <c r="G505" t="s">
        <v>3322</v>
      </c>
      <c r="H505">
        <v>97542</v>
      </c>
      <c r="I505">
        <v>97542</v>
      </c>
      <c r="J505" s="38">
        <v>0</v>
      </c>
      <c r="K505">
        <v>0</v>
      </c>
      <c r="L505">
        <v>0</v>
      </c>
      <c r="M505" s="38">
        <v>0</v>
      </c>
      <c r="N505">
        <v>4.5</v>
      </c>
      <c r="O505">
        <v>3427</v>
      </c>
      <c r="P505" s="37">
        <v>0</v>
      </c>
      <c r="Q505" s="37">
        <v>-7.9999999999999996E-6</v>
      </c>
      <c r="R505" s="37">
        <v>-61876473.888885498</v>
      </c>
      <c r="S505">
        <v>4.8663947099999998</v>
      </c>
      <c r="T505" s="70">
        <v>6.4961967346994998</v>
      </c>
      <c r="U505">
        <v>6.8123273099999997</v>
      </c>
      <c r="V505">
        <v>54.127311643766497</v>
      </c>
      <c r="W505">
        <v>0</v>
      </c>
      <c r="X505" s="38">
        <v>0</v>
      </c>
      <c r="Y505">
        <v>0</v>
      </c>
      <c r="Z505" s="70">
        <v>-12000000</v>
      </c>
      <c r="AA505" s="70">
        <v>0</v>
      </c>
      <c r="AB505" s="70">
        <v>-12000000</v>
      </c>
      <c r="AC505" s="70">
        <v>-12000000</v>
      </c>
      <c r="AD505" s="70">
        <v>-12000000</v>
      </c>
      <c r="AE505" s="70">
        <v>-12000000</v>
      </c>
      <c r="AF505">
        <v>0</v>
      </c>
      <c r="AG505" s="72">
        <f>Tradingbook_MSB[[#This Row],[Mat. Date]]-RPT</f>
        <v>3009</v>
      </c>
      <c r="AH505" s="71">
        <f>IF(Tradingbook_MSB[[#This Row],[Days]]&lt;=0,0,YEARFRAC(RPT,Tradingbook_MSB[[#This Row],[Mat. Date]],3))</f>
        <v>8.2438356164383571</v>
      </c>
      <c r="AI505" s="71" t="str">
        <f>IF(Tradingbook_MSB[[#This Row],[Days (year)]]=0,0,INDEX(Ref!$K$2:$K$13,MATCH(Tradingbook_MSB[[#This Row],[Days (year)]],Ref!$I$2:$I$13,1)))</f>
        <v>10Y</v>
      </c>
      <c r="AJ505" s="120" t="str">
        <f>VLOOKUP(Tradingbook_MSB[[#This Row],[Security Name]],Ref!X:Z,3,0)</f>
        <v>TPCPBL</v>
      </c>
      <c r="AK505" s="120" t="str">
        <f>VLOOKUP(Tradingbook_MSB[[#This Row],[Security Name]],Ref!X:Y,2,0)</f>
        <v>VDB</v>
      </c>
      <c r="AL505" s="71">
        <f>IF((Tradingbook_MSB[[#This Row],[Mat. Date]]-RPT)&lt;=0,0,Tradingbook_MSB[[#This Row],[QUANTITY]])</f>
        <v>0</v>
      </c>
      <c r="AM505" s="71">
        <f>IF(Tradingbook_MSB[[#This Row],[Quantity_edited]]=0,0,Tradingbook_MSB[[#This Row],[DURATION]])</f>
        <v>0</v>
      </c>
      <c r="AN505" s="71">
        <f>IF(Tradingbook_MSB[[#This Row],[Quantity_edited]]=0,0,Tradingbook_MSB[[#This Row],[Mod Dur]])</f>
        <v>0</v>
      </c>
      <c r="AO505" s="71">
        <f>IF(Tradingbook_MSB[[#This Row],[Quantity_edited]]=0,0,Tradingbook_MSB[[#This Row],[Cnvx.]])</f>
        <v>0</v>
      </c>
      <c r="AP505" s="71">
        <f>(Tradingbook_MSB[[#This Row],[MARKET_VALUE]]+Tradingbook_MSB[[#This Row],[Accr Int]]*Tradingbook_MSB[[#This Row],[Quantity_edited]])*(-Tradingbook_MSB[[#This Row],[Modified Duration]]*0.0001+0.5*Tradingbook_MSB[[#This Row],[Conv]]*(0.0001^2))</f>
        <v>0</v>
      </c>
      <c r="AQ505" s="72">
        <f>(Tradingbook_MSB[[#This Row],[MARKET_VALUE]]+Tradingbook_MSB[[#This Row],[Accr Int]]*Tradingbook_MSB[[#This Row],[Quantity_edited]])*(-Tradingbook_MSB[[#This Row],[Modified Duration]]*0.01+0.5*Tradingbook_MSB[[#This Row],[Conv]]*(0.01^2))</f>
        <v>0</v>
      </c>
      <c r="CL505" t="s">
        <v>166</v>
      </c>
      <c r="CM505" t="s">
        <v>3302</v>
      </c>
      <c r="CN505" t="s">
        <v>683</v>
      </c>
      <c r="CO505" t="s">
        <v>169</v>
      </c>
      <c r="CP505">
        <v>50059</v>
      </c>
      <c r="CQ505" t="s">
        <v>3322</v>
      </c>
      <c r="CR505" t="s">
        <v>4448</v>
      </c>
      <c r="CS505" t="s">
        <v>4449</v>
      </c>
      <c r="CT505">
        <v>0</v>
      </c>
      <c r="CU505">
        <v>0</v>
      </c>
      <c r="CV505">
        <v>0</v>
      </c>
      <c r="CW505">
        <v>0</v>
      </c>
      <c r="CX505">
        <v>7.7</v>
      </c>
      <c r="CY505">
        <v>4451</v>
      </c>
      <c r="CZ505">
        <v>17633000000</v>
      </c>
      <c r="DA505">
        <v>21411842342.916729</v>
      </c>
      <c r="DB505">
        <v>1642316330.2054539</v>
      </c>
      <c r="DC505">
        <v>4.4590061329999999</v>
      </c>
      <c r="DD505">
        <v>7</v>
      </c>
      <c r="DE505">
        <v>8</v>
      </c>
      <c r="DF505">
        <v>72</v>
      </c>
      <c r="DG505">
        <v>0</v>
      </c>
      <c r="DH505">
        <v>0</v>
      </c>
      <c r="DI505">
        <v>0</v>
      </c>
      <c r="DJ505">
        <v>40075020000</v>
      </c>
      <c r="DK505">
        <v>0</v>
      </c>
      <c r="DL505">
        <v>40075020000</v>
      </c>
      <c r="DM505">
        <v>40075020000</v>
      </c>
      <c r="DN505">
        <v>40075020000</v>
      </c>
      <c r="DO505">
        <v>40075020000</v>
      </c>
      <c r="DP505" s="32">
        <f>Tradingbook_SBV[[#This Row],[Mat. Date]]-RPT</f>
        <v>3807</v>
      </c>
      <c r="DQ505" s="32">
        <f>IF(Tradingbook_SBV[[#This Row],[Days]]&lt;=0,0,YEARFRAC(RPT,Tradingbook_SBV[[#This Row],[Mat. Date]],3))</f>
        <v>10.43013698630137</v>
      </c>
      <c r="DR505" s="32" t="str">
        <f>IF(Tradingbook_SBV[[#This Row],[Days (year)]]=0,0,INDEX(Ref!$K$2:$K$13,MATCH(Tradingbook_SBV[[#This Row],[Days (year)]],Ref!$I$2:$I$13,1)))</f>
        <v>10Y</v>
      </c>
      <c r="DS505" s="32" t="str">
        <f>VLOOKUP(Tradingbook_SBV[[#This Row],[Security Name]],Ref!X:Z,3,0)</f>
        <v>TPCP</v>
      </c>
      <c r="DT505" s="32" t="str">
        <f>VLOOKUP(Tradingbook_SBV[[#This Row],[Security Name]],Ref!X:Y,2,0)</f>
        <v>KBNN</v>
      </c>
      <c r="DU505" s="71">
        <f>IF((Tradingbook_SBV[[#This Row],[Mat. Date]]-RPT)&lt;=0,0,Tradingbook_SBV[[#This Row],[QUANTITY]])</f>
        <v>0</v>
      </c>
      <c r="DV505" s="71">
        <f>IF(Tradingbook_SBV[[#This Row],[Quantity_edited]]=0,0,Tradingbook_SBV[[#This Row],[DURATION]])</f>
        <v>0</v>
      </c>
      <c r="DW505" s="71">
        <f>IF(Tradingbook_SBV[[#This Row],[Quantity_edited]]=0,0,Tradingbook_SBV[[#This Row],[Mod Dur]])</f>
        <v>0</v>
      </c>
      <c r="DX505" s="71">
        <f>IF(Tradingbook_SBV[[#This Row],[Quantity_edited]]=0,0,Tradingbook_SBV[[#This Row],[Cnvx.]])</f>
        <v>0</v>
      </c>
      <c r="DY505" s="71">
        <f>(Tradingbook_SBV[[#This Row],[MARKET_VALUE]]+Tradingbook_SBV[[#This Row],[Accr Int]]*Tradingbook_SBV[[#This Row],[Quantity_edited]])*(-Tradingbook_SBV[[#This Row],[Modified Duration]]*0.0001+0.5*Tradingbook_SBV[[#This Row],[Conv]]*(0.0001^2))</f>
        <v>0</v>
      </c>
      <c r="DZ505" s="71">
        <f>(Tradingbook_SBV[[#This Row],[MARKET_VALUE]]+Tradingbook_SBV[[#This Row],[Accr Int]]*Tradingbook_SBV[[#This Row],[Quantity_edited]])*(-Tradingbook_SBV[[#This Row],[Modified Duration]]*0.01+0.5*Tradingbook_SBV[[#This Row],[Conv]]*(0.01^2))</f>
        <v>0</v>
      </c>
    </row>
    <row r="506" spans="2:130" x14ac:dyDescent="0.3">
      <c r="B506" t="s">
        <v>166</v>
      </c>
      <c r="C506" t="s">
        <v>3301</v>
      </c>
      <c r="D506" t="s">
        <v>675</v>
      </c>
      <c r="E506" t="s">
        <v>169</v>
      </c>
      <c r="F506" s="502">
        <v>49268</v>
      </c>
      <c r="G506" t="s">
        <v>3322</v>
      </c>
      <c r="H506">
        <v>97531</v>
      </c>
      <c r="I506">
        <v>97531</v>
      </c>
      <c r="J506" s="38">
        <v>0</v>
      </c>
      <c r="K506">
        <v>0</v>
      </c>
      <c r="L506">
        <v>0</v>
      </c>
      <c r="M506" s="38">
        <v>0</v>
      </c>
      <c r="N506">
        <v>4.5</v>
      </c>
      <c r="O506">
        <v>3341</v>
      </c>
      <c r="P506" s="37">
        <v>0</v>
      </c>
      <c r="Q506" s="37">
        <v>0</v>
      </c>
      <c r="R506" s="37">
        <v>-65802996.666664124</v>
      </c>
      <c r="S506">
        <v>4.8671602280000004</v>
      </c>
      <c r="T506" s="70">
        <v>6.5143934107061998</v>
      </c>
      <c r="U506">
        <v>6.8314593800000001</v>
      </c>
      <c r="V506">
        <v>54.381444376443199</v>
      </c>
      <c r="W506">
        <v>0</v>
      </c>
      <c r="X506" s="38">
        <v>0</v>
      </c>
      <c r="Y506">
        <v>0</v>
      </c>
      <c r="Z506" s="70">
        <v>5500000</v>
      </c>
      <c r="AA506" s="70">
        <v>0</v>
      </c>
      <c r="AB506" s="70">
        <v>5500000</v>
      </c>
      <c r="AC506" s="70">
        <v>5500000</v>
      </c>
      <c r="AD506" s="70">
        <v>5500000</v>
      </c>
      <c r="AE506" s="70">
        <v>5500000</v>
      </c>
      <c r="AF506">
        <v>0</v>
      </c>
      <c r="AG506" s="72">
        <f>Tradingbook_MSB[[#This Row],[Mat. Date]]-RPT</f>
        <v>3016</v>
      </c>
      <c r="AH506" s="71">
        <f>IF(Tradingbook_MSB[[#This Row],[Days]]&lt;=0,0,YEARFRAC(RPT,Tradingbook_MSB[[#This Row],[Mat. Date]],3))</f>
        <v>8.2630136986301377</v>
      </c>
      <c r="AI506" s="71" t="str">
        <f>IF(Tradingbook_MSB[[#This Row],[Days (year)]]=0,0,INDEX(Ref!$K$2:$K$13,MATCH(Tradingbook_MSB[[#This Row],[Days (year)]],Ref!$I$2:$I$13,1)))</f>
        <v>10Y</v>
      </c>
      <c r="AJ506" s="120" t="str">
        <f>VLOOKUP(Tradingbook_MSB[[#This Row],[Security Name]],Ref!X:Z,3,0)</f>
        <v>TPCPBL</v>
      </c>
      <c r="AK506" s="120" t="str">
        <f>VLOOKUP(Tradingbook_MSB[[#This Row],[Security Name]],Ref!X:Y,2,0)</f>
        <v>VDB</v>
      </c>
      <c r="AL506" s="71">
        <f>IF((Tradingbook_MSB[[#This Row],[Mat. Date]]-RPT)&lt;=0,0,Tradingbook_MSB[[#This Row],[QUANTITY]])</f>
        <v>0</v>
      </c>
      <c r="AM506" s="71">
        <f>IF(Tradingbook_MSB[[#This Row],[Quantity_edited]]=0,0,Tradingbook_MSB[[#This Row],[DURATION]])</f>
        <v>0</v>
      </c>
      <c r="AN506" s="71">
        <f>IF(Tradingbook_MSB[[#This Row],[Quantity_edited]]=0,0,Tradingbook_MSB[[#This Row],[Mod Dur]])</f>
        <v>0</v>
      </c>
      <c r="AO506" s="71">
        <f>IF(Tradingbook_MSB[[#This Row],[Quantity_edited]]=0,0,Tradingbook_MSB[[#This Row],[Cnvx.]])</f>
        <v>0</v>
      </c>
      <c r="AP506" s="71">
        <f>(Tradingbook_MSB[[#This Row],[MARKET_VALUE]]+Tradingbook_MSB[[#This Row],[Accr Int]]*Tradingbook_MSB[[#This Row],[Quantity_edited]])*(-Tradingbook_MSB[[#This Row],[Modified Duration]]*0.0001+0.5*Tradingbook_MSB[[#This Row],[Conv]]*(0.0001^2))</f>
        <v>0</v>
      </c>
      <c r="AQ506" s="72">
        <f>(Tradingbook_MSB[[#This Row],[MARKET_VALUE]]+Tradingbook_MSB[[#This Row],[Accr Int]]*Tradingbook_MSB[[#This Row],[Quantity_edited]])*(-Tradingbook_MSB[[#This Row],[Modified Duration]]*0.01+0.5*Tradingbook_MSB[[#This Row],[Conv]]*(0.01^2))</f>
        <v>0</v>
      </c>
      <c r="CL506" t="s">
        <v>166</v>
      </c>
      <c r="CM506" t="s">
        <v>3302</v>
      </c>
      <c r="CN506" t="s">
        <v>684</v>
      </c>
      <c r="CO506" t="s">
        <v>169</v>
      </c>
      <c r="CP506">
        <v>50129</v>
      </c>
      <c r="CQ506" t="s">
        <v>3322</v>
      </c>
      <c r="CR506" t="s">
        <v>4450</v>
      </c>
      <c r="CS506" t="s">
        <v>4451</v>
      </c>
      <c r="CT506">
        <v>0</v>
      </c>
      <c r="CU506">
        <v>0</v>
      </c>
      <c r="CV506">
        <v>0</v>
      </c>
      <c r="CW506">
        <v>0</v>
      </c>
      <c r="CX506">
        <v>7.4</v>
      </c>
      <c r="CY506">
        <v>2859</v>
      </c>
      <c r="CZ506">
        <v>22200000000</v>
      </c>
      <c r="DA506">
        <v>27157145916.666504</v>
      </c>
      <c r="DB506">
        <v>-8731020460.4861221</v>
      </c>
      <c r="DC506">
        <v>4.4639147689999996</v>
      </c>
      <c r="DD506">
        <v>8</v>
      </c>
      <c r="DE506">
        <v>8</v>
      </c>
      <c r="DF506">
        <v>75</v>
      </c>
      <c r="DG506">
        <v>0</v>
      </c>
      <c r="DH506">
        <v>0</v>
      </c>
      <c r="DI506">
        <v>0</v>
      </c>
      <c r="DJ506">
        <v>-7679500000</v>
      </c>
      <c r="DK506">
        <v>0</v>
      </c>
      <c r="DL506">
        <v>-7679500000</v>
      </c>
      <c r="DM506">
        <v>-7679500000</v>
      </c>
      <c r="DN506">
        <v>-7679500000</v>
      </c>
      <c r="DO506">
        <v>-7679500000</v>
      </c>
      <c r="DP506" s="32">
        <f>Tradingbook_SBV[[#This Row],[Mat. Date]]-RPT</f>
        <v>3877</v>
      </c>
      <c r="DQ506" s="32">
        <f>IF(Tradingbook_SBV[[#This Row],[Days]]&lt;=0,0,YEARFRAC(RPT,Tradingbook_SBV[[#This Row],[Mat. Date]],3))</f>
        <v>10.621917808219179</v>
      </c>
      <c r="DR506" s="32" t="str">
        <f>IF(Tradingbook_SBV[[#This Row],[Days (year)]]=0,0,INDEX(Ref!$K$2:$K$13,MATCH(Tradingbook_SBV[[#This Row],[Days (year)]],Ref!$I$2:$I$13,1)))</f>
        <v>15Y</v>
      </c>
      <c r="DS506" s="32" t="str">
        <f>VLOOKUP(Tradingbook_SBV[[#This Row],[Security Name]],Ref!X:Z,3,0)</f>
        <v>TPCP</v>
      </c>
      <c r="DT506" s="32" t="str">
        <f>VLOOKUP(Tradingbook_SBV[[#This Row],[Security Name]],Ref!X:Y,2,0)</f>
        <v>KBNN</v>
      </c>
      <c r="DU506" s="71">
        <f>IF((Tradingbook_SBV[[#This Row],[Mat. Date]]-RPT)&lt;=0,0,Tradingbook_SBV[[#This Row],[QUANTITY]])</f>
        <v>0</v>
      </c>
      <c r="DV506" s="71">
        <f>IF(Tradingbook_SBV[[#This Row],[Quantity_edited]]=0,0,Tradingbook_SBV[[#This Row],[DURATION]])</f>
        <v>0</v>
      </c>
      <c r="DW506" s="71">
        <f>IF(Tradingbook_SBV[[#This Row],[Quantity_edited]]=0,0,Tradingbook_SBV[[#This Row],[Mod Dur]])</f>
        <v>0</v>
      </c>
      <c r="DX506" s="71">
        <f>IF(Tradingbook_SBV[[#This Row],[Quantity_edited]]=0,0,Tradingbook_SBV[[#This Row],[Cnvx.]])</f>
        <v>0</v>
      </c>
      <c r="DY506" s="71">
        <f>(Tradingbook_SBV[[#This Row],[MARKET_VALUE]]+Tradingbook_SBV[[#This Row],[Accr Int]]*Tradingbook_SBV[[#This Row],[Quantity_edited]])*(-Tradingbook_SBV[[#This Row],[Modified Duration]]*0.0001+0.5*Tradingbook_SBV[[#This Row],[Conv]]*(0.0001^2))</f>
        <v>0</v>
      </c>
      <c r="DZ506" s="71">
        <f>(Tradingbook_SBV[[#This Row],[MARKET_VALUE]]+Tradingbook_SBV[[#This Row],[Accr Int]]*Tradingbook_SBV[[#This Row],[Quantity_edited]])*(-Tradingbook_SBV[[#This Row],[Modified Duration]]*0.01+0.5*Tradingbook_SBV[[#This Row],[Conv]]*(0.01^2))</f>
        <v>0</v>
      </c>
    </row>
    <row r="507" spans="2:130" x14ac:dyDescent="0.3">
      <c r="B507" t="s">
        <v>166</v>
      </c>
      <c r="C507" t="s">
        <v>3301</v>
      </c>
      <c r="D507" t="s">
        <v>676</v>
      </c>
      <c r="E507" t="s">
        <v>169</v>
      </c>
      <c r="F507" s="502">
        <v>49275</v>
      </c>
      <c r="G507" t="s">
        <v>3322</v>
      </c>
      <c r="H507">
        <v>96852</v>
      </c>
      <c r="I507">
        <v>96852</v>
      </c>
      <c r="J507" s="38">
        <v>0</v>
      </c>
      <c r="K507">
        <v>0</v>
      </c>
      <c r="L507">
        <v>0</v>
      </c>
      <c r="M507" s="38">
        <v>0</v>
      </c>
      <c r="N507">
        <v>4.4000000000000004</v>
      </c>
      <c r="O507">
        <v>3182</v>
      </c>
      <c r="P507" s="37">
        <v>0</v>
      </c>
      <c r="Q507" s="37">
        <v>3.9999999999999998E-6</v>
      </c>
      <c r="R507" s="37">
        <v>-913569261.31943321</v>
      </c>
      <c r="S507">
        <v>4.8680898939999997</v>
      </c>
      <c r="T507" s="70">
        <v>6.5529545278881001</v>
      </c>
      <c r="U507">
        <v>6.8719582499999996</v>
      </c>
      <c r="V507">
        <v>54.863529212720202</v>
      </c>
      <c r="W507">
        <v>0</v>
      </c>
      <c r="X507" s="38">
        <v>0</v>
      </c>
      <c r="Y507">
        <v>0</v>
      </c>
      <c r="Z507" s="70">
        <v>-6336000000</v>
      </c>
      <c r="AA507" s="70">
        <v>0</v>
      </c>
      <c r="AB507" s="70">
        <v>-6336000000</v>
      </c>
      <c r="AC507" s="70">
        <v>-6336000000</v>
      </c>
      <c r="AD507" s="70">
        <v>-6336000000</v>
      </c>
      <c r="AE507" s="70">
        <v>-6336000000</v>
      </c>
      <c r="AF507">
        <v>0</v>
      </c>
      <c r="AG507" s="72">
        <f>Tradingbook_MSB[[#This Row],[Mat. Date]]-RPT</f>
        <v>3023</v>
      </c>
      <c r="AH507" s="71">
        <f>IF(Tradingbook_MSB[[#This Row],[Days]]&lt;=0,0,YEARFRAC(RPT,Tradingbook_MSB[[#This Row],[Mat. Date]],3))</f>
        <v>8.2821917808219183</v>
      </c>
      <c r="AI507" s="71" t="str">
        <f>IF(Tradingbook_MSB[[#This Row],[Days (year)]]=0,0,INDEX(Ref!$K$2:$K$13,MATCH(Tradingbook_MSB[[#This Row],[Days (year)]],Ref!$I$2:$I$13,1)))</f>
        <v>10Y</v>
      </c>
      <c r="AJ507" s="120" t="str">
        <f>VLOOKUP(Tradingbook_MSB[[#This Row],[Security Name]],Ref!X:Z,3,0)</f>
        <v>TPCPBL</v>
      </c>
      <c r="AK507" s="120" t="str">
        <f>VLOOKUP(Tradingbook_MSB[[#This Row],[Security Name]],Ref!X:Y,2,0)</f>
        <v>VDB</v>
      </c>
      <c r="AL507" s="71">
        <f>IF((Tradingbook_MSB[[#This Row],[Mat. Date]]-RPT)&lt;=0,0,Tradingbook_MSB[[#This Row],[QUANTITY]])</f>
        <v>0</v>
      </c>
      <c r="AM507" s="71">
        <f>IF(Tradingbook_MSB[[#This Row],[Quantity_edited]]=0,0,Tradingbook_MSB[[#This Row],[DURATION]])</f>
        <v>0</v>
      </c>
      <c r="AN507" s="71">
        <f>IF(Tradingbook_MSB[[#This Row],[Quantity_edited]]=0,0,Tradingbook_MSB[[#This Row],[Mod Dur]])</f>
        <v>0</v>
      </c>
      <c r="AO507" s="71">
        <f>IF(Tradingbook_MSB[[#This Row],[Quantity_edited]]=0,0,Tradingbook_MSB[[#This Row],[Cnvx.]])</f>
        <v>0</v>
      </c>
      <c r="AP507" s="71">
        <f>(Tradingbook_MSB[[#This Row],[MARKET_VALUE]]+Tradingbook_MSB[[#This Row],[Accr Int]]*Tradingbook_MSB[[#This Row],[Quantity_edited]])*(-Tradingbook_MSB[[#This Row],[Modified Duration]]*0.0001+0.5*Tradingbook_MSB[[#This Row],[Conv]]*(0.0001^2))</f>
        <v>0</v>
      </c>
      <c r="AQ507" s="72">
        <f>(Tradingbook_MSB[[#This Row],[MARKET_VALUE]]+Tradingbook_MSB[[#This Row],[Accr Int]]*Tradingbook_MSB[[#This Row],[Quantity_edited]])*(-Tradingbook_MSB[[#This Row],[Modified Duration]]*0.01+0.5*Tradingbook_MSB[[#This Row],[Conv]]*(0.01^2))</f>
        <v>0</v>
      </c>
      <c r="CL507" t="s">
        <v>166</v>
      </c>
      <c r="CM507" t="s">
        <v>3302</v>
      </c>
      <c r="CN507" t="s">
        <v>707</v>
      </c>
      <c r="CO507" t="s">
        <v>169</v>
      </c>
      <c r="CP507">
        <v>50171</v>
      </c>
      <c r="CQ507" t="s">
        <v>3322</v>
      </c>
      <c r="CR507" t="s">
        <v>4452</v>
      </c>
      <c r="CS507" t="s">
        <v>4453</v>
      </c>
      <c r="CT507">
        <v>0</v>
      </c>
      <c r="CU507">
        <v>0</v>
      </c>
      <c r="CV507">
        <v>0</v>
      </c>
      <c r="CW507">
        <v>0</v>
      </c>
      <c r="CX507">
        <v>7</v>
      </c>
      <c r="CY507">
        <v>1899</v>
      </c>
      <c r="CZ507">
        <v>7000000000</v>
      </c>
      <c r="DA507">
        <v>8554440416.666687</v>
      </c>
      <c r="DB507">
        <v>-1255979833.3333588</v>
      </c>
      <c r="DC507">
        <v>4.4669111839999998</v>
      </c>
      <c r="DD507">
        <v>8</v>
      </c>
      <c r="DE507">
        <v>8</v>
      </c>
      <c r="DF507">
        <v>78</v>
      </c>
      <c r="DG507">
        <v>0</v>
      </c>
      <c r="DH507">
        <v>0</v>
      </c>
      <c r="DI507">
        <v>0</v>
      </c>
      <c r="DJ507">
        <v>1398500000</v>
      </c>
      <c r="DK507">
        <v>0</v>
      </c>
      <c r="DL507">
        <v>1398500000</v>
      </c>
      <c r="DM507">
        <v>1398500000</v>
      </c>
      <c r="DN507">
        <v>1398500000</v>
      </c>
      <c r="DO507">
        <v>1398500000</v>
      </c>
      <c r="DP507" s="32">
        <f>Tradingbook_SBV[[#This Row],[Mat. Date]]-RPT</f>
        <v>3919</v>
      </c>
      <c r="DQ507" s="32">
        <f>IF(Tradingbook_SBV[[#This Row],[Days]]&lt;=0,0,YEARFRAC(RPT,Tradingbook_SBV[[#This Row],[Mat. Date]],3))</f>
        <v>10.736986301369862</v>
      </c>
      <c r="DR507" s="32" t="str">
        <f>IF(Tradingbook_SBV[[#This Row],[Days (year)]]=0,0,INDEX(Ref!$K$2:$K$13,MATCH(Tradingbook_SBV[[#This Row],[Days (year)]],Ref!$I$2:$I$13,1)))</f>
        <v>15Y</v>
      </c>
      <c r="DS507" s="32" t="str">
        <f>VLOOKUP(Tradingbook_SBV[[#This Row],[Security Name]],Ref!X:Z,3,0)</f>
        <v>TPCP</v>
      </c>
      <c r="DT507" s="32" t="str">
        <f>VLOOKUP(Tradingbook_SBV[[#This Row],[Security Name]],Ref!X:Y,2,0)</f>
        <v>KBNN</v>
      </c>
      <c r="DU507" s="71">
        <f>IF((Tradingbook_SBV[[#This Row],[Mat. Date]]-RPT)&lt;=0,0,Tradingbook_SBV[[#This Row],[QUANTITY]])</f>
        <v>0</v>
      </c>
      <c r="DV507" s="71">
        <f>IF(Tradingbook_SBV[[#This Row],[Quantity_edited]]=0,0,Tradingbook_SBV[[#This Row],[DURATION]])</f>
        <v>0</v>
      </c>
      <c r="DW507" s="71">
        <f>IF(Tradingbook_SBV[[#This Row],[Quantity_edited]]=0,0,Tradingbook_SBV[[#This Row],[Mod Dur]])</f>
        <v>0</v>
      </c>
      <c r="DX507" s="71">
        <f>IF(Tradingbook_SBV[[#This Row],[Quantity_edited]]=0,0,Tradingbook_SBV[[#This Row],[Cnvx.]])</f>
        <v>0</v>
      </c>
      <c r="DY507" s="71">
        <f>(Tradingbook_SBV[[#This Row],[MARKET_VALUE]]+Tradingbook_SBV[[#This Row],[Accr Int]]*Tradingbook_SBV[[#This Row],[Quantity_edited]])*(-Tradingbook_SBV[[#This Row],[Modified Duration]]*0.0001+0.5*Tradingbook_SBV[[#This Row],[Conv]]*(0.0001^2))</f>
        <v>0</v>
      </c>
      <c r="DZ507" s="71">
        <f>(Tradingbook_SBV[[#This Row],[MARKET_VALUE]]+Tradingbook_SBV[[#This Row],[Accr Int]]*Tradingbook_SBV[[#This Row],[Quantity_edited]])*(-Tradingbook_SBV[[#This Row],[Modified Duration]]*0.01+0.5*Tradingbook_SBV[[#This Row],[Conv]]*(0.01^2))</f>
        <v>0</v>
      </c>
    </row>
    <row r="508" spans="2:130" x14ac:dyDescent="0.3">
      <c r="B508" t="s">
        <v>166</v>
      </c>
      <c r="C508" t="s">
        <v>3301</v>
      </c>
      <c r="D508" t="s">
        <v>677</v>
      </c>
      <c r="E508" t="s">
        <v>169</v>
      </c>
      <c r="F508" s="502">
        <v>49282</v>
      </c>
      <c r="G508" t="s">
        <v>3322</v>
      </c>
      <c r="H508">
        <v>96170</v>
      </c>
      <c r="I508">
        <v>96170</v>
      </c>
      <c r="J508" s="38">
        <v>0</v>
      </c>
      <c r="K508">
        <v>0</v>
      </c>
      <c r="L508">
        <v>0</v>
      </c>
      <c r="M508" s="38">
        <v>0</v>
      </c>
      <c r="N508">
        <v>4.3</v>
      </c>
      <c r="O508">
        <v>3028</v>
      </c>
      <c r="P508" s="37">
        <v>0</v>
      </c>
      <c r="Q508" s="37">
        <v>3.9999999999999998E-6</v>
      </c>
      <c r="R508" s="37">
        <v>-150800967.5916748</v>
      </c>
      <c r="S508">
        <v>4.8689372520000003</v>
      </c>
      <c r="T508" s="70">
        <v>6.5918296841248001</v>
      </c>
      <c r="U508">
        <v>6.9127817399999998</v>
      </c>
      <c r="V508">
        <v>55.351302000844498</v>
      </c>
      <c r="W508">
        <v>0</v>
      </c>
      <c r="X508" s="38">
        <v>0</v>
      </c>
      <c r="Y508">
        <v>0</v>
      </c>
      <c r="Z508" s="70">
        <v>-52080000</v>
      </c>
      <c r="AA508" s="70">
        <v>0</v>
      </c>
      <c r="AB508" s="70">
        <v>-52080000</v>
      </c>
      <c r="AC508" s="70">
        <v>-52080000</v>
      </c>
      <c r="AD508" s="70">
        <v>-52080000</v>
      </c>
      <c r="AE508" s="70">
        <v>-52080000</v>
      </c>
      <c r="AF508">
        <v>0</v>
      </c>
      <c r="AG508" s="72">
        <f>Tradingbook_MSB[[#This Row],[Mat. Date]]-RPT</f>
        <v>3030</v>
      </c>
      <c r="AH508" s="71">
        <f>IF(Tradingbook_MSB[[#This Row],[Days]]&lt;=0,0,YEARFRAC(RPT,Tradingbook_MSB[[#This Row],[Mat. Date]],3))</f>
        <v>8.3013698630136989</v>
      </c>
      <c r="AI508" s="71" t="str">
        <f>IF(Tradingbook_MSB[[#This Row],[Days (year)]]=0,0,INDEX(Ref!$K$2:$K$13,MATCH(Tradingbook_MSB[[#This Row],[Days (year)]],Ref!$I$2:$I$13,1)))</f>
        <v>10Y</v>
      </c>
      <c r="AJ508" s="120" t="str">
        <f>VLOOKUP(Tradingbook_MSB[[#This Row],[Security Name]],Ref!X:Z,3,0)</f>
        <v>TPCPBL</v>
      </c>
      <c r="AK508" s="120" t="str">
        <f>VLOOKUP(Tradingbook_MSB[[#This Row],[Security Name]],Ref!X:Y,2,0)</f>
        <v>VDB</v>
      </c>
      <c r="AL508" s="71">
        <f>IF((Tradingbook_MSB[[#This Row],[Mat. Date]]-RPT)&lt;=0,0,Tradingbook_MSB[[#This Row],[QUANTITY]])</f>
        <v>0</v>
      </c>
      <c r="AM508" s="71">
        <f>IF(Tradingbook_MSB[[#This Row],[Quantity_edited]]=0,0,Tradingbook_MSB[[#This Row],[DURATION]])</f>
        <v>0</v>
      </c>
      <c r="AN508" s="71">
        <f>IF(Tradingbook_MSB[[#This Row],[Quantity_edited]]=0,0,Tradingbook_MSB[[#This Row],[Mod Dur]])</f>
        <v>0</v>
      </c>
      <c r="AO508" s="71">
        <f>IF(Tradingbook_MSB[[#This Row],[Quantity_edited]]=0,0,Tradingbook_MSB[[#This Row],[Cnvx.]])</f>
        <v>0</v>
      </c>
      <c r="AP508" s="71">
        <f>(Tradingbook_MSB[[#This Row],[MARKET_VALUE]]+Tradingbook_MSB[[#This Row],[Accr Int]]*Tradingbook_MSB[[#This Row],[Quantity_edited]])*(-Tradingbook_MSB[[#This Row],[Modified Duration]]*0.0001+0.5*Tradingbook_MSB[[#This Row],[Conv]]*(0.0001^2))</f>
        <v>0</v>
      </c>
      <c r="AQ508" s="72">
        <f>(Tradingbook_MSB[[#This Row],[MARKET_VALUE]]+Tradingbook_MSB[[#This Row],[Accr Int]]*Tradingbook_MSB[[#This Row],[Quantity_edited]])*(-Tradingbook_MSB[[#This Row],[Modified Duration]]*0.01+0.5*Tradingbook_MSB[[#This Row],[Conv]]*(0.01^2))</f>
        <v>0</v>
      </c>
      <c r="CL508" t="s">
        <v>166</v>
      </c>
      <c r="CM508" t="s">
        <v>3302</v>
      </c>
      <c r="CN508" t="s">
        <v>708</v>
      </c>
      <c r="CO508" t="s">
        <v>169</v>
      </c>
      <c r="CP508">
        <v>50241</v>
      </c>
      <c r="CQ508" t="s">
        <v>3322</v>
      </c>
      <c r="CR508" t="s">
        <v>4454</v>
      </c>
      <c r="CS508" t="s">
        <v>4455</v>
      </c>
      <c r="CT508">
        <v>0</v>
      </c>
      <c r="CU508">
        <v>0</v>
      </c>
      <c r="CV508">
        <v>0</v>
      </c>
      <c r="CW508">
        <v>0</v>
      </c>
      <c r="CX508">
        <v>6</v>
      </c>
      <c r="CY508">
        <v>477</v>
      </c>
      <c r="CZ508">
        <v>0</v>
      </c>
      <c r="DA508">
        <v>0</v>
      </c>
      <c r="DB508">
        <v>-163871656.25</v>
      </c>
      <c r="DC508">
        <v>4.471920667</v>
      </c>
      <c r="DD508">
        <v>8</v>
      </c>
      <c r="DE508">
        <v>8</v>
      </c>
      <c r="DF508">
        <v>84</v>
      </c>
      <c r="DG508">
        <v>0</v>
      </c>
      <c r="DH508">
        <v>0</v>
      </c>
      <c r="DI508">
        <v>0</v>
      </c>
      <c r="DJ508">
        <v>-919000000</v>
      </c>
      <c r="DK508">
        <v>0</v>
      </c>
      <c r="DL508">
        <v>-919000000</v>
      </c>
      <c r="DM508">
        <v>-919000000</v>
      </c>
      <c r="DN508">
        <v>-919000000</v>
      </c>
      <c r="DO508">
        <v>-919000000</v>
      </c>
      <c r="DP508" s="32">
        <f>Tradingbook_SBV[[#This Row],[Mat. Date]]-RPT</f>
        <v>3989</v>
      </c>
      <c r="DQ508" s="32">
        <f>IF(Tradingbook_SBV[[#This Row],[Days]]&lt;=0,0,YEARFRAC(RPT,Tradingbook_SBV[[#This Row],[Mat. Date]],3))</f>
        <v>10.92876712328767</v>
      </c>
      <c r="DR508" s="32" t="str">
        <f>IF(Tradingbook_SBV[[#This Row],[Days (year)]]=0,0,INDEX(Ref!$K$2:$K$13,MATCH(Tradingbook_SBV[[#This Row],[Days (year)]],Ref!$I$2:$I$13,1)))</f>
        <v>15Y</v>
      </c>
      <c r="DS508" s="32" t="str">
        <f>VLOOKUP(Tradingbook_SBV[[#This Row],[Security Name]],Ref!X:Z,3,0)</f>
        <v>TPCP</v>
      </c>
      <c r="DT508" s="32" t="str">
        <f>VLOOKUP(Tradingbook_SBV[[#This Row],[Security Name]],Ref!X:Y,2,0)</f>
        <v>KBNN</v>
      </c>
      <c r="DU508" s="71">
        <f>IF((Tradingbook_SBV[[#This Row],[Mat. Date]]-RPT)&lt;=0,0,Tradingbook_SBV[[#This Row],[QUANTITY]])</f>
        <v>0</v>
      </c>
      <c r="DV508" s="71">
        <f>IF(Tradingbook_SBV[[#This Row],[Quantity_edited]]=0,0,Tradingbook_SBV[[#This Row],[DURATION]])</f>
        <v>0</v>
      </c>
      <c r="DW508" s="71">
        <f>IF(Tradingbook_SBV[[#This Row],[Quantity_edited]]=0,0,Tradingbook_SBV[[#This Row],[Mod Dur]])</f>
        <v>0</v>
      </c>
      <c r="DX508" s="71">
        <f>IF(Tradingbook_SBV[[#This Row],[Quantity_edited]]=0,0,Tradingbook_SBV[[#This Row],[Cnvx.]])</f>
        <v>0</v>
      </c>
      <c r="DY508" s="71">
        <f>(Tradingbook_SBV[[#This Row],[MARKET_VALUE]]+Tradingbook_SBV[[#This Row],[Accr Int]]*Tradingbook_SBV[[#This Row],[Quantity_edited]])*(-Tradingbook_SBV[[#This Row],[Modified Duration]]*0.0001+0.5*Tradingbook_SBV[[#This Row],[Conv]]*(0.0001^2))</f>
        <v>0</v>
      </c>
      <c r="DZ508" s="71">
        <f>(Tradingbook_SBV[[#This Row],[MARKET_VALUE]]+Tradingbook_SBV[[#This Row],[Accr Int]]*Tradingbook_SBV[[#This Row],[Quantity_edited]])*(-Tradingbook_SBV[[#This Row],[Modified Duration]]*0.01+0.5*Tradingbook_SBV[[#This Row],[Conv]]*(0.01^2))</f>
        <v>0</v>
      </c>
    </row>
    <row r="509" spans="2:130" x14ac:dyDescent="0.3">
      <c r="B509" t="s">
        <v>166</v>
      </c>
      <c r="C509" t="s">
        <v>3301</v>
      </c>
      <c r="D509" t="s">
        <v>680</v>
      </c>
      <c r="E509" t="s">
        <v>169</v>
      </c>
      <c r="F509" s="502">
        <v>49553</v>
      </c>
      <c r="G509" t="s">
        <v>3322</v>
      </c>
      <c r="H509">
        <v>124511</v>
      </c>
      <c r="I509">
        <v>124511</v>
      </c>
      <c r="J509" s="38">
        <v>0</v>
      </c>
      <c r="K509">
        <v>0</v>
      </c>
      <c r="L509">
        <v>0</v>
      </c>
      <c r="M509" s="38">
        <v>0</v>
      </c>
      <c r="N509">
        <v>7.75</v>
      </c>
      <c r="O509">
        <v>7453</v>
      </c>
      <c r="P509" s="37">
        <v>11625000000</v>
      </c>
      <c r="Q509" s="37">
        <v>13499794427.083321</v>
      </c>
      <c r="R509" s="37">
        <v>-2106072312.4305325</v>
      </c>
      <c r="S509">
        <v>4.403357314</v>
      </c>
      <c r="T509" s="70">
        <v>6.3943008724906996</v>
      </c>
      <c r="U509">
        <v>6.6758647900000003</v>
      </c>
      <c r="V509">
        <v>56.061889520995898</v>
      </c>
      <c r="W509">
        <v>0</v>
      </c>
      <c r="X509" s="38">
        <v>0</v>
      </c>
      <c r="Y509">
        <v>0</v>
      </c>
      <c r="Z509" s="70">
        <v>-3769000000</v>
      </c>
      <c r="AA509" s="70">
        <v>0</v>
      </c>
      <c r="AB509" s="70">
        <v>-3769000000</v>
      </c>
      <c r="AC509" s="70">
        <v>-3769000000</v>
      </c>
      <c r="AD509" s="70">
        <v>-3769000000</v>
      </c>
      <c r="AE509" s="70">
        <v>-3769000000</v>
      </c>
      <c r="AF509">
        <v>0</v>
      </c>
      <c r="AG509" s="72">
        <f>Tradingbook_MSB[[#This Row],[Mat. Date]]-RPT</f>
        <v>3301</v>
      </c>
      <c r="AH509" s="71">
        <f>IF(Tradingbook_MSB[[#This Row],[Days]]&lt;=0,0,YEARFRAC(RPT,Tradingbook_MSB[[#This Row],[Mat. Date]],3))</f>
        <v>9.043835616438356</v>
      </c>
      <c r="AI509" s="71" t="str">
        <f>IF(Tradingbook_MSB[[#This Row],[Days (year)]]=0,0,INDEX(Ref!$K$2:$K$13,MATCH(Tradingbook_MSB[[#This Row],[Days (year)]],Ref!$I$2:$I$13,1)))</f>
        <v>10Y</v>
      </c>
      <c r="AJ509" s="120" t="str">
        <f>VLOOKUP(Tradingbook_MSB[[#This Row],[Security Name]],Ref!X:Z,3,0)</f>
        <v>TPCP</v>
      </c>
      <c r="AK509" s="120" t="str">
        <f>VLOOKUP(Tradingbook_MSB[[#This Row],[Security Name]],Ref!X:Y,2,0)</f>
        <v>KBNN</v>
      </c>
      <c r="AL509" s="71">
        <f>IF((Tradingbook_MSB[[#This Row],[Mat. Date]]-RPT)&lt;=0,0,Tradingbook_MSB[[#This Row],[QUANTITY]])</f>
        <v>0</v>
      </c>
      <c r="AM509" s="71">
        <f>IF(Tradingbook_MSB[[#This Row],[Quantity_edited]]=0,0,Tradingbook_MSB[[#This Row],[DURATION]])</f>
        <v>0</v>
      </c>
      <c r="AN509" s="71">
        <f>IF(Tradingbook_MSB[[#This Row],[Quantity_edited]]=0,0,Tradingbook_MSB[[#This Row],[Mod Dur]])</f>
        <v>0</v>
      </c>
      <c r="AO509" s="71">
        <f>IF(Tradingbook_MSB[[#This Row],[Quantity_edited]]=0,0,Tradingbook_MSB[[#This Row],[Cnvx.]])</f>
        <v>0</v>
      </c>
      <c r="AP509" s="71">
        <f>(Tradingbook_MSB[[#This Row],[MARKET_VALUE]]+Tradingbook_MSB[[#This Row],[Accr Int]]*Tradingbook_MSB[[#This Row],[Quantity_edited]])*(-Tradingbook_MSB[[#This Row],[Modified Duration]]*0.0001+0.5*Tradingbook_MSB[[#This Row],[Conv]]*(0.0001^2))</f>
        <v>0</v>
      </c>
      <c r="AQ509" s="72">
        <f>(Tradingbook_MSB[[#This Row],[MARKET_VALUE]]+Tradingbook_MSB[[#This Row],[Accr Int]]*Tradingbook_MSB[[#This Row],[Quantity_edited]])*(-Tradingbook_MSB[[#This Row],[Modified Duration]]*0.01+0.5*Tradingbook_MSB[[#This Row],[Conv]]*(0.01^2))</f>
        <v>0</v>
      </c>
      <c r="CL509" t="s">
        <v>166</v>
      </c>
      <c r="CM509" t="s">
        <v>3302</v>
      </c>
      <c r="CN509" t="s">
        <v>2303</v>
      </c>
      <c r="CO509" t="s">
        <v>169</v>
      </c>
      <c r="CP509">
        <v>50361</v>
      </c>
      <c r="CQ509" t="s">
        <v>3322</v>
      </c>
      <c r="CR509" t="s">
        <v>4456</v>
      </c>
      <c r="CS509" t="s">
        <v>4457</v>
      </c>
      <c r="CT509">
        <v>0</v>
      </c>
      <c r="CU509">
        <v>0</v>
      </c>
      <c r="CV509">
        <v>0</v>
      </c>
      <c r="CW509">
        <v>0</v>
      </c>
      <c r="CX509">
        <v>4.9000000000000004</v>
      </c>
      <c r="CY509">
        <v>3678</v>
      </c>
      <c r="CZ509">
        <v>0</v>
      </c>
      <c r="DA509">
        <v>0</v>
      </c>
      <c r="DB509">
        <v>175068215.90277767</v>
      </c>
      <c r="DC509">
        <v>4.4804564119999997</v>
      </c>
      <c r="DD509">
        <v>8</v>
      </c>
      <c r="DE509">
        <v>9</v>
      </c>
      <c r="DF509">
        <v>89</v>
      </c>
      <c r="DG509">
        <v>0</v>
      </c>
      <c r="DH509">
        <v>0</v>
      </c>
      <c r="DI509">
        <v>0</v>
      </c>
      <c r="DJ509">
        <v>1791500000</v>
      </c>
      <c r="DK509">
        <v>0</v>
      </c>
      <c r="DL509">
        <v>1791500000</v>
      </c>
      <c r="DM509">
        <v>1791500000</v>
      </c>
      <c r="DN509">
        <v>1791500000</v>
      </c>
      <c r="DO509">
        <v>1791500000</v>
      </c>
      <c r="DP509" s="32">
        <f>Tradingbook_SBV[[#This Row],[Mat. Date]]-RPT</f>
        <v>4109</v>
      </c>
      <c r="DQ509" s="32">
        <f>IF(Tradingbook_SBV[[#This Row],[Days]]&lt;=0,0,YEARFRAC(RPT,Tradingbook_SBV[[#This Row],[Mat. Date]],3))</f>
        <v>11.257534246575343</v>
      </c>
      <c r="DR509" s="32" t="str">
        <f>IF(Tradingbook_SBV[[#This Row],[Days (year)]]=0,0,INDEX(Ref!$K$2:$K$13,MATCH(Tradingbook_SBV[[#This Row],[Days (year)]],Ref!$I$2:$I$13,1)))</f>
        <v>15Y</v>
      </c>
      <c r="DS509" s="32" t="str">
        <f>VLOOKUP(Tradingbook_SBV[[#This Row],[Security Name]],Ref!X:Z,3,0)</f>
        <v>TPCP</v>
      </c>
      <c r="DT509" s="32" t="str">
        <f>VLOOKUP(Tradingbook_SBV[[#This Row],[Security Name]],Ref!X:Y,2,0)</f>
        <v>KBNN</v>
      </c>
      <c r="DU509" s="71">
        <f>IF((Tradingbook_SBV[[#This Row],[Mat. Date]]-RPT)&lt;=0,0,Tradingbook_SBV[[#This Row],[QUANTITY]])</f>
        <v>0</v>
      </c>
      <c r="DV509" s="71">
        <f>IF(Tradingbook_SBV[[#This Row],[Quantity_edited]]=0,0,Tradingbook_SBV[[#This Row],[DURATION]])</f>
        <v>0</v>
      </c>
      <c r="DW509" s="71">
        <f>IF(Tradingbook_SBV[[#This Row],[Quantity_edited]]=0,0,Tradingbook_SBV[[#This Row],[Mod Dur]])</f>
        <v>0</v>
      </c>
      <c r="DX509" s="71">
        <f>IF(Tradingbook_SBV[[#This Row],[Quantity_edited]]=0,0,Tradingbook_SBV[[#This Row],[Cnvx.]])</f>
        <v>0</v>
      </c>
      <c r="DY509" s="71">
        <f>(Tradingbook_SBV[[#This Row],[MARKET_VALUE]]+Tradingbook_SBV[[#This Row],[Accr Int]]*Tradingbook_SBV[[#This Row],[Quantity_edited]])*(-Tradingbook_SBV[[#This Row],[Modified Duration]]*0.0001+0.5*Tradingbook_SBV[[#This Row],[Conv]]*(0.0001^2))</f>
        <v>0</v>
      </c>
      <c r="DZ509" s="71">
        <f>(Tradingbook_SBV[[#This Row],[MARKET_VALUE]]+Tradingbook_SBV[[#This Row],[Accr Int]]*Tradingbook_SBV[[#This Row],[Quantity_edited]])*(-Tradingbook_SBV[[#This Row],[Modified Duration]]*0.01+0.5*Tradingbook_SBV[[#This Row],[Conv]]*(0.01^2))</f>
        <v>0</v>
      </c>
    </row>
    <row r="510" spans="2:130" x14ac:dyDescent="0.3">
      <c r="B510" t="s">
        <v>166</v>
      </c>
      <c r="C510" t="s">
        <v>3302</v>
      </c>
      <c r="D510" t="s">
        <v>2831</v>
      </c>
      <c r="E510" t="s">
        <v>169</v>
      </c>
      <c r="F510" s="502">
        <v>49115</v>
      </c>
      <c r="G510" t="s">
        <v>170</v>
      </c>
      <c r="H510">
        <v>89242</v>
      </c>
      <c r="I510">
        <v>89242</v>
      </c>
      <c r="J510" s="38">
        <v>6500000</v>
      </c>
      <c r="K510">
        <v>650000000000</v>
      </c>
      <c r="L510">
        <v>98803.391000000003</v>
      </c>
      <c r="M510" s="38">
        <v>580073000000</v>
      </c>
      <c r="N510">
        <v>2.7</v>
      </c>
      <c r="O510">
        <v>436</v>
      </c>
      <c r="P510" s="37">
        <v>35100000000</v>
      </c>
      <c r="Q510" s="37">
        <v>36349560000.000015</v>
      </c>
      <c r="R510" s="37">
        <v>-59576334950.486137</v>
      </c>
      <c r="S510">
        <v>4.3478352539999996</v>
      </c>
      <c r="T510" s="70">
        <v>6.7938758661736998</v>
      </c>
      <c r="U510">
        <v>7.0892624</v>
      </c>
      <c r="V510">
        <v>55.677961934934999</v>
      </c>
      <c r="W510">
        <v>324550.73757607129</v>
      </c>
      <c r="X510" s="38">
        <v>-396019.77995236998</v>
      </c>
      <c r="Y510">
        <v>67972.039999999994</v>
      </c>
      <c r="Z510" s="70">
        <v>-825078871.9163785</v>
      </c>
      <c r="AA510" s="70">
        <v>-62149041128.084633</v>
      </c>
      <c r="AB510" s="70">
        <v>-62974120000.001015</v>
      </c>
      <c r="AC510" s="70">
        <v>-62974120000.001015</v>
      </c>
      <c r="AD510" s="70">
        <v>-62974120000.000999</v>
      </c>
      <c r="AE510" s="70">
        <v>-62974120000.001015</v>
      </c>
      <c r="AF510">
        <v>2.8576302390000001</v>
      </c>
      <c r="AG510" s="72">
        <f>Tradingbook_MSB[[#This Row],[Mat. Date]]-RPT</f>
        <v>2863</v>
      </c>
      <c r="AH510" s="71">
        <f>IF(Tradingbook_MSB[[#This Row],[Days]]&lt;=0,0,YEARFRAC(RPT,Tradingbook_MSB[[#This Row],[Mat. Date]],3))</f>
        <v>7.8438356164383558</v>
      </c>
      <c r="AI510" s="71" t="str">
        <f>IF(Tradingbook_MSB[[#This Row],[Days (year)]]=0,0,INDEX(Ref!$K$2:$K$13,MATCH(Tradingbook_MSB[[#This Row],[Days (year)]],Ref!$I$2:$I$13,1)))</f>
        <v>10Y</v>
      </c>
      <c r="AJ510" s="120" t="str">
        <f>VLOOKUP(Tradingbook_MSB[[#This Row],[Security Name]],Ref!X:Z,3,0)</f>
        <v>TPCP</v>
      </c>
      <c r="AK510" s="120" t="str">
        <f>VLOOKUP(Tradingbook_MSB[[#This Row],[Security Name]],Ref!X:Y,2,0)</f>
        <v>KBNN</v>
      </c>
      <c r="AL510" s="71">
        <f>IF((Tradingbook_MSB[[#This Row],[Mat. Date]]-RPT)&lt;=0,0,Tradingbook_MSB[[#This Row],[QUANTITY]])</f>
        <v>6500000</v>
      </c>
      <c r="AM510" s="71">
        <f>IF(Tradingbook_MSB[[#This Row],[Quantity_edited]]=0,0,Tradingbook_MSB[[#This Row],[DURATION]])</f>
        <v>7.0892624</v>
      </c>
      <c r="AN510" s="71">
        <f>IF(Tradingbook_MSB[[#This Row],[Quantity_edited]]=0,0,Tradingbook_MSB[[#This Row],[Mod Dur]])</f>
        <v>6.7938758661736998</v>
      </c>
      <c r="AO510" s="71">
        <f>IF(Tradingbook_MSB[[#This Row],[Quantity_edited]]=0,0,Tradingbook_MSB[[#This Row],[Cnvx.]])</f>
        <v>55.677961934934999</v>
      </c>
      <c r="AP510" s="71">
        <f>(Tradingbook_MSB[[#This Row],[MARKET_VALUE]]+Tradingbook_MSB[[#This Row],[Accr Int]]*Tradingbook_MSB[[#This Row],[Quantity_edited]])*(-Tradingbook_MSB[[#This Row],[Modified Duration]]*0.0001+0.5*Tradingbook_MSB[[#This Row],[Conv]]*(0.0001^2))</f>
        <v>-395857504.58358324</v>
      </c>
      <c r="AQ510" s="72">
        <f>(Tradingbook_MSB[[#This Row],[MARKET_VALUE]]+Tradingbook_MSB[[#This Row],[Accr Int]]*Tradingbook_MSB[[#This Row],[Quantity_edited]])*(-Tradingbook_MSB[[#This Row],[Modified Duration]]*0.01+0.5*Tradingbook_MSB[[#This Row],[Conv]]*(0.01^2))</f>
        <v>-37979224307.356766</v>
      </c>
      <c r="CL510" t="s">
        <v>166</v>
      </c>
      <c r="CM510" t="s">
        <v>3302</v>
      </c>
      <c r="CN510" t="s">
        <v>2380</v>
      </c>
      <c r="CO510" t="s">
        <v>169</v>
      </c>
      <c r="CP510">
        <v>50410</v>
      </c>
      <c r="CQ510" t="s">
        <v>3322</v>
      </c>
      <c r="CR510" t="s">
        <v>4458</v>
      </c>
      <c r="CS510" t="s">
        <v>4459</v>
      </c>
      <c r="CT510">
        <v>0</v>
      </c>
      <c r="CU510">
        <v>0</v>
      </c>
      <c r="CV510">
        <v>0</v>
      </c>
      <c r="CW510">
        <v>0</v>
      </c>
      <c r="CX510">
        <v>4.7</v>
      </c>
      <c r="CY510">
        <v>2897</v>
      </c>
      <c r="CZ510">
        <v>0</v>
      </c>
      <c r="DA510">
        <v>6.0000000000000002E-6</v>
      </c>
      <c r="DB510">
        <v>-74304283.680545807</v>
      </c>
      <c r="DC510">
        <v>4.4839176289999996</v>
      </c>
      <c r="DD510">
        <v>8</v>
      </c>
      <c r="DE510">
        <v>9</v>
      </c>
      <c r="DF510">
        <v>92</v>
      </c>
      <c r="DG510">
        <v>0</v>
      </c>
      <c r="DH510">
        <v>0</v>
      </c>
      <c r="DI510">
        <v>0</v>
      </c>
      <c r="DJ510">
        <v>1164000000</v>
      </c>
      <c r="DK510">
        <v>0</v>
      </c>
      <c r="DL510">
        <v>1164000000</v>
      </c>
      <c r="DM510">
        <v>1164000000</v>
      </c>
      <c r="DN510">
        <v>1164000000</v>
      </c>
      <c r="DO510">
        <v>1164000000</v>
      </c>
      <c r="DP510" s="32">
        <f>Tradingbook_SBV[[#This Row],[Mat. Date]]-RPT</f>
        <v>4158</v>
      </c>
      <c r="DQ510" s="32">
        <f>IF(Tradingbook_SBV[[#This Row],[Days]]&lt;=0,0,YEARFRAC(RPT,Tradingbook_SBV[[#This Row],[Mat. Date]],3))</f>
        <v>11.391780821917807</v>
      </c>
      <c r="DR510" s="32" t="str">
        <f>IF(Tradingbook_SBV[[#This Row],[Days (year)]]=0,0,INDEX(Ref!$K$2:$K$13,MATCH(Tradingbook_SBV[[#This Row],[Days (year)]],Ref!$I$2:$I$13,1)))</f>
        <v>15Y</v>
      </c>
      <c r="DS510" s="32" t="str">
        <f>VLOOKUP(Tradingbook_SBV[[#This Row],[Security Name]],Ref!X:Z,3,0)</f>
        <v>TPCP</v>
      </c>
      <c r="DT510" s="32" t="str">
        <f>VLOOKUP(Tradingbook_SBV[[#This Row],[Security Name]],Ref!X:Y,2,0)</f>
        <v>KBNN</v>
      </c>
      <c r="DU510" s="71">
        <f>IF((Tradingbook_SBV[[#This Row],[Mat. Date]]-RPT)&lt;=0,0,Tradingbook_SBV[[#This Row],[QUANTITY]])</f>
        <v>0</v>
      </c>
      <c r="DV510" s="71">
        <f>IF(Tradingbook_SBV[[#This Row],[Quantity_edited]]=0,0,Tradingbook_SBV[[#This Row],[DURATION]])</f>
        <v>0</v>
      </c>
      <c r="DW510" s="71">
        <f>IF(Tradingbook_SBV[[#This Row],[Quantity_edited]]=0,0,Tradingbook_SBV[[#This Row],[Mod Dur]])</f>
        <v>0</v>
      </c>
      <c r="DX510" s="71">
        <f>IF(Tradingbook_SBV[[#This Row],[Quantity_edited]]=0,0,Tradingbook_SBV[[#This Row],[Cnvx.]])</f>
        <v>0</v>
      </c>
      <c r="DY510" s="71">
        <f>(Tradingbook_SBV[[#This Row],[MARKET_VALUE]]+Tradingbook_SBV[[#This Row],[Accr Int]]*Tradingbook_SBV[[#This Row],[Quantity_edited]])*(-Tradingbook_SBV[[#This Row],[Modified Duration]]*0.0001+0.5*Tradingbook_SBV[[#This Row],[Conv]]*(0.0001^2))</f>
        <v>0</v>
      </c>
      <c r="DZ510" s="71">
        <f>(Tradingbook_SBV[[#This Row],[MARKET_VALUE]]+Tradingbook_SBV[[#This Row],[Accr Int]]*Tradingbook_SBV[[#This Row],[Quantity_edited]])*(-Tradingbook_SBV[[#This Row],[Modified Duration]]*0.01+0.5*Tradingbook_SBV[[#This Row],[Conv]]*(0.01^2))</f>
        <v>0</v>
      </c>
    </row>
    <row r="511" spans="2:130" x14ac:dyDescent="0.3">
      <c r="B511" t="s">
        <v>166</v>
      </c>
      <c r="C511" t="s">
        <v>3302</v>
      </c>
      <c r="D511" t="s">
        <v>2834</v>
      </c>
      <c r="E511" t="s">
        <v>169</v>
      </c>
      <c r="F511" s="502">
        <v>49129</v>
      </c>
      <c r="G511" t="s">
        <v>170</v>
      </c>
      <c r="H511">
        <v>89188</v>
      </c>
      <c r="I511">
        <v>89188</v>
      </c>
      <c r="J511" s="38">
        <v>8500000</v>
      </c>
      <c r="K511">
        <v>850000000000</v>
      </c>
      <c r="L511">
        <v>98712.769</v>
      </c>
      <c r="M511" s="38">
        <v>758098000000</v>
      </c>
      <c r="N511">
        <v>2.7</v>
      </c>
      <c r="O511">
        <v>333</v>
      </c>
      <c r="P511" s="37">
        <v>51300000000</v>
      </c>
      <c r="Q511" s="37">
        <v>53181442500.000015</v>
      </c>
      <c r="R511" s="37">
        <v>-85078261019.58345</v>
      </c>
      <c r="S511">
        <v>4.3495893649999999</v>
      </c>
      <c r="T511" s="70">
        <v>6.8304662246465</v>
      </c>
      <c r="U511">
        <v>7.1275634600000002</v>
      </c>
      <c r="V511">
        <v>56.211552698706299</v>
      </c>
      <c r="W511">
        <v>427729.72477697569</v>
      </c>
      <c r="X511" s="38">
        <v>-519749.64186208998</v>
      </c>
      <c r="Y511">
        <v>88765.948999999993</v>
      </c>
      <c r="Z511" s="70">
        <v>-17973582369.005939</v>
      </c>
      <c r="AA511" s="70">
        <v>-80960537630.993973</v>
      </c>
      <c r="AB511" s="70">
        <v>-98934119999.999908</v>
      </c>
      <c r="AC511" s="70">
        <v>-98934119999.999908</v>
      </c>
      <c r="AD511" s="70">
        <v>-98934120000</v>
      </c>
      <c r="AE511" s="70">
        <v>-98934119999.999908</v>
      </c>
      <c r="AF511">
        <v>2.8693301779999998</v>
      </c>
      <c r="AG511" s="72">
        <f>Tradingbook_MSB[[#This Row],[Mat. Date]]-RPT</f>
        <v>2877</v>
      </c>
      <c r="AH511" s="71">
        <f>IF(Tradingbook_MSB[[#This Row],[Days]]&lt;=0,0,YEARFRAC(RPT,Tradingbook_MSB[[#This Row],[Mat. Date]],3))</f>
        <v>7.882191780821918</v>
      </c>
      <c r="AI511" s="71" t="str">
        <f>IF(Tradingbook_MSB[[#This Row],[Days (year)]]=0,0,INDEX(Ref!$K$2:$K$13,MATCH(Tradingbook_MSB[[#This Row],[Days (year)]],Ref!$I$2:$I$13,1)))</f>
        <v>10Y</v>
      </c>
      <c r="AJ511" s="120" t="str">
        <f>VLOOKUP(Tradingbook_MSB[[#This Row],[Security Name]],Ref!X:Z,3,0)</f>
        <v>TPCP</v>
      </c>
      <c r="AK511" s="120" t="str">
        <f>VLOOKUP(Tradingbook_MSB[[#This Row],[Security Name]],Ref!X:Y,2,0)</f>
        <v>KBNN</v>
      </c>
      <c r="AL511" s="71">
        <f>IF((Tradingbook_MSB[[#This Row],[Mat. Date]]-RPT)&lt;=0,0,Tradingbook_MSB[[#This Row],[QUANTITY]])</f>
        <v>8500000</v>
      </c>
      <c r="AM511" s="71">
        <f>IF(Tradingbook_MSB[[#This Row],[Quantity_edited]]=0,0,Tradingbook_MSB[[#This Row],[DURATION]])</f>
        <v>7.1275634600000002</v>
      </c>
      <c r="AN511" s="71">
        <f>IF(Tradingbook_MSB[[#This Row],[Quantity_edited]]=0,0,Tradingbook_MSB[[#This Row],[Mod Dur]])</f>
        <v>6.8304662246465</v>
      </c>
      <c r="AO511" s="71">
        <f>IF(Tradingbook_MSB[[#This Row],[Quantity_edited]]=0,0,Tradingbook_MSB[[#This Row],[Cnvx.]])</f>
        <v>56.211552698706299</v>
      </c>
      <c r="AP511" s="71">
        <f>(Tradingbook_MSB[[#This Row],[MARKET_VALUE]]+Tradingbook_MSB[[#This Row],[Accr Int]]*Tradingbook_MSB[[#This Row],[Quantity_edited]])*(-Tradingbook_MSB[[#This Row],[Modified Duration]]*0.0001+0.5*Tradingbook_MSB[[#This Row],[Conv]]*(0.0001^2))</f>
        <v>-519535776.99970394</v>
      </c>
      <c r="AQ511" s="72">
        <f>(Tradingbook_MSB[[#This Row],[MARKET_VALUE]]+Tradingbook_MSB[[#This Row],[Accr Int]]*Tradingbook_MSB[[#This Row],[Quantity_edited]])*(-Tradingbook_MSB[[#This Row],[Modified Duration]]*0.01+0.5*Tradingbook_MSB[[#This Row],[Conv]]*(0.01^2))</f>
        <v>-49836315562.324364</v>
      </c>
      <c r="CL511" t="s">
        <v>166</v>
      </c>
      <c r="CM511" t="s">
        <v>3302</v>
      </c>
      <c r="CN511" t="s">
        <v>709</v>
      </c>
      <c r="CO511" t="s">
        <v>169</v>
      </c>
      <c r="CP511">
        <v>50437</v>
      </c>
      <c r="CQ511" t="s">
        <v>3322</v>
      </c>
      <c r="CR511" t="s">
        <v>4460</v>
      </c>
      <c r="CS511" t="s">
        <v>4461</v>
      </c>
      <c r="CT511">
        <v>0</v>
      </c>
      <c r="CU511">
        <v>0</v>
      </c>
      <c r="CV511">
        <v>0</v>
      </c>
      <c r="CW511">
        <v>0</v>
      </c>
      <c r="CX511">
        <v>5.2</v>
      </c>
      <c r="CY511">
        <v>2821</v>
      </c>
      <c r="CZ511">
        <v>2600000000</v>
      </c>
      <c r="DA511">
        <v>2858049999.9999852</v>
      </c>
      <c r="DB511">
        <v>-7592444423.68048</v>
      </c>
      <c r="DC511">
        <v>4.4858813160000004</v>
      </c>
      <c r="DD511">
        <v>8</v>
      </c>
      <c r="DE511">
        <v>9</v>
      </c>
      <c r="DF511">
        <v>92</v>
      </c>
      <c r="DG511">
        <v>0</v>
      </c>
      <c r="DH511">
        <v>0</v>
      </c>
      <c r="DI511">
        <v>0</v>
      </c>
      <c r="DJ511">
        <v>-32581500000</v>
      </c>
      <c r="DK511">
        <v>0</v>
      </c>
      <c r="DL511">
        <v>-32581500000</v>
      </c>
      <c r="DM511">
        <v>-32581500000</v>
      </c>
      <c r="DN511">
        <v>-32581500000</v>
      </c>
      <c r="DO511">
        <v>-32581500000</v>
      </c>
      <c r="DP511" s="32">
        <f>Tradingbook_SBV[[#This Row],[Mat. Date]]-RPT</f>
        <v>4185</v>
      </c>
      <c r="DQ511" s="32">
        <f>IF(Tradingbook_SBV[[#This Row],[Days]]&lt;=0,0,YEARFRAC(RPT,Tradingbook_SBV[[#This Row],[Mat. Date]],3))</f>
        <v>11.465753424657533</v>
      </c>
      <c r="DR511" s="32" t="str">
        <f>IF(Tradingbook_SBV[[#This Row],[Days (year)]]=0,0,INDEX(Ref!$K$2:$K$13,MATCH(Tradingbook_SBV[[#This Row],[Days (year)]],Ref!$I$2:$I$13,1)))</f>
        <v>15Y</v>
      </c>
      <c r="DS511" s="32" t="str">
        <f>VLOOKUP(Tradingbook_SBV[[#This Row],[Security Name]],Ref!X:Z,3,0)</f>
        <v>TPCP</v>
      </c>
      <c r="DT511" s="32" t="str">
        <f>VLOOKUP(Tradingbook_SBV[[#This Row],[Security Name]],Ref!X:Y,2,0)</f>
        <v>KBNN</v>
      </c>
      <c r="DU511" s="71">
        <f>IF((Tradingbook_SBV[[#This Row],[Mat. Date]]-RPT)&lt;=0,0,Tradingbook_SBV[[#This Row],[QUANTITY]])</f>
        <v>0</v>
      </c>
      <c r="DV511" s="71">
        <f>IF(Tradingbook_SBV[[#This Row],[Quantity_edited]]=0,0,Tradingbook_SBV[[#This Row],[DURATION]])</f>
        <v>0</v>
      </c>
      <c r="DW511" s="71">
        <f>IF(Tradingbook_SBV[[#This Row],[Quantity_edited]]=0,0,Tradingbook_SBV[[#This Row],[Mod Dur]])</f>
        <v>0</v>
      </c>
      <c r="DX511" s="71">
        <f>IF(Tradingbook_SBV[[#This Row],[Quantity_edited]]=0,0,Tradingbook_SBV[[#This Row],[Cnvx.]])</f>
        <v>0</v>
      </c>
      <c r="DY511" s="71">
        <f>(Tradingbook_SBV[[#This Row],[MARKET_VALUE]]+Tradingbook_SBV[[#This Row],[Accr Int]]*Tradingbook_SBV[[#This Row],[Quantity_edited]])*(-Tradingbook_SBV[[#This Row],[Modified Duration]]*0.0001+0.5*Tradingbook_SBV[[#This Row],[Conv]]*(0.0001^2))</f>
        <v>0</v>
      </c>
      <c r="DZ511" s="71">
        <f>(Tradingbook_SBV[[#This Row],[MARKET_VALUE]]+Tradingbook_SBV[[#This Row],[Accr Int]]*Tradingbook_SBV[[#This Row],[Quantity_edited]])*(-Tradingbook_SBV[[#This Row],[Modified Duration]]*0.01+0.5*Tradingbook_SBV[[#This Row],[Conv]]*(0.01^2))</f>
        <v>0</v>
      </c>
    </row>
    <row r="512" spans="2:130" x14ac:dyDescent="0.3">
      <c r="B512" t="s">
        <v>166</v>
      </c>
      <c r="C512" t="s">
        <v>3302</v>
      </c>
      <c r="D512" t="s">
        <v>2836</v>
      </c>
      <c r="E512" t="s">
        <v>169</v>
      </c>
      <c r="F512" s="502">
        <v>49143</v>
      </c>
      <c r="G512" t="s">
        <v>170</v>
      </c>
      <c r="H512">
        <v>89135</v>
      </c>
      <c r="I512">
        <v>89135</v>
      </c>
      <c r="J512" s="38">
        <v>8000000</v>
      </c>
      <c r="K512">
        <v>800000000000</v>
      </c>
      <c r="L512">
        <v>98619.930999999997</v>
      </c>
      <c r="M512" s="38">
        <v>713080000000</v>
      </c>
      <c r="N512">
        <v>2.7</v>
      </c>
      <c r="O512">
        <v>229</v>
      </c>
      <c r="P512" s="37">
        <v>43200000000</v>
      </c>
      <c r="Q512" s="37">
        <v>44577810000</v>
      </c>
      <c r="R512" s="37">
        <v>-69859906666.305573</v>
      </c>
      <c r="S512">
        <v>4.3513695300000004</v>
      </c>
      <c r="T512" s="70">
        <v>6.8670528512114002</v>
      </c>
      <c r="U512">
        <v>7.1658637000000001</v>
      </c>
      <c r="V512">
        <v>56.747765235686202</v>
      </c>
      <c r="W512">
        <v>405696.58340174868</v>
      </c>
      <c r="X512" s="38">
        <v>-490933.84879652399</v>
      </c>
      <c r="Y512">
        <v>83431.322</v>
      </c>
      <c r="Z512" s="70">
        <v>-7134610919.8750572</v>
      </c>
      <c r="AA512" s="70">
        <v>-75879449080.124619</v>
      </c>
      <c r="AB512" s="70">
        <v>-83014059999.99968</v>
      </c>
      <c r="AC512" s="70">
        <v>-83014059999.99968</v>
      </c>
      <c r="AD512" s="70">
        <v>-83014060000</v>
      </c>
      <c r="AE512" s="70">
        <v>-83014059999.99968</v>
      </c>
      <c r="AF512">
        <v>2.8833304759999998</v>
      </c>
      <c r="AG512" s="72">
        <f>Tradingbook_MSB[[#This Row],[Mat. Date]]-RPT</f>
        <v>2891</v>
      </c>
      <c r="AH512" s="71">
        <f>IF(Tradingbook_MSB[[#This Row],[Days]]&lt;=0,0,YEARFRAC(RPT,Tradingbook_MSB[[#This Row],[Mat. Date]],3))</f>
        <v>7.9205479452054792</v>
      </c>
      <c r="AI512" s="71" t="str">
        <f>IF(Tradingbook_MSB[[#This Row],[Days (year)]]=0,0,INDEX(Ref!$K$2:$K$13,MATCH(Tradingbook_MSB[[#This Row],[Days (year)]],Ref!$I$2:$I$13,1)))</f>
        <v>10Y</v>
      </c>
      <c r="AJ512" s="120" t="str">
        <f>VLOOKUP(Tradingbook_MSB[[#This Row],[Security Name]],Ref!X:Z,3,0)</f>
        <v>TPCP</v>
      </c>
      <c r="AK512" s="120" t="str">
        <f>VLOOKUP(Tradingbook_MSB[[#This Row],[Security Name]],Ref!X:Y,2,0)</f>
        <v>KBNN</v>
      </c>
      <c r="AL512" s="71">
        <f>IF((Tradingbook_MSB[[#This Row],[Mat. Date]]-RPT)&lt;=0,0,Tradingbook_MSB[[#This Row],[QUANTITY]])</f>
        <v>8000000</v>
      </c>
      <c r="AM512" s="71">
        <f>IF(Tradingbook_MSB[[#This Row],[Quantity_edited]]=0,0,Tradingbook_MSB[[#This Row],[DURATION]])</f>
        <v>7.1658637000000001</v>
      </c>
      <c r="AN512" s="71">
        <f>IF(Tradingbook_MSB[[#This Row],[Quantity_edited]]=0,0,Tradingbook_MSB[[#This Row],[Mod Dur]])</f>
        <v>6.8670528512114002</v>
      </c>
      <c r="AO512" s="71">
        <f>IF(Tradingbook_MSB[[#This Row],[Quantity_edited]]=0,0,Tradingbook_MSB[[#This Row],[Cnvx.]])</f>
        <v>56.747765235686202</v>
      </c>
      <c r="AP512" s="71">
        <f>(Tradingbook_MSB[[#This Row],[MARKET_VALUE]]+Tradingbook_MSB[[#This Row],[Accr Int]]*Tradingbook_MSB[[#This Row],[Quantity_edited]])*(-Tradingbook_MSB[[#This Row],[Modified Duration]]*0.0001+0.5*Tradingbook_MSB[[#This Row],[Conv]]*(0.0001^2))</f>
        <v>-490731000.50482363</v>
      </c>
      <c r="AQ512" s="72">
        <f>(Tradingbook_MSB[[#This Row],[MARKET_VALUE]]+Tradingbook_MSB[[#This Row],[Accr Int]]*Tradingbook_MSB[[#This Row],[Quantity_edited]])*(-Tradingbook_MSB[[#This Row],[Modified Duration]]*0.01+0.5*Tradingbook_MSB[[#This Row],[Conv]]*(0.01^2))</f>
        <v>-47064901962.6437</v>
      </c>
      <c r="CL512" t="s">
        <v>166</v>
      </c>
      <c r="CM512" t="s">
        <v>3302</v>
      </c>
      <c r="CN512" t="s">
        <v>2386</v>
      </c>
      <c r="CO512" t="s">
        <v>169</v>
      </c>
      <c r="CP512">
        <v>50438</v>
      </c>
      <c r="CQ512" t="s">
        <v>3322</v>
      </c>
      <c r="CR512" t="s">
        <v>4462</v>
      </c>
      <c r="CS512" t="s">
        <v>4463</v>
      </c>
      <c r="CT512">
        <v>0</v>
      </c>
      <c r="CU512">
        <v>0</v>
      </c>
      <c r="CV512">
        <v>0</v>
      </c>
      <c r="CW512">
        <v>0</v>
      </c>
      <c r="CX512">
        <v>4.4000000000000004</v>
      </c>
      <c r="CY512">
        <v>2375</v>
      </c>
      <c r="CZ512">
        <v>2200000000</v>
      </c>
      <c r="DA512">
        <v>2418279722.2222261</v>
      </c>
      <c r="DB512">
        <v>-1161234456.8750029</v>
      </c>
      <c r="DC512">
        <v>4.4858984570000002</v>
      </c>
      <c r="DD512">
        <v>9</v>
      </c>
      <c r="DE512">
        <v>9</v>
      </c>
      <c r="DF512">
        <v>95</v>
      </c>
      <c r="DG512">
        <v>0</v>
      </c>
      <c r="DH512">
        <v>0</v>
      </c>
      <c r="DI512">
        <v>0</v>
      </c>
      <c r="DJ512">
        <v>2112000000</v>
      </c>
      <c r="DK512">
        <v>0</v>
      </c>
      <c r="DL512">
        <v>2112000000</v>
      </c>
      <c r="DM512">
        <v>2112000000</v>
      </c>
      <c r="DN512">
        <v>2112000000</v>
      </c>
      <c r="DO512">
        <v>2112000000</v>
      </c>
      <c r="DP512" s="32">
        <f>Tradingbook_SBV[[#This Row],[Mat. Date]]-RPT</f>
        <v>4186</v>
      </c>
      <c r="DQ512" s="32">
        <f>IF(Tradingbook_SBV[[#This Row],[Days]]&lt;=0,0,YEARFRAC(RPT,Tradingbook_SBV[[#This Row],[Mat. Date]],3))</f>
        <v>11.468493150684932</v>
      </c>
      <c r="DR512" s="32" t="str">
        <f>IF(Tradingbook_SBV[[#This Row],[Days (year)]]=0,0,INDEX(Ref!$K$2:$K$13,MATCH(Tradingbook_SBV[[#This Row],[Days (year)]],Ref!$I$2:$I$13,1)))</f>
        <v>15Y</v>
      </c>
      <c r="DS512" s="32" t="str">
        <f>VLOOKUP(Tradingbook_SBV[[#This Row],[Security Name]],Ref!X:Z,3,0)</f>
        <v>TPCP</v>
      </c>
      <c r="DT512" s="32" t="str">
        <f>VLOOKUP(Tradingbook_SBV[[#This Row],[Security Name]],Ref!X:Y,2,0)</f>
        <v>KBNN</v>
      </c>
      <c r="DU512" s="71">
        <f>IF((Tradingbook_SBV[[#This Row],[Mat. Date]]-RPT)&lt;=0,0,Tradingbook_SBV[[#This Row],[QUANTITY]])</f>
        <v>0</v>
      </c>
      <c r="DV512" s="71">
        <f>IF(Tradingbook_SBV[[#This Row],[Quantity_edited]]=0,0,Tradingbook_SBV[[#This Row],[DURATION]])</f>
        <v>0</v>
      </c>
      <c r="DW512" s="71">
        <f>IF(Tradingbook_SBV[[#This Row],[Quantity_edited]]=0,0,Tradingbook_SBV[[#This Row],[Mod Dur]])</f>
        <v>0</v>
      </c>
      <c r="DX512" s="71">
        <f>IF(Tradingbook_SBV[[#This Row],[Quantity_edited]]=0,0,Tradingbook_SBV[[#This Row],[Cnvx.]])</f>
        <v>0</v>
      </c>
      <c r="DY512" s="71">
        <f>(Tradingbook_SBV[[#This Row],[MARKET_VALUE]]+Tradingbook_SBV[[#This Row],[Accr Int]]*Tradingbook_SBV[[#This Row],[Quantity_edited]])*(-Tradingbook_SBV[[#This Row],[Modified Duration]]*0.0001+0.5*Tradingbook_SBV[[#This Row],[Conv]]*(0.0001^2))</f>
        <v>0</v>
      </c>
      <c r="DZ512" s="71">
        <f>(Tradingbook_SBV[[#This Row],[MARKET_VALUE]]+Tradingbook_SBV[[#This Row],[Accr Int]]*Tradingbook_SBV[[#This Row],[Quantity_edited]])*(-Tradingbook_SBV[[#This Row],[Modified Duration]]*0.01+0.5*Tradingbook_SBV[[#This Row],[Conv]]*(0.01^2))</f>
        <v>0</v>
      </c>
    </row>
    <row r="513" spans="2:130" x14ac:dyDescent="0.3">
      <c r="B513" t="s">
        <v>166</v>
      </c>
      <c r="C513" t="s">
        <v>3302</v>
      </c>
      <c r="D513" t="s">
        <v>2839</v>
      </c>
      <c r="E513" t="s">
        <v>169</v>
      </c>
      <c r="F513" s="502">
        <v>49171</v>
      </c>
      <c r="G513" t="s">
        <v>170</v>
      </c>
      <c r="H513">
        <v>89029</v>
      </c>
      <c r="I513">
        <v>89029</v>
      </c>
      <c r="J513" s="38">
        <v>7500000</v>
      </c>
      <c r="K513">
        <v>750000000000</v>
      </c>
      <c r="L513">
        <v>99005.843999999997</v>
      </c>
      <c r="M513" s="38">
        <v>667717500000</v>
      </c>
      <c r="N513">
        <v>2.7</v>
      </c>
      <c r="O513">
        <v>22</v>
      </c>
      <c r="P513" s="37">
        <v>35100000000</v>
      </c>
      <c r="Q513" s="37">
        <v>36230775000</v>
      </c>
      <c r="R513" s="37">
        <v>-60370700818.750023</v>
      </c>
      <c r="S513">
        <v>4.3548451960000003</v>
      </c>
      <c r="T513" s="70">
        <v>6.9402305304957999</v>
      </c>
      <c r="U513">
        <v>7.2424668299999997</v>
      </c>
      <c r="V513">
        <v>57.828283716100103</v>
      </c>
      <c r="W513">
        <v>386224.98699018243</v>
      </c>
      <c r="X513" s="38">
        <v>-463525.851728387</v>
      </c>
      <c r="Y513">
        <v>78003.86</v>
      </c>
      <c r="Z513" s="70">
        <v>-14641171874.999599</v>
      </c>
      <c r="AA513" s="70">
        <v>-74826328125</v>
      </c>
      <c r="AB513" s="70">
        <v>-89467499999.999603</v>
      </c>
      <c r="AC513" s="70">
        <v>-89467499999.999603</v>
      </c>
      <c r="AD513" s="70">
        <v>-89467500000</v>
      </c>
      <c r="AE513" s="70">
        <v>-89467499999.999603</v>
      </c>
      <c r="AF513">
        <v>2.829910478</v>
      </c>
      <c r="AG513" s="72">
        <f>Tradingbook_MSB[[#This Row],[Mat. Date]]-RPT</f>
        <v>2919</v>
      </c>
      <c r="AH513" s="71">
        <f>IF(Tradingbook_MSB[[#This Row],[Days]]&lt;=0,0,YEARFRAC(RPT,Tradingbook_MSB[[#This Row],[Mat. Date]],3))</f>
        <v>7.9972602739726026</v>
      </c>
      <c r="AI513" s="71" t="str">
        <f>IF(Tradingbook_MSB[[#This Row],[Days (year)]]=0,0,INDEX(Ref!$K$2:$K$13,MATCH(Tradingbook_MSB[[#This Row],[Days (year)]],Ref!$I$2:$I$13,1)))</f>
        <v>10Y</v>
      </c>
      <c r="AJ513" s="120" t="str">
        <f>VLOOKUP(Tradingbook_MSB[[#This Row],[Security Name]],Ref!X:Z,3,0)</f>
        <v>TPCP</v>
      </c>
      <c r="AK513" s="120" t="str">
        <f>VLOOKUP(Tradingbook_MSB[[#This Row],[Security Name]],Ref!X:Y,2,0)</f>
        <v>KBNN</v>
      </c>
      <c r="AL513" s="71">
        <f>IF((Tradingbook_MSB[[#This Row],[Mat. Date]]-RPT)&lt;=0,0,Tradingbook_MSB[[#This Row],[QUANTITY]])</f>
        <v>7500000</v>
      </c>
      <c r="AM513" s="71">
        <f>IF(Tradingbook_MSB[[#This Row],[Quantity_edited]]=0,0,Tradingbook_MSB[[#This Row],[DURATION]])</f>
        <v>7.2424668299999997</v>
      </c>
      <c r="AN513" s="71">
        <f>IF(Tradingbook_MSB[[#This Row],[Quantity_edited]]=0,0,Tradingbook_MSB[[#This Row],[Mod Dur]])</f>
        <v>6.9402305304957999</v>
      </c>
      <c r="AO513" s="71">
        <f>IF(Tradingbook_MSB[[#This Row],[Quantity_edited]]=0,0,Tradingbook_MSB[[#This Row],[Cnvx.]])</f>
        <v>57.828283716100103</v>
      </c>
      <c r="AP513" s="71">
        <f>(Tradingbook_MSB[[#This Row],[MARKET_VALUE]]+Tradingbook_MSB[[#This Row],[Accr Int]]*Tradingbook_MSB[[#This Row],[Quantity_edited]])*(-Tradingbook_MSB[[#This Row],[Modified Duration]]*0.0001+0.5*Tradingbook_MSB[[#This Row],[Conv]]*(0.0001^2))</f>
        <v>-463332739.23489106</v>
      </c>
      <c r="AQ513" s="72">
        <f>(Tradingbook_MSB[[#This Row],[MARKET_VALUE]]+Tradingbook_MSB[[#This Row],[Accr Int]]*Tradingbook_MSB[[#This Row],[Quantity_edited]])*(-Tradingbook_MSB[[#This Row],[Modified Duration]]*0.01+0.5*Tradingbook_MSB[[#This Row],[Conv]]*(0.01^2))</f>
        <v>-44421460237.887703</v>
      </c>
      <c r="CL513" t="s">
        <v>166</v>
      </c>
      <c r="CM513" t="s">
        <v>3302</v>
      </c>
      <c r="CN513" t="s">
        <v>2496</v>
      </c>
      <c r="CO513" t="s">
        <v>169</v>
      </c>
      <c r="CP513">
        <v>50487</v>
      </c>
      <c r="CQ513" t="s">
        <v>3322</v>
      </c>
      <c r="CR513" t="s">
        <v>4464</v>
      </c>
      <c r="CS513" t="s">
        <v>4465</v>
      </c>
      <c r="CT513">
        <v>0</v>
      </c>
      <c r="CU513">
        <v>0</v>
      </c>
      <c r="CV513">
        <v>0</v>
      </c>
      <c r="CW513">
        <v>0</v>
      </c>
      <c r="CX513">
        <v>3.8</v>
      </c>
      <c r="CY513">
        <v>1541</v>
      </c>
      <c r="CZ513">
        <v>3800000000</v>
      </c>
      <c r="DA513">
        <v>4167359722.2222309</v>
      </c>
      <c r="DB513">
        <v>-2441817605.2083111</v>
      </c>
      <c r="DC513">
        <v>4.4894532749999998</v>
      </c>
      <c r="DD513">
        <v>9</v>
      </c>
      <c r="DE513">
        <v>9</v>
      </c>
      <c r="DF513">
        <v>101</v>
      </c>
      <c r="DG513">
        <v>0</v>
      </c>
      <c r="DH513">
        <v>0</v>
      </c>
      <c r="DI513">
        <v>0</v>
      </c>
      <c r="DJ513">
        <v>-1486499999.9995117</v>
      </c>
      <c r="DK513">
        <v>0</v>
      </c>
      <c r="DL513">
        <v>-1486499999.9995117</v>
      </c>
      <c r="DM513">
        <v>-1486499999.9995117</v>
      </c>
      <c r="DN513">
        <v>-1486500000</v>
      </c>
      <c r="DO513">
        <v>-1486499999.9995117</v>
      </c>
      <c r="DP513" s="32">
        <f>Tradingbook_SBV[[#This Row],[Mat. Date]]-RPT</f>
        <v>4235</v>
      </c>
      <c r="DQ513" s="32">
        <f>IF(Tradingbook_SBV[[#This Row],[Days]]&lt;=0,0,YEARFRAC(RPT,Tradingbook_SBV[[#This Row],[Mat. Date]],3))</f>
        <v>11.602739726027398</v>
      </c>
      <c r="DR513" s="32" t="str">
        <f>IF(Tradingbook_SBV[[#This Row],[Days (year)]]=0,0,INDEX(Ref!$K$2:$K$13,MATCH(Tradingbook_SBV[[#This Row],[Days (year)]],Ref!$I$2:$I$13,1)))</f>
        <v>15Y</v>
      </c>
      <c r="DS513" s="32" t="str">
        <f>VLOOKUP(Tradingbook_SBV[[#This Row],[Security Name]],Ref!X:Z,3,0)</f>
        <v>TPCP</v>
      </c>
      <c r="DT513" s="32" t="str">
        <f>VLOOKUP(Tradingbook_SBV[[#This Row],[Security Name]],Ref!X:Y,2,0)</f>
        <v>KBNN</v>
      </c>
      <c r="DU513" s="71">
        <f>IF((Tradingbook_SBV[[#This Row],[Mat. Date]]-RPT)&lt;=0,0,Tradingbook_SBV[[#This Row],[QUANTITY]])</f>
        <v>0</v>
      </c>
      <c r="DV513" s="71">
        <f>IF(Tradingbook_SBV[[#This Row],[Quantity_edited]]=0,0,Tradingbook_SBV[[#This Row],[DURATION]])</f>
        <v>0</v>
      </c>
      <c r="DW513" s="71">
        <f>IF(Tradingbook_SBV[[#This Row],[Quantity_edited]]=0,0,Tradingbook_SBV[[#This Row],[Mod Dur]])</f>
        <v>0</v>
      </c>
      <c r="DX513" s="71">
        <f>IF(Tradingbook_SBV[[#This Row],[Quantity_edited]]=0,0,Tradingbook_SBV[[#This Row],[Cnvx.]])</f>
        <v>0</v>
      </c>
      <c r="DY513" s="71">
        <f>(Tradingbook_SBV[[#This Row],[MARKET_VALUE]]+Tradingbook_SBV[[#This Row],[Accr Int]]*Tradingbook_SBV[[#This Row],[Quantity_edited]])*(-Tradingbook_SBV[[#This Row],[Modified Duration]]*0.0001+0.5*Tradingbook_SBV[[#This Row],[Conv]]*(0.0001^2))</f>
        <v>0</v>
      </c>
      <c r="DZ513" s="71">
        <f>(Tradingbook_SBV[[#This Row],[MARKET_VALUE]]+Tradingbook_SBV[[#This Row],[Accr Int]]*Tradingbook_SBV[[#This Row],[Quantity_edited]])*(-Tradingbook_SBV[[#This Row],[Modified Duration]]*0.01+0.5*Tradingbook_SBV[[#This Row],[Conv]]*(0.01^2))</f>
        <v>0</v>
      </c>
    </row>
    <row r="514" spans="2:130" x14ac:dyDescent="0.3">
      <c r="B514" t="s">
        <v>166</v>
      </c>
      <c r="C514" t="s">
        <v>3302</v>
      </c>
      <c r="D514" t="s">
        <v>2862</v>
      </c>
      <c r="E514" t="s">
        <v>169</v>
      </c>
      <c r="F514" s="502">
        <v>49213</v>
      </c>
      <c r="G514" t="s">
        <v>170</v>
      </c>
      <c r="H514">
        <v>88187</v>
      </c>
      <c r="I514">
        <v>88187</v>
      </c>
      <c r="J514" s="38">
        <v>2000000</v>
      </c>
      <c r="K514">
        <v>200000000000</v>
      </c>
      <c r="L514">
        <v>98377.278999999995</v>
      </c>
      <c r="M514" s="38">
        <v>176374000000</v>
      </c>
      <c r="N514">
        <v>2.6</v>
      </c>
      <c r="O514">
        <v>2322</v>
      </c>
      <c r="P514" s="37">
        <v>5200000000</v>
      </c>
      <c r="Q514" s="37">
        <v>5463026111.111105</v>
      </c>
      <c r="R514" s="37">
        <v>-19751298250.027836</v>
      </c>
      <c r="S514">
        <v>4.3603031540000003</v>
      </c>
      <c r="T514" s="70">
        <v>6.8720855829172001</v>
      </c>
      <c r="U514">
        <v>7.1717293499999997</v>
      </c>
      <c r="V514">
        <v>58.012042264566901</v>
      </c>
      <c r="W514">
        <v>105012.2386664736</v>
      </c>
      <c r="X514" s="38">
        <v>-124397.11880485</v>
      </c>
      <c r="Y514">
        <v>21167.538</v>
      </c>
      <c r="Z514" s="70">
        <v>-6905821055.9854174</v>
      </c>
      <c r="AA514" s="70">
        <v>-20380558944.014572</v>
      </c>
      <c r="AB514" s="70">
        <v>-27286379999.999989</v>
      </c>
      <c r="AC514" s="70">
        <v>-27286379999.999989</v>
      </c>
      <c r="AD514" s="70">
        <v>-27286380000</v>
      </c>
      <c r="AE514" s="70">
        <v>-27286379999.999989</v>
      </c>
      <c r="AF514">
        <v>2.813647107</v>
      </c>
      <c r="AG514" s="72">
        <f>Tradingbook_MSB[[#This Row],[Mat. Date]]-RPT</f>
        <v>2961</v>
      </c>
      <c r="AH514" s="71">
        <f>IF(Tradingbook_MSB[[#This Row],[Days]]&lt;=0,0,YEARFRAC(RPT,Tradingbook_MSB[[#This Row],[Mat. Date]],3))</f>
        <v>8.1123287671232873</v>
      </c>
      <c r="AI514" s="71" t="str">
        <f>IF(Tradingbook_MSB[[#This Row],[Days (year)]]=0,0,INDEX(Ref!$K$2:$K$13,MATCH(Tradingbook_MSB[[#This Row],[Days (year)]],Ref!$I$2:$I$13,1)))</f>
        <v>10Y</v>
      </c>
      <c r="AJ514" s="120" t="str">
        <f>VLOOKUP(Tradingbook_MSB[[#This Row],[Security Name]],Ref!X:Z,3,0)</f>
        <v>TPCP</v>
      </c>
      <c r="AK514" s="120" t="str">
        <f>VLOOKUP(Tradingbook_MSB[[#This Row],[Security Name]],Ref!X:Y,2,0)</f>
        <v>KBNN</v>
      </c>
      <c r="AL514" s="71">
        <f>IF((Tradingbook_MSB[[#This Row],[Mat. Date]]-RPT)&lt;=0,0,Tradingbook_MSB[[#This Row],[QUANTITY]])</f>
        <v>2000000</v>
      </c>
      <c r="AM514" s="71">
        <f>IF(Tradingbook_MSB[[#This Row],[Quantity_edited]]=0,0,Tradingbook_MSB[[#This Row],[DURATION]])</f>
        <v>7.1717293499999997</v>
      </c>
      <c r="AN514" s="71">
        <f>IF(Tradingbook_MSB[[#This Row],[Quantity_edited]]=0,0,Tradingbook_MSB[[#This Row],[Mod Dur]])</f>
        <v>6.8720855829172001</v>
      </c>
      <c r="AO514" s="71">
        <f>IF(Tradingbook_MSB[[#This Row],[Quantity_edited]]=0,0,Tradingbook_MSB[[#This Row],[Cnvx.]])</f>
        <v>58.012042264566901</v>
      </c>
      <c r="AP514" s="71">
        <f>(Tradingbook_MSB[[#This Row],[MARKET_VALUE]]+Tradingbook_MSB[[#This Row],[Accr Int]]*Tradingbook_MSB[[#This Row],[Quantity_edited]])*(-Tradingbook_MSB[[#This Row],[Modified Duration]]*0.0001+0.5*Tradingbook_MSB[[#This Row],[Conv]]*(0.0001^2))</f>
        <v>-124344612.68551736</v>
      </c>
      <c r="AQ514" s="72">
        <f>(Tradingbook_MSB[[#This Row],[MARKET_VALUE]]+Tradingbook_MSB[[#This Row],[Accr Int]]*Tradingbook_MSB[[#This Row],[Quantity_edited]])*(-Tradingbook_MSB[[#This Row],[Modified Duration]]*0.01+0.5*Tradingbook_MSB[[#This Row],[Conv]]*(0.01^2))</f>
        <v>-11914650687.152689</v>
      </c>
      <c r="CL514" t="s">
        <v>166</v>
      </c>
      <c r="CM514" t="s">
        <v>3302</v>
      </c>
      <c r="CN514" t="s">
        <v>2503</v>
      </c>
      <c r="CO514" t="s">
        <v>169</v>
      </c>
      <c r="CP514">
        <v>50515</v>
      </c>
      <c r="CQ514" t="s">
        <v>3322</v>
      </c>
      <c r="CR514" t="s">
        <v>4466</v>
      </c>
      <c r="CS514" t="s">
        <v>4467</v>
      </c>
      <c r="CT514">
        <v>0</v>
      </c>
      <c r="CU514">
        <v>0</v>
      </c>
      <c r="CV514">
        <v>0</v>
      </c>
      <c r="CW514">
        <v>0</v>
      </c>
      <c r="CX514">
        <v>3.4</v>
      </c>
      <c r="CY514">
        <v>1118</v>
      </c>
      <c r="CZ514">
        <v>6800000000</v>
      </c>
      <c r="DA514">
        <v>7456322777.77777</v>
      </c>
      <c r="DB514">
        <v>-6426631111.4013214</v>
      </c>
      <c r="DC514">
        <v>4.4914150399999997</v>
      </c>
      <c r="DD514">
        <v>9</v>
      </c>
      <c r="DE514">
        <v>10</v>
      </c>
      <c r="DF514">
        <v>104</v>
      </c>
      <c r="DG514">
        <v>0</v>
      </c>
      <c r="DH514">
        <v>0</v>
      </c>
      <c r="DI514">
        <v>0</v>
      </c>
      <c r="DJ514">
        <v>-12983100000</v>
      </c>
      <c r="DK514">
        <v>0</v>
      </c>
      <c r="DL514">
        <v>-12983100000</v>
      </c>
      <c r="DM514">
        <v>-12983100000</v>
      </c>
      <c r="DN514">
        <v>-12983100000</v>
      </c>
      <c r="DO514">
        <v>-12983100000</v>
      </c>
      <c r="DP514" s="32">
        <f>Tradingbook_SBV[[#This Row],[Mat. Date]]-RPT</f>
        <v>4263</v>
      </c>
      <c r="DQ514" s="32">
        <f>IF(Tradingbook_SBV[[#This Row],[Days]]&lt;=0,0,YEARFRAC(RPT,Tradingbook_SBV[[#This Row],[Mat. Date]],3))</f>
        <v>11.67945205479452</v>
      </c>
      <c r="DR514" s="32" t="str">
        <f>IF(Tradingbook_SBV[[#This Row],[Days (year)]]=0,0,INDEX(Ref!$K$2:$K$13,MATCH(Tradingbook_SBV[[#This Row],[Days (year)]],Ref!$I$2:$I$13,1)))</f>
        <v>15Y</v>
      </c>
      <c r="DS514" s="32" t="str">
        <f>VLOOKUP(Tradingbook_SBV[[#This Row],[Security Name]],Ref!X:Z,3,0)</f>
        <v>TPCP</v>
      </c>
      <c r="DT514" s="32" t="str">
        <f>VLOOKUP(Tradingbook_SBV[[#This Row],[Security Name]],Ref!X:Y,2,0)</f>
        <v>KBNN</v>
      </c>
      <c r="DU514" s="71">
        <f>IF((Tradingbook_SBV[[#This Row],[Mat. Date]]-RPT)&lt;=0,0,Tradingbook_SBV[[#This Row],[QUANTITY]])</f>
        <v>0</v>
      </c>
      <c r="DV514" s="71">
        <f>IF(Tradingbook_SBV[[#This Row],[Quantity_edited]]=0,0,Tradingbook_SBV[[#This Row],[DURATION]])</f>
        <v>0</v>
      </c>
      <c r="DW514" s="71">
        <f>IF(Tradingbook_SBV[[#This Row],[Quantity_edited]]=0,0,Tradingbook_SBV[[#This Row],[Mod Dur]])</f>
        <v>0</v>
      </c>
      <c r="DX514" s="71">
        <f>IF(Tradingbook_SBV[[#This Row],[Quantity_edited]]=0,0,Tradingbook_SBV[[#This Row],[Cnvx.]])</f>
        <v>0</v>
      </c>
      <c r="DY514" s="71">
        <f>(Tradingbook_SBV[[#This Row],[MARKET_VALUE]]+Tradingbook_SBV[[#This Row],[Accr Int]]*Tradingbook_SBV[[#This Row],[Quantity_edited]])*(-Tradingbook_SBV[[#This Row],[Modified Duration]]*0.0001+0.5*Tradingbook_SBV[[#This Row],[Conv]]*(0.0001^2))</f>
        <v>0</v>
      </c>
      <c r="DZ514" s="71">
        <f>(Tradingbook_SBV[[#This Row],[MARKET_VALUE]]+Tradingbook_SBV[[#This Row],[Accr Int]]*Tradingbook_SBV[[#This Row],[Quantity_edited]])*(-Tradingbook_SBV[[#This Row],[Modified Duration]]*0.01+0.5*Tradingbook_SBV[[#This Row],[Conv]]*(0.01^2))</f>
        <v>0</v>
      </c>
    </row>
    <row r="515" spans="2:130" x14ac:dyDescent="0.3">
      <c r="B515" t="s">
        <v>166</v>
      </c>
      <c r="C515" t="s">
        <v>3302</v>
      </c>
      <c r="D515" t="s">
        <v>678</v>
      </c>
      <c r="E515" t="s">
        <v>169</v>
      </c>
      <c r="F515" s="502">
        <v>49297</v>
      </c>
      <c r="G515" t="s">
        <v>3322</v>
      </c>
      <c r="H515">
        <v>94692</v>
      </c>
      <c r="I515">
        <v>94692</v>
      </c>
      <c r="J515" s="38">
        <v>0</v>
      </c>
      <c r="K515">
        <v>0</v>
      </c>
      <c r="L515">
        <v>0</v>
      </c>
      <c r="M515" s="38">
        <v>0</v>
      </c>
      <c r="N515">
        <v>3.6</v>
      </c>
      <c r="O515">
        <v>2387</v>
      </c>
      <c r="P515" s="37">
        <v>1800000000</v>
      </c>
      <c r="Q515" s="37">
        <v>2089432749.9999981</v>
      </c>
      <c r="R515" s="37">
        <v>466872625.34722328</v>
      </c>
      <c r="S515">
        <v>4.3708445759999996</v>
      </c>
      <c r="T515" s="70">
        <v>6.8428430052413001</v>
      </c>
      <c r="U515">
        <v>7.1419330399999996</v>
      </c>
      <c r="V515">
        <v>58.464350255788602</v>
      </c>
      <c r="W515">
        <v>0</v>
      </c>
      <c r="X515" s="38">
        <v>0</v>
      </c>
      <c r="Y515">
        <v>0</v>
      </c>
      <c r="Z515" s="70">
        <v>4891000000</v>
      </c>
      <c r="AA515" s="70">
        <v>0</v>
      </c>
      <c r="AB515" s="70">
        <v>4891000000</v>
      </c>
      <c r="AC515" s="70">
        <v>4891000000</v>
      </c>
      <c r="AD515" s="70">
        <v>4891000000</v>
      </c>
      <c r="AE515" s="70">
        <v>4891000000</v>
      </c>
      <c r="AF515">
        <v>0</v>
      </c>
      <c r="AG515" s="72">
        <f>Tradingbook_MSB[[#This Row],[Mat. Date]]-RPT</f>
        <v>3045</v>
      </c>
      <c r="AH515" s="71">
        <f>IF(Tradingbook_MSB[[#This Row],[Days]]&lt;=0,0,YEARFRAC(RPT,Tradingbook_MSB[[#This Row],[Mat. Date]],3))</f>
        <v>8.3424657534246567</v>
      </c>
      <c r="AI515" s="71" t="str">
        <f>IF(Tradingbook_MSB[[#This Row],[Days (year)]]=0,0,INDEX(Ref!$K$2:$K$13,MATCH(Tradingbook_MSB[[#This Row],[Days (year)]],Ref!$I$2:$I$13,1)))</f>
        <v>10Y</v>
      </c>
      <c r="AJ515" s="120" t="str">
        <f>VLOOKUP(Tradingbook_MSB[[#This Row],[Security Name]],Ref!X:Z,3,0)</f>
        <v>TPCP</v>
      </c>
      <c r="AK515" s="120" t="str">
        <f>VLOOKUP(Tradingbook_MSB[[#This Row],[Security Name]],Ref!X:Y,2,0)</f>
        <v>KBNN</v>
      </c>
      <c r="AL515" s="71">
        <f>IF((Tradingbook_MSB[[#This Row],[Mat. Date]]-RPT)&lt;=0,0,Tradingbook_MSB[[#This Row],[QUANTITY]])</f>
        <v>0</v>
      </c>
      <c r="AM515" s="71">
        <f>IF(Tradingbook_MSB[[#This Row],[Quantity_edited]]=0,0,Tradingbook_MSB[[#This Row],[DURATION]])</f>
        <v>0</v>
      </c>
      <c r="AN515" s="71">
        <f>IF(Tradingbook_MSB[[#This Row],[Quantity_edited]]=0,0,Tradingbook_MSB[[#This Row],[Mod Dur]])</f>
        <v>0</v>
      </c>
      <c r="AO515" s="71">
        <f>IF(Tradingbook_MSB[[#This Row],[Quantity_edited]]=0,0,Tradingbook_MSB[[#This Row],[Cnvx.]])</f>
        <v>0</v>
      </c>
      <c r="AP515" s="71">
        <f>(Tradingbook_MSB[[#This Row],[MARKET_VALUE]]+Tradingbook_MSB[[#This Row],[Accr Int]]*Tradingbook_MSB[[#This Row],[Quantity_edited]])*(-Tradingbook_MSB[[#This Row],[Modified Duration]]*0.0001+0.5*Tradingbook_MSB[[#This Row],[Conv]]*(0.0001^2))</f>
        <v>0</v>
      </c>
      <c r="AQ515" s="72">
        <f>(Tradingbook_MSB[[#This Row],[MARKET_VALUE]]+Tradingbook_MSB[[#This Row],[Accr Int]]*Tradingbook_MSB[[#This Row],[Quantity_edited]])*(-Tradingbook_MSB[[#This Row],[Modified Duration]]*0.01+0.5*Tradingbook_MSB[[#This Row],[Conv]]*(0.01^2))</f>
        <v>0</v>
      </c>
      <c r="CL515" t="s">
        <v>166</v>
      </c>
      <c r="CM515" t="s">
        <v>3302</v>
      </c>
      <c r="CN515" t="s">
        <v>2775</v>
      </c>
      <c r="CO515" t="s">
        <v>169</v>
      </c>
      <c r="CP515">
        <v>50723</v>
      </c>
      <c r="CQ515" t="s">
        <v>170</v>
      </c>
      <c r="CR515" t="s">
        <v>4468</v>
      </c>
      <c r="CS515" t="s">
        <v>4469</v>
      </c>
      <c r="CT515">
        <v>2000000</v>
      </c>
      <c r="CU515">
        <v>200000000000</v>
      </c>
      <c r="CV515">
        <v>100921.944</v>
      </c>
      <c r="CW515">
        <v>174684000000</v>
      </c>
      <c r="CX515">
        <v>3.6</v>
      </c>
      <c r="CY515">
        <v>2732</v>
      </c>
      <c r="CZ515">
        <v>14400000000</v>
      </c>
      <c r="DA515">
        <v>15341780000.000015</v>
      </c>
      <c r="DB515">
        <v>-19627419823.888805</v>
      </c>
      <c r="DC515">
        <v>5.0061699549999998</v>
      </c>
      <c r="DD515">
        <v>9</v>
      </c>
      <c r="DE515">
        <v>10</v>
      </c>
      <c r="DF515">
        <v>107</v>
      </c>
      <c r="DG515">
        <v>193631</v>
      </c>
      <c r="DH515">
        <v>-165378</v>
      </c>
      <c r="DI515">
        <v>24111</v>
      </c>
      <c r="DJ515">
        <v>24096648070.692287</v>
      </c>
      <c r="DK515">
        <v>-27159888070.692192</v>
      </c>
      <c r="DL515">
        <v>-3063239999.9999046</v>
      </c>
      <c r="DM515">
        <v>-3063239999.9999046</v>
      </c>
      <c r="DN515">
        <v>-3063240000</v>
      </c>
      <c r="DO515">
        <v>-3063239999.9999046</v>
      </c>
      <c r="DP515" s="32">
        <f>Tradingbook_SBV[[#This Row],[Mat. Date]]-RPT</f>
        <v>4471</v>
      </c>
      <c r="DQ515" s="32">
        <f>IF(Tradingbook_SBV[[#This Row],[Days]]&lt;=0,0,YEARFRAC(RPT,Tradingbook_SBV[[#This Row],[Mat. Date]],3))</f>
        <v>12.24931506849315</v>
      </c>
      <c r="DR515" s="32" t="str">
        <f>IF(Tradingbook_SBV[[#This Row],[Days (year)]]=0,0,INDEX(Ref!$K$2:$K$13,MATCH(Tradingbook_SBV[[#This Row],[Days (year)]],Ref!$I$2:$I$13,1)))</f>
        <v>15Y</v>
      </c>
      <c r="DS515" s="32" t="str">
        <f>VLOOKUP(Tradingbook_SBV[[#This Row],[Security Name]],Ref!X:Z,3,0)</f>
        <v>TPCPBL</v>
      </c>
      <c r="DT515" s="32" t="str">
        <f>VLOOKUP(Tradingbook_SBV[[#This Row],[Security Name]],Ref!X:Y,2,0)</f>
        <v>VBS</v>
      </c>
      <c r="DU515" s="71">
        <f>IF((Tradingbook_SBV[[#This Row],[Mat. Date]]-RPT)&lt;=0,0,Tradingbook_SBV[[#This Row],[QUANTITY]])</f>
        <v>2000000</v>
      </c>
      <c r="DV515" s="71">
        <f>IF(Tradingbook_SBV[[#This Row],[Quantity_edited]]=0,0,Tradingbook_SBV[[#This Row],[DURATION]])</f>
        <v>10</v>
      </c>
      <c r="DW515" s="71">
        <f>IF(Tradingbook_SBV[[#This Row],[Quantity_edited]]=0,0,Tradingbook_SBV[[#This Row],[Mod Dur]])</f>
        <v>9</v>
      </c>
      <c r="DX515" s="71">
        <f>IF(Tradingbook_SBV[[#This Row],[Quantity_edited]]=0,0,Tradingbook_SBV[[#This Row],[Cnvx.]])</f>
        <v>107</v>
      </c>
      <c r="DY515" s="71">
        <f>(Tradingbook_SBV[[#This Row],[MARKET_VALUE]]+Tradingbook_SBV[[#This Row],[Accr Int]]*Tradingbook_SBV[[#This Row],[Quantity_edited]])*(-Tradingbook_SBV[[#This Row],[Modified Duration]]*0.0001+0.5*Tradingbook_SBV[[#This Row],[Conv]]*(0.0001^2))</f>
        <v>-162036820.82000002</v>
      </c>
      <c r="DZ515" s="71">
        <f>(Tradingbook_SBV[[#This Row],[MARKET_VALUE]]+Tradingbook_SBV[[#This Row],[Accr Int]]*Tradingbook_SBV[[#This Row],[Quantity_edited]])*(-Tradingbook_SBV[[#This Row],[Modified Duration]]*0.01+0.5*Tradingbook_SBV[[#This Row],[Conv]]*(0.01^2))</f>
        <v>-15249528200</v>
      </c>
    </row>
    <row r="516" spans="2:130" x14ac:dyDescent="0.3">
      <c r="B516" t="s">
        <v>166</v>
      </c>
      <c r="C516" t="s">
        <v>3302</v>
      </c>
      <c r="D516" t="s">
        <v>679</v>
      </c>
      <c r="E516" t="s">
        <v>169</v>
      </c>
      <c r="F516" s="502">
        <v>49318</v>
      </c>
      <c r="G516" t="s">
        <v>3322</v>
      </c>
      <c r="H516">
        <v>91883</v>
      </c>
      <c r="I516">
        <v>91883</v>
      </c>
      <c r="J516" s="38">
        <v>0</v>
      </c>
      <c r="K516">
        <v>0</v>
      </c>
      <c r="L516">
        <v>0</v>
      </c>
      <c r="M516" s="38">
        <v>0</v>
      </c>
      <c r="N516">
        <v>3.2</v>
      </c>
      <c r="O516">
        <v>1938</v>
      </c>
      <c r="P516" s="37">
        <v>1600000000</v>
      </c>
      <c r="Q516" s="37">
        <v>1758968888.8888769</v>
      </c>
      <c r="R516" s="37">
        <v>-9218168645.9026108</v>
      </c>
      <c r="S516">
        <v>4.373603653</v>
      </c>
      <c r="T516" s="70">
        <v>6.9923228555619996</v>
      </c>
      <c r="U516">
        <v>7.2981393399999996</v>
      </c>
      <c r="V516">
        <v>60.354893359262903</v>
      </c>
      <c r="W516">
        <v>0</v>
      </c>
      <c r="X516" s="38">
        <v>0</v>
      </c>
      <c r="Y516">
        <v>0</v>
      </c>
      <c r="Z516" s="70">
        <v>-42227800000</v>
      </c>
      <c r="AA516" s="70">
        <v>0</v>
      </c>
      <c r="AB516" s="70">
        <v>-42227800000</v>
      </c>
      <c r="AC516" s="70">
        <v>-42227800000</v>
      </c>
      <c r="AD516" s="70">
        <v>-42227800000</v>
      </c>
      <c r="AE516" s="70">
        <v>-42227800000</v>
      </c>
      <c r="AF516">
        <v>0</v>
      </c>
      <c r="AG516" s="72">
        <f>Tradingbook_MSB[[#This Row],[Mat. Date]]-RPT</f>
        <v>3066</v>
      </c>
      <c r="AH516" s="71">
        <f>IF(Tradingbook_MSB[[#This Row],[Days]]&lt;=0,0,YEARFRAC(RPT,Tradingbook_MSB[[#This Row],[Mat. Date]],3))</f>
        <v>8.4</v>
      </c>
      <c r="AI516" s="71" t="str">
        <f>IF(Tradingbook_MSB[[#This Row],[Days (year)]]=0,0,INDEX(Ref!$K$2:$K$13,MATCH(Tradingbook_MSB[[#This Row],[Days (year)]],Ref!$I$2:$I$13,1)))</f>
        <v>10Y</v>
      </c>
      <c r="AJ516" s="120" t="str">
        <f>VLOOKUP(Tradingbook_MSB[[#This Row],[Security Name]],Ref!X:Z,3,0)</f>
        <v>TPCP</v>
      </c>
      <c r="AK516" s="120" t="str">
        <f>VLOOKUP(Tradingbook_MSB[[#This Row],[Security Name]],Ref!X:Y,2,0)</f>
        <v>KBNN</v>
      </c>
      <c r="AL516" s="71">
        <f>IF((Tradingbook_MSB[[#This Row],[Mat. Date]]-RPT)&lt;=0,0,Tradingbook_MSB[[#This Row],[QUANTITY]])</f>
        <v>0</v>
      </c>
      <c r="AM516" s="71">
        <f>IF(Tradingbook_MSB[[#This Row],[Quantity_edited]]=0,0,Tradingbook_MSB[[#This Row],[DURATION]])</f>
        <v>0</v>
      </c>
      <c r="AN516" s="71">
        <f>IF(Tradingbook_MSB[[#This Row],[Quantity_edited]]=0,0,Tradingbook_MSB[[#This Row],[Mod Dur]])</f>
        <v>0</v>
      </c>
      <c r="AO516" s="71">
        <f>IF(Tradingbook_MSB[[#This Row],[Quantity_edited]]=0,0,Tradingbook_MSB[[#This Row],[Cnvx.]])</f>
        <v>0</v>
      </c>
      <c r="AP516" s="71">
        <f>(Tradingbook_MSB[[#This Row],[MARKET_VALUE]]+Tradingbook_MSB[[#This Row],[Accr Int]]*Tradingbook_MSB[[#This Row],[Quantity_edited]])*(-Tradingbook_MSB[[#This Row],[Modified Duration]]*0.0001+0.5*Tradingbook_MSB[[#This Row],[Conv]]*(0.0001^2))</f>
        <v>0</v>
      </c>
      <c r="AQ516" s="72">
        <f>(Tradingbook_MSB[[#This Row],[MARKET_VALUE]]+Tradingbook_MSB[[#This Row],[Accr Int]]*Tradingbook_MSB[[#This Row],[Quantity_edited]])*(-Tradingbook_MSB[[#This Row],[Modified Duration]]*0.01+0.5*Tradingbook_MSB[[#This Row],[Conv]]*(0.01^2))</f>
        <v>0</v>
      </c>
      <c r="CL516" t="s">
        <v>166</v>
      </c>
      <c r="CM516" t="s">
        <v>3302</v>
      </c>
      <c r="CN516" t="s">
        <v>2782</v>
      </c>
      <c r="CO516" t="s">
        <v>169</v>
      </c>
      <c r="CP516">
        <v>50730</v>
      </c>
      <c r="CQ516" t="s">
        <v>170</v>
      </c>
      <c r="CR516" t="s">
        <v>4470</v>
      </c>
      <c r="CS516" t="s">
        <v>4471</v>
      </c>
      <c r="CT516">
        <v>3000000</v>
      </c>
      <c r="CU516">
        <v>300000000000</v>
      </c>
      <c r="CV516">
        <v>100536.364</v>
      </c>
      <c r="CW516">
        <v>256569000000</v>
      </c>
      <c r="CX516">
        <v>3.4</v>
      </c>
      <c r="CY516">
        <v>2515</v>
      </c>
      <c r="CZ516">
        <v>20400000000</v>
      </c>
      <c r="DA516">
        <v>21714567500.000019</v>
      </c>
      <c r="DB516">
        <v>-30035428406.708324</v>
      </c>
      <c r="DC516">
        <v>5.0067248810000002</v>
      </c>
      <c r="DD516">
        <v>9</v>
      </c>
      <c r="DE516">
        <v>10</v>
      </c>
      <c r="DF516">
        <v>109</v>
      </c>
      <c r="DG516">
        <v>288435</v>
      </c>
      <c r="DH516">
        <v>-245208</v>
      </c>
      <c r="DI516">
        <v>35353</v>
      </c>
      <c r="DJ516">
        <v>3226150909.0909243</v>
      </c>
      <c r="DK516">
        <v>-45040090909.090897</v>
      </c>
      <c r="DL516">
        <v>-41813939999.999969</v>
      </c>
      <c r="DM516">
        <v>-41813939999.999969</v>
      </c>
      <c r="DN516">
        <v>-41813940000</v>
      </c>
      <c r="DO516">
        <v>-41813939999.999969</v>
      </c>
      <c r="DP516" s="32">
        <f>Tradingbook_SBV[[#This Row],[Mat. Date]]-RPT</f>
        <v>4478</v>
      </c>
      <c r="DQ516" s="32">
        <f>IF(Tradingbook_SBV[[#This Row],[Days]]&lt;=0,0,YEARFRAC(RPT,Tradingbook_SBV[[#This Row],[Mat. Date]],3))</f>
        <v>12.268493150684931</v>
      </c>
      <c r="DR516" s="32" t="str">
        <f>IF(Tradingbook_SBV[[#This Row],[Days (year)]]=0,0,INDEX(Ref!$K$2:$K$13,MATCH(Tradingbook_SBV[[#This Row],[Days (year)]],Ref!$I$2:$I$13,1)))</f>
        <v>15Y</v>
      </c>
      <c r="DS516" s="32" t="str">
        <f>VLOOKUP(Tradingbook_SBV[[#This Row],[Security Name]],Ref!X:Z,3,0)</f>
        <v>TPCPBL</v>
      </c>
      <c r="DT516" s="32" t="str">
        <f>VLOOKUP(Tradingbook_SBV[[#This Row],[Security Name]],Ref!X:Y,2,0)</f>
        <v>VBS</v>
      </c>
      <c r="DU516" s="71">
        <f>IF((Tradingbook_SBV[[#This Row],[Mat. Date]]-RPT)&lt;=0,0,Tradingbook_SBV[[#This Row],[QUANTITY]])</f>
        <v>3000000</v>
      </c>
      <c r="DV516" s="71">
        <f>IF(Tradingbook_SBV[[#This Row],[Quantity_edited]]=0,0,Tradingbook_SBV[[#This Row],[DURATION]])</f>
        <v>10</v>
      </c>
      <c r="DW516" s="71">
        <f>IF(Tradingbook_SBV[[#This Row],[Quantity_edited]]=0,0,Tradingbook_SBV[[#This Row],[Mod Dur]])</f>
        <v>9</v>
      </c>
      <c r="DX516" s="71">
        <f>IF(Tradingbook_SBV[[#This Row],[Quantity_edited]]=0,0,Tradingbook_SBV[[#This Row],[Cnvx.]])</f>
        <v>109</v>
      </c>
      <c r="DY516" s="71">
        <f>(Tradingbook_SBV[[#This Row],[MARKET_VALUE]]+Tradingbook_SBV[[#This Row],[Accr Int]]*Tradingbook_SBV[[#This Row],[Quantity_edited]])*(-Tradingbook_SBV[[#This Row],[Modified Duration]]*0.0001+0.5*Tradingbook_SBV[[#This Row],[Conv]]*(0.0001^2))</f>
        <v>-237558657.87</v>
      </c>
      <c r="DZ516" s="71">
        <f>(Tradingbook_SBV[[#This Row],[MARKET_VALUE]]+Tradingbook_SBV[[#This Row],[Accr Int]]*Tradingbook_SBV[[#This Row],[Quantity_edited]])*(-Tradingbook_SBV[[#This Row],[Modified Duration]]*0.01+0.5*Tradingbook_SBV[[#This Row],[Conv]]*(0.01^2))</f>
        <v>-22330838700</v>
      </c>
    </row>
    <row r="517" spans="2:130" x14ac:dyDescent="0.3">
      <c r="B517" t="s">
        <v>166</v>
      </c>
      <c r="C517" t="s">
        <v>3302</v>
      </c>
      <c r="D517" t="s">
        <v>3051</v>
      </c>
      <c r="E517" t="s">
        <v>169</v>
      </c>
      <c r="F517" s="502">
        <v>49367</v>
      </c>
      <c r="G517" t="s">
        <v>170</v>
      </c>
      <c r="H517">
        <v>89638</v>
      </c>
      <c r="I517">
        <v>89638</v>
      </c>
      <c r="J517" s="38">
        <v>6000000</v>
      </c>
      <c r="K517">
        <v>600000000000</v>
      </c>
      <c r="L517">
        <v>95974.073999999993</v>
      </c>
      <c r="M517" s="38">
        <v>537828000000</v>
      </c>
      <c r="N517">
        <v>2.9</v>
      </c>
      <c r="O517">
        <v>1367</v>
      </c>
      <c r="P517" s="37">
        <v>17400000000</v>
      </c>
      <c r="Q517" s="37">
        <v>17873618333.33334</v>
      </c>
      <c r="R517" s="37">
        <v>-17254745342.000034</v>
      </c>
      <c r="S517">
        <v>4.3798015689999996</v>
      </c>
      <c r="T517" s="70">
        <v>7.1953186917748999</v>
      </c>
      <c r="U517">
        <v>7.5104593700000004</v>
      </c>
      <c r="V517">
        <v>63.1624828347475</v>
      </c>
      <c r="W517">
        <v>344886.10502257169</v>
      </c>
      <c r="X517" s="38">
        <v>-392885.986526986</v>
      </c>
      <c r="Y517">
        <v>64130.125999999997</v>
      </c>
      <c r="Z517" s="70">
        <v>1259444595.5133212</v>
      </c>
      <c r="AA517" s="70">
        <v>-38016444595.513222</v>
      </c>
      <c r="AB517" s="70">
        <v>-36756999999.999901</v>
      </c>
      <c r="AC517" s="70">
        <v>-36756999999.999901</v>
      </c>
      <c r="AD517" s="70">
        <v>-36757000000</v>
      </c>
      <c r="AE517" s="70">
        <v>-36756999999.999901</v>
      </c>
      <c r="AF517">
        <v>3.4315606930000002</v>
      </c>
      <c r="AG517" s="72">
        <f>Tradingbook_MSB[[#This Row],[Mat. Date]]-RPT</f>
        <v>3115</v>
      </c>
      <c r="AH517" s="71">
        <f>IF(Tradingbook_MSB[[#This Row],[Days]]&lt;=0,0,YEARFRAC(RPT,Tradingbook_MSB[[#This Row],[Mat. Date]],3))</f>
        <v>8.5342465753424666</v>
      </c>
      <c r="AI517" s="71" t="str">
        <f>IF(Tradingbook_MSB[[#This Row],[Days (year)]]=0,0,INDEX(Ref!$K$2:$K$13,MATCH(Tradingbook_MSB[[#This Row],[Days (year)]],Ref!$I$2:$I$13,1)))</f>
        <v>10Y</v>
      </c>
      <c r="AJ517" s="120" t="str">
        <f>VLOOKUP(Tradingbook_MSB[[#This Row],[Security Name]],Ref!X:Z,3,0)</f>
        <v>TPCP</v>
      </c>
      <c r="AK517" s="120" t="str">
        <f>VLOOKUP(Tradingbook_MSB[[#This Row],[Security Name]],Ref!X:Y,2,0)</f>
        <v>KBNN</v>
      </c>
      <c r="AL517" s="71">
        <f>IF((Tradingbook_MSB[[#This Row],[Mat. Date]]-RPT)&lt;=0,0,Tradingbook_MSB[[#This Row],[QUANTITY]])</f>
        <v>6000000</v>
      </c>
      <c r="AM517" s="71">
        <f>IF(Tradingbook_MSB[[#This Row],[Quantity_edited]]=0,0,Tradingbook_MSB[[#This Row],[DURATION]])</f>
        <v>7.5104593700000004</v>
      </c>
      <c r="AN517" s="71">
        <f>IF(Tradingbook_MSB[[#This Row],[Quantity_edited]]=0,0,Tradingbook_MSB[[#This Row],[Mod Dur]])</f>
        <v>7.1953186917748999</v>
      </c>
      <c r="AO517" s="71">
        <f>IF(Tradingbook_MSB[[#This Row],[Quantity_edited]]=0,0,Tradingbook_MSB[[#This Row],[Cnvx.]])</f>
        <v>63.1624828347475</v>
      </c>
      <c r="AP517" s="71">
        <f>(Tradingbook_MSB[[#This Row],[MARKET_VALUE]]+Tradingbook_MSB[[#This Row],[Accr Int]]*Tradingbook_MSB[[#This Row],[Quantity_edited]])*(-Tradingbook_MSB[[#This Row],[Modified Duration]]*0.0001+0.5*Tradingbook_MSB[[#This Row],[Conv]]*(0.0001^2))</f>
        <v>-392713543.47447354</v>
      </c>
      <c r="AQ517" s="72">
        <f>(Tradingbook_MSB[[#This Row],[MARKET_VALUE]]+Tradingbook_MSB[[#This Row],[Accr Int]]*Tradingbook_MSB[[#This Row],[Quantity_edited]])*(-Tradingbook_MSB[[#This Row],[Modified Duration]]*0.01+0.5*Tradingbook_MSB[[#This Row],[Conv]]*(0.01^2))</f>
        <v>-37564168127.585632</v>
      </c>
      <c r="CL517" t="s">
        <v>166</v>
      </c>
      <c r="CM517" t="s">
        <v>3302</v>
      </c>
      <c r="CN517" t="s">
        <v>2788</v>
      </c>
      <c r="CO517" t="s">
        <v>169</v>
      </c>
      <c r="CP517">
        <v>50744</v>
      </c>
      <c r="CQ517" t="s">
        <v>3322</v>
      </c>
      <c r="CR517" t="s">
        <v>4472</v>
      </c>
      <c r="CS517" t="s">
        <v>4473</v>
      </c>
      <c r="CT517">
        <v>0</v>
      </c>
      <c r="CU517">
        <v>0</v>
      </c>
      <c r="CV517">
        <v>0</v>
      </c>
      <c r="CW517">
        <v>0</v>
      </c>
      <c r="CX517">
        <v>3.1</v>
      </c>
      <c r="CY517">
        <v>2174</v>
      </c>
      <c r="CZ517">
        <v>0</v>
      </c>
      <c r="DA517">
        <v>1.9999999999999999E-6</v>
      </c>
      <c r="DB517">
        <v>738044138.26390076</v>
      </c>
      <c r="DC517">
        <v>5.0077278539999996</v>
      </c>
      <c r="DD517">
        <v>9</v>
      </c>
      <c r="DE517">
        <v>10</v>
      </c>
      <c r="DF517">
        <v>112</v>
      </c>
      <c r="DG517">
        <v>0</v>
      </c>
      <c r="DH517">
        <v>0</v>
      </c>
      <c r="DI517">
        <v>0</v>
      </c>
      <c r="DJ517">
        <v>9088200000</v>
      </c>
      <c r="DK517">
        <v>0</v>
      </c>
      <c r="DL517">
        <v>9088200000</v>
      </c>
      <c r="DM517">
        <v>9088200000</v>
      </c>
      <c r="DN517">
        <v>9088200000</v>
      </c>
      <c r="DO517">
        <v>9088200000</v>
      </c>
      <c r="DP517" s="32">
        <f>Tradingbook_SBV[[#This Row],[Mat. Date]]-RPT</f>
        <v>4492</v>
      </c>
      <c r="DQ517" s="32">
        <f>IF(Tradingbook_SBV[[#This Row],[Days]]&lt;=0,0,YEARFRAC(RPT,Tradingbook_SBV[[#This Row],[Mat. Date]],3))</f>
        <v>12.306849315068494</v>
      </c>
      <c r="DR517" s="32" t="str">
        <f>IF(Tradingbook_SBV[[#This Row],[Days (year)]]=0,0,INDEX(Ref!$K$2:$K$13,MATCH(Tradingbook_SBV[[#This Row],[Days (year)]],Ref!$I$2:$I$13,1)))</f>
        <v>15Y</v>
      </c>
      <c r="DS517" s="32" t="str">
        <f>VLOOKUP(Tradingbook_SBV[[#This Row],[Security Name]],Ref!X:Z,3,0)</f>
        <v>TPCPBL</v>
      </c>
      <c r="DT517" s="32" t="str">
        <f>VLOOKUP(Tradingbook_SBV[[#This Row],[Security Name]],Ref!X:Y,2,0)</f>
        <v>VDB</v>
      </c>
      <c r="DU517" s="71">
        <f>IF((Tradingbook_SBV[[#This Row],[Mat. Date]]-RPT)&lt;=0,0,Tradingbook_SBV[[#This Row],[QUANTITY]])</f>
        <v>0</v>
      </c>
      <c r="DV517" s="71">
        <f>IF(Tradingbook_SBV[[#This Row],[Quantity_edited]]=0,0,Tradingbook_SBV[[#This Row],[DURATION]])</f>
        <v>0</v>
      </c>
      <c r="DW517" s="71">
        <f>IF(Tradingbook_SBV[[#This Row],[Quantity_edited]]=0,0,Tradingbook_SBV[[#This Row],[Mod Dur]])</f>
        <v>0</v>
      </c>
      <c r="DX517" s="71">
        <f>IF(Tradingbook_SBV[[#This Row],[Quantity_edited]]=0,0,Tradingbook_SBV[[#This Row],[Cnvx.]])</f>
        <v>0</v>
      </c>
      <c r="DY517" s="71">
        <f>(Tradingbook_SBV[[#This Row],[MARKET_VALUE]]+Tradingbook_SBV[[#This Row],[Accr Int]]*Tradingbook_SBV[[#This Row],[Quantity_edited]])*(-Tradingbook_SBV[[#This Row],[Modified Duration]]*0.0001+0.5*Tradingbook_SBV[[#This Row],[Conv]]*(0.0001^2))</f>
        <v>0</v>
      </c>
      <c r="DZ517" s="71">
        <f>(Tradingbook_SBV[[#This Row],[MARKET_VALUE]]+Tradingbook_SBV[[#This Row],[Accr Int]]*Tradingbook_SBV[[#This Row],[Quantity_edited]])*(-Tradingbook_SBV[[#This Row],[Modified Duration]]*0.01+0.5*Tradingbook_SBV[[#This Row],[Conv]]*(0.01^2))</f>
        <v>0</v>
      </c>
    </row>
    <row r="518" spans="2:130" x14ac:dyDescent="0.3">
      <c r="B518" t="s">
        <v>166</v>
      </c>
      <c r="C518" t="s">
        <v>3302</v>
      </c>
      <c r="D518" t="s">
        <v>3081</v>
      </c>
      <c r="E518" t="s">
        <v>169</v>
      </c>
      <c r="F518" s="502">
        <v>49381</v>
      </c>
      <c r="G518" t="s">
        <v>170</v>
      </c>
      <c r="H518">
        <v>89589</v>
      </c>
      <c r="I518">
        <v>89589</v>
      </c>
      <c r="J518" s="38">
        <v>1000000</v>
      </c>
      <c r="K518">
        <v>100000000000</v>
      </c>
      <c r="L518">
        <v>98560.736999999994</v>
      </c>
      <c r="M518" s="38">
        <v>89589000000</v>
      </c>
      <c r="N518">
        <v>2.9</v>
      </c>
      <c r="O518">
        <v>1255</v>
      </c>
      <c r="P518" s="37">
        <v>0</v>
      </c>
      <c r="Q518" s="37">
        <v>-3.0000000000000001E-6</v>
      </c>
      <c r="R518" s="37">
        <v>-8662025964.5833683</v>
      </c>
      <c r="S518">
        <v>4.3815510939999998</v>
      </c>
      <c r="T518" s="70">
        <v>7.2318655385230004</v>
      </c>
      <c r="U518">
        <v>7.5487334199999996</v>
      </c>
      <c r="V518">
        <v>63.724841067543601</v>
      </c>
      <c r="W518">
        <v>57890.194619399299</v>
      </c>
      <c r="X518" s="38">
        <v>-65697.159298158993</v>
      </c>
      <c r="Y518">
        <v>10673.617</v>
      </c>
      <c r="Z518" s="70">
        <v>-6661763157.8951044</v>
      </c>
      <c r="AA518" s="70">
        <v>-8971736842.1052666</v>
      </c>
      <c r="AB518" s="70">
        <v>-15633500000.00037</v>
      </c>
      <c r="AC518" s="70">
        <v>-15633500000.00037</v>
      </c>
      <c r="AD518" s="70">
        <v>-15633500000</v>
      </c>
      <c r="AE518" s="70">
        <v>-15633500000.00037</v>
      </c>
      <c r="AF518">
        <v>3.0806027930000002</v>
      </c>
      <c r="AG518" s="72">
        <f>Tradingbook_MSB[[#This Row],[Mat. Date]]-RPT</f>
        <v>3129</v>
      </c>
      <c r="AH518" s="71">
        <f>IF(Tradingbook_MSB[[#This Row],[Days]]&lt;=0,0,YEARFRAC(RPT,Tradingbook_MSB[[#This Row],[Mat. Date]],3))</f>
        <v>8.5726027397260278</v>
      </c>
      <c r="AI518" s="71" t="str">
        <f>IF(Tradingbook_MSB[[#This Row],[Days (year)]]=0,0,INDEX(Ref!$K$2:$K$13,MATCH(Tradingbook_MSB[[#This Row],[Days (year)]],Ref!$I$2:$I$13,1)))</f>
        <v>10Y</v>
      </c>
      <c r="AJ518" s="120" t="str">
        <f>VLOOKUP(Tradingbook_MSB[[#This Row],[Security Name]],Ref!X:Z,3,0)</f>
        <v>TPCP</v>
      </c>
      <c r="AK518" s="120" t="str">
        <f>VLOOKUP(Tradingbook_MSB[[#This Row],[Security Name]],Ref!X:Y,2,0)</f>
        <v>KBNN</v>
      </c>
      <c r="AL518" s="71">
        <f>IF((Tradingbook_MSB[[#This Row],[Mat. Date]]-RPT)&lt;=0,0,Tradingbook_MSB[[#This Row],[QUANTITY]])</f>
        <v>1000000</v>
      </c>
      <c r="AM518" s="71">
        <f>IF(Tradingbook_MSB[[#This Row],[Quantity_edited]]=0,0,Tradingbook_MSB[[#This Row],[DURATION]])</f>
        <v>7.5487334199999996</v>
      </c>
      <c r="AN518" s="71">
        <f>IF(Tradingbook_MSB[[#This Row],[Quantity_edited]]=0,0,Tradingbook_MSB[[#This Row],[Mod Dur]])</f>
        <v>7.2318655385230004</v>
      </c>
      <c r="AO518" s="71">
        <f>IF(Tradingbook_MSB[[#This Row],[Quantity_edited]]=0,0,Tradingbook_MSB[[#This Row],[Cnvx.]])</f>
        <v>63.724841067543601</v>
      </c>
      <c r="AP518" s="71">
        <f>(Tradingbook_MSB[[#This Row],[MARKET_VALUE]]+Tradingbook_MSB[[#This Row],[Accr Int]]*Tradingbook_MSB[[#This Row],[Quantity_edited]])*(-Tradingbook_MSB[[#This Row],[Modified Duration]]*0.0001+0.5*Tradingbook_MSB[[#This Row],[Conv]]*(0.0001^2))</f>
        <v>-65668214.200848646</v>
      </c>
      <c r="AQ518" s="72">
        <f>(Tradingbook_MSB[[#This Row],[MARKET_VALUE]]+Tradingbook_MSB[[#This Row],[Accr Int]]*Tradingbook_MSB[[#This Row],[Quantity_edited]])*(-Tradingbook_MSB[[#This Row],[Modified Duration]]*0.01+0.5*Tradingbook_MSB[[#This Row],[Conv]]*(0.01^2))</f>
        <v>-6280264956.7188377</v>
      </c>
      <c r="CL518" t="s">
        <v>166</v>
      </c>
      <c r="CM518" t="s">
        <v>3302</v>
      </c>
      <c r="CN518" t="s">
        <v>710</v>
      </c>
      <c r="CO518" t="s">
        <v>169</v>
      </c>
      <c r="CP518">
        <v>50787</v>
      </c>
      <c r="CQ518" t="s">
        <v>3322</v>
      </c>
      <c r="CR518" t="s">
        <v>4474</v>
      </c>
      <c r="CS518" t="s">
        <v>4475</v>
      </c>
      <c r="CT518">
        <v>0</v>
      </c>
      <c r="CU518">
        <v>0</v>
      </c>
      <c r="CV518">
        <v>0</v>
      </c>
      <c r="CW518">
        <v>0</v>
      </c>
      <c r="CX518">
        <v>5.6</v>
      </c>
      <c r="CY518">
        <v>3268</v>
      </c>
      <c r="CZ518">
        <v>0</v>
      </c>
      <c r="DA518">
        <v>2.3E-5</v>
      </c>
      <c r="DB518">
        <v>34401489.861078262</v>
      </c>
      <c r="DC518">
        <v>4.5107606870000003</v>
      </c>
      <c r="DD518">
        <v>9</v>
      </c>
      <c r="DE518">
        <v>9</v>
      </c>
      <c r="DF518">
        <v>102</v>
      </c>
      <c r="DG518">
        <v>0</v>
      </c>
      <c r="DH518">
        <v>0</v>
      </c>
      <c r="DI518">
        <v>0</v>
      </c>
      <c r="DJ518">
        <v>2530000000</v>
      </c>
      <c r="DK518">
        <v>0</v>
      </c>
      <c r="DL518">
        <v>2530000000</v>
      </c>
      <c r="DM518">
        <v>2530000000</v>
      </c>
      <c r="DN518">
        <v>2530000000</v>
      </c>
      <c r="DO518">
        <v>2530000000</v>
      </c>
      <c r="DP518" s="32">
        <f>Tradingbook_SBV[[#This Row],[Mat. Date]]-RPT</f>
        <v>4535</v>
      </c>
      <c r="DQ518" s="32">
        <f>IF(Tradingbook_SBV[[#This Row],[Days]]&lt;=0,0,YEARFRAC(RPT,Tradingbook_SBV[[#This Row],[Mat. Date]],3))</f>
        <v>12.424657534246576</v>
      </c>
      <c r="DR518" s="32" t="str">
        <f>IF(Tradingbook_SBV[[#This Row],[Days (year)]]=0,0,INDEX(Ref!$K$2:$K$13,MATCH(Tradingbook_SBV[[#This Row],[Days (year)]],Ref!$I$2:$I$13,1)))</f>
        <v>15Y</v>
      </c>
      <c r="DS518" s="32" t="str">
        <f>VLOOKUP(Tradingbook_SBV[[#This Row],[Security Name]],Ref!X:Z,3,0)</f>
        <v>TPCP</v>
      </c>
      <c r="DT518" s="32" t="str">
        <f>VLOOKUP(Tradingbook_SBV[[#This Row],[Security Name]],Ref!X:Y,2,0)</f>
        <v>KBNN</v>
      </c>
      <c r="DU518" s="71">
        <f>IF((Tradingbook_SBV[[#This Row],[Mat. Date]]-RPT)&lt;=0,0,Tradingbook_SBV[[#This Row],[QUANTITY]])</f>
        <v>0</v>
      </c>
      <c r="DV518" s="71">
        <f>IF(Tradingbook_SBV[[#This Row],[Quantity_edited]]=0,0,Tradingbook_SBV[[#This Row],[DURATION]])</f>
        <v>0</v>
      </c>
      <c r="DW518" s="71">
        <f>IF(Tradingbook_SBV[[#This Row],[Quantity_edited]]=0,0,Tradingbook_SBV[[#This Row],[Mod Dur]])</f>
        <v>0</v>
      </c>
      <c r="DX518" s="71">
        <f>IF(Tradingbook_SBV[[#This Row],[Quantity_edited]]=0,0,Tradingbook_SBV[[#This Row],[Cnvx.]])</f>
        <v>0</v>
      </c>
      <c r="DY518" s="71">
        <f>(Tradingbook_SBV[[#This Row],[MARKET_VALUE]]+Tradingbook_SBV[[#This Row],[Accr Int]]*Tradingbook_SBV[[#This Row],[Quantity_edited]])*(-Tradingbook_SBV[[#This Row],[Modified Duration]]*0.0001+0.5*Tradingbook_SBV[[#This Row],[Conv]]*(0.0001^2))</f>
        <v>0</v>
      </c>
      <c r="DZ518" s="71">
        <f>(Tradingbook_SBV[[#This Row],[MARKET_VALUE]]+Tradingbook_SBV[[#This Row],[Accr Int]]*Tradingbook_SBV[[#This Row],[Quantity_edited]])*(-Tradingbook_SBV[[#This Row],[Modified Duration]]*0.01+0.5*Tradingbook_SBV[[#This Row],[Conv]]*(0.01^2))</f>
        <v>0</v>
      </c>
    </row>
    <row r="519" spans="2:130" x14ac:dyDescent="0.3">
      <c r="B519" t="s">
        <v>166</v>
      </c>
      <c r="C519" t="s">
        <v>3302</v>
      </c>
      <c r="D519" t="s">
        <v>3097</v>
      </c>
      <c r="E519" t="s">
        <v>169</v>
      </c>
      <c r="F519" s="502">
        <v>49388</v>
      </c>
      <c r="G519" t="s">
        <v>3322</v>
      </c>
      <c r="H519">
        <v>89564</v>
      </c>
      <c r="I519">
        <v>89564</v>
      </c>
      <c r="J519" s="38">
        <v>0</v>
      </c>
      <c r="K519">
        <v>0</v>
      </c>
      <c r="L519">
        <v>0</v>
      </c>
      <c r="M519" s="38">
        <v>0</v>
      </c>
      <c r="N519">
        <v>2.9</v>
      </c>
      <c r="O519">
        <v>1200</v>
      </c>
      <c r="P519" s="37">
        <v>0</v>
      </c>
      <c r="Q519" s="37">
        <v>-9.9999999999999995E-7</v>
      </c>
      <c r="R519" s="37">
        <v>-1000775594.4444494</v>
      </c>
      <c r="S519">
        <v>4.3823594779999997</v>
      </c>
      <c r="T519" s="70">
        <v>7.2501460963272999</v>
      </c>
      <c r="U519">
        <v>7.5678735599999998</v>
      </c>
      <c r="V519">
        <v>64.007128879439804</v>
      </c>
      <c r="W519">
        <v>0</v>
      </c>
      <c r="X519" s="38">
        <v>0</v>
      </c>
      <c r="Y519">
        <v>0</v>
      </c>
      <c r="Z519" s="70">
        <v>-1529500000</v>
      </c>
      <c r="AA519" s="70">
        <v>0</v>
      </c>
      <c r="AB519" s="70">
        <v>-1529500000</v>
      </c>
      <c r="AC519" s="70">
        <v>-1529500000</v>
      </c>
      <c r="AD519" s="70">
        <v>-1529500000</v>
      </c>
      <c r="AE519" s="70">
        <v>-1529500000</v>
      </c>
      <c r="AF519">
        <v>0</v>
      </c>
      <c r="AG519" s="72">
        <f>Tradingbook_MSB[[#This Row],[Mat. Date]]-RPT</f>
        <v>3136</v>
      </c>
      <c r="AH519" s="71">
        <f>IF(Tradingbook_MSB[[#This Row],[Days]]&lt;=0,0,YEARFRAC(RPT,Tradingbook_MSB[[#This Row],[Mat. Date]],3))</f>
        <v>8.5917808219178085</v>
      </c>
      <c r="AI519" s="71" t="str">
        <f>IF(Tradingbook_MSB[[#This Row],[Days (year)]]=0,0,INDEX(Ref!$K$2:$K$13,MATCH(Tradingbook_MSB[[#This Row],[Days (year)]],Ref!$I$2:$I$13,1)))</f>
        <v>10Y</v>
      </c>
      <c r="AJ519" s="120" t="str">
        <f>VLOOKUP(Tradingbook_MSB[[#This Row],[Security Name]],Ref!X:Z,3,0)</f>
        <v>TPCP</v>
      </c>
      <c r="AK519" s="120" t="str">
        <f>VLOOKUP(Tradingbook_MSB[[#This Row],[Security Name]],Ref!X:Y,2,0)</f>
        <v>KBNN</v>
      </c>
      <c r="AL519" s="71">
        <f>IF((Tradingbook_MSB[[#This Row],[Mat. Date]]-RPT)&lt;=0,0,Tradingbook_MSB[[#This Row],[QUANTITY]])</f>
        <v>0</v>
      </c>
      <c r="AM519" s="71">
        <f>IF(Tradingbook_MSB[[#This Row],[Quantity_edited]]=0,0,Tradingbook_MSB[[#This Row],[DURATION]])</f>
        <v>0</v>
      </c>
      <c r="AN519" s="71">
        <f>IF(Tradingbook_MSB[[#This Row],[Quantity_edited]]=0,0,Tradingbook_MSB[[#This Row],[Mod Dur]])</f>
        <v>0</v>
      </c>
      <c r="AO519" s="71">
        <f>IF(Tradingbook_MSB[[#This Row],[Quantity_edited]]=0,0,Tradingbook_MSB[[#This Row],[Cnvx.]])</f>
        <v>0</v>
      </c>
      <c r="AP519" s="71">
        <f>(Tradingbook_MSB[[#This Row],[MARKET_VALUE]]+Tradingbook_MSB[[#This Row],[Accr Int]]*Tradingbook_MSB[[#This Row],[Quantity_edited]])*(-Tradingbook_MSB[[#This Row],[Modified Duration]]*0.0001+0.5*Tradingbook_MSB[[#This Row],[Conv]]*(0.0001^2))</f>
        <v>0</v>
      </c>
      <c r="AQ519" s="72">
        <f>(Tradingbook_MSB[[#This Row],[MARKET_VALUE]]+Tradingbook_MSB[[#This Row],[Accr Int]]*Tradingbook_MSB[[#This Row],[Quantity_edited]])*(-Tradingbook_MSB[[#This Row],[Modified Duration]]*0.01+0.5*Tradingbook_MSB[[#This Row],[Conv]]*(0.01^2))</f>
        <v>0</v>
      </c>
      <c r="CL519" t="s">
        <v>166</v>
      </c>
      <c r="CM519" t="s">
        <v>3302</v>
      </c>
      <c r="CN519" t="s">
        <v>711</v>
      </c>
      <c r="CO519" t="s">
        <v>169</v>
      </c>
      <c r="CP519">
        <v>51025</v>
      </c>
      <c r="CQ519" t="s">
        <v>3322</v>
      </c>
      <c r="CR519" t="s">
        <v>4476</v>
      </c>
      <c r="CS519" t="s">
        <v>4477</v>
      </c>
      <c r="CT519">
        <v>0</v>
      </c>
      <c r="CU519">
        <v>0</v>
      </c>
      <c r="CV519">
        <v>0</v>
      </c>
      <c r="CW519">
        <v>0</v>
      </c>
      <c r="CX519">
        <v>4.9000000000000004</v>
      </c>
      <c r="CY519">
        <v>4564</v>
      </c>
      <c r="CZ519">
        <v>0</v>
      </c>
      <c r="DA519">
        <v>0</v>
      </c>
      <c r="DB519">
        <v>-157348620.27778816</v>
      </c>
      <c r="DC519">
        <v>4.5277252890000002</v>
      </c>
      <c r="DD519">
        <v>9</v>
      </c>
      <c r="DE519">
        <v>10</v>
      </c>
      <c r="DF519">
        <v>112</v>
      </c>
      <c r="DG519">
        <v>0</v>
      </c>
      <c r="DH519">
        <v>0</v>
      </c>
      <c r="DI519">
        <v>0</v>
      </c>
      <c r="DJ519">
        <v>2407000000</v>
      </c>
      <c r="DK519">
        <v>0</v>
      </c>
      <c r="DL519">
        <v>2407000000</v>
      </c>
      <c r="DM519">
        <v>2407000000</v>
      </c>
      <c r="DN519">
        <v>2407000000</v>
      </c>
      <c r="DO519">
        <v>2407000000</v>
      </c>
      <c r="DP519" s="32">
        <f>Tradingbook_SBV[[#This Row],[Mat. Date]]-RPT</f>
        <v>4773</v>
      </c>
      <c r="DQ519" s="32">
        <f>IF(Tradingbook_SBV[[#This Row],[Days]]&lt;=0,0,YEARFRAC(RPT,Tradingbook_SBV[[#This Row],[Mat. Date]],3))</f>
        <v>13.076712328767123</v>
      </c>
      <c r="DR519" s="32" t="str">
        <f>IF(Tradingbook_SBV[[#This Row],[Days (year)]]=0,0,INDEX(Ref!$K$2:$K$13,MATCH(Tradingbook_SBV[[#This Row],[Days (year)]],Ref!$I$2:$I$13,1)))</f>
        <v>15Y</v>
      </c>
      <c r="DS519" s="32" t="str">
        <f>VLOOKUP(Tradingbook_SBV[[#This Row],[Security Name]],Ref!X:Z,3,0)</f>
        <v>TPCP</v>
      </c>
      <c r="DT519" s="32" t="str">
        <f>VLOOKUP(Tradingbook_SBV[[#This Row],[Security Name]],Ref!X:Y,2,0)</f>
        <v>KBNN</v>
      </c>
      <c r="DU519" s="71">
        <f>IF((Tradingbook_SBV[[#This Row],[Mat. Date]]-RPT)&lt;=0,0,Tradingbook_SBV[[#This Row],[QUANTITY]])</f>
        <v>0</v>
      </c>
      <c r="DV519" s="71">
        <f>IF(Tradingbook_SBV[[#This Row],[Quantity_edited]]=0,0,Tradingbook_SBV[[#This Row],[DURATION]])</f>
        <v>0</v>
      </c>
      <c r="DW519" s="71">
        <f>IF(Tradingbook_SBV[[#This Row],[Quantity_edited]]=0,0,Tradingbook_SBV[[#This Row],[Mod Dur]])</f>
        <v>0</v>
      </c>
      <c r="DX519" s="71">
        <f>IF(Tradingbook_SBV[[#This Row],[Quantity_edited]]=0,0,Tradingbook_SBV[[#This Row],[Cnvx.]])</f>
        <v>0</v>
      </c>
      <c r="DY519" s="71">
        <f>(Tradingbook_SBV[[#This Row],[MARKET_VALUE]]+Tradingbook_SBV[[#This Row],[Accr Int]]*Tradingbook_SBV[[#This Row],[Quantity_edited]])*(-Tradingbook_SBV[[#This Row],[Modified Duration]]*0.0001+0.5*Tradingbook_SBV[[#This Row],[Conv]]*(0.0001^2))</f>
        <v>0</v>
      </c>
      <c r="DZ519" s="71">
        <f>(Tradingbook_SBV[[#This Row],[MARKET_VALUE]]+Tradingbook_SBV[[#This Row],[Accr Int]]*Tradingbook_SBV[[#This Row],[Quantity_edited]])*(-Tradingbook_SBV[[#This Row],[Modified Duration]]*0.01+0.5*Tradingbook_SBV[[#This Row],[Conv]]*(0.01^2))</f>
        <v>0</v>
      </c>
    </row>
    <row r="520" spans="2:130" x14ac:dyDescent="0.3">
      <c r="B520" t="s">
        <v>166</v>
      </c>
      <c r="C520" t="s">
        <v>3302</v>
      </c>
      <c r="D520" t="s">
        <v>3118</v>
      </c>
      <c r="E520" t="s">
        <v>169</v>
      </c>
      <c r="F520" s="502">
        <v>49395</v>
      </c>
      <c r="G520" t="s">
        <v>170</v>
      </c>
      <c r="H520">
        <v>89539</v>
      </c>
      <c r="I520">
        <v>89539</v>
      </c>
      <c r="J520" s="38">
        <v>3000000</v>
      </c>
      <c r="K520">
        <v>300000000000</v>
      </c>
      <c r="L520">
        <v>97149.817999999999</v>
      </c>
      <c r="M520" s="38">
        <v>268617000000</v>
      </c>
      <c r="N520">
        <v>2.9</v>
      </c>
      <c r="O520">
        <v>1144</v>
      </c>
      <c r="P520" s="37">
        <v>8700000000</v>
      </c>
      <c r="Q520" s="37">
        <v>8899846250.0000019</v>
      </c>
      <c r="R520" s="37">
        <v>-15954197197.222248</v>
      </c>
      <c r="S520">
        <v>4.38332619</v>
      </c>
      <c r="T520" s="70">
        <v>7.2684082255361</v>
      </c>
      <c r="U520">
        <v>7.5870062699999998</v>
      </c>
      <c r="V520">
        <v>64.289806127241505</v>
      </c>
      <c r="W520">
        <v>174899.77467109921</v>
      </c>
      <c r="X520" s="38">
        <v>-197736.318934888</v>
      </c>
      <c r="Y520">
        <v>31976.778999999999</v>
      </c>
      <c r="Z520" s="70">
        <v>4413454545.4546165</v>
      </c>
      <c r="AA520" s="70">
        <v>-22832454545.454529</v>
      </c>
      <c r="AB520" s="70">
        <v>-18418999999.999912</v>
      </c>
      <c r="AC520" s="70">
        <v>-18418999999.999912</v>
      </c>
      <c r="AD520" s="70">
        <v>-18419000000</v>
      </c>
      <c r="AE520" s="70">
        <v>-18418999999.999912</v>
      </c>
      <c r="AF520">
        <v>3.2661134700000001</v>
      </c>
      <c r="AG520" s="72">
        <f>Tradingbook_MSB[[#This Row],[Mat. Date]]-RPT</f>
        <v>3143</v>
      </c>
      <c r="AH520" s="71">
        <f>IF(Tradingbook_MSB[[#This Row],[Days]]&lt;=0,0,YEARFRAC(RPT,Tradingbook_MSB[[#This Row],[Mat. Date]],3))</f>
        <v>8.6109589041095891</v>
      </c>
      <c r="AI520" s="71" t="str">
        <f>IF(Tradingbook_MSB[[#This Row],[Days (year)]]=0,0,INDEX(Ref!$K$2:$K$13,MATCH(Tradingbook_MSB[[#This Row],[Days (year)]],Ref!$I$2:$I$13,1)))</f>
        <v>10Y</v>
      </c>
      <c r="AJ520" s="120" t="str">
        <f>VLOOKUP(Tradingbook_MSB[[#This Row],[Security Name]],Ref!X:Z,3,0)</f>
        <v>TPCP</v>
      </c>
      <c r="AK520" s="120" t="str">
        <f>VLOOKUP(Tradingbook_MSB[[#This Row],[Security Name]],Ref!X:Y,2,0)</f>
        <v>KBNN</v>
      </c>
      <c r="AL520" s="71">
        <f>IF((Tradingbook_MSB[[#This Row],[Mat. Date]]-RPT)&lt;=0,0,Tradingbook_MSB[[#This Row],[QUANTITY]])</f>
        <v>3000000</v>
      </c>
      <c r="AM520" s="71">
        <f>IF(Tradingbook_MSB[[#This Row],[Quantity_edited]]=0,0,Tradingbook_MSB[[#This Row],[DURATION]])</f>
        <v>7.5870062699999998</v>
      </c>
      <c r="AN520" s="71">
        <f>IF(Tradingbook_MSB[[#This Row],[Quantity_edited]]=0,0,Tradingbook_MSB[[#This Row],[Mod Dur]])</f>
        <v>7.2684082255361</v>
      </c>
      <c r="AO520" s="71">
        <f>IF(Tradingbook_MSB[[#This Row],[Quantity_edited]]=0,0,Tradingbook_MSB[[#This Row],[Cnvx.]])</f>
        <v>64.289806127241505</v>
      </c>
      <c r="AP520" s="71">
        <f>(Tradingbook_MSB[[#This Row],[MARKET_VALUE]]+Tradingbook_MSB[[#This Row],[Accr Int]]*Tradingbook_MSB[[#This Row],[Quantity_edited]])*(-Tradingbook_MSB[[#This Row],[Modified Duration]]*0.0001+0.5*Tradingbook_MSB[[#This Row],[Conv]]*(0.0001^2))</f>
        <v>-197648869.04755151</v>
      </c>
      <c r="AQ520" s="72">
        <f>(Tradingbook_MSB[[#This Row],[MARKET_VALUE]]+Tradingbook_MSB[[#This Row],[Accr Int]]*Tradingbook_MSB[[#This Row],[Quantity_edited]])*(-Tradingbook_MSB[[#This Row],[Modified Duration]]*0.01+0.5*Tradingbook_MSB[[#This Row],[Conv]]*(0.01^2))</f>
        <v>-18899133020.133209</v>
      </c>
      <c r="CL520" t="s">
        <v>166</v>
      </c>
      <c r="CM520" t="s">
        <v>3303</v>
      </c>
      <c r="CN520" t="s">
        <v>2741</v>
      </c>
      <c r="CO520" t="s">
        <v>169</v>
      </c>
      <c r="CP520">
        <v>50578</v>
      </c>
      <c r="CQ520" t="s">
        <v>3322</v>
      </c>
      <c r="CR520" t="s">
        <v>4478</v>
      </c>
      <c r="CS520" t="s">
        <v>4479</v>
      </c>
      <c r="CT520">
        <v>0</v>
      </c>
      <c r="CU520">
        <v>0</v>
      </c>
      <c r="CV520">
        <v>0</v>
      </c>
      <c r="CW520">
        <v>0</v>
      </c>
      <c r="CX520">
        <v>2.8</v>
      </c>
      <c r="CY520">
        <v>437</v>
      </c>
      <c r="CZ520">
        <v>11252500000</v>
      </c>
      <c r="DA520">
        <v>12287705767.36113</v>
      </c>
      <c r="DB520">
        <v>-4618180700.7596989</v>
      </c>
      <c r="DC520">
        <v>4.4958650389999999</v>
      </c>
      <c r="DD520">
        <v>10</v>
      </c>
      <c r="DE520">
        <v>10</v>
      </c>
      <c r="DF520">
        <v>111</v>
      </c>
      <c r="DG520">
        <v>0</v>
      </c>
      <c r="DH520">
        <v>0</v>
      </c>
      <c r="DI520">
        <v>0</v>
      </c>
      <c r="DJ520">
        <v>-798750000</v>
      </c>
      <c r="DK520">
        <v>0</v>
      </c>
      <c r="DL520">
        <v>-798750000</v>
      </c>
      <c r="DM520">
        <v>-798750000</v>
      </c>
      <c r="DN520">
        <v>-798750000</v>
      </c>
      <c r="DO520">
        <v>-798750000</v>
      </c>
      <c r="DP520" s="32">
        <f>Tradingbook_SBV[[#This Row],[Mat. Date]]-RPT</f>
        <v>4326</v>
      </c>
      <c r="DQ520" s="32">
        <f>IF(Tradingbook_SBV[[#This Row],[Days]]&lt;=0,0,YEARFRAC(RPT,Tradingbook_SBV[[#This Row],[Mat. Date]],3))</f>
        <v>11.852054794520548</v>
      </c>
      <c r="DR520" s="32" t="str">
        <f>IF(Tradingbook_SBV[[#This Row],[Days (year)]]=0,0,INDEX(Ref!$K$2:$K$13,MATCH(Tradingbook_SBV[[#This Row],[Days (year)]],Ref!$I$2:$I$13,1)))</f>
        <v>15Y</v>
      </c>
      <c r="DS520" s="32" t="str">
        <f>VLOOKUP(Tradingbook_SBV[[#This Row],[Security Name]],Ref!X:Z,3,0)</f>
        <v>TPCP</v>
      </c>
      <c r="DT520" s="32" t="str">
        <f>VLOOKUP(Tradingbook_SBV[[#This Row],[Security Name]],Ref!X:Y,2,0)</f>
        <v>KBNN</v>
      </c>
      <c r="DU520" s="71">
        <f>IF((Tradingbook_SBV[[#This Row],[Mat. Date]]-RPT)&lt;=0,0,Tradingbook_SBV[[#This Row],[QUANTITY]])</f>
        <v>0</v>
      </c>
      <c r="DV520" s="71">
        <f>IF(Tradingbook_SBV[[#This Row],[Quantity_edited]]=0,0,Tradingbook_SBV[[#This Row],[DURATION]])</f>
        <v>0</v>
      </c>
      <c r="DW520" s="71">
        <f>IF(Tradingbook_SBV[[#This Row],[Quantity_edited]]=0,0,Tradingbook_SBV[[#This Row],[Mod Dur]])</f>
        <v>0</v>
      </c>
      <c r="DX520" s="71">
        <f>IF(Tradingbook_SBV[[#This Row],[Quantity_edited]]=0,0,Tradingbook_SBV[[#This Row],[Cnvx.]])</f>
        <v>0</v>
      </c>
      <c r="DY520" s="71">
        <f>(Tradingbook_SBV[[#This Row],[MARKET_VALUE]]+Tradingbook_SBV[[#This Row],[Accr Int]]*Tradingbook_SBV[[#This Row],[Quantity_edited]])*(-Tradingbook_SBV[[#This Row],[Modified Duration]]*0.0001+0.5*Tradingbook_SBV[[#This Row],[Conv]]*(0.0001^2))</f>
        <v>0</v>
      </c>
      <c r="DZ520" s="71">
        <f>(Tradingbook_SBV[[#This Row],[MARKET_VALUE]]+Tradingbook_SBV[[#This Row],[Accr Int]]*Tradingbook_SBV[[#This Row],[Quantity_edited]])*(-Tradingbook_SBV[[#This Row],[Modified Duration]]*0.01+0.5*Tradingbook_SBV[[#This Row],[Conv]]*(0.01^2))</f>
        <v>0</v>
      </c>
    </row>
    <row r="521" spans="2:130" x14ac:dyDescent="0.3">
      <c r="B521" t="s">
        <v>166</v>
      </c>
      <c r="C521" t="s">
        <v>3302</v>
      </c>
      <c r="D521" t="s">
        <v>685</v>
      </c>
      <c r="E521" t="s">
        <v>169</v>
      </c>
      <c r="F521" s="502">
        <v>49443</v>
      </c>
      <c r="G521" t="s">
        <v>3322</v>
      </c>
      <c r="H521">
        <v>89369</v>
      </c>
      <c r="I521">
        <v>89369</v>
      </c>
      <c r="J521" s="38">
        <v>0</v>
      </c>
      <c r="K521">
        <v>0</v>
      </c>
      <c r="L521">
        <v>0</v>
      </c>
      <c r="M521" s="38">
        <v>0</v>
      </c>
      <c r="N521">
        <v>2.9</v>
      </c>
      <c r="O521">
        <v>763</v>
      </c>
      <c r="P521" s="37">
        <v>1450000000</v>
      </c>
      <c r="Q521" s="37">
        <v>1662216965.2777669</v>
      </c>
      <c r="R521" s="37">
        <v>-818591230.0970974</v>
      </c>
      <c r="S521">
        <v>4.3894531929999996</v>
      </c>
      <c r="T521" s="70">
        <v>7.3936832220837996</v>
      </c>
      <c r="U521">
        <v>7.71822549</v>
      </c>
      <c r="V521">
        <v>66.246873851276206</v>
      </c>
      <c r="W521">
        <v>0</v>
      </c>
      <c r="X521" s="38">
        <v>0</v>
      </c>
      <c r="Y521">
        <v>0</v>
      </c>
      <c r="Z521" s="70">
        <v>2009199999.9995117</v>
      </c>
      <c r="AA521" s="70">
        <v>0</v>
      </c>
      <c r="AB521" s="70">
        <v>2009199999.9995117</v>
      </c>
      <c r="AC521" s="70">
        <v>2009199999.9995117</v>
      </c>
      <c r="AD521" s="70">
        <v>2009200000</v>
      </c>
      <c r="AE521" s="70">
        <v>2009199999.9995117</v>
      </c>
      <c r="AF521">
        <v>0</v>
      </c>
      <c r="AG521" s="72">
        <f>Tradingbook_MSB[[#This Row],[Mat. Date]]-RPT</f>
        <v>3191</v>
      </c>
      <c r="AH521" s="71">
        <f>IF(Tradingbook_MSB[[#This Row],[Days]]&lt;=0,0,YEARFRAC(RPT,Tradingbook_MSB[[#This Row],[Mat. Date]],3))</f>
        <v>8.742465753424657</v>
      </c>
      <c r="AI521" s="71" t="str">
        <f>IF(Tradingbook_MSB[[#This Row],[Days (year)]]=0,0,INDEX(Ref!$K$2:$K$13,MATCH(Tradingbook_MSB[[#This Row],[Days (year)]],Ref!$I$2:$I$13,1)))</f>
        <v>10Y</v>
      </c>
      <c r="AJ521" s="120" t="str">
        <f>VLOOKUP(Tradingbook_MSB[[#This Row],[Security Name]],Ref!X:Z,3,0)</f>
        <v>TPCP</v>
      </c>
      <c r="AK521" s="120" t="str">
        <f>VLOOKUP(Tradingbook_MSB[[#This Row],[Security Name]],Ref!X:Y,2,0)</f>
        <v>KBNN</v>
      </c>
      <c r="AL521" s="71">
        <f>IF((Tradingbook_MSB[[#This Row],[Mat. Date]]-RPT)&lt;=0,0,Tradingbook_MSB[[#This Row],[QUANTITY]])</f>
        <v>0</v>
      </c>
      <c r="AM521" s="71">
        <f>IF(Tradingbook_MSB[[#This Row],[Quantity_edited]]=0,0,Tradingbook_MSB[[#This Row],[DURATION]])</f>
        <v>0</v>
      </c>
      <c r="AN521" s="71">
        <f>IF(Tradingbook_MSB[[#This Row],[Quantity_edited]]=0,0,Tradingbook_MSB[[#This Row],[Mod Dur]])</f>
        <v>0</v>
      </c>
      <c r="AO521" s="71">
        <f>IF(Tradingbook_MSB[[#This Row],[Quantity_edited]]=0,0,Tradingbook_MSB[[#This Row],[Cnvx.]])</f>
        <v>0</v>
      </c>
      <c r="AP521" s="71">
        <f>(Tradingbook_MSB[[#This Row],[MARKET_VALUE]]+Tradingbook_MSB[[#This Row],[Accr Int]]*Tradingbook_MSB[[#This Row],[Quantity_edited]])*(-Tradingbook_MSB[[#This Row],[Modified Duration]]*0.0001+0.5*Tradingbook_MSB[[#This Row],[Conv]]*(0.0001^2))</f>
        <v>0</v>
      </c>
      <c r="AQ521" s="72">
        <f>(Tradingbook_MSB[[#This Row],[MARKET_VALUE]]+Tradingbook_MSB[[#This Row],[Accr Int]]*Tradingbook_MSB[[#This Row],[Quantity_edited]])*(-Tradingbook_MSB[[#This Row],[Modified Duration]]*0.01+0.5*Tradingbook_MSB[[#This Row],[Conv]]*(0.01^2))</f>
        <v>0</v>
      </c>
      <c r="CL521" t="s">
        <v>166</v>
      </c>
      <c r="CM521" t="s">
        <v>3303</v>
      </c>
      <c r="CN521" t="s">
        <v>2761</v>
      </c>
      <c r="CO521" t="s">
        <v>169</v>
      </c>
      <c r="CP521">
        <v>50620</v>
      </c>
      <c r="CQ521" t="s">
        <v>3322</v>
      </c>
      <c r="CR521" t="s">
        <v>4480</v>
      </c>
      <c r="CS521" t="s">
        <v>4481</v>
      </c>
      <c r="CT521">
        <v>0</v>
      </c>
      <c r="CU521">
        <v>0</v>
      </c>
      <c r="CV521">
        <v>0</v>
      </c>
      <c r="CW521">
        <v>0</v>
      </c>
      <c r="CX521">
        <v>2.6</v>
      </c>
      <c r="CY521">
        <v>107</v>
      </c>
      <c r="CZ521">
        <v>0</v>
      </c>
      <c r="DA521">
        <v>0</v>
      </c>
      <c r="DB521">
        <v>-12541342.422219992</v>
      </c>
      <c r="DC521">
        <v>4.4988142340000001</v>
      </c>
      <c r="DD521">
        <v>10</v>
      </c>
      <c r="DE521">
        <v>10</v>
      </c>
      <c r="DF521">
        <v>115</v>
      </c>
      <c r="DG521">
        <v>0</v>
      </c>
      <c r="DH521">
        <v>0</v>
      </c>
      <c r="DI521">
        <v>0</v>
      </c>
      <c r="DJ521">
        <v>223160000</v>
      </c>
      <c r="DK521">
        <v>0</v>
      </c>
      <c r="DL521">
        <v>223160000</v>
      </c>
      <c r="DM521">
        <v>223160000</v>
      </c>
      <c r="DN521">
        <v>223160000</v>
      </c>
      <c r="DO521">
        <v>223160000</v>
      </c>
      <c r="DP521" s="32">
        <f>Tradingbook_SBV[[#This Row],[Mat. Date]]-RPT</f>
        <v>4368</v>
      </c>
      <c r="DQ521" s="32">
        <f>IF(Tradingbook_SBV[[#This Row],[Days]]&lt;=0,0,YEARFRAC(RPT,Tradingbook_SBV[[#This Row],[Mat. Date]],3))</f>
        <v>11.967123287671233</v>
      </c>
      <c r="DR521" s="32" t="str">
        <f>IF(Tradingbook_SBV[[#This Row],[Days (year)]]=0,0,INDEX(Ref!$K$2:$K$13,MATCH(Tradingbook_SBV[[#This Row],[Days (year)]],Ref!$I$2:$I$13,1)))</f>
        <v>15Y</v>
      </c>
      <c r="DS521" s="32" t="str">
        <f>VLOOKUP(Tradingbook_SBV[[#This Row],[Security Name]],Ref!X:Z,3,0)</f>
        <v>TPCP</v>
      </c>
      <c r="DT521" s="32" t="str">
        <f>VLOOKUP(Tradingbook_SBV[[#This Row],[Security Name]],Ref!X:Y,2,0)</f>
        <v>KBNN</v>
      </c>
      <c r="DU521" s="71">
        <f>IF((Tradingbook_SBV[[#This Row],[Mat. Date]]-RPT)&lt;=0,0,Tradingbook_SBV[[#This Row],[QUANTITY]])</f>
        <v>0</v>
      </c>
      <c r="DV521" s="71">
        <f>IF(Tradingbook_SBV[[#This Row],[Quantity_edited]]=0,0,Tradingbook_SBV[[#This Row],[DURATION]])</f>
        <v>0</v>
      </c>
      <c r="DW521" s="71">
        <f>IF(Tradingbook_SBV[[#This Row],[Quantity_edited]]=0,0,Tradingbook_SBV[[#This Row],[Mod Dur]])</f>
        <v>0</v>
      </c>
      <c r="DX521" s="71">
        <f>IF(Tradingbook_SBV[[#This Row],[Quantity_edited]]=0,0,Tradingbook_SBV[[#This Row],[Cnvx.]])</f>
        <v>0</v>
      </c>
      <c r="DY521" s="71">
        <f>(Tradingbook_SBV[[#This Row],[MARKET_VALUE]]+Tradingbook_SBV[[#This Row],[Accr Int]]*Tradingbook_SBV[[#This Row],[Quantity_edited]])*(-Tradingbook_SBV[[#This Row],[Modified Duration]]*0.0001+0.5*Tradingbook_SBV[[#This Row],[Conv]]*(0.0001^2))</f>
        <v>0</v>
      </c>
      <c r="DZ521" s="71">
        <f>(Tradingbook_SBV[[#This Row],[MARKET_VALUE]]+Tradingbook_SBV[[#This Row],[Accr Int]]*Tradingbook_SBV[[#This Row],[Quantity_edited]])*(-Tradingbook_SBV[[#This Row],[Modified Duration]]*0.01+0.5*Tradingbook_SBV[[#This Row],[Conv]]*(0.01^2))</f>
        <v>0</v>
      </c>
    </row>
    <row r="522" spans="2:130" x14ac:dyDescent="0.3">
      <c r="B522" t="s">
        <v>166</v>
      </c>
      <c r="C522" t="s">
        <v>3302</v>
      </c>
      <c r="D522" t="s">
        <v>686</v>
      </c>
      <c r="E522" t="s">
        <v>169</v>
      </c>
      <c r="F522" s="502">
        <v>49478</v>
      </c>
      <c r="G522" t="s">
        <v>3322</v>
      </c>
      <c r="H522">
        <v>90685</v>
      </c>
      <c r="I522">
        <v>90685</v>
      </c>
      <c r="J522" s="38">
        <v>0</v>
      </c>
      <c r="K522">
        <v>0</v>
      </c>
      <c r="L522">
        <v>0</v>
      </c>
      <c r="M522" s="38">
        <v>0</v>
      </c>
      <c r="N522">
        <v>3.1</v>
      </c>
      <c r="O522">
        <v>518</v>
      </c>
      <c r="P522" s="37">
        <v>3100000000</v>
      </c>
      <c r="Q522" s="37">
        <v>3474514874.9999862</v>
      </c>
      <c r="R522" s="37">
        <v>-5911853870.9110184</v>
      </c>
      <c r="S522">
        <v>4.3938817869999998</v>
      </c>
      <c r="T522" s="70">
        <v>7.4345407551961999</v>
      </c>
      <c r="U522">
        <v>7.7612056899999997</v>
      </c>
      <c r="V522">
        <v>67.072862137678896</v>
      </c>
      <c r="W522">
        <v>0</v>
      </c>
      <c r="X522" s="38">
        <v>0</v>
      </c>
      <c r="Y522">
        <v>0</v>
      </c>
      <c r="Z522" s="70">
        <v>-26027620000</v>
      </c>
      <c r="AA522" s="70">
        <v>0</v>
      </c>
      <c r="AB522" s="70">
        <v>-26027620000</v>
      </c>
      <c r="AC522" s="70">
        <v>-26027620000</v>
      </c>
      <c r="AD522" s="70">
        <v>-26027620000</v>
      </c>
      <c r="AE522" s="70">
        <v>-26027620000</v>
      </c>
      <c r="AF522">
        <v>0</v>
      </c>
      <c r="AG522" s="72">
        <f>Tradingbook_MSB[[#This Row],[Mat. Date]]-RPT</f>
        <v>3226</v>
      </c>
      <c r="AH522" s="71">
        <f>IF(Tradingbook_MSB[[#This Row],[Days]]&lt;=0,0,YEARFRAC(RPT,Tradingbook_MSB[[#This Row],[Mat. Date]],3))</f>
        <v>8.838356164383562</v>
      </c>
      <c r="AI522" s="71" t="str">
        <f>IF(Tradingbook_MSB[[#This Row],[Days (year)]]=0,0,INDEX(Ref!$K$2:$K$13,MATCH(Tradingbook_MSB[[#This Row],[Days (year)]],Ref!$I$2:$I$13,1)))</f>
        <v>10Y</v>
      </c>
      <c r="AJ522" s="120" t="str">
        <f>VLOOKUP(Tradingbook_MSB[[#This Row],[Security Name]],Ref!X:Z,3,0)</f>
        <v>TPCP</v>
      </c>
      <c r="AK522" s="120" t="str">
        <f>VLOOKUP(Tradingbook_MSB[[#This Row],[Security Name]],Ref!X:Y,2,0)</f>
        <v>KBNN</v>
      </c>
      <c r="AL522" s="71">
        <f>IF((Tradingbook_MSB[[#This Row],[Mat. Date]]-RPT)&lt;=0,0,Tradingbook_MSB[[#This Row],[QUANTITY]])</f>
        <v>0</v>
      </c>
      <c r="AM522" s="71">
        <f>IF(Tradingbook_MSB[[#This Row],[Quantity_edited]]=0,0,Tradingbook_MSB[[#This Row],[DURATION]])</f>
        <v>0</v>
      </c>
      <c r="AN522" s="71">
        <f>IF(Tradingbook_MSB[[#This Row],[Quantity_edited]]=0,0,Tradingbook_MSB[[#This Row],[Mod Dur]])</f>
        <v>0</v>
      </c>
      <c r="AO522" s="71">
        <f>IF(Tradingbook_MSB[[#This Row],[Quantity_edited]]=0,0,Tradingbook_MSB[[#This Row],[Cnvx.]])</f>
        <v>0</v>
      </c>
      <c r="AP522" s="71">
        <f>(Tradingbook_MSB[[#This Row],[MARKET_VALUE]]+Tradingbook_MSB[[#This Row],[Accr Int]]*Tradingbook_MSB[[#This Row],[Quantity_edited]])*(-Tradingbook_MSB[[#This Row],[Modified Duration]]*0.0001+0.5*Tradingbook_MSB[[#This Row],[Conv]]*(0.0001^2))</f>
        <v>0</v>
      </c>
      <c r="AQ522" s="72">
        <f>(Tradingbook_MSB[[#This Row],[MARKET_VALUE]]+Tradingbook_MSB[[#This Row],[Accr Int]]*Tradingbook_MSB[[#This Row],[Quantity_edited]])*(-Tradingbook_MSB[[#This Row],[Modified Duration]]*0.01+0.5*Tradingbook_MSB[[#This Row],[Conv]]*(0.01^2))</f>
        <v>0</v>
      </c>
      <c r="CL522" t="s">
        <v>166</v>
      </c>
      <c r="CM522" t="s">
        <v>3303</v>
      </c>
      <c r="CN522" t="s">
        <v>2786</v>
      </c>
      <c r="CO522" t="s">
        <v>169</v>
      </c>
      <c r="CP522">
        <v>50697</v>
      </c>
      <c r="CQ522" t="s">
        <v>3322</v>
      </c>
      <c r="CR522" t="s">
        <v>4482</v>
      </c>
      <c r="CS522" t="s">
        <v>4483</v>
      </c>
      <c r="CT522">
        <v>0</v>
      </c>
      <c r="CU522">
        <v>0</v>
      </c>
      <c r="CV522">
        <v>0</v>
      </c>
      <c r="CW522">
        <v>0</v>
      </c>
      <c r="CX522">
        <v>2.6</v>
      </c>
      <c r="CY522">
        <v>2158</v>
      </c>
      <c r="CZ522">
        <v>3900000000</v>
      </c>
      <c r="DA522">
        <v>4251292500.0000038</v>
      </c>
      <c r="DB522">
        <v>-3402946756.3194313</v>
      </c>
      <c r="DC522">
        <v>4.5043266329999998</v>
      </c>
      <c r="DD522">
        <v>10</v>
      </c>
      <c r="DE522">
        <v>10</v>
      </c>
      <c r="DF522">
        <v>116</v>
      </c>
      <c r="DG522">
        <v>0</v>
      </c>
      <c r="DH522">
        <v>0</v>
      </c>
      <c r="DI522">
        <v>0</v>
      </c>
      <c r="DJ522">
        <v>-649420000</v>
      </c>
      <c r="DK522">
        <v>0</v>
      </c>
      <c r="DL522">
        <v>-649420000</v>
      </c>
      <c r="DM522">
        <v>-649420000</v>
      </c>
      <c r="DN522">
        <v>-649420000</v>
      </c>
      <c r="DO522">
        <v>-649420000</v>
      </c>
      <c r="DP522" s="32">
        <f>Tradingbook_SBV[[#This Row],[Mat. Date]]-RPT</f>
        <v>4445</v>
      </c>
      <c r="DQ522" s="32">
        <f>IF(Tradingbook_SBV[[#This Row],[Days]]&lt;=0,0,YEARFRAC(RPT,Tradingbook_SBV[[#This Row],[Mat. Date]],3))</f>
        <v>12.178082191780822</v>
      </c>
      <c r="DR522" s="32" t="str">
        <f>IF(Tradingbook_SBV[[#This Row],[Days (year)]]=0,0,INDEX(Ref!$K$2:$K$13,MATCH(Tradingbook_SBV[[#This Row],[Days (year)]],Ref!$I$2:$I$13,1)))</f>
        <v>15Y</v>
      </c>
      <c r="DS522" s="32" t="str">
        <f>VLOOKUP(Tradingbook_SBV[[#This Row],[Security Name]],Ref!X:Z,3,0)</f>
        <v>TPCP</v>
      </c>
      <c r="DT522" s="32" t="str">
        <f>VLOOKUP(Tradingbook_SBV[[#This Row],[Security Name]],Ref!X:Y,2,0)</f>
        <v>KBNN</v>
      </c>
      <c r="DU522" s="71">
        <f>IF((Tradingbook_SBV[[#This Row],[Mat. Date]]-RPT)&lt;=0,0,Tradingbook_SBV[[#This Row],[QUANTITY]])</f>
        <v>0</v>
      </c>
      <c r="DV522" s="71">
        <f>IF(Tradingbook_SBV[[#This Row],[Quantity_edited]]=0,0,Tradingbook_SBV[[#This Row],[DURATION]])</f>
        <v>0</v>
      </c>
      <c r="DW522" s="71">
        <f>IF(Tradingbook_SBV[[#This Row],[Quantity_edited]]=0,0,Tradingbook_SBV[[#This Row],[Mod Dur]])</f>
        <v>0</v>
      </c>
      <c r="DX522" s="71">
        <f>IF(Tradingbook_SBV[[#This Row],[Quantity_edited]]=0,0,Tradingbook_SBV[[#This Row],[Cnvx.]])</f>
        <v>0</v>
      </c>
      <c r="DY522" s="71">
        <f>(Tradingbook_SBV[[#This Row],[MARKET_VALUE]]+Tradingbook_SBV[[#This Row],[Accr Int]]*Tradingbook_SBV[[#This Row],[Quantity_edited]])*(-Tradingbook_SBV[[#This Row],[Modified Duration]]*0.0001+0.5*Tradingbook_SBV[[#This Row],[Conv]]*(0.0001^2))</f>
        <v>0</v>
      </c>
      <c r="DZ522" s="71">
        <f>(Tradingbook_SBV[[#This Row],[MARKET_VALUE]]+Tradingbook_SBV[[#This Row],[Accr Int]]*Tradingbook_SBV[[#This Row],[Quantity_edited]])*(-Tradingbook_SBV[[#This Row],[Modified Duration]]*0.01+0.5*Tradingbook_SBV[[#This Row],[Conv]]*(0.01^2))</f>
        <v>0</v>
      </c>
    </row>
    <row r="523" spans="2:130" x14ac:dyDescent="0.3">
      <c r="B523" t="s">
        <v>166</v>
      </c>
      <c r="C523" t="s">
        <v>3302</v>
      </c>
      <c r="D523" t="s">
        <v>687</v>
      </c>
      <c r="E523" t="s">
        <v>169</v>
      </c>
      <c r="F523" s="502">
        <v>49499</v>
      </c>
      <c r="G523" t="s">
        <v>3322</v>
      </c>
      <c r="H523">
        <v>89897</v>
      </c>
      <c r="I523">
        <v>89897</v>
      </c>
      <c r="J523" s="38">
        <v>0</v>
      </c>
      <c r="K523">
        <v>0</v>
      </c>
      <c r="L523">
        <v>0</v>
      </c>
      <c r="M523" s="38">
        <v>0</v>
      </c>
      <c r="N523">
        <v>3</v>
      </c>
      <c r="O523">
        <v>329</v>
      </c>
      <c r="P523" s="37">
        <v>16500000000</v>
      </c>
      <c r="Q523" s="37">
        <v>18998183749.999786</v>
      </c>
      <c r="R523" s="37">
        <v>-10515610377.082781</v>
      </c>
      <c r="S523">
        <v>4.3965104589999999</v>
      </c>
      <c r="T523" s="70">
        <v>7.5143803225949002</v>
      </c>
      <c r="U523">
        <v>7.8447508399999997</v>
      </c>
      <c r="V523">
        <v>68.253928868383397</v>
      </c>
      <c r="W523">
        <v>0</v>
      </c>
      <c r="X523" s="38">
        <v>0</v>
      </c>
      <c r="Y523">
        <v>0</v>
      </c>
      <c r="Z523" s="70">
        <v>-35285000000</v>
      </c>
      <c r="AA523" s="70">
        <v>0</v>
      </c>
      <c r="AB523" s="70">
        <v>-35285000000</v>
      </c>
      <c r="AC523" s="70">
        <v>-35285000000</v>
      </c>
      <c r="AD523" s="70">
        <v>-35285000000</v>
      </c>
      <c r="AE523" s="70">
        <v>-35285000000</v>
      </c>
      <c r="AF523">
        <v>0</v>
      </c>
      <c r="AG523" s="72">
        <f>Tradingbook_MSB[[#This Row],[Mat. Date]]-RPT</f>
        <v>3247</v>
      </c>
      <c r="AH523" s="71">
        <f>IF(Tradingbook_MSB[[#This Row],[Days]]&lt;=0,0,YEARFRAC(RPT,Tradingbook_MSB[[#This Row],[Mat. Date]],3))</f>
        <v>8.8958904109589039</v>
      </c>
      <c r="AI523" s="71" t="str">
        <f>IF(Tradingbook_MSB[[#This Row],[Days (year)]]=0,0,INDEX(Ref!$K$2:$K$13,MATCH(Tradingbook_MSB[[#This Row],[Days (year)]],Ref!$I$2:$I$13,1)))</f>
        <v>10Y</v>
      </c>
      <c r="AJ523" s="120" t="str">
        <f>VLOOKUP(Tradingbook_MSB[[#This Row],[Security Name]],Ref!X:Z,3,0)</f>
        <v>TPCP</v>
      </c>
      <c r="AK523" s="120" t="str">
        <f>VLOOKUP(Tradingbook_MSB[[#This Row],[Security Name]],Ref!X:Y,2,0)</f>
        <v>KBNN</v>
      </c>
      <c r="AL523" s="71">
        <f>IF((Tradingbook_MSB[[#This Row],[Mat. Date]]-RPT)&lt;=0,0,Tradingbook_MSB[[#This Row],[QUANTITY]])</f>
        <v>0</v>
      </c>
      <c r="AM523" s="71">
        <f>IF(Tradingbook_MSB[[#This Row],[Quantity_edited]]=0,0,Tradingbook_MSB[[#This Row],[DURATION]])</f>
        <v>0</v>
      </c>
      <c r="AN523" s="71">
        <f>IF(Tradingbook_MSB[[#This Row],[Quantity_edited]]=0,0,Tradingbook_MSB[[#This Row],[Mod Dur]])</f>
        <v>0</v>
      </c>
      <c r="AO523" s="71">
        <f>IF(Tradingbook_MSB[[#This Row],[Quantity_edited]]=0,0,Tradingbook_MSB[[#This Row],[Cnvx.]])</f>
        <v>0</v>
      </c>
      <c r="AP523" s="71">
        <f>(Tradingbook_MSB[[#This Row],[MARKET_VALUE]]+Tradingbook_MSB[[#This Row],[Accr Int]]*Tradingbook_MSB[[#This Row],[Quantity_edited]])*(-Tradingbook_MSB[[#This Row],[Modified Duration]]*0.0001+0.5*Tradingbook_MSB[[#This Row],[Conv]]*(0.0001^2))</f>
        <v>0</v>
      </c>
      <c r="AQ523" s="72">
        <f>(Tradingbook_MSB[[#This Row],[MARKET_VALUE]]+Tradingbook_MSB[[#This Row],[Accr Int]]*Tradingbook_MSB[[#This Row],[Quantity_edited]])*(-Tradingbook_MSB[[#This Row],[Modified Duration]]*0.01+0.5*Tradingbook_MSB[[#This Row],[Conv]]*(0.01^2))</f>
        <v>0</v>
      </c>
      <c r="CL523" t="s">
        <v>166</v>
      </c>
      <c r="CM523" t="s">
        <v>3303</v>
      </c>
      <c r="CN523" t="s">
        <v>2835</v>
      </c>
      <c r="CO523" t="s">
        <v>169</v>
      </c>
      <c r="CP523">
        <v>50899</v>
      </c>
      <c r="CQ523" t="s">
        <v>3322</v>
      </c>
      <c r="CR523" t="s">
        <v>4484</v>
      </c>
      <c r="CS523" t="s">
        <v>4485</v>
      </c>
      <c r="CT523">
        <v>0</v>
      </c>
      <c r="CU523">
        <v>0</v>
      </c>
      <c r="CV523">
        <v>0</v>
      </c>
      <c r="CW523">
        <v>0</v>
      </c>
      <c r="CX523">
        <v>2.7</v>
      </c>
      <c r="CY523">
        <v>747</v>
      </c>
      <c r="CZ523">
        <v>6750000000</v>
      </c>
      <c r="DA523">
        <v>7200637500</v>
      </c>
      <c r="DB523">
        <v>-9197394512.5</v>
      </c>
      <c r="DC523">
        <v>4.5186916220000004</v>
      </c>
      <c r="DD523">
        <v>10</v>
      </c>
      <c r="DE523">
        <v>11</v>
      </c>
      <c r="DF523">
        <v>126</v>
      </c>
      <c r="DG523">
        <v>0</v>
      </c>
      <c r="DH523">
        <v>0</v>
      </c>
      <c r="DI523">
        <v>0</v>
      </c>
      <c r="DJ523">
        <v>-696500000</v>
      </c>
      <c r="DK523">
        <v>0</v>
      </c>
      <c r="DL523">
        <v>-696500000</v>
      </c>
      <c r="DM523">
        <v>-696500000</v>
      </c>
      <c r="DN523">
        <v>-696500000</v>
      </c>
      <c r="DO523">
        <v>-696500000</v>
      </c>
      <c r="DP523" s="32">
        <f>Tradingbook_SBV[[#This Row],[Mat. Date]]-RPT</f>
        <v>4647</v>
      </c>
      <c r="DQ523" s="32">
        <f>IF(Tradingbook_SBV[[#This Row],[Days]]&lt;=0,0,YEARFRAC(RPT,Tradingbook_SBV[[#This Row],[Mat. Date]],3))</f>
        <v>12.731506849315069</v>
      </c>
      <c r="DR523" s="32" t="str">
        <f>IF(Tradingbook_SBV[[#This Row],[Days (year)]]=0,0,INDEX(Ref!$K$2:$K$13,MATCH(Tradingbook_SBV[[#This Row],[Days (year)]],Ref!$I$2:$I$13,1)))</f>
        <v>15Y</v>
      </c>
      <c r="DS523" s="32" t="str">
        <f>VLOOKUP(Tradingbook_SBV[[#This Row],[Security Name]],Ref!X:Z,3,0)</f>
        <v>TPCP</v>
      </c>
      <c r="DT523" s="32" t="str">
        <f>VLOOKUP(Tradingbook_SBV[[#This Row],[Security Name]],Ref!X:Y,2,0)</f>
        <v>KBNN</v>
      </c>
      <c r="DU523" s="71">
        <f>IF((Tradingbook_SBV[[#This Row],[Mat. Date]]-RPT)&lt;=0,0,Tradingbook_SBV[[#This Row],[QUANTITY]])</f>
        <v>0</v>
      </c>
      <c r="DV523" s="71">
        <f>IF(Tradingbook_SBV[[#This Row],[Quantity_edited]]=0,0,Tradingbook_SBV[[#This Row],[DURATION]])</f>
        <v>0</v>
      </c>
      <c r="DW523" s="71">
        <f>IF(Tradingbook_SBV[[#This Row],[Quantity_edited]]=0,0,Tradingbook_SBV[[#This Row],[Mod Dur]])</f>
        <v>0</v>
      </c>
      <c r="DX523" s="71">
        <f>IF(Tradingbook_SBV[[#This Row],[Quantity_edited]]=0,0,Tradingbook_SBV[[#This Row],[Cnvx.]])</f>
        <v>0</v>
      </c>
      <c r="DY523" s="71">
        <f>(Tradingbook_SBV[[#This Row],[MARKET_VALUE]]+Tradingbook_SBV[[#This Row],[Accr Int]]*Tradingbook_SBV[[#This Row],[Quantity_edited]])*(-Tradingbook_SBV[[#This Row],[Modified Duration]]*0.0001+0.5*Tradingbook_SBV[[#This Row],[Conv]]*(0.0001^2))</f>
        <v>0</v>
      </c>
      <c r="DZ523" s="71">
        <f>(Tradingbook_SBV[[#This Row],[MARKET_VALUE]]+Tradingbook_SBV[[#This Row],[Accr Int]]*Tradingbook_SBV[[#This Row],[Quantity_edited]])*(-Tradingbook_SBV[[#This Row],[Modified Duration]]*0.01+0.5*Tradingbook_SBV[[#This Row],[Conv]]*(0.01^2))</f>
        <v>0</v>
      </c>
    </row>
    <row r="524" spans="2:130" x14ac:dyDescent="0.3">
      <c r="B524" t="s">
        <v>166</v>
      </c>
      <c r="C524" t="s">
        <v>3302</v>
      </c>
      <c r="D524" t="s">
        <v>1209</v>
      </c>
      <c r="E524" t="s">
        <v>169</v>
      </c>
      <c r="F524" s="502">
        <v>49528</v>
      </c>
      <c r="G524" t="s">
        <v>3322</v>
      </c>
      <c r="H524">
        <v>124387</v>
      </c>
      <c r="I524">
        <v>124387</v>
      </c>
      <c r="J524" s="38">
        <v>0</v>
      </c>
      <c r="K524">
        <v>0</v>
      </c>
      <c r="L524">
        <v>0</v>
      </c>
      <c r="M524" s="38">
        <v>0</v>
      </c>
      <c r="N524">
        <v>7.75</v>
      </c>
      <c r="O524">
        <v>234</v>
      </c>
      <c r="P524" s="37">
        <v>0</v>
      </c>
      <c r="Q524" s="37">
        <v>3.1000000000000001E-5</v>
      </c>
      <c r="R524" s="37">
        <v>-34018391056.499928</v>
      </c>
      <c r="S524">
        <v>4.4001344930000004</v>
      </c>
      <c r="T524" s="70">
        <v>6.7250949731488001</v>
      </c>
      <c r="U524">
        <v>7.0210081999999998</v>
      </c>
      <c r="V524">
        <v>58.608056032329301</v>
      </c>
      <c r="W524">
        <v>0</v>
      </c>
      <c r="X524" s="38">
        <v>0</v>
      </c>
      <c r="Y524">
        <v>0</v>
      </c>
      <c r="Z524" s="70">
        <v>-7150770000.0009766</v>
      </c>
      <c r="AA524" s="70">
        <v>0</v>
      </c>
      <c r="AB524" s="70">
        <v>-7150770000.0009766</v>
      </c>
      <c r="AC524" s="70">
        <v>-7150770000.0009766</v>
      </c>
      <c r="AD524" s="70">
        <v>-7150770000.0010004</v>
      </c>
      <c r="AE524" s="70">
        <v>-7150770000.0009766</v>
      </c>
      <c r="AF524">
        <v>0</v>
      </c>
      <c r="AG524" s="72">
        <f>Tradingbook_MSB[[#This Row],[Mat. Date]]-RPT</f>
        <v>3276</v>
      </c>
      <c r="AH524" s="71">
        <f>IF(Tradingbook_MSB[[#This Row],[Days]]&lt;=0,0,YEARFRAC(RPT,Tradingbook_MSB[[#This Row],[Mat. Date]],3))</f>
        <v>8.9753424657534246</v>
      </c>
      <c r="AI524" s="71" t="str">
        <f>IF(Tradingbook_MSB[[#This Row],[Days (year)]]=0,0,INDEX(Ref!$K$2:$K$13,MATCH(Tradingbook_MSB[[#This Row],[Days (year)]],Ref!$I$2:$I$13,1)))</f>
        <v>10Y</v>
      </c>
      <c r="AJ524" s="120" t="str">
        <f>VLOOKUP(Tradingbook_MSB[[#This Row],[Security Name]],Ref!X:Z,3,0)</f>
        <v>TPCP</v>
      </c>
      <c r="AK524" s="120" t="str">
        <f>VLOOKUP(Tradingbook_MSB[[#This Row],[Security Name]],Ref!X:Y,2,0)</f>
        <v>KBNN</v>
      </c>
      <c r="AL524" s="71">
        <f>IF((Tradingbook_MSB[[#This Row],[Mat. Date]]-RPT)&lt;=0,0,Tradingbook_MSB[[#This Row],[QUANTITY]])</f>
        <v>0</v>
      </c>
      <c r="AM524" s="71">
        <f>IF(Tradingbook_MSB[[#This Row],[Quantity_edited]]=0,0,Tradingbook_MSB[[#This Row],[DURATION]])</f>
        <v>0</v>
      </c>
      <c r="AN524" s="71">
        <f>IF(Tradingbook_MSB[[#This Row],[Quantity_edited]]=0,0,Tradingbook_MSB[[#This Row],[Mod Dur]])</f>
        <v>0</v>
      </c>
      <c r="AO524" s="71">
        <f>IF(Tradingbook_MSB[[#This Row],[Quantity_edited]]=0,0,Tradingbook_MSB[[#This Row],[Cnvx.]])</f>
        <v>0</v>
      </c>
      <c r="AP524" s="71">
        <f>(Tradingbook_MSB[[#This Row],[MARKET_VALUE]]+Tradingbook_MSB[[#This Row],[Accr Int]]*Tradingbook_MSB[[#This Row],[Quantity_edited]])*(-Tradingbook_MSB[[#This Row],[Modified Duration]]*0.0001+0.5*Tradingbook_MSB[[#This Row],[Conv]]*(0.0001^2))</f>
        <v>0</v>
      </c>
      <c r="AQ524" s="72">
        <f>(Tradingbook_MSB[[#This Row],[MARKET_VALUE]]+Tradingbook_MSB[[#This Row],[Accr Int]]*Tradingbook_MSB[[#This Row],[Quantity_edited]])*(-Tradingbook_MSB[[#This Row],[Modified Duration]]*0.01+0.5*Tradingbook_MSB[[#This Row],[Conv]]*(0.01^2))</f>
        <v>0</v>
      </c>
      <c r="CL524" t="s">
        <v>166</v>
      </c>
      <c r="CM524" t="s">
        <v>3303</v>
      </c>
      <c r="CN524" t="s">
        <v>2840</v>
      </c>
      <c r="CO524" t="s">
        <v>169</v>
      </c>
      <c r="CP524">
        <v>51004</v>
      </c>
      <c r="CQ524" t="s">
        <v>3322</v>
      </c>
      <c r="CR524" t="s">
        <v>4486</v>
      </c>
      <c r="CS524" t="s">
        <v>4487</v>
      </c>
      <c r="CT524">
        <v>0</v>
      </c>
      <c r="CU524">
        <v>0</v>
      </c>
      <c r="CV524">
        <v>0</v>
      </c>
      <c r="CW524">
        <v>0</v>
      </c>
      <c r="CX524">
        <v>2.9</v>
      </c>
      <c r="CY524">
        <v>2868</v>
      </c>
      <c r="CZ524">
        <v>0</v>
      </c>
      <c r="DA524">
        <v>0</v>
      </c>
      <c r="DB524">
        <v>-6765850730.5555401</v>
      </c>
      <c r="DC524">
        <v>4.5261596429999997</v>
      </c>
      <c r="DD524">
        <v>10</v>
      </c>
      <c r="DE524">
        <v>10</v>
      </c>
      <c r="DF524">
        <v>126</v>
      </c>
      <c r="DG524">
        <v>0</v>
      </c>
      <c r="DH524">
        <v>0</v>
      </c>
      <c r="DI524">
        <v>0</v>
      </c>
      <c r="DJ524">
        <v>-5772000000</v>
      </c>
      <c r="DK524">
        <v>0</v>
      </c>
      <c r="DL524">
        <v>-5772000000</v>
      </c>
      <c r="DM524">
        <v>-5772000000</v>
      </c>
      <c r="DN524">
        <v>-5772000000</v>
      </c>
      <c r="DO524">
        <v>-5772000000</v>
      </c>
      <c r="DP524" s="32">
        <f>Tradingbook_SBV[[#This Row],[Mat. Date]]-RPT</f>
        <v>4752</v>
      </c>
      <c r="DQ524" s="32">
        <f>IF(Tradingbook_SBV[[#This Row],[Days]]&lt;=0,0,YEARFRAC(RPT,Tradingbook_SBV[[#This Row],[Mat. Date]],3))</f>
        <v>13.019178082191781</v>
      </c>
      <c r="DR524" s="32" t="str">
        <f>IF(Tradingbook_SBV[[#This Row],[Days (year)]]=0,0,INDEX(Ref!$K$2:$K$13,MATCH(Tradingbook_SBV[[#This Row],[Days (year)]],Ref!$I$2:$I$13,1)))</f>
        <v>15Y</v>
      </c>
      <c r="DS524" s="32" t="str">
        <f>VLOOKUP(Tradingbook_SBV[[#This Row],[Security Name]],Ref!X:Z,3,0)</f>
        <v>TPCP</v>
      </c>
      <c r="DT524" s="32" t="str">
        <f>VLOOKUP(Tradingbook_SBV[[#This Row],[Security Name]],Ref!X:Y,2,0)</f>
        <v>KBNN</v>
      </c>
      <c r="DU524" s="71">
        <f>IF((Tradingbook_SBV[[#This Row],[Mat. Date]]-RPT)&lt;=0,0,Tradingbook_SBV[[#This Row],[QUANTITY]])</f>
        <v>0</v>
      </c>
      <c r="DV524" s="71">
        <f>IF(Tradingbook_SBV[[#This Row],[Quantity_edited]]=0,0,Tradingbook_SBV[[#This Row],[DURATION]])</f>
        <v>0</v>
      </c>
      <c r="DW524" s="71">
        <f>IF(Tradingbook_SBV[[#This Row],[Quantity_edited]]=0,0,Tradingbook_SBV[[#This Row],[Mod Dur]])</f>
        <v>0</v>
      </c>
      <c r="DX524" s="71">
        <f>IF(Tradingbook_SBV[[#This Row],[Quantity_edited]]=0,0,Tradingbook_SBV[[#This Row],[Cnvx.]])</f>
        <v>0</v>
      </c>
      <c r="DY524" s="71">
        <f>(Tradingbook_SBV[[#This Row],[MARKET_VALUE]]+Tradingbook_SBV[[#This Row],[Accr Int]]*Tradingbook_SBV[[#This Row],[Quantity_edited]])*(-Tradingbook_SBV[[#This Row],[Modified Duration]]*0.0001+0.5*Tradingbook_SBV[[#This Row],[Conv]]*(0.0001^2))</f>
        <v>0</v>
      </c>
      <c r="DZ524" s="71">
        <f>(Tradingbook_SBV[[#This Row],[MARKET_VALUE]]+Tradingbook_SBV[[#This Row],[Accr Int]]*Tradingbook_SBV[[#This Row],[Quantity_edited]])*(-Tradingbook_SBV[[#This Row],[Modified Duration]]*0.01+0.5*Tradingbook_SBV[[#This Row],[Conv]]*(0.01^2))</f>
        <v>0</v>
      </c>
    </row>
    <row r="525" spans="2:130" x14ac:dyDescent="0.3">
      <c r="B525" t="s">
        <v>166</v>
      </c>
      <c r="C525" t="s">
        <v>3302</v>
      </c>
      <c r="D525" t="s">
        <v>3317</v>
      </c>
      <c r="E525" t="s">
        <v>169</v>
      </c>
      <c r="F525" s="502">
        <v>49528</v>
      </c>
      <c r="G525" t="s">
        <v>170</v>
      </c>
      <c r="H525">
        <v>91987</v>
      </c>
      <c r="I525">
        <v>91987</v>
      </c>
      <c r="J525" s="38">
        <v>12000000</v>
      </c>
      <c r="K525">
        <v>1200000000000</v>
      </c>
      <c r="L525">
        <v>98457.638999999996</v>
      </c>
      <c r="M525" s="38">
        <v>1103844000000</v>
      </c>
      <c r="N525">
        <v>3.3</v>
      </c>
      <c r="O525">
        <v>99</v>
      </c>
      <c r="P525" s="37">
        <v>39600000000</v>
      </c>
      <c r="Q525" s="37">
        <v>39662315000.000084</v>
      </c>
      <c r="R525" s="37">
        <v>-222851217036.07169</v>
      </c>
      <c r="S525">
        <v>4.4002330660000002</v>
      </c>
      <c r="T525" s="70">
        <v>7.5161149658318998</v>
      </c>
      <c r="U525">
        <v>7.8468415399999998</v>
      </c>
      <c r="V525">
        <v>68.541071195850705</v>
      </c>
      <c r="W525">
        <v>757400.76985693292</v>
      </c>
      <c r="X525" s="38">
        <v>-830554.75529231702</v>
      </c>
      <c r="Y525">
        <v>130376.405</v>
      </c>
      <c r="Z525" s="70">
        <v>2157554477.6116514</v>
      </c>
      <c r="AA525" s="70">
        <v>-77647664477.612015</v>
      </c>
      <c r="AB525" s="70">
        <v>-75490110000.000366</v>
      </c>
      <c r="AC525" s="70">
        <v>-75490110000.000366</v>
      </c>
      <c r="AD525" s="70">
        <v>-75490110000</v>
      </c>
      <c r="AE525" s="70">
        <v>-75490110000.000366</v>
      </c>
      <c r="AF525">
        <v>3.4922221609999999</v>
      </c>
      <c r="AG525" s="72">
        <f>Tradingbook_MSB[[#This Row],[Mat. Date]]-RPT</f>
        <v>3276</v>
      </c>
      <c r="AH525" s="71">
        <f>IF(Tradingbook_MSB[[#This Row],[Days]]&lt;=0,0,YEARFRAC(RPT,Tradingbook_MSB[[#This Row],[Mat. Date]],3))</f>
        <v>8.9753424657534246</v>
      </c>
      <c r="AI525" s="71" t="str">
        <f>IF(Tradingbook_MSB[[#This Row],[Days (year)]]=0,0,INDEX(Ref!$K$2:$K$13,MATCH(Tradingbook_MSB[[#This Row],[Days (year)]],Ref!$I$2:$I$13,1)))</f>
        <v>10Y</v>
      </c>
      <c r="AJ525" s="120" t="str">
        <f>VLOOKUP(Tradingbook_MSB[[#This Row],[Security Name]],Ref!X:Z,3,0)</f>
        <v>TPCP</v>
      </c>
      <c r="AK525" s="120" t="str">
        <f>VLOOKUP(Tradingbook_MSB[[#This Row],[Security Name]],Ref!X:Y,2,0)</f>
        <v>KBNN</v>
      </c>
      <c r="AL525" s="71">
        <f>IF((Tradingbook_MSB[[#This Row],[Mat. Date]]-RPT)&lt;=0,0,Tradingbook_MSB[[#This Row],[QUANTITY]])</f>
        <v>12000000</v>
      </c>
      <c r="AM525" s="71">
        <f>IF(Tradingbook_MSB[[#This Row],[Quantity_edited]]=0,0,Tradingbook_MSB[[#This Row],[DURATION]])</f>
        <v>7.8468415399999998</v>
      </c>
      <c r="AN525" s="71">
        <f>IF(Tradingbook_MSB[[#This Row],[Quantity_edited]]=0,0,Tradingbook_MSB[[#This Row],[Mod Dur]])</f>
        <v>7.5161149658318998</v>
      </c>
      <c r="AO525" s="71">
        <f>IF(Tradingbook_MSB[[#This Row],[Quantity_edited]]=0,0,Tradingbook_MSB[[#This Row],[Cnvx.]])</f>
        <v>68.541071195850705</v>
      </c>
      <c r="AP525" s="71">
        <f>(Tradingbook_MSB[[#This Row],[MARKET_VALUE]]+Tradingbook_MSB[[#This Row],[Accr Int]]*Tradingbook_MSB[[#This Row],[Quantity_edited]])*(-Tradingbook_MSB[[#This Row],[Modified Duration]]*0.0001+0.5*Tradingbook_MSB[[#This Row],[Conv]]*(0.0001^2))</f>
        <v>-830176054.90738726</v>
      </c>
      <c r="AQ525" s="72">
        <f>(Tradingbook_MSB[[#This Row],[MARKET_VALUE]]+Tradingbook_MSB[[#This Row],[Accr Int]]*Tradingbook_MSB[[#This Row],[Quantity_edited]])*(-Tradingbook_MSB[[#This Row],[Modified Duration]]*0.01+0.5*Tradingbook_MSB[[#This Row],[Conv]]*(0.01^2))</f>
        <v>-79268471679.946899</v>
      </c>
      <c r="CL525" t="s">
        <v>166</v>
      </c>
      <c r="CM525" t="s">
        <v>3303</v>
      </c>
      <c r="CN525" t="s">
        <v>712</v>
      </c>
      <c r="CO525" t="s">
        <v>169</v>
      </c>
      <c r="CP525">
        <v>51144</v>
      </c>
      <c r="CQ525" t="s">
        <v>3322</v>
      </c>
      <c r="CR525" t="s">
        <v>4488</v>
      </c>
      <c r="CS525" t="s">
        <v>4489</v>
      </c>
      <c r="CT525">
        <v>0</v>
      </c>
      <c r="CU525">
        <v>0</v>
      </c>
      <c r="CV525">
        <v>0</v>
      </c>
      <c r="CW525">
        <v>0</v>
      </c>
      <c r="CX525">
        <v>3.6</v>
      </c>
      <c r="CY525">
        <v>2180</v>
      </c>
      <c r="CZ525">
        <v>1800000000</v>
      </c>
      <c r="DA525">
        <v>2089247999.9999919</v>
      </c>
      <c r="DB525">
        <v>-3131712873.6249762</v>
      </c>
      <c r="DC525">
        <v>4.5361371769999996</v>
      </c>
      <c r="DD525">
        <v>10</v>
      </c>
      <c r="DE525">
        <v>10</v>
      </c>
      <c r="DF525">
        <v>127</v>
      </c>
      <c r="DG525">
        <v>0</v>
      </c>
      <c r="DH525">
        <v>0</v>
      </c>
      <c r="DI525">
        <v>0</v>
      </c>
      <c r="DJ525">
        <v>-2196200000</v>
      </c>
      <c r="DK525">
        <v>0</v>
      </c>
      <c r="DL525">
        <v>-2196200000</v>
      </c>
      <c r="DM525">
        <v>-2196200000</v>
      </c>
      <c r="DN525">
        <v>-2196200000</v>
      </c>
      <c r="DO525">
        <v>-2196200000</v>
      </c>
      <c r="DP525" s="32">
        <f>Tradingbook_SBV[[#This Row],[Mat. Date]]-RPT</f>
        <v>4892</v>
      </c>
      <c r="DQ525" s="32">
        <f>IF(Tradingbook_SBV[[#This Row],[Days]]&lt;=0,0,YEARFRAC(RPT,Tradingbook_SBV[[#This Row],[Mat. Date]],3))</f>
        <v>13.402739726027397</v>
      </c>
      <c r="DR525" s="32" t="str">
        <f>IF(Tradingbook_SBV[[#This Row],[Days (year)]]=0,0,INDEX(Ref!$K$2:$K$13,MATCH(Tradingbook_SBV[[#This Row],[Days (year)]],Ref!$I$2:$I$13,1)))</f>
        <v>15Y</v>
      </c>
      <c r="DS525" s="32" t="str">
        <f>VLOOKUP(Tradingbook_SBV[[#This Row],[Security Name]],Ref!X:Z,3,0)</f>
        <v>TPCP</v>
      </c>
      <c r="DT525" s="32" t="str">
        <f>VLOOKUP(Tradingbook_SBV[[#This Row],[Security Name]],Ref!X:Y,2,0)</f>
        <v>KBNN</v>
      </c>
      <c r="DU525" s="71">
        <f>IF((Tradingbook_SBV[[#This Row],[Mat. Date]]-RPT)&lt;=0,0,Tradingbook_SBV[[#This Row],[QUANTITY]])</f>
        <v>0</v>
      </c>
      <c r="DV525" s="71">
        <f>IF(Tradingbook_SBV[[#This Row],[Quantity_edited]]=0,0,Tradingbook_SBV[[#This Row],[DURATION]])</f>
        <v>0</v>
      </c>
      <c r="DW525" s="71">
        <f>IF(Tradingbook_SBV[[#This Row],[Quantity_edited]]=0,0,Tradingbook_SBV[[#This Row],[Mod Dur]])</f>
        <v>0</v>
      </c>
      <c r="DX525" s="71">
        <f>IF(Tradingbook_SBV[[#This Row],[Quantity_edited]]=0,0,Tradingbook_SBV[[#This Row],[Cnvx.]])</f>
        <v>0</v>
      </c>
      <c r="DY525" s="71">
        <f>(Tradingbook_SBV[[#This Row],[MARKET_VALUE]]+Tradingbook_SBV[[#This Row],[Accr Int]]*Tradingbook_SBV[[#This Row],[Quantity_edited]])*(-Tradingbook_SBV[[#This Row],[Modified Duration]]*0.0001+0.5*Tradingbook_SBV[[#This Row],[Conv]]*(0.0001^2))</f>
        <v>0</v>
      </c>
      <c r="DZ525" s="71">
        <f>(Tradingbook_SBV[[#This Row],[MARKET_VALUE]]+Tradingbook_SBV[[#This Row],[Accr Int]]*Tradingbook_SBV[[#This Row],[Quantity_edited]])*(-Tradingbook_SBV[[#This Row],[Modified Duration]]*0.01+0.5*Tradingbook_SBV[[#This Row],[Conv]]*(0.01^2))</f>
        <v>0</v>
      </c>
    </row>
    <row r="526" spans="2:130" x14ac:dyDescent="0.3">
      <c r="B526" t="s">
        <v>166</v>
      </c>
      <c r="C526" t="s">
        <v>3302</v>
      </c>
      <c r="D526" t="s">
        <v>688</v>
      </c>
      <c r="E526" t="s">
        <v>169</v>
      </c>
      <c r="F526" s="502">
        <v>49548</v>
      </c>
      <c r="G526" t="s">
        <v>3322</v>
      </c>
      <c r="H526">
        <v>89735</v>
      </c>
      <c r="I526">
        <v>89735</v>
      </c>
      <c r="J526" s="38">
        <v>0</v>
      </c>
      <c r="K526">
        <v>0</v>
      </c>
      <c r="L526">
        <v>0</v>
      </c>
      <c r="M526" s="38">
        <v>0</v>
      </c>
      <c r="N526">
        <v>3</v>
      </c>
      <c r="O526">
        <v>2926</v>
      </c>
      <c r="P526" s="37">
        <v>18000000000</v>
      </c>
      <c r="Q526" s="37">
        <v>20709559791.666473</v>
      </c>
      <c r="R526" s="37">
        <v>-18545061526.526871</v>
      </c>
      <c r="S526">
        <v>4.4026616780000003</v>
      </c>
      <c r="T526" s="70">
        <v>7.3958413822480997</v>
      </c>
      <c r="U526">
        <v>7.7214552599999999</v>
      </c>
      <c r="V526">
        <v>68.0412384684535</v>
      </c>
      <c r="W526">
        <v>0</v>
      </c>
      <c r="X526" s="38">
        <v>0</v>
      </c>
      <c r="Y526">
        <v>0</v>
      </c>
      <c r="Z526" s="70">
        <v>-58846450000</v>
      </c>
      <c r="AA526" s="70">
        <v>0</v>
      </c>
      <c r="AB526" s="70">
        <v>-58846450000</v>
      </c>
      <c r="AC526" s="70">
        <v>-58846450000</v>
      </c>
      <c r="AD526" s="70">
        <v>-58846450000</v>
      </c>
      <c r="AE526" s="70">
        <v>-58846450000</v>
      </c>
      <c r="AF526">
        <v>0</v>
      </c>
      <c r="AG526" s="72">
        <f>Tradingbook_MSB[[#This Row],[Mat. Date]]-RPT</f>
        <v>3296</v>
      </c>
      <c r="AH526" s="71">
        <f>IF(Tradingbook_MSB[[#This Row],[Days]]&lt;=0,0,YEARFRAC(RPT,Tradingbook_MSB[[#This Row],[Mat. Date]],3))</f>
        <v>9.0301369863013701</v>
      </c>
      <c r="AI526" s="71" t="str">
        <f>IF(Tradingbook_MSB[[#This Row],[Days (year)]]=0,0,INDEX(Ref!$K$2:$K$13,MATCH(Tradingbook_MSB[[#This Row],[Days (year)]],Ref!$I$2:$I$13,1)))</f>
        <v>10Y</v>
      </c>
      <c r="AJ526" s="120" t="str">
        <f>VLOOKUP(Tradingbook_MSB[[#This Row],[Security Name]],Ref!X:Z,3,0)</f>
        <v>TPCP</v>
      </c>
      <c r="AK526" s="120" t="str">
        <f>VLOOKUP(Tradingbook_MSB[[#This Row],[Security Name]],Ref!X:Y,2,0)</f>
        <v>KBNN</v>
      </c>
      <c r="AL526" s="71">
        <f>IF((Tradingbook_MSB[[#This Row],[Mat. Date]]-RPT)&lt;=0,0,Tradingbook_MSB[[#This Row],[QUANTITY]])</f>
        <v>0</v>
      </c>
      <c r="AM526" s="71">
        <f>IF(Tradingbook_MSB[[#This Row],[Quantity_edited]]=0,0,Tradingbook_MSB[[#This Row],[DURATION]])</f>
        <v>0</v>
      </c>
      <c r="AN526" s="71">
        <f>IF(Tradingbook_MSB[[#This Row],[Quantity_edited]]=0,0,Tradingbook_MSB[[#This Row],[Mod Dur]])</f>
        <v>0</v>
      </c>
      <c r="AO526" s="71">
        <f>IF(Tradingbook_MSB[[#This Row],[Quantity_edited]]=0,0,Tradingbook_MSB[[#This Row],[Cnvx.]])</f>
        <v>0</v>
      </c>
      <c r="AP526" s="71">
        <f>(Tradingbook_MSB[[#This Row],[MARKET_VALUE]]+Tradingbook_MSB[[#This Row],[Accr Int]]*Tradingbook_MSB[[#This Row],[Quantity_edited]])*(-Tradingbook_MSB[[#This Row],[Modified Duration]]*0.0001+0.5*Tradingbook_MSB[[#This Row],[Conv]]*(0.0001^2))</f>
        <v>0</v>
      </c>
      <c r="AQ526" s="72">
        <f>(Tradingbook_MSB[[#This Row],[MARKET_VALUE]]+Tradingbook_MSB[[#This Row],[Accr Int]]*Tradingbook_MSB[[#This Row],[Quantity_edited]])*(-Tradingbook_MSB[[#This Row],[Modified Duration]]*0.01+0.5*Tradingbook_MSB[[#This Row],[Conv]]*(0.01^2))</f>
        <v>0</v>
      </c>
      <c r="CL526" t="s">
        <v>166</v>
      </c>
      <c r="CM526" t="s">
        <v>3303</v>
      </c>
      <c r="CN526" t="s">
        <v>713</v>
      </c>
      <c r="CO526" t="s">
        <v>169</v>
      </c>
      <c r="CP526">
        <v>51368</v>
      </c>
      <c r="CQ526" t="s">
        <v>3322</v>
      </c>
      <c r="CR526" t="s">
        <v>4490</v>
      </c>
      <c r="CS526" t="s">
        <v>4491</v>
      </c>
      <c r="CT526">
        <v>0</v>
      </c>
      <c r="CU526">
        <v>0</v>
      </c>
      <c r="CV526">
        <v>0</v>
      </c>
      <c r="CW526">
        <v>0</v>
      </c>
      <c r="CX526">
        <v>3.3</v>
      </c>
      <c r="CY526">
        <v>-18</v>
      </c>
      <c r="CZ526">
        <v>0</v>
      </c>
      <c r="DA526">
        <v>3.9999999999999998E-6</v>
      </c>
      <c r="DB526">
        <v>-564344323.74998474</v>
      </c>
      <c r="DC526">
        <v>4.5520935729999996</v>
      </c>
      <c r="DD526">
        <v>11</v>
      </c>
      <c r="DE526">
        <v>11</v>
      </c>
      <c r="DF526">
        <v>142</v>
      </c>
      <c r="DG526">
        <v>0</v>
      </c>
      <c r="DH526">
        <v>0</v>
      </c>
      <c r="DI526">
        <v>0</v>
      </c>
      <c r="DJ526">
        <v>-171500000</v>
      </c>
      <c r="DK526">
        <v>0</v>
      </c>
      <c r="DL526">
        <v>-171500000</v>
      </c>
      <c r="DM526">
        <v>-171500000</v>
      </c>
      <c r="DN526">
        <v>-171500000</v>
      </c>
      <c r="DO526">
        <v>-171500000</v>
      </c>
      <c r="DP526" s="32">
        <f>Tradingbook_SBV[[#This Row],[Mat. Date]]-RPT</f>
        <v>5116</v>
      </c>
      <c r="DQ526" s="32">
        <f>IF(Tradingbook_SBV[[#This Row],[Days]]&lt;=0,0,YEARFRAC(RPT,Tradingbook_SBV[[#This Row],[Mat. Date]],3))</f>
        <v>14.016438356164384</v>
      </c>
      <c r="DR526" s="32" t="str">
        <f>IF(Tradingbook_SBV[[#This Row],[Days (year)]]=0,0,INDEX(Ref!$K$2:$K$13,MATCH(Tradingbook_SBV[[#This Row],[Days (year)]],Ref!$I$2:$I$13,1)))</f>
        <v>15Y</v>
      </c>
      <c r="DS526" s="32" t="str">
        <f>VLOOKUP(Tradingbook_SBV[[#This Row],[Security Name]],Ref!X:Z,3,0)</f>
        <v>TPCP</v>
      </c>
      <c r="DT526" s="32" t="str">
        <f>VLOOKUP(Tradingbook_SBV[[#This Row],[Security Name]],Ref!X:Y,2,0)</f>
        <v>KBNN</v>
      </c>
      <c r="DU526" s="71">
        <f>IF((Tradingbook_SBV[[#This Row],[Mat. Date]]-RPT)&lt;=0,0,Tradingbook_SBV[[#This Row],[QUANTITY]])</f>
        <v>0</v>
      </c>
      <c r="DV526" s="71">
        <f>IF(Tradingbook_SBV[[#This Row],[Quantity_edited]]=0,0,Tradingbook_SBV[[#This Row],[DURATION]])</f>
        <v>0</v>
      </c>
      <c r="DW526" s="71">
        <f>IF(Tradingbook_SBV[[#This Row],[Quantity_edited]]=0,0,Tradingbook_SBV[[#This Row],[Mod Dur]])</f>
        <v>0</v>
      </c>
      <c r="DX526" s="71">
        <f>IF(Tradingbook_SBV[[#This Row],[Quantity_edited]]=0,0,Tradingbook_SBV[[#This Row],[Cnvx.]])</f>
        <v>0</v>
      </c>
      <c r="DY526" s="71">
        <f>(Tradingbook_SBV[[#This Row],[MARKET_VALUE]]+Tradingbook_SBV[[#This Row],[Accr Int]]*Tradingbook_SBV[[#This Row],[Quantity_edited]])*(-Tradingbook_SBV[[#This Row],[Modified Duration]]*0.0001+0.5*Tradingbook_SBV[[#This Row],[Conv]]*(0.0001^2))</f>
        <v>0</v>
      </c>
      <c r="DZ526" s="71">
        <f>(Tradingbook_SBV[[#This Row],[MARKET_VALUE]]+Tradingbook_SBV[[#This Row],[Accr Int]]*Tradingbook_SBV[[#This Row],[Quantity_edited]])*(-Tradingbook_SBV[[#This Row],[Modified Duration]]*0.01+0.5*Tradingbook_SBV[[#This Row],[Conv]]*(0.01^2))</f>
        <v>0</v>
      </c>
    </row>
    <row r="527" spans="2:130" x14ac:dyDescent="0.3">
      <c r="B527" t="s">
        <v>166</v>
      </c>
      <c r="C527" t="s">
        <v>3302</v>
      </c>
      <c r="D527" t="s">
        <v>689</v>
      </c>
      <c r="E527" t="s">
        <v>169</v>
      </c>
      <c r="F527" s="502">
        <v>49583</v>
      </c>
      <c r="G527" t="s">
        <v>3322</v>
      </c>
      <c r="H527">
        <v>88872</v>
      </c>
      <c r="I527">
        <v>88872</v>
      </c>
      <c r="J527" s="38">
        <v>0</v>
      </c>
      <c r="K527">
        <v>0</v>
      </c>
      <c r="L527">
        <v>0</v>
      </c>
      <c r="M527" s="38">
        <v>0</v>
      </c>
      <c r="N527">
        <v>2.9</v>
      </c>
      <c r="O527">
        <v>2550</v>
      </c>
      <c r="P527" s="37">
        <v>5800000000</v>
      </c>
      <c r="Q527" s="37">
        <v>6698332999.9999876</v>
      </c>
      <c r="R527" s="37">
        <v>-5570456310.2413015</v>
      </c>
      <c r="S527">
        <v>4.4071988129999999</v>
      </c>
      <c r="T527" s="70">
        <v>7.5177955480977996</v>
      </c>
      <c r="U527">
        <v>7.8491197399999999</v>
      </c>
      <c r="V527">
        <v>69.860680456252993</v>
      </c>
      <c r="W527">
        <v>0</v>
      </c>
      <c r="X527" s="38">
        <v>0</v>
      </c>
      <c r="Y527">
        <v>0</v>
      </c>
      <c r="Z527" s="70">
        <v>-21461160000</v>
      </c>
      <c r="AA527" s="70">
        <v>0</v>
      </c>
      <c r="AB527" s="70">
        <v>-21461160000</v>
      </c>
      <c r="AC527" s="70">
        <v>-21461160000</v>
      </c>
      <c r="AD527" s="70">
        <v>-21461160000</v>
      </c>
      <c r="AE527" s="70">
        <v>-21461160000</v>
      </c>
      <c r="AF527">
        <v>0</v>
      </c>
      <c r="AG527" s="72">
        <f>Tradingbook_MSB[[#This Row],[Mat. Date]]-RPT</f>
        <v>3331</v>
      </c>
      <c r="AH527" s="71">
        <f>IF(Tradingbook_MSB[[#This Row],[Days]]&lt;=0,0,YEARFRAC(RPT,Tradingbook_MSB[[#This Row],[Mat. Date]],3))</f>
        <v>9.1260273972602732</v>
      </c>
      <c r="AI527" s="71" t="str">
        <f>IF(Tradingbook_MSB[[#This Row],[Days (year)]]=0,0,INDEX(Ref!$K$2:$K$13,MATCH(Tradingbook_MSB[[#This Row],[Days (year)]],Ref!$I$2:$I$13,1)))</f>
        <v>10Y</v>
      </c>
      <c r="AJ527" s="120" t="str">
        <f>VLOOKUP(Tradingbook_MSB[[#This Row],[Security Name]],Ref!X:Z,3,0)</f>
        <v>TPCP</v>
      </c>
      <c r="AK527" s="120" t="str">
        <f>VLOOKUP(Tradingbook_MSB[[#This Row],[Security Name]],Ref!X:Y,2,0)</f>
        <v>KBNN</v>
      </c>
      <c r="AL527" s="71">
        <f>IF((Tradingbook_MSB[[#This Row],[Mat. Date]]-RPT)&lt;=0,0,Tradingbook_MSB[[#This Row],[QUANTITY]])</f>
        <v>0</v>
      </c>
      <c r="AM527" s="71">
        <f>IF(Tradingbook_MSB[[#This Row],[Quantity_edited]]=0,0,Tradingbook_MSB[[#This Row],[DURATION]])</f>
        <v>0</v>
      </c>
      <c r="AN527" s="71">
        <f>IF(Tradingbook_MSB[[#This Row],[Quantity_edited]]=0,0,Tradingbook_MSB[[#This Row],[Mod Dur]])</f>
        <v>0</v>
      </c>
      <c r="AO527" s="71">
        <f>IF(Tradingbook_MSB[[#This Row],[Quantity_edited]]=0,0,Tradingbook_MSB[[#This Row],[Cnvx.]])</f>
        <v>0</v>
      </c>
      <c r="AP527" s="71">
        <f>(Tradingbook_MSB[[#This Row],[MARKET_VALUE]]+Tradingbook_MSB[[#This Row],[Accr Int]]*Tradingbook_MSB[[#This Row],[Quantity_edited]])*(-Tradingbook_MSB[[#This Row],[Modified Duration]]*0.0001+0.5*Tradingbook_MSB[[#This Row],[Conv]]*(0.0001^2))</f>
        <v>0</v>
      </c>
      <c r="AQ527" s="72">
        <f>(Tradingbook_MSB[[#This Row],[MARKET_VALUE]]+Tradingbook_MSB[[#This Row],[Accr Int]]*Tradingbook_MSB[[#This Row],[Quantity_edited]])*(-Tradingbook_MSB[[#This Row],[Modified Duration]]*0.01+0.5*Tradingbook_MSB[[#This Row],[Conv]]*(0.01^2))</f>
        <v>0</v>
      </c>
      <c r="CL527" t="s">
        <v>166</v>
      </c>
      <c r="CM527" t="s">
        <v>3303</v>
      </c>
      <c r="CN527" t="s">
        <v>714</v>
      </c>
      <c r="CO527" t="s">
        <v>169</v>
      </c>
      <c r="CP527">
        <v>51515</v>
      </c>
      <c r="CQ527" t="s">
        <v>3322</v>
      </c>
      <c r="CR527" t="s">
        <v>4492</v>
      </c>
      <c r="CS527" t="s">
        <v>4493</v>
      </c>
      <c r="CT527">
        <v>0</v>
      </c>
      <c r="CU527">
        <v>0</v>
      </c>
      <c r="CV527">
        <v>0</v>
      </c>
      <c r="CW527">
        <v>0</v>
      </c>
      <c r="CX527">
        <v>2.8</v>
      </c>
      <c r="CY527">
        <v>1657</v>
      </c>
      <c r="CZ527">
        <v>0</v>
      </c>
      <c r="DA527">
        <v>-3.9999999999999998E-6</v>
      </c>
      <c r="DB527">
        <v>171933090.83334351</v>
      </c>
      <c r="DC527">
        <v>4.5625832180000003</v>
      </c>
      <c r="DD527">
        <v>11</v>
      </c>
      <c r="DE527">
        <v>12</v>
      </c>
      <c r="DF527">
        <v>151</v>
      </c>
      <c r="DG527">
        <v>0</v>
      </c>
      <c r="DH527">
        <v>0</v>
      </c>
      <c r="DI527">
        <v>0</v>
      </c>
      <c r="DJ527">
        <v>1494500000</v>
      </c>
      <c r="DK527">
        <v>0</v>
      </c>
      <c r="DL527">
        <v>1494500000</v>
      </c>
      <c r="DM527">
        <v>1494500000</v>
      </c>
      <c r="DN527">
        <v>1494500000</v>
      </c>
      <c r="DO527">
        <v>1494500000</v>
      </c>
      <c r="DP527" s="32">
        <f>Tradingbook_SBV[[#This Row],[Mat. Date]]-RPT</f>
        <v>5263</v>
      </c>
      <c r="DQ527" s="32">
        <f>IF(Tradingbook_SBV[[#This Row],[Days]]&lt;=0,0,YEARFRAC(RPT,Tradingbook_SBV[[#This Row],[Mat. Date]],3))</f>
        <v>14.419178082191781</v>
      </c>
      <c r="DR527" s="32" t="str">
        <f>IF(Tradingbook_SBV[[#This Row],[Days (year)]]=0,0,INDEX(Ref!$K$2:$K$13,MATCH(Tradingbook_SBV[[#This Row],[Days (year)]],Ref!$I$2:$I$13,1)))</f>
        <v>15Y</v>
      </c>
      <c r="DS527" s="32" t="str">
        <f>VLOOKUP(Tradingbook_SBV[[#This Row],[Security Name]],Ref!X:Z,3,0)</f>
        <v>TPCP</v>
      </c>
      <c r="DT527" s="32" t="str">
        <f>VLOOKUP(Tradingbook_SBV[[#This Row],[Security Name]],Ref!X:Y,2,0)</f>
        <v>KBNN</v>
      </c>
      <c r="DU527" s="71">
        <f>IF((Tradingbook_SBV[[#This Row],[Mat. Date]]-RPT)&lt;=0,0,Tradingbook_SBV[[#This Row],[QUANTITY]])</f>
        <v>0</v>
      </c>
      <c r="DV527" s="71">
        <f>IF(Tradingbook_SBV[[#This Row],[Quantity_edited]]=0,0,Tradingbook_SBV[[#This Row],[DURATION]])</f>
        <v>0</v>
      </c>
      <c r="DW527" s="71">
        <f>IF(Tradingbook_SBV[[#This Row],[Quantity_edited]]=0,0,Tradingbook_SBV[[#This Row],[Mod Dur]])</f>
        <v>0</v>
      </c>
      <c r="DX527" s="71">
        <f>IF(Tradingbook_SBV[[#This Row],[Quantity_edited]]=0,0,Tradingbook_SBV[[#This Row],[Cnvx.]])</f>
        <v>0</v>
      </c>
      <c r="DY527" s="71">
        <f>(Tradingbook_SBV[[#This Row],[MARKET_VALUE]]+Tradingbook_SBV[[#This Row],[Accr Int]]*Tradingbook_SBV[[#This Row],[Quantity_edited]])*(-Tradingbook_SBV[[#This Row],[Modified Duration]]*0.0001+0.5*Tradingbook_SBV[[#This Row],[Conv]]*(0.0001^2))</f>
        <v>0</v>
      </c>
      <c r="DZ527" s="71">
        <f>(Tradingbook_SBV[[#This Row],[MARKET_VALUE]]+Tradingbook_SBV[[#This Row],[Accr Int]]*Tradingbook_SBV[[#This Row],[Quantity_edited]])*(-Tradingbook_SBV[[#This Row],[Modified Duration]]*0.01+0.5*Tradingbook_SBV[[#This Row],[Conv]]*(0.01^2))</f>
        <v>0</v>
      </c>
    </row>
    <row r="528" spans="2:130" x14ac:dyDescent="0.3">
      <c r="B528" t="s">
        <v>166</v>
      </c>
      <c r="C528" t="s">
        <v>3302</v>
      </c>
      <c r="D528" t="s">
        <v>690</v>
      </c>
      <c r="E528" t="s">
        <v>169</v>
      </c>
      <c r="F528" s="502">
        <v>49597</v>
      </c>
      <c r="G528" t="s">
        <v>3322</v>
      </c>
      <c r="H528">
        <v>87340</v>
      </c>
      <c r="I528">
        <v>87340</v>
      </c>
      <c r="J528" s="38">
        <v>0</v>
      </c>
      <c r="K528">
        <v>0</v>
      </c>
      <c r="L528">
        <v>0</v>
      </c>
      <c r="M528" s="38">
        <v>0</v>
      </c>
      <c r="N528">
        <v>2.7</v>
      </c>
      <c r="O528">
        <v>2271</v>
      </c>
      <c r="P528" s="37">
        <v>1350000000</v>
      </c>
      <c r="Q528" s="37">
        <v>1558790999.999985</v>
      </c>
      <c r="R528" s="37">
        <v>1138467030.6250143</v>
      </c>
      <c r="S528">
        <v>4.4088647920000001</v>
      </c>
      <c r="T528" s="70">
        <v>7.6174415014125998</v>
      </c>
      <c r="U528">
        <v>7.9532841999999997</v>
      </c>
      <c r="V528">
        <v>71.218888781557695</v>
      </c>
      <c r="W528">
        <v>0</v>
      </c>
      <c r="X528" s="38">
        <v>0</v>
      </c>
      <c r="Y528">
        <v>0</v>
      </c>
      <c r="Z528" s="70">
        <v>10213500000</v>
      </c>
      <c r="AA528" s="70">
        <v>0</v>
      </c>
      <c r="AB528" s="70">
        <v>10213500000</v>
      </c>
      <c r="AC528" s="70">
        <v>10213500000</v>
      </c>
      <c r="AD528" s="70">
        <v>10213500000</v>
      </c>
      <c r="AE528" s="70">
        <v>10213500000</v>
      </c>
      <c r="AF528">
        <v>0</v>
      </c>
      <c r="AG528" s="72">
        <f>Tradingbook_MSB[[#This Row],[Mat. Date]]-RPT</f>
        <v>3345</v>
      </c>
      <c r="AH528" s="71">
        <f>IF(Tradingbook_MSB[[#This Row],[Days]]&lt;=0,0,YEARFRAC(RPT,Tradingbook_MSB[[#This Row],[Mat. Date]],3))</f>
        <v>9.1643835616438363</v>
      </c>
      <c r="AI528" s="71" t="str">
        <f>IF(Tradingbook_MSB[[#This Row],[Days (year)]]=0,0,INDEX(Ref!$K$2:$K$13,MATCH(Tradingbook_MSB[[#This Row],[Days (year)]],Ref!$I$2:$I$13,1)))</f>
        <v>10Y</v>
      </c>
      <c r="AJ528" s="120" t="str">
        <f>VLOOKUP(Tradingbook_MSB[[#This Row],[Security Name]],Ref!X:Z,3,0)</f>
        <v>TPCP</v>
      </c>
      <c r="AK528" s="120" t="str">
        <f>VLOOKUP(Tradingbook_MSB[[#This Row],[Security Name]],Ref!X:Y,2,0)</f>
        <v>KBNN</v>
      </c>
      <c r="AL528" s="71">
        <f>IF((Tradingbook_MSB[[#This Row],[Mat. Date]]-RPT)&lt;=0,0,Tradingbook_MSB[[#This Row],[QUANTITY]])</f>
        <v>0</v>
      </c>
      <c r="AM528" s="71">
        <f>IF(Tradingbook_MSB[[#This Row],[Quantity_edited]]=0,0,Tradingbook_MSB[[#This Row],[DURATION]])</f>
        <v>0</v>
      </c>
      <c r="AN528" s="71">
        <f>IF(Tradingbook_MSB[[#This Row],[Quantity_edited]]=0,0,Tradingbook_MSB[[#This Row],[Mod Dur]])</f>
        <v>0</v>
      </c>
      <c r="AO528" s="71">
        <f>IF(Tradingbook_MSB[[#This Row],[Quantity_edited]]=0,0,Tradingbook_MSB[[#This Row],[Cnvx.]])</f>
        <v>0</v>
      </c>
      <c r="AP528" s="71">
        <f>(Tradingbook_MSB[[#This Row],[MARKET_VALUE]]+Tradingbook_MSB[[#This Row],[Accr Int]]*Tradingbook_MSB[[#This Row],[Quantity_edited]])*(-Tradingbook_MSB[[#This Row],[Modified Duration]]*0.0001+0.5*Tradingbook_MSB[[#This Row],[Conv]]*(0.0001^2))</f>
        <v>0</v>
      </c>
      <c r="AQ528" s="72">
        <f>(Tradingbook_MSB[[#This Row],[MARKET_VALUE]]+Tradingbook_MSB[[#This Row],[Accr Int]]*Tradingbook_MSB[[#This Row],[Quantity_edited]])*(-Tradingbook_MSB[[#This Row],[Modified Duration]]*0.01+0.5*Tradingbook_MSB[[#This Row],[Conv]]*(0.01^2))</f>
        <v>0</v>
      </c>
      <c r="CL528" t="s">
        <v>166</v>
      </c>
      <c r="CM528" t="s">
        <v>3303</v>
      </c>
      <c r="CN528" t="s">
        <v>715</v>
      </c>
      <c r="CO528" t="s">
        <v>169</v>
      </c>
      <c r="CP528">
        <v>51830</v>
      </c>
      <c r="CQ528" t="s">
        <v>3322</v>
      </c>
      <c r="CR528" t="s">
        <v>4494</v>
      </c>
      <c r="CS528" t="s">
        <v>4495</v>
      </c>
      <c r="CT528">
        <v>0</v>
      </c>
      <c r="CU528">
        <v>0</v>
      </c>
      <c r="CV528">
        <v>0</v>
      </c>
      <c r="CW528">
        <v>0</v>
      </c>
      <c r="CX528">
        <v>2.7</v>
      </c>
      <c r="CY528">
        <v>1968</v>
      </c>
      <c r="CZ528">
        <v>0</v>
      </c>
      <c r="DA528">
        <v>0</v>
      </c>
      <c r="DB528">
        <v>3543254.3055534363</v>
      </c>
      <c r="DC528">
        <v>4.5827418550000001</v>
      </c>
      <c r="DD528">
        <v>12</v>
      </c>
      <c r="DE528">
        <v>12</v>
      </c>
      <c r="DF528">
        <v>166</v>
      </c>
      <c r="DG528">
        <v>0</v>
      </c>
      <c r="DH528">
        <v>0</v>
      </c>
      <c r="DI528">
        <v>0</v>
      </c>
      <c r="DJ528">
        <v>75000000</v>
      </c>
      <c r="DK528">
        <v>0</v>
      </c>
      <c r="DL528">
        <v>75000000</v>
      </c>
      <c r="DM528">
        <v>75000000</v>
      </c>
      <c r="DN528">
        <v>75000000</v>
      </c>
      <c r="DO528">
        <v>75000000</v>
      </c>
      <c r="DP528" s="32">
        <f>Tradingbook_SBV[[#This Row],[Mat. Date]]-RPT</f>
        <v>5578</v>
      </c>
      <c r="DQ528" s="32">
        <f>IF(Tradingbook_SBV[[#This Row],[Days]]&lt;=0,0,YEARFRAC(RPT,Tradingbook_SBV[[#This Row],[Mat. Date]],3))</f>
        <v>15.282191780821918</v>
      </c>
      <c r="DR528" s="32" t="str">
        <f>IF(Tradingbook_SBV[[#This Row],[Days (year)]]=0,0,INDEX(Ref!$K$2:$K$13,MATCH(Tradingbook_SBV[[#This Row],[Days (year)]],Ref!$I$2:$I$13,1)))</f>
        <v>15Y</v>
      </c>
      <c r="DS528" s="32" t="str">
        <f>VLOOKUP(Tradingbook_SBV[[#This Row],[Security Name]],Ref!X:Z,3,0)</f>
        <v>TPCP</v>
      </c>
      <c r="DT528" s="32" t="str">
        <f>VLOOKUP(Tradingbook_SBV[[#This Row],[Security Name]],Ref!X:Y,2,0)</f>
        <v>KBNN</v>
      </c>
      <c r="DU528" s="71">
        <f>IF((Tradingbook_SBV[[#This Row],[Mat. Date]]-RPT)&lt;=0,0,Tradingbook_SBV[[#This Row],[QUANTITY]])</f>
        <v>0</v>
      </c>
      <c r="DV528" s="71">
        <f>IF(Tradingbook_SBV[[#This Row],[Quantity_edited]]=0,0,Tradingbook_SBV[[#This Row],[DURATION]])</f>
        <v>0</v>
      </c>
      <c r="DW528" s="71">
        <f>IF(Tradingbook_SBV[[#This Row],[Quantity_edited]]=0,0,Tradingbook_SBV[[#This Row],[Mod Dur]])</f>
        <v>0</v>
      </c>
      <c r="DX528" s="71">
        <f>IF(Tradingbook_SBV[[#This Row],[Quantity_edited]]=0,0,Tradingbook_SBV[[#This Row],[Cnvx.]])</f>
        <v>0</v>
      </c>
      <c r="DY528" s="71">
        <f>(Tradingbook_SBV[[#This Row],[MARKET_VALUE]]+Tradingbook_SBV[[#This Row],[Accr Int]]*Tradingbook_SBV[[#This Row],[Quantity_edited]])*(-Tradingbook_SBV[[#This Row],[Modified Duration]]*0.0001+0.5*Tradingbook_SBV[[#This Row],[Conv]]*(0.0001^2))</f>
        <v>0</v>
      </c>
      <c r="DZ528" s="71">
        <f>(Tradingbook_SBV[[#This Row],[MARKET_VALUE]]+Tradingbook_SBV[[#This Row],[Accr Int]]*Tradingbook_SBV[[#This Row],[Quantity_edited]])*(-Tradingbook_SBV[[#This Row],[Modified Duration]]*0.01+0.5*Tradingbook_SBV[[#This Row],[Conv]]*(0.01^2))</f>
        <v>0</v>
      </c>
    </row>
    <row r="529" spans="2:130" x14ac:dyDescent="0.3">
      <c r="B529" t="s">
        <v>166</v>
      </c>
      <c r="C529" t="s">
        <v>3302</v>
      </c>
      <c r="D529" t="s">
        <v>692</v>
      </c>
      <c r="E529" t="s">
        <v>169</v>
      </c>
      <c r="F529" s="502">
        <v>49624</v>
      </c>
      <c r="G529" t="s">
        <v>3322</v>
      </c>
      <c r="H529">
        <v>88243</v>
      </c>
      <c r="I529">
        <v>88243</v>
      </c>
      <c r="J529" s="38">
        <v>0</v>
      </c>
      <c r="K529">
        <v>0</v>
      </c>
      <c r="L529">
        <v>0</v>
      </c>
      <c r="M529" s="38">
        <v>0</v>
      </c>
      <c r="N529">
        <v>3.3</v>
      </c>
      <c r="O529">
        <v>2532</v>
      </c>
      <c r="P529" s="37">
        <v>0</v>
      </c>
      <c r="Q529" s="37">
        <v>1.5E-5</v>
      </c>
      <c r="R529" s="37">
        <v>-1089470026.805542</v>
      </c>
      <c r="S529">
        <v>4.9124111890000002</v>
      </c>
      <c r="T529" s="70">
        <v>7.4361764521848999</v>
      </c>
      <c r="U529">
        <v>7.8014720200000003</v>
      </c>
      <c r="V529">
        <v>69.054952021216593</v>
      </c>
      <c r="W529">
        <v>0</v>
      </c>
      <c r="X529" s="38">
        <v>0</v>
      </c>
      <c r="Y529">
        <v>0</v>
      </c>
      <c r="Z529" s="70">
        <v>-8665000000</v>
      </c>
      <c r="AA529" s="70">
        <v>0</v>
      </c>
      <c r="AB529" s="70">
        <v>-8665000000</v>
      </c>
      <c r="AC529" s="70">
        <v>-8665000000</v>
      </c>
      <c r="AD529" s="70">
        <v>-8665000000</v>
      </c>
      <c r="AE529" s="70">
        <v>-8665000000</v>
      </c>
      <c r="AF529">
        <v>0</v>
      </c>
      <c r="AG529" s="72">
        <f>Tradingbook_MSB[[#This Row],[Mat. Date]]-RPT</f>
        <v>3372</v>
      </c>
      <c r="AH529" s="71">
        <f>IF(Tradingbook_MSB[[#This Row],[Days]]&lt;=0,0,YEARFRAC(RPT,Tradingbook_MSB[[#This Row],[Mat. Date]],3))</f>
        <v>9.2383561643835623</v>
      </c>
      <c r="AI529" s="71" t="str">
        <f>IF(Tradingbook_MSB[[#This Row],[Days (year)]]=0,0,INDEX(Ref!$K$2:$K$13,MATCH(Tradingbook_MSB[[#This Row],[Days (year)]],Ref!$I$2:$I$13,1)))</f>
        <v>10Y</v>
      </c>
      <c r="AJ529" s="120" t="str">
        <f>VLOOKUP(Tradingbook_MSB[[#This Row],[Security Name]],Ref!X:Z,3,0)</f>
        <v>TPCPBL</v>
      </c>
      <c r="AK529" s="120" t="str">
        <f>VLOOKUP(Tradingbook_MSB[[#This Row],[Security Name]],Ref!X:Y,2,0)</f>
        <v>VDB</v>
      </c>
      <c r="AL529" s="71">
        <f>IF((Tradingbook_MSB[[#This Row],[Mat. Date]]-RPT)&lt;=0,0,Tradingbook_MSB[[#This Row],[QUANTITY]])</f>
        <v>0</v>
      </c>
      <c r="AM529" s="71">
        <f>IF(Tradingbook_MSB[[#This Row],[Quantity_edited]]=0,0,Tradingbook_MSB[[#This Row],[DURATION]])</f>
        <v>0</v>
      </c>
      <c r="AN529" s="71">
        <f>IF(Tradingbook_MSB[[#This Row],[Quantity_edited]]=0,0,Tradingbook_MSB[[#This Row],[Mod Dur]])</f>
        <v>0</v>
      </c>
      <c r="AO529" s="71">
        <f>IF(Tradingbook_MSB[[#This Row],[Quantity_edited]]=0,0,Tradingbook_MSB[[#This Row],[Cnvx.]])</f>
        <v>0</v>
      </c>
      <c r="AP529" s="71">
        <f>(Tradingbook_MSB[[#This Row],[MARKET_VALUE]]+Tradingbook_MSB[[#This Row],[Accr Int]]*Tradingbook_MSB[[#This Row],[Quantity_edited]])*(-Tradingbook_MSB[[#This Row],[Modified Duration]]*0.0001+0.5*Tradingbook_MSB[[#This Row],[Conv]]*(0.0001^2))</f>
        <v>0</v>
      </c>
      <c r="AQ529" s="72">
        <f>(Tradingbook_MSB[[#This Row],[MARKET_VALUE]]+Tradingbook_MSB[[#This Row],[Accr Int]]*Tradingbook_MSB[[#This Row],[Quantity_edited]])*(-Tradingbook_MSB[[#This Row],[Modified Duration]]*0.01+0.5*Tradingbook_MSB[[#This Row],[Conv]]*(0.01^2))</f>
        <v>0</v>
      </c>
      <c r="CL529" t="s">
        <v>166</v>
      </c>
      <c r="CM529" t="s">
        <v>3303</v>
      </c>
      <c r="CN529" t="s">
        <v>2498</v>
      </c>
      <c r="CO529" t="s">
        <v>169</v>
      </c>
      <c r="CP529">
        <v>52320</v>
      </c>
      <c r="CQ529" t="s">
        <v>3322</v>
      </c>
      <c r="CR529" t="s">
        <v>4496</v>
      </c>
      <c r="CS529" t="s">
        <v>4497</v>
      </c>
      <c r="CT529">
        <v>0</v>
      </c>
      <c r="CU529">
        <v>0</v>
      </c>
      <c r="CV529">
        <v>0</v>
      </c>
      <c r="CW529">
        <v>0</v>
      </c>
      <c r="CX529">
        <v>3.7</v>
      </c>
      <c r="CY529">
        <v>1429</v>
      </c>
      <c r="CZ529">
        <v>1860000000</v>
      </c>
      <c r="DA529">
        <v>2039740583.3333361</v>
      </c>
      <c r="DB529">
        <v>-904697624.99999046</v>
      </c>
      <c r="DC529">
        <v>4.6063254560000004</v>
      </c>
      <c r="DD529">
        <v>12</v>
      </c>
      <c r="DE529">
        <v>12</v>
      </c>
      <c r="DF529">
        <v>178</v>
      </c>
      <c r="DG529">
        <v>0</v>
      </c>
      <c r="DH529">
        <v>0</v>
      </c>
      <c r="DI529">
        <v>0</v>
      </c>
      <c r="DJ529">
        <v>-209500000</v>
      </c>
      <c r="DK529">
        <v>0</v>
      </c>
      <c r="DL529">
        <v>-209500000</v>
      </c>
      <c r="DM529">
        <v>-209500000</v>
      </c>
      <c r="DN529">
        <v>-209500000</v>
      </c>
      <c r="DO529">
        <v>-209500000</v>
      </c>
      <c r="DP529" s="32">
        <f>Tradingbook_SBV[[#This Row],[Mat. Date]]-RPT</f>
        <v>6068</v>
      </c>
      <c r="DQ529" s="32">
        <f>IF(Tradingbook_SBV[[#This Row],[Days]]&lt;=0,0,YEARFRAC(RPT,Tradingbook_SBV[[#This Row],[Mat. Date]],3))</f>
        <v>16.624657534246577</v>
      </c>
      <c r="DR529" s="32" t="str">
        <f>IF(Tradingbook_SBV[[#This Row],[Days (year)]]=0,0,INDEX(Ref!$K$2:$K$13,MATCH(Tradingbook_SBV[[#This Row],[Days (year)]],Ref!$I$2:$I$13,1)))</f>
        <v>20Y</v>
      </c>
      <c r="DS529" s="32" t="str">
        <f>VLOOKUP(Tradingbook_SBV[[#This Row],[Security Name]],Ref!X:Z,3,0)</f>
        <v>TPCP</v>
      </c>
      <c r="DT529" s="32" t="str">
        <f>VLOOKUP(Tradingbook_SBV[[#This Row],[Security Name]],Ref!X:Y,2,0)</f>
        <v>KBNN</v>
      </c>
      <c r="DU529" s="71">
        <f>IF((Tradingbook_SBV[[#This Row],[Mat. Date]]-RPT)&lt;=0,0,Tradingbook_SBV[[#This Row],[QUANTITY]])</f>
        <v>0</v>
      </c>
      <c r="DV529" s="71">
        <f>IF(Tradingbook_SBV[[#This Row],[Quantity_edited]]=0,0,Tradingbook_SBV[[#This Row],[DURATION]])</f>
        <v>0</v>
      </c>
      <c r="DW529" s="71">
        <f>IF(Tradingbook_SBV[[#This Row],[Quantity_edited]]=0,0,Tradingbook_SBV[[#This Row],[Mod Dur]])</f>
        <v>0</v>
      </c>
      <c r="DX529" s="71">
        <f>IF(Tradingbook_SBV[[#This Row],[Quantity_edited]]=0,0,Tradingbook_SBV[[#This Row],[Cnvx.]])</f>
        <v>0</v>
      </c>
      <c r="DY529" s="71">
        <f>(Tradingbook_SBV[[#This Row],[MARKET_VALUE]]+Tradingbook_SBV[[#This Row],[Accr Int]]*Tradingbook_SBV[[#This Row],[Quantity_edited]])*(-Tradingbook_SBV[[#This Row],[Modified Duration]]*0.0001+0.5*Tradingbook_SBV[[#This Row],[Conv]]*(0.0001^2))</f>
        <v>0</v>
      </c>
      <c r="DZ529" s="71">
        <f>(Tradingbook_SBV[[#This Row],[MARKET_VALUE]]+Tradingbook_SBV[[#This Row],[Accr Int]]*Tradingbook_SBV[[#This Row],[Quantity_edited]])*(-Tradingbook_SBV[[#This Row],[Modified Duration]]*0.01+0.5*Tradingbook_SBV[[#This Row],[Conv]]*(0.01^2))</f>
        <v>0</v>
      </c>
    </row>
    <row r="530" spans="2:130" x14ac:dyDescent="0.3">
      <c r="B530" t="s">
        <v>166</v>
      </c>
      <c r="C530" t="s">
        <v>3302</v>
      </c>
      <c r="D530" t="s">
        <v>693</v>
      </c>
      <c r="E530" t="s">
        <v>169</v>
      </c>
      <c r="F530" s="502">
        <v>49639</v>
      </c>
      <c r="G530" t="s">
        <v>3322</v>
      </c>
      <c r="H530">
        <v>87170</v>
      </c>
      <c r="I530">
        <v>87170</v>
      </c>
      <c r="J530" s="38">
        <v>0</v>
      </c>
      <c r="K530">
        <v>0</v>
      </c>
      <c r="L530">
        <v>0</v>
      </c>
      <c r="M530" s="38">
        <v>0</v>
      </c>
      <c r="N530">
        <v>2.7</v>
      </c>
      <c r="O530">
        <v>1960</v>
      </c>
      <c r="P530" s="37">
        <v>4050000000</v>
      </c>
      <c r="Q530" s="37">
        <v>4395729374.999979</v>
      </c>
      <c r="R530" s="37">
        <v>-11898885704.763763</v>
      </c>
      <c r="S530">
        <v>4.4142682549999996</v>
      </c>
      <c r="T530" s="70">
        <v>7.7269324025234001</v>
      </c>
      <c r="U530">
        <v>8.0680199300000002</v>
      </c>
      <c r="V530">
        <v>73.004355580913696</v>
      </c>
      <c r="W530">
        <v>0</v>
      </c>
      <c r="X530" s="38">
        <v>0</v>
      </c>
      <c r="Y530">
        <v>0</v>
      </c>
      <c r="Z530" s="70">
        <v>-46295630000</v>
      </c>
      <c r="AA530" s="70">
        <v>0</v>
      </c>
      <c r="AB530" s="70">
        <v>-46295630000</v>
      </c>
      <c r="AC530" s="70">
        <v>-46295630000</v>
      </c>
      <c r="AD530" s="70">
        <v>-46295630000</v>
      </c>
      <c r="AE530" s="70">
        <v>-46295630000</v>
      </c>
      <c r="AF530">
        <v>0</v>
      </c>
      <c r="AG530" s="72">
        <f>Tradingbook_MSB[[#This Row],[Mat. Date]]-RPT</f>
        <v>3387</v>
      </c>
      <c r="AH530" s="71">
        <f>IF(Tradingbook_MSB[[#This Row],[Days]]&lt;=0,0,YEARFRAC(RPT,Tradingbook_MSB[[#This Row],[Mat. Date]],3))</f>
        <v>9.2794520547945201</v>
      </c>
      <c r="AI530" s="71" t="str">
        <f>IF(Tradingbook_MSB[[#This Row],[Days (year)]]=0,0,INDEX(Ref!$K$2:$K$13,MATCH(Tradingbook_MSB[[#This Row],[Days (year)]],Ref!$I$2:$I$13,1)))</f>
        <v>10Y</v>
      </c>
      <c r="AJ530" s="120" t="str">
        <f>VLOOKUP(Tradingbook_MSB[[#This Row],[Security Name]],Ref!X:Z,3,0)</f>
        <v>TPCP</v>
      </c>
      <c r="AK530" s="120" t="str">
        <f>VLOOKUP(Tradingbook_MSB[[#This Row],[Security Name]],Ref!X:Y,2,0)</f>
        <v>KBNN</v>
      </c>
      <c r="AL530" s="71">
        <f>IF((Tradingbook_MSB[[#This Row],[Mat. Date]]-RPT)&lt;=0,0,Tradingbook_MSB[[#This Row],[QUANTITY]])</f>
        <v>0</v>
      </c>
      <c r="AM530" s="71">
        <f>IF(Tradingbook_MSB[[#This Row],[Quantity_edited]]=0,0,Tradingbook_MSB[[#This Row],[DURATION]])</f>
        <v>0</v>
      </c>
      <c r="AN530" s="71">
        <f>IF(Tradingbook_MSB[[#This Row],[Quantity_edited]]=0,0,Tradingbook_MSB[[#This Row],[Mod Dur]])</f>
        <v>0</v>
      </c>
      <c r="AO530" s="71">
        <f>IF(Tradingbook_MSB[[#This Row],[Quantity_edited]]=0,0,Tradingbook_MSB[[#This Row],[Cnvx.]])</f>
        <v>0</v>
      </c>
      <c r="AP530" s="71">
        <f>(Tradingbook_MSB[[#This Row],[MARKET_VALUE]]+Tradingbook_MSB[[#This Row],[Accr Int]]*Tradingbook_MSB[[#This Row],[Quantity_edited]])*(-Tradingbook_MSB[[#This Row],[Modified Duration]]*0.0001+0.5*Tradingbook_MSB[[#This Row],[Conv]]*(0.0001^2))</f>
        <v>0</v>
      </c>
      <c r="AQ530" s="72">
        <f>(Tradingbook_MSB[[#This Row],[MARKET_VALUE]]+Tradingbook_MSB[[#This Row],[Accr Int]]*Tradingbook_MSB[[#This Row],[Quantity_edited]])*(-Tradingbook_MSB[[#This Row],[Modified Duration]]*0.01+0.5*Tradingbook_MSB[[#This Row],[Conv]]*(0.01^2))</f>
        <v>0</v>
      </c>
      <c r="CL530" t="s">
        <v>166</v>
      </c>
      <c r="CM530" t="s">
        <v>3303</v>
      </c>
      <c r="CN530" t="s">
        <v>717</v>
      </c>
      <c r="CO530" t="s">
        <v>169</v>
      </c>
      <c r="CP530">
        <v>53326</v>
      </c>
      <c r="CQ530" t="s">
        <v>3322</v>
      </c>
      <c r="CR530" t="s">
        <v>4498</v>
      </c>
      <c r="CS530" t="s">
        <v>4499</v>
      </c>
      <c r="CT530">
        <v>0</v>
      </c>
      <c r="CU530">
        <v>0</v>
      </c>
      <c r="CV530">
        <v>0</v>
      </c>
      <c r="CW530">
        <v>0</v>
      </c>
      <c r="CX530">
        <v>8</v>
      </c>
      <c r="CY530">
        <v>5063</v>
      </c>
      <c r="CZ530">
        <v>0</v>
      </c>
      <c r="DA530">
        <v>-1.5300000000000001E-4</v>
      </c>
      <c r="DB530">
        <v>-13135579015.425034</v>
      </c>
      <c r="DC530">
        <v>4.6547900689999997</v>
      </c>
      <c r="DD530">
        <v>11</v>
      </c>
      <c r="DE530">
        <v>11</v>
      </c>
      <c r="DF530">
        <v>174</v>
      </c>
      <c r="DG530">
        <v>0</v>
      </c>
      <c r="DH530">
        <v>0</v>
      </c>
      <c r="DI530">
        <v>0</v>
      </c>
      <c r="DJ530">
        <v>-10471749999.999512</v>
      </c>
      <c r="DK530">
        <v>0</v>
      </c>
      <c r="DL530">
        <v>-10471749999.999512</v>
      </c>
      <c r="DM530">
        <v>-10471749999.999512</v>
      </c>
      <c r="DN530">
        <v>-10471750000</v>
      </c>
      <c r="DO530">
        <v>-10471749999.999512</v>
      </c>
      <c r="DP530" s="32">
        <f>Tradingbook_SBV[[#This Row],[Mat. Date]]-RPT</f>
        <v>7074</v>
      </c>
      <c r="DQ530" s="32">
        <f>IF(Tradingbook_SBV[[#This Row],[Days]]&lt;=0,0,YEARFRAC(RPT,Tradingbook_SBV[[#This Row],[Mat. Date]],3))</f>
        <v>19.38082191780822</v>
      </c>
      <c r="DR530" s="32" t="str">
        <f>IF(Tradingbook_SBV[[#This Row],[Days (year)]]=0,0,INDEX(Ref!$K$2:$K$13,MATCH(Tradingbook_SBV[[#This Row],[Days (year)]],Ref!$I$2:$I$13,1)))</f>
        <v>20Y</v>
      </c>
      <c r="DS530" s="32" t="str">
        <f>VLOOKUP(Tradingbook_SBV[[#This Row],[Security Name]],Ref!X:Z,3,0)</f>
        <v>TPCP</v>
      </c>
      <c r="DT530" s="32" t="str">
        <f>VLOOKUP(Tradingbook_SBV[[#This Row],[Security Name]],Ref!X:Y,2,0)</f>
        <v>KBNN</v>
      </c>
      <c r="DU530" s="71">
        <f>IF((Tradingbook_SBV[[#This Row],[Mat. Date]]-RPT)&lt;=0,0,Tradingbook_SBV[[#This Row],[QUANTITY]])</f>
        <v>0</v>
      </c>
      <c r="DV530" s="71">
        <f>IF(Tradingbook_SBV[[#This Row],[Quantity_edited]]=0,0,Tradingbook_SBV[[#This Row],[DURATION]])</f>
        <v>0</v>
      </c>
      <c r="DW530" s="71">
        <f>IF(Tradingbook_SBV[[#This Row],[Quantity_edited]]=0,0,Tradingbook_SBV[[#This Row],[Mod Dur]])</f>
        <v>0</v>
      </c>
      <c r="DX530" s="71">
        <f>IF(Tradingbook_SBV[[#This Row],[Quantity_edited]]=0,0,Tradingbook_SBV[[#This Row],[Cnvx.]])</f>
        <v>0</v>
      </c>
      <c r="DY530" s="71">
        <f>(Tradingbook_SBV[[#This Row],[MARKET_VALUE]]+Tradingbook_SBV[[#This Row],[Accr Int]]*Tradingbook_SBV[[#This Row],[Quantity_edited]])*(-Tradingbook_SBV[[#This Row],[Modified Duration]]*0.0001+0.5*Tradingbook_SBV[[#This Row],[Conv]]*(0.0001^2))</f>
        <v>0</v>
      </c>
      <c r="DZ530" s="71">
        <f>(Tradingbook_SBV[[#This Row],[MARKET_VALUE]]+Tradingbook_SBV[[#This Row],[Accr Int]]*Tradingbook_SBV[[#This Row],[Quantity_edited]])*(-Tradingbook_SBV[[#This Row],[Modified Duration]]*0.01+0.5*Tradingbook_SBV[[#This Row],[Conv]]*(0.01^2))</f>
        <v>0</v>
      </c>
    </row>
    <row r="531" spans="2:130" x14ac:dyDescent="0.3">
      <c r="B531" t="s">
        <v>166</v>
      </c>
      <c r="C531" t="s">
        <v>3302</v>
      </c>
      <c r="D531" t="s">
        <v>695</v>
      </c>
      <c r="E531" t="s">
        <v>169</v>
      </c>
      <c r="F531" s="502">
        <v>49640</v>
      </c>
      <c r="G531" t="s">
        <v>170</v>
      </c>
      <c r="H531">
        <v>85262</v>
      </c>
      <c r="I531">
        <v>85262</v>
      </c>
      <c r="J531" s="38">
        <v>1000000</v>
      </c>
      <c r="K531">
        <v>100000000000</v>
      </c>
      <c r="L531">
        <v>99795</v>
      </c>
      <c r="M531" s="38">
        <v>85262000000</v>
      </c>
      <c r="N531">
        <v>2.9</v>
      </c>
      <c r="O531">
        <v>2098</v>
      </c>
      <c r="P531" s="37">
        <v>0</v>
      </c>
      <c r="Q531" s="37">
        <v>0</v>
      </c>
      <c r="R531" s="37">
        <v>19131732.500001907</v>
      </c>
      <c r="S531">
        <v>4.9143728690000001</v>
      </c>
      <c r="T531" s="70">
        <v>7.5990060252990004</v>
      </c>
      <c r="U531">
        <v>7.9724495199999996</v>
      </c>
      <c r="V531">
        <v>71.216251050702198</v>
      </c>
      <c r="W531">
        <v>62214.516917893401</v>
      </c>
      <c r="X531" s="38">
        <v>-66384.916637011993</v>
      </c>
      <c r="Y531">
        <v>11483.05</v>
      </c>
      <c r="Z531" s="70">
        <v>-37000000</v>
      </c>
      <c r="AA531" s="70">
        <v>-14533000000</v>
      </c>
      <c r="AB531" s="70">
        <v>-14570000000</v>
      </c>
      <c r="AC531" s="70">
        <v>-14570000000</v>
      </c>
      <c r="AD531" s="70">
        <v>-14570000000</v>
      </c>
      <c r="AE531" s="70">
        <v>-14570000000</v>
      </c>
      <c r="AF531">
        <v>2.9200353689999998</v>
      </c>
      <c r="AG531" s="72">
        <f>Tradingbook_MSB[[#This Row],[Mat. Date]]-RPT</f>
        <v>3388</v>
      </c>
      <c r="AH531" s="71">
        <f>IF(Tradingbook_MSB[[#This Row],[Days]]&lt;=0,0,YEARFRAC(RPT,Tradingbook_MSB[[#This Row],[Mat. Date]],3))</f>
        <v>9.2821917808219183</v>
      </c>
      <c r="AI531" s="71" t="str">
        <f>IF(Tradingbook_MSB[[#This Row],[Days (year)]]=0,0,INDEX(Ref!$K$2:$K$13,MATCH(Tradingbook_MSB[[#This Row],[Days (year)]],Ref!$I$2:$I$13,1)))</f>
        <v>10Y</v>
      </c>
      <c r="AJ531" s="120" t="str">
        <f>VLOOKUP(Tradingbook_MSB[[#This Row],[Security Name]],Ref!X:Z,3,0)</f>
        <v>TPCPBL</v>
      </c>
      <c r="AK531" s="120" t="str">
        <f>VLOOKUP(Tradingbook_MSB[[#This Row],[Security Name]],Ref!X:Y,2,0)</f>
        <v>VBS</v>
      </c>
      <c r="AL531" s="71">
        <f>IF((Tradingbook_MSB[[#This Row],[Mat. Date]]-RPT)&lt;=0,0,Tradingbook_MSB[[#This Row],[QUANTITY]])</f>
        <v>1000000</v>
      </c>
      <c r="AM531" s="71">
        <f>IF(Tradingbook_MSB[[#This Row],[Quantity_edited]]=0,0,Tradingbook_MSB[[#This Row],[DURATION]])</f>
        <v>7.9724495199999996</v>
      </c>
      <c r="AN531" s="71">
        <f>IF(Tradingbook_MSB[[#This Row],[Quantity_edited]]=0,0,Tradingbook_MSB[[#This Row],[Mod Dur]])</f>
        <v>7.5990060252990004</v>
      </c>
      <c r="AO531" s="71">
        <f>IF(Tradingbook_MSB[[#This Row],[Quantity_edited]]=0,0,Tradingbook_MSB[[#This Row],[Cnvx.]])</f>
        <v>71.216251050702198</v>
      </c>
      <c r="AP531" s="71">
        <f>(Tradingbook_MSB[[#This Row],[MARKET_VALUE]]+Tradingbook_MSB[[#This Row],[Accr Int]]*Tradingbook_MSB[[#This Row],[Quantity_edited]])*(-Tradingbook_MSB[[#This Row],[Modified Duration]]*0.0001+0.5*Tradingbook_MSB[[#This Row],[Conv]]*(0.0001^2))</f>
        <v>-66353809.37855313</v>
      </c>
      <c r="AQ531" s="72">
        <f>(Tradingbook_MSB[[#This Row],[MARKET_VALUE]]+Tradingbook_MSB[[#This Row],[Accr Int]]*Tradingbook_MSB[[#This Row],[Quantity_edited]])*(-Tradingbook_MSB[[#This Row],[Modified Duration]]*0.01+0.5*Tradingbook_MSB[[#This Row],[Conv]]*(0.01^2))</f>
        <v>-6327419079.1117392</v>
      </c>
      <c r="CL531" t="s">
        <v>166</v>
      </c>
      <c r="CM531" t="s">
        <v>3303</v>
      </c>
      <c r="CN531" t="s">
        <v>718</v>
      </c>
      <c r="CO531" t="s">
        <v>169</v>
      </c>
      <c r="CP531">
        <v>53355</v>
      </c>
      <c r="CQ531" t="s">
        <v>3322</v>
      </c>
      <c r="CR531" t="s">
        <v>4500</v>
      </c>
      <c r="CS531" t="s">
        <v>4501</v>
      </c>
      <c r="CT531">
        <v>0</v>
      </c>
      <c r="CU531">
        <v>0</v>
      </c>
      <c r="CV531">
        <v>0</v>
      </c>
      <c r="CW531">
        <v>0</v>
      </c>
      <c r="CX531">
        <v>8</v>
      </c>
      <c r="CY531">
        <v>4427</v>
      </c>
      <c r="CZ531">
        <v>0</v>
      </c>
      <c r="DA531">
        <v>-1.0900000000000001E-4</v>
      </c>
      <c r="DB531">
        <v>-7755985185.2554092</v>
      </c>
      <c r="DC531">
        <v>4.6561609600000002</v>
      </c>
      <c r="DD531">
        <v>11</v>
      </c>
      <c r="DE531">
        <v>12</v>
      </c>
      <c r="DF531">
        <v>176</v>
      </c>
      <c r="DG531">
        <v>0</v>
      </c>
      <c r="DH531">
        <v>0</v>
      </c>
      <c r="DI531">
        <v>0</v>
      </c>
      <c r="DJ531">
        <v>-19668940000.000977</v>
      </c>
      <c r="DK531">
        <v>0</v>
      </c>
      <c r="DL531">
        <v>-19668940000.000977</v>
      </c>
      <c r="DM531">
        <v>-19668940000.000977</v>
      </c>
      <c r="DN531">
        <v>-19668940000.000999</v>
      </c>
      <c r="DO531">
        <v>-19668940000.000977</v>
      </c>
      <c r="DP531" s="32">
        <f>Tradingbook_SBV[[#This Row],[Mat. Date]]-RPT</f>
        <v>7103</v>
      </c>
      <c r="DQ531" s="32">
        <f>IF(Tradingbook_SBV[[#This Row],[Days]]&lt;=0,0,YEARFRAC(RPT,Tradingbook_SBV[[#This Row],[Mat. Date]],3))</f>
        <v>19.460273972602739</v>
      </c>
      <c r="DR531" s="32" t="str">
        <f>IF(Tradingbook_SBV[[#This Row],[Days (year)]]=0,0,INDEX(Ref!$K$2:$K$13,MATCH(Tradingbook_SBV[[#This Row],[Days (year)]],Ref!$I$2:$I$13,1)))</f>
        <v>20Y</v>
      </c>
      <c r="DS531" s="32" t="str">
        <f>VLOOKUP(Tradingbook_SBV[[#This Row],[Security Name]],Ref!X:Z,3,0)</f>
        <v>TPCP</v>
      </c>
      <c r="DT531" s="32" t="str">
        <f>VLOOKUP(Tradingbook_SBV[[#This Row],[Security Name]],Ref!X:Y,2,0)</f>
        <v>KBNN</v>
      </c>
      <c r="DU531" s="71">
        <f>IF((Tradingbook_SBV[[#This Row],[Mat. Date]]-RPT)&lt;=0,0,Tradingbook_SBV[[#This Row],[QUANTITY]])</f>
        <v>0</v>
      </c>
      <c r="DV531" s="71">
        <f>IF(Tradingbook_SBV[[#This Row],[Quantity_edited]]=0,0,Tradingbook_SBV[[#This Row],[DURATION]])</f>
        <v>0</v>
      </c>
      <c r="DW531" s="71">
        <f>IF(Tradingbook_SBV[[#This Row],[Quantity_edited]]=0,0,Tradingbook_SBV[[#This Row],[Mod Dur]])</f>
        <v>0</v>
      </c>
      <c r="DX531" s="71">
        <f>IF(Tradingbook_SBV[[#This Row],[Quantity_edited]]=0,0,Tradingbook_SBV[[#This Row],[Cnvx.]])</f>
        <v>0</v>
      </c>
      <c r="DY531" s="71">
        <f>(Tradingbook_SBV[[#This Row],[MARKET_VALUE]]+Tradingbook_SBV[[#This Row],[Accr Int]]*Tradingbook_SBV[[#This Row],[Quantity_edited]])*(-Tradingbook_SBV[[#This Row],[Modified Duration]]*0.0001+0.5*Tradingbook_SBV[[#This Row],[Conv]]*(0.0001^2))</f>
        <v>0</v>
      </c>
      <c r="DZ531" s="71">
        <f>(Tradingbook_SBV[[#This Row],[MARKET_VALUE]]+Tradingbook_SBV[[#This Row],[Accr Int]]*Tradingbook_SBV[[#This Row],[Quantity_edited]])*(-Tradingbook_SBV[[#This Row],[Modified Duration]]*0.01+0.5*Tradingbook_SBV[[#This Row],[Conv]]*(0.01^2))</f>
        <v>0</v>
      </c>
    </row>
    <row r="532" spans="2:130" x14ac:dyDescent="0.3">
      <c r="B532" t="s">
        <v>166</v>
      </c>
      <c r="C532" t="s">
        <v>3302</v>
      </c>
      <c r="D532" t="s">
        <v>697</v>
      </c>
      <c r="E532" t="s">
        <v>169</v>
      </c>
      <c r="F532" s="502">
        <v>49660</v>
      </c>
      <c r="G532" t="s">
        <v>3322</v>
      </c>
      <c r="H532">
        <v>85584</v>
      </c>
      <c r="I532">
        <v>85584</v>
      </c>
      <c r="J532" s="38">
        <v>0</v>
      </c>
      <c r="K532">
        <v>0</v>
      </c>
      <c r="L532">
        <v>0</v>
      </c>
      <c r="M532" s="38">
        <v>0</v>
      </c>
      <c r="N532">
        <v>2.5</v>
      </c>
      <c r="O532">
        <v>1671</v>
      </c>
      <c r="P532" s="37">
        <v>925000000</v>
      </c>
      <c r="Q532" s="37">
        <v>1067060986.111051</v>
      </c>
      <c r="R532" s="37">
        <v>-5770528729.0860157</v>
      </c>
      <c r="S532">
        <v>4.41689212</v>
      </c>
      <c r="T532" s="70">
        <v>7.8471979742575</v>
      </c>
      <c r="U532">
        <v>8.1938002399999998</v>
      </c>
      <c r="V532">
        <v>74.729626893605399</v>
      </c>
      <c r="W532">
        <v>0</v>
      </c>
      <c r="X532" s="38">
        <v>0</v>
      </c>
      <c r="Y532">
        <v>0</v>
      </c>
      <c r="Z532" s="70">
        <v>-24674750000</v>
      </c>
      <c r="AA532" s="70">
        <v>0</v>
      </c>
      <c r="AB532" s="70">
        <v>-24674750000</v>
      </c>
      <c r="AC532" s="70">
        <v>-24674750000</v>
      </c>
      <c r="AD532" s="70">
        <v>-24674750000</v>
      </c>
      <c r="AE532" s="70">
        <v>-24674750000</v>
      </c>
      <c r="AF532">
        <v>0</v>
      </c>
      <c r="AG532" s="72">
        <f>Tradingbook_MSB[[#This Row],[Mat. Date]]-RPT</f>
        <v>3408</v>
      </c>
      <c r="AH532" s="71">
        <f>IF(Tradingbook_MSB[[#This Row],[Days]]&lt;=0,0,YEARFRAC(RPT,Tradingbook_MSB[[#This Row],[Mat. Date]],3))</f>
        <v>9.3369863013698637</v>
      </c>
      <c r="AI532" s="71" t="str">
        <f>IF(Tradingbook_MSB[[#This Row],[Days (year)]]=0,0,INDEX(Ref!$K$2:$K$13,MATCH(Tradingbook_MSB[[#This Row],[Days (year)]],Ref!$I$2:$I$13,1)))</f>
        <v>10Y</v>
      </c>
      <c r="AJ532" s="120" t="str">
        <f>VLOOKUP(Tradingbook_MSB[[#This Row],[Security Name]],Ref!X:Z,3,0)</f>
        <v>TPCP</v>
      </c>
      <c r="AK532" s="120" t="str">
        <f>VLOOKUP(Tradingbook_MSB[[#This Row],[Security Name]],Ref!X:Y,2,0)</f>
        <v>KBNN</v>
      </c>
      <c r="AL532" s="71">
        <f>IF((Tradingbook_MSB[[#This Row],[Mat. Date]]-RPT)&lt;=0,0,Tradingbook_MSB[[#This Row],[QUANTITY]])</f>
        <v>0</v>
      </c>
      <c r="AM532" s="71">
        <f>IF(Tradingbook_MSB[[#This Row],[Quantity_edited]]=0,0,Tradingbook_MSB[[#This Row],[DURATION]])</f>
        <v>0</v>
      </c>
      <c r="AN532" s="71">
        <f>IF(Tradingbook_MSB[[#This Row],[Quantity_edited]]=0,0,Tradingbook_MSB[[#This Row],[Mod Dur]])</f>
        <v>0</v>
      </c>
      <c r="AO532" s="71">
        <f>IF(Tradingbook_MSB[[#This Row],[Quantity_edited]]=0,0,Tradingbook_MSB[[#This Row],[Cnvx.]])</f>
        <v>0</v>
      </c>
      <c r="AP532" s="71">
        <f>(Tradingbook_MSB[[#This Row],[MARKET_VALUE]]+Tradingbook_MSB[[#This Row],[Accr Int]]*Tradingbook_MSB[[#This Row],[Quantity_edited]])*(-Tradingbook_MSB[[#This Row],[Modified Duration]]*0.0001+0.5*Tradingbook_MSB[[#This Row],[Conv]]*(0.0001^2))</f>
        <v>0</v>
      </c>
      <c r="AQ532" s="72">
        <f>(Tradingbook_MSB[[#This Row],[MARKET_VALUE]]+Tradingbook_MSB[[#This Row],[Accr Int]]*Tradingbook_MSB[[#This Row],[Quantity_edited]])*(-Tradingbook_MSB[[#This Row],[Modified Duration]]*0.01+0.5*Tradingbook_MSB[[#This Row],[Conv]]*(0.01^2))</f>
        <v>0</v>
      </c>
      <c r="CL532" t="s">
        <v>166</v>
      </c>
      <c r="CM532" t="s">
        <v>3303</v>
      </c>
      <c r="CN532" t="s">
        <v>719</v>
      </c>
      <c r="CO532" t="s">
        <v>169</v>
      </c>
      <c r="CP532">
        <v>53487</v>
      </c>
      <c r="CQ532" t="s">
        <v>3322</v>
      </c>
      <c r="CR532" t="s">
        <v>4502</v>
      </c>
      <c r="CS532" t="s">
        <v>4503</v>
      </c>
      <c r="CT532">
        <v>0</v>
      </c>
      <c r="CU532">
        <v>0</v>
      </c>
      <c r="CV532">
        <v>0</v>
      </c>
      <c r="CW532">
        <v>0</v>
      </c>
      <c r="CX532">
        <v>8</v>
      </c>
      <c r="CY532">
        <v>1534</v>
      </c>
      <c r="CZ532">
        <v>0</v>
      </c>
      <c r="DA532">
        <v>-1.37E-4</v>
      </c>
      <c r="DB532">
        <v>-4881265878.9925461</v>
      </c>
      <c r="DC532">
        <v>4.6625396370000001</v>
      </c>
      <c r="DD532">
        <v>11</v>
      </c>
      <c r="DE532">
        <v>12</v>
      </c>
      <c r="DF532">
        <v>184</v>
      </c>
      <c r="DG532">
        <v>0</v>
      </c>
      <c r="DH532">
        <v>0</v>
      </c>
      <c r="DI532">
        <v>0</v>
      </c>
      <c r="DJ532">
        <v>-5391850000</v>
      </c>
      <c r="DK532">
        <v>0</v>
      </c>
      <c r="DL532">
        <v>-5391850000</v>
      </c>
      <c r="DM532">
        <v>-5391850000</v>
      </c>
      <c r="DN532">
        <v>-5391850000</v>
      </c>
      <c r="DO532">
        <v>-5391850000</v>
      </c>
      <c r="DP532" s="32">
        <f>Tradingbook_SBV[[#This Row],[Mat. Date]]-RPT</f>
        <v>7235</v>
      </c>
      <c r="DQ532" s="32">
        <f>IF(Tradingbook_SBV[[#This Row],[Days]]&lt;=0,0,YEARFRAC(RPT,Tradingbook_SBV[[#This Row],[Mat. Date]],3))</f>
        <v>19.82191780821918</v>
      </c>
      <c r="DR532" s="32" t="str">
        <f>IF(Tradingbook_SBV[[#This Row],[Days (year)]]=0,0,INDEX(Ref!$K$2:$K$13,MATCH(Tradingbook_SBV[[#This Row],[Days (year)]],Ref!$I$2:$I$13,1)))</f>
        <v>20Y</v>
      </c>
      <c r="DS532" s="32" t="str">
        <f>VLOOKUP(Tradingbook_SBV[[#This Row],[Security Name]],Ref!X:Z,3,0)</f>
        <v>TPCP</v>
      </c>
      <c r="DT532" s="32" t="str">
        <f>VLOOKUP(Tradingbook_SBV[[#This Row],[Security Name]],Ref!X:Y,2,0)</f>
        <v>KBNN</v>
      </c>
      <c r="DU532" s="71">
        <f>IF((Tradingbook_SBV[[#This Row],[Mat. Date]]-RPT)&lt;=0,0,Tradingbook_SBV[[#This Row],[QUANTITY]])</f>
        <v>0</v>
      </c>
      <c r="DV532" s="71">
        <f>IF(Tradingbook_SBV[[#This Row],[Quantity_edited]]=0,0,Tradingbook_SBV[[#This Row],[DURATION]])</f>
        <v>0</v>
      </c>
      <c r="DW532" s="71">
        <f>IF(Tradingbook_SBV[[#This Row],[Quantity_edited]]=0,0,Tradingbook_SBV[[#This Row],[Mod Dur]])</f>
        <v>0</v>
      </c>
      <c r="DX532" s="71">
        <f>IF(Tradingbook_SBV[[#This Row],[Quantity_edited]]=0,0,Tradingbook_SBV[[#This Row],[Cnvx.]])</f>
        <v>0</v>
      </c>
      <c r="DY532" s="71">
        <f>(Tradingbook_SBV[[#This Row],[MARKET_VALUE]]+Tradingbook_SBV[[#This Row],[Accr Int]]*Tradingbook_SBV[[#This Row],[Quantity_edited]])*(-Tradingbook_SBV[[#This Row],[Modified Duration]]*0.0001+0.5*Tradingbook_SBV[[#This Row],[Conv]]*(0.0001^2))</f>
        <v>0</v>
      </c>
      <c r="DZ532" s="71">
        <f>(Tradingbook_SBV[[#This Row],[MARKET_VALUE]]+Tradingbook_SBV[[#This Row],[Accr Int]]*Tradingbook_SBV[[#This Row],[Quantity_edited]])*(-Tradingbook_SBV[[#This Row],[Modified Duration]]*0.01+0.5*Tradingbook_SBV[[#This Row],[Conv]]*(0.01^2))</f>
        <v>0</v>
      </c>
    </row>
    <row r="533" spans="2:130" x14ac:dyDescent="0.3">
      <c r="B533" t="s">
        <v>166</v>
      </c>
      <c r="C533" t="s">
        <v>3302</v>
      </c>
      <c r="D533" t="s">
        <v>3645</v>
      </c>
      <c r="E533" t="s">
        <v>169</v>
      </c>
      <c r="F533" s="502">
        <v>49682</v>
      </c>
      <c r="G533" t="s">
        <v>3322</v>
      </c>
      <c r="H533">
        <v>96809</v>
      </c>
      <c r="I533">
        <v>96809</v>
      </c>
      <c r="J533" s="38">
        <v>0</v>
      </c>
      <c r="K533">
        <v>0</v>
      </c>
      <c r="L533">
        <v>0</v>
      </c>
      <c r="M533" s="38">
        <v>0</v>
      </c>
      <c r="N533">
        <v>4</v>
      </c>
      <c r="O533">
        <v>2433</v>
      </c>
      <c r="P533" s="37">
        <v>0</v>
      </c>
      <c r="Q533" s="37">
        <v>0</v>
      </c>
      <c r="R533" s="37">
        <v>-1210608337.4999988</v>
      </c>
      <c r="S533">
        <v>4.4197477469999997</v>
      </c>
      <c r="T533" s="70">
        <v>7.4656456924199004</v>
      </c>
      <c r="U533">
        <v>7.7956083999999999</v>
      </c>
      <c r="V533">
        <v>70.121068317695304</v>
      </c>
      <c r="W533">
        <v>0</v>
      </c>
      <c r="X533" s="38">
        <v>0</v>
      </c>
      <c r="Y533">
        <v>0</v>
      </c>
      <c r="Z533" s="70">
        <v>-949000000</v>
      </c>
      <c r="AA533" s="70">
        <v>0</v>
      </c>
      <c r="AB533" s="70">
        <v>-949000000</v>
      </c>
      <c r="AC533" s="70">
        <v>-949000000</v>
      </c>
      <c r="AD533" s="70">
        <v>-949000000</v>
      </c>
      <c r="AE533" s="70">
        <v>-949000000</v>
      </c>
      <c r="AF533">
        <v>0</v>
      </c>
      <c r="AG533" s="72">
        <f>Tradingbook_MSB[[#This Row],[Mat. Date]]-RPT</f>
        <v>3430</v>
      </c>
      <c r="AH533" s="71">
        <f>IF(Tradingbook_MSB[[#This Row],[Days]]&lt;=0,0,YEARFRAC(RPT,Tradingbook_MSB[[#This Row],[Mat. Date]],3))</f>
        <v>9.3972602739726021</v>
      </c>
      <c r="AI533" s="71" t="str">
        <f>IF(Tradingbook_MSB[[#This Row],[Days (year)]]=0,0,INDEX(Ref!$K$2:$K$13,MATCH(Tradingbook_MSB[[#This Row],[Days (year)]],Ref!$I$2:$I$13,1)))</f>
        <v>10Y</v>
      </c>
      <c r="AJ533" s="120" t="str">
        <f>VLOOKUP(Tradingbook_MSB[[#This Row],[Security Name]],Ref!X:Z,3,0)</f>
        <v>TPCP</v>
      </c>
      <c r="AK533" s="120" t="str">
        <f>VLOOKUP(Tradingbook_MSB[[#This Row],[Security Name]],Ref!X:Y,2,0)</f>
        <v>KBNN</v>
      </c>
      <c r="AL533" s="71">
        <f>IF((Tradingbook_MSB[[#This Row],[Mat. Date]]-RPT)&lt;=0,0,Tradingbook_MSB[[#This Row],[QUANTITY]])</f>
        <v>0</v>
      </c>
      <c r="AM533" s="71">
        <f>IF(Tradingbook_MSB[[#This Row],[Quantity_edited]]=0,0,Tradingbook_MSB[[#This Row],[DURATION]])</f>
        <v>0</v>
      </c>
      <c r="AN533" s="71">
        <f>IF(Tradingbook_MSB[[#This Row],[Quantity_edited]]=0,0,Tradingbook_MSB[[#This Row],[Mod Dur]])</f>
        <v>0</v>
      </c>
      <c r="AO533" s="71">
        <f>IF(Tradingbook_MSB[[#This Row],[Quantity_edited]]=0,0,Tradingbook_MSB[[#This Row],[Cnvx.]])</f>
        <v>0</v>
      </c>
      <c r="AP533" s="71">
        <f>(Tradingbook_MSB[[#This Row],[MARKET_VALUE]]+Tradingbook_MSB[[#This Row],[Accr Int]]*Tradingbook_MSB[[#This Row],[Quantity_edited]])*(-Tradingbook_MSB[[#This Row],[Modified Duration]]*0.0001+0.5*Tradingbook_MSB[[#This Row],[Conv]]*(0.0001^2))</f>
        <v>0</v>
      </c>
      <c r="AQ533" s="72">
        <f>(Tradingbook_MSB[[#This Row],[MARKET_VALUE]]+Tradingbook_MSB[[#This Row],[Accr Int]]*Tradingbook_MSB[[#This Row],[Quantity_edited]])*(-Tradingbook_MSB[[#This Row],[Modified Duration]]*0.01+0.5*Tradingbook_MSB[[#This Row],[Conv]]*(0.01^2))</f>
        <v>0</v>
      </c>
      <c r="CL533" t="s">
        <v>166</v>
      </c>
      <c r="CM533" t="s">
        <v>3303</v>
      </c>
      <c r="CN533" t="s">
        <v>1193</v>
      </c>
      <c r="CO533" t="s">
        <v>169</v>
      </c>
      <c r="CP533">
        <v>53585</v>
      </c>
      <c r="CQ533" t="s">
        <v>3322</v>
      </c>
      <c r="CR533" t="s">
        <v>4504</v>
      </c>
      <c r="CS533" t="s">
        <v>4505</v>
      </c>
      <c r="CT533">
        <v>0</v>
      </c>
      <c r="CU533">
        <v>0</v>
      </c>
      <c r="CV533">
        <v>0</v>
      </c>
      <c r="CW533">
        <v>0</v>
      </c>
      <c r="CX533">
        <v>7.9</v>
      </c>
      <c r="CY533">
        <v>7294</v>
      </c>
      <c r="CZ533">
        <v>0</v>
      </c>
      <c r="DA533">
        <v>3.9999999999999998E-6</v>
      </c>
      <c r="DB533">
        <v>-517852718.05553436</v>
      </c>
      <c r="DC533">
        <v>4.6664498270000001</v>
      </c>
      <c r="DD533">
        <v>11</v>
      </c>
      <c r="DE533">
        <v>12</v>
      </c>
      <c r="DF533">
        <v>180</v>
      </c>
      <c r="DG533">
        <v>0</v>
      </c>
      <c r="DH533">
        <v>0</v>
      </c>
      <c r="DI533">
        <v>0</v>
      </c>
      <c r="DJ533">
        <v>-1298000000</v>
      </c>
      <c r="DK533">
        <v>0</v>
      </c>
      <c r="DL533">
        <v>-1298000000</v>
      </c>
      <c r="DM533">
        <v>-1298000000</v>
      </c>
      <c r="DN533">
        <v>-1298000000</v>
      </c>
      <c r="DO533">
        <v>-1298000000</v>
      </c>
      <c r="DP533" s="32">
        <f>Tradingbook_SBV[[#This Row],[Mat. Date]]-RPT</f>
        <v>7333</v>
      </c>
      <c r="DQ533" s="32">
        <f>IF(Tradingbook_SBV[[#This Row],[Days]]&lt;=0,0,YEARFRAC(RPT,Tradingbook_SBV[[#This Row],[Mat. Date]],3))</f>
        <v>20.090410958904108</v>
      </c>
      <c r="DR533" s="32" t="str">
        <f>IF(Tradingbook_SBV[[#This Row],[Days (year)]]=0,0,INDEX(Ref!$K$2:$K$13,MATCH(Tradingbook_SBV[[#This Row],[Days (year)]],Ref!$I$2:$I$13,1)))</f>
        <v>20Y</v>
      </c>
      <c r="DS533" s="32" t="str">
        <f>VLOOKUP(Tradingbook_SBV[[#This Row],[Security Name]],Ref!X:Z,3,0)</f>
        <v>TPCP</v>
      </c>
      <c r="DT533" s="32" t="str">
        <f>VLOOKUP(Tradingbook_SBV[[#This Row],[Security Name]],Ref!X:Y,2,0)</f>
        <v>KBNN</v>
      </c>
      <c r="DU533" s="71">
        <f>IF((Tradingbook_SBV[[#This Row],[Mat. Date]]-RPT)&lt;=0,0,Tradingbook_SBV[[#This Row],[QUANTITY]])</f>
        <v>0</v>
      </c>
      <c r="DV533" s="71">
        <f>IF(Tradingbook_SBV[[#This Row],[Quantity_edited]]=0,0,Tradingbook_SBV[[#This Row],[DURATION]])</f>
        <v>0</v>
      </c>
      <c r="DW533" s="71">
        <f>IF(Tradingbook_SBV[[#This Row],[Quantity_edited]]=0,0,Tradingbook_SBV[[#This Row],[Mod Dur]])</f>
        <v>0</v>
      </c>
      <c r="DX533" s="71">
        <f>IF(Tradingbook_SBV[[#This Row],[Quantity_edited]]=0,0,Tradingbook_SBV[[#This Row],[Cnvx.]])</f>
        <v>0</v>
      </c>
      <c r="DY533" s="71">
        <f>(Tradingbook_SBV[[#This Row],[MARKET_VALUE]]+Tradingbook_SBV[[#This Row],[Accr Int]]*Tradingbook_SBV[[#This Row],[Quantity_edited]])*(-Tradingbook_SBV[[#This Row],[Modified Duration]]*0.0001+0.5*Tradingbook_SBV[[#This Row],[Conv]]*(0.0001^2))</f>
        <v>0</v>
      </c>
      <c r="DZ533" s="71">
        <f>(Tradingbook_SBV[[#This Row],[MARKET_VALUE]]+Tradingbook_SBV[[#This Row],[Accr Int]]*Tradingbook_SBV[[#This Row],[Quantity_edited]])*(-Tradingbook_SBV[[#This Row],[Modified Duration]]*0.01+0.5*Tradingbook_SBV[[#This Row],[Conv]]*(0.01^2))</f>
        <v>0</v>
      </c>
    </row>
    <row r="534" spans="2:130" x14ac:dyDescent="0.3">
      <c r="B534" t="s">
        <v>166</v>
      </c>
      <c r="C534" t="s">
        <v>3302</v>
      </c>
      <c r="D534" t="s">
        <v>699</v>
      </c>
      <c r="E534" t="s">
        <v>169</v>
      </c>
      <c r="F534" s="502">
        <v>49688</v>
      </c>
      <c r="G534" t="s">
        <v>3322</v>
      </c>
      <c r="H534">
        <v>84707</v>
      </c>
      <c r="I534">
        <v>84707</v>
      </c>
      <c r="J534" s="38">
        <v>0</v>
      </c>
      <c r="K534">
        <v>0</v>
      </c>
      <c r="L534">
        <v>0</v>
      </c>
      <c r="M534" s="38">
        <v>0</v>
      </c>
      <c r="N534">
        <v>2.4</v>
      </c>
      <c r="O534">
        <v>1420</v>
      </c>
      <c r="P534" s="37">
        <v>0</v>
      </c>
      <c r="Q534" s="37">
        <v>-1.0000000000000001E-5</v>
      </c>
      <c r="R534" s="37">
        <v>-11241737578.74983</v>
      </c>
      <c r="S534">
        <v>4.4204061909999997</v>
      </c>
      <c r="T534" s="70">
        <v>7.9538912267623996</v>
      </c>
      <c r="U534">
        <v>8.3054855300000003</v>
      </c>
      <c r="V534">
        <v>76.379333756655996</v>
      </c>
      <c r="W534">
        <v>0</v>
      </c>
      <c r="X534" s="38">
        <v>0</v>
      </c>
      <c r="Y534">
        <v>0</v>
      </c>
      <c r="Z534" s="70">
        <v>-55381690000</v>
      </c>
      <c r="AA534" s="70">
        <v>0</v>
      </c>
      <c r="AB534" s="70">
        <v>-55381690000</v>
      </c>
      <c r="AC534" s="70">
        <v>-55381690000</v>
      </c>
      <c r="AD534" s="70">
        <v>-55381690000</v>
      </c>
      <c r="AE534" s="70">
        <v>-55381690000</v>
      </c>
      <c r="AF534">
        <v>0</v>
      </c>
      <c r="AG534" s="72">
        <f>Tradingbook_MSB[[#This Row],[Mat. Date]]-RPT</f>
        <v>3436</v>
      </c>
      <c r="AH534" s="71">
        <f>IF(Tradingbook_MSB[[#This Row],[Days]]&lt;=0,0,YEARFRAC(RPT,Tradingbook_MSB[[#This Row],[Mat. Date]],3))</f>
        <v>9.4136986301369863</v>
      </c>
      <c r="AI534" s="71" t="str">
        <f>IF(Tradingbook_MSB[[#This Row],[Days (year)]]=0,0,INDEX(Ref!$K$2:$K$13,MATCH(Tradingbook_MSB[[#This Row],[Days (year)]],Ref!$I$2:$I$13,1)))</f>
        <v>10Y</v>
      </c>
      <c r="AJ534" s="120" t="str">
        <f>VLOOKUP(Tradingbook_MSB[[#This Row],[Security Name]],Ref!X:Z,3,0)</f>
        <v>TPCP</v>
      </c>
      <c r="AK534" s="120" t="str">
        <f>VLOOKUP(Tradingbook_MSB[[#This Row],[Security Name]],Ref!X:Y,2,0)</f>
        <v>KBNN</v>
      </c>
      <c r="AL534" s="71">
        <f>IF((Tradingbook_MSB[[#This Row],[Mat. Date]]-RPT)&lt;=0,0,Tradingbook_MSB[[#This Row],[QUANTITY]])</f>
        <v>0</v>
      </c>
      <c r="AM534" s="71">
        <f>IF(Tradingbook_MSB[[#This Row],[Quantity_edited]]=0,0,Tradingbook_MSB[[#This Row],[DURATION]])</f>
        <v>0</v>
      </c>
      <c r="AN534" s="71">
        <f>IF(Tradingbook_MSB[[#This Row],[Quantity_edited]]=0,0,Tradingbook_MSB[[#This Row],[Mod Dur]])</f>
        <v>0</v>
      </c>
      <c r="AO534" s="71">
        <f>IF(Tradingbook_MSB[[#This Row],[Quantity_edited]]=0,0,Tradingbook_MSB[[#This Row],[Cnvx.]])</f>
        <v>0</v>
      </c>
      <c r="AP534" s="71">
        <f>(Tradingbook_MSB[[#This Row],[MARKET_VALUE]]+Tradingbook_MSB[[#This Row],[Accr Int]]*Tradingbook_MSB[[#This Row],[Quantity_edited]])*(-Tradingbook_MSB[[#This Row],[Modified Duration]]*0.0001+0.5*Tradingbook_MSB[[#This Row],[Conv]]*(0.0001^2))</f>
        <v>0</v>
      </c>
      <c r="AQ534" s="72">
        <f>(Tradingbook_MSB[[#This Row],[MARKET_VALUE]]+Tradingbook_MSB[[#This Row],[Accr Int]]*Tradingbook_MSB[[#This Row],[Quantity_edited]])*(-Tradingbook_MSB[[#This Row],[Modified Duration]]*0.01+0.5*Tradingbook_MSB[[#This Row],[Conv]]*(0.01^2))</f>
        <v>0</v>
      </c>
      <c r="CL534" t="s">
        <v>166</v>
      </c>
      <c r="CM534" t="s">
        <v>3303</v>
      </c>
      <c r="CN534" t="s">
        <v>720</v>
      </c>
      <c r="CO534" t="s">
        <v>169</v>
      </c>
      <c r="CP534">
        <v>53613</v>
      </c>
      <c r="CQ534" t="s">
        <v>3322</v>
      </c>
      <c r="CR534" t="s">
        <v>4506</v>
      </c>
      <c r="CS534" t="s">
        <v>4507</v>
      </c>
      <c r="CT534">
        <v>0</v>
      </c>
      <c r="CU534">
        <v>0</v>
      </c>
      <c r="CV534">
        <v>0</v>
      </c>
      <c r="CW534">
        <v>0</v>
      </c>
      <c r="CX534">
        <v>7.9</v>
      </c>
      <c r="CY534">
        <v>6688</v>
      </c>
      <c r="CZ534">
        <v>0</v>
      </c>
      <c r="DA534">
        <v>3.1000000000000001E-5</v>
      </c>
      <c r="DB534">
        <v>-6342051377.9166107</v>
      </c>
      <c r="DC534">
        <v>4.6670052020000004</v>
      </c>
      <c r="DD534">
        <v>11</v>
      </c>
      <c r="DE534">
        <v>12</v>
      </c>
      <c r="DF534">
        <v>182</v>
      </c>
      <c r="DG534">
        <v>0</v>
      </c>
      <c r="DH534">
        <v>0</v>
      </c>
      <c r="DI534">
        <v>0</v>
      </c>
      <c r="DJ534">
        <v>-12253000000</v>
      </c>
      <c r="DK534">
        <v>0</v>
      </c>
      <c r="DL534">
        <v>-12253000000</v>
      </c>
      <c r="DM534">
        <v>-12253000000</v>
      </c>
      <c r="DN534">
        <v>-12253000000</v>
      </c>
      <c r="DO534">
        <v>-12253000000</v>
      </c>
      <c r="DP534" s="32">
        <f>Tradingbook_SBV[[#This Row],[Mat. Date]]-RPT</f>
        <v>7361</v>
      </c>
      <c r="DQ534" s="32">
        <f>IF(Tradingbook_SBV[[#This Row],[Days]]&lt;=0,0,YEARFRAC(RPT,Tradingbook_SBV[[#This Row],[Mat. Date]],3))</f>
        <v>20.167123287671235</v>
      </c>
      <c r="DR534" s="32" t="str">
        <f>IF(Tradingbook_SBV[[#This Row],[Days (year)]]=0,0,INDEX(Ref!$K$2:$K$13,MATCH(Tradingbook_SBV[[#This Row],[Days (year)]],Ref!$I$2:$I$13,1)))</f>
        <v>20Y</v>
      </c>
      <c r="DS534" s="32" t="str">
        <f>VLOOKUP(Tradingbook_SBV[[#This Row],[Security Name]],Ref!X:Z,3,0)</f>
        <v>TPCP</v>
      </c>
      <c r="DT534" s="32" t="str">
        <f>VLOOKUP(Tradingbook_SBV[[#This Row],[Security Name]],Ref!X:Y,2,0)</f>
        <v>KBNN</v>
      </c>
      <c r="DU534" s="71">
        <f>IF((Tradingbook_SBV[[#This Row],[Mat. Date]]-RPT)&lt;=0,0,Tradingbook_SBV[[#This Row],[QUANTITY]])</f>
        <v>0</v>
      </c>
      <c r="DV534" s="71">
        <f>IF(Tradingbook_SBV[[#This Row],[Quantity_edited]]=0,0,Tradingbook_SBV[[#This Row],[DURATION]])</f>
        <v>0</v>
      </c>
      <c r="DW534" s="71">
        <f>IF(Tradingbook_SBV[[#This Row],[Quantity_edited]]=0,0,Tradingbook_SBV[[#This Row],[Mod Dur]])</f>
        <v>0</v>
      </c>
      <c r="DX534" s="71">
        <f>IF(Tradingbook_SBV[[#This Row],[Quantity_edited]]=0,0,Tradingbook_SBV[[#This Row],[Cnvx.]])</f>
        <v>0</v>
      </c>
      <c r="DY534" s="71">
        <f>(Tradingbook_SBV[[#This Row],[MARKET_VALUE]]+Tradingbook_SBV[[#This Row],[Accr Int]]*Tradingbook_SBV[[#This Row],[Quantity_edited]])*(-Tradingbook_SBV[[#This Row],[Modified Duration]]*0.0001+0.5*Tradingbook_SBV[[#This Row],[Conv]]*(0.0001^2))</f>
        <v>0</v>
      </c>
      <c r="DZ534" s="71">
        <f>(Tradingbook_SBV[[#This Row],[MARKET_VALUE]]+Tradingbook_SBV[[#This Row],[Accr Int]]*Tradingbook_SBV[[#This Row],[Quantity_edited]])*(-Tradingbook_SBV[[#This Row],[Modified Duration]]*0.01+0.5*Tradingbook_SBV[[#This Row],[Conv]]*(0.01^2))</f>
        <v>0</v>
      </c>
    </row>
    <row r="535" spans="2:130" x14ac:dyDescent="0.3">
      <c r="B535" t="s">
        <v>166</v>
      </c>
      <c r="C535" t="s">
        <v>3302</v>
      </c>
      <c r="D535" t="s">
        <v>681</v>
      </c>
      <c r="E535" t="s">
        <v>169</v>
      </c>
      <c r="F535" s="502">
        <v>49695</v>
      </c>
      <c r="G535" t="s">
        <v>3322</v>
      </c>
      <c r="H535">
        <v>124796</v>
      </c>
      <c r="I535">
        <v>124796</v>
      </c>
      <c r="J535" s="38">
        <v>0</v>
      </c>
      <c r="K535">
        <v>0</v>
      </c>
      <c r="L535">
        <v>0</v>
      </c>
      <c r="M535" s="38">
        <v>0</v>
      </c>
      <c r="N535">
        <v>7.7</v>
      </c>
      <c r="O535">
        <v>4409</v>
      </c>
      <c r="P535" s="37">
        <v>0</v>
      </c>
      <c r="Q535" s="37">
        <v>-3.1000000000000001E-5</v>
      </c>
      <c r="R535" s="37">
        <v>-25372116729.97216</v>
      </c>
      <c r="S535">
        <v>4.4213654299999998</v>
      </c>
      <c r="T535" s="70">
        <v>6.7716556461483997</v>
      </c>
      <c r="U535">
        <v>7.0710552900000003</v>
      </c>
      <c r="V535">
        <v>61.378783498273897</v>
      </c>
      <c r="W535">
        <v>0</v>
      </c>
      <c r="X535" s="38">
        <v>0</v>
      </c>
      <c r="Y535">
        <v>0</v>
      </c>
      <c r="Z535" s="70">
        <v>-4835950000</v>
      </c>
      <c r="AA535" s="70">
        <v>0</v>
      </c>
      <c r="AB535" s="70">
        <v>-4835950000</v>
      </c>
      <c r="AC535" s="70">
        <v>-4835950000</v>
      </c>
      <c r="AD535" s="70">
        <v>-4835950000</v>
      </c>
      <c r="AE535" s="70">
        <v>-4835950000</v>
      </c>
      <c r="AF535">
        <v>0</v>
      </c>
      <c r="AG535" s="72">
        <f>Tradingbook_MSB[[#This Row],[Mat. Date]]-RPT</f>
        <v>3443</v>
      </c>
      <c r="AH535" s="71">
        <f>IF(Tradingbook_MSB[[#This Row],[Days]]&lt;=0,0,YEARFRAC(RPT,Tradingbook_MSB[[#This Row],[Mat. Date]],3))</f>
        <v>9.4328767123287669</v>
      </c>
      <c r="AI535" s="71" t="str">
        <f>IF(Tradingbook_MSB[[#This Row],[Days (year)]]=0,0,INDEX(Ref!$K$2:$K$13,MATCH(Tradingbook_MSB[[#This Row],[Days (year)]],Ref!$I$2:$I$13,1)))</f>
        <v>10Y</v>
      </c>
      <c r="AJ535" s="120" t="str">
        <f>VLOOKUP(Tradingbook_MSB[[#This Row],[Security Name]],Ref!X:Z,3,0)</f>
        <v>TPCP</v>
      </c>
      <c r="AK535" s="120" t="str">
        <f>VLOOKUP(Tradingbook_MSB[[#This Row],[Security Name]],Ref!X:Y,2,0)</f>
        <v>KBNN</v>
      </c>
      <c r="AL535" s="71">
        <f>IF((Tradingbook_MSB[[#This Row],[Mat. Date]]-RPT)&lt;=0,0,Tradingbook_MSB[[#This Row],[QUANTITY]])</f>
        <v>0</v>
      </c>
      <c r="AM535" s="71">
        <f>IF(Tradingbook_MSB[[#This Row],[Quantity_edited]]=0,0,Tradingbook_MSB[[#This Row],[DURATION]])</f>
        <v>0</v>
      </c>
      <c r="AN535" s="71">
        <f>IF(Tradingbook_MSB[[#This Row],[Quantity_edited]]=0,0,Tradingbook_MSB[[#This Row],[Mod Dur]])</f>
        <v>0</v>
      </c>
      <c r="AO535" s="71">
        <f>IF(Tradingbook_MSB[[#This Row],[Quantity_edited]]=0,0,Tradingbook_MSB[[#This Row],[Cnvx.]])</f>
        <v>0</v>
      </c>
      <c r="AP535" s="71">
        <f>(Tradingbook_MSB[[#This Row],[MARKET_VALUE]]+Tradingbook_MSB[[#This Row],[Accr Int]]*Tradingbook_MSB[[#This Row],[Quantity_edited]])*(-Tradingbook_MSB[[#This Row],[Modified Duration]]*0.0001+0.5*Tradingbook_MSB[[#This Row],[Conv]]*(0.0001^2))</f>
        <v>0</v>
      </c>
      <c r="AQ535" s="72">
        <f>(Tradingbook_MSB[[#This Row],[MARKET_VALUE]]+Tradingbook_MSB[[#This Row],[Accr Int]]*Tradingbook_MSB[[#This Row],[Quantity_edited]])*(-Tradingbook_MSB[[#This Row],[Modified Duration]]*0.01+0.5*Tradingbook_MSB[[#This Row],[Conv]]*(0.01^2))</f>
        <v>0</v>
      </c>
      <c r="CL535" t="s">
        <v>166</v>
      </c>
      <c r="CM535" t="s">
        <v>3303</v>
      </c>
      <c r="CN535" t="s">
        <v>721</v>
      </c>
      <c r="CO535" t="s">
        <v>169</v>
      </c>
      <c r="CP535">
        <v>53704</v>
      </c>
      <c r="CQ535" t="s">
        <v>3322</v>
      </c>
      <c r="CR535" t="s">
        <v>4508</v>
      </c>
      <c r="CS535" t="s">
        <v>4509</v>
      </c>
      <c r="CT535">
        <v>0</v>
      </c>
      <c r="CU535">
        <v>0</v>
      </c>
      <c r="CV535">
        <v>0</v>
      </c>
      <c r="CW535">
        <v>0</v>
      </c>
      <c r="CX535">
        <v>7.9</v>
      </c>
      <c r="CY535">
        <v>4718</v>
      </c>
      <c r="CZ535">
        <v>0</v>
      </c>
      <c r="DA535">
        <v>-7.9999999999999996E-6</v>
      </c>
      <c r="DB535">
        <v>-1355790447.222229</v>
      </c>
      <c r="DC535">
        <v>4.6686827009999998</v>
      </c>
      <c r="DD535">
        <v>11</v>
      </c>
      <c r="DE535">
        <v>12</v>
      </c>
      <c r="DF535">
        <v>188</v>
      </c>
      <c r="DG535">
        <v>0</v>
      </c>
      <c r="DH535">
        <v>0</v>
      </c>
      <c r="DI535">
        <v>0</v>
      </c>
      <c r="DJ535">
        <v>-2223000000</v>
      </c>
      <c r="DK535">
        <v>0</v>
      </c>
      <c r="DL535">
        <v>-2223000000</v>
      </c>
      <c r="DM535">
        <v>-2223000000</v>
      </c>
      <c r="DN535">
        <v>-2223000000</v>
      </c>
      <c r="DO535">
        <v>-2223000000</v>
      </c>
      <c r="DP535" s="32">
        <f>Tradingbook_SBV[[#This Row],[Mat. Date]]-RPT</f>
        <v>7452</v>
      </c>
      <c r="DQ535" s="32">
        <f>IF(Tradingbook_SBV[[#This Row],[Days]]&lt;=0,0,YEARFRAC(RPT,Tradingbook_SBV[[#This Row],[Mat. Date]],3))</f>
        <v>20.416438356164385</v>
      </c>
      <c r="DR535" s="32" t="str">
        <f>IF(Tradingbook_SBV[[#This Row],[Days (year)]]=0,0,INDEX(Ref!$K$2:$K$13,MATCH(Tradingbook_SBV[[#This Row],[Days (year)]],Ref!$I$2:$I$13,1)))</f>
        <v>20Y</v>
      </c>
      <c r="DS535" s="32" t="str">
        <f>VLOOKUP(Tradingbook_SBV[[#This Row],[Security Name]],Ref!X:Z,3,0)</f>
        <v>TPCP</v>
      </c>
      <c r="DT535" s="32" t="str">
        <f>VLOOKUP(Tradingbook_SBV[[#This Row],[Security Name]],Ref!X:Y,2,0)</f>
        <v>KBNN</v>
      </c>
      <c r="DU535" s="71">
        <f>IF((Tradingbook_SBV[[#This Row],[Mat. Date]]-RPT)&lt;=0,0,Tradingbook_SBV[[#This Row],[QUANTITY]])</f>
        <v>0</v>
      </c>
      <c r="DV535" s="71">
        <f>IF(Tradingbook_SBV[[#This Row],[Quantity_edited]]=0,0,Tradingbook_SBV[[#This Row],[DURATION]])</f>
        <v>0</v>
      </c>
      <c r="DW535" s="71">
        <f>IF(Tradingbook_SBV[[#This Row],[Quantity_edited]]=0,0,Tradingbook_SBV[[#This Row],[Mod Dur]])</f>
        <v>0</v>
      </c>
      <c r="DX535" s="71">
        <f>IF(Tradingbook_SBV[[#This Row],[Quantity_edited]]=0,0,Tradingbook_SBV[[#This Row],[Cnvx.]])</f>
        <v>0</v>
      </c>
      <c r="DY535" s="71">
        <f>(Tradingbook_SBV[[#This Row],[MARKET_VALUE]]+Tradingbook_SBV[[#This Row],[Accr Int]]*Tradingbook_SBV[[#This Row],[Quantity_edited]])*(-Tradingbook_SBV[[#This Row],[Modified Duration]]*0.0001+0.5*Tradingbook_SBV[[#This Row],[Conv]]*(0.0001^2))</f>
        <v>0</v>
      </c>
      <c r="DZ535" s="71">
        <f>(Tradingbook_SBV[[#This Row],[MARKET_VALUE]]+Tradingbook_SBV[[#This Row],[Accr Int]]*Tradingbook_SBV[[#This Row],[Quantity_edited]])*(-Tradingbook_SBV[[#This Row],[Modified Duration]]*0.01+0.5*Tradingbook_SBV[[#This Row],[Conv]]*(0.01^2))</f>
        <v>0</v>
      </c>
    </row>
    <row r="536" spans="2:130" x14ac:dyDescent="0.3">
      <c r="B536" t="s">
        <v>166</v>
      </c>
      <c r="C536" t="s">
        <v>3302</v>
      </c>
      <c r="D536" t="s">
        <v>700</v>
      </c>
      <c r="E536" t="s">
        <v>169</v>
      </c>
      <c r="F536" s="502">
        <v>49780</v>
      </c>
      <c r="G536" t="s">
        <v>3322</v>
      </c>
      <c r="H536">
        <v>85071</v>
      </c>
      <c r="I536">
        <v>85071</v>
      </c>
      <c r="J536" s="38">
        <v>0</v>
      </c>
      <c r="K536">
        <v>0</v>
      </c>
      <c r="L536">
        <v>0</v>
      </c>
      <c r="M536" s="38">
        <v>0</v>
      </c>
      <c r="N536">
        <v>2.5</v>
      </c>
      <c r="O536">
        <v>856</v>
      </c>
      <c r="P536" s="37">
        <v>150000000</v>
      </c>
      <c r="Q536" s="37">
        <v>172148791.66664401</v>
      </c>
      <c r="R536" s="37">
        <v>-887758767.46105409</v>
      </c>
      <c r="S536">
        <v>4.4321579250000003</v>
      </c>
      <c r="T536" s="70">
        <v>8.1573810019592994</v>
      </c>
      <c r="U536">
        <v>8.5189290100000008</v>
      </c>
      <c r="V536">
        <v>79.992463591564402</v>
      </c>
      <c r="W536">
        <v>0</v>
      </c>
      <c r="X536" s="38">
        <v>0</v>
      </c>
      <c r="Y536">
        <v>0</v>
      </c>
      <c r="Z536" s="70">
        <v>-1759570000</v>
      </c>
      <c r="AA536" s="70">
        <v>0</v>
      </c>
      <c r="AB536" s="70">
        <v>-1759570000</v>
      </c>
      <c r="AC536" s="70">
        <v>-1759570000</v>
      </c>
      <c r="AD536" s="70">
        <v>-1759570000</v>
      </c>
      <c r="AE536" s="70">
        <v>-1759570000</v>
      </c>
      <c r="AF536">
        <v>0</v>
      </c>
      <c r="AG536" s="72">
        <f>Tradingbook_MSB[[#This Row],[Mat. Date]]-RPT</f>
        <v>3528</v>
      </c>
      <c r="AH536" s="71">
        <f>IF(Tradingbook_MSB[[#This Row],[Days]]&lt;=0,0,YEARFRAC(RPT,Tradingbook_MSB[[#This Row],[Mat. Date]],3))</f>
        <v>9.6657534246575345</v>
      </c>
      <c r="AI536" s="71" t="str">
        <f>IF(Tradingbook_MSB[[#This Row],[Days (year)]]=0,0,INDEX(Ref!$K$2:$K$13,MATCH(Tradingbook_MSB[[#This Row],[Days (year)]],Ref!$I$2:$I$13,1)))</f>
        <v>10Y</v>
      </c>
      <c r="AJ536" s="120" t="str">
        <f>VLOOKUP(Tradingbook_MSB[[#This Row],[Security Name]],Ref!X:Z,3,0)</f>
        <v>TPCP</v>
      </c>
      <c r="AK536" s="120" t="str">
        <f>VLOOKUP(Tradingbook_MSB[[#This Row],[Security Name]],Ref!X:Y,2,0)</f>
        <v>KBNN</v>
      </c>
      <c r="AL536" s="71">
        <f>IF((Tradingbook_MSB[[#This Row],[Mat. Date]]-RPT)&lt;=0,0,Tradingbook_MSB[[#This Row],[QUANTITY]])</f>
        <v>0</v>
      </c>
      <c r="AM536" s="71">
        <f>IF(Tradingbook_MSB[[#This Row],[Quantity_edited]]=0,0,Tradingbook_MSB[[#This Row],[DURATION]])</f>
        <v>0</v>
      </c>
      <c r="AN536" s="71">
        <f>IF(Tradingbook_MSB[[#This Row],[Quantity_edited]]=0,0,Tradingbook_MSB[[#This Row],[Mod Dur]])</f>
        <v>0</v>
      </c>
      <c r="AO536" s="71">
        <f>IF(Tradingbook_MSB[[#This Row],[Quantity_edited]]=0,0,Tradingbook_MSB[[#This Row],[Cnvx.]])</f>
        <v>0</v>
      </c>
      <c r="AP536" s="71">
        <f>(Tradingbook_MSB[[#This Row],[MARKET_VALUE]]+Tradingbook_MSB[[#This Row],[Accr Int]]*Tradingbook_MSB[[#This Row],[Quantity_edited]])*(-Tradingbook_MSB[[#This Row],[Modified Duration]]*0.0001+0.5*Tradingbook_MSB[[#This Row],[Conv]]*(0.0001^2))</f>
        <v>0</v>
      </c>
      <c r="AQ536" s="72">
        <f>(Tradingbook_MSB[[#This Row],[MARKET_VALUE]]+Tradingbook_MSB[[#This Row],[Accr Int]]*Tradingbook_MSB[[#This Row],[Quantity_edited]])*(-Tradingbook_MSB[[#This Row],[Modified Duration]]*0.01+0.5*Tradingbook_MSB[[#This Row],[Conv]]*(0.01^2))</f>
        <v>0</v>
      </c>
      <c r="CL536" t="s">
        <v>166</v>
      </c>
      <c r="CM536" t="s">
        <v>3303</v>
      </c>
      <c r="CN536" t="s">
        <v>722</v>
      </c>
      <c r="CO536" t="s">
        <v>169</v>
      </c>
      <c r="CP536">
        <v>53767</v>
      </c>
      <c r="CQ536" t="s">
        <v>3322</v>
      </c>
      <c r="CR536" t="s">
        <v>4510</v>
      </c>
      <c r="CS536" t="s">
        <v>4511</v>
      </c>
      <c r="CT536">
        <v>0</v>
      </c>
      <c r="CU536">
        <v>0</v>
      </c>
      <c r="CV536">
        <v>0</v>
      </c>
      <c r="CW536">
        <v>0</v>
      </c>
      <c r="CX536">
        <v>7.9</v>
      </c>
      <c r="CY536">
        <v>3355</v>
      </c>
      <c r="CZ536">
        <v>37841000000</v>
      </c>
      <c r="DA536">
        <v>45998677394.166641</v>
      </c>
      <c r="DB536">
        <v>-6107247828.1777878</v>
      </c>
      <c r="DC536">
        <v>4.669810129</v>
      </c>
      <c r="DD536">
        <v>12</v>
      </c>
      <c r="DE536">
        <v>12</v>
      </c>
      <c r="DF536">
        <v>191</v>
      </c>
      <c r="DG536">
        <v>0</v>
      </c>
      <c r="DH536">
        <v>0</v>
      </c>
      <c r="DI536">
        <v>0</v>
      </c>
      <c r="DJ536">
        <v>37612240000</v>
      </c>
      <c r="DK536">
        <v>0</v>
      </c>
      <c r="DL536">
        <v>37612240000</v>
      </c>
      <c r="DM536">
        <v>37612240000</v>
      </c>
      <c r="DN536">
        <v>37612240000</v>
      </c>
      <c r="DO536">
        <v>37612240000</v>
      </c>
      <c r="DP536" s="32">
        <f>Tradingbook_SBV[[#This Row],[Mat. Date]]-RPT</f>
        <v>7515</v>
      </c>
      <c r="DQ536" s="32">
        <f>IF(Tradingbook_SBV[[#This Row],[Days]]&lt;=0,0,YEARFRAC(RPT,Tradingbook_SBV[[#This Row],[Mat. Date]],3))</f>
        <v>20.589041095890412</v>
      </c>
      <c r="DR536" s="32" t="str">
        <f>IF(Tradingbook_SBV[[#This Row],[Days (year)]]=0,0,INDEX(Ref!$K$2:$K$13,MATCH(Tradingbook_SBV[[#This Row],[Days (year)]],Ref!$I$2:$I$13,1)))</f>
        <v>30Y</v>
      </c>
      <c r="DS536" s="32" t="str">
        <f>VLOOKUP(Tradingbook_SBV[[#This Row],[Security Name]],Ref!X:Z,3,0)</f>
        <v>TPCP</v>
      </c>
      <c r="DT536" s="32" t="str">
        <f>VLOOKUP(Tradingbook_SBV[[#This Row],[Security Name]],Ref!X:Y,2,0)</f>
        <v>KBNN</v>
      </c>
      <c r="DU536" s="71">
        <f>IF((Tradingbook_SBV[[#This Row],[Mat. Date]]-RPT)&lt;=0,0,Tradingbook_SBV[[#This Row],[QUANTITY]])</f>
        <v>0</v>
      </c>
      <c r="DV536" s="71">
        <f>IF(Tradingbook_SBV[[#This Row],[Quantity_edited]]=0,0,Tradingbook_SBV[[#This Row],[DURATION]])</f>
        <v>0</v>
      </c>
      <c r="DW536" s="71">
        <f>IF(Tradingbook_SBV[[#This Row],[Quantity_edited]]=0,0,Tradingbook_SBV[[#This Row],[Mod Dur]])</f>
        <v>0</v>
      </c>
      <c r="DX536" s="71">
        <f>IF(Tradingbook_SBV[[#This Row],[Quantity_edited]]=0,0,Tradingbook_SBV[[#This Row],[Cnvx.]])</f>
        <v>0</v>
      </c>
      <c r="DY536" s="71">
        <f>(Tradingbook_SBV[[#This Row],[MARKET_VALUE]]+Tradingbook_SBV[[#This Row],[Accr Int]]*Tradingbook_SBV[[#This Row],[Quantity_edited]])*(-Tradingbook_SBV[[#This Row],[Modified Duration]]*0.0001+0.5*Tradingbook_SBV[[#This Row],[Conv]]*(0.0001^2))</f>
        <v>0</v>
      </c>
      <c r="DZ536" s="71">
        <f>(Tradingbook_SBV[[#This Row],[MARKET_VALUE]]+Tradingbook_SBV[[#This Row],[Accr Int]]*Tradingbook_SBV[[#This Row],[Quantity_edited]])*(-Tradingbook_SBV[[#This Row],[Modified Duration]]*0.01+0.5*Tradingbook_SBV[[#This Row],[Conv]]*(0.01^2))</f>
        <v>0</v>
      </c>
    </row>
    <row r="537" spans="2:130" x14ac:dyDescent="0.3">
      <c r="B537" t="s">
        <v>166</v>
      </c>
      <c r="C537" t="s">
        <v>3302</v>
      </c>
      <c r="D537" t="s">
        <v>3865</v>
      </c>
      <c r="E537" t="s">
        <v>169</v>
      </c>
      <c r="F537" s="502">
        <v>49788</v>
      </c>
      <c r="G537" t="s">
        <v>3322</v>
      </c>
      <c r="H537">
        <v>97404</v>
      </c>
      <c r="I537">
        <v>97404</v>
      </c>
      <c r="J537" s="38">
        <v>0</v>
      </c>
      <c r="K537">
        <v>0</v>
      </c>
      <c r="L537">
        <v>0</v>
      </c>
      <c r="M537" s="38">
        <v>0</v>
      </c>
      <c r="N537">
        <v>4.0999999999999996</v>
      </c>
      <c r="O537">
        <v>1314</v>
      </c>
      <c r="P537" s="37">
        <v>0</v>
      </c>
      <c r="Q537" s="37">
        <v>0</v>
      </c>
      <c r="R537" s="37">
        <v>-367512794.44444299</v>
      </c>
      <c r="S537">
        <v>4.4331909639999996</v>
      </c>
      <c r="T537" s="70">
        <v>7.7137199247171004</v>
      </c>
      <c r="U537">
        <v>8.0556838600000003</v>
      </c>
      <c r="V537">
        <v>74.206297095768406</v>
      </c>
      <c r="W537">
        <v>0</v>
      </c>
      <c r="X537" s="38">
        <v>0</v>
      </c>
      <c r="Y537">
        <v>0</v>
      </c>
      <c r="Z537" s="70">
        <v>6000000</v>
      </c>
      <c r="AA537" s="70">
        <v>0</v>
      </c>
      <c r="AB537" s="70">
        <v>6000000</v>
      </c>
      <c r="AC537" s="70">
        <v>6000000</v>
      </c>
      <c r="AD537" s="70">
        <v>6000000</v>
      </c>
      <c r="AE537" s="70">
        <v>6000000</v>
      </c>
      <c r="AF537">
        <v>0</v>
      </c>
      <c r="AG537" s="72">
        <f>Tradingbook_MSB[[#This Row],[Mat. Date]]-RPT</f>
        <v>3536</v>
      </c>
      <c r="AH537" s="71">
        <f>IF(Tradingbook_MSB[[#This Row],[Days]]&lt;=0,0,YEARFRAC(RPT,Tradingbook_MSB[[#This Row],[Mat. Date]],3))</f>
        <v>9.6876712328767116</v>
      </c>
      <c r="AI537" s="71" t="str">
        <f>IF(Tradingbook_MSB[[#This Row],[Days (year)]]=0,0,INDEX(Ref!$K$2:$K$13,MATCH(Tradingbook_MSB[[#This Row],[Days (year)]],Ref!$I$2:$I$13,1)))</f>
        <v>10Y</v>
      </c>
      <c r="AJ537" s="120" t="str">
        <f>VLOOKUP(Tradingbook_MSB[[#This Row],[Security Name]],Ref!X:Z,3,0)</f>
        <v>TPCP</v>
      </c>
      <c r="AK537" s="120" t="str">
        <f>VLOOKUP(Tradingbook_MSB[[#This Row],[Security Name]],Ref!X:Y,2,0)</f>
        <v>KBNN</v>
      </c>
      <c r="AL537" s="71">
        <f>IF((Tradingbook_MSB[[#This Row],[Mat. Date]]-RPT)&lt;=0,0,Tradingbook_MSB[[#This Row],[QUANTITY]])</f>
        <v>0</v>
      </c>
      <c r="AM537" s="71">
        <f>IF(Tradingbook_MSB[[#This Row],[Quantity_edited]]=0,0,Tradingbook_MSB[[#This Row],[DURATION]])</f>
        <v>0</v>
      </c>
      <c r="AN537" s="71">
        <f>IF(Tradingbook_MSB[[#This Row],[Quantity_edited]]=0,0,Tradingbook_MSB[[#This Row],[Mod Dur]])</f>
        <v>0</v>
      </c>
      <c r="AO537" s="71">
        <f>IF(Tradingbook_MSB[[#This Row],[Quantity_edited]]=0,0,Tradingbook_MSB[[#This Row],[Cnvx.]])</f>
        <v>0</v>
      </c>
      <c r="AP537" s="71">
        <f>(Tradingbook_MSB[[#This Row],[MARKET_VALUE]]+Tradingbook_MSB[[#This Row],[Accr Int]]*Tradingbook_MSB[[#This Row],[Quantity_edited]])*(-Tradingbook_MSB[[#This Row],[Modified Duration]]*0.0001+0.5*Tradingbook_MSB[[#This Row],[Conv]]*(0.0001^2))</f>
        <v>0</v>
      </c>
      <c r="AQ537" s="72">
        <f>(Tradingbook_MSB[[#This Row],[MARKET_VALUE]]+Tradingbook_MSB[[#This Row],[Accr Int]]*Tradingbook_MSB[[#This Row],[Quantity_edited]])*(-Tradingbook_MSB[[#This Row],[Modified Duration]]*0.01+0.5*Tradingbook_MSB[[#This Row],[Conv]]*(0.01^2))</f>
        <v>0</v>
      </c>
      <c r="CL537" t="s">
        <v>166</v>
      </c>
      <c r="CM537" t="s">
        <v>3303</v>
      </c>
      <c r="CN537" t="s">
        <v>723</v>
      </c>
      <c r="CO537" t="s">
        <v>169</v>
      </c>
      <c r="CP537">
        <v>53789</v>
      </c>
      <c r="CQ537" t="s">
        <v>3322</v>
      </c>
      <c r="CR537" t="s">
        <v>4512</v>
      </c>
      <c r="CS537" t="s">
        <v>4513</v>
      </c>
      <c r="CT537">
        <v>0</v>
      </c>
      <c r="CU537">
        <v>0</v>
      </c>
      <c r="CV537">
        <v>0</v>
      </c>
      <c r="CW537">
        <v>0</v>
      </c>
      <c r="CX537">
        <v>7.8</v>
      </c>
      <c r="CY537">
        <v>2842</v>
      </c>
      <c r="CZ537">
        <v>11700000000</v>
      </c>
      <c r="DA537">
        <v>14310616125</v>
      </c>
      <c r="DB537">
        <v>-3871278980.3722057</v>
      </c>
      <c r="DC537">
        <v>4.6702365119999998</v>
      </c>
      <c r="DD537">
        <v>12</v>
      </c>
      <c r="DE537">
        <v>12</v>
      </c>
      <c r="DF537">
        <v>194</v>
      </c>
      <c r="DG537">
        <v>0</v>
      </c>
      <c r="DH537">
        <v>0</v>
      </c>
      <c r="DI537">
        <v>0</v>
      </c>
      <c r="DJ537">
        <v>3879800000</v>
      </c>
      <c r="DK537">
        <v>0</v>
      </c>
      <c r="DL537">
        <v>3879800000</v>
      </c>
      <c r="DM537">
        <v>3879800000</v>
      </c>
      <c r="DN537">
        <v>3879800000</v>
      </c>
      <c r="DO537">
        <v>3879800000</v>
      </c>
      <c r="DP537" s="32">
        <f>Tradingbook_SBV[[#This Row],[Mat. Date]]-RPT</f>
        <v>7537</v>
      </c>
      <c r="DQ537" s="32">
        <f>IF(Tradingbook_SBV[[#This Row],[Days]]&lt;=0,0,YEARFRAC(RPT,Tradingbook_SBV[[#This Row],[Mat. Date]],3))</f>
        <v>20.649315068493152</v>
      </c>
      <c r="DR537" s="32" t="str">
        <f>IF(Tradingbook_SBV[[#This Row],[Days (year)]]=0,0,INDEX(Ref!$K$2:$K$13,MATCH(Tradingbook_SBV[[#This Row],[Days (year)]],Ref!$I$2:$I$13,1)))</f>
        <v>30Y</v>
      </c>
      <c r="DS537" s="32" t="str">
        <f>VLOOKUP(Tradingbook_SBV[[#This Row],[Security Name]],Ref!X:Z,3,0)</f>
        <v>TPCP</v>
      </c>
      <c r="DT537" s="32" t="str">
        <f>VLOOKUP(Tradingbook_SBV[[#This Row],[Security Name]],Ref!X:Y,2,0)</f>
        <v>KBNN</v>
      </c>
      <c r="DU537" s="71">
        <f>IF((Tradingbook_SBV[[#This Row],[Mat. Date]]-RPT)&lt;=0,0,Tradingbook_SBV[[#This Row],[QUANTITY]])</f>
        <v>0</v>
      </c>
      <c r="DV537" s="71">
        <f>IF(Tradingbook_SBV[[#This Row],[Quantity_edited]]=0,0,Tradingbook_SBV[[#This Row],[DURATION]])</f>
        <v>0</v>
      </c>
      <c r="DW537" s="71">
        <f>IF(Tradingbook_SBV[[#This Row],[Quantity_edited]]=0,0,Tradingbook_SBV[[#This Row],[Mod Dur]])</f>
        <v>0</v>
      </c>
      <c r="DX537" s="71">
        <f>IF(Tradingbook_SBV[[#This Row],[Quantity_edited]]=0,0,Tradingbook_SBV[[#This Row],[Cnvx.]])</f>
        <v>0</v>
      </c>
      <c r="DY537" s="71">
        <f>(Tradingbook_SBV[[#This Row],[MARKET_VALUE]]+Tradingbook_SBV[[#This Row],[Accr Int]]*Tradingbook_SBV[[#This Row],[Quantity_edited]])*(-Tradingbook_SBV[[#This Row],[Modified Duration]]*0.0001+0.5*Tradingbook_SBV[[#This Row],[Conv]]*(0.0001^2))</f>
        <v>0</v>
      </c>
      <c r="DZ537" s="71">
        <f>(Tradingbook_SBV[[#This Row],[MARKET_VALUE]]+Tradingbook_SBV[[#This Row],[Accr Int]]*Tradingbook_SBV[[#This Row],[Quantity_edited]])*(-Tradingbook_SBV[[#This Row],[Modified Duration]]*0.01+0.5*Tradingbook_SBV[[#This Row],[Conv]]*(0.01^2))</f>
        <v>0</v>
      </c>
    </row>
    <row r="538" spans="2:130" x14ac:dyDescent="0.3">
      <c r="B538" t="s">
        <v>166</v>
      </c>
      <c r="C538" t="s">
        <v>3302</v>
      </c>
      <c r="D538" t="s">
        <v>701</v>
      </c>
      <c r="E538" t="s">
        <v>169</v>
      </c>
      <c r="F538" s="502">
        <v>49836</v>
      </c>
      <c r="G538" t="s">
        <v>3322</v>
      </c>
      <c r="H538">
        <v>84053</v>
      </c>
      <c r="I538">
        <v>84053</v>
      </c>
      <c r="J538" s="38">
        <v>0</v>
      </c>
      <c r="K538">
        <v>0</v>
      </c>
      <c r="L538">
        <v>0</v>
      </c>
      <c r="M538" s="38">
        <v>0</v>
      </c>
      <c r="N538">
        <v>2.4</v>
      </c>
      <c r="O538">
        <v>454</v>
      </c>
      <c r="P538" s="37">
        <v>0</v>
      </c>
      <c r="Q538" s="37">
        <v>-1.9000000000000001E-5</v>
      </c>
      <c r="R538" s="37">
        <v>-455372339.72216606</v>
      </c>
      <c r="S538">
        <v>4.439212157</v>
      </c>
      <c r="T538" s="70">
        <v>8.3370460727086009</v>
      </c>
      <c r="U538">
        <v>8.7071452399999991</v>
      </c>
      <c r="V538">
        <v>82.989932110844194</v>
      </c>
      <c r="W538">
        <v>0</v>
      </c>
      <c r="X538" s="38">
        <v>0</v>
      </c>
      <c r="Y538">
        <v>0</v>
      </c>
      <c r="Z538" s="70">
        <v>870500000</v>
      </c>
      <c r="AA538" s="70">
        <v>0</v>
      </c>
      <c r="AB538" s="70">
        <v>870500000</v>
      </c>
      <c r="AC538" s="70">
        <v>870500000</v>
      </c>
      <c r="AD538" s="70">
        <v>870500000</v>
      </c>
      <c r="AE538" s="70">
        <v>870500000</v>
      </c>
      <c r="AF538">
        <v>0</v>
      </c>
      <c r="AG538" s="72">
        <f>Tradingbook_MSB[[#This Row],[Mat. Date]]-RPT</f>
        <v>3584</v>
      </c>
      <c r="AH538" s="71">
        <f>IF(Tradingbook_MSB[[#This Row],[Days]]&lt;=0,0,YEARFRAC(RPT,Tradingbook_MSB[[#This Row],[Mat. Date]],3))</f>
        <v>9.8191780821917813</v>
      </c>
      <c r="AI538" s="71" t="str">
        <f>IF(Tradingbook_MSB[[#This Row],[Days (year)]]=0,0,INDEX(Ref!$K$2:$K$13,MATCH(Tradingbook_MSB[[#This Row],[Days (year)]],Ref!$I$2:$I$13,1)))</f>
        <v>10Y</v>
      </c>
      <c r="AJ538" s="120" t="str">
        <f>VLOOKUP(Tradingbook_MSB[[#This Row],[Security Name]],Ref!X:Z,3,0)</f>
        <v>TPCP</v>
      </c>
      <c r="AK538" s="120" t="str">
        <f>VLOOKUP(Tradingbook_MSB[[#This Row],[Security Name]],Ref!X:Y,2,0)</f>
        <v>KBNN</v>
      </c>
      <c r="AL538" s="71">
        <f>IF((Tradingbook_MSB[[#This Row],[Mat. Date]]-RPT)&lt;=0,0,Tradingbook_MSB[[#This Row],[QUANTITY]])</f>
        <v>0</v>
      </c>
      <c r="AM538" s="71">
        <f>IF(Tradingbook_MSB[[#This Row],[Quantity_edited]]=0,0,Tradingbook_MSB[[#This Row],[DURATION]])</f>
        <v>0</v>
      </c>
      <c r="AN538" s="71">
        <f>IF(Tradingbook_MSB[[#This Row],[Quantity_edited]]=0,0,Tradingbook_MSB[[#This Row],[Mod Dur]])</f>
        <v>0</v>
      </c>
      <c r="AO538" s="71">
        <f>IF(Tradingbook_MSB[[#This Row],[Quantity_edited]]=0,0,Tradingbook_MSB[[#This Row],[Cnvx.]])</f>
        <v>0</v>
      </c>
      <c r="AP538" s="71">
        <f>(Tradingbook_MSB[[#This Row],[MARKET_VALUE]]+Tradingbook_MSB[[#This Row],[Accr Int]]*Tradingbook_MSB[[#This Row],[Quantity_edited]])*(-Tradingbook_MSB[[#This Row],[Modified Duration]]*0.0001+0.5*Tradingbook_MSB[[#This Row],[Conv]]*(0.0001^2))</f>
        <v>0</v>
      </c>
      <c r="AQ538" s="72">
        <f>(Tradingbook_MSB[[#This Row],[MARKET_VALUE]]+Tradingbook_MSB[[#This Row],[Accr Int]]*Tradingbook_MSB[[#This Row],[Quantity_edited]])*(-Tradingbook_MSB[[#This Row],[Modified Duration]]*0.01+0.5*Tradingbook_MSB[[#This Row],[Conv]]*(0.01^2))</f>
        <v>0</v>
      </c>
      <c r="CL538" t="s">
        <v>166</v>
      </c>
      <c r="CM538" t="s">
        <v>3303</v>
      </c>
      <c r="CN538" t="s">
        <v>724</v>
      </c>
      <c r="CO538" t="s">
        <v>169</v>
      </c>
      <c r="CP538">
        <v>53802</v>
      </c>
      <c r="CQ538" t="s">
        <v>3322</v>
      </c>
      <c r="CR538" t="s">
        <v>4514</v>
      </c>
      <c r="CS538" t="s">
        <v>4515</v>
      </c>
      <c r="CT538">
        <v>0</v>
      </c>
      <c r="CU538">
        <v>0</v>
      </c>
      <c r="CV538">
        <v>0</v>
      </c>
      <c r="CW538">
        <v>0</v>
      </c>
      <c r="CX538">
        <v>7.6</v>
      </c>
      <c r="CY538">
        <v>2499</v>
      </c>
      <c r="CZ538">
        <v>0</v>
      </c>
      <c r="DA538">
        <v>1.5E-5</v>
      </c>
      <c r="DB538">
        <v>-1949446772.7375183</v>
      </c>
      <c r="DC538">
        <v>4.6704401530000004</v>
      </c>
      <c r="DD538">
        <v>12</v>
      </c>
      <c r="DE538">
        <v>12</v>
      </c>
      <c r="DF538">
        <v>196</v>
      </c>
      <c r="DG538">
        <v>0</v>
      </c>
      <c r="DH538">
        <v>0</v>
      </c>
      <c r="DI538">
        <v>0</v>
      </c>
      <c r="DJ538">
        <v>10443550000</v>
      </c>
      <c r="DK538">
        <v>0</v>
      </c>
      <c r="DL538">
        <v>10443550000</v>
      </c>
      <c r="DM538">
        <v>10443550000</v>
      </c>
      <c r="DN538">
        <v>10443550000</v>
      </c>
      <c r="DO538">
        <v>10443550000</v>
      </c>
      <c r="DP538" s="32">
        <f>Tradingbook_SBV[[#This Row],[Mat. Date]]-RPT</f>
        <v>7550</v>
      </c>
      <c r="DQ538" s="32">
        <f>IF(Tradingbook_SBV[[#This Row],[Days]]&lt;=0,0,YEARFRAC(RPT,Tradingbook_SBV[[#This Row],[Mat. Date]],3))</f>
        <v>20.684931506849313</v>
      </c>
      <c r="DR538" s="32" t="str">
        <f>IF(Tradingbook_SBV[[#This Row],[Days (year)]]=0,0,INDEX(Ref!$K$2:$K$13,MATCH(Tradingbook_SBV[[#This Row],[Days (year)]],Ref!$I$2:$I$13,1)))</f>
        <v>30Y</v>
      </c>
      <c r="DS538" s="32" t="str">
        <f>VLOOKUP(Tradingbook_SBV[[#This Row],[Security Name]],Ref!X:Z,3,0)</f>
        <v>TPCP</v>
      </c>
      <c r="DT538" s="32" t="str">
        <f>VLOOKUP(Tradingbook_SBV[[#This Row],[Security Name]],Ref!X:Y,2,0)</f>
        <v>KBNN</v>
      </c>
      <c r="DU538" s="71">
        <f>IF((Tradingbook_SBV[[#This Row],[Mat. Date]]-RPT)&lt;=0,0,Tradingbook_SBV[[#This Row],[QUANTITY]])</f>
        <v>0</v>
      </c>
      <c r="DV538" s="71">
        <f>IF(Tradingbook_SBV[[#This Row],[Quantity_edited]]=0,0,Tradingbook_SBV[[#This Row],[DURATION]])</f>
        <v>0</v>
      </c>
      <c r="DW538" s="71">
        <f>IF(Tradingbook_SBV[[#This Row],[Quantity_edited]]=0,0,Tradingbook_SBV[[#This Row],[Mod Dur]])</f>
        <v>0</v>
      </c>
      <c r="DX538" s="71">
        <f>IF(Tradingbook_SBV[[#This Row],[Quantity_edited]]=0,0,Tradingbook_SBV[[#This Row],[Cnvx.]])</f>
        <v>0</v>
      </c>
      <c r="DY538" s="71">
        <f>(Tradingbook_SBV[[#This Row],[MARKET_VALUE]]+Tradingbook_SBV[[#This Row],[Accr Int]]*Tradingbook_SBV[[#This Row],[Quantity_edited]])*(-Tradingbook_SBV[[#This Row],[Modified Duration]]*0.0001+0.5*Tradingbook_SBV[[#This Row],[Conv]]*(0.0001^2))</f>
        <v>0</v>
      </c>
      <c r="DZ538" s="71">
        <f>(Tradingbook_SBV[[#This Row],[MARKET_VALUE]]+Tradingbook_SBV[[#This Row],[Accr Int]]*Tradingbook_SBV[[#This Row],[Quantity_edited]])*(-Tradingbook_SBV[[#This Row],[Modified Duration]]*0.01+0.5*Tradingbook_SBV[[#This Row],[Conv]]*(0.01^2))</f>
        <v>0</v>
      </c>
    </row>
    <row r="539" spans="2:130" x14ac:dyDescent="0.3">
      <c r="B539" t="s">
        <v>166</v>
      </c>
      <c r="C539" t="s">
        <v>3302</v>
      </c>
      <c r="D539" t="s">
        <v>702</v>
      </c>
      <c r="E539" t="s">
        <v>169</v>
      </c>
      <c r="F539" s="502">
        <v>49899</v>
      </c>
      <c r="G539" t="s">
        <v>170</v>
      </c>
      <c r="H539">
        <v>82987</v>
      </c>
      <c r="I539">
        <v>82987</v>
      </c>
      <c r="J539" s="38">
        <v>500000</v>
      </c>
      <c r="K539">
        <v>50000000000</v>
      </c>
      <c r="L539">
        <v>97702.31</v>
      </c>
      <c r="M539" s="38">
        <v>41493500000</v>
      </c>
      <c r="N539">
        <v>2.2999999999999998</v>
      </c>
      <c r="O539">
        <v>38</v>
      </c>
      <c r="P539" s="37">
        <v>3450000000</v>
      </c>
      <c r="Q539" s="37">
        <v>3625475625.0000448</v>
      </c>
      <c r="R539" s="37">
        <v>-10704197675.923567</v>
      </c>
      <c r="S539">
        <v>4.4471972759999998</v>
      </c>
      <c r="T539" s="70">
        <v>8.5355868601390998</v>
      </c>
      <c r="U539">
        <v>8.9151812499999998</v>
      </c>
      <c r="V539">
        <v>86.386963211033304</v>
      </c>
      <c r="W539">
        <v>35861.3881029802</v>
      </c>
      <c r="X539" s="38">
        <v>-35433.354953151997</v>
      </c>
      <c r="Y539">
        <v>4948.9790000000003</v>
      </c>
      <c r="Z539" s="70">
        <v>-30711264882.664036</v>
      </c>
      <c r="AA539" s="70">
        <v>-7357655117.3362827</v>
      </c>
      <c r="AB539" s="70">
        <v>-38068920000.00032</v>
      </c>
      <c r="AC539" s="70">
        <v>-38068920000.00032</v>
      </c>
      <c r="AD539" s="70">
        <v>-38068920000</v>
      </c>
      <c r="AE539" s="70">
        <v>-38068920000.00032</v>
      </c>
      <c r="AF539">
        <v>2.5102761519999999</v>
      </c>
      <c r="AG539" s="72">
        <f>Tradingbook_MSB[[#This Row],[Mat. Date]]-RPT</f>
        <v>3647</v>
      </c>
      <c r="AH539" s="71">
        <f>IF(Tradingbook_MSB[[#This Row],[Days]]&lt;=0,0,YEARFRAC(RPT,Tradingbook_MSB[[#This Row],[Mat. Date]],3))</f>
        <v>9.9917808219178088</v>
      </c>
      <c r="AI539" s="71" t="str">
        <f>IF(Tradingbook_MSB[[#This Row],[Days (year)]]=0,0,INDEX(Ref!$K$2:$K$13,MATCH(Tradingbook_MSB[[#This Row],[Days (year)]],Ref!$I$2:$I$13,1)))</f>
        <v>10Y</v>
      </c>
      <c r="AJ539" s="120" t="str">
        <f>VLOOKUP(Tradingbook_MSB[[#This Row],[Security Name]],Ref!X:Z,3,0)</f>
        <v>TPCP</v>
      </c>
      <c r="AK539" s="120" t="str">
        <f>VLOOKUP(Tradingbook_MSB[[#This Row],[Security Name]],Ref!X:Y,2,0)</f>
        <v>KBNN</v>
      </c>
      <c r="AL539" s="71">
        <f>IF((Tradingbook_MSB[[#This Row],[Mat. Date]]-RPT)&lt;=0,0,Tradingbook_MSB[[#This Row],[QUANTITY]])</f>
        <v>500000</v>
      </c>
      <c r="AM539" s="71">
        <f>IF(Tradingbook_MSB[[#This Row],[Quantity_edited]]=0,0,Tradingbook_MSB[[#This Row],[DURATION]])</f>
        <v>8.9151812499999998</v>
      </c>
      <c r="AN539" s="71">
        <f>IF(Tradingbook_MSB[[#This Row],[Quantity_edited]]=0,0,Tradingbook_MSB[[#This Row],[Mod Dur]])</f>
        <v>8.5355868601390998</v>
      </c>
      <c r="AO539" s="71">
        <f>IF(Tradingbook_MSB[[#This Row],[Quantity_edited]]=0,0,Tradingbook_MSB[[#This Row],[Cnvx.]])</f>
        <v>86.386963211033304</v>
      </c>
      <c r="AP539" s="71">
        <f>(Tradingbook_MSB[[#This Row],[MARKET_VALUE]]+Tradingbook_MSB[[#This Row],[Accr Int]]*Tradingbook_MSB[[#This Row],[Quantity_edited]])*(-Tradingbook_MSB[[#This Row],[Modified Duration]]*0.0001+0.5*Tradingbook_MSB[[#This Row],[Conv]]*(0.0001^2))</f>
        <v>-35415424.259100951</v>
      </c>
      <c r="AQ539" s="72">
        <f>(Tradingbook_MSB[[#This Row],[MARKET_VALUE]]+Tradingbook_MSB[[#This Row],[Accr Int]]*Tradingbook_MSB[[#This Row],[Quantity_edited]])*(-Tradingbook_MSB[[#This Row],[Modified Duration]]*0.01+0.5*Tradingbook_MSB[[#This Row],[Conv]]*(0.01^2))</f>
        <v>-3364028554.8003426</v>
      </c>
      <c r="CL539" t="s">
        <v>166</v>
      </c>
      <c r="CM539" t="s">
        <v>3303</v>
      </c>
      <c r="CN539" t="s">
        <v>725</v>
      </c>
      <c r="CO539" t="s">
        <v>169</v>
      </c>
      <c r="CP539">
        <v>53858</v>
      </c>
      <c r="CQ539" t="s">
        <v>3322</v>
      </c>
      <c r="CR539" t="s">
        <v>4516</v>
      </c>
      <c r="CS539" t="s">
        <v>4517</v>
      </c>
      <c r="CT539">
        <v>0</v>
      </c>
      <c r="CU539">
        <v>0</v>
      </c>
      <c r="CV539">
        <v>0</v>
      </c>
      <c r="CW539">
        <v>0</v>
      </c>
      <c r="CX539">
        <v>7.3</v>
      </c>
      <c r="CY539">
        <v>1280</v>
      </c>
      <c r="CZ539">
        <v>0</v>
      </c>
      <c r="DA539">
        <v>9.2E-5</v>
      </c>
      <c r="DB539">
        <v>-47068139.73897934</v>
      </c>
      <c r="DC539">
        <v>4.6715104700000003</v>
      </c>
      <c r="DD539">
        <v>12</v>
      </c>
      <c r="DE539">
        <v>12</v>
      </c>
      <c r="DF539">
        <v>202</v>
      </c>
      <c r="DG539">
        <v>0</v>
      </c>
      <c r="DH539">
        <v>0</v>
      </c>
      <c r="DI539">
        <v>0</v>
      </c>
      <c r="DJ539">
        <v>-1063940000</v>
      </c>
      <c r="DK539">
        <v>0</v>
      </c>
      <c r="DL539">
        <v>-1063940000</v>
      </c>
      <c r="DM539">
        <v>-1063940000</v>
      </c>
      <c r="DN539">
        <v>-1063940000</v>
      </c>
      <c r="DO539">
        <v>-1063940000</v>
      </c>
      <c r="DP539" s="32">
        <f>Tradingbook_SBV[[#This Row],[Mat. Date]]-RPT</f>
        <v>7606</v>
      </c>
      <c r="DQ539" s="32">
        <f>IF(Tradingbook_SBV[[#This Row],[Days]]&lt;=0,0,YEARFRAC(RPT,Tradingbook_SBV[[#This Row],[Mat. Date]],3))</f>
        <v>20.838356164383562</v>
      </c>
      <c r="DR539" s="32" t="str">
        <f>IF(Tradingbook_SBV[[#This Row],[Days (year)]]=0,0,INDEX(Ref!$K$2:$K$13,MATCH(Tradingbook_SBV[[#This Row],[Days (year)]],Ref!$I$2:$I$13,1)))</f>
        <v>30Y</v>
      </c>
      <c r="DS539" s="32" t="str">
        <f>VLOOKUP(Tradingbook_SBV[[#This Row],[Security Name]],Ref!X:Z,3,0)</f>
        <v>TPCP</v>
      </c>
      <c r="DT539" s="32" t="str">
        <f>VLOOKUP(Tradingbook_SBV[[#This Row],[Security Name]],Ref!X:Y,2,0)</f>
        <v>KBNN</v>
      </c>
      <c r="DU539" s="71">
        <f>IF((Tradingbook_SBV[[#This Row],[Mat. Date]]-RPT)&lt;=0,0,Tradingbook_SBV[[#This Row],[QUANTITY]])</f>
        <v>0</v>
      </c>
      <c r="DV539" s="71">
        <f>IF(Tradingbook_SBV[[#This Row],[Quantity_edited]]=0,0,Tradingbook_SBV[[#This Row],[DURATION]])</f>
        <v>0</v>
      </c>
      <c r="DW539" s="71">
        <f>IF(Tradingbook_SBV[[#This Row],[Quantity_edited]]=0,0,Tradingbook_SBV[[#This Row],[Mod Dur]])</f>
        <v>0</v>
      </c>
      <c r="DX539" s="71">
        <f>IF(Tradingbook_SBV[[#This Row],[Quantity_edited]]=0,0,Tradingbook_SBV[[#This Row],[Cnvx.]])</f>
        <v>0</v>
      </c>
      <c r="DY539" s="71">
        <f>(Tradingbook_SBV[[#This Row],[MARKET_VALUE]]+Tradingbook_SBV[[#This Row],[Accr Int]]*Tradingbook_SBV[[#This Row],[Quantity_edited]])*(-Tradingbook_SBV[[#This Row],[Modified Duration]]*0.0001+0.5*Tradingbook_SBV[[#This Row],[Conv]]*(0.0001^2))</f>
        <v>0</v>
      </c>
      <c r="DZ539" s="71">
        <f>(Tradingbook_SBV[[#This Row],[MARKET_VALUE]]+Tradingbook_SBV[[#This Row],[Accr Int]]*Tradingbook_SBV[[#This Row],[Quantity_edited]])*(-Tradingbook_SBV[[#This Row],[Modified Duration]]*0.01+0.5*Tradingbook_SBV[[#This Row],[Conv]]*(0.01^2))</f>
        <v>0</v>
      </c>
    </row>
    <row r="540" spans="2:130" x14ac:dyDescent="0.3">
      <c r="B540" t="s">
        <v>166</v>
      </c>
      <c r="C540" t="s">
        <v>3302</v>
      </c>
      <c r="D540" t="s">
        <v>703</v>
      </c>
      <c r="E540" t="s">
        <v>169</v>
      </c>
      <c r="F540" s="502">
        <v>49927</v>
      </c>
      <c r="G540" t="s">
        <v>3322</v>
      </c>
      <c r="H540">
        <v>82068</v>
      </c>
      <c r="I540">
        <v>82068</v>
      </c>
      <c r="J540" s="38">
        <v>0</v>
      </c>
      <c r="K540">
        <v>0</v>
      </c>
      <c r="L540">
        <v>0</v>
      </c>
      <c r="M540" s="38">
        <v>0</v>
      </c>
      <c r="N540">
        <v>2.2000000000000002</v>
      </c>
      <c r="O540">
        <v>2067</v>
      </c>
      <c r="P540" s="37">
        <v>1100000000</v>
      </c>
      <c r="Q540" s="37">
        <v>1203603194.4444499</v>
      </c>
      <c r="R540" s="37">
        <v>-2846430756.8749485</v>
      </c>
      <c r="S540">
        <v>4.4495009530000003</v>
      </c>
      <c r="T540" s="70">
        <v>8.4198262257775998</v>
      </c>
      <c r="U540">
        <v>8.7944664699999997</v>
      </c>
      <c r="V540">
        <v>85.901267535597</v>
      </c>
      <c r="W540">
        <v>0</v>
      </c>
      <c r="X540" s="38">
        <v>0</v>
      </c>
      <c r="Y540">
        <v>0</v>
      </c>
      <c r="Z540" s="70">
        <v>-9723000000</v>
      </c>
      <c r="AA540" s="70">
        <v>0</v>
      </c>
      <c r="AB540" s="70">
        <v>-9723000000</v>
      </c>
      <c r="AC540" s="70">
        <v>-9723000000</v>
      </c>
      <c r="AD540" s="70">
        <v>-9723000000</v>
      </c>
      <c r="AE540" s="70">
        <v>-9723000000</v>
      </c>
      <c r="AF540">
        <v>0</v>
      </c>
      <c r="AG540" s="72">
        <f>Tradingbook_MSB[[#This Row],[Mat. Date]]-RPT</f>
        <v>3675</v>
      </c>
      <c r="AH540" s="71">
        <f>IF(Tradingbook_MSB[[#This Row],[Days]]&lt;=0,0,YEARFRAC(RPT,Tradingbook_MSB[[#This Row],[Mat. Date]],3))</f>
        <v>10.068493150684931</v>
      </c>
      <c r="AI540" s="71" t="str">
        <f>IF(Tradingbook_MSB[[#This Row],[Days (year)]]=0,0,INDEX(Ref!$K$2:$K$13,MATCH(Tradingbook_MSB[[#This Row],[Days (year)]],Ref!$I$2:$I$13,1)))</f>
        <v>10Y</v>
      </c>
      <c r="AJ540" s="120" t="str">
        <f>VLOOKUP(Tradingbook_MSB[[#This Row],[Security Name]],Ref!X:Z,3,0)</f>
        <v>TPCP</v>
      </c>
      <c r="AK540" s="120" t="str">
        <f>VLOOKUP(Tradingbook_MSB[[#This Row],[Security Name]],Ref!X:Y,2,0)</f>
        <v>KBNN</v>
      </c>
      <c r="AL540" s="71">
        <f>IF((Tradingbook_MSB[[#This Row],[Mat. Date]]-RPT)&lt;=0,0,Tradingbook_MSB[[#This Row],[QUANTITY]])</f>
        <v>0</v>
      </c>
      <c r="AM540" s="71">
        <f>IF(Tradingbook_MSB[[#This Row],[Quantity_edited]]=0,0,Tradingbook_MSB[[#This Row],[DURATION]])</f>
        <v>0</v>
      </c>
      <c r="AN540" s="71">
        <f>IF(Tradingbook_MSB[[#This Row],[Quantity_edited]]=0,0,Tradingbook_MSB[[#This Row],[Mod Dur]])</f>
        <v>0</v>
      </c>
      <c r="AO540" s="71">
        <f>IF(Tradingbook_MSB[[#This Row],[Quantity_edited]]=0,0,Tradingbook_MSB[[#This Row],[Cnvx.]])</f>
        <v>0</v>
      </c>
      <c r="AP540" s="71">
        <f>(Tradingbook_MSB[[#This Row],[MARKET_VALUE]]+Tradingbook_MSB[[#This Row],[Accr Int]]*Tradingbook_MSB[[#This Row],[Quantity_edited]])*(-Tradingbook_MSB[[#This Row],[Modified Duration]]*0.0001+0.5*Tradingbook_MSB[[#This Row],[Conv]]*(0.0001^2))</f>
        <v>0</v>
      </c>
      <c r="AQ540" s="72">
        <f>(Tradingbook_MSB[[#This Row],[MARKET_VALUE]]+Tradingbook_MSB[[#This Row],[Accr Int]]*Tradingbook_MSB[[#This Row],[Quantity_edited]])*(-Tradingbook_MSB[[#This Row],[Modified Duration]]*0.01+0.5*Tradingbook_MSB[[#This Row],[Conv]]*(0.01^2))</f>
        <v>0</v>
      </c>
      <c r="CL540" t="s">
        <v>166</v>
      </c>
      <c r="CM540" t="s">
        <v>3303</v>
      </c>
      <c r="CN540" t="s">
        <v>726</v>
      </c>
      <c r="CO540" t="s">
        <v>169</v>
      </c>
      <c r="CP540">
        <v>53900</v>
      </c>
      <c r="CQ540" t="s">
        <v>3322</v>
      </c>
      <c r="CR540" t="s">
        <v>4518</v>
      </c>
      <c r="CS540" t="s">
        <v>4519</v>
      </c>
      <c r="CT540">
        <v>0</v>
      </c>
      <c r="CU540">
        <v>0</v>
      </c>
      <c r="CV540">
        <v>0</v>
      </c>
      <c r="CW540">
        <v>0</v>
      </c>
      <c r="CX540">
        <v>6.2</v>
      </c>
      <c r="CY540">
        <v>374</v>
      </c>
      <c r="CZ540">
        <v>0</v>
      </c>
      <c r="DA540">
        <v>0</v>
      </c>
      <c r="DB540">
        <v>-20962855.000001907</v>
      </c>
      <c r="DC540">
        <v>4.6722718179999996</v>
      </c>
      <c r="DD540">
        <v>12</v>
      </c>
      <c r="DE540">
        <v>13</v>
      </c>
      <c r="DF540">
        <v>215</v>
      </c>
      <c r="DG540">
        <v>0</v>
      </c>
      <c r="DH540">
        <v>0</v>
      </c>
      <c r="DI540">
        <v>0</v>
      </c>
      <c r="DJ540">
        <v>-5500000</v>
      </c>
      <c r="DK540">
        <v>0</v>
      </c>
      <c r="DL540">
        <v>-5500000</v>
      </c>
      <c r="DM540">
        <v>-5500000</v>
      </c>
      <c r="DN540">
        <v>-5500000</v>
      </c>
      <c r="DO540">
        <v>-5500000</v>
      </c>
      <c r="DP540" s="32">
        <f>Tradingbook_SBV[[#This Row],[Mat. Date]]-RPT</f>
        <v>7648</v>
      </c>
      <c r="DQ540" s="32">
        <f>IF(Tradingbook_SBV[[#This Row],[Days]]&lt;=0,0,YEARFRAC(RPT,Tradingbook_SBV[[#This Row],[Mat. Date]],3))</f>
        <v>20.953424657534246</v>
      </c>
      <c r="DR540" s="32" t="str">
        <f>IF(Tradingbook_SBV[[#This Row],[Days (year)]]=0,0,INDEX(Ref!$K$2:$K$13,MATCH(Tradingbook_SBV[[#This Row],[Days (year)]],Ref!$I$2:$I$13,1)))</f>
        <v>30Y</v>
      </c>
      <c r="DS540" s="32" t="str">
        <f>VLOOKUP(Tradingbook_SBV[[#This Row],[Security Name]],Ref!X:Z,3,0)</f>
        <v>TPCP</v>
      </c>
      <c r="DT540" s="32" t="str">
        <f>VLOOKUP(Tradingbook_SBV[[#This Row],[Security Name]],Ref!X:Y,2,0)</f>
        <v>KBNN</v>
      </c>
      <c r="DU540" s="71">
        <f>IF((Tradingbook_SBV[[#This Row],[Mat. Date]]-RPT)&lt;=0,0,Tradingbook_SBV[[#This Row],[QUANTITY]])</f>
        <v>0</v>
      </c>
      <c r="DV540" s="71">
        <f>IF(Tradingbook_SBV[[#This Row],[Quantity_edited]]=0,0,Tradingbook_SBV[[#This Row],[DURATION]])</f>
        <v>0</v>
      </c>
      <c r="DW540" s="71">
        <f>IF(Tradingbook_SBV[[#This Row],[Quantity_edited]]=0,0,Tradingbook_SBV[[#This Row],[Mod Dur]])</f>
        <v>0</v>
      </c>
      <c r="DX540" s="71">
        <f>IF(Tradingbook_SBV[[#This Row],[Quantity_edited]]=0,0,Tradingbook_SBV[[#This Row],[Cnvx.]])</f>
        <v>0</v>
      </c>
      <c r="DY540" s="71">
        <f>(Tradingbook_SBV[[#This Row],[MARKET_VALUE]]+Tradingbook_SBV[[#This Row],[Accr Int]]*Tradingbook_SBV[[#This Row],[Quantity_edited]])*(-Tradingbook_SBV[[#This Row],[Modified Duration]]*0.0001+0.5*Tradingbook_SBV[[#This Row],[Conv]]*(0.0001^2))</f>
        <v>0</v>
      </c>
      <c r="DZ540" s="71">
        <f>(Tradingbook_SBV[[#This Row],[MARKET_VALUE]]+Tradingbook_SBV[[#This Row],[Accr Int]]*Tradingbook_SBV[[#This Row],[Quantity_edited]])*(-Tradingbook_SBV[[#This Row],[Modified Duration]]*0.01+0.5*Tradingbook_SBV[[#This Row],[Conv]]*(0.01^2))</f>
        <v>0</v>
      </c>
    </row>
    <row r="541" spans="2:130" x14ac:dyDescent="0.3">
      <c r="B541" t="s">
        <v>166</v>
      </c>
      <c r="C541" t="s">
        <v>3302</v>
      </c>
      <c r="D541" t="s">
        <v>682</v>
      </c>
      <c r="E541" t="s">
        <v>169</v>
      </c>
      <c r="F541" s="502">
        <v>49954</v>
      </c>
      <c r="G541" t="s">
        <v>3322</v>
      </c>
      <c r="H541">
        <v>126022</v>
      </c>
      <c r="I541">
        <v>126022</v>
      </c>
      <c r="J541" s="38">
        <v>0</v>
      </c>
      <c r="K541">
        <v>0</v>
      </c>
      <c r="L541">
        <v>0</v>
      </c>
      <c r="M541" s="38">
        <v>0</v>
      </c>
      <c r="N541">
        <v>7.7</v>
      </c>
      <c r="O541">
        <v>6666</v>
      </c>
      <c r="P541" s="37">
        <v>0</v>
      </c>
      <c r="Q541" s="37">
        <v>-3.1000000000000001E-5</v>
      </c>
      <c r="R541" s="37">
        <v>-42550441039.635635</v>
      </c>
      <c r="S541">
        <v>4.4514785469999998</v>
      </c>
      <c r="T541" s="70">
        <v>7.0216750967317001</v>
      </c>
      <c r="U541">
        <v>7.3342434599999997</v>
      </c>
      <c r="V541">
        <v>67.454823922124703</v>
      </c>
      <c r="W541">
        <v>0</v>
      </c>
      <c r="X541" s="38">
        <v>0</v>
      </c>
      <c r="Y541">
        <v>0</v>
      </c>
      <c r="Z541" s="70">
        <v>-33987670000</v>
      </c>
      <c r="AA541" s="70">
        <v>0</v>
      </c>
      <c r="AB541" s="70">
        <v>-33987670000</v>
      </c>
      <c r="AC541" s="70">
        <v>-33987670000</v>
      </c>
      <c r="AD541" s="70">
        <v>-33987670000</v>
      </c>
      <c r="AE541" s="70">
        <v>-33987670000</v>
      </c>
      <c r="AF541">
        <v>0</v>
      </c>
      <c r="AG541" s="72">
        <f>Tradingbook_MSB[[#This Row],[Mat. Date]]-RPT</f>
        <v>3702</v>
      </c>
      <c r="AH541" s="71">
        <f>IF(Tradingbook_MSB[[#This Row],[Days]]&lt;=0,0,YEARFRAC(RPT,Tradingbook_MSB[[#This Row],[Mat. Date]],3))</f>
        <v>10.142465753424657</v>
      </c>
      <c r="AI541" s="71" t="str">
        <f>IF(Tradingbook_MSB[[#This Row],[Days (year)]]=0,0,INDEX(Ref!$K$2:$K$13,MATCH(Tradingbook_MSB[[#This Row],[Days (year)]],Ref!$I$2:$I$13,1)))</f>
        <v>10Y</v>
      </c>
      <c r="AJ541" s="120" t="str">
        <f>VLOOKUP(Tradingbook_MSB[[#This Row],[Security Name]],Ref!X:Z,3,0)</f>
        <v>TPCP</v>
      </c>
      <c r="AK541" s="120" t="str">
        <f>VLOOKUP(Tradingbook_MSB[[#This Row],[Security Name]],Ref!X:Y,2,0)</f>
        <v>KBNN</v>
      </c>
      <c r="AL541" s="71">
        <f>IF((Tradingbook_MSB[[#This Row],[Mat. Date]]-RPT)&lt;=0,0,Tradingbook_MSB[[#This Row],[QUANTITY]])</f>
        <v>0</v>
      </c>
      <c r="AM541" s="71">
        <f>IF(Tradingbook_MSB[[#This Row],[Quantity_edited]]=0,0,Tradingbook_MSB[[#This Row],[DURATION]])</f>
        <v>0</v>
      </c>
      <c r="AN541" s="71">
        <f>IF(Tradingbook_MSB[[#This Row],[Quantity_edited]]=0,0,Tradingbook_MSB[[#This Row],[Mod Dur]])</f>
        <v>0</v>
      </c>
      <c r="AO541" s="71">
        <f>IF(Tradingbook_MSB[[#This Row],[Quantity_edited]]=0,0,Tradingbook_MSB[[#This Row],[Cnvx.]])</f>
        <v>0</v>
      </c>
      <c r="AP541" s="71">
        <f>(Tradingbook_MSB[[#This Row],[MARKET_VALUE]]+Tradingbook_MSB[[#This Row],[Accr Int]]*Tradingbook_MSB[[#This Row],[Quantity_edited]])*(-Tradingbook_MSB[[#This Row],[Modified Duration]]*0.0001+0.5*Tradingbook_MSB[[#This Row],[Conv]]*(0.0001^2))</f>
        <v>0</v>
      </c>
      <c r="AQ541" s="72">
        <f>(Tradingbook_MSB[[#This Row],[MARKET_VALUE]]+Tradingbook_MSB[[#This Row],[Accr Int]]*Tradingbook_MSB[[#This Row],[Quantity_edited]])*(-Tradingbook_MSB[[#This Row],[Modified Duration]]*0.01+0.5*Tradingbook_MSB[[#This Row],[Conv]]*(0.01^2))</f>
        <v>0</v>
      </c>
      <c r="CL541" t="s">
        <v>166</v>
      </c>
      <c r="CM541" t="s">
        <v>3303</v>
      </c>
      <c r="CN541" t="s">
        <v>727</v>
      </c>
      <c r="CO541" t="s">
        <v>169</v>
      </c>
      <c r="CP541">
        <v>54075</v>
      </c>
      <c r="CQ541" t="s">
        <v>3322</v>
      </c>
      <c r="CR541" t="s">
        <v>4075</v>
      </c>
      <c r="CS541" t="s">
        <v>4076</v>
      </c>
      <c r="CT541">
        <v>0</v>
      </c>
      <c r="CU541">
        <v>0</v>
      </c>
      <c r="CV541">
        <v>0</v>
      </c>
      <c r="CW541">
        <v>0</v>
      </c>
      <c r="CX541">
        <v>5.4</v>
      </c>
      <c r="CY541">
        <v>3136</v>
      </c>
      <c r="CZ541">
        <v>0</v>
      </c>
      <c r="DA541">
        <v>7.6000000000000004E-5</v>
      </c>
      <c r="DB541">
        <v>-7927817241.6500778</v>
      </c>
      <c r="DC541">
        <v>4.6755032840000004</v>
      </c>
      <c r="DD541">
        <v>13</v>
      </c>
      <c r="DE541">
        <v>13</v>
      </c>
      <c r="DF541">
        <v>225</v>
      </c>
      <c r="DG541">
        <v>0</v>
      </c>
      <c r="DH541">
        <v>0</v>
      </c>
      <c r="DI541">
        <v>0</v>
      </c>
      <c r="DJ541">
        <v>-25413840000</v>
      </c>
      <c r="DK541">
        <v>0</v>
      </c>
      <c r="DL541">
        <v>-25413840000</v>
      </c>
      <c r="DM541">
        <v>-25413840000</v>
      </c>
      <c r="DN541">
        <v>-25413840000</v>
      </c>
      <c r="DO541">
        <v>-25413840000</v>
      </c>
      <c r="DP541" s="32">
        <f>Tradingbook_SBV[[#This Row],[Mat. Date]]-RPT</f>
        <v>7823</v>
      </c>
      <c r="DQ541" s="32">
        <f>IF(Tradingbook_SBV[[#This Row],[Days]]&lt;=0,0,YEARFRAC(RPT,Tradingbook_SBV[[#This Row],[Mat. Date]],3))</f>
        <v>21.432876712328767</v>
      </c>
      <c r="DR541" s="32" t="str">
        <f>IF(Tradingbook_SBV[[#This Row],[Days (year)]]=0,0,INDEX(Ref!$K$2:$K$13,MATCH(Tradingbook_SBV[[#This Row],[Days (year)]],Ref!$I$2:$I$13,1)))</f>
        <v>30Y</v>
      </c>
      <c r="DS541" s="32" t="str">
        <f>VLOOKUP(Tradingbook_SBV[[#This Row],[Security Name]],Ref!X:Z,3,0)</f>
        <v>TPCP</v>
      </c>
      <c r="DT541" s="32" t="str">
        <f>VLOOKUP(Tradingbook_SBV[[#This Row],[Security Name]],Ref!X:Y,2,0)</f>
        <v>KBNN</v>
      </c>
      <c r="DU541" s="71">
        <f>IF((Tradingbook_SBV[[#This Row],[Mat. Date]]-RPT)&lt;=0,0,Tradingbook_SBV[[#This Row],[QUANTITY]])</f>
        <v>0</v>
      </c>
      <c r="DV541" s="71">
        <f>IF(Tradingbook_SBV[[#This Row],[Quantity_edited]]=0,0,Tradingbook_SBV[[#This Row],[DURATION]])</f>
        <v>0</v>
      </c>
      <c r="DW541" s="71">
        <f>IF(Tradingbook_SBV[[#This Row],[Quantity_edited]]=0,0,Tradingbook_SBV[[#This Row],[Mod Dur]])</f>
        <v>0</v>
      </c>
      <c r="DX541" s="71">
        <f>IF(Tradingbook_SBV[[#This Row],[Quantity_edited]]=0,0,Tradingbook_SBV[[#This Row],[Cnvx.]])</f>
        <v>0</v>
      </c>
      <c r="DY541" s="71">
        <f>(Tradingbook_SBV[[#This Row],[MARKET_VALUE]]+Tradingbook_SBV[[#This Row],[Accr Int]]*Tradingbook_SBV[[#This Row],[Quantity_edited]])*(-Tradingbook_SBV[[#This Row],[Modified Duration]]*0.0001+0.5*Tradingbook_SBV[[#This Row],[Conv]]*(0.0001^2))</f>
        <v>0</v>
      </c>
      <c r="DZ541" s="71">
        <f>(Tradingbook_SBV[[#This Row],[MARKET_VALUE]]+Tradingbook_SBV[[#This Row],[Accr Int]]*Tradingbook_SBV[[#This Row],[Quantity_edited]])*(-Tradingbook_SBV[[#This Row],[Modified Duration]]*0.01+0.5*Tradingbook_SBV[[#This Row],[Conv]]*(0.01^2))</f>
        <v>0</v>
      </c>
    </row>
    <row r="542" spans="2:130" x14ac:dyDescent="0.3">
      <c r="B542" t="s">
        <v>166</v>
      </c>
      <c r="C542" t="s">
        <v>3302</v>
      </c>
      <c r="D542" t="s">
        <v>704</v>
      </c>
      <c r="E542" t="s">
        <v>169</v>
      </c>
      <c r="F542" s="502">
        <v>50004</v>
      </c>
      <c r="G542" t="s">
        <v>3322</v>
      </c>
      <c r="H542">
        <v>82533</v>
      </c>
      <c r="I542">
        <v>82533</v>
      </c>
      <c r="J542" s="38">
        <v>0</v>
      </c>
      <c r="K542">
        <v>0</v>
      </c>
      <c r="L542">
        <v>0</v>
      </c>
      <c r="M542" s="38">
        <v>0</v>
      </c>
      <c r="N542">
        <v>2.2999999999999998</v>
      </c>
      <c r="O542">
        <v>1676</v>
      </c>
      <c r="P542" s="37">
        <v>1150000000</v>
      </c>
      <c r="Q542" s="37">
        <v>1248317013.88889</v>
      </c>
      <c r="R542" s="37">
        <v>-898032179.47222137</v>
      </c>
      <c r="S542">
        <v>4.454982824</v>
      </c>
      <c r="T542" s="70">
        <v>8.5791466150302007</v>
      </c>
      <c r="U542">
        <v>8.96134612</v>
      </c>
      <c r="V542">
        <v>88.950236769704603</v>
      </c>
      <c r="W542">
        <v>0</v>
      </c>
      <c r="X542" s="38">
        <v>0</v>
      </c>
      <c r="Y542">
        <v>0</v>
      </c>
      <c r="Z542" s="70">
        <v>208200000</v>
      </c>
      <c r="AA542" s="70">
        <v>0</v>
      </c>
      <c r="AB542" s="70">
        <v>208200000</v>
      </c>
      <c r="AC542" s="70">
        <v>208200000</v>
      </c>
      <c r="AD542" s="70">
        <v>208200000</v>
      </c>
      <c r="AE542" s="70">
        <v>208200000</v>
      </c>
      <c r="AF542">
        <v>0</v>
      </c>
      <c r="AG542" s="72">
        <f>Tradingbook_MSB[[#This Row],[Mat. Date]]-RPT</f>
        <v>3752</v>
      </c>
      <c r="AH542" s="71">
        <f>IF(Tradingbook_MSB[[#This Row],[Days]]&lt;=0,0,YEARFRAC(RPT,Tradingbook_MSB[[#This Row],[Mat. Date]],3))</f>
        <v>10.27945205479452</v>
      </c>
      <c r="AI542" s="71" t="str">
        <f>IF(Tradingbook_MSB[[#This Row],[Days (year)]]=0,0,INDEX(Ref!$K$2:$K$13,MATCH(Tradingbook_MSB[[#This Row],[Days (year)]],Ref!$I$2:$I$13,1)))</f>
        <v>10Y</v>
      </c>
      <c r="AJ542" s="120" t="str">
        <f>VLOOKUP(Tradingbook_MSB[[#This Row],[Security Name]],Ref!X:Z,3,0)</f>
        <v>TPCP</v>
      </c>
      <c r="AK542" s="120" t="str">
        <f>VLOOKUP(Tradingbook_MSB[[#This Row],[Security Name]],Ref!X:Y,2,0)</f>
        <v>KBNN</v>
      </c>
      <c r="AL542" s="71">
        <f>IF((Tradingbook_MSB[[#This Row],[Mat. Date]]-RPT)&lt;=0,0,Tradingbook_MSB[[#This Row],[QUANTITY]])</f>
        <v>0</v>
      </c>
      <c r="AM542" s="71">
        <f>IF(Tradingbook_MSB[[#This Row],[Quantity_edited]]=0,0,Tradingbook_MSB[[#This Row],[DURATION]])</f>
        <v>0</v>
      </c>
      <c r="AN542" s="71">
        <f>IF(Tradingbook_MSB[[#This Row],[Quantity_edited]]=0,0,Tradingbook_MSB[[#This Row],[Mod Dur]])</f>
        <v>0</v>
      </c>
      <c r="AO542" s="71">
        <f>IF(Tradingbook_MSB[[#This Row],[Quantity_edited]]=0,0,Tradingbook_MSB[[#This Row],[Cnvx.]])</f>
        <v>0</v>
      </c>
      <c r="AP542" s="71">
        <f>(Tradingbook_MSB[[#This Row],[MARKET_VALUE]]+Tradingbook_MSB[[#This Row],[Accr Int]]*Tradingbook_MSB[[#This Row],[Quantity_edited]])*(-Tradingbook_MSB[[#This Row],[Modified Duration]]*0.0001+0.5*Tradingbook_MSB[[#This Row],[Conv]]*(0.0001^2))</f>
        <v>0</v>
      </c>
      <c r="AQ542" s="72">
        <f>(Tradingbook_MSB[[#This Row],[MARKET_VALUE]]+Tradingbook_MSB[[#This Row],[Accr Int]]*Tradingbook_MSB[[#This Row],[Quantity_edited]])*(-Tradingbook_MSB[[#This Row],[Modified Duration]]*0.01+0.5*Tradingbook_MSB[[#This Row],[Conv]]*(0.01^2))</f>
        <v>0</v>
      </c>
      <c r="CL542" t="s">
        <v>166</v>
      </c>
      <c r="CM542" t="s">
        <v>3303</v>
      </c>
      <c r="CN542" t="s">
        <v>728</v>
      </c>
      <c r="CO542" t="s">
        <v>169</v>
      </c>
      <c r="CP542">
        <v>54447</v>
      </c>
      <c r="CQ542" t="s">
        <v>3322</v>
      </c>
      <c r="CR542" t="s">
        <v>4520</v>
      </c>
      <c r="CS542" t="s">
        <v>4521</v>
      </c>
      <c r="CT542">
        <v>0</v>
      </c>
      <c r="CU542">
        <v>0</v>
      </c>
      <c r="CV542">
        <v>0</v>
      </c>
      <c r="CW542">
        <v>0</v>
      </c>
      <c r="CX542">
        <v>5.8</v>
      </c>
      <c r="CY542">
        <v>3273</v>
      </c>
      <c r="CZ542">
        <v>0</v>
      </c>
      <c r="DA542">
        <v>-3.9999999999999998E-6</v>
      </c>
      <c r="DB542">
        <v>-797748337.49995041</v>
      </c>
      <c r="DC542">
        <v>4.6822935470000004</v>
      </c>
      <c r="DD542">
        <v>13</v>
      </c>
      <c r="DE542">
        <v>13</v>
      </c>
      <c r="DF542">
        <v>234</v>
      </c>
      <c r="DG542">
        <v>0</v>
      </c>
      <c r="DH542">
        <v>0</v>
      </c>
      <c r="DI542">
        <v>0</v>
      </c>
      <c r="DJ542">
        <v>-4157500000</v>
      </c>
      <c r="DK542">
        <v>0</v>
      </c>
      <c r="DL542">
        <v>-4157500000</v>
      </c>
      <c r="DM542">
        <v>-4157500000</v>
      </c>
      <c r="DN542">
        <v>-4157500000</v>
      </c>
      <c r="DO542">
        <v>-4157500000</v>
      </c>
      <c r="DP542" s="32">
        <f>Tradingbook_SBV[[#This Row],[Mat. Date]]-RPT</f>
        <v>8195</v>
      </c>
      <c r="DQ542" s="32">
        <f>IF(Tradingbook_SBV[[#This Row],[Days]]&lt;=0,0,YEARFRAC(RPT,Tradingbook_SBV[[#This Row],[Mat. Date]],3))</f>
        <v>22.452054794520549</v>
      </c>
      <c r="DR542" s="32" t="str">
        <f>IF(Tradingbook_SBV[[#This Row],[Days (year)]]=0,0,INDEX(Ref!$K$2:$K$13,MATCH(Tradingbook_SBV[[#This Row],[Days (year)]],Ref!$I$2:$I$13,1)))</f>
        <v>30Y</v>
      </c>
      <c r="DS542" s="32" t="str">
        <f>VLOOKUP(Tradingbook_SBV[[#This Row],[Security Name]],Ref!X:Z,3,0)</f>
        <v>TPCP</v>
      </c>
      <c r="DT542" s="32" t="str">
        <f>VLOOKUP(Tradingbook_SBV[[#This Row],[Security Name]],Ref!X:Y,2,0)</f>
        <v>KBNN</v>
      </c>
      <c r="DU542" s="71">
        <f>IF((Tradingbook_SBV[[#This Row],[Mat. Date]]-RPT)&lt;=0,0,Tradingbook_SBV[[#This Row],[QUANTITY]])</f>
        <v>0</v>
      </c>
      <c r="DV542" s="71">
        <f>IF(Tradingbook_SBV[[#This Row],[Quantity_edited]]=0,0,Tradingbook_SBV[[#This Row],[DURATION]])</f>
        <v>0</v>
      </c>
      <c r="DW542" s="71">
        <f>IF(Tradingbook_SBV[[#This Row],[Quantity_edited]]=0,0,Tradingbook_SBV[[#This Row],[Mod Dur]])</f>
        <v>0</v>
      </c>
      <c r="DX542" s="71">
        <f>IF(Tradingbook_SBV[[#This Row],[Quantity_edited]]=0,0,Tradingbook_SBV[[#This Row],[Cnvx.]])</f>
        <v>0</v>
      </c>
      <c r="DY542" s="71">
        <f>(Tradingbook_SBV[[#This Row],[MARKET_VALUE]]+Tradingbook_SBV[[#This Row],[Accr Int]]*Tradingbook_SBV[[#This Row],[Quantity_edited]])*(-Tradingbook_SBV[[#This Row],[Modified Duration]]*0.0001+0.5*Tradingbook_SBV[[#This Row],[Conv]]*(0.0001^2))</f>
        <v>0</v>
      </c>
      <c r="DZ542" s="71">
        <f>(Tradingbook_SBV[[#This Row],[MARKET_VALUE]]+Tradingbook_SBV[[#This Row],[Accr Int]]*Tradingbook_SBV[[#This Row],[Quantity_edited]])*(-Tradingbook_SBV[[#This Row],[Modified Duration]]*0.01+0.5*Tradingbook_SBV[[#This Row],[Conv]]*(0.01^2))</f>
        <v>0</v>
      </c>
    </row>
    <row r="543" spans="2:130" x14ac:dyDescent="0.3">
      <c r="B543" t="s">
        <v>166</v>
      </c>
      <c r="C543" t="s">
        <v>3302</v>
      </c>
      <c r="D543" t="s">
        <v>706</v>
      </c>
      <c r="E543" t="s">
        <v>169</v>
      </c>
      <c r="F543" s="502">
        <v>50046</v>
      </c>
      <c r="G543" t="s">
        <v>3322</v>
      </c>
      <c r="H543">
        <v>82354</v>
      </c>
      <c r="I543">
        <v>82354</v>
      </c>
      <c r="J543" s="38">
        <v>0</v>
      </c>
      <c r="K543">
        <v>0</v>
      </c>
      <c r="L543">
        <v>0</v>
      </c>
      <c r="M543" s="38">
        <v>0</v>
      </c>
      <c r="N543">
        <v>2.2999999999999998</v>
      </c>
      <c r="O543">
        <v>1412</v>
      </c>
      <c r="P543" s="37">
        <v>0</v>
      </c>
      <c r="Q543" s="37">
        <v>9.9999999999999995E-7</v>
      </c>
      <c r="R543" s="37">
        <v>-2025250675.6944013</v>
      </c>
      <c r="S543">
        <v>4.4579662320000004</v>
      </c>
      <c r="T543" s="70">
        <v>8.6888464063755002</v>
      </c>
      <c r="U543">
        <v>9.0761922500000001</v>
      </c>
      <c r="V543">
        <v>90.950044769741396</v>
      </c>
      <c r="W543">
        <v>0</v>
      </c>
      <c r="X543" s="38">
        <v>0</v>
      </c>
      <c r="Y543">
        <v>0</v>
      </c>
      <c r="Z543" s="70">
        <v>-10882500000</v>
      </c>
      <c r="AA543" s="70">
        <v>0</v>
      </c>
      <c r="AB543" s="70">
        <v>-10882500000</v>
      </c>
      <c r="AC543" s="70">
        <v>-10882500000</v>
      </c>
      <c r="AD543" s="70">
        <v>-10882500000</v>
      </c>
      <c r="AE543" s="70">
        <v>-10882500000</v>
      </c>
      <c r="AF543">
        <v>0</v>
      </c>
      <c r="AG543" s="72">
        <f>Tradingbook_MSB[[#This Row],[Mat. Date]]-RPT</f>
        <v>3794</v>
      </c>
      <c r="AH543" s="71">
        <f>IF(Tradingbook_MSB[[#This Row],[Days]]&lt;=0,0,YEARFRAC(RPT,Tradingbook_MSB[[#This Row],[Mat. Date]],3))</f>
        <v>10.394520547945206</v>
      </c>
      <c r="AI543" s="71" t="str">
        <f>IF(Tradingbook_MSB[[#This Row],[Days (year)]]=0,0,INDEX(Ref!$K$2:$K$13,MATCH(Tradingbook_MSB[[#This Row],[Days (year)]],Ref!$I$2:$I$13,1)))</f>
        <v>10Y</v>
      </c>
      <c r="AJ543" s="120" t="str">
        <f>VLOOKUP(Tradingbook_MSB[[#This Row],[Security Name]],Ref!X:Z,3,0)</f>
        <v>TPCP</v>
      </c>
      <c r="AK543" s="120" t="str">
        <f>VLOOKUP(Tradingbook_MSB[[#This Row],[Security Name]],Ref!X:Y,2,0)</f>
        <v>KBNN</v>
      </c>
      <c r="AL543" s="71">
        <f>IF((Tradingbook_MSB[[#This Row],[Mat. Date]]-RPT)&lt;=0,0,Tradingbook_MSB[[#This Row],[QUANTITY]])</f>
        <v>0</v>
      </c>
      <c r="AM543" s="71">
        <f>IF(Tradingbook_MSB[[#This Row],[Quantity_edited]]=0,0,Tradingbook_MSB[[#This Row],[DURATION]])</f>
        <v>0</v>
      </c>
      <c r="AN543" s="71">
        <f>IF(Tradingbook_MSB[[#This Row],[Quantity_edited]]=0,0,Tradingbook_MSB[[#This Row],[Mod Dur]])</f>
        <v>0</v>
      </c>
      <c r="AO543" s="71">
        <f>IF(Tradingbook_MSB[[#This Row],[Quantity_edited]]=0,0,Tradingbook_MSB[[#This Row],[Cnvx.]])</f>
        <v>0</v>
      </c>
      <c r="AP543" s="71">
        <f>(Tradingbook_MSB[[#This Row],[MARKET_VALUE]]+Tradingbook_MSB[[#This Row],[Accr Int]]*Tradingbook_MSB[[#This Row],[Quantity_edited]])*(-Tradingbook_MSB[[#This Row],[Modified Duration]]*0.0001+0.5*Tradingbook_MSB[[#This Row],[Conv]]*(0.0001^2))</f>
        <v>0</v>
      </c>
      <c r="AQ543" s="72">
        <f>(Tradingbook_MSB[[#This Row],[MARKET_VALUE]]+Tradingbook_MSB[[#This Row],[Accr Int]]*Tradingbook_MSB[[#This Row],[Quantity_edited]])*(-Tradingbook_MSB[[#This Row],[Modified Duration]]*0.01+0.5*Tradingbook_MSB[[#This Row],[Conv]]*(0.01^2))</f>
        <v>0</v>
      </c>
      <c r="CL543" t="s">
        <v>166</v>
      </c>
      <c r="CM543" t="s">
        <v>3303</v>
      </c>
      <c r="CN543" t="s">
        <v>729</v>
      </c>
      <c r="CO543" t="s">
        <v>169</v>
      </c>
      <c r="CP543">
        <v>54692</v>
      </c>
      <c r="CQ543" t="s">
        <v>3322</v>
      </c>
      <c r="CR543" t="s">
        <v>4522</v>
      </c>
      <c r="CS543" t="s">
        <v>4523</v>
      </c>
      <c r="CT543">
        <v>0</v>
      </c>
      <c r="CU543">
        <v>0</v>
      </c>
      <c r="CV543">
        <v>0</v>
      </c>
      <c r="CW543">
        <v>0</v>
      </c>
      <c r="CX543">
        <v>5.2</v>
      </c>
      <c r="CY543">
        <v>4644</v>
      </c>
      <c r="CZ543">
        <v>2600000000</v>
      </c>
      <c r="DA543">
        <v>2865664388.8888888</v>
      </c>
      <c r="DB543">
        <v>-526119761.08334255</v>
      </c>
      <c r="DC543">
        <v>4.6867977439999997</v>
      </c>
      <c r="DD543">
        <v>13</v>
      </c>
      <c r="DE543">
        <v>14</v>
      </c>
      <c r="DF543">
        <v>248</v>
      </c>
      <c r="DG543">
        <v>0</v>
      </c>
      <c r="DH543">
        <v>0</v>
      </c>
      <c r="DI543">
        <v>0</v>
      </c>
      <c r="DJ543">
        <v>96600000</v>
      </c>
      <c r="DK543">
        <v>0</v>
      </c>
      <c r="DL543">
        <v>96600000</v>
      </c>
      <c r="DM543">
        <v>96600000</v>
      </c>
      <c r="DN543">
        <v>96600000</v>
      </c>
      <c r="DO543">
        <v>96600000</v>
      </c>
      <c r="DP543" s="32">
        <f>Tradingbook_SBV[[#This Row],[Mat. Date]]-RPT</f>
        <v>8440</v>
      </c>
      <c r="DQ543" s="32">
        <f>IF(Tradingbook_SBV[[#This Row],[Days]]&lt;=0,0,YEARFRAC(RPT,Tradingbook_SBV[[#This Row],[Mat. Date]],3))</f>
        <v>23.123287671232877</v>
      </c>
      <c r="DR543" s="32" t="str">
        <f>IF(Tradingbook_SBV[[#This Row],[Days (year)]]=0,0,INDEX(Ref!$K$2:$K$13,MATCH(Tradingbook_SBV[[#This Row],[Days (year)]],Ref!$I$2:$I$13,1)))</f>
        <v>30Y</v>
      </c>
      <c r="DS543" s="32" t="str">
        <f>VLOOKUP(Tradingbook_SBV[[#This Row],[Security Name]],Ref!X:Z,3,0)</f>
        <v>TPCP</v>
      </c>
      <c r="DT543" s="32" t="str">
        <f>VLOOKUP(Tradingbook_SBV[[#This Row],[Security Name]],Ref!X:Y,2,0)</f>
        <v>KBNN</v>
      </c>
      <c r="DU543" s="71">
        <f>IF((Tradingbook_SBV[[#This Row],[Mat. Date]]-RPT)&lt;=0,0,Tradingbook_SBV[[#This Row],[QUANTITY]])</f>
        <v>0</v>
      </c>
      <c r="DV543" s="71">
        <f>IF(Tradingbook_SBV[[#This Row],[Quantity_edited]]=0,0,Tradingbook_SBV[[#This Row],[DURATION]])</f>
        <v>0</v>
      </c>
      <c r="DW543" s="71">
        <f>IF(Tradingbook_SBV[[#This Row],[Quantity_edited]]=0,0,Tradingbook_SBV[[#This Row],[Mod Dur]])</f>
        <v>0</v>
      </c>
      <c r="DX543" s="71">
        <f>IF(Tradingbook_SBV[[#This Row],[Quantity_edited]]=0,0,Tradingbook_SBV[[#This Row],[Cnvx.]])</f>
        <v>0</v>
      </c>
      <c r="DY543" s="71">
        <f>(Tradingbook_SBV[[#This Row],[MARKET_VALUE]]+Tradingbook_SBV[[#This Row],[Accr Int]]*Tradingbook_SBV[[#This Row],[Quantity_edited]])*(-Tradingbook_SBV[[#This Row],[Modified Duration]]*0.0001+0.5*Tradingbook_SBV[[#This Row],[Conv]]*(0.0001^2))</f>
        <v>0</v>
      </c>
      <c r="DZ543" s="71">
        <f>(Tradingbook_SBV[[#This Row],[MARKET_VALUE]]+Tradingbook_SBV[[#This Row],[Accr Int]]*Tradingbook_SBV[[#This Row],[Quantity_edited]])*(-Tradingbook_SBV[[#This Row],[Modified Duration]]*0.01+0.5*Tradingbook_SBV[[#This Row],[Conv]]*(0.01^2))</f>
        <v>0</v>
      </c>
    </row>
    <row r="544" spans="2:130" x14ac:dyDescent="0.3">
      <c r="B544" t="s">
        <v>166</v>
      </c>
      <c r="C544" t="s">
        <v>3302</v>
      </c>
      <c r="D544" t="s">
        <v>683</v>
      </c>
      <c r="E544" t="s">
        <v>169</v>
      </c>
      <c r="F544" s="502">
        <v>50059</v>
      </c>
      <c r="G544" t="s">
        <v>3322</v>
      </c>
      <c r="H544">
        <v>126513</v>
      </c>
      <c r="I544">
        <v>126513</v>
      </c>
      <c r="J544" s="38">
        <v>0</v>
      </c>
      <c r="K544">
        <v>0</v>
      </c>
      <c r="L544">
        <v>0</v>
      </c>
      <c r="M544" s="38">
        <v>0</v>
      </c>
      <c r="N544">
        <v>7.7</v>
      </c>
      <c r="O544">
        <v>4451</v>
      </c>
      <c r="P544" s="37">
        <v>53515000000</v>
      </c>
      <c r="Q544" s="37">
        <v>63606162138.750031</v>
      </c>
      <c r="R544" s="37">
        <v>-3145400079.2721653</v>
      </c>
      <c r="S544">
        <v>4.4590061329999999</v>
      </c>
      <c r="T544" s="70">
        <v>7.2957003197823003</v>
      </c>
      <c r="U544">
        <v>7.6210160399999998</v>
      </c>
      <c r="V544">
        <v>71.640741790773006</v>
      </c>
      <c r="W544">
        <v>0</v>
      </c>
      <c r="X544" s="38">
        <v>0</v>
      </c>
      <c r="Y544">
        <v>0</v>
      </c>
      <c r="Z544" s="70">
        <v>82992640000</v>
      </c>
      <c r="AA544" s="70">
        <v>0</v>
      </c>
      <c r="AB544" s="70">
        <v>82992640000</v>
      </c>
      <c r="AC544" s="70">
        <v>82992640000</v>
      </c>
      <c r="AD544" s="70">
        <v>82992640000</v>
      </c>
      <c r="AE544" s="70">
        <v>82992640000</v>
      </c>
      <c r="AF544">
        <v>0</v>
      </c>
      <c r="AG544" s="72">
        <f>Tradingbook_MSB[[#This Row],[Mat. Date]]-RPT</f>
        <v>3807</v>
      </c>
      <c r="AH544" s="71">
        <f>IF(Tradingbook_MSB[[#This Row],[Days]]&lt;=0,0,YEARFRAC(RPT,Tradingbook_MSB[[#This Row],[Mat. Date]],3))</f>
        <v>10.43013698630137</v>
      </c>
      <c r="AI544" s="71" t="str">
        <f>IF(Tradingbook_MSB[[#This Row],[Days (year)]]=0,0,INDEX(Ref!$K$2:$K$13,MATCH(Tradingbook_MSB[[#This Row],[Days (year)]],Ref!$I$2:$I$13,1)))</f>
        <v>10Y</v>
      </c>
      <c r="AJ544" s="120" t="str">
        <f>VLOOKUP(Tradingbook_MSB[[#This Row],[Security Name]],Ref!X:Z,3,0)</f>
        <v>TPCP</v>
      </c>
      <c r="AK544" s="120" t="str">
        <f>VLOOKUP(Tradingbook_MSB[[#This Row],[Security Name]],Ref!X:Y,2,0)</f>
        <v>KBNN</v>
      </c>
      <c r="AL544" s="71">
        <f>IF((Tradingbook_MSB[[#This Row],[Mat. Date]]-RPT)&lt;=0,0,Tradingbook_MSB[[#This Row],[QUANTITY]])</f>
        <v>0</v>
      </c>
      <c r="AM544" s="71">
        <f>IF(Tradingbook_MSB[[#This Row],[Quantity_edited]]=0,0,Tradingbook_MSB[[#This Row],[DURATION]])</f>
        <v>0</v>
      </c>
      <c r="AN544" s="71">
        <f>IF(Tradingbook_MSB[[#This Row],[Quantity_edited]]=0,0,Tradingbook_MSB[[#This Row],[Mod Dur]])</f>
        <v>0</v>
      </c>
      <c r="AO544" s="71">
        <f>IF(Tradingbook_MSB[[#This Row],[Quantity_edited]]=0,0,Tradingbook_MSB[[#This Row],[Cnvx.]])</f>
        <v>0</v>
      </c>
      <c r="AP544" s="71">
        <f>(Tradingbook_MSB[[#This Row],[MARKET_VALUE]]+Tradingbook_MSB[[#This Row],[Accr Int]]*Tradingbook_MSB[[#This Row],[Quantity_edited]])*(-Tradingbook_MSB[[#This Row],[Modified Duration]]*0.0001+0.5*Tradingbook_MSB[[#This Row],[Conv]]*(0.0001^2))</f>
        <v>0</v>
      </c>
      <c r="AQ544" s="72">
        <f>(Tradingbook_MSB[[#This Row],[MARKET_VALUE]]+Tradingbook_MSB[[#This Row],[Accr Int]]*Tradingbook_MSB[[#This Row],[Quantity_edited]])*(-Tradingbook_MSB[[#This Row],[Modified Duration]]*0.01+0.5*Tradingbook_MSB[[#This Row],[Conv]]*(0.01^2))</f>
        <v>0</v>
      </c>
      <c r="CL544" t="s">
        <v>166</v>
      </c>
      <c r="CM544" t="s">
        <v>3303</v>
      </c>
      <c r="CN544" t="s">
        <v>730</v>
      </c>
      <c r="CO544" t="s">
        <v>169</v>
      </c>
      <c r="CP544">
        <v>54804</v>
      </c>
      <c r="CQ544" t="s">
        <v>3322</v>
      </c>
      <c r="CR544" t="s">
        <v>4524</v>
      </c>
      <c r="CS544" t="s">
        <v>4525</v>
      </c>
      <c r="CT544">
        <v>0</v>
      </c>
      <c r="CU544">
        <v>0</v>
      </c>
      <c r="CV544">
        <v>0</v>
      </c>
      <c r="CW544">
        <v>0</v>
      </c>
      <c r="CX544">
        <v>3.8</v>
      </c>
      <c r="CY544">
        <v>2228</v>
      </c>
      <c r="CZ544">
        <v>0</v>
      </c>
      <c r="DA544">
        <v>-1.5E-5</v>
      </c>
      <c r="DB544">
        <v>-2046644461.0777321</v>
      </c>
      <c r="DC544">
        <v>4.6888325450000004</v>
      </c>
      <c r="DD544">
        <v>14</v>
      </c>
      <c r="DE544">
        <v>15</v>
      </c>
      <c r="DF544">
        <v>284</v>
      </c>
      <c r="DG544">
        <v>0</v>
      </c>
      <c r="DH544">
        <v>0</v>
      </c>
      <c r="DI544">
        <v>0</v>
      </c>
      <c r="DJ544">
        <v>-5681130000</v>
      </c>
      <c r="DK544">
        <v>0</v>
      </c>
      <c r="DL544">
        <v>-5681130000</v>
      </c>
      <c r="DM544">
        <v>-5681130000</v>
      </c>
      <c r="DN544">
        <v>-5681130000</v>
      </c>
      <c r="DO544">
        <v>-5681130000</v>
      </c>
      <c r="DP544" s="32">
        <f>Tradingbook_SBV[[#This Row],[Mat. Date]]-RPT</f>
        <v>8552</v>
      </c>
      <c r="DQ544" s="32">
        <f>IF(Tradingbook_SBV[[#This Row],[Days]]&lt;=0,0,YEARFRAC(RPT,Tradingbook_SBV[[#This Row],[Mat. Date]],3))</f>
        <v>23.43013698630137</v>
      </c>
      <c r="DR544" s="32" t="str">
        <f>IF(Tradingbook_SBV[[#This Row],[Days (year)]]=0,0,INDEX(Ref!$K$2:$K$13,MATCH(Tradingbook_SBV[[#This Row],[Days (year)]],Ref!$I$2:$I$13,1)))</f>
        <v>30Y</v>
      </c>
      <c r="DS544" s="32" t="str">
        <f>VLOOKUP(Tradingbook_SBV[[#This Row],[Security Name]],Ref!X:Z,3,0)</f>
        <v>TPCP</v>
      </c>
      <c r="DT544" s="32" t="str">
        <f>VLOOKUP(Tradingbook_SBV[[#This Row],[Security Name]],Ref!X:Y,2,0)</f>
        <v>KBNN</v>
      </c>
      <c r="DU544" s="71">
        <f>IF((Tradingbook_SBV[[#This Row],[Mat. Date]]-RPT)&lt;=0,0,Tradingbook_SBV[[#This Row],[QUANTITY]])</f>
        <v>0</v>
      </c>
      <c r="DV544" s="71">
        <f>IF(Tradingbook_SBV[[#This Row],[Quantity_edited]]=0,0,Tradingbook_SBV[[#This Row],[DURATION]])</f>
        <v>0</v>
      </c>
      <c r="DW544" s="71">
        <f>IF(Tradingbook_SBV[[#This Row],[Quantity_edited]]=0,0,Tradingbook_SBV[[#This Row],[Mod Dur]])</f>
        <v>0</v>
      </c>
      <c r="DX544" s="71">
        <f>IF(Tradingbook_SBV[[#This Row],[Quantity_edited]]=0,0,Tradingbook_SBV[[#This Row],[Cnvx.]])</f>
        <v>0</v>
      </c>
      <c r="DY544" s="71">
        <f>(Tradingbook_SBV[[#This Row],[MARKET_VALUE]]+Tradingbook_SBV[[#This Row],[Accr Int]]*Tradingbook_SBV[[#This Row],[Quantity_edited]])*(-Tradingbook_SBV[[#This Row],[Modified Duration]]*0.0001+0.5*Tradingbook_SBV[[#This Row],[Conv]]*(0.0001^2))</f>
        <v>0</v>
      </c>
      <c r="DZ544" s="71">
        <f>(Tradingbook_SBV[[#This Row],[MARKET_VALUE]]+Tradingbook_SBV[[#This Row],[Accr Int]]*Tradingbook_SBV[[#This Row],[Quantity_edited]])*(-Tradingbook_SBV[[#This Row],[Modified Duration]]*0.01+0.5*Tradingbook_SBV[[#This Row],[Conv]]*(0.01^2))</f>
        <v>0</v>
      </c>
    </row>
    <row r="545" spans="2:130" x14ac:dyDescent="0.3">
      <c r="B545" t="s">
        <v>166</v>
      </c>
      <c r="C545" t="s">
        <v>3302</v>
      </c>
      <c r="D545" t="s">
        <v>684</v>
      </c>
      <c r="E545" t="s">
        <v>169</v>
      </c>
      <c r="F545" s="502">
        <v>50129</v>
      </c>
      <c r="G545" t="s">
        <v>3322</v>
      </c>
      <c r="H545">
        <v>124359</v>
      </c>
      <c r="I545">
        <v>124359</v>
      </c>
      <c r="J545" s="38">
        <v>0</v>
      </c>
      <c r="K545">
        <v>0</v>
      </c>
      <c r="L545">
        <v>0</v>
      </c>
      <c r="M545" s="38">
        <v>0</v>
      </c>
      <c r="N545">
        <v>7.4</v>
      </c>
      <c r="O545">
        <v>2859</v>
      </c>
      <c r="P545" s="37">
        <v>43364000000</v>
      </c>
      <c r="Q545" s="37">
        <v>52299996046.666481</v>
      </c>
      <c r="R545" s="37">
        <v>-23914810375.169426</v>
      </c>
      <c r="S545">
        <v>4.4639147689999996</v>
      </c>
      <c r="T545" s="70">
        <v>7.5300478420710997</v>
      </c>
      <c r="U545">
        <v>7.8661827600000001</v>
      </c>
      <c r="V545">
        <v>75.255301922906199</v>
      </c>
      <c r="W545">
        <v>0</v>
      </c>
      <c r="X545" s="38">
        <v>0</v>
      </c>
      <c r="Y545">
        <v>0</v>
      </c>
      <c r="Z545" s="70">
        <v>-3728380000</v>
      </c>
      <c r="AA545" s="70">
        <v>0</v>
      </c>
      <c r="AB545" s="70">
        <v>-3728380000</v>
      </c>
      <c r="AC545" s="70">
        <v>-3728380000</v>
      </c>
      <c r="AD545" s="70">
        <v>-3728380000</v>
      </c>
      <c r="AE545" s="70">
        <v>-3728380000</v>
      </c>
      <c r="AF545">
        <v>0</v>
      </c>
      <c r="AG545" s="72">
        <f>Tradingbook_MSB[[#This Row],[Mat. Date]]-RPT</f>
        <v>3877</v>
      </c>
      <c r="AH545" s="71">
        <f>IF(Tradingbook_MSB[[#This Row],[Days]]&lt;=0,0,YEARFRAC(RPT,Tradingbook_MSB[[#This Row],[Mat. Date]],3))</f>
        <v>10.621917808219179</v>
      </c>
      <c r="AI545" s="71" t="str">
        <f>IF(Tradingbook_MSB[[#This Row],[Days (year)]]=0,0,INDEX(Ref!$K$2:$K$13,MATCH(Tradingbook_MSB[[#This Row],[Days (year)]],Ref!$I$2:$I$13,1)))</f>
        <v>15Y</v>
      </c>
      <c r="AJ545" s="120" t="str">
        <f>VLOOKUP(Tradingbook_MSB[[#This Row],[Security Name]],Ref!X:Z,3,0)</f>
        <v>TPCP</v>
      </c>
      <c r="AK545" s="120" t="str">
        <f>VLOOKUP(Tradingbook_MSB[[#This Row],[Security Name]],Ref!X:Y,2,0)</f>
        <v>KBNN</v>
      </c>
      <c r="AL545" s="71">
        <f>IF((Tradingbook_MSB[[#This Row],[Mat. Date]]-RPT)&lt;=0,0,Tradingbook_MSB[[#This Row],[QUANTITY]])</f>
        <v>0</v>
      </c>
      <c r="AM545" s="71">
        <f>IF(Tradingbook_MSB[[#This Row],[Quantity_edited]]=0,0,Tradingbook_MSB[[#This Row],[DURATION]])</f>
        <v>0</v>
      </c>
      <c r="AN545" s="71">
        <f>IF(Tradingbook_MSB[[#This Row],[Quantity_edited]]=0,0,Tradingbook_MSB[[#This Row],[Mod Dur]])</f>
        <v>0</v>
      </c>
      <c r="AO545" s="71">
        <f>IF(Tradingbook_MSB[[#This Row],[Quantity_edited]]=0,0,Tradingbook_MSB[[#This Row],[Cnvx.]])</f>
        <v>0</v>
      </c>
      <c r="AP545" s="71">
        <f>(Tradingbook_MSB[[#This Row],[MARKET_VALUE]]+Tradingbook_MSB[[#This Row],[Accr Int]]*Tradingbook_MSB[[#This Row],[Quantity_edited]])*(-Tradingbook_MSB[[#This Row],[Modified Duration]]*0.0001+0.5*Tradingbook_MSB[[#This Row],[Conv]]*(0.0001^2))</f>
        <v>0</v>
      </c>
      <c r="AQ545" s="72">
        <f>(Tradingbook_MSB[[#This Row],[MARKET_VALUE]]+Tradingbook_MSB[[#This Row],[Accr Int]]*Tradingbook_MSB[[#This Row],[Quantity_edited]])*(-Tradingbook_MSB[[#This Row],[Modified Duration]]*0.01+0.5*Tradingbook_MSB[[#This Row],[Conv]]*(0.01^2))</f>
        <v>0</v>
      </c>
      <c r="CL545" t="s">
        <v>166</v>
      </c>
      <c r="CM545" t="s">
        <v>3303</v>
      </c>
      <c r="CN545" t="s">
        <v>732</v>
      </c>
      <c r="CO545" t="s">
        <v>169</v>
      </c>
      <c r="CP545">
        <v>55167</v>
      </c>
      <c r="CQ545" t="s">
        <v>3322</v>
      </c>
      <c r="CR545" t="s">
        <v>4526</v>
      </c>
      <c r="CS545" t="s">
        <v>4527</v>
      </c>
      <c r="CT545">
        <v>0</v>
      </c>
      <c r="CU545">
        <v>0</v>
      </c>
      <c r="CV545">
        <v>0</v>
      </c>
      <c r="CW545">
        <v>0</v>
      </c>
      <c r="CX545">
        <v>3.1</v>
      </c>
      <c r="CY545">
        <v>1835</v>
      </c>
      <c r="CZ545">
        <v>0</v>
      </c>
      <c r="DA545">
        <v>6.0999999999999999E-5</v>
      </c>
      <c r="DB545">
        <v>-2762630616.7722397</v>
      </c>
      <c r="DC545">
        <v>4.695484156</v>
      </c>
      <c r="DD545">
        <v>15</v>
      </c>
      <c r="DE545">
        <v>16</v>
      </c>
      <c r="DF545">
        <v>320</v>
      </c>
      <c r="DG545">
        <v>0</v>
      </c>
      <c r="DH545">
        <v>0</v>
      </c>
      <c r="DI545">
        <v>0</v>
      </c>
      <c r="DJ545">
        <v>266140000</v>
      </c>
      <c r="DK545">
        <v>0</v>
      </c>
      <c r="DL545">
        <v>266140000</v>
      </c>
      <c r="DM545">
        <v>266140000</v>
      </c>
      <c r="DN545">
        <v>266140000</v>
      </c>
      <c r="DO545">
        <v>266140000</v>
      </c>
      <c r="DP545" s="32">
        <f>Tradingbook_SBV[[#This Row],[Mat. Date]]-RPT</f>
        <v>8915</v>
      </c>
      <c r="DQ545" s="32">
        <f>IF(Tradingbook_SBV[[#This Row],[Days]]&lt;=0,0,YEARFRAC(RPT,Tradingbook_SBV[[#This Row],[Mat. Date]],3))</f>
        <v>24.424657534246574</v>
      </c>
      <c r="DR545" s="32" t="str">
        <f>IF(Tradingbook_SBV[[#This Row],[Days (year)]]=0,0,INDEX(Ref!$K$2:$K$13,MATCH(Tradingbook_SBV[[#This Row],[Days (year)]],Ref!$I$2:$I$13,1)))</f>
        <v>30Y</v>
      </c>
      <c r="DS545" s="32" t="str">
        <f>VLOOKUP(Tradingbook_SBV[[#This Row],[Security Name]],Ref!X:Z,3,0)</f>
        <v>TPCP</v>
      </c>
      <c r="DT545" s="32" t="str">
        <f>VLOOKUP(Tradingbook_SBV[[#This Row],[Security Name]],Ref!X:Y,2,0)</f>
        <v>KBNN</v>
      </c>
      <c r="DU545" s="71">
        <f>IF((Tradingbook_SBV[[#This Row],[Mat. Date]]-RPT)&lt;=0,0,Tradingbook_SBV[[#This Row],[QUANTITY]])</f>
        <v>0</v>
      </c>
      <c r="DV545" s="71">
        <f>IF(Tradingbook_SBV[[#This Row],[Quantity_edited]]=0,0,Tradingbook_SBV[[#This Row],[DURATION]])</f>
        <v>0</v>
      </c>
      <c r="DW545" s="71">
        <f>IF(Tradingbook_SBV[[#This Row],[Quantity_edited]]=0,0,Tradingbook_SBV[[#This Row],[Mod Dur]])</f>
        <v>0</v>
      </c>
      <c r="DX545" s="71">
        <f>IF(Tradingbook_SBV[[#This Row],[Quantity_edited]]=0,0,Tradingbook_SBV[[#This Row],[Cnvx.]])</f>
        <v>0</v>
      </c>
      <c r="DY545" s="71">
        <f>(Tradingbook_SBV[[#This Row],[MARKET_VALUE]]+Tradingbook_SBV[[#This Row],[Accr Int]]*Tradingbook_SBV[[#This Row],[Quantity_edited]])*(-Tradingbook_SBV[[#This Row],[Modified Duration]]*0.0001+0.5*Tradingbook_SBV[[#This Row],[Conv]]*(0.0001^2))</f>
        <v>0</v>
      </c>
      <c r="DZ545" s="71">
        <f>(Tradingbook_SBV[[#This Row],[MARKET_VALUE]]+Tradingbook_SBV[[#This Row],[Accr Int]]*Tradingbook_SBV[[#This Row],[Quantity_edited]])*(-Tradingbook_SBV[[#This Row],[Modified Duration]]*0.01+0.5*Tradingbook_SBV[[#This Row],[Conv]]*(0.01^2))</f>
        <v>0</v>
      </c>
    </row>
    <row r="546" spans="2:130" x14ac:dyDescent="0.3">
      <c r="B546" t="s">
        <v>166</v>
      </c>
      <c r="C546" t="s">
        <v>3302</v>
      </c>
      <c r="D546" t="s">
        <v>707</v>
      </c>
      <c r="E546" t="s">
        <v>169</v>
      </c>
      <c r="F546" s="502">
        <v>50171</v>
      </c>
      <c r="G546" t="s">
        <v>3322</v>
      </c>
      <c r="H546">
        <v>121194</v>
      </c>
      <c r="I546">
        <v>121194</v>
      </c>
      <c r="J546" s="38">
        <v>0</v>
      </c>
      <c r="K546">
        <v>0</v>
      </c>
      <c r="L546">
        <v>0</v>
      </c>
      <c r="M546" s="38">
        <v>0</v>
      </c>
      <c r="N546">
        <v>7</v>
      </c>
      <c r="O546">
        <v>1899</v>
      </c>
      <c r="P546" s="37">
        <v>38500000000</v>
      </c>
      <c r="Q546" s="37">
        <v>45398040624.999924</v>
      </c>
      <c r="R546" s="37">
        <v>-1211863889.9664087</v>
      </c>
      <c r="S546">
        <v>4.4669111839999998</v>
      </c>
      <c r="T546" s="70">
        <v>7.7119161309484996</v>
      </c>
      <c r="U546">
        <v>8.05640058</v>
      </c>
      <c r="V546">
        <v>78.074681048238503</v>
      </c>
      <c r="W546">
        <v>0</v>
      </c>
      <c r="X546" s="38">
        <v>0</v>
      </c>
      <c r="Y546">
        <v>0</v>
      </c>
      <c r="Z546" s="70">
        <v>59471532000</v>
      </c>
      <c r="AA546" s="70">
        <v>0</v>
      </c>
      <c r="AB546" s="70">
        <v>59471532000</v>
      </c>
      <c r="AC546" s="70">
        <v>59471532000</v>
      </c>
      <c r="AD546" s="70">
        <v>59471532000</v>
      </c>
      <c r="AE546" s="70">
        <v>59471532000</v>
      </c>
      <c r="AF546">
        <v>0</v>
      </c>
      <c r="AG546" s="72">
        <f>Tradingbook_MSB[[#This Row],[Mat. Date]]-RPT</f>
        <v>3919</v>
      </c>
      <c r="AH546" s="71">
        <f>IF(Tradingbook_MSB[[#This Row],[Days]]&lt;=0,0,YEARFRAC(RPT,Tradingbook_MSB[[#This Row],[Mat. Date]],3))</f>
        <v>10.736986301369862</v>
      </c>
      <c r="AI546" s="71" t="str">
        <f>IF(Tradingbook_MSB[[#This Row],[Days (year)]]=0,0,INDEX(Ref!$K$2:$K$13,MATCH(Tradingbook_MSB[[#This Row],[Days (year)]],Ref!$I$2:$I$13,1)))</f>
        <v>15Y</v>
      </c>
      <c r="AJ546" s="120" t="str">
        <f>VLOOKUP(Tradingbook_MSB[[#This Row],[Security Name]],Ref!X:Z,3,0)</f>
        <v>TPCP</v>
      </c>
      <c r="AK546" s="120" t="str">
        <f>VLOOKUP(Tradingbook_MSB[[#This Row],[Security Name]],Ref!X:Y,2,0)</f>
        <v>KBNN</v>
      </c>
      <c r="AL546" s="71">
        <f>IF((Tradingbook_MSB[[#This Row],[Mat. Date]]-RPT)&lt;=0,0,Tradingbook_MSB[[#This Row],[QUANTITY]])</f>
        <v>0</v>
      </c>
      <c r="AM546" s="71">
        <f>IF(Tradingbook_MSB[[#This Row],[Quantity_edited]]=0,0,Tradingbook_MSB[[#This Row],[DURATION]])</f>
        <v>0</v>
      </c>
      <c r="AN546" s="71">
        <f>IF(Tradingbook_MSB[[#This Row],[Quantity_edited]]=0,0,Tradingbook_MSB[[#This Row],[Mod Dur]])</f>
        <v>0</v>
      </c>
      <c r="AO546" s="71">
        <f>IF(Tradingbook_MSB[[#This Row],[Quantity_edited]]=0,0,Tradingbook_MSB[[#This Row],[Cnvx.]])</f>
        <v>0</v>
      </c>
      <c r="AP546" s="71">
        <f>(Tradingbook_MSB[[#This Row],[MARKET_VALUE]]+Tradingbook_MSB[[#This Row],[Accr Int]]*Tradingbook_MSB[[#This Row],[Quantity_edited]])*(-Tradingbook_MSB[[#This Row],[Modified Duration]]*0.0001+0.5*Tradingbook_MSB[[#This Row],[Conv]]*(0.0001^2))</f>
        <v>0</v>
      </c>
      <c r="AQ546" s="72">
        <f>(Tradingbook_MSB[[#This Row],[MARKET_VALUE]]+Tradingbook_MSB[[#This Row],[Accr Int]]*Tradingbook_MSB[[#This Row],[Quantity_edited]])*(-Tradingbook_MSB[[#This Row],[Modified Duration]]*0.01+0.5*Tradingbook_MSB[[#This Row],[Conv]]*(0.01^2))</f>
        <v>0</v>
      </c>
      <c r="CL546" t="s">
        <v>166</v>
      </c>
      <c r="CM546" t="s">
        <v>3303</v>
      </c>
      <c r="CN546" t="s">
        <v>733</v>
      </c>
      <c r="CO546" t="s">
        <v>169</v>
      </c>
      <c r="CP546">
        <v>55391</v>
      </c>
      <c r="CQ546" t="s">
        <v>3322</v>
      </c>
      <c r="CR546" t="s">
        <v>4528</v>
      </c>
      <c r="CS546" t="s">
        <v>4529</v>
      </c>
      <c r="CT546">
        <v>0</v>
      </c>
      <c r="CU546">
        <v>0</v>
      </c>
      <c r="CV546">
        <v>0</v>
      </c>
      <c r="CW546">
        <v>0</v>
      </c>
      <c r="CX546">
        <v>2.9</v>
      </c>
      <c r="CY546">
        <v>2836</v>
      </c>
      <c r="CZ546">
        <v>0</v>
      </c>
      <c r="DA546">
        <v>0</v>
      </c>
      <c r="DB546">
        <v>-21984758.333339691</v>
      </c>
      <c r="DC546">
        <v>4.6995773930000002</v>
      </c>
      <c r="DD546">
        <v>15</v>
      </c>
      <c r="DE546">
        <v>16</v>
      </c>
      <c r="DF546">
        <v>332</v>
      </c>
      <c r="DG546">
        <v>0</v>
      </c>
      <c r="DH546">
        <v>0</v>
      </c>
      <c r="DI546">
        <v>0</v>
      </c>
      <c r="DJ546">
        <v>15000000</v>
      </c>
      <c r="DK546">
        <v>0</v>
      </c>
      <c r="DL546">
        <v>15000000</v>
      </c>
      <c r="DM546">
        <v>15000000</v>
      </c>
      <c r="DN546">
        <v>15000000</v>
      </c>
      <c r="DO546">
        <v>15000000</v>
      </c>
      <c r="DP546" s="32">
        <f>Tradingbook_SBV[[#This Row],[Mat. Date]]-RPT</f>
        <v>9139</v>
      </c>
      <c r="DQ546" s="32">
        <f>IF(Tradingbook_SBV[[#This Row],[Days]]&lt;=0,0,YEARFRAC(RPT,Tradingbook_SBV[[#This Row],[Mat. Date]],3))</f>
        <v>25.038356164383561</v>
      </c>
      <c r="DR546" s="32" t="str">
        <f>IF(Tradingbook_SBV[[#This Row],[Days (year)]]=0,0,INDEX(Ref!$K$2:$K$13,MATCH(Tradingbook_SBV[[#This Row],[Days (year)]],Ref!$I$2:$I$13,1)))</f>
        <v>30Y</v>
      </c>
      <c r="DS546" s="32" t="str">
        <f>VLOOKUP(Tradingbook_SBV[[#This Row],[Security Name]],Ref!X:Z,3,0)</f>
        <v>TPCP</v>
      </c>
      <c r="DT546" s="32" t="str">
        <f>VLOOKUP(Tradingbook_SBV[[#This Row],[Security Name]],Ref!X:Y,2,0)</f>
        <v>KBNN</v>
      </c>
      <c r="DU546" s="71">
        <f>IF((Tradingbook_SBV[[#This Row],[Mat. Date]]-RPT)&lt;=0,0,Tradingbook_SBV[[#This Row],[QUANTITY]])</f>
        <v>0</v>
      </c>
      <c r="DV546" s="71">
        <f>IF(Tradingbook_SBV[[#This Row],[Quantity_edited]]=0,0,Tradingbook_SBV[[#This Row],[DURATION]])</f>
        <v>0</v>
      </c>
      <c r="DW546" s="71">
        <f>IF(Tradingbook_SBV[[#This Row],[Quantity_edited]]=0,0,Tradingbook_SBV[[#This Row],[Mod Dur]])</f>
        <v>0</v>
      </c>
      <c r="DX546" s="71">
        <f>IF(Tradingbook_SBV[[#This Row],[Quantity_edited]]=0,0,Tradingbook_SBV[[#This Row],[Cnvx.]])</f>
        <v>0</v>
      </c>
      <c r="DY546" s="71">
        <f>(Tradingbook_SBV[[#This Row],[MARKET_VALUE]]+Tradingbook_SBV[[#This Row],[Accr Int]]*Tradingbook_SBV[[#This Row],[Quantity_edited]])*(-Tradingbook_SBV[[#This Row],[Modified Duration]]*0.0001+0.5*Tradingbook_SBV[[#This Row],[Conv]]*(0.0001^2))</f>
        <v>0</v>
      </c>
      <c r="DZ546" s="71">
        <f>(Tradingbook_SBV[[#This Row],[MARKET_VALUE]]+Tradingbook_SBV[[#This Row],[Accr Int]]*Tradingbook_SBV[[#This Row],[Quantity_edited]])*(-Tradingbook_SBV[[#This Row],[Modified Duration]]*0.01+0.5*Tradingbook_SBV[[#This Row],[Conv]]*(0.01^2))</f>
        <v>0</v>
      </c>
    </row>
    <row r="547" spans="2:130" x14ac:dyDescent="0.3">
      <c r="B547" t="s">
        <v>166</v>
      </c>
      <c r="C547" t="s">
        <v>3302</v>
      </c>
      <c r="D547" t="s">
        <v>708</v>
      </c>
      <c r="E547" t="s">
        <v>169</v>
      </c>
      <c r="F547" s="502">
        <v>50241</v>
      </c>
      <c r="G547" t="s">
        <v>3322</v>
      </c>
      <c r="H547">
        <v>112969</v>
      </c>
      <c r="I547">
        <v>112969</v>
      </c>
      <c r="J547" s="38">
        <v>0</v>
      </c>
      <c r="K547">
        <v>0</v>
      </c>
      <c r="L547">
        <v>0</v>
      </c>
      <c r="M547" s="38">
        <v>0</v>
      </c>
      <c r="N547">
        <v>6</v>
      </c>
      <c r="O547">
        <v>477</v>
      </c>
      <c r="P547" s="37">
        <v>0</v>
      </c>
      <c r="Q547" s="37">
        <v>0</v>
      </c>
      <c r="R547" s="37">
        <v>-163871656.25</v>
      </c>
      <c r="S547">
        <v>4.471920667</v>
      </c>
      <c r="T547" s="70">
        <v>8.0943667087720002</v>
      </c>
      <c r="U547">
        <v>8.4563403699999995</v>
      </c>
      <c r="V547">
        <v>84.081245228954003</v>
      </c>
      <c r="W547">
        <v>0</v>
      </c>
      <c r="X547" s="38">
        <v>0</v>
      </c>
      <c r="Y547">
        <v>0</v>
      </c>
      <c r="Z547" s="70">
        <v>-919000000</v>
      </c>
      <c r="AA547" s="70">
        <v>0</v>
      </c>
      <c r="AB547" s="70">
        <v>-919000000</v>
      </c>
      <c r="AC547" s="70">
        <v>-919000000</v>
      </c>
      <c r="AD547" s="70">
        <v>-919000000</v>
      </c>
      <c r="AE547" s="70">
        <v>-919000000</v>
      </c>
      <c r="AF547">
        <v>0</v>
      </c>
      <c r="AG547" s="72">
        <f>Tradingbook_MSB[[#This Row],[Mat. Date]]-RPT</f>
        <v>3989</v>
      </c>
      <c r="AH547" s="71">
        <f>IF(Tradingbook_MSB[[#This Row],[Days]]&lt;=0,0,YEARFRAC(RPT,Tradingbook_MSB[[#This Row],[Mat. Date]],3))</f>
        <v>10.92876712328767</v>
      </c>
      <c r="AI547" s="71" t="str">
        <f>IF(Tradingbook_MSB[[#This Row],[Days (year)]]=0,0,INDEX(Ref!$K$2:$K$13,MATCH(Tradingbook_MSB[[#This Row],[Days (year)]],Ref!$I$2:$I$13,1)))</f>
        <v>15Y</v>
      </c>
      <c r="AJ547" s="120" t="str">
        <f>VLOOKUP(Tradingbook_MSB[[#This Row],[Security Name]],Ref!X:Z,3,0)</f>
        <v>TPCP</v>
      </c>
      <c r="AK547" s="120" t="str">
        <f>VLOOKUP(Tradingbook_MSB[[#This Row],[Security Name]],Ref!X:Y,2,0)</f>
        <v>KBNN</v>
      </c>
      <c r="AL547" s="71">
        <f>IF((Tradingbook_MSB[[#This Row],[Mat. Date]]-RPT)&lt;=0,0,Tradingbook_MSB[[#This Row],[QUANTITY]])</f>
        <v>0</v>
      </c>
      <c r="AM547" s="71">
        <f>IF(Tradingbook_MSB[[#This Row],[Quantity_edited]]=0,0,Tradingbook_MSB[[#This Row],[DURATION]])</f>
        <v>0</v>
      </c>
      <c r="AN547" s="71">
        <f>IF(Tradingbook_MSB[[#This Row],[Quantity_edited]]=0,0,Tradingbook_MSB[[#This Row],[Mod Dur]])</f>
        <v>0</v>
      </c>
      <c r="AO547" s="71">
        <f>IF(Tradingbook_MSB[[#This Row],[Quantity_edited]]=0,0,Tradingbook_MSB[[#This Row],[Cnvx.]])</f>
        <v>0</v>
      </c>
      <c r="AP547" s="71">
        <f>(Tradingbook_MSB[[#This Row],[MARKET_VALUE]]+Tradingbook_MSB[[#This Row],[Accr Int]]*Tradingbook_MSB[[#This Row],[Quantity_edited]])*(-Tradingbook_MSB[[#This Row],[Modified Duration]]*0.0001+0.5*Tradingbook_MSB[[#This Row],[Conv]]*(0.0001^2))</f>
        <v>0</v>
      </c>
      <c r="AQ547" s="72">
        <f>(Tradingbook_MSB[[#This Row],[MARKET_VALUE]]+Tradingbook_MSB[[#This Row],[Accr Int]]*Tradingbook_MSB[[#This Row],[Quantity_edited]])*(-Tradingbook_MSB[[#This Row],[Modified Duration]]*0.01+0.5*Tradingbook_MSB[[#This Row],[Conv]]*(0.01^2))</f>
        <v>0</v>
      </c>
      <c r="CL547" t="s">
        <v>166</v>
      </c>
      <c r="CM547" t="s">
        <v>3303</v>
      </c>
      <c r="CN547" t="s">
        <v>2497</v>
      </c>
      <c r="CO547" t="s">
        <v>169</v>
      </c>
      <c r="CP547">
        <v>55966</v>
      </c>
      <c r="CQ547" t="s">
        <v>3322</v>
      </c>
      <c r="CR547" t="s">
        <v>4530</v>
      </c>
      <c r="CS547" t="s">
        <v>4531</v>
      </c>
      <c r="CT547">
        <v>0</v>
      </c>
      <c r="CU547">
        <v>0</v>
      </c>
      <c r="CV547">
        <v>0</v>
      </c>
      <c r="CW547">
        <v>0</v>
      </c>
      <c r="CX547">
        <v>4.2</v>
      </c>
      <c r="CY547">
        <v>1703</v>
      </c>
      <c r="CZ547">
        <v>14700000000</v>
      </c>
      <c r="DA547">
        <v>16121102083.333351</v>
      </c>
      <c r="DB547">
        <v>-8135599336.6887093</v>
      </c>
      <c r="DC547">
        <v>4.7101924540000004</v>
      </c>
      <c r="DD547">
        <v>15</v>
      </c>
      <c r="DE547">
        <v>16</v>
      </c>
      <c r="DF547">
        <v>325</v>
      </c>
      <c r="DG547">
        <v>0</v>
      </c>
      <c r="DH547">
        <v>0</v>
      </c>
      <c r="DI547">
        <v>0</v>
      </c>
      <c r="DJ547">
        <v>-2288520000</v>
      </c>
      <c r="DK547">
        <v>0</v>
      </c>
      <c r="DL547">
        <v>-2288520000</v>
      </c>
      <c r="DM547">
        <v>-2288520000</v>
      </c>
      <c r="DN547">
        <v>-2288520000</v>
      </c>
      <c r="DO547">
        <v>-2288520000</v>
      </c>
      <c r="DP547" s="32">
        <f>Tradingbook_SBV[[#This Row],[Mat. Date]]-RPT</f>
        <v>9714</v>
      </c>
      <c r="DQ547" s="32">
        <f>IF(Tradingbook_SBV[[#This Row],[Days]]&lt;=0,0,YEARFRAC(RPT,Tradingbook_SBV[[#This Row],[Mat. Date]],3))</f>
        <v>26.613698630136987</v>
      </c>
      <c r="DR547" s="32" t="str">
        <f>IF(Tradingbook_SBV[[#This Row],[Days (year)]]=0,0,INDEX(Ref!$K$2:$K$13,MATCH(Tradingbook_SBV[[#This Row],[Days (year)]],Ref!$I$2:$I$13,1)))</f>
        <v>30Y</v>
      </c>
      <c r="DS547" s="32" t="str">
        <f>VLOOKUP(Tradingbook_SBV[[#This Row],[Security Name]],Ref!X:Z,3,0)</f>
        <v>TPCP</v>
      </c>
      <c r="DT547" s="32" t="str">
        <f>VLOOKUP(Tradingbook_SBV[[#This Row],[Security Name]],Ref!X:Y,2,0)</f>
        <v>KBNN</v>
      </c>
      <c r="DU547" s="71">
        <f>IF((Tradingbook_SBV[[#This Row],[Mat. Date]]-RPT)&lt;=0,0,Tradingbook_SBV[[#This Row],[QUANTITY]])</f>
        <v>0</v>
      </c>
      <c r="DV547" s="71">
        <f>IF(Tradingbook_SBV[[#This Row],[Quantity_edited]]=0,0,Tradingbook_SBV[[#This Row],[DURATION]])</f>
        <v>0</v>
      </c>
      <c r="DW547" s="71">
        <f>IF(Tradingbook_SBV[[#This Row],[Quantity_edited]]=0,0,Tradingbook_SBV[[#This Row],[Mod Dur]])</f>
        <v>0</v>
      </c>
      <c r="DX547" s="71">
        <f>IF(Tradingbook_SBV[[#This Row],[Quantity_edited]]=0,0,Tradingbook_SBV[[#This Row],[Cnvx.]])</f>
        <v>0</v>
      </c>
      <c r="DY547" s="71">
        <f>(Tradingbook_SBV[[#This Row],[MARKET_VALUE]]+Tradingbook_SBV[[#This Row],[Accr Int]]*Tradingbook_SBV[[#This Row],[Quantity_edited]])*(-Tradingbook_SBV[[#This Row],[Modified Duration]]*0.0001+0.5*Tradingbook_SBV[[#This Row],[Conv]]*(0.0001^2))</f>
        <v>0</v>
      </c>
      <c r="DZ547" s="71">
        <f>(Tradingbook_SBV[[#This Row],[MARKET_VALUE]]+Tradingbook_SBV[[#This Row],[Accr Int]]*Tradingbook_SBV[[#This Row],[Quantity_edited]])*(-Tradingbook_SBV[[#This Row],[Modified Duration]]*0.01+0.5*Tradingbook_SBV[[#This Row],[Conv]]*(0.01^2))</f>
        <v>0</v>
      </c>
    </row>
    <row r="548" spans="2:130" x14ac:dyDescent="0.3">
      <c r="B548" t="s">
        <v>166</v>
      </c>
      <c r="C548" t="s">
        <v>3302</v>
      </c>
      <c r="D548" t="s">
        <v>2303</v>
      </c>
      <c r="E548" t="s">
        <v>169</v>
      </c>
      <c r="F548" s="502">
        <v>50361</v>
      </c>
      <c r="G548" t="s">
        <v>3322</v>
      </c>
      <c r="H548">
        <v>103625</v>
      </c>
      <c r="I548">
        <v>103625</v>
      </c>
      <c r="J548" s="38">
        <v>0</v>
      </c>
      <c r="K548">
        <v>0</v>
      </c>
      <c r="L548">
        <v>0</v>
      </c>
      <c r="M548" s="38">
        <v>0</v>
      </c>
      <c r="N548">
        <v>4.9000000000000004</v>
      </c>
      <c r="O548">
        <v>3678</v>
      </c>
      <c r="P548" s="37">
        <v>0</v>
      </c>
      <c r="Q548" s="37">
        <v>3.1000000000000001E-5</v>
      </c>
      <c r="R548" s="37">
        <v>-122772085386.15852</v>
      </c>
      <c r="S548">
        <v>4.4804564119999997</v>
      </c>
      <c r="T548" s="70">
        <v>8.2846874092664997</v>
      </c>
      <c r="U548">
        <v>8.6558792199999992</v>
      </c>
      <c r="V548">
        <v>89.344129949468794</v>
      </c>
      <c r="W548">
        <v>0</v>
      </c>
      <c r="X548" s="38">
        <v>0</v>
      </c>
      <c r="Y548">
        <v>0</v>
      </c>
      <c r="Z548" s="70">
        <v>-2288000000</v>
      </c>
      <c r="AA548" s="70">
        <v>0</v>
      </c>
      <c r="AB548" s="70">
        <v>-2288000000</v>
      </c>
      <c r="AC548" s="70">
        <v>-2288000000</v>
      </c>
      <c r="AD548" s="70">
        <v>-2288000000</v>
      </c>
      <c r="AE548" s="70">
        <v>-2288000000</v>
      </c>
      <c r="AF548">
        <v>0</v>
      </c>
      <c r="AG548" s="72">
        <f>Tradingbook_MSB[[#This Row],[Mat. Date]]-RPT</f>
        <v>4109</v>
      </c>
      <c r="AH548" s="71">
        <f>IF(Tradingbook_MSB[[#This Row],[Days]]&lt;=0,0,YEARFRAC(RPT,Tradingbook_MSB[[#This Row],[Mat. Date]],3))</f>
        <v>11.257534246575343</v>
      </c>
      <c r="AI548" s="71" t="str">
        <f>IF(Tradingbook_MSB[[#This Row],[Days (year)]]=0,0,INDEX(Ref!$K$2:$K$13,MATCH(Tradingbook_MSB[[#This Row],[Days (year)]],Ref!$I$2:$I$13,1)))</f>
        <v>15Y</v>
      </c>
      <c r="AJ548" s="120" t="str">
        <f>VLOOKUP(Tradingbook_MSB[[#This Row],[Security Name]],Ref!X:Z,3,0)</f>
        <v>TPCP</v>
      </c>
      <c r="AK548" s="120" t="str">
        <f>VLOOKUP(Tradingbook_MSB[[#This Row],[Security Name]],Ref!X:Y,2,0)</f>
        <v>KBNN</v>
      </c>
      <c r="AL548" s="71">
        <f>IF((Tradingbook_MSB[[#This Row],[Mat. Date]]-RPT)&lt;=0,0,Tradingbook_MSB[[#This Row],[QUANTITY]])</f>
        <v>0</v>
      </c>
      <c r="AM548" s="71">
        <f>IF(Tradingbook_MSB[[#This Row],[Quantity_edited]]=0,0,Tradingbook_MSB[[#This Row],[DURATION]])</f>
        <v>0</v>
      </c>
      <c r="AN548" s="71">
        <f>IF(Tradingbook_MSB[[#This Row],[Quantity_edited]]=0,0,Tradingbook_MSB[[#This Row],[Mod Dur]])</f>
        <v>0</v>
      </c>
      <c r="AO548" s="71">
        <f>IF(Tradingbook_MSB[[#This Row],[Quantity_edited]]=0,0,Tradingbook_MSB[[#This Row],[Cnvx.]])</f>
        <v>0</v>
      </c>
      <c r="AP548" s="71">
        <f>(Tradingbook_MSB[[#This Row],[MARKET_VALUE]]+Tradingbook_MSB[[#This Row],[Accr Int]]*Tradingbook_MSB[[#This Row],[Quantity_edited]])*(-Tradingbook_MSB[[#This Row],[Modified Duration]]*0.0001+0.5*Tradingbook_MSB[[#This Row],[Conv]]*(0.0001^2))</f>
        <v>0</v>
      </c>
      <c r="AQ548" s="72">
        <f>(Tradingbook_MSB[[#This Row],[MARKET_VALUE]]+Tradingbook_MSB[[#This Row],[Accr Int]]*Tradingbook_MSB[[#This Row],[Quantity_edited]])*(-Tradingbook_MSB[[#This Row],[Modified Duration]]*0.01+0.5*Tradingbook_MSB[[#This Row],[Conv]]*(0.01^2))</f>
        <v>0</v>
      </c>
    </row>
    <row r="549" spans="2:130" x14ac:dyDescent="0.3">
      <c r="B549" t="s">
        <v>166</v>
      </c>
      <c r="C549" t="s">
        <v>3302</v>
      </c>
      <c r="D549" t="s">
        <v>2380</v>
      </c>
      <c r="E549" t="s">
        <v>169</v>
      </c>
      <c r="F549" s="502">
        <v>50410</v>
      </c>
      <c r="G549" t="s">
        <v>3322</v>
      </c>
      <c r="H549">
        <v>101870</v>
      </c>
      <c r="I549">
        <v>101870</v>
      </c>
      <c r="J549" s="38">
        <v>0</v>
      </c>
      <c r="K549">
        <v>0</v>
      </c>
      <c r="L549">
        <v>0</v>
      </c>
      <c r="M549" s="38">
        <v>0</v>
      </c>
      <c r="N549">
        <v>4.7</v>
      </c>
      <c r="O549">
        <v>2897</v>
      </c>
      <c r="P549" s="37">
        <v>35250000000</v>
      </c>
      <c r="Q549" s="37">
        <v>38105494791.66671</v>
      </c>
      <c r="R549" s="37">
        <v>-25102305108.12495</v>
      </c>
      <c r="S549">
        <v>4.4839176289999996</v>
      </c>
      <c r="T549" s="70">
        <v>8.4711593242684007</v>
      </c>
      <c r="U549">
        <v>8.8509991299999999</v>
      </c>
      <c r="V549">
        <v>92.487795968746894</v>
      </c>
      <c r="W549">
        <v>0</v>
      </c>
      <c r="X549" s="38">
        <v>0</v>
      </c>
      <c r="Y549">
        <v>0</v>
      </c>
      <c r="Z549" s="70">
        <v>-7898500000</v>
      </c>
      <c r="AA549" s="70">
        <v>0</v>
      </c>
      <c r="AB549" s="70">
        <v>-7898500000</v>
      </c>
      <c r="AC549" s="70">
        <v>-7898500000</v>
      </c>
      <c r="AD549" s="70">
        <v>-7898500000</v>
      </c>
      <c r="AE549" s="70">
        <v>-7898500000</v>
      </c>
      <c r="AF549">
        <v>0</v>
      </c>
      <c r="AG549" s="72">
        <f>Tradingbook_MSB[[#This Row],[Mat. Date]]-RPT</f>
        <v>4158</v>
      </c>
      <c r="AH549" s="71">
        <f>IF(Tradingbook_MSB[[#This Row],[Days]]&lt;=0,0,YEARFRAC(RPT,Tradingbook_MSB[[#This Row],[Mat. Date]],3))</f>
        <v>11.391780821917807</v>
      </c>
      <c r="AI549" s="71" t="str">
        <f>IF(Tradingbook_MSB[[#This Row],[Days (year)]]=0,0,INDEX(Ref!$K$2:$K$13,MATCH(Tradingbook_MSB[[#This Row],[Days (year)]],Ref!$I$2:$I$13,1)))</f>
        <v>15Y</v>
      </c>
      <c r="AJ549" s="120" t="str">
        <f>VLOOKUP(Tradingbook_MSB[[#This Row],[Security Name]],Ref!X:Z,3,0)</f>
        <v>TPCP</v>
      </c>
      <c r="AK549" s="120" t="str">
        <f>VLOOKUP(Tradingbook_MSB[[#This Row],[Security Name]],Ref!X:Y,2,0)</f>
        <v>KBNN</v>
      </c>
      <c r="AL549" s="71">
        <f>IF((Tradingbook_MSB[[#This Row],[Mat. Date]]-RPT)&lt;=0,0,Tradingbook_MSB[[#This Row],[QUANTITY]])</f>
        <v>0</v>
      </c>
      <c r="AM549" s="71">
        <f>IF(Tradingbook_MSB[[#This Row],[Quantity_edited]]=0,0,Tradingbook_MSB[[#This Row],[DURATION]])</f>
        <v>0</v>
      </c>
      <c r="AN549" s="71">
        <f>IF(Tradingbook_MSB[[#This Row],[Quantity_edited]]=0,0,Tradingbook_MSB[[#This Row],[Mod Dur]])</f>
        <v>0</v>
      </c>
      <c r="AO549" s="71">
        <f>IF(Tradingbook_MSB[[#This Row],[Quantity_edited]]=0,0,Tradingbook_MSB[[#This Row],[Cnvx.]])</f>
        <v>0</v>
      </c>
      <c r="AP549" s="71">
        <f>(Tradingbook_MSB[[#This Row],[MARKET_VALUE]]+Tradingbook_MSB[[#This Row],[Accr Int]]*Tradingbook_MSB[[#This Row],[Quantity_edited]])*(-Tradingbook_MSB[[#This Row],[Modified Duration]]*0.0001+0.5*Tradingbook_MSB[[#This Row],[Conv]]*(0.0001^2))</f>
        <v>0</v>
      </c>
      <c r="AQ549" s="72">
        <f>(Tradingbook_MSB[[#This Row],[MARKET_VALUE]]+Tradingbook_MSB[[#This Row],[Accr Int]]*Tradingbook_MSB[[#This Row],[Quantity_edited]])*(-Tradingbook_MSB[[#This Row],[Modified Duration]]*0.01+0.5*Tradingbook_MSB[[#This Row],[Conv]]*(0.01^2))</f>
        <v>0</v>
      </c>
    </row>
    <row r="550" spans="2:130" x14ac:dyDescent="0.3">
      <c r="B550" t="s">
        <v>166</v>
      </c>
      <c r="C550" t="s">
        <v>3302</v>
      </c>
      <c r="D550" t="s">
        <v>709</v>
      </c>
      <c r="E550" t="s">
        <v>169</v>
      </c>
      <c r="F550" s="502">
        <v>50437</v>
      </c>
      <c r="G550" t="s">
        <v>3322</v>
      </c>
      <c r="H550">
        <v>106262</v>
      </c>
      <c r="I550">
        <v>106262</v>
      </c>
      <c r="J550" s="38">
        <v>0</v>
      </c>
      <c r="K550">
        <v>0</v>
      </c>
      <c r="L550">
        <v>0</v>
      </c>
      <c r="M550" s="38">
        <v>0</v>
      </c>
      <c r="N550">
        <v>5.2</v>
      </c>
      <c r="O550">
        <v>2821</v>
      </c>
      <c r="P550" s="37">
        <v>7800000000</v>
      </c>
      <c r="Q550" s="37">
        <v>8776674833.3333359</v>
      </c>
      <c r="R550" s="37">
        <v>-13493073080.55545</v>
      </c>
      <c r="S550">
        <v>4.4858813160000004</v>
      </c>
      <c r="T550" s="70">
        <v>8.3985580141317993</v>
      </c>
      <c r="U550">
        <v>8.7753073599999993</v>
      </c>
      <c r="V550">
        <v>91.571269095185102</v>
      </c>
      <c r="W550">
        <v>0</v>
      </c>
      <c r="X550" s="38">
        <v>0</v>
      </c>
      <c r="Y550">
        <v>0</v>
      </c>
      <c r="Z550" s="70">
        <v>-34422500000</v>
      </c>
      <c r="AA550" s="70">
        <v>0</v>
      </c>
      <c r="AB550" s="70">
        <v>-34422500000</v>
      </c>
      <c r="AC550" s="70">
        <v>-34422500000</v>
      </c>
      <c r="AD550" s="70">
        <v>-34422500000</v>
      </c>
      <c r="AE550" s="70">
        <v>-34422500000</v>
      </c>
      <c r="AF550">
        <v>0</v>
      </c>
      <c r="AG550" s="72">
        <f>Tradingbook_MSB[[#This Row],[Mat. Date]]-RPT</f>
        <v>4185</v>
      </c>
      <c r="AH550" s="71">
        <f>IF(Tradingbook_MSB[[#This Row],[Days]]&lt;=0,0,YEARFRAC(RPT,Tradingbook_MSB[[#This Row],[Mat. Date]],3))</f>
        <v>11.465753424657533</v>
      </c>
      <c r="AI550" s="71" t="str">
        <f>IF(Tradingbook_MSB[[#This Row],[Days (year)]]=0,0,INDEX(Ref!$K$2:$K$13,MATCH(Tradingbook_MSB[[#This Row],[Days (year)]],Ref!$I$2:$I$13,1)))</f>
        <v>15Y</v>
      </c>
      <c r="AJ550" s="120" t="str">
        <f>VLOOKUP(Tradingbook_MSB[[#This Row],[Security Name]],Ref!X:Z,3,0)</f>
        <v>TPCP</v>
      </c>
      <c r="AK550" s="120" t="str">
        <f>VLOOKUP(Tradingbook_MSB[[#This Row],[Security Name]],Ref!X:Y,2,0)</f>
        <v>KBNN</v>
      </c>
      <c r="AL550" s="71">
        <f>IF((Tradingbook_MSB[[#This Row],[Mat. Date]]-RPT)&lt;=0,0,Tradingbook_MSB[[#This Row],[QUANTITY]])</f>
        <v>0</v>
      </c>
      <c r="AM550" s="71">
        <f>IF(Tradingbook_MSB[[#This Row],[Quantity_edited]]=0,0,Tradingbook_MSB[[#This Row],[DURATION]])</f>
        <v>0</v>
      </c>
      <c r="AN550" s="71">
        <f>IF(Tradingbook_MSB[[#This Row],[Quantity_edited]]=0,0,Tradingbook_MSB[[#This Row],[Mod Dur]])</f>
        <v>0</v>
      </c>
      <c r="AO550" s="71">
        <f>IF(Tradingbook_MSB[[#This Row],[Quantity_edited]]=0,0,Tradingbook_MSB[[#This Row],[Cnvx.]])</f>
        <v>0</v>
      </c>
      <c r="AP550" s="71">
        <f>(Tradingbook_MSB[[#This Row],[MARKET_VALUE]]+Tradingbook_MSB[[#This Row],[Accr Int]]*Tradingbook_MSB[[#This Row],[Quantity_edited]])*(-Tradingbook_MSB[[#This Row],[Modified Duration]]*0.0001+0.5*Tradingbook_MSB[[#This Row],[Conv]]*(0.0001^2))</f>
        <v>0</v>
      </c>
      <c r="AQ550" s="72">
        <f>(Tradingbook_MSB[[#This Row],[MARKET_VALUE]]+Tradingbook_MSB[[#This Row],[Accr Int]]*Tradingbook_MSB[[#This Row],[Quantity_edited]])*(-Tradingbook_MSB[[#This Row],[Modified Duration]]*0.01+0.5*Tradingbook_MSB[[#This Row],[Conv]]*(0.01^2))</f>
        <v>0</v>
      </c>
    </row>
    <row r="551" spans="2:130" x14ac:dyDescent="0.3">
      <c r="B551" t="s">
        <v>166</v>
      </c>
      <c r="C551" t="s">
        <v>3302</v>
      </c>
      <c r="D551" t="s">
        <v>2386</v>
      </c>
      <c r="E551" t="s">
        <v>169</v>
      </c>
      <c r="F551" s="502">
        <v>50438</v>
      </c>
      <c r="G551" t="s">
        <v>3322</v>
      </c>
      <c r="H551">
        <v>99219</v>
      </c>
      <c r="I551">
        <v>99219</v>
      </c>
      <c r="J551" s="38">
        <v>0</v>
      </c>
      <c r="K551">
        <v>0</v>
      </c>
      <c r="L551">
        <v>0</v>
      </c>
      <c r="M551" s="38">
        <v>0</v>
      </c>
      <c r="N551">
        <v>4.4000000000000004</v>
      </c>
      <c r="O551">
        <v>2375</v>
      </c>
      <c r="P551" s="37">
        <v>15400000000</v>
      </c>
      <c r="Q551" s="37">
        <v>16927958055.555555</v>
      </c>
      <c r="R551" s="37">
        <v>-3770139805.047245</v>
      </c>
      <c r="S551">
        <v>4.4858984570000002</v>
      </c>
      <c r="T551" s="70">
        <v>8.6362753779566006</v>
      </c>
      <c r="U551">
        <v>9.0236899200000007</v>
      </c>
      <c r="V551">
        <v>95.206159095758807</v>
      </c>
      <c r="W551">
        <v>0</v>
      </c>
      <c r="X551" s="38">
        <v>0</v>
      </c>
      <c r="Y551">
        <v>0</v>
      </c>
      <c r="Z551" s="70">
        <v>2418820000</v>
      </c>
      <c r="AA551" s="70">
        <v>0</v>
      </c>
      <c r="AB551" s="70">
        <v>2418820000</v>
      </c>
      <c r="AC551" s="70">
        <v>2418820000</v>
      </c>
      <c r="AD551" s="70">
        <v>2418820000</v>
      </c>
      <c r="AE551" s="70">
        <v>2418820000</v>
      </c>
      <c r="AF551">
        <v>0</v>
      </c>
      <c r="AG551" s="72">
        <f>Tradingbook_MSB[[#This Row],[Mat. Date]]-RPT</f>
        <v>4186</v>
      </c>
      <c r="AH551" s="71">
        <f>IF(Tradingbook_MSB[[#This Row],[Days]]&lt;=0,0,YEARFRAC(RPT,Tradingbook_MSB[[#This Row],[Mat. Date]],3))</f>
        <v>11.468493150684932</v>
      </c>
      <c r="AI551" s="71" t="str">
        <f>IF(Tradingbook_MSB[[#This Row],[Days (year)]]=0,0,INDEX(Ref!$K$2:$K$13,MATCH(Tradingbook_MSB[[#This Row],[Days (year)]],Ref!$I$2:$I$13,1)))</f>
        <v>15Y</v>
      </c>
      <c r="AJ551" s="120" t="str">
        <f>VLOOKUP(Tradingbook_MSB[[#This Row],[Security Name]],Ref!X:Z,3,0)</f>
        <v>TPCP</v>
      </c>
      <c r="AK551" s="120" t="str">
        <f>VLOOKUP(Tradingbook_MSB[[#This Row],[Security Name]],Ref!X:Y,2,0)</f>
        <v>KBNN</v>
      </c>
      <c r="AL551" s="71">
        <f>IF((Tradingbook_MSB[[#This Row],[Mat. Date]]-RPT)&lt;=0,0,Tradingbook_MSB[[#This Row],[QUANTITY]])</f>
        <v>0</v>
      </c>
      <c r="AM551" s="71">
        <f>IF(Tradingbook_MSB[[#This Row],[Quantity_edited]]=0,0,Tradingbook_MSB[[#This Row],[DURATION]])</f>
        <v>0</v>
      </c>
      <c r="AN551" s="71">
        <f>IF(Tradingbook_MSB[[#This Row],[Quantity_edited]]=0,0,Tradingbook_MSB[[#This Row],[Mod Dur]])</f>
        <v>0</v>
      </c>
      <c r="AO551" s="71">
        <f>IF(Tradingbook_MSB[[#This Row],[Quantity_edited]]=0,0,Tradingbook_MSB[[#This Row],[Cnvx.]])</f>
        <v>0</v>
      </c>
      <c r="AP551" s="71">
        <f>(Tradingbook_MSB[[#This Row],[MARKET_VALUE]]+Tradingbook_MSB[[#This Row],[Accr Int]]*Tradingbook_MSB[[#This Row],[Quantity_edited]])*(-Tradingbook_MSB[[#This Row],[Modified Duration]]*0.0001+0.5*Tradingbook_MSB[[#This Row],[Conv]]*(0.0001^2))</f>
        <v>0</v>
      </c>
      <c r="AQ551" s="72">
        <f>(Tradingbook_MSB[[#This Row],[MARKET_VALUE]]+Tradingbook_MSB[[#This Row],[Accr Int]]*Tradingbook_MSB[[#This Row],[Quantity_edited]])*(-Tradingbook_MSB[[#This Row],[Modified Duration]]*0.01+0.5*Tradingbook_MSB[[#This Row],[Conv]]*(0.01^2))</f>
        <v>0</v>
      </c>
    </row>
    <row r="552" spans="2:130" x14ac:dyDescent="0.3">
      <c r="B552" t="s">
        <v>166</v>
      </c>
      <c r="C552" t="s">
        <v>3302</v>
      </c>
      <c r="D552" t="s">
        <v>2496</v>
      </c>
      <c r="E552" t="s">
        <v>169</v>
      </c>
      <c r="F552" s="502">
        <v>50487</v>
      </c>
      <c r="G552" t="s">
        <v>3322</v>
      </c>
      <c r="H552">
        <v>93852</v>
      </c>
      <c r="I552">
        <v>93852</v>
      </c>
      <c r="J552" s="38">
        <v>0</v>
      </c>
      <c r="K552">
        <v>0</v>
      </c>
      <c r="L552">
        <v>0</v>
      </c>
      <c r="M552" s="38">
        <v>0</v>
      </c>
      <c r="N552">
        <v>3.8</v>
      </c>
      <c r="O552">
        <v>1541</v>
      </c>
      <c r="P552" s="37">
        <v>11400000000</v>
      </c>
      <c r="Q552" s="37">
        <v>12502079166.666672</v>
      </c>
      <c r="R552" s="37">
        <v>-8163550694.1417255</v>
      </c>
      <c r="S552">
        <v>4.4894532749999998</v>
      </c>
      <c r="T552" s="70">
        <v>8.9643928284124001</v>
      </c>
      <c r="U552">
        <v>9.3668450599999993</v>
      </c>
      <c r="V552">
        <v>100.66159795803</v>
      </c>
      <c r="W552">
        <v>0</v>
      </c>
      <c r="X552" s="38">
        <v>0</v>
      </c>
      <c r="Y552">
        <v>0</v>
      </c>
      <c r="Z552" s="70">
        <v>-784640000.00097656</v>
      </c>
      <c r="AA552" s="70">
        <v>0</v>
      </c>
      <c r="AB552" s="70">
        <v>-784640000.00097656</v>
      </c>
      <c r="AC552" s="70">
        <v>-784640000.00097656</v>
      </c>
      <c r="AD552" s="70">
        <v>-784640000.00100005</v>
      </c>
      <c r="AE552" s="70">
        <v>-784640000.00097656</v>
      </c>
      <c r="AF552">
        <v>0</v>
      </c>
      <c r="AG552" s="72">
        <f>Tradingbook_MSB[[#This Row],[Mat. Date]]-RPT</f>
        <v>4235</v>
      </c>
      <c r="AH552" s="71">
        <f>IF(Tradingbook_MSB[[#This Row],[Days]]&lt;=0,0,YEARFRAC(RPT,Tradingbook_MSB[[#This Row],[Mat. Date]],3))</f>
        <v>11.602739726027398</v>
      </c>
      <c r="AI552" s="71" t="str">
        <f>IF(Tradingbook_MSB[[#This Row],[Days (year)]]=0,0,INDEX(Ref!$K$2:$K$13,MATCH(Tradingbook_MSB[[#This Row],[Days (year)]],Ref!$I$2:$I$13,1)))</f>
        <v>15Y</v>
      </c>
      <c r="AJ552" s="120" t="str">
        <f>VLOOKUP(Tradingbook_MSB[[#This Row],[Security Name]],Ref!X:Z,3,0)</f>
        <v>TPCP</v>
      </c>
      <c r="AK552" s="120" t="str">
        <f>VLOOKUP(Tradingbook_MSB[[#This Row],[Security Name]],Ref!X:Y,2,0)</f>
        <v>KBNN</v>
      </c>
      <c r="AL552" s="71">
        <f>IF((Tradingbook_MSB[[#This Row],[Mat. Date]]-RPT)&lt;=0,0,Tradingbook_MSB[[#This Row],[QUANTITY]])</f>
        <v>0</v>
      </c>
      <c r="AM552" s="71">
        <f>IF(Tradingbook_MSB[[#This Row],[Quantity_edited]]=0,0,Tradingbook_MSB[[#This Row],[DURATION]])</f>
        <v>0</v>
      </c>
      <c r="AN552" s="71">
        <f>IF(Tradingbook_MSB[[#This Row],[Quantity_edited]]=0,0,Tradingbook_MSB[[#This Row],[Mod Dur]])</f>
        <v>0</v>
      </c>
      <c r="AO552" s="71">
        <f>IF(Tradingbook_MSB[[#This Row],[Quantity_edited]]=0,0,Tradingbook_MSB[[#This Row],[Cnvx.]])</f>
        <v>0</v>
      </c>
      <c r="AP552" s="71">
        <f>(Tradingbook_MSB[[#This Row],[MARKET_VALUE]]+Tradingbook_MSB[[#This Row],[Accr Int]]*Tradingbook_MSB[[#This Row],[Quantity_edited]])*(-Tradingbook_MSB[[#This Row],[Modified Duration]]*0.0001+0.5*Tradingbook_MSB[[#This Row],[Conv]]*(0.0001^2))</f>
        <v>0</v>
      </c>
      <c r="AQ552" s="72">
        <f>(Tradingbook_MSB[[#This Row],[MARKET_VALUE]]+Tradingbook_MSB[[#This Row],[Accr Int]]*Tradingbook_MSB[[#This Row],[Quantity_edited]])*(-Tradingbook_MSB[[#This Row],[Modified Duration]]*0.01+0.5*Tradingbook_MSB[[#This Row],[Conv]]*(0.01^2))</f>
        <v>0</v>
      </c>
    </row>
    <row r="553" spans="2:130" x14ac:dyDescent="0.3">
      <c r="B553" t="s">
        <v>166</v>
      </c>
      <c r="C553" t="s">
        <v>3302</v>
      </c>
      <c r="D553" t="s">
        <v>2503</v>
      </c>
      <c r="E553" t="s">
        <v>169</v>
      </c>
      <c r="F553" s="502">
        <v>50515</v>
      </c>
      <c r="G553" t="s">
        <v>170</v>
      </c>
      <c r="H553">
        <v>90235</v>
      </c>
      <c r="I553">
        <v>90235</v>
      </c>
      <c r="J553" s="38">
        <v>4000000</v>
      </c>
      <c r="K553">
        <v>400000000000</v>
      </c>
      <c r="L553">
        <v>106242.302</v>
      </c>
      <c r="M553" s="38">
        <v>360940000000</v>
      </c>
      <c r="N553">
        <v>3.4</v>
      </c>
      <c r="O553">
        <v>1118</v>
      </c>
      <c r="P553" s="37">
        <v>34000000000</v>
      </c>
      <c r="Q553" s="37">
        <v>37102268611.111122</v>
      </c>
      <c r="R553" s="37">
        <v>-28950109953.029049</v>
      </c>
      <c r="S553">
        <v>4.4914150399999997</v>
      </c>
      <c r="T553" s="70">
        <v>9.1845314798450008</v>
      </c>
      <c r="U553">
        <v>9.5970469099999995</v>
      </c>
      <c r="V553">
        <v>104.35114563357671</v>
      </c>
      <c r="W553">
        <v>381311.60828256537</v>
      </c>
      <c r="X553" s="38">
        <v>-335613.80171131401</v>
      </c>
      <c r="Y553">
        <v>43986.968999999997</v>
      </c>
      <c r="Z553" s="70">
        <v>-9381112653.8632927</v>
      </c>
      <c r="AA553" s="70">
        <v>-64029207346.137672</v>
      </c>
      <c r="AB553" s="70">
        <v>-73410320000.000961</v>
      </c>
      <c r="AC553" s="70">
        <v>-73410320000.000961</v>
      </c>
      <c r="AD553" s="70">
        <v>-73410320000.001007</v>
      </c>
      <c r="AE553" s="70">
        <v>-73410320000.000961</v>
      </c>
      <c r="AF553">
        <v>2.862902638</v>
      </c>
      <c r="AG553" s="72">
        <f>Tradingbook_MSB[[#This Row],[Mat. Date]]-RPT</f>
        <v>4263</v>
      </c>
      <c r="AH553" s="71">
        <f>IF(Tradingbook_MSB[[#This Row],[Days]]&lt;=0,0,YEARFRAC(RPT,Tradingbook_MSB[[#This Row],[Mat. Date]],3))</f>
        <v>11.67945205479452</v>
      </c>
      <c r="AI553" s="71" t="str">
        <f>IF(Tradingbook_MSB[[#This Row],[Days (year)]]=0,0,INDEX(Ref!$K$2:$K$13,MATCH(Tradingbook_MSB[[#This Row],[Days (year)]],Ref!$I$2:$I$13,1)))</f>
        <v>15Y</v>
      </c>
      <c r="AJ553" s="120" t="str">
        <f>VLOOKUP(Tradingbook_MSB[[#This Row],[Security Name]],Ref!X:Z,3,0)</f>
        <v>TPCP</v>
      </c>
      <c r="AK553" s="120" t="str">
        <f>VLOOKUP(Tradingbook_MSB[[#This Row],[Security Name]],Ref!X:Y,2,0)</f>
        <v>KBNN</v>
      </c>
      <c r="AL553" s="71">
        <f>IF((Tradingbook_MSB[[#This Row],[Mat. Date]]-RPT)&lt;=0,0,Tradingbook_MSB[[#This Row],[QUANTITY]])</f>
        <v>4000000</v>
      </c>
      <c r="AM553" s="71">
        <f>IF(Tradingbook_MSB[[#This Row],[Quantity_edited]]=0,0,Tradingbook_MSB[[#This Row],[DURATION]])</f>
        <v>9.5970469099999995</v>
      </c>
      <c r="AN553" s="71">
        <f>IF(Tradingbook_MSB[[#This Row],[Quantity_edited]]=0,0,Tradingbook_MSB[[#This Row],[Mod Dur]])</f>
        <v>9.1845314798450008</v>
      </c>
      <c r="AO553" s="71">
        <f>IF(Tradingbook_MSB[[#This Row],[Quantity_edited]]=0,0,Tradingbook_MSB[[#This Row],[Cnvx.]])</f>
        <v>104.35114563357671</v>
      </c>
      <c r="AP553" s="71">
        <f>(Tradingbook_MSB[[#This Row],[MARKET_VALUE]]+Tradingbook_MSB[[#This Row],[Accr Int]]*Tradingbook_MSB[[#This Row],[Quantity_edited]])*(-Tradingbook_MSB[[#This Row],[Modified Duration]]*0.0001+0.5*Tradingbook_MSB[[#This Row],[Conv]]*(0.0001^2))</f>
        <v>-335423145.90717089</v>
      </c>
      <c r="AQ553" s="72">
        <f>(Tradingbook_MSB[[#This Row],[MARKET_VALUE]]+Tradingbook_MSB[[#This Row],[Accr Int]]*Tradingbook_MSB[[#This Row],[Quantity_edited]])*(-Tradingbook_MSB[[#This Row],[Modified Duration]]*0.01+0.5*Tradingbook_MSB[[#This Row],[Conv]]*(0.01^2))</f>
        <v>-31654822129.718391</v>
      </c>
    </row>
    <row r="554" spans="2:130" x14ac:dyDescent="0.3">
      <c r="B554" t="s">
        <v>166</v>
      </c>
      <c r="C554" t="s">
        <v>3302</v>
      </c>
      <c r="D554" t="s">
        <v>2775</v>
      </c>
      <c r="E554" t="s">
        <v>169</v>
      </c>
      <c r="F554" s="502">
        <v>50723</v>
      </c>
      <c r="G554" t="s">
        <v>170</v>
      </c>
      <c r="H554">
        <v>87342</v>
      </c>
      <c r="I554">
        <v>87342</v>
      </c>
      <c r="J554" s="38">
        <v>4000000</v>
      </c>
      <c r="K554">
        <v>400000000000</v>
      </c>
      <c r="L554">
        <v>102368.22900000001</v>
      </c>
      <c r="M554" s="38">
        <v>349368000000</v>
      </c>
      <c r="N554">
        <v>3.6</v>
      </c>
      <c r="O554">
        <v>2732</v>
      </c>
      <c r="P554" s="37">
        <v>52488000000</v>
      </c>
      <c r="Q554" s="37">
        <v>56121654000.000061</v>
      </c>
      <c r="R554" s="37">
        <v>-63351853883.055313</v>
      </c>
      <c r="S554">
        <v>5.0061699549999998</v>
      </c>
      <c r="T554" s="70">
        <v>9.1801420201183994</v>
      </c>
      <c r="U554">
        <v>9.6397155300000001</v>
      </c>
      <c r="V554">
        <v>107.48467223472591</v>
      </c>
      <c r="W554">
        <v>387262.97467482788</v>
      </c>
      <c r="X554" s="38">
        <v>-330756.84492805699</v>
      </c>
      <c r="Y554">
        <v>48222.601999999999</v>
      </c>
      <c r="Z554" s="70">
        <v>20012815371.330006</v>
      </c>
      <c r="AA554" s="70">
        <v>-60104915371.329872</v>
      </c>
      <c r="AB554" s="70">
        <v>-40092099999.999863</v>
      </c>
      <c r="AC554" s="70">
        <v>-40092099999.999863</v>
      </c>
      <c r="AD554" s="70">
        <v>-40092100000</v>
      </c>
      <c r="AE554" s="70">
        <v>-40092099999.999863</v>
      </c>
      <c r="AF554">
        <v>3.3920423139999998</v>
      </c>
      <c r="AG554" s="72">
        <f>Tradingbook_MSB[[#This Row],[Mat. Date]]-RPT</f>
        <v>4471</v>
      </c>
      <c r="AH554" s="71">
        <f>IF(Tradingbook_MSB[[#This Row],[Days]]&lt;=0,0,YEARFRAC(RPT,Tradingbook_MSB[[#This Row],[Mat. Date]],3))</f>
        <v>12.24931506849315</v>
      </c>
      <c r="AI554" s="71" t="str">
        <f>IF(Tradingbook_MSB[[#This Row],[Days (year)]]=0,0,INDEX(Ref!$K$2:$K$13,MATCH(Tradingbook_MSB[[#This Row],[Days (year)]],Ref!$I$2:$I$13,1)))</f>
        <v>15Y</v>
      </c>
      <c r="AJ554" s="120" t="str">
        <f>VLOOKUP(Tradingbook_MSB[[#This Row],[Security Name]],Ref!X:Z,3,0)</f>
        <v>TPCPBL</v>
      </c>
      <c r="AK554" s="120" t="str">
        <f>VLOOKUP(Tradingbook_MSB[[#This Row],[Security Name]],Ref!X:Y,2,0)</f>
        <v>VBS</v>
      </c>
      <c r="AL554" s="71">
        <f>IF((Tradingbook_MSB[[#This Row],[Mat. Date]]-RPT)&lt;=0,0,Tradingbook_MSB[[#This Row],[QUANTITY]])</f>
        <v>4000000</v>
      </c>
      <c r="AM554" s="71">
        <f>IF(Tradingbook_MSB[[#This Row],[Quantity_edited]]=0,0,Tradingbook_MSB[[#This Row],[DURATION]])</f>
        <v>9.6397155300000001</v>
      </c>
      <c r="AN554" s="71">
        <f>IF(Tradingbook_MSB[[#This Row],[Quantity_edited]]=0,0,Tradingbook_MSB[[#This Row],[Mod Dur]])</f>
        <v>9.1801420201183994</v>
      </c>
      <c r="AO554" s="71">
        <f>IF(Tradingbook_MSB[[#This Row],[Quantity_edited]]=0,0,Tradingbook_MSB[[#This Row],[Cnvx.]])</f>
        <v>107.48467223472591</v>
      </c>
      <c r="AP554" s="71">
        <f>(Tradingbook_MSB[[#This Row],[MARKET_VALUE]]+Tradingbook_MSB[[#This Row],[Accr Int]]*Tradingbook_MSB[[#This Row],[Quantity_edited]])*(-Tradingbook_MSB[[#This Row],[Modified Duration]]*0.0001+0.5*Tradingbook_MSB[[#This Row],[Conv]]*(0.0001^2))</f>
        <v>-330563213.4407205</v>
      </c>
      <c r="AQ554" s="72">
        <f>(Tradingbook_MSB[[#This Row],[MARKET_VALUE]]+Tradingbook_MSB[[#This Row],[Accr Int]]*Tradingbook_MSB[[#This Row],[Quantity_edited]])*(-Tradingbook_MSB[[#This Row],[Modified Duration]]*0.01+0.5*Tradingbook_MSB[[#This Row],[Conv]]*(0.01^2))</f>
        <v>-31139369619.431648</v>
      </c>
    </row>
    <row r="555" spans="2:130" x14ac:dyDescent="0.3">
      <c r="B555" t="s">
        <v>166</v>
      </c>
      <c r="C555" t="s">
        <v>3302</v>
      </c>
      <c r="D555" t="s">
        <v>2843</v>
      </c>
      <c r="E555" t="s">
        <v>169</v>
      </c>
      <c r="F555" s="502">
        <v>50726</v>
      </c>
      <c r="G555" t="s">
        <v>3322</v>
      </c>
      <c r="H555">
        <v>87334</v>
      </c>
      <c r="I555">
        <v>87334</v>
      </c>
      <c r="J555" s="38">
        <v>0</v>
      </c>
      <c r="K555">
        <v>0</v>
      </c>
      <c r="L555">
        <v>0</v>
      </c>
      <c r="M555" s="38">
        <v>0</v>
      </c>
      <c r="N555">
        <v>3.6</v>
      </c>
      <c r="O555">
        <v>2702</v>
      </c>
      <c r="P555" s="37">
        <v>7220000000</v>
      </c>
      <c r="Q555" s="37">
        <v>7843717749.999999</v>
      </c>
      <c r="R555" s="37">
        <v>-4452976527.7777691</v>
      </c>
      <c r="S555">
        <v>5.0063927069999998</v>
      </c>
      <c r="T555" s="70">
        <v>9.1879176324688991</v>
      </c>
      <c r="U555">
        <v>9.6479008700000009</v>
      </c>
      <c r="V555">
        <v>107.6349675806204</v>
      </c>
      <c r="W555">
        <v>0</v>
      </c>
      <c r="X555" s="38">
        <v>0</v>
      </c>
      <c r="Y555">
        <v>0</v>
      </c>
      <c r="Z555" s="70">
        <v>-302000000</v>
      </c>
      <c r="AA555" s="70">
        <v>0</v>
      </c>
      <c r="AB555" s="70">
        <v>-302000000</v>
      </c>
      <c r="AC555" s="70">
        <v>-302000000</v>
      </c>
      <c r="AD555" s="70">
        <v>-302000000</v>
      </c>
      <c r="AE555" s="70">
        <v>-302000000</v>
      </c>
      <c r="AF555">
        <v>0</v>
      </c>
      <c r="AG555" s="72">
        <f>Tradingbook_MSB[[#This Row],[Mat. Date]]-RPT</f>
        <v>4474</v>
      </c>
      <c r="AH555" s="71">
        <f>IF(Tradingbook_MSB[[#This Row],[Days]]&lt;=0,0,YEARFRAC(RPT,Tradingbook_MSB[[#This Row],[Mat. Date]],3))</f>
        <v>12.257534246575343</v>
      </c>
      <c r="AI555" s="71" t="str">
        <f>IF(Tradingbook_MSB[[#This Row],[Days (year)]]=0,0,INDEX(Ref!$K$2:$K$13,MATCH(Tradingbook_MSB[[#This Row],[Days (year)]],Ref!$I$2:$I$13,1)))</f>
        <v>15Y</v>
      </c>
      <c r="AJ555" s="120" t="str">
        <f>VLOOKUP(Tradingbook_MSB[[#This Row],[Security Name]],Ref!X:Z,3,0)</f>
        <v>TPCPBL</v>
      </c>
      <c r="AK555" s="120" t="str">
        <f>VLOOKUP(Tradingbook_MSB[[#This Row],[Security Name]],Ref!X:Y,2,0)</f>
        <v>VBS</v>
      </c>
      <c r="AL555" s="71">
        <f>IF((Tradingbook_MSB[[#This Row],[Mat. Date]]-RPT)&lt;=0,0,Tradingbook_MSB[[#This Row],[QUANTITY]])</f>
        <v>0</v>
      </c>
      <c r="AM555" s="71">
        <f>IF(Tradingbook_MSB[[#This Row],[Quantity_edited]]=0,0,Tradingbook_MSB[[#This Row],[DURATION]])</f>
        <v>0</v>
      </c>
      <c r="AN555" s="71">
        <f>IF(Tradingbook_MSB[[#This Row],[Quantity_edited]]=0,0,Tradingbook_MSB[[#This Row],[Mod Dur]])</f>
        <v>0</v>
      </c>
      <c r="AO555" s="71">
        <f>IF(Tradingbook_MSB[[#This Row],[Quantity_edited]]=0,0,Tradingbook_MSB[[#This Row],[Cnvx.]])</f>
        <v>0</v>
      </c>
      <c r="AP555" s="71">
        <f>(Tradingbook_MSB[[#This Row],[MARKET_VALUE]]+Tradingbook_MSB[[#This Row],[Accr Int]]*Tradingbook_MSB[[#This Row],[Quantity_edited]])*(-Tradingbook_MSB[[#This Row],[Modified Duration]]*0.0001+0.5*Tradingbook_MSB[[#This Row],[Conv]]*(0.0001^2))</f>
        <v>0</v>
      </c>
      <c r="AQ555" s="72">
        <f>(Tradingbook_MSB[[#This Row],[MARKET_VALUE]]+Tradingbook_MSB[[#This Row],[Accr Int]]*Tradingbook_MSB[[#This Row],[Quantity_edited]])*(-Tradingbook_MSB[[#This Row],[Modified Duration]]*0.01+0.5*Tradingbook_MSB[[#This Row],[Conv]]*(0.01^2))</f>
        <v>0</v>
      </c>
    </row>
    <row r="556" spans="2:130" x14ac:dyDescent="0.3">
      <c r="B556" t="s">
        <v>166</v>
      </c>
      <c r="C556" t="s">
        <v>3302</v>
      </c>
      <c r="D556" t="s">
        <v>2782</v>
      </c>
      <c r="E556" t="s">
        <v>169</v>
      </c>
      <c r="F556" s="502">
        <v>50730</v>
      </c>
      <c r="G556" t="s">
        <v>170</v>
      </c>
      <c r="H556">
        <v>85523</v>
      </c>
      <c r="I556">
        <v>85523</v>
      </c>
      <c r="J556" s="38">
        <v>3000000</v>
      </c>
      <c r="K556">
        <v>300000000000</v>
      </c>
      <c r="L556">
        <v>100536.364</v>
      </c>
      <c r="M556" s="38">
        <v>256569000000</v>
      </c>
      <c r="N556">
        <v>3.4</v>
      </c>
      <c r="O556">
        <v>2515</v>
      </c>
      <c r="P556" s="37">
        <v>20400000000</v>
      </c>
      <c r="Q556" s="37">
        <v>21714567500.000019</v>
      </c>
      <c r="R556" s="37">
        <v>-30035428406.708324</v>
      </c>
      <c r="S556">
        <v>5.0067248810000002</v>
      </c>
      <c r="T556" s="70">
        <v>9.2841645054785999</v>
      </c>
      <c r="U556">
        <v>9.7489970800000005</v>
      </c>
      <c r="V556">
        <v>109.2084529167216</v>
      </c>
      <c r="W556">
        <v>288434.81333646999</v>
      </c>
      <c r="X556" s="38">
        <v>-245207.782419998</v>
      </c>
      <c r="Y556">
        <v>35353.271000000001</v>
      </c>
      <c r="Z556" s="70">
        <v>3226150909.0909243</v>
      </c>
      <c r="AA556" s="70">
        <v>-45040090909.090897</v>
      </c>
      <c r="AB556" s="70">
        <v>-41813939999.999969</v>
      </c>
      <c r="AC556" s="70">
        <v>-41813939999.999969</v>
      </c>
      <c r="AD556" s="70">
        <v>-41813940000</v>
      </c>
      <c r="AE556" s="70">
        <v>-41813939999.999969</v>
      </c>
      <c r="AF556">
        <v>3.3521531100000002</v>
      </c>
      <c r="AG556" s="72">
        <f>Tradingbook_MSB[[#This Row],[Mat. Date]]-RPT</f>
        <v>4478</v>
      </c>
      <c r="AH556" s="71">
        <f>IF(Tradingbook_MSB[[#This Row],[Days]]&lt;=0,0,YEARFRAC(RPT,Tradingbook_MSB[[#This Row],[Mat. Date]],3))</f>
        <v>12.268493150684931</v>
      </c>
      <c r="AI556" s="71" t="str">
        <f>IF(Tradingbook_MSB[[#This Row],[Days (year)]]=0,0,INDEX(Ref!$K$2:$K$13,MATCH(Tradingbook_MSB[[#This Row],[Days (year)]],Ref!$I$2:$I$13,1)))</f>
        <v>15Y</v>
      </c>
      <c r="AJ556" s="120" t="str">
        <f>VLOOKUP(Tradingbook_MSB[[#This Row],[Security Name]],Ref!X:Z,3,0)</f>
        <v>TPCPBL</v>
      </c>
      <c r="AK556" s="120" t="str">
        <f>VLOOKUP(Tradingbook_MSB[[#This Row],[Security Name]],Ref!X:Y,2,0)</f>
        <v>VBS</v>
      </c>
      <c r="AL556" s="71">
        <f>IF((Tradingbook_MSB[[#This Row],[Mat. Date]]-RPT)&lt;=0,0,Tradingbook_MSB[[#This Row],[QUANTITY]])</f>
        <v>3000000</v>
      </c>
      <c r="AM556" s="71">
        <f>IF(Tradingbook_MSB[[#This Row],[Quantity_edited]]=0,0,Tradingbook_MSB[[#This Row],[DURATION]])</f>
        <v>9.7489970800000005</v>
      </c>
      <c r="AN556" s="71">
        <f>IF(Tradingbook_MSB[[#This Row],[Quantity_edited]]=0,0,Tradingbook_MSB[[#This Row],[Mod Dur]])</f>
        <v>9.2841645054785999</v>
      </c>
      <c r="AO556" s="71">
        <f>IF(Tradingbook_MSB[[#This Row],[Quantity_edited]]=0,0,Tradingbook_MSB[[#This Row],[Cnvx.]])</f>
        <v>109.2084529167216</v>
      </c>
      <c r="AP556" s="71">
        <f>(Tradingbook_MSB[[#This Row],[MARKET_VALUE]]+Tradingbook_MSB[[#This Row],[Accr Int]]*Tradingbook_MSB[[#This Row],[Quantity_edited]])*(-Tradingbook_MSB[[#This Row],[Modified Duration]]*0.0001+0.5*Tradingbook_MSB[[#This Row],[Conv]]*(0.0001^2))</f>
        <v>-245063565.01332927</v>
      </c>
      <c r="AQ556" s="72">
        <f>(Tradingbook_MSB[[#This Row],[MARKET_VALUE]]+Tradingbook_MSB[[#This Row],[Accr Int]]*Tradingbook_MSB[[#This Row],[Quantity_edited]])*(-Tradingbook_MSB[[#This Row],[Modified Duration]]*0.01+0.5*Tradingbook_MSB[[#This Row],[Conv]]*(0.01^2))</f>
        <v>-23078604175.317398</v>
      </c>
    </row>
    <row r="557" spans="2:130" x14ac:dyDescent="0.3">
      <c r="B557" t="s">
        <v>166</v>
      </c>
      <c r="C557" t="s">
        <v>3302</v>
      </c>
      <c r="D557" t="s">
        <v>2788</v>
      </c>
      <c r="E557" t="s">
        <v>169</v>
      </c>
      <c r="F557" s="502">
        <v>50744</v>
      </c>
      <c r="G557" t="s">
        <v>170</v>
      </c>
      <c r="H557">
        <v>82776</v>
      </c>
      <c r="I557">
        <v>82776</v>
      </c>
      <c r="J557" s="38">
        <v>1000000</v>
      </c>
      <c r="K557">
        <v>100000000000</v>
      </c>
      <c r="L557">
        <v>99817.183000000005</v>
      </c>
      <c r="M557" s="38">
        <v>82776000000</v>
      </c>
      <c r="N557">
        <v>3.1</v>
      </c>
      <c r="O557">
        <v>2174</v>
      </c>
      <c r="P557" s="37">
        <v>12400000000</v>
      </c>
      <c r="Q557" s="37">
        <v>13311059861.111116</v>
      </c>
      <c r="R557" s="37">
        <v>-12723007892.291651</v>
      </c>
      <c r="S557">
        <v>5.0077278539999996</v>
      </c>
      <c r="T557" s="70">
        <v>9.4566633678730998</v>
      </c>
      <c r="U557">
        <v>9.9302273299999992</v>
      </c>
      <c r="V557">
        <v>112.1059512090015</v>
      </c>
      <c r="W557">
        <v>95234.005552046801</v>
      </c>
      <c r="X557" s="38">
        <v>-80334.355310081999</v>
      </c>
      <c r="Y557">
        <v>11373.299000000001</v>
      </c>
      <c r="Z557" s="70">
        <v>9726383098.5915852</v>
      </c>
      <c r="AA557" s="70">
        <v>-17041183098.591543</v>
      </c>
      <c r="AB557" s="70">
        <v>-7314799999.999958</v>
      </c>
      <c r="AC557" s="70">
        <v>-7314799999.999958</v>
      </c>
      <c r="AD557" s="70">
        <v>-7314800000</v>
      </c>
      <c r="AE557" s="70">
        <v>-7314799999.999958</v>
      </c>
      <c r="AF557">
        <v>3.115953835</v>
      </c>
      <c r="AG557" s="72">
        <f>Tradingbook_MSB[[#This Row],[Mat. Date]]-RPT</f>
        <v>4492</v>
      </c>
      <c r="AH557" s="71">
        <f>IF(Tradingbook_MSB[[#This Row],[Days]]&lt;=0,0,YEARFRAC(RPT,Tradingbook_MSB[[#This Row],[Mat. Date]],3))</f>
        <v>12.306849315068494</v>
      </c>
      <c r="AI557" s="71" t="str">
        <f>IF(Tradingbook_MSB[[#This Row],[Days (year)]]=0,0,INDEX(Ref!$K$2:$K$13,MATCH(Tradingbook_MSB[[#This Row],[Days (year)]],Ref!$I$2:$I$13,1)))</f>
        <v>15Y</v>
      </c>
      <c r="AJ557" s="120" t="str">
        <f>VLOOKUP(Tradingbook_MSB[[#This Row],[Security Name]],Ref!X:Z,3,0)</f>
        <v>TPCPBL</v>
      </c>
      <c r="AK557" s="120" t="str">
        <f>VLOOKUP(Tradingbook_MSB[[#This Row],[Security Name]],Ref!X:Y,2,0)</f>
        <v>VDB</v>
      </c>
      <c r="AL557" s="71">
        <f>IF((Tradingbook_MSB[[#This Row],[Mat. Date]]-RPT)&lt;=0,0,Tradingbook_MSB[[#This Row],[QUANTITY]])</f>
        <v>1000000</v>
      </c>
      <c r="AM557" s="71">
        <f>IF(Tradingbook_MSB[[#This Row],[Quantity_edited]]=0,0,Tradingbook_MSB[[#This Row],[DURATION]])</f>
        <v>9.9302273299999992</v>
      </c>
      <c r="AN557" s="71">
        <f>IF(Tradingbook_MSB[[#This Row],[Quantity_edited]]=0,0,Tradingbook_MSB[[#This Row],[Mod Dur]])</f>
        <v>9.4566633678730998</v>
      </c>
      <c r="AO557" s="71">
        <f>IF(Tradingbook_MSB[[#This Row],[Quantity_edited]]=0,0,Tradingbook_MSB[[#This Row],[Cnvx.]])</f>
        <v>112.1059512090015</v>
      </c>
      <c r="AP557" s="71">
        <f>(Tradingbook_MSB[[#This Row],[MARKET_VALUE]]+Tradingbook_MSB[[#This Row],[Accr Int]]*Tradingbook_MSB[[#This Row],[Quantity_edited]])*(-Tradingbook_MSB[[#This Row],[Modified Duration]]*0.0001+0.5*Tradingbook_MSB[[#This Row],[Conv]]*(0.0001^2))</f>
        <v>-80286738.307305962</v>
      </c>
      <c r="AQ557" s="72">
        <f>(Tradingbook_MSB[[#This Row],[MARKET_VALUE]]+Tradingbook_MSB[[#This Row],[Accr Int]]*Tradingbook_MSB[[#This Row],[Quantity_edited]])*(-Tradingbook_MSB[[#This Row],[Modified Duration]]*0.01+0.5*Tradingbook_MSB[[#This Row],[Conv]]*(0.01^2))</f>
        <v>-7557265503.2479649</v>
      </c>
    </row>
    <row r="558" spans="2:130" x14ac:dyDescent="0.3">
      <c r="B558" t="s">
        <v>166</v>
      </c>
      <c r="C558" t="s">
        <v>3302</v>
      </c>
      <c r="D558" t="s">
        <v>710</v>
      </c>
      <c r="E558" t="s">
        <v>169</v>
      </c>
      <c r="F558" s="502">
        <v>50787</v>
      </c>
      <c r="G558" t="s">
        <v>3322</v>
      </c>
      <c r="H558">
        <v>110155</v>
      </c>
      <c r="I558">
        <v>110155</v>
      </c>
      <c r="J558" s="38">
        <v>0</v>
      </c>
      <c r="K558">
        <v>0</v>
      </c>
      <c r="L558">
        <v>0</v>
      </c>
      <c r="M558" s="38">
        <v>0</v>
      </c>
      <c r="N558">
        <v>5.6</v>
      </c>
      <c r="O558">
        <v>3268</v>
      </c>
      <c r="P558" s="37">
        <v>22400000000</v>
      </c>
      <c r="Q558" s="37">
        <v>25327954166.666561</v>
      </c>
      <c r="R558" s="37">
        <v>-9375345286.9998074</v>
      </c>
      <c r="S558">
        <v>4.5107606870000003</v>
      </c>
      <c r="T558" s="70">
        <v>8.7780558725125992</v>
      </c>
      <c r="U558">
        <v>9.1740129699999997</v>
      </c>
      <c r="V558">
        <v>101.6438516309988</v>
      </c>
      <c r="W558">
        <v>0</v>
      </c>
      <c r="X558" s="38">
        <v>0</v>
      </c>
      <c r="Y558">
        <v>0</v>
      </c>
      <c r="Z558" s="70">
        <v>6171030000</v>
      </c>
      <c r="AA558" s="70">
        <v>0</v>
      </c>
      <c r="AB558" s="70">
        <v>6171030000</v>
      </c>
      <c r="AC558" s="70">
        <v>6171030000</v>
      </c>
      <c r="AD558" s="70">
        <v>6171030000</v>
      </c>
      <c r="AE558" s="70">
        <v>6171030000</v>
      </c>
      <c r="AF558">
        <v>0</v>
      </c>
      <c r="AG558" s="72">
        <f>Tradingbook_MSB[[#This Row],[Mat. Date]]-RPT</f>
        <v>4535</v>
      </c>
      <c r="AH558" s="71">
        <f>IF(Tradingbook_MSB[[#This Row],[Days]]&lt;=0,0,YEARFRAC(RPT,Tradingbook_MSB[[#This Row],[Mat. Date]],3))</f>
        <v>12.424657534246576</v>
      </c>
      <c r="AI558" s="71" t="str">
        <f>IF(Tradingbook_MSB[[#This Row],[Days (year)]]=0,0,INDEX(Ref!$K$2:$K$13,MATCH(Tradingbook_MSB[[#This Row],[Days (year)]],Ref!$I$2:$I$13,1)))</f>
        <v>15Y</v>
      </c>
      <c r="AJ558" s="120" t="str">
        <f>VLOOKUP(Tradingbook_MSB[[#This Row],[Security Name]],Ref!X:Z,3,0)</f>
        <v>TPCP</v>
      </c>
      <c r="AK558" s="120" t="str">
        <f>VLOOKUP(Tradingbook_MSB[[#This Row],[Security Name]],Ref!X:Y,2,0)</f>
        <v>KBNN</v>
      </c>
      <c r="AL558" s="71">
        <f>IF((Tradingbook_MSB[[#This Row],[Mat. Date]]-RPT)&lt;=0,0,Tradingbook_MSB[[#This Row],[QUANTITY]])</f>
        <v>0</v>
      </c>
      <c r="AM558" s="71">
        <f>IF(Tradingbook_MSB[[#This Row],[Quantity_edited]]=0,0,Tradingbook_MSB[[#This Row],[DURATION]])</f>
        <v>0</v>
      </c>
      <c r="AN558" s="71">
        <f>IF(Tradingbook_MSB[[#This Row],[Quantity_edited]]=0,0,Tradingbook_MSB[[#This Row],[Mod Dur]])</f>
        <v>0</v>
      </c>
      <c r="AO558" s="71">
        <f>IF(Tradingbook_MSB[[#This Row],[Quantity_edited]]=0,0,Tradingbook_MSB[[#This Row],[Cnvx.]])</f>
        <v>0</v>
      </c>
      <c r="AP558" s="71">
        <f>(Tradingbook_MSB[[#This Row],[MARKET_VALUE]]+Tradingbook_MSB[[#This Row],[Accr Int]]*Tradingbook_MSB[[#This Row],[Quantity_edited]])*(-Tradingbook_MSB[[#This Row],[Modified Duration]]*0.0001+0.5*Tradingbook_MSB[[#This Row],[Conv]]*(0.0001^2))</f>
        <v>0</v>
      </c>
      <c r="AQ558" s="72">
        <f>(Tradingbook_MSB[[#This Row],[MARKET_VALUE]]+Tradingbook_MSB[[#This Row],[Accr Int]]*Tradingbook_MSB[[#This Row],[Quantity_edited]])*(-Tradingbook_MSB[[#This Row],[Modified Duration]]*0.01+0.5*Tradingbook_MSB[[#This Row],[Conv]]*(0.01^2))</f>
        <v>0</v>
      </c>
    </row>
    <row r="559" spans="2:130" x14ac:dyDescent="0.3">
      <c r="B559" t="s">
        <v>166</v>
      </c>
      <c r="C559" t="s">
        <v>3302</v>
      </c>
      <c r="D559" t="s">
        <v>711</v>
      </c>
      <c r="E559" t="s">
        <v>169</v>
      </c>
      <c r="F559" s="502">
        <v>51025</v>
      </c>
      <c r="G559" t="s">
        <v>3322</v>
      </c>
      <c r="H559">
        <v>103606</v>
      </c>
      <c r="I559">
        <v>103606</v>
      </c>
      <c r="J559" s="38">
        <v>0</v>
      </c>
      <c r="K559">
        <v>0</v>
      </c>
      <c r="L559">
        <v>0</v>
      </c>
      <c r="M559" s="38">
        <v>0</v>
      </c>
      <c r="N559">
        <v>4.9000000000000004</v>
      </c>
      <c r="O559">
        <v>4564</v>
      </c>
      <c r="P559" s="37">
        <v>2450000000</v>
      </c>
      <c r="Q559" s="37">
        <v>2845003972.222229</v>
      </c>
      <c r="R559" s="37">
        <v>-5630196579.9880238</v>
      </c>
      <c r="S559">
        <v>4.5277252890000002</v>
      </c>
      <c r="T559" s="70">
        <v>9.1773769399468001</v>
      </c>
      <c r="U559">
        <v>9.5929033599999993</v>
      </c>
      <c r="V559">
        <v>111.9273450544646</v>
      </c>
      <c r="W559">
        <v>0</v>
      </c>
      <c r="X559" s="38">
        <v>0</v>
      </c>
      <c r="Y559">
        <v>0</v>
      </c>
      <c r="Z559" s="70">
        <v>12915394990</v>
      </c>
      <c r="AA559" s="70">
        <v>0</v>
      </c>
      <c r="AB559" s="70">
        <v>12915394990</v>
      </c>
      <c r="AC559" s="70">
        <v>12915394990</v>
      </c>
      <c r="AD559" s="70">
        <v>12915394990</v>
      </c>
      <c r="AE559" s="70">
        <v>12915394990</v>
      </c>
      <c r="AF559">
        <v>0</v>
      </c>
      <c r="AG559" s="72">
        <f>Tradingbook_MSB[[#This Row],[Mat. Date]]-RPT</f>
        <v>4773</v>
      </c>
      <c r="AH559" s="71">
        <f>IF(Tradingbook_MSB[[#This Row],[Days]]&lt;=0,0,YEARFRAC(RPT,Tradingbook_MSB[[#This Row],[Mat. Date]],3))</f>
        <v>13.076712328767123</v>
      </c>
      <c r="AI559" s="71" t="str">
        <f>IF(Tradingbook_MSB[[#This Row],[Days (year)]]=0,0,INDEX(Ref!$K$2:$K$13,MATCH(Tradingbook_MSB[[#This Row],[Days (year)]],Ref!$I$2:$I$13,1)))</f>
        <v>15Y</v>
      </c>
      <c r="AJ559" s="120" t="str">
        <f>VLOOKUP(Tradingbook_MSB[[#This Row],[Security Name]],Ref!X:Z,3,0)</f>
        <v>TPCP</v>
      </c>
      <c r="AK559" s="120" t="str">
        <f>VLOOKUP(Tradingbook_MSB[[#This Row],[Security Name]],Ref!X:Y,2,0)</f>
        <v>KBNN</v>
      </c>
      <c r="AL559" s="71">
        <f>IF((Tradingbook_MSB[[#This Row],[Mat. Date]]-RPT)&lt;=0,0,Tradingbook_MSB[[#This Row],[QUANTITY]])</f>
        <v>0</v>
      </c>
      <c r="AM559" s="71">
        <f>IF(Tradingbook_MSB[[#This Row],[Quantity_edited]]=0,0,Tradingbook_MSB[[#This Row],[DURATION]])</f>
        <v>0</v>
      </c>
      <c r="AN559" s="71">
        <f>IF(Tradingbook_MSB[[#This Row],[Quantity_edited]]=0,0,Tradingbook_MSB[[#This Row],[Mod Dur]])</f>
        <v>0</v>
      </c>
      <c r="AO559" s="71">
        <f>IF(Tradingbook_MSB[[#This Row],[Quantity_edited]]=0,0,Tradingbook_MSB[[#This Row],[Cnvx.]])</f>
        <v>0</v>
      </c>
      <c r="AP559" s="71">
        <f>(Tradingbook_MSB[[#This Row],[MARKET_VALUE]]+Tradingbook_MSB[[#This Row],[Accr Int]]*Tradingbook_MSB[[#This Row],[Quantity_edited]])*(-Tradingbook_MSB[[#This Row],[Modified Duration]]*0.0001+0.5*Tradingbook_MSB[[#This Row],[Conv]]*(0.0001^2))</f>
        <v>0</v>
      </c>
      <c r="AQ559" s="72">
        <f>(Tradingbook_MSB[[#This Row],[MARKET_VALUE]]+Tradingbook_MSB[[#This Row],[Accr Int]]*Tradingbook_MSB[[#This Row],[Quantity_edited]])*(-Tradingbook_MSB[[#This Row],[Modified Duration]]*0.01+0.5*Tradingbook_MSB[[#This Row],[Conv]]*(0.01^2))</f>
        <v>0</v>
      </c>
    </row>
    <row r="560" spans="2:130" x14ac:dyDescent="0.3">
      <c r="B560" t="s">
        <v>166</v>
      </c>
      <c r="C560" t="s">
        <v>3303</v>
      </c>
      <c r="D560" t="s">
        <v>2741</v>
      </c>
      <c r="E560" t="s">
        <v>169</v>
      </c>
      <c r="F560" s="502">
        <v>50578</v>
      </c>
      <c r="G560" t="s">
        <v>3322</v>
      </c>
      <c r="H560">
        <v>84678</v>
      </c>
      <c r="I560">
        <v>84678</v>
      </c>
      <c r="J560" s="38">
        <v>0</v>
      </c>
      <c r="K560">
        <v>0</v>
      </c>
      <c r="L560">
        <v>0</v>
      </c>
      <c r="M560" s="38">
        <v>0</v>
      </c>
      <c r="N560">
        <v>2.8</v>
      </c>
      <c r="O560">
        <v>437</v>
      </c>
      <c r="P560" s="37">
        <v>25327500000</v>
      </c>
      <c r="Q560" s="37">
        <v>27716271149.30563</v>
      </c>
      <c r="R560" s="37">
        <v>-20436505000.412464</v>
      </c>
      <c r="S560">
        <v>4.4958650389999999</v>
      </c>
      <c r="T560" s="70">
        <v>9.5933399052079</v>
      </c>
      <c r="U560">
        <v>10.02464352</v>
      </c>
      <c r="V560">
        <v>111.465403856297</v>
      </c>
      <c r="W560">
        <v>0</v>
      </c>
      <c r="X560" s="38">
        <v>0</v>
      </c>
      <c r="Y560">
        <v>0</v>
      </c>
      <c r="Z560" s="70">
        <v>-854750000</v>
      </c>
      <c r="AA560" s="70">
        <v>0</v>
      </c>
      <c r="AB560" s="70">
        <v>-854750000</v>
      </c>
      <c r="AC560" s="70">
        <v>-854750000</v>
      </c>
      <c r="AD560" s="70">
        <v>-854750000</v>
      </c>
      <c r="AE560" s="70">
        <v>-854750000</v>
      </c>
      <c r="AF560">
        <v>0</v>
      </c>
      <c r="AG560" s="72">
        <f>Tradingbook_MSB[[#This Row],[Mat. Date]]-RPT</f>
        <v>4326</v>
      </c>
      <c r="AH560" s="71">
        <f>IF(Tradingbook_MSB[[#This Row],[Days]]&lt;=0,0,YEARFRAC(RPT,Tradingbook_MSB[[#This Row],[Mat. Date]],3))</f>
        <v>11.852054794520548</v>
      </c>
      <c r="AI560" s="71" t="str">
        <f>IF(Tradingbook_MSB[[#This Row],[Days (year)]]=0,0,INDEX(Ref!$K$2:$K$13,MATCH(Tradingbook_MSB[[#This Row],[Days (year)]],Ref!$I$2:$I$13,1)))</f>
        <v>15Y</v>
      </c>
      <c r="AJ560" s="120" t="str">
        <f>VLOOKUP(Tradingbook_MSB[[#This Row],[Security Name]],Ref!X:Z,3,0)</f>
        <v>TPCP</v>
      </c>
      <c r="AK560" s="120" t="str">
        <f>VLOOKUP(Tradingbook_MSB[[#This Row],[Security Name]],Ref!X:Y,2,0)</f>
        <v>KBNN</v>
      </c>
      <c r="AL560" s="71">
        <f>IF((Tradingbook_MSB[[#This Row],[Mat. Date]]-RPT)&lt;=0,0,Tradingbook_MSB[[#This Row],[QUANTITY]])</f>
        <v>0</v>
      </c>
      <c r="AM560" s="71">
        <f>IF(Tradingbook_MSB[[#This Row],[Quantity_edited]]=0,0,Tradingbook_MSB[[#This Row],[DURATION]])</f>
        <v>0</v>
      </c>
      <c r="AN560" s="71">
        <f>IF(Tradingbook_MSB[[#This Row],[Quantity_edited]]=0,0,Tradingbook_MSB[[#This Row],[Mod Dur]])</f>
        <v>0</v>
      </c>
      <c r="AO560" s="71">
        <f>IF(Tradingbook_MSB[[#This Row],[Quantity_edited]]=0,0,Tradingbook_MSB[[#This Row],[Cnvx.]])</f>
        <v>0</v>
      </c>
      <c r="AP560" s="71">
        <f>(Tradingbook_MSB[[#This Row],[MARKET_VALUE]]+Tradingbook_MSB[[#This Row],[Accr Int]]*Tradingbook_MSB[[#This Row],[Quantity_edited]])*(-Tradingbook_MSB[[#This Row],[Modified Duration]]*0.0001+0.5*Tradingbook_MSB[[#This Row],[Conv]]*(0.0001^2))</f>
        <v>0</v>
      </c>
      <c r="AQ560" s="72">
        <f>(Tradingbook_MSB[[#This Row],[MARKET_VALUE]]+Tradingbook_MSB[[#This Row],[Accr Int]]*Tradingbook_MSB[[#This Row],[Quantity_edited]])*(-Tradingbook_MSB[[#This Row],[Modified Duration]]*0.01+0.5*Tradingbook_MSB[[#This Row],[Conv]]*(0.01^2))</f>
        <v>0</v>
      </c>
    </row>
    <row r="561" spans="2:43" x14ac:dyDescent="0.3">
      <c r="B561" t="s">
        <v>166</v>
      </c>
      <c r="C561" t="s">
        <v>3303</v>
      </c>
      <c r="D561" t="s">
        <v>2761</v>
      </c>
      <c r="E561" t="s">
        <v>169</v>
      </c>
      <c r="F561" s="502">
        <v>50620</v>
      </c>
      <c r="G561" t="s">
        <v>3322</v>
      </c>
      <c r="H561">
        <v>82727</v>
      </c>
      <c r="I561">
        <v>82727</v>
      </c>
      <c r="J561" s="38">
        <v>0</v>
      </c>
      <c r="K561">
        <v>0</v>
      </c>
      <c r="L561">
        <v>0</v>
      </c>
      <c r="M561" s="38">
        <v>0</v>
      </c>
      <c r="N561">
        <v>2.6</v>
      </c>
      <c r="O561">
        <v>107</v>
      </c>
      <c r="P561" s="37">
        <v>0</v>
      </c>
      <c r="Q561" s="37">
        <v>0</v>
      </c>
      <c r="R561" s="37">
        <v>-12541342.422219992</v>
      </c>
      <c r="S561">
        <v>4.4988142340000001</v>
      </c>
      <c r="T561" s="70">
        <v>9.7915878290008003</v>
      </c>
      <c r="U561">
        <v>10.23209318</v>
      </c>
      <c r="V561">
        <v>115.12307088162029</v>
      </c>
      <c r="W561">
        <v>0</v>
      </c>
      <c r="X561" s="38">
        <v>0</v>
      </c>
      <c r="Y561">
        <v>0</v>
      </c>
      <c r="Z561" s="70">
        <v>223160000</v>
      </c>
      <c r="AA561" s="70">
        <v>0</v>
      </c>
      <c r="AB561" s="70">
        <v>223160000</v>
      </c>
      <c r="AC561" s="70">
        <v>223160000</v>
      </c>
      <c r="AD561" s="70">
        <v>223160000</v>
      </c>
      <c r="AE561" s="70">
        <v>223160000</v>
      </c>
      <c r="AF561">
        <v>0</v>
      </c>
      <c r="AG561" s="72">
        <f>Tradingbook_MSB[[#This Row],[Mat. Date]]-RPT</f>
        <v>4368</v>
      </c>
      <c r="AH561" s="71">
        <f>IF(Tradingbook_MSB[[#This Row],[Days]]&lt;=0,0,YEARFRAC(RPT,Tradingbook_MSB[[#This Row],[Mat. Date]],3))</f>
        <v>11.967123287671233</v>
      </c>
      <c r="AI561" s="71" t="str">
        <f>IF(Tradingbook_MSB[[#This Row],[Days (year)]]=0,0,INDEX(Ref!$K$2:$K$13,MATCH(Tradingbook_MSB[[#This Row],[Days (year)]],Ref!$I$2:$I$13,1)))</f>
        <v>15Y</v>
      </c>
      <c r="AJ561" s="120" t="str">
        <f>VLOOKUP(Tradingbook_MSB[[#This Row],[Security Name]],Ref!X:Z,3,0)</f>
        <v>TPCP</v>
      </c>
      <c r="AK561" s="120" t="str">
        <f>VLOOKUP(Tradingbook_MSB[[#This Row],[Security Name]],Ref!X:Y,2,0)</f>
        <v>KBNN</v>
      </c>
      <c r="AL561" s="71">
        <f>IF((Tradingbook_MSB[[#This Row],[Mat. Date]]-RPT)&lt;=0,0,Tradingbook_MSB[[#This Row],[QUANTITY]])</f>
        <v>0</v>
      </c>
      <c r="AM561" s="71">
        <f>IF(Tradingbook_MSB[[#This Row],[Quantity_edited]]=0,0,Tradingbook_MSB[[#This Row],[DURATION]])</f>
        <v>0</v>
      </c>
      <c r="AN561" s="71">
        <f>IF(Tradingbook_MSB[[#This Row],[Quantity_edited]]=0,0,Tradingbook_MSB[[#This Row],[Mod Dur]])</f>
        <v>0</v>
      </c>
      <c r="AO561" s="71">
        <f>IF(Tradingbook_MSB[[#This Row],[Quantity_edited]]=0,0,Tradingbook_MSB[[#This Row],[Cnvx.]])</f>
        <v>0</v>
      </c>
      <c r="AP561" s="71">
        <f>(Tradingbook_MSB[[#This Row],[MARKET_VALUE]]+Tradingbook_MSB[[#This Row],[Accr Int]]*Tradingbook_MSB[[#This Row],[Quantity_edited]])*(-Tradingbook_MSB[[#This Row],[Modified Duration]]*0.0001+0.5*Tradingbook_MSB[[#This Row],[Conv]]*(0.0001^2))</f>
        <v>0</v>
      </c>
      <c r="AQ561" s="72">
        <f>(Tradingbook_MSB[[#This Row],[MARKET_VALUE]]+Tradingbook_MSB[[#This Row],[Accr Int]]*Tradingbook_MSB[[#This Row],[Quantity_edited]])*(-Tradingbook_MSB[[#This Row],[Modified Duration]]*0.01+0.5*Tradingbook_MSB[[#This Row],[Conv]]*(0.01^2))</f>
        <v>0</v>
      </c>
    </row>
    <row r="562" spans="2:43" x14ac:dyDescent="0.3">
      <c r="B562" t="s">
        <v>166</v>
      </c>
      <c r="C562" t="s">
        <v>3303</v>
      </c>
      <c r="D562" t="s">
        <v>2786</v>
      </c>
      <c r="E562" t="s">
        <v>169</v>
      </c>
      <c r="F562" s="502">
        <v>50697</v>
      </c>
      <c r="G562" t="s">
        <v>170</v>
      </c>
      <c r="H562">
        <v>82446</v>
      </c>
      <c r="I562">
        <v>82446</v>
      </c>
      <c r="J562" s="38">
        <v>500000</v>
      </c>
      <c r="K562">
        <v>50000000000</v>
      </c>
      <c r="L562">
        <v>99019.964999999997</v>
      </c>
      <c r="M562" s="38">
        <v>41223000000</v>
      </c>
      <c r="N562">
        <v>2.6</v>
      </c>
      <c r="O562">
        <v>2158</v>
      </c>
      <c r="P562" s="37">
        <v>10400000000</v>
      </c>
      <c r="Q562" s="37">
        <v>11281656388.888893</v>
      </c>
      <c r="R562" s="37">
        <v>-10933518473.680559</v>
      </c>
      <c r="S562">
        <v>4.5043266329999998</v>
      </c>
      <c r="T562" s="70">
        <v>9.6925601503940992</v>
      </c>
      <c r="U562">
        <v>10.129144719999999</v>
      </c>
      <c r="V562">
        <v>115.6562787559466</v>
      </c>
      <c r="W562">
        <v>48924.919039340501</v>
      </c>
      <c r="X562" s="38">
        <v>-41001.467948197002</v>
      </c>
      <c r="Y562">
        <v>5106.4830000000002</v>
      </c>
      <c r="Z562" s="70">
        <v>-1550937555.5556035</v>
      </c>
      <c r="AA562" s="70">
        <v>-8286982444.4444456</v>
      </c>
      <c r="AB562" s="70">
        <v>-9837920000.0000496</v>
      </c>
      <c r="AC562" s="70">
        <v>-9837920000.0000496</v>
      </c>
      <c r="AD562" s="70">
        <v>-9837920000</v>
      </c>
      <c r="AE562" s="70">
        <v>-9837920000.0000496</v>
      </c>
      <c r="AF562">
        <v>2.6902221220000002</v>
      </c>
      <c r="AG562" s="72">
        <f>Tradingbook_MSB[[#This Row],[Mat. Date]]-RPT</f>
        <v>4445</v>
      </c>
      <c r="AH562" s="71">
        <f>IF(Tradingbook_MSB[[#This Row],[Days]]&lt;=0,0,YEARFRAC(RPT,Tradingbook_MSB[[#This Row],[Mat. Date]],3))</f>
        <v>12.178082191780822</v>
      </c>
      <c r="AI562" s="71" t="str">
        <f>IF(Tradingbook_MSB[[#This Row],[Days (year)]]=0,0,INDEX(Ref!$K$2:$K$13,MATCH(Tradingbook_MSB[[#This Row],[Days (year)]],Ref!$I$2:$I$13,1)))</f>
        <v>15Y</v>
      </c>
      <c r="AJ562" s="120" t="str">
        <f>VLOOKUP(Tradingbook_MSB[[#This Row],[Security Name]],Ref!X:Z,3,0)</f>
        <v>TPCP</v>
      </c>
      <c r="AK562" s="120" t="str">
        <f>VLOOKUP(Tradingbook_MSB[[#This Row],[Security Name]],Ref!X:Y,2,0)</f>
        <v>KBNN</v>
      </c>
      <c r="AL562" s="71">
        <f>IF((Tradingbook_MSB[[#This Row],[Mat. Date]]-RPT)&lt;=0,0,Tradingbook_MSB[[#This Row],[QUANTITY]])</f>
        <v>500000</v>
      </c>
      <c r="AM562" s="71">
        <f>IF(Tradingbook_MSB[[#This Row],[Quantity_edited]]=0,0,Tradingbook_MSB[[#This Row],[DURATION]])</f>
        <v>10.129144719999999</v>
      </c>
      <c r="AN562" s="71">
        <f>IF(Tradingbook_MSB[[#This Row],[Quantity_edited]]=0,0,Tradingbook_MSB[[#This Row],[Mod Dur]])</f>
        <v>9.6925601503940992</v>
      </c>
      <c r="AO562" s="71">
        <f>IF(Tradingbook_MSB[[#This Row],[Quantity_edited]]=0,0,Tradingbook_MSB[[#This Row],[Cnvx.]])</f>
        <v>115.6562787559466</v>
      </c>
      <c r="AP562" s="71">
        <f>(Tradingbook_MSB[[#This Row],[MARKET_VALUE]]+Tradingbook_MSB[[#This Row],[Accr Int]]*Tradingbook_MSB[[#This Row],[Quantity_edited]])*(-Tradingbook_MSB[[#This Row],[Modified Duration]]*0.0001+0.5*Tradingbook_MSB[[#This Row],[Conv]]*(0.0001^2))</f>
        <v>-40977005.48867745</v>
      </c>
      <c r="AQ562" s="72">
        <f>(Tradingbook_MSB[[#This Row],[MARKET_VALUE]]+Tradingbook_MSB[[#This Row],[Accr Int]]*Tradingbook_MSB[[#This Row],[Quantity_edited]])*(-Tradingbook_MSB[[#This Row],[Modified Duration]]*0.01+0.5*Tradingbook_MSB[[#This Row],[Conv]]*(0.01^2))</f>
        <v>-3855522199.6230092</v>
      </c>
    </row>
    <row r="563" spans="2:43" x14ac:dyDescent="0.3">
      <c r="B563" t="s">
        <v>166</v>
      </c>
      <c r="C563" t="s">
        <v>3303</v>
      </c>
      <c r="D563" t="s">
        <v>2800</v>
      </c>
      <c r="E563" t="s">
        <v>169</v>
      </c>
      <c r="F563" s="502">
        <v>50781</v>
      </c>
      <c r="G563" t="s">
        <v>3322</v>
      </c>
      <c r="H563">
        <v>79340</v>
      </c>
      <c r="I563">
        <v>79340</v>
      </c>
      <c r="J563" s="38">
        <v>0</v>
      </c>
      <c r="K563">
        <v>0</v>
      </c>
      <c r="L563">
        <v>0</v>
      </c>
      <c r="M563" s="38">
        <v>0</v>
      </c>
      <c r="N563">
        <v>2.2999999999999998</v>
      </c>
      <c r="O563">
        <v>1380</v>
      </c>
      <c r="P563" s="37">
        <v>3450000000</v>
      </c>
      <c r="Q563" s="37">
        <v>3727150000.0000019</v>
      </c>
      <c r="R563" s="37">
        <v>-8882691906.9444313</v>
      </c>
      <c r="S563">
        <v>4.5103035919999996</v>
      </c>
      <c r="T563" s="70">
        <v>10.0730458643232</v>
      </c>
      <c r="U563">
        <v>10.527370810000001</v>
      </c>
      <c r="V563">
        <v>122.80369470974399</v>
      </c>
      <c r="W563">
        <v>0</v>
      </c>
      <c r="X563" s="38">
        <v>0</v>
      </c>
      <c r="Y563">
        <v>0</v>
      </c>
      <c r="Z563" s="70">
        <v>-4390500000</v>
      </c>
      <c r="AA563" s="70">
        <v>0</v>
      </c>
      <c r="AB563" s="70">
        <v>-4390500000</v>
      </c>
      <c r="AC563" s="70">
        <v>-4390500000</v>
      </c>
      <c r="AD563" s="70">
        <v>-4390500000</v>
      </c>
      <c r="AE563" s="70">
        <v>-4390500000</v>
      </c>
      <c r="AF563">
        <v>0</v>
      </c>
      <c r="AG563" s="72">
        <f>Tradingbook_MSB[[#This Row],[Mat. Date]]-RPT</f>
        <v>4529</v>
      </c>
      <c r="AH563" s="71">
        <f>IF(Tradingbook_MSB[[#This Row],[Days]]&lt;=0,0,YEARFRAC(RPT,Tradingbook_MSB[[#This Row],[Mat. Date]],3))</f>
        <v>12.408219178082192</v>
      </c>
      <c r="AI563" s="71" t="str">
        <f>IF(Tradingbook_MSB[[#This Row],[Days (year)]]=0,0,INDEX(Ref!$K$2:$K$13,MATCH(Tradingbook_MSB[[#This Row],[Days (year)]],Ref!$I$2:$I$13,1)))</f>
        <v>15Y</v>
      </c>
      <c r="AJ563" s="120" t="str">
        <f>VLOOKUP(Tradingbook_MSB[[#This Row],[Security Name]],Ref!X:Z,3,0)</f>
        <v>TPCP</v>
      </c>
      <c r="AK563" s="120" t="str">
        <f>VLOOKUP(Tradingbook_MSB[[#This Row],[Security Name]],Ref!X:Y,2,0)</f>
        <v>KBNN</v>
      </c>
      <c r="AL563" s="71">
        <f>IF((Tradingbook_MSB[[#This Row],[Mat. Date]]-RPT)&lt;=0,0,Tradingbook_MSB[[#This Row],[QUANTITY]])</f>
        <v>0</v>
      </c>
      <c r="AM563" s="71">
        <f>IF(Tradingbook_MSB[[#This Row],[Quantity_edited]]=0,0,Tradingbook_MSB[[#This Row],[DURATION]])</f>
        <v>0</v>
      </c>
      <c r="AN563" s="71">
        <f>IF(Tradingbook_MSB[[#This Row],[Quantity_edited]]=0,0,Tradingbook_MSB[[#This Row],[Mod Dur]])</f>
        <v>0</v>
      </c>
      <c r="AO563" s="71">
        <f>IF(Tradingbook_MSB[[#This Row],[Quantity_edited]]=0,0,Tradingbook_MSB[[#This Row],[Cnvx.]])</f>
        <v>0</v>
      </c>
      <c r="AP563" s="71">
        <f>(Tradingbook_MSB[[#This Row],[MARKET_VALUE]]+Tradingbook_MSB[[#This Row],[Accr Int]]*Tradingbook_MSB[[#This Row],[Quantity_edited]])*(-Tradingbook_MSB[[#This Row],[Modified Duration]]*0.0001+0.5*Tradingbook_MSB[[#This Row],[Conv]]*(0.0001^2))</f>
        <v>0</v>
      </c>
      <c r="AQ563" s="72">
        <f>(Tradingbook_MSB[[#This Row],[MARKET_VALUE]]+Tradingbook_MSB[[#This Row],[Accr Int]]*Tradingbook_MSB[[#This Row],[Quantity_edited]])*(-Tradingbook_MSB[[#This Row],[Modified Duration]]*0.01+0.5*Tradingbook_MSB[[#This Row],[Conv]]*(0.01^2))</f>
        <v>0</v>
      </c>
    </row>
    <row r="564" spans="2:43" x14ac:dyDescent="0.3">
      <c r="B564" t="s">
        <v>166</v>
      </c>
      <c r="C564" t="s">
        <v>3303</v>
      </c>
      <c r="D564" t="s">
        <v>2835</v>
      </c>
      <c r="E564" t="s">
        <v>169</v>
      </c>
      <c r="F564" s="502">
        <v>50899</v>
      </c>
      <c r="G564" t="s">
        <v>170</v>
      </c>
      <c r="H564">
        <v>82677</v>
      </c>
      <c r="I564">
        <v>82677</v>
      </c>
      <c r="J564" s="38">
        <v>6000000</v>
      </c>
      <c r="K564">
        <v>600000000000</v>
      </c>
      <c r="L564">
        <v>97269.168000000005</v>
      </c>
      <c r="M564" s="38">
        <v>496062000000</v>
      </c>
      <c r="N564">
        <v>2.7</v>
      </c>
      <c r="O564">
        <v>747</v>
      </c>
      <c r="P564" s="37">
        <v>21600000000</v>
      </c>
      <c r="Q564" s="37">
        <v>22768102500</v>
      </c>
      <c r="R564" s="37">
        <v>-51119864201.555519</v>
      </c>
      <c r="S564">
        <v>4.5186916220000004</v>
      </c>
      <c r="T564" s="70">
        <v>10.1675929399412</v>
      </c>
      <c r="U564">
        <v>10.62703511</v>
      </c>
      <c r="V564">
        <v>125.7741433700055</v>
      </c>
      <c r="W564">
        <v>629554.92818996031</v>
      </c>
      <c r="X564" s="38">
        <v>-508932.76405299298</v>
      </c>
      <c r="Y564">
        <v>60611.644</v>
      </c>
      <c r="Z564" s="70">
        <v>-5967030643.9178791</v>
      </c>
      <c r="AA564" s="70">
        <v>-87553009356.081421</v>
      </c>
      <c r="AB564" s="70">
        <v>-93520039999.999298</v>
      </c>
      <c r="AC564" s="70">
        <v>-93520039999.999298</v>
      </c>
      <c r="AD564" s="70">
        <v>-93520039999.998993</v>
      </c>
      <c r="AE564" s="70">
        <v>-93520039999.999298</v>
      </c>
      <c r="AF564">
        <v>2.940262427</v>
      </c>
      <c r="AG564" s="72">
        <f>Tradingbook_MSB[[#This Row],[Mat. Date]]-RPT</f>
        <v>4647</v>
      </c>
      <c r="AH564" s="71">
        <f>IF(Tradingbook_MSB[[#This Row],[Days]]&lt;=0,0,YEARFRAC(RPT,Tradingbook_MSB[[#This Row],[Mat. Date]],3))</f>
        <v>12.731506849315069</v>
      </c>
      <c r="AI564" s="71" t="str">
        <f>IF(Tradingbook_MSB[[#This Row],[Days (year)]]=0,0,INDEX(Ref!$K$2:$K$13,MATCH(Tradingbook_MSB[[#This Row],[Days (year)]],Ref!$I$2:$I$13,1)))</f>
        <v>15Y</v>
      </c>
      <c r="AJ564" s="120" t="str">
        <f>VLOOKUP(Tradingbook_MSB[[#This Row],[Security Name]],Ref!X:Z,3,0)</f>
        <v>TPCP</v>
      </c>
      <c r="AK564" s="120" t="str">
        <f>VLOOKUP(Tradingbook_MSB[[#This Row],[Security Name]],Ref!X:Y,2,0)</f>
        <v>KBNN</v>
      </c>
      <c r="AL564" s="71">
        <f>IF((Tradingbook_MSB[[#This Row],[Mat. Date]]-RPT)&lt;=0,0,Tradingbook_MSB[[#This Row],[QUANTITY]])</f>
        <v>6000000</v>
      </c>
      <c r="AM564" s="71">
        <f>IF(Tradingbook_MSB[[#This Row],[Quantity_edited]]=0,0,Tradingbook_MSB[[#This Row],[DURATION]])</f>
        <v>10.62703511</v>
      </c>
      <c r="AN564" s="71">
        <f>IF(Tradingbook_MSB[[#This Row],[Quantity_edited]]=0,0,Tradingbook_MSB[[#This Row],[Mod Dur]])</f>
        <v>10.1675929399412</v>
      </c>
      <c r="AO564" s="71">
        <f>IF(Tradingbook_MSB[[#This Row],[Quantity_edited]]=0,0,Tradingbook_MSB[[#This Row],[Cnvx.]])</f>
        <v>125.7741433700055</v>
      </c>
      <c r="AP564" s="71">
        <f>(Tradingbook_MSB[[#This Row],[MARKET_VALUE]]+Tradingbook_MSB[[#This Row],[Accr Int]]*Tradingbook_MSB[[#This Row],[Quantity_edited]])*(-Tradingbook_MSB[[#This Row],[Modified Duration]]*0.0001+0.5*Tradingbook_MSB[[#This Row],[Conv]]*(0.0001^2))</f>
        <v>-508617986.58889776</v>
      </c>
      <c r="AQ564" s="72">
        <f>(Tradingbook_MSB[[#This Row],[MARKET_VALUE]]+Tradingbook_MSB[[#This Row],[Accr Int]]*Tradingbook_MSB[[#This Row],[Quantity_edited]])*(-Tradingbook_MSB[[#This Row],[Modified Duration]]*0.01+0.5*Tradingbook_MSB[[#This Row],[Conv]]*(0.01^2))</f>
        <v>-47745501764.34948</v>
      </c>
    </row>
    <row r="565" spans="2:43" x14ac:dyDescent="0.3">
      <c r="B565" t="s">
        <v>166</v>
      </c>
      <c r="C565" t="s">
        <v>3303</v>
      </c>
      <c r="D565" t="s">
        <v>2840</v>
      </c>
      <c r="E565" t="s">
        <v>169</v>
      </c>
      <c r="F565" s="502">
        <v>51004</v>
      </c>
      <c r="G565" t="s">
        <v>170</v>
      </c>
      <c r="H565">
        <v>84269</v>
      </c>
      <c r="I565">
        <v>84269</v>
      </c>
      <c r="J565" s="38">
        <v>1000000</v>
      </c>
      <c r="K565">
        <v>100000000000</v>
      </c>
      <c r="L565">
        <v>100044.433</v>
      </c>
      <c r="M565" s="38">
        <v>84269000000</v>
      </c>
      <c r="N565">
        <v>2.9</v>
      </c>
      <c r="O565">
        <v>2868</v>
      </c>
      <c r="P565" s="37">
        <v>2900000000</v>
      </c>
      <c r="Q565" s="37">
        <v>3058601805.5555558</v>
      </c>
      <c r="R565" s="37">
        <v>-22231128093.749985</v>
      </c>
      <c r="S565">
        <v>4.5261596429999997</v>
      </c>
      <c r="T565" s="70">
        <v>9.9982765652124996</v>
      </c>
      <c r="U565">
        <v>10.45081452</v>
      </c>
      <c r="V565">
        <v>125.61506209779949</v>
      </c>
      <c r="W565">
        <v>109457.1966601595</v>
      </c>
      <c r="X565" s="38">
        <v>-87121.982506291999</v>
      </c>
      <c r="Y565">
        <v>10568.612999999999</v>
      </c>
      <c r="Z565" s="70">
        <v>-13663066666.667103</v>
      </c>
      <c r="AA565" s="70">
        <v>-15775433333.333334</v>
      </c>
      <c r="AB565" s="70">
        <v>-29438500000.000435</v>
      </c>
      <c r="AC565" s="70">
        <v>-29438500000.000435</v>
      </c>
      <c r="AD565" s="70">
        <v>-29438500000</v>
      </c>
      <c r="AE565" s="70">
        <v>-29438500000.000435</v>
      </c>
      <c r="AF565">
        <v>2.8976370669999998</v>
      </c>
      <c r="AG565" s="72">
        <f>Tradingbook_MSB[[#This Row],[Mat. Date]]-RPT</f>
        <v>4752</v>
      </c>
      <c r="AH565" s="71">
        <f>IF(Tradingbook_MSB[[#This Row],[Days]]&lt;=0,0,YEARFRAC(RPT,Tradingbook_MSB[[#This Row],[Mat. Date]],3))</f>
        <v>13.019178082191781</v>
      </c>
      <c r="AI565" s="71" t="str">
        <f>IF(Tradingbook_MSB[[#This Row],[Days (year)]]=0,0,INDEX(Ref!$K$2:$K$13,MATCH(Tradingbook_MSB[[#This Row],[Days (year)]],Ref!$I$2:$I$13,1)))</f>
        <v>15Y</v>
      </c>
      <c r="AJ565" s="120" t="str">
        <f>VLOOKUP(Tradingbook_MSB[[#This Row],[Security Name]],Ref!X:Z,3,0)</f>
        <v>TPCP</v>
      </c>
      <c r="AK565" s="120" t="str">
        <f>VLOOKUP(Tradingbook_MSB[[#This Row],[Security Name]],Ref!X:Y,2,0)</f>
        <v>KBNN</v>
      </c>
      <c r="AL565" s="71">
        <f>IF((Tradingbook_MSB[[#This Row],[Mat. Date]]-RPT)&lt;=0,0,Tradingbook_MSB[[#This Row],[QUANTITY]])</f>
        <v>1000000</v>
      </c>
      <c r="AM565" s="71">
        <f>IF(Tradingbook_MSB[[#This Row],[Quantity_edited]]=0,0,Tradingbook_MSB[[#This Row],[DURATION]])</f>
        <v>10.45081452</v>
      </c>
      <c r="AN565" s="71">
        <f>IF(Tradingbook_MSB[[#This Row],[Quantity_edited]]=0,0,Tradingbook_MSB[[#This Row],[Mod Dur]])</f>
        <v>9.9982765652124996</v>
      </c>
      <c r="AO565" s="71">
        <f>IF(Tradingbook_MSB[[#This Row],[Quantity_edited]]=0,0,Tradingbook_MSB[[#This Row],[Cnvx.]])</f>
        <v>125.61506209779949</v>
      </c>
      <c r="AP565" s="71">
        <f>(Tradingbook_MSB[[#This Row],[MARKET_VALUE]]+Tradingbook_MSB[[#This Row],[Accr Int]]*Tradingbook_MSB[[#This Row],[Quantity_edited]])*(-Tradingbook_MSB[[#This Row],[Modified Duration]]*0.0001+0.5*Tradingbook_MSB[[#This Row],[Conv]]*(0.0001^2))</f>
        <v>-87067253.907962069</v>
      </c>
      <c r="AQ565" s="72">
        <f>(Tradingbook_MSB[[#This Row],[MARKET_VALUE]]+Tradingbook_MSB[[#This Row],[Accr Int]]*Tradingbook_MSB[[#This Row],[Quantity_edited]])*(-Tradingbook_MSB[[#This Row],[Modified Duration]]*0.01+0.5*Tradingbook_MSB[[#This Row],[Conv]]*(0.01^2))</f>
        <v>-8164912267.3284178</v>
      </c>
    </row>
    <row r="566" spans="2:43" x14ac:dyDescent="0.3">
      <c r="B566" t="s">
        <v>166</v>
      </c>
      <c r="C566" t="s">
        <v>3303</v>
      </c>
      <c r="D566" t="s">
        <v>712</v>
      </c>
      <c r="E566" t="s">
        <v>169</v>
      </c>
      <c r="F566" s="502">
        <v>51144</v>
      </c>
      <c r="G566" t="s">
        <v>3322</v>
      </c>
      <c r="H566">
        <v>90735</v>
      </c>
      <c r="I566">
        <v>90735</v>
      </c>
      <c r="J566" s="38">
        <v>0</v>
      </c>
      <c r="K566">
        <v>0</v>
      </c>
      <c r="L566">
        <v>0</v>
      </c>
      <c r="M566" s="38">
        <v>0</v>
      </c>
      <c r="N566">
        <v>3.6</v>
      </c>
      <c r="O566">
        <v>2180</v>
      </c>
      <c r="P566" s="37">
        <v>59400000000</v>
      </c>
      <c r="Q566" s="37">
        <v>68431280999.999573</v>
      </c>
      <c r="R566" s="37">
        <v>-67366578683.921486</v>
      </c>
      <c r="S566">
        <v>4.5361371769999996</v>
      </c>
      <c r="T566" s="70">
        <v>10.0112106148161</v>
      </c>
      <c r="U566">
        <v>10.46533286</v>
      </c>
      <c r="V566">
        <v>127.213464513856</v>
      </c>
      <c r="W566">
        <v>0</v>
      </c>
      <c r="X566" s="38">
        <v>0</v>
      </c>
      <c r="Y566">
        <v>0</v>
      </c>
      <c r="Z566" s="70">
        <v>-105572800000</v>
      </c>
      <c r="AA566" s="70">
        <v>0</v>
      </c>
      <c r="AB566" s="70">
        <v>-105572800000</v>
      </c>
      <c r="AC566" s="70">
        <v>-105572800000</v>
      </c>
      <c r="AD566" s="70">
        <v>-105572800000</v>
      </c>
      <c r="AE566" s="70">
        <v>-105572800000</v>
      </c>
      <c r="AF566">
        <v>0</v>
      </c>
      <c r="AG566" s="72">
        <f>Tradingbook_MSB[[#This Row],[Mat. Date]]-RPT</f>
        <v>4892</v>
      </c>
      <c r="AH566" s="71">
        <f>IF(Tradingbook_MSB[[#This Row],[Days]]&lt;=0,0,YEARFRAC(RPT,Tradingbook_MSB[[#This Row],[Mat. Date]],3))</f>
        <v>13.402739726027397</v>
      </c>
      <c r="AI566" s="71" t="str">
        <f>IF(Tradingbook_MSB[[#This Row],[Days (year)]]=0,0,INDEX(Ref!$K$2:$K$13,MATCH(Tradingbook_MSB[[#This Row],[Days (year)]],Ref!$I$2:$I$13,1)))</f>
        <v>15Y</v>
      </c>
      <c r="AJ566" s="120" t="str">
        <f>VLOOKUP(Tradingbook_MSB[[#This Row],[Security Name]],Ref!X:Z,3,0)</f>
        <v>TPCP</v>
      </c>
      <c r="AK566" s="120" t="str">
        <f>VLOOKUP(Tradingbook_MSB[[#This Row],[Security Name]],Ref!X:Y,2,0)</f>
        <v>KBNN</v>
      </c>
      <c r="AL566" s="71">
        <f>IF((Tradingbook_MSB[[#This Row],[Mat. Date]]-RPT)&lt;=0,0,Tradingbook_MSB[[#This Row],[QUANTITY]])</f>
        <v>0</v>
      </c>
      <c r="AM566" s="71">
        <f>IF(Tradingbook_MSB[[#This Row],[Quantity_edited]]=0,0,Tradingbook_MSB[[#This Row],[DURATION]])</f>
        <v>0</v>
      </c>
      <c r="AN566" s="71">
        <f>IF(Tradingbook_MSB[[#This Row],[Quantity_edited]]=0,0,Tradingbook_MSB[[#This Row],[Mod Dur]])</f>
        <v>0</v>
      </c>
      <c r="AO566" s="71">
        <f>IF(Tradingbook_MSB[[#This Row],[Quantity_edited]]=0,0,Tradingbook_MSB[[#This Row],[Cnvx.]])</f>
        <v>0</v>
      </c>
      <c r="AP566" s="71">
        <f>(Tradingbook_MSB[[#This Row],[MARKET_VALUE]]+Tradingbook_MSB[[#This Row],[Accr Int]]*Tradingbook_MSB[[#This Row],[Quantity_edited]])*(-Tradingbook_MSB[[#This Row],[Modified Duration]]*0.0001+0.5*Tradingbook_MSB[[#This Row],[Conv]]*(0.0001^2))</f>
        <v>0</v>
      </c>
      <c r="AQ566" s="72">
        <f>(Tradingbook_MSB[[#This Row],[MARKET_VALUE]]+Tradingbook_MSB[[#This Row],[Accr Int]]*Tradingbook_MSB[[#This Row],[Quantity_edited]])*(-Tradingbook_MSB[[#This Row],[Modified Duration]]*0.01+0.5*Tradingbook_MSB[[#This Row],[Conv]]*(0.01^2))</f>
        <v>0</v>
      </c>
    </row>
    <row r="567" spans="2:43" x14ac:dyDescent="0.3">
      <c r="B567" t="s">
        <v>166</v>
      </c>
      <c r="C567" t="s">
        <v>3303</v>
      </c>
      <c r="D567" t="s">
        <v>3621</v>
      </c>
      <c r="E567" t="s">
        <v>169</v>
      </c>
      <c r="F567" s="502">
        <v>51144</v>
      </c>
      <c r="G567" t="s">
        <v>3322</v>
      </c>
      <c r="H567">
        <v>83825</v>
      </c>
      <c r="I567">
        <v>83825</v>
      </c>
      <c r="J567" s="38">
        <v>0</v>
      </c>
      <c r="K567">
        <v>0</v>
      </c>
      <c r="L567">
        <v>0</v>
      </c>
      <c r="M567" s="38">
        <v>0</v>
      </c>
      <c r="N567">
        <v>2.9</v>
      </c>
      <c r="O567">
        <v>1756</v>
      </c>
      <c r="P567" s="37">
        <v>0</v>
      </c>
      <c r="Q567" s="37">
        <v>0</v>
      </c>
      <c r="R567" s="37">
        <v>-2661325514.6805553</v>
      </c>
      <c r="S567">
        <v>4.5361857890000001</v>
      </c>
      <c r="T567" s="70">
        <v>10.362622375108399</v>
      </c>
      <c r="U567">
        <v>10.83269018</v>
      </c>
      <c r="V567">
        <v>133.38669912761429</v>
      </c>
      <c r="W567">
        <v>0</v>
      </c>
      <c r="X567" s="38">
        <v>0</v>
      </c>
      <c r="Y567">
        <v>0</v>
      </c>
      <c r="Z567" s="70">
        <v>741950000</v>
      </c>
      <c r="AA567" s="70">
        <v>0</v>
      </c>
      <c r="AB567" s="70">
        <v>741950000</v>
      </c>
      <c r="AC567" s="70">
        <v>741950000</v>
      </c>
      <c r="AD567" s="70">
        <v>741950000</v>
      </c>
      <c r="AE567" s="70">
        <v>741950000</v>
      </c>
      <c r="AF567">
        <v>0</v>
      </c>
      <c r="AG567" s="72">
        <f>Tradingbook_MSB[[#This Row],[Mat. Date]]-RPT</f>
        <v>4892</v>
      </c>
      <c r="AH567" s="71">
        <f>IF(Tradingbook_MSB[[#This Row],[Days]]&lt;=0,0,YEARFRAC(RPT,Tradingbook_MSB[[#This Row],[Mat. Date]],3))</f>
        <v>13.402739726027397</v>
      </c>
      <c r="AI567" s="71" t="str">
        <f>IF(Tradingbook_MSB[[#This Row],[Days (year)]]=0,0,INDEX(Ref!$K$2:$K$13,MATCH(Tradingbook_MSB[[#This Row],[Days (year)]],Ref!$I$2:$I$13,1)))</f>
        <v>15Y</v>
      </c>
      <c r="AJ567" s="120" t="str">
        <f>VLOOKUP(Tradingbook_MSB[[#This Row],[Security Name]],Ref!X:Z,3,0)</f>
        <v>TPCP</v>
      </c>
      <c r="AK567" s="120" t="str">
        <f>VLOOKUP(Tradingbook_MSB[[#This Row],[Security Name]],Ref!X:Y,2,0)</f>
        <v>KBNN</v>
      </c>
      <c r="AL567" s="71">
        <f>IF((Tradingbook_MSB[[#This Row],[Mat. Date]]-RPT)&lt;=0,0,Tradingbook_MSB[[#This Row],[QUANTITY]])</f>
        <v>0</v>
      </c>
      <c r="AM567" s="71">
        <f>IF(Tradingbook_MSB[[#This Row],[Quantity_edited]]=0,0,Tradingbook_MSB[[#This Row],[DURATION]])</f>
        <v>0</v>
      </c>
      <c r="AN567" s="71">
        <f>IF(Tradingbook_MSB[[#This Row],[Quantity_edited]]=0,0,Tradingbook_MSB[[#This Row],[Mod Dur]])</f>
        <v>0</v>
      </c>
      <c r="AO567" s="71">
        <f>IF(Tradingbook_MSB[[#This Row],[Quantity_edited]]=0,0,Tradingbook_MSB[[#This Row],[Cnvx.]])</f>
        <v>0</v>
      </c>
      <c r="AP567" s="71">
        <f>(Tradingbook_MSB[[#This Row],[MARKET_VALUE]]+Tradingbook_MSB[[#This Row],[Accr Int]]*Tradingbook_MSB[[#This Row],[Quantity_edited]])*(-Tradingbook_MSB[[#This Row],[Modified Duration]]*0.0001+0.5*Tradingbook_MSB[[#This Row],[Conv]]*(0.0001^2))</f>
        <v>0</v>
      </c>
      <c r="AQ567" s="72">
        <f>(Tradingbook_MSB[[#This Row],[MARKET_VALUE]]+Tradingbook_MSB[[#This Row],[Accr Int]]*Tradingbook_MSB[[#This Row],[Quantity_edited]])*(-Tradingbook_MSB[[#This Row],[Modified Duration]]*0.01+0.5*Tradingbook_MSB[[#This Row],[Conv]]*(0.01^2))</f>
        <v>0</v>
      </c>
    </row>
    <row r="568" spans="2:43" x14ac:dyDescent="0.3">
      <c r="B568" t="s">
        <v>166</v>
      </c>
      <c r="C568" t="s">
        <v>3303</v>
      </c>
      <c r="D568" t="s">
        <v>713</v>
      </c>
      <c r="E568" t="s">
        <v>169</v>
      </c>
      <c r="F568" s="502">
        <v>51368</v>
      </c>
      <c r="G568" t="s">
        <v>3322</v>
      </c>
      <c r="H568">
        <v>87240</v>
      </c>
      <c r="I568">
        <v>87240</v>
      </c>
      <c r="J568" s="38">
        <v>0</v>
      </c>
      <c r="K568">
        <v>0</v>
      </c>
      <c r="L568">
        <v>0</v>
      </c>
      <c r="M568" s="38">
        <v>0</v>
      </c>
      <c r="N568">
        <v>3.3</v>
      </c>
      <c r="O568">
        <v>-18</v>
      </c>
      <c r="P568" s="37">
        <v>14520000000</v>
      </c>
      <c r="Q568" s="37">
        <v>16582279449.999865</v>
      </c>
      <c r="R568" s="37">
        <v>-7741025132.9385185</v>
      </c>
      <c r="S568">
        <v>4.5520935729999996</v>
      </c>
      <c r="T568" s="70">
        <v>10.734901679093401</v>
      </c>
      <c r="U568">
        <v>11.22356445</v>
      </c>
      <c r="V568">
        <v>142.41581795648381</v>
      </c>
      <c r="W568">
        <v>0</v>
      </c>
      <c r="X568" s="38">
        <v>0</v>
      </c>
      <c r="Y568">
        <v>0</v>
      </c>
      <c r="Z568" s="70">
        <v>-11983740000</v>
      </c>
      <c r="AA568" s="70">
        <v>0</v>
      </c>
      <c r="AB568" s="70">
        <v>-11983740000</v>
      </c>
      <c r="AC568" s="70">
        <v>-11983740000</v>
      </c>
      <c r="AD568" s="70">
        <v>-11983740000</v>
      </c>
      <c r="AE568" s="70">
        <v>-11983740000</v>
      </c>
      <c r="AF568">
        <v>0</v>
      </c>
      <c r="AG568" s="72">
        <f>Tradingbook_MSB[[#This Row],[Mat. Date]]-RPT</f>
        <v>5116</v>
      </c>
      <c r="AH568" s="71">
        <f>IF(Tradingbook_MSB[[#This Row],[Days]]&lt;=0,0,YEARFRAC(RPT,Tradingbook_MSB[[#This Row],[Mat. Date]],3))</f>
        <v>14.016438356164384</v>
      </c>
      <c r="AI568" s="71" t="str">
        <f>IF(Tradingbook_MSB[[#This Row],[Days (year)]]=0,0,INDEX(Ref!$K$2:$K$13,MATCH(Tradingbook_MSB[[#This Row],[Days (year)]],Ref!$I$2:$I$13,1)))</f>
        <v>15Y</v>
      </c>
      <c r="AJ568" s="120" t="str">
        <f>VLOOKUP(Tradingbook_MSB[[#This Row],[Security Name]],Ref!X:Z,3,0)</f>
        <v>TPCP</v>
      </c>
      <c r="AK568" s="120" t="str">
        <f>VLOOKUP(Tradingbook_MSB[[#This Row],[Security Name]],Ref!X:Y,2,0)</f>
        <v>KBNN</v>
      </c>
      <c r="AL568" s="71">
        <f>IF((Tradingbook_MSB[[#This Row],[Mat. Date]]-RPT)&lt;=0,0,Tradingbook_MSB[[#This Row],[QUANTITY]])</f>
        <v>0</v>
      </c>
      <c r="AM568" s="71">
        <f>IF(Tradingbook_MSB[[#This Row],[Quantity_edited]]=0,0,Tradingbook_MSB[[#This Row],[DURATION]])</f>
        <v>0</v>
      </c>
      <c r="AN568" s="71">
        <f>IF(Tradingbook_MSB[[#This Row],[Quantity_edited]]=0,0,Tradingbook_MSB[[#This Row],[Mod Dur]])</f>
        <v>0</v>
      </c>
      <c r="AO568" s="71">
        <f>IF(Tradingbook_MSB[[#This Row],[Quantity_edited]]=0,0,Tradingbook_MSB[[#This Row],[Cnvx.]])</f>
        <v>0</v>
      </c>
      <c r="AP568" s="71">
        <f>(Tradingbook_MSB[[#This Row],[MARKET_VALUE]]+Tradingbook_MSB[[#This Row],[Accr Int]]*Tradingbook_MSB[[#This Row],[Quantity_edited]])*(-Tradingbook_MSB[[#This Row],[Modified Duration]]*0.0001+0.5*Tradingbook_MSB[[#This Row],[Conv]]*(0.0001^2))</f>
        <v>0</v>
      </c>
      <c r="AQ568" s="72">
        <f>(Tradingbook_MSB[[#This Row],[MARKET_VALUE]]+Tradingbook_MSB[[#This Row],[Accr Int]]*Tradingbook_MSB[[#This Row],[Quantity_edited]])*(-Tradingbook_MSB[[#This Row],[Modified Duration]]*0.01+0.5*Tradingbook_MSB[[#This Row],[Conv]]*(0.01^2))</f>
        <v>0</v>
      </c>
    </row>
    <row r="569" spans="2:43" x14ac:dyDescent="0.3">
      <c r="B569" t="s">
        <v>166</v>
      </c>
      <c r="C569" t="s">
        <v>3303</v>
      </c>
      <c r="D569" t="s">
        <v>714</v>
      </c>
      <c r="E569" t="s">
        <v>169</v>
      </c>
      <c r="F569" s="502">
        <v>51515</v>
      </c>
      <c r="G569" t="s">
        <v>3322</v>
      </c>
      <c r="H569">
        <v>81666</v>
      </c>
      <c r="I569">
        <v>81666</v>
      </c>
      <c r="J569" s="38">
        <v>0</v>
      </c>
      <c r="K569">
        <v>0</v>
      </c>
      <c r="L569">
        <v>0</v>
      </c>
      <c r="M569" s="38">
        <v>0</v>
      </c>
      <c r="N569">
        <v>2.8</v>
      </c>
      <c r="O569">
        <v>1657</v>
      </c>
      <c r="P569" s="37">
        <v>0</v>
      </c>
      <c r="Q569" s="37">
        <v>-6.0000000000000002E-6</v>
      </c>
      <c r="R569" s="37">
        <v>-965085729.6832695</v>
      </c>
      <c r="S569">
        <v>4.5625832180000003</v>
      </c>
      <c r="T569" s="70">
        <v>11.017805410770601</v>
      </c>
      <c r="U569">
        <v>11.52050195</v>
      </c>
      <c r="V569">
        <v>151.13390137431171</v>
      </c>
      <c r="W569">
        <v>0</v>
      </c>
      <c r="X569" s="38">
        <v>0</v>
      </c>
      <c r="Y569">
        <v>0</v>
      </c>
      <c r="Z569" s="70">
        <v>-4485929999.9990234</v>
      </c>
      <c r="AA569" s="70">
        <v>0</v>
      </c>
      <c r="AB569" s="70">
        <v>-4485929999.9990234</v>
      </c>
      <c r="AC569" s="70">
        <v>-4485929999.9990234</v>
      </c>
      <c r="AD569" s="70">
        <v>-4485929999.9989996</v>
      </c>
      <c r="AE569" s="70">
        <v>-4485929999.9990234</v>
      </c>
      <c r="AF569">
        <v>0</v>
      </c>
      <c r="AG569" s="72">
        <f>Tradingbook_MSB[[#This Row],[Mat. Date]]-RPT</f>
        <v>5263</v>
      </c>
      <c r="AH569" s="71">
        <f>IF(Tradingbook_MSB[[#This Row],[Days]]&lt;=0,0,YEARFRAC(RPT,Tradingbook_MSB[[#This Row],[Mat. Date]],3))</f>
        <v>14.419178082191781</v>
      </c>
      <c r="AI569" s="71" t="str">
        <f>IF(Tradingbook_MSB[[#This Row],[Days (year)]]=0,0,INDEX(Ref!$K$2:$K$13,MATCH(Tradingbook_MSB[[#This Row],[Days (year)]],Ref!$I$2:$I$13,1)))</f>
        <v>15Y</v>
      </c>
      <c r="AJ569" s="120" t="str">
        <f>VLOOKUP(Tradingbook_MSB[[#This Row],[Security Name]],Ref!X:Z,3,0)</f>
        <v>TPCP</v>
      </c>
      <c r="AK569" s="120" t="str">
        <f>VLOOKUP(Tradingbook_MSB[[#This Row],[Security Name]],Ref!X:Y,2,0)</f>
        <v>KBNN</v>
      </c>
      <c r="AL569" s="71">
        <f>IF((Tradingbook_MSB[[#This Row],[Mat. Date]]-RPT)&lt;=0,0,Tradingbook_MSB[[#This Row],[QUANTITY]])</f>
        <v>0</v>
      </c>
      <c r="AM569" s="71">
        <f>IF(Tradingbook_MSB[[#This Row],[Quantity_edited]]=0,0,Tradingbook_MSB[[#This Row],[DURATION]])</f>
        <v>0</v>
      </c>
      <c r="AN569" s="71">
        <f>IF(Tradingbook_MSB[[#This Row],[Quantity_edited]]=0,0,Tradingbook_MSB[[#This Row],[Mod Dur]])</f>
        <v>0</v>
      </c>
      <c r="AO569" s="71">
        <f>IF(Tradingbook_MSB[[#This Row],[Quantity_edited]]=0,0,Tradingbook_MSB[[#This Row],[Cnvx.]])</f>
        <v>0</v>
      </c>
      <c r="AP569" s="71">
        <f>(Tradingbook_MSB[[#This Row],[MARKET_VALUE]]+Tradingbook_MSB[[#This Row],[Accr Int]]*Tradingbook_MSB[[#This Row],[Quantity_edited]])*(-Tradingbook_MSB[[#This Row],[Modified Duration]]*0.0001+0.5*Tradingbook_MSB[[#This Row],[Conv]]*(0.0001^2))</f>
        <v>0</v>
      </c>
      <c r="AQ569" s="72">
        <f>(Tradingbook_MSB[[#This Row],[MARKET_VALUE]]+Tradingbook_MSB[[#This Row],[Accr Int]]*Tradingbook_MSB[[#This Row],[Quantity_edited]])*(-Tradingbook_MSB[[#This Row],[Modified Duration]]*0.01+0.5*Tradingbook_MSB[[#This Row],[Conv]]*(0.01^2))</f>
        <v>0</v>
      </c>
    </row>
    <row r="570" spans="2:43" x14ac:dyDescent="0.3">
      <c r="B570" t="s">
        <v>166</v>
      </c>
      <c r="C570" t="s">
        <v>3303</v>
      </c>
      <c r="D570" t="s">
        <v>715</v>
      </c>
      <c r="E570" t="s">
        <v>169</v>
      </c>
      <c r="F570" s="502">
        <v>51830</v>
      </c>
      <c r="G570" t="s">
        <v>3322</v>
      </c>
      <c r="H570">
        <v>79629</v>
      </c>
      <c r="I570">
        <v>79629</v>
      </c>
      <c r="J570" s="38">
        <v>0</v>
      </c>
      <c r="K570">
        <v>0</v>
      </c>
      <c r="L570">
        <v>0</v>
      </c>
      <c r="M570" s="38">
        <v>0</v>
      </c>
      <c r="N570">
        <v>2.7</v>
      </c>
      <c r="O570">
        <v>1968</v>
      </c>
      <c r="P570" s="37">
        <v>0</v>
      </c>
      <c r="Q570" s="37">
        <v>-3.1000000000000001E-5</v>
      </c>
      <c r="R570" s="37">
        <v>-18078178767.02758</v>
      </c>
      <c r="S570">
        <v>4.5827418550000001</v>
      </c>
      <c r="T570" s="70">
        <v>11.519586653810601</v>
      </c>
      <c r="U570">
        <v>12.047499569999999</v>
      </c>
      <c r="V570">
        <v>166.33191274209079</v>
      </c>
      <c r="W570">
        <v>0</v>
      </c>
      <c r="X570" s="38">
        <v>0</v>
      </c>
      <c r="Y570">
        <v>0</v>
      </c>
      <c r="Z570" s="70">
        <v>-166010000</v>
      </c>
      <c r="AA570" s="70">
        <v>0</v>
      </c>
      <c r="AB570" s="70">
        <v>-166010000</v>
      </c>
      <c r="AC570" s="70">
        <v>-166010000</v>
      </c>
      <c r="AD570" s="70">
        <v>-166010000</v>
      </c>
      <c r="AE570" s="70">
        <v>-166010000</v>
      </c>
      <c r="AF570">
        <v>0</v>
      </c>
      <c r="AG570" s="72">
        <f>Tradingbook_MSB[[#This Row],[Mat. Date]]-RPT</f>
        <v>5578</v>
      </c>
      <c r="AH570" s="71">
        <f>IF(Tradingbook_MSB[[#This Row],[Days]]&lt;=0,0,YEARFRAC(RPT,Tradingbook_MSB[[#This Row],[Mat. Date]],3))</f>
        <v>15.282191780821918</v>
      </c>
      <c r="AI570" s="71" t="str">
        <f>IF(Tradingbook_MSB[[#This Row],[Days (year)]]=0,0,INDEX(Ref!$K$2:$K$13,MATCH(Tradingbook_MSB[[#This Row],[Days (year)]],Ref!$I$2:$I$13,1)))</f>
        <v>15Y</v>
      </c>
      <c r="AJ570" s="120" t="str">
        <f>VLOOKUP(Tradingbook_MSB[[#This Row],[Security Name]],Ref!X:Z,3,0)</f>
        <v>TPCP</v>
      </c>
      <c r="AK570" s="120" t="str">
        <f>VLOOKUP(Tradingbook_MSB[[#This Row],[Security Name]],Ref!X:Y,2,0)</f>
        <v>KBNN</v>
      </c>
      <c r="AL570" s="71">
        <f>IF((Tradingbook_MSB[[#This Row],[Mat. Date]]-RPT)&lt;=0,0,Tradingbook_MSB[[#This Row],[QUANTITY]])</f>
        <v>0</v>
      </c>
      <c r="AM570" s="71">
        <f>IF(Tradingbook_MSB[[#This Row],[Quantity_edited]]=0,0,Tradingbook_MSB[[#This Row],[DURATION]])</f>
        <v>0</v>
      </c>
      <c r="AN570" s="71">
        <f>IF(Tradingbook_MSB[[#This Row],[Quantity_edited]]=0,0,Tradingbook_MSB[[#This Row],[Mod Dur]])</f>
        <v>0</v>
      </c>
      <c r="AO570" s="71">
        <f>IF(Tradingbook_MSB[[#This Row],[Quantity_edited]]=0,0,Tradingbook_MSB[[#This Row],[Cnvx.]])</f>
        <v>0</v>
      </c>
      <c r="AP570" s="71">
        <f>(Tradingbook_MSB[[#This Row],[MARKET_VALUE]]+Tradingbook_MSB[[#This Row],[Accr Int]]*Tradingbook_MSB[[#This Row],[Quantity_edited]])*(-Tradingbook_MSB[[#This Row],[Modified Duration]]*0.0001+0.5*Tradingbook_MSB[[#This Row],[Conv]]*(0.0001^2))</f>
        <v>0</v>
      </c>
      <c r="AQ570" s="72">
        <f>(Tradingbook_MSB[[#This Row],[MARKET_VALUE]]+Tradingbook_MSB[[#This Row],[Accr Int]]*Tradingbook_MSB[[#This Row],[Quantity_edited]])*(-Tradingbook_MSB[[#This Row],[Modified Duration]]*0.01+0.5*Tradingbook_MSB[[#This Row],[Conv]]*(0.01^2))</f>
        <v>0</v>
      </c>
    </row>
    <row r="571" spans="2:43" x14ac:dyDescent="0.3">
      <c r="B571" t="s">
        <v>166</v>
      </c>
      <c r="C571" t="s">
        <v>3303</v>
      </c>
      <c r="D571" t="s">
        <v>716</v>
      </c>
      <c r="E571" t="s">
        <v>169</v>
      </c>
      <c r="F571" s="502">
        <v>51872</v>
      </c>
      <c r="G571" t="s">
        <v>3322</v>
      </c>
      <c r="H571">
        <v>79501</v>
      </c>
      <c r="I571">
        <v>79501</v>
      </c>
      <c r="J571" s="38">
        <v>0</v>
      </c>
      <c r="K571">
        <v>0</v>
      </c>
      <c r="L571">
        <v>0</v>
      </c>
      <c r="M571" s="38">
        <v>0</v>
      </c>
      <c r="N571">
        <v>2.7</v>
      </c>
      <c r="O571">
        <v>1657</v>
      </c>
      <c r="P571" s="37">
        <v>0</v>
      </c>
      <c r="Q571" s="37">
        <v>-1.9999999999999999E-6</v>
      </c>
      <c r="R571" s="37">
        <v>-1388223533.1248989</v>
      </c>
      <c r="S571">
        <v>4.5847935250000003</v>
      </c>
      <c r="T571" s="70">
        <v>11.628920760757801</v>
      </c>
      <c r="U571">
        <v>12.16208277</v>
      </c>
      <c r="V571">
        <v>168.96893468039039</v>
      </c>
      <c r="W571">
        <v>0</v>
      </c>
      <c r="X571" s="38">
        <v>0</v>
      </c>
      <c r="Y571">
        <v>0</v>
      </c>
      <c r="Z571" s="70">
        <v>-4807500000.0001221</v>
      </c>
      <c r="AA571" s="70">
        <v>0</v>
      </c>
      <c r="AB571" s="70">
        <v>-4807500000.0001221</v>
      </c>
      <c r="AC571" s="70">
        <v>-4807500000.0001221</v>
      </c>
      <c r="AD571" s="70">
        <v>-4807500000</v>
      </c>
      <c r="AE571" s="70">
        <v>-4807500000.0001221</v>
      </c>
      <c r="AF571">
        <v>0</v>
      </c>
      <c r="AG571" s="72">
        <f>Tradingbook_MSB[[#This Row],[Mat. Date]]-RPT</f>
        <v>5620</v>
      </c>
      <c r="AH571" s="71">
        <f>IF(Tradingbook_MSB[[#This Row],[Days]]&lt;=0,0,YEARFRAC(RPT,Tradingbook_MSB[[#This Row],[Mat. Date]],3))</f>
        <v>15.397260273972602</v>
      </c>
      <c r="AI571" s="71" t="str">
        <f>IF(Tradingbook_MSB[[#This Row],[Days (year)]]=0,0,INDEX(Ref!$K$2:$K$13,MATCH(Tradingbook_MSB[[#This Row],[Days (year)]],Ref!$I$2:$I$13,1)))</f>
        <v>15Y</v>
      </c>
      <c r="AJ571" s="120" t="str">
        <f>VLOOKUP(Tradingbook_MSB[[#This Row],[Security Name]],Ref!X:Z,3,0)</f>
        <v>TPCP</v>
      </c>
      <c r="AK571" s="120" t="str">
        <f>VLOOKUP(Tradingbook_MSB[[#This Row],[Security Name]],Ref!X:Y,2,0)</f>
        <v>KBNN</v>
      </c>
      <c r="AL571" s="71">
        <f>IF((Tradingbook_MSB[[#This Row],[Mat. Date]]-RPT)&lt;=0,0,Tradingbook_MSB[[#This Row],[QUANTITY]])</f>
        <v>0</v>
      </c>
      <c r="AM571" s="71">
        <f>IF(Tradingbook_MSB[[#This Row],[Quantity_edited]]=0,0,Tradingbook_MSB[[#This Row],[DURATION]])</f>
        <v>0</v>
      </c>
      <c r="AN571" s="71">
        <f>IF(Tradingbook_MSB[[#This Row],[Quantity_edited]]=0,0,Tradingbook_MSB[[#This Row],[Mod Dur]])</f>
        <v>0</v>
      </c>
      <c r="AO571" s="71">
        <f>IF(Tradingbook_MSB[[#This Row],[Quantity_edited]]=0,0,Tradingbook_MSB[[#This Row],[Cnvx.]])</f>
        <v>0</v>
      </c>
      <c r="AP571" s="71">
        <f>(Tradingbook_MSB[[#This Row],[MARKET_VALUE]]+Tradingbook_MSB[[#This Row],[Accr Int]]*Tradingbook_MSB[[#This Row],[Quantity_edited]])*(-Tradingbook_MSB[[#This Row],[Modified Duration]]*0.0001+0.5*Tradingbook_MSB[[#This Row],[Conv]]*(0.0001^2))</f>
        <v>0</v>
      </c>
      <c r="AQ571" s="72">
        <f>(Tradingbook_MSB[[#This Row],[MARKET_VALUE]]+Tradingbook_MSB[[#This Row],[Accr Int]]*Tradingbook_MSB[[#This Row],[Quantity_edited]])*(-Tradingbook_MSB[[#This Row],[Modified Duration]]*0.01+0.5*Tradingbook_MSB[[#This Row],[Conv]]*(0.01^2))</f>
        <v>0</v>
      </c>
    </row>
    <row r="572" spans="2:43" x14ac:dyDescent="0.3">
      <c r="B572" t="s">
        <v>166</v>
      </c>
      <c r="C572" t="s">
        <v>3303</v>
      </c>
      <c r="D572" t="s">
        <v>2498</v>
      </c>
      <c r="E572" t="s">
        <v>169</v>
      </c>
      <c r="F572" s="502">
        <v>52320</v>
      </c>
      <c r="G572" t="s">
        <v>3322</v>
      </c>
      <c r="H572">
        <v>89616</v>
      </c>
      <c r="I572">
        <v>89616</v>
      </c>
      <c r="J572" s="38">
        <v>0</v>
      </c>
      <c r="K572">
        <v>0</v>
      </c>
      <c r="L572">
        <v>0</v>
      </c>
      <c r="M572" s="38">
        <v>0</v>
      </c>
      <c r="N572">
        <v>3.7</v>
      </c>
      <c r="O572">
        <v>1429</v>
      </c>
      <c r="P572" s="37">
        <v>3710000000</v>
      </c>
      <c r="Q572" s="37">
        <v>4021070027.777781</v>
      </c>
      <c r="R572" s="37">
        <v>-3402609815.0388803</v>
      </c>
      <c r="S572">
        <v>4.6063254560000004</v>
      </c>
      <c r="T572" s="70">
        <v>11.7180954083719</v>
      </c>
      <c r="U572">
        <v>12.257869019999999</v>
      </c>
      <c r="V572">
        <v>177.51287295957289</v>
      </c>
      <c r="W572">
        <v>0</v>
      </c>
      <c r="X572" s="38">
        <v>0</v>
      </c>
      <c r="Y572">
        <v>0</v>
      </c>
      <c r="Z572" s="70">
        <v>-349940000</v>
      </c>
      <c r="AA572" s="70">
        <v>0</v>
      </c>
      <c r="AB572" s="70">
        <v>-349940000</v>
      </c>
      <c r="AC572" s="70">
        <v>-349940000</v>
      </c>
      <c r="AD572" s="70">
        <v>-349940000</v>
      </c>
      <c r="AE572" s="70">
        <v>-349940000</v>
      </c>
      <c r="AF572">
        <v>0</v>
      </c>
      <c r="AG572" s="72">
        <f>Tradingbook_MSB[[#This Row],[Mat. Date]]-RPT</f>
        <v>6068</v>
      </c>
      <c r="AH572" s="71">
        <f>IF(Tradingbook_MSB[[#This Row],[Days]]&lt;=0,0,YEARFRAC(RPT,Tradingbook_MSB[[#This Row],[Mat. Date]],3))</f>
        <v>16.624657534246577</v>
      </c>
      <c r="AI572" s="71" t="str">
        <f>IF(Tradingbook_MSB[[#This Row],[Days (year)]]=0,0,INDEX(Ref!$K$2:$K$13,MATCH(Tradingbook_MSB[[#This Row],[Days (year)]],Ref!$I$2:$I$13,1)))</f>
        <v>20Y</v>
      </c>
      <c r="AJ572" s="120" t="str">
        <f>VLOOKUP(Tradingbook_MSB[[#This Row],[Security Name]],Ref!X:Z,3,0)</f>
        <v>TPCP</v>
      </c>
      <c r="AK572" s="120" t="str">
        <f>VLOOKUP(Tradingbook_MSB[[#This Row],[Security Name]],Ref!X:Y,2,0)</f>
        <v>KBNN</v>
      </c>
      <c r="AL572" s="71">
        <f>IF((Tradingbook_MSB[[#This Row],[Mat. Date]]-RPT)&lt;=0,0,Tradingbook_MSB[[#This Row],[QUANTITY]])</f>
        <v>0</v>
      </c>
      <c r="AM572" s="71">
        <f>IF(Tradingbook_MSB[[#This Row],[Quantity_edited]]=0,0,Tradingbook_MSB[[#This Row],[DURATION]])</f>
        <v>0</v>
      </c>
      <c r="AN572" s="71">
        <f>IF(Tradingbook_MSB[[#This Row],[Quantity_edited]]=0,0,Tradingbook_MSB[[#This Row],[Mod Dur]])</f>
        <v>0</v>
      </c>
      <c r="AO572" s="71">
        <f>IF(Tradingbook_MSB[[#This Row],[Quantity_edited]]=0,0,Tradingbook_MSB[[#This Row],[Cnvx.]])</f>
        <v>0</v>
      </c>
      <c r="AP572" s="71">
        <f>(Tradingbook_MSB[[#This Row],[MARKET_VALUE]]+Tradingbook_MSB[[#This Row],[Accr Int]]*Tradingbook_MSB[[#This Row],[Quantity_edited]])*(-Tradingbook_MSB[[#This Row],[Modified Duration]]*0.0001+0.5*Tradingbook_MSB[[#This Row],[Conv]]*(0.0001^2))</f>
        <v>0</v>
      </c>
      <c r="AQ572" s="72">
        <f>(Tradingbook_MSB[[#This Row],[MARKET_VALUE]]+Tradingbook_MSB[[#This Row],[Accr Int]]*Tradingbook_MSB[[#This Row],[Quantity_edited]])*(-Tradingbook_MSB[[#This Row],[Modified Duration]]*0.01+0.5*Tradingbook_MSB[[#This Row],[Conv]]*(0.01^2))</f>
        <v>0</v>
      </c>
    </row>
    <row r="573" spans="2:43" x14ac:dyDescent="0.3">
      <c r="B573" t="s">
        <v>166</v>
      </c>
      <c r="C573" t="s">
        <v>3303</v>
      </c>
      <c r="D573" t="s">
        <v>717</v>
      </c>
      <c r="E573" t="s">
        <v>169</v>
      </c>
      <c r="F573" s="502">
        <v>53326</v>
      </c>
      <c r="G573" t="s">
        <v>3322</v>
      </c>
      <c r="H573">
        <v>142049</v>
      </c>
      <c r="I573">
        <v>142049</v>
      </c>
      <c r="J573" s="38">
        <v>0</v>
      </c>
      <c r="K573">
        <v>0</v>
      </c>
      <c r="L573">
        <v>0</v>
      </c>
      <c r="M573" s="38">
        <v>0</v>
      </c>
      <c r="N573">
        <v>8</v>
      </c>
      <c r="O573">
        <v>5063</v>
      </c>
      <c r="P573" s="37">
        <v>0</v>
      </c>
      <c r="Q573" s="37">
        <v>1.22E-4</v>
      </c>
      <c r="R573" s="37">
        <v>-155565584831.2576</v>
      </c>
      <c r="S573">
        <v>4.6547900689999997</v>
      </c>
      <c r="T573" s="70">
        <v>10.9604055434662</v>
      </c>
      <c r="U573">
        <v>11.470589410000001</v>
      </c>
      <c r="V573">
        <v>173.85481697186279</v>
      </c>
      <c r="W573">
        <v>0</v>
      </c>
      <c r="X573" s="38">
        <v>0</v>
      </c>
      <c r="Y573">
        <v>0</v>
      </c>
      <c r="Z573" s="70">
        <v>-98564650000.003906</v>
      </c>
      <c r="AA573" s="70">
        <v>0</v>
      </c>
      <c r="AB573" s="70">
        <v>-98564650000.003906</v>
      </c>
      <c r="AC573" s="70">
        <v>-98564650000.003906</v>
      </c>
      <c r="AD573" s="70">
        <v>-98564650000.003998</v>
      </c>
      <c r="AE573" s="70">
        <v>-98564650000.003906</v>
      </c>
      <c r="AF573">
        <v>0</v>
      </c>
      <c r="AG573" s="72">
        <f>Tradingbook_MSB[[#This Row],[Mat. Date]]-RPT</f>
        <v>7074</v>
      </c>
      <c r="AH573" s="71">
        <f>IF(Tradingbook_MSB[[#This Row],[Days]]&lt;=0,0,YEARFRAC(RPT,Tradingbook_MSB[[#This Row],[Mat. Date]],3))</f>
        <v>19.38082191780822</v>
      </c>
      <c r="AI573" s="71" t="str">
        <f>IF(Tradingbook_MSB[[#This Row],[Days (year)]]=0,0,INDEX(Ref!$K$2:$K$13,MATCH(Tradingbook_MSB[[#This Row],[Days (year)]],Ref!$I$2:$I$13,1)))</f>
        <v>20Y</v>
      </c>
      <c r="AJ573" s="120" t="str">
        <f>VLOOKUP(Tradingbook_MSB[[#This Row],[Security Name]],Ref!X:Z,3,0)</f>
        <v>TPCP</v>
      </c>
      <c r="AK573" s="120" t="str">
        <f>VLOOKUP(Tradingbook_MSB[[#This Row],[Security Name]],Ref!X:Y,2,0)</f>
        <v>KBNN</v>
      </c>
      <c r="AL573" s="71">
        <f>IF((Tradingbook_MSB[[#This Row],[Mat. Date]]-RPT)&lt;=0,0,Tradingbook_MSB[[#This Row],[QUANTITY]])</f>
        <v>0</v>
      </c>
      <c r="AM573" s="71">
        <f>IF(Tradingbook_MSB[[#This Row],[Quantity_edited]]=0,0,Tradingbook_MSB[[#This Row],[DURATION]])</f>
        <v>0</v>
      </c>
      <c r="AN573" s="71">
        <f>IF(Tradingbook_MSB[[#This Row],[Quantity_edited]]=0,0,Tradingbook_MSB[[#This Row],[Mod Dur]])</f>
        <v>0</v>
      </c>
      <c r="AO573" s="71">
        <f>IF(Tradingbook_MSB[[#This Row],[Quantity_edited]]=0,0,Tradingbook_MSB[[#This Row],[Cnvx.]])</f>
        <v>0</v>
      </c>
      <c r="AP573" s="71">
        <f>(Tradingbook_MSB[[#This Row],[MARKET_VALUE]]+Tradingbook_MSB[[#This Row],[Accr Int]]*Tradingbook_MSB[[#This Row],[Quantity_edited]])*(-Tradingbook_MSB[[#This Row],[Modified Duration]]*0.0001+0.5*Tradingbook_MSB[[#This Row],[Conv]]*(0.0001^2))</f>
        <v>0</v>
      </c>
      <c r="AQ573" s="72">
        <f>(Tradingbook_MSB[[#This Row],[MARKET_VALUE]]+Tradingbook_MSB[[#This Row],[Accr Int]]*Tradingbook_MSB[[#This Row],[Quantity_edited]])*(-Tradingbook_MSB[[#This Row],[Modified Duration]]*0.01+0.5*Tradingbook_MSB[[#This Row],[Conv]]*(0.01^2))</f>
        <v>0</v>
      </c>
    </row>
    <row r="574" spans="2:43" x14ac:dyDescent="0.3">
      <c r="B574" t="s">
        <v>166</v>
      </c>
      <c r="C574" t="s">
        <v>3303</v>
      </c>
      <c r="D574" t="s">
        <v>718</v>
      </c>
      <c r="E574" t="s">
        <v>169</v>
      </c>
      <c r="F574" s="502">
        <v>53355</v>
      </c>
      <c r="G574" t="s">
        <v>3322</v>
      </c>
      <c r="H574">
        <v>142132</v>
      </c>
      <c r="I574">
        <v>142132</v>
      </c>
      <c r="J574" s="38">
        <v>0</v>
      </c>
      <c r="K574">
        <v>0</v>
      </c>
      <c r="L574">
        <v>0</v>
      </c>
      <c r="M574" s="38">
        <v>0</v>
      </c>
      <c r="N574">
        <v>8</v>
      </c>
      <c r="O574">
        <v>4427</v>
      </c>
      <c r="P574" s="37">
        <v>0</v>
      </c>
      <c r="Q574" s="37">
        <v>-4.6E-5</v>
      </c>
      <c r="R574" s="37">
        <v>-31990443063.928997</v>
      </c>
      <c r="S574">
        <v>4.6561609600000002</v>
      </c>
      <c r="T574" s="70">
        <v>11.035586276161499</v>
      </c>
      <c r="U574">
        <v>11.549420939999999</v>
      </c>
      <c r="V574">
        <v>175.57971165533729</v>
      </c>
      <c r="W574">
        <v>0</v>
      </c>
      <c r="X574" s="38">
        <v>0</v>
      </c>
      <c r="Y574">
        <v>0</v>
      </c>
      <c r="Z574" s="70">
        <v>-35344830000</v>
      </c>
      <c r="AA574" s="70">
        <v>0</v>
      </c>
      <c r="AB574" s="70">
        <v>-35344830000</v>
      </c>
      <c r="AC574" s="70">
        <v>-35344830000</v>
      </c>
      <c r="AD574" s="70">
        <v>-35344830000</v>
      </c>
      <c r="AE574" s="70">
        <v>-35344830000</v>
      </c>
      <c r="AF574">
        <v>0</v>
      </c>
      <c r="AG574" s="72">
        <f>Tradingbook_MSB[[#This Row],[Mat. Date]]-RPT</f>
        <v>7103</v>
      </c>
      <c r="AH574" s="71">
        <f>IF(Tradingbook_MSB[[#This Row],[Days]]&lt;=0,0,YEARFRAC(RPT,Tradingbook_MSB[[#This Row],[Mat. Date]],3))</f>
        <v>19.460273972602739</v>
      </c>
      <c r="AI574" s="71" t="str">
        <f>IF(Tradingbook_MSB[[#This Row],[Days (year)]]=0,0,INDEX(Ref!$K$2:$K$13,MATCH(Tradingbook_MSB[[#This Row],[Days (year)]],Ref!$I$2:$I$13,1)))</f>
        <v>20Y</v>
      </c>
      <c r="AJ574" s="120" t="str">
        <f>VLOOKUP(Tradingbook_MSB[[#This Row],[Security Name]],Ref!X:Z,3,0)</f>
        <v>TPCP</v>
      </c>
      <c r="AK574" s="120" t="str">
        <f>VLOOKUP(Tradingbook_MSB[[#This Row],[Security Name]],Ref!X:Y,2,0)</f>
        <v>KBNN</v>
      </c>
      <c r="AL574" s="71">
        <f>IF((Tradingbook_MSB[[#This Row],[Mat. Date]]-RPT)&lt;=0,0,Tradingbook_MSB[[#This Row],[QUANTITY]])</f>
        <v>0</v>
      </c>
      <c r="AM574" s="71">
        <f>IF(Tradingbook_MSB[[#This Row],[Quantity_edited]]=0,0,Tradingbook_MSB[[#This Row],[DURATION]])</f>
        <v>0</v>
      </c>
      <c r="AN574" s="71">
        <f>IF(Tradingbook_MSB[[#This Row],[Quantity_edited]]=0,0,Tradingbook_MSB[[#This Row],[Mod Dur]])</f>
        <v>0</v>
      </c>
      <c r="AO574" s="71">
        <f>IF(Tradingbook_MSB[[#This Row],[Quantity_edited]]=0,0,Tradingbook_MSB[[#This Row],[Cnvx.]])</f>
        <v>0</v>
      </c>
      <c r="AP574" s="71">
        <f>(Tradingbook_MSB[[#This Row],[MARKET_VALUE]]+Tradingbook_MSB[[#This Row],[Accr Int]]*Tradingbook_MSB[[#This Row],[Quantity_edited]])*(-Tradingbook_MSB[[#This Row],[Modified Duration]]*0.0001+0.5*Tradingbook_MSB[[#This Row],[Conv]]*(0.0001^2))</f>
        <v>0</v>
      </c>
      <c r="AQ574" s="72">
        <f>(Tradingbook_MSB[[#This Row],[MARKET_VALUE]]+Tradingbook_MSB[[#This Row],[Accr Int]]*Tradingbook_MSB[[#This Row],[Quantity_edited]])*(-Tradingbook_MSB[[#This Row],[Modified Duration]]*0.01+0.5*Tradingbook_MSB[[#This Row],[Conv]]*(0.01^2))</f>
        <v>0</v>
      </c>
    </row>
    <row r="575" spans="2:43" x14ac:dyDescent="0.3">
      <c r="B575" t="s">
        <v>166</v>
      </c>
      <c r="C575" t="s">
        <v>3303</v>
      </c>
      <c r="D575" t="s">
        <v>719</v>
      </c>
      <c r="E575" t="s">
        <v>169</v>
      </c>
      <c r="F575" s="502">
        <v>53487</v>
      </c>
      <c r="G575" t="s">
        <v>3322</v>
      </c>
      <c r="H575">
        <v>142528</v>
      </c>
      <c r="I575">
        <v>142528</v>
      </c>
      <c r="J575" s="38">
        <v>0</v>
      </c>
      <c r="K575">
        <v>0</v>
      </c>
      <c r="L575">
        <v>0</v>
      </c>
      <c r="M575" s="38">
        <v>0</v>
      </c>
      <c r="N575">
        <v>8</v>
      </c>
      <c r="O575">
        <v>1534</v>
      </c>
      <c r="P575" s="37">
        <v>0</v>
      </c>
      <c r="Q575" s="37">
        <v>-1.37E-4</v>
      </c>
      <c r="R575" s="37">
        <v>-30194794134.825783</v>
      </c>
      <c r="S575">
        <v>4.6625396370000001</v>
      </c>
      <c r="T575" s="70">
        <v>11.377688241596401</v>
      </c>
      <c r="U575">
        <v>11.90817747</v>
      </c>
      <c r="V575">
        <v>183.57132121317071</v>
      </c>
      <c r="W575">
        <v>0</v>
      </c>
      <c r="X575" s="38">
        <v>0</v>
      </c>
      <c r="Y575">
        <v>0</v>
      </c>
      <c r="Z575" s="70">
        <v>-7210800000</v>
      </c>
      <c r="AA575" s="70">
        <v>0</v>
      </c>
      <c r="AB575" s="70">
        <v>-7210800000</v>
      </c>
      <c r="AC575" s="70">
        <v>-7210800000</v>
      </c>
      <c r="AD575" s="70">
        <v>-7210800000</v>
      </c>
      <c r="AE575" s="70">
        <v>-7210800000</v>
      </c>
      <c r="AF575">
        <v>0</v>
      </c>
      <c r="AG575" s="72">
        <f>Tradingbook_MSB[[#This Row],[Mat. Date]]-RPT</f>
        <v>7235</v>
      </c>
      <c r="AH575" s="71">
        <f>IF(Tradingbook_MSB[[#This Row],[Days]]&lt;=0,0,YEARFRAC(RPT,Tradingbook_MSB[[#This Row],[Mat. Date]],3))</f>
        <v>19.82191780821918</v>
      </c>
      <c r="AI575" s="71" t="str">
        <f>IF(Tradingbook_MSB[[#This Row],[Days (year)]]=0,0,INDEX(Ref!$K$2:$K$13,MATCH(Tradingbook_MSB[[#This Row],[Days (year)]],Ref!$I$2:$I$13,1)))</f>
        <v>20Y</v>
      </c>
      <c r="AJ575" s="120" t="str">
        <f>VLOOKUP(Tradingbook_MSB[[#This Row],[Security Name]],Ref!X:Z,3,0)</f>
        <v>TPCP</v>
      </c>
      <c r="AK575" s="120" t="str">
        <f>VLOOKUP(Tradingbook_MSB[[#This Row],[Security Name]],Ref!X:Y,2,0)</f>
        <v>KBNN</v>
      </c>
      <c r="AL575" s="71">
        <f>IF((Tradingbook_MSB[[#This Row],[Mat. Date]]-RPT)&lt;=0,0,Tradingbook_MSB[[#This Row],[QUANTITY]])</f>
        <v>0</v>
      </c>
      <c r="AM575" s="71">
        <f>IF(Tradingbook_MSB[[#This Row],[Quantity_edited]]=0,0,Tradingbook_MSB[[#This Row],[DURATION]])</f>
        <v>0</v>
      </c>
      <c r="AN575" s="71">
        <f>IF(Tradingbook_MSB[[#This Row],[Quantity_edited]]=0,0,Tradingbook_MSB[[#This Row],[Mod Dur]])</f>
        <v>0</v>
      </c>
      <c r="AO575" s="71">
        <f>IF(Tradingbook_MSB[[#This Row],[Quantity_edited]]=0,0,Tradingbook_MSB[[#This Row],[Cnvx.]])</f>
        <v>0</v>
      </c>
      <c r="AP575" s="71">
        <f>(Tradingbook_MSB[[#This Row],[MARKET_VALUE]]+Tradingbook_MSB[[#This Row],[Accr Int]]*Tradingbook_MSB[[#This Row],[Quantity_edited]])*(-Tradingbook_MSB[[#This Row],[Modified Duration]]*0.0001+0.5*Tradingbook_MSB[[#This Row],[Conv]]*(0.0001^2))</f>
        <v>0</v>
      </c>
      <c r="AQ575" s="72">
        <f>(Tradingbook_MSB[[#This Row],[MARKET_VALUE]]+Tradingbook_MSB[[#This Row],[Accr Int]]*Tradingbook_MSB[[#This Row],[Quantity_edited]])*(-Tradingbook_MSB[[#This Row],[Modified Duration]]*0.01+0.5*Tradingbook_MSB[[#This Row],[Conv]]*(0.01^2))</f>
        <v>0</v>
      </c>
    </row>
    <row r="576" spans="2:43" x14ac:dyDescent="0.3">
      <c r="B576" t="s">
        <v>166</v>
      </c>
      <c r="C576" t="s">
        <v>3303</v>
      </c>
      <c r="D576" t="s">
        <v>1193</v>
      </c>
      <c r="E576" t="s">
        <v>169</v>
      </c>
      <c r="F576" s="502">
        <v>53585</v>
      </c>
      <c r="G576" t="s">
        <v>3322</v>
      </c>
      <c r="H576">
        <v>141546</v>
      </c>
      <c r="I576">
        <v>141546</v>
      </c>
      <c r="J576" s="38">
        <v>0</v>
      </c>
      <c r="K576">
        <v>0</v>
      </c>
      <c r="L576">
        <v>0</v>
      </c>
      <c r="M576" s="38">
        <v>0</v>
      </c>
      <c r="N576">
        <v>7.9</v>
      </c>
      <c r="O576">
        <v>7294</v>
      </c>
      <c r="P576" s="37">
        <v>0</v>
      </c>
      <c r="Q576" s="37">
        <v>3.9999999999999998E-6</v>
      </c>
      <c r="R576" s="37">
        <v>-51489220657.824997</v>
      </c>
      <c r="S576">
        <v>4.6664498270000001</v>
      </c>
      <c r="T576" s="70">
        <v>11.0461064649847</v>
      </c>
      <c r="U576">
        <v>11.561567480000001</v>
      </c>
      <c r="V576">
        <v>180.29947343378311</v>
      </c>
      <c r="W576">
        <v>0</v>
      </c>
      <c r="X576" s="38">
        <v>0</v>
      </c>
      <c r="Y576">
        <v>0</v>
      </c>
      <c r="Z576" s="70">
        <v>-6585250000.0009766</v>
      </c>
      <c r="AA576" s="70">
        <v>0</v>
      </c>
      <c r="AB576" s="70">
        <v>-6585250000.0009766</v>
      </c>
      <c r="AC576" s="70">
        <v>-6585250000.0009766</v>
      </c>
      <c r="AD576" s="70">
        <v>-6585250000.0010004</v>
      </c>
      <c r="AE576" s="70">
        <v>-6585250000.0009766</v>
      </c>
      <c r="AF576">
        <v>0</v>
      </c>
      <c r="AG576" s="72">
        <f>Tradingbook_MSB[[#This Row],[Mat. Date]]-RPT</f>
        <v>7333</v>
      </c>
      <c r="AH576" s="71">
        <f>IF(Tradingbook_MSB[[#This Row],[Days]]&lt;=0,0,YEARFRAC(RPT,Tradingbook_MSB[[#This Row],[Mat. Date]],3))</f>
        <v>20.090410958904108</v>
      </c>
      <c r="AI576" s="71" t="str">
        <f>IF(Tradingbook_MSB[[#This Row],[Days (year)]]=0,0,INDEX(Ref!$K$2:$K$13,MATCH(Tradingbook_MSB[[#This Row],[Days (year)]],Ref!$I$2:$I$13,1)))</f>
        <v>20Y</v>
      </c>
      <c r="AJ576" s="120" t="str">
        <f>VLOOKUP(Tradingbook_MSB[[#This Row],[Security Name]],Ref!X:Z,3,0)</f>
        <v>TPCP</v>
      </c>
      <c r="AK576" s="120" t="str">
        <f>VLOOKUP(Tradingbook_MSB[[#This Row],[Security Name]],Ref!X:Y,2,0)</f>
        <v>KBNN</v>
      </c>
      <c r="AL576" s="71">
        <f>IF((Tradingbook_MSB[[#This Row],[Mat. Date]]-RPT)&lt;=0,0,Tradingbook_MSB[[#This Row],[QUANTITY]])</f>
        <v>0</v>
      </c>
      <c r="AM576" s="71">
        <f>IF(Tradingbook_MSB[[#This Row],[Quantity_edited]]=0,0,Tradingbook_MSB[[#This Row],[DURATION]])</f>
        <v>0</v>
      </c>
      <c r="AN576" s="71">
        <f>IF(Tradingbook_MSB[[#This Row],[Quantity_edited]]=0,0,Tradingbook_MSB[[#This Row],[Mod Dur]])</f>
        <v>0</v>
      </c>
      <c r="AO576" s="71">
        <f>IF(Tradingbook_MSB[[#This Row],[Quantity_edited]]=0,0,Tradingbook_MSB[[#This Row],[Cnvx.]])</f>
        <v>0</v>
      </c>
      <c r="AP576" s="71">
        <f>(Tradingbook_MSB[[#This Row],[MARKET_VALUE]]+Tradingbook_MSB[[#This Row],[Accr Int]]*Tradingbook_MSB[[#This Row],[Quantity_edited]])*(-Tradingbook_MSB[[#This Row],[Modified Duration]]*0.0001+0.5*Tradingbook_MSB[[#This Row],[Conv]]*(0.0001^2))</f>
        <v>0</v>
      </c>
      <c r="AQ576" s="72">
        <f>(Tradingbook_MSB[[#This Row],[MARKET_VALUE]]+Tradingbook_MSB[[#This Row],[Accr Int]]*Tradingbook_MSB[[#This Row],[Quantity_edited]])*(-Tradingbook_MSB[[#This Row],[Modified Duration]]*0.01+0.5*Tradingbook_MSB[[#This Row],[Conv]]*(0.01^2))</f>
        <v>0</v>
      </c>
    </row>
    <row r="577" spans="2:43" x14ac:dyDescent="0.3">
      <c r="B577" t="s">
        <v>166</v>
      </c>
      <c r="C577" t="s">
        <v>3303</v>
      </c>
      <c r="D577" t="s">
        <v>720</v>
      </c>
      <c r="E577" t="s">
        <v>169</v>
      </c>
      <c r="F577" s="502">
        <v>53613</v>
      </c>
      <c r="G577" t="s">
        <v>3322</v>
      </c>
      <c r="H577">
        <v>141623</v>
      </c>
      <c r="I577">
        <v>141623</v>
      </c>
      <c r="J577" s="38">
        <v>0</v>
      </c>
      <c r="K577">
        <v>0</v>
      </c>
      <c r="L577">
        <v>0</v>
      </c>
      <c r="M577" s="38">
        <v>0</v>
      </c>
      <c r="N577">
        <v>7.9</v>
      </c>
      <c r="O577">
        <v>6688</v>
      </c>
      <c r="P577" s="37">
        <v>0</v>
      </c>
      <c r="Q577" s="37">
        <v>7.6000000000000004E-5</v>
      </c>
      <c r="R577" s="37">
        <v>-103300410827.67174</v>
      </c>
      <c r="S577">
        <v>4.6670052020000004</v>
      </c>
      <c r="T577" s="70">
        <v>11.119074574833</v>
      </c>
      <c r="U577">
        <v>11.63800236</v>
      </c>
      <c r="V577">
        <v>181.98620370713749</v>
      </c>
      <c r="W577">
        <v>0</v>
      </c>
      <c r="X577" s="38">
        <v>0</v>
      </c>
      <c r="Y577">
        <v>0</v>
      </c>
      <c r="Z577" s="70">
        <v>-26902140000</v>
      </c>
      <c r="AA577" s="70">
        <v>0</v>
      </c>
      <c r="AB577" s="70">
        <v>-26902140000</v>
      </c>
      <c r="AC577" s="70">
        <v>-26902140000</v>
      </c>
      <c r="AD577" s="70">
        <v>-26902140000</v>
      </c>
      <c r="AE577" s="70">
        <v>-26902140000</v>
      </c>
      <c r="AF577">
        <v>0</v>
      </c>
      <c r="AG577" s="72">
        <f>Tradingbook_MSB[[#This Row],[Mat. Date]]-RPT</f>
        <v>7361</v>
      </c>
      <c r="AH577" s="71">
        <f>IF(Tradingbook_MSB[[#This Row],[Days]]&lt;=0,0,YEARFRAC(RPT,Tradingbook_MSB[[#This Row],[Mat. Date]],3))</f>
        <v>20.167123287671235</v>
      </c>
      <c r="AI577" s="71" t="str">
        <f>IF(Tradingbook_MSB[[#This Row],[Days (year)]]=0,0,INDEX(Ref!$K$2:$K$13,MATCH(Tradingbook_MSB[[#This Row],[Days (year)]],Ref!$I$2:$I$13,1)))</f>
        <v>20Y</v>
      </c>
      <c r="AJ577" s="120" t="str">
        <f>VLOOKUP(Tradingbook_MSB[[#This Row],[Security Name]],Ref!X:Z,3,0)</f>
        <v>TPCP</v>
      </c>
      <c r="AK577" s="120" t="str">
        <f>VLOOKUP(Tradingbook_MSB[[#This Row],[Security Name]],Ref!X:Y,2,0)</f>
        <v>KBNN</v>
      </c>
      <c r="AL577" s="71">
        <f>IF((Tradingbook_MSB[[#This Row],[Mat. Date]]-RPT)&lt;=0,0,Tradingbook_MSB[[#This Row],[QUANTITY]])</f>
        <v>0</v>
      </c>
      <c r="AM577" s="71">
        <f>IF(Tradingbook_MSB[[#This Row],[Quantity_edited]]=0,0,Tradingbook_MSB[[#This Row],[DURATION]])</f>
        <v>0</v>
      </c>
      <c r="AN577" s="71">
        <f>IF(Tradingbook_MSB[[#This Row],[Quantity_edited]]=0,0,Tradingbook_MSB[[#This Row],[Mod Dur]])</f>
        <v>0</v>
      </c>
      <c r="AO577" s="71">
        <f>IF(Tradingbook_MSB[[#This Row],[Quantity_edited]]=0,0,Tradingbook_MSB[[#This Row],[Cnvx.]])</f>
        <v>0</v>
      </c>
      <c r="AP577" s="71">
        <f>(Tradingbook_MSB[[#This Row],[MARKET_VALUE]]+Tradingbook_MSB[[#This Row],[Accr Int]]*Tradingbook_MSB[[#This Row],[Quantity_edited]])*(-Tradingbook_MSB[[#This Row],[Modified Duration]]*0.0001+0.5*Tradingbook_MSB[[#This Row],[Conv]]*(0.0001^2))</f>
        <v>0</v>
      </c>
      <c r="AQ577" s="72">
        <f>(Tradingbook_MSB[[#This Row],[MARKET_VALUE]]+Tradingbook_MSB[[#This Row],[Accr Int]]*Tradingbook_MSB[[#This Row],[Quantity_edited]])*(-Tradingbook_MSB[[#This Row],[Modified Duration]]*0.01+0.5*Tradingbook_MSB[[#This Row],[Conv]]*(0.01^2))</f>
        <v>0</v>
      </c>
    </row>
    <row r="578" spans="2:43" x14ac:dyDescent="0.3">
      <c r="B578" t="s">
        <v>166</v>
      </c>
      <c r="C578" t="s">
        <v>3303</v>
      </c>
      <c r="D578" t="s">
        <v>721</v>
      </c>
      <c r="E578" t="s">
        <v>169</v>
      </c>
      <c r="F578" s="502">
        <v>53704</v>
      </c>
      <c r="G578" t="s">
        <v>3322</v>
      </c>
      <c r="H578">
        <v>141888</v>
      </c>
      <c r="I578">
        <v>141888</v>
      </c>
      <c r="J578" s="38">
        <v>0</v>
      </c>
      <c r="K578">
        <v>0</v>
      </c>
      <c r="L578">
        <v>0</v>
      </c>
      <c r="M578" s="38">
        <v>0</v>
      </c>
      <c r="N578">
        <v>7.9</v>
      </c>
      <c r="O578">
        <v>4718</v>
      </c>
      <c r="P578" s="37">
        <v>3397000000</v>
      </c>
      <c r="Q578" s="37">
        <v>3972498036.9444289</v>
      </c>
      <c r="R578" s="37">
        <v>-33562538502.555683</v>
      </c>
      <c r="S578">
        <v>4.6686827009999998</v>
      </c>
      <c r="T578" s="70">
        <v>11.3562902529704</v>
      </c>
      <c r="U578">
        <v>11.88647941</v>
      </c>
      <c r="V578">
        <v>187.54333196556561</v>
      </c>
      <c r="W578">
        <v>0</v>
      </c>
      <c r="X578" s="38">
        <v>0</v>
      </c>
      <c r="Y578">
        <v>0</v>
      </c>
      <c r="Z578" s="70">
        <v>-7104990000</v>
      </c>
      <c r="AA578" s="70">
        <v>0</v>
      </c>
      <c r="AB578" s="70">
        <v>-7104990000</v>
      </c>
      <c r="AC578" s="70">
        <v>-7104990000</v>
      </c>
      <c r="AD578" s="70">
        <v>-7104990000</v>
      </c>
      <c r="AE578" s="70">
        <v>-7104990000</v>
      </c>
      <c r="AF578">
        <v>0</v>
      </c>
      <c r="AG578" s="72">
        <f>Tradingbook_MSB[[#This Row],[Mat. Date]]-RPT</f>
        <v>7452</v>
      </c>
      <c r="AH578" s="71">
        <f>IF(Tradingbook_MSB[[#This Row],[Days]]&lt;=0,0,YEARFRAC(RPT,Tradingbook_MSB[[#This Row],[Mat. Date]],3))</f>
        <v>20.416438356164385</v>
      </c>
      <c r="AI578" s="71" t="str">
        <f>IF(Tradingbook_MSB[[#This Row],[Days (year)]]=0,0,INDEX(Ref!$K$2:$K$13,MATCH(Tradingbook_MSB[[#This Row],[Days (year)]],Ref!$I$2:$I$13,1)))</f>
        <v>20Y</v>
      </c>
      <c r="AJ578" s="120" t="str">
        <f>VLOOKUP(Tradingbook_MSB[[#This Row],[Security Name]],Ref!X:Z,3,0)</f>
        <v>TPCP</v>
      </c>
      <c r="AK578" s="120" t="str">
        <f>VLOOKUP(Tradingbook_MSB[[#This Row],[Security Name]],Ref!X:Y,2,0)</f>
        <v>KBNN</v>
      </c>
      <c r="AL578" s="71">
        <f>IF((Tradingbook_MSB[[#This Row],[Mat. Date]]-RPT)&lt;=0,0,Tradingbook_MSB[[#This Row],[QUANTITY]])</f>
        <v>0</v>
      </c>
      <c r="AM578" s="71">
        <f>IF(Tradingbook_MSB[[#This Row],[Quantity_edited]]=0,0,Tradingbook_MSB[[#This Row],[DURATION]])</f>
        <v>0</v>
      </c>
      <c r="AN578" s="71">
        <f>IF(Tradingbook_MSB[[#This Row],[Quantity_edited]]=0,0,Tradingbook_MSB[[#This Row],[Mod Dur]])</f>
        <v>0</v>
      </c>
      <c r="AO578" s="71">
        <f>IF(Tradingbook_MSB[[#This Row],[Quantity_edited]]=0,0,Tradingbook_MSB[[#This Row],[Cnvx.]])</f>
        <v>0</v>
      </c>
      <c r="AP578" s="71">
        <f>(Tradingbook_MSB[[#This Row],[MARKET_VALUE]]+Tradingbook_MSB[[#This Row],[Accr Int]]*Tradingbook_MSB[[#This Row],[Quantity_edited]])*(-Tradingbook_MSB[[#This Row],[Modified Duration]]*0.0001+0.5*Tradingbook_MSB[[#This Row],[Conv]]*(0.0001^2))</f>
        <v>0</v>
      </c>
      <c r="AQ578" s="72">
        <f>(Tradingbook_MSB[[#This Row],[MARKET_VALUE]]+Tradingbook_MSB[[#This Row],[Accr Int]]*Tradingbook_MSB[[#This Row],[Quantity_edited]])*(-Tradingbook_MSB[[#This Row],[Modified Duration]]*0.01+0.5*Tradingbook_MSB[[#This Row],[Conv]]*(0.01^2))</f>
        <v>0</v>
      </c>
    </row>
    <row r="579" spans="2:43" x14ac:dyDescent="0.3">
      <c r="B579" t="s">
        <v>166</v>
      </c>
      <c r="C579" t="s">
        <v>3303</v>
      </c>
      <c r="D579" t="s">
        <v>722</v>
      </c>
      <c r="E579" t="s">
        <v>169</v>
      </c>
      <c r="F579" s="502">
        <v>53767</v>
      </c>
      <c r="G579" t="s">
        <v>3322</v>
      </c>
      <c r="H579">
        <v>142082</v>
      </c>
      <c r="I579">
        <v>142082</v>
      </c>
      <c r="J579" s="38">
        <v>0</v>
      </c>
      <c r="K579">
        <v>0</v>
      </c>
      <c r="L579">
        <v>0</v>
      </c>
      <c r="M579" s="38">
        <v>0</v>
      </c>
      <c r="N579">
        <v>7.9</v>
      </c>
      <c r="O579">
        <v>3355</v>
      </c>
      <c r="P579" s="37">
        <v>49691000000</v>
      </c>
      <c r="Q579" s="37">
        <v>60144397644.166702</v>
      </c>
      <c r="R579" s="37">
        <v>-25719439947.691742</v>
      </c>
      <c r="S579">
        <v>4.669810129</v>
      </c>
      <c r="T579" s="70">
        <v>11.520531958846799</v>
      </c>
      <c r="U579">
        <v>12.05851893</v>
      </c>
      <c r="V579">
        <v>191.45688893852449</v>
      </c>
      <c r="W579">
        <v>0</v>
      </c>
      <c r="X579" s="38">
        <v>0</v>
      </c>
      <c r="Y579">
        <v>0</v>
      </c>
      <c r="Z579" s="70">
        <v>29212680000</v>
      </c>
      <c r="AA579" s="70">
        <v>0</v>
      </c>
      <c r="AB579" s="70">
        <v>29212680000</v>
      </c>
      <c r="AC579" s="70">
        <v>29212680000</v>
      </c>
      <c r="AD579" s="70">
        <v>29212680000</v>
      </c>
      <c r="AE579" s="70">
        <v>29212680000</v>
      </c>
      <c r="AF579">
        <v>0</v>
      </c>
      <c r="AG579" s="72">
        <f>Tradingbook_MSB[[#This Row],[Mat. Date]]-RPT</f>
        <v>7515</v>
      </c>
      <c r="AH579" s="71">
        <f>IF(Tradingbook_MSB[[#This Row],[Days]]&lt;=0,0,YEARFRAC(RPT,Tradingbook_MSB[[#This Row],[Mat. Date]],3))</f>
        <v>20.589041095890412</v>
      </c>
      <c r="AI579" s="71" t="str">
        <f>IF(Tradingbook_MSB[[#This Row],[Days (year)]]=0,0,INDEX(Ref!$K$2:$K$13,MATCH(Tradingbook_MSB[[#This Row],[Days (year)]],Ref!$I$2:$I$13,1)))</f>
        <v>30Y</v>
      </c>
      <c r="AJ579" s="120" t="str">
        <f>VLOOKUP(Tradingbook_MSB[[#This Row],[Security Name]],Ref!X:Z,3,0)</f>
        <v>TPCP</v>
      </c>
      <c r="AK579" s="120" t="str">
        <f>VLOOKUP(Tradingbook_MSB[[#This Row],[Security Name]],Ref!X:Y,2,0)</f>
        <v>KBNN</v>
      </c>
      <c r="AL579" s="71">
        <f>IF((Tradingbook_MSB[[#This Row],[Mat. Date]]-RPT)&lt;=0,0,Tradingbook_MSB[[#This Row],[QUANTITY]])</f>
        <v>0</v>
      </c>
      <c r="AM579" s="71">
        <f>IF(Tradingbook_MSB[[#This Row],[Quantity_edited]]=0,0,Tradingbook_MSB[[#This Row],[DURATION]])</f>
        <v>0</v>
      </c>
      <c r="AN579" s="71">
        <f>IF(Tradingbook_MSB[[#This Row],[Quantity_edited]]=0,0,Tradingbook_MSB[[#This Row],[Mod Dur]])</f>
        <v>0</v>
      </c>
      <c r="AO579" s="71">
        <f>IF(Tradingbook_MSB[[#This Row],[Quantity_edited]]=0,0,Tradingbook_MSB[[#This Row],[Cnvx.]])</f>
        <v>0</v>
      </c>
      <c r="AP579" s="71">
        <f>(Tradingbook_MSB[[#This Row],[MARKET_VALUE]]+Tradingbook_MSB[[#This Row],[Accr Int]]*Tradingbook_MSB[[#This Row],[Quantity_edited]])*(-Tradingbook_MSB[[#This Row],[Modified Duration]]*0.0001+0.5*Tradingbook_MSB[[#This Row],[Conv]]*(0.0001^2))</f>
        <v>0</v>
      </c>
      <c r="AQ579" s="72">
        <f>(Tradingbook_MSB[[#This Row],[MARKET_VALUE]]+Tradingbook_MSB[[#This Row],[Accr Int]]*Tradingbook_MSB[[#This Row],[Quantity_edited]])*(-Tradingbook_MSB[[#This Row],[Modified Duration]]*0.01+0.5*Tradingbook_MSB[[#This Row],[Conv]]*(0.01^2))</f>
        <v>0</v>
      </c>
    </row>
    <row r="580" spans="2:43" x14ac:dyDescent="0.3">
      <c r="B580" t="s">
        <v>166</v>
      </c>
      <c r="C580" t="s">
        <v>3303</v>
      </c>
      <c r="D580" t="s">
        <v>723</v>
      </c>
      <c r="E580" t="s">
        <v>169</v>
      </c>
      <c r="F580" s="502">
        <v>53789</v>
      </c>
      <c r="G580" t="s">
        <v>3322</v>
      </c>
      <c r="H580">
        <v>140846</v>
      </c>
      <c r="I580">
        <v>140846</v>
      </c>
      <c r="J580" s="38">
        <v>0</v>
      </c>
      <c r="K580">
        <v>0</v>
      </c>
      <c r="L580">
        <v>0</v>
      </c>
      <c r="M580" s="38">
        <v>0</v>
      </c>
      <c r="N580">
        <v>7.8</v>
      </c>
      <c r="O580">
        <v>2842</v>
      </c>
      <c r="P580" s="37">
        <v>54600000000</v>
      </c>
      <c r="Q580" s="37">
        <v>64961479374.999969</v>
      </c>
      <c r="R580" s="37">
        <v>-54900030931.679115</v>
      </c>
      <c r="S580">
        <v>4.6702365119999998</v>
      </c>
      <c r="T580" s="70">
        <v>11.605814348993899</v>
      </c>
      <c r="U580">
        <v>12.147833329999999</v>
      </c>
      <c r="V580">
        <v>193.573080709615</v>
      </c>
      <c r="W580">
        <v>0</v>
      </c>
      <c r="X580" s="38">
        <v>0</v>
      </c>
      <c r="Y580">
        <v>0</v>
      </c>
      <c r="Z580" s="70">
        <v>38313399999.998047</v>
      </c>
      <c r="AA580" s="70">
        <v>0</v>
      </c>
      <c r="AB580" s="70">
        <v>38313399999.998047</v>
      </c>
      <c r="AC580" s="70">
        <v>38313399999.998047</v>
      </c>
      <c r="AD580" s="70">
        <v>38313399999.998001</v>
      </c>
      <c r="AE580" s="70">
        <v>38313399999.998047</v>
      </c>
      <c r="AF580">
        <v>0</v>
      </c>
      <c r="AG580" s="72">
        <f>Tradingbook_MSB[[#This Row],[Mat. Date]]-RPT</f>
        <v>7537</v>
      </c>
      <c r="AH580" s="71">
        <f>IF(Tradingbook_MSB[[#This Row],[Days]]&lt;=0,0,YEARFRAC(RPT,Tradingbook_MSB[[#This Row],[Mat. Date]],3))</f>
        <v>20.649315068493152</v>
      </c>
      <c r="AI580" s="71" t="str">
        <f>IF(Tradingbook_MSB[[#This Row],[Days (year)]]=0,0,INDEX(Ref!$K$2:$K$13,MATCH(Tradingbook_MSB[[#This Row],[Days (year)]],Ref!$I$2:$I$13,1)))</f>
        <v>30Y</v>
      </c>
      <c r="AJ580" s="120" t="str">
        <f>VLOOKUP(Tradingbook_MSB[[#This Row],[Security Name]],Ref!X:Z,3,0)</f>
        <v>TPCP</v>
      </c>
      <c r="AK580" s="120" t="str">
        <f>VLOOKUP(Tradingbook_MSB[[#This Row],[Security Name]],Ref!X:Y,2,0)</f>
        <v>KBNN</v>
      </c>
      <c r="AL580" s="71">
        <f>IF((Tradingbook_MSB[[#This Row],[Mat. Date]]-RPT)&lt;=0,0,Tradingbook_MSB[[#This Row],[QUANTITY]])</f>
        <v>0</v>
      </c>
      <c r="AM580" s="71">
        <f>IF(Tradingbook_MSB[[#This Row],[Quantity_edited]]=0,0,Tradingbook_MSB[[#This Row],[DURATION]])</f>
        <v>0</v>
      </c>
      <c r="AN580" s="71">
        <f>IF(Tradingbook_MSB[[#This Row],[Quantity_edited]]=0,0,Tradingbook_MSB[[#This Row],[Mod Dur]])</f>
        <v>0</v>
      </c>
      <c r="AO580" s="71">
        <f>IF(Tradingbook_MSB[[#This Row],[Quantity_edited]]=0,0,Tradingbook_MSB[[#This Row],[Cnvx.]])</f>
        <v>0</v>
      </c>
      <c r="AP580" s="71">
        <f>(Tradingbook_MSB[[#This Row],[MARKET_VALUE]]+Tradingbook_MSB[[#This Row],[Accr Int]]*Tradingbook_MSB[[#This Row],[Quantity_edited]])*(-Tradingbook_MSB[[#This Row],[Modified Duration]]*0.0001+0.5*Tradingbook_MSB[[#This Row],[Conv]]*(0.0001^2))</f>
        <v>0</v>
      </c>
      <c r="AQ580" s="72">
        <f>(Tradingbook_MSB[[#This Row],[MARKET_VALUE]]+Tradingbook_MSB[[#This Row],[Accr Int]]*Tradingbook_MSB[[#This Row],[Quantity_edited]])*(-Tradingbook_MSB[[#This Row],[Modified Duration]]*0.01+0.5*Tradingbook_MSB[[#This Row],[Conv]]*(0.01^2))</f>
        <v>0</v>
      </c>
    </row>
    <row r="581" spans="2:43" x14ac:dyDescent="0.3">
      <c r="B581" t="s">
        <v>166</v>
      </c>
      <c r="C581" t="s">
        <v>3303</v>
      </c>
      <c r="D581" t="s">
        <v>724</v>
      </c>
      <c r="E581" t="s">
        <v>169</v>
      </c>
      <c r="F581" s="502">
        <v>53802</v>
      </c>
      <c r="G581" t="s">
        <v>3322</v>
      </c>
      <c r="H581">
        <v>138272</v>
      </c>
      <c r="I581">
        <v>138272</v>
      </c>
      <c r="J581" s="38">
        <v>0</v>
      </c>
      <c r="K581">
        <v>0</v>
      </c>
      <c r="L581">
        <v>0</v>
      </c>
      <c r="M581" s="38">
        <v>0</v>
      </c>
      <c r="N581">
        <v>7.6</v>
      </c>
      <c r="O581">
        <v>2499</v>
      </c>
      <c r="P581" s="37">
        <v>7600000000</v>
      </c>
      <c r="Q581" s="37">
        <v>9044620666.6667004</v>
      </c>
      <c r="R581" s="37">
        <v>-29439458993.223618</v>
      </c>
      <c r="S581">
        <v>4.6704401530000004</v>
      </c>
      <c r="T581" s="70">
        <v>11.6972140173363</v>
      </c>
      <c r="U581">
        <v>12.243525399999999</v>
      </c>
      <c r="V581">
        <v>195.91425692105679</v>
      </c>
      <c r="W581">
        <v>0</v>
      </c>
      <c r="X581" s="38">
        <v>0</v>
      </c>
      <c r="Y581">
        <v>0</v>
      </c>
      <c r="Z581" s="70">
        <v>9311770000.0009766</v>
      </c>
      <c r="AA581" s="70">
        <v>0</v>
      </c>
      <c r="AB581" s="70">
        <v>9311770000.0009766</v>
      </c>
      <c r="AC581" s="70">
        <v>9311770000.0009766</v>
      </c>
      <c r="AD581" s="70">
        <v>9311770000.0009995</v>
      </c>
      <c r="AE581" s="70">
        <v>9311770000.0009766</v>
      </c>
      <c r="AF581">
        <v>0</v>
      </c>
      <c r="AG581" s="72">
        <f>Tradingbook_MSB[[#This Row],[Mat. Date]]-RPT</f>
        <v>7550</v>
      </c>
      <c r="AH581" s="71">
        <f>IF(Tradingbook_MSB[[#This Row],[Days]]&lt;=0,0,YEARFRAC(RPT,Tradingbook_MSB[[#This Row],[Mat. Date]],3))</f>
        <v>20.684931506849313</v>
      </c>
      <c r="AI581" s="71" t="str">
        <f>IF(Tradingbook_MSB[[#This Row],[Days (year)]]=0,0,INDEX(Ref!$K$2:$K$13,MATCH(Tradingbook_MSB[[#This Row],[Days (year)]],Ref!$I$2:$I$13,1)))</f>
        <v>30Y</v>
      </c>
      <c r="AJ581" s="120" t="str">
        <f>VLOOKUP(Tradingbook_MSB[[#This Row],[Security Name]],Ref!X:Z,3,0)</f>
        <v>TPCP</v>
      </c>
      <c r="AK581" s="120" t="str">
        <f>VLOOKUP(Tradingbook_MSB[[#This Row],[Security Name]],Ref!X:Y,2,0)</f>
        <v>KBNN</v>
      </c>
      <c r="AL581" s="71">
        <f>IF((Tradingbook_MSB[[#This Row],[Mat. Date]]-RPT)&lt;=0,0,Tradingbook_MSB[[#This Row],[QUANTITY]])</f>
        <v>0</v>
      </c>
      <c r="AM581" s="71">
        <f>IF(Tradingbook_MSB[[#This Row],[Quantity_edited]]=0,0,Tradingbook_MSB[[#This Row],[DURATION]])</f>
        <v>0</v>
      </c>
      <c r="AN581" s="71">
        <f>IF(Tradingbook_MSB[[#This Row],[Quantity_edited]]=0,0,Tradingbook_MSB[[#This Row],[Mod Dur]])</f>
        <v>0</v>
      </c>
      <c r="AO581" s="71">
        <f>IF(Tradingbook_MSB[[#This Row],[Quantity_edited]]=0,0,Tradingbook_MSB[[#This Row],[Cnvx.]])</f>
        <v>0</v>
      </c>
      <c r="AP581" s="71">
        <f>(Tradingbook_MSB[[#This Row],[MARKET_VALUE]]+Tradingbook_MSB[[#This Row],[Accr Int]]*Tradingbook_MSB[[#This Row],[Quantity_edited]])*(-Tradingbook_MSB[[#This Row],[Modified Duration]]*0.0001+0.5*Tradingbook_MSB[[#This Row],[Conv]]*(0.0001^2))</f>
        <v>0</v>
      </c>
      <c r="AQ581" s="72">
        <f>(Tradingbook_MSB[[#This Row],[MARKET_VALUE]]+Tradingbook_MSB[[#This Row],[Accr Int]]*Tradingbook_MSB[[#This Row],[Quantity_edited]])*(-Tradingbook_MSB[[#This Row],[Modified Duration]]*0.01+0.5*Tradingbook_MSB[[#This Row],[Conv]]*(0.01^2))</f>
        <v>0</v>
      </c>
    </row>
    <row r="582" spans="2:43" x14ac:dyDescent="0.3">
      <c r="B582" t="s">
        <v>166</v>
      </c>
      <c r="C582" t="s">
        <v>3303</v>
      </c>
      <c r="D582" t="s">
        <v>725</v>
      </c>
      <c r="E582" t="s">
        <v>169</v>
      </c>
      <c r="F582" s="502">
        <v>53858</v>
      </c>
      <c r="G582" t="s">
        <v>3322</v>
      </c>
      <c r="H582">
        <v>134499</v>
      </c>
      <c r="I582">
        <v>134499</v>
      </c>
      <c r="J582" s="38">
        <v>0</v>
      </c>
      <c r="K582">
        <v>0</v>
      </c>
      <c r="L582">
        <v>0</v>
      </c>
      <c r="M582" s="38">
        <v>0</v>
      </c>
      <c r="N582">
        <v>7.3</v>
      </c>
      <c r="O582">
        <v>1280</v>
      </c>
      <c r="P582" s="37">
        <v>25550000000</v>
      </c>
      <c r="Q582" s="37">
        <v>30094670763.888973</v>
      </c>
      <c r="R582" s="37">
        <v>-4844183118.7777615</v>
      </c>
      <c r="S582">
        <v>4.6715104700000003</v>
      </c>
      <c r="T582" s="70">
        <v>11.933620020607</v>
      </c>
      <c r="U582">
        <v>12.49110033</v>
      </c>
      <c r="V582">
        <v>201.90792310541639</v>
      </c>
      <c r="W582">
        <v>0</v>
      </c>
      <c r="X582" s="38">
        <v>0</v>
      </c>
      <c r="Y582">
        <v>0</v>
      </c>
      <c r="Z582" s="70">
        <v>23329300000</v>
      </c>
      <c r="AA582" s="70">
        <v>0</v>
      </c>
      <c r="AB582" s="70">
        <v>23329300000</v>
      </c>
      <c r="AC582" s="70">
        <v>23329300000</v>
      </c>
      <c r="AD582" s="70">
        <v>23329300000</v>
      </c>
      <c r="AE582" s="70">
        <v>23329300000</v>
      </c>
      <c r="AF582">
        <v>0</v>
      </c>
      <c r="AG582" s="72">
        <f>Tradingbook_MSB[[#This Row],[Mat. Date]]-RPT</f>
        <v>7606</v>
      </c>
      <c r="AH582" s="71">
        <f>IF(Tradingbook_MSB[[#This Row],[Days]]&lt;=0,0,YEARFRAC(RPT,Tradingbook_MSB[[#This Row],[Mat. Date]],3))</f>
        <v>20.838356164383562</v>
      </c>
      <c r="AI582" s="71" t="str">
        <f>IF(Tradingbook_MSB[[#This Row],[Days (year)]]=0,0,INDEX(Ref!$K$2:$K$13,MATCH(Tradingbook_MSB[[#This Row],[Days (year)]],Ref!$I$2:$I$13,1)))</f>
        <v>30Y</v>
      </c>
      <c r="AJ582" s="120" t="str">
        <f>VLOOKUP(Tradingbook_MSB[[#This Row],[Security Name]],Ref!X:Z,3,0)</f>
        <v>TPCP</v>
      </c>
      <c r="AK582" s="120" t="str">
        <f>VLOOKUP(Tradingbook_MSB[[#This Row],[Security Name]],Ref!X:Y,2,0)</f>
        <v>KBNN</v>
      </c>
      <c r="AL582" s="71">
        <f>IF((Tradingbook_MSB[[#This Row],[Mat. Date]]-RPT)&lt;=0,0,Tradingbook_MSB[[#This Row],[QUANTITY]])</f>
        <v>0</v>
      </c>
      <c r="AM582" s="71">
        <f>IF(Tradingbook_MSB[[#This Row],[Quantity_edited]]=0,0,Tradingbook_MSB[[#This Row],[DURATION]])</f>
        <v>0</v>
      </c>
      <c r="AN582" s="71">
        <f>IF(Tradingbook_MSB[[#This Row],[Quantity_edited]]=0,0,Tradingbook_MSB[[#This Row],[Mod Dur]])</f>
        <v>0</v>
      </c>
      <c r="AO582" s="71">
        <f>IF(Tradingbook_MSB[[#This Row],[Quantity_edited]]=0,0,Tradingbook_MSB[[#This Row],[Cnvx.]])</f>
        <v>0</v>
      </c>
      <c r="AP582" s="71">
        <f>(Tradingbook_MSB[[#This Row],[MARKET_VALUE]]+Tradingbook_MSB[[#This Row],[Accr Int]]*Tradingbook_MSB[[#This Row],[Quantity_edited]])*(-Tradingbook_MSB[[#This Row],[Modified Duration]]*0.0001+0.5*Tradingbook_MSB[[#This Row],[Conv]]*(0.0001^2))</f>
        <v>0</v>
      </c>
      <c r="AQ582" s="72">
        <f>(Tradingbook_MSB[[#This Row],[MARKET_VALUE]]+Tradingbook_MSB[[#This Row],[Accr Int]]*Tradingbook_MSB[[#This Row],[Quantity_edited]])*(-Tradingbook_MSB[[#This Row],[Modified Duration]]*0.01+0.5*Tradingbook_MSB[[#This Row],[Conv]]*(0.01^2))</f>
        <v>0</v>
      </c>
    </row>
    <row r="583" spans="2:43" x14ac:dyDescent="0.3">
      <c r="B583" t="s">
        <v>166</v>
      </c>
      <c r="C583" t="s">
        <v>3303</v>
      </c>
      <c r="D583" t="s">
        <v>726</v>
      </c>
      <c r="E583" t="s">
        <v>169</v>
      </c>
      <c r="F583" s="502">
        <v>53900</v>
      </c>
      <c r="G583" t="s">
        <v>3322</v>
      </c>
      <c r="H583">
        <v>120122</v>
      </c>
      <c r="I583">
        <v>120122</v>
      </c>
      <c r="J583" s="38">
        <v>0</v>
      </c>
      <c r="K583">
        <v>0</v>
      </c>
      <c r="L583">
        <v>0</v>
      </c>
      <c r="M583" s="38">
        <v>0</v>
      </c>
      <c r="N583">
        <v>6.2</v>
      </c>
      <c r="O583">
        <v>374</v>
      </c>
      <c r="P583" s="37">
        <v>0</v>
      </c>
      <c r="Q583" s="37">
        <v>0</v>
      </c>
      <c r="R583" s="37">
        <v>-20962855.000001907</v>
      </c>
      <c r="S583">
        <v>4.6722718179999996</v>
      </c>
      <c r="T583" s="70">
        <v>12.4257887719256</v>
      </c>
      <c r="U583">
        <v>13.0063554</v>
      </c>
      <c r="V583">
        <v>214.95549052900461</v>
      </c>
      <c r="W583">
        <v>0</v>
      </c>
      <c r="X583" s="38">
        <v>0</v>
      </c>
      <c r="Y583">
        <v>0</v>
      </c>
      <c r="Z583" s="70">
        <v>-5500000</v>
      </c>
      <c r="AA583" s="70">
        <v>0</v>
      </c>
      <c r="AB583" s="70">
        <v>-5500000</v>
      </c>
      <c r="AC583" s="70">
        <v>-5500000</v>
      </c>
      <c r="AD583" s="70">
        <v>-5500000</v>
      </c>
      <c r="AE583" s="70">
        <v>-5500000</v>
      </c>
      <c r="AF583">
        <v>0</v>
      </c>
      <c r="AG583" s="72">
        <f>Tradingbook_MSB[[#This Row],[Mat. Date]]-RPT</f>
        <v>7648</v>
      </c>
      <c r="AH583" s="71">
        <f>IF(Tradingbook_MSB[[#This Row],[Days]]&lt;=0,0,YEARFRAC(RPT,Tradingbook_MSB[[#This Row],[Mat. Date]],3))</f>
        <v>20.953424657534246</v>
      </c>
      <c r="AI583" s="71" t="str">
        <f>IF(Tradingbook_MSB[[#This Row],[Days (year)]]=0,0,INDEX(Ref!$K$2:$K$13,MATCH(Tradingbook_MSB[[#This Row],[Days (year)]],Ref!$I$2:$I$13,1)))</f>
        <v>30Y</v>
      </c>
      <c r="AJ583" s="120" t="str">
        <f>VLOOKUP(Tradingbook_MSB[[#This Row],[Security Name]],Ref!X:Z,3,0)</f>
        <v>TPCP</v>
      </c>
      <c r="AK583" s="120" t="str">
        <f>VLOOKUP(Tradingbook_MSB[[#This Row],[Security Name]],Ref!X:Y,2,0)</f>
        <v>KBNN</v>
      </c>
      <c r="AL583" s="71">
        <f>IF((Tradingbook_MSB[[#This Row],[Mat. Date]]-RPT)&lt;=0,0,Tradingbook_MSB[[#This Row],[QUANTITY]])</f>
        <v>0</v>
      </c>
      <c r="AM583" s="71">
        <f>IF(Tradingbook_MSB[[#This Row],[Quantity_edited]]=0,0,Tradingbook_MSB[[#This Row],[DURATION]])</f>
        <v>0</v>
      </c>
      <c r="AN583" s="71">
        <f>IF(Tradingbook_MSB[[#This Row],[Quantity_edited]]=0,0,Tradingbook_MSB[[#This Row],[Mod Dur]])</f>
        <v>0</v>
      </c>
      <c r="AO583" s="71">
        <f>IF(Tradingbook_MSB[[#This Row],[Quantity_edited]]=0,0,Tradingbook_MSB[[#This Row],[Cnvx.]])</f>
        <v>0</v>
      </c>
      <c r="AP583" s="71">
        <f>(Tradingbook_MSB[[#This Row],[MARKET_VALUE]]+Tradingbook_MSB[[#This Row],[Accr Int]]*Tradingbook_MSB[[#This Row],[Quantity_edited]])*(-Tradingbook_MSB[[#This Row],[Modified Duration]]*0.0001+0.5*Tradingbook_MSB[[#This Row],[Conv]]*(0.0001^2))</f>
        <v>0</v>
      </c>
      <c r="AQ583" s="72">
        <f>(Tradingbook_MSB[[#This Row],[MARKET_VALUE]]+Tradingbook_MSB[[#This Row],[Accr Int]]*Tradingbook_MSB[[#This Row],[Quantity_edited]])*(-Tradingbook_MSB[[#This Row],[Modified Duration]]*0.01+0.5*Tradingbook_MSB[[#This Row],[Conv]]*(0.01^2))</f>
        <v>0</v>
      </c>
    </row>
    <row r="584" spans="2:43" x14ac:dyDescent="0.3">
      <c r="B584" t="s">
        <v>166</v>
      </c>
      <c r="C584" t="s">
        <v>3303</v>
      </c>
      <c r="D584" t="s">
        <v>727</v>
      </c>
      <c r="E584" t="s">
        <v>169</v>
      </c>
      <c r="F584" s="502">
        <v>54075</v>
      </c>
      <c r="G584" t="s">
        <v>3322</v>
      </c>
      <c r="H584">
        <v>109643</v>
      </c>
      <c r="I584">
        <v>109643</v>
      </c>
      <c r="J584" s="38">
        <v>0</v>
      </c>
      <c r="K584">
        <v>0</v>
      </c>
      <c r="L584">
        <v>0</v>
      </c>
      <c r="M584" s="38">
        <v>0</v>
      </c>
      <c r="N584">
        <v>5.4</v>
      </c>
      <c r="O584">
        <v>3136</v>
      </c>
      <c r="P584" s="37">
        <v>324000000</v>
      </c>
      <c r="Q584" s="37">
        <v>388919610.000076</v>
      </c>
      <c r="R584" s="37">
        <v>-8425132020.4167366</v>
      </c>
      <c r="S584">
        <v>4.6755032840000004</v>
      </c>
      <c r="T584" s="70">
        <v>12.621498746741601</v>
      </c>
      <c r="U584">
        <v>13.21161734</v>
      </c>
      <c r="V584">
        <v>225.38439749715431</v>
      </c>
      <c r="W584">
        <v>0</v>
      </c>
      <c r="X584" s="38">
        <v>0</v>
      </c>
      <c r="Y584">
        <v>0</v>
      </c>
      <c r="Z584" s="70">
        <v>-26200180000</v>
      </c>
      <c r="AA584" s="70">
        <v>0</v>
      </c>
      <c r="AB584" s="70">
        <v>-26200180000</v>
      </c>
      <c r="AC584" s="70">
        <v>-26200180000</v>
      </c>
      <c r="AD584" s="70">
        <v>-26200180000</v>
      </c>
      <c r="AE584" s="70">
        <v>-26200180000</v>
      </c>
      <c r="AF584">
        <v>0</v>
      </c>
      <c r="AG584" s="72">
        <f>Tradingbook_MSB[[#This Row],[Mat. Date]]-RPT</f>
        <v>7823</v>
      </c>
      <c r="AH584" s="71">
        <f>IF(Tradingbook_MSB[[#This Row],[Days]]&lt;=0,0,YEARFRAC(RPT,Tradingbook_MSB[[#This Row],[Mat. Date]],3))</f>
        <v>21.432876712328767</v>
      </c>
      <c r="AI584" s="71" t="str">
        <f>IF(Tradingbook_MSB[[#This Row],[Days (year)]]=0,0,INDEX(Ref!$K$2:$K$13,MATCH(Tradingbook_MSB[[#This Row],[Days (year)]],Ref!$I$2:$I$13,1)))</f>
        <v>30Y</v>
      </c>
      <c r="AJ584" s="120" t="str">
        <f>VLOOKUP(Tradingbook_MSB[[#This Row],[Security Name]],Ref!X:Z,3,0)</f>
        <v>TPCP</v>
      </c>
      <c r="AK584" s="120" t="str">
        <f>VLOOKUP(Tradingbook_MSB[[#This Row],[Security Name]],Ref!X:Y,2,0)</f>
        <v>KBNN</v>
      </c>
      <c r="AL584" s="71">
        <f>IF((Tradingbook_MSB[[#This Row],[Mat. Date]]-RPT)&lt;=0,0,Tradingbook_MSB[[#This Row],[QUANTITY]])</f>
        <v>0</v>
      </c>
      <c r="AM584" s="71">
        <f>IF(Tradingbook_MSB[[#This Row],[Quantity_edited]]=0,0,Tradingbook_MSB[[#This Row],[DURATION]])</f>
        <v>0</v>
      </c>
      <c r="AN584" s="71">
        <f>IF(Tradingbook_MSB[[#This Row],[Quantity_edited]]=0,0,Tradingbook_MSB[[#This Row],[Mod Dur]])</f>
        <v>0</v>
      </c>
      <c r="AO584" s="71">
        <f>IF(Tradingbook_MSB[[#This Row],[Quantity_edited]]=0,0,Tradingbook_MSB[[#This Row],[Cnvx.]])</f>
        <v>0</v>
      </c>
      <c r="AP584" s="71">
        <f>(Tradingbook_MSB[[#This Row],[MARKET_VALUE]]+Tradingbook_MSB[[#This Row],[Accr Int]]*Tradingbook_MSB[[#This Row],[Quantity_edited]])*(-Tradingbook_MSB[[#This Row],[Modified Duration]]*0.0001+0.5*Tradingbook_MSB[[#This Row],[Conv]]*(0.0001^2))</f>
        <v>0</v>
      </c>
      <c r="AQ584" s="72">
        <f>(Tradingbook_MSB[[#This Row],[MARKET_VALUE]]+Tradingbook_MSB[[#This Row],[Accr Int]]*Tradingbook_MSB[[#This Row],[Quantity_edited]])*(-Tradingbook_MSB[[#This Row],[Modified Duration]]*0.01+0.5*Tradingbook_MSB[[#This Row],[Conv]]*(0.01^2))</f>
        <v>0</v>
      </c>
    </row>
    <row r="585" spans="2:43" x14ac:dyDescent="0.3">
      <c r="B585" t="s">
        <v>166</v>
      </c>
      <c r="C585" t="s">
        <v>3303</v>
      </c>
      <c r="D585" t="s">
        <v>728</v>
      </c>
      <c r="E585" t="s">
        <v>169</v>
      </c>
      <c r="F585" s="502">
        <v>54447</v>
      </c>
      <c r="G585" t="s">
        <v>3322</v>
      </c>
      <c r="H585">
        <v>115288</v>
      </c>
      <c r="I585">
        <v>115288</v>
      </c>
      <c r="J585" s="38">
        <v>0</v>
      </c>
      <c r="K585">
        <v>0</v>
      </c>
      <c r="L585">
        <v>0</v>
      </c>
      <c r="M585" s="38">
        <v>0</v>
      </c>
      <c r="N585">
        <v>5.8</v>
      </c>
      <c r="O585">
        <v>3273</v>
      </c>
      <c r="P585" s="37">
        <v>0</v>
      </c>
      <c r="Q585" s="37">
        <v>7.2000000000000002E-5</v>
      </c>
      <c r="R585" s="37">
        <v>-3738164544.9305868</v>
      </c>
      <c r="S585">
        <v>4.6822935470000004</v>
      </c>
      <c r="T585" s="70">
        <v>12.780787273017101</v>
      </c>
      <c r="U585">
        <v>13.379221250000001</v>
      </c>
      <c r="V585">
        <v>234.4919427265404</v>
      </c>
      <c r="W585">
        <v>0</v>
      </c>
      <c r="X585" s="38">
        <v>0</v>
      </c>
      <c r="Y585">
        <v>0</v>
      </c>
      <c r="Z585" s="70">
        <v>-10269170000</v>
      </c>
      <c r="AA585" s="70">
        <v>0</v>
      </c>
      <c r="AB585" s="70">
        <v>-10269170000</v>
      </c>
      <c r="AC585" s="70">
        <v>-10269170000</v>
      </c>
      <c r="AD585" s="70">
        <v>-10269170000</v>
      </c>
      <c r="AE585" s="70">
        <v>-10269170000</v>
      </c>
      <c r="AF585">
        <v>0</v>
      </c>
      <c r="AG585" s="72">
        <f>Tradingbook_MSB[[#This Row],[Mat. Date]]-RPT</f>
        <v>8195</v>
      </c>
      <c r="AH585" s="71">
        <f>IF(Tradingbook_MSB[[#This Row],[Days]]&lt;=0,0,YEARFRAC(RPT,Tradingbook_MSB[[#This Row],[Mat. Date]],3))</f>
        <v>22.452054794520549</v>
      </c>
      <c r="AI585" s="71" t="str">
        <f>IF(Tradingbook_MSB[[#This Row],[Days (year)]]=0,0,INDEX(Ref!$K$2:$K$13,MATCH(Tradingbook_MSB[[#This Row],[Days (year)]],Ref!$I$2:$I$13,1)))</f>
        <v>30Y</v>
      </c>
      <c r="AJ585" s="120" t="str">
        <f>VLOOKUP(Tradingbook_MSB[[#This Row],[Security Name]],Ref!X:Z,3,0)</f>
        <v>TPCP</v>
      </c>
      <c r="AK585" s="120" t="str">
        <f>VLOOKUP(Tradingbook_MSB[[#This Row],[Security Name]],Ref!X:Y,2,0)</f>
        <v>KBNN</v>
      </c>
      <c r="AL585" s="71">
        <f>IF((Tradingbook_MSB[[#This Row],[Mat. Date]]-RPT)&lt;=0,0,Tradingbook_MSB[[#This Row],[QUANTITY]])</f>
        <v>0</v>
      </c>
      <c r="AM585" s="71">
        <f>IF(Tradingbook_MSB[[#This Row],[Quantity_edited]]=0,0,Tradingbook_MSB[[#This Row],[DURATION]])</f>
        <v>0</v>
      </c>
      <c r="AN585" s="71">
        <f>IF(Tradingbook_MSB[[#This Row],[Quantity_edited]]=0,0,Tradingbook_MSB[[#This Row],[Mod Dur]])</f>
        <v>0</v>
      </c>
      <c r="AO585" s="71">
        <f>IF(Tradingbook_MSB[[#This Row],[Quantity_edited]]=0,0,Tradingbook_MSB[[#This Row],[Cnvx.]])</f>
        <v>0</v>
      </c>
      <c r="AP585" s="71">
        <f>(Tradingbook_MSB[[#This Row],[MARKET_VALUE]]+Tradingbook_MSB[[#This Row],[Accr Int]]*Tradingbook_MSB[[#This Row],[Quantity_edited]])*(-Tradingbook_MSB[[#This Row],[Modified Duration]]*0.0001+0.5*Tradingbook_MSB[[#This Row],[Conv]]*(0.0001^2))</f>
        <v>0</v>
      </c>
      <c r="AQ585" s="72">
        <f>(Tradingbook_MSB[[#This Row],[MARKET_VALUE]]+Tradingbook_MSB[[#This Row],[Accr Int]]*Tradingbook_MSB[[#This Row],[Quantity_edited]])*(-Tradingbook_MSB[[#This Row],[Modified Duration]]*0.01+0.5*Tradingbook_MSB[[#This Row],[Conv]]*(0.01^2))</f>
        <v>0</v>
      </c>
    </row>
    <row r="586" spans="2:43" x14ac:dyDescent="0.3">
      <c r="B586" t="s">
        <v>166</v>
      </c>
      <c r="C586" t="s">
        <v>3303</v>
      </c>
      <c r="D586" t="s">
        <v>729</v>
      </c>
      <c r="E586" t="s">
        <v>169</v>
      </c>
      <c r="F586" s="502">
        <v>54692</v>
      </c>
      <c r="G586" t="s">
        <v>3322</v>
      </c>
      <c r="H586">
        <v>107139</v>
      </c>
      <c r="I586">
        <v>107139</v>
      </c>
      <c r="J586" s="38">
        <v>0</v>
      </c>
      <c r="K586">
        <v>0</v>
      </c>
      <c r="L586">
        <v>0</v>
      </c>
      <c r="M586" s="38">
        <v>0</v>
      </c>
      <c r="N586">
        <v>5.2</v>
      </c>
      <c r="O586">
        <v>4644</v>
      </c>
      <c r="P586" s="37">
        <v>18200000000</v>
      </c>
      <c r="Q586" s="37">
        <v>20931526055.55555</v>
      </c>
      <c r="R586" s="37">
        <v>-785561486.78030837</v>
      </c>
      <c r="S586">
        <v>4.6867977439999997</v>
      </c>
      <c r="T586" s="70">
        <v>13.080224004397399</v>
      </c>
      <c r="U586">
        <v>13.693267649999999</v>
      </c>
      <c r="V586">
        <v>248.39838340353759</v>
      </c>
      <c r="W586">
        <v>0</v>
      </c>
      <c r="X586" s="38">
        <v>0</v>
      </c>
      <c r="Y586">
        <v>0</v>
      </c>
      <c r="Z586" s="70">
        <v>56489930000</v>
      </c>
      <c r="AA586" s="70">
        <v>0</v>
      </c>
      <c r="AB586" s="70">
        <v>56489930000</v>
      </c>
      <c r="AC586" s="70">
        <v>56489930000</v>
      </c>
      <c r="AD586" s="70">
        <v>56489930000</v>
      </c>
      <c r="AE586" s="70">
        <v>56489930000</v>
      </c>
      <c r="AF586">
        <v>0</v>
      </c>
      <c r="AG586" s="72">
        <f>Tradingbook_MSB[[#This Row],[Mat. Date]]-RPT</f>
        <v>8440</v>
      </c>
      <c r="AH586" s="71">
        <f>IF(Tradingbook_MSB[[#This Row],[Days]]&lt;=0,0,YEARFRAC(RPT,Tradingbook_MSB[[#This Row],[Mat. Date]],3))</f>
        <v>23.123287671232877</v>
      </c>
      <c r="AI586" s="71" t="str">
        <f>IF(Tradingbook_MSB[[#This Row],[Days (year)]]=0,0,INDEX(Ref!$K$2:$K$13,MATCH(Tradingbook_MSB[[#This Row],[Days (year)]],Ref!$I$2:$I$13,1)))</f>
        <v>30Y</v>
      </c>
      <c r="AJ586" s="120" t="str">
        <f>VLOOKUP(Tradingbook_MSB[[#This Row],[Security Name]],Ref!X:Z,3,0)</f>
        <v>TPCP</v>
      </c>
      <c r="AK586" s="120" t="str">
        <f>VLOOKUP(Tradingbook_MSB[[#This Row],[Security Name]],Ref!X:Y,2,0)</f>
        <v>KBNN</v>
      </c>
      <c r="AL586" s="71">
        <f>IF((Tradingbook_MSB[[#This Row],[Mat. Date]]-RPT)&lt;=0,0,Tradingbook_MSB[[#This Row],[QUANTITY]])</f>
        <v>0</v>
      </c>
      <c r="AM586" s="71">
        <f>IF(Tradingbook_MSB[[#This Row],[Quantity_edited]]=0,0,Tradingbook_MSB[[#This Row],[DURATION]])</f>
        <v>0</v>
      </c>
      <c r="AN586" s="71">
        <f>IF(Tradingbook_MSB[[#This Row],[Quantity_edited]]=0,0,Tradingbook_MSB[[#This Row],[Mod Dur]])</f>
        <v>0</v>
      </c>
      <c r="AO586" s="71">
        <f>IF(Tradingbook_MSB[[#This Row],[Quantity_edited]]=0,0,Tradingbook_MSB[[#This Row],[Cnvx.]])</f>
        <v>0</v>
      </c>
      <c r="AP586" s="71">
        <f>(Tradingbook_MSB[[#This Row],[MARKET_VALUE]]+Tradingbook_MSB[[#This Row],[Accr Int]]*Tradingbook_MSB[[#This Row],[Quantity_edited]])*(-Tradingbook_MSB[[#This Row],[Modified Duration]]*0.0001+0.5*Tradingbook_MSB[[#This Row],[Conv]]*(0.0001^2))</f>
        <v>0</v>
      </c>
      <c r="AQ586" s="72">
        <f>(Tradingbook_MSB[[#This Row],[MARKET_VALUE]]+Tradingbook_MSB[[#This Row],[Accr Int]]*Tradingbook_MSB[[#This Row],[Quantity_edited]])*(-Tradingbook_MSB[[#This Row],[Modified Duration]]*0.01+0.5*Tradingbook_MSB[[#This Row],[Conv]]*(0.01^2))</f>
        <v>0</v>
      </c>
    </row>
    <row r="587" spans="2:43" x14ac:dyDescent="0.3">
      <c r="B587" t="s">
        <v>166</v>
      </c>
      <c r="C587" t="s">
        <v>3303</v>
      </c>
      <c r="D587" t="s">
        <v>730</v>
      </c>
      <c r="E587" t="s">
        <v>169</v>
      </c>
      <c r="F587" s="502">
        <v>54804</v>
      </c>
      <c r="G587" t="s">
        <v>3322</v>
      </c>
      <c r="H587">
        <v>87506</v>
      </c>
      <c r="I587">
        <v>87506</v>
      </c>
      <c r="J587" s="38">
        <v>0</v>
      </c>
      <c r="K587">
        <v>0</v>
      </c>
      <c r="L587">
        <v>0</v>
      </c>
      <c r="M587" s="38">
        <v>0</v>
      </c>
      <c r="N587">
        <v>3.8</v>
      </c>
      <c r="O587">
        <v>2228</v>
      </c>
      <c r="P587" s="37">
        <v>17100000000</v>
      </c>
      <c r="Q587" s="37">
        <v>19801400999.999977</v>
      </c>
      <c r="R587" s="37">
        <v>-50400559368.871651</v>
      </c>
      <c r="S587">
        <v>4.6888325450000004</v>
      </c>
      <c r="T587" s="70">
        <v>14.2946364333944</v>
      </c>
      <c r="U587">
        <v>14.964888</v>
      </c>
      <c r="V587">
        <v>283.59915308009471</v>
      </c>
      <c r="W587">
        <v>0</v>
      </c>
      <c r="X587" s="38">
        <v>0</v>
      </c>
      <c r="Y587">
        <v>0</v>
      </c>
      <c r="Z587" s="70">
        <v>-34527167614.878906</v>
      </c>
      <c r="AA587" s="70">
        <v>0</v>
      </c>
      <c r="AB587" s="70">
        <v>-34527167614.878906</v>
      </c>
      <c r="AC587" s="70">
        <v>-34527167614.878906</v>
      </c>
      <c r="AD587" s="70">
        <v>-34527167614.878998</v>
      </c>
      <c r="AE587" s="70">
        <v>-34527167614.878906</v>
      </c>
      <c r="AF587">
        <v>0</v>
      </c>
      <c r="AG587" s="72">
        <f>Tradingbook_MSB[[#This Row],[Mat. Date]]-RPT</f>
        <v>8552</v>
      </c>
      <c r="AH587" s="71">
        <f>IF(Tradingbook_MSB[[#This Row],[Days]]&lt;=0,0,YEARFRAC(RPT,Tradingbook_MSB[[#This Row],[Mat. Date]],3))</f>
        <v>23.43013698630137</v>
      </c>
      <c r="AI587" s="71" t="str">
        <f>IF(Tradingbook_MSB[[#This Row],[Days (year)]]=0,0,INDEX(Ref!$K$2:$K$13,MATCH(Tradingbook_MSB[[#This Row],[Days (year)]],Ref!$I$2:$I$13,1)))</f>
        <v>30Y</v>
      </c>
      <c r="AJ587" s="120" t="str">
        <f>VLOOKUP(Tradingbook_MSB[[#This Row],[Security Name]],Ref!X:Z,3,0)</f>
        <v>TPCP</v>
      </c>
      <c r="AK587" s="120" t="str">
        <f>VLOOKUP(Tradingbook_MSB[[#This Row],[Security Name]],Ref!X:Y,2,0)</f>
        <v>KBNN</v>
      </c>
      <c r="AL587" s="71">
        <f>IF((Tradingbook_MSB[[#This Row],[Mat. Date]]-RPT)&lt;=0,0,Tradingbook_MSB[[#This Row],[QUANTITY]])</f>
        <v>0</v>
      </c>
      <c r="AM587" s="71">
        <f>IF(Tradingbook_MSB[[#This Row],[Quantity_edited]]=0,0,Tradingbook_MSB[[#This Row],[DURATION]])</f>
        <v>0</v>
      </c>
      <c r="AN587" s="71">
        <f>IF(Tradingbook_MSB[[#This Row],[Quantity_edited]]=0,0,Tradingbook_MSB[[#This Row],[Mod Dur]])</f>
        <v>0</v>
      </c>
      <c r="AO587" s="71">
        <f>IF(Tradingbook_MSB[[#This Row],[Quantity_edited]]=0,0,Tradingbook_MSB[[#This Row],[Cnvx.]])</f>
        <v>0</v>
      </c>
      <c r="AP587" s="71">
        <f>(Tradingbook_MSB[[#This Row],[MARKET_VALUE]]+Tradingbook_MSB[[#This Row],[Accr Int]]*Tradingbook_MSB[[#This Row],[Quantity_edited]])*(-Tradingbook_MSB[[#This Row],[Modified Duration]]*0.0001+0.5*Tradingbook_MSB[[#This Row],[Conv]]*(0.0001^2))</f>
        <v>0</v>
      </c>
      <c r="AQ587" s="72">
        <f>(Tradingbook_MSB[[#This Row],[MARKET_VALUE]]+Tradingbook_MSB[[#This Row],[Accr Int]]*Tradingbook_MSB[[#This Row],[Quantity_edited]])*(-Tradingbook_MSB[[#This Row],[Modified Duration]]*0.01+0.5*Tradingbook_MSB[[#This Row],[Conv]]*(0.01^2))</f>
        <v>0</v>
      </c>
    </row>
    <row r="588" spans="2:43" x14ac:dyDescent="0.3">
      <c r="B588" t="s">
        <v>166</v>
      </c>
      <c r="C588" t="s">
        <v>3303</v>
      </c>
      <c r="D588" t="s">
        <v>731</v>
      </c>
      <c r="E588" t="s">
        <v>169</v>
      </c>
      <c r="F588" s="502">
        <v>55076</v>
      </c>
      <c r="G588" t="s">
        <v>3322</v>
      </c>
      <c r="H588">
        <v>78672</v>
      </c>
      <c r="I588">
        <v>78672</v>
      </c>
      <c r="J588" s="38">
        <v>0</v>
      </c>
      <c r="K588">
        <v>0</v>
      </c>
      <c r="L588">
        <v>0</v>
      </c>
      <c r="M588" s="38">
        <v>0</v>
      </c>
      <c r="N588">
        <v>3.2</v>
      </c>
      <c r="O588">
        <v>2692</v>
      </c>
      <c r="P588" s="37">
        <v>0</v>
      </c>
      <c r="Q588" s="37">
        <v>7.6000000000000004E-5</v>
      </c>
      <c r="R588" s="37">
        <v>-44249695784.931854</v>
      </c>
      <c r="S588">
        <v>4.693814991</v>
      </c>
      <c r="T588" s="70">
        <v>14.9399224627045</v>
      </c>
      <c r="U588">
        <v>15.64117478</v>
      </c>
      <c r="V588">
        <v>309.10034361705272</v>
      </c>
      <c r="W588">
        <v>0</v>
      </c>
      <c r="X588" s="38">
        <v>0</v>
      </c>
      <c r="Y588">
        <v>0</v>
      </c>
      <c r="Z588" s="70">
        <v>4637790000</v>
      </c>
      <c r="AA588" s="70">
        <v>0</v>
      </c>
      <c r="AB588" s="70">
        <v>4637790000</v>
      </c>
      <c r="AC588" s="70">
        <v>4637790000</v>
      </c>
      <c r="AD588" s="70">
        <v>4637790000</v>
      </c>
      <c r="AE588" s="70">
        <v>4637790000</v>
      </c>
      <c r="AF588">
        <v>0</v>
      </c>
      <c r="AG588" s="72">
        <f>Tradingbook_MSB[[#This Row],[Mat. Date]]-RPT</f>
        <v>8824</v>
      </c>
      <c r="AH588" s="71">
        <f>IF(Tradingbook_MSB[[#This Row],[Days]]&lt;=0,0,YEARFRAC(RPT,Tradingbook_MSB[[#This Row],[Mat. Date]],3))</f>
        <v>24.175342465753424</v>
      </c>
      <c r="AI588" s="71" t="str">
        <f>IF(Tradingbook_MSB[[#This Row],[Days (year)]]=0,0,INDEX(Ref!$K$2:$K$13,MATCH(Tradingbook_MSB[[#This Row],[Days (year)]],Ref!$I$2:$I$13,1)))</f>
        <v>30Y</v>
      </c>
      <c r="AJ588" s="120" t="str">
        <f>VLOOKUP(Tradingbook_MSB[[#This Row],[Security Name]],Ref!X:Z,3,0)</f>
        <v>TPCP</v>
      </c>
      <c r="AK588" s="120" t="str">
        <f>VLOOKUP(Tradingbook_MSB[[#This Row],[Security Name]],Ref!X:Y,2,0)</f>
        <v>KBNN</v>
      </c>
      <c r="AL588" s="71">
        <f>IF((Tradingbook_MSB[[#This Row],[Mat. Date]]-RPT)&lt;=0,0,Tradingbook_MSB[[#This Row],[QUANTITY]])</f>
        <v>0</v>
      </c>
      <c r="AM588" s="71">
        <f>IF(Tradingbook_MSB[[#This Row],[Quantity_edited]]=0,0,Tradingbook_MSB[[#This Row],[DURATION]])</f>
        <v>0</v>
      </c>
      <c r="AN588" s="71">
        <f>IF(Tradingbook_MSB[[#This Row],[Quantity_edited]]=0,0,Tradingbook_MSB[[#This Row],[Mod Dur]])</f>
        <v>0</v>
      </c>
      <c r="AO588" s="71">
        <f>IF(Tradingbook_MSB[[#This Row],[Quantity_edited]]=0,0,Tradingbook_MSB[[#This Row],[Cnvx.]])</f>
        <v>0</v>
      </c>
      <c r="AP588" s="71">
        <f>(Tradingbook_MSB[[#This Row],[MARKET_VALUE]]+Tradingbook_MSB[[#This Row],[Accr Int]]*Tradingbook_MSB[[#This Row],[Quantity_edited]])*(-Tradingbook_MSB[[#This Row],[Modified Duration]]*0.0001+0.5*Tradingbook_MSB[[#This Row],[Conv]]*(0.0001^2))</f>
        <v>0</v>
      </c>
      <c r="AQ588" s="72">
        <f>(Tradingbook_MSB[[#This Row],[MARKET_VALUE]]+Tradingbook_MSB[[#This Row],[Accr Int]]*Tradingbook_MSB[[#This Row],[Quantity_edited]])*(-Tradingbook_MSB[[#This Row],[Modified Duration]]*0.01+0.5*Tradingbook_MSB[[#This Row],[Conv]]*(0.01^2))</f>
        <v>0</v>
      </c>
    </row>
    <row r="589" spans="2:43" x14ac:dyDescent="0.3">
      <c r="B589" t="s">
        <v>166</v>
      </c>
      <c r="C589" t="s">
        <v>3303</v>
      </c>
      <c r="D589" t="s">
        <v>732</v>
      </c>
      <c r="E589" t="s">
        <v>169</v>
      </c>
      <c r="F589" s="502">
        <v>55167</v>
      </c>
      <c r="G589" t="s">
        <v>3322</v>
      </c>
      <c r="H589">
        <v>77090</v>
      </c>
      <c r="I589">
        <v>77090</v>
      </c>
      <c r="J589" s="38">
        <v>0</v>
      </c>
      <c r="K589">
        <v>0</v>
      </c>
      <c r="L589">
        <v>0</v>
      </c>
      <c r="M589" s="38">
        <v>0</v>
      </c>
      <c r="N589">
        <v>3.1</v>
      </c>
      <c r="O589">
        <v>1835</v>
      </c>
      <c r="P589" s="37">
        <v>0</v>
      </c>
      <c r="Q589" s="37">
        <v>1.1E-4</v>
      </c>
      <c r="R589" s="37">
        <v>-50562401239.522346</v>
      </c>
      <c r="S589">
        <v>4.695484156</v>
      </c>
      <c r="T589" s="70">
        <v>15.2817431813887</v>
      </c>
      <c r="U589">
        <v>15.999295010000001</v>
      </c>
      <c r="V589">
        <v>319.67786241969043</v>
      </c>
      <c r="W589">
        <v>0</v>
      </c>
      <c r="X589" s="38">
        <v>0</v>
      </c>
      <c r="Y589">
        <v>0</v>
      </c>
      <c r="Z589" s="70">
        <v>8422780000</v>
      </c>
      <c r="AA589" s="70">
        <v>0</v>
      </c>
      <c r="AB589" s="70">
        <v>8422780000</v>
      </c>
      <c r="AC589" s="70">
        <v>8422780000</v>
      </c>
      <c r="AD589" s="70">
        <v>8422780000</v>
      </c>
      <c r="AE589" s="70">
        <v>8422780000</v>
      </c>
      <c r="AF589">
        <v>0</v>
      </c>
      <c r="AG589" s="72">
        <f>Tradingbook_MSB[[#This Row],[Mat. Date]]-RPT</f>
        <v>8915</v>
      </c>
      <c r="AH589" s="71">
        <f>IF(Tradingbook_MSB[[#This Row],[Days]]&lt;=0,0,YEARFRAC(RPT,Tradingbook_MSB[[#This Row],[Mat. Date]],3))</f>
        <v>24.424657534246574</v>
      </c>
      <c r="AI589" s="71" t="str">
        <f>IF(Tradingbook_MSB[[#This Row],[Days (year)]]=0,0,INDEX(Ref!$K$2:$K$13,MATCH(Tradingbook_MSB[[#This Row],[Days (year)]],Ref!$I$2:$I$13,1)))</f>
        <v>30Y</v>
      </c>
      <c r="AJ589" s="120" t="str">
        <f>VLOOKUP(Tradingbook_MSB[[#This Row],[Security Name]],Ref!X:Z,3,0)</f>
        <v>TPCP</v>
      </c>
      <c r="AK589" s="120" t="str">
        <f>VLOOKUP(Tradingbook_MSB[[#This Row],[Security Name]],Ref!X:Y,2,0)</f>
        <v>KBNN</v>
      </c>
      <c r="AL589" s="71">
        <f>IF((Tradingbook_MSB[[#This Row],[Mat. Date]]-RPT)&lt;=0,0,Tradingbook_MSB[[#This Row],[QUANTITY]])</f>
        <v>0</v>
      </c>
      <c r="AM589" s="71">
        <f>IF(Tradingbook_MSB[[#This Row],[Quantity_edited]]=0,0,Tradingbook_MSB[[#This Row],[DURATION]])</f>
        <v>0</v>
      </c>
      <c r="AN589" s="71">
        <f>IF(Tradingbook_MSB[[#This Row],[Quantity_edited]]=0,0,Tradingbook_MSB[[#This Row],[Mod Dur]])</f>
        <v>0</v>
      </c>
      <c r="AO589" s="71">
        <f>IF(Tradingbook_MSB[[#This Row],[Quantity_edited]]=0,0,Tradingbook_MSB[[#This Row],[Cnvx.]])</f>
        <v>0</v>
      </c>
      <c r="AP589" s="71">
        <f>(Tradingbook_MSB[[#This Row],[MARKET_VALUE]]+Tradingbook_MSB[[#This Row],[Accr Int]]*Tradingbook_MSB[[#This Row],[Quantity_edited]])*(-Tradingbook_MSB[[#This Row],[Modified Duration]]*0.0001+0.5*Tradingbook_MSB[[#This Row],[Conv]]*(0.0001^2))</f>
        <v>0</v>
      </c>
      <c r="AQ589" s="72">
        <f>(Tradingbook_MSB[[#This Row],[MARKET_VALUE]]+Tradingbook_MSB[[#This Row],[Accr Int]]*Tradingbook_MSB[[#This Row],[Quantity_edited]])*(-Tradingbook_MSB[[#This Row],[Modified Duration]]*0.01+0.5*Tradingbook_MSB[[#This Row],[Conv]]*(0.01^2))</f>
        <v>0</v>
      </c>
    </row>
    <row r="590" spans="2:43" x14ac:dyDescent="0.3">
      <c r="B590" t="s">
        <v>166</v>
      </c>
      <c r="C590" t="s">
        <v>3303</v>
      </c>
      <c r="D590" t="s">
        <v>733</v>
      </c>
      <c r="E590" t="s">
        <v>169</v>
      </c>
      <c r="F590" s="502">
        <v>55391</v>
      </c>
      <c r="G590" t="s">
        <v>3322</v>
      </c>
      <c r="H590">
        <v>73842</v>
      </c>
      <c r="I590">
        <v>73842</v>
      </c>
      <c r="J590" s="38">
        <v>0</v>
      </c>
      <c r="K590">
        <v>0</v>
      </c>
      <c r="L590">
        <v>0</v>
      </c>
      <c r="M590" s="38">
        <v>0</v>
      </c>
      <c r="N590">
        <v>2.9</v>
      </c>
      <c r="O590">
        <v>2836</v>
      </c>
      <c r="P590" s="37">
        <v>0</v>
      </c>
      <c r="Q590" s="37">
        <v>2.5000000000000001E-5</v>
      </c>
      <c r="R590" s="37">
        <v>-116739352856.15091</v>
      </c>
      <c r="S590">
        <v>4.6995773930000002</v>
      </c>
      <c r="T590" s="70">
        <v>15.4800005120108</v>
      </c>
      <c r="U590">
        <v>16.207495120000001</v>
      </c>
      <c r="V590">
        <v>332.41661772197273</v>
      </c>
      <c r="W590">
        <v>0</v>
      </c>
      <c r="X590" s="38">
        <v>0</v>
      </c>
      <c r="Y590">
        <v>0</v>
      </c>
      <c r="Z590" s="70">
        <v>42127090000.003906</v>
      </c>
      <c r="AA590" s="70">
        <v>0</v>
      </c>
      <c r="AB590" s="70">
        <v>42127090000.003906</v>
      </c>
      <c r="AC590" s="70">
        <v>42127090000.003906</v>
      </c>
      <c r="AD590" s="70">
        <v>42127090000.003998</v>
      </c>
      <c r="AE590" s="70">
        <v>42127090000.003906</v>
      </c>
      <c r="AF590">
        <v>0</v>
      </c>
      <c r="AG590" s="72">
        <f>Tradingbook_MSB[[#This Row],[Mat. Date]]-RPT</f>
        <v>9139</v>
      </c>
      <c r="AH590" s="71">
        <f>IF(Tradingbook_MSB[[#This Row],[Days]]&lt;=0,0,YEARFRAC(RPT,Tradingbook_MSB[[#This Row],[Mat. Date]],3))</f>
        <v>25.038356164383561</v>
      </c>
      <c r="AI590" s="71" t="str">
        <f>IF(Tradingbook_MSB[[#This Row],[Days (year)]]=0,0,INDEX(Ref!$K$2:$K$13,MATCH(Tradingbook_MSB[[#This Row],[Days (year)]],Ref!$I$2:$I$13,1)))</f>
        <v>30Y</v>
      </c>
      <c r="AJ590" s="120" t="str">
        <f>VLOOKUP(Tradingbook_MSB[[#This Row],[Security Name]],Ref!X:Z,3,0)</f>
        <v>TPCP</v>
      </c>
      <c r="AK590" s="120" t="str">
        <f>VLOOKUP(Tradingbook_MSB[[#This Row],[Security Name]],Ref!X:Y,2,0)</f>
        <v>KBNN</v>
      </c>
      <c r="AL590" s="71">
        <f>IF((Tradingbook_MSB[[#This Row],[Mat. Date]]-RPT)&lt;=0,0,Tradingbook_MSB[[#This Row],[QUANTITY]])</f>
        <v>0</v>
      </c>
      <c r="AM590" s="71">
        <f>IF(Tradingbook_MSB[[#This Row],[Quantity_edited]]=0,0,Tradingbook_MSB[[#This Row],[DURATION]])</f>
        <v>0</v>
      </c>
      <c r="AN590" s="71">
        <f>IF(Tradingbook_MSB[[#This Row],[Quantity_edited]]=0,0,Tradingbook_MSB[[#This Row],[Mod Dur]])</f>
        <v>0</v>
      </c>
      <c r="AO590" s="71">
        <f>IF(Tradingbook_MSB[[#This Row],[Quantity_edited]]=0,0,Tradingbook_MSB[[#This Row],[Cnvx.]])</f>
        <v>0</v>
      </c>
      <c r="AP590" s="71">
        <f>(Tradingbook_MSB[[#This Row],[MARKET_VALUE]]+Tradingbook_MSB[[#This Row],[Accr Int]]*Tradingbook_MSB[[#This Row],[Quantity_edited]])*(-Tradingbook_MSB[[#This Row],[Modified Duration]]*0.0001+0.5*Tradingbook_MSB[[#This Row],[Conv]]*(0.0001^2))</f>
        <v>0</v>
      </c>
      <c r="AQ590" s="72">
        <f>(Tradingbook_MSB[[#This Row],[MARKET_VALUE]]+Tradingbook_MSB[[#This Row],[Accr Int]]*Tradingbook_MSB[[#This Row],[Quantity_edited]])*(-Tradingbook_MSB[[#This Row],[Modified Duration]]*0.01+0.5*Tradingbook_MSB[[#This Row],[Conv]]*(0.01^2))</f>
        <v>0</v>
      </c>
    </row>
    <row r="591" spans="2:43" x14ac:dyDescent="0.3">
      <c r="B591" t="s">
        <v>166</v>
      </c>
      <c r="C591" t="s">
        <v>3303</v>
      </c>
      <c r="D591" t="s">
        <v>2371</v>
      </c>
      <c r="E591" t="s">
        <v>169</v>
      </c>
      <c r="F591" s="502">
        <v>55531</v>
      </c>
      <c r="G591" t="s">
        <v>3322</v>
      </c>
      <c r="H591">
        <v>73584</v>
      </c>
      <c r="I591">
        <v>73584</v>
      </c>
      <c r="J591" s="38">
        <v>0</v>
      </c>
      <c r="K591">
        <v>0</v>
      </c>
      <c r="L591">
        <v>0</v>
      </c>
      <c r="M591" s="38">
        <v>0</v>
      </c>
      <c r="N591">
        <v>2.9</v>
      </c>
      <c r="O591">
        <v>1724</v>
      </c>
      <c r="P591" s="37">
        <v>0</v>
      </c>
      <c r="Q591" s="37">
        <v>0</v>
      </c>
      <c r="R591" s="37">
        <v>-26865759372.347214</v>
      </c>
      <c r="S591">
        <v>4.7021866250000004</v>
      </c>
      <c r="T591" s="70">
        <v>15.8439153373218</v>
      </c>
      <c r="U591">
        <v>16.588925809999999</v>
      </c>
      <c r="V591">
        <v>344.16687027631701</v>
      </c>
      <c r="W591">
        <v>0</v>
      </c>
      <c r="X591" s="38">
        <v>0</v>
      </c>
      <c r="Y591">
        <v>0</v>
      </c>
      <c r="Z591" s="70">
        <v>7132340000</v>
      </c>
      <c r="AA591" s="70">
        <v>0</v>
      </c>
      <c r="AB591" s="70">
        <v>7132340000</v>
      </c>
      <c r="AC591" s="70">
        <v>7132340000</v>
      </c>
      <c r="AD591" s="70">
        <v>7132340000</v>
      </c>
      <c r="AE591" s="70">
        <v>7132340000</v>
      </c>
      <c r="AF591">
        <v>0</v>
      </c>
      <c r="AG591" s="72">
        <f>Tradingbook_MSB[[#This Row],[Mat. Date]]-RPT</f>
        <v>9279</v>
      </c>
      <c r="AH591" s="71">
        <f>IF(Tradingbook_MSB[[#This Row],[Days]]&lt;=0,0,YEARFRAC(RPT,Tradingbook_MSB[[#This Row],[Mat. Date]],3))</f>
        <v>25.421917808219177</v>
      </c>
      <c r="AI591" s="71" t="str">
        <f>IF(Tradingbook_MSB[[#This Row],[Days (year)]]=0,0,INDEX(Ref!$K$2:$K$13,MATCH(Tradingbook_MSB[[#This Row],[Days (year)]],Ref!$I$2:$I$13,1)))</f>
        <v>30Y</v>
      </c>
      <c r="AJ591" s="120" t="str">
        <f>VLOOKUP(Tradingbook_MSB[[#This Row],[Security Name]],Ref!X:Z,3,0)</f>
        <v>TPCP</v>
      </c>
      <c r="AK591" s="120" t="str">
        <f>VLOOKUP(Tradingbook_MSB[[#This Row],[Security Name]],Ref!X:Y,2,0)</f>
        <v>KBNN</v>
      </c>
      <c r="AL591" s="71">
        <f>IF((Tradingbook_MSB[[#This Row],[Mat. Date]]-RPT)&lt;=0,0,Tradingbook_MSB[[#This Row],[QUANTITY]])</f>
        <v>0</v>
      </c>
      <c r="AM591" s="71">
        <f>IF(Tradingbook_MSB[[#This Row],[Quantity_edited]]=0,0,Tradingbook_MSB[[#This Row],[DURATION]])</f>
        <v>0</v>
      </c>
      <c r="AN591" s="71">
        <f>IF(Tradingbook_MSB[[#This Row],[Quantity_edited]]=0,0,Tradingbook_MSB[[#This Row],[Mod Dur]])</f>
        <v>0</v>
      </c>
      <c r="AO591" s="71">
        <f>IF(Tradingbook_MSB[[#This Row],[Quantity_edited]]=0,0,Tradingbook_MSB[[#This Row],[Cnvx.]])</f>
        <v>0</v>
      </c>
      <c r="AP591" s="71">
        <f>(Tradingbook_MSB[[#This Row],[MARKET_VALUE]]+Tradingbook_MSB[[#This Row],[Accr Int]]*Tradingbook_MSB[[#This Row],[Quantity_edited]])*(-Tradingbook_MSB[[#This Row],[Modified Duration]]*0.0001+0.5*Tradingbook_MSB[[#This Row],[Conv]]*(0.0001^2))</f>
        <v>0</v>
      </c>
      <c r="AQ591" s="72">
        <f>(Tradingbook_MSB[[#This Row],[MARKET_VALUE]]+Tradingbook_MSB[[#This Row],[Accr Int]]*Tradingbook_MSB[[#This Row],[Quantity_edited]])*(-Tradingbook_MSB[[#This Row],[Modified Duration]]*0.01+0.5*Tradingbook_MSB[[#This Row],[Conv]]*(0.01^2))</f>
        <v>0</v>
      </c>
    </row>
    <row r="592" spans="2:43" x14ac:dyDescent="0.3">
      <c r="B592" t="s">
        <v>166</v>
      </c>
      <c r="C592" t="s">
        <v>3303</v>
      </c>
      <c r="D592" t="s">
        <v>2497</v>
      </c>
      <c r="E592" t="s">
        <v>169</v>
      </c>
      <c r="F592" s="502">
        <v>55966</v>
      </c>
      <c r="G592" t="s">
        <v>3322</v>
      </c>
      <c r="H592">
        <v>92330</v>
      </c>
      <c r="I592">
        <v>92330</v>
      </c>
      <c r="J592" s="38">
        <v>0</v>
      </c>
      <c r="K592">
        <v>0</v>
      </c>
      <c r="L592">
        <v>0</v>
      </c>
      <c r="M592" s="38">
        <v>0</v>
      </c>
      <c r="N592">
        <v>4.2</v>
      </c>
      <c r="O592">
        <v>1703</v>
      </c>
      <c r="P592" s="37">
        <v>29400000000</v>
      </c>
      <c r="Q592" s="37">
        <v>32137536666.666763</v>
      </c>
      <c r="R592" s="37">
        <v>-249119675995.7139</v>
      </c>
      <c r="S592">
        <v>4.7101924540000004</v>
      </c>
      <c r="T592" s="70">
        <v>15.0779556773807</v>
      </c>
      <c r="U592">
        <v>15.788156409999999</v>
      </c>
      <c r="V592">
        <v>325.46127060580602</v>
      </c>
      <c r="W592">
        <v>0</v>
      </c>
      <c r="X592" s="38">
        <v>0</v>
      </c>
      <c r="Y592">
        <v>0</v>
      </c>
      <c r="Z592" s="70">
        <v>183343992000.00391</v>
      </c>
      <c r="AA592" s="70">
        <v>0</v>
      </c>
      <c r="AB592" s="70">
        <v>183343992000.00391</v>
      </c>
      <c r="AC592" s="70">
        <v>183343992000.00391</v>
      </c>
      <c r="AD592" s="70">
        <v>183343992000.004</v>
      </c>
      <c r="AE592" s="70">
        <v>183343992000.00391</v>
      </c>
      <c r="AF592">
        <v>0</v>
      </c>
      <c r="AG592" s="72">
        <f>Tradingbook_MSB[[#This Row],[Mat. Date]]-RPT</f>
        <v>9714</v>
      </c>
      <c r="AH592" s="71">
        <f>IF(Tradingbook_MSB[[#This Row],[Days]]&lt;=0,0,YEARFRAC(RPT,Tradingbook_MSB[[#This Row],[Mat. Date]],3))</f>
        <v>26.613698630136987</v>
      </c>
      <c r="AI592" s="71" t="str">
        <f>IF(Tradingbook_MSB[[#This Row],[Days (year)]]=0,0,INDEX(Ref!$K$2:$K$13,MATCH(Tradingbook_MSB[[#This Row],[Days (year)]],Ref!$I$2:$I$13,1)))</f>
        <v>30Y</v>
      </c>
      <c r="AJ592" s="120" t="str">
        <f>VLOOKUP(Tradingbook_MSB[[#This Row],[Security Name]],Ref!X:Z,3,0)</f>
        <v>TPCP</v>
      </c>
      <c r="AK592" s="120" t="str">
        <f>VLOOKUP(Tradingbook_MSB[[#This Row],[Security Name]],Ref!X:Y,2,0)</f>
        <v>KBNN</v>
      </c>
      <c r="AL592" s="71">
        <f>IF((Tradingbook_MSB[[#This Row],[Mat. Date]]-RPT)&lt;=0,0,Tradingbook_MSB[[#This Row],[QUANTITY]])</f>
        <v>0</v>
      </c>
      <c r="AM592" s="71">
        <f>IF(Tradingbook_MSB[[#This Row],[Quantity_edited]]=0,0,Tradingbook_MSB[[#This Row],[DURATION]])</f>
        <v>0</v>
      </c>
      <c r="AN592" s="71">
        <f>IF(Tradingbook_MSB[[#This Row],[Quantity_edited]]=0,0,Tradingbook_MSB[[#This Row],[Mod Dur]])</f>
        <v>0</v>
      </c>
      <c r="AO592" s="71">
        <f>IF(Tradingbook_MSB[[#This Row],[Quantity_edited]]=0,0,Tradingbook_MSB[[#This Row],[Cnvx.]])</f>
        <v>0</v>
      </c>
      <c r="AP592" s="71">
        <f>(Tradingbook_MSB[[#This Row],[MARKET_VALUE]]+Tradingbook_MSB[[#This Row],[Accr Int]]*Tradingbook_MSB[[#This Row],[Quantity_edited]])*(-Tradingbook_MSB[[#This Row],[Modified Duration]]*0.0001+0.5*Tradingbook_MSB[[#This Row],[Conv]]*(0.0001^2))</f>
        <v>0</v>
      </c>
      <c r="AQ592" s="72">
        <f>(Tradingbook_MSB[[#This Row],[MARKET_VALUE]]+Tradingbook_MSB[[#This Row],[Accr Int]]*Tradingbook_MSB[[#This Row],[Quantity_edited]])*(-Tradingbook_MSB[[#This Row],[Modified Duration]]*0.01+0.5*Tradingbook_MSB[[#This Row],[Conv]]*(0.01^2))</f>
        <v>0</v>
      </c>
    </row>
    <row r="593" spans="2:43" x14ac:dyDescent="0.3">
      <c r="B593" t="s">
        <v>166</v>
      </c>
      <c r="C593" t="s">
        <v>3303</v>
      </c>
      <c r="D593" t="s">
        <v>3026</v>
      </c>
      <c r="E593" t="s">
        <v>169</v>
      </c>
      <c r="F593" s="502">
        <v>56267</v>
      </c>
      <c r="G593" t="s">
        <v>3322</v>
      </c>
      <c r="H593">
        <v>70844</v>
      </c>
      <c r="I593">
        <v>70844</v>
      </c>
      <c r="J593" s="38">
        <v>0</v>
      </c>
      <c r="K593">
        <v>0</v>
      </c>
      <c r="L593">
        <v>0</v>
      </c>
      <c r="M593" s="38">
        <v>0</v>
      </c>
      <c r="N593">
        <v>2.8</v>
      </c>
      <c r="O593">
        <v>1626</v>
      </c>
      <c r="P593" s="37">
        <v>0</v>
      </c>
      <c r="Q593" s="37">
        <v>9.0000000000000002E-6</v>
      </c>
      <c r="R593" s="37">
        <v>-63245157959.708267</v>
      </c>
      <c r="S593">
        <v>4.7157167209999997</v>
      </c>
      <c r="T593" s="70">
        <v>16.616543770634301</v>
      </c>
      <c r="U593">
        <v>17.400132899999999</v>
      </c>
      <c r="V593">
        <v>383.97952550017288</v>
      </c>
      <c r="W593">
        <v>0</v>
      </c>
      <c r="X593" s="38">
        <v>0</v>
      </c>
      <c r="Y593">
        <v>0</v>
      </c>
      <c r="Z593" s="70">
        <v>13288470000.000977</v>
      </c>
      <c r="AA593" s="70">
        <v>0</v>
      </c>
      <c r="AB593" s="70">
        <v>13288470000.000977</v>
      </c>
      <c r="AC593" s="70">
        <v>13288470000.000977</v>
      </c>
      <c r="AD593" s="70">
        <v>13288470000.000999</v>
      </c>
      <c r="AE593" s="70">
        <v>13288470000.000977</v>
      </c>
      <c r="AF593">
        <v>0</v>
      </c>
      <c r="AG593" s="72">
        <f>Tradingbook_MSB[[#This Row],[Mat. Date]]-RPT</f>
        <v>10015</v>
      </c>
      <c r="AH593" s="71">
        <f>IF(Tradingbook_MSB[[#This Row],[Days]]&lt;=0,0,YEARFRAC(RPT,Tradingbook_MSB[[#This Row],[Mat. Date]],3))</f>
        <v>27.438356164383563</v>
      </c>
      <c r="AI593" s="71" t="str">
        <f>IF(Tradingbook_MSB[[#This Row],[Days (year)]]=0,0,INDEX(Ref!$K$2:$K$13,MATCH(Tradingbook_MSB[[#This Row],[Days (year)]],Ref!$I$2:$I$13,1)))</f>
        <v>30Y</v>
      </c>
      <c r="AJ593" s="120" t="str">
        <f>VLOOKUP(Tradingbook_MSB[[#This Row],[Security Name]],Ref!X:Z,3,0)</f>
        <v>TPCP</v>
      </c>
      <c r="AK593" s="120" t="str">
        <f>VLOOKUP(Tradingbook_MSB[[#This Row],[Security Name]],Ref!X:Y,2,0)</f>
        <v>KBNN</v>
      </c>
      <c r="AL593" s="71">
        <f>IF((Tradingbook_MSB[[#This Row],[Mat. Date]]-RPT)&lt;=0,0,Tradingbook_MSB[[#This Row],[QUANTITY]])</f>
        <v>0</v>
      </c>
      <c r="AM593" s="71">
        <f>IF(Tradingbook_MSB[[#This Row],[Quantity_edited]]=0,0,Tradingbook_MSB[[#This Row],[DURATION]])</f>
        <v>0</v>
      </c>
      <c r="AN593" s="71">
        <f>IF(Tradingbook_MSB[[#This Row],[Quantity_edited]]=0,0,Tradingbook_MSB[[#This Row],[Mod Dur]])</f>
        <v>0</v>
      </c>
      <c r="AO593" s="71">
        <f>IF(Tradingbook_MSB[[#This Row],[Quantity_edited]]=0,0,Tradingbook_MSB[[#This Row],[Cnvx.]])</f>
        <v>0</v>
      </c>
      <c r="AP593" s="71">
        <f>(Tradingbook_MSB[[#This Row],[MARKET_VALUE]]+Tradingbook_MSB[[#This Row],[Accr Int]]*Tradingbook_MSB[[#This Row],[Quantity_edited]])*(-Tradingbook_MSB[[#This Row],[Modified Duration]]*0.0001+0.5*Tradingbook_MSB[[#This Row],[Conv]]*(0.0001^2))</f>
        <v>0</v>
      </c>
      <c r="AQ593" s="72">
        <f>(Tradingbook_MSB[[#This Row],[MARKET_VALUE]]+Tradingbook_MSB[[#This Row],[Accr Int]]*Tradingbook_MSB[[#This Row],[Quantity_edited]])*(-Tradingbook_MSB[[#This Row],[Modified Duration]]*0.01+0.5*Tradingbook_MSB[[#This Row],[Conv]]*(0.01^2))</f>
        <v>0</v>
      </c>
    </row>
    <row r="594" spans="2:43" x14ac:dyDescent="0.3">
      <c r="B594" t="s">
        <v>166</v>
      </c>
      <c r="C594" t="s">
        <v>3303</v>
      </c>
      <c r="D594" t="s">
        <v>3306</v>
      </c>
      <c r="E594" t="s">
        <v>169</v>
      </c>
      <c r="F594" s="502">
        <v>56413</v>
      </c>
      <c r="G594" t="s">
        <v>3322</v>
      </c>
      <c r="H594">
        <v>75201</v>
      </c>
      <c r="I594">
        <v>75201</v>
      </c>
      <c r="J594" s="38">
        <v>0</v>
      </c>
      <c r="K594">
        <v>0</v>
      </c>
      <c r="L594">
        <v>0</v>
      </c>
      <c r="M594" s="38">
        <v>0</v>
      </c>
      <c r="N594">
        <v>3.1</v>
      </c>
      <c r="O594">
        <v>561</v>
      </c>
      <c r="P594" s="37">
        <v>0</v>
      </c>
      <c r="Q594" s="37">
        <v>7.9999999999999996E-6</v>
      </c>
      <c r="R594" s="37">
        <v>-24241642184.583462</v>
      </c>
      <c r="S594">
        <v>4.7184129390000003</v>
      </c>
      <c r="T594" s="70">
        <v>16.620291155745001</v>
      </c>
      <c r="U594">
        <v>17.40450512</v>
      </c>
      <c r="V594">
        <v>383.98620001742808</v>
      </c>
      <c r="W594">
        <v>0</v>
      </c>
      <c r="X594" s="38">
        <v>0</v>
      </c>
      <c r="Y594">
        <v>0</v>
      </c>
      <c r="Z594" s="70">
        <v>6262500000.0004883</v>
      </c>
      <c r="AA594" s="70">
        <v>0</v>
      </c>
      <c r="AB594" s="70">
        <v>6262500000.0004883</v>
      </c>
      <c r="AC594" s="70">
        <v>6262500000.0004883</v>
      </c>
      <c r="AD594" s="70">
        <v>6262500000</v>
      </c>
      <c r="AE594" s="70">
        <v>6262500000.0004883</v>
      </c>
      <c r="AF594">
        <v>0</v>
      </c>
      <c r="AG594" s="72">
        <f>Tradingbook_MSB[[#This Row],[Mat. Date]]-RPT</f>
        <v>10161</v>
      </c>
      <c r="AH594" s="71">
        <f>IF(Tradingbook_MSB[[#This Row],[Days]]&lt;=0,0,YEARFRAC(RPT,Tradingbook_MSB[[#This Row],[Mat. Date]],3))</f>
        <v>27.838356164383562</v>
      </c>
      <c r="AI594" s="71" t="str">
        <f>IF(Tradingbook_MSB[[#This Row],[Days (year)]]=0,0,INDEX(Ref!$K$2:$K$13,MATCH(Tradingbook_MSB[[#This Row],[Days (year)]],Ref!$I$2:$I$13,1)))</f>
        <v>30Y</v>
      </c>
      <c r="AJ594" s="120" t="str">
        <f>VLOOKUP(Tradingbook_MSB[[#This Row],[Security Name]],Ref!X:Z,3,0)</f>
        <v>TPCP</v>
      </c>
      <c r="AK594" s="120" t="str">
        <f>VLOOKUP(Tradingbook_MSB[[#This Row],[Security Name]],Ref!X:Y,2,0)</f>
        <v>KBNN</v>
      </c>
      <c r="AL594" s="71">
        <f>IF((Tradingbook_MSB[[#This Row],[Mat. Date]]-RPT)&lt;=0,0,Tradingbook_MSB[[#This Row],[QUANTITY]])</f>
        <v>0</v>
      </c>
      <c r="AM594" s="71">
        <f>IF(Tradingbook_MSB[[#This Row],[Quantity_edited]]=0,0,Tradingbook_MSB[[#This Row],[DURATION]])</f>
        <v>0</v>
      </c>
      <c r="AN594" s="71">
        <f>IF(Tradingbook_MSB[[#This Row],[Quantity_edited]]=0,0,Tradingbook_MSB[[#This Row],[Mod Dur]])</f>
        <v>0</v>
      </c>
      <c r="AO594" s="71">
        <f>IF(Tradingbook_MSB[[#This Row],[Quantity_edited]]=0,0,Tradingbook_MSB[[#This Row],[Cnvx.]])</f>
        <v>0</v>
      </c>
      <c r="AP594" s="71">
        <f>(Tradingbook_MSB[[#This Row],[MARKET_VALUE]]+Tradingbook_MSB[[#This Row],[Accr Int]]*Tradingbook_MSB[[#This Row],[Quantity_edited]])*(-Tradingbook_MSB[[#This Row],[Modified Duration]]*0.0001+0.5*Tradingbook_MSB[[#This Row],[Conv]]*(0.0001^2))</f>
        <v>0</v>
      </c>
      <c r="AQ594" s="72">
        <f>(Tradingbook_MSB[[#This Row],[MARKET_VALUE]]+Tradingbook_MSB[[#This Row],[Accr Int]]*Tradingbook_MSB[[#This Row],[Quantity_edited]])*(-Tradingbook_MSB[[#This Row],[Modified Duration]]*0.01+0.5*Tradingbook_MSB[[#This Row],[Conv]]*(0.01^2))</f>
        <v>0</v>
      </c>
    </row>
    <row r="596" spans="2:43" x14ac:dyDescent="0.3">
      <c r="F596" s="49"/>
      <c r="G596" s="49"/>
      <c r="H596" s="523"/>
      <c r="I596" s="523"/>
      <c r="J596" s="523"/>
    </row>
    <row r="597" spans="2:43" x14ac:dyDescent="0.3">
      <c r="F597" s="49"/>
      <c r="G597" s="49"/>
      <c r="H597" s="523"/>
      <c r="I597" s="523"/>
      <c r="J597" s="523"/>
    </row>
    <row r="598" spans="2:43" x14ac:dyDescent="0.3">
      <c r="F598" s="49"/>
      <c r="G598" s="49"/>
      <c r="H598" s="523"/>
      <c r="I598" s="523"/>
      <c r="J598" s="523"/>
    </row>
    <row r="599" spans="2:43" x14ac:dyDescent="0.3">
      <c r="F599" s="49"/>
      <c r="G599" s="49"/>
      <c r="H599" s="523"/>
      <c r="I599" s="523"/>
      <c r="J599" s="523"/>
    </row>
    <row r="600" spans="2:43" x14ac:dyDescent="0.3">
      <c r="F600" s="49"/>
      <c r="G600" s="49"/>
      <c r="H600" s="523"/>
      <c r="I600" s="523"/>
      <c r="J600" s="523"/>
    </row>
    <row r="601" spans="2:43" x14ac:dyDescent="0.3">
      <c r="F601" s="49"/>
      <c r="G601" s="49"/>
      <c r="H601" s="523"/>
      <c r="I601" s="523"/>
      <c r="J601" s="523"/>
    </row>
    <row r="602" spans="2:43" x14ac:dyDescent="0.3">
      <c r="F602" s="49"/>
      <c r="G602" s="49"/>
      <c r="H602" s="523"/>
      <c r="I602" s="523"/>
      <c r="J602" s="523"/>
    </row>
    <row r="603" spans="2:43" x14ac:dyDescent="0.3">
      <c r="F603" s="49"/>
      <c r="G603" s="49"/>
      <c r="H603" s="523"/>
      <c r="I603" s="523"/>
      <c r="J603" s="523"/>
    </row>
    <row r="604" spans="2:43" x14ac:dyDescent="0.3">
      <c r="F604" s="49"/>
      <c r="G604" s="49"/>
      <c r="H604" s="523"/>
      <c r="I604" s="523"/>
      <c r="J604" s="523"/>
    </row>
    <row r="605" spans="2:43" x14ac:dyDescent="0.3">
      <c r="F605" s="49"/>
      <c r="G605" s="49"/>
      <c r="H605" s="523"/>
      <c r="I605" s="523"/>
      <c r="J605" s="523"/>
    </row>
    <row r="606" spans="2:43" x14ac:dyDescent="0.3">
      <c r="F606" s="49"/>
      <c r="G606" s="49"/>
      <c r="H606" s="523"/>
      <c r="I606" s="523"/>
      <c r="J606" s="523"/>
    </row>
    <row r="607" spans="2:43" x14ac:dyDescent="0.3">
      <c r="F607" s="49"/>
      <c r="G607" s="49"/>
      <c r="H607" s="523"/>
      <c r="I607" s="523"/>
      <c r="J607" s="523"/>
    </row>
    <row r="608" spans="2:43" x14ac:dyDescent="0.3">
      <c r="F608" s="49"/>
      <c r="G608" s="49"/>
      <c r="H608" s="523"/>
      <c r="I608" s="523"/>
      <c r="J608" s="523"/>
    </row>
    <row r="609" spans="6:118" x14ac:dyDescent="0.3">
      <c r="F609" s="49"/>
      <c r="G609" s="49"/>
      <c r="H609" s="523"/>
      <c r="I609" s="523"/>
      <c r="J609" s="523"/>
    </row>
    <row r="610" spans="6:118" x14ac:dyDescent="0.3">
      <c r="F610" s="49"/>
      <c r="G610" s="49"/>
      <c r="H610" s="523"/>
      <c r="I610" s="523"/>
      <c r="J610" s="523"/>
    </row>
    <row r="611" spans="6:118" x14ac:dyDescent="0.3">
      <c r="F611" s="49"/>
      <c r="G611" s="49"/>
      <c r="H611" s="523"/>
      <c r="I611" s="523"/>
      <c r="J611" s="523"/>
      <c r="DE611" t="s">
        <v>173</v>
      </c>
      <c r="DF611" t="s">
        <v>173</v>
      </c>
      <c r="DG611" t="s">
        <v>173</v>
      </c>
      <c r="DH611" t="s">
        <v>173</v>
      </c>
      <c r="DI611" t="s">
        <v>173</v>
      </c>
      <c r="DJ611" s="500" t="s">
        <v>173</v>
      </c>
      <c r="DK611" s="500" t="s">
        <v>173</v>
      </c>
      <c r="DL611" s="37" t="s">
        <v>173</v>
      </c>
      <c r="DM611" s="37" t="s">
        <v>173</v>
      </c>
      <c r="DN611" s="37" t="s">
        <v>173</v>
      </c>
    </row>
    <row r="612" spans="6:118" x14ac:dyDescent="0.3">
      <c r="M612" s="37"/>
    </row>
    <row r="614" spans="6:118" x14ac:dyDescent="0.3">
      <c r="M614" s="408"/>
    </row>
  </sheetData>
  <phoneticPr fontId="91" type="noConversion"/>
  <pageMargins left="0.7" right="0.7" top="0.75" bottom="0.75" header="0.3" footer="0.3"/>
  <pageSetup paperSize="9" orientation="portrait" r:id="rId1"/>
  <tableParts count="8">
    <tablePart r:id="rId2"/>
    <tablePart r:id="rId3"/>
    <tablePart r:id="rId4"/>
    <tablePart r:id="rId5"/>
    <tablePart r:id="rId6"/>
    <tablePart r:id="rId7"/>
    <tablePart r:id="rId8"/>
    <tablePart r:id="rId9"/>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tabColor rgb="FFFFC000"/>
  </sheetPr>
  <dimension ref="A1:EK650"/>
  <sheetViews>
    <sheetView topLeftCell="CD2" zoomScale="70" zoomScaleNormal="70" workbookViewId="0">
      <selection activeCell="CO2" sqref="CO2:CQ2"/>
    </sheetView>
  </sheetViews>
  <sheetFormatPr defaultRowHeight="14.4" outlineLevelCol="1" x14ac:dyDescent="0.3"/>
  <cols>
    <col min="2" max="2" width="14.09765625" customWidth="1" outlineLevel="1"/>
    <col min="3" max="3" width="10.69921875" style="35" customWidth="1" outlineLevel="1"/>
    <col min="4" max="4" width="17.69921875" customWidth="1" outlineLevel="1"/>
    <col min="5" max="5" width="18.8984375" customWidth="1" outlineLevel="1"/>
    <col min="6" max="6" width="6.296875" customWidth="1" outlineLevel="1"/>
    <col min="7" max="7" width="16.296875" style="500" customWidth="1" outlineLevel="1"/>
    <col min="8" max="8" width="12.09765625" customWidth="1" outlineLevel="1"/>
    <col min="9" max="9" width="12.09765625" style="35" customWidth="1" outlineLevel="1"/>
    <col min="10" max="10" width="7" style="49" customWidth="1" outlineLevel="1"/>
    <col min="11" max="11" width="9.69921875" customWidth="1" outlineLevel="1"/>
    <col min="12" max="12" width="9.3984375" customWidth="1" outlineLevel="1"/>
    <col min="13" max="13" width="12.3984375" customWidth="1" outlineLevel="1"/>
    <col min="14" max="14" width="17.69921875" style="37" customWidth="1" outlineLevel="1"/>
    <col min="15" max="15" width="10.59765625" customWidth="1" outlineLevel="1"/>
    <col min="16" max="16" width="12.69921875" style="500" customWidth="1" outlineLevel="1"/>
    <col min="17" max="17" width="14.296875" style="37" customWidth="1" outlineLevel="1"/>
    <col min="18" max="18" width="9.8984375" customWidth="1" outlineLevel="1"/>
    <col min="19" max="19" width="16.59765625" style="72" customWidth="1" outlineLevel="1"/>
    <col min="20" max="20" width="14" style="32" customWidth="1" outlineLevel="1"/>
    <col min="21" max="21" width="12.8984375" style="72" customWidth="1" outlineLevel="1"/>
    <col min="22" max="22" width="7.59765625" style="72" customWidth="1" outlineLevel="1"/>
    <col min="23" max="25" width="14.09765625" style="72" customWidth="1" outlineLevel="1"/>
    <col min="26" max="26" width="9.8984375" customWidth="1"/>
    <col min="27" max="27" width="10.69921875" style="35" bestFit="1" customWidth="1"/>
    <col min="28" max="28" width="16.296875" style="37" customWidth="1" outlineLevel="1"/>
    <col min="29" max="29" width="13" style="35" customWidth="1" outlineLevel="1"/>
    <col min="30" max="30" width="15.3984375" style="37" customWidth="1" outlineLevel="1"/>
    <col min="31" max="31" width="8.8984375" customWidth="1" outlineLevel="1"/>
    <col min="32" max="32" width="9.09765625" customWidth="1" outlineLevel="1"/>
    <col min="33" max="33" width="16.296875" style="500" customWidth="1" outlineLevel="1"/>
    <col min="34" max="34" width="12.69921875" customWidth="1" outlineLevel="1"/>
    <col min="35" max="35" width="12.69921875" style="35" customWidth="1" outlineLevel="1"/>
    <col min="36" max="36" width="14.59765625" customWidth="1" outlineLevel="1"/>
    <col min="37" max="37" width="11" customWidth="1" outlineLevel="1"/>
    <col min="38" max="38" width="13" customWidth="1" outlineLevel="1"/>
    <col min="39" max="39" width="10.296875" customWidth="1" outlineLevel="1"/>
    <col min="40" max="40" width="17.69921875" style="500" customWidth="1" outlineLevel="1"/>
    <col min="41" max="41" width="8.8984375" customWidth="1" outlineLevel="1"/>
    <col min="42" max="42" width="13.3984375" style="37" customWidth="1" outlineLevel="1"/>
    <col min="43" max="43" width="14.296875" style="37" customWidth="1" outlineLevel="1"/>
    <col min="44" max="44" width="8.8984375" customWidth="1" outlineLevel="1"/>
    <col min="45" max="45" width="18" style="72" customWidth="1" outlineLevel="1"/>
    <col min="46" max="46" width="17" style="72" customWidth="1" outlineLevel="1"/>
    <col min="47" max="47" width="15.3984375" style="37" customWidth="1" outlineLevel="1"/>
    <col min="48" max="48" width="15.09765625" customWidth="1" outlineLevel="1"/>
    <col min="49" max="49" width="10.296875" customWidth="1" outlineLevel="1"/>
    <col min="50" max="50" width="9.09765625" customWidth="1" outlineLevel="1" collapsed="1"/>
    <col min="51" max="51" width="9.09765625" customWidth="1" outlineLevel="1"/>
    <col min="52" max="52" width="9.8984375" customWidth="1"/>
    <col min="53" max="53" width="9.8984375" customWidth="1" collapsed="1"/>
    <col min="54" max="54" width="9.09765625" customWidth="1" outlineLevel="1"/>
    <col min="55" max="55" width="10.69921875" style="35" customWidth="1" outlineLevel="1"/>
    <col min="56" max="56" width="11.296875" style="35" customWidth="1" outlineLevel="1"/>
    <col min="57" max="58" width="11.296875" customWidth="1" outlineLevel="1"/>
    <col min="59" max="59" width="16.296875" style="500" customWidth="1" outlineLevel="1"/>
    <col min="60" max="60" width="12.09765625" style="37" customWidth="1" outlineLevel="1"/>
    <col min="61" max="61" width="12.09765625" customWidth="1" outlineLevel="1"/>
    <col min="62" max="62" width="7.8984375" style="35" customWidth="1" outlineLevel="1"/>
    <col min="63" max="63" width="12" customWidth="1" outlineLevel="1"/>
    <col min="64" max="64" width="11.69921875" customWidth="1" outlineLevel="1"/>
    <col min="65" max="65" width="14.69921875" customWidth="1" outlineLevel="1"/>
    <col min="66" max="66" width="17.69921875" style="500" customWidth="1" outlineLevel="1"/>
    <col min="67" max="67" width="12.8984375" style="37" customWidth="1" outlineLevel="1"/>
    <col min="68" max="68" width="13.3984375" customWidth="1" outlineLevel="1"/>
    <col min="69" max="69" width="14.296875" style="37" customWidth="1" outlineLevel="1"/>
    <col min="70" max="70" width="12.09765625" style="37" customWidth="1" outlineLevel="1"/>
    <col min="71" max="71" width="17.8984375" customWidth="1" outlineLevel="1"/>
    <col min="72" max="72" width="8.8984375" customWidth="1" outlineLevel="1"/>
    <col min="73" max="73" width="11.3984375" customWidth="1" outlineLevel="1"/>
    <col min="74" max="74" width="11.3984375" customWidth="1"/>
    <col min="75" max="75" width="9.09765625" collapsed="1"/>
    <col min="76" max="76" width="15" bestFit="1" customWidth="1" outlineLevel="1"/>
    <col min="77" max="77" width="11.3984375" bestFit="1" customWidth="1" outlineLevel="1"/>
    <col min="78" max="78" width="18.3984375" style="35" bestFit="1" customWidth="1" outlineLevel="1"/>
    <col min="79" max="79" width="19.09765625" bestFit="1" customWidth="1" outlineLevel="1"/>
    <col min="80" max="80" width="7.19921875" bestFit="1" customWidth="1" outlineLevel="1"/>
    <col min="81" max="81" width="16" style="500" bestFit="1" customWidth="1" outlineLevel="1"/>
    <col min="82" max="82" width="10.69921875" style="37" bestFit="1" customWidth="1" outlineLevel="1"/>
    <col min="83" max="83" width="12.796875" bestFit="1" customWidth="1" outlineLevel="1"/>
    <col min="84" max="84" width="8.5" style="35" bestFit="1" customWidth="1" outlineLevel="1"/>
    <col min="85" max="85" width="10.296875" bestFit="1" customWidth="1" outlineLevel="1"/>
    <col min="86" max="86" width="10.3984375" bestFit="1" customWidth="1" outlineLevel="1"/>
    <col min="87" max="87" width="12.796875" bestFit="1" customWidth="1" outlineLevel="1"/>
    <col min="88" max="88" width="16.5" style="500" bestFit="1" customWidth="1" outlineLevel="1"/>
    <col min="89" max="89" width="11.3984375" style="37" bestFit="1" customWidth="1" outlineLevel="1"/>
    <col min="90" max="90" width="12.796875" style="500" bestFit="1" customWidth="1" outlineLevel="1"/>
    <col min="91" max="91" width="14" style="500" bestFit="1" customWidth="1" outlineLevel="1"/>
    <col min="92" max="92" width="10.3984375" style="37" bestFit="1" customWidth="1" outlineLevel="1"/>
    <col min="93" max="93" width="16.5" bestFit="1" customWidth="1" outlineLevel="1"/>
    <col min="94" max="94" width="6.69921875" bestFit="1" customWidth="1" outlineLevel="1"/>
    <col min="95" max="95" width="12" style="32" bestFit="1" customWidth="1" outlineLevel="1"/>
    <col min="96" max="96" width="11.3984375" customWidth="1"/>
    <col min="97" max="97" width="21" bestFit="1" customWidth="1"/>
    <col min="98" max="98" width="14.69921875" bestFit="1" customWidth="1" outlineLevel="1"/>
    <col min="99" max="99" width="18.5" bestFit="1" customWidth="1" outlineLevel="1"/>
    <col min="100" max="100" width="10.8984375" customWidth="1"/>
    <col min="101" max="101" width="22.09765625" style="38" bestFit="1" customWidth="1"/>
    <col min="102" max="102" width="8.8984375" customWidth="1"/>
    <col min="103" max="103" width="11.69921875" customWidth="1"/>
    <col min="105" max="105" width="16.09765625" bestFit="1" customWidth="1"/>
    <col min="106" max="106" width="11" customWidth="1"/>
    <col min="107" max="107" width="12" style="10" customWidth="1"/>
    <col min="108" max="108" width="16.296875" bestFit="1" customWidth="1"/>
    <col min="109" max="110" width="14.296875" customWidth="1"/>
    <col min="111" max="111" width="12.3984375" style="35" customWidth="1"/>
    <col min="112" max="112" width="11.09765625" style="35" bestFit="1" customWidth="1"/>
    <col min="113" max="113" width="17.3984375" style="72" bestFit="1" customWidth="1"/>
    <col min="114" max="114" width="12.3984375" style="35" customWidth="1"/>
    <col min="115" max="115" width="13.69921875" style="35" bestFit="1" customWidth="1"/>
    <col min="116" max="118" width="13.69921875" style="35" customWidth="1"/>
    <col min="119" max="119" width="12.296875" style="35" bestFit="1" customWidth="1"/>
    <col min="120" max="121" width="13.69921875" style="35" customWidth="1"/>
    <col min="122" max="122" width="16.59765625" style="35" bestFit="1" customWidth="1"/>
    <col min="123" max="124" width="19.8984375" style="35" bestFit="1" customWidth="1"/>
    <col min="125" max="125" width="13.69921875" style="35" customWidth="1"/>
    <col min="126" max="126" width="15.69921875" style="35" bestFit="1" customWidth="1"/>
    <col min="127" max="127" width="18.69921875" style="35" bestFit="1" customWidth="1"/>
    <col min="128" max="129" width="8.8984375" customWidth="1"/>
    <col min="130" max="130" width="11.69921875" customWidth="1"/>
    <col min="131" max="131" width="8.09765625" bestFit="1" customWidth="1"/>
    <col min="132" max="132" width="16.09765625" bestFit="1" customWidth="1"/>
    <col min="133" max="133" width="11" customWidth="1"/>
    <col min="134" max="134" width="8.09765625" customWidth="1"/>
    <col min="135" max="135" width="16.8984375" bestFit="1" customWidth="1"/>
    <col min="136" max="136" width="14.296875" customWidth="1"/>
    <col min="137" max="137" width="11.8984375" bestFit="1" customWidth="1"/>
    <col min="138" max="138" width="10.69921875" bestFit="1" customWidth="1"/>
    <col min="139" max="139" width="10.69921875" customWidth="1"/>
    <col min="140" max="140" width="17.3984375" bestFit="1" customWidth="1"/>
    <col min="141" max="141" width="8.8984375" customWidth="1"/>
  </cols>
  <sheetData>
    <row r="1" spans="1:141" x14ac:dyDescent="0.3">
      <c r="A1" s="8" t="s">
        <v>3037</v>
      </c>
      <c r="B1" t="s">
        <v>3551</v>
      </c>
      <c r="C1" s="35" t="s">
        <v>3061</v>
      </c>
      <c r="D1" t="s">
        <v>827</v>
      </c>
      <c r="E1" t="s">
        <v>3036</v>
      </c>
      <c r="F1" t="s">
        <v>843</v>
      </c>
      <c r="G1" s="500" t="s">
        <v>844</v>
      </c>
      <c r="H1" t="s">
        <v>845</v>
      </c>
      <c r="I1" s="35" t="s">
        <v>846</v>
      </c>
      <c r="J1" s="49" t="s">
        <v>828</v>
      </c>
      <c r="K1" t="s">
        <v>847</v>
      </c>
      <c r="L1" t="s">
        <v>848</v>
      </c>
      <c r="M1" t="s">
        <v>849</v>
      </c>
      <c r="N1" s="37" t="s">
        <v>850</v>
      </c>
      <c r="O1" t="s">
        <v>851</v>
      </c>
      <c r="P1" s="500" t="s">
        <v>852</v>
      </c>
      <c r="Q1" s="37" t="s">
        <v>853</v>
      </c>
      <c r="R1" t="s">
        <v>854</v>
      </c>
      <c r="S1" s="72" t="s">
        <v>3682</v>
      </c>
      <c r="T1" s="32" t="s">
        <v>3684</v>
      </c>
      <c r="U1" s="72" t="s">
        <v>2920</v>
      </c>
      <c r="V1" s="72" t="s">
        <v>876</v>
      </c>
      <c r="W1" s="72" t="s">
        <v>3099</v>
      </c>
      <c r="X1" s="72" t="s">
        <v>3098</v>
      </c>
      <c r="Y1" s="72" t="s">
        <v>3573</v>
      </c>
      <c r="AA1" s="403" t="s">
        <v>3038</v>
      </c>
      <c r="AB1" t="s">
        <v>826</v>
      </c>
      <c r="AC1" s="35" t="s">
        <v>800</v>
      </c>
      <c r="AD1" t="s">
        <v>827</v>
      </c>
      <c r="AE1" t="s">
        <v>835</v>
      </c>
      <c r="AF1" t="s">
        <v>843</v>
      </c>
      <c r="AG1" s="500" t="s">
        <v>844</v>
      </c>
      <c r="AH1" t="s">
        <v>845</v>
      </c>
      <c r="AI1" s="35" t="s">
        <v>846</v>
      </c>
      <c r="AJ1" t="s">
        <v>828</v>
      </c>
      <c r="AK1" t="s">
        <v>847</v>
      </c>
      <c r="AL1" t="s">
        <v>848</v>
      </c>
      <c r="AM1" t="s">
        <v>849</v>
      </c>
      <c r="AN1" s="500" t="s">
        <v>850</v>
      </c>
      <c r="AO1" t="s">
        <v>851</v>
      </c>
      <c r="AP1" s="37" t="s">
        <v>852</v>
      </c>
      <c r="AQ1" s="37" t="s">
        <v>853</v>
      </c>
      <c r="AR1" t="s">
        <v>854</v>
      </c>
      <c r="AS1" s="72" t="s">
        <v>2197</v>
      </c>
      <c r="AT1" s="72" t="s">
        <v>3682</v>
      </c>
      <c r="AU1" s="72" t="s">
        <v>3684</v>
      </c>
      <c r="AV1" s="157" t="s">
        <v>2920</v>
      </c>
      <c r="AW1" s="72" t="s">
        <v>3098</v>
      </c>
      <c r="AX1" s="262" t="s">
        <v>876</v>
      </c>
      <c r="AY1" s="262" t="s">
        <v>3578</v>
      </c>
      <c r="BA1" s="8" t="s">
        <v>3039</v>
      </c>
      <c r="BB1" t="s">
        <v>826</v>
      </c>
      <c r="BC1" s="35" t="s">
        <v>800</v>
      </c>
      <c r="BD1" t="s">
        <v>827</v>
      </c>
      <c r="BE1" t="s">
        <v>835</v>
      </c>
      <c r="BF1" t="s">
        <v>843</v>
      </c>
      <c r="BG1" s="500" t="s">
        <v>844</v>
      </c>
      <c r="BH1" t="s">
        <v>845</v>
      </c>
      <c r="BI1" s="35" t="s">
        <v>846</v>
      </c>
      <c r="BJ1" t="s">
        <v>828</v>
      </c>
      <c r="BK1" t="s">
        <v>847</v>
      </c>
      <c r="BL1" t="s">
        <v>848</v>
      </c>
      <c r="BM1" t="s">
        <v>849</v>
      </c>
      <c r="BN1" s="500" t="s">
        <v>850</v>
      </c>
      <c r="BO1" t="s">
        <v>851</v>
      </c>
      <c r="BP1" s="37" t="s">
        <v>852</v>
      </c>
      <c r="BQ1" s="37" t="s">
        <v>853</v>
      </c>
      <c r="BR1" t="s">
        <v>854</v>
      </c>
      <c r="BS1" s="72" t="s">
        <v>3683</v>
      </c>
      <c r="BT1" s="72" t="s">
        <v>2171</v>
      </c>
      <c r="BU1" s="32" t="s">
        <v>2920</v>
      </c>
      <c r="BW1" s="8" t="s">
        <v>3040</v>
      </c>
      <c r="BX1" s="37" t="s">
        <v>826</v>
      </c>
      <c r="BY1" s="37" t="s">
        <v>800</v>
      </c>
      <c r="BZ1" s="37" t="s">
        <v>827</v>
      </c>
      <c r="CA1" s="37" t="s">
        <v>835</v>
      </c>
      <c r="CB1" s="37" t="s">
        <v>843</v>
      </c>
      <c r="CC1" s="500" t="s">
        <v>844</v>
      </c>
      <c r="CD1" s="37" t="s">
        <v>845</v>
      </c>
      <c r="CE1" s="37" t="s">
        <v>846</v>
      </c>
      <c r="CF1" s="37" t="s">
        <v>828</v>
      </c>
      <c r="CG1" s="37" t="s">
        <v>847</v>
      </c>
      <c r="CH1" s="37" t="s">
        <v>848</v>
      </c>
      <c r="CI1" s="37" t="s">
        <v>849</v>
      </c>
      <c r="CJ1" s="500" t="s">
        <v>850</v>
      </c>
      <c r="CK1" s="37" t="s">
        <v>851</v>
      </c>
      <c r="CL1" s="500" t="s">
        <v>852</v>
      </c>
      <c r="CM1" s="500" t="s">
        <v>853</v>
      </c>
      <c r="CN1" s="37" t="s">
        <v>854</v>
      </c>
      <c r="CO1" s="72" t="s">
        <v>3685</v>
      </c>
      <c r="CP1" s="72" t="s">
        <v>2171</v>
      </c>
      <c r="CQ1" s="72" t="s">
        <v>2920</v>
      </c>
      <c r="CS1" s="8" t="s">
        <v>3637</v>
      </c>
      <c r="CT1" t="s">
        <v>2815</v>
      </c>
      <c r="CU1" t="s">
        <v>3636</v>
      </c>
      <c r="CW1" s="781" t="s">
        <v>3998</v>
      </c>
      <c r="CX1" s="773" t="s">
        <v>3235</v>
      </c>
      <c r="CY1" s="424" t="s">
        <v>3944</v>
      </c>
      <c r="CZ1" s="424" t="s">
        <v>794</v>
      </c>
      <c r="DA1" s="774" t="s">
        <v>844</v>
      </c>
      <c r="DB1" s="424" t="s">
        <v>847</v>
      </c>
      <c r="DC1" s="775" t="s">
        <v>828</v>
      </c>
      <c r="DD1" s="784" t="s">
        <v>3537</v>
      </c>
      <c r="DE1" s="784" t="s">
        <v>3971</v>
      </c>
      <c r="DF1" s="784" t="s">
        <v>3996</v>
      </c>
      <c r="DG1" s="785" t="s">
        <v>3967</v>
      </c>
      <c r="DH1" s="785" t="s">
        <v>3993</v>
      </c>
      <c r="DI1" s="789" t="s">
        <v>3994</v>
      </c>
      <c r="DJ1" s="785" t="s">
        <v>852</v>
      </c>
      <c r="DK1" s="785" t="s">
        <v>4014</v>
      </c>
      <c r="DL1" s="785" t="s">
        <v>10</v>
      </c>
      <c r="DM1" s="785" t="s">
        <v>843</v>
      </c>
      <c r="DN1" s="785" t="s">
        <v>876</v>
      </c>
      <c r="DO1" s="785" t="s">
        <v>817</v>
      </c>
      <c r="DP1" s="785" t="s">
        <v>3283</v>
      </c>
      <c r="DQ1" s="785" t="s">
        <v>735</v>
      </c>
      <c r="DR1" s="785" t="s">
        <v>2114</v>
      </c>
      <c r="DS1" s="785" t="s">
        <v>4038</v>
      </c>
      <c r="DT1" s="785" t="s">
        <v>4039</v>
      </c>
      <c r="DU1" s="785" t="s">
        <v>3098</v>
      </c>
      <c r="DV1" s="785" t="s">
        <v>3573</v>
      </c>
      <c r="DW1" s="783"/>
      <c r="DX1" s="781" t="s">
        <v>4055</v>
      </c>
      <c r="DY1" s="773" t="s">
        <v>3235</v>
      </c>
      <c r="DZ1" s="424" t="s">
        <v>3944</v>
      </c>
      <c r="EA1" s="424" t="s">
        <v>794</v>
      </c>
      <c r="EB1" s="774" t="s">
        <v>844</v>
      </c>
      <c r="EC1" s="424" t="s">
        <v>847</v>
      </c>
      <c r="ED1" s="775" t="s">
        <v>828</v>
      </c>
      <c r="EE1" s="784" t="s">
        <v>3537</v>
      </c>
      <c r="EF1" s="784" t="s">
        <v>3953</v>
      </c>
      <c r="EG1" s="785" t="s">
        <v>3996</v>
      </c>
      <c r="EH1" s="785" t="s">
        <v>3967</v>
      </c>
      <c r="EI1" s="785" t="s">
        <v>3993</v>
      </c>
      <c r="EJ1" s="785" t="s">
        <v>3994</v>
      </c>
      <c r="EK1" s="785" t="s">
        <v>852</v>
      </c>
    </row>
    <row r="2" spans="1:141" x14ac:dyDescent="0.3">
      <c r="B2">
        <v>41818</v>
      </c>
      <c r="C2" s="35">
        <v>45378</v>
      </c>
      <c r="D2" t="s">
        <v>2774</v>
      </c>
      <c r="E2" t="s">
        <v>824</v>
      </c>
      <c r="F2" t="s">
        <v>907</v>
      </c>
      <c r="G2" s="500">
        <v>150000000000</v>
      </c>
      <c r="H2">
        <v>3.3</v>
      </c>
      <c r="I2" t="s">
        <v>2777</v>
      </c>
      <c r="J2">
        <v>3.03</v>
      </c>
      <c r="K2">
        <v>7.25</v>
      </c>
      <c r="L2" t="s">
        <v>2746</v>
      </c>
      <c r="M2">
        <v>4.82</v>
      </c>
      <c r="N2" s="37">
        <v>-17043000000</v>
      </c>
      <c r="O2">
        <v>6.06</v>
      </c>
      <c r="P2" s="500">
        <v>-56549489.939999998</v>
      </c>
      <c r="Q2" s="500">
        <v>2504000000</v>
      </c>
      <c r="R2">
        <v>45.9</v>
      </c>
      <c r="S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-16208059620.141714</v>
      </c>
      <c r="T2" s="72">
        <f>VLOOKUP(Outstanding_pos_TB_MSB[[#This Row],[Bonds_ShortName]],FNRP!D:J,7,0)</f>
        <v>2500000</v>
      </c>
      <c r="U2" s="72">
        <f>SUMIFS(Outstanding_pos_TB_MSB[Amt],Outstanding_pos_TB_MSB[Bonds_ShortName],Outstanding_pos_TB_MSB[[#This Row],[Bonds_ShortName]])/100000-Outstanding_pos_TB_MSB[[#This Row],[Quantity FNRP]]</f>
        <v>0</v>
      </c>
      <c r="V2" s="162" t="str">
        <f>INDEX(Ref!$I$1:$K$13,MATCH(Outstanding_pos_TB_MSB[[#This Row],[Tenor left]],Ref!$I$1:$I$13,1),3)</f>
        <v>7Y</v>
      </c>
      <c r="W2" s="72">
        <f>IF(RPT-VLOOKUP(Outstanding_pos_TB_MSB[[#This Row],[Bonds_ShortName]],CT:CU,2,0)&lt;=0,0,RPT-VLOOKUP(Outstanding_pos_TB_MSB[[#This Row],[Bonds_ShortName]],CT:CU,2,0))</f>
        <v>875</v>
      </c>
      <c r="X2" s="72">
        <f>IF(RPT-Outstanding_pos_TB_MSB[[#This Row],[VALUE_DATE]]&lt;=0,0,RPT-Outstanding_pos_TB_MSB[[#This Row],[VALUE_DATE]])</f>
        <v>874</v>
      </c>
      <c r="Y2" s="72" t="str">
        <f>_xlfn.XLOOKUP(Outstanding_pos_TB_MSB[[#This Row],[Time hold/Deal]],Ref!S:S,Ref!U:U,,-1)</f>
        <v>2Y</v>
      </c>
      <c r="AB2">
        <v>25708</v>
      </c>
      <c r="AC2" s="35">
        <v>43824</v>
      </c>
      <c r="AD2" t="s">
        <v>711</v>
      </c>
      <c r="AE2" t="s">
        <v>2180</v>
      </c>
      <c r="AF2" t="s">
        <v>823</v>
      </c>
      <c r="AG2" s="500">
        <v>92820900000</v>
      </c>
      <c r="AH2">
        <v>4.9000000000000004</v>
      </c>
      <c r="AI2">
        <v>51025</v>
      </c>
      <c r="AJ2">
        <v>4.0199999999999996</v>
      </c>
      <c r="AK2">
        <v>13.07</v>
      </c>
      <c r="AL2" s="645" t="s">
        <v>2740</v>
      </c>
      <c r="AM2">
        <v>4.53</v>
      </c>
      <c r="AN2" s="500">
        <v>-7612242009</v>
      </c>
      <c r="AO2">
        <v>9.17</v>
      </c>
      <c r="AP2">
        <v>-99256443.560000002</v>
      </c>
      <c r="AQ2">
        <v>4578000000</v>
      </c>
      <c r="AR2">
        <v>111.88</v>
      </c>
      <c r="AS2" s="72">
        <f>SUM(_xlfn.IFNA(VLOOKUP(Outstanding_pos_BB_MSB[[#This Row],[Bonds_ShortName]],FNRP!AV:BA,6,0)*Outstanding_pos_BB_MSB[[#This Row],[Amt]]/10^4,0),_xlfn.IFNA((VLOOKUP(Outstanding_pos_BB_MSB[[#This Row],[Bonds_ShortName]],FNRP!IK:IP,6,0)*Outstanding_pos_BB_MSB[[#This Row],[Amt]]/10^4),0))</f>
        <v>961680216540</v>
      </c>
      <c r="AT2" s="72">
        <f>(_xlfn.XLOOKUP(Outstanding_pos_BB_MSB[[#This Row],[Bonds_ShortName]],FNRP!AV:AV,FNRP!BA:BA,,0)
-_xlfn.XLOOKUP(Outstanding_pos_BB_MSB[[#This Row],[BondsDeals_Id]],BS!AL:AL,BS!AR:AR,_xlfn.XLOOKUP(Outstanding_pos_BB_MSB[[#This Row],[BondsDeals_Id]],BS!BA:BA,BS!BQ:BQ,,0),0)-10^5)
*Outstanding_pos_BB_MSB[[#This Row],[Amt]]/10^5</f>
        <v>-3915277223.2929363</v>
      </c>
      <c r="AU2" s="72">
        <f>VLOOKUP(Outstanding_pos_BB_MSB[[#This Row],[Bonds_ShortName]],FNRP!AV:CD,35,0)</f>
        <v>1428209</v>
      </c>
      <c r="AV2" s="157">
        <f>SUMIFS(AG$1:AG$103,AD$1:AD$103,Outstanding_pos_BB_MSB[[#This Row],[Bonds_ShortName]])/10^5-Outstanding_pos_BB_MSB[[#This Row],[Quantity FNRP]]</f>
        <v>0</v>
      </c>
      <c r="AW2" s="72">
        <f>IF(RPT-Outstanding_pos_BB_MSB[[#This Row],[Value Date]]&lt;=0,0,RPT-Outstanding_pos_BB_MSB[[#This Row],[Value Date]])</f>
        <v>2428</v>
      </c>
      <c r="AX2" s="32" t="str">
        <f>INDEX(Ref!$I$1:$K$13,MATCH(Outstanding_pos_BB_MSB[[#This Row],[Tenor left]],Ref!$I$1:$I$13,1),3)</f>
        <v>15Y</v>
      </c>
      <c r="AY2" s="72" t="str">
        <f>_xlfn.XLOOKUP(Outstanding_pos_BB_MSB[[#This Row],[Time hold/Deal]],Ref!S:S,Ref!U:U,,-1)</f>
        <v>3Y</v>
      </c>
      <c r="BB2">
        <v>42756</v>
      </c>
      <c r="BC2" s="35">
        <v>45450</v>
      </c>
      <c r="BD2" t="s">
        <v>2782</v>
      </c>
      <c r="BE2" t="s">
        <v>2176</v>
      </c>
      <c r="BF2" t="s">
        <v>907</v>
      </c>
      <c r="BG2" s="500">
        <v>300000000000</v>
      </c>
      <c r="BH2">
        <v>3.4</v>
      </c>
      <c r="BI2" s="35">
        <v>50730</v>
      </c>
      <c r="BJ2">
        <v>3.3</v>
      </c>
      <c r="BK2">
        <v>12.27</v>
      </c>
      <c r="BL2" t="s">
        <v>2740</v>
      </c>
      <c r="BM2">
        <v>5.01</v>
      </c>
      <c r="BN2" s="500">
        <v>-46785000000</v>
      </c>
      <c r="BO2">
        <v>9.2799999999999994</v>
      </c>
      <c r="BP2" s="37">
        <v>-81724148.819999993</v>
      </c>
      <c r="BQ2" s="37">
        <v>2524000000</v>
      </c>
      <c r="BR2">
        <v>109.16</v>
      </c>
      <c r="BS2"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-46283475068.306</v>
      </c>
      <c r="BT2" s="72">
        <f>RPT-VLOOKUP(Outstanding_pos_TB_SBV[[#This Row],[Bonds_ShortName]],RP_SEC!CT:CU,2,0)</f>
        <v>804</v>
      </c>
      <c r="BU2" s="157">
        <f>SUMIFS(BG:BG,BD:BD,Outstanding_pos_TB_SBV[[#This Row],[Bonds_ShortName]])/10^5-VLOOKUP(Outstanding_pos_TB_SBV[[#This Row],[Bonds_ShortName]],FNRP!$CN:$DU,34,0)</f>
        <v>0</v>
      </c>
      <c r="BX2">
        <v>4553</v>
      </c>
      <c r="BY2" s="502">
        <v>41918</v>
      </c>
      <c r="BZ2" t="s">
        <v>593</v>
      </c>
      <c r="CA2" t="s">
        <v>2180</v>
      </c>
      <c r="CB2" t="s">
        <v>823</v>
      </c>
      <c r="CC2" s="500">
        <v>1490400000</v>
      </c>
      <c r="CD2">
        <v>8.8000000000000007</v>
      </c>
      <c r="CE2" s="502">
        <v>47192</v>
      </c>
      <c r="CF2">
        <v>6.96</v>
      </c>
      <c r="CG2">
        <v>2.57</v>
      </c>
      <c r="CH2" t="s">
        <v>3183</v>
      </c>
      <c r="CI2">
        <v>3.67</v>
      </c>
      <c r="CJ2" s="500">
        <v>-1397765814</v>
      </c>
      <c r="CK2">
        <v>2.27</v>
      </c>
      <c r="CL2" s="500">
        <v>-26314832.68</v>
      </c>
      <c r="CM2" s="500">
        <v>3785000000</v>
      </c>
      <c r="CN2">
        <v>7.62</v>
      </c>
      <c r="CO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140378076.39478531</v>
      </c>
      <c r="CP2" s="72">
        <f>RPT-VLOOKUP(Outstanding_pos_BB_SBV[[#This Row],[Bonds_ShortName]],CT:CU,2,0)</f>
        <v>117</v>
      </c>
      <c r="CQ2" s="157">
        <f>SUMIFS(CC:CC,BZ:BZ,Outstanding_pos_BB_SBV[[#This Row],[Bonds_ShortName]])/10^5-VLOOKUP(Outstanding_pos_BB_SBV[[#This Row],[Bonds_ShortName]],FNRP!EE:FL,34,0)</f>
        <v>0</v>
      </c>
      <c r="CT2" t="s">
        <v>713</v>
      </c>
      <c r="CU2" s="502">
        <v>45677</v>
      </c>
      <c r="CW2" s="781" t="s">
        <v>3970</v>
      </c>
      <c r="CX2" s="776">
        <v>41130</v>
      </c>
      <c r="CY2" s="776" t="s">
        <v>563</v>
      </c>
      <c r="CZ2" s="776" t="s">
        <v>2180</v>
      </c>
      <c r="DA2" s="777">
        <v>300000000000</v>
      </c>
      <c r="DB2" s="776">
        <v>0.47</v>
      </c>
      <c r="DC2" s="778">
        <v>2.2000000000000002</v>
      </c>
      <c r="DD2" s="72">
        <f>_xlfn.XLOOKUP(CX2,Outstanding_pos_BB_MSB[BondsDeals_Id],Outstanding_pos_BB_MSB[ItD adj])</f>
        <v>-1663494389.2865121</v>
      </c>
      <c r="DE2" s="32">
        <f>_xlfn.XLOOKUP(CX2,Outstanding_pos_BB_MSB[BondsDeals_Id],Outstanding_pos_BB_MSB[Yield])</f>
        <v>2.2000000000000002</v>
      </c>
      <c r="DF2" s="32">
        <f>_xlfn.XLOOKUP(TB_HTM[[#This Row],[Deal ID]],Outstanding_pos_BB_MSB[BondsDeals_Id],Outstanding_pos_BB_MSB[Total Rate])</f>
        <v>3.9</v>
      </c>
      <c r="DG2" s="124">
        <f>_xlfn.XLOOKUP(CX2,Outstanding_pos_BB_MSB[BondsDeals_Id],Outstanding_pos_BB_MSB[Mature Date])</f>
        <v>46346</v>
      </c>
      <c r="DH2" s="786">
        <f>(TB_HTM[[#This Row],[Amt]]/10^9)/(_xlfn.XLOOKUP(TB_HTM[[#This Row],[Bond code]],Bankingbook_MSB[Security Name],Bankingbook_MSB[QUANTITY])/10^4)</f>
        <v>1</v>
      </c>
      <c r="DI2" s="72">
        <f>_xlfn.XLOOKUP(TB_HTM[[#This Row],[Bond code]],Bankingbook_MSB[Security Name],Bankingbook_MSB[MARKET_VALUE])*TB_HTM[[#This Row],[% amt FNRP]]</f>
        <v>299580000000</v>
      </c>
      <c r="DJ2" s="71">
        <f>_xlfn.XLOOKUP(TB_HTM[[#This Row],[Bond code]],Bankingbook_MSB[Security Name],Bankingbook_MSB[BPV_edited])
/10^9*TB_HTM[[#This Row],[% amt FNRP]]</f>
        <v>-7.8513441601761429E-3</v>
      </c>
      <c r="DK2" s="71">
        <f>TB_HTM[[#This Row],[Amt]]*TB_HTM[[#This Row],[Yield]]/10^5</f>
        <v>6600000</v>
      </c>
      <c r="DL2" s="71" t="str">
        <f>_xlfn.XLOOKUP(TB_HTM[[#This Row],[Bond code]],Bankingbook_MSB[Security Name],Bankingbook_MSB[Type])</f>
        <v>TPCPBL</v>
      </c>
      <c r="DM2" s="71" t="str">
        <f>_xlfn.XLOOKUP(TB_HTM[[#This Row],[Bond code]],Bankingbook_MSB[Security Name],Bankingbook_MSB[Issuer])</f>
        <v>VDB</v>
      </c>
      <c r="DN2" s="71" t="str">
        <f>_xlfn.XLOOKUP(TB_HTM[[#This Row],[Bond code]],Bankingbook_MSB[Security Name],Bankingbook_MSB[Tenor])</f>
        <v>3M</v>
      </c>
      <c r="DO2" s="72">
        <f>SUMIFS(BS[MARKET VALUE],BS[BOND_CODE],TB_HTM[[#This Row],[Bond code]],BS[BOOK_FLAG],"B",BS[BAL],BS!$C$2)/10^9*TB_HTM[[#This Row],[% amt FNRP]]</f>
        <v>299.58</v>
      </c>
      <c r="DP2" s="71" cm="1">
        <f t="array" ref="DP2">_xlfn.IFNA(_xlfn.XLOOKUP(TB_HTM[[#This Row],[Deal ID]],RPBOD3[BondsDeals_Id],RPBOD3[PTCK_Remain]*RPBOD3[Quantity])/10^9,"N/A")</f>
        <v>1.24349438928653</v>
      </c>
      <c r="DQ2" s="71">
        <f>_xlfn.XLOOKUP(TB_HTM[[#This Row],[Bond code]],Bankingbook_MSB[Security Name],Bankingbook_MSB[Duration_edited])</f>
        <v>0.26570923000000002</v>
      </c>
      <c r="DR2" s="71">
        <f>_xlfn.XLOOKUP(TB_HTM[[#This Row],[Bond code]],Bankingbook_MSB[Security Name],Bankingbook_MSB[Modified Duration])</f>
        <v>0.25469864332140002</v>
      </c>
      <c r="DS2" s="71">
        <f>TB_HTM[[#This Row],[Duration]]*TB_HTM[[#This Row],[Market Value FNRP]]</f>
        <v>79601171123.400009</v>
      </c>
      <c r="DT2" s="71">
        <f>TB_HTM[[#This Row],[Modified Duration]]*TB_HTM[[#This Row],[Market Value FNRP]]</f>
        <v>76302619566.225021</v>
      </c>
      <c r="DU2" s="72">
        <f>_xlfn.XLOOKUP(TB_HTM[[#This Row],[Deal ID]],Outstanding_pos_BB_MSB[BondsDeals_Id],Outstanding_pos_BB_MSB[Time hold/Deal])</f>
        <v>971</v>
      </c>
      <c r="DV2" s="71" t="str">
        <f>_xlfn.XLOOKUP(TB_HTM[[#This Row],[Deal ID]],Outstanding_pos_BB_MSB[BondsDeals_Id],Outstanding_pos_BB_MSB[Time hold (Tenor)])</f>
        <v>3Y</v>
      </c>
      <c r="DW2" s="71"/>
      <c r="DY2" s="779">
        <v>41119</v>
      </c>
      <c r="DZ2" s="779" t="s">
        <v>2773</v>
      </c>
      <c r="EA2" s="779" t="s">
        <v>2180</v>
      </c>
      <c r="EB2" s="780">
        <v>250000000000</v>
      </c>
      <c r="EC2" s="779">
        <v>2.4500000000000002</v>
      </c>
      <c r="ED2" s="782">
        <v>2.2000000000000002</v>
      </c>
      <c r="EE2" s="72">
        <f>_xlfn.XLOOKUP(DY2,Outstanding_pos_BB_MSB[BondsDeals_Id],Outstanding_pos_BB_MSB[ItD adj])</f>
        <v>-10250616081.317312</v>
      </c>
      <c r="EF2" s="32">
        <f>_xlfn.XLOOKUP(DY2,Outstanding_pos_BB_MSB[BondsDeals_Id],Outstanding_pos_BB_MSB[Yield])</f>
        <v>2.2000000000000002</v>
      </c>
      <c r="EG2" s="71">
        <f>_xlfn.XLOOKUP(BB_tufund[[#This Row],[Deal ID]],Outstanding_pos_BB_MSB[BondsDeals_Id],Outstanding_pos_BB_MSB[Total Rate])</f>
        <v>2.4</v>
      </c>
      <c r="EH2" s="124">
        <f>_xlfn.XLOOKUP(DY2,Outstanding_pos_BB_MSB[BondsDeals_Id],Outstanding_pos_BB_MSB[Mature Date])</f>
        <v>47071</v>
      </c>
      <c r="EI2" s="787">
        <f>(BB_tufund[[#This Row],[Amt]]/10^9)/(_xlfn.XLOOKUP(BB_tufund[[#This Row],[Bond code]],Bankingbook_MSB[Security Name],Bankingbook_MSB[QUANTITY])/10^4)</f>
        <v>0.5</v>
      </c>
      <c r="EJ2" s="72">
        <f>_xlfn.XLOOKUP(BB_tufund[[#This Row],[Bond code]],Bankingbook_MSB[Security Name],Bankingbook_MSB[MARKET_VALUE])*BB_tufund[[#This Row],[% amt FNRP]]</f>
        <v>240797500000</v>
      </c>
      <c r="EK2" s="71">
        <f>_xlfn.XLOOKUP(BB_tufund[[#This Row],[Bond code]],Bankingbook_MSB[Security Name],Bankingbook_MSB[BPV_edited])
/10^9*BB_tufund[[#This Row],[% amt FNRP]]</f>
        <v>-5.1097831462772296E-2</v>
      </c>
    </row>
    <row r="3" spans="1:141" x14ac:dyDescent="0.3">
      <c r="B3">
        <v>41820</v>
      </c>
      <c r="C3" s="35">
        <v>45378</v>
      </c>
      <c r="D3" t="s">
        <v>2774</v>
      </c>
      <c r="E3" t="s">
        <v>824</v>
      </c>
      <c r="F3" t="s">
        <v>907</v>
      </c>
      <c r="G3" s="500">
        <v>100000000000</v>
      </c>
      <c r="H3">
        <v>3.3</v>
      </c>
      <c r="I3" t="s">
        <v>2777</v>
      </c>
      <c r="J3">
        <v>3.03</v>
      </c>
      <c r="K3">
        <v>7.25</v>
      </c>
      <c r="L3" t="s">
        <v>2746</v>
      </c>
      <c r="M3">
        <v>4.82</v>
      </c>
      <c r="N3" s="37">
        <v>-11362000000</v>
      </c>
      <c r="O3">
        <v>6.06</v>
      </c>
      <c r="P3" s="500">
        <v>-56549489.939999998</v>
      </c>
      <c r="Q3" s="500">
        <v>2504000000</v>
      </c>
      <c r="R3">
        <v>45.9</v>
      </c>
      <c r="S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-10805373080.094477</v>
      </c>
      <c r="T3" s="72">
        <f>VLOOKUP(Outstanding_pos_TB_MSB[[#This Row],[Bonds_ShortName]],FNRP!D:J,7,0)</f>
        <v>2500000</v>
      </c>
      <c r="U3" s="72">
        <f>SUMIFS(Outstanding_pos_TB_MSB[Amt],Outstanding_pos_TB_MSB[Bonds_ShortName],Outstanding_pos_TB_MSB[[#This Row],[Bonds_ShortName]])/100000-Outstanding_pos_TB_MSB[[#This Row],[Quantity FNRP]]</f>
        <v>0</v>
      </c>
      <c r="V3" s="162" t="str">
        <f>INDEX(Ref!$I$1:$K$13,MATCH(Outstanding_pos_TB_MSB[[#This Row],[Tenor left]],Ref!$I$1:$I$13,1),3)</f>
        <v>7Y</v>
      </c>
      <c r="W3" s="72">
        <f>IF(RPT-VLOOKUP(Outstanding_pos_TB_MSB[[#This Row],[Bonds_ShortName]],CT:CU,2,0)&lt;=0,0,RPT-VLOOKUP(Outstanding_pos_TB_MSB[[#This Row],[Bonds_ShortName]],CT:CU,2,0))</f>
        <v>875</v>
      </c>
      <c r="X3" s="72">
        <f>IF(RPT-Outstanding_pos_TB_MSB[[#This Row],[VALUE_DATE]]&lt;=0,0,RPT-Outstanding_pos_TB_MSB[[#This Row],[VALUE_DATE]])</f>
        <v>874</v>
      </c>
      <c r="Y3" s="72" t="str">
        <f>_xlfn.XLOOKUP(Outstanding_pos_TB_MSB[[#This Row],[Time hold/Deal]],Ref!S:S,Ref!U:U,,-1)</f>
        <v>2Y</v>
      </c>
      <c r="AB3">
        <v>30557</v>
      </c>
      <c r="AC3" s="35">
        <v>44187</v>
      </c>
      <c r="AD3" t="s">
        <v>632</v>
      </c>
      <c r="AE3" t="s">
        <v>2180</v>
      </c>
      <c r="AF3" t="s">
        <v>907</v>
      </c>
      <c r="AG3" s="500">
        <v>100000000000</v>
      </c>
      <c r="AH3">
        <v>2.7</v>
      </c>
      <c r="AI3">
        <v>47814</v>
      </c>
      <c r="AJ3">
        <v>2.75</v>
      </c>
      <c r="AK3">
        <v>4.28</v>
      </c>
      <c r="AL3" s="645" t="s">
        <v>2500</v>
      </c>
      <c r="AM3">
        <v>4.54</v>
      </c>
      <c r="AN3" s="500">
        <v>-6600000000</v>
      </c>
      <c r="AO3">
        <v>3.83</v>
      </c>
      <c r="AP3">
        <v>-36365569.740000002</v>
      </c>
      <c r="AQ3">
        <v>1960000000</v>
      </c>
      <c r="AR3">
        <v>19.02</v>
      </c>
      <c r="AS3" s="72">
        <f>SUM(_xlfn.IFNA(VLOOKUP(Outstanding_pos_BB_MSB[[#This Row],[Bonds_ShortName]],FNRP!AV:BA,6,0)*Outstanding_pos_BB_MSB[[#This Row],[Amt]]/10^4,0),_xlfn.IFNA((VLOOKUP(Outstanding_pos_BB_MSB[[#This Row],[Bonds_ShortName]],FNRP!IK:IP,6,0)*Outstanding_pos_BB_MSB[[#This Row],[Amt]]/10^4),0))</f>
        <v>929630000000</v>
      </c>
      <c r="AT3" s="72">
        <f>(_xlfn.XLOOKUP(Outstanding_pos_BB_MSB[[#This Row],[Bonds_ShortName]],FNRP!AV:AV,FNRP!BA:BA,,0)
-_xlfn.XLOOKUP(Outstanding_pos_BB_MSB[[#This Row],[BondsDeals_Id]],BS!AL:AL,BS!AR:AR,_xlfn.XLOOKUP(Outstanding_pos_BB_MSB[[#This Row],[BondsDeals_Id]],BS!BA:BA,BS!BQ:BQ,,0),0)-10^5)
*Outstanding_pos_BB_MSB[[#This Row],[Amt]]/10^5</f>
        <v>-6851097895.8146877</v>
      </c>
      <c r="AU3" s="72">
        <f>VLOOKUP(Outstanding_pos_BB_MSB[[#This Row],[Bonds_ShortName]],FNRP!AV:CD,35,0)</f>
        <v>1000000</v>
      </c>
      <c r="AV3" s="157">
        <f>SUMIFS(AG$1:AG$103,AD$1:AD$103,Outstanding_pos_BB_MSB[[#This Row],[Bonds_ShortName]])/10^5-Outstanding_pos_BB_MSB[[#This Row],[Quantity FNRP]]</f>
        <v>0</v>
      </c>
      <c r="AW3" s="72">
        <f>IF(RPT-Outstanding_pos_BB_MSB[[#This Row],[Value Date]]&lt;=0,0,RPT-Outstanding_pos_BB_MSB[[#This Row],[Value Date]])</f>
        <v>2065</v>
      </c>
      <c r="AX3" s="32" t="str">
        <f>INDEX(Ref!$I$1:$K$13,MATCH(Outstanding_pos_BB_MSB[[#This Row],[Tenor left]],Ref!$I$1:$I$13,1),3)</f>
        <v>4Y</v>
      </c>
      <c r="AY3" s="72" t="str">
        <f>_xlfn.XLOOKUP(Outstanding_pos_BB_MSB[[#This Row],[Time hold/Deal]],Ref!S:S,Ref!U:U,,-1)</f>
        <v>3Y</v>
      </c>
      <c r="BB3">
        <v>42869</v>
      </c>
      <c r="BC3" s="35">
        <v>45461</v>
      </c>
      <c r="BD3" t="s">
        <v>2775</v>
      </c>
      <c r="BE3" t="s">
        <v>2176</v>
      </c>
      <c r="BF3" t="s">
        <v>907</v>
      </c>
      <c r="BG3" s="500">
        <v>200000000000</v>
      </c>
      <c r="BH3">
        <v>3.6</v>
      </c>
      <c r="BI3" s="35">
        <v>50723</v>
      </c>
      <c r="BJ3">
        <v>3.3</v>
      </c>
      <c r="BK3">
        <v>12.25</v>
      </c>
      <c r="BL3" t="s">
        <v>2740</v>
      </c>
      <c r="BM3">
        <v>5.01</v>
      </c>
      <c r="BN3" s="500">
        <v>-32078000000</v>
      </c>
      <c r="BO3">
        <v>9.18</v>
      </c>
      <c r="BP3" s="37">
        <v>-82676708.909999996</v>
      </c>
      <c r="BQ3" s="37">
        <v>2742000000</v>
      </c>
      <c r="BR3">
        <v>107.43</v>
      </c>
      <c r="BS3"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-31062904125.464966</v>
      </c>
      <c r="BT3" s="72">
        <f>RPT-VLOOKUP(Outstanding_pos_TB_SBV[[#This Row],[Bonds_ShortName]],RP_SEC!CT:CU,2,0)</f>
        <v>243</v>
      </c>
      <c r="BU3" s="157">
        <f>SUMIFS(BG:BG,BD:BD,Outstanding_pos_TB_SBV[[#This Row],[Bonds_ShortName]])/10^5-VLOOKUP(Outstanding_pos_TB_SBV[[#This Row],[Bonds_ShortName]],FNRP!$CN:$DU,34,0)</f>
        <v>0</v>
      </c>
      <c r="BX3">
        <v>25708</v>
      </c>
      <c r="BY3" s="502">
        <v>43824</v>
      </c>
      <c r="BZ3" t="s">
        <v>711</v>
      </c>
      <c r="CA3" t="s">
        <v>2180</v>
      </c>
      <c r="CB3" t="s">
        <v>823</v>
      </c>
      <c r="CC3" s="500">
        <v>92820900000</v>
      </c>
      <c r="CD3">
        <v>4.9000000000000004</v>
      </c>
      <c r="CE3" s="502">
        <v>51025</v>
      </c>
      <c r="CF3">
        <v>4.0199999999999996</v>
      </c>
      <c r="CG3">
        <v>13.07</v>
      </c>
      <c r="CH3" t="s">
        <v>2740</v>
      </c>
      <c r="CI3">
        <v>4.53</v>
      </c>
      <c r="CJ3" s="500">
        <v>-7612242009</v>
      </c>
      <c r="CK3">
        <v>9.17</v>
      </c>
      <c r="CL3" s="500">
        <v>-99256443.560000002</v>
      </c>
      <c r="CM3" s="500">
        <v>4578000000</v>
      </c>
      <c r="CN3">
        <v>111.88</v>
      </c>
      <c r="CO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-3915277223.2929363</v>
      </c>
      <c r="CP3" s="72">
        <f>RPT-VLOOKUP(Outstanding_pos_BB_SBV[[#This Row],[Bonds_ShortName]],CT:CU,2,0)</f>
        <v>125</v>
      </c>
      <c r="CQ3" s="157">
        <f>SUMIFS(CC:CC,BZ:BZ,Outstanding_pos_BB_SBV[[#This Row],[Bonds_ShortName]])/10^5-VLOOKUP(Outstanding_pos_BB_SBV[[#This Row],[Bonds_ShortName]],FNRP!EE:FL,34,0)</f>
        <v>0</v>
      </c>
      <c r="CT3" t="s">
        <v>2794</v>
      </c>
      <c r="CU3" s="502">
        <v>45726</v>
      </c>
      <c r="CX3" s="776">
        <v>30557</v>
      </c>
      <c r="CY3" s="776" t="s">
        <v>632</v>
      </c>
      <c r="CZ3" s="776" t="s">
        <v>2180</v>
      </c>
      <c r="DA3" s="777">
        <v>100000000000</v>
      </c>
      <c r="DB3" s="776">
        <v>4.49</v>
      </c>
      <c r="DC3" s="778">
        <v>2.75</v>
      </c>
      <c r="DD3" s="72">
        <f>_xlfn.XLOOKUP(CX3,Outstanding_pos_BB_MSB[BondsDeals_Id],Outstanding_pos_BB_MSB[ItD adj])</f>
        <v>-6851097895.8146877</v>
      </c>
      <c r="DE3" s="32">
        <f>_xlfn.XLOOKUP(CX3,Outstanding_pos_BB_MSB[BondsDeals_Id],Outstanding_pos_BB_MSB[Yield])</f>
        <v>2.75</v>
      </c>
      <c r="DF3" s="32">
        <f>_xlfn.XLOOKUP(TB_HTM[[#This Row],[Deal ID]],Outstanding_pos_BB_MSB[BondsDeals_Id],Outstanding_pos_BB_MSB[Total Rate])</f>
        <v>2.7</v>
      </c>
      <c r="DG3" s="124">
        <f>_xlfn.XLOOKUP(CX3,Outstanding_pos_BB_MSB[BondsDeals_Id],Outstanding_pos_BB_MSB[Mature Date])</f>
        <v>47814</v>
      </c>
      <c r="DH3" s="786">
        <f>(TB_HTM[[#This Row],[Amt]]/10^9)/(_xlfn.XLOOKUP(TB_HTM[[#This Row],[Bond code]],Bankingbook_MSB[Security Name],Bankingbook_MSB[QUANTITY])/10^4)</f>
        <v>1</v>
      </c>
      <c r="DI3" s="72">
        <f>_xlfn.XLOOKUP(TB_HTM[[#This Row],[Bond code]],Bankingbook_MSB[Security Name],Bankingbook_MSB[MARKET_VALUE])*TB_HTM[[#This Row],[% amt FNRP]]</f>
        <v>92963000000</v>
      </c>
      <c r="DJ3" s="71">
        <f>_xlfn.XLOOKUP(TB_HTM[[#This Row],[Bond code]],Bankingbook_MSB[Security Name],Bankingbook_MSB[BPV_edited])
/10^9*TB_HTM[[#This Row],[% amt FNRP]]</f>
        <v>-3.6376757936297521E-2</v>
      </c>
      <c r="DK3" s="71">
        <f>TB_HTM[[#This Row],[Amt]]*TB_HTM[[#This Row],[Yield]]/10^5</f>
        <v>2750000</v>
      </c>
      <c r="DL3" s="71" t="str">
        <f>_xlfn.XLOOKUP(TB_HTM[[#This Row],[Bond code]],Bankingbook_MSB[Security Name],Bankingbook_MSB[Type])</f>
        <v>TPCPBL</v>
      </c>
      <c r="DM3" s="71" t="str">
        <f>_xlfn.XLOOKUP(TB_HTM[[#This Row],[Bond code]],Bankingbook_MSB[Security Name],Bankingbook_MSB[Issuer])</f>
        <v>VBS</v>
      </c>
      <c r="DN3" s="71" t="str">
        <f>_xlfn.XLOOKUP(TB_HTM[[#This Row],[Bond code]],Bankingbook_MSB[Security Name],Bankingbook_MSB[Tenor])</f>
        <v>4Y</v>
      </c>
      <c r="DO3" s="72">
        <f>SUMIFS(BS[MARKET VALUE],BS[BOND_CODE],TB_HTM[[#This Row],[Bond code]],BS[BOOK_FLAG],"B",BS[BAL],BS!$C$2)/10^9*TB_HTM[[#This Row],[% amt FNRP]]</f>
        <v>92.962999999999994</v>
      </c>
      <c r="DP3" s="71" cm="1">
        <f t="array" ref="DP3">_xlfn.IFNA(_xlfn.XLOOKUP(TB_HTM[[#This Row],[Deal ID]],RPBOD3[BondsDeals_Id],RPBOD3[PTCK_Remain]*RPBOD3[Quantity])/10^9,"N/A")</f>
        <v>-0.185902104185307</v>
      </c>
      <c r="DQ3" s="71">
        <f>_xlfn.XLOOKUP(TB_HTM[[#This Row],[Bond code]],Bankingbook_MSB[Security Name],Bankingbook_MSB[Duration_edited])</f>
        <v>4.0076775800000002</v>
      </c>
      <c r="DR3" s="71">
        <f>_xlfn.XLOOKUP(TB_HTM[[#This Row],[Bond code]],Bankingbook_MSB[Security Name],Bankingbook_MSB[Modified Duration])</f>
        <v>3.8334734394144001</v>
      </c>
      <c r="DS3" s="71">
        <f>TB_HTM[[#This Row],[Duration]]*TB_HTM[[#This Row],[Market Value FNRP]]</f>
        <v>372565730869.54004</v>
      </c>
      <c r="DT3" s="71">
        <f>TB_HTM[[#This Row],[Modified Duration]]*TB_HTM[[#This Row],[Market Value FNRP]]</f>
        <v>356371191348.28088</v>
      </c>
      <c r="DU3" s="72">
        <f>_xlfn.XLOOKUP(TB_HTM[[#This Row],[Deal ID]],Outstanding_pos_BB_MSB[BondsDeals_Id],Outstanding_pos_BB_MSB[Time hold/Deal])</f>
        <v>2065</v>
      </c>
      <c r="DV3" s="71" t="str">
        <f>_xlfn.XLOOKUP(TB_HTM[[#This Row],[Deal ID]],Outstanding_pos_BB_MSB[BondsDeals_Id],Outstanding_pos_BB_MSB[Time hold (Tenor)])</f>
        <v>3Y</v>
      </c>
      <c r="DW3" s="71"/>
      <c r="DY3" s="776">
        <v>41121</v>
      </c>
      <c r="DZ3" s="776" t="s">
        <v>2773</v>
      </c>
      <c r="EA3" s="776" t="s">
        <v>2180</v>
      </c>
      <c r="EB3" s="777">
        <v>250000000000</v>
      </c>
      <c r="EC3" s="776">
        <v>2.4500000000000002</v>
      </c>
      <c r="ED3" s="778">
        <v>2.2000000000000002</v>
      </c>
      <c r="EE3" s="72">
        <f>_xlfn.XLOOKUP(DY3,Outstanding_pos_BB_MSB[BondsDeals_Id],Outstanding_pos_BB_MSB[ItD adj])</f>
        <v>-10250616081.317312</v>
      </c>
      <c r="EF3" s="32">
        <f>_xlfn.XLOOKUP(DY3,Outstanding_pos_BB_MSB[BondsDeals_Id],Outstanding_pos_BB_MSB[Yield])</f>
        <v>2.2000000000000002</v>
      </c>
      <c r="EG3" s="71">
        <f>_xlfn.XLOOKUP(BB_tufund[[#This Row],[Deal ID]],Outstanding_pos_BB_MSB[BondsDeals_Id],Outstanding_pos_BB_MSB[Total Rate])</f>
        <v>2.4</v>
      </c>
      <c r="EH3" s="124">
        <f>_xlfn.XLOOKUP(DY3,Outstanding_pos_BB_MSB[BondsDeals_Id],Outstanding_pos_BB_MSB[Mature Date])</f>
        <v>47071</v>
      </c>
      <c r="EI3" s="787">
        <f>(BB_tufund[[#This Row],[Amt]]/10^9)/(_xlfn.XLOOKUP(BB_tufund[[#This Row],[Bond code]],Bankingbook_MSB[Security Name],Bankingbook_MSB[QUANTITY])/10^4)</f>
        <v>0.5</v>
      </c>
      <c r="EJ3" s="72">
        <f>_xlfn.XLOOKUP(BB_tufund[[#This Row],[Bond code]],Bankingbook_MSB[Security Name],Bankingbook_MSB[MARKET_VALUE])*BB_tufund[[#This Row],[% amt FNRP]]</f>
        <v>240797500000</v>
      </c>
      <c r="EK3" s="71">
        <f>_xlfn.XLOOKUP(BB_tufund[[#This Row],[Bond code]],Bankingbook_MSB[Security Name],Bankingbook_MSB[BPV_edited])
/10^9*BB_tufund[[#This Row],[% amt FNRP]]</f>
        <v>-5.1097831462772296E-2</v>
      </c>
    </row>
    <row r="4" spans="1:141" x14ac:dyDescent="0.3">
      <c r="B4">
        <v>42756</v>
      </c>
      <c r="C4" s="35">
        <v>45450</v>
      </c>
      <c r="D4" t="s">
        <v>2782</v>
      </c>
      <c r="E4" t="s">
        <v>2176</v>
      </c>
      <c r="F4" t="s">
        <v>907</v>
      </c>
      <c r="G4" s="500">
        <v>300000000000</v>
      </c>
      <c r="H4">
        <v>3.4</v>
      </c>
      <c r="I4" t="s">
        <v>2783</v>
      </c>
      <c r="J4">
        <v>3.3</v>
      </c>
      <c r="K4">
        <v>12.27</v>
      </c>
      <c r="L4" t="s">
        <v>2740</v>
      </c>
      <c r="M4">
        <v>5.01</v>
      </c>
      <c r="N4" s="37">
        <v>-46794000000</v>
      </c>
      <c r="O4">
        <v>9.2799999999999994</v>
      </c>
      <c r="P4" s="500">
        <v>-81735927.469999999</v>
      </c>
      <c r="Q4" s="500">
        <v>2515000000</v>
      </c>
      <c r="R4">
        <v>109.21</v>
      </c>
      <c r="S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-46283475068.306</v>
      </c>
      <c r="T4" s="72">
        <f>VLOOKUP(Outstanding_pos_TB_MSB[[#This Row],[Bonds_ShortName]],FNRP!D:J,7,0)</f>
        <v>3000000</v>
      </c>
      <c r="U4" s="72">
        <f>SUMIFS(Outstanding_pos_TB_MSB[Amt],Outstanding_pos_TB_MSB[Bonds_ShortName],Outstanding_pos_TB_MSB[[#This Row],[Bonds_ShortName]])/100000-Outstanding_pos_TB_MSB[[#This Row],[Quantity FNRP]]</f>
        <v>0</v>
      </c>
      <c r="V4" s="162" t="str">
        <f>INDEX(Ref!$I$1:$K$13,MATCH(Outstanding_pos_TB_MSB[[#This Row],[Tenor left]],Ref!$I$1:$I$13,1),3)</f>
        <v>15Y</v>
      </c>
      <c r="W4" s="72">
        <f>IF(RPT-VLOOKUP(Outstanding_pos_TB_MSB[[#This Row],[Bonds_ShortName]],CT:CU,2,0)&lt;=0,0,RPT-VLOOKUP(Outstanding_pos_TB_MSB[[#This Row],[Bonds_ShortName]],CT:CU,2,0))</f>
        <v>804</v>
      </c>
      <c r="X4" s="72">
        <f>IF(RPT-Outstanding_pos_TB_MSB[[#This Row],[VALUE_DATE]]&lt;=0,0,RPT-Outstanding_pos_TB_MSB[[#This Row],[VALUE_DATE]])</f>
        <v>802</v>
      </c>
      <c r="Y4" s="72" t="str">
        <f>_xlfn.XLOOKUP(Outstanding_pos_TB_MSB[[#This Row],[Time hold/Deal]],Ref!S:S,Ref!U:U,,-1)</f>
        <v>2Y</v>
      </c>
      <c r="AB4">
        <v>30559</v>
      </c>
      <c r="AC4" s="35">
        <v>44180</v>
      </c>
      <c r="AD4" t="s">
        <v>712</v>
      </c>
      <c r="AE4" t="s">
        <v>2180</v>
      </c>
      <c r="AF4" t="s">
        <v>823</v>
      </c>
      <c r="AG4" s="500">
        <v>100000000000</v>
      </c>
      <c r="AH4">
        <v>3.6</v>
      </c>
      <c r="AI4">
        <v>51144</v>
      </c>
      <c r="AJ4">
        <v>3</v>
      </c>
      <c r="AK4">
        <v>13.4</v>
      </c>
      <c r="AL4" s="645" t="s">
        <v>2740</v>
      </c>
      <c r="AM4">
        <v>4.54</v>
      </c>
      <c r="AN4" s="500">
        <v>-17878000000</v>
      </c>
      <c r="AO4">
        <v>10.01</v>
      </c>
      <c r="AP4">
        <v>-93005742.140000001</v>
      </c>
      <c r="AQ4">
        <v>2190000000</v>
      </c>
      <c r="AR4">
        <v>127.16</v>
      </c>
      <c r="AS4" s="72">
        <f>SUM(_xlfn.IFNA(VLOOKUP(Outstanding_pos_BB_MSB[[#This Row],[Bonds_ShortName]],FNRP!AV:BA,6,0)*Outstanding_pos_BB_MSB[[#This Row],[Amt]]/10^4,0),_xlfn.IFNA((VLOOKUP(Outstanding_pos_BB_MSB[[#This Row],[Bonds_ShortName]],FNRP!IK:IP,6,0)*Outstanding_pos_BB_MSB[[#This Row],[Amt]]/10^4),0))</f>
        <v>907350000000</v>
      </c>
      <c r="AT4" s="72">
        <f>(_xlfn.XLOOKUP(Outstanding_pos_BB_MSB[[#This Row],[Bonds_ShortName]],FNRP!AV:AV,FNRP!BA:BA,,0)
-_xlfn.XLOOKUP(Outstanding_pos_BB_MSB[[#This Row],[BondsDeals_Id]],BS!AL:AL,BS!AR:AR,_xlfn.XLOOKUP(Outstanding_pos_BB_MSB[[#This Row],[BondsDeals_Id]],BS!BA:BA,BS!BQ:BQ,,0),0)-10^5)
*Outstanding_pos_BB_MSB[[#This Row],[Amt]]/10^5</f>
        <v>-15314769230.044912</v>
      </c>
      <c r="AU4" s="72">
        <f>VLOOKUP(Outstanding_pos_BB_MSB[[#This Row],[Bonds_ShortName]],FNRP!AV:CD,35,0)</f>
        <v>4000000</v>
      </c>
      <c r="AV4" s="157">
        <f>SUMIFS(AG$1:AG$103,AD$1:AD$103,Outstanding_pos_BB_MSB[[#This Row],[Bonds_ShortName]])/10^5-Outstanding_pos_BB_MSB[[#This Row],[Quantity FNRP]]</f>
        <v>0</v>
      </c>
      <c r="AW4" s="72">
        <f>IF(RPT-Outstanding_pos_BB_MSB[[#This Row],[Value Date]]&lt;=0,0,RPT-Outstanding_pos_BB_MSB[[#This Row],[Value Date]])</f>
        <v>2072</v>
      </c>
      <c r="AX4" s="32" t="str">
        <f>INDEX(Ref!$I$1:$K$13,MATCH(Outstanding_pos_BB_MSB[[#This Row],[Tenor left]],Ref!$I$1:$I$13,1),3)</f>
        <v>15Y</v>
      </c>
      <c r="AY4" s="72" t="str">
        <f>_xlfn.XLOOKUP(Outstanding_pos_BB_MSB[[#This Row],[Time hold/Deal]],Ref!S:S,Ref!U:U,,-1)</f>
        <v>3Y</v>
      </c>
      <c r="BB4">
        <v>46500</v>
      </c>
      <c r="BC4" s="35">
        <v>45814</v>
      </c>
      <c r="BD4" t="s">
        <v>2862</v>
      </c>
      <c r="BE4" t="s">
        <v>825</v>
      </c>
      <c r="BF4" t="s">
        <v>823</v>
      </c>
      <c r="BG4" s="500">
        <v>50000000000</v>
      </c>
      <c r="BH4">
        <v>2.6</v>
      </c>
      <c r="BI4" s="35">
        <v>49213</v>
      </c>
      <c r="BJ4">
        <v>2.89</v>
      </c>
      <c r="BK4">
        <v>8.11</v>
      </c>
      <c r="BL4" t="s">
        <v>2747</v>
      </c>
      <c r="BM4">
        <v>4.3600000000000003</v>
      </c>
      <c r="BN4" s="500">
        <v>-4717500000</v>
      </c>
      <c r="BO4">
        <v>6.87</v>
      </c>
      <c r="BP4" s="37">
        <v>-62183264.149999999</v>
      </c>
      <c r="BQ4" s="37">
        <v>2329000000</v>
      </c>
      <c r="BR4">
        <v>57.97</v>
      </c>
      <c r="BS4"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-4873159654.1287441</v>
      </c>
      <c r="BT4" s="72">
        <f>RPT-VLOOKUP(Outstanding_pos_TB_SBV[[#This Row],[Bonds_ShortName]],RP_SEC!CT:CU,2,0)</f>
        <v>-6</v>
      </c>
      <c r="BU4" s="157">
        <f>SUMIFS(BG:BG,BD:BD,Outstanding_pos_TB_SBV[[#This Row],[Bonds_ShortName]])/10^5-VLOOKUP(Outstanding_pos_TB_SBV[[#This Row],[Bonds_ShortName]],FNRP!$CN:$DU,34,0)</f>
        <v>0</v>
      </c>
      <c r="BX4">
        <v>30557</v>
      </c>
      <c r="BY4" s="502">
        <v>44187</v>
      </c>
      <c r="BZ4" t="s">
        <v>632</v>
      </c>
      <c r="CA4" t="s">
        <v>2180</v>
      </c>
      <c r="CB4" t="s">
        <v>907</v>
      </c>
      <c r="CC4" s="500">
        <v>100000000000</v>
      </c>
      <c r="CD4">
        <v>2.7</v>
      </c>
      <c r="CE4" s="502">
        <v>47814</v>
      </c>
      <c r="CF4">
        <v>2.75</v>
      </c>
      <c r="CG4">
        <v>4.28</v>
      </c>
      <c r="CH4" t="s">
        <v>2500</v>
      </c>
      <c r="CI4">
        <v>4.54</v>
      </c>
      <c r="CJ4" s="500">
        <v>-6600000000</v>
      </c>
      <c r="CK4">
        <v>3.83</v>
      </c>
      <c r="CL4" s="500">
        <v>-36365569.740000002</v>
      </c>
      <c r="CM4" s="500">
        <v>1960000000</v>
      </c>
      <c r="CN4">
        <v>19.02</v>
      </c>
      <c r="CO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-6851097895.8146877</v>
      </c>
      <c r="CP4" s="72">
        <f>RPT-VLOOKUP(Outstanding_pos_BB_SBV[[#This Row],[Bonds_ShortName]],CT:CU,2,0)</f>
        <v>2079</v>
      </c>
      <c r="CQ4" s="157">
        <f>SUMIFS(CC:CC,BZ:BZ,Outstanding_pos_BB_SBV[[#This Row],[Bonds_ShortName]])/10^5-VLOOKUP(Outstanding_pos_BB_SBV[[#This Row],[Bonds_ShortName]],FNRP!EE:FL,34,0)</f>
        <v>0</v>
      </c>
      <c r="CT4" t="s">
        <v>2385</v>
      </c>
      <c r="CU4" s="502">
        <v>46197</v>
      </c>
      <c r="CX4" s="776">
        <v>30559</v>
      </c>
      <c r="CY4" s="776" t="s">
        <v>712</v>
      </c>
      <c r="CZ4" s="776" t="s">
        <v>2180</v>
      </c>
      <c r="DA4" s="777">
        <v>100000000000</v>
      </c>
      <c r="DB4" s="776">
        <v>13.61</v>
      </c>
      <c r="DC4" s="778">
        <v>3</v>
      </c>
      <c r="DD4" s="72">
        <f>_xlfn.XLOOKUP(CX4,Outstanding_pos_BB_MSB[BondsDeals_Id],Outstanding_pos_BB_MSB[ItD adj])</f>
        <v>-15314769230.044912</v>
      </c>
      <c r="DE4" s="32">
        <f>_xlfn.XLOOKUP(CX4,Outstanding_pos_BB_MSB[BondsDeals_Id],Outstanding_pos_BB_MSB[Yield])</f>
        <v>3</v>
      </c>
      <c r="DF4" s="32">
        <f>_xlfn.XLOOKUP(TB_HTM[[#This Row],[Deal ID]],Outstanding_pos_BB_MSB[BondsDeals_Id],Outstanding_pos_BB_MSB[Total Rate])</f>
        <v>3.6</v>
      </c>
      <c r="DG4" s="124">
        <f>_xlfn.XLOOKUP(CX4,Outstanding_pos_BB_MSB[BondsDeals_Id],Outstanding_pos_BB_MSB[Mature Date])</f>
        <v>51144</v>
      </c>
      <c r="DH4" s="786">
        <f>(TB_HTM[[#This Row],[Amt]]/10^9)/(_xlfn.XLOOKUP(TB_HTM[[#This Row],[Bond code]],Bankingbook_MSB[Security Name],Bankingbook_MSB[QUANTITY])/10^4)</f>
        <v>0.25</v>
      </c>
      <c r="DI4" s="72">
        <f>_xlfn.XLOOKUP(TB_HTM[[#This Row],[Bond code]],Bankingbook_MSB[Security Name],Bankingbook_MSB[MARKET_VALUE])*TB_HTM[[#This Row],[% amt FNRP]]</f>
        <v>90735000000</v>
      </c>
      <c r="DJ4" s="71">
        <f>_xlfn.XLOOKUP(TB_HTM[[#This Row],[Bond code]],Bankingbook_MSB[Security Name],Bankingbook_MSB[BPV_edited])
/10^9*TB_HTM[[#This Row],[% amt FNRP]]</f>
        <v>-9.2960063232287282E-2</v>
      </c>
      <c r="DK4" s="71">
        <f>TB_HTM[[#This Row],[Amt]]*TB_HTM[[#This Row],[Yield]]/10^5</f>
        <v>3000000</v>
      </c>
      <c r="DL4" s="71" t="str">
        <f>_xlfn.XLOOKUP(TB_HTM[[#This Row],[Bond code]],Bankingbook_MSB[Security Name],Bankingbook_MSB[Type])</f>
        <v>TPCP</v>
      </c>
      <c r="DM4" s="71" t="str">
        <f>_xlfn.XLOOKUP(TB_HTM[[#This Row],[Bond code]],Bankingbook_MSB[Security Name],Bankingbook_MSB[Issuer])</f>
        <v>KBNN</v>
      </c>
      <c r="DN4" s="71" t="str">
        <f>_xlfn.XLOOKUP(TB_HTM[[#This Row],[Bond code]],Bankingbook_MSB[Security Name],Bankingbook_MSB[Tenor])</f>
        <v>15Y</v>
      </c>
      <c r="DO4" s="72">
        <f>SUMIFS(BS[MARKET VALUE],BS[BOND_CODE],TB_HTM[[#This Row],[Bond code]],BS[BOOK_FLAG],"B",BS[BAL],BS!$C$2)/10^9*TB_HTM[[#This Row],[% amt FNRP]]</f>
        <v>90.734999999999999</v>
      </c>
      <c r="DP4" s="71" cm="1">
        <f t="array" ref="DP4">_xlfn.IFNA(_xlfn.XLOOKUP(TB_HTM[[#This Row],[Deal ID]],RPBOD3[BondsDeals_Id],RPBOD3[PTCK_Remain]*RPBOD3[Quantity])/10^9,"N/A")</f>
        <v>6.0497692300449106</v>
      </c>
      <c r="DQ4" s="71">
        <f>_xlfn.XLOOKUP(TB_HTM[[#This Row],[Bond code]],Bankingbook_MSB[Security Name],Bankingbook_MSB[Duration_edited])</f>
        <v>10.46533286</v>
      </c>
      <c r="DR4" s="71">
        <f>_xlfn.XLOOKUP(TB_HTM[[#This Row],[Bond code]],Bankingbook_MSB[Security Name],Bankingbook_MSB[Modified Duration])</f>
        <v>10.0112106148161</v>
      </c>
      <c r="DS4" s="71">
        <f>TB_HTM[[#This Row],[Duration]]*TB_HTM[[#This Row],[Market Value FNRP]]</f>
        <v>949571977052.09998</v>
      </c>
      <c r="DT4" s="71">
        <f>TB_HTM[[#This Row],[Modified Duration]]*TB_HTM[[#This Row],[Market Value FNRP]]</f>
        <v>908367195135.33887</v>
      </c>
      <c r="DU4" s="72">
        <f>_xlfn.XLOOKUP(TB_HTM[[#This Row],[Deal ID]],Outstanding_pos_BB_MSB[BondsDeals_Id],Outstanding_pos_BB_MSB[Time hold/Deal])</f>
        <v>2072</v>
      </c>
      <c r="DV4" s="71" t="str">
        <f>_xlfn.XLOOKUP(TB_HTM[[#This Row],[Deal ID]],Outstanding_pos_BB_MSB[BondsDeals_Id],Outstanding_pos_BB_MSB[Time hold (Tenor)])</f>
        <v>3Y</v>
      </c>
      <c r="DW4" s="71"/>
      <c r="DY4" s="776">
        <v>41164</v>
      </c>
      <c r="DZ4" s="776" t="s">
        <v>784</v>
      </c>
      <c r="EA4" s="776" t="s">
        <v>2180</v>
      </c>
      <c r="EB4" s="777">
        <v>100000000000</v>
      </c>
      <c r="EC4" s="776">
        <v>2.57</v>
      </c>
      <c r="ED4" s="778">
        <v>2.2999999999999998</v>
      </c>
      <c r="EE4" s="72">
        <f>_xlfn.XLOOKUP(DY4,Outstanding_pos_BB_MSB[BondsDeals_Id],Outstanding_pos_BB_MSB[ItD adj])</f>
        <v>-4103601750.5470376</v>
      </c>
      <c r="EF4" s="32">
        <f>_xlfn.XLOOKUP(DY4,Outstanding_pos_BB_MSB[BondsDeals_Id],Outstanding_pos_BB_MSB[Yield])</f>
        <v>2.2999999999999998</v>
      </c>
      <c r="EG4" s="71">
        <f>_xlfn.XLOOKUP(BB_tufund[[#This Row],[Deal ID]],Outstanding_pos_BB_MSB[BondsDeals_Id],Outstanding_pos_BB_MSB[Total Rate])</f>
        <v>5.8</v>
      </c>
      <c r="EH4" s="124">
        <f>_xlfn.XLOOKUP(DY4,Outstanding_pos_BB_MSB[BondsDeals_Id],Outstanding_pos_BB_MSB[Mature Date])</f>
        <v>47113</v>
      </c>
      <c r="EI4" s="787">
        <f>(BB_tufund[[#This Row],[Amt]]/10^9)/(_xlfn.XLOOKUP(BB_tufund[[#This Row],[Bond code]],Bankingbook_MSB[Security Name],Bankingbook_MSB[QUANTITY])/10^4)</f>
        <v>1</v>
      </c>
      <c r="EJ4" s="72">
        <f>_xlfn.XLOOKUP(BB_tufund[[#This Row],[Bond code]],Bankingbook_MSB[Security Name],Bankingbook_MSB[MARKET_VALUE])*BB_tufund[[#This Row],[% amt FNRP]]</f>
        <v>103587000000</v>
      </c>
      <c r="EK4" s="71">
        <f>_xlfn.XLOOKUP(BB_tufund[[#This Row],[Bond code]],Bankingbook_MSB[Security Name],Bankingbook_MSB[BPV_edited])
/10^9*BB_tufund[[#This Row],[% amt FNRP]]</f>
        <v>-2.2648947730714158E-2</v>
      </c>
    </row>
    <row r="5" spans="1:141" x14ac:dyDescent="0.3">
      <c r="B5">
        <v>42869</v>
      </c>
      <c r="C5" s="35">
        <v>45461</v>
      </c>
      <c r="D5" t="s">
        <v>2775</v>
      </c>
      <c r="E5" t="s">
        <v>2176</v>
      </c>
      <c r="F5" t="s">
        <v>907</v>
      </c>
      <c r="G5" s="500">
        <v>200000000000</v>
      </c>
      <c r="H5">
        <v>3.6</v>
      </c>
      <c r="I5" t="s">
        <v>2778</v>
      </c>
      <c r="J5">
        <v>3.3</v>
      </c>
      <c r="K5">
        <v>12.25</v>
      </c>
      <c r="L5" t="s">
        <v>2740</v>
      </c>
      <c r="M5">
        <v>5.01</v>
      </c>
      <c r="N5" s="37">
        <v>-32082000000</v>
      </c>
      <c r="O5">
        <v>9.18</v>
      </c>
      <c r="P5" s="500">
        <v>-82689211.230000004</v>
      </c>
      <c r="Q5" s="500">
        <v>2732000000</v>
      </c>
      <c r="R5">
        <v>107.48</v>
      </c>
      <c r="S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-31062904125.464966</v>
      </c>
      <c r="T5" s="72">
        <f>VLOOKUP(Outstanding_pos_TB_MSB[[#This Row],[Bonds_ShortName]],FNRP!D:J,7,0)</f>
        <v>4000000</v>
      </c>
      <c r="U5" s="72">
        <f>SUMIFS(Outstanding_pos_TB_MSB[Amt],Outstanding_pos_TB_MSB[Bonds_ShortName],Outstanding_pos_TB_MSB[[#This Row],[Bonds_ShortName]])/100000-Outstanding_pos_TB_MSB[[#This Row],[Quantity FNRP]]</f>
        <v>0</v>
      </c>
      <c r="V5" s="162" t="str">
        <f>INDEX(Ref!$I$1:$K$13,MATCH(Outstanding_pos_TB_MSB[[#This Row],[Tenor left]],Ref!$I$1:$I$13,1),3)</f>
        <v>15Y</v>
      </c>
      <c r="W5" s="72">
        <f>IF(RPT-VLOOKUP(Outstanding_pos_TB_MSB[[#This Row],[Bonds_ShortName]],CT:CU,2,0)&lt;=0,0,RPT-VLOOKUP(Outstanding_pos_TB_MSB[[#This Row],[Bonds_ShortName]],CT:CU,2,0))</f>
        <v>243</v>
      </c>
      <c r="X5" s="72">
        <f>IF(RPT-Outstanding_pos_TB_MSB[[#This Row],[VALUE_DATE]]&lt;=0,0,RPT-Outstanding_pos_TB_MSB[[#This Row],[VALUE_DATE]])</f>
        <v>791</v>
      </c>
      <c r="Y5" s="72" t="str">
        <f>_xlfn.XLOOKUP(Outstanding_pos_TB_MSB[[#This Row],[Time hold/Deal]],Ref!S:S,Ref!U:U,,-1)</f>
        <v>2Y</v>
      </c>
      <c r="AB5">
        <v>30561</v>
      </c>
      <c r="AC5" s="35">
        <v>44187</v>
      </c>
      <c r="AD5" t="s">
        <v>712</v>
      </c>
      <c r="AE5" t="s">
        <v>2180</v>
      </c>
      <c r="AF5" t="s">
        <v>823</v>
      </c>
      <c r="AG5" s="500">
        <v>200000000000</v>
      </c>
      <c r="AH5">
        <v>3.6</v>
      </c>
      <c r="AI5">
        <v>51144</v>
      </c>
      <c r="AJ5">
        <v>3</v>
      </c>
      <c r="AK5">
        <v>13.4</v>
      </c>
      <c r="AL5" s="645" t="s">
        <v>2740</v>
      </c>
      <c r="AM5">
        <v>4.54</v>
      </c>
      <c r="AN5" s="500">
        <v>-35744000000</v>
      </c>
      <c r="AO5">
        <v>10.01</v>
      </c>
      <c r="AP5">
        <v>-93005742.140000001</v>
      </c>
      <c r="AQ5">
        <v>2190000000</v>
      </c>
      <c r="AR5">
        <v>127.16</v>
      </c>
      <c r="AS5" s="72">
        <f>SUM(_xlfn.IFNA(VLOOKUP(Outstanding_pos_BB_MSB[[#This Row],[Bonds_ShortName]],FNRP!AV:BA,6,0)*Outstanding_pos_BB_MSB[[#This Row],[Amt]]/10^4,0),_xlfn.IFNA((VLOOKUP(Outstanding_pos_BB_MSB[[#This Row],[Bonds_ShortName]],FNRP!IK:IP,6,0)*Outstanding_pos_BB_MSB[[#This Row],[Amt]]/10^4),0))</f>
        <v>1814700000000</v>
      </c>
      <c r="AT5" s="72">
        <f>(_xlfn.XLOOKUP(Outstanding_pos_BB_MSB[[#This Row],[Bonds_ShortName]],FNRP!AV:AV,FNRP!BA:BA,,0)
-_xlfn.XLOOKUP(Outstanding_pos_BB_MSB[[#This Row],[BondsDeals_Id]],BS!AL:AL,BS!AR:AR,_xlfn.XLOOKUP(Outstanding_pos_BB_MSB[[#This Row],[BondsDeals_Id]],BS!BA:BA,BS!BQ:BQ,,0),0)-10^5)
*Outstanding_pos_BB_MSB[[#This Row],[Amt]]/10^5</f>
        <v>-30633483841.018696</v>
      </c>
      <c r="AU5" s="72">
        <f>VLOOKUP(Outstanding_pos_BB_MSB[[#This Row],[Bonds_ShortName]],FNRP!AV:CD,35,0)</f>
        <v>4000000</v>
      </c>
      <c r="AV5" s="157">
        <f>SUMIFS(AG$1:AG$103,AD$1:AD$103,Outstanding_pos_BB_MSB[[#This Row],[Bonds_ShortName]])/10^5-Outstanding_pos_BB_MSB[[#This Row],[Quantity FNRP]]</f>
        <v>0</v>
      </c>
      <c r="AW5" s="72">
        <f>IF(RPT-Outstanding_pos_BB_MSB[[#This Row],[Value Date]]&lt;=0,0,RPT-Outstanding_pos_BB_MSB[[#This Row],[Value Date]])</f>
        <v>2065</v>
      </c>
      <c r="AX5" s="32" t="str">
        <f>INDEX(Ref!$I$1:$K$13,MATCH(Outstanding_pos_BB_MSB[[#This Row],[Tenor left]],Ref!$I$1:$I$13,1),3)</f>
        <v>15Y</v>
      </c>
      <c r="AY5" s="72" t="str">
        <f>_xlfn.XLOOKUP(Outstanding_pos_BB_MSB[[#This Row],[Time hold/Deal]],Ref!S:S,Ref!U:U,,-1)</f>
        <v>3Y</v>
      </c>
      <c r="BB5">
        <v>47189</v>
      </c>
      <c r="BC5" s="35">
        <v>45881</v>
      </c>
      <c r="BD5" t="s">
        <v>2852</v>
      </c>
      <c r="BE5" t="s">
        <v>825</v>
      </c>
      <c r="BF5" t="s">
        <v>823</v>
      </c>
      <c r="BG5" s="500">
        <v>100000000000</v>
      </c>
      <c r="BH5">
        <v>2.4</v>
      </c>
      <c r="BI5" s="35">
        <v>49045</v>
      </c>
      <c r="BJ5">
        <v>3.25</v>
      </c>
      <c r="BK5">
        <v>7.65</v>
      </c>
      <c r="BL5" t="s">
        <v>2747</v>
      </c>
      <c r="BM5">
        <v>4.34</v>
      </c>
      <c r="BN5" s="500">
        <v>-6044000000</v>
      </c>
      <c r="BO5">
        <v>6.67</v>
      </c>
      <c r="BP5" s="37">
        <v>-59030067.240000002</v>
      </c>
      <c r="BQ5" s="37">
        <v>855000000</v>
      </c>
      <c r="BR5">
        <v>53.71</v>
      </c>
      <c r="BS5"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-6795497532.1684036</v>
      </c>
      <c r="BT5" s="72">
        <f>RPT-VLOOKUP(Outstanding_pos_TB_SBV[[#This Row],[Bonds_ShortName]],RP_SEC!CT:CU,2,0)</f>
        <v>7</v>
      </c>
      <c r="BU5" s="157">
        <f>SUMIFS(BG:BG,BD:BD,Outstanding_pos_TB_SBV[[#This Row],[Bonds_ShortName]])/10^5-VLOOKUP(Outstanding_pos_TB_SBV[[#This Row],[Bonds_ShortName]],FNRP!$CN:$DU,34,0)</f>
        <v>0</v>
      </c>
      <c r="BX5">
        <v>30559</v>
      </c>
      <c r="BY5" s="502">
        <v>44180</v>
      </c>
      <c r="BZ5" t="s">
        <v>712</v>
      </c>
      <c r="CA5" t="s">
        <v>2180</v>
      </c>
      <c r="CB5" t="s">
        <v>823</v>
      </c>
      <c r="CC5" s="500">
        <v>100000000000</v>
      </c>
      <c r="CD5">
        <v>3.6</v>
      </c>
      <c r="CE5" s="502">
        <v>51144</v>
      </c>
      <c r="CF5">
        <v>3</v>
      </c>
      <c r="CG5">
        <v>13.4</v>
      </c>
      <c r="CH5" t="s">
        <v>2740</v>
      </c>
      <c r="CI5">
        <v>4.54</v>
      </c>
      <c r="CJ5" s="500">
        <v>-17878000000</v>
      </c>
      <c r="CK5">
        <v>10.01</v>
      </c>
      <c r="CL5" s="500">
        <v>-93005742.140000001</v>
      </c>
      <c r="CM5" s="500">
        <v>2190000000</v>
      </c>
      <c r="CN5">
        <v>127.16</v>
      </c>
      <c r="CO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-15314769230.044912</v>
      </c>
      <c r="CP5" s="72">
        <f>RPT-VLOOKUP(Outstanding_pos_BB_SBV[[#This Row],[Bonds_ShortName]],CT:CU,2,0)</f>
        <v>22</v>
      </c>
      <c r="CQ5" s="157">
        <f>SUMIFS(CC:CC,BZ:BZ,Outstanding_pos_BB_SBV[[#This Row],[Bonds_ShortName]])/10^5-VLOOKUP(Outstanding_pos_BB_SBV[[#This Row],[Bonds_ShortName]],FNRP!EE:FL,34,0)</f>
        <v>0</v>
      </c>
      <c r="CT5" t="s">
        <v>3051</v>
      </c>
      <c r="CU5" s="502">
        <v>46261</v>
      </c>
      <c r="CX5" s="776">
        <v>30561</v>
      </c>
      <c r="CY5" s="776" t="s">
        <v>712</v>
      </c>
      <c r="CZ5" s="776" t="s">
        <v>2180</v>
      </c>
      <c r="DA5" s="777">
        <v>200000000000</v>
      </c>
      <c r="DB5" s="776">
        <v>13.61</v>
      </c>
      <c r="DC5" s="778">
        <v>3</v>
      </c>
      <c r="DD5" s="72">
        <f>_xlfn.XLOOKUP(CX5,Outstanding_pos_BB_MSB[BondsDeals_Id],Outstanding_pos_BB_MSB[ItD adj])</f>
        <v>-30633483841.018696</v>
      </c>
      <c r="DE5" s="32">
        <f>_xlfn.XLOOKUP(CX5,Outstanding_pos_BB_MSB[BondsDeals_Id],Outstanding_pos_BB_MSB[Yield])</f>
        <v>3</v>
      </c>
      <c r="DF5" s="32">
        <f>_xlfn.XLOOKUP(TB_HTM[[#This Row],[Deal ID]],Outstanding_pos_BB_MSB[BondsDeals_Id],Outstanding_pos_BB_MSB[Total Rate])</f>
        <v>3.6</v>
      </c>
      <c r="DG5" s="124">
        <f>_xlfn.XLOOKUP(CX5,Outstanding_pos_BB_MSB[BondsDeals_Id],Outstanding_pos_BB_MSB[Mature Date])</f>
        <v>51144</v>
      </c>
      <c r="DH5" s="786">
        <f>(TB_HTM[[#This Row],[Amt]]/10^9)/(_xlfn.XLOOKUP(TB_HTM[[#This Row],[Bond code]],Bankingbook_MSB[Security Name],Bankingbook_MSB[QUANTITY])/10^4)</f>
        <v>0.5</v>
      </c>
      <c r="DI5" s="72">
        <f>_xlfn.XLOOKUP(TB_HTM[[#This Row],[Bond code]],Bankingbook_MSB[Security Name],Bankingbook_MSB[MARKET_VALUE])*TB_HTM[[#This Row],[% amt FNRP]]</f>
        <v>181470000000</v>
      </c>
      <c r="DJ5" s="71">
        <f>_xlfn.XLOOKUP(TB_HTM[[#This Row],[Bond code]],Bankingbook_MSB[Security Name],Bankingbook_MSB[BPV_edited])
/10^9*TB_HTM[[#This Row],[% amt FNRP]]</f>
        <v>-0.18592012646457456</v>
      </c>
      <c r="DK5" s="71">
        <f>TB_HTM[[#This Row],[Amt]]*TB_HTM[[#This Row],[Yield]]/10^5</f>
        <v>6000000</v>
      </c>
      <c r="DL5" s="71" t="str">
        <f>_xlfn.XLOOKUP(TB_HTM[[#This Row],[Bond code]],Bankingbook_MSB[Security Name],Bankingbook_MSB[Type])</f>
        <v>TPCP</v>
      </c>
      <c r="DM5" s="71" t="str">
        <f>_xlfn.XLOOKUP(TB_HTM[[#This Row],[Bond code]],Bankingbook_MSB[Security Name],Bankingbook_MSB[Issuer])</f>
        <v>KBNN</v>
      </c>
      <c r="DN5" s="71" t="str">
        <f>_xlfn.XLOOKUP(TB_HTM[[#This Row],[Bond code]],Bankingbook_MSB[Security Name],Bankingbook_MSB[Tenor])</f>
        <v>15Y</v>
      </c>
      <c r="DO5" s="72">
        <f>SUMIFS(BS[MARKET VALUE],BS[BOND_CODE],TB_HTM[[#This Row],[Bond code]],BS[BOOK_FLAG],"B",BS[BAL],BS!$C$2)/10^9*TB_HTM[[#This Row],[% amt FNRP]]</f>
        <v>181.47</v>
      </c>
      <c r="DP5" s="71" cm="1">
        <f t="array" ref="DP5">_xlfn.IFNA(_xlfn.XLOOKUP(TB_HTM[[#This Row],[Deal ID]],RPBOD3[BondsDeals_Id],RPBOD3[PTCK_Remain]*RPBOD3[Quantity])/10^9,"N/A")</f>
        <v>12.103483841018699</v>
      </c>
      <c r="DQ5" s="71">
        <f>_xlfn.XLOOKUP(TB_HTM[[#This Row],[Bond code]],Bankingbook_MSB[Security Name],Bankingbook_MSB[Duration_edited])</f>
        <v>10.46533286</v>
      </c>
      <c r="DR5" s="71">
        <f>_xlfn.XLOOKUP(TB_HTM[[#This Row],[Bond code]],Bankingbook_MSB[Security Name],Bankingbook_MSB[Modified Duration])</f>
        <v>10.0112106148161</v>
      </c>
      <c r="DS5" s="71">
        <f>TB_HTM[[#This Row],[Duration]]*TB_HTM[[#This Row],[Market Value FNRP]]</f>
        <v>1899143954104.2</v>
      </c>
      <c r="DT5" s="71">
        <f>TB_HTM[[#This Row],[Modified Duration]]*TB_HTM[[#This Row],[Market Value FNRP]]</f>
        <v>1816734390270.6777</v>
      </c>
      <c r="DU5" s="72">
        <f>_xlfn.XLOOKUP(TB_HTM[[#This Row],[Deal ID]],Outstanding_pos_BB_MSB[BondsDeals_Id],Outstanding_pos_BB_MSB[Time hold/Deal])</f>
        <v>2065</v>
      </c>
      <c r="DV5" s="71" t="str">
        <f>_xlfn.XLOOKUP(TB_HTM[[#This Row],[Deal ID]],Outstanding_pos_BB_MSB[BondsDeals_Id],Outstanding_pos_BB_MSB[Time hold (Tenor)])</f>
        <v>3Y</v>
      </c>
      <c r="DW5" s="71"/>
      <c r="DY5" s="776">
        <v>4553</v>
      </c>
      <c r="DZ5" s="776" t="s">
        <v>593</v>
      </c>
      <c r="EA5" s="776" t="s">
        <v>2180</v>
      </c>
      <c r="EB5" s="777">
        <v>1490400000</v>
      </c>
      <c r="EC5" s="776">
        <v>2.78</v>
      </c>
      <c r="ED5" s="778">
        <v>6.96</v>
      </c>
      <c r="EE5" s="72">
        <f>_xlfn.XLOOKUP(DY5,Outstanding_pos_BB_MSB[BondsDeals_Id],Outstanding_pos_BB_MSB[ItD adj])</f>
        <v>140378076.39478531</v>
      </c>
      <c r="EF5" s="32">
        <f>_xlfn.XLOOKUP(DY5,Outstanding_pos_BB_MSB[BondsDeals_Id],Outstanding_pos_BB_MSB[Yield])</f>
        <v>6.96</v>
      </c>
      <c r="EG5" s="71">
        <f>_xlfn.XLOOKUP(BB_tufund[[#This Row],[Deal ID]],Outstanding_pos_BB_MSB[BondsDeals_Id],Outstanding_pos_BB_MSB[Total Rate])</f>
        <v>8.8000000000000007</v>
      </c>
      <c r="EH5" s="124">
        <f>_xlfn.XLOOKUP(DY5,Outstanding_pos_BB_MSB[BondsDeals_Id],Outstanding_pos_BB_MSB[Mature Date])</f>
        <v>47192</v>
      </c>
      <c r="EI5" s="787">
        <f>(BB_tufund[[#This Row],[Amt]]/10^9)/(_xlfn.XLOOKUP(BB_tufund[[#This Row],[Bond code]],Bankingbook_MSB[Security Name],Bankingbook_MSB[QUANTITY])/10^4)</f>
        <v>1</v>
      </c>
      <c r="EJ5" s="72">
        <f>_xlfn.XLOOKUP(BB_tufund[[#This Row],[Bond code]],Bankingbook_MSB[Security Name],Bankingbook_MSB[MARKET_VALUE])*BB_tufund[[#This Row],[% amt FNRP]]</f>
        <v>1674181224</v>
      </c>
      <c r="EK5" s="71">
        <f>_xlfn.XLOOKUP(BB_tufund[[#This Row],[Bond code]],Bankingbook_MSB[Security Name],Bankingbook_MSB[BPV_edited])
/10^9*BB_tufund[[#This Row],[% amt FNRP]]</f>
        <v>-3.9254605685434276E-4</v>
      </c>
    </row>
    <row r="6" spans="1:141" x14ac:dyDescent="0.3">
      <c r="B6">
        <v>43063</v>
      </c>
      <c r="C6" s="35">
        <v>45470</v>
      </c>
      <c r="D6" t="s">
        <v>2775</v>
      </c>
      <c r="E6" t="s">
        <v>824</v>
      </c>
      <c r="F6" t="s">
        <v>907</v>
      </c>
      <c r="G6" s="500">
        <v>200000000000</v>
      </c>
      <c r="H6">
        <v>3.6</v>
      </c>
      <c r="I6" t="s">
        <v>2778</v>
      </c>
      <c r="J6">
        <v>3.25</v>
      </c>
      <c r="K6">
        <v>12.25</v>
      </c>
      <c r="L6" t="s">
        <v>2740</v>
      </c>
      <c r="M6">
        <v>5.01</v>
      </c>
      <c r="N6" s="37">
        <v>-33156000000</v>
      </c>
      <c r="O6">
        <v>9.18</v>
      </c>
      <c r="P6" s="500">
        <v>-82689211.230000004</v>
      </c>
      <c r="Q6" s="500">
        <v>2732000000</v>
      </c>
      <c r="R6">
        <v>107.48</v>
      </c>
      <c r="S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-31987471477.656799</v>
      </c>
      <c r="T6" s="72">
        <f>VLOOKUP(Outstanding_pos_TB_MSB[[#This Row],[Bonds_ShortName]],FNRP!D:J,7,0)</f>
        <v>4000000</v>
      </c>
      <c r="U6" s="72">
        <f>SUMIFS(Outstanding_pos_TB_MSB[Amt],Outstanding_pos_TB_MSB[Bonds_ShortName],Outstanding_pos_TB_MSB[[#This Row],[Bonds_ShortName]])/100000-Outstanding_pos_TB_MSB[[#This Row],[Quantity FNRP]]</f>
        <v>0</v>
      </c>
      <c r="V6" s="162" t="str">
        <f>INDEX(Ref!$I$1:$K$13,MATCH(Outstanding_pos_TB_MSB[[#This Row],[Tenor left]],Ref!$I$1:$I$13,1),3)</f>
        <v>15Y</v>
      </c>
      <c r="W6" s="72">
        <f>IF(RPT-VLOOKUP(Outstanding_pos_TB_MSB[[#This Row],[Bonds_ShortName]],CT:CU,2,0)&lt;=0,0,RPT-VLOOKUP(Outstanding_pos_TB_MSB[[#This Row],[Bonds_ShortName]],CT:CU,2,0))</f>
        <v>243</v>
      </c>
      <c r="X6" s="72">
        <f>IF(RPT-Outstanding_pos_TB_MSB[[#This Row],[VALUE_DATE]]&lt;=0,0,RPT-Outstanding_pos_TB_MSB[[#This Row],[VALUE_DATE]])</f>
        <v>782</v>
      </c>
      <c r="Y6" s="72" t="str">
        <f>_xlfn.XLOOKUP(Outstanding_pos_TB_MSB[[#This Row],[Time hold/Deal]],Ref!S:S,Ref!U:U,,-1)</f>
        <v>2Y</v>
      </c>
      <c r="AB6">
        <v>38993</v>
      </c>
      <c r="AC6" s="35">
        <v>44902</v>
      </c>
      <c r="AD6" t="s">
        <v>700</v>
      </c>
      <c r="AE6" t="s">
        <v>2180</v>
      </c>
      <c r="AF6" t="s">
        <v>823</v>
      </c>
      <c r="AG6" s="500">
        <v>6000000000</v>
      </c>
      <c r="AH6">
        <v>2.5</v>
      </c>
      <c r="AI6">
        <v>49780</v>
      </c>
      <c r="AJ6">
        <v>3.8</v>
      </c>
      <c r="AK6">
        <v>9.66</v>
      </c>
      <c r="AL6" s="645" t="s">
        <v>2743</v>
      </c>
      <c r="AM6">
        <v>4.43</v>
      </c>
      <c r="AN6" s="500">
        <v>-89700000</v>
      </c>
      <c r="AO6">
        <v>8.15</v>
      </c>
      <c r="AP6">
        <v>-70080485.709999993</v>
      </c>
      <c r="AQ6">
        <v>863000000</v>
      </c>
      <c r="AR6">
        <v>79.95</v>
      </c>
      <c r="AS6" s="72">
        <f>SUM(_xlfn.IFNA(VLOOKUP(Outstanding_pos_BB_MSB[[#This Row],[Bonds_ShortName]],FNRP!AV:BA,6,0)*Outstanding_pos_BB_MSB[[#This Row],[Amt]]/10^4,0),_xlfn.IFNA((VLOOKUP(Outstanding_pos_BB_MSB[[#This Row],[Bonds_ShortName]],FNRP!IK:IP,6,0)*Outstanding_pos_BB_MSB[[#This Row],[Amt]]/10^4),0))</f>
        <v>51042600000</v>
      </c>
      <c r="AT6" s="72">
        <f>(_xlfn.XLOOKUP(Outstanding_pos_BB_MSB[[#This Row],[Bonds_ShortName]],FNRP!AV:AV,FNRP!BA:BA,,0)
-_xlfn.XLOOKUP(Outstanding_pos_BB_MSB[[#This Row],[BondsDeals_Id]],BS!AL:AL,BS!AR:AR,_xlfn.XLOOKUP(Outstanding_pos_BB_MSB[[#This Row],[BondsDeals_Id]],BS!BA:BA,BS!BQ:BQ,,0),0)-10^5)
*Outstanding_pos_BB_MSB[[#This Row],[Amt]]/10^5</f>
        <v>-313093553.72457886</v>
      </c>
      <c r="AU6" s="72">
        <f>VLOOKUP(Outstanding_pos_BB_MSB[[#This Row],[Bonds_ShortName]],FNRP!AV:CD,35,0)</f>
        <v>60000</v>
      </c>
      <c r="AV6" s="157">
        <f>SUMIFS(AG$1:AG$103,AD$1:AD$103,Outstanding_pos_BB_MSB[[#This Row],[Bonds_ShortName]])/10^5-Outstanding_pos_BB_MSB[[#This Row],[Quantity FNRP]]</f>
        <v>0</v>
      </c>
      <c r="AW6" s="72">
        <f>IF(RPT-Outstanding_pos_BB_MSB[[#This Row],[Value Date]]&lt;=0,0,RPT-Outstanding_pos_BB_MSB[[#This Row],[Value Date]])</f>
        <v>1350</v>
      </c>
      <c r="AX6" s="32" t="str">
        <f>INDEX(Ref!$I$1:$K$13,MATCH(Outstanding_pos_BB_MSB[[#This Row],[Tenor left]],Ref!$I$1:$I$13,1),3)</f>
        <v>10Y</v>
      </c>
      <c r="AY6" s="72" t="str">
        <f>_xlfn.XLOOKUP(Outstanding_pos_BB_MSB[[#This Row],[Time hold/Deal]],Ref!S:S,Ref!U:U,,-1)</f>
        <v>3Y</v>
      </c>
      <c r="BB6">
        <v>47257</v>
      </c>
      <c r="BC6" s="35">
        <v>45891</v>
      </c>
      <c r="BD6" t="s">
        <v>2799</v>
      </c>
      <c r="BE6" t="s">
        <v>825</v>
      </c>
      <c r="BF6" t="s">
        <v>823</v>
      </c>
      <c r="BG6" s="500">
        <v>50000000000</v>
      </c>
      <c r="BH6">
        <v>2.1</v>
      </c>
      <c r="BI6" s="35">
        <v>48955</v>
      </c>
      <c r="BJ6">
        <v>3.44</v>
      </c>
      <c r="BK6">
        <v>7.4</v>
      </c>
      <c r="BL6" t="s">
        <v>2746</v>
      </c>
      <c r="BM6">
        <v>4.33</v>
      </c>
      <c r="BN6" s="500">
        <v>-2113500000</v>
      </c>
      <c r="BO6">
        <v>6.51</v>
      </c>
      <c r="BP6" s="37">
        <v>-56870686.310000002</v>
      </c>
      <c r="BQ6" s="37">
        <v>1266000000</v>
      </c>
      <c r="BR6">
        <v>51.1</v>
      </c>
      <c r="BS6"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-2684927053.900363</v>
      </c>
      <c r="BT6" s="72">
        <f>RPT-VLOOKUP(Outstanding_pos_TB_SBV[[#This Row],[Bonds_ShortName]],RP_SEC!CT:CU,2,0)</f>
        <v>42</v>
      </c>
      <c r="BU6" s="157">
        <f>SUMIFS(BG:BG,BD:BD,Outstanding_pos_TB_SBV[[#This Row],[Bonds_ShortName]])/10^5-VLOOKUP(Outstanding_pos_TB_SBV[[#This Row],[Bonds_ShortName]],FNRP!$CN:$DU,34,0)</f>
        <v>0</v>
      </c>
      <c r="BX6">
        <v>30561</v>
      </c>
      <c r="BY6" s="502">
        <v>44187</v>
      </c>
      <c r="BZ6" t="s">
        <v>712</v>
      </c>
      <c r="CA6" t="s">
        <v>2180</v>
      </c>
      <c r="CB6" t="s">
        <v>823</v>
      </c>
      <c r="CC6" s="500">
        <v>200000000000</v>
      </c>
      <c r="CD6">
        <v>3.6</v>
      </c>
      <c r="CE6" s="502">
        <v>51144</v>
      </c>
      <c r="CF6">
        <v>3</v>
      </c>
      <c r="CG6">
        <v>13.4</v>
      </c>
      <c r="CH6" t="s">
        <v>2740</v>
      </c>
      <c r="CI6">
        <v>4.54</v>
      </c>
      <c r="CJ6" s="500">
        <v>-35744000000</v>
      </c>
      <c r="CK6">
        <v>10.01</v>
      </c>
      <c r="CL6" s="500">
        <v>-93005742.140000001</v>
      </c>
      <c r="CM6" s="500">
        <v>2190000000</v>
      </c>
      <c r="CN6">
        <v>127.16</v>
      </c>
      <c r="CO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-30633483841.018696</v>
      </c>
      <c r="CP6" s="72">
        <f>RPT-VLOOKUP(Outstanding_pos_BB_SBV[[#This Row],[Bonds_ShortName]],CT:CU,2,0)</f>
        <v>22</v>
      </c>
      <c r="CQ6" s="157">
        <f>SUMIFS(CC:CC,BZ:BZ,Outstanding_pos_BB_SBV[[#This Row],[Bonds_ShortName]])/10^5-VLOOKUP(Outstanding_pos_BB_SBV[[#This Row],[Bonds_ShortName]],FNRP!EE:FL,34,0)</f>
        <v>0</v>
      </c>
      <c r="CT6" t="s">
        <v>2748</v>
      </c>
      <c r="CU6" s="502">
        <v>45804</v>
      </c>
      <c r="CX6" s="776">
        <v>38997</v>
      </c>
      <c r="CY6" s="776" t="s">
        <v>697</v>
      </c>
      <c r="CZ6" s="776" t="s">
        <v>2180</v>
      </c>
      <c r="DA6" s="777">
        <v>37000000000</v>
      </c>
      <c r="DB6" s="776">
        <v>9.5500000000000007</v>
      </c>
      <c r="DC6" s="778">
        <v>3.8</v>
      </c>
      <c r="DD6" s="72">
        <f>_xlfn.XLOOKUP(CX6,Outstanding_pos_BB_MSB[BondsDeals_Id],Outstanding_pos_BB_MSB[ItD adj])</f>
        <v>-1845570510.8915391</v>
      </c>
      <c r="DE6" s="32">
        <f>_xlfn.XLOOKUP(CX6,Outstanding_pos_BB_MSB[BondsDeals_Id],Outstanding_pos_BB_MSB[Yield])</f>
        <v>3.8</v>
      </c>
      <c r="DF6" s="32">
        <f>_xlfn.XLOOKUP(TB_HTM[[#This Row],[Deal ID]],Outstanding_pos_BB_MSB[BondsDeals_Id],Outstanding_pos_BB_MSB[Total Rate])</f>
        <v>2.5</v>
      </c>
      <c r="DG6" s="124">
        <f>_xlfn.XLOOKUP(CX6,Outstanding_pos_BB_MSB[BondsDeals_Id],Outstanding_pos_BB_MSB[Mature Date])</f>
        <v>49660</v>
      </c>
      <c r="DH6" s="786">
        <f>(TB_HTM[[#This Row],[Amt]]/10^9)/(_xlfn.XLOOKUP(TB_HTM[[#This Row],[Bond code]],Bankingbook_MSB[Security Name],Bankingbook_MSB[QUANTITY])/10^4)</f>
        <v>0.42528735632183906</v>
      </c>
      <c r="DI6" s="72">
        <f>_xlfn.XLOOKUP(TB_HTM[[#This Row],[Bond code]],Bankingbook_MSB[Security Name],Bankingbook_MSB[MARKET_VALUE])*TB_HTM[[#This Row],[% amt FNRP]]</f>
        <v>31666080000</v>
      </c>
      <c r="DJ6" s="71">
        <f>_xlfn.XLOOKUP(TB_HTM[[#This Row],[Bond code]],Bankingbook_MSB[Security Name],Bankingbook_MSB[BPV_edited])
/10^9*TB_HTM[[#This Row],[% amt FNRP]]</f>
        <v>-2.5322105604871997E-2</v>
      </c>
      <c r="DK6" s="71">
        <f>TB_HTM[[#This Row],[Amt]]*TB_HTM[[#This Row],[Yield]]/10^5</f>
        <v>1406000</v>
      </c>
      <c r="DL6" s="71" t="str">
        <f>_xlfn.XLOOKUP(TB_HTM[[#This Row],[Bond code]],Bankingbook_MSB[Security Name],Bankingbook_MSB[Type])</f>
        <v>TPCP</v>
      </c>
      <c r="DM6" s="71" t="str">
        <f>_xlfn.XLOOKUP(TB_HTM[[#This Row],[Bond code]],Bankingbook_MSB[Security Name],Bankingbook_MSB[Issuer])</f>
        <v>KBNN</v>
      </c>
      <c r="DN6" s="71" t="str">
        <f>_xlfn.XLOOKUP(TB_HTM[[#This Row],[Bond code]],Bankingbook_MSB[Security Name],Bankingbook_MSB[Tenor])</f>
        <v>10Y</v>
      </c>
      <c r="DO6" s="72">
        <f>SUMIFS(BS[MARKET VALUE],BS[BOND_CODE],TB_HTM[[#This Row],[Bond code]],BS[BOOK_FLAG],"B",BS[BAL],BS!$C$2)/10^9*TB_HTM[[#This Row],[% amt FNRP]]</f>
        <v>31.666079999999997</v>
      </c>
      <c r="DP6" s="71" cm="1">
        <f t="array" ref="DP6">_xlfn.IFNA(_xlfn.XLOOKUP(TB_HTM[[#This Row],[Deal ID]],RPBOD3[BondsDeals_Id],RPBOD3[PTCK_Remain]*RPBOD3[Quantity])/10^9,"N/A")</f>
        <v>-3.4883494891084599</v>
      </c>
      <c r="DQ6" s="71">
        <f>_xlfn.XLOOKUP(TB_HTM[[#This Row],[Bond code]],Bankingbook_MSB[Security Name],Bankingbook_MSB[Duration_edited])</f>
        <v>8.1938002399999998</v>
      </c>
      <c r="DR6" s="71">
        <f>_xlfn.XLOOKUP(TB_HTM[[#This Row],[Bond code]],Bankingbook_MSB[Security Name],Bankingbook_MSB[Modified Duration])</f>
        <v>7.8471979742575</v>
      </c>
      <c r="DS6" s="71">
        <f>TB_HTM[[#This Row],[Duration]]*TB_HTM[[#This Row],[Market Value FNRP]]</f>
        <v>259465533903.85919</v>
      </c>
      <c r="DT6" s="71">
        <f>TB_HTM[[#This Row],[Modified Duration]]*TB_HTM[[#This Row],[Market Value FNRP]]</f>
        <v>248489998828.67593</v>
      </c>
      <c r="DU6" s="72">
        <f>_xlfn.XLOOKUP(TB_HTM[[#This Row],[Deal ID]],Outstanding_pos_BB_MSB[BondsDeals_Id],Outstanding_pos_BB_MSB[Time hold/Deal])</f>
        <v>1350</v>
      </c>
      <c r="DV6" s="71" t="str">
        <f>_xlfn.XLOOKUP(TB_HTM[[#This Row],[Deal ID]],Outstanding_pos_BB_MSB[BondsDeals_Id],Outstanding_pos_BB_MSB[Time hold (Tenor)])</f>
        <v>3Y</v>
      </c>
      <c r="DW6" s="71"/>
      <c r="DY6" s="776">
        <v>41089</v>
      </c>
      <c r="DZ6" s="776" t="s">
        <v>600</v>
      </c>
      <c r="EA6" s="776" t="s">
        <v>2180</v>
      </c>
      <c r="EB6" s="777">
        <v>150000000000</v>
      </c>
      <c r="EC6" s="776">
        <v>3.45</v>
      </c>
      <c r="ED6" s="778">
        <v>2.4</v>
      </c>
      <c r="EE6" s="72">
        <f>_xlfn.XLOOKUP(DY6,Outstanding_pos_BB_MSB[BondsDeals_Id],Outstanding_pos_BB_MSB[ItD adj])</f>
        <v>-8380907471.3342848</v>
      </c>
      <c r="EF6" s="32">
        <f>_xlfn.XLOOKUP(DY6,Outstanding_pos_BB_MSB[BondsDeals_Id],Outstanding_pos_BB_MSB[Yield])</f>
        <v>2.4</v>
      </c>
      <c r="EG6" s="71">
        <f>_xlfn.XLOOKUP(BB_tufund[[#This Row],[Deal ID]],Outstanding_pos_BB_MSB[BondsDeals_Id],Outstanding_pos_BB_MSB[Total Rate])</f>
        <v>4.5</v>
      </c>
      <c r="EH6" s="124">
        <f>_xlfn.XLOOKUP(DY6,Outstanding_pos_BB_MSB[BondsDeals_Id],Outstanding_pos_BB_MSB[Mature Date])</f>
        <v>47435</v>
      </c>
      <c r="EI6" s="787">
        <f>(BB_tufund[[#This Row],[Amt]]/10^9)/(_xlfn.XLOOKUP(BB_tufund[[#This Row],[Bond code]],Bankingbook_MSB[Security Name],Bankingbook_MSB[QUANTITY])/10^4)</f>
        <v>0.75</v>
      </c>
      <c r="EJ6" s="72">
        <f>_xlfn.XLOOKUP(BB_tufund[[#This Row],[Bond code]],Bankingbook_MSB[Security Name],Bankingbook_MSB[MARKET_VALUE])*BB_tufund[[#This Row],[% amt FNRP]]</f>
        <v>151014000000</v>
      </c>
      <c r="EK6" s="71">
        <f>_xlfn.XLOOKUP(BB_tufund[[#This Row],[Bond code]],Bankingbook_MSB[Security Name],Bankingbook_MSB[BPV_edited])
/10^9*BB_tufund[[#This Row],[% amt FNRP]]</f>
        <v>-4.4748305579524694E-2</v>
      </c>
    </row>
    <row r="7" spans="1:141" x14ac:dyDescent="0.3">
      <c r="B7">
        <v>43543</v>
      </c>
      <c r="C7" s="35">
        <v>45512</v>
      </c>
      <c r="D7" t="s">
        <v>670</v>
      </c>
      <c r="E7" t="s">
        <v>824</v>
      </c>
      <c r="F7" t="s">
        <v>907</v>
      </c>
      <c r="G7" s="500">
        <v>50000000000</v>
      </c>
      <c r="H7">
        <v>4.7</v>
      </c>
      <c r="I7" t="s">
        <v>3496</v>
      </c>
      <c r="J7">
        <v>3.02</v>
      </c>
      <c r="K7">
        <v>8.09</v>
      </c>
      <c r="L7" t="s">
        <v>2747</v>
      </c>
      <c r="M7">
        <v>4.8600000000000003</v>
      </c>
      <c r="N7" s="37">
        <v>-7748000000</v>
      </c>
      <c r="O7">
        <v>6.31</v>
      </c>
      <c r="P7" s="500">
        <v>-65140312.689999998</v>
      </c>
      <c r="Q7" s="500">
        <v>4314000000</v>
      </c>
      <c r="R7">
        <v>51.65</v>
      </c>
      <c r="S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-6298378684.6763611</v>
      </c>
      <c r="T7" s="72">
        <f>VLOOKUP(Outstanding_pos_TB_MSB[[#This Row],[Bonds_ShortName]],FNRP!D:J,7,0)</f>
        <v>500000</v>
      </c>
      <c r="U7" s="72">
        <f>SUMIFS(Outstanding_pos_TB_MSB[Amt],Outstanding_pos_TB_MSB[Bonds_ShortName],Outstanding_pos_TB_MSB[[#This Row],[Bonds_ShortName]])/100000-Outstanding_pos_TB_MSB[[#This Row],[Quantity FNRP]]</f>
        <v>0</v>
      </c>
      <c r="V7" s="162" t="str">
        <f>INDEX(Ref!$I$1:$K$13,MATCH(Outstanding_pos_TB_MSB[[#This Row],[Tenor left]],Ref!$I$1:$I$13,1),3)</f>
        <v>10Y</v>
      </c>
      <c r="W7" s="72">
        <f>IF(RPT-VLOOKUP(Outstanding_pos_TB_MSB[[#This Row],[Bonds_ShortName]],CT:CU,2,0)&lt;=0,0,RPT-VLOOKUP(Outstanding_pos_TB_MSB[[#This Row],[Bonds_ShortName]],CT:CU,2,0))</f>
        <v>742</v>
      </c>
      <c r="X7" s="72">
        <f>IF(RPT-Outstanding_pos_TB_MSB[[#This Row],[VALUE_DATE]]&lt;=0,0,RPT-Outstanding_pos_TB_MSB[[#This Row],[VALUE_DATE]])</f>
        <v>740</v>
      </c>
      <c r="Y7" s="72" t="str">
        <f>_xlfn.XLOOKUP(Outstanding_pos_TB_MSB[[#This Row],[Time hold/Deal]],Ref!S:S,Ref!U:U,,-1)</f>
        <v>2Y</v>
      </c>
      <c r="AB7">
        <v>38997</v>
      </c>
      <c r="AC7" s="35">
        <v>44902</v>
      </c>
      <c r="AD7" t="s">
        <v>697</v>
      </c>
      <c r="AE7" t="s">
        <v>2180</v>
      </c>
      <c r="AF7" t="s">
        <v>823</v>
      </c>
      <c r="AG7" s="500">
        <v>37000000000</v>
      </c>
      <c r="AH7">
        <v>2.5</v>
      </c>
      <c r="AI7">
        <v>49660</v>
      </c>
      <c r="AJ7">
        <v>3.8</v>
      </c>
      <c r="AK7">
        <v>9.33</v>
      </c>
      <c r="AL7" s="645" t="s">
        <v>2743</v>
      </c>
      <c r="AM7">
        <v>4.42</v>
      </c>
      <c r="AN7" s="500">
        <v>-460650000</v>
      </c>
      <c r="AO7">
        <v>7.84</v>
      </c>
      <c r="AP7">
        <v>-68456572.510000005</v>
      </c>
      <c r="AQ7">
        <v>1678000000</v>
      </c>
      <c r="AR7">
        <v>74.69</v>
      </c>
      <c r="AS7" s="72">
        <f>SUM(_xlfn.IFNA(VLOOKUP(Outstanding_pos_BB_MSB[[#This Row],[Bonds_ShortName]],FNRP!AV:BA,6,0)*Outstanding_pos_BB_MSB[[#This Row],[Amt]]/10^4,0),_xlfn.IFNA((VLOOKUP(Outstanding_pos_BB_MSB[[#This Row],[Bonds_ShortName]],FNRP!IK:IP,6,0)*Outstanding_pos_BB_MSB[[#This Row],[Amt]]/10^4),0))</f>
        <v>316660800000</v>
      </c>
      <c r="AT7" s="72">
        <f>(_xlfn.XLOOKUP(Outstanding_pos_BB_MSB[[#This Row],[Bonds_ShortName]],FNRP!AV:AV,FNRP!BA:BA,,0)
-_xlfn.XLOOKUP(Outstanding_pos_BB_MSB[[#This Row],[BondsDeals_Id]],BS!AL:AL,BS!AR:AR,_xlfn.XLOOKUP(Outstanding_pos_BB_MSB[[#This Row],[BondsDeals_Id]],BS!BA:BA,BS!BQ:BQ,,0),0)-10^5)
*Outstanding_pos_BB_MSB[[#This Row],[Amt]]/10^5</f>
        <v>-1845570510.8915391</v>
      </c>
      <c r="AU7" s="72">
        <f>VLOOKUP(Outstanding_pos_BB_MSB[[#This Row],[Bonds_ShortName]],FNRP!AV:CD,35,0)</f>
        <v>870000</v>
      </c>
      <c r="AV7" s="157">
        <f>SUMIFS(AG$1:AG$103,AD$1:AD$103,Outstanding_pos_BB_MSB[[#This Row],[Bonds_ShortName]])/10^5-Outstanding_pos_BB_MSB[[#This Row],[Quantity FNRP]]</f>
        <v>0</v>
      </c>
      <c r="AW7" s="72">
        <f>IF(RPT-Outstanding_pos_BB_MSB[[#This Row],[Value Date]]&lt;=0,0,RPT-Outstanding_pos_BB_MSB[[#This Row],[Value Date]])</f>
        <v>1350</v>
      </c>
      <c r="AX7" s="32" t="str">
        <f>INDEX(Ref!$I$1:$K$13,MATCH(Outstanding_pos_BB_MSB[[#This Row],[Tenor left]],Ref!$I$1:$I$13,1),3)</f>
        <v>10Y</v>
      </c>
      <c r="AY7" s="72" t="str">
        <f>_xlfn.XLOOKUP(Outstanding_pos_BB_MSB[[#This Row],[Time hold/Deal]],Ref!S:S,Ref!U:U,,-1)</f>
        <v>3Y</v>
      </c>
      <c r="BB7">
        <v>47490</v>
      </c>
      <c r="BC7" s="35">
        <v>45926</v>
      </c>
      <c r="BD7" t="s">
        <v>3317</v>
      </c>
      <c r="BE7" t="s">
        <v>825</v>
      </c>
      <c r="BF7" t="s">
        <v>823</v>
      </c>
      <c r="BG7" s="500">
        <v>200000000000</v>
      </c>
      <c r="BH7">
        <v>3.3</v>
      </c>
      <c r="BI7" s="35">
        <v>49528</v>
      </c>
      <c r="BJ7">
        <v>3.45</v>
      </c>
      <c r="BK7">
        <v>8.9700000000000006</v>
      </c>
      <c r="BL7" t="s">
        <v>2747</v>
      </c>
      <c r="BM7">
        <v>4.4000000000000004</v>
      </c>
      <c r="BN7" s="500">
        <v>-13534000000</v>
      </c>
      <c r="BO7">
        <v>7.51</v>
      </c>
      <c r="BP7" s="37">
        <v>-69197928.799999997</v>
      </c>
      <c r="BQ7" s="37">
        <v>108000000</v>
      </c>
      <c r="BR7">
        <v>68.5</v>
      </c>
      <c r="BS7"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-13765586645.166679</v>
      </c>
      <c r="BT7" s="72">
        <f>RPT-VLOOKUP(Outstanding_pos_TB_SBV[[#This Row],[Bonds_ShortName]],RP_SEC!CT:CU,2,0)</f>
        <v>-9</v>
      </c>
      <c r="BU7" s="157">
        <f>SUMIFS(BG:BG,BD:BD,Outstanding_pos_TB_SBV[[#This Row],[Bonds_ShortName]])/10^5-VLOOKUP(Outstanding_pos_TB_SBV[[#This Row],[Bonds_ShortName]],FNRP!$CN:$DU,34,0)</f>
        <v>0</v>
      </c>
      <c r="BX7">
        <v>38993</v>
      </c>
      <c r="BY7" s="502">
        <v>44902</v>
      </c>
      <c r="BZ7" t="s">
        <v>700</v>
      </c>
      <c r="CA7" t="s">
        <v>2180</v>
      </c>
      <c r="CB7" t="s">
        <v>823</v>
      </c>
      <c r="CC7" s="500">
        <v>6000000000</v>
      </c>
      <c r="CD7">
        <v>2.5</v>
      </c>
      <c r="CE7" s="502">
        <v>49780</v>
      </c>
      <c r="CF7">
        <v>3.8</v>
      </c>
      <c r="CG7">
        <v>9.66</v>
      </c>
      <c r="CH7" t="s">
        <v>2743</v>
      </c>
      <c r="CI7">
        <v>4.43</v>
      </c>
      <c r="CJ7" s="500">
        <v>-89700000</v>
      </c>
      <c r="CK7">
        <v>8.15</v>
      </c>
      <c r="CL7" s="500">
        <v>-70080485.709999993</v>
      </c>
      <c r="CM7" s="500">
        <v>863000000</v>
      </c>
      <c r="CN7">
        <v>79.95</v>
      </c>
      <c r="CO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-313093553.72457886</v>
      </c>
      <c r="CP7" s="72">
        <f>RPT-VLOOKUP(Outstanding_pos_BB_SBV[[#This Row],[Bonds_ShortName]],CT:CU,2,0)</f>
        <v>138</v>
      </c>
      <c r="CQ7" s="157">
        <f>SUMIFS(CC:CC,BZ:BZ,Outstanding_pos_BB_SBV[[#This Row],[Bonds_ShortName]])/10^5-VLOOKUP(Outstanding_pos_BB_SBV[[#This Row],[Bonds_ShortName]],FNRP!EE:FL,34,0)</f>
        <v>0</v>
      </c>
      <c r="CT7" t="s">
        <v>620</v>
      </c>
      <c r="CU7" s="502">
        <v>45546</v>
      </c>
      <c r="CX7" s="776">
        <v>39027</v>
      </c>
      <c r="CY7" s="776" t="s">
        <v>640</v>
      </c>
      <c r="CZ7" s="776" t="s">
        <v>2180</v>
      </c>
      <c r="DA7" s="777">
        <v>10000000000</v>
      </c>
      <c r="DB7" s="776">
        <v>5.07</v>
      </c>
      <c r="DC7" s="778">
        <v>3.8</v>
      </c>
      <c r="DD7" s="72">
        <f>_xlfn.XLOOKUP(CX7,Outstanding_pos_BB_MSB[BondsDeals_Id],Outstanding_pos_BB_MSB[ItD adj])</f>
        <v>-209425394.57771781</v>
      </c>
      <c r="DE7" s="32">
        <f>_xlfn.XLOOKUP(CX7,Outstanding_pos_BB_MSB[BondsDeals_Id],Outstanding_pos_BB_MSB[Yield])</f>
        <v>3.8</v>
      </c>
      <c r="DF7" s="32">
        <f>_xlfn.XLOOKUP(TB_HTM[[#This Row],[Deal ID]],Outstanding_pos_BB_MSB[BondsDeals_Id],Outstanding_pos_BB_MSB[Total Rate])</f>
        <v>2.2000000000000002</v>
      </c>
      <c r="DG7" s="124">
        <f>_xlfn.XLOOKUP(CX7,Outstanding_pos_BB_MSB[BondsDeals_Id],Outstanding_pos_BB_MSB[Mature Date])</f>
        <v>48026</v>
      </c>
      <c r="DH7" s="786">
        <f>(TB_HTM[[#This Row],[Amt]]/10^9)/(_xlfn.XLOOKUP(TB_HTM[[#This Row],[Bond code]],Bankingbook_MSB[Security Name],Bankingbook_MSB[QUANTITY])/10^4)</f>
        <v>1</v>
      </c>
      <c r="DI7" s="72">
        <f>_xlfn.XLOOKUP(TB_HTM[[#This Row],[Bond code]],Bankingbook_MSB[Security Name],Bankingbook_MSB[MARKET_VALUE])*TB_HTM[[#This Row],[% amt FNRP]]</f>
        <v>9137000000</v>
      </c>
      <c r="DJ7" s="71">
        <f>_xlfn.XLOOKUP(TB_HTM[[#This Row],[Bond code]],Bankingbook_MSB[Security Name],Bankingbook_MSB[BPV_edited])
/10^9*TB_HTM[[#This Row],[% amt FNRP]]</f>
        <v>-4.077141432284625E-3</v>
      </c>
      <c r="DK7" s="71">
        <f>TB_HTM[[#This Row],[Amt]]*TB_HTM[[#This Row],[Yield]]/10^5</f>
        <v>380000</v>
      </c>
      <c r="DL7" s="71" t="str">
        <f>_xlfn.XLOOKUP(TB_HTM[[#This Row],[Bond code]],Bankingbook_MSB[Security Name],Bankingbook_MSB[Type])</f>
        <v>TPCP</v>
      </c>
      <c r="DM7" s="71" t="str">
        <f>_xlfn.XLOOKUP(TB_HTM[[#This Row],[Bond code]],Bankingbook_MSB[Security Name],Bankingbook_MSB[Issuer])</f>
        <v>KBNN</v>
      </c>
      <c r="DN7" s="71" t="str">
        <f>_xlfn.XLOOKUP(TB_HTM[[#This Row],[Bond code]],Bankingbook_MSB[Security Name],Bankingbook_MSB[Tenor])</f>
        <v>5Y</v>
      </c>
      <c r="DO7" s="72">
        <f>SUMIFS(BS[MARKET VALUE],BS[BOND_CODE],TB_HTM[[#This Row],[Bond code]],BS[BOOK_FLAG],"B",BS[BAL],BS!$C$2)/10^9*TB_HTM[[#This Row],[% amt FNRP]]</f>
        <v>9.1370000000000005</v>
      </c>
      <c r="DP7" s="71" cm="1">
        <f t="array" ref="DP7">_xlfn.IFNA(_xlfn.XLOOKUP(TB_HTM[[#This Row],[Deal ID]],RPBOD3[BondsDeals_Id],RPBOD3[PTCK_Remain]*RPBOD3[Quantity])/10^9,"N/A")</f>
        <v>-0.65357460542228196</v>
      </c>
      <c r="DQ7" s="71">
        <f>_xlfn.XLOOKUP(TB_HTM[[#This Row],[Bond code]],Bankingbook_MSB[Security Name],Bankingbook_MSB[Duration_edited])</f>
        <v>4.6350443099999996</v>
      </c>
      <c r="DR7" s="71">
        <f>_xlfn.XLOOKUP(TB_HTM[[#This Row],[Bond code]],Bankingbook_MSB[Security Name],Bankingbook_MSB[Modified Duration])</f>
        <v>4.4482299380006003</v>
      </c>
      <c r="DS7" s="71">
        <f>TB_HTM[[#This Row],[Duration]]*TB_HTM[[#This Row],[Market Value FNRP]]</f>
        <v>42350399860.469994</v>
      </c>
      <c r="DT7" s="71">
        <f>TB_HTM[[#This Row],[Modified Duration]]*TB_HTM[[#This Row],[Market Value FNRP]]</f>
        <v>40643476943.511482</v>
      </c>
      <c r="DU7" s="72">
        <f>_xlfn.XLOOKUP(TB_HTM[[#This Row],[Deal ID]],Outstanding_pos_BB_MSB[BondsDeals_Id],Outstanding_pos_BB_MSB[Time hold/Deal])</f>
        <v>1341</v>
      </c>
      <c r="DV7" s="71" t="str">
        <f>_xlfn.XLOOKUP(TB_HTM[[#This Row],[Deal ID]],Outstanding_pos_BB_MSB[BondsDeals_Id],Outstanding_pos_BB_MSB[Time hold (Tenor)])</f>
        <v>3Y</v>
      </c>
      <c r="DW7" s="71"/>
      <c r="DY7" s="776">
        <v>41132</v>
      </c>
      <c r="DZ7" s="776" t="s">
        <v>600</v>
      </c>
      <c r="EA7" s="776" t="s">
        <v>2180</v>
      </c>
      <c r="EB7" s="777">
        <v>50000000000</v>
      </c>
      <c r="EC7" s="776">
        <v>3.45</v>
      </c>
      <c r="ED7" s="778">
        <v>2.4</v>
      </c>
      <c r="EE7" s="72">
        <f>_xlfn.XLOOKUP(DY7,Outstanding_pos_BB_MSB[BondsDeals_Id],Outstanding_pos_BB_MSB[ItD adj])</f>
        <v>-2793637905.8404417</v>
      </c>
      <c r="EF7" s="32">
        <f>_xlfn.XLOOKUP(DY7,Outstanding_pos_BB_MSB[BondsDeals_Id],Outstanding_pos_BB_MSB[Yield])</f>
        <v>2.4</v>
      </c>
      <c r="EG7" s="71">
        <f>_xlfn.XLOOKUP(BB_tufund[[#This Row],[Deal ID]],Outstanding_pos_BB_MSB[BondsDeals_Id],Outstanding_pos_BB_MSB[Total Rate])</f>
        <v>4.5</v>
      </c>
      <c r="EH7" s="124">
        <f>_xlfn.XLOOKUP(DY7,Outstanding_pos_BB_MSB[BondsDeals_Id],Outstanding_pos_BB_MSB[Mature Date])</f>
        <v>47435</v>
      </c>
      <c r="EI7" s="787">
        <f>(BB_tufund[[#This Row],[Amt]]/10^9)/(_xlfn.XLOOKUP(BB_tufund[[#This Row],[Bond code]],Bankingbook_MSB[Security Name],Bankingbook_MSB[QUANTITY])/10^4)</f>
        <v>0.25</v>
      </c>
      <c r="EJ7" s="72">
        <f>_xlfn.XLOOKUP(BB_tufund[[#This Row],[Bond code]],Bankingbook_MSB[Security Name],Bankingbook_MSB[MARKET_VALUE])*BB_tufund[[#This Row],[% amt FNRP]]</f>
        <v>50338000000</v>
      </c>
      <c r="EK7" s="71">
        <f>_xlfn.XLOOKUP(BB_tufund[[#This Row],[Bond code]],Bankingbook_MSB[Security Name],Bankingbook_MSB[BPV_edited])
/10^9*BB_tufund[[#This Row],[% amt FNRP]]</f>
        <v>-1.4916101859841564E-2</v>
      </c>
    </row>
    <row r="8" spans="1:141" x14ac:dyDescent="0.3">
      <c r="B8">
        <v>43842</v>
      </c>
      <c r="C8" s="35">
        <v>45545</v>
      </c>
      <c r="D8" t="s">
        <v>2788</v>
      </c>
      <c r="E8" t="s">
        <v>824</v>
      </c>
      <c r="F8" t="s">
        <v>907</v>
      </c>
      <c r="G8" s="500">
        <v>100000000000</v>
      </c>
      <c r="H8">
        <v>3.1</v>
      </c>
      <c r="I8" t="s">
        <v>3472</v>
      </c>
      <c r="J8">
        <v>3.17</v>
      </c>
      <c r="K8">
        <v>12.31</v>
      </c>
      <c r="L8" t="s">
        <v>2740</v>
      </c>
      <c r="M8">
        <v>5.01</v>
      </c>
      <c r="N8" s="37">
        <v>-16423000000</v>
      </c>
      <c r="O8">
        <v>9.4600000000000009</v>
      </c>
      <c r="P8" s="500">
        <v>-80334355.310000002</v>
      </c>
      <c r="Q8" s="500">
        <v>2174000000</v>
      </c>
      <c r="R8">
        <v>112.11</v>
      </c>
      <c r="S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-16532438952.635916</v>
      </c>
      <c r="T8" s="72">
        <f>VLOOKUP(Outstanding_pos_TB_MSB[[#This Row],[Bonds_ShortName]],FNRP!D:J,7,0)</f>
        <v>1000000</v>
      </c>
      <c r="U8" s="72">
        <f>SUMIFS(Outstanding_pos_TB_MSB[Amt],Outstanding_pos_TB_MSB[Bonds_ShortName],Outstanding_pos_TB_MSB[[#This Row],[Bonds_ShortName]])/100000-Outstanding_pos_TB_MSB[[#This Row],[Quantity FNRP]]</f>
        <v>0</v>
      </c>
      <c r="V8" s="162" t="str">
        <f>INDEX(Ref!$I$1:$K$13,MATCH(Outstanding_pos_TB_MSB[[#This Row],[Tenor left]],Ref!$I$1:$I$13,1),3)</f>
        <v>15Y</v>
      </c>
      <c r="W8" s="72">
        <f>IF(RPT-VLOOKUP(Outstanding_pos_TB_MSB[[#This Row],[Bonds_ShortName]],CT:CU,2,0)&lt;=0,0,RPT-VLOOKUP(Outstanding_pos_TB_MSB[[#This Row],[Bonds_ShortName]],CT:CU,2,0))</f>
        <v>540</v>
      </c>
      <c r="X8" s="72">
        <f>IF(RPT-Outstanding_pos_TB_MSB[[#This Row],[VALUE_DATE]]&lt;=0,0,RPT-Outstanding_pos_TB_MSB[[#This Row],[VALUE_DATE]])</f>
        <v>707</v>
      </c>
      <c r="Y8" s="72" t="str">
        <f>_xlfn.XLOOKUP(Outstanding_pos_TB_MSB[[#This Row],[Time hold/Deal]],Ref!S:S,Ref!U:U,,-1)</f>
        <v>2Y</v>
      </c>
      <c r="AB8">
        <v>39027</v>
      </c>
      <c r="AC8" s="35">
        <v>44911</v>
      </c>
      <c r="AD8" t="s">
        <v>640</v>
      </c>
      <c r="AE8" t="s">
        <v>2180</v>
      </c>
      <c r="AF8" t="s">
        <v>823</v>
      </c>
      <c r="AG8" s="500">
        <v>10000000000</v>
      </c>
      <c r="AH8">
        <v>2.2000000000000002</v>
      </c>
      <c r="AI8">
        <v>48026</v>
      </c>
      <c r="AJ8">
        <v>3.8</v>
      </c>
      <c r="AK8">
        <v>4.8600000000000003</v>
      </c>
      <c r="AL8" s="645" t="s">
        <v>2745</v>
      </c>
      <c r="AM8">
        <v>4.2</v>
      </c>
      <c r="AN8" s="500">
        <v>285900000</v>
      </c>
      <c r="AO8">
        <v>4.45</v>
      </c>
      <c r="AP8">
        <v>-40764116.530000001</v>
      </c>
      <c r="AQ8">
        <v>319000000</v>
      </c>
      <c r="AR8">
        <v>24.61</v>
      </c>
      <c r="AS8" s="72">
        <f>SUM(_xlfn.IFNA(VLOOKUP(Outstanding_pos_BB_MSB[[#This Row],[Bonds_ShortName]],FNRP!AV:BA,6,0)*Outstanding_pos_BB_MSB[[#This Row],[Amt]]/10^4,0),_xlfn.IFNA((VLOOKUP(Outstanding_pos_BB_MSB[[#This Row],[Bonds_ShortName]],FNRP!IK:IP,6,0)*Outstanding_pos_BB_MSB[[#This Row],[Amt]]/10^4),0))</f>
        <v>91370000000</v>
      </c>
      <c r="AT8" s="72">
        <f>(_xlfn.XLOOKUP(Outstanding_pos_BB_MSB[[#This Row],[Bonds_ShortName]],FNRP!AV:AV,FNRP!BA:BA,,0)
-_xlfn.XLOOKUP(Outstanding_pos_BB_MSB[[#This Row],[BondsDeals_Id]],BS!AL:AL,BS!AR:AR,_xlfn.XLOOKUP(Outstanding_pos_BB_MSB[[#This Row],[BondsDeals_Id]],BS!BA:BA,BS!BQ:BQ,,0),0)-10^5)
*Outstanding_pos_BB_MSB[[#This Row],[Amt]]/10^5</f>
        <v>-209425394.57771781</v>
      </c>
      <c r="AU8" s="72">
        <f>VLOOKUP(Outstanding_pos_BB_MSB[[#This Row],[Bonds_ShortName]],FNRP!AV:CD,35,0)</f>
        <v>100000</v>
      </c>
      <c r="AV8" s="157">
        <f>SUMIFS(AG$1:AG$103,AD$1:AD$103,Outstanding_pos_BB_MSB[[#This Row],[Bonds_ShortName]])/10^5-Outstanding_pos_BB_MSB[[#This Row],[Quantity FNRP]]</f>
        <v>0</v>
      </c>
      <c r="AW8" s="72">
        <f>IF(RPT-Outstanding_pos_BB_MSB[[#This Row],[Value Date]]&lt;=0,0,RPT-Outstanding_pos_BB_MSB[[#This Row],[Value Date]])</f>
        <v>1341</v>
      </c>
      <c r="AX8" s="32" t="str">
        <f>INDEX(Ref!$I$1:$K$13,MATCH(Outstanding_pos_BB_MSB[[#This Row],[Tenor left]],Ref!$I$1:$I$13,1),3)</f>
        <v>5Y</v>
      </c>
      <c r="AY8" s="72" t="str">
        <f>_xlfn.XLOOKUP(Outstanding_pos_BB_MSB[[#This Row],[Time hold/Deal]],Ref!S:S,Ref!U:U,,-1)</f>
        <v>3Y</v>
      </c>
      <c r="BB8">
        <v>47570</v>
      </c>
      <c r="BC8" s="35">
        <v>45932</v>
      </c>
      <c r="BD8" t="s">
        <v>3317</v>
      </c>
      <c r="BE8" t="s">
        <v>825</v>
      </c>
      <c r="BF8" t="s">
        <v>823</v>
      </c>
      <c r="BG8" s="500">
        <v>200000000000</v>
      </c>
      <c r="BH8">
        <v>3.3</v>
      </c>
      <c r="BI8" s="35">
        <v>49528</v>
      </c>
      <c r="BJ8">
        <v>3.64</v>
      </c>
      <c r="BK8">
        <v>8.9700000000000006</v>
      </c>
      <c r="BL8" t="s">
        <v>2747</v>
      </c>
      <c r="BM8">
        <v>4.4000000000000004</v>
      </c>
      <c r="BN8" s="500">
        <v>-10460000000</v>
      </c>
      <c r="BO8">
        <v>7.51</v>
      </c>
      <c r="BP8" s="37">
        <v>-69197928.799999997</v>
      </c>
      <c r="BQ8" s="37">
        <v>108000000</v>
      </c>
      <c r="BR8">
        <v>68.5</v>
      </c>
      <c r="BS8"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-10961769195.605476</v>
      </c>
      <c r="BT8" s="72">
        <f>RPT-VLOOKUP(Outstanding_pos_TB_SBV[[#This Row],[Bonds_ShortName]],RP_SEC!CT:CU,2,0)</f>
        <v>-9</v>
      </c>
      <c r="BU8" s="157">
        <f>SUMIFS(BG:BG,BD:BD,Outstanding_pos_TB_SBV[[#This Row],[Bonds_ShortName]])/10^5-VLOOKUP(Outstanding_pos_TB_SBV[[#This Row],[Bonds_ShortName]],FNRP!$CN:$DU,34,0)</f>
        <v>0</v>
      </c>
      <c r="BX8">
        <v>38997</v>
      </c>
      <c r="BY8" s="502">
        <v>44902</v>
      </c>
      <c r="BZ8" t="s">
        <v>697</v>
      </c>
      <c r="CA8" t="s">
        <v>2180</v>
      </c>
      <c r="CB8" t="s">
        <v>823</v>
      </c>
      <c r="CC8" s="500">
        <v>37000000000</v>
      </c>
      <c r="CD8">
        <v>2.5</v>
      </c>
      <c r="CE8" s="502">
        <v>49660</v>
      </c>
      <c r="CF8">
        <v>3.8</v>
      </c>
      <c r="CG8">
        <v>9.33</v>
      </c>
      <c r="CH8" t="s">
        <v>2743</v>
      </c>
      <c r="CI8">
        <v>4.42</v>
      </c>
      <c r="CJ8" s="500">
        <v>-460650000</v>
      </c>
      <c r="CK8">
        <v>7.84</v>
      </c>
      <c r="CL8" s="500">
        <v>-68456572.510000005</v>
      </c>
      <c r="CM8" s="500">
        <v>1678000000</v>
      </c>
      <c r="CN8">
        <v>74.69</v>
      </c>
      <c r="CO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-1845570510.8915391</v>
      </c>
      <c r="CP8" s="72">
        <f>RPT-VLOOKUP(Outstanding_pos_BB_SBV[[#This Row],[Bonds_ShortName]],CT:CU,2,0)</f>
        <v>865</v>
      </c>
      <c r="CQ8" s="157">
        <f>SUMIFS(CC:CC,BZ:BZ,Outstanding_pos_BB_SBV[[#This Row],[Bonds_ShortName]])/10^5-VLOOKUP(Outstanding_pos_BB_SBV[[#This Row],[Bonds_ShortName]],FNRP!EE:FL,34,0)</f>
        <v>0</v>
      </c>
      <c r="CT8" t="s">
        <v>2834</v>
      </c>
      <c r="CU8" s="502">
        <v>46185</v>
      </c>
      <c r="CX8" s="776">
        <v>39031</v>
      </c>
      <c r="CY8" s="776" t="s">
        <v>684</v>
      </c>
      <c r="CZ8" s="776" t="s">
        <v>2180</v>
      </c>
      <c r="DA8" s="777">
        <v>12000000000</v>
      </c>
      <c r="DB8" s="776">
        <v>10.83</v>
      </c>
      <c r="DC8" s="778">
        <v>3.8</v>
      </c>
      <c r="DD8" s="72">
        <f>_xlfn.XLOOKUP(CX8,Outstanding_pos_BB_MSB[BondsDeals_Id],Outstanding_pos_BB_MSB[ItD adj])</f>
        <v>-562244142.24733019</v>
      </c>
      <c r="DE8" s="32">
        <f>_xlfn.XLOOKUP(CX8,Outstanding_pos_BB_MSB[BondsDeals_Id],Outstanding_pos_BB_MSB[Yield])</f>
        <v>3.8</v>
      </c>
      <c r="DF8" s="32">
        <f>_xlfn.XLOOKUP(TB_HTM[[#This Row],[Deal ID]],Outstanding_pos_BB_MSB[BondsDeals_Id],Outstanding_pos_BB_MSB[Total Rate])</f>
        <v>7.4</v>
      </c>
      <c r="DG8" s="124">
        <f>_xlfn.XLOOKUP(CX8,Outstanding_pos_BB_MSB[BondsDeals_Id],Outstanding_pos_BB_MSB[Mature Date])</f>
        <v>50129</v>
      </c>
      <c r="DH8" s="786">
        <f>(TB_HTM[[#This Row],[Amt]]/10^9)/(_xlfn.XLOOKUP(TB_HTM[[#This Row],[Bond code]],Bankingbook_MSB[Security Name],Bankingbook_MSB[QUANTITY])/10^4)</f>
        <v>1</v>
      </c>
      <c r="DI8" s="72">
        <f>_xlfn.XLOOKUP(TB_HTM[[#This Row],[Bond code]],Bankingbook_MSB[Security Name],Bankingbook_MSB[MARKET_VALUE])*TB_HTM[[#This Row],[% amt FNRP]]</f>
        <v>14923080000</v>
      </c>
      <c r="DJ8" s="71">
        <f>_xlfn.XLOOKUP(TB_HTM[[#This Row],[Bond code]],Bankingbook_MSB[Security Name],Bankingbook_MSB[BPV_edited])
/10^9*TB_HTM[[#This Row],[% amt FNRP]]</f>
        <v>-1.1489747219071197E-2</v>
      </c>
      <c r="DK8" s="71">
        <f>TB_HTM[[#This Row],[Amt]]*TB_HTM[[#This Row],[Yield]]/10^5</f>
        <v>456000</v>
      </c>
      <c r="DL8" s="71" t="str">
        <f>_xlfn.XLOOKUP(TB_HTM[[#This Row],[Bond code]],Bankingbook_MSB[Security Name],Bankingbook_MSB[Type])</f>
        <v>TPCP</v>
      </c>
      <c r="DM8" s="71" t="str">
        <f>_xlfn.XLOOKUP(TB_HTM[[#This Row],[Bond code]],Bankingbook_MSB[Security Name],Bankingbook_MSB[Issuer])</f>
        <v>KBNN</v>
      </c>
      <c r="DN8" s="71" t="str">
        <f>_xlfn.XLOOKUP(TB_HTM[[#This Row],[Bond code]],Bankingbook_MSB[Security Name],Bankingbook_MSB[Tenor])</f>
        <v>15Y</v>
      </c>
      <c r="DO8" s="72">
        <f>SUMIFS(BS[MARKET VALUE],BS[BOND_CODE],TB_HTM[[#This Row],[Bond code]],BS[BOOK_FLAG],"B",BS[BAL],BS!$C$2)/10^9*TB_HTM[[#This Row],[% amt FNRP]]</f>
        <v>14.923080000000001</v>
      </c>
      <c r="DP8" s="71" cm="1">
        <f t="array" ref="DP8">_xlfn.IFNA(_xlfn.XLOOKUP(TB_HTM[[#This Row],[Deal ID]],RPBOD3[BondsDeals_Id],RPBOD3[PTCK_Remain]*RPBOD3[Quantity])/10^9,"N/A")</f>
        <v>3.4853241422473302</v>
      </c>
      <c r="DQ8" s="71">
        <f>_xlfn.XLOOKUP(TB_HTM[[#This Row],[Bond code]],Bankingbook_MSB[Security Name],Bankingbook_MSB[Duration_edited])</f>
        <v>7.8661827600000001</v>
      </c>
      <c r="DR8" s="71">
        <f>_xlfn.XLOOKUP(TB_HTM[[#This Row],[Bond code]],Bankingbook_MSB[Security Name],Bankingbook_MSB[Modified Duration])</f>
        <v>7.5300478420710997</v>
      </c>
      <c r="DS8" s="71">
        <f>TB_HTM[[#This Row],[Duration]]*TB_HTM[[#This Row],[Market Value FNRP]]</f>
        <v>117387674622.1008</v>
      </c>
      <c r="DT8" s="71">
        <f>TB_HTM[[#This Row],[Modified Duration]]*TB_HTM[[#This Row],[Market Value FNRP]]</f>
        <v>112371506351.05438</v>
      </c>
      <c r="DU8" s="72">
        <f>_xlfn.XLOOKUP(TB_HTM[[#This Row],[Deal ID]],Outstanding_pos_BB_MSB[BondsDeals_Id],Outstanding_pos_BB_MSB[Time hold/Deal])</f>
        <v>1341</v>
      </c>
      <c r="DV8" s="71" t="str">
        <f>_xlfn.XLOOKUP(TB_HTM[[#This Row],[Deal ID]],Outstanding_pos_BB_MSB[BondsDeals_Id],Outstanding_pos_BB_MSB[Time hold (Tenor)])</f>
        <v>3Y</v>
      </c>
      <c r="DW8" s="71"/>
      <c r="DY8" s="776">
        <v>43046</v>
      </c>
      <c r="DZ8" s="776" t="s">
        <v>610</v>
      </c>
      <c r="EA8" s="776" t="s">
        <v>2180</v>
      </c>
      <c r="EB8" s="777">
        <v>177000000000</v>
      </c>
      <c r="EC8" s="776">
        <v>3.95</v>
      </c>
      <c r="ED8" s="778">
        <v>2.2000000000000002</v>
      </c>
      <c r="EE8" s="72">
        <f>_xlfn.XLOOKUP(DY8,Outstanding_pos_BB_MSB[BondsDeals_Id],Outstanding_pos_BB_MSB[ItD adj])</f>
        <v>-10337638715.729368</v>
      </c>
      <c r="EF8" s="32">
        <f>_xlfn.XLOOKUP(DY8,Outstanding_pos_BB_MSB[BondsDeals_Id],Outstanding_pos_BB_MSB[Yield])</f>
        <v>2.2000000000000002</v>
      </c>
      <c r="EG8" s="71">
        <f>_xlfn.XLOOKUP(BB_tufund[[#This Row],[Deal ID]],Outstanding_pos_BB_MSB[BondsDeals_Id],Outstanding_pos_BB_MSB[Total Rate])</f>
        <v>2.7</v>
      </c>
      <c r="EH8" s="124">
        <f>_xlfn.XLOOKUP(DY8,Outstanding_pos_BB_MSB[BondsDeals_Id],Outstanding_pos_BB_MSB[Mature Date])</f>
        <v>47617</v>
      </c>
      <c r="EI8" s="787">
        <f>(BB_tufund[[#This Row],[Amt]]/10^9)/(_xlfn.XLOOKUP(BB_tufund[[#This Row],[Bond code]],Bankingbook_MSB[Security Name],Bankingbook_MSB[QUANTITY])/10^4)</f>
        <v>1</v>
      </c>
      <c r="EJ8" s="72">
        <f>_xlfn.XLOOKUP(BB_tufund[[#This Row],[Bond code]],Bankingbook_MSB[Security Name],Bankingbook_MSB[MARKET_VALUE])*BB_tufund[[#This Row],[% amt FNRP]]</f>
        <v>169728840000</v>
      </c>
      <c r="EK8" s="71">
        <f>_xlfn.XLOOKUP(BB_tufund[[#This Row],[Bond code]],Bankingbook_MSB[Security Name],Bankingbook_MSB[BPV_edited])
/10^9*BB_tufund[[#This Row],[% amt FNRP]]</f>
        <v>-5.8868993584996122E-2</v>
      </c>
    </row>
    <row r="9" spans="1:141" x14ac:dyDescent="0.3">
      <c r="B9">
        <v>44976</v>
      </c>
      <c r="C9" s="35">
        <v>45646</v>
      </c>
      <c r="D9" t="s">
        <v>596</v>
      </c>
      <c r="E9" t="s">
        <v>824</v>
      </c>
      <c r="F9" t="s">
        <v>895</v>
      </c>
      <c r="G9" s="500">
        <v>200000000000</v>
      </c>
      <c r="H9">
        <v>7.83</v>
      </c>
      <c r="I9" t="s">
        <v>3417</v>
      </c>
      <c r="J9">
        <v>4.79</v>
      </c>
      <c r="K9">
        <v>3.13</v>
      </c>
      <c r="L9" t="s">
        <v>3183</v>
      </c>
      <c r="M9">
        <v>4.24</v>
      </c>
      <c r="N9" s="37">
        <v>-4796000000</v>
      </c>
      <c r="O9">
        <v>2.62</v>
      </c>
      <c r="P9" s="500">
        <v>-30741677.289999999</v>
      </c>
      <c r="Q9" s="500">
        <v>6865000000</v>
      </c>
      <c r="R9">
        <v>10.11</v>
      </c>
      <c r="S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4024060738.1734881</v>
      </c>
      <c r="T9" s="72">
        <f>VLOOKUP(Outstanding_pos_TB_MSB[[#This Row],[Bonds_ShortName]],FNRP!D:J,7,0)</f>
        <v>3000000</v>
      </c>
      <c r="U9" s="72">
        <f>SUMIFS(Outstanding_pos_TB_MSB[Amt],Outstanding_pos_TB_MSB[Bonds_ShortName],Outstanding_pos_TB_MSB[[#This Row],[Bonds_ShortName]])/100000-Outstanding_pos_TB_MSB[[#This Row],[Quantity FNRP]]</f>
        <v>0</v>
      </c>
      <c r="V9" s="162" t="str">
        <f>INDEX(Ref!$I$1:$K$13,MATCH(Outstanding_pos_TB_MSB[[#This Row],[Tenor left]],Ref!$I$1:$I$13,1),3)</f>
        <v>3Y</v>
      </c>
      <c r="W9" s="72">
        <f>IF(RPT-VLOOKUP(Outstanding_pos_TB_MSB[[#This Row],[Bonds_ShortName]],CT:CU,2,0)&lt;=0,0,RPT-VLOOKUP(Outstanding_pos_TB_MSB[[#This Row],[Bonds_ShortName]],CT:CU,2,0))</f>
        <v>596</v>
      </c>
      <c r="X9" s="72">
        <f>IF(RPT-Outstanding_pos_TB_MSB[[#This Row],[VALUE_DATE]]&lt;=0,0,RPT-Outstanding_pos_TB_MSB[[#This Row],[VALUE_DATE]])</f>
        <v>606</v>
      </c>
      <c r="Y9" s="72" t="str">
        <f>_xlfn.XLOOKUP(Outstanding_pos_TB_MSB[[#This Row],[Time hold/Deal]],Ref!S:S,Ref!U:U,,-1)</f>
        <v>2Y</v>
      </c>
      <c r="AB9">
        <v>39031</v>
      </c>
      <c r="AC9" s="35">
        <v>44911</v>
      </c>
      <c r="AD9" t="s">
        <v>684</v>
      </c>
      <c r="AE9" t="s">
        <v>2180</v>
      </c>
      <c r="AF9" t="s">
        <v>823</v>
      </c>
      <c r="AG9" s="500">
        <v>12000000000</v>
      </c>
      <c r="AH9">
        <v>7.4</v>
      </c>
      <c r="AI9">
        <v>50129</v>
      </c>
      <c r="AJ9">
        <v>3.8</v>
      </c>
      <c r="AK9">
        <v>10.62</v>
      </c>
      <c r="AL9" s="645" t="s">
        <v>2743</v>
      </c>
      <c r="AM9">
        <v>4.46</v>
      </c>
      <c r="AN9" s="500">
        <v>-1769400000</v>
      </c>
      <c r="AO9">
        <v>7.53</v>
      </c>
      <c r="AP9">
        <v>-95774633.310000002</v>
      </c>
      <c r="AQ9">
        <v>2879000000</v>
      </c>
      <c r="AR9">
        <v>75.209999999999994</v>
      </c>
      <c r="AS9" s="72">
        <f>SUM(_xlfn.IFNA(VLOOKUP(Outstanding_pos_BB_MSB[[#This Row],[Bonds_ShortName]],FNRP!AV:BA,6,0)*Outstanding_pos_BB_MSB[[#This Row],[Amt]]/10^4,0),_xlfn.IFNA((VLOOKUP(Outstanding_pos_BB_MSB[[#This Row],[Bonds_ShortName]],FNRP!IK:IP,6,0)*Outstanding_pos_BB_MSB[[#This Row],[Amt]]/10^4),0))</f>
        <v>149230800000</v>
      </c>
      <c r="AT9" s="72">
        <f>(_xlfn.XLOOKUP(Outstanding_pos_BB_MSB[[#This Row],[Bonds_ShortName]],FNRP!AV:AV,FNRP!BA:BA,,0)
-_xlfn.XLOOKUP(Outstanding_pos_BB_MSB[[#This Row],[BondsDeals_Id]],BS!AL:AL,BS!AR:AR,_xlfn.XLOOKUP(Outstanding_pos_BB_MSB[[#This Row],[BondsDeals_Id]],BS!BA:BA,BS!BQ:BQ,,0),0)-10^5)
*Outstanding_pos_BB_MSB[[#This Row],[Amt]]/10^5</f>
        <v>-562244142.24733019</v>
      </c>
      <c r="AU9" s="72">
        <f>VLOOKUP(Outstanding_pos_BB_MSB[[#This Row],[Bonds_ShortName]],FNRP!AV:CD,35,0)</f>
        <v>120000</v>
      </c>
      <c r="AV9" s="157">
        <f>SUMIFS(AG$1:AG$103,AD$1:AD$103,Outstanding_pos_BB_MSB[[#This Row],[Bonds_ShortName]])/10^5-Outstanding_pos_BB_MSB[[#This Row],[Quantity FNRP]]</f>
        <v>0</v>
      </c>
      <c r="AW9" s="72">
        <f>IF(RPT-Outstanding_pos_BB_MSB[[#This Row],[Value Date]]&lt;=0,0,RPT-Outstanding_pos_BB_MSB[[#This Row],[Value Date]])</f>
        <v>1341</v>
      </c>
      <c r="AX9" s="32" t="str">
        <f>INDEX(Ref!$I$1:$K$13,MATCH(Outstanding_pos_BB_MSB[[#This Row],[Tenor left]],Ref!$I$1:$I$13,1),3)</f>
        <v>15Y</v>
      </c>
      <c r="AY9" s="72" t="str">
        <f>_xlfn.XLOOKUP(Outstanding_pos_BB_MSB[[#This Row],[Time hold/Deal]],Ref!S:S,Ref!U:U,,-1)</f>
        <v>3Y</v>
      </c>
      <c r="BB9">
        <v>49699</v>
      </c>
      <c r="BC9" s="35">
        <v>46150</v>
      </c>
      <c r="BD9" t="s">
        <v>3081</v>
      </c>
      <c r="BE9" t="s">
        <v>825</v>
      </c>
      <c r="BF9" t="s">
        <v>823</v>
      </c>
      <c r="BG9" s="500">
        <v>50000000000</v>
      </c>
      <c r="BH9">
        <v>2.9</v>
      </c>
      <c r="BI9" s="35">
        <v>49381</v>
      </c>
      <c r="BJ9">
        <v>3.41</v>
      </c>
      <c r="BK9">
        <v>8.57</v>
      </c>
      <c r="BL9" t="s">
        <v>2747</v>
      </c>
      <c r="BM9">
        <v>4.38</v>
      </c>
      <c r="BN9" s="500">
        <v>-3281000000</v>
      </c>
      <c r="BO9">
        <v>7.23</v>
      </c>
      <c r="BP9" s="37">
        <v>-65682199.93</v>
      </c>
      <c r="BQ9" s="37">
        <v>1263000000</v>
      </c>
      <c r="BR9">
        <v>63.68</v>
      </c>
      <c r="BS9"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-3344319908.1670318</v>
      </c>
      <c r="BT9" s="72">
        <f>RPT-VLOOKUP(Outstanding_pos_TB_SBV[[#This Row],[Bonds_ShortName]],RP_SEC!CT:CU,2,0)</f>
        <v>60</v>
      </c>
      <c r="BU9" s="157">
        <f>SUMIFS(BG:BG,BD:BD,Outstanding_pos_TB_SBV[[#This Row],[Bonds_ShortName]])/10^5-VLOOKUP(Outstanding_pos_TB_SBV[[#This Row],[Bonds_ShortName]],FNRP!$CN:$DU,34,0)</f>
        <v>0</v>
      </c>
      <c r="BX9">
        <v>39027</v>
      </c>
      <c r="BY9" s="502">
        <v>44911</v>
      </c>
      <c r="BZ9" t="s">
        <v>640</v>
      </c>
      <c r="CA9" t="s">
        <v>2180</v>
      </c>
      <c r="CB9" t="s">
        <v>823</v>
      </c>
      <c r="CC9" s="500">
        <v>10000000000</v>
      </c>
      <c r="CD9">
        <v>2.2000000000000002</v>
      </c>
      <c r="CE9" s="502">
        <v>48026</v>
      </c>
      <c r="CF9">
        <v>3.8</v>
      </c>
      <c r="CG9">
        <v>4.8600000000000003</v>
      </c>
      <c r="CH9" t="s">
        <v>2745</v>
      </c>
      <c r="CI9">
        <v>4.2</v>
      </c>
      <c r="CJ9" s="500">
        <v>285900000</v>
      </c>
      <c r="CK9">
        <v>4.45</v>
      </c>
      <c r="CL9" s="500">
        <v>-40764116.530000001</v>
      </c>
      <c r="CM9" s="500">
        <v>319000000</v>
      </c>
      <c r="CN9">
        <v>24.61</v>
      </c>
      <c r="CO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-209425394.57771781</v>
      </c>
      <c r="CP9" s="72">
        <f>RPT-VLOOKUP(Outstanding_pos_BB_SBV[[#This Row],[Bonds_ShortName]],CT:CU,2,0)</f>
        <v>944</v>
      </c>
      <c r="CQ9" s="157">
        <f>SUMIFS(CC:CC,BZ:BZ,Outstanding_pos_BB_SBV[[#This Row],[Bonds_ShortName]])/10^5-VLOOKUP(Outstanding_pos_BB_SBV[[#This Row],[Bonds_ShortName]],FNRP!EE:FL,34,0)</f>
        <v>0</v>
      </c>
      <c r="CT9" t="s">
        <v>779</v>
      </c>
      <c r="CU9" s="502">
        <v>45476</v>
      </c>
      <c r="CX9" s="776">
        <v>41141</v>
      </c>
      <c r="CY9" s="776" t="s">
        <v>568</v>
      </c>
      <c r="CZ9" s="776" t="s">
        <v>2180</v>
      </c>
      <c r="DA9" s="777">
        <v>350000000000</v>
      </c>
      <c r="DB9" s="776">
        <v>0.7</v>
      </c>
      <c r="DC9" s="778">
        <v>2.2000000000000002</v>
      </c>
      <c r="DD9" s="72">
        <f>_xlfn.XLOOKUP(CX9,Outstanding_pos_BB_MSB[BondsDeals_Id],Outstanding_pos_BB_MSB[ItD adj])</f>
        <v>-3481847069.6843143</v>
      </c>
      <c r="DE9" s="32">
        <f>_xlfn.XLOOKUP(CX9,Outstanding_pos_BB_MSB[BondsDeals_Id],Outstanding_pos_BB_MSB[Yield])</f>
        <v>2.2000000000000002</v>
      </c>
      <c r="DF9" s="32">
        <f>_xlfn.XLOOKUP(TB_HTM[[#This Row],[Deal ID]],Outstanding_pos_BB_MSB[BondsDeals_Id],Outstanding_pos_BB_MSB[Total Rate])</f>
        <v>6.6</v>
      </c>
      <c r="DG9" s="124">
        <f>_xlfn.XLOOKUP(CX9,Outstanding_pos_BB_MSB[BondsDeals_Id],Outstanding_pos_BB_MSB[Mature Date])</f>
        <v>46432</v>
      </c>
      <c r="DH9" s="786">
        <f>(TB_HTM[[#This Row],[Amt]]/10^9)/(_xlfn.XLOOKUP(TB_HTM[[#This Row],[Bond code]],Bankingbook_MSB[Security Name],Bankingbook_MSB[QUANTITY])/10^4)</f>
        <v>1</v>
      </c>
      <c r="DI9" s="72">
        <f>_xlfn.XLOOKUP(TB_HTM[[#This Row],[Bond code]],Bankingbook_MSB[Security Name],Bankingbook_MSB[MARKET_VALUE])*TB_HTM[[#This Row],[% amt FNRP]]</f>
        <v>353727500000</v>
      </c>
      <c r="DJ9" s="71">
        <f>_xlfn.XLOOKUP(TB_HTM[[#This Row],[Bond code]],Bankingbook_MSB[Security Name],Bankingbook_MSB[BPV_edited])
/10^9*TB_HTM[[#This Row],[% amt FNRP]]</f>
        <v>-1.7650365132930806E-2</v>
      </c>
      <c r="DK9" s="71">
        <f>TB_HTM[[#This Row],[Amt]]*TB_HTM[[#This Row],[Yield]]/10^5</f>
        <v>7700000.0000000009</v>
      </c>
      <c r="DL9" s="71" t="str">
        <f>_xlfn.XLOOKUP(TB_HTM[[#This Row],[Bond code]],Bankingbook_MSB[Security Name],Bankingbook_MSB[Type])</f>
        <v>TPCPBL</v>
      </c>
      <c r="DM9" s="71" t="str">
        <f>_xlfn.XLOOKUP(TB_HTM[[#This Row],[Bond code]],Bankingbook_MSB[Security Name],Bankingbook_MSB[Issuer])</f>
        <v>VDB</v>
      </c>
      <c r="DN9" s="71" t="str">
        <f>_xlfn.XLOOKUP(TB_HTM[[#This Row],[Bond code]],Bankingbook_MSB[Security Name],Bankingbook_MSB[Tenor])</f>
        <v>6M</v>
      </c>
      <c r="DO9" s="72">
        <f>SUMIFS(BS[MARKET VALUE],BS[BOND_CODE],TB_HTM[[#This Row],[Bond code]],BS[BOOK_FLAG],"B",BS[BAL],BS!$C$2)/10^9*TB_HTM[[#This Row],[% amt FNRP]]</f>
        <v>353.72750000000002</v>
      </c>
      <c r="DP9" s="71" cm="1">
        <f t="array" ref="DP9">_xlfn.IFNA(_xlfn.XLOOKUP(TB_HTM[[#This Row],[Deal ID]],RPBOD3[BondsDeals_Id],RPBOD3[PTCK_Remain]*RPBOD3[Quantity])/10^9,"N/A")</f>
        <v>7.2093470696843296</v>
      </c>
      <c r="DQ9" s="71">
        <f>_xlfn.XLOOKUP(TB_HTM[[#This Row],[Bond code]],Bankingbook_MSB[Security Name],Bankingbook_MSB[Duration_edited])</f>
        <v>0.50356343999999997</v>
      </c>
      <c r="DR9" s="71">
        <f>_xlfn.XLOOKUP(TB_HTM[[#This Row],[Bond code]],Bankingbook_MSB[Security Name],Bankingbook_MSB[Modified Duration])</f>
        <v>0.48301935285089997</v>
      </c>
      <c r="DS9" s="71">
        <f>TB_HTM[[#This Row],[Duration]]*TB_HTM[[#This Row],[Market Value FNRP]]</f>
        <v>178124236722.59998</v>
      </c>
      <c r="DT9" s="71">
        <f>TB_HTM[[#This Row],[Modified Duration]]*TB_HTM[[#This Row],[Market Value FNRP]]</f>
        <v>170857228135.56671</v>
      </c>
      <c r="DU9" s="72">
        <f>_xlfn.XLOOKUP(TB_HTM[[#This Row],[Deal ID]],Outstanding_pos_BB_MSB[BondsDeals_Id],Outstanding_pos_BB_MSB[Time hold/Deal])</f>
        <v>970</v>
      </c>
      <c r="DV9" s="71" t="str">
        <f>_xlfn.XLOOKUP(TB_HTM[[#This Row],[Deal ID]],Outstanding_pos_BB_MSB[BondsDeals_Id],Outstanding_pos_BB_MSB[Time hold (Tenor)])</f>
        <v>3Y</v>
      </c>
      <c r="DW9" s="71"/>
      <c r="DY9" s="776">
        <v>43045</v>
      </c>
      <c r="DZ9" s="776" t="s">
        <v>611</v>
      </c>
      <c r="EA9" s="776" t="s">
        <v>2180</v>
      </c>
      <c r="EB9" s="777">
        <v>100000000000</v>
      </c>
      <c r="EC9" s="776">
        <v>3.99</v>
      </c>
      <c r="ED9" s="778">
        <v>2.2000000000000002</v>
      </c>
      <c r="EE9" s="72">
        <f>_xlfn.XLOOKUP(DY9,Outstanding_pos_BB_MSB[BondsDeals_Id],Outstanding_pos_BB_MSB[ItD adj])</f>
        <v>-6238419762.4382067</v>
      </c>
      <c r="EF9" s="32">
        <f>_xlfn.XLOOKUP(DY9,Outstanding_pos_BB_MSB[BondsDeals_Id],Outstanding_pos_BB_MSB[Yield])</f>
        <v>2.2000000000000002</v>
      </c>
      <c r="EG9" s="71">
        <f>_xlfn.XLOOKUP(BB_tufund[[#This Row],[Deal ID]],Outstanding_pos_BB_MSB[BondsDeals_Id],Outstanding_pos_BB_MSB[Total Rate])</f>
        <v>7.6</v>
      </c>
      <c r="EH9" s="124">
        <f>_xlfn.XLOOKUP(DY9,Outstanding_pos_BB_MSB[BondsDeals_Id],Outstanding_pos_BB_MSB[Mature Date])</f>
        <v>47634</v>
      </c>
      <c r="EI9" s="787">
        <f>(BB_tufund[[#This Row],[Amt]]/10^9)/(_xlfn.XLOOKUP(BB_tufund[[#This Row],[Bond code]],Bankingbook_MSB[Security Name],Bankingbook_MSB[QUANTITY])/10^4)</f>
        <v>1</v>
      </c>
      <c r="EJ9" s="72">
        <f>_xlfn.XLOOKUP(BB_tufund[[#This Row],[Bond code]],Bankingbook_MSB[Security Name],Bankingbook_MSB[MARKET_VALUE])*BB_tufund[[#This Row],[% amt FNRP]]</f>
        <v>112715000000</v>
      </c>
      <c r="EK9" s="71">
        <f>_xlfn.XLOOKUP(BB_tufund[[#This Row],[Bond code]],Bankingbook_MSB[Security Name],Bankingbook_MSB[BPV_edited])
/10^9*BB_tufund[[#This Row],[% amt FNRP]]</f>
        <v>-3.747898288864928E-2</v>
      </c>
    </row>
    <row r="10" spans="1:141" x14ac:dyDescent="0.3">
      <c r="B10">
        <v>44999</v>
      </c>
      <c r="C10" s="35">
        <v>45650</v>
      </c>
      <c r="D10" t="s">
        <v>2779</v>
      </c>
      <c r="E10" t="s">
        <v>824</v>
      </c>
      <c r="F10" t="s">
        <v>907</v>
      </c>
      <c r="G10" s="500">
        <v>50000000000</v>
      </c>
      <c r="H10">
        <v>3.1</v>
      </c>
      <c r="I10" t="s">
        <v>2780</v>
      </c>
      <c r="J10">
        <v>2.9</v>
      </c>
      <c r="K10">
        <v>7.25</v>
      </c>
      <c r="L10" t="s">
        <v>2746</v>
      </c>
      <c r="M10">
        <v>4.82</v>
      </c>
      <c r="N10" s="37">
        <v>-5939500000</v>
      </c>
      <c r="O10">
        <v>6.1</v>
      </c>
      <c r="P10" s="500">
        <v>-56148557.299999997</v>
      </c>
      <c r="Q10" s="500">
        <v>2327000000</v>
      </c>
      <c r="R10">
        <v>46.4</v>
      </c>
      <c r="S1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-5796071125.3951521</v>
      </c>
      <c r="T10" s="72">
        <f>VLOOKUP(Outstanding_pos_TB_MSB[[#This Row],[Bonds_ShortName]],FNRP!D:J,7,0)</f>
        <v>3500000</v>
      </c>
      <c r="U10" s="72">
        <f>SUMIFS(Outstanding_pos_TB_MSB[Amt],Outstanding_pos_TB_MSB[Bonds_ShortName],Outstanding_pos_TB_MSB[[#This Row],[Bonds_ShortName]])/100000-Outstanding_pos_TB_MSB[[#This Row],[Quantity FNRP]]</f>
        <v>0</v>
      </c>
      <c r="V10" s="162" t="str">
        <f>INDEX(Ref!$I$1:$K$13,MATCH(Outstanding_pos_TB_MSB[[#This Row],[Tenor left]],Ref!$I$1:$I$13,1),3)</f>
        <v>7Y</v>
      </c>
      <c r="W10" s="72">
        <f>IF(RPT-VLOOKUP(Outstanding_pos_TB_MSB[[#This Row],[Bonds_ShortName]],CT:CU,2,0)&lt;=0,0,RPT-VLOOKUP(Outstanding_pos_TB_MSB[[#This Row],[Bonds_ShortName]],CT:CU,2,0))</f>
        <v>607</v>
      </c>
      <c r="X10" s="72">
        <f>IF(RPT-Outstanding_pos_TB_MSB[[#This Row],[VALUE_DATE]]&lt;=0,0,RPT-Outstanding_pos_TB_MSB[[#This Row],[VALUE_DATE]])</f>
        <v>602</v>
      </c>
      <c r="Y10" s="72" t="str">
        <f>_xlfn.XLOOKUP(Outstanding_pos_TB_MSB[[#This Row],[Time hold/Deal]],Ref!S:S,Ref!U:U,,-1)</f>
        <v>2Y</v>
      </c>
      <c r="AB10">
        <v>41089</v>
      </c>
      <c r="AC10" s="35">
        <v>45279</v>
      </c>
      <c r="AD10" t="s">
        <v>600</v>
      </c>
      <c r="AE10" t="s">
        <v>2180</v>
      </c>
      <c r="AF10" t="s">
        <v>821</v>
      </c>
      <c r="AG10" s="500">
        <v>150000000000</v>
      </c>
      <c r="AH10">
        <v>4.5</v>
      </c>
      <c r="AI10">
        <v>47435</v>
      </c>
      <c r="AJ10">
        <v>2.4</v>
      </c>
      <c r="AK10">
        <v>3.24</v>
      </c>
      <c r="AL10" s="645" t="s">
        <v>3183</v>
      </c>
      <c r="AM10">
        <v>4.2699999999999996</v>
      </c>
      <c r="AN10" s="500">
        <v>-16123500000</v>
      </c>
      <c r="AO10">
        <v>2.86</v>
      </c>
      <c r="AP10">
        <v>-29814254.09</v>
      </c>
      <c r="AQ10">
        <v>3440000000</v>
      </c>
      <c r="AR10">
        <v>11.43</v>
      </c>
      <c r="AS10" s="72">
        <f>SUM(_xlfn.IFNA(VLOOKUP(Outstanding_pos_BB_MSB[[#This Row],[Bonds_ShortName]],FNRP!AV:BA,6,0)*Outstanding_pos_BB_MSB[[#This Row],[Amt]]/10^4,0),_xlfn.IFNA((VLOOKUP(Outstanding_pos_BB_MSB[[#This Row],[Bonds_ShortName]],FNRP!IK:IP,6,0)*Outstanding_pos_BB_MSB[[#This Row],[Amt]]/10^4),0))</f>
        <v>1510140000000</v>
      </c>
      <c r="AT10" s="72">
        <f>(_xlfn.XLOOKUP(Outstanding_pos_BB_MSB[[#This Row],[Bonds_ShortName]],FNRP!AV:AV,FNRP!BA:BA,,0)
-_xlfn.XLOOKUP(Outstanding_pos_BB_MSB[[#This Row],[BondsDeals_Id]],BS!AL:AL,BS!AR:AR,_xlfn.XLOOKUP(Outstanding_pos_BB_MSB[[#This Row],[BondsDeals_Id]],BS!BA:BA,BS!BQ:BQ,,0),0)-10^5)
*Outstanding_pos_BB_MSB[[#This Row],[Amt]]/10^5</f>
        <v>-8380907471.3342848</v>
      </c>
      <c r="AU10" s="72">
        <f>VLOOKUP(Outstanding_pos_BB_MSB[[#This Row],[Bonds_ShortName]],FNRP!AV:CD,35,0)</f>
        <v>2000000</v>
      </c>
      <c r="AV10" s="157">
        <f>SUMIFS(AG$1:AG$103,AD$1:AD$103,Outstanding_pos_BB_MSB[[#This Row],[Bonds_ShortName]])/10^5-Outstanding_pos_BB_MSB[[#This Row],[Quantity FNRP]]</f>
        <v>0</v>
      </c>
      <c r="AW10" s="72">
        <f>IF(RPT-Outstanding_pos_BB_MSB[[#This Row],[Value Date]]&lt;=0,0,RPT-Outstanding_pos_BB_MSB[[#This Row],[Value Date]])</f>
        <v>973</v>
      </c>
      <c r="AX10" s="32" t="str">
        <f>INDEX(Ref!$I$1:$K$13,MATCH(Outstanding_pos_BB_MSB[[#This Row],[Tenor left]],Ref!$I$1:$I$13,1),3)</f>
        <v>3Y</v>
      </c>
      <c r="AY10" s="72" t="str">
        <f>_xlfn.XLOOKUP(Outstanding_pos_BB_MSB[[#This Row],[Time hold/Deal]],Ref!S:S,Ref!U:U,,-1)</f>
        <v>3Y</v>
      </c>
      <c r="BB10">
        <v>49933</v>
      </c>
      <c r="BC10" s="35">
        <v>46188</v>
      </c>
      <c r="BD10" t="s">
        <v>2839</v>
      </c>
      <c r="BE10" t="s">
        <v>2176</v>
      </c>
      <c r="BF10" t="s">
        <v>823</v>
      </c>
      <c r="BG10" s="500">
        <v>450000000000</v>
      </c>
      <c r="BH10">
        <v>2.7</v>
      </c>
      <c r="BI10" s="35">
        <v>49171</v>
      </c>
      <c r="BJ10">
        <v>3.03</v>
      </c>
      <c r="BK10">
        <v>7.99</v>
      </c>
      <c r="BL10" t="s">
        <v>2747</v>
      </c>
      <c r="BM10">
        <v>4.3499999999999996</v>
      </c>
      <c r="BN10" s="500">
        <v>-38835000000</v>
      </c>
      <c r="BO10">
        <v>6.94</v>
      </c>
      <c r="BP10" s="37">
        <v>-61787782.329999998</v>
      </c>
      <c r="BQ10" s="37">
        <v>30000000</v>
      </c>
      <c r="BR10">
        <v>57.79</v>
      </c>
      <c r="BS10"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-39078779216.93251</v>
      </c>
      <c r="BT10" s="72">
        <f>RPT-VLOOKUP(Outstanding_pos_TB_SBV[[#This Row],[Bonds_ShortName]],RP_SEC!CT:CU,2,0)</f>
        <v>0</v>
      </c>
      <c r="BU10" s="157">
        <f>SUMIFS(BG:BG,BD:BD,Outstanding_pos_TB_SBV[[#This Row],[Bonds_ShortName]])/10^5-VLOOKUP(Outstanding_pos_TB_SBV[[#This Row],[Bonds_ShortName]],FNRP!$CN:$DU,34,0)</f>
        <v>-1000000</v>
      </c>
      <c r="BX10">
        <v>39031</v>
      </c>
      <c r="BY10" s="502">
        <v>44911</v>
      </c>
      <c r="BZ10" t="s">
        <v>684</v>
      </c>
      <c r="CA10" t="s">
        <v>2180</v>
      </c>
      <c r="CB10" t="s">
        <v>823</v>
      </c>
      <c r="CC10" s="500">
        <v>12000000000</v>
      </c>
      <c r="CD10">
        <v>7.4</v>
      </c>
      <c r="CE10" s="502">
        <v>50129</v>
      </c>
      <c r="CF10">
        <v>3.8</v>
      </c>
      <c r="CG10">
        <v>10.62</v>
      </c>
      <c r="CH10" t="s">
        <v>2743</v>
      </c>
      <c r="CI10">
        <v>4.46</v>
      </c>
      <c r="CJ10" s="500">
        <v>-1769400000</v>
      </c>
      <c r="CK10">
        <v>7.53</v>
      </c>
      <c r="CL10" s="500">
        <v>-95774633.310000002</v>
      </c>
      <c r="CM10" s="500">
        <v>2879000000</v>
      </c>
      <c r="CN10">
        <v>75.209999999999994</v>
      </c>
      <c r="CO1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-562244142.24733019</v>
      </c>
      <c r="CP10" s="72">
        <f>RPT-VLOOKUP(Outstanding_pos_BB_SBV[[#This Row],[Bonds_ShortName]],CT:CU,2,0)</f>
        <v>117</v>
      </c>
      <c r="CQ10" s="157">
        <f>SUMIFS(CC:CC,BZ:BZ,Outstanding_pos_BB_SBV[[#This Row],[Bonds_ShortName]])/10^5-VLOOKUP(Outstanding_pos_BB_SBV[[#This Row],[Bonds_ShortName]],FNRP!EE:FL,34,0)</f>
        <v>0</v>
      </c>
      <c r="CT10" t="s">
        <v>784</v>
      </c>
      <c r="CU10" s="502">
        <v>45279</v>
      </c>
      <c r="CX10" s="776">
        <v>41165</v>
      </c>
      <c r="CY10" s="776" t="s">
        <v>2779</v>
      </c>
      <c r="CZ10" s="776" t="s">
        <v>2180</v>
      </c>
      <c r="DA10" s="777">
        <v>300000000000</v>
      </c>
      <c r="DB10" s="776">
        <v>7.46</v>
      </c>
      <c r="DC10" s="778">
        <v>2.8</v>
      </c>
      <c r="DD10" s="72">
        <f>_xlfn.XLOOKUP(CX10,Outstanding_pos_BB_MSB[BondsDeals_Id],Outstanding_pos_BB_MSB[ItD adj])</f>
        <v>-36622050507.933922</v>
      </c>
      <c r="DE10" s="32">
        <f>_xlfn.XLOOKUP(CX10,Outstanding_pos_BB_MSB[BondsDeals_Id],Outstanding_pos_BB_MSB[Yield])</f>
        <v>2.8</v>
      </c>
      <c r="DF10" s="32">
        <f>_xlfn.XLOOKUP(TB_HTM[[#This Row],[Deal ID]],Outstanding_pos_BB_MSB[BondsDeals_Id],Outstanding_pos_BB_MSB[Total Rate])</f>
        <v>3.1</v>
      </c>
      <c r="DG10" s="124">
        <f>_xlfn.XLOOKUP(CX10,Outstanding_pos_BB_MSB[BondsDeals_Id],Outstanding_pos_BB_MSB[Mature Date])</f>
        <v>48900</v>
      </c>
      <c r="DH10" s="786">
        <f>(TB_HTM[[#This Row],[Amt]]/10^9)/(_xlfn.XLOOKUP(TB_HTM[[#This Row],[Bond code]],Bankingbook_MSB[Security Name],Bankingbook_MSB[QUANTITY])/10^4)</f>
        <v>0.6</v>
      </c>
      <c r="DI10" s="72">
        <f>_xlfn.XLOOKUP(TB_HTM[[#This Row],[Bond code]],Bankingbook_MSB[Security Name],Bankingbook_MSB[MARKET_VALUE])*TB_HTM[[#This Row],[% amt FNRP]]</f>
        <v>268998000000</v>
      </c>
      <c r="DJ10" s="71">
        <f>_xlfn.XLOOKUP(TB_HTM[[#This Row],[Bond code]],Bankingbook_MSB[Security Name],Bankingbook_MSB[BPV_edited])
/10^9*TB_HTM[[#This Row],[% amt FNRP]]</f>
        <v>-0.16838164710379216</v>
      </c>
      <c r="DK10" s="71">
        <f>TB_HTM[[#This Row],[Amt]]*TB_HTM[[#This Row],[Yield]]/10^5</f>
        <v>8400000</v>
      </c>
      <c r="DL10" s="71" t="str">
        <f>_xlfn.XLOOKUP(TB_HTM[[#This Row],[Bond code]],Bankingbook_MSB[Security Name],Bankingbook_MSB[Type])</f>
        <v>TPCPBL</v>
      </c>
      <c r="DM10" s="71" t="str">
        <f>_xlfn.XLOOKUP(TB_HTM[[#This Row],[Bond code]],Bankingbook_MSB[Security Name],Bankingbook_MSB[Issuer])</f>
        <v>VBS</v>
      </c>
      <c r="DN10" s="71" t="str">
        <f>_xlfn.XLOOKUP(TB_HTM[[#This Row],[Bond code]],Bankingbook_MSB[Security Name],Bankingbook_MSB[Tenor])</f>
        <v>7Y</v>
      </c>
      <c r="DO10" s="72">
        <f>SUMIFS(BS[MARKET VALUE],BS[BOND_CODE],TB_HTM[[#This Row],[Bond code]],BS[BOOK_FLAG],"B",BS[BAL],BS!$C$2)/10^9*TB_HTM[[#This Row],[% amt FNRP]]</f>
        <v>268.99799999999999</v>
      </c>
      <c r="DP10" s="71" cm="1">
        <f t="array" ref="DP10">_xlfn.IFNA(_xlfn.XLOOKUP(TB_HTM[[#This Row],[Deal ID]],RPBOD3[BondsDeals_Id],RPBOD3[PTCK_Remain]*RPBOD3[Quantity])/10^9,"N/A")</f>
        <v>5.62005050793391</v>
      </c>
      <c r="DQ10" s="71">
        <f>_xlfn.XLOOKUP(TB_HTM[[#This Row],[Bond code]],Bankingbook_MSB[Security Name],Bankingbook_MSB[Duration_edited])</f>
        <v>6.3977944500000001</v>
      </c>
      <c r="DR10" s="71">
        <f>_xlfn.XLOOKUP(TB_HTM[[#This Row],[Bond code]],Bankingbook_MSB[Security Name],Bankingbook_MSB[Modified Duration])</f>
        <v>6.1035684561021002</v>
      </c>
      <c r="DS10" s="71">
        <f>TB_HTM[[#This Row],[Duration]]*TB_HTM[[#This Row],[Market Value FNRP]]</f>
        <v>1720993911461.1001</v>
      </c>
      <c r="DT10" s="71">
        <f>TB_HTM[[#This Row],[Modified Duration]]*TB_HTM[[#This Row],[Market Value FNRP]]</f>
        <v>1641847707554.5527</v>
      </c>
      <c r="DU10" s="72">
        <f>_xlfn.XLOOKUP(TB_HTM[[#This Row],[Deal ID]],Outstanding_pos_BB_MSB[BondsDeals_Id],Outstanding_pos_BB_MSB[Time hold/Deal])</f>
        <v>970</v>
      </c>
      <c r="DV10" s="71" t="str">
        <f>_xlfn.XLOOKUP(TB_HTM[[#This Row],[Deal ID]],Outstanding_pos_BB_MSB[BondsDeals_Id],Outstanding_pos_BB_MSB[Time hold (Tenor)])</f>
        <v>3Y</v>
      </c>
      <c r="DW10" s="71"/>
      <c r="DY10" s="776">
        <v>43044</v>
      </c>
      <c r="DZ10" s="776" t="s">
        <v>627</v>
      </c>
      <c r="EA10" s="776" t="s">
        <v>2180</v>
      </c>
      <c r="EB10" s="777">
        <v>100000000000</v>
      </c>
      <c r="EC10" s="776">
        <v>4.12</v>
      </c>
      <c r="ED10" s="778">
        <v>2.2000000000000002</v>
      </c>
      <c r="EE10" s="72">
        <f>_xlfn.XLOOKUP(DY10,Outstanding_pos_BB_MSB[BondsDeals_Id],Outstanding_pos_BB_MSB[ItD adj])</f>
        <v>-6249107981.92097</v>
      </c>
      <c r="EF10" s="32">
        <f>_xlfn.XLOOKUP(DY10,Outstanding_pos_BB_MSB[BondsDeals_Id],Outstanding_pos_BB_MSB[Yield])</f>
        <v>2.2000000000000002</v>
      </c>
      <c r="EG10" s="71">
        <f>_xlfn.XLOOKUP(BB_tufund[[#This Row],[Deal ID]],Outstanding_pos_BB_MSB[BondsDeals_Id],Outstanding_pos_BB_MSB[Total Rate])</f>
        <v>2.7</v>
      </c>
      <c r="EH10" s="124">
        <f>_xlfn.XLOOKUP(DY10,Outstanding_pos_BB_MSB[BondsDeals_Id],Outstanding_pos_BB_MSB[Mature Date])</f>
        <v>47680</v>
      </c>
      <c r="EI10" s="787">
        <f>(BB_tufund[[#This Row],[Amt]]/10^9)/(_xlfn.XLOOKUP(BB_tufund[[#This Row],[Bond code]],Bankingbook_MSB[Security Name],Bankingbook_MSB[QUANTITY])/10^4)</f>
        <v>1</v>
      </c>
      <c r="EJ10" s="72">
        <f>_xlfn.XLOOKUP(BB_tufund[[#This Row],[Bond code]],Bankingbook_MSB[Security Name],Bankingbook_MSB[MARKET_VALUE])*BB_tufund[[#This Row],[% amt FNRP]]</f>
        <v>95562000000</v>
      </c>
      <c r="EK10" s="71">
        <f>_xlfn.XLOOKUP(BB_tufund[[#This Row],[Bond code]],Bankingbook_MSB[Security Name],Bankingbook_MSB[BPV_edited])
/10^9*BB_tufund[[#This Row],[% amt FNRP]]</f>
        <v>-3.455936276965773E-2</v>
      </c>
    </row>
    <row r="11" spans="1:141" x14ac:dyDescent="0.3">
      <c r="B11">
        <v>45000</v>
      </c>
      <c r="C11" s="35">
        <v>45650</v>
      </c>
      <c r="D11" t="s">
        <v>2779</v>
      </c>
      <c r="E11" t="s">
        <v>824</v>
      </c>
      <c r="F11" t="s">
        <v>907</v>
      </c>
      <c r="G11" s="500">
        <v>300000000000</v>
      </c>
      <c r="H11">
        <v>3.1</v>
      </c>
      <c r="I11" t="s">
        <v>2780</v>
      </c>
      <c r="J11">
        <v>2.9</v>
      </c>
      <c r="K11">
        <v>7.25</v>
      </c>
      <c r="L11" t="s">
        <v>2746</v>
      </c>
      <c r="M11">
        <v>4.82</v>
      </c>
      <c r="N11" s="37">
        <v>-35637000000</v>
      </c>
      <c r="O11">
        <v>6.1</v>
      </c>
      <c r="P11" s="500">
        <v>-56148557.299999997</v>
      </c>
      <c r="Q11" s="500">
        <v>2327000000</v>
      </c>
      <c r="R11">
        <v>46.4</v>
      </c>
      <c r="S1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-34776426752.370918</v>
      </c>
      <c r="T11" s="72">
        <f>VLOOKUP(Outstanding_pos_TB_MSB[[#This Row],[Bonds_ShortName]],FNRP!D:J,7,0)</f>
        <v>3500000</v>
      </c>
      <c r="U11" s="72">
        <f>SUMIFS(Outstanding_pos_TB_MSB[Amt],Outstanding_pos_TB_MSB[Bonds_ShortName],Outstanding_pos_TB_MSB[[#This Row],[Bonds_ShortName]])/100000-Outstanding_pos_TB_MSB[[#This Row],[Quantity FNRP]]</f>
        <v>0</v>
      </c>
      <c r="V11" s="162" t="str">
        <f>INDEX(Ref!$I$1:$K$13,MATCH(Outstanding_pos_TB_MSB[[#This Row],[Tenor left]],Ref!$I$1:$I$13,1),3)</f>
        <v>7Y</v>
      </c>
      <c r="W11" s="72">
        <f>IF(RPT-VLOOKUP(Outstanding_pos_TB_MSB[[#This Row],[Bonds_ShortName]],CT:CU,2,0)&lt;=0,0,RPT-VLOOKUP(Outstanding_pos_TB_MSB[[#This Row],[Bonds_ShortName]],CT:CU,2,0))</f>
        <v>607</v>
      </c>
      <c r="X11" s="72">
        <f>IF(RPT-Outstanding_pos_TB_MSB[[#This Row],[VALUE_DATE]]&lt;=0,0,RPT-Outstanding_pos_TB_MSB[[#This Row],[VALUE_DATE]])</f>
        <v>602</v>
      </c>
      <c r="Y11" s="72" t="str">
        <f>_xlfn.XLOOKUP(Outstanding_pos_TB_MSB[[#This Row],[Time hold/Deal]],Ref!S:S,Ref!U:U,,-1)</f>
        <v>2Y</v>
      </c>
      <c r="AB11">
        <v>41119</v>
      </c>
      <c r="AC11" s="35">
        <v>45280</v>
      </c>
      <c r="AD11" t="s">
        <v>2773</v>
      </c>
      <c r="AE11" t="s">
        <v>2180</v>
      </c>
      <c r="AF11" t="s">
        <v>907</v>
      </c>
      <c r="AG11" s="500">
        <v>250000000000</v>
      </c>
      <c r="AH11">
        <v>2.4</v>
      </c>
      <c r="AI11">
        <v>47071</v>
      </c>
      <c r="AJ11">
        <v>2.2000000000000002</v>
      </c>
      <c r="AK11">
        <v>2.2400000000000002</v>
      </c>
      <c r="AL11" s="645" t="s">
        <v>3867</v>
      </c>
      <c r="AM11">
        <v>4.1500000000000004</v>
      </c>
      <c r="AN11" s="500">
        <v>-11487500000</v>
      </c>
      <c r="AO11">
        <v>2.08</v>
      </c>
      <c r="AP11">
        <v>-20418773.82</v>
      </c>
      <c r="AQ11">
        <v>1828000000</v>
      </c>
      <c r="AR11">
        <v>6.43</v>
      </c>
      <c r="AS11" s="72">
        <f>SUM(_xlfn.IFNA(VLOOKUP(Outstanding_pos_BB_MSB[[#This Row],[Bonds_ShortName]],FNRP!AV:BA,6,0)*Outstanding_pos_BB_MSB[[#This Row],[Amt]]/10^4,0),_xlfn.IFNA((VLOOKUP(Outstanding_pos_BB_MSB[[#This Row],[Bonds_ShortName]],FNRP!IK:IP,6,0)*Outstanding_pos_BB_MSB[[#This Row],[Amt]]/10^4),0))</f>
        <v>2407975000000</v>
      </c>
      <c r="AT11" s="72">
        <f>(_xlfn.XLOOKUP(Outstanding_pos_BB_MSB[[#This Row],[Bonds_ShortName]],FNRP!AV:AV,FNRP!BA:BA,,0)
-_xlfn.XLOOKUP(Outstanding_pos_BB_MSB[[#This Row],[BondsDeals_Id]],BS!AL:AL,BS!AR:AR,_xlfn.XLOOKUP(Outstanding_pos_BB_MSB[[#This Row],[BondsDeals_Id]],BS!BA:BA,BS!BQ:BQ,,0),0)-10^5)
*Outstanding_pos_BB_MSB[[#This Row],[Amt]]/10^5</f>
        <v>-10250616081.317312</v>
      </c>
      <c r="AU11" s="72">
        <f>VLOOKUP(Outstanding_pos_BB_MSB[[#This Row],[Bonds_ShortName]],FNRP!AV:CD,35,0)</f>
        <v>5000000</v>
      </c>
      <c r="AV11" s="157">
        <f>SUMIFS(AG$1:AG$103,AD$1:AD$103,Outstanding_pos_BB_MSB[[#This Row],[Bonds_ShortName]])/10^5-Outstanding_pos_BB_MSB[[#This Row],[Quantity FNRP]]</f>
        <v>0</v>
      </c>
      <c r="AW11" s="72">
        <f>IF(RPT-Outstanding_pos_BB_MSB[[#This Row],[Value Date]]&lt;=0,0,RPT-Outstanding_pos_BB_MSB[[#This Row],[Value Date]])</f>
        <v>972</v>
      </c>
      <c r="AX11" s="32" t="str">
        <f>INDEX(Ref!$I$1:$K$13,MATCH(Outstanding_pos_BB_MSB[[#This Row],[Tenor left]],Ref!$I$1:$I$13,1),3)</f>
        <v>2Y</v>
      </c>
      <c r="AY11" s="72" t="str">
        <f>_xlfn.XLOOKUP(Outstanding_pos_BB_MSB[[#This Row],[Time hold/Deal]],Ref!S:S,Ref!U:U,,-1)</f>
        <v>3Y</v>
      </c>
      <c r="BB11">
        <v>49973</v>
      </c>
      <c r="BC11">
        <v>46188</v>
      </c>
      <c r="BD11" t="s">
        <v>2836</v>
      </c>
      <c r="BE11" t="s">
        <v>2176</v>
      </c>
      <c r="BF11" t="s">
        <v>823</v>
      </c>
      <c r="BG11">
        <v>100000000000</v>
      </c>
      <c r="BH11">
        <v>2.7</v>
      </c>
      <c r="BI11">
        <v>49143</v>
      </c>
      <c r="BJ11">
        <v>3.01</v>
      </c>
      <c r="BK11">
        <v>7.92</v>
      </c>
      <c r="BL11" t="s">
        <v>2747</v>
      </c>
      <c r="BM11">
        <v>4.3499999999999996</v>
      </c>
      <c r="BN11">
        <v>-8687000000</v>
      </c>
      <c r="BO11">
        <v>6.86</v>
      </c>
      <c r="BP11">
        <v>-61350899.390000001</v>
      </c>
      <c r="BQ11">
        <v>237000000</v>
      </c>
      <c r="BR11">
        <v>56.71</v>
      </c>
      <c r="BS11"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-8737949818.0469666</v>
      </c>
      <c r="BT11" s="72">
        <f>RPT-VLOOKUP(Outstanding_pos_TB_SBV[[#This Row],[Bonds_ShortName]],RP_SEC!CT:CU,2,0)</f>
        <v>-9</v>
      </c>
      <c r="BU11" s="157">
        <f>SUMIFS(BG:BG,BD:BD,Outstanding_pos_TB_SBV[[#This Row],[Bonds_ShortName]])/10^5-VLOOKUP(Outstanding_pos_TB_SBV[[#This Row],[Bonds_ShortName]],FNRP!$CN:$DU,34,0)</f>
        <v>0</v>
      </c>
      <c r="BX11">
        <v>41089</v>
      </c>
      <c r="BY11" s="502">
        <v>45279</v>
      </c>
      <c r="BZ11" t="s">
        <v>600</v>
      </c>
      <c r="CA11" t="s">
        <v>2180</v>
      </c>
      <c r="CB11" t="s">
        <v>821</v>
      </c>
      <c r="CC11" s="500">
        <v>150000000000</v>
      </c>
      <c r="CD11">
        <v>4.5</v>
      </c>
      <c r="CE11" s="502">
        <v>47435</v>
      </c>
      <c r="CF11">
        <v>2.4</v>
      </c>
      <c r="CG11">
        <v>3.24</v>
      </c>
      <c r="CH11" t="s">
        <v>3183</v>
      </c>
      <c r="CI11">
        <v>4.2699999999999996</v>
      </c>
      <c r="CJ11" s="500">
        <v>-16123500000</v>
      </c>
      <c r="CK11">
        <v>2.86</v>
      </c>
      <c r="CL11" s="500">
        <v>-29814254.09</v>
      </c>
      <c r="CM11" s="500">
        <v>3440000000</v>
      </c>
      <c r="CN11">
        <v>11.43</v>
      </c>
      <c r="CO1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-8380907471.3342848</v>
      </c>
      <c r="CP11" s="72">
        <f>RPT-VLOOKUP(Outstanding_pos_BB_SBV[[#This Row],[Bonds_ShortName]],CT:CU,2,0)</f>
        <v>977</v>
      </c>
      <c r="CQ11" s="157">
        <f>SUMIFS(CC:CC,BZ:BZ,Outstanding_pos_BB_SBV[[#This Row],[Bonds_ShortName]])/10^5-VLOOKUP(Outstanding_pos_BB_SBV[[#This Row],[Bonds_ShortName]],FNRP!EE:FL,34,0)</f>
        <v>0</v>
      </c>
      <c r="CT11" t="s">
        <v>644</v>
      </c>
      <c r="CU11" s="502">
        <v>45629</v>
      </c>
      <c r="CX11" s="776">
        <v>41198</v>
      </c>
      <c r="CY11" s="776" t="s">
        <v>2779</v>
      </c>
      <c r="CZ11" s="776" t="s">
        <v>2180</v>
      </c>
      <c r="DA11" s="777">
        <v>200000000000</v>
      </c>
      <c r="DB11" s="776">
        <v>7.46</v>
      </c>
      <c r="DC11" s="778">
        <v>2.8</v>
      </c>
      <c r="DD11" s="72">
        <f>_xlfn.XLOOKUP(CX11,Outstanding_pos_BB_MSB[BondsDeals_Id],Outstanding_pos_BB_MSB[ItD adj])</f>
        <v>-24414628738.87524</v>
      </c>
      <c r="DE11" s="32">
        <f>_xlfn.XLOOKUP(CX11,Outstanding_pos_BB_MSB[BondsDeals_Id],Outstanding_pos_BB_MSB[Yield])</f>
        <v>2.8</v>
      </c>
      <c r="DF11" s="32">
        <f>_xlfn.XLOOKUP(TB_HTM[[#This Row],[Deal ID]],Outstanding_pos_BB_MSB[BondsDeals_Id],Outstanding_pos_BB_MSB[Total Rate])</f>
        <v>3.1</v>
      </c>
      <c r="DG11" s="124">
        <f>_xlfn.XLOOKUP(CX11,Outstanding_pos_BB_MSB[BondsDeals_Id],Outstanding_pos_BB_MSB[Mature Date])</f>
        <v>48900</v>
      </c>
      <c r="DH11" s="786">
        <f>(TB_HTM[[#This Row],[Amt]]/10^9)/(_xlfn.XLOOKUP(TB_HTM[[#This Row],[Bond code]],Bankingbook_MSB[Security Name],Bankingbook_MSB[QUANTITY])/10^4)</f>
        <v>0.4</v>
      </c>
      <c r="DI11" s="72">
        <f>_xlfn.XLOOKUP(TB_HTM[[#This Row],[Bond code]],Bankingbook_MSB[Security Name],Bankingbook_MSB[MARKET_VALUE])*TB_HTM[[#This Row],[% amt FNRP]]</f>
        <v>179332000000</v>
      </c>
      <c r="DJ11" s="71">
        <f>_xlfn.XLOOKUP(TB_HTM[[#This Row],[Bond code]],Bankingbook_MSB[Security Name],Bankingbook_MSB[BPV_edited])
/10^9*TB_HTM[[#This Row],[% amt FNRP]]</f>
        <v>-0.11225443140252811</v>
      </c>
      <c r="DK11" s="71">
        <f>TB_HTM[[#This Row],[Amt]]*TB_HTM[[#This Row],[Yield]]/10^5</f>
        <v>5600000</v>
      </c>
      <c r="DL11" s="71" t="str">
        <f>_xlfn.XLOOKUP(TB_HTM[[#This Row],[Bond code]],Bankingbook_MSB[Security Name],Bankingbook_MSB[Type])</f>
        <v>TPCPBL</v>
      </c>
      <c r="DM11" s="71" t="str">
        <f>_xlfn.XLOOKUP(TB_HTM[[#This Row],[Bond code]],Bankingbook_MSB[Security Name],Bankingbook_MSB[Issuer])</f>
        <v>VBS</v>
      </c>
      <c r="DN11" s="71" t="str">
        <f>_xlfn.XLOOKUP(TB_HTM[[#This Row],[Bond code]],Bankingbook_MSB[Security Name],Bankingbook_MSB[Tenor])</f>
        <v>7Y</v>
      </c>
      <c r="DO11" s="72">
        <f>SUMIFS(BS[MARKET VALUE],BS[BOND_CODE],TB_HTM[[#This Row],[Bond code]],BS[BOOK_FLAG],"B",BS[BAL],BS!$C$2)/10^9*TB_HTM[[#This Row],[% amt FNRP]]</f>
        <v>179.33199999999999</v>
      </c>
      <c r="DP11" s="71" cm="1">
        <f t="array" ref="DP11">_xlfn.IFNA(_xlfn.XLOOKUP(TB_HTM[[#This Row],[Deal ID]],RPBOD3[BondsDeals_Id],RPBOD3[PTCK_Remain]*RPBOD3[Quantity])/10^9,"N/A")</f>
        <v>3.7466287388752297</v>
      </c>
      <c r="DQ11" s="71">
        <f>_xlfn.XLOOKUP(TB_HTM[[#This Row],[Bond code]],Bankingbook_MSB[Security Name],Bankingbook_MSB[Duration_edited])</f>
        <v>6.3977944500000001</v>
      </c>
      <c r="DR11" s="71">
        <f>_xlfn.XLOOKUP(TB_HTM[[#This Row],[Bond code]],Bankingbook_MSB[Security Name],Bankingbook_MSB[Modified Duration])</f>
        <v>6.1035684561021002</v>
      </c>
      <c r="DS11" s="71">
        <f>TB_HTM[[#This Row],[Duration]]*TB_HTM[[#This Row],[Market Value FNRP]]</f>
        <v>1147329274307.3999</v>
      </c>
      <c r="DT11" s="71">
        <f>TB_HTM[[#This Row],[Modified Duration]]*TB_HTM[[#This Row],[Market Value FNRP]]</f>
        <v>1094565138369.7018</v>
      </c>
      <c r="DU11" s="72">
        <f>_xlfn.XLOOKUP(TB_HTM[[#This Row],[Deal ID]],Outstanding_pos_BB_MSB[BondsDeals_Id],Outstanding_pos_BB_MSB[Time hold/Deal])</f>
        <v>966</v>
      </c>
      <c r="DV11" s="71" t="str">
        <f>_xlfn.XLOOKUP(TB_HTM[[#This Row],[Deal ID]],Outstanding_pos_BB_MSB[BondsDeals_Id],Outstanding_pos_BB_MSB[Time hold (Tenor)])</f>
        <v>3Y</v>
      </c>
      <c r="DW11" s="71"/>
      <c r="DY11" s="776">
        <v>48343</v>
      </c>
      <c r="DZ11" s="776" t="s">
        <v>637</v>
      </c>
      <c r="EA11" s="776" t="s">
        <v>2180</v>
      </c>
      <c r="EB11" s="777">
        <v>50000000000</v>
      </c>
      <c r="EC11" s="776">
        <v>4.8499999999999996</v>
      </c>
      <c r="ED11" s="778">
        <v>2.11</v>
      </c>
      <c r="EE11" s="72">
        <f>_xlfn.XLOOKUP(DY11,Outstanding_pos_BB_MSB[BondsDeals_Id],Outstanding_pos_BB_MSB[ItD adj])</f>
        <v>-4230055583.0581145</v>
      </c>
      <c r="EF11" s="32">
        <f>_xlfn.XLOOKUP(DY11,Outstanding_pos_BB_MSB[BondsDeals_Id],Outstanding_pos_BB_MSB[Yield])</f>
        <v>2.11</v>
      </c>
      <c r="EG11" s="71">
        <f>_xlfn.XLOOKUP(BB_tufund[[#This Row],[Deal ID]],Outstanding_pos_BB_MSB[BondsDeals_Id],Outstanding_pos_BB_MSB[Total Rate])</f>
        <v>2.2999999999999998</v>
      </c>
      <c r="EH11" s="124">
        <f>_xlfn.XLOOKUP(DY11,Outstanding_pos_BB_MSB[BondsDeals_Id],Outstanding_pos_BB_MSB[Mature Date])</f>
        <v>47946</v>
      </c>
      <c r="EI11" s="787">
        <f>(BB_tufund[[#This Row],[Amt]]/10^9)/(_xlfn.XLOOKUP(BB_tufund[[#This Row],[Bond code]],Bankingbook_MSB[Security Name],Bankingbook_MSB[QUANTITY])/10^4)</f>
        <v>1</v>
      </c>
      <c r="EJ11" s="72">
        <f>_xlfn.XLOOKUP(BB_tufund[[#This Row],[Bond code]],Bankingbook_MSB[Security Name],Bankingbook_MSB[MARKET_VALUE])*BB_tufund[[#This Row],[% amt FNRP]]</f>
        <v>46180500000</v>
      </c>
      <c r="EK11" s="71">
        <f>_xlfn.XLOOKUP(BB_tufund[[#This Row],[Bond code]],Bankingbook_MSB[Security Name],Bankingbook_MSB[BPV_edited])
/10^9*BB_tufund[[#This Row],[% amt FNRP]]</f>
        <v>-1.9714304461293342E-2</v>
      </c>
    </row>
    <row r="12" spans="1:141" x14ac:dyDescent="0.3">
      <c r="B12">
        <v>45116</v>
      </c>
      <c r="C12" s="35">
        <v>45657</v>
      </c>
      <c r="D12" t="s">
        <v>568</v>
      </c>
      <c r="E12" t="s">
        <v>824</v>
      </c>
      <c r="F12" t="s">
        <v>821</v>
      </c>
      <c r="G12" s="500">
        <v>52000000000</v>
      </c>
      <c r="H12">
        <v>6.6</v>
      </c>
      <c r="I12" t="s">
        <v>3407</v>
      </c>
      <c r="J12">
        <v>3</v>
      </c>
      <c r="K12">
        <v>0.49</v>
      </c>
      <c r="L12" t="s">
        <v>3870</v>
      </c>
      <c r="M12">
        <v>4.25</v>
      </c>
      <c r="N12" s="37">
        <v>-3240120000</v>
      </c>
      <c r="O12">
        <v>0.48</v>
      </c>
      <c r="P12" s="500">
        <v>-5043205.0599999996</v>
      </c>
      <c r="Q12" s="500">
        <v>3345000000</v>
      </c>
      <c r="R12">
        <v>0.47</v>
      </c>
      <c r="S1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-322530233.73876059</v>
      </c>
      <c r="T12" s="72">
        <f>VLOOKUP(Outstanding_pos_TB_MSB[[#This Row],[Bonds_ShortName]],FNRP!D:J,7,0)</f>
        <v>3520000</v>
      </c>
      <c r="U12" s="72">
        <f>SUMIFS(Outstanding_pos_TB_MSB[Amt],Outstanding_pos_TB_MSB[Bonds_ShortName],Outstanding_pos_TB_MSB[[#This Row],[Bonds_ShortName]])/100000-Outstanding_pos_TB_MSB[[#This Row],[Quantity FNRP]]</f>
        <v>0</v>
      </c>
      <c r="V12" s="162" t="str">
        <f>INDEX(Ref!$I$1:$K$13,MATCH(Outstanding_pos_TB_MSB[[#This Row],[Tenor left]],Ref!$I$1:$I$13,1),3)</f>
        <v>6M</v>
      </c>
      <c r="W12" s="72">
        <f>IF(RPT-VLOOKUP(Outstanding_pos_TB_MSB[[#This Row],[Bonds_ShortName]],CT:CU,2,0)&lt;=0,0,RPT-VLOOKUP(Outstanding_pos_TB_MSB[[#This Row],[Bonds_ShortName]],CT:CU,2,0))</f>
        <v>7</v>
      </c>
      <c r="X12" s="72">
        <f>IF(RPT-Outstanding_pos_TB_MSB[[#This Row],[VALUE_DATE]]&lt;=0,0,RPT-Outstanding_pos_TB_MSB[[#This Row],[VALUE_DATE]])</f>
        <v>595</v>
      </c>
      <c r="Y12" s="72" t="str">
        <f>_xlfn.XLOOKUP(Outstanding_pos_TB_MSB[[#This Row],[Time hold/Deal]],Ref!S:S,Ref!U:U,,-1)</f>
        <v>2Y</v>
      </c>
      <c r="AB12">
        <v>41121</v>
      </c>
      <c r="AC12" s="35">
        <v>45280</v>
      </c>
      <c r="AD12" t="s">
        <v>2773</v>
      </c>
      <c r="AE12" t="s">
        <v>2180</v>
      </c>
      <c r="AF12" t="s">
        <v>907</v>
      </c>
      <c r="AG12" s="500">
        <v>250000000000</v>
      </c>
      <c r="AH12">
        <v>2.4</v>
      </c>
      <c r="AI12">
        <v>47071</v>
      </c>
      <c r="AJ12">
        <v>2.2000000000000002</v>
      </c>
      <c r="AK12">
        <v>2.2400000000000002</v>
      </c>
      <c r="AL12" s="645" t="s">
        <v>3867</v>
      </c>
      <c r="AM12">
        <v>4.1500000000000004</v>
      </c>
      <c r="AN12" s="500">
        <v>-11487500000</v>
      </c>
      <c r="AO12">
        <v>2.08</v>
      </c>
      <c r="AP12">
        <v>-20418773.82</v>
      </c>
      <c r="AQ12">
        <v>1828000000</v>
      </c>
      <c r="AR12">
        <v>6.43</v>
      </c>
      <c r="AS12" s="72">
        <f>SUM(_xlfn.IFNA(VLOOKUP(Outstanding_pos_BB_MSB[[#This Row],[Bonds_ShortName]],FNRP!AV:BA,6,0)*Outstanding_pos_BB_MSB[[#This Row],[Amt]]/10^4,0),_xlfn.IFNA((VLOOKUP(Outstanding_pos_BB_MSB[[#This Row],[Bonds_ShortName]],FNRP!IK:IP,6,0)*Outstanding_pos_BB_MSB[[#This Row],[Amt]]/10^4),0))</f>
        <v>2407975000000</v>
      </c>
      <c r="AT12" s="72">
        <f>(_xlfn.XLOOKUP(Outstanding_pos_BB_MSB[[#This Row],[Bonds_ShortName]],FNRP!AV:AV,FNRP!BA:BA,,0)
-_xlfn.XLOOKUP(Outstanding_pos_BB_MSB[[#This Row],[BondsDeals_Id]],BS!AL:AL,BS!AR:AR,_xlfn.XLOOKUP(Outstanding_pos_BB_MSB[[#This Row],[BondsDeals_Id]],BS!BA:BA,BS!BQ:BQ,,0),0)-10^5)
*Outstanding_pos_BB_MSB[[#This Row],[Amt]]/10^5</f>
        <v>-10250616081.317312</v>
      </c>
      <c r="AU12" s="72">
        <f>VLOOKUP(Outstanding_pos_BB_MSB[[#This Row],[Bonds_ShortName]],FNRP!AV:CD,35,0)</f>
        <v>5000000</v>
      </c>
      <c r="AV12" s="157">
        <f>SUMIFS(AG$1:AG$103,AD$1:AD$103,Outstanding_pos_BB_MSB[[#This Row],[Bonds_ShortName]])/10^5-Outstanding_pos_BB_MSB[[#This Row],[Quantity FNRP]]</f>
        <v>0</v>
      </c>
      <c r="AW12" s="72">
        <f>IF(RPT-Outstanding_pos_BB_MSB[[#This Row],[Value Date]]&lt;=0,0,RPT-Outstanding_pos_BB_MSB[[#This Row],[Value Date]])</f>
        <v>972</v>
      </c>
      <c r="AX12" s="32" t="str">
        <f>INDEX(Ref!$I$1:$K$13,MATCH(Outstanding_pos_BB_MSB[[#This Row],[Tenor left]],Ref!$I$1:$I$13,1),3)</f>
        <v>2Y</v>
      </c>
      <c r="AY12" s="72" t="str">
        <f>_xlfn.XLOOKUP(Outstanding_pos_BB_MSB[[#This Row],[Time hold/Deal]],Ref!S:S,Ref!U:U,,-1)</f>
        <v>3Y</v>
      </c>
      <c r="BB12">
        <v>49983</v>
      </c>
      <c r="BC12">
        <v>46190</v>
      </c>
      <c r="BD12" t="s">
        <v>666</v>
      </c>
      <c r="BE12" t="s">
        <v>2176</v>
      </c>
      <c r="BF12" t="s">
        <v>823</v>
      </c>
      <c r="BG12">
        <v>150000000000</v>
      </c>
      <c r="BH12">
        <v>5.0999999999999996</v>
      </c>
      <c r="BI12">
        <v>48968</v>
      </c>
      <c r="BJ12">
        <v>3.12</v>
      </c>
      <c r="BK12">
        <v>7.44</v>
      </c>
      <c r="BL12" t="s">
        <v>2746</v>
      </c>
      <c r="BM12">
        <v>4.33</v>
      </c>
      <c r="BN12">
        <v>-12628500000</v>
      </c>
      <c r="BO12">
        <v>5.97</v>
      </c>
      <c r="BP12">
        <v>-64335349.25</v>
      </c>
      <c r="BQ12">
        <v>2892000000</v>
      </c>
      <c r="BR12">
        <v>45.75</v>
      </c>
      <c r="BS12"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-12177721508.0327</v>
      </c>
      <c r="BT12" s="72">
        <f>RPT-VLOOKUP(Outstanding_pos_TB_SBV[[#This Row],[Bonds_ShortName]],RP_SEC!CT:CU,2,0)</f>
        <v>7</v>
      </c>
      <c r="BU12" s="157">
        <f>SUMIFS(BG:BG,BD:BD,Outstanding_pos_TB_SBV[[#This Row],[Bonds_ShortName]])/10^5-VLOOKUP(Outstanding_pos_TB_SBV[[#This Row],[Bonds_ShortName]],FNRP!$CN:$DU,34,0)</f>
        <v>0</v>
      </c>
      <c r="BX12">
        <v>41119</v>
      </c>
      <c r="BY12" s="502">
        <v>45280</v>
      </c>
      <c r="BZ12" t="s">
        <v>2773</v>
      </c>
      <c r="CA12" t="s">
        <v>2180</v>
      </c>
      <c r="CB12" t="s">
        <v>907</v>
      </c>
      <c r="CC12" s="500">
        <v>250000000000</v>
      </c>
      <c r="CD12">
        <v>2.4</v>
      </c>
      <c r="CE12" s="502">
        <v>47071</v>
      </c>
      <c r="CF12">
        <v>2.2000000000000002</v>
      </c>
      <c r="CG12">
        <v>2.2400000000000002</v>
      </c>
      <c r="CH12" t="s">
        <v>3867</v>
      </c>
      <c r="CI12">
        <v>4.1500000000000004</v>
      </c>
      <c r="CJ12" s="500">
        <v>-11487500000</v>
      </c>
      <c r="CK12">
        <v>2.08</v>
      </c>
      <c r="CL12" s="500">
        <v>-20418773.82</v>
      </c>
      <c r="CM12" s="500">
        <v>1828000000</v>
      </c>
      <c r="CN12">
        <v>6.43</v>
      </c>
      <c r="CO1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-10250616081.317312</v>
      </c>
      <c r="CP12" s="72">
        <f>RPT-VLOOKUP(Outstanding_pos_BB_SBV[[#This Row],[Bonds_ShortName]],CT:CU,2,0)</f>
        <v>977</v>
      </c>
      <c r="CQ12" s="157">
        <f>SUMIFS(CC:CC,BZ:BZ,Outstanding_pos_BB_SBV[[#This Row],[Bonds_ShortName]])/10^5-VLOOKUP(Outstanding_pos_BB_SBV[[#This Row],[Bonds_ShortName]],FNRP!EE:FL,34,0)</f>
        <v>0</v>
      </c>
      <c r="CT12" t="s">
        <v>2840</v>
      </c>
      <c r="CU12" s="502">
        <v>45951</v>
      </c>
      <c r="CX12" s="776">
        <v>41203</v>
      </c>
      <c r="CY12" s="776" t="s">
        <v>2788</v>
      </c>
      <c r="CZ12" s="776" t="s">
        <v>2180</v>
      </c>
      <c r="DA12" s="777">
        <v>100000000000</v>
      </c>
      <c r="DB12" s="776">
        <v>12.52</v>
      </c>
      <c r="DC12" s="778">
        <v>3</v>
      </c>
      <c r="DD12" s="72">
        <f>_xlfn.XLOOKUP(CX12,Outstanding_pos_BB_MSB[BondsDeals_Id],Outstanding_pos_BB_MSB[ItD adj])</f>
        <v>-18201421011.364552</v>
      </c>
      <c r="DE12" s="32">
        <f>_xlfn.XLOOKUP(CX12,Outstanding_pos_BB_MSB[BondsDeals_Id],Outstanding_pos_BB_MSB[Yield])</f>
        <v>3</v>
      </c>
      <c r="DF12" s="32">
        <f>_xlfn.XLOOKUP(TB_HTM[[#This Row],[Deal ID]],Outstanding_pos_BB_MSB[BondsDeals_Id],Outstanding_pos_BB_MSB[Total Rate])</f>
        <v>3.1</v>
      </c>
      <c r="DG12" s="124">
        <f>_xlfn.XLOOKUP(CX12,Outstanding_pos_BB_MSB[BondsDeals_Id],Outstanding_pos_BB_MSB[Mature Date])</f>
        <v>50744</v>
      </c>
      <c r="DH12" s="786">
        <f>(TB_HTM[[#This Row],[Amt]]/10^9)/(_xlfn.XLOOKUP(TB_HTM[[#This Row],[Bond code]],Bankingbook_MSB[Security Name],Bankingbook_MSB[QUANTITY])/10^4)</f>
        <v>0.10362694300518134</v>
      </c>
      <c r="DI12" s="72">
        <f>_xlfn.XLOOKUP(TB_HTM[[#This Row],[Bond code]],Bankingbook_MSB[Security Name],Bankingbook_MSB[MARKET_VALUE])*TB_HTM[[#This Row],[% amt FNRP]]</f>
        <v>82776000000</v>
      </c>
      <c r="DJ12" s="71">
        <f>_xlfn.XLOOKUP(TB_HTM[[#This Row],[Bond code]],Bankingbook_MSB[Security Name],Bankingbook_MSB[BPV_edited])
/10^9*TB_HTM[[#This Row],[% amt FNRP]]</f>
        <v>-8.0286738307305955E-2</v>
      </c>
      <c r="DK12" s="71">
        <f>TB_HTM[[#This Row],[Amt]]*TB_HTM[[#This Row],[Yield]]/10^5</f>
        <v>3000000</v>
      </c>
      <c r="DL12" s="71" t="str">
        <f>_xlfn.XLOOKUP(TB_HTM[[#This Row],[Bond code]],Bankingbook_MSB[Security Name],Bankingbook_MSB[Type])</f>
        <v>TPCPBL</v>
      </c>
      <c r="DM12" s="71" t="str">
        <f>_xlfn.XLOOKUP(TB_HTM[[#This Row],[Bond code]],Bankingbook_MSB[Security Name],Bankingbook_MSB[Issuer])</f>
        <v>VDB</v>
      </c>
      <c r="DN12" s="71" t="str">
        <f>_xlfn.XLOOKUP(TB_HTM[[#This Row],[Bond code]],Bankingbook_MSB[Security Name],Bankingbook_MSB[Tenor])</f>
        <v>15Y</v>
      </c>
      <c r="DO12" s="72">
        <f>SUMIFS(BS[MARKET VALUE],BS[BOND_CODE],TB_HTM[[#This Row],[Bond code]],BS[BOOK_FLAG],"B",BS[BAL],BS!$C$2)/10^9*TB_HTM[[#This Row],[% amt FNRP]]</f>
        <v>82.775999999999996</v>
      </c>
      <c r="DP12" s="71" cm="1">
        <f t="array" ref="DP12">_xlfn.IFNA(_xlfn.XLOOKUP(TB_HTM[[#This Row],[Deal ID]],RPBOD3[BondsDeals_Id],RPBOD3[PTCK_Remain]*RPBOD3[Quantity])/10^9,"N/A")</f>
        <v>0.97742101136455795</v>
      </c>
      <c r="DQ12" s="71">
        <f>_xlfn.XLOOKUP(TB_HTM[[#This Row],[Bond code]],Bankingbook_MSB[Security Name],Bankingbook_MSB[Duration_edited])</f>
        <v>9.9302273299999992</v>
      </c>
      <c r="DR12" s="71">
        <f>_xlfn.XLOOKUP(TB_HTM[[#This Row],[Bond code]],Bankingbook_MSB[Security Name],Bankingbook_MSB[Modified Duration])</f>
        <v>9.4566633678730998</v>
      </c>
      <c r="DS12" s="71">
        <f>TB_HTM[[#This Row],[Duration]]*TB_HTM[[#This Row],[Market Value FNRP]]</f>
        <v>821984497468.07996</v>
      </c>
      <c r="DT12" s="71">
        <f>TB_HTM[[#This Row],[Modified Duration]]*TB_HTM[[#This Row],[Market Value FNRP]]</f>
        <v>782784766939.06372</v>
      </c>
      <c r="DU12" s="72">
        <f>_xlfn.XLOOKUP(TB_HTM[[#This Row],[Deal ID]],Outstanding_pos_BB_MSB[BondsDeals_Id],Outstanding_pos_BB_MSB[Time hold/Deal])</f>
        <v>965</v>
      </c>
      <c r="DV12" s="71" t="str">
        <f>_xlfn.XLOOKUP(TB_HTM[[#This Row],[Deal ID]],Outstanding_pos_BB_MSB[BondsDeals_Id],Outstanding_pos_BB_MSB[Time hold (Tenor)])</f>
        <v>3Y</v>
      </c>
      <c r="DW12" s="71"/>
      <c r="DY12" s="776">
        <v>45426</v>
      </c>
      <c r="DZ12" s="776" t="s">
        <v>2499</v>
      </c>
      <c r="EA12" s="776" t="s">
        <v>2180</v>
      </c>
      <c r="EB12" s="777">
        <v>100000000000</v>
      </c>
      <c r="EC12" s="776">
        <v>6.52</v>
      </c>
      <c r="ED12" s="778">
        <v>2.35</v>
      </c>
      <c r="EE12" s="72">
        <f>_xlfn.XLOOKUP(DY12,Outstanding_pos_BB_MSB[BondsDeals_Id],Outstanding_pos_BB_MSB[ItD adj])</f>
        <v>-11181917904.349903</v>
      </c>
      <c r="EF12" s="32">
        <f>_xlfn.XLOOKUP(DY12,Outstanding_pos_BB_MSB[BondsDeals_Id],Outstanding_pos_BB_MSB[Yield])</f>
        <v>2.35</v>
      </c>
      <c r="EG12" s="71">
        <f>_xlfn.XLOOKUP(BB_tufund[[#This Row],[Deal ID]],Outstanding_pos_BB_MSB[BondsDeals_Id],Outstanding_pos_BB_MSB[Total Rate])</f>
        <v>4.8</v>
      </c>
      <c r="EH12" s="124">
        <f>_xlfn.XLOOKUP(DY12,Outstanding_pos_BB_MSB[BondsDeals_Id],Outstanding_pos_BB_MSB[Mature Date])</f>
        <v>48556</v>
      </c>
      <c r="EI12" s="787">
        <f>(BB_tufund[[#This Row],[Amt]]/10^9)/(_xlfn.XLOOKUP(BB_tufund[[#This Row],[Bond code]],Bankingbook_MSB[Security Name],Bankingbook_MSB[QUANTITY])/10^4)</f>
        <v>1</v>
      </c>
      <c r="EJ12" s="72">
        <f>_xlfn.XLOOKUP(BB_tufund[[#This Row],[Bond code]],Bankingbook_MSB[Security Name],Bankingbook_MSB[MARKET_VALUE])*BB_tufund[[#This Row],[% amt FNRP]]</f>
        <v>102776000000</v>
      </c>
      <c r="EK12" s="71">
        <f>_xlfn.XLOOKUP(BB_tufund[[#This Row],[Bond code]],Bankingbook_MSB[Security Name],Bankingbook_MSB[BPV_edited])
/10^9*BB_tufund[[#This Row],[% amt FNRP]]</f>
        <v>-5.5234710835627969E-2</v>
      </c>
    </row>
    <row r="13" spans="1:141" x14ac:dyDescent="0.3">
      <c r="B13">
        <v>45148</v>
      </c>
      <c r="C13" s="35">
        <v>45657</v>
      </c>
      <c r="D13" t="s">
        <v>596</v>
      </c>
      <c r="E13" t="s">
        <v>824</v>
      </c>
      <c r="F13" t="s">
        <v>895</v>
      </c>
      <c r="G13" s="500">
        <v>100000000000</v>
      </c>
      <c r="H13">
        <v>7.83</v>
      </c>
      <c r="I13" t="s">
        <v>3417</v>
      </c>
      <c r="J13">
        <v>3.99</v>
      </c>
      <c r="K13">
        <v>3.13</v>
      </c>
      <c r="L13" t="s">
        <v>3183</v>
      </c>
      <c r="M13">
        <v>4.24</v>
      </c>
      <c r="N13" s="37">
        <v>-6008000000</v>
      </c>
      <c r="O13">
        <v>2.62</v>
      </c>
      <c r="P13" s="500">
        <v>-30741677.289999999</v>
      </c>
      <c r="Q13" s="500">
        <v>6865000000</v>
      </c>
      <c r="R13">
        <v>10.11</v>
      </c>
      <c r="S1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-411093996.59109479</v>
      </c>
      <c r="T13" s="72">
        <f>VLOOKUP(Outstanding_pos_TB_MSB[[#This Row],[Bonds_ShortName]],FNRP!D:J,7,0)</f>
        <v>3000000</v>
      </c>
      <c r="U13" s="72">
        <f>SUMIFS(Outstanding_pos_TB_MSB[Amt],Outstanding_pos_TB_MSB[Bonds_ShortName],Outstanding_pos_TB_MSB[[#This Row],[Bonds_ShortName]])/100000-Outstanding_pos_TB_MSB[[#This Row],[Quantity FNRP]]</f>
        <v>0</v>
      </c>
      <c r="V13" s="162" t="str">
        <f>INDEX(Ref!$I$1:$K$13,MATCH(Outstanding_pos_TB_MSB[[#This Row],[Tenor left]],Ref!$I$1:$I$13,1),3)</f>
        <v>3Y</v>
      </c>
      <c r="W13" s="72">
        <f>IF(RPT-VLOOKUP(Outstanding_pos_TB_MSB[[#This Row],[Bonds_ShortName]],CT:CU,2,0)&lt;=0,0,RPT-VLOOKUP(Outstanding_pos_TB_MSB[[#This Row],[Bonds_ShortName]],CT:CU,2,0))</f>
        <v>596</v>
      </c>
      <c r="X13" s="72">
        <f>IF(RPT-Outstanding_pos_TB_MSB[[#This Row],[VALUE_DATE]]&lt;=0,0,RPT-Outstanding_pos_TB_MSB[[#This Row],[VALUE_DATE]])</f>
        <v>595</v>
      </c>
      <c r="Y13" s="72" t="str">
        <f>_xlfn.XLOOKUP(Outstanding_pos_TB_MSB[[#This Row],[Time hold/Deal]],Ref!S:S,Ref!U:U,,-1)</f>
        <v>2Y</v>
      </c>
      <c r="AB13">
        <v>41130</v>
      </c>
      <c r="AC13" s="35">
        <v>45281</v>
      </c>
      <c r="AD13" t="s">
        <v>563</v>
      </c>
      <c r="AE13" t="s">
        <v>2180</v>
      </c>
      <c r="AF13" t="s">
        <v>821</v>
      </c>
      <c r="AG13" s="500">
        <v>300000000000</v>
      </c>
      <c r="AH13">
        <v>3.9</v>
      </c>
      <c r="AI13">
        <v>46346</v>
      </c>
      <c r="AJ13">
        <v>2.2000000000000002</v>
      </c>
      <c r="AK13">
        <v>0.25</v>
      </c>
      <c r="AL13" s="645" t="s">
        <v>3870</v>
      </c>
      <c r="AM13">
        <v>4.32</v>
      </c>
      <c r="AN13" s="500">
        <v>-14655000000</v>
      </c>
      <c r="AO13">
        <v>0.25</v>
      </c>
      <c r="AP13">
        <v>-2589943.83</v>
      </c>
      <c r="AQ13">
        <v>2906000000</v>
      </c>
      <c r="AR13">
        <v>0.13</v>
      </c>
      <c r="AS13" s="72">
        <f>SUM(_xlfn.IFNA(VLOOKUP(Outstanding_pos_BB_MSB[[#This Row],[Bonds_ShortName]],FNRP!AV:BA,6,0)*Outstanding_pos_BB_MSB[[#This Row],[Amt]]/10^4,0),_xlfn.IFNA((VLOOKUP(Outstanding_pos_BB_MSB[[#This Row],[Bonds_ShortName]],FNRP!IK:IP,6,0)*Outstanding_pos_BB_MSB[[#This Row],[Amt]]/10^4),0))</f>
        <v>2995800000000</v>
      </c>
      <c r="AT13" s="72">
        <f>(_xlfn.XLOOKUP(Outstanding_pos_BB_MSB[[#This Row],[Bonds_ShortName]],FNRP!AV:AV,FNRP!BA:BA,,0)
-_xlfn.XLOOKUP(Outstanding_pos_BB_MSB[[#This Row],[BondsDeals_Id]],BS!AL:AL,BS!AR:AR,_xlfn.XLOOKUP(Outstanding_pos_BB_MSB[[#This Row],[BondsDeals_Id]],BS!BA:BA,BS!BQ:BQ,,0),0)-10^5)
*Outstanding_pos_BB_MSB[[#This Row],[Amt]]/10^5</f>
        <v>-1663494389.2865121</v>
      </c>
      <c r="AU13" s="72">
        <f>VLOOKUP(Outstanding_pos_BB_MSB[[#This Row],[Bonds_ShortName]],FNRP!AV:CD,35,0)</f>
        <v>3000000</v>
      </c>
      <c r="AV13" s="157">
        <f>SUMIFS(AG$1:AG$103,AD$1:AD$103,Outstanding_pos_BB_MSB[[#This Row],[Bonds_ShortName]])/10^5-Outstanding_pos_BB_MSB[[#This Row],[Quantity FNRP]]</f>
        <v>0</v>
      </c>
      <c r="AW13" s="72">
        <f>IF(RPT-Outstanding_pos_BB_MSB[[#This Row],[Value Date]]&lt;=0,0,RPT-Outstanding_pos_BB_MSB[[#This Row],[Value Date]])</f>
        <v>971</v>
      </c>
      <c r="AX13" s="32" t="str">
        <f>INDEX(Ref!$I$1:$K$13,MATCH(Outstanding_pos_BB_MSB[[#This Row],[Tenor left]],Ref!$I$1:$I$13,1),3)</f>
        <v>3M</v>
      </c>
      <c r="AY13" s="72" t="str">
        <f>_xlfn.XLOOKUP(Outstanding_pos_BB_MSB[[#This Row],[Time hold/Deal]],Ref!S:S,Ref!U:U,,-1)</f>
        <v>3Y</v>
      </c>
      <c r="BB13">
        <v>49989</v>
      </c>
      <c r="BC13">
        <v>46188</v>
      </c>
      <c r="BD13" t="s">
        <v>2834</v>
      </c>
      <c r="BE13" t="s">
        <v>2176</v>
      </c>
      <c r="BF13" t="s">
        <v>823</v>
      </c>
      <c r="BG13">
        <v>250000000000</v>
      </c>
      <c r="BH13">
        <v>2.7</v>
      </c>
      <c r="BI13">
        <v>49129</v>
      </c>
      <c r="BJ13">
        <v>3.04</v>
      </c>
      <c r="BK13">
        <v>7.88</v>
      </c>
      <c r="BL13" t="s">
        <v>2747</v>
      </c>
      <c r="BM13">
        <v>4.3499999999999996</v>
      </c>
      <c r="BN13">
        <v>-21082500000</v>
      </c>
      <c r="BO13">
        <v>6.83</v>
      </c>
      <c r="BP13">
        <v>-61131101.270000003</v>
      </c>
      <c r="BQ13">
        <v>340000000</v>
      </c>
      <c r="BR13">
        <v>56.17</v>
      </c>
      <c r="BS13" s="72">
        <f>_xlfn.IFNA(
(_xlfn.XLOOKUP(Outstanding_pos_TB_SBV[[#This Row],[Bonds_ShortName]],FNRP!CN:CN,FNRP!CS:CS,,0)-_xlfn.XLOOKUP(Outstanding_pos_TB_SBV[[#This Row],[BondsDeals_Id]],Ref!BF:BF,Ref!BG:BG,,0))*Outstanding_pos_TB_SBV[[#This Row],[Amt]]/10^5,
(_xlfn.XLOOKUP(Outstanding_pos_TB_SBV[[#This Row],[Bonds_ShortName]],FNRP!CN:CN,FNRP!CS:CS,,0)
-_xlfn.XLOOKUP(Outstanding_pos_TB_SBV[[#This Row],[BondsDeals_Id]],BS!AL:AL,BS!AR:AR,_xlfn.XLOOKUP(Outstanding_pos_TB_SBV[[#This Row],[BondsDeals_Id]],BS!BA:BA,BS!BQ:BQ,,0),0)-10^5)
*Outstanding_pos_TB_SBV[[#This Row],[Amt]]/10^5)</f>
        <v>-21222621464.137154</v>
      </c>
      <c r="BT13" s="72">
        <f>RPT-VLOOKUP(Outstanding_pos_TB_SBV[[#This Row],[Bonds_ShortName]],RP_SEC!CT:CU,2,0)</f>
        <v>67</v>
      </c>
      <c r="BU13" s="157">
        <f>SUMIFS(BG:BG,BD:BD,Outstanding_pos_TB_SBV[[#This Row],[Bonds_ShortName]])/10^5-VLOOKUP(Outstanding_pos_TB_SBV[[#This Row],[Bonds_ShortName]],FNRP!$CN:$DU,34,0)</f>
        <v>-2500000</v>
      </c>
      <c r="BX13">
        <v>41121</v>
      </c>
      <c r="BY13" s="502">
        <v>45280</v>
      </c>
      <c r="BZ13" t="s">
        <v>2773</v>
      </c>
      <c r="CA13" t="s">
        <v>2180</v>
      </c>
      <c r="CB13" t="s">
        <v>907</v>
      </c>
      <c r="CC13" s="500">
        <v>250000000000</v>
      </c>
      <c r="CD13">
        <v>2.4</v>
      </c>
      <c r="CE13" s="502">
        <v>47071</v>
      </c>
      <c r="CF13">
        <v>2.2000000000000002</v>
      </c>
      <c r="CG13">
        <v>2.2400000000000002</v>
      </c>
      <c r="CH13" t="s">
        <v>3867</v>
      </c>
      <c r="CI13">
        <v>4.1500000000000004</v>
      </c>
      <c r="CJ13" s="500">
        <v>-11487500000</v>
      </c>
      <c r="CK13">
        <v>2.08</v>
      </c>
      <c r="CL13" s="500">
        <v>-20418773.82</v>
      </c>
      <c r="CM13" s="500">
        <v>1828000000</v>
      </c>
      <c r="CN13">
        <v>6.43</v>
      </c>
      <c r="CO1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-10250616081.317312</v>
      </c>
      <c r="CP13" s="72">
        <f>RPT-VLOOKUP(Outstanding_pos_BB_SBV[[#This Row],[Bonds_ShortName]],CT:CU,2,0)</f>
        <v>977</v>
      </c>
      <c r="CQ13" s="157">
        <f>SUMIFS(CC:CC,BZ:BZ,Outstanding_pos_BB_SBV[[#This Row],[Bonds_ShortName]])/10^5-VLOOKUP(Outstanding_pos_BB_SBV[[#This Row],[Bonds_ShortName]],FNRP!EE:FL,34,0)</f>
        <v>0</v>
      </c>
      <c r="CT13" t="s">
        <v>2852</v>
      </c>
      <c r="CU13" s="502">
        <v>46245</v>
      </c>
      <c r="CX13" s="776">
        <v>41218</v>
      </c>
      <c r="CY13" s="776" t="s">
        <v>2781</v>
      </c>
      <c r="CZ13" s="776" t="s">
        <v>2180</v>
      </c>
      <c r="DA13" s="777">
        <v>100000000000</v>
      </c>
      <c r="DB13" s="776">
        <v>7.47</v>
      </c>
      <c r="DC13" s="778">
        <v>2.8</v>
      </c>
      <c r="DD13" s="72">
        <f>_xlfn.XLOOKUP(CX13,Outstanding_pos_BB_MSB[BondsDeals_Id],Outstanding_pos_BB_MSB[ItD adj])</f>
        <v>-12178326985.047825</v>
      </c>
      <c r="DE13" s="32">
        <f>_xlfn.XLOOKUP(CX13,Outstanding_pos_BB_MSB[BondsDeals_Id],Outstanding_pos_BB_MSB[Yield])</f>
        <v>2.8</v>
      </c>
      <c r="DF13" s="32">
        <f>_xlfn.XLOOKUP(TB_HTM[[#This Row],[Deal ID]],Outstanding_pos_BB_MSB[BondsDeals_Id],Outstanding_pos_BB_MSB[Total Rate])</f>
        <v>3</v>
      </c>
      <c r="DG13" s="124">
        <f>_xlfn.XLOOKUP(CX13,Outstanding_pos_BB_MSB[BondsDeals_Id],Outstanding_pos_BB_MSB[Mature Date])</f>
        <v>48904</v>
      </c>
      <c r="DH13" s="786">
        <f>(TB_HTM[[#This Row],[Amt]]/10^9)/(_xlfn.XLOOKUP(TB_HTM[[#This Row],[Bond code]],Bankingbook_MSB[Security Name],Bankingbook_MSB[QUANTITY])/10^4)</f>
        <v>1</v>
      </c>
      <c r="DI13" s="72">
        <f>_xlfn.XLOOKUP(TB_HTM[[#This Row],[Bond code]],Bankingbook_MSB[Security Name],Bankingbook_MSB[MARKET_VALUE])*TB_HTM[[#This Row],[% amt FNRP]]</f>
        <v>89050000000</v>
      </c>
      <c r="DJ13" s="71">
        <f>_xlfn.XLOOKUP(TB_HTM[[#This Row],[Bond code]],Bankingbook_MSB[Security Name],Bankingbook_MSB[BPV_edited])
/10^9*TB_HTM[[#This Row],[% amt FNRP]]</f>
        <v>-5.5966567145519827E-2</v>
      </c>
      <c r="DK13" s="71">
        <f>TB_HTM[[#This Row],[Amt]]*TB_HTM[[#This Row],[Yield]]/10^5</f>
        <v>2800000</v>
      </c>
      <c r="DL13" s="71" t="str">
        <f>_xlfn.XLOOKUP(TB_HTM[[#This Row],[Bond code]],Bankingbook_MSB[Security Name],Bankingbook_MSB[Type])</f>
        <v>TPCPBL</v>
      </c>
      <c r="DM13" s="71" t="str">
        <f>_xlfn.XLOOKUP(TB_HTM[[#This Row],[Bond code]],Bankingbook_MSB[Security Name],Bankingbook_MSB[Issuer])</f>
        <v>VBS</v>
      </c>
      <c r="DN13" s="71" t="str">
        <f>_xlfn.XLOOKUP(TB_HTM[[#This Row],[Bond code]],Bankingbook_MSB[Security Name],Bankingbook_MSB[Tenor])</f>
        <v>7Y</v>
      </c>
      <c r="DO13" s="72">
        <f>SUMIFS(BS[MARKET VALUE],BS[BOND_CODE],TB_HTM[[#This Row],[Bond code]],BS[BOOK_FLAG],"B",BS[BAL],BS!$C$2)/10^9*TB_HTM[[#This Row],[% amt FNRP]]</f>
        <v>89.05</v>
      </c>
      <c r="DP13" s="71" cm="1">
        <f t="array" ref="DP13">_xlfn.IFNA(_xlfn.XLOOKUP(TB_HTM[[#This Row],[Deal ID]],RPBOD3[BondsDeals_Id],RPBOD3[PTCK_Remain]*RPBOD3[Quantity])/10^9,"N/A")</f>
        <v>1.22832698504783</v>
      </c>
      <c r="DQ13" s="71">
        <f>_xlfn.XLOOKUP(TB_HTM[[#This Row],[Bond code]],Bankingbook_MSB[Security Name],Bankingbook_MSB[Duration_edited])</f>
        <v>6.4301206500000001</v>
      </c>
      <c r="DR13" s="71">
        <f>_xlfn.XLOOKUP(TB_HTM[[#This Row],[Bond code]],Bankingbook_MSB[Security Name],Bankingbook_MSB[Modified Duration])</f>
        <v>6.1343824948699002</v>
      </c>
      <c r="DS13" s="71">
        <f>TB_HTM[[#This Row],[Duration]]*TB_HTM[[#This Row],[Market Value FNRP]]</f>
        <v>572602243882.5</v>
      </c>
      <c r="DT13" s="71">
        <f>TB_HTM[[#This Row],[Modified Duration]]*TB_HTM[[#This Row],[Market Value FNRP]]</f>
        <v>546266761168.16461</v>
      </c>
      <c r="DU13" s="72">
        <f>_xlfn.XLOOKUP(TB_HTM[[#This Row],[Deal ID]],Outstanding_pos_BB_MSB[BondsDeals_Id],Outstanding_pos_BB_MSB[Time hold/Deal])</f>
        <v>965</v>
      </c>
      <c r="DV13" s="71" t="str">
        <f>_xlfn.XLOOKUP(TB_HTM[[#This Row],[Deal ID]],Outstanding_pos_BB_MSB[BondsDeals_Id],Outstanding_pos_BB_MSB[Time hold (Tenor)])</f>
        <v>3Y</v>
      </c>
      <c r="DW13" s="71"/>
      <c r="DY13" s="776">
        <v>45636</v>
      </c>
      <c r="DZ13" s="776" t="s">
        <v>2381</v>
      </c>
      <c r="EA13" s="776" t="s">
        <v>2180</v>
      </c>
      <c r="EB13" s="777">
        <v>200000000000</v>
      </c>
      <c r="EC13" s="776">
        <v>6.6</v>
      </c>
      <c r="ED13" s="778">
        <v>2.35</v>
      </c>
      <c r="EE13" s="72">
        <f>_xlfn.XLOOKUP(DY13,Outstanding_pos_BB_MSB[BondsDeals_Id],Outstanding_pos_BB_MSB[ItD adj])</f>
        <v>-22497886533.988087</v>
      </c>
      <c r="EF13" s="32">
        <f>_xlfn.XLOOKUP(DY13,Outstanding_pos_BB_MSB[BondsDeals_Id],Outstanding_pos_BB_MSB[Yield])</f>
        <v>2.35</v>
      </c>
      <c r="EG13" s="71">
        <f>_xlfn.XLOOKUP(BB_tufund[[#This Row],[Deal ID]],Outstanding_pos_BB_MSB[BondsDeals_Id],Outstanding_pos_BB_MSB[Total Rate])</f>
        <v>4.5</v>
      </c>
      <c r="EH13" s="124">
        <f>_xlfn.XLOOKUP(DY13,Outstanding_pos_BB_MSB[BondsDeals_Id],Outstanding_pos_BB_MSB[Mature Date])</f>
        <v>48584</v>
      </c>
      <c r="EI13" s="787">
        <f>(BB_tufund[[#This Row],[Amt]]/10^9)/(_xlfn.XLOOKUP(BB_tufund[[#This Row],[Bond code]],Bankingbook_MSB[Security Name],Bankingbook_MSB[QUANTITY])/10^4)</f>
        <v>0.5714285714285714</v>
      </c>
      <c r="EJ13" s="72">
        <f>_xlfn.XLOOKUP(BB_tufund[[#This Row],[Bond code]],Bankingbook_MSB[Security Name],Bankingbook_MSB[MARKET_VALUE])*BB_tufund[[#This Row],[% amt FNRP]]</f>
        <v>202290000000</v>
      </c>
      <c r="EK13" s="71">
        <f>_xlfn.XLOOKUP(BB_tufund[[#This Row],[Bond code]],Bankingbook_MSB[Security Name],Bankingbook_MSB[BPV_edited])
/10^9*BB_tufund[[#This Row],[% amt FNRP]]</f>
        <v>-0.11052229149959797</v>
      </c>
    </row>
    <row r="14" spans="1:141" x14ac:dyDescent="0.3">
      <c r="B14">
        <v>46500</v>
      </c>
      <c r="C14" s="35">
        <v>45814</v>
      </c>
      <c r="D14" t="s">
        <v>2862</v>
      </c>
      <c r="E14" t="s">
        <v>825</v>
      </c>
      <c r="F14" t="s">
        <v>823</v>
      </c>
      <c r="G14" s="500">
        <v>50000000000</v>
      </c>
      <c r="H14">
        <v>2.6</v>
      </c>
      <c r="I14" t="s">
        <v>3497</v>
      </c>
      <c r="J14">
        <v>2.89</v>
      </c>
      <c r="K14">
        <v>8.11</v>
      </c>
      <c r="L14" t="s">
        <v>2747</v>
      </c>
      <c r="M14">
        <v>4.3600000000000003</v>
      </c>
      <c r="N14" s="37">
        <v>-4720000000</v>
      </c>
      <c r="O14">
        <v>6.87</v>
      </c>
      <c r="P14" s="500">
        <v>-62198559.399999999</v>
      </c>
      <c r="Q14" s="500">
        <v>2322000000</v>
      </c>
      <c r="R14">
        <v>58.01</v>
      </c>
      <c r="S1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-4873159654.1287441</v>
      </c>
      <c r="T14" s="72">
        <f>VLOOKUP(Outstanding_pos_TB_MSB[[#This Row],[Bonds_ShortName]],FNRP!D:J,7,0)</f>
        <v>2000000</v>
      </c>
      <c r="U14" s="72">
        <f>SUMIFS(Outstanding_pos_TB_MSB[Amt],Outstanding_pos_TB_MSB[Bonds_ShortName],Outstanding_pos_TB_MSB[[#This Row],[Bonds_ShortName]])/100000-Outstanding_pos_TB_MSB[[#This Row],[Quantity FNRP]]</f>
        <v>0</v>
      </c>
      <c r="V14" s="162" t="str">
        <f>INDEX(Ref!$I$1:$K$13,MATCH(Outstanding_pos_TB_MSB[[#This Row],[Tenor left]],Ref!$I$1:$I$13,1),3)</f>
        <v>10Y</v>
      </c>
      <c r="W14" s="72">
        <f>IF(RPT-VLOOKUP(Outstanding_pos_TB_MSB[[#This Row],[Bonds_ShortName]],CT:CU,2,0)&lt;=0,0,RPT-VLOOKUP(Outstanding_pos_TB_MSB[[#This Row],[Bonds_ShortName]],CT:CU,2,0))</f>
        <v>0</v>
      </c>
      <c r="X14" s="72">
        <f>IF(RPT-Outstanding_pos_TB_MSB[[#This Row],[VALUE_DATE]]&lt;=0,0,RPT-Outstanding_pos_TB_MSB[[#This Row],[VALUE_DATE]])</f>
        <v>438</v>
      </c>
      <c r="Y14" s="72" t="str">
        <f>_xlfn.XLOOKUP(Outstanding_pos_TB_MSB[[#This Row],[Time hold/Deal]],Ref!S:S,Ref!U:U,,-1)</f>
        <v>1Y</v>
      </c>
      <c r="AB14">
        <v>41132</v>
      </c>
      <c r="AC14" s="35">
        <v>45281</v>
      </c>
      <c r="AD14" t="s">
        <v>600</v>
      </c>
      <c r="AE14" t="s">
        <v>2180</v>
      </c>
      <c r="AF14" t="s">
        <v>821</v>
      </c>
      <c r="AG14" s="500">
        <v>50000000000</v>
      </c>
      <c r="AH14">
        <v>4.5</v>
      </c>
      <c r="AI14">
        <v>47435</v>
      </c>
      <c r="AJ14">
        <v>2.4</v>
      </c>
      <c r="AK14">
        <v>3.24</v>
      </c>
      <c r="AL14" s="645" t="s">
        <v>3183</v>
      </c>
      <c r="AM14">
        <v>4.2699999999999996</v>
      </c>
      <c r="AN14" s="500">
        <v>-5369500000</v>
      </c>
      <c r="AO14">
        <v>2.86</v>
      </c>
      <c r="AP14">
        <v>-29814254.09</v>
      </c>
      <c r="AQ14">
        <v>3440000000</v>
      </c>
      <c r="AR14">
        <v>11.43</v>
      </c>
      <c r="AS14" s="72">
        <f>SUM(_xlfn.IFNA(VLOOKUP(Outstanding_pos_BB_MSB[[#This Row],[Bonds_ShortName]],FNRP!AV:BA,6,0)*Outstanding_pos_BB_MSB[[#This Row],[Amt]]/10^4,0),_xlfn.IFNA((VLOOKUP(Outstanding_pos_BB_MSB[[#This Row],[Bonds_ShortName]],FNRP!IK:IP,6,0)*Outstanding_pos_BB_MSB[[#This Row],[Amt]]/10^4),0))</f>
        <v>503380000000</v>
      </c>
      <c r="AT14" s="72">
        <f>(_xlfn.XLOOKUP(Outstanding_pos_BB_MSB[[#This Row],[Bonds_ShortName]],FNRP!AV:AV,FNRP!BA:BA,,0)
-_xlfn.XLOOKUP(Outstanding_pos_BB_MSB[[#This Row],[BondsDeals_Id]],BS!AL:AL,BS!AR:AR,_xlfn.XLOOKUP(Outstanding_pos_BB_MSB[[#This Row],[BondsDeals_Id]],BS!BA:BA,BS!BQ:BQ,,0),0)-10^5)
*Outstanding_pos_BB_MSB[[#This Row],[Amt]]/10^5</f>
        <v>-2793637905.8404417</v>
      </c>
      <c r="AU14" s="72">
        <f>VLOOKUP(Outstanding_pos_BB_MSB[[#This Row],[Bonds_ShortName]],FNRP!AV:CD,35,0)</f>
        <v>2000000</v>
      </c>
      <c r="AV14" s="157">
        <f>SUMIFS(AG$1:AG$103,AD$1:AD$103,Outstanding_pos_BB_MSB[[#This Row],[Bonds_ShortName]])/10^5-Outstanding_pos_BB_MSB[[#This Row],[Quantity FNRP]]</f>
        <v>0</v>
      </c>
      <c r="AW14" s="72">
        <f>IF(RPT-Outstanding_pos_BB_MSB[[#This Row],[Value Date]]&lt;=0,0,RPT-Outstanding_pos_BB_MSB[[#This Row],[Value Date]])</f>
        <v>971</v>
      </c>
      <c r="AX14" s="32" t="str">
        <f>INDEX(Ref!$I$1:$K$13,MATCH(Outstanding_pos_BB_MSB[[#This Row],[Tenor left]],Ref!$I$1:$I$13,1),3)</f>
        <v>3Y</v>
      </c>
      <c r="AY14" s="72" t="str">
        <f>_xlfn.XLOOKUP(Outstanding_pos_BB_MSB[[#This Row],[Time hold/Deal]],Ref!S:S,Ref!U:U,,-1)</f>
        <v>3Y</v>
      </c>
      <c r="BC14"/>
      <c r="BD14"/>
      <c r="BG14"/>
      <c r="BH14"/>
      <c r="BJ14"/>
      <c r="BN14"/>
      <c r="BO14"/>
      <c r="BQ14"/>
      <c r="BR14"/>
      <c r="BX14">
        <v>41130</v>
      </c>
      <c r="BY14" s="502">
        <v>45281</v>
      </c>
      <c r="BZ14" t="s">
        <v>563</v>
      </c>
      <c r="CA14" t="s">
        <v>2180</v>
      </c>
      <c r="CB14" t="s">
        <v>821</v>
      </c>
      <c r="CC14" s="500">
        <v>300000000000</v>
      </c>
      <c r="CD14">
        <v>3.9</v>
      </c>
      <c r="CE14" s="502">
        <v>46346</v>
      </c>
      <c r="CF14">
        <v>2.2000000000000002</v>
      </c>
      <c r="CG14">
        <v>0.25</v>
      </c>
      <c r="CH14" t="s">
        <v>3870</v>
      </c>
      <c r="CI14">
        <v>4.32</v>
      </c>
      <c r="CJ14" s="500">
        <v>-14655000000</v>
      </c>
      <c r="CK14">
        <v>0.25</v>
      </c>
      <c r="CL14" s="500">
        <v>-2589943.83</v>
      </c>
      <c r="CM14" s="500">
        <v>2906000000</v>
      </c>
      <c r="CN14">
        <v>0.13</v>
      </c>
      <c r="CO1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-1663494389.2865121</v>
      </c>
      <c r="CP14" s="72">
        <f>RPT-VLOOKUP(Outstanding_pos_BB_SBV[[#This Row],[Bonds_ShortName]],CT:CU,2,0)</f>
        <v>977</v>
      </c>
      <c r="CQ14" s="157">
        <f>SUMIFS(CC:CC,BZ:BZ,Outstanding_pos_BB_SBV[[#This Row],[Bonds_ShortName]])/10^5-VLOOKUP(Outstanding_pos_BB_SBV[[#This Row],[Bonds_ShortName]],FNRP!EE:FL,34,0)</f>
        <v>0</v>
      </c>
      <c r="CT14" t="s">
        <v>2798</v>
      </c>
      <c r="CU14" s="502">
        <v>45558</v>
      </c>
      <c r="CX14" s="776">
        <v>41219</v>
      </c>
      <c r="CY14" s="776" t="s">
        <v>2788</v>
      </c>
      <c r="CZ14" s="776" t="s">
        <v>2180</v>
      </c>
      <c r="DA14" s="777">
        <v>100000000000</v>
      </c>
      <c r="DB14" s="776">
        <v>12.52</v>
      </c>
      <c r="DC14" s="778">
        <v>3</v>
      </c>
      <c r="DD14" s="72">
        <f>_xlfn.XLOOKUP(CX14,Outstanding_pos_BB_MSB[BondsDeals_Id],Outstanding_pos_BB_MSB[ItD adj])</f>
        <v>-18198952072.387096</v>
      </c>
      <c r="DE14" s="32">
        <f>_xlfn.XLOOKUP(CX14,Outstanding_pos_BB_MSB[BondsDeals_Id],Outstanding_pos_BB_MSB[Yield])</f>
        <v>3</v>
      </c>
      <c r="DF14" s="32">
        <f>_xlfn.XLOOKUP(TB_HTM[[#This Row],[Deal ID]],Outstanding_pos_BB_MSB[BondsDeals_Id],Outstanding_pos_BB_MSB[Total Rate])</f>
        <v>3.1</v>
      </c>
      <c r="DG14" s="124">
        <f>_xlfn.XLOOKUP(CX14,Outstanding_pos_BB_MSB[BondsDeals_Id],Outstanding_pos_BB_MSB[Mature Date])</f>
        <v>50744</v>
      </c>
      <c r="DH14" s="786">
        <f>(TB_HTM[[#This Row],[Amt]]/10^9)/(_xlfn.XLOOKUP(TB_HTM[[#This Row],[Bond code]],Bankingbook_MSB[Security Name],Bankingbook_MSB[QUANTITY])/10^4)</f>
        <v>0.10362694300518134</v>
      </c>
      <c r="DI14" s="72">
        <f>_xlfn.XLOOKUP(TB_HTM[[#This Row],[Bond code]],Bankingbook_MSB[Security Name],Bankingbook_MSB[MARKET_VALUE])*TB_HTM[[#This Row],[% amt FNRP]]</f>
        <v>82776000000</v>
      </c>
      <c r="DJ14" s="71">
        <f>_xlfn.XLOOKUP(TB_HTM[[#This Row],[Bond code]],Bankingbook_MSB[Security Name],Bankingbook_MSB[BPV_edited])
/10^9*TB_HTM[[#This Row],[% amt FNRP]]</f>
        <v>-8.0286738307305955E-2</v>
      </c>
      <c r="DK14" s="71">
        <f>TB_HTM[[#This Row],[Amt]]*TB_HTM[[#This Row],[Yield]]/10^5</f>
        <v>3000000</v>
      </c>
      <c r="DL14" s="71" t="str">
        <f>_xlfn.XLOOKUP(TB_HTM[[#This Row],[Bond code]],Bankingbook_MSB[Security Name],Bankingbook_MSB[Type])</f>
        <v>TPCPBL</v>
      </c>
      <c r="DM14" s="71" t="str">
        <f>_xlfn.XLOOKUP(TB_HTM[[#This Row],[Bond code]],Bankingbook_MSB[Security Name],Bankingbook_MSB[Issuer])</f>
        <v>VDB</v>
      </c>
      <c r="DN14" s="71" t="str">
        <f>_xlfn.XLOOKUP(TB_HTM[[#This Row],[Bond code]],Bankingbook_MSB[Security Name],Bankingbook_MSB[Tenor])</f>
        <v>15Y</v>
      </c>
      <c r="DO14" s="72">
        <f>SUMIFS(BS[MARKET VALUE],BS[BOND_CODE],TB_HTM[[#This Row],[Bond code]],BS[BOOK_FLAG],"B",BS[BAL],BS!$C$2)/10^9*TB_HTM[[#This Row],[% amt FNRP]]</f>
        <v>82.775999999999996</v>
      </c>
      <c r="DP14" s="71" cm="1">
        <f t="array" ref="DP14">_xlfn.IFNA(_xlfn.XLOOKUP(TB_HTM[[#This Row],[Deal ID]],RPBOD3[BondsDeals_Id],RPBOD3[PTCK_Remain]*RPBOD3[Quantity])/10^9,"N/A")</f>
        <v>0.97495207238709791</v>
      </c>
      <c r="DQ14" s="71">
        <f>_xlfn.XLOOKUP(TB_HTM[[#This Row],[Bond code]],Bankingbook_MSB[Security Name],Bankingbook_MSB[Duration_edited])</f>
        <v>9.9302273299999992</v>
      </c>
      <c r="DR14" s="71">
        <f>_xlfn.XLOOKUP(TB_HTM[[#This Row],[Bond code]],Bankingbook_MSB[Security Name],Bankingbook_MSB[Modified Duration])</f>
        <v>9.4566633678730998</v>
      </c>
      <c r="DS14" s="71">
        <f>TB_HTM[[#This Row],[Duration]]*TB_HTM[[#This Row],[Market Value FNRP]]</f>
        <v>821984497468.07996</v>
      </c>
      <c r="DT14" s="71">
        <f>TB_HTM[[#This Row],[Modified Duration]]*TB_HTM[[#This Row],[Market Value FNRP]]</f>
        <v>782784766939.06372</v>
      </c>
      <c r="DU14" s="72">
        <f>_xlfn.XLOOKUP(TB_HTM[[#This Row],[Deal ID]],Outstanding_pos_BB_MSB[BondsDeals_Id],Outstanding_pos_BB_MSB[Time hold/Deal])</f>
        <v>965</v>
      </c>
      <c r="DV14" s="71" t="str">
        <f>_xlfn.XLOOKUP(TB_HTM[[#This Row],[Deal ID]],Outstanding_pos_BB_MSB[BondsDeals_Id],Outstanding_pos_BB_MSB[Time hold (Tenor)])</f>
        <v>3Y</v>
      </c>
      <c r="DW14" s="71"/>
      <c r="DY14" s="776">
        <v>45064</v>
      </c>
      <c r="DZ14" s="776" t="s">
        <v>2381</v>
      </c>
      <c r="EA14" s="776" t="s">
        <v>2180</v>
      </c>
      <c r="EB14" s="777">
        <v>100000000000</v>
      </c>
      <c r="EC14" s="776">
        <v>6.6</v>
      </c>
      <c r="ED14" s="778">
        <v>2.2200000000000002</v>
      </c>
      <c r="EE14" s="72">
        <f>_xlfn.XLOOKUP(DY14,Outstanding_pos_BB_MSB[BondsDeals_Id],Outstanding_pos_BB_MSB[ItD adj])</f>
        <v>-12050283475.544203</v>
      </c>
      <c r="EF14" s="32">
        <f>_xlfn.XLOOKUP(DY14,Outstanding_pos_BB_MSB[BondsDeals_Id],Outstanding_pos_BB_MSB[Yield])</f>
        <v>2.2200000000000002</v>
      </c>
      <c r="EG14" s="71">
        <f>_xlfn.XLOOKUP(BB_tufund[[#This Row],[Deal ID]],Outstanding_pos_BB_MSB[BondsDeals_Id],Outstanding_pos_BB_MSB[Total Rate])</f>
        <v>4.5</v>
      </c>
      <c r="EH14" s="124">
        <f>_xlfn.XLOOKUP(DY14,Outstanding_pos_BB_MSB[BondsDeals_Id],Outstanding_pos_BB_MSB[Mature Date])</f>
        <v>48584</v>
      </c>
      <c r="EI14" s="787">
        <f>(BB_tufund[[#This Row],[Amt]]/10^9)/(_xlfn.XLOOKUP(BB_tufund[[#This Row],[Bond code]],Bankingbook_MSB[Security Name],Bankingbook_MSB[QUANTITY])/10^4)</f>
        <v>0.2857142857142857</v>
      </c>
      <c r="EJ14" s="72">
        <f>_xlfn.XLOOKUP(BB_tufund[[#This Row],[Bond code]],Bankingbook_MSB[Security Name],Bankingbook_MSB[MARKET_VALUE])*BB_tufund[[#This Row],[% amt FNRP]]</f>
        <v>101145000000</v>
      </c>
      <c r="EK14" s="71">
        <f>_xlfn.XLOOKUP(BB_tufund[[#This Row],[Bond code]],Bankingbook_MSB[Security Name],Bankingbook_MSB[BPV_edited])
/10^9*BB_tufund[[#This Row],[% amt FNRP]]</f>
        <v>-5.5261145749798984E-2</v>
      </c>
    </row>
    <row r="15" spans="1:141" x14ac:dyDescent="0.3">
      <c r="B15">
        <v>46900</v>
      </c>
      <c r="C15" s="35">
        <v>45861</v>
      </c>
      <c r="D15" t="s">
        <v>616</v>
      </c>
      <c r="E15" t="s">
        <v>824</v>
      </c>
      <c r="F15" t="s">
        <v>823</v>
      </c>
      <c r="G15" s="500">
        <v>50000000000</v>
      </c>
      <c r="H15">
        <v>7.6</v>
      </c>
      <c r="I15" t="s">
        <v>3431</v>
      </c>
      <c r="J15">
        <v>2.16</v>
      </c>
      <c r="K15">
        <v>4.66</v>
      </c>
      <c r="L15" t="s">
        <v>2745</v>
      </c>
      <c r="M15">
        <v>4.1500000000000004</v>
      </c>
      <c r="N15" s="37">
        <v>-7321500000</v>
      </c>
      <c r="O15">
        <v>3.89</v>
      </c>
      <c r="P15" s="500">
        <v>-45439529.340000004</v>
      </c>
      <c r="Q15" s="500">
        <v>2624000000</v>
      </c>
      <c r="R15">
        <v>20.190000000000001</v>
      </c>
      <c r="S1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-4606573688.2791023</v>
      </c>
      <c r="T15" s="72">
        <f>VLOOKUP(Outstanding_pos_TB_MSB[[#This Row],[Bonds_ShortName]],FNRP!D:J,7,0)</f>
        <v>500000</v>
      </c>
      <c r="U15" s="72">
        <f>SUMIFS(Outstanding_pos_TB_MSB[Amt],Outstanding_pos_TB_MSB[Bonds_ShortName],Outstanding_pos_TB_MSB[[#This Row],[Bonds_ShortName]])/100000-Outstanding_pos_TB_MSB[[#This Row],[Quantity FNRP]]</f>
        <v>0</v>
      </c>
      <c r="V15" s="162" t="str">
        <f>INDEX(Ref!$I$1:$K$13,MATCH(Outstanding_pos_TB_MSB[[#This Row],[Tenor left]],Ref!$I$1:$I$13,1),3)</f>
        <v>5Y</v>
      </c>
      <c r="W15" s="72">
        <f>IF(RPT-VLOOKUP(Outstanding_pos_TB_MSB[[#This Row],[Bonds_ShortName]],CT:CU,2,0)&lt;=0,0,RPT-VLOOKUP(Outstanding_pos_TB_MSB[[#This Row],[Bonds_ShortName]],CT:CU,2,0))</f>
        <v>117</v>
      </c>
      <c r="X15" s="72">
        <f>IF(RPT-Outstanding_pos_TB_MSB[[#This Row],[VALUE_DATE]]&lt;=0,0,RPT-Outstanding_pos_TB_MSB[[#This Row],[VALUE_DATE]])</f>
        <v>391</v>
      </c>
      <c r="Y15" s="72" t="str">
        <f>_xlfn.XLOOKUP(Outstanding_pos_TB_MSB[[#This Row],[Time hold/Deal]],Ref!S:S,Ref!U:U,,-1)</f>
        <v>1Y</v>
      </c>
      <c r="AB15">
        <v>41141</v>
      </c>
      <c r="AC15" s="35">
        <v>45282</v>
      </c>
      <c r="AD15" t="s">
        <v>568</v>
      </c>
      <c r="AE15" t="s">
        <v>2180</v>
      </c>
      <c r="AF15" t="s">
        <v>821</v>
      </c>
      <c r="AG15" s="500">
        <v>350000000000</v>
      </c>
      <c r="AH15">
        <v>6.6</v>
      </c>
      <c r="AI15">
        <v>46432</v>
      </c>
      <c r="AJ15">
        <v>2.2000000000000002</v>
      </c>
      <c r="AK15">
        <v>0.49</v>
      </c>
      <c r="AL15" s="645" t="s">
        <v>3870</v>
      </c>
      <c r="AM15">
        <v>4.25</v>
      </c>
      <c r="AN15" s="500">
        <v>-42609000000</v>
      </c>
      <c r="AO15">
        <v>0.48</v>
      </c>
      <c r="AP15">
        <v>-5016340.13</v>
      </c>
      <c r="AQ15">
        <v>3363000000</v>
      </c>
      <c r="AR15">
        <v>0.46</v>
      </c>
      <c r="AS15" s="72">
        <f>SUM(_xlfn.IFNA(VLOOKUP(Outstanding_pos_BB_MSB[[#This Row],[Bonds_ShortName]],FNRP!AV:BA,6,0)*Outstanding_pos_BB_MSB[[#This Row],[Amt]]/10^4,0),_xlfn.IFNA((VLOOKUP(Outstanding_pos_BB_MSB[[#This Row],[Bonds_ShortName]],FNRP!IK:IP,6,0)*Outstanding_pos_BB_MSB[[#This Row],[Amt]]/10^4),0))</f>
        <v>3537275000000</v>
      </c>
      <c r="AT15" s="72">
        <f>(_xlfn.XLOOKUP(Outstanding_pos_BB_MSB[[#This Row],[Bonds_ShortName]],FNRP!AV:AV,FNRP!BA:BA,,0)
-_xlfn.XLOOKUP(Outstanding_pos_BB_MSB[[#This Row],[BondsDeals_Id]],BS!AL:AL,BS!AR:AR,_xlfn.XLOOKUP(Outstanding_pos_BB_MSB[[#This Row],[BondsDeals_Id]],BS!BA:BA,BS!BQ:BQ,,0),0)-10^5)
*Outstanding_pos_BB_MSB[[#This Row],[Amt]]/10^5</f>
        <v>-3481847069.6843143</v>
      </c>
      <c r="AU15" s="72">
        <f>VLOOKUP(Outstanding_pos_BB_MSB[[#This Row],[Bonds_ShortName]],FNRP!AV:CD,35,0)</f>
        <v>3500000</v>
      </c>
      <c r="AV15" s="157">
        <f>SUMIFS(AG$1:AG$103,AD$1:AD$103,Outstanding_pos_BB_MSB[[#This Row],[Bonds_ShortName]])/10^5-Outstanding_pos_BB_MSB[[#This Row],[Quantity FNRP]]</f>
        <v>0</v>
      </c>
      <c r="AW15" s="72">
        <f>IF(RPT-Outstanding_pos_BB_MSB[[#This Row],[Value Date]]&lt;=0,0,RPT-Outstanding_pos_BB_MSB[[#This Row],[Value Date]])</f>
        <v>970</v>
      </c>
      <c r="AX15" s="32" t="str">
        <f>INDEX(Ref!$I$1:$K$13,MATCH(Outstanding_pos_BB_MSB[[#This Row],[Tenor left]],Ref!$I$1:$I$13,1),3)</f>
        <v>6M</v>
      </c>
      <c r="AY15" s="72" t="str">
        <f>_xlfn.XLOOKUP(Outstanding_pos_BB_MSB[[#This Row],[Time hold/Deal]],Ref!S:S,Ref!U:U,,-1)</f>
        <v>3Y</v>
      </c>
      <c r="BC15"/>
      <c r="BD15"/>
      <c r="BG15"/>
      <c r="BH15"/>
      <c r="BJ15"/>
      <c r="BN15"/>
      <c r="BO15"/>
      <c r="BQ15"/>
      <c r="BR15"/>
      <c r="BX15">
        <v>41132</v>
      </c>
      <c r="BY15" s="502">
        <v>45281</v>
      </c>
      <c r="BZ15" t="s">
        <v>600</v>
      </c>
      <c r="CA15" t="s">
        <v>2180</v>
      </c>
      <c r="CB15" t="s">
        <v>821</v>
      </c>
      <c r="CC15" s="500">
        <v>50000000000</v>
      </c>
      <c r="CD15">
        <v>4.5</v>
      </c>
      <c r="CE15" s="502">
        <v>47435</v>
      </c>
      <c r="CF15">
        <v>2.4</v>
      </c>
      <c r="CG15">
        <v>3.24</v>
      </c>
      <c r="CH15" t="s">
        <v>3183</v>
      </c>
      <c r="CI15">
        <v>4.2699999999999996</v>
      </c>
      <c r="CJ15" s="500">
        <v>-5369500000</v>
      </c>
      <c r="CK15">
        <v>2.86</v>
      </c>
      <c r="CL15" s="500">
        <v>-29814254.09</v>
      </c>
      <c r="CM15" s="500">
        <v>3440000000</v>
      </c>
      <c r="CN15">
        <v>11.43</v>
      </c>
      <c r="CO1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-2793637905.8404417</v>
      </c>
      <c r="CP15" s="72">
        <f>RPT-VLOOKUP(Outstanding_pos_BB_SBV[[#This Row],[Bonds_ShortName]],CT:CU,2,0)</f>
        <v>977</v>
      </c>
      <c r="CQ15" s="157">
        <f>SUMIFS(CC:CC,BZ:BZ,Outstanding_pos_BB_SBV[[#This Row],[Bonds_ShortName]])/10^5-VLOOKUP(Outstanding_pos_BB_SBV[[#This Row],[Bonds_ShortName]],FNRP!EE:FL,34,0)</f>
        <v>0</v>
      </c>
      <c r="CT15" t="s">
        <v>2742</v>
      </c>
      <c r="CU15" s="502">
        <v>46197</v>
      </c>
      <c r="CX15" s="776">
        <v>45428</v>
      </c>
      <c r="CY15" s="776" t="s">
        <v>2741</v>
      </c>
      <c r="CZ15" s="776" t="s">
        <v>2180</v>
      </c>
      <c r="DA15" s="777">
        <v>100000000000</v>
      </c>
      <c r="DB15" s="776">
        <v>12.06</v>
      </c>
      <c r="DC15" s="778">
        <v>2.69</v>
      </c>
      <c r="DD15" s="72">
        <f>_xlfn.XLOOKUP(CX15,Outstanding_pos_BB_MSB[BondsDeals_Id],Outstanding_pos_BB_MSB[ItD adj])</f>
        <v>-16397242650.201313</v>
      </c>
      <c r="DE15" s="32">
        <f>_xlfn.XLOOKUP(CX15,Outstanding_pos_BB_MSB[BondsDeals_Id],Outstanding_pos_BB_MSB[Yield])</f>
        <v>2.69</v>
      </c>
      <c r="DF15" s="32">
        <f>_xlfn.XLOOKUP(TB_HTM[[#This Row],[Deal ID]],Outstanding_pos_BB_MSB[BondsDeals_Id],Outstanding_pos_BB_MSB[Total Rate])</f>
        <v>2.8</v>
      </c>
      <c r="DG15" s="124">
        <f>_xlfn.XLOOKUP(CX15,Outstanding_pos_BB_MSB[BondsDeals_Id],Outstanding_pos_BB_MSB[Mature Date])</f>
        <v>50578</v>
      </c>
      <c r="DH15" s="786">
        <f>(TB_HTM[[#This Row],[Amt]]/10^9)/(_xlfn.XLOOKUP(TB_HTM[[#This Row],[Bond code]],Bankingbook_MSB[Security Name],Bankingbook_MSB[QUANTITY])/10^4)</f>
        <v>0.11764705882352941</v>
      </c>
      <c r="DI15" s="72">
        <f>_xlfn.XLOOKUP(TB_HTM[[#This Row],[Bond code]],Bankingbook_MSB[Security Name],Bankingbook_MSB[MARKET_VALUE])*TB_HTM[[#This Row],[% amt FNRP]]</f>
        <v>84678000000</v>
      </c>
      <c r="DJ15" s="71">
        <f>_xlfn.XLOOKUP(TB_HTM[[#This Row],[Bond code]],Bankingbook_MSB[Security Name],Bankingbook_MSB[BPV_edited])
/10^9*TB_HTM[[#This Row],[% amt FNRP]]</f>
        <v>-8.160627571393092E-2</v>
      </c>
      <c r="DK15" s="71">
        <f>TB_HTM[[#This Row],[Amt]]*TB_HTM[[#This Row],[Yield]]/10^5</f>
        <v>2690000</v>
      </c>
      <c r="DL15" s="71" t="str">
        <f>_xlfn.XLOOKUP(TB_HTM[[#This Row],[Bond code]],Bankingbook_MSB[Security Name],Bankingbook_MSB[Type])</f>
        <v>TPCP</v>
      </c>
      <c r="DM15" s="71" t="str">
        <f>_xlfn.XLOOKUP(TB_HTM[[#This Row],[Bond code]],Bankingbook_MSB[Security Name],Bankingbook_MSB[Issuer])</f>
        <v>KBNN</v>
      </c>
      <c r="DN15" s="71" t="str">
        <f>_xlfn.XLOOKUP(TB_HTM[[#This Row],[Bond code]],Bankingbook_MSB[Security Name],Bankingbook_MSB[Tenor])</f>
        <v>15Y</v>
      </c>
      <c r="DO15" s="72">
        <f>SUMIFS(BS[MARKET VALUE],BS[BOND_CODE],TB_HTM[[#This Row],[Bond code]],BS[BOOK_FLAG],"B",BS[BAL],BS!$C$2)/10^9*TB_HTM[[#This Row],[% amt FNRP]]</f>
        <v>84.677999999999997</v>
      </c>
      <c r="DP15" s="71" cm="1">
        <f t="array" ref="DP15">_xlfn.IFNA(_xlfn.XLOOKUP(TB_HTM[[#This Row],[Deal ID]],RPBOD3[BondsDeals_Id],RPBOD3[PTCK_Remain]*RPBOD3[Quantity])/10^9,"N/A")</f>
        <v>1.0752426502013099</v>
      </c>
      <c r="DQ15" s="71">
        <f>_xlfn.XLOOKUP(TB_HTM[[#This Row],[Bond code]],Bankingbook_MSB[Security Name],Bankingbook_MSB[Duration_edited])</f>
        <v>10.02464352</v>
      </c>
      <c r="DR15" s="71">
        <f>_xlfn.XLOOKUP(TB_HTM[[#This Row],[Bond code]],Bankingbook_MSB[Security Name],Bankingbook_MSB[Modified Duration])</f>
        <v>9.5933399052079</v>
      </c>
      <c r="DS15" s="71">
        <f>TB_HTM[[#This Row],[Duration]]*TB_HTM[[#This Row],[Market Value FNRP]]</f>
        <v>848866763986.55994</v>
      </c>
      <c r="DT15" s="71">
        <f>TB_HTM[[#This Row],[Modified Duration]]*TB_HTM[[#This Row],[Market Value FNRP]]</f>
        <v>812344836493.19458</v>
      </c>
      <c r="DU15" s="72">
        <f>_xlfn.XLOOKUP(TB_HTM[[#This Row],[Deal ID]],Outstanding_pos_BB_MSB[BondsDeals_Id],Outstanding_pos_BB_MSB[Time hold/Deal])</f>
        <v>546</v>
      </c>
      <c r="DV15" s="71" t="str">
        <f>_xlfn.XLOOKUP(TB_HTM[[#This Row],[Deal ID]],Outstanding_pos_BB_MSB[BondsDeals_Id],Outstanding_pos_BB_MSB[Time hold (Tenor)])</f>
        <v>1Y</v>
      </c>
      <c r="DW15" s="71"/>
      <c r="DY15" s="776">
        <v>45178</v>
      </c>
      <c r="DZ15" s="776" t="s">
        <v>2381</v>
      </c>
      <c r="EA15" s="776" t="s">
        <v>2180</v>
      </c>
      <c r="EB15" s="777">
        <v>50000000000</v>
      </c>
      <c r="EC15" s="776">
        <v>6.6</v>
      </c>
      <c r="ED15" s="778">
        <v>2.2599999999999998</v>
      </c>
      <c r="EE15" s="72">
        <f>_xlfn.XLOOKUP(DY15,Outstanding_pos_BB_MSB[BondsDeals_Id],Outstanding_pos_BB_MSB[ItD adj])</f>
        <v>-5900153131.4505491</v>
      </c>
      <c r="EF15" s="32">
        <f>_xlfn.XLOOKUP(DY15,Outstanding_pos_BB_MSB[BondsDeals_Id],Outstanding_pos_BB_MSB[Yield])</f>
        <v>2.2599999999999998</v>
      </c>
      <c r="EG15" s="71">
        <f>_xlfn.XLOOKUP(BB_tufund[[#This Row],[Deal ID]],Outstanding_pos_BB_MSB[BondsDeals_Id],Outstanding_pos_BB_MSB[Total Rate])</f>
        <v>4.5</v>
      </c>
      <c r="EH15" s="124">
        <f>_xlfn.XLOOKUP(DY15,Outstanding_pos_BB_MSB[BondsDeals_Id],Outstanding_pos_BB_MSB[Mature Date])</f>
        <v>48584</v>
      </c>
      <c r="EI15" s="787">
        <f>(BB_tufund[[#This Row],[Amt]]/10^9)/(_xlfn.XLOOKUP(BB_tufund[[#This Row],[Bond code]],Bankingbook_MSB[Security Name],Bankingbook_MSB[QUANTITY])/10^4)</f>
        <v>0.14285714285714285</v>
      </c>
      <c r="EJ15" s="72">
        <f>_xlfn.XLOOKUP(BB_tufund[[#This Row],[Bond code]],Bankingbook_MSB[Security Name],Bankingbook_MSB[MARKET_VALUE])*BB_tufund[[#This Row],[% amt FNRP]]</f>
        <v>50572500000</v>
      </c>
      <c r="EK15" s="71">
        <f>_xlfn.XLOOKUP(BB_tufund[[#This Row],[Bond code]],Bankingbook_MSB[Security Name],Bankingbook_MSB[BPV_edited])
/10^9*BB_tufund[[#This Row],[% amt FNRP]]</f>
        <v>-2.7630572874899492E-2</v>
      </c>
    </row>
    <row r="16" spans="1:141" x14ac:dyDescent="0.3">
      <c r="B16">
        <v>47096</v>
      </c>
      <c r="C16" s="35">
        <v>45876</v>
      </c>
      <c r="D16" t="s">
        <v>2502</v>
      </c>
      <c r="E16" t="s">
        <v>824</v>
      </c>
      <c r="F16" t="s">
        <v>823</v>
      </c>
      <c r="G16" s="500">
        <v>50000000000</v>
      </c>
      <c r="H16">
        <v>3.2</v>
      </c>
      <c r="I16" t="s">
        <v>3445</v>
      </c>
      <c r="J16">
        <v>2.48</v>
      </c>
      <c r="K16">
        <v>6.66</v>
      </c>
      <c r="L16" t="s">
        <v>2746</v>
      </c>
      <c r="M16">
        <v>4.3</v>
      </c>
      <c r="N16" s="37">
        <v>-5600500000</v>
      </c>
      <c r="O16">
        <v>5.76</v>
      </c>
      <c r="P16" s="500">
        <v>-54651250.57</v>
      </c>
      <c r="Q16" s="500">
        <v>1113000000</v>
      </c>
      <c r="R16">
        <v>40.950000000000003</v>
      </c>
      <c r="S1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-5267574353.879652</v>
      </c>
      <c r="T16" s="72">
        <f>VLOOKUP(Outstanding_pos_TB_MSB[[#This Row],[Bonds_ShortName]],FNRP!D:J,7,0)</f>
        <v>500000</v>
      </c>
      <c r="U16" s="72">
        <f>SUMIFS(Outstanding_pos_TB_MSB[Amt],Outstanding_pos_TB_MSB[Bonds_ShortName],Outstanding_pos_TB_MSB[[#This Row],[Bonds_ShortName]])/100000-Outstanding_pos_TB_MSB[[#This Row],[Quantity FNRP]]</f>
        <v>0</v>
      </c>
      <c r="V16" s="162" t="str">
        <f>INDEX(Ref!$I$1:$K$13,MATCH(Outstanding_pos_TB_MSB[[#This Row],[Tenor left]],Ref!$I$1:$I$13,1),3)</f>
        <v>7Y</v>
      </c>
      <c r="W16" s="72">
        <f>IF(RPT-VLOOKUP(Outstanding_pos_TB_MSB[[#This Row],[Bonds_ShortName]],CT:CU,2,0)&lt;=0,0,RPT-VLOOKUP(Outstanding_pos_TB_MSB[[#This Row],[Bonds_ShortName]],CT:CU,2,0))</f>
        <v>377</v>
      </c>
      <c r="X16" s="72">
        <f>IF(RPT-Outstanding_pos_TB_MSB[[#This Row],[VALUE_DATE]]&lt;=0,0,RPT-Outstanding_pos_TB_MSB[[#This Row],[VALUE_DATE]])</f>
        <v>376</v>
      </c>
      <c r="Y16" s="72" t="str">
        <f>_xlfn.XLOOKUP(Outstanding_pos_TB_MSB[[#This Row],[Time hold/Deal]],Ref!S:S,Ref!U:U,,-1)</f>
        <v>1Y</v>
      </c>
      <c r="AB16">
        <v>41164</v>
      </c>
      <c r="AC16" s="35">
        <v>45285</v>
      </c>
      <c r="AD16" t="s">
        <v>784</v>
      </c>
      <c r="AE16" t="s">
        <v>2180</v>
      </c>
      <c r="AF16" t="s">
        <v>821</v>
      </c>
      <c r="AG16" s="500">
        <v>100000000000</v>
      </c>
      <c r="AH16">
        <v>5.8</v>
      </c>
      <c r="AI16">
        <v>47113</v>
      </c>
      <c r="AJ16">
        <v>2.2999999999999998</v>
      </c>
      <c r="AK16">
        <v>2.36</v>
      </c>
      <c r="AL16" s="645" t="s">
        <v>3867</v>
      </c>
      <c r="AM16">
        <v>4.16</v>
      </c>
      <c r="AN16" s="500">
        <v>-12779000000</v>
      </c>
      <c r="AO16">
        <v>2.11</v>
      </c>
      <c r="AP16">
        <v>-22627164.170000002</v>
      </c>
      <c r="AQ16">
        <v>3750000000</v>
      </c>
      <c r="AR16">
        <v>6.69</v>
      </c>
      <c r="AS16" s="72">
        <f>SUM(_xlfn.IFNA(VLOOKUP(Outstanding_pos_BB_MSB[[#This Row],[Bonds_ShortName]],FNRP!AV:BA,6,0)*Outstanding_pos_BB_MSB[[#This Row],[Amt]]/10^4,0),_xlfn.IFNA((VLOOKUP(Outstanding_pos_BB_MSB[[#This Row],[Bonds_ShortName]],FNRP!IK:IP,6,0)*Outstanding_pos_BB_MSB[[#This Row],[Amt]]/10^4),0))</f>
        <v>1035870000000</v>
      </c>
      <c r="AT16" s="72">
        <f>(_xlfn.XLOOKUP(Outstanding_pos_BB_MSB[[#This Row],[Bonds_ShortName]],FNRP!AV:AV,FNRP!BA:BA,,0)
-_xlfn.XLOOKUP(Outstanding_pos_BB_MSB[[#This Row],[BondsDeals_Id]],BS!AL:AL,BS!AR:AR,_xlfn.XLOOKUP(Outstanding_pos_BB_MSB[[#This Row],[BondsDeals_Id]],BS!BA:BA,BS!BQ:BQ,,0),0)-10^5)
*Outstanding_pos_BB_MSB[[#This Row],[Amt]]/10^5</f>
        <v>-4103601750.5470376</v>
      </c>
      <c r="AU16" s="72">
        <f>VLOOKUP(Outstanding_pos_BB_MSB[[#This Row],[Bonds_ShortName]],FNRP!AV:CD,35,0)</f>
        <v>1000000</v>
      </c>
      <c r="AV16" s="157">
        <f>SUMIFS(AG$1:AG$103,AD$1:AD$103,Outstanding_pos_BB_MSB[[#This Row],[Bonds_ShortName]])/10^5-Outstanding_pos_BB_MSB[[#This Row],[Quantity FNRP]]</f>
        <v>0</v>
      </c>
      <c r="AW16" s="72">
        <f>IF(RPT-Outstanding_pos_BB_MSB[[#This Row],[Value Date]]&lt;=0,0,RPT-Outstanding_pos_BB_MSB[[#This Row],[Value Date]])</f>
        <v>967</v>
      </c>
      <c r="AX16" s="32" t="str">
        <f>INDEX(Ref!$I$1:$K$13,MATCH(Outstanding_pos_BB_MSB[[#This Row],[Tenor left]],Ref!$I$1:$I$13,1),3)</f>
        <v>2Y</v>
      </c>
      <c r="AY16" s="72" t="str">
        <f>_xlfn.XLOOKUP(Outstanding_pos_BB_MSB[[#This Row],[Time hold/Deal]],Ref!S:S,Ref!U:U,,-1)</f>
        <v>3Y</v>
      </c>
      <c r="BC16"/>
      <c r="BD16"/>
      <c r="BG16"/>
      <c r="BH16"/>
      <c r="BJ16"/>
      <c r="BN16"/>
      <c r="BO16"/>
      <c r="BQ16"/>
      <c r="BR16"/>
      <c r="BX16">
        <v>41141</v>
      </c>
      <c r="BY16" s="502">
        <v>45282</v>
      </c>
      <c r="BZ16" t="s">
        <v>568</v>
      </c>
      <c r="CA16" t="s">
        <v>2180</v>
      </c>
      <c r="CB16" t="s">
        <v>821</v>
      </c>
      <c r="CC16" s="500">
        <v>350000000000</v>
      </c>
      <c r="CD16">
        <v>6.6</v>
      </c>
      <c r="CE16" s="502">
        <v>46432</v>
      </c>
      <c r="CF16">
        <v>2.2000000000000002</v>
      </c>
      <c r="CG16">
        <v>0.49</v>
      </c>
      <c r="CH16" t="s">
        <v>3870</v>
      </c>
      <c r="CI16">
        <v>4.25</v>
      </c>
      <c r="CJ16" s="500">
        <v>-42609000000</v>
      </c>
      <c r="CK16">
        <v>0.48</v>
      </c>
      <c r="CL16" s="500">
        <v>-5016340.13</v>
      </c>
      <c r="CM16" s="500">
        <v>3363000000</v>
      </c>
      <c r="CN16">
        <v>0.46</v>
      </c>
      <c r="CO1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-3481847069.6843143</v>
      </c>
      <c r="CP16" s="72">
        <f>RPT-VLOOKUP(Outstanding_pos_BB_SBV[[#This Row],[Bonds_ShortName]],CT:CU,2,0)</f>
        <v>7</v>
      </c>
      <c r="CQ16" s="157">
        <f>SUMIFS(CC:CC,BZ:BZ,Outstanding_pos_BB_SBV[[#This Row],[Bonds_ShortName]])/10^5-VLOOKUP(Outstanding_pos_BB_SBV[[#This Row],[Bonds_ShortName]],FNRP!EE:FL,34,0)</f>
        <v>0</v>
      </c>
      <c r="CT16" t="s">
        <v>639</v>
      </c>
      <c r="CU16" s="502">
        <v>45629</v>
      </c>
      <c r="CX16" s="776">
        <v>45449</v>
      </c>
      <c r="CY16" s="776" t="s">
        <v>2741</v>
      </c>
      <c r="CZ16" s="776" t="s">
        <v>2180</v>
      </c>
      <c r="DA16" s="777">
        <v>100000000000</v>
      </c>
      <c r="DB16" s="776">
        <v>12.06</v>
      </c>
      <c r="DC16" s="778">
        <v>2.7</v>
      </c>
      <c r="DD16" s="72">
        <f>_xlfn.XLOOKUP(CX16,Outstanding_pos_BB_MSB[BondsDeals_Id],Outstanding_pos_BB_MSB[ItD adj])</f>
        <v>-16298301186.726255</v>
      </c>
      <c r="DE16" s="32">
        <f>_xlfn.XLOOKUP(CX16,Outstanding_pos_BB_MSB[BondsDeals_Id],Outstanding_pos_BB_MSB[Yield])</f>
        <v>2.7</v>
      </c>
      <c r="DF16" s="32">
        <f>_xlfn.XLOOKUP(TB_HTM[[#This Row],[Deal ID]],Outstanding_pos_BB_MSB[BondsDeals_Id],Outstanding_pos_BB_MSB[Total Rate])</f>
        <v>2.8</v>
      </c>
      <c r="DG16" s="124">
        <f>_xlfn.XLOOKUP(CX16,Outstanding_pos_BB_MSB[BondsDeals_Id],Outstanding_pos_BB_MSB[Mature Date])</f>
        <v>50578</v>
      </c>
      <c r="DH16" s="786">
        <f>(TB_HTM[[#This Row],[Amt]]/10^9)/(_xlfn.XLOOKUP(TB_HTM[[#This Row],[Bond code]],Bankingbook_MSB[Security Name],Bankingbook_MSB[QUANTITY])/10^4)</f>
        <v>0.11764705882352941</v>
      </c>
      <c r="DI16" s="72">
        <f>_xlfn.XLOOKUP(TB_HTM[[#This Row],[Bond code]],Bankingbook_MSB[Security Name],Bankingbook_MSB[MARKET_VALUE])*TB_HTM[[#This Row],[% amt FNRP]]</f>
        <v>84678000000</v>
      </c>
      <c r="DJ16" s="71">
        <f>_xlfn.XLOOKUP(TB_HTM[[#This Row],[Bond code]],Bankingbook_MSB[Security Name],Bankingbook_MSB[BPV_edited])
/10^9*TB_HTM[[#This Row],[% amt FNRP]]</f>
        <v>-8.160627571393092E-2</v>
      </c>
      <c r="DK16" s="71">
        <f>TB_HTM[[#This Row],[Amt]]*TB_HTM[[#This Row],[Yield]]/10^5</f>
        <v>2700000.0000000005</v>
      </c>
      <c r="DL16" s="71" t="str">
        <f>_xlfn.XLOOKUP(TB_HTM[[#This Row],[Bond code]],Bankingbook_MSB[Security Name],Bankingbook_MSB[Type])</f>
        <v>TPCP</v>
      </c>
      <c r="DM16" s="71" t="str">
        <f>_xlfn.XLOOKUP(TB_HTM[[#This Row],[Bond code]],Bankingbook_MSB[Security Name],Bankingbook_MSB[Issuer])</f>
        <v>KBNN</v>
      </c>
      <c r="DN16" s="71" t="str">
        <f>_xlfn.XLOOKUP(TB_HTM[[#This Row],[Bond code]],Bankingbook_MSB[Security Name],Bankingbook_MSB[Tenor])</f>
        <v>15Y</v>
      </c>
      <c r="DO16" s="72">
        <f>SUMIFS(BS[MARKET VALUE],BS[BOND_CODE],TB_HTM[[#This Row],[Bond code]],BS[BOOK_FLAG],"B",BS[BAL],BS!$C$2)/10^9*TB_HTM[[#This Row],[% amt FNRP]]</f>
        <v>84.677999999999997</v>
      </c>
      <c r="DP16" s="71" cm="1">
        <f t="array" ref="DP16">_xlfn.IFNA(_xlfn.XLOOKUP(TB_HTM[[#This Row],[Deal ID]],RPBOD3[BondsDeals_Id],RPBOD3[PTCK_Remain]*RPBOD3[Quantity])/10^9,"N/A")</f>
        <v>0.97630118672624699</v>
      </c>
      <c r="DQ16" s="71">
        <f>_xlfn.XLOOKUP(TB_HTM[[#This Row],[Bond code]],Bankingbook_MSB[Security Name],Bankingbook_MSB[Duration_edited])</f>
        <v>10.02464352</v>
      </c>
      <c r="DR16" s="71">
        <f>_xlfn.XLOOKUP(TB_HTM[[#This Row],[Bond code]],Bankingbook_MSB[Security Name],Bankingbook_MSB[Modified Duration])</f>
        <v>9.5933399052079</v>
      </c>
      <c r="DS16" s="71">
        <f>TB_HTM[[#This Row],[Duration]]*TB_HTM[[#This Row],[Market Value FNRP]]</f>
        <v>848866763986.55994</v>
      </c>
      <c r="DT16" s="71">
        <f>TB_HTM[[#This Row],[Modified Duration]]*TB_HTM[[#This Row],[Market Value FNRP]]</f>
        <v>812344836493.19458</v>
      </c>
      <c r="DU16" s="72">
        <f>_xlfn.XLOOKUP(TB_HTM[[#This Row],[Deal ID]],Outstanding_pos_BB_MSB[BondsDeals_Id],Outstanding_pos_BB_MSB[Time hold/Deal])</f>
        <v>536</v>
      </c>
      <c r="DV16" s="71" t="str">
        <f>_xlfn.XLOOKUP(TB_HTM[[#This Row],[Deal ID]],Outstanding_pos_BB_MSB[BondsDeals_Id],Outstanding_pos_BB_MSB[Time hold (Tenor)])</f>
        <v>1Y</v>
      </c>
      <c r="DW16" s="71"/>
      <c r="DY16" s="776">
        <v>42192</v>
      </c>
      <c r="DZ16" s="776" t="s">
        <v>2502</v>
      </c>
      <c r="EA16" s="776" t="s">
        <v>2180</v>
      </c>
      <c r="EB16" s="777">
        <v>150000000000</v>
      </c>
      <c r="EC16" s="776">
        <v>6.87</v>
      </c>
      <c r="ED16" s="778">
        <v>2.29</v>
      </c>
      <c r="EE16" s="72">
        <f>_xlfn.XLOOKUP(DY16,Outstanding_pos_BB_MSB[BondsDeals_Id],Outstanding_pos_BB_MSB[ItD adj])</f>
        <v>-17489259264.137684</v>
      </c>
      <c r="EF16" s="32">
        <f>_xlfn.XLOOKUP(DY16,Outstanding_pos_BB_MSB[BondsDeals_Id],Outstanding_pos_BB_MSB[Yield])</f>
        <v>2.29</v>
      </c>
      <c r="EG16" s="71">
        <f>_xlfn.XLOOKUP(BB_tufund[[#This Row],[Deal ID]],Outstanding_pos_BB_MSB[BondsDeals_Id],Outstanding_pos_BB_MSB[Total Rate])</f>
        <v>3.2</v>
      </c>
      <c r="EH16" s="124">
        <f>_xlfn.XLOOKUP(DY16,Outstanding_pos_BB_MSB[BondsDeals_Id],Outstanding_pos_BB_MSB[Mature Date])</f>
        <v>48682</v>
      </c>
      <c r="EI16" s="787">
        <f>(BB_tufund[[#This Row],[Amt]]/10^9)/(_xlfn.XLOOKUP(BB_tufund[[#This Row],[Bond code]],Bankingbook_MSB[Security Name],Bankingbook_MSB[QUANTITY])/10^4)</f>
        <v>1</v>
      </c>
      <c r="EJ16" s="72">
        <f>_xlfn.XLOOKUP(BB_tufund[[#This Row],[Bond code]],Bankingbook_MSB[Security Name],Bankingbook_MSB[MARKET_VALUE])*BB_tufund[[#This Row],[% amt FNRP]]</f>
        <v>140632500000</v>
      </c>
      <c r="EK16" s="71">
        <f>_xlfn.XLOOKUP(BB_tufund[[#This Row],[Bond code]],Bankingbook_MSB[Security Name],Bankingbook_MSB[BPV_edited])
/10^9*BB_tufund[[#This Row],[% amt FNRP]]</f>
        <v>-8.1947741124931764E-2</v>
      </c>
    </row>
    <row r="17" spans="2:141" x14ac:dyDescent="0.3">
      <c r="B17">
        <v>47189</v>
      </c>
      <c r="C17" s="35">
        <v>45881</v>
      </c>
      <c r="D17" t="s">
        <v>2852</v>
      </c>
      <c r="E17" t="s">
        <v>825</v>
      </c>
      <c r="F17" t="s">
        <v>823</v>
      </c>
      <c r="G17" s="500">
        <v>100000000000</v>
      </c>
      <c r="H17">
        <v>2.4</v>
      </c>
      <c r="I17" t="s">
        <v>3491</v>
      </c>
      <c r="J17">
        <v>3.25</v>
      </c>
      <c r="K17">
        <v>7.65</v>
      </c>
      <c r="L17" t="s">
        <v>2747</v>
      </c>
      <c r="M17">
        <v>4.34</v>
      </c>
      <c r="N17" s="37">
        <v>-6048000000</v>
      </c>
      <c r="O17">
        <v>6.68</v>
      </c>
      <c r="P17" s="500">
        <v>-59045852.780000001</v>
      </c>
      <c r="Q17" s="500">
        <v>848000000</v>
      </c>
      <c r="R17">
        <v>53.75</v>
      </c>
      <c r="S1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-6795497532.1684036</v>
      </c>
      <c r="T17" s="72">
        <f>VLOOKUP(Outstanding_pos_TB_MSB[[#This Row],[Bonds_ShortName]],FNRP!D:J,7,0)</f>
        <v>2500000</v>
      </c>
      <c r="U17" s="72">
        <f>SUMIFS(Outstanding_pos_TB_MSB[Amt],Outstanding_pos_TB_MSB[Bonds_ShortName],Outstanding_pos_TB_MSB[[#This Row],[Bonds_ShortName]])/100000-Outstanding_pos_TB_MSB[[#This Row],[Quantity FNRP]]</f>
        <v>0</v>
      </c>
      <c r="V17" s="162" t="str">
        <f>INDEX(Ref!$I$1:$K$13,MATCH(Outstanding_pos_TB_MSB[[#This Row],[Tenor left]],Ref!$I$1:$I$13,1),3)</f>
        <v>10Y</v>
      </c>
      <c r="W17" s="72">
        <f>IF(RPT-VLOOKUP(Outstanding_pos_TB_MSB[[#This Row],[Bonds_ShortName]],CT:CU,2,0)&lt;=0,0,RPT-VLOOKUP(Outstanding_pos_TB_MSB[[#This Row],[Bonds_ShortName]],CT:CU,2,0))</f>
        <v>7</v>
      </c>
      <c r="X17" s="72">
        <f>IF(RPT-Outstanding_pos_TB_MSB[[#This Row],[VALUE_DATE]]&lt;=0,0,RPT-Outstanding_pos_TB_MSB[[#This Row],[VALUE_DATE]])</f>
        <v>371</v>
      </c>
      <c r="Y17" s="72" t="str">
        <f>_xlfn.XLOOKUP(Outstanding_pos_TB_MSB[[#This Row],[Time hold/Deal]],Ref!S:S,Ref!U:U,,-1)</f>
        <v>1Y</v>
      </c>
      <c r="AB17">
        <v>41165</v>
      </c>
      <c r="AC17" s="35">
        <v>45282</v>
      </c>
      <c r="AD17" t="s">
        <v>2779</v>
      </c>
      <c r="AE17" t="s">
        <v>2180</v>
      </c>
      <c r="AF17" t="s">
        <v>907</v>
      </c>
      <c r="AG17" s="500">
        <v>300000000000</v>
      </c>
      <c r="AH17">
        <v>3.1</v>
      </c>
      <c r="AI17">
        <v>48900</v>
      </c>
      <c r="AJ17">
        <v>2.8</v>
      </c>
      <c r="AK17">
        <v>7.25</v>
      </c>
      <c r="AL17" s="645" t="s">
        <v>2746</v>
      </c>
      <c r="AM17">
        <v>4.82</v>
      </c>
      <c r="AN17" s="500">
        <v>-38673000000</v>
      </c>
      <c r="AO17">
        <v>6.1</v>
      </c>
      <c r="AP17">
        <v>-56132613.909999996</v>
      </c>
      <c r="AQ17">
        <v>2336000000</v>
      </c>
      <c r="AR17">
        <v>46.36</v>
      </c>
      <c r="AS17" s="72">
        <f>SUM(_xlfn.IFNA(VLOOKUP(Outstanding_pos_BB_MSB[[#This Row],[Bonds_ShortName]],FNRP!AV:BA,6,0)*Outstanding_pos_BB_MSB[[#This Row],[Amt]]/10^4,0),_xlfn.IFNA((VLOOKUP(Outstanding_pos_BB_MSB[[#This Row],[Bonds_ShortName]],FNRP!IK:IP,6,0)*Outstanding_pos_BB_MSB[[#This Row],[Amt]]/10^4),0))</f>
        <v>2689980000000</v>
      </c>
      <c r="AT17" s="72">
        <f>(_xlfn.XLOOKUP(Outstanding_pos_BB_MSB[[#This Row],[Bonds_ShortName]],FNRP!AV:AV,FNRP!BA:BA,,0)
-_xlfn.XLOOKUP(Outstanding_pos_BB_MSB[[#This Row],[BondsDeals_Id]],BS!AL:AL,BS!AR:AR,_xlfn.XLOOKUP(Outstanding_pos_BB_MSB[[#This Row],[BondsDeals_Id]],BS!BA:BA,BS!BQ:BQ,,0),0)-10^5)
*Outstanding_pos_BB_MSB[[#This Row],[Amt]]/10^5</f>
        <v>-36622050507.933922</v>
      </c>
      <c r="AU17" s="72">
        <f>VLOOKUP(Outstanding_pos_BB_MSB[[#This Row],[Bonds_ShortName]],FNRP!AV:CD,35,0)</f>
        <v>5000000</v>
      </c>
      <c r="AV17" s="157">
        <f>SUMIFS(AG$1:AG$103,AD$1:AD$103,Outstanding_pos_BB_MSB[[#This Row],[Bonds_ShortName]])/10^5-Outstanding_pos_BB_MSB[[#This Row],[Quantity FNRP]]</f>
        <v>0</v>
      </c>
      <c r="AW17" s="72">
        <f>IF(RPT-Outstanding_pos_BB_MSB[[#This Row],[Value Date]]&lt;=0,0,RPT-Outstanding_pos_BB_MSB[[#This Row],[Value Date]])</f>
        <v>970</v>
      </c>
      <c r="AX17" s="32" t="str">
        <f>INDEX(Ref!$I$1:$K$13,MATCH(Outstanding_pos_BB_MSB[[#This Row],[Tenor left]],Ref!$I$1:$I$13,1),3)</f>
        <v>7Y</v>
      </c>
      <c r="AY17" s="72" t="str">
        <f>_xlfn.XLOOKUP(Outstanding_pos_BB_MSB[[#This Row],[Time hold/Deal]],Ref!S:S,Ref!U:U,,-1)</f>
        <v>3Y</v>
      </c>
      <c r="BC17"/>
      <c r="BD17"/>
      <c r="BG17"/>
      <c r="BH17"/>
      <c r="BJ17"/>
      <c r="BN17"/>
      <c r="BO17"/>
      <c r="BQ17"/>
      <c r="BR17"/>
      <c r="BX17">
        <v>41164</v>
      </c>
      <c r="BY17" s="502">
        <v>45285</v>
      </c>
      <c r="BZ17" t="s">
        <v>784</v>
      </c>
      <c r="CA17" t="s">
        <v>2180</v>
      </c>
      <c r="CB17" t="s">
        <v>821</v>
      </c>
      <c r="CC17" s="500">
        <v>100000000000</v>
      </c>
      <c r="CD17">
        <v>5.8</v>
      </c>
      <c r="CE17" s="502">
        <v>47113</v>
      </c>
      <c r="CF17">
        <v>2.2999999999999998</v>
      </c>
      <c r="CG17">
        <v>2.36</v>
      </c>
      <c r="CH17" t="s">
        <v>3867</v>
      </c>
      <c r="CI17">
        <v>4.16</v>
      </c>
      <c r="CJ17" s="500">
        <v>-12779000000</v>
      </c>
      <c r="CK17">
        <v>2.11</v>
      </c>
      <c r="CL17" s="500">
        <v>-22627164.170000002</v>
      </c>
      <c r="CM17" s="500">
        <v>3750000000</v>
      </c>
      <c r="CN17">
        <v>6.69</v>
      </c>
      <c r="CO1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-4103601750.5470376</v>
      </c>
      <c r="CP17" s="72">
        <f>RPT-VLOOKUP(Outstanding_pos_BB_SBV[[#This Row],[Bonds_ShortName]],CT:CU,2,0)</f>
        <v>973</v>
      </c>
      <c r="CQ17" s="157">
        <f>SUMIFS(CC:CC,BZ:BZ,Outstanding_pos_BB_SBV[[#This Row],[Bonds_ShortName]])/10^5-VLOOKUP(Outstanding_pos_BB_SBV[[#This Row],[Bonds_ShortName]],FNRP!EE:FL,34,0)</f>
        <v>0</v>
      </c>
      <c r="CT17" t="s">
        <v>2741</v>
      </c>
      <c r="CU17" s="502">
        <v>46003</v>
      </c>
      <c r="CX17" s="776">
        <v>45510</v>
      </c>
      <c r="CY17" s="776" t="s">
        <v>2835</v>
      </c>
      <c r="CZ17" s="776" t="s">
        <v>2180</v>
      </c>
      <c r="DA17" s="777">
        <v>300000000000</v>
      </c>
      <c r="DB17" s="776">
        <v>12.94</v>
      </c>
      <c r="DC17" s="778">
        <v>2.87</v>
      </c>
      <c r="DD17" s="72">
        <f>_xlfn.XLOOKUP(CX17,Outstanding_pos_BB_MSB[BondsDeals_Id],Outstanding_pos_BB_MSB[ItD adj])</f>
        <v>-46685138064.018509</v>
      </c>
      <c r="DE17" s="32">
        <f>_xlfn.XLOOKUP(CX17,Outstanding_pos_BB_MSB[BondsDeals_Id],Outstanding_pos_BB_MSB[Yield])</f>
        <v>2.87</v>
      </c>
      <c r="DF17" s="32">
        <f>_xlfn.XLOOKUP(TB_HTM[[#This Row],[Deal ID]],Outstanding_pos_BB_MSB[BondsDeals_Id],Outstanding_pos_BB_MSB[Total Rate])</f>
        <v>2.7</v>
      </c>
      <c r="DG17" s="124">
        <f>_xlfn.XLOOKUP(CX17,Outstanding_pos_BB_MSB[BondsDeals_Id],Outstanding_pos_BB_MSB[Mature Date])</f>
        <v>50899</v>
      </c>
      <c r="DH17" s="786">
        <f>(TB_HTM[[#This Row],[Amt]]/10^9)/(_xlfn.XLOOKUP(TB_HTM[[#This Row],[Bond code]],Bankingbook_MSB[Security Name],Bankingbook_MSB[QUANTITY])/10^4)</f>
        <v>0.46153846153846156</v>
      </c>
      <c r="DI17" s="72">
        <f>_xlfn.XLOOKUP(TB_HTM[[#This Row],[Bond code]],Bankingbook_MSB[Security Name],Bankingbook_MSB[MARKET_VALUE])*TB_HTM[[#This Row],[% amt FNRP]]</f>
        <v>248031000000</v>
      </c>
      <c r="DJ17" s="71">
        <f>_xlfn.XLOOKUP(TB_HTM[[#This Row],[Bond code]],Bankingbook_MSB[Security Name],Bankingbook_MSB[BPV_edited])
/10^9*TB_HTM[[#This Row],[% amt FNRP]]</f>
        <v>-0.25430899329444889</v>
      </c>
      <c r="DK17" s="71">
        <f>TB_HTM[[#This Row],[Amt]]*TB_HTM[[#This Row],[Yield]]/10^5</f>
        <v>8610000</v>
      </c>
      <c r="DL17" s="71" t="str">
        <f>_xlfn.XLOOKUP(TB_HTM[[#This Row],[Bond code]],Bankingbook_MSB[Security Name],Bankingbook_MSB[Type])</f>
        <v>TPCP</v>
      </c>
      <c r="DM17" s="71" t="str">
        <f>_xlfn.XLOOKUP(TB_HTM[[#This Row],[Bond code]],Bankingbook_MSB[Security Name],Bankingbook_MSB[Issuer])</f>
        <v>KBNN</v>
      </c>
      <c r="DN17" s="71" t="str">
        <f>_xlfn.XLOOKUP(TB_HTM[[#This Row],[Bond code]],Bankingbook_MSB[Security Name],Bankingbook_MSB[Tenor])</f>
        <v>15Y</v>
      </c>
      <c r="DO17" s="72">
        <f>SUMIFS(BS[MARKET VALUE],BS[BOND_CODE],TB_HTM[[#This Row],[Bond code]],BS[BOOK_FLAG],"B",BS[BAL],BS!$C$2)/10^9*TB_HTM[[#This Row],[% amt FNRP]]</f>
        <v>248.03100000000001</v>
      </c>
      <c r="DP17" s="71" cm="1">
        <f t="array" ref="DP17">_xlfn.IFNA(_xlfn.XLOOKUP(TB_HTM[[#This Row],[Deal ID]],RPBOD3[BondsDeals_Id],RPBOD3[PTCK_Remain]*RPBOD3[Quantity])/10^9,"N/A")</f>
        <v>-5.2838619359814798</v>
      </c>
      <c r="DQ17" s="71">
        <f>_xlfn.XLOOKUP(TB_HTM[[#This Row],[Bond code]],Bankingbook_MSB[Security Name],Bankingbook_MSB[Duration_edited])</f>
        <v>10.62703511</v>
      </c>
      <c r="DR17" s="71">
        <f>_xlfn.XLOOKUP(TB_HTM[[#This Row],[Bond code]],Bankingbook_MSB[Security Name],Bankingbook_MSB[Modified Duration])</f>
        <v>10.1675929399412</v>
      </c>
      <c r="DS17" s="71">
        <f>TB_HTM[[#This Row],[Duration]]*TB_HTM[[#This Row],[Market Value FNRP]]</f>
        <v>2635834145368.4097</v>
      </c>
      <c r="DT17" s="71">
        <f>TB_HTM[[#This Row],[Modified Duration]]*TB_HTM[[#This Row],[Market Value FNRP]]</f>
        <v>2521878244486.5557</v>
      </c>
      <c r="DU17" s="72">
        <f>_xlfn.XLOOKUP(TB_HTM[[#This Row],[Deal ID]],Outstanding_pos_BB_MSB[BondsDeals_Id],Outstanding_pos_BB_MSB[Time hold/Deal])</f>
        <v>539</v>
      </c>
      <c r="DV17" s="71" t="str">
        <f>_xlfn.XLOOKUP(TB_HTM[[#This Row],[Deal ID]],Outstanding_pos_BB_MSB[BondsDeals_Id],Outstanding_pos_BB_MSB[Time hold (Tenor)])</f>
        <v>1Y</v>
      </c>
      <c r="DW17" s="71"/>
      <c r="DY17" s="776">
        <v>46906</v>
      </c>
      <c r="DZ17" s="776" t="s">
        <v>1204</v>
      </c>
      <c r="EA17" s="776" t="s">
        <v>2180</v>
      </c>
      <c r="EB17" s="777">
        <v>50000000000</v>
      </c>
      <c r="EC17" s="776">
        <v>7.46</v>
      </c>
      <c r="ED17" s="778">
        <v>2.54</v>
      </c>
      <c r="EE17" s="72">
        <f>_xlfn.XLOOKUP(DY17,Outstanding_pos_BB_MSB[BondsDeals_Id],Outstanding_pos_BB_MSB[ItD adj])</f>
        <v>-5921498585.8604126</v>
      </c>
      <c r="EF17" s="32">
        <f>_xlfn.XLOOKUP(DY17,Outstanding_pos_BB_MSB[BondsDeals_Id],Outstanding_pos_BB_MSB[Yield])</f>
        <v>2.54</v>
      </c>
      <c r="EG17" s="71">
        <f>_xlfn.XLOOKUP(BB_tufund[[#This Row],[Deal ID]],Outstanding_pos_BB_MSB[BondsDeals_Id],Outstanding_pos_BB_MSB[Total Rate])</f>
        <v>5.3</v>
      </c>
      <c r="EH17" s="124">
        <f>_xlfn.XLOOKUP(DY17,Outstanding_pos_BB_MSB[BondsDeals_Id],Outstanding_pos_BB_MSB[Mature Date])</f>
        <v>48898</v>
      </c>
      <c r="EI17" s="787">
        <f>(BB_tufund[[#This Row],[Amt]]/10^9)/(_xlfn.XLOOKUP(BB_tufund[[#This Row],[Bond code]],Bankingbook_MSB[Security Name],Bankingbook_MSB[QUANTITY])/10^4)</f>
        <v>1</v>
      </c>
      <c r="EJ17" s="72">
        <f>_xlfn.XLOOKUP(BB_tufund[[#This Row],[Bond code]],Bankingbook_MSB[Security Name],Bankingbook_MSB[MARKET_VALUE])*BB_tufund[[#This Row],[% amt FNRP]]</f>
        <v>52981500000</v>
      </c>
      <c r="EK17" s="71">
        <f>_xlfn.XLOOKUP(BB_tufund[[#This Row],[Bond code]],Bankingbook_MSB[Security Name],Bankingbook_MSB[BPV_edited])
/10^9*BB_tufund[[#This Row],[% amt FNRP]]</f>
        <v>-3.1683333298482851E-2</v>
      </c>
    </row>
    <row r="18" spans="2:141" x14ac:dyDescent="0.3">
      <c r="B18">
        <v>47255</v>
      </c>
      <c r="C18" s="35">
        <v>45891</v>
      </c>
      <c r="D18" t="s">
        <v>2785</v>
      </c>
      <c r="E18" t="s">
        <v>824</v>
      </c>
      <c r="F18" t="s">
        <v>823</v>
      </c>
      <c r="G18" s="500">
        <v>100000000000</v>
      </c>
      <c r="H18">
        <v>2.2999999999999998</v>
      </c>
      <c r="I18" t="s">
        <v>3490</v>
      </c>
      <c r="J18">
        <v>3.1</v>
      </c>
      <c r="K18">
        <v>7.08</v>
      </c>
      <c r="L18" t="s">
        <v>2746</v>
      </c>
      <c r="M18">
        <v>4.3099999999999996</v>
      </c>
      <c r="N18" s="37">
        <v>-6391000000</v>
      </c>
      <c r="O18">
        <v>6.15</v>
      </c>
      <c r="P18" s="500">
        <v>-55415550.399999999</v>
      </c>
      <c r="Q18" s="500">
        <v>2130000000</v>
      </c>
      <c r="R18">
        <v>46.44</v>
      </c>
      <c r="S1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-7086791199.3860035</v>
      </c>
      <c r="T18" s="72">
        <f>VLOOKUP(Outstanding_pos_TB_MSB[[#This Row],[Bonds_ShortName]],FNRP!D:J,7,0)</f>
        <v>6000000</v>
      </c>
      <c r="U18" s="72">
        <f>SUMIFS(Outstanding_pos_TB_MSB[Amt],Outstanding_pos_TB_MSB[Bonds_ShortName],Outstanding_pos_TB_MSB[[#This Row],[Bonds_ShortName]])/100000-Outstanding_pos_TB_MSB[[#This Row],[Quantity FNRP]]</f>
        <v>0</v>
      </c>
      <c r="V18" s="162" t="str">
        <f>INDEX(Ref!$I$1:$K$13,MATCH(Outstanding_pos_TB_MSB[[#This Row],[Tenor left]],Ref!$I$1:$I$13,1),3)</f>
        <v>7Y</v>
      </c>
      <c r="W18" s="72">
        <f>IF(RPT-VLOOKUP(Outstanding_pos_TB_MSB[[#This Row],[Bonds_ShortName]],CT:CU,2,0)&lt;=0,0,RPT-VLOOKUP(Outstanding_pos_TB_MSB[[#This Row],[Bonds_ShortName]],CT:CU,2,0))</f>
        <v>21</v>
      </c>
      <c r="X18" s="72">
        <f>IF(RPT-Outstanding_pos_TB_MSB[[#This Row],[VALUE_DATE]]&lt;=0,0,RPT-Outstanding_pos_TB_MSB[[#This Row],[VALUE_DATE]])</f>
        <v>361</v>
      </c>
      <c r="Y18" s="72" t="str">
        <f>_xlfn.XLOOKUP(Outstanding_pos_TB_MSB[[#This Row],[Time hold/Deal]],Ref!S:S,Ref!U:U,,-1)</f>
        <v>1Y</v>
      </c>
      <c r="AB18">
        <v>41175</v>
      </c>
      <c r="AC18" s="35">
        <v>45286</v>
      </c>
      <c r="AD18" t="s">
        <v>713</v>
      </c>
      <c r="AE18" t="s">
        <v>2180</v>
      </c>
      <c r="AF18" t="s">
        <v>823</v>
      </c>
      <c r="AG18" s="500">
        <v>100000000000</v>
      </c>
      <c r="AH18">
        <v>3.3</v>
      </c>
      <c r="AI18">
        <v>51368</v>
      </c>
      <c r="AJ18">
        <v>2.74</v>
      </c>
      <c r="AK18">
        <v>14.01</v>
      </c>
      <c r="AL18" s="645" t="s">
        <v>2740</v>
      </c>
      <c r="AM18">
        <v>4.55</v>
      </c>
      <c r="AN18" s="500">
        <v>-20137000000</v>
      </c>
      <c r="AO18">
        <v>10.73</v>
      </c>
      <c r="AP18">
        <v>-93621000.530000001</v>
      </c>
      <c r="AQ18">
        <v>-9000000</v>
      </c>
      <c r="AR18">
        <v>142.36000000000001</v>
      </c>
      <c r="AS18" s="72">
        <f>SUM(_xlfn.IFNA(VLOOKUP(Outstanding_pos_BB_MSB[[#This Row],[Bonds_ShortName]],FNRP!AV:BA,6,0)*Outstanding_pos_BB_MSB[[#This Row],[Amt]]/10^4,0),_xlfn.IFNA((VLOOKUP(Outstanding_pos_BB_MSB[[#This Row],[Bonds_ShortName]],FNRP!IK:IP,6,0)*Outstanding_pos_BB_MSB[[#This Row],[Amt]]/10^4),0))</f>
        <v>872400000000</v>
      </c>
      <c r="AT18" s="72">
        <f>(_xlfn.XLOOKUP(Outstanding_pos_BB_MSB[[#This Row],[Bonds_ShortName]],FNRP!AV:AV,FNRP!BA:BA,,0)
-_xlfn.XLOOKUP(Outstanding_pos_BB_MSB[[#This Row],[BondsDeals_Id]],BS!AL:AL,BS!AR:AR,_xlfn.XLOOKUP(Outstanding_pos_BB_MSB[[#This Row],[BondsDeals_Id]],BS!BA:BA,BS!BQ:BQ,,0),0)-10^5)
*Outstanding_pos_BB_MSB[[#This Row],[Amt]]/10^5</f>
        <v>-18965702381.65831</v>
      </c>
      <c r="AU18" s="72">
        <f>VLOOKUP(Outstanding_pos_BB_MSB[[#This Row],[Bonds_ShortName]],FNRP!AV:CD,35,0)</f>
        <v>10000000</v>
      </c>
      <c r="AV18" s="157">
        <f>SUMIFS(AG$1:AG$103,AD$1:AD$103,Outstanding_pos_BB_MSB[[#This Row],[Bonds_ShortName]])/10^5-Outstanding_pos_BB_MSB[[#This Row],[Quantity FNRP]]</f>
        <v>0</v>
      </c>
      <c r="AW18" s="72">
        <f>IF(RPT-Outstanding_pos_BB_MSB[[#This Row],[Value Date]]&lt;=0,0,RPT-Outstanding_pos_BB_MSB[[#This Row],[Value Date]])</f>
        <v>966</v>
      </c>
      <c r="AX18" s="32" t="str">
        <f>INDEX(Ref!$I$1:$K$13,MATCH(Outstanding_pos_BB_MSB[[#This Row],[Tenor left]],Ref!$I$1:$I$13,1),3)</f>
        <v>15Y</v>
      </c>
      <c r="AY18" s="72" t="str">
        <f>_xlfn.XLOOKUP(Outstanding_pos_BB_MSB[[#This Row],[Time hold/Deal]],Ref!S:S,Ref!U:U,,-1)</f>
        <v>3Y</v>
      </c>
      <c r="BC18"/>
      <c r="BD18"/>
      <c r="BG18"/>
      <c r="BH18"/>
      <c r="BJ18"/>
      <c r="BN18"/>
      <c r="BO18"/>
      <c r="BQ18"/>
      <c r="BR18"/>
      <c r="BX18">
        <v>41165</v>
      </c>
      <c r="BY18" s="502">
        <v>45282</v>
      </c>
      <c r="BZ18" t="s">
        <v>2779</v>
      </c>
      <c r="CA18" t="s">
        <v>2180</v>
      </c>
      <c r="CB18" t="s">
        <v>907</v>
      </c>
      <c r="CC18" s="500">
        <v>300000000000</v>
      </c>
      <c r="CD18">
        <v>3.1</v>
      </c>
      <c r="CE18" s="502">
        <v>48900</v>
      </c>
      <c r="CF18">
        <v>2.8</v>
      </c>
      <c r="CG18">
        <v>7.25</v>
      </c>
      <c r="CH18" t="s">
        <v>2746</v>
      </c>
      <c r="CI18">
        <v>4.82</v>
      </c>
      <c r="CJ18" s="500">
        <v>-38673000000</v>
      </c>
      <c r="CK18">
        <v>6.1</v>
      </c>
      <c r="CL18" s="500">
        <v>-56132613.909999996</v>
      </c>
      <c r="CM18" s="500">
        <v>2336000000</v>
      </c>
      <c r="CN18">
        <v>46.36</v>
      </c>
      <c r="CO1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-36622050507.933922</v>
      </c>
      <c r="CP18" s="72">
        <f>RPT-VLOOKUP(Outstanding_pos_BB_SBV[[#This Row],[Bonds_ShortName]],CT:CU,2,0)</f>
        <v>607</v>
      </c>
      <c r="CQ18" s="157">
        <f>SUMIFS(CC:CC,BZ:BZ,Outstanding_pos_BB_SBV[[#This Row],[Bonds_ShortName]])/10^5-VLOOKUP(Outstanding_pos_BB_SBV[[#This Row],[Bonds_ShortName]],FNRP!EE:FL,34,0)</f>
        <v>0</v>
      </c>
      <c r="CT18" t="s">
        <v>2786</v>
      </c>
      <c r="CU18" s="502">
        <v>46226</v>
      </c>
      <c r="CX18" s="776">
        <v>45553</v>
      </c>
      <c r="CY18" s="776" t="s">
        <v>2843</v>
      </c>
      <c r="CZ18" s="776" t="s">
        <v>2180</v>
      </c>
      <c r="DA18" s="777">
        <v>200000000000</v>
      </c>
      <c r="DB18" s="776">
        <v>12.47</v>
      </c>
      <c r="DC18" s="778">
        <v>3.17</v>
      </c>
      <c r="DD18" s="72">
        <f>_xlfn.XLOOKUP(CX18,Outstanding_pos_BB_MSB[BondsDeals_Id],Outstanding_pos_BB_MSB[ItD adj])</f>
        <v>-33763473386.948231</v>
      </c>
      <c r="DE18" s="32">
        <f>_xlfn.XLOOKUP(CX18,Outstanding_pos_BB_MSB[BondsDeals_Id],Outstanding_pos_BB_MSB[Yield])</f>
        <v>3.17</v>
      </c>
      <c r="DF18" s="32">
        <f>_xlfn.XLOOKUP(TB_HTM[[#This Row],[Deal ID]],Outstanding_pos_BB_MSB[BondsDeals_Id],Outstanding_pos_BB_MSB[Total Rate])</f>
        <v>3.6</v>
      </c>
      <c r="DG18" s="124">
        <f>_xlfn.XLOOKUP(CX18,Outstanding_pos_BB_MSB[BondsDeals_Id],Outstanding_pos_BB_MSB[Mature Date])</f>
        <v>50726</v>
      </c>
      <c r="DH18" s="786">
        <f>(TB_HTM[[#This Row],[Amt]]/10^9)/(_xlfn.XLOOKUP(TB_HTM[[#This Row],[Bond code]],Bankingbook_MSB[Security Name],Bankingbook_MSB[QUANTITY])/10^4)</f>
        <v>1</v>
      </c>
      <c r="DI18" s="72">
        <f>_xlfn.XLOOKUP(TB_HTM[[#This Row],[Bond code]],Bankingbook_MSB[Security Name],Bankingbook_MSB[MARKET_VALUE])*TB_HTM[[#This Row],[% amt FNRP]]</f>
        <v>174668000000</v>
      </c>
      <c r="DJ18" s="71">
        <f>_xlfn.XLOOKUP(TB_HTM[[#This Row],[Bond code]],Bankingbook_MSB[Security Name],Bankingbook_MSB[BPV_edited])
/10^9*TB_HTM[[#This Row],[% amt FNRP]]</f>
        <v>-0.16535176017198308</v>
      </c>
      <c r="DK18" s="71">
        <f>TB_HTM[[#This Row],[Amt]]*TB_HTM[[#This Row],[Yield]]/10^5</f>
        <v>6340000</v>
      </c>
      <c r="DL18" s="71" t="str">
        <f>_xlfn.XLOOKUP(TB_HTM[[#This Row],[Bond code]],Bankingbook_MSB[Security Name],Bankingbook_MSB[Type])</f>
        <v>TPCPBL</v>
      </c>
      <c r="DM18" s="71" t="str">
        <f>_xlfn.XLOOKUP(TB_HTM[[#This Row],[Bond code]],Bankingbook_MSB[Security Name],Bankingbook_MSB[Issuer])</f>
        <v>VBS</v>
      </c>
      <c r="DN18" s="71" t="str">
        <f>_xlfn.XLOOKUP(TB_HTM[[#This Row],[Bond code]],Bankingbook_MSB[Security Name],Bankingbook_MSB[Tenor])</f>
        <v>15Y</v>
      </c>
      <c r="DO18" s="72">
        <f>SUMIFS(BS[MARKET VALUE],BS[BOND_CODE],TB_HTM[[#This Row],[Bond code]],BS[BOOK_FLAG],"B",BS[BAL],BS!$C$2)/10^9*TB_HTM[[#This Row],[% amt FNRP]]</f>
        <v>174.66800000000001</v>
      </c>
      <c r="DP18" s="71" cm="1">
        <f t="array" ref="DP18">_xlfn.IFNA(_xlfn.XLOOKUP(TB_HTM[[#This Row],[Deal ID]],RPBOD3[BondsDeals_Id],RPBOD3[PTCK_Remain]*RPBOD3[Quantity])/10^9,"N/A")</f>
        <v>8.431473386948241</v>
      </c>
      <c r="DQ18" s="71">
        <f>_xlfn.XLOOKUP(TB_HTM[[#This Row],[Bond code]],Bankingbook_MSB[Security Name],Bankingbook_MSB[Duration_edited])</f>
        <v>9.6479008700000009</v>
      </c>
      <c r="DR18" s="71">
        <f>_xlfn.XLOOKUP(TB_HTM[[#This Row],[Bond code]],Bankingbook_MSB[Security Name],Bankingbook_MSB[Modified Duration])</f>
        <v>9.1879176324688991</v>
      </c>
      <c r="DS18" s="71">
        <f>TB_HTM[[#This Row],[Duration]]*TB_HTM[[#This Row],[Market Value FNRP]]</f>
        <v>1685179549161.1602</v>
      </c>
      <c r="DT18" s="71">
        <f>TB_HTM[[#This Row],[Modified Duration]]*TB_HTM[[#This Row],[Market Value FNRP]]</f>
        <v>1604835197028.0776</v>
      </c>
      <c r="DU18" s="72">
        <f>_xlfn.XLOOKUP(TB_HTM[[#This Row],[Deal ID]],Outstanding_pos_BB_MSB[BondsDeals_Id],Outstanding_pos_BB_MSB[Time hold/Deal])</f>
        <v>538</v>
      </c>
      <c r="DV18" s="71" t="str">
        <f>_xlfn.XLOOKUP(TB_HTM[[#This Row],[Deal ID]],Outstanding_pos_BB_MSB[BondsDeals_Id],Outstanding_pos_BB_MSB[Time hold (Tenor)])</f>
        <v>1Y</v>
      </c>
      <c r="DW18" s="71"/>
      <c r="DY18" s="776">
        <v>45101</v>
      </c>
      <c r="DZ18" s="776" t="s">
        <v>2794</v>
      </c>
      <c r="EA18" s="776" t="s">
        <v>2180</v>
      </c>
      <c r="EB18" s="777">
        <v>50000000000</v>
      </c>
      <c r="EC18" s="776">
        <v>7.52</v>
      </c>
      <c r="ED18" s="778">
        <v>2.2000000000000002</v>
      </c>
      <c r="EE18" s="72">
        <f>_xlfn.XLOOKUP(DY18,Outstanding_pos_BB_MSB[BondsDeals_Id],Outstanding_pos_BB_MSB[ItD adj])</f>
        <v>-6533834011.1301365</v>
      </c>
      <c r="EF18" s="32">
        <f>_xlfn.XLOOKUP(DY18,Outstanding_pos_BB_MSB[BondsDeals_Id],Outstanding_pos_BB_MSB[Yield])</f>
        <v>2.2000000000000002</v>
      </c>
      <c r="EG18" s="71">
        <f>_xlfn.XLOOKUP(BB_tufund[[#This Row],[Deal ID]],Outstanding_pos_BB_MSB[BondsDeals_Id],Outstanding_pos_BB_MSB[Total Rate])</f>
        <v>2.2000000000000002</v>
      </c>
      <c r="EH18" s="124">
        <f>_xlfn.XLOOKUP(DY18,Outstanding_pos_BB_MSB[BondsDeals_Id],Outstanding_pos_BB_MSB[Mature Date])</f>
        <v>48920</v>
      </c>
      <c r="EI18" s="787">
        <f>(BB_tufund[[#This Row],[Amt]]/10^9)/(_xlfn.XLOOKUP(BB_tufund[[#This Row],[Bond code]],Bankingbook_MSB[Security Name],Bankingbook_MSB[QUANTITY])/10^4)</f>
        <v>1</v>
      </c>
      <c r="EJ18" s="72">
        <f>_xlfn.XLOOKUP(BB_tufund[[#This Row],[Bond code]],Bankingbook_MSB[Security Name],Bankingbook_MSB[MARKET_VALUE])*BB_tufund[[#This Row],[% amt FNRP]]</f>
        <v>43465500000</v>
      </c>
      <c r="EK18" s="71">
        <f>_xlfn.XLOOKUP(BB_tufund[[#This Row],[Bond code]],Bankingbook_MSB[Security Name],Bankingbook_MSB[BPV_edited])
/10^9*BB_tufund[[#This Row],[% amt FNRP]]</f>
        <v>-2.8271899782660787E-2</v>
      </c>
    </row>
    <row r="19" spans="2:141" x14ac:dyDescent="0.3">
      <c r="B19">
        <v>47257</v>
      </c>
      <c r="C19" s="35">
        <v>45891</v>
      </c>
      <c r="D19" t="s">
        <v>2799</v>
      </c>
      <c r="E19" t="s">
        <v>825</v>
      </c>
      <c r="F19" t="s">
        <v>823</v>
      </c>
      <c r="G19" s="500">
        <v>50000000000</v>
      </c>
      <c r="H19">
        <v>2.1</v>
      </c>
      <c r="I19" t="s">
        <v>3450</v>
      </c>
      <c r="J19">
        <v>3.44</v>
      </c>
      <c r="K19">
        <v>7.41</v>
      </c>
      <c r="L19" t="s">
        <v>2746</v>
      </c>
      <c r="M19">
        <v>4.33</v>
      </c>
      <c r="N19" s="37">
        <v>-2116000000</v>
      </c>
      <c r="O19">
        <v>6.51</v>
      </c>
      <c r="P19" s="500">
        <v>-56886365.280000001</v>
      </c>
      <c r="Q19" s="500">
        <v>1260000000</v>
      </c>
      <c r="R19">
        <v>51.13</v>
      </c>
      <c r="S1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-2684927053.900363</v>
      </c>
      <c r="T19" s="72">
        <f>VLOOKUP(Outstanding_pos_TB_MSB[[#This Row],[Bonds_ShortName]],FNRP!D:J,7,0)</f>
        <v>4000000</v>
      </c>
      <c r="U19" s="72">
        <f>SUMIFS(Outstanding_pos_TB_MSB[Amt],Outstanding_pos_TB_MSB[Bonds_ShortName],Outstanding_pos_TB_MSB[[#This Row],[Bonds_ShortName]])/100000-Outstanding_pos_TB_MSB[[#This Row],[Quantity FNRP]]</f>
        <v>0</v>
      </c>
      <c r="V19" s="162" t="str">
        <f>INDEX(Ref!$I$1:$K$13,MATCH(Outstanding_pos_TB_MSB[[#This Row],[Tenor left]],Ref!$I$1:$I$13,1),3)</f>
        <v>7Y</v>
      </c>
      <c r="W19" s="72">
        <f>IF(RPT-VLOOKUP(Outstanding_pos_TB_MSB[[#This Row],[Bonds_ShortName]],CT:CU,2,0)&lt;=0,0,RPT-VLOOKUP(Outstanding_pos_TB_MSB[[#This Row],[Bonds_ShortName]],CT:CU,2,0))</f>
        <v>42</v>
      </c>
      <c r="X19" s="72">
        <f>IF(RPT-Outstanding_pos_TB_MSB[[#This Row],[VALUE_DATE]]&lt;=0,0,RPT-Outstanding_pos_TB_MSB[[#This Row],[VALUE_DATE]])</f>
        <v>361</v>
      </c>
      <c r="Y19" s="72" t="str">
        <f>_xlfn.XLOOKUP(Outstanding_pos_TB_MSB[[#This Row],[Time hold/Deal]],Ref!S:S,Ref!U:U,,-1)</f>
        <v>1Y</v>
      </c>
      <c r="AB19">
        <v>41176</v>
      </c>
      <c r="AC19" s="35">
        <v>45287</v>
      </c>
      <c r="AD19" t="s">
        <v>703</v>
      </c>
      <c r="AE19" t="s">
        <v>2180</v>
      </c>
      <c r="AF19" t="s">
        <v>823</v>
      </c>
      <c r="AG19" s="500">
        <v>200000000000</v>
      </c>
      <c r="AH19">
        <v>2.2000000000000002</v>
      </c>
      <c r="AI19">
        <v>49927</v>
      </c>
      <c r="AJ19">
        <v>2.41</v>
      </c>
      <c r="AK19">
        <v>10.07</v>
      </c>
      <c r="AL19" s="645" t="s">
        <v>2743</v>
      </c>
      <c r="AM19">
        <v>4.45</v>
      </c>
      <c r="AN19" s="500">
        <v>-31368000000</v>
      </c>
      <c r="AO19">
        <v>8.42</v>
      </c>
      <c r="AP19">
        <v>-70826550.109999999</v>
      </c>
      <c r="AQ19">
        <v>2073000000</v>
      </c>
      <c r="AR19">
        <v>85.85</v>
      </c>
      <c r="AS19" s="72">
        <f>SUM(_xlfn.IFNA(VLOOKUP(Outstanding_pos_BB_MSB[[#This Row],[Bonds_ShortName]],FNRP!AV:BA,6,0)*Outstanding_pos_BB_MSB[[#This Row],[Amt]]/10^4,0),_xlfn.IFNA((VLOOKUP(Outstanding_pos_BB_MSB[[#This Row],[Bonds_ShortName]],FNRP!IK:IP,6,0)*Outstanding_pos_BB_MSB[[#This Row],[Amt]]/10^4),0))</f>
        <v>1641360000000</v>
      </c>
      <c r="AT19" s="72">
        <f>(_xlfn.XLOOKUP(Outstanding_pos_BB_MSB[[#This Row],[Bonds_ShortName]],FNRP!AV:AV,FNRP!BA:BA,,0)
-_xlfn.XLOOKUP(Outstanding_pos_BB_MSB[[#This Row],[BondsDeals_Id]],BS!AL:AL,BS!AR:AR,_xlfn.XLOOKUP(Outstanding_pos_BB_MSB[[#This Row],[BondsDeals_Id]],BS!BA:BA,BS!BQ:BQ,,0),0)-10^5)
*Outstanding_pos_BB_MSB[[#This Row],[Amt]]/10^5</f>
        <v>-32310052294.139809</v>
      </c>
      <c r="AU19" s="72">
        <f>VLOOKUP(Outstanding_pos_BB_MSB[[#This Row],[Bonds_ShortName]],FNRP!AV:CD,35,0)</f>
        <v>2500000</v>
      </c>
      <c r="AV19" s="157">
        <f>SUMIFS(AG$1:AG$103,AD$1:AD$103,Outstanding_pos_BB_MSB[[#This Row],[Bonds_ShortName]])/10^5-Outstanding_pos_BB_MSB[[#This Row],[Quantity FNRP]]</f>
        <v>0</v>
      </c>
      <c r="AW19" s="72">
        <f>IF(RPT-Outstanding_pos_BB_MSB[[#This Row],[Value Date]]&lt;=0,0,RPT-Outstanding_pos_BB_MSB[[#This Row],[Value Date]])</f>
        <v>965</v>
      </c>
      <c r="AX19" s="32" t="str">
        <f>INDEX(Ref!$I$1:$K$13,MATCH(Outstanding_pos_BB_MSB[[#This Row],[Tenor left]],Ref!$I$1:$I$13,1),3)</f>
        <v>10Y</v>
      </c>
      <c r="AY19" s="72" t="str">
        <f>_xlfn.XLOOKUP(Outstanding_pos_BB_MSB[[#This Row],[Time hold/Deal]],Ref!S:S,Ref!U:U,,-1)</f>
        <v>3Y</v>
      </c>
      <c r="BC19"/>
      <c r="BD19"/>
      <c r="BG19"/>
      <c r="BH19"/>
      <c r="BJ19"/>
      <c r="BN19"/>
      <c r="BO19"/>
      <c r="BQ19"/>
      <c r="BR19"/>
      <c r="BX19">
        <v>41175</v>
      </c>
      <c r="BY19" s="502">
        <v>45286</v>
      </c>
      <c r="BZ19" t="s">
        <v>713</v>
      </c>
      <c r="CA19" t="s">
        <v>2180</v>
      </c>
      <c r="CB19" t="s">
        <v>823</v>
      </c>
      <c r="CC19" s="500">
        <v>100000000000</v>
      </c>
      <c r="CD19">
        <v>3.3</v>
      </c>
      <c r="CE19" s="502">
        <v>51368</v>
      </c>
      <c r="CF19">
        <v>2.74</v>
      </c>
      <c r="CG19">
        <v>14.01</v>
      </c>
      <c r="CH19" t="s">
        <v>2740</v>
      </c>
      <c r="CI19">
        <v>4.55</v>
      </c>
      <c r="CJ19" s="500">
        <v>-20137000000</v>
      </c>
      <c r="CK19">
        <v>10.73</v>
      </c>
      <c r="CL19" s="500">
        <v>-93621000.530000001</v>
      </c>
      <c r="CM19" s="500">
        <v>-9000000</v>
      </c>
      <c r="CN19">
        <v>142.36000000000001</v>
      </c>
      <c r="CO1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-18965702381.65831</v>
      </c>
      <c r="CP19" s="72">
        <f>RPT-VLOOKUP(Outstanding_pos_BB_SBV[[#This Row],[Bonds_ShortName]],CT:CU,2,0)</f>
        <v>575</v>
      </c>
      <c r="CQ19" s="157">
        <f>SUMIFS(CC:CC,BZ:BZ,Outstanding_pos_BB_SBV[[#This Row],[Bonds_ShortName]])/10^5-VLOOKUP(Outstanding_pos_BB_SBV[[#This Row],[Bonds_ShortName]],FNRP!EE:FL,34,0)</f>
        <v>0</v>
      </c>
      <c r="CT19" t="s">
        <v>2836</v>
      </c>
      <c r="CU19" s="502">
        <v>46261</v>
      </c>
      <c r="CX19" s="776">
        <v>45554</v>
      </c>
      <c r="CY19" s="776" t="s">
        <v>2788</v>
      </c>
      <c r="CZ19" s="776" t="s">
        <v>2180</v>
      </c>
      <c r="DA19" s="777">
        <v>200000000000</v>
      </c>
      <c r="DB19" s="776">
        <v>12.52</v>
      </c>
      <c r="DC19" s="778">
        <v>3.15</v>
      </c>
      <c r="DD19" s="72">
        <f>_xlfn.XLOOKUP(CX19,Outstanding_pos_BB_MSB[BondsDeals_Id],Outstanding_pos_BB_MSB[ItD adj])</f>
        <v>-33448138211.824928</v>
      </c>
      <c r="DE19" s="32">
        <f>_xlfn.XLOOKUP(CX19,Outstanding_pos_BB_MSB[BondsDeals_Id],Outstanding_pos_BB_MSB[Yield])</f>
        <v>3.15</v>
      </c>
      <c r="DF19" s="32">
        <f>_xlfn.XLOOKUP(TB_HTM[[#This Row],[Deal ID]],Outstanding_pos_BB_MSB[BondsDeals_Id],Outstanding_pos_BB_MSB[Total Rate])</f>
        <v>3.1</v>
      </c>
      <c r="DG19" s="124">
        <f>_xlfn.XLOOKUP(CX19,Outstanding_pos_BB_MSB[BondsDeals_Id],Outstanding_pos_BB_MSB[Mature Date])</f>
        <v>50744</v>
      </c>
      <c r="DH19" s="786">
        <f>(TB_HTM[[#This Row],[Amt]]/10^9)/(_xlfn.XLOOKUP(TB_HTM[[#This Row],[Bond code]],Bankingbook_MSB[Security Name],Bankingbook_MSB[QUANTITY])/10^4)</f>
        <v>0.20725388601036268</v>
      </c>
      <c r="DI19" s="72">
        <f>_xlfn.XLOOKUP(TB_HTM[[#This Row],[Bond code]],Bankingbook_MSB[Security Name],Bankingbook_MSB[MARKET_VALUE])*TB_HTM[[#This Row],[% amt FNRP]]</f>
        <v>165552000000</v>
      </c>
      <c r="DJ19" s="71">
        <f>_xlfn.XLOOKUP(TB_HTM[[#This Row],[Bond code]],Bankingbook_MSB[Security Name],Bankingbook_MSB[BPV_edited])
/10^9*TB_HTM[[#This Row],[% amt FNRP]]</f>
        <v>-0.16057347661461191</v>
      </c>
      <c r="DK19" s="71">
        <f>TB_HTM[[#This Row],[Amt]]*TB_HTM[[#This Row],[Yield]]/10^5</f>
        <v>6300000</v>
      </c>
      <c r="DL19" s="71" t="str">
        <f>_xlfn.XLOOKUP(TB_HTM[[#This Row],[Bond code]],Bankingbook_MSB[Security Name],Bankingbook_MSB[Type])</f>
        <v>TPCPBL</v>
      </c>
      <c r="DM19" s="71" t="str">
        <f>_xlfn.XLOOKUP(TB_HTM[[#This Row],[Bond code]],Bankingbook_MSB[Security Name],Bankingbook_MSB[Issuer])</f>
        <v>VDB</v>
      </c>
      <c r="DN19" s="71" t="str">
        <f>_xlfn.XLOOKUP(TB_HTM[[#This Row],[Bond code]],Bankingbook_MSB[Security Name],Bankingbook_MSB[Tenor])</f>
        <v>15Y</v>
      </c>
      <c r="DO19" s="72">
        <f>SUMIFS(BS[MARKET VALUE],BS[BOND_CODE],TB_HTM[[#This Row],[Bond code]],BS[BOOK_FLAG],"B",BS[BAL],BS!$C$2)/10^9*TB_HTM[[#This Row],[% amt FNRP]]</f>
        <v>165.55199999999999</v>
      </c>
      <c r="DP19" s="71" cm="1">
        <f t="array" ref="DP19">_xlfn.IFNA(_xlfn.XLOOKUP(TB_HTM[[#This Row],[Deal ID]],RPBOD3[BondsDeals_Id],RPBOD3[PTCK_Remain]*RPBOD3[Quantity])/10^9,"N/A")</f>
        <v>-0.999861788175059</v>
      </c>
      <c r="DQ19" s="71">
        <f>_xlfn.XLOOKUP(TB_HTM[[#This Row],[Bond code]],Bankingbook_MSB[Security Name],Bankingbook_MSB[Duration_edited])</f>
        <v>9.9302273299999992</v>
      </c>
      <c r="DR19" s="71">
        <f>_xlfn.XLOOKUP(TB_HTM[[#This Row],[Bond code]],Bankingbook_MSB[Security Name],Bankingbook_MSB[Modified Duration])</f>
        <v>9.4566633678730998</v>
      </c>
      <c r="DS19" s="71">
        <f>TB_HTM[[#This Row],[Duration]]*TB_HTM[[#This Row],[Market Value FNRP]]</f>
        <v>1643968994936.1599</v>
      </c>
      <c r="DT19" s="71">
        <f>TB_HTM[[#This Row],[Modified Duration]]*TB_HTM[[#This Row],[Market Value FNRP]]</f>
        <v>1565569533878.1274</v>
      </c>
      <c r="DU19" s="72">
        <f>_xlfn.XLOOKUP(TB_HTM[[#This Row],[Deal ID]],Outstanding_pos_BB_MSB[BondsDeals_Id],Outstanding_pos_BB_MSB[Time hold/Deal])</f>
        <v>538</v>
      </c>
      <c r="DV19" s="71" t="str">
        <f>_xlfn.XLOOKUP(TB_HTM[[#This Row],[Deal ID]],Outstanding_pos_BB_MSB[BondsDeals_Id],Outstanding_pos_BB_MSB[Time hold (Tenor)])</f>
        <v>1Y</v>
      </c>
      <c r="DW19" s="71"/>
      <c r="DY19" s="776">
        <v>42091</v>
      </c>
      <c r="DZ19" s="776" t="s">
        <v>665</v>
      </c>
      <c r="EA19" s="776" t="s">
        <v>2180</v>
      </c>
      <c r="EB19" s="777">
        <v>300000000000</v>
      </c>
      <c r="EC19" s="776">
        <v>7.59</v>
      </c>
      <c r="ED19" s="778">
        <v>2.33</v>
      </c>
      <c r="EE19" s="72">
        <f>_xlfn.XLOOKUP(DY19,Outstanding_pos_BB_MSB[BondsDeals_Id],Outstanding_pos_BB_MSB[ItD adj])</f>
        <v>-40140793681.173889</v>
      </c>
      <c r="EF19" s="32">
        <f>_xlfn.XLOOKUP(DY19,Outstanding_pos_BB_MSB[BondsDeals_Id],Outstanding_pos_BB_MSB[Yield])</f>
        <v>2.33</v>
      </c>
      <c r="EG19" s="71">
        <f>_xlfn.XLOOKUP(BB_tufund[[#This Row],[Deal ID]],Outstanding_pos_BB_MSB[BondsDeals_Id],Outstanding_pos_BB_MSB[Total Rate])</f>
        <v>5.3</v>
      </c>
      <c r="EH19" s="124">
        <f>_xlfn.XLOOKUP(DY19,Outstanding_pos_BB_MSB[BondsDeals_Id],Outstanding_pos_BB_MSB[Mature Date])</f>
        <v>48947</v>
      </c>
      <c r="EI19" s="787">
        <f>(BB_tufund[[#This Row],[Amt]]/10^9)/(_xlfn.XLOOKUP(BB_tufund[[#This Row],[Bond code]],Bankingbook_MSB[Security Name],Bankingbook_MSB[QUANTITY])/10^4)</f>
        <v>1</v>
      </c>
      <c r="EJ19" s="72">
        <f>_xlfn.XLOOKUP(BB_tufund[[#This Row],[Bond code]],Bankingbook_MSB[Security Name],Bankingbook_MSB[MARKET_VALUE])*BB_tufund[[#This Row],[% amt FNRP]]</f>
        <v>318039000000</v>
      </c>
      <c r="EK19" s="71">
        <f>_xlfn.XLOOKUP(BB_tufund[[#This Row],[Bond code]],Bankingbook_MSB[Security Name],Bankingbook_MSB[BPV_edited])
/10^9*BB_tufund[[#This Row],[% amt FNRP]]</f>
        <v>-0.19315285427630988</v>
      </c>
    </row>
    <row r="20" spans="2:141" x14ac:dyDescent="0.3">
      <c r="B20">
        <v>47399</v>
      </c>
      <c r="C20" s="35">
        <v>45911</v>
      </c>
      <c r="D20" t="s">
        <v>1205</v>
      </c>
      <c r="E20" t="s">
        <v>824</v>
      </c>
      <c r="F20" t="s">
        <v>823</v>
      </c>
      <c r="G20" s="500">
        <v>50000000000</v>
      </c>
      <c r="H20">
        <v>5.3</v>
      </c>
      <c r="I20" t="s">
        <v>2830</v>
      </c>
      <c r="J20">
        <v>3.15</v>
      </c>
      <c r="K20">
        <v>7.33</v>
      </c>
      <c r="L20" t="s">
        <v>2746</v>
      </c>
      <c r="M20">
        <v>4.32</v>
      </c>
      <c r="N20" s="37">
        <v>-4704500000</v>
      </c>
      <c r="O20">
        <v>5.84</v>
      </c>
      <c r="P20" s="500">
        <v>-63973919.689999998</v>
      </c>
      <c r="Q20" s="500">
        <v>3601000000</v>
      </c>
      <c r="R20">
        <v>44.07</v>
      </c>
      <c r="S2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-3831249335.5141993</v>
      </c>
      <c r="T20" s="72">
        <f>VLOOKUP(Outstanding_pos_TB_MSB[[#This Row],[Bonds_ShortName]],FNRP!D:J,7,0)</f>
        <v>1000000</v>
      </c>
      <c r="U20" s="72">
        <f>SUMIFS(Outstanding_pos_TB_MSB[Amt],Outstanding_pos_TB_MSB[Bonds_ShortName],Outstanding_pos_TB_MSB[[#This Row],[Bonds_ShortName]])/100000-Outstanding_pos_TB_MSB[[#This Row],[Quantity FNRP]]</f>
        <v>0</v>
      </c>
      <c r="V20" s="162" t="str">
        <f>INDEX(Ref!$I$1:$K$13,MATCH(Outstanding_pos_TB_MSB[[#This Row],[Tenor left]],Ref!$I$1:$I$13,1),3)</f>
        <v>7Y</v>
      </c>
      <c r="W20" s="72">
        <f>IF(RPT-VLOOKUP(Outstanding_pos_TB_MSB[[#This Row],[Bonds_ShortName]],CT:CU,2,0)&lt;=0,0,RPT-VLOOKUP(Outstanding_pos_TB_MSB[[#This Row],[Bonds_ShortName]],CT:CU,2,0))</f>
        <v>300</v>
      </c>
      <c r="X20" s="72">
        <f>IF(RPT-Outstanding_pos_TB_MSB[[#This Row],[VALUE_DATE]]&lt;=0,0,RPT-Outstanding_pos_TB_MSB[[#This Row],[VALUE_DATE]])</f>
        <v>341</v>
      </c>
      <c r="Y20" s="72" t="str">
        <f>_xlfn.XLOOKUP(Outstanding_pos_TB_MSB[[#This Row],[Time hold/Deal]],Ref!S:S,Ref!U:U,,-1)</f>
        <v>1Y</v>
      </c>
      <c r="AB20">
        <v>41177</v>
      </c>
      <c r="AC20" s="35">
        <v>45287</v>
      </c>
      <c r="AD20" t="s">
        <v>711</v>
      </c>
      <c r="AE20" t="s">
        <v>2180</v>
      </c>
      <c r="AF20" t="s">
        <v>823</v>
      </c>
      <c r="AG20" s="500">
        <v>50000000000</v>
      </c>
      <c r="AH20">
        <v>4.9000000000000004</v>
      </c>
      <c r="AI20">
        <v>51025</v>
      </c>
      <c r="AJ20">
        <v>2.5</v>
      </c>
      <c r="AK20">
        <v>13.07</v>
      </c>
      <c r="AL20" s="645" t="s">
        <v>2740</v>
      </c>
      <c r="AM20">
        <v>4.53</v>
      </c>
      <c r="AN20" s="500">
        <v>-13625000000</v>
      </c>
      <c r="AO20">
        <v>9.17</v>
      </c>
      <c r="AP20">
        <v>-99256443.560000002</v>
      </c>
      <c r="AQ20">
        <v>4578000000</v>
      </c>
      <c r="AR20">
        <v>111.88</v>
      </c>
      <c r="AS20" s="72">
        <f>SUM(_xlfn.IFNA(VLOOKUP(Outstanding_pos_BB_MSB[[#This Row],[Bonds_ShortName]],FNRP!AV:BA,6,0)*Outstanding_pos_BB_MSB[[#This Row],[Amt]]/10^4,0),_xlfn.IFNA((VLOOKUP(Outstanding_pos_BB_MSB[[#This Row],[Bonds_ShortName]],FNRP!IK:IP,6,0)*Outstanding_pos_BB_MSB[[#This Row],[Amt]]/10^4),0))</f>
        <v>518030000000</v>
      </c>
      <c r="AT20" s="72">
        <f>(_xlfn.XLOOKUP(Outstanding_pos_BB_MSB[[#This Row],[Bonds_ShortName]],FNRP!AV:AV,FNRP!BA:BA,,0)
-_xlfn.XLOOKUP(Outstanding_pos_BB_MSB[[#This Row],[BondsDeals_Id]],BS!AL:AL,BS!AR:AR,_xlfn.XLOOKUP(Outstanding_pos_BB_MSB[[#This Row],[BondsDeals_Id]],BS!BA:BA,BS!BQ:BQ,,0),0)-10^5)
*Outstanding_pos_BB_MSB[[#This Row],[Amt]]/10^5</f>
        <v>-11027623234.614599</v>
      </c>
      <c r="AU20" s="72">
        <f>VLOOKUP(Outstanding_pos_BB_MSB[[#This Row],[Bonds_ShortName]],FNRP!AV:CD,35,0)</f>
        <v>1428209</v>
      </c>
      <c r="AV20" s="157">
        <f>SUMIFS(AG$1:AG$103,AD$1:AD$103,Outstanding_pos_BB_MSB[[#This Row],[Bonds_ShortName]])/10^5-Outstanding_pos_BB_MSB[[#This Row],[Quantity FNRP]]</f>
        <v>0</v>
      </c>
      <c r="AW20" s="72">
        <f>IF(RPT-Outstanding_pos_BB_MSB[[#This Row],[Value Date]]&lt;=0,0,RPT-Outstanding_pos_BB_MSB[[#This Row],[Value Date]])</f>
        <v>965</v>
      </c>
      <c r="AX20" s="32" t="str">
        <f>INDEX(Ref!$I$1:$K$13,MATCH(Outstanding_pos_BB_MSB[[#This Row],[Tenor left]],Ref!$I$1:$I$13,1),3)</f>
        <v>15Y</v>
      </c>
      <c r="AY20" s="72" t="str">
        <f>_xlfn.XLOOKUP(Outstanding_pos_BB_MSB[[#This Row],[Time hold/Deal]],Ref!S:S,Ref!U:U,,-1)</f>
        <v>3Y</v>
      </c>
      <c r="BC20"/>
      <c r="BD20"/>
      <c r="BG20"/>
      <c r="BH20"/>
      <c r="BJ20"/>
      <c r="BN20"/>
      <c r="BO20"/>
      <c r="BQ20"/>
      <c r="BR20"/>
      <c r="BX20">
        <v>41176</v>
      </c>
      <c r="BY20" s="502">
        <v>45287</v>
      </c>
      <c r="BZ20" t="s">
        <v>703</v>
      </c>
      <c r="CA20" t="s">
        <v>2180</v>
      </c>
      <c r="CB20" t="s">
        <v>823</v>
      </c>
      <c r="CC20" s="500">
        <v>200000000000</v>
      </c>
      <c r="CD20">
        <v>2.2000000000000002</v>
      </c>
      <c r="CE20" s="502">
        <v>49927</v>
      </c>
      <c r="CF20">
        <v>2.41</v>
      </c>
      <c r="CG20">
        <v>10.07</v>
      </c>
      <c r="CH20" t="s">
        <v>2743</v>
      </c>
      <c r="CI20">
        <v>4.45</v>
      </c>
      <c r="CJ20" s="500">
        <v>-31368000000</v>
      </c>
      <c r="CK20">
        <v>8.42</v>
      </c>
      <c r="CL20" s="500">
        <v>-70826550.109999999</v>
      </c>
      <c r="CM20" s="500">
        <v>2073000000</v>
      </c>
      <c r="CN20">
        <v>85.85</v>
      </c>
      <c r="CO2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-32310052294.139809</v>
      </c>
      <c r="CP20" s="72">
        <f>RPT-VLOOKUP(Outstanding_pos_BB_SBV[[#This Row],[Bonds_ShortName]],CT:CU,2,0)</f>
        <v>599</v>
      </c>
      <c r="CQ20" s="157">
        <f>SUMIFS(CC:CC,BZ:BZ,Outstanding_pos_BB_SBV[[#This Row],[Bonds_ShortName]])/10^5-VLOOKUP(Outstanding_pos_BB_SBV[[#This Row],[Bonds_ShortName]],FNRP!EE:FL,34,0)</f>
        <v>0</v>
      </c>
      <c r="CT20" t="s">
        <v>2835</v>
      </c>
      <c r="CU20" s="502">
        <v>46252</v>
      </c>
      <c r="CX20" s="776">
        <v>46965</v>
      </c>
      <c r="CY20" s="776" t="s">
        <v>669</v>
      </c>
      <c r="CZ20" s="776" t="s">
        <v>2180</v>
      </c>
      <c r="DA20" s="777">
        <v>250000000000</v>
      </c>
      <c r="DB20" s="776">
        <v>8.15</v>
      </c>
      <c r="DC20" s="778">
        <v>2.63</v>
      </c>
      <c r="DD20" s="72">
        <f>_xlfn.XLOOKUP(CX20,Outstanding_pos_BB_MSB[BondsDeals_Id],Outstanding_pos_BB_MSB[ItD adj])</f>
        <v>-30324736496.557598</v>
      </c>
      <c r="DE20" s="32">
        <f>_xlfn.XLOOKUP(CX20,Outstanding_pos_BB_MSB[BondsDeals_Id],Outstanding_pos_BB_MSB[Yield])</f>
        <v>2.63</v>
      </c>
      <c r="DF20" s="32">
        <f>_xlfn.XLOOKUP(TB_HTM[[#This Row],[Deal ID]],Outstanding_pos_BB_MSB[BondsDeals_Id],Outstanding_pos_BB_MSB[Total Rate])</f>
        <v>4.5999999999999996</v>
      </c>
      <c r="DG20" s="124">
        <f>_xlfn.XLOOKUP(CX20,Outstanding_pos_BB_MSB[BondsDeals_Id],Outstanding_pos_BB_MSB[Mature Date])</f>
        <v>49150</v>
      </c>
      <c r="DH20" s="786">
        <f>(TB_HTM[[#This Row],[Amt]]/10^9)/(_xlfn.XLOOKUP(TB_HTM[[#This Row],[Bond code]],Bankingbook_MSB[Security Name],Bankingbook_MSB[QUANTITY])/10^4)</f>
        <v>0.7142857142857143</v>
      </c>
      <c r="DI20" s="72">
        <f>_xlfn.XLOOKUP(TB_HTM[[#This Row],[Bond code]],Bankingbook_MSB[Security Name],Bankingbook_MSB[MARKET_VALUE])*TB_HTM[[#This Row],[% amt FNRP]]</f>
        <v>254067500000</v>
      </c>
      <c r="DJ20" s="71">
        <f>_xlfn.XLOOKUP(TB_HTM[[#This Row],[Bond code]],Bankingbook_MSB[Security Name],Bankingbook_MSB[BPV_edited])
/10^9*TB_HTM[[#This Row],[% amt FNRP]]</f>
        <v>-0.16637811651982481</v>
      </c>
      <c r="DK20" s="71">
        <f>TB_HTM[[#This Row],[Amt]]*TB_HTM[[#This Row],[Yield]]/10^5</f>
        <v>6575000</v>
      </c>
      <c r="DL20" s="71" t="str">
        <f>_xlfn.XLOOKUP(TB_HTM[[#This Row],[Bond code]],Bankingbook_MSB[Security Name],Bankingbook_MSB[Type])</f>
        <v>TPCP</v>
      </c>
      <c r="DM20" s="71" t="str">
        <f>_xlfn.XLOOKUP(TB_HTM[[#This Row],[Bond code]],Bankingbook_MSB[Security Name],Bankingbook_MSB[Issuer])</f>
        <v>KBNN</v>
      </c>
      <c r="DN20" s="71" t="str">
        <f>_xlfn.XLOOKUP(TB_HTM[[#This Row],[Bond code]],Bankingbook_MSB[Security Name],Bankingbook_MSB[Tenor])</f>
        <v>10Y</v>
      </c>
      <c r="DO20" s="72">
        <f>SUMIFS(BS[MARKET VALUE],BS[BOND_CODE],TB_HTM[[#This Row],[Bond code]],BS[BOOK_FLAG],"B",BS[BAL],BS!$C$2)/10^9*TB_HTM[[#This Row],[% amt FNRP]]</f>
        <v>254.0675</v>
      </c>
      <c r="DP20" s="71" cm="1">
        <f t="array" ref="DP20">_xlfn.IFNA(_xlfn.XLOOKUP(TB_HTM[[#This Row],[Deal ID]],RPBOD3[BondsDeals_Id],RPBOD3[PTCK_Remain]*RPBOD3[Quantity])/10^9,"N/A")</f>
        <v>34.392236496557601</v>
      </c>
      <c r="DQ20" s="71">
        <f>_xlfn.XLOOKUP(TB_HTM[[#This Row],[Bond code]],Bankingbook_MSB[Security Name],Bankingbook_MSB[Duration_edited])</f>
        <v>6.8161119299999999</v>
      </c>
      <c r="DR20" s="71">
        <f>_xlfn.XLOOKUP(TB_HTM[[#This Row],[Bond code]],Bankingbook_MSB[Security Name],Bankingbook_MSB[Modified Duration])</f>
        <v>6.5318287642229</v>
      </c>
      <c r="DS20" s="71">
        <f>TB_HTM[[#This Row],[Duration]]*TB_HTM[[#This Row],[Market Value FNRP]]</f>
        <v>1731752517775.2749</v>
      </c>
      <c r="DT20" s="71">
        <f>TB_HTM[[#This Row],[Modified Duration]]*TB_HTM[[#This Row],[Market Value FNRP]]</f>
        <v>1659525404554.2017</v>
      </c>
      <c r="DU20" s="72">
        <f>_xlfn.XLOOKUP(TB_HTM[[#This Row],[Deal ID]],Outstanding_pos_BB_MSB[BondsDeals_Id],Outstanding_pos_BB_MSB[Time hold/Deal])</f>
        <v>383</v>
      </c>
      <c r="DV20" s="71" t="str">
        <f>_xlfn.XLOOKUP(TB_HTM[[#This Row],[Deal ID]],Outstanding_pos_BB_MSB[BondsDeals_Id],Outstanding_pos_BB_MSB[Time hold (Tenor)])</f>
        <v>1Y</v>
      </c>
      <c r="DW20" s="71"/>
      <c r="DY20" s="776">
        <v>41982</v>
      </c>
      <c r="DZ20" s="776" t="s">
        <v>2799</v>
      </c>
      <c r="EA20" s="776" t="s">
        <v>2180</v>
      </c>
      <c r="EB20" s="777">
        <v>100000000000</v>
      </c>
      <c r="EC20" s="776">
        <v>7.61</v>
      </c>
      <c r="ED20" s="778">
        <v>2.2400000000000002</v>
      </c>
      <c r="EE20" s="72">
        <f>_xlfn.XLOOKUP(DY20,Outstanding_pos_BB_MSB[BondsDeals_Id],Outstanding_pos_BB_MSB[ItD adj])</f>
        <v>-12939031691.841927</v>
      </c>
      <c r="EF20" s="32">
        <f>_xlfn.XLOOKUP(DY20,Outstanding_pos_BB_MSB[BondsDeals_Id],Outstanding_pos_BB_MSB[Yield])</f>
        <v>2.2400000000000002</v>
      </c>
      <c r="EG20" s="71">
        <f>_xlfn.XLOOKUP(BB_tufund[[#This Row],[Deal ID]],Outstanding_pos_BB_MSB[BondsDeals_Id],Outstanding_pos_BB_MSB[Total Rate])</f>
        <v>2.1</v>
      </c>
      <c r="EH20" s="124">
        <f>_xlfn.XLOOKUP(DY20,Outstanding_pos_BB_MSB[BondsDeals_Id],Outstanding_pos_BB_MSB[Mature Date])</f>
        <v>48955</v>
      </c>
      <c r="EI20" s="787">
        <f>(BB_tufund[[#This Row],[Amt]]/10^9)/(_xlfn.XLOOKUP(BB_tufund[[#This Row],[Bond code]],Bankingbook_MSB[Security Name],Bankingbook_MSB[QUANTITY])/10^4)</f>
        <v>0.2857142857142857</v>
      </c>
      <c r="EJ20" s="72">
        <f>_xlfn.XLOOKUP(BB_tufund[[#This Row],[Bond code]],Bankingbook_MSB[Security Name],Bankingbook_MSB[MARKET_VALUE])*BB_tufund[[#This Row],[% amt FNRP]]</f>
        <v>86137000000</v>
      </c>
      <c r="EK20" s="71">
        <f>_xlfn.XLOOKUP(BB_tufund[[#This Row],[Bond code]],Bankingbook_MSB[Security Name],Bankingbook_MSB[BPV_edited])
/10^9*BB_tufund[[#This Row],[% amt FNRP]]</f>
        <v>-5.6864020805910555E-2</v>
      </c>
    </row>
    <row r="21" spans="2:141" x14ac:dyDescent="0.3">
      <c r="B21">
        <v>47454</v>
      </c>
      <c r="C21" s="35">
        <v>45945</v>
      </c>
      <c r="D21" t="s">
        <v>2381</v>
      </c>
      <c r="E21" t="s">
        <v>824</v>
      </c>
      <c r="F21" t="s">
        <v>823</v>
      </c>
      <c r="G21" s="500">
        <v>200000000000</v>
      </c>
      <c r="H21">
        <v>4.5</v>
      </c>
      <c r="I21" t="s">
        <v>3444</v>
      </c>
      <c r="J21">
        <v>2.94</v>
      </c>
      <c r="K21">
        <v>6.39</v>
      </c>
      <c r="L21" t="s">
        <v>3644</v>
      </c>
      <c r="M21">
        <v>4.29</v>
      </c>
      <c r="N21" s="37">
        <v>-17756000000</v>
      </c>
      <c r="O21">
        <v>5.32</v>
      </c>
      <c r="P21" s="500">
        <v>-55279932.649999999</v>
      </c>
      <c r="Q21" s="500">
        <v>2774000000</v>
      </c>
      <c r="R21">
        <v>36.159999999999997</v>
      </c>
      <c r="S2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-15416341193.997299</v>
      </c>
      <c r="T21" s="72">
        <f>VLOOKUP(Outstanding_pos_TB_MSB[[#This Row],[Bonds_ShortName]],FNRP!D:J,7,0)</f>
        <v>5000000</v>
      </c>
      <c r="U21" s="72">
        <f>SUMIFS(Outstanding_pos_TB_MSB[Amt],Outstanding_pos_TB_MSB[Bonds_ShortName],Outstanding_pos_TB_MSB[[#This Row],[Bonds_ShortName]])/100000-Outstanding_pos_TB_MSB[[#This Row],[Quantity FNRP]]</f>
        <v>0</v>
      </c>
      <c r="V21" s="162" t="str">
        <f>INDEX(Ref!$I$1:$K$13,MATCH(Outstanding_pos_TB_MSB[[#This Row],[Tenor left]],Ref!$I$1:$I$13,1),3)</f>
        <v>7Y</v>
      </c>
      <c r="W21" s="72">
        <f>IF(RPT-VLOOKUP(Outstanding_pos_TB_MSB[[#This Row],[Bonds_ShortName]],CT:CU,2,0)&lt;=0,0,RPT-VLOOKUP(Outstanding_pos_TB_MSB[[#This Row],[Bonds_ShortName]],CT:CU,2,0))</f>
        <v>74</v>
      </c>
      <c r="X21" s="72">
        <f>IF(RPT-Outstanding_pos_TB_MSB[[#This Row],[VALUE_DATE]]&lt;=0,0,RPT-Outstanding_pos_TB_MSB[[#This Row],[VALUE_DATE]])</f>
        <v>307</v>
      </c>
      <c r="Y21" s="72" t="str">
        <f>_xlfn.XLOOKUP(Outstanding_pos_TB_MSB[[#This Row],[Time hold/Deal]],Ref!S:S,Ref!U:U,,-1)</f>
        <v>1Y</v>
      </c>
      <c r="AB21">
        <v>41178</v>
      </c>
      <c r="AC21" s="35">
        <v>45287</v>
      </c>
      <c r="AD21" t="s">
        <v>713</v>
      </c>
      <c r="AE21" t="s">
        <v>2180</v>
      </c>
      <c r="AF21" t="s">
        <v>823</v>
      </c>
      <c r="AG21" s="500">
        <v>600000000000</v>
      </c>
      <c r="AH21">
        <v>3.3</v>
      </c>
      <c r="AI21">
        <v>51368</v>
      </c>
      <c r="AJ21">
        <v>2.74</v>
      </c>
      <c r="AK21">
        <v>14.01</v>
      </c>
      <c r="AL21" s="645" t="s">
        <v>2740</v>
      </c>
      <c r="AM21">
        <v>4.55</v>
      </c>
      <c r="AN21" s="500">
        <v>-120924000000</v>
      </c>
      <c r="AO21">
        <v>10.73</v>
      </c>
      <c r="AP21">
        <v>-93621000.530000001</v>
      </c>
      <c r="AQ21">
        <v>-9000000</v>
      </c>
      <c r="AR21">
        <v>142.36000000000001</v>
      </c>
      <c r="AS21" s="72">
        <f>SUM(_xlfn.IFNA(VLOOKUP(Outstanding_pos_BB_MSB[[#This Row],[Bonds_ShortName]],FNRP!AV:BA,6,0)*Outstanding_pos_BB_MSB[[#This Row],[Amt]]/10^4,0),_xlfn.IFNA((VLOOKUP(Outstanding_pos_BB_MSB[[#This Row],[Bonds_ShortName]],FNRP!IK:IP,6,0)*Outstanding_pos_BB_MSB[[#This Row],[Amt]]/10^4),0))</f>
        <v>5234400000000</v>
      </c>
      <c r="AT21" s="72">
        <f>(_xlfn.XLOOKUP(Outstanding_pos_BB_MSB[[#This Row],[Bonds_ShortName]],FNRP!AV:AV,FNRP!BA:BA,,0)
-_xlfn.XLOOKUP(Outstanding_pos_BB_MSB[[#This Row],[BondsDeals_Id]],BS!AL:AL,BS!AR:AR,_xlfn.XLOOKUP(Outstanding_pos_BB_MSB[[#This Row],[BondsDeals_Id]],BS!BA:BA,BS!BQ:BQ,,0),0)-10^5)
*Outstanding_pos_BB_MSB[[#This Row],[Amt]]/10^5</f>
        <v>-113886051339.70088</v>
      </c>
      <c r="AU21" s="72">
        <f>VLOOKUP(Outstanding_pos_BB_MSB[[#This Row],[Bonds_ShortName]],FNRP!AV:CD,35,0)</f>
        <v>10000000</v>
      </c>
      <c r="AV21" s="157">
        <f>SUMIFS(AG$1:AG$103,AD$1:AD$103,Outstanding_pos_BB_MSB[[#This Row],[Bonds_ShortName]])/10^5-Outstanding_pos_BB_MSB[[#This Row],[Quantity FNRP]]</f>
        <v>0</v>
      </c>
      <c r="AW21" s="72">
        <f>IF(RPT-Outstanding_pos_BB_MSB[[#This Row],[Value Date]]&lt;=0,0,RPT-Outstanding_pos_BB_MSB[[#This Row],[Value Date]])</f>
        <v>965</v>
      </c>
      <c r="AX21" s="32" t="str">
        <f>INDEX(Ref!$I$1:$K$13,MATCH(Outstanding_pos_BB_MSB[[#This Row],[Tenor left]],Ref!$I$1:$I$13,1),3)</f>
        <v>15Y</v>
      </c>
      <c r="AY21" s="72" t="str">
        <f>_xlfn.XLOOKUP(Outstanding_pos_BB_MSB[[#This Row],[Time hold/Deal]],Ref!S:S,Ref!U:U,,-1)</f>
        <v>3Y</v>
      </c>
      <c r="BC21"/>
      <c r="BD21"/>
      <c r="BG21"/>
      <c r="BH21"/>
      <c r="BJ21"/>
      <c r="BN21"/>
      <c r="BO21"/>
      <c r="BQ21"/>
      <c r="BR21"/>
      <c r="BX21">
        <v>41177</v>
      </c>
      <c r="BY21" s="502">
        <v>45287</v>
      </c>
      <c r="BZ21" t="s">
        <v>711</v>
      </c>
      <c r="CA21" t="s">
        <v>2180</v>
      </c>
      <c r="CB21" t="s">
        <v>823</v>
      </c>
      <c r="CC21" s="500">
        <v>50000000000</v>
      </c>
      <c r="CD21">
        <v>4.9000000000000004</v>
      </c>
      <c r="CE21" s="502">
        <v>51025</v>
      </c>
      <c r="CF21">
        <v>2.5</v>
      </c>
      <c r="CG21">
        <v>13.07</v>
      </c>
      <c r="CH21" t="s">
        <v>2740</v>
      </c>
      <c r="CI21">
        <v>4.53</v>
      </c>
      <c r="CJ21" s="500">
        <v>-13625000000</v>
      </c>
      <c r="CK21">
        <v>9.17</v>
      </c>
      <c r="CL21" s="500">
        <v>-99256443.560000002</v>
      </c>
      <c r="CM21" s="500">
        <v>4578000000</v>
      </c>
      <c r="CN21">
        <v>111.88</v>
      </c>
      <c r="CO2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-11027623234.614599</v>
      </c>
      <c r="CP21" s="72">
        <f>RPT-VLOOKUP(Outstanding_pos_BB_SBV[[#This Row],[Bonds_ShortName]],CT:CU,2,0)</f>
        <v>125</v>
      </c>
      <c r="CQ21" s="157">
        <f>SUMIFS(CC:CC,BZ:BZ,Outstanding_pos_BB_SBV[[#This Row],[Bonds_ShortName]])/10^5-VLOOKUP(Outstanding_pos_BB_SBV[[#This Row],[Bonds_ShortName]],FNRP!EE:FL,34,0)</f>
        <v>0</v>
      </c>
      <c r="CT21" t="s">
        <v>2839</v>
      </c>
      <c r="CU21" s="502">
        <v>46252</v>
      </c>
      <c r="CX21" s="776">
        <v>47035</v>
      </c>
      <c r="CY21" s="776" t="s">
        <v>1147</v>
      </c>
      <c r="CZ21" s="776" t="s">
        <v>2180</v>
      </c>
      <c r="DA21" s="777">
        <v>100000000000</v>
      </c>
      <c r="DB21" s="776">
        <v>7.36</v>
      </c>
      <c r="DC21" s="778">
        <v>3</v>
      </c>
      <c r="DD21" s="72">
        <f>_xlfn.XLOOKUP(CX21,Outstanding_pos_BB_MSB[BondsDeals_Id],Outstanding_pos_BB_MSB[ItD adj])</f>
        <v>-11734043152.287893</v>
      </c>
      <c r="DE21" s="32">
        <f>_xlfn.XLOOKUP(CX21,Outstanding_pos_BB_MSB[BondsDeals_Id],Outstanding_pos_BB_MSB[Yield])</f>
        <v>3</v>
      </c>
      <c r="DF21" s="32">
        <f>_xlfn.XLOOKUP(TB_HTM[[#This Row],[Deal ID]],Outstanding_pos_BB_MSB[BondsDeals_Id],Outstanding_pos_BB_MSB[Total Rate])</f>
        <v>6</v>
      </c>
      <c r="DG21" s="124">
        <f>_xlfn.XLOOKUP(CX21,Outstanding_pos_BB_MSB[BondsDeals_Id],Outstanding_pos_BB_MSB[Mature Date])</f>
        <v>48861</v>
      </c>
      <c r="DH21" s="786">
        <f>(TB_HTM[[#This Row],[Amt]]/10^9)/(_xlfn.XLOOKUP(TB_HTM[[#This Row],[Bond code]],Bankingbook_MSB[Security Name],Bankingbook_MSB[QUANTITY])/10^4)</f>
        <v>1</v>
      </c>
      <c r="DI21" s="72">
        <f>_xlfn.XLOOKUP(TB_HTM[[#This Row],[Bond code]],Bankingbook_MSB[Security Name],Bankingbook_MSB[MARKET_VALUE])*TB_HTM[[#This Row],[% amt FNRP]]</f>
        <v>107000000000</v>
      </c>
      <c r="DJ21" s="71">
        <f>_xlfn.XLOOKUP(TB_HTM[[#This Row],[Bond code]],Bankingbook_MSB[Security Name],Bankingbook_MSB[BPV_edited])
/10^9*TB_HTM[[#This Row],[% amt FNRP]]</f>
        <v>-6.1857309518524334E-2</v>
      </c>
      <c r="DK21" s="71">
        <f>TB_HTM[[#This Row],[Amt]]*TB_HTM[[#This Row],[Yield]]/10^5</f>
        <v>3000000</v>
      </c>
      <c r="DL21" s="71" t="str">
        <f>_xlfn.XLOOKUP(TB_HTM[[#This Row],[Bond code]],Bankingbook_MSB[Security Name],Bankingbook_MSB[Type])</f>
        <v>TPCPBL</v>
      </c>
      <c r="DM21" s="71" t="str">
        <f>_xlfn.XLOOKUP(TB_HTM[[#This Row],[Bond code]],Bankingbook_MSB[Security Name],Bankingbook_MSB[Issuer])</f>
        <v>VBS</v>
      </c>
      <c r="DN21" s="71" t="str">
        <f>_xlfn.XLOOKUP(TB_HTM[[#This Row],[Bond code]],Bankingbook_MSB[Security Name],Bankingbook_MSB[Tenor])</f>
        <v>7Y</v>
      </c>
      <c r="DO21" s="72">
        <f>SUMIFS(BS[MARKET VALUE],BS[BOND_CODE],TB_HTM[[#This Row],[Bond code]],BS[BOOK_FLAG],"B",BS[BAL],BS!$C$2)/10^9*TB_HTM[[#This Row],[% amt FNRP]]</f>
        <v>107</v>
      </c>
      <c r="DP21" s="71" cm="1">
        <f t="array" ref="DP21">_xlfn.IFNA(_xlfn.XLOOKUP(TB_HTM[[#This Row],[Deal ID]],RPBOD3[BondsDeals_Id],RPBOD3[PTCK_Remain]*RPBOD3[Quantity])/10^9,"N/A")</f>
        <v>18.734043152287899</v>
      </c>
      <c r="DQ21" s="71">
        <f>_xlfn.XLOOKUP(TB_HTM[[#This Row],[Bond code]],Bankingbook_MSB[Security Name],Bankingbook_MSB[Duration_edited])</f>
        <v>5.7835740900000001</v>
      </c>
      <c r="DR21" s="71">
        <f>_xlfn.XLOOKUP(TB_HTM[[#This Row],[Bond code]],Bankingbook_MSB[Security Name],Bankingbook_MSB[Modified Duration])</f>
        <v>5.5178522802607004</v>
      </c>
      <c r="DS21" s="71">
        <f>TB_HTM[[#This Row],[Duration]]*TB_HTM[[#This Row],[Market Value FNRP]]</f>
        <v>618842427630</v>
      </c>
      <c r="DT21" s="71">
        <f>TB_HTM[[#This Row],[Modified Duration]]*TB_HTM[[#This Row],[Market Value FNRP]]</f>
        <v>590410193987.8949</v>
      </c>
      <c r="DU21" s="72">
        <f>_xlfn.XLOOKUP(TB_HTM[[#This Row],[Deal ID]],Outstanding_pos_BB_MSB[BondsDeals_Id],Outstanding_pos_BB_MSB[Time hold/Deal])</f>
        <v>382</v>
      </c>
      <c r="DV21" s="71" t="str">
        <f>_xlfn.XLOOKUP(TB_HTM[[#This Row],[Deal ID]],Outstanding_pos_BB_MSB[BondsDeals_Id],Outstanding_pos_BB_MSB[Time hold (Tenor)])</f>
        <v>1Y</v>
      </c>
      <c r="DW21" s="71"/>
      <c r="DY21" s="776">
        <v>41986</v>
      </c>
      <c r="DZ21" s="776" t="s">
        <v>2799</v>
      </c>
      <c r="EA21" s="776" t="s">
        <v>2180</v>
      </c>
      <c r="EB21" s="777">
        <v>100000000000</v>
      </c>
      <c r="EC21" s="776">
        <v>7.61</v>
      </c>
      <c r="ED21" s="778">
        <v>2.2400000000000002</v>
      </c>
      <c r="EE21" s="72">
        <f>_xlfn.XLOOKUP(DY21,Outstanding_pos_BB_MSB[BondsDeals_Id],Outstanding_pos_BB_MSB[ItD adj])</f>
        <v>-12939031691.841927</v>
      </c>
      <c r="EF21" s="32">
        <f>_xlfn.XLOOKUP(DY21,Outstanding_pos_BB_MSB[BondsDeals_Id],Outstanding_pos_BB_MSB[Yield])</f>
        <v>2.2400000000000002</v>
      </c>
      <c r="EG21" s="71">
        <f>_xlfn.XLOOKUP(BB_tufund[[#This Row],[Deal ID]],Outstanding_pos_BB_MSB[BondsDeals_Id],Outstanding_pos_BB_MSB[Total Rate])</f>
        <v>2.1</v>
      </c>
      <c r="EH21" s="124">
        <f>_xlfn.XLOOKUP(DY21,Outstanding_pos_BB_MSB[BondsDeals_Id],Outstanding_pos_BB_MSB[Mature Date])</f>
        <v>48955</v>
      </c>
      <c r="EI21" s="787">
        <f>(BB_tufund[[#This Row],[Amt]]/10^9)/(_xlfn.XLOOKUP(BB_tufund[[#This Row],[Bond code]],Bankingbook_MSB[Security Name],Bankingbook_MSB[QUANTITY])/10^4)</f>
        <v>0.2857142857142857</v>
      </c>
      <c r="EJ21" s="72">
        <f>_xlfn.XLOOKUP(BB_tufund[[#This Row],[Bond code]],Bankingbook_MSB[Security Name],Bankingbook_MSB[MARKET_VALUE])*BB_tufund[[#This Row],[% amt FNRP]]</f>
        <v>86137000000</v>
      </c>
      <c r="EK21" s="71">
        <f>_xlfn.XLOOKUP(BB_tufund[[#This Row],[Bond code]],Bankingbook_MSB[Security Name],Bankingbook_MSB[BPV_edited])
/10^9*BB_tufund[[#This Row],[% amt FNRP]]</f>
        <v>-5.6864020805910555E-2</v>
      </c>
    </row>
    <row r="22" spans="2:141" x14ac:dyDescent="0.3">
      <c r="B22">
        <v>47490</v>
      </c>
      <c r="C22" s="35">
        <v>45926</v>
      </c>
      <c r="D22" t="s">
        <v>3317</v>
      </c>
      <c r="E22" t="s">
        <v>825</v>
      </c>
      <c r="F22" t="s">
        <v>823</v>
      </c>
      <c r="G22" s="500">
        <v>200000000000</v>
      </c>
      <c r="H22">
        <v>3.3</v>
      </c>
      <c r="I22" t="s">
        <v>3498</v>
      </c>
      <c r="J22">
        <v>3.45</v>
      </c>
      <c r="K22">
        <v>8.98</v>
      </c>
      <c r="L22" t="s">
        <v>2747</v>
      </c>
      <c r="M22">
        <v>4.4000000000000004</v>
      </c>
      <c r="N22" s="37">
        <v>-13540000000</v>
      </c>
      <c r="O22">
        <v>7.52</v>
      </c>
      <c r="P22" s="500">
        <v>-69212896.269999996</v>
      </c>
      <c r="Q22" s="500">
        <v>99000000</v>
      </c>
      <c r="R22">
        <v>68.540000000000006</v>
      </c>
      <c r="S2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-13765586645.166679</v>
      </c>
      <c r="T22" s="72">
        <f>VLOOKUP(Outstanding_pos_TB_MSB[[#This Row],[Bonds_ShortName]],FNRP!D:J,7,0)</f>
        <v>12000000</v>
      </c>
      <c r="U22" s="72">
        <f>SUMIFS(Outstanding_pos_TB_MSB[Amt],Outstanding_pos_TB_MSB[Bonds_ShortName],Outstanding_pos_TB_MSB[[#This Row],[Bonds_ShortName]])/100000-Outstanding_pos_TB_MSB[[#This Row],[Quantity FNRP]]</f>
        <v>0</v>
      </c>
      <c r="V22" s="162" t="str">
        <f>INDEX(Ref!$I$1:$K$13,MATCH(Outstanding_pos_TB_MSB[[#This Row],[Tenor left]],Ref!$I$1:$I$13,1),3)</f>
        <v>10Y</v>
      </c>
      <c r="W22" s="72">
        <f>IF(RPT-VLOOKUP(Outstanding_pos_TB_MSB[[#This Row],[Bonds_ShortName]],CT:CU,2,0)&lt;=0,0,RPT-VLOOKUP(Outstanding_pos_TB_MSB[[#This Row],[Bonds_ShortName]],CT:CU,2,0))</f>
        <v>0</v>
      </c>
      <c r="X22" s="72">
        <f>IF(RPT-Outstanding_pos_TB_MSB[[#This Row],[VALUE_DATE]]&lt;=0,0,RPT-Outstanding_pos_TB_MSB[[#This Row],[VALUE_DATE]])</f>
        <v>326</v>
      </c>
      <c r="Y22" s="72" t="str">
        <f>_xlfn.XLOOKUP(Outstanding_pos_TB_MSB[[#This Row],[Time hold/Deal]],Ref!S:S,Ref!U:U,,-1)</f>
        <v>1Y</v>
      </c>
      <c r="AB22">
        <v>41196</v>
      </c>
      <c r="AC22" s="35">
        <v>45286</v>
      </c>
      <c r="AD22" t="s">
        <v>2788</v>
      </c>
      <c r="AE22" t="s">
        <v>2180</v>
      </c>
      <c r="AF22" t="s">
        <v>907</v>
      </c>
      <c r="AG22" s="500">
        <v>300000000000</v>
      </c>
      <c r="AH22">
        <v>3.1</v>
      </c>
      <c r="AI22">
        <v>50744</v>
      </c>
      <c r="AJ22">
        <v>3</v>
      </c>
      <c r="AK22">
        <v>12.3</v>
      </c>
      <c r="AL22" s="645" t="s">
        <v>2740</v>
      </c>
      <c r="AM22">
        <v>5.01</v>
      </c>
      <c r="AN22" s="500">
        <v>-55227000000</v>
      </c>
      <c r="AO22">
        <v>9.4499999999999993</v>
      </c>
      <c r="AP22">
        <v>-80323686.430000007</v>
      </c>
      <c r="AQ22">
        <v>2183000000</v>
      </c>
      <c r="AR22">
        <v>112.05</v>
      </c>
      <c r="AS22" s="72">
        <f>SUM(_xlfn.IFNA(VLOOKUP(Outstanding_pos_BB_MSB[[#This Row],[Bonds_ShortName]],FNRP!AV:BA,6,0)*Outstanding_pos_BB_MSB[[#This Row],[Amt]]/10^4,0),_xlfn.IFNA((VLOOKUP(Outstanding_pos_BB_MSB[[#This Row],[Bonds_ShortName]],FNRP!IK:IP,6,0)*Outstanding_pos_BB_MSB[[#This Row],[Amt]]/10^4),0))</f>
        <v>2483280000000</v>
      </c>
      <c r="AT22" s="72">
        <f>(_xlfn.XLOOKUP(Outstanding_pos_BB_MSB[[#This Row],[Bonds_ShortName]],FNRP!AV:AV,FNRP!BA:BA,,0)
-_xlfn.XLOOKUP(Outstanding_pos_BB_MSB[[#This Row],[BondsDeals_Id]],BS!AL:AL,BS!AR:AR,_xlfn.XLOOKUP(Outstanding_pos_BB_MSB[[#This Row],[BondsDeals_Id]],BS!BA:BA,BS!BQ:BQ,,0),0)-10^5)
*Outstanding_pos_BB_MSB[[#This Row],[Amt]]/10^5</f>
        <v>-54604885846.614067</v>
      </c>
      <c r="AU22" s="72">
        <f>VLOOKUP(Outstanding_pos_BB_MSB[[#This Row],[Bonds_ShortName]],FNRP!AV:CD,35,0)</f>
        <v>9650000</v>
      </c>
      <c r="AV22" s="157">
        <f>SUMIFS(AG$1:AG$103,AD$1:AD$103,Outstanding_pos_BB_MSB[[#This Row],[Bonds_ShortName]])/10^5-Outstanding_pos_BB_MSB[[#This Row],[Quantity FNRP]]</f>
        <v>0</v>
      </c>
      <c r="AW22" s="72">
        <f>IF(RPT-Outstanding_pos_BB_MSB[[#This Row],[Value Date]]&lt;=0,0,RPT-Outstanding_pos_BB_MSB[[#This Row],[Value Date]])</f>
        <v>966</v>
      </c>
      <c r="AX22" s="32" t="str">
        <f>INDEX(Ref!$I$1:$K$13,MATCH(Outstanding_pos_BB_MSB[[#This Row],[Tenor left]],Ref!$I$1:$I$13,1),3)</f>
        <v>15Y</v>
      </c>
      <c r="AY22" s="72" t="str">
        <f>_xlfn.XLOOKUP(Outstanding_pos_BB_MSB[[#This Row],[Time hold/Deal]],Ref!S:S,Ref!U:U,,-1)</f>
        <v>3Y</v>
      </c>
      <c r="BC22"/>
      <c r="BD22"/>
      <c r="BG22"/>
      <c r="BH22"/>
      <c r="BJ22"/>
      <c r="BN22"/>
      <c r="BO22"/>
      <c r="BQ22"/>
      <c r="BR22"/>
      <c r="BX22">
        <v>41178</v>
      </c>
      <c r="BY22" s="502">
        <v>45287</v>
      </c>
      <c r="BZ22" t="s">
        <v>713</v>
      </c>
      <c r="CA22" t="s">
        <v>2180</v>
      </c>
      <c r="CB22" t="s">
        <v>823</v>
      </c>
      <c r="CC22" s="500">
        <v>600000000000</v>
      </c>
      <c r="CD22">
        <v>3.3</v>
      </c>
      <c r="CE22" s="502">
        <v>51368</v>
      </c>
      <c r="CF22">
        <v>2.74</v>
      </c>
      <c r="CG22">
        <v>14.01</v>
      </c>
      <c r="CH22" t="s">
        <v>2740</v>
      </c>
      <c r="CI22">
        <v>4.55</v>
      </c>
      <c r="CJ22" s="500">
        <v>-120924000000</v>
      </c>
      <c r="CK22">
        <v>10.73</v>
      </c>
      <c r="CL22" s="500">
        <v>-93621000.530000001</v>
      </c>
      <c r="CM22" s="500">
        <v>-9000000</v>
      </c>
      <c r="CN22">
        <v>142.36000000000001</v>
      </c>
      <c r="CO2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-113886051339.70088</v>
      </c>
      <c r="CP22" s="72">
        <f>RPT-VLOOKUP(Outstanding_pos_BB_SBV[[#This Row],[Bonds_ShortName]],CT:CU,2,0)</f>
        <v>575</v>
      </c>
      <c r="CQ22" s="157">
        <f>SUMIFS(CC:CC,BZ:BZ,Outstanding_pos_BB_SBV[[#This Row],[Bonds_ShortName]])/10^5-VLOOKUP(Outstanding_pos_BB_SBV[[#This Row],[Bonds_ShortName]],FNRP!EE:FL,34,0)</f>
        <v>0</v>
      </c>
      <c r="CT22" t="s">
        <v>638</v>
      </c>
      <c r="CU22" s="502">
        <v>45951</v>
      </c>
      <c r="CX22" s="776">
        <v>47036</v>
      </c>
      <c r="CY22" s="776" t="s">
        <v>2775</v>
      </c>
      <c r="CZ22" s="776" t="s">
        <v>2180</v>
      </c>
      <c r="DA22" s="777">
        <v>258000000000</v>
      </c>
      <c r="DB22" s="776">
        <v>12.46</v>
      </c>
      <c r="DC22" s="778">
        <v>3.19</v>
      </c>
      <c r="DD22" s="72">
        <f>_xlfn.XLOOKUP(CX22,Outstanding_pos_BB_MSB[BondsDeals_Id],Outstanding_pos_BB_MSB[ItD adj])</f>
        <v>-43048663354.005005</v>
      </c>
      <c r="DE22" s="32">
        <f>_xlfn.XLOOKUP(CX22,Outstanding_pos_BB_MSB[BondsDeals_Id],Outstanding_pos_BB_MSB[Yield])</f>
        <v>3.19</v>
      </c>
      <c r="DF22" s="32">
        <f>_xlfn.XLOOKUP(TB_HTM[[#This Row],[Deal ID]],Outstanding_pos_BB_MSB[BondsDeals_Id],Outstanding_pos_BB_MSB[Total Rate])</f>
        <v>3.6</v>
      </c>
      <c r="DG22" s="124">
        <f>_xlfn.XLOOKUP(CX22,Outstanding_pos_BB_MSB[BondsDeals_Id],Outstanding_pos_BB_MSB[Mature Date])</f>
        <v>50723</v>
      </c>
      <c r="DH22" s="786">
        <f>(TB_HTM[[#This Row],[Amt]]/10^9)/(_xlfn.XLOOKUP(TB_HTM[[#This Row],[Bond code]],Bankingbook_MSB[Security Name],Bankingbook_MSB[QUANTITY])/10^4)</f>
        <v>0.5633187772925764</v>
      </c>
      <c r="DI22" s="72">
        <f>_xlfn.XLOOKUP(TB_HTM[[#This Row],[Bond code]],Bankingbook_MSB[Security Name],Bankingbook_MSB[MARKET_VALUE])*TB_HTM[[#This Row],[% amt FNRP]]</f>
        <v>225342360000</v>
      </c>
      <c r="DJ22" s="71">
        <f>_xlfn.XLOOKUP(TB_HTM[[#This Row],[Bond code]],Bankingbook_MSB[Security Name],Bankingbook_MSB[BPV_edited])
/10^9*TB_HTM[[#This Row],[% amt FNRP]]</f>
        <v>-0.21321327266926471</v>
      </c>
      <c r="DK22" s="71">
        <f>TB_HTM[[#This Row],[Amt]]*TB_HTM[[#This Row],[Yield]]/10^5</f>
        <v>8230200</v>
      </c>
      <c r="DL22" s="71" t="str">
        <f>_xlfn.XLOOKUP(TB_HTM[[#This Row],[Bond code]],Bankingbook_MSB[Security Name],Bankingbook_MSB[Type])</f>
        <v>TPCPBL</v>
      </c>
      <c r="DM22" s="71" t="str">
        <f>_xlfn.XLOOKUP(TB_HTM[[#This Row],[Bond code]],Bankingbook_MSB[Security Name],Bankingbook_MSB[Issuer])</f>
        <v>VBS</v>
      </c>
      <c r="DN22" s="71" t="str">
        <f>_xlfn.XLOOKUP(TB_HTM[[#This Row],[Bond code]],Bankingbook_MSB[Security Name],Bankingbook_MSB[Tenor])</f>
        <v>15Y</v>
      </c>
      <c r="DO22" s="72">
        <f>SUMIFS(BS[MARKET VALUE],BS[BOND_CODE],TB_HTM[[#This Row],[Bond code]],BS[BOOK_FLAG],"B",BS[BAL],BS!$C$2)/10^9*TB_HTM[[#This Row],[% amt FNRP]]</f>
        <v>225.34235999999999</v>
      </c>
      <c r="DP22" s="71" cm="1">
        <f t="array" ref="DP22">_xlfn.IFNA(_xlfn.XLOOKUP(TB_HTM[[#This Row],[Deal ID]],RPBOD3[BondsDeals_Id],RPBOD3[PTCK_Remain]*RPBOD3[Quantity])/10^9,"N/A")</f>
        <v>10.391023354004998</v>
      </c>
      <c r="DQ22" s="71">
        <f>_xlfn.XLOOKUP(TB_HTM[[#This Row],[Bond code]],Bankingbook_MSB[Security Name],Bankingbook_MSB[Duration_edited])</f>
        <v>9.6397155300000001</v>
      </c>
      <c r="DR22" s="71">
        <f>_xlfn.XLOOKUP(TB_HTM[[#This Row],[Bond code]],Bankingbook_MSB[Security Name],Bankingbook_MSB[Modified Duration])</f>
        <v>9.1801420201183994</v>
      </c>
      <c r="DS22" s="71">
        <f>TB_HTM[[#This Row],[Duration]]*TB_HTM[[#This Row],[Market Value FNRP]]</f>
        <v>2172236247258.8508</v>
      </c>
      <c r="DT22" s="71">
        <f>TB_HTM[[#This Row],[Modified Duration]]*TB_HTM[[#This Row],[Market Value FNRP]]</f>
        <v>2068674867948.6477</v>
      </c>
      <c r="DU22" s="72">
        <f>_xlfn.XLOOKUP(TB_HTM[[#This Row],[Deal ID]],Outstanding_pos_BB_MSB[BondsDeals_Id],Outstanding_pos_BB_MSB[Time hold/Deal])</f>
        <v>382</v>
      </c>
      <c r="DV22" s="71" t="str">
        <f>_xlfn.XLOOKUP(TB_HTM[[#This Row],[Deal ID]],Outstanding_pos_BB_MSB[BondsDeals_Id],Outstanding_pos_BB_MSB[Time hold (Tenor)])</f>
        <v>1Y</v>
      </c>
      <c r="DW22" s="71"/>
      <c r="DY22" s="776">
        <v>41951</v>
      </c>
      <c r="DZ22" s="776" t="s">
        <v>666</v>
      </c>
      <c r="EA22" s="776" t="s">
        <v>2180</v>
      </c>
      <c r="EB22" s="777">
        <v>50000000000</v>
      </c>
      <c r="EC22" s="776">
        <v>7.65</v>
      </c>
      <c r="ED22" s="778">
        <v>2.2200000000000002</v>
      </c>
      <c r="EE22" s="72">
        <f>_xlfn.XLOOKUP(DY22,Outstanding_pos_BB_MSB[BondsDeals_Id],Outstanding_pos_BB_MSB[ItD adj])</f>
        <v>-7127969176.936429</v>
      </c>
      <c r="EF22" s="32">
        <f>_xlfn.XLOOKUP(DY22,Outstanding_pos_BB_MSB[BondsDeals_Id],Outstanding_pos_BB_MSB[Yield])</f>
        <v>2.2200000000000002</v>
      </c>
      <c r="EG22" s="71">
        <f>_xlfn.XLOOKUP(BB_tufund[[#This Row],[Deal ID]],Outstanding_pos_BB_MSB[BondsDeals_Id],Outstanding_pos_BB_MSB[Total Rate])</f>
        <v>5.0999999999999996</v>
      </c>
      <c r="EH22" s="124">
        <f>_xlfn.XLOOKUP(DY22,Outstanding_pos_BB_MSB[BondsDeals_Id],Outstanding_pos_BB_MSB[Mature Date])</f>
        <v>48968</v>
      </c>
      <c r="EI22" s="787">
        <f>(BB_tufund[[#This Row],[Amt]]/10^9)/(_xlfn.XLOOKUP(BB_tufund[[#This Row],[Bond code]],Bankingbook_MSB[Security Name],Bankingbook_MSB[QUANTITY])/10^4)</f>
        <v>1</v>
      </c>
      <c r="EJ22" s="72">
        <f>_xlfn.XLOOKUP(BB_tufund[[#This Row],[Bond code]],Bankingbook_MSB[Security Name],Bankingbook_MSB[MARKET_VALUE])*BB_tufund[[#This Row],[% amt FNRP]]</f>
        <v>52393500000</v>
      </c>
      <c r="EK22" s="71">
        <f>_xlfn.XLOOKUP(BB_tufund[[#This Row],[Bond code]],Bankingbook_MSB[Security Name],Bankingbook_MSB[BPV_edited])
/10^9*BB_tufund[[#This Row],[% amt FNRP]]</f>
        <v>-3.2165562424140842E-2</v>
      </c>
    </row>
    <row r="23" spans="2:141" x14ac:dyDescent="0.3">
      <c r="B23">
        <v>47570</v>
      </c>
      <c r="C23" s="35">
        <v>45932</v>
      </c>
      <c r="D23" t="s">
        <v>3317</v>
      </c>
      <c r="E23" t="s">
        <v>825</v>
      </c>
      <c r="F23" t="s">
        <v>823</v>
      </c>
      <c r="G23" s="500">
        <v>200000000000</v>
      </c>
      <c r="H23">
        <v>3.3</v>
      </c>
      <c r="I23" t="s">
        <v>3498</v>
      </c>
      <c r="J23">
        <v>3.64</v>
      </c>
      <c r="K23">
        <v>8.98</v>
      </c>
      <c r="L23" t="s">
        <v>2747</v>
      </c>
      <c r="M23">
        <v>4.4000000000000004</v>
      </c>
      <c r="N23" s="37">
        <v>-10466000000</v>
      </c>
      <c r="O23">
        <v>7.52</v>
      </c>
      <c r="P23" s="500">
        <v>-69212896.269999996</v>
      </c>
      <c r="Q23" s="500">
        <v>99000000</v>
      </c>
      <c r="R23">
        <v>68.540000000000006</v>
      </c>
      <c r="S2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-10961769195.605476</v>
      </c>
      <c r="T23" s="72">
        <f>VLOOKUP(Outstanding_pos_TB_MSB[[#This Row],[Bonds_ShortName]],FNRP!D:J,7,0)</f>
        <v>12000000</v>
      </c>
      <c r="U23" s="72">
        <f>SUMIFS(Outstanding_pos_TB_MSB[Amt],Outstanding_pos_TB_MSB[Bonds_ShortName],Outstanding_pos_TB_MSB[[#This Row],[Bonds_ShortName]])/100000-Outstanding_pos_TB_MSB[[#This Row],[Quantity FNRP]]</f>
        <v>0</v>
      </c>
      <c r="V23" s="162" t="str">
        <f>INDEX(Ref!$I$1:$K$13,MATCH(Outstanding_pos_TB_MSB[[#This Row],[Tenor left]],Ref!$I$1:$I$13,1),3)</f>
        <v>10Y</v>
      </c>
      <c r="W23" s="72">
        <f>IF(RPT-VLOOKUP(Outstanding_pos_TB_MSB[[#This Row],[Bonds_ShortName]],CT:CU,2,0)&lt;=0,0,RPT-VLOOKUP(Outstanding_pos_TB_MSB[[#This Row],[Bonds_ShortName]],CT:CU,2,0))</f>
        <v>0</v>
      </c>
      <c r="X23" s="72">
        <f>IF(RPT-Outstanding_pos_TB_MSB[[#This Row],[VALUE_DATE]]&lt;=0,0,RPT-Outstanding_pos_TB_MSB[[#This Row],[VALUE_DATE]])</f>
        <v>320</v>
      </c>
      <c r="Y23" s="72" t="str">
        <f>_xlfn.XLOOKUP(Outstanding_pos_TB_MSB[[#This Row],[Time hold/Deal]],Ref!S:S,Ref!U:U,,-1)</f>
        <v>1Y</v>
      </c>
      <c r="AB23">
        <v>41198</v>
      </c>
      <c r="AC23" s="35">
        <v>45286</v>
      </c>
      <c r="AD23" t="s">
        <v>2779</v>
      </c>
      <c r="AE23" t="s">
        <v>2180</v>
      </c>
      <c r="AF23" t="s">
        <v>907</v>
      </c>
      <c r="AG23" s="500">
        <v>200000000000</v>
      </c>
      <c r="AH23">
        <v>3.1</v>
      </c>
      <c r="AI23">
        <v>48900</v>
      </c>
      <c r="AJ23">
        <v>2.8</v>
      </c>
      <c r="AK23">
        <v>7.25</v>
      </c>
      <c r="AL23" s="645" t="s">
        <v>2746</v>
      </c>
      <c r="AM23">
        <v>4.82</v>
      </c>
      <c r="AN23" s="500">
        <v>-25776000000</v>
      </c>
      <c r="AO23">
        <v>6.1</v>
      </c>
      <c r="AP23">
        <v>-56132613.909999996</v>
      </c>
      <c r="AQ23">
        <v>2336000000</v>
      </c>
      <c r="AR23">
        <v>46.36</v>
      </c>
      <c r="AS23" s="72">
        <f>SUM(_xlfn.IFNA(VLOOKUP(Outstanding_pos_BB_MSB[[#This Row],[Bonds_ShortName]],FNRP!AV:BA,6,0)*Outstanding_pos_BB_MSB[[#This Row],[Amt]]/10^4,0),_xlfn.IFNA((VLOOKUP(Outstanding_pos_BB_MSB[[#This Row],[Bonds_ShortName]],FNRP!IK:IP,6,0)*Outstanding_pos_BB_MSB[[#This Row],[Amt]]/10^4),0))</f>
        <v>1793320000000</v>
      </c>
      <c r="AT23" s="72">
        <f>(_xlfn.XLOOKUP(Outstanding_pos_BB_MSB[[#This Row],[Bonds_ShortName]],FNRP!AV:AV,FNRP!BA:BA,,0)
-_xlfn.XLOOKUP(Outstanding_pos_BB_MSB[[#This Row],[BondsDeals_Id]],BS!AL:AL,BS!AR:AR,_xlfn.XLOOKUP(Outstanding_pos_BB_MSB[[#This Row],[BondsDeals_Id]],BS!BA:BA,BS!BQ:BQ,,0),0)-10^5)
*Outstanding_pos_BB_MSB[[#This Row],[Amt]]/10^5</f>
        <v>-24414628738.87524</v>
      </c>
      <c r="AU23" s="72">
        <f>VLOOKUP(Outstanding_pos_BB_MSB[[#This Row],[Bonds_ShortName]],FNRP!AV:CD,35,0)</f>
        <v>5000000</v>
      </c>
      <c r="AV23" s="157">
        <f>SUMIFS(AG$1:AG$103,AD$1:AD$103,Outstanding_pos_BB_MSB[[#This Row],[Bonds_ShortName]])/10^5-Outstanding_pos_BB_MSB[[#This Row],[Quantity FNRP]]</f>
        <v>0</v>
      </c>
      <c r="AW23" s="72">
        <f>IF(RPT-Outstanding_pos_BB_MSB[[#This Row],[Value Date]]&lt;=0,0,RPT-Outstanding_pos_BB_MSB[[#This Row],[Value Date]])</f>
        <v>966</v>
      </c>
      <c r="AX23" s="32" t="str">
        <f>INDEX(Ref!$I$1:$K$13,MATCH(Outstanding_pos_BB_MSB[[#This Row],[Tenor left]],Ref!$I$1:$I$13,1),3)</f>
        <v>7Y</v>
      </c>
      <c r="AY23" s="72" t="str">
        <f>_xlfn.XLOOKUP(Outstanding_pos_BB_MSB[[#This Row],[Time hold/Deal]],Ref!S:S,Ref!U:U,,-1)</f>
        <v>3Y</v>
      </c>
      <c r="BC23"/>
      <c r="BD23"/>
      <c r="BG23"/>
      <c r="BH23"/>
      <c r="BJ23"/>
      <c r="BN23"/>
      <c r="BO23"/>
      <c r="BQ23"/>
      <c r="BR23"/>
      <c r="BX23">
        <v>41196</v>
      </c>
      <c r="BY23" s="502">
        <v>45286</v>
      </c>
      <c r="BZ23" t="s">
        <v>2788</v>
      </c>
      <c r="CA23" t="s">
        <v>2180</v>
      </c>
      <c r="CB23" t="s">
        <v>907</v>
      </c>
      <c r="CC23" s="500">
        <v>300000000000</v>
      </c>
      <c r="CD23">
        <v>3.1</v>
      </c>
      <c r="CE23" s="502">
        <v>50744</v>
      </c>
      <c r="CF23">
        <v>3</v>
      </c>
      <c r="CG23">
        <v>12.3</v>
      </c>
      <c r="CH23" t="s">
        <v>2740</v>
      </c>
      <c r="CI23">
        <v>5.01</v>
      </c>
      <c r="CJ23" s="500">
        <v>-55227000000</v>
      </c>
      <c r="CK23">
        <v>9.4499999999999993</v>
      </c>
      <c r="CL23" s="500">
        <v>-80323686.430000007</v>
      </c>
      <c r="CM23" s="500">
        <v>2183000000</v>
      </c>
      <c r="CN23">
        <v>112.05</v>
      </c>
      <c r="CO2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-54604885846.614067</v>
      </c>
      <c r="CP23" s="72">
        <f>RPT-VLOOKUP(Outstanding_pos_BB_SBV[[#This Row],[Bonds_ShortName]],CT:CU,2,0)</f>
        <v>540</v>
      </c>
      <c r="CQ23" s="157">
        <f>SUMIFS(CC:CC,BZ:BZ,Outstanding_pos_BB_SBV[[#This Row],[Bonds_ShortName]])/10^5-VLOOKUP(Outstanding_pos_BB_SBV[[#This Row],[Bonds_ShortName]],FNRP!EE:FL,34,0)</f>
        <v>0</v>
      </c>
      <c r="CT23" t="s">
        <v>665</v>
      </c>
      <c r="CU23" s="502">
        <v>45637</v>
      </c>
      <c r="CX23" s="776">
        <v>48334</v>
      </c>
      <c r="CY23" s="776" t="s">
        <v>2834</v>
      </c>
      <c r="CZ23" s="776" t="s">
        <v>2180</v>
      </c>
      <c r="DA23" s="777">
        <v>200000000000</v>
      </c>
      <c r="DB23" s="776">
        <v>8.09</v>
      </c>
      <c r="DC23" s="778">
        <v>2.72</v>
      </c>
      <c r="DD23" s="72">
        <f>_xlfn.XLOOKUP(CX23,Outstanding_pos_BB_MSB[BondsDeals_Id],Outstanding_pos_BB_MSB[ItD adj])</f>
        <v>-21329031463.424267</v>
      </c>
      <c r="DE23" s="32">
        <f>_xlfn.XLOOKUP(CX23,Outstanding_pos_BB_MSB[BondsDeals_Id],Outstanding_pos_BB_MSB[Yield])</f>
        <v>2.72</v>
      </c>
      <c r="DF23" s="32">
        <f>_xlfn.XLOOKUP(TB_HTM[[#This Row],[Deal ID]],Outstanding_pos_BB_MSB[BondsDeals_Id],Outstanding_pos_BB_MSB[Total Rate])</f>
        <v>2.7</v>
      </c>
      <c r="DG23" s="812">
        <f>_xlfn.XLOOKUP(CX23,Outstanding_pos_BB_MSB[BondsDeals_Id],Outstanding_pos_BB_MSB[Mature Date])</f>
        <v>49129</v>
      </c>
      <c r="DH23" s="786">
        <f>(TB_HTM[[#This Row],[Amt]]/10^9)/(_xlfn.XLOOKUP(TB_HTM[[#This Row],[Bond code]],Bankingbook_MSB[Security Name],Bankingbook_MSB[QUANTITY])/10^4)</f>
        <v>1</v>
      </c>
      <c r="DI23" s="72">
        <f>_xlfn.XLOOKUP(TB_HTM[[#This Row],[Bond code]],Bankingbook_MSB[Security Name],Bankingbook_MSB[MARKET_VALUE])*TB_HTM[[#This Row],[% amt FNRP]]</f>
        <v>178376000000</v>
      </c>
      <c r="DJ23" s="71">
        <f>_xlfn.XLOOKUP(TB_HTM[[#This Row],[Bond code]],Bankingbook_MSB[Security Name],Bankingbook_MSB[BPV_edited])
/10^9*TB_HTM[[#This Row],[% amt FNRP]]</f>
        <v>-0.12224371223522446</v>
      </c>
      <c r="DK23" s="71">
        <f>TB_HTM[[#This Row],[Amt]]*TB_HTM[[#This Row],[Yield]]/10^5</f>
        <v>5440000.0000000009</v>
      </c>
      <c r="DL23" s="71" t="str">
        <f>_xlfn.XLOOKUP(TB_HTM[[#This Row],[Bond code]],Bankingbook_MSB[Security Name],Bankingbook_MSB[Type])</f>
        <v>TPCP</v>
      </c>
      <c r="DM23" s="71" t="str">
        <f>_xlfn.XLOOKUP(TB_HTM[[#This Row],[Bond code]],Bankingbook_MSB[Security Name],Bankingbook_MSB[Issuer])</f>
        <v>KBNN</v>
      </c>
      <c r="DN23" s="71" t="str">
        <f>_xlfn.XLOOKUP(TB_HTM[[#This Row],[Bond code]],Bankingbook_MSB[Security Name],Bankingbook_MSB[Tenor])</f>
        <v>10Y</v>
      </c>
      <c r="DO23" s="72">
        <f>SUMIFS(BS[MARKET VALUE],BS[BOND_CODE],TB_HTM[[#This Row],[Bond code]],BS[BOOK_FLAG],"B",BS[BAL],BS!$C$2)/10^9*TB_HTM[[#This Row],[% amt FNRP]]</f>
        <v>178.376</v>
      </c>
      <c r="DP23" s="71" cm="1">
        <f t="array" ref="DP23">_xlfn.IFNA(_xlfn.XLOOKUP(TB_HTM[[#This Row],[Deal ID]],RPBOD3[BondsDeals_Id],RPBOD3[PTCK_Remain]*RPBOD3[Quantity])/10^9,"N/A")</f>
        <v>-0.29496853657573702</v>
      </c>
      <c r="DQ23" s="71">
        <f>_xlfn.XLOOKUP(TB_HTM[[#This Row],[Bond code]],Bankingbook_MSB[Security Name],Bankingbook_MSB[Duration_edited])</f>
        <v>7.1275634600000002</v>
      </c>
      <c r="DR23" s="71">
        <f>_xlfn.XLOOKUP(TB_HTM[[#This Row],[Bond code]],Bankingbook_MSB[Security Name],Bankingbook_MSB[Modified Duration])</f>
        <v>6.8304662246465</v>
      </c>
      <c r="DS23" s="71">
        <f>TB_HTM[[#This Row],[Duration]]*TB_HTM[[#This Row],[Market Value FNRP]]</f>
        <v>1271386259740.96</v>
      </c>
      <c r="DT23" s="71">
        <f>TB_HTM[[#This Row],[Modified Duration]]*TB_HTM[[#This Row],[Market Value FNRP]]</f>
        <v>1218391243287.5442</v>
      </c>
      <c r="DU23" s="72">
        <f>_xlfn.XLOOKUP(TB_HTM[[#This Row],[Deal ID]],Outstanding_pos_BB_MSB[BondsDeals_Id],Outstanding_pos_BB_MSB[Time hold/Deal])</f>
        <v>246</v>
      </c>
      <c r="DV23" s="71" t="str">
        <f>_xlfn.XLOOKUP(TB_HTM[[#This Row],[Deal ID]],Outstanding_pos_BB_MSB[BondsDeals_Id],Outstanding_pos_BB_MSB[Time hold (Tenor)])</f>
        <v>9M</v>
      </c>
      <c r="DW23" s="71"/>
      <c r="DY23" s="776">
        <v>42093</v>
      </c>
      <c r="DZ23" s="776" t="s">
        <v>668</v>
      </c>
      <c r="EA23" s="776" t="s">
        <v>2180</v>
      </c>
      <c r="EB23" s="777">
        <v>250000000000</v>
      </c>
      <c r="EC23" s="776">
        <v>7.99</v>
      </c>
      <c r="ED23" s="778">
        <v>2.36</v>
      </c>
      <c r="EE23" s="72">
        <f>_xlfn.XLOOKUP(DY23,Outstanding_pos_BB_MSB[BondsDeals_Id],Outstanding_pos_BB_MSB[ItD adj])</f>
        <v>-34624265835.23098</v>
      </c>
      <c r="EF23" s="32">
        <f>_xlfn.XLOOKUP(DY23,Outstanding_pos_BB_MSB[BondsDeals_Id],Outstanding_pos_BB_MSB[Yield])</f>
        <v>2.36</v>
      </c>
      <c r="EG23" s="71">
        <f>_xlfn.XLOOKUP(BB_tufund[[#This Row],[Deal ID]],Outstanding_pos_BB_MSB[BondsDeals_Id],Outstanding_pos_BB_MSB[Total Rate])</f>
        <v>5</v>
      </c>
      <c r="EH23" s="124">
        <f>_xlfn.XLOOKUP(DY23,Outstanding_pos_BB_MSB[BondsDeals_Id],Outstanding_pos_BB_MSB[Mature Date])</f>
        <v>49094</v>
      </c>
      <c r="EI23" s="787">
        <f>(BB_tufund[[#This Row],[Amt]]/10^9)/(_xlfn.XLOOKUP(BB_tufund[[#This Row],[Bond code]],Bankingbook_MSB[Security Name],Bankingbook_MSB[QUANTITY])/10^4)</f>
        <v>1</v>
      </c>
      <c r="EJ23" s="72">
        <f>_xlfn.XLOOKUP(BB_tufund[[#This Row],[Bond code]],Bankingbook_MSB[Security Name],Bankingbook_MSB[MARKET_VALUE])*BB_tufund[[#This Row],[% amt FNRP]]</f>
        <v>260570000000</v>
      </c>
      <c r="EK23" s="71">
        <f>_xlfn.XLOOKUP(BB_tufund[[#This Row],[Bond code]],Bankingbook_MSB[Security Name],Bankingbook_MSB[BPV_edited])
/10^9*BB_tufund[[#This Row],[% amt FNRP]]</f>
        <v>-0.16639848072570165</v>
      </c>
    </row>
    <row r="24" spans="2:141" x14ac:dyDescent="0.3">
      <c r="B24">
        <v>47714</v>
      </c>
      <c r="C24" s="35">
        <v>45952</v>
      </c>
      <c r="D24" t="s">
        <v>2503</v>
      </c>
      <c r="E24" t="s">
        <v>824</v>
      </c>
      <c r="F24" t="s">
        <v>823</v>
      </c>
      <c r="G24" s="500">
        <v>50000000000</v>
      </c>
      <c r="H24">
        <v>3.4</v>
      </c>
      <c r="I24" t="s">
        <v>3470</v>
      </c>
      <c r="J24">
        <v>2.94</v>
      </c>
      <c r="K24">
        <v>11.68</v>
      </c>
      <c r="L24" t="s">
        <v>2740</v>
      </c>
      <c r="M24">
        <v>4.49</v>
      </c>
      <c r="N24" s="37">
        <v>-7252500000</v>
      </c>
      <c r="O24">
        <v>9.18</v>
      </c>
      <c r="P24" s="500">
        <v>-83903450.430000007</v>
      </c>
      <c r="Q24" s="500">
        <v>1118000000</v>
      </c>
      <c r="R24">
        <v>104.35</v>
      </c>
      <c r="S2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-7096027716.9850378</v>
      </c>
      <c r="T24" s="72">
        <f>VLOOKUP(Outstanding_pos_TB_MSB[[#This Row],[Bonds_ShortName]],FNRP!D:J,7,0)</f>
        <v>4000000</v>
      </c>
      <c r="U24" s="72">
        <f>SUMIFS(Outstanding_pos_TB_MSB[Amt],Outstanding_pos_TB_MSB[Bonds_ShortName],Outstanding_pos_TB_MSB[[#This Row],[Bonds_ShortName]])/100000-Outstanding_pos_TB_MSB[[#This Row],[Quantity FNRP]]</f>
        <v>0</v>
      </c>
      <c r="V24" s="162" t="str">
        <f>INDEX(Ref!$I$1:$K$13,MATCH(Outstanding_pos_TB_MSB[[#This Row],[Tenor left]],Ref!$I$1:$I$13,1),3)</f>
        <v>15Y</v>
      </c>
      <c r="W24" s="72">
        <f>IF(RPT-VLOOKUP(Outstanding_pos_TB_MSB[[#This Row],[Bonds_ShortName]],CT:CU,2,0)&lt;=0,0,RPT-VLOOKUP(Outstanding_pos_TB_MSB[[#This Row],[Bonds_ShortName]],CT:CU,2,0))</f>
        <v>6</v>
      </c>
      <c r="X24" s="72">
        <f>IF(RPT-Outstanding_pos_TB_MSB[[#This Row],[VALUE_DATE]]&lt;=0,0,RPT-Outstanding_pos_TB_MSB[[#This Row],[VALUE_DATE]])</f>
        <v>300</v>
      </c>
      <c r="Y24" s="72" t="str">
        <f>_xlfn.XLOOKUP(Outstanding_pos_TB_MSB[[#This Row],[Time hold/Deal]],Ref!S:S,Ref!U:U,,-1)</f>
        <v>1Y</v>
      </c>
      <c r="AB24">
        <v>41200</v>
      </c>
      <c r="AC24" s="35">
        <v>45286</v>
      </c>
      <c r="AD24" t="s">
        <v>2788</v>
      </c>
      <c r="AE24" t="s">
        <v>2180</v>
      </c>
      <c r="AF24" t="s">
        <v>907</v>
      </c>
      <c r="AG24" s="500">
        <v>265000000000</v>
      </c>
      <c r="AH24">
        <v>3.1</v>
      </c>
      <c r="AI24">
        <v>50744</v>
      </c>
      <c r="AJ24">
        <v>3</v>
      </c>
      <c r="AK24">
        <v>12.3</v>
      </c>
      <c r="AL24" s="645" t="s">
        <v>2740</v>
      </c>
      <c r="AM24">
        <v>5.01</v>
      </c>
      <c r="AN24" s="500">
        <v>-48783850000</v>
      </c>
      <c r="AO24">
        <v>9.4499999999999993</v>
      </c>
      <c r="AP24">
        <v>-80323686.430000007</v>
      </c>
      <c r="AQ24">
        <v>2183000000</v>
      </c>
      <c r="AR24">
        <v>112.05</v>
      </c>
      <c r="AS24" s="72">
        <f>SUM(_xlfn.IFNA(VLOOKUP(Outstanding_pos_BB_MSB[[#This Row],[Bonds_ShortName]],FNRP!AV:BA,6,0)*Outstanding_pos_BB_MSB[[#This Row],[Amt]]/10^4,0),_xlfn.IFNA((VLOOKUP(Outstanding_pos_BB_MSB[[#This Row],[Bonds_ShortName]],FNRP!IK:IP,6,0)*Outstanding_pos_BB_MSB[[#This Row],[Amt]]/10^4),0))</f>
        <v>2193564000000</v>
      </c>
      <c r="AT24" s="72">
        <f>(_xlfn.XLOOKUP(Outstanding_pos_BB_MSB[[#This Row],[Bonds_ShortName]],FNRP!AV:AV,FNRP!BA:BA,,0)
-_xlfn.XLOOKUP(Outstanding_pos_BB_MSB[[#This Row],[BondsDeals_Id]],BS!AL:AL,BS!AR:AR,_xlfn.XLOOKUP(Outstanding_pos_BB_MSB[[#This Row],[BondsDeals_Id]],BS!BA:BA,BS!BQ:BQ,,0),0)-10^5)
*Outstanding_pos_BB_MSB[[#This Row],[Amt]]/10^5</f>
        <v>-48234315831.175758</v>
      </c>
      <c r="AU24" s="72">
        <f>VLOOKUP(Outstanding_pos_BB_MSB[[#This Row],[Bonds_ShortName]],FNRP!AV:CD,35,0)</f>
        <v>9650000</v>
      </c>
      <c r="AV24" s="157">
        <f>SUMIFS(AG$1:AG$103,AD$1:AD$103,Outstanding_pos_BB_MSB[[#This Row],[Bonds_ShortName]])/10^5-Outstanding_pos_BB_MSB[[#This Row],[Quantity FNRP]]</f>
        <v>0</v>
      </c>
      <c r="AW24" s="72">
        <f>IF(RPT-Outstanding_pos_BB_MSB[[#This Row],[Value Date]]&lt;=0,0,RPT-Outstanding_pos_BB_MSB[[#This Row],[Value Date]])</f>
        <v>966</v>
      </c>
      <c r="AX24" s="32" t="str">
        <f>INDEX(Ref!$I$1:$K$13,MATCH(Outstanding_pos_BB_MSB[[#This Row],[Tenor left]],Ref!$I$1:$I$13,1),3)</f>
        <v>15Y</v>
      </c>
      <c r="AY24" s="72" t="str">
        <f>_xlfn.XLOOKUP(Outstanding_pos_BB_MSB[[#This Row],[Time hold/Deal]],Ref!S:S,Ref!U:U,,-1)</f>
        <v>3Y</v>
      </c>
      <c r="BC24"/>
      <c r="BD24"/>
      <c r="BG24"/>
      <c r="BH24"/>
      <c r="BJ24"/>
      <c r="BN24"/>
      <c r="BO24"/>
      <c r="BQ24"/>
      <c r="BR24"/>
      <c r="BX24">
        <v>41198</v>
      </c>
      <c r="BY24" s="502">
        <v>45286</v>
      </c>
      <c r="BZ24" t="s">
        <v>2779</v>
      </c>
      <c r="CA24" t="s">
        <v>2180</v>
      </c>
      <c r="CB24" t="s">
        <v>907</v>
      </c>
      <c r="CC24" s="500">
        <v>200000000000</v>
      </c>
      <c r="CD24">
        <v>3.1</v>
      </c>
      <c r="CE24" s="502">
        <v>48900</v>
      </c>
      <c r="CF24">
        <v>2.8</v>
      </c>
      <c r="CG24">
        <v>7.25</v>
      </c>
      <c r="CH24" t="s">
        <v>2746</v>
      </c>
      <c r="CI24">
        <v>4.82</v>
      </c>
      <c r="CJ24" s="500">
        <v>-25776000000</v>
      </c>
      <c r="CK24">
        <v>6.1</v>
      </c>
      <c r="CL24" s="500">
        <v>-56132613.909999996</v>
      </c>
      <c r="CM24" s="500">
        <v>2336000000</v>
      </c>
      <c r="CN24">
        <v>46.36</v>
      </c>
      <c r="CO2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-24414628738.87524</v>
      </c>
      <c r="CP24" s="72">
        <f>RPT-VLOOKUP(Outstanding_pos_BB_SBV[[#This Row],[Bonds_ShortName]],CT:CU,2,0)</f>
        <v>607</v>
      </c>
      <c r="CQ24" s="157">
        <f>SUMIFS(CC:CC,BZ:BZ,Outstanding_pos_BB_SBV[[#This Row],[Bonds_ShortName]])/10^5-VLOOKUP(Outstanding_pos_BB_SBV[[#This Row],[Bonds_ShortName]],FNRP!EE:FL,34,0)</f>
        <v>0</v>
      </c>
      <c r="CT24" t="s">
        <v>675</v>
      </c>
      <c r="CU24" s="502">
        <v>45581</v>
      </c>
      <c r="CX24" s="776">
        <v>48336</v>
      </c>
      <c r="CY24" s="776" t="s">
        <v>2799</v>
      </c>
      <c r="CZ24" s="776" t="s">
        <v>2180</v>
      </c>
      <c r="DA24" s="777">
        <v>150000000000</v>
      </c>
      <c r="DB24" s="776">
        <v>7.61</v>
      </c>
      <c r="DC24" s="778">
        <v>2.74</v>
      </c>
      <c r="DD24" s="72">
        <f>_xlfn.XLOOKUP(CX24,Outstanding_pos_BB_MSB[BondsDeals_Id],Outstanding_pos_BB_MSB[ItD adj])</f>
        <v>-14497319861.850832</v>
      </c>
      <c r="DE24" s="32">
        <f>_xlfn.XLOOKUP(CX24,Outstanding_pos_BB_MSB[BondsDeals_Id],Outstanding_pos_BB_MSB[Yield])</f>
        <v>2.74</v>
      </c>
      <c r="DF24" s="32">
        <f>_xlfn.XLOOKUP(TB_HTM[[#This Row],[Deal ID]],Outstanding_pos_BB_MSB[BondsDeals_Id],Outstanding_pos_BB_MSB[Total Rate])</f>
        <v>2.1</v>
      </c>
      <c r="DG24" s="812">
        <f>_xlfn.XLOOKUP(CX24,Outstanding_pos_BB_MSB[BondsDeals_Id],Outstanding_pos_BB_MSB[Mature Date])</f>
        <v>48955</v>
      </c>
      <c r="DH24" s="786">
        <f>(TB_HTM[[#This Row],[Amt]]/10^9)/(_xlfn.XLOOKUP(TB_HTM[[#This Row],[Bond code]],Bankingbook_MSB[Security Name],Bankingbook_MSB[QUANTITY])/10^4)</f>
        <v>0.42857142857142855</v>
      </c>
      <c r="DI24" s="72">
        <f>_xlfn.XLOOKUP(TB_HTM[[#This Row],[Bond code]],Bankingbook_MSB[Security Name],Bankingbook_MSB[MARKET_VALUE])*TB_HTM[[#This Row],[% amt FNRP]]</f>
        <v>129205500000</v>
      </c>
      <c r="DJ24" s="71">
        <f>_xlfn.XLOOKUP(TB_HTM[[#This Row],[Bond code]],Bankingbook_MSB[Security Name],Bankingbook_MSB[BPV_edited])
/10^9*TB_HTM[[#This Row],[% amt FNRP]]</f>
        <v>-8.5296031208865836E-2</v>
      </c>
      <c r="DK24" s="71">
        <f>TB_HTM[[#This Row],[Amt]]*TB_HTM[[#This Row],[Yield]]/10^5</f>
        <v>4110000.0000000005</v>
      </c>
      <c r="DL24" s="71" t="str">
        <f>_xlfn.XLOOKUP(TB_HTM[[#This Row],[Bond code]],Bankingbook_MSB[Security Name],Bankingbook_MSB[Type])</f>
        <v>TPCP</v>
      </c>
      <c r="DM24" s="71" t="str">
        <f>_xlfn.XLOOKUP(TB_HTM[[#This Row],[Bond code]],Bankingbook_MSB[Security Name],Bankingbook_MSB[Issuer])</f>
        <v>KBNN</v>
      </c>
      <c r="DN24" s="71" t="str">
        <f>_xlfn.XLOOKUP(TB_HTM[[#This Row],[Bond code]],Bankingbook_MSB[Security Name],Bankingbook_MSB[Tenor])</f>
        <v>7Y</v>
      </c>
      <c r="DO24" s="72">
        <f>SUMIFS(BS[MARKET VALUE],BS[BOND_CODE],TB_HTM[[#This Row],[Bond code]],BS[BOOK_FLAG],"B",BS[BAL],BS!$C$2)/10^9*TB_HTM[[#This Row],[% amt FNRP]]</f>
        <v>129.20549999999997</v>
      </c>
      <c r="DP24" s="71" cm="1">
        <f t="array" ref="DP24">_xlfn.IFNA(_xlfn.XLOOKUP(TB_HTM[[#This Row],[Deal ID]],RPBOD3[BondsDeals_Id],RPBOD3[PTCK_Remain]*RPBOD3[Quantity])/10^9,"N/A")</f>
        <v>-6.2971801381491712</v>
      </c>
      <c r="DQ24" s="71">
        <f>_xlfn.XLOOKUP(TB_HTM[[#This Row],[Bond code]],Bankingbook_MSB[Security Name],Bankingbook_MSB[Duration_edited])</f>
        <v>6.7906373100000001</v>
      </c>
      <c r="DR24" s="71">
        <f>_xlfn.XLOOKUP(TB_HTM[[#This Row],[Bond code]],Bankingbook_MSB[Security Name],Bankingbook_MSB[Modified Duration])</f>
        <v>6.5089608663455998</v>
      </c>
      <c r="DS24" s="71">
        <f>TB_HTM[[#This Row],[Duration]]*TB_HTM[[#This Row],[Market Value FNRP]]</f>
        <v>877387688957.20508</v>
      </c>
      <c r="DT24" s="71">
        <f>TB_HTM[[#This Row],[Modified Duration]]*TB_HTM[[#This Row],[Market Value FNRP]]</f>
        <v>840993543216.61633</v>
      </c>
      <c r="DU24" s="72">
        <f>_xlfn.XLOOKUP(TB_HTM[[#This Row],[Deal ID]],Outstanding_pos_BB_MSB[BondsDeals_Id],Outstanding_pos_BB_MSB[Time hold/Deal])</f>
        <v>242</v>
      </c>
      <c r="DV24" s="71" t="str">
        <f>_xlfn.XLOOKUP(TB_HTM[[#This Row],[Deal ID]],Outstanding_pos_BB_MSB[BondsDeals_Id],Outstanding_pos_BB_MSB[Time hold (Tenor)])</f>
        <v>9M</v>
      </c>
      <c r="DW24" s="71"/>
      <c r="DY24" s="776">
        <v>42194</v>
      </c>
      <c r="DZ24" s="776" t="s">
        <v>669</v>
      </c>
      <c r="EA24" s="776" t="s">
        <v>2180</v>
      </c>
      <c r="EB24" s="777">
        <v>100000000000</v>
      </c>
      <c r="EC24" s="776">
        <v>8.15</v>
      </c>
      <c r="ED24" s="778">
        <v>2.2799999999999998</v>
      </c>
      <c r="EE24" s="72">
        <f>_xlfn.XLOOKUP(DY24,Outstanding_pos_BB_MSB[BondsDeals_Id],Outstanding_pos_BB_MSB[ItD adj])</f>
        <v>-14611585788.263008</v>
      </c>
      <c r="EF24" s="32">
        <f>_xlfn.XLOOKUP(DY24,Outstanding_pos_BB_MSB[BondsDeals_Id],Outstanding_pos_BB_MSB[Yield])</f>
        <v>2.2799999999999998</v>
      </c>
      <c r="EG24" s="71">
        <f>_xlfn.XLOOKUP(BB_tufund[[#This Row],[Deal ID]],Outstanding_pos_BB_MSB[BondsDeals_Id],Outstanding_pos_BB_MSB[Total Rate])</f>
        <v>4.5999999999999996</v>
      </c>
      <c r="EH24" s="124">
        <f>_xlfn.XLOOKUP(DY24,Outstanding_pos_BB_MSB[BondsDeals_Id],Outstanding_pos_BB_MSB[Mature Date])</f>
        <v>49150</v>
      </c>
      <c r="EI24" s="787">
        <f>(BB_tufund[[#This Row],[Amt]]/10^9)/(_xlfn.XLOOKUP(BB_tufund[[#This Row],[Bond code]],Bankingbook_MSB[Security Name],Bankingbook_MSB[QUANTITY])/10^4)</f>
        <v>0.2857142857142857</v>
      </c>
      <c r="EJ24" s="72">
        <f>_xlfn.XLOOKUP(BB_tufund[[#This Row],[Bond code]],Bankingbook_MSB[Security Name],Bankingbook_MSB[MARKET_VALUE])*BB_tufund[[#This Row],[% amt FNRP]]</f>
        <v>101627000000</v>
      </c>
      <c r="EK24" s="71">
        <f>_xlfn.XLOOKUP(BB_tufund[[#This Row],[Bond code]],Bankingbook_MSB[Security Name],Bankingbook_MSB[BPV_edited])
/10^9*BB_tufund[[#This Row],[% amt FNRP]]</f>
        <v>-6.6551246607929923E-2</v>
      </c>
    </row>
    <row r="25" spans="2:141" x14ac:dyDescent="0.3">
      <c r="B25">
        <v>47716</v>
      </c>
      <c r="C25" s="35">
        <v>45952</v>
      </c>
      <c r="D25" t="s">
        <v>2840</v>
      </c>
      <c r="E25" t="s">
        <v>824</v>
      </c>
      <c r="F25" t="s">
        <v>823</v>
      </c>
      <c r="G25" s="501">
        <v>100000000000</v>
      </c>
      <c r="H25">
        <v>2.9</v>
      </c>
      <c r="I25" t="s">
        <v>3475</v>
      </c>
      <c r="J25">
        <v>3.25</v>
      </c>
      <c r="K25">
        <v>13.02</v>
      </c>
      <c r="L25" t="s">
        <v>2740</v>
      </c>
      <c r="M25">
        <v>4.53</v>
      </c>
      <c r="N25" s="37">
        <v>-11874000000</v>
      </c>
      <c r="O25">
        <v>10</v>
      </c>
      <c r="P25" s="500">
        <v>-87121982.510000005</v>
      </c>
      <c r="Q25" s="500">
        <v>2868000000</v>
      </c>
      <c r="R25">
        <v>125.62</v>
      </c>
      <c r="S2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-12104123526.285532</v>
      </c>
      <c r="T25" s="72">
        <f>VLOOKUP(Outstanding_pos_TB_MSB[[#This Row],[Bonds_ShortName]],FNRP!D:J,7,0)</f>
        <v>1000000</v>
      </c>
      <c r="U25" s="72">
        <f>SUMIFS(Outstanding_pos_TB_MSB[Amt],Outstanding_pos_TB_MSB[Bonds_ShortName],Outstanding_pos_TB_MSB[[#This Row],[Bonds_ShortName]])/100000-Outstanding_pos_TB_MSB[[#This Row],[Quantity FNRP]]</f>
        <v>0</v>
      </c>
      <c r="V25" s="162" t="str">
        <f>INDEX(Ref!$I$1:$K$13,MATCH(Outstanding_pos_TB_MSB[[#This Row],[Tenor left]],Ref!$I$1:$I$13,1),3)</f>
        <v>15Y</v>
      </c>
      <c r="W25" s="72">
        <f>IF(RPT-VLOOKUP(Outstanding_pos_TB_MSB[[#This Row],[Bonds_ShortName]],CT:CU,2,0)&lt;=0,0,RPT-VLOOKUP(Outstanding_pos_TB_MSB[[#This Row],[Bonds_ShortName]],CT:CU,2,0))</f>
        <v>301</v>
      </c>
      <c r="X25" s="72">
        <f>IF(RPT-Outstanding_pos_TB_MSB[[#This Row],[VALUE_DATE]]&lt;=0,0,RPT-Outstanding_pos_TB_MSB[[#This Row],[VALUE_DATE]])</f>
        <v>300</v>
      </c>
      <c r="Y25" s="72" t="str">
        <f>_xlfn.XLOOKUP(Outstanding_pos_TB_MSB[[#This Row],[Time hold/Deal]],Ref!S:S,Ref!U:U,,-1)</f>
        <v>1Y</v>
      </c>
      <c r="AB25">
        <v>41203</v>
      </c>
      <c r="AC25" s="35">
        <v>45287</v>
      </c>
      <c r="AD25" t="s">
        <v>2788</v>
      </c>
      <c r="AE25" t="s">
        <v>2180</v>
      </c>
      <c r="AF25" t="s">
        <v>907</v>
      </c>
      <c r="AG25" s="500">
        <v>100000000000</v>
      </c>
      <c r="AH25">
        <v>3.1</v>
      </c>
      <c r="AI25">
        <v>50744</v>
      </c>
      <c r="AJ25">
        <v>3</v>
      </c>
      <c r="AK25">
        <v>12.3</v>
      </c>
      <c r="AL25" s="645" t="s">
        <v>2740</v>
      </c>
      <c r="AM25">
        <v>5.01</v>
      </c>
      <c r="AN25" s="500">
        <v>-18409000000</v>
      </c>
      <c r="AO25">
        <v>9.4499999999999993</v>
      </c>
      <c r="AP25">
        <v>-80323686.430000007</v>
      </c>
      <c r="AQ25">
        <v>2183000000</v>
      </c>
      <c r="AR25">
        <v>112.05</v>
      </c>
      <c r="AS25" s="72">
        <f>SUM(_xlfn.IFNA(VLOOKUP(Outstanding_pos_BB_MSB[[#This Row],[Bonds_ShortName]],FNRP!AV:BA,6,0)*Outstanding_pos_BB_MSB[[#This Row],[Amt]]/10^4,0),_xlfn.IFNA((VLOOKUP(Outstanding_pos_BB_MSB[[#This Row],[Bonds_ShortName]],FNRP!IK:IP,6,0)*Outstanding_pos_BB_MSB[[#This Row],[Amt]]/10^4),0))</f>
        <v>827760000000</v>
      </c>
      <c r="AT25" s="72">
        <f>(_xlfn.XLOOKUP(Outstanding_pos_BB_MSB[[#This Row],[Bonds_ShortName]],FNRP!AV:AV,FNRP!BA:BA,,0)
-_xlfn.XLOOKUP(Outstanding_pos_BB_MSB[[#This Row],[BondsDeals_Id]],BS!AL:AL,BS!AR:AR,_xlfn.XLOOKUP(Outstanding_pos_BB_MSB[[#This Row],[BondsDeals_Id]],BS!BA:BA,BS!BQ:BQ,,0),0)-10^5)
*Outstanding_pos_BB_MSB[[#This Row],[Amt]]/10^5</f>
        <v>-18201421011.364552</v>
      </c>
      <c r="AU25" s="72">
        <f>VLOOKUP(Outstanding_pos_BB_MSB[[#This Row],[Bonds_ShortName]],FNRP!AV:CD,35,0)</f>
        <v>9650000</v>
      </c>
      <c r="AV25" s="157">
        <f>SUMIFS(AG$1:AG$103,AD$1:AD$103,Outstanding_pos_BB_MSB[[#This Row],[Bonds_ShortName]])/10^5-Outstanding_pos_BB_MSB[[#This Row],[Quantity FNRP]]</f>
        <v>0</v>
      </c>
      <c r="AW25" s="72">
        <f>IF(RPT-Outstanding_pos_BB_MSB[[#This Row],[Value Date]]&lt;=0,0,RPT-Outstanding_pos_BB_MSB[[#This Row],[Value Date]])</f>
        <v>965</v>
      </c>
      <c r="AX25" s="32" t="str">
        <f>INDEX(Ref!$I$1:$K$13,MATCH(Outstanding_pos_BB_MSB[[#This Row],[Tenor left]],Ref!$I$1:$I$13,1),3)</f>
        <v>15Y</v>
      </c>
      <c r="AY25" s="72" t="str">
        <f>_xlfn.XLOOKUP(Outstanding_pos_BB_MSB[[#This Row],[Time hold/Deal]],Ref!S:S,Ref!U:U,,-1)</f>
        <v>3Y</v>
      </c>
      <c r="BC25"/>
      <c r="BD25"/>
      <c r="BG25"/>
      <c r="BH25"/>
      <c r="BJ25"/>
      <c r="BN25"/>
      <c r="BO25"/>
      <c r="BQ25"/>
      <c r="BR25"/>
      <c r="BX25">
        <v>41200</v>
      </c>
      <c r="BY25" s="502">
        <v>45286</v>
      </c>
      <c r="BZ25" t="s">
        <v>2788</v>
      </c>
      <c r="CA25" t="s">
        <v>2180</v>
      </c>
      <c r="CB25" t="s">
        <v>907</v>
      </c>
      <c r="CC25" s="500">
        <v>265000000000</v>
      </c>
      <c r="CD25">
        <v>3.1</v>
      </c>
      <c r="CE25" s="502">
        <v>50744</v>
      </c>
      <c r="CF25">
        <v>3</v>
      </c>
      <c r="CG25">
        <v>12.3</v>
      </c>
      <c r="CH25" t="s">
        <v>2740</v>
      </c>
      <c r="CI25">
        <v>5.01</v>
      </c>
      <c r="CJ25" s="500">
        <v>-48783850000</v>
      </c>
      <c r="CK25">
        <v>9.4499999999999993</v>
      </c>
      <c r="CL25" s="500">
        <v>-80323686.430000007</v>
      </c>
      <c r="CM25" s="500">
        <v>2183000000</v>
      </c>
      <c r="CN25">
        <v>112.05</v>
      </c>
      <c r="CO2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-48234315831.175758</v>
      </c>
      <c r="CP25" s="72">
        <f>RPT-VLOOKUP(Outstanding_pos_BB_SBV[[#This Row],[Bonds_ShortName]],CT:CU,2,0)</f>
        <v>540</v>
      </c>
      <c r="CQ25" s="157">
        <f>SUMIFS(CC:CC,BZ:BZ,Outstanding_pos_BB_SBV[[#This Row],[Bonds_ShortName]])/10^5-VLOOKUP(Outstanding_pos_BB_SBV[[#This Row],[Bonds_ShortName]],FNRP!EE:FL,34,0)</f>
        <v>0</v>
      </c>
      <c r="CT25" t="s">
        <v>2503</v>
      </c>
      <c r="CU25" s="502">
        <v>46246</v>
      </c>
      <c r="CX25" s="776">
        <v>48338</v>
      </c>
      <c r="CY25" s="776" t="s">
        <v>2800</v>
      </c>
      <c r="CZ25" s="776" t="s">
        <v>2180</v>
      </c>
      <c r="DA25" s="777">
        <v>150000000000</v>
      </c>
      <c r="DB25" s="776">
        <v>12.62</v>
      </c>
      <c r="DC25" s="778">
        <v>2.96</v>
      </c>
      <c r="DD25" s="72">
        <f>_xlfn.XLOOKUP(CX25,Outstanding_pos_BB_MSB[BondsDeals_Id],Outstanding_pos_BB_MSB[ItD adj])</f>
        <v>-20930922808.577801</v>
      </c>
      <c r="DE25" s="32">
        <f>_xlfn.XLOOKUP(CX25,Outstanding_pos_BB_MSB[BondsDeals_Id],Outstanding_pos_BB_MSB[Yield])</f>
        <v>2.96</v>
      </c>
      <c r="DF25" s="32">
        <f>_xlfn.XLOOKUP(TB_HTM[[#This Row],[Deal ID]],Outstanding_pos_BB_MSB[BondsDeals_Id],Outstanding_pos_BB_MSB[Total Rate])</f>
        <v>2.2999999999999998</v>
      </c>
      <c r="DG25" s="812">
        <f>_xlfn.XLOOKUP(CX25,Outstanding_pos_BB_MSB[BondsDeals_Id],Outstanding_pos_BB_MSB[Mature Date])</f>
        <v>50781</v>
      </c>
      <c r="DH25" s="786">
        <f>(TB_HTM[[#This Row],[Amt]]/10^9)/(_xlfn.XLOOKUP(TB_HTM[[#This Row],[Bond code]],Bankingbook_MSB[Security Name],Bankingbook_MSB[QUANTITY])/10^4)</f>
        <v>0.25</v>
      </c>
      <c r="DI25" s="72">
        <f>_xlfn.XLOOKUP(TB_HTM[[#This Row],[Bond code]],Bankingbook_MSB[Security Name],Bankingbook_MSB[MARKET_VALUE])*TB_HTM[[#This Row],[% amt FNRP]]</f>
        <v>119010000000</v>
      </c>
      <c r="DJ25" s="71">
        <f>_xlfn.XLOOKUP(TB_HTM[[#This Row],[Bond code]],Bankingbook_MSB[Security Name],Bankingbook_MSB[BPV_edited])
/10^9*TB_HTM[[#This Row],[% amt FNRP]]</f>
        <v>-0.12189009396844802</v>
      </c>
      <c r="DK25" s="71">
        <f>TB_HTM[[#This Row],[Amt]]*TB_HTM[[#This Row],[Yield]]/10^5</f>
        <v>4440000</v>
      </c>
      <c r="DL25" s="71" t="str">
        <f>_xlfn.XLOOKUP(TB_HTM[[#This Row],[Bond code]],Bankingbook_MSB[Security Name],Bankingbook_MSB[Type])</f>
        <v>TPCP</v>
      </c>
      <c r="DM25" s="71" t="str">
        <f>_xlfn.XLOOKUP(TB_HTM[[#This Row],[Bond code]],Bankingbook_MSB[Security Name],Bankingbook_MSB[Issuer])</f>
        <v>KBNN</v>
      </c>
      <c r="DN25" s="71" t="str">
        <f>_xlfn.XLOOKUP(TB_HTM[[#This Row],[Bond code]],Bankingbook_MSB[Security Name],Bankingbook_MSB[Tenor])</f>
        <v>15Y</v>
      </c>
      <c r="DO25" s="72">
        <f>SUMIFS(BS[MARKET VALUE],BS[BOND_CODE],TB_HTM[[#This Row],[Bond code]],BS[BOOK_FLAG],"B",BS[BAL],BS!$C$2)/10^9*TB_HTM[[#This Row],[% amt FNRP]]</f>
        <v>119.01</v>
      </c>
      <c r="DP25" s="71" cm="1">
        <f t="array" ref="DP25">_xlfn.IFNA(_xlfn.XLOOKUP(TB_HTM[[#This Row],[Deal ID]],RPBOD3[BondsDeals_Id],RPBOD3[PTCK_Remain]*RPBOD3[Quantity])/10^9,"N/A")</f>
        <v>-10.059077191422199</v>
      </c>
      <c r="DQ25" s="71">
        <f>_xlfn.XLOOKUP(TB_HTM[[#This Row],[Bond code]],Bankingbook_MSB[Security Name],Bankingbook_MSB[Duration_edited])</f>
        <v>10.527370810000001</v>
      </c>
      <c r="DR25" s="71">
        <f>_xlfn.XLOOKUP(TB_HTM[[#This Row],[Bond code]],Bankingbook_MSB[Security Name],Bankingbook_MSB[Modified Duration])</f>
        <v>10.0730458643232</v>
      </c>
      <c r="DS25" s="71">
        <f>TB_HTM[[#This Row],[Duration]]*TB_HTM[[#This Row],[Market Value FNRP]]</f>
        <v>1252862400098.1001</v>
      </c>
      <c r="DT25" s="71">
        <f>TB_HTM[[#This Row],[Modified Duration]]*TB_HTM[[#This Row],[Market Value FNRP]]</f>
        <v>1198793188313.104</v>
      </c>
      <c r="DU25" s="72">
        <f>_xlfn.XLOOKUP(TB_HTM[[#This Row],[Deal ID]],Outstanding_pos_BB_MSB[BondsDeals_Id],Outstanding_pos_BB_MSB[Time hold/Deal])</f>
        <v>246</v>
      </c>
      <c r="DV25" s="71" t="str">
        <f>_xlfn.XLOOKUP(TB_HTM[[#This Row],[Deal ID]],Outstanding_pos_BB_MSB[BondsDeals_Id],Outstanding_pos_BB_MSB[Time hold (Tenor)])</f>
        <v>9M</v>
      </c>
      <c r="DW25" s="71"/>
      <c r="DY25" s="776">
        <v>42022</v>
      </c>
      <c r="DZ25" s="776" t="s">
        <v>672</v>
      </c>
      <c r="EA25" s="776" t="s">
        <v>2180</v>
      </c>
      <c r="EB25" s="777">
        <v>100000000000</v>
      </c>
      <c r="EC25" s="776">
        <v>8.3800000000000008</v>
      </c>
      <c r="ED25" s="778">
        <v>2.3199999999999998</v>
      </c>
      <c r="EE25" s="72">
        <f>_xlfn.XLOOKUP(DY25,Outstanding_pos_BB_MSB[BondsDeals_Id],Outstanding_pos_BB_MSB[ItD adj])</f>
        <v>-14497487874.836994</v>
      </c>
      <c r="EF25" s="32">
        <f>_xlfn.XLOOKUP(DY25,Outstanding_pos_BB_MSB[BondsDeals_Id],Outstanding_pos_BB_MSB[Yield])</f>
        <v>2.3199999999999998</v>
      </c>
      <c r="EG25" s="71">
        <f>_xlfn.XLOOKUP(BB_tufund[[#This Row],[Deal ID]],Outstanding_pos_BB_MSB[BondsDeals_Id],Outstanding_pos_BB_MSB[Total Rate])</f>
        <v>4</v>
      </c>
      <c r="EH25" s="124">
        <f>_xlfn.XLOOKUP(DY25,Outstanding_pos_BB_MSB[BondsDeals_Id],Outstanding_pos_BB_MSB[Mature Date])</f>
        <v>49234</v>
      </c>
      <c r="EI25" s="787">
        <f>(BB_tufund[[#This Row],[Amt]]/10^9)/(_xlfn.XLOOKUP(BB_tufund[[#This Row],[Bond code]],Bankingbook_MSB[Security Name],Bankingbook_MSB[QUANTITY])/10^4)</f>
        <v>1</v>
      </c>
      <c r="EJ25" s="72">
        <f>_xlfn.XLOOKUP(BB_tufund[[#This Row],[Bond code]],Bankingbook_MSB[Security Name],Bankingbook_MSB[MARKET_VALUE])*BB_tufund[[#This Row],[% amt FNRP]]</f>
        <v>97540000000</v>
      </c>
      <c r="EK25" s="71">
        <f>_xlfn.XLOOKUP(BB_tufund[[#This Row],[Bond code]],Bankingbook_MSB[Security Name],Bankingbook_MSB[BPV_edited])
/10^9*BB_tufund[[#This Row],[% amt FNRP]]</f>
        <v>-6.644752320403334E-2</v>
      </c>
    </row>
    <row r="26" spans="2:141" x14ac:dyDescent="0.3">
      <c r="B26">
        <v>47722</v>
      </c>
      <c r="C26" s="35">
        <v>45952</v>
      </c>
      <c r="D26" t="s">
        <v>638</v>
      </c>
      <c r="E26" t="s">
        <v>824</v>
      </c>
      <c r="F26" t="s">
        <v>823</v>
      </c>
      <c r="G26" s="500">
        <v>50000000000</v>
      </c>
      <c r="H26">
        <v>2.2999999999999998</v>
      </c>
      <c r="I26" t="s">
        <v>3487</v>
      </c>
      <c r="J26">
        <v>2.61</v>
      </c>
      <c r="K26">
        <v>4.72</v>
      </c>
      <c r="L26" t="s">
        <v>2745</v>
      </c>
      <c r="M26">
        <v>4.16</v>
      </c>
      <c r="N26" s="37">
        <v>-3134500000</v>
      </c>
      <c r="O26">
        <v>4.3</v>
      </c>
      <c r="P26" s="500">
        <v>-39956924.960000001</v>
      </c>
      <c r="Q26" s="500">
        <v>655000000</v>
      </c>
      <c r="R26">
        <v>23.26</v>
      </c>
      <c r="S2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-3250939633.2127438</v>
      </c>
      <c r="T26" s="72">
        <f>VLOOKUP(Outstanding_pos_TB_MSB[[#This Row],[Bonds_ShortName]],FNRP!D:J,7,0)</f>
        <v>500000</v>
      </c>
      <c r="U26" s="72">
        <f>SUMIFS(Outstanding_pos_TB_MSB[Amt],Outstanding_pos_TB_MSB[Bonds_ShortName],Outstanding_pos_TB_MSB[[#This Row],[Bonds_ShortName]])/100000-Outstanding_pos_TB_MSB[[#This Row],[Quantity FNRP]]</f>
        <v>0</v>
      </c>
      <c r="V26" s="162" t="str">
        <f>INDEX(Ref!$I$1:$K$13,MATCH(Outstanding_pos_TB_MSB[[#This Row],[Tenor left]],Ref!$I$1:$I$13,1),3)</f>
        <v>5Y</v>
      </c>
      <c r="W26" s="72">
        <f>IF(RPT-VLOOKUP(Outstanding_pos_TB_MSB[[#This Row],[Bonds_ShortName]],CT:CU,2,0)&lt;=0,0,RPT-VLOOKUP(Outstanding_pos_TB_MSB[[#This Row],[Bonds_ShortName]],CT:CU,2,0))</f>
        <v>301</v>
      </c>
      <c r="X26" s="72">
        <f>IF(RPT-Outstanding_pos_TB_MSB[[#This Row],[VALUE_DATE]]&lt;=0,0,RPT-Outstanding_pos_TB_MSB[[#This Row],[VALUE_DATE]])</f>
        <v>300</v>
      </c>
      <c r="Y26" s="72" t="str">
        <f>_xlfn.XLOOKUP(Outstanding_pos_TB_MSB[[#This Row],[Time hold/Deal]],Ref!S:S,Ref!U:U,,-1)</f>
        <v>1Y</v>
      </c>
      <c r="AB26">
        <v>41205</v>
      </c>
      <c r="AC26" s="35">
        <v>45287</v>
      </c>
      <c r="AD26" t="s">
        <v>2782</v>
      </c>
      <c r="AE26" t="s">
        <v>2180</v>
      </c>
      <c r="AF26" t="s">
        <v>907</v>
      </c>
      <c r="AG26" s="500">
        <v>27000000000</v>
      </c>
      <c r="AH26">
        <v>3.4</v>
      </c>
      <c r="AI26">
        <v>50730</v>
      </c>
      <c r="AJ26">
        <v>2.91</v>
      </c>
      <c r="AK26">
        <v>12.27</v>
      </c>
      <c r="AL26" s="645" t="s">
        <v>2740</v>
      </c>
      <c r="AM26">
        <v>5.01</v>
      </c>
      <c r="AN26" s="500">
        <v>-5499900000</v>
      </c>
      <c r="AO26">
        <v>9.2799999999999994</v>
      </c>
      <c r="AP26">
        <v>-81724148.819999993</v>
      </c>
      <c r="AQ26">
        <v>2524000000</v>
      </c>
      <c r="AR26">
        <v>109.16</v>
      </c>
      <c r="AS26" s="72">
        <f>SUM(_xlfn.IFNA(VLOOKUP(Outstanding_pos_BB_MSB[[#This Row],[Bonds_ShortName]],FNRP!AV:BA,6,0)*Outstanding_pos_BB_MSB[[#This Row],[Amt]]/10^4,0),_xlfn.IFNA((VLOOKUP(Outstanding_pos_BB_MSB[[#This Row],[Bonds_ShortName]],FNRP!IK:IP,6,0)*Outstanding_pos_BB_MSB[[#This Row],[Amt]]/10^4),0))</f>
        <v>230912100000</v>
      </c>
      <c r="AT26" s="72">
        <f>(_xlfn.XLOOKUP(Outstanding_pos_BB_MSB[[#This Row],[Bonds_ShortName]],FNRP!AV:AV,FNRP!BA:BA,,0)
-_xlfn.XLOOKUP(Outstanding_pos_BB_MSB[[#This Row],[BondsDeals_Id]],BS!AL:AL,BS!AR:AR,_xlfn.XLOOKUP(Outstanding_pos_BB_MSB[[#This Row],[BondsDeals_Id]],BS!BA:BA,BS!BQ:BQ,,0),0)-10^5)
*Outstanding_pos_BB_MSB[[#This Row],[Amt]]/10^5</f>
        <v>-5218088294.6964502</v>
      </c>
      <c r="AU26" s="72">
        <f>VLOOKUP(Outstanding_pos_BB_MSB[[#This Row],[Bonds_ShortName]],FNRP!AV:CD,35,0)</f>
        <v>1370000</v>
      </c>
      <c r="AV26" s="157">
        <f>SUMIFS(AG$1:AG$103,AD$1:AD$103,Outstanding_pos_BB_MSB[[#This Row],[Bonds_ShortName]])/10^5-Outstanding_pos_BB_MSB[[#This Row],[Quantity FNRP]]</f>
        <v>0</v>
      </c>
      <c r="AW26" s="72">
        <f>IF(RPT-Outstanding_pos_BB_MSB[[#This Row],[Value Date]]&lt;=0,0,RPT-Outstanding_pos_BB_MSB[[#This Row],[Value Date]])</f>
        <v>965</v>
      </c>
      <c r="AX26" s="32" t="str">
        <f>INDEX(Ref!$I$1:$K$13,MATCH(Outstanding_pos_BB_MSB[[#This Row],[Tenor left]],Ref!$I$1:$I$13,1),3)</f>
        <v>15Y</v>
      </c>
      <c r="AY26" s="72" t="str">
        <f>_xlfn.XLOOKUP(Outstanding_pos_BB_MSB[[#This Row],[Time hold/Deal]],Ref!S:S,Ref!U:U,,-1)</f>
        <v>3Y</v>
      </c>
      <c r="BC26"/>
      <c r="BD26"/>
      <c r="BG26"/>
      <c r="BH26"/>
      <c r="BJ26"/>
      <c r="BN26"/>
      <c r="BO26"/>
      <c r="BQ26"/>
      <c r="BR26"/>
      <c r="BX26">
        <v>41203</v>
      </c>
      <c r="BY26" s="502">
        <v>45287</v>
      </c>
      <c r="BZ26" t="s">
        <v>2788</v>
      </c>
      <c r="CA26" t="s">
        <v>2180</v>
      </c>
      <c r="CB26" t="s">
        <v>907</v>
      </c>
      <c r="CC26" s="500">
        <v>100000000000</v>
      </c>
      <c r="CD26">
        <v>3.1</v>
      </c>
      <c r="CE26" s="502">
        <v>50744</v>
      </c>
      <c r="CF26">
        <v>3</v>
      </c>
      <c r="CG26">
        <v>12.3</v>
      </c>
      <c r="CH26" t="s">
        <v>2740</v>
      </c>
      <c r="CI26">
        <v>5.01</v>
      </c>
      <c r="CJ26" s="500">
        <v>-18409000000</v>
      </c>
      <c r="CK26">
        <v>9.4499999999999993</v>
      </c>
      <c r="CL26" s="500">
        <v>-80323686.430000007</v>
      </c>
      <c r="CM26" s="500">
        <v>2183000000</v>
      </c>
      <c r="CN26">
        <v>112.05</v>
      </c>
      <c r="CO2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-18201421011.364552</v>
      </c>
      <c r="CP26" s="72">
        <f>RPT-VLOOKUP(Outstanding_pos_BB_SBV[[#This Row],[Bonds_ShortName]],CT:CU,2,0)</f>
        <v>540</v>
      </c>
      <c r="CQ26" s="157">
        <f>SUMIFS(CC:CC,BZ:BZ,Outstanding_pos_BB_SBV[[#This Row],[Bonds_ShortName]])/10^5-VLOOKUP(Outstanding_pos_BB_SBV[[#This Row],[Bonds_ShortName]],FNRP!EE:FL,34,0)</f>
        <v>0</v>
      </c>
      <c r="CT26" t="s">
        <v>641</v>
      </c>
      <c r="CU26" s="502">
        <v>45355</v>
      </c>
      <c r="CX26" s="776">
        <v>48341</v>
      </c>
      <c r="CY26" s="776" t="s">
        <v>2741</v>
      </c>
      <c r="CZ26" s="776" t="s">
        <v>2180</v>
      </c>
      <c r="DA26" s="777">
        <v>50000000000</v>
      </c>
      <c r="DB26" s="776">
        <v>12.06</v>
      </c>
      <c r="DC26" s="778">
        <v>3.03</v>
      </c>
      <c r="DD26" s="72">
        <f>_xlfn.XLOOKUP(CX26,Outstanding_pos_BB_MSB[BondsDeals_Id],Outstanding_pos_BB_MSB[ItD adj])</f>
        <v>-6536643321.7680025</v>
      </c>
      <c r="DE26" s="32">
        <f>_xlfn.XLOOKUP(CX26,Outstanding_pos_BB_MSB[BondsDeals_Id],Outstanding_pos_BB_MSB[Yield])</f>
        <v>3.03</v>
      </c>
      <c r="DF26" s="32">
        <f>_xlfn.XLOOKUP(TB_HTM[[#This Row],[Deal ID]],Outstanding_pos_BB_MSB[BondsDeals_Id],Outstanding_pos_BB_MSB[Total Rate])</f>
        <v>2.8</v>
      </c>
      <c r="DG26" s="812">
        <f>_xlfn.XLOOKUP(CX26,Outstanding_pos_BB_MSB[BondsDeals_Id],Outstanding_pos_BB_MSB[Mature Date])</f>
        <v>50578</v>
      </c>
      <c r="DH26" s="786">
        <f>(TB_HTM[[#This Row],[Amt]]/10^9)/(_xlfn.XLOOKUP(TB_HTM[[#This Row],[Bond code]],Bankingbook_MSB[Security Name],Bankingbook_MSB[QUANTITY])/10^4)</f>
        <v>5.8823529411764705E-2</v>
      </c>
      <c r="DI26" s="72">
        <f>_xlfn.XLOOKUP(TB_HTM[[#This Row],[Bond code]],Bankingbook_MSB[Security Name],Bankingbook_MSB[MARKET_VALUE])*TB_HTM[[#This Row],[% amt FNRP]]</f>
        <v>42339000000</v>
      </c>
      <c r="DJ26" s="71">
        <f>_xlfn.XLOOKUP(TB_HTM[[#This Row],[Bond code]],Bankingbook_MSB[Security Name],Bankingbook_MSB[BPV_edited])
/10^9*TB_HTM[[#This Row],[% amt FNRP]]</f>
        <v>-4.080313785696546E-2</v>
      </c>
      <c r="DK26" s="71">
        <f>TB_HTM[[#This Row],[Amt]]*TB_HTM[[#This Row],[Yield]]/10^5</f>
        <v>1515000</v>
      </c>
      <c r="DL26" s="71" t="str">
        <f>_xlfn.XLOOKUP(TB_HTM[[#This Row],[Bond code]],Bankingbook_MSB[Security Name],Bankingbook_MSB[Type])</f>
        <v>TPCP</v>
      </c>
      <c r="DM26" s="71" t="str">
        <f>_xlfn.XLOOKUP(TB_HTM[[#This Row],[Bond code]],Bankingbook_MSB[Security Name],Bankingbook_MSB[Issuer])</f>
        <v>KBNN</v>
      </c>
      <c r="DN26" s="71" t="str">
        <f>_xlfn.XLOOKUP(TB_HTM[[#This Row],[Bond code]],Bankingbook_MSB[Security Name],Bankingbook_MSB[Tenor])</f>
        <v>15Y</v>
      </c>
      <c r="DO26" s="72">
        <f>SUMIFS(BS[MARKET VALUE],BS[BOND_CODE],TB_HTM[[#This Row],[Bond code]],BS[BOOK_FLAG],"B",BS[BAL],BS!$C$2)/10^9*TB_HTM[[#This Row],[% amt FNRP]]</f>
        <v>42.338999999999999</v>
      </c>
      <c r="DP26" s="71" cm="1">
        <f t="array" ref="DP26">_xlfn.IFNA(_xlfn.XLOOKUP(TB_HTM[[#This Row],[Deal ID]],RPBOD3[BondsDeals_Id],RPBOD3[PTCK_Remain]*RPBOD3[Quantity])/10^9,"N/A")</f>
        <v>-1.124356678232</v>
      </c>
      <c r="DQ26" s="71">
        <f>_xlfn.XLOOKUP(TB_HTM[[#This Row],[Bond code]],Bankingbook_MSB[Security Name],Bankingbook_MSB[Duration_edited])</f>
        <v>10.02464352</v>
      </c>
      <c r="DR26" s="71">
        <f>_xlfn.XLOOKUP(TB_HTM[[#This Row],[Bond code]],Bankingbook_MSB[Security Name],Bankingbook_MSB[Modified Duration])</f>
        <v>9.5933399052079</v>
      </c>
      <c r="DS26" s="71">
        <f>TB_HTM[[#This Row],[Duration]]*TB_HTM[[#This Row],[Market Value FNRP]]</f>
        <v>424433381993.27997</v>
      </c>
      <c r="DT26" s="71">
        <f>TB_HTM[[#This Row],[Modified Duration]]*TB_HTM[[#This Row],[Market Value FNRP]]</f>
        <v>406172418246.59729</v>
      </c>
      <c r="DU26" s="72">
        <f>_xlfn.XLOOKUP(TB_HTM[[#This Row],[Deal ID]],Outstanding_pos_BB_MSB[BondsDeals_Id],Outstanding_pos_BB_MSB[Time hold/Deal])</f>
        <v>246</v>
      </c>
      <c r="DV26" s="71" t="str">
        <f>_xlfn.XLOOKUP(TB_HTM[[#This Row],[Deal ID]],Outstanding_pos_BB_MSB[BondsDeals_Id],Outstanding_pos_BB_MSB[Time hold (Tenor)])</f>
        <v>9M</v>
      </c>
      <c r="DW26" s="71"/>
      <c r="DY26" s="776">
        <v>41952</v>
      </c>
      <c r="DZ26" s="776" t="s">
        <v>679</v>
      </c>
      <c r="EA26" s="776" t="s">
        <v>2180</v>
      </c>
      <c r="EB26" s="777">
        <v>50000000000</v>
      </c>
      <c r="EC26" s="776">
        <v>8.61</v>
      </c>
      <c r="ED26" s="778">
        <v>2.3199999999999998</v>
      </c>
      <c r="EE26" s="72">
        <f>_xlfn.XLOOKUP(DY26,Outstanding_pos_BB_MSB[BondsDeals_Id],Outstanding_pos_BB_MSB[ItD adj])</f>
        <v>-7290670729.1958008</v>
      </c>
      <c r="EF26" s="32">
        <f>_xlfn.XLOOKUP(DY26,Outstanding_pos_BB_MSB[BondsDeals_Id],Outstanding_pos_BB_MSB[Yield])</f>
        <v>2.3199999999999998</v>
      </c>
      <c r="EG26" s="71">
        <f>_xlfn.XLOOKUP(BB_tufund[[#This Row],[Deal ID]],Outstanding_pos_BB_MSB[BondsDeals_Id],Outstanding_pos_BB_MSB[Total Rate])</f>
        <v>3.2</v>
      </c>
      <c r="EH26" s="124">
        <f>_xlfn.XLOOKUP(DY26,Outstanding_pos_BB_MSB[BondsDeals_Id],Outstanding_pos_BB_MSB[Mature Date])</f>
        <v>49318</v>
      </c>
      <c r="EI26" s="787">
        <f>(BB_tufund[[#This Row],[Amt]]/10^9)/(_xlfn.XLOOKUP(BB_tufund[[#This Row],[Bond code]],Bankingbook_MSB[Security Name],Bankingbook_MSB[QUANTITY])/10^4)</f>
        <v>1</v>
      </c>
      <c r="EJ26" s="72">
        <f>_xlfn.XLOOKUP(BB_tufund[[#This Row],[Bond code]],Bankingbook_MSB[Security Name],Bankingbook_MSB[MARKET_VALUE])*BB_tufund[[#This Row],[% amt FNRP]]</f>
        <v>45941500000</v>
      </c>
      <c r="EK26" s="71">
        <f>_xlfn.XLOOKUP(BB_tufund[[#This Row],[Bond code]],Bankingbook_MSB[Security Name],Bankingbook_MSB[BPV_edited])
/10^9*BB_tufund[[#This Row],[% amt FNRP]]</f>
        <v>-3.2787179740459471E-2</v>
      </c>
    </row>
    <row r="27" spans="2:141" x14ac:dyDescent="0.3">
      <c r="B27">
        <v>47724</v>
      </c>
      <c r="C27" s="35">
        <v>45952</v>
      </c>
      <c r="D27" t="s">
        <v>702</v>
      </c>
      <c r="E27" t="s">
        <v>824</v>
      </c>
      <c r="F27" t="s">
        <v>823</v>
      </c>
      <c r="G27" s="500">
        <v>50000000000</v>
      </c>
      <c r="H27">
        <v>2.2999999999999998</v>
      </c>
      <c r="I27" t="s">
        <v>3499</v>
      </c>
      <c r="J27">
        <v>2.58</v>
      </c>
      <c r="K27">
        <v>9.99</v>
      </c>
      <c r="L27" t="s">
        <v>2743</v>
      </c>
      <c r="M27">
        <v>4.45</v>
      </c>
      <c r="N27" s="37">
        <v>-7187500000</v>
      </c>
      <c r="O27">
        <v>8.5399999999999991</v>
      </c>
      <c r="P27" s="500">
        <v>-70866709.909999996</v>
      </c>
      <c r="Q27" s="500">
        <v>38000000</v>
      </c>
      <c r="R27">
        <v>86.39</v>
      </c>
      <c r="S2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-7287904052.3234291</v>
      </c>
      <c r="T27" s="72">
        <f>VLOOKUP(Outstanding_pos_TB_MSB[[#This Row],[Bonds_ShortName]],FNRP!D:J,7,0)</f>
        <v>500000</v>
      </c>
      <c r="U27" s="72">
        <f>SUMIFS(Outstanding_pos_TB_MSB[Amt],Outstanding_pos_TB_MSB[Bonds_ShortName],Outstanding_pos_TB_MSB[[#This Row],[Bonds_ShortName]])/100000-Outstanding_pos_TB_MSB[[#This Row],[Quantity FNRP]]</f>
        <v>0</v>
      </c>
      <c r="V27" s="162" t="str">
        <f>INDEX(Ref!$I$1:$K$13,MATCH(Outstanding_pos_TB_MSB[[#This Row],[Tenor left]],Ref!$I$1:$I$13,1),3)</f>
        <v>10Y</v>
      </c>
      <c r="W27" s="72">
        <f>IF(RPT-VLOOKUP(Outstanding_pos_TB_MSB[[#This Row],[Bonds_ShortName]],CT:CU,2,0)&lt;=0,0,RPT-VLOOKUP(Outstanding_pos_TB_MSB[[#This Row],[Bonds_ShortName]],CT:CU,2,0))</f>
        <v>0</v>
      </c>
      <c r="X27" s="72">
        <f>IF(RPT-Outstanding_pos_TB_MSB[[#This Row],[VALUE_DATE]]&lt;=0,0,RPT-Outstanding_pos_TB_MSB[[#This Row],[VALUE_DATE]])</f>
        <v>300</v>
      </c>
      <c r="Y27" s="72" t="str">
        <f>_xlfn.XLOOKUP(Outstanding_pos_TB_MSB[[#This Row],[Time hold/Deal]],Ref!S:S,Ref!U:U,,-1)</f>
        <v>1Y</v>
      </c>
      <c r="AB27">
        <v>41208</v>
      </c>
      <c r="AC27" s="35">
        <v>45294</v>
      </c>
      <c r="AD27" t="s">
        <v>2782</v>
      </c>
      <c r="AE27" t="s">
        <v>2180</v>
      </c>
      <c r="AF27" t="s">
        <v>907</v>
      </c>
      <c r="AG27" s="500">
        <v>110000000000</v>
      </c>
      <c r="AH27">
        <v>3.4</v>
      </c>
      <c r="AI27">
        <v>50730</v>
      </c>
      <c r="AJ27">
        <v>2.9</v>
      </c>
      <c r="AK27">
        <v>12.27</v>
      </c>
      <c r="AL27" s="645" t="s">
        <v>2740</v>
      </c>
      <c r="AM27">
        <v>5.01</v>
      </c>
      <c r="AN27" s="500">
        <v>-22488400000</v>
      </c>
      <c r="AO27">
        <v>9.2799999999999994</v>
      </c>
      <c r="AP27">
        <v>-81724148.819999993</v>
      </c>
      <c r="AQ27">
        <v>2524000000</v>
      </c>
      <c r="AR27">
        <v>109.16</v>
      </c>
      <c r="AS27" s="72">
        <f>SUM(_xlfn.IFNA(VLOOKUP(Outstanding_pos_BB_MSB[[#This Row],[Bonds_ShortName]],FNRP!AV:BA,6,0)*Outstanding_pos_BB_MSB[[#This Row],[Amt]]/10^4,0),_xlfn.IFNA((VLOOKUP(Outstanding_pos_BB_MSB[[#This Row],[Bonds_ShortName]],FNRP!IK:IP,6,0)*Outstanding_pos_BB_MSB[[#This Row],[Amt]]/10^4),0))</f>
        <v>940753000000</v>
      </c>
      <c r="AT27" s="72">
        <f>(_xlfn.XLOOKUP(Outstanding_pos_BB_MSB[[#This Row],[Bonds_ShortName]],FNRP!AV:AV,FNRP!BA:BA,,0)
-_xlfn.XLOOKUP(Outstanding_pos_BB_MSB[[#This Row],[BondsDeals_Id]],BS!AL:AL,BS!AR:AR,_xlfn.XLOOKUP(Outstanding_pos_BB_MSB[[#This Row],[BondsDeals_Id]],BS!BA:BA,BS!BQ:BQ,,0),0)-10^5)
*Outstanding_pos_BB_MSB[[#This Row],[Amt]]/10^5</f>
        <v>-21332762066.390018</v>
      </c>
      <c r="AU27" s="72">
        <f>VLOOKUP(Outstanding_pos_BB_MSB[[#This Row],[Bonds_ShortName]],FNRP!AV:CD,35,0)</f>
        <v>1370000</v>
      </c>
      <c r="AV27" s="157">
        <f>SUMIFS(AG$1:AG$103,AD$1:AD$103,Outstanding_pos_BB_MSB[[#This Row],[Bonds_ShortName]])/10^5-Outstanding_pos_BB_MSB[[#This Row],[Quantity FNRP]]</f>
        <v>0</v>
      </c>
      <c r="AW27" s="72">
        <f>IF(RPT-Outstanding_pos_BB_MSB[[#This Row],[Value Date]]&lt;=0,0,RPT-Outstanding_pos_BB_MSB[[#This Row],[Value Date]])</f>
        <v>958</v>
      </c>
      <c r="AX27" s="32" t="str">
        <f>INDEX(Ref!$I$1:$K$13,MATCH(Outstanding_pos_BB_MSB[[#This Row],[Tenor left]],Ref!$I$1:$I$13,1),3)</f>
        <v>15Y</v>
      </c>
      <c r="AY27" s="72" t="str">
        <f>_xlfn.XLOOKUP(Outstanding_pos_BB_MSB[[#This Row],[Time hold/Deal]],Ref!S:S,Ref!U:U,,-1)</f>
        <v>3Y</v>
      </c>
      <c r="BC27"/>
      <c r="BD27"/>
      <c r="BG27"/>
      <c r="BH27"/>
      <c r="BJ27"/>
      <c r="BN27"/>
      <c r="BO27"/>
      <c r="BQ27"/>
      <c r="BR27"/>
      <c r="BX27">
        <v>41205</v>
      </c>
      <c r="BY27" s="502">
        <v>45287</v>
      </c>
      <c r="BZ27" t="s">
        <v>2782</v>
      </c>
      <c r="CA27" t="s">
        <v>2180</v>
      </c>
      <c r="CB27" t="s">
        <v>907</v>
      </c>
      <c r="CC27" s="500">
        <v>27000000000</v>
      </c>
      <c r="CD27">
        <v>3.4</v>
      </c>
      <c r="CE27" s="502">
        <v>50730</v>
      </c>
      <c r="CF27">
        <v>2.91</v>
      </c>
      <c r="CG27">
        <v>12.27</v>
      </c>
      <c r="CH27" t="s">
        <v>2740</v>
      </c>
      <c r="CI27">
        <v>5.01</v>
      </c>
      <c r="CJ27" s="500">
        <v>-5499900000</v>
      </c>
      <c r="CK27">
        <v>9.2799999999999994</v>
      </c>
      <c r="CL27" s="500">
        <v>-81724148.819999993</v>
      </c>
      <c r="CM27" s="500">
        <v>2524000000</v>
      </c>
      <c r="CN27">
        <v>109.16</v>
      </c>
      <c r="CO2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-5218088294.6964502</v>
      </c>
      <c r="CP27" s="72">
        <f>RPT-VLOOKUP(Outstanding_pos_BB_SBV[[#This Row],[Bonds_ShortName]],CT:CU,2,0)</f>
        <v>804</v>
      </c>
      <c r="CQ27" s="157">
        <f>SUMIFS(CC:CC,BZ:BZ,Outstanding_pos_BB_SBV[[#This Row],[Bonds_ShortName]])/10^5-VLOOKUP(Outstanding_pos_BB_SBV[[#This Row],[Bonds_ShortName]],FNRP!EE:FL,34,0)</f>
        <v>0</v>
      </c>
      <c r="CT27" t="s">
        <v>606</v>
      </c>
      <c r="CU27" s="502">
        <v>45645</v>
      </c>
      <c r="CX27" s="776">
        <v>48359</v>
      </c>
      <c r="CY27" s="776" t="s">
        <v>2775</v>
      </c>
      <c r="CZ27" s="776" t="s">
        <v>2180</v>
      </c>
      <c r="DA27" s="777">
        <v>200000000000</v>
      </c>
      <c r="DB27" s="776">
        <v>12.46</v>
      </c>
      <c r="DC27" s="778">
        <v>3.25</v>
      </c>
      <c r="DD27" s="72">
        <f>_xlfn.XLOOKUP(CX27,Outstanding_pos_BB_MSB[BondsDeals_Id],Outstanding_pos_BB_MSB[ItD adj])</f>
        <v>-32214566308.868786</v>
      </c>
      <c r="DE27" s="32">
        <f>_xlfn.XLOOKUP(CX27,Outstanding_pos_BB_MSB[BondsDeals_Id],Outstanding_pos_BB_MSB[Yield])</f>
        <v>3.25</v>
      </c>
      <c r="DF27" s="32">
        <f>_xlfn.XLOOKUP(TB_HTM[[#This Row],[Deal ID]],Outstanding_pos_BB_MSB[BondsDeals_Id],Outstanding_pos_BB_MSB[Total Rate])</f>
        <v>3.6</v>
      </c>
      <c r="DG27" s="812">
        <f>_xlfn.XLOOKUP(CX27,Outstanding_pos_BB_MSB[BondsDeals_Id],Outstanding_pos_BB_MSB[Mature Date])</f>
        <v>50723</v>
      </c>
      <c r="DH27" s="786">
        <f>(TB_HTM[[#This Row],[Amt]]/10^9)/(_xlfn.XLOOKUP(TB_HTM[[#This Row],[Bond code]],Bankingbook_MSB[Security Name],Bankingbook_MSB[QUANTITY])/10^4)</f>
        <v>0.4366812227074236</v>
      </c>
      <c r="DI27" s="72">
        <f>_xlfn.XLOOKUP(TB_HTM[[#This Row],[Bond code]],Bankingbook_MSB[Security Name],Bankingbook_MSB[MARKET_VALUE])*TB_HTM[[#This Row],[% amt FNRP]]</f>
        <v>174684000000</v>
      </c>
      <c r="DJ27" s="71">
        <f>_xlfn.XLOOKUP(TB_HTM[[#This Row],[Bond code]],Bankingbook_MSB[Security Name],Bankingbook_MSB[BPV_edited])
/10^9*TB_HTM[[#This Row],[% amt FNRP]]</f>
        <v>-0.16528160672036024</v>
      </c>
      <c r="DK27" s="71">
        <f>TB_HTM[[#This Row],[Amt]]*TB_HTM[[#This Row],[Yield]]/10^5</f>
        <v>6500000</v>
      </c>
      <c r="DL27" s="71" t="str">
        <f>_xlfn.XLOOKUP(TB_HTM[[#This Row],[Bond code]],Bankingbook_MSB[Security Name],Bankingbook_MSB[Type])</f>
        <v>TPCPBL</v>
      </c>
      <c r="DM27" s="71" t="str">
        <f>_xlfn.XLOOKUP(TB_HTM[[#This Row],[Bond code]],Bankingbook_MSB[Security Name],Bankingbook_MSB[Issuer])</f>
        <v>VBS</v>
      </c>
      <c r="DN27" s="71" t="str">
        <f>_xlfn.XLOOKUP(TB_HTM[[#This Row],[Bond code]],Bankingbook_MSB[Security Name],Bankingbook_MSB[Tenor])</f>
        <v>15Y</v>
      </c>
      <c r="DO27" s="72">
        <f>SUMIFS(BS[MARKET VALUE],BS[BOND_CODE],TB_HTM[[#This Row],[Bond code]],BS[BOOK_FLAG],"B",BS[BAL],BS!$C$2)/10^9*TB_HTM[[#This Row],[% amt FNRP]]</f>
        <v>174.68400000000003</v>
      </c>
      <c r="DP27" s="71" cm="1">
        <f t="array" ref="DP27">_xlfn.IFNA(_xlfn.XLOOKUP(TB_HTM[[#This Row],[Deal ID]],RPBOD3[BondsDeals_Id],RPBOD3[PTCK_Remain]*RPBOD3[Quantity])/10^9,"N/A")</f>
        <v>6.8985663088687899</v>
      </c>
      <c r="DQ27" s="71">
        <f>_xlfn.XLOOKUP(TB_HTM[[#This Row],[Bond code]],Bankingbook_MSB[Security Name],Bankingbook_MSB[Duration_edited])</f>
        <v>9.6397155300000001</v>
      </c>
      <c r="DR27" s="71">
        <f>_xlfn.XLOOKUP(TB_HTM[[#This Row],[Bond code]],Bankingbook_MSB[Security Name],Bankingbook_MSB[Modified Duration])</f>
        <v>9.1801420201183994</v>
      </c>
      <c r="DS27" s="71">
        <f>TB_HTM[[#This Row],[Duration]]*TB_HTM[[#This Row],[Market Value FNRP]]</f>
        <v>1683904067642.52</v>
      </c>
      <c r="DT27" s="71">
        <f>TB_HTM[[#This Row],[Modified Duration]]*TB_HTM[[#This Row],[Market Value FNRP]]</f>
        <v>1603623928642.3625</v>
      </c>
      <c r="DU27" s="72">
        <f>_xlfn.XLOOKUP(TB_HTM[[#This Row],[Deal ID]],Outstanding_pos_BB_MSB[BondsDeals_Id],Outstanding_pos_BB_MSB[Time hold/Deal])</f>
        <v>242</v>
      </c>
      <c r="DV27" s="71" t="str">
        <f>_xlfn.XLOOKUP(TB_HTM[[#This Row],[Deal ID]],Outstanding_pos_BB_MSB[BondsDeals_Id],Outstanding_pos_BB_MSB[Time hold (Tenor)])</f>
        <v>9M</v>
      </c>
      <c r="DW27" s="71"/>
      <c r="DY27" s="776">
        <v>42024</v>
      </c>
      <c r="DZ27" s="776" t="s">
        <v>688</v>
      </c>
      <c r="EA27" s="776" t="s">
        <v>2180</v>
      </c>
      <c r="EB27" s="777">
        <v>100000000000</v>
      </c>
      <c r="EC27" s="776">
        <v>9.24</v>
      </c>
      <c r="ED27" s="778">
        <v>2.36</v>
      </c>
      <c r="EE27" s="72">
        <f>_xlfn.XLOOKUP(DY27,Outstanding_pos_BB_MSB[BondsDeals_Id],Outstanding_pos_BB_MSB[ItD adj])</f>
        <v>-15272198594.170433</v>
      </c>
      <c r="EF27" s="32">
        <f>_xlfn.XLOOKUP(DY27,Outstanding_pos_BB_MSB[BondsDeals_Id],Outstanding_pos_BB_MSB[Yield])</f>
        <v>2.36</v>
      </c>
      <c r="EG27" s="71">
        <f>_xlfn.XLOOKUP(BB_tufund[[#This Row],[Deal ID]],Outstanding_pos_BB_MSB[BondsDeals_Id],Outstanding_pos_BB_MSB[Total Rate])</f>
        <v>3</v>
      </c>
      <c r="EH27" s="124">
        <f>_xlfn.XLOOKUP(DY27,Outstanding_pos_BB_MSB[BondsDeals_Id],Outstanding_pos_BB_MSB[Mature Date])</f>
        <v>49548</v>
      </c>
      <c r="EI27" s="787">
        <f>(BB_tufund[[#This Row],[Amt]]/10^9)/(_xlfn.XLOOKUP(BB_tufund[[#This Row],[Bond code]],Bankingbook_MSB[Security Name],Bankingbook_MSB[QUANTITY])/10^4)</f>
        <v>1</v>
      </c>
      <c r="EJ27" s="72">
        <f>_xlfn.XLOOKUP(BB_tufund[[#This Row],[Bond code]],Bankingbook_MSB[Security Name],Bankingbook_MSB[MARKET_VALUE])*BB_tufund[[#This Row],[% amt FNRP]]</f>
        <v>89735000000</v>
      </c>
      <c r="EK27" s="71">
        <f>_xlfn.XLOOKUP(BB_tufund[[#This Row],[Bond code]],Bankingbook_MSB[Security Name],Bankingbook_MSB[BPV_edited])
/10^9*BB_tufund[[#This Row],[% amt FNRP]]</f>
        <v>-6.8499081986060487E-2</v>
      </c>
    </row>
    <row r="28" spans="2:141" x14ac:dyDescent="0.3">
      <c r="B28">
        <v>47730</v>
      </c>
      <c r="C28" s="35">
        <v>45953</v>
      </c>
      <c r="D28" t="s">
        <v>1205</v>
      </c>
      <c r="E28" t="s">
        <v>824</v>
      </c>
      <c r="F28" t="s">
        <v>823</v>
      </c>
      <c r="G28" s="500">
        <v>50000000000</v>
      </c>
      <c r="H28">
        <v>5.3</v>
      </c>
      <c r="I28" t="s">
        <v>2830</v>
      </c>
      <c r="J28">
        <v>3.15</v>
      </c>
      <c r="K28">
        <v>7.33</v>
      </c>
      <c r="L28" t="s">
        <v>2746</v>
      </c>
      <c r="M28">
        <v>4.32</v>
      </c>
      <c r="N28" s="37">
        <v>-4596500000</v>
      </c>
      <c r="O28">
        <v>5.84</v>
      </c>
      <c r="P28" s="500">
        <v>-63973919.689999998</v>
      </c>
      <c r="Q28" s="500">
        <v>3601000000</v>
      </c>
      <c r="R28">
        <v>44.07</v>
      </c>
      <c r="S2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-3830201926.9314189</v>
      </c>
      <c r="T28" s="72">
        <f>VLOOKUP(Outstanding_pos_TB_MSB[[#This Row],[Bonds_ShortName]],FNRP!D:J,7,0)</f>
        <v>1000000</v>
      </c>
      <c r="U28" s="72">
        <f>SUMIFS(Outstanding_pos_TB_MSB[Amt],Outstanding_pos_TB_MSB[Bonds_ShortName],Outstanding_pos_TB_MSB[[#This Row],[Bonds_ShortName]])/100000-Outstanding_pos_TB_MSB[[#This Row],[Quantity FNRP]]</f>
        <v>0</v>
      </c>
      <c r="V28" s="162" t="str">
        <f>INDEX(Ref!$I$1:$K$13,MATCH(Outstanding_pos_TB_MSB[[#This Row],[Tenor left]],Ref!$I$1:$I$13,1),3)</f>
        <v>7Y</v>
      </c>
      <c r="W28" s="72">
        <f>IF(RPT-VLOOKUP(Outstanding_pos_TB_MSB[[#This Row],[Bonds_ShortName]],CT:CU,2,0)&lt;=0,0,RPT-VLOOKUP(Outstanding_pos_TB_MSB[[#This Row],[Bonds_ShortName]],CT:CU,2,0))</f>
        <v>300</v>
      </c>
      <c r="X28" s="72">
        <f>IF(RPT-Outstanding_pos_TB_MSB[[#This Row],[VALUE_DATE]]&lt;=0,0,RPT-Outstanding_pos_TB_MSB[[#This Row],[VALUE_DATE]])</f>
        <v>299</v>
      </c>
      <c r="Y28" s="72" t="str">
        <f>_xlfn.XLOOKUP(Outstanding_pos_TB_MSB[[#This Row],[Time hold/Deal]],Ref!S:S,Ref!U:U,,-1)</f>
        <v>1Y</v>
      </c>
      <c r="AB28">
        <v>41218</v>
      </c>
      <c r="AC28" s="35">
        <v>45287</v>
      </c>
      <c r="AD28" t="s">
        <v>2781</v>
      </c>
      <c r="AE28" t="s">
        <v>2180</v>
      </c>
      <c r="AF28" t="s">
        <v>907</v>
      </c>
      <c r="AG28" s="500">
        <v>100000000000</v>
      </c>
      <c r="AH28">
        <v>3</v>
      </c>
      <c r="AI28">
        <v>48904</v>
      </c>
      <c r="AJ28">
        <v>2.8</v>
      </c>
      <c r="AK28">
        <v>7.26</v>
      </c>
      <c r="AL28" s="645" t="s">
        <v>2746</v>
      </c>
      <c r="AM28">
        <v>4.82</v>
      </c>
      <c r="AN28" s="500">
        <v>-12622000000</v>
      </c>
      <c r="AO28">
        <v>6.13</v>
      </c>
      <c r="AP28">
        <v>-55971432.100000001</v>
      </c>
      <c r="AQ28">
        <v>2227000000</v>
      </c>
      <c r="AR28">
        <v>46.7</v>
      </c>
      <c r="AS28" s="72">
        <f>SUM(_xlfn.IFNA(VLOOKUP(Outstanding_pos_BB_MSB[[#This Row],[Bonds_ShortName]],FNRP!AV:BA,6,0)*Outstanding_pos_BB_MSB[[#This Row],[Amt]]/10^4,0),_xlfn.IFNA((VLOOKUP(Outstanding_pos_BB_MSB[[#This Row],[Bonds_ShortName]],FNRP!IK:IP,6,0)*Outstanding_pos_BB_MSB[[#This Row],[Amt]]/10^4),0))</f>
        <v>890500000000</v>
      </c>
      <c r="AT28" s="72">
        <f>(_xlfn.XLOOKUP(Outstanding_pos_BB_MSB[[#This Row],[Bonds_ShortName]],FNRP!AV:AV,FNRP!BA:BA,,0)
-_xlfn.XLOOKUP(Outstanding_pos_BB_MSB[[#This Row],[BondsDeals_Id]],BS!AL:AL,BS!AR:AR,_xlfn.XLOOKUP(Outstanding_pos_BB_MSB[[#This Row],[BondsDeals_Id]],BS!BA:BA,BS!BQ:BQ,,0),0)-10^5)
*Outstanding_pos_BB_MSB[[#This Row],[Amt]]/10^5</f>
        <v>-12178326985.047825</v>
      </c>
      <c r="AU28" s="72">
        <f>VLOOKUP(Outstanding_pos_BB_MSB[[#This Row],[Bonds_ShortName]],FNRP!AV:CD,35,0)</f>
        <v>1000000</v>
      </c>
      <c r="AV28" s="157">
        <f>SUMIFS(AG$1:AG$103,AD$1:AD$103,Outstanding_pos_BB_MSB[[#This Row],[Bonds_ShortName]])/10^5-Outstanding_pos_BB_MSB[[#This Row],[Quantity FNRP]]</f>
        <v>0</v>
      </c>
      <c r="AW28" s="72">
        <f>IF(RPT-Outstanding_pos_BB_MSB[[#This Row],[Value Date]]&lt;=0,0,RPT-Outstanding_pos_BB_MSB[[#This Row],[Value Date]])</f>
        <v>965</v>
      </c>
      <c r="AX28" s="32" t="str">
        <f>INDEX(Ref!$I$1:$K$13,MATCH(Outstanding_pos_BB_MSB[[#This Row],[Tenor left]],Ref!$I$1:$I$13,1),3)</f>
        <v>7Y</v>
      </c>
      <c r="AY28" s="72" t="str">
        <f>_xlfn.XLOOKUP(Outstanding_pos_BB_MSB[[#This Row],[Time hold/Deal]],Ref!S:S,Ref!U:U,,-1)</f>
        <v>3Y</v>
      </c>
      <c r="BC28"/>
      <c r="BD28"/>
      <c r="BG28"/>
      <c r="BH28"/>
      <c r="BJ28"/>
      <c r="BN28"/>
      <c r="BO28"/>
      <c r="BQ28"/>
      <c r="BR28"/>
      <c r="BX28">
        <v>41208</v>
      </c>
      <c r="BY28" s="502">
        <v>45294</v>
      </c>
      <c r="BZ28" t="s">
        <v>2782</v>
      </c>
      <c r="CA28" t="s">
        <v>2180</v>
      </c>
      <c r="CB28" t="s">
        <v>907</v>
      </c>
      <c r="CC28" s="500">
        <v>110000000000</v>
      </c>
      <c r="CD28">
        <v>3.4</v>
      </c>
      <c r="CE28" s="502">
        <v>50730</v>
      </c>
      <c r="CF28">
        <v>2.9</v>
      </c>
      <c r="CG28">
        <v>12.27</v>
      </c>
      <c r="CH28" t="s">
        <v>2740</v>
      </c>
      <c r="CI28">
        <v>5.01</v>
      </c>
      <c r="CJ28" s="500">
        <v>-22488400000</v>
      </c>
      <c r="CK28">
        <v>9.2799999999999994</v>
      </c>
      <c r="CL28" s="500">
        <v>-81724148.819999993</v>
      </c>
      <c r="CM28" s="500">
        <v>2524000000</v>
      </c>
      <c r="CN28">
        <v>109.16</v>
      </c>
      <c r="CO2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-21332762066.390018</v>
      </c>
      <c r="CP28" s="72">
        <f>RPT-VLOOKUP(Outstanding_pos_BB_SBV[[#This Row],[Bonds_ShortName]],CT:CU,2,0)</f>
        <v>804</v>
      </c>
      <c r="CQ28" s="157">
        <f>SUMIFS(CC:CC,BZ:BZ,Outstanding_pos_BB_SBV[[#This Row],[Bonds_ShortName]])/10^5-VLOOKUP(Outstanding_pos_BB_SBV[[#This Row],[Bonds_ShortName]],FNRP!EE:FL,34,0)</f>
        <v>0</v>
      </c>
      <c r="CT28" t="s">
        <v>628</v>
      </c>
      <c r="CU28" s="502">
        <v>45825</v>
      </c>
      <c r="DW28" s="71"/>
      <c r="DY28" s="776">
        <v>45065</v>
      </c>
      <c r="DZ28" s="776" t="s">
        <v>693</v>
      </c>
      <c r="EA28" s="776" t="s">
        <v>2180</v>
      </c>
      <c r="EB28" s="777">
        <v>50000000000</v>
      </c>
      <c r="EC28" s="776">
        <v>9.49</v>
      </c>
      <c r="ED28" s="778">
        <v>2.48</v>
      </c>
      <c r="EE28" s="72">
        <f>_xlfn.XLOOKUP(DY28,Outstanding_pos_BB_MSB[BondsDeals_Id],Outstanding_pos_BB_MSB[ItD adj])</f>
        <v>-7298051946.801301</v>
      </c>
      <c r="EF28" s="32">
        <f>_xlfn.XLOOKUP(DY28,Outstanding_pos_BB_MSB[BondsDeals_Id],Outstanding_pos_BB_MSB[Yield])</f>
        <v>2.48</v>
      </c>
      <c r="EG28" s="71">
        <f>_xlfn.XLOOKUP(BB_tufund[[#This Row],[Deal ID]],Outstanding_pos_BB_MSB[BondsDeals_Id],Outstanding_pos_BB_MSB[Total Rate])</f>
        <v>2.7</v>
      </c>
      <c r="EH28" s="124">
        <f>_xlfn.XLOOKUP(DY28,Outstanding_pos_BB_MSB[BondsDeals_Id],Outstanding_pos_BB_MSB[Mature Date])</f>
        <v>49639</v>
      </c>
      <c r="EI28" s="787">
        <f>(BB_tufund[[#This Row],[Amt]]/10^9)/(_xlfn.XLOOKUP(BB_tufund[[#This Row],[Bond code]],Bankingbook_MSB[Security Name],Bankingbook_MSB[QUANTITY])/10^4)</f>
        <v>1</v>
      </c>
      <c r="EJ28" s="72">
        <f>_xlfn.XLOOKUP(BB_tufund[[#This Row],[Bond code]],Bankingbook_MSB[Security Name],Bankingbook_MSB[MARKET_VALUE])*BB_tufund[[#This Row],[% amt FNRP]]</f>
        <v>43585000000</v>
      </c>
      <c r="EK28" s="71">
        <f>_xlfn.XLOOKUP(BB_tufund[[#This Row],[Bond code]],Bankingbook_MSB[Security Name],Bankingbook_MSB[BPV_edited])
/10^9*BB_tufund[[#This Row],[% amt FNRP]]</f>
        <v>-3.4418807056313214E-2</v>
      </c>
    </row>
    <row r="29" spans="2:141" x14ac:dyDescent="0.3">
      <c r="B29">
        <v>47808</v>
      </c>
      <c r="C29" s="35">
        <v>45957</v>
      </c>
      <c r="D29" t="s">
        <v>2799</v>
      </c>
      <c r="E29" t="s">
        <v>824</v>
      </c>
      <c r="F29" t="s">
        <v>823</v>
      </c>
      <c r="G29" s="500">
        <v>100000000000</v>
      </c>
      <c r="H29">
        <v>2.1</v>
      </c>
      <c r="I29" t="s">
        <v>3450</v>
      </c>
      <c r="J29">
        <v>3.3</v>
      </c>
      <c r="K29">
        <v>7.41</v>
      </c>
      <c r="L29" t="s">
        <v>2746</v>
      </c>
      <c r="M29">
        <v>4.33</v>
      </c>
      <c r="N29" s="37">
        <v>-5350000000</v>
      </c>
      <c r="O29">
        <v>6.51</v>
      </c>
      <c r="P29" s="500">
        <v>-56886365.280000001</v>
      </c>
      <c r="Q29" s="500">
        <v>1260000000</v>
      </c>
      <c r="R29">
        <v>51.13</v>
      </c>
      <c r="S2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-6190744249.5910654</v>
      </c>
      <c r="T29" s="72">
        <f>VLOOKUP(Outstanding_pos_TB_MSB[[#This Row],[Bonds_ShortName]],FNRP!D:J,7,0)</f>
        <v>4000000</v>
      </c>
      <c r="U29" s="72">
        <f>SUMIFS(Outstanding_pos_TB_MSB[Amt],Outstanding_pos_TB_MSB[Bonds_ShortName],Outstanding_pos_TB_MSB[[#This Row],[Bonds_ShortName]])/100000-Outstanding_pos_TB_MSB[[#This Row],[Quantity FNRP]]</f>
        <v>0</v>
      </c>
      <c r="V29" s="162" t="str">
        <f>INDEX(Ref!$I$1:$K$13,MATCH(Outstanding_pos_TB_MSB[[#This Row],[Tenor left]],Ref!$I$1:$I$13,1),3)</f>
        <v>7Y</v>
      </c>
      <c r="W29" s="72">
        <f>IF(RPT-VLOOKUP(Outstanding_pos_TB_MSB[[#This Row],[Bonds_ShortName]],CT:CU,2,0)&lt;=0,0,RPT-VLOOKUP(Outstanding_pos_TB_MSB[[#This Row],[Bonds_ShortName]],CT:CU,2,0))</f>
        <v>42</v>
      </c>
      <c r="X29" s="72">
        <f>IF(RPT-Outstanding_pos_TB_MSB[[#This Row],[VALUE_DATE]]&lt;=0,0,RPT-Outstanding_pos_TB_MSB[[#This Row],[VALUE_DATE]])</f>
        <v>295</v>
      </c>
      <c r="Y29" s="72" t="str">
        <f>_xlfn.XLOOKUP(Outstanding_pos_TB_MSB[[#This Row],[Time hold/Deal]],Ref!S:S,Ref!U:U,,-1)</f>
        <v>1Y</v>
      </c>
      <c r="AB29">
        <v>41219</v>
      </c>
      <c r="AC29" s="35">
        <v>45287</v>
      </c>
      <c r="AD29" t="s">
        <v>2788</v>
      </c>
      <c r="AE29" t="s">
        <v>2180</v>
      </c>
      <c r="AF29" t="s">
        <v>907</v>
      </c>
      <c r="AG29" s="500">
        <v>100000000000</v>
      </c>
      <c r="AH29">
        <v>3.1</v>
      </c>
      <c r="AI29">
        <v>50744</v>
      </c>
      <c r="AJ29">
        <v>3</v>
      </c>
      <c r="AK29">
        <v>12.3</v>
      </c>
      <c r="AL29" s="645" t="s">
        <v>2740</v>
      </c>
      <c r="AM29">
        <v>5.01</v>
      </c>
      <c r="AN29" s="500">
        <v>-18406000000</v>
      </c>
      <c r="AO29">
        <v>9.4499999999999993</v>
      </c>
      <c r="AP29">
        <v>-80323686.430000007</v>
      </c>
      <c r="AQ29">
        <v>2183000000</v>
      </c>
      <c r="AR29">
        <v>112.05</v>
      </c>
      <c r="AS29" s="72">
        <f>SUM(_xlfn.IFNA(VLOOKUP(Outstanding_pos_BB_MSB[[#This Row],[Bonds_ShortName]],FNRP!AV:BA,6,0)*Outstanding_pos_BB_MSB[[#This Row],[Amt]]/10^4,0),_xlfn.IFNA((VLOOKUP(Outstanding_pos_BB_MSB[[#This Row],[Bonds_ShortName]],FNRP!IK:IP,6,0)*Outstanding_pos_BB_MSB[[#This Row],[Amt]]/10^4),0))</f>
        <v>827760000000</v>
      </c>
      <c r="AT29" s="72">
        <f>(_xlfn.XLOOKUP(Outstanding_pos_BB_MSB[[#This Row],[Bonds_ShortName]],FNRP!AV:AV,FNRP!BA:BA,,0)
-_xlfn.XLOOKUP(Outstanding_pos_BB_MSB[[#This Row],[BondsDeals_Id]],BS!AL:AL,BS!AR:AR,_xlfn.XLOOKUP(Outstanding_pos_BB_MSB[[#This Row],[BondsDeals_Id]],BS!BA:BA,BS!BQ:BQ,,0),0)-10^5)
*Outstanding_pos_BB_MSB[[#This Row],[Amt]]/10^5</f>
        <v>-18198952072.387096</v>
      </c>
      <c r="AU29" s="72">
        <f>VLOOKUP(Outstanding_pos_BB_MSB[[#This Row],[Bonds_ShortName]],FNRP!AV:CD,35,0)</f>
        <v>9650000</v>
      </c>
      <c r="AV29" s="157">
        <f>SUMIFS(AG$1:AG$103,AD$1:AD$103,Outstanding_pos_BB_MSB[[#This Row],[Bonds_ShortName]])/10^5-Outstanding_pos_BB_MSB[[#This Row],[Quantity FNRP]]</f>
        <v>0</v>
      </c>
      <c r="AW29" s="72">
        <f>IF(RPT-Outstanding_pos_BB_MSB[[#This Row],[Value Date]]&lt;=0,0,RPT-Outstanding_pos_BB_MSB[[#This Row],[Value Date]])</f>
        <v>965</v>
      </c>
      <c r="AX29" s="32" t="str">
        <f>INDEX(Ref!$I$1:$K$13,MATCH(Outstanding_pos_BB_MSB[[#This Row],[Tenor left]],Ref!$I$1:$I$13,1),3)</f>
        <v>15Y</v>
      </c>
      <c r="AY29" s="72" t="str">
        <f>_xlfn.XLOOKUP(Outstanding_pos_BB_MSB[[#This Row],[Time hold/Deal]],Ref!S:S,Ref!U:U,,-1)</f>
        <v>3Y</v>
      </c>
      <c r="BC29"/>
      <c r="BD29"/>
      <c r="BG29"/>
      <c r="BH29"/>
      <c r="BJ29"/>
      <c r="BN29"/>
      <c r="BO29"/>
      <c r="BQ29"/>
      <c r="BR29"/>
      <c r="BX29">
        <v>41218</v>
      </c>
      <c r="BY29" s="502">
        <v>45287</v>
      </c>
      <c r="BZ29" t="s">
        <v>2781</v>
      </c>
      <c r="CA29" t="s">
        <v>2180</v>
      </c>
      <c r="CB29" t="s">
        <v>907</v>
      </c>
      <c r="CC29" s="500">
        <v>100000000000</v>
      </c>
      <c r="CD29">
        <v>3</v>
      </c>
      <c r="CE29" s="502">
        <v>48904</v>
      </c>
      <c r="CF29">
        <v>2.8</v>
      </c>
      <c r="CG29">
        <v>7.26</v>
      </c>
      <c r="CH29" t="s">
        <v>2746</v>
      </c>
      <c r="CI29">
        <v>4.82</v>
      </c>
      <c r="CJ29" s="500">
        <v>-12622000000</v>
      </c>
      <c r="CK29">
        <v>6.13</v>
      </c>
      <c r="CL29" s="500">
        <v>-55971432.100000001</v>
      </c>
      <c r="CM29" s="500">
        <v>2227000000</v>
      </c>
      <c r="CN29">
        <v>46.7</v>
      </c>
      <c r="CO2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-12178326985.047825</v>
      </c>
      <c r="CP29" s="72">
        <f>RPT-VLOOKUP(Outstanding_pos_BB_SBV[[#This Row],[Bonds_ShortName]],CT:CU,2,0)</f>
        <v>7</v>
      </c>
      <c r="CQ29" s="157">
        <f>SUMIFS(CC:CC,BZ:BZ,Outstanding_pos_BB_SBV[[#This Row],[Bonds_ShortName]])/10^5-VLOOKUP(Outstanding_pos_BB_SBV[[#This Row],[Bonds_ShortName]],FNRP!EE:FL,34,0)</f>
        <v>0</v>
      </c>
      <c r="CT29" t="s">
        <v>556</v>
      </c>
      <c r="CU29" s="502">
        <v>45450</v>
      </c>
      <c r="DW29" s="71"/>
      <c r="DY29" s="776">
        <v>41954</v>
      </c>
      <c r="DZ29" s="776" t="s">
        <v>697</v>
      </c>
      <c r="EA29" s="776" t="s">
        <v>2180</v>
      </c>
      <c r="EB29" s="777">
        <v>50000000000</v>
      </c>
      <c r="EC29" s="776">
        <v>9.5500000000000007</v>
      </c>
      <c r="ED29" s="778">
        <v>2.33</v>
      </c>
      <c r="EE29" s="72">
        <f>_xlfn.XLOOKUP(DY29,Outstanding_pos_BB_MSB[BondsDeals_Id],Outstanding_pos_BB_MSB[ItD adj])</f>
        <v>-7892876223.5560217</v>
      </c>
      <c r="EF29" s="32">
        <f>_xlfn.XLOOKUP(DY29,Outstanding_pos_BB_MSB[BondsDeals_Id],Outstanding_pos_BB_MSB[Yield])</f>
        <v>2.33</v>
      </c>
      <c r="EG29" s="71">
        <f>_xlfn.XLOOKUP(BB_tufund[[#This Row],[Deal ID]],Outstanding_pos_BB_MSB[BondsDeals_Id],Outstanding_pos_BB_MSB[Total Rate])</f>
        <v>2.5</v>
      </c>
      <c r="EH29" s="124">
        <f>_xlfn.XLOOKUP(DY29,Outstanding_pos_BB_MSB[BondsDeals_Id],Outstanding_pos_BB_MSB[Mature Date])</f>
        <v>49660</v>
      </c>
      <c r="EI29" s="787">
        <f>(BB_tufund[[#This Row],[Amt]]/10^9)/(_xlfn.XLOOKUP(BB_tufund[[#This Row],[Bond code]],Bankingbook_MSB[Security Name],Bankingbook_MSB[QUANTITY])/10^4)</f>
        <v>0.57471264367816088</v>
      </c>
      <c r="EJ29" s="72">
        <f>_xlfn.XLOOKUP(BB_tufund[[#This Row],[Bond code]],Bankingbook_MSB[Security Name],Bankingbook_MSB[MARKET_VALUE])*BB_tufund[[#This Row],[% amt FNRP]]</f>
        <v>42792000000</v>
      </c>
      <c r="EK29" s="71">
        <f>_xlfn.XLOOKUP(BB_tufund[[#This Row],[Bond code]],Bankingbook_MSB[Security Name],Bankingbook_MSB[BPV_edited])
/10^9*BB_tufund[[#This Row],[% amt FNRP]]</f>
        <v>-3.4219061628205399E-2</v>
      </c>
    </row>
    <row r="30" spans="2:141" x14ac:dyDescent="0.3">
      <c r="B30">
        <v>47986</v>
      </c>
      <c r="C30" s="35">
        <v>45975</v>
      </c>
      <c r="D30" t="s">
        <v>2839</v>
      </c>
      <c r="E30" t="s">
        <v>824</v>
      </c>
      <c r="F30" t="s">
        <v>823</v>
      </c>
      <c r="G30" s="500">
        <v>100000000000</v>
      </c>
      <c r="H30">
        <v>2.7</v>
      </c>
      <c r="I30" t="s">
        <v>3495</v>
      </c>
      <c r="J30">
        <v>3.11</v>
      </c>
      <c r="K30">
        <v>8</v>
      </c>
      <c r="L30" t="s">
        <v>2747</v>
      </c>
      <c r="M30">
        <v>4.3499999999999996</v>
      </c>
      <c r="N30" s="37">
        <v>-7834000000</v>
      </c>
      <c r="O30">
        <v>6.94</v>
      </c>
      <c r="P30" s="500">
        <v>-61803446.899999999</v>
      </c>
      <c r="Q30" s="500">
        <v>22000000</v>
      </c>
      <c r="R30">
        <v>57.83</v>
      </c>
      <c r="S3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-8106730382.1557722</v>
      </c>
      <c r="T30" s="72">
        <f>VLOOKUP(Outstanding_pos_TB_MSB[[#This Row],[Bonds_ShortName]],FNRP!D:J,7,0)</f>
        <v>7500000</v>
      </c>
      <c r="U30" s="72">
        <f>SUMIFS(Outstanding_pos_TB_MSB[Amt],Outstanding_pos_TB_MSB[Bonds_ShortName],Outstanding_pos_TB_MSB[[#This Row],[Bonds_ShortName]])/100000-Outstanding_pos_TB_MSB[[#This Row],[Quantity FNRP]]</f>
        <v>0</v>
      </c>
      <c r="V30" s="162" t="str">
        <f>INDEX(Ref!$I$1:$K$13,MATCH(Outstanding_pos_TB_MSB[[#This Row],[Tenor left]],Ref!$I$1:$I$13,1),3)</f>
        <v>10Y</v>
      </c>
      <c r="W30" s="72">
        <f>IF(RPT-VLOOKUP(Outstanding_pos_TB_MSB[[#This Row],[Bonds_ShortName]],CT:CU,2,0)&lt;=0,0,RPT-VLOOKUP(Outstanding_pos_TB_MSB[[#This Row],[Bonds_ShortName]],CT:CU,2,0))</f>
        <v>0</v>
      </c>
      <c r="X30" s="72">
        <f>IF(RPT-Outstanding_pos_TB_MSB[[#This Row],[VALUE_DATE]]&lt;=0,0,RPT-Outstanding_pos_TB_MSB[[#This Row],[VALUE_DATE]])</f>
        <v>277</v>
      </c>
      <c r="Y30" s="72" t="str">
        <f>_xlfn.XLOOKUP(Outstanding_pos_TB_MSB[[#This Row],[Time hold/Deal]],Ref!S:S,Ref!U:U,,-1)</f>
        <v>1Y</v>
      </c>
      <c r="AB30">
        <v>41951</v>
      </c>
      <c r="AC30" s="35">
        <v>45391</v>
      </c>
      <c r="AD30" t="s">
        <v>666</v>
      </c>
      <c r="AE30" t="s">
        <v>2180</v>
      </c>
      <c r="AF30" t="s">
        <v>823</v>
      </c>
      <c r="AG30" s="500">
        <v>50000000000</v>
      </c>
      <c r="AH30">
        <v>5.0999999999999996</v>
      </c>
      <c r="AI30">
        <v>48968</v>
      </c>
      <c r="AJ30">
        <v>2.2200000000000002</v>
      </c>
      <c r="AK30">
        <v>7.44</v>
      </c>
      <c r="AL30" s="645" t="s">
        <v>2746</v>
      </c>
      <c r="AM30">
        <v>4.33</v>
      </c>
      <c r="AN30" s="500">
        <v>-10151500000</v>
      </c>
      <c r="AO30">
        <v>5.97</v>
      </c>
      <c r="AP30">
        <v>-64335349.25</v>
      </c>
      <c r="AQ30">
        <v>2892000000</v>
      </c>
      <c r="AR30">
        <v>45.75</v>
      </c>
      <c r="AS30" s="72">
        <f>SUM(_xlfn.IFNA(VLOOKUP(Outstanding_pos_BB_MSB[[#This Row],[Bonds_ShortName]],FNRP!AV:BA,6,0)*Outstanding_pos_BB_MSB[[#This Row],[Amt]]/10^4,0),_xlfn.IFNA((VLOOKUP(Outstanding_pos_BB_MSB[[#This Row],[Bonds_ShortName]],FNRP!IK:IP,6,0)*Outstanding_pos_BB_MSB[[#This Row],[Amt]]/10^4),0))</f>
        <v>523935000000</v>
      </c>
      <c r="AT30" s="72">
        <f>(_xlfn.XLOOKUP(Outstanding_pos_BB_MSB[[#This Row],[Bonds_ShortName]],FNRP!AV:AV,FNRP!BA:BA,,0)
-_xlfn.XLOOKUP(Outstanding_pos_BB_MSB[[#This Row],[BondsDeals_Id]],BS!AL:AL,BS!AR:AR,_xlfn.XLOOKUP(Outstanding_pos_BB_MSB[[#This Row],[BondsDeals_Id]],BS!BA:BA,BS!BQ:BQ,,0),0)-10^5)
*Outstanding_pos_BB_MSB[[#This Row],[Amt]]/10^5</f>
        <v>-7127969176.936429</v>
      </c>
      <c r="AU30" s="72">
        <f>VLOOKUP(Outstanding_pos_BB_MSB[[#This Row],[Bonds_ShortName]],FNRP!AV:CD,35,0)</f>
        <v>500000</v>
      </c>
      <c r="AV30" s="157">
        <f>SUMIFS(AG$1:AG$103,AD$1:AD$103,Outstanding_pos_BB_MSB[[#This Row],[Bonds_ShortName]])/10^5-Outstanding_pos_BB_MSB[[#This Row],[Quantity FNRP]]</f>
        <v>0</v>
      </c>
      <c r="AW30" s="72">
        <f>IF(RPT-Outstanding_pos_BB_MSB[[#This Row],[Value Date]]&lt;=0,0,RPT-Outstanding_pos_BB_MSB[[#This Row],[Value Date]])</f>
        <v>861</v>
      </c>
      <c r="AX30" s="32" t="str">
        <f>INDEX(Ref!$I$1:$K$13,MATCH(Outstanding_pos_BB_MSB[[#This Row],[Tenor left]],Ref!$I$1:$I$13,1),3)</f>
        <v>7Y</v>
      </c>
      <c r="AY30" s="72" t="str">
        <f>_xlfn.XLOOKUP(Outstanding_pos_BB_MSB[[#This Row],[Time hold/Deal]],Ref!S:S,Ref!U:U,,-1)</f>
        <v>2Y</v>
      </c>
      <c r="BC30"/>
      <c r="BD30"/>
      <c r="BG30"/>
      <c r="BH30"/>
      <c r="BJ30"/>
      <c r="BN30"/>
      <c r="BO30"/>
      <c r="BQ30"/>
      <c r="BR30"/>
      <c r="BX30">
        <v>41219</v>
      </c>
      <c r="BY30" s="502">
        <v>45287</v>
      </c>
      <c r="BZ30" t="s">
        <v>2788</v>
      </c>
      <c r="CA30" t="s">
        <v>2180</v>
      </c>
      <c r="CB30" t="s">
        <v>907</v>
      </c>
      <c r="CC30" s="500">
        <v>100000000000</v>
      </c>
      <c r="CD30">
        <v>3.1</v>
      </c>
      <c r="CE30" s="502">
        <v>50744</v>
      </c>
      <c r="CF30">
        <v>3</v>
      </c>
      <c r="CG30">
        <v>12.3</v>
      </c>
      <c r="CH30" t="s">
        <v>2740</v>
      </c>
      <c r="CI30">
        <v>5.01</v>
      </c>
      <c r="CJ30" s="500">
        <v>-18406000000</v>
      </c>
      <c r="CK30">
        <v>9.4499999999999993</v>
      </c>
      <c r="CL30" s="500">
        <v>-80323686.430000007</v>
      </c>
      <c r="CM30" s="500">
        <v>2183000000</v>
      </c>
      <c r="CN30">
        <v>112.05</v>
      </c>
      <c r="CO3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-18198952072.387096</v>
      </c>
      <c r="CP30" s="72">
        <f>RPT-VLOOKUP(Outstanding_pos_BB_SBV[[#This Row],[Bonds_ShortName]],CT:CU,2,0)</f>
        <v>540</v>
      </c>
      <c r="CQ30" s="157">
        <f>SUMIFS(CC:CC,BZ:BZ,Outstanding_pos_BB_SBV[[#This Row],[Bonds_ShortName]])/10^5-VLOOKUP(Outstanding_pos_BB_SBV[[#This Row],[Bonds_ShortName]],FNRP!EE:FL,34,0)</f>
        <v>0</v>
      </c>
      <c r="CT30" t="s">
        <v>591</v>
      </c>
      <c r="CU30" s="502">
        <v>45583</v>
      </c>
      <c r="DY30" s="776">
        <v>38993</v>
      </c>
      <c r="DZ30" s="776" t="s">
        <v>700</v>
      </c>
      <c r="EA30" s="776" t="s">
        <v>2180</v>
      </c>
      <c r="EB30" s="777">
        <v>6000000000</v>
      </c>
      <c r="EC30" s="776">
        <v>9.8699999999999992</v>
      </c>
      <c r="ED30" s="778">
        <v>3.8</v>
      </c>
      <c r="EE30" s="72">
        <f>_xlfn.XLOOKUP(DY30,Outstanding_pos_BB_MSB[BondsDeals_Id],Outstanding_pos_BB_MSB[ItD adj])</f>
        <v>-313093553.72457886</v>
      </c>
      <c r="EF30" s="32">
        <f>_xlfn.XLOOKUP(DY30,Outstanding_pos_BB_MSB[BondsDeals_Id],Outstanding_pos_BB_MSB[Yield])</f>
        <v>3.8</v>
      </c>
      <c r="EG30" s="71">
        <f>_xlfn.XLOOKUP(BB_tufund[[#This Row],[Deal ID]],Outstanding_pos_BB_MSB[BondsDeals_Id],Outstanding_pos_BB_MSB[Total Rate])</f>
        <v>2.5</v>
      </c>
      <c r="EH30" s="124">
        <f>_xlfn.XLOOKUP(DY30,Outstanding_pos_BB_MSB[BondsDeals_Id],Outstanding_pos_BB_MSB[Mature Date])</f>
        <v>49780</v>
      </c>
      <c r="EI30" s="787">
        <f>(BB_tufund[[#This Row],[Amt]]/10^9)/(_xlfn.XLOOKUP(BB_tufund[[#This Row],[Bond code]],Bankingbook_MSB[Security Name],Bankingbook_MSB[QUANTITY])/10^4)</f>
        <v>1</v>
      </c>
      <c r="EJ30" s="72">
        <f>_xlfn.XLOOKUP(BB_tufund[[#This Row],[Bond code]],Bankingbook_MSB[Security Name],Bankingbook_MSB[MARKET_VALUE])*BB_tufund[[#This Row],[% amt FNRP]]</f>
        <v>5104260000</v>
      </c>
      <c r="EK30" s="71">
        <f>_xlfn.XLOOKUP(BB_tufund[[#This Row],[Bond code]],Bankingbook_MSB[Security Name],Bankingbook_MSB[BPV_edited])
/10^9*BB_tufund[[#This Row],[% amt FNRP]]</f>
        <v>-4.2035736104064306E-3</v>
      </c>
    </row>
    <row r="31" spans="2:141" x14ac:dyDescent="0.3">
      <c r="B31">
        <v>48066</v>
      </c>
      <c r="C31" s="35">
        <v>45981</v>
      </c>
      <c r="D31" t="s">
        <v>2836</v>
      </c>
      <c r="E31" t="s">
        <v>824</v>
      </c>
      <c r="F31" t="s">
        <v>823</v>
      </c>
      <c r="G31" s="500">
        <v>179000000000</v>
      </c>
      <c r="H31">
        <v>2.7</v>
      </c>
      <c r="I31" t="s">
        <v>3494</v>
      </c>
      <c r="J31">
        <v>3.01</v>
      </c>
      <c r="K31">
        <v>7.92</v>
      </c>
      <c r="L31" t="s">
        <v>2747</v>
      </c>
      <c r="M31">
        <v>4.3499999999999996</v>
      </c>
      <c r="N31" s="37">
        <v>-15270490000</v>
      </c>
      <c r="O31">
        <v>6.87</v>
      </c>
      <c r="P31" s="500">
        <v>-61366731.100000001</v>
      </c>
      <c r="Q31" s="500">
        <v>229000000</v>
      </c>
      <c r="R31">
        <v>56.75</v>
      </c>
      <c r="S3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-15630436087.78908</v>
      </c>
      <c r="T31" s="72">
        <f>VLOOKUP(Outstanding_pos_TB_MSB[[#This Row],[Bonds_ShortName]],FNRP!D:J,7,0)</f>
        <v>8000000</v>
      </c>
      <c r="U31" s="72">
        <f>SUMIFS(Outstanding_pos_TB_MSB[Amt],Outstanding_pos_TB_MSB[Bonds_ShortName],Outstanding_pos_TB_MSB[[#This Row],[Bonds_ShortName]])/100000-Outstanding_pos_TB_MSB[[#This Row],[Quantity FNRP]]</f>
        <v>0</v>
      </c>
      <c r="V31" s="162" t="str">
        <f>INDEX(Ref!$I$1:$K$13,MATCH(Outstanding_pos_TB_MSB[[#This Row],[Tenor left]],Ref!$I$1:$I$13,1),3)</f>
        <v>10Y</v>
      </c>
      <c r="W31" s="72">
        <f>IF(RPT-VLOOKUP(Outstanding_pos_TB_MSB[[#This Row],[Bonds_ShortName]],CT:CU,2,0)&lt;=0,0,RPT-VLOOKUP(Outstanding_pos_TB_MSB[[#This Row],[Bonds_ShortName]],CT:CU,2,0))</f>
        <v>0</v>
      </c>
      <c r="X31" s="72">
        <f>IF(RPT-Outstanding_pos_TB_MSB[[#This Row],[VALUE_DATE]]&lt;=0,0,RPT-Outstanding_pos_TB_MSB[[#This Row],[VALUE_DATE]])</f>
        <v>271</v>
      </c>
      <c r="Y31" s="72" t="str">
        <f>_xlfn.XLOOKUP(Outstanding_pos_TB_MSB[[#This Row],[Time hold/Deal]],Ref!S:S,Ref!U:U,,-1)</f>
        <v>9M</v>
      </c>
      <c r="AB31">
        <v>41952</v>
      </c>
      <c r="AC31" s="35">
        <v>45391</v>
      </c>
      <c r="AD31" t="s">
        <v>679</v>
      </c>
      <c r="AE31" t="s">
        <v>2180</v>
      </c>
      <c r="AF31" t="s">
        <v>823</v>
      </c>
      <c r="AG31" s="500">
        <v>50000000000</v>
      </c>
      <c r="AH31">
        <v>3.2</v>
      </c>
      <c r="AI31">
        <v>49318</v>
      </c>
      <c r="AJ31">
        <v>2.3199999999999998</v>
      </c>
      <c r="AK31">
        <v>8.4</v>
      </c>
      <c r="AL31" s="645" t="s">
        <v>2747</v>
      </c>
      <c r="AM31">
        <v>4.37</v>
      </c>
      <c r="AN31" s="500">
        <v>-8197500000</v>
      </c>
      <c r="AO31">
        <v>6.99</v>
      </c>
      <c r="AP31">
        <v>-65586595.939999998</v>
      </c>
      <c r="AQ31">
        <v>1946000000</v>
      </c>
      <c r="AR31">
        <v>60.32</v>
      </c>
      <c r="AS31" s="72">
        <f>SUM(_xlfn.IFNA(VLOOKUP(Outstanding_pos_BB_MSB[[#This Row],[Bonds_ShortName]],FNRP!AV:BA,6,0)*Outstanding_pos_BB_MSB[[#This Row],[Amt]]/10^4,0),_xlfn.IFNA((VLOOKUP(Outstanding_pos_BB_MSB[[#This Row],[Bonds_ShortName]],FNRP!IK:IP,6,0)*Outstanding_pos_BB_MSB[[#This Row],[Amt]]/10^4),0))</f>
        <v>459415000000</v>
      </c>
      <c r="AT31" s="72">
        <f>(_xlfn.XLOOKUP(Outstanding_pos_BB_MSB[[#This Row],[Bonds_ShortName]],FNRP!AV:AV,FNRP!BA:BA,,0)
-_xlfn.XLOOKUP(Outstanding_pos_BB_MSB[[#This Row],[BondsDeals_Id]],BS!AL:AL,BS!AR:AR,_xlfn.XLOOKUP(Outstanding_pos_BB_MSB[[#This Row],[BondsDeals_Id]],BS!BA:BA,BS!BQ:BQ,,0),0)-10^5)
*Outstanding_pos_BB_MSB[[#This Row],[Amt]]/10^5</f>
        <v>-7290670729.1958008</v>
      </c>
      <c r="AU31" s="72">
        <f>VLOOKUP(Outstanding_pos_BB_MSB[[#This Row],[Bonds_ShortName]],FNRP!AV:CD,35,0)</f>
        <v>500000</v>
      </c>
      <c r="AV31" s="157">
        <f>SUMIFS(AG$1:AG$103,AD$1:AD$103,Outstanding_pos_BB_MSB[[#This Row],[Bonds_ShortName]])/10^5-Outstanding_pos_BB_MSB[[#This Row],[Quantity FNRP]]</f>
        <v>0</v>
      </c>
      <c r="AW31" s="72">
        <f>IF(RPT-Outstanding_pos_BB_MSB[[#This Row],[Value Date]]&lt;=0,0,RPT-Outstanding_pos_BB_MSB[[#This Row],[Value Date]])</f>
        <v>861</v>
      </c>
      <c r="AX31" s="32" t="str">
        <f>INDEX(Ref!$I$1:$K$13,MATCH(Outstanding_pos_BB_MSB[[#This Row],[Tenor left]],Ref!$I$1:$I$13,1),3)</f>
        <v>10Y</v>
      </c>
      <c r="AY31" s="72" t="str">
        <f>_xlfn.XLOOKUP(Outstanding_pos_BB_MSB[[#This Row],[Time hold/Deal]],Ref!S:S,Ref!U:U,,-1)</f>
        <v>2Y</v>
      </c>
      <c r="BC31"/>
      <c r="BD31"/>
      <c r="BG31"/>
      <c r="BH31"/>
      <c r="BJ31"/>
      <c r="BN31"/>
      <c r="BO31"/>
      <c r="BQ31"/>
      <c r="BR31"/>
      <c r="BX31">
        <v>41818</v>
      </c>
      <c r="BY31" s="502">
        <v>45378</v>
      </c>
      <c r="BZ31" t="s">
        <v>2774</v>
      </c>
      <c r="CA31" t="s">
        <v>824</v>
      </c>
      <c r="CB31" t="s">
        <v>907</v>
      </c>
      <c r="CC31" s="500">
        <v>150000000000</v>
      </c>
      <c r="CD31">
        <v>3.3</v>
      </c>
      <c r="CE31" s="502">
        <v>48897</v>
      </c>
      <c r="CF31">
        <v>3.03</v>
      </c>
      <c r="CG31">
        <v>7.24</v>
      </c>
      <c r="CH31" t="s">
        <v>2746</v>
      </c>
      <c r="CI31">
        <v>4.82</v>
      </c>
      <c r="CJ31" s="500">
        <v>-17037000000</v>
      </c>
      <c r="CK31">
        <v>6.05</v>
      </c>
      <c r="CL31" s="500">
        <v>-56533097.670000002</v>
      </c>
      <c r="CM31" s="500">
        <v>2513000000</v>
      </c>
      <c r="CN31">
        <v>45.87</v>
      </c>
      <c r="CO3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-16208059620.141714</v>
      </c>
      <c r="CP31" s="72">
        <f>RPT-VLOOKUP(Outstanding_pos_BB_SBV[[#This Row],[Bonds_ShortName]],CT:CU,2,0)</f>
        <v>875</v>
      </c>
      <c r="CQ31" s="157">
        <f>SUMIFS(CC:CC,BZ:BZ,Outstanding_pos_BB_SBV[[#This Row],[Bonds_ShortName]])/10^5-VLOOKUP(Outstanding_pos_BB_SBV[[#This Row],[Bonds_ShortName]],FNRP!EE:FL,34,0)</f>
        <v>0</v>
      </c>
      <c r="CT31" t="s">
        <v>635</v>
      </c>
      <c r="CU31" s="502">
        <v>46043</v>
      </c>
      <c r="DY31" s="776">
        <v>41176</v>
      </c>
      <c r="DZ31" s="776" t="s">
        <v>703</v>
      </c>
      <c r="EA31" s="776" t="s">
        <v>2180</v>
      </c>
      <c r="EB31" s="777">
        <v>200000000000</v>
      </c>
      <c r="EC31" s="776">
        <v>10.28</v>
      </c>
      <c r="ED31" s="778">
        <v>2.41</v>
      </c>
      <c r="EE31" s="72">
        <f>_xlfn.XLOOKUP(DY31,Outstanding_pos_BB_MSB[BondsDeals_Id],Outstanding_pos_BB_MSB[ItD adj])</f>
        <v>-32310052294.139809</v>
      </c>
      <c r="EF31" s="32">
        <f>_xlfn.XLOOKUP(DY31,Outstanding_pos_BB_MSB[BondsDeals_Id],Outstanding_pos_BB_MSB[Yield])</f>
        <v>2.41</v>
      </c>
      <c r="EG31" s="71">
        <f>_xlfn.XLOOKUP(BB_tufund[[#This Row],[Deal ID]],Outstanding_pos_BB_MSB[BondsDeals_Id],Outstanding_pos_BB_MSB[Total Rate])</f>
        <v>2.2000000000000002</v>
      </c>
      <c r="EH31" s="124">
        <f>_xlfn.XLOOKUP(DY31,Outstanding_pos_BB_MSB[BondsDeals_Id],Outstanding_pos_BB_MSB[Mature Date])</f>
        <v>49927</v>
      </c>
      <c r="EI31" s="787">
        <f>(BB_tufund[[#This Row],[Amt]]/10^9)/(_xlfn.XLOOKUP(BB_tufund[[#This Row],[Bond code]],Bankingbook_MSB[Security Name],Bankingbook_MSB[QUANTITY])/10^4)</f>
        <v>0.8</v>
      </c>
      <c r="EJ31" s="72">
        <f>_xlfn.XLOOKUP(BB_tufund[[#This Row],[Bond code]],Bankingbook_MSB[Security Name],Bankingbook_MSB[MARKET_VALUE])*BB_tufund[[#This Row],[% amt FNRP]]</f>
        <v>164136000000</v>
      </c>
      <c r="EK31" s="71">
        <f>_xlfn.XLOOKUP(BB_tufund[[#This Row],[Bond code]],Bankingbook_MSB[Security Name],Bankingbook_MSB[BPV_edited])
/10^9*BB_tufund[[#This Row],[% amt FNRP]]</f>
        <v>-0.1416081428697186</v>
      </c>
    </row>
    <row r="32" spans="2:141" x14ac:dyDescent="0.3">
      <c r="B32">
        <v>48164</v>
      </c>
      <c r="C32" s="35">
        <v>45988</v>
      </c>
      <c r="D32" t="s">
        <v>2836</v>
      </c>
      <c r="E32" t="s">
        <v>824</v>
      </c>
      <c r="F32" t="s">
        <v>823</v>
      </c>
      <c r="G32" s="500">
        <v>171000000000</v>
      </c>
      <c r="H32">
        <v>2.7</v>
      </c>
      <c r="I32" t="s">
        <v>3494</v>
      </c>
      <c r="J32">
        <v>3.3</v>
      </c>
      <c r="K32">
        <v>7.92</v>
      </c>
      <c r="L32" t="s">
        <v>2747</v>
      </c>
      <c r="M32">
        <v>4.3499999999999996</v>
      </c>
      <c r="N32" s="37">
        <v>-10928610000</v>
      </c>
      <c r="O32">
        <v>6.87</v>
      </c>
      <c r="P32" s="500">
        <v>-61366731.100000001</v>
      </c>
      <c r="Q32" s="500">
        <v>229000000</v>
      </c>
      <c r="R32">
        <v>56.75</v>
      </c>
      <c r="S3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-11570520233.81023</v>
      </c>
      <c r="T32" s="72">
        <f>VLOOKUP(Outstanding_pos_TB_MSB[[#This Row],[Bonds_ShortName]],FNRP!D:J,7,0)</f>
        <v>8000000</v>
      </c>
      <c r="U32" s="72">
        <f>SUMIFS(Outstanding_pos_TB_MSB[Amt],Outstanding_pos_TB_MSB[Bonds_ShortName],Outstanding_pos_TB_MSB[[#This Row],[Bonds_ShortName]])/100000-Outstanding_pos_TB_MSB[[#This Row],[Quantity FNRP]]</f>
        <v>0</v>
      </c>
      <c r="V32" s="162" t="str">
        <f>INDEX(Ref!$I$1:$K$13,MATCH(Outstanding_pos_TB_MSB[[#This Row],[Tenor left]],Ref!$I$1:$I$13,1),3)</f>
        <v>10Y</v>
      </c>
      <c r="W32" s="72">
        <f>IF(RPT-VLOOKUP(Outstanding_pos_TB_MSB[[#This Row],[Bonds_ShortName]],CT:CU,2,0)&lt;=0,0,RPT-VLOOKUP(Outstanding_pos_TB_MSB[[#This Row],[Bonds_ShortName]],CT:CU,2,0))</f>
        <v>0</v>
      </c>
      <c r="X32" s="72">
        <f>IF(RPT-Outstanding_pos_TB_MSB[[#This Row],[VALUE_DATE]]&lt;=0,0,RPT-Outstanding_pos_TB_MSB[[#This Row],[VALUE_DATE]])</f>
        <v>264</v>
      </c>
      <c r="Y32" s="72" t="str">
        <f>_xlfn.XLOOKUP(Outstanding_pos_TB_MSB[[#This Row],[Time hold/Deal]],Ref!S:S,Ref!U:U,,-1)</f>
        <v>9M</v>
      </c>
      <c r="AB32">
        <v>41954</v>
      </c>
      <c r="AC32" s="35">
        <v>45391</v>
      </c>
      <c r="AD32" t="s">
        <v>697</v>
      </c>
      <c r="AE32" t="s">
        <v>2180</v>
      </c>
      <c r="AF32" t="s">
        <v>823</v>
      </c>
      <c r="AG32" s="500">
        <v>50000000000</v>
      </c>
      <c r="AH32">
        <v>2.5</v>
      </c>
      <c r="AI32">
        <v>49660</v>
      </c>
      <c r="AJ32">
        <v>2.33</v>
      </c>
      <c r="AK32">
        <v>9.33</v>
      </c>
      <c r="AL32" s="645" t="s">
        <v>2743</v>
      </c>
      <c r="AM32">
        <v>4.42</v>
      </c>
      <c r="AN32" s="500">
        <v>-8064000000</v>
      </c>
      <c r="AO32">
        <v>7.84</v>
      </c>
      <c r="AP32">
        <v>-68456572.510000005</v>
      </c>
      <c r="AQ32">
        <v>1678000000</v>
      </c>
      <c r="AR32">
        <v>74.69</v>
      </c>
      <c r="AS32" s="72">
        <f>SUM(_xlfn.IFNA(VLOOKUP(Outstanding_pos_BB_MSB[[#This Row],[Bonds_ShortName]],FNRP!AV:BA,6,0)*Outstanding_pos_BB_MSB[[#This Row],[Amt]]/10^4,0),_xlfn.IFNA((VLOOKUP(Outstanding_pos_BB_MSB[[#This Row],[Bonds_ShortName]],FNRP!IK:IP,6,0)*Outstanding_pos_BB_MSB[[#This Row],[Amt]]/10^4),0))</f>
        <v>427920000000</v>
      </c>
      <c r="AT32" s="72">
        <f>(_xlfn.XLOOKUP(Outstanding_pos_BB_MSB[[#This Row],[Bonds_ShortName]],FNRP!AV:AV,FNRP!BA:BA,,0)
-_xlfn.XLOOKUP(Outstanding_pos_BB_MSB[[#This Row],[BondsDeals_Id]],BS!AL:AL,BS!AR:AR,_xlfn.XLOOKUP(Outstanding_pos_BB_MSB[[#This Row],[BondsDeals_Id]],BS!BA:BA,BS!BQ:BQ,,0),0)-10^5)
*Outstanding_pos_BB_MSB[[#This Row],[Amt]]/10^5</f>
        <v>-7892876223.5560217</v>
      </c>
      <c r="AU32" s="72">
        <f>VLOOKUP(Outstanding_pos_BB_MSB[[#This Row],[Bonds_ShortName]],FNRP!AV:CD,35,0)</f>
        <v>870000</v>
      </c>
      <c r="AV32" s="157">
        <f>SUMIFS(AG$1:AG$103,AD$1:AD$103,Outstanding_pos_BB_MSB[[#This Row],[Bonds_ShortName]])/10^5-Outstanding_pos_BB_MSB[[#This Row],[Quantity FNRP]]</f>
        <v>0</v>
      </c>
      <c r="AW32" s="72">
        <f>IF(RPT-Outstanding_pos_BB_MSB[[#This Row],[Value Date]]&lt;=0,0,RPT-Outstanding_pos_BB_MSB[[#This Row],[Value Date]])</f>
        <v>861</v>
      </c>
      <c r="AX32" s="32" t="str">
        <f>INDEX(Ref!$I$1:$K$13,MATCH(Outstanding_pos_BB_MSB[[#This Row],[Tenor left]],Ref!$I$1:$I$13,1),3)</f>
        <v>10Y</v>
      </c>
      <c r="AY32" s="72" t="str">
        <f>_xlfn.XLOOKUP(Outstanding_pos_BB_MSB[[#This Row],[Time hold/Deal]],Ref!S:S,Ref!U:U,,-1)</f>
        <v>2Y</v>
      </c>
      <c r="BC32"/>
      <c r="BD32"/>
      <c r="BG32"/>
      <c r="BH32"/>
      <c r="BJ32"/>
      <c r="BN32"/>
      <c r="BO32"/>
      <c r="BQ32"/>
      <c r="BR32"/>
      <c r="BX32">
        <v>41820</v>
      </c>
      <c r="BY32" s="502">
        <v>45378</v>
      </c>
      <c r="BZ32" t="s">
        <v>2774</v>
      </c>
      <c r="CA32" t="s">
        <v>824</v>
      </c>
      <c r="CB32" t="s">
        <v>907</v>
      </c>
      <c r="CC32" s="500">
        <v>100000000000</v>
      </c>
      <c r="CD32">
        <v>3.3</v>
      </c>
      <c r="CE32" s="502">
        <v>48897</v>
      </c>
      <c r="CF32">
        <v>3.03</v>
      </c>
      <c r="CG32">
        <v>7.24</v>
      </c>
      <c r="CH32" t="s">
        <v>2746</v>
      </c>
      <c r="CI32">
        <v>4.82</v>
      </c>
      <c r="CJ32" s="500">
        <v>-11358000000</v>
      </c>
      <c r="CK32">
        <v>6.05</v>
      </c>
      <c r="CL32" s="500">
        <v>-56533097.670000002</v>
      </c>
      <c r="CM32" s="500">
        <v>2513000000</v>
      </c>
      <c r="CN32">
        <v>45.87</v>
      </c>
      <c r="CO3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-10805373080.094477</v>
      </c>
      <c r="CP32" s="72">
        <f>RPT-VLOOKUP(Outstanding_pos_BB_SBV[[#This Row],[Bonds_ShortName]],CT:CU,2,0)</f>
        <v>875</v>
      </c>
      <c r="CQ32" s="157">
        <f>SUMIFS(CC:CC,BZ:BZ,Outstanding_pos_BB_SBV[[#This Row],[Bonds_ShortName]])/10^5-VLOOKUP(Outstanding_pos_BB_SBV[[#This Row],[Bonds_ShortName]],FNRP!EE:FL,34,0)</f>
        <v>0</v>
      </c>
      <c r="CT32" t="s">
        <v>607</v>
      </c>
      <c r="CU32" s="502">
        <v>45895</v>
      </c>
      <c r="DY32" s="776">
        <v>45102</v>
      </c>
      <c r="DZ32" s="776" t="s">
        <v>703</v>
      </c>
      <c r="EA32" s="776" t="s">
        <v>2180</v>
      </c>
      <c r="EB32" s="777">
        <v>50000000000</v>
      </c>
      <c r="EC32" s="776">
        <v>10.28</v>
      </c>
      <c r="ED32" s="778">
        <v>2.41</v>
      </c>
      <c r="EE32" s="72">
        <f>_xlfn.XLOOKUP(DY32,Outstanding_pos_BB_MSB[BondsDeals_Id],Outstanding_pos_BB_MSB[ItD adj])</f>
        <v>-8052846915.9639864</v>
      </c>
      <c r="EF32" s="32">
        <f>_xlfn.XLOOKUP(DY32,Outstanding_pos_BB_MSB[BondsDeals_Id],Outstanding_pos_BB_MSB[Yield])</f>
        <v>2.41</v>
      </c>
      <c r="EG32" s="71">
        <f>_xlfn.XLOOKUP(BB_tufund[[#This Row],[Deal ID]],Outstanding_pos_BB_MSB[BondsDeals_Id],Outstanding_pos_BB_MSB[Total Rate])</f>
        <v>2.2000000000000002</v>
      </c>
      <c r="EH32" s="124">
        <f>_xlfn.XLOOKUP(DY32,Outstanding_pos_BB_MSB[BondsDeals_Id],Outstanding_pos_BB_MSB[Mature Date])</f>
        <v>49927</v>
      </c>
      <c r="EI32" s="787">
        <f>(BB_tufund[[#This Row],[Amt]]/10^9)/(_xlfn.XLOOKUP(BB_tufund[[#This Row],[Bond code]],Bankingbook_MSB[Security Name],Bankingbook_MSB[QUANTITY])/10^4)</f>
        <v>0.2</v>
      </c>
      <c r="EJ32" s="72">
        <f>_xlfn.XLOOKUP(BB_tufund[[#This Row],[Bond code]],Bankingbook_MSB[Security Name],Bankingbook_MSB[MARKET_VALUE])*BB_tufund[[#This Row],[% amt FNRP]]</f>
        <v>41034000000</v>
      </c>
      <c r="EK32" s="71">
        <f>_xlfn.XLOOKUP(BB_tufund[[#This Row],[Bond code]],Bankingbook_MSB[Security Name],Bankingbook_MSB[BPV_edited])
/10^9*BB_tufund[[#This Row],[% amt FNRP]]</f>
        <v>-3.5402035717429649E-2</v>
      </c>
    </row>
    <row r="33" spans="2:141" x14ac:dyDescent="0.3">
      <c r="B33">
        <v>48326</v>
      </c>
      <c r="C33" s="35">
        <v>46003</v>
      </c>
      <c r="D33" t="s">
        <v>3051</v>
      </c>
      <c r="E33" t="s">
        <v>824</v>
      </c>
      <c r="F33" t="s">
        <v>823</v>
      </c>
      <c r="G33" s="500">
        <v>50000000000</v>
      </c>
      <c r="H33">
        <v>2.9</v>
      </c>
      <c r="I33" t="s">
        <v>3518</v>
      </c>
      <c r="J33">
        <v>3.8</v>
      </c>
      <c r="K33">
        <v>8.5299999999999994</v>
      </c>
      <c r="L33" t="s">
        <v>2747</v>
      </c>
      <c r="M33">
        <v>4.38</v>
      </c>
      <c r="N33" s="37">
        <v>-1733500000</v>
      </c>
      <c r="O33">
        <v>7.2</v>
      </c>
      <c r="P33" s="500">
        <v>-65480997.75</v>
      </c>
      <c r="Q33" s="500">
        <v>1367000000</v>
      </c>
      <c r="R33">
        <v>63.16</v>
      </c>
      <c r="S3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-1989603965.4358027</v>
      </c>
      <c r="T33" s="72">
        <f>VLOOKUP(Outstanding_pos_TB_MSB[[#This Row],[Bonds_ShortName]],FNRP!D:J,7,0)</f>
        <v>6000000</v>
      </c>
      <c r="U33" s="72">
        <f>SUMIFS(Outstanding_pos_TB_MSB[Amt],Outstanding_pos_TB_MSB[Bonds_ShortName],Outstanding_pos_TB_MSB[[#This Row],[Bonds_ShortName]])/100000-Outstanding_pos_TB_MSB[[#This Row],[Quantity FNRP]]</f>
        <v>0</v>
      </c>
      <c r="V33" s="162" t="str">
        <f>INDEX(Ref!$I$1:$K$13,MATCH(Outstanding_pos_TB_MSB[[#This Row],[Tenor left]],Ref!$I$1:$I$13,1),3)</f>
        <v>10Y</v>
      </c>
      <c r="W33" s="72">
        <f>IF(RPT-VLOOKUP(Outstanding_pos_TB_MSB[[#This Row],[Bonds_ShortName]],CT:CU,2,0)&lt;=0,0,RPT-VLOOKUP(Outstanding_pos_TB_MSB[[#This Row],[Bonds_ShortName]],CT:CU,2,0))</f>
        <v>0</v>
      </c>
      <c r="X33" s="72">
        <f>IF(RPT-Outstanding_pos_TB_MSB[[#This Row],[VALUE_DATE]]&lt;=0,0,RPT-Outstanding_pos_TB_MSB[[#This Row],[VALUE_DATE]])</f>
        <v>249</v>
      </c>
      <c r="Y33" s="72" t="str">
        <f>_xlfn.XLOOKUP(Outstanding_pos_TB_MSB[[#This Row],[Time hold/Deal]],Ref!S:S,Ref!U:U,,-1)</f>
        <v>9M</v>
      </c>
      <c r="AB33">
        <v>41955</v>
      </c>
      <c r="AC33" s="35">
        <v>45391</v>
      </c>
      <c r="AD33" t="s">
        <v>2503</v>
      </c>
      <c r="AE33" t="s">
        <v>2180</v>
      </c>
      <c r="AF33" t="s">
        <v>823</v>
      </c>
      <c r="AG33" s="500">
        <v>150000000000</v>
      </c>
      <c r="AH33">
        <v>3.4</v>
      </c>
      <c r="AI33">
        <v>50515</v>
      </c>
      <c r="AJ33">
        <v>2.4</v>
      </c>
      <c r="AK33">
        <v>11.68</v>
      </c>
      <c r="AL33" s="645" t="s">
        <v>2740</v>
      </c>
      <c r="AM33">
        <v>4.49</v>
      </c>
      <c r="AN33" s="500">
        <v>-32275500000</v>
      </c>
      <c r="AO33">
        <v>9.18</v>
      </c>
      <c r="AP33">
        <v>-83889598.819999993</v>
      </c>
      <c r="AQ33">
        <v>1127000000</v>
      </c>
      <c r="AR33">
        <v>104.3</v>
      </c>
      <c r="AS33" s="72">
        <f>SUM(_xlfn.IFNA(VLOOKUP(Outstanding_pos_BB_MSB[[#This Row],[Bonds_ShortName]],FNRP!AV:BA,6,0)*Outstanding_pos_BB_MSB[[#This Row],[Amt]]/10^4,0),_xlfn.IFNA((VLOOKUP(Outstanding_pos_BB_MSB[[#This Row],[Bonds_ShortName]],FNRP!IK:IP,6,0)*Outstanding_pos_BB_MSB[[#This Row],[Amt]]/10^4),0))</f>
        <v>1353525000000</v>
      </c>
      <c r="AT33" s="72">
        <f>(_xlfn.XLOOKUP(Outstanding_pos_BB_MSB[[#This Row],[Bonds_ShortName]],FNRP!AV:AV,FNRP!BA:BA,,0)
-_xlfn.XLOOKUP(Outstanding_pos_BB_MSB[[#This Row],[BondsDeals_Id]],BS!AL:AL,BS!AR:AR,_xlfn.XLOOKUP(Outstanding_pos_BB_MSB[[#This Row],[BondsDeals_Id]],BS!BA:BA,BS!BQ:BQ,,0),0)-10^5)
*Outstanding_pos_BB_MSB[[#This Row],[Amt]]/10^5</f>
        <v>-29312704873.24189</v>
      </c>
      <c r="AU33" s="72">
        <f>VLOOKUP(Outstanding_pos_BB_MSB[[#This Row],[Bonds_ShortName]],FNRP!AV:CD,35,0)</f>
        <v>7500000</v>
      </c>
      <c r="AV33" s="157">
        <f>SUMIFS(AG$1:AG$103,AD$1:AD$103,Outstanding_pos_BB_MSB[[#This Row],[Bonds_ShortName]])/10^5-Outstanding_pos_BB_MSB[[#This Row],[Quantity FNRP]]</f>
        <v>0</v>
      </c>
      <c r="AW33" s="72">
        <f>IF(RPT-Outstanding_pos_BB_MSB[[#This Row],[Value Date]]&lt;=0,0,RPT-Outstanding_pos_BB_MSB[[#This Row],[Value Date]])</f>
        <v>861</v>
      </c>
      <c r="AX33" s="32" t="str">
        <f>INDEX(Ref!$I$1:$K$13,MATCH(Outstanding_pos_BB_MSB[[#This Row],[Tenor left]],Ref!$I$1:$I$13,1),3)</f>
        <v>15Y</v>
      </c>
      <c r="AY33" s="72" t="str">
        <f>_xlfn.XLOOKUP(Outstanding_pos_BB_MSB[[#This Row],[Time hold/Deal]],Ref!S:S,Ref!U:U,,-1)</f>
        <v>2Y</v>
      </c>
      <c r="BC33"/>
      <c r="BD33"/>
      <c r="BG33"/>
      <c r="BH33"/>
      <c r="BJ33"/>
      <c r="BN33"/>
      <c r="BO33"/>
      <c r="BQ33"/>
      <c r="BR33"/>
      <c r="BX33">
        <v>41951</v>
      </c>
      <c r="BY33" s="502">
        <v>45391</v>
      </c>
      <c r="BZ33" t="s">
        <v>666</v>
      </c>
      <c r="CA33" t="s">
        <v>2180</v>
      </c>
      <c r="CB33" t="s">
        <v>823</v>
      </c>
      <c r="CC33" s="500">
        <v>50000000000</v>
      </c>
      <c r="CD33">
        <v>5.0999999999999996</v>
      </c>
      <c r="CE33" s="502">
        <v>48968</v>
      </c>
      <c r="CF33">
        <v>2.2200000000000002</v>
      </c>
      <c r="CG33">
        <v>7.44</v>
      </c>
      <c r="CH33" t="s">
        <v>2746</v>
      </c>
      <c r="CI33">
        <v>4.33</v>
      </c>
      <c r="CJ33" s="500">
        <v>-10151500000</v>
      </c>
      <c r="CK33">
        <v>5.97</v>
      </c>
      <c r="CL33" s="500">
        <v>-64335349.25</v>
      </c>
      <c r="CM33" s="500">
        <v>2892000000</v>
      </c>
      <c r="CN33">
        <v>45.75</v>
      </c>
      <c r="CO3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-7127969176.936429</v>
      </c>
      <c r="CP33" s="72">
        <f>RPT-VLOOKUP(Outstanding_pos_BB_SBV[[#This Row],[Bonds_ShortName]],CT:CU,2,0)</f>
        <v>7</v>
      </c>
      <c r="CQ33" s="157">
        <f>SUMIFS(CC:CC,BZ:BZ,Outstanding_pos_BB_SBV[[#This Row],[Bonds_ShortName]])/10^5-VLOOKUP(Outstanding_pos_BB_SBV[[#This Row],[Bonds_ShortName]],FNRP!EE:FL,34,0)</f>
        <v>0</v>
      </c>
      <c r="CT33" t="s">
        <v>3026</v>
      </c>
      <c r="CU33" s="502">
        <v>46227</v>
      </c>
      <c r="DY33" s="776">
        <v>45179</v>
      </c>
      <c r="DZ33" s="776" t="s">
        <v>704</v>
      </c>
      <c r="EA33" s="776" t="s">
        <v>2180</v>
      </c>
      <c r="EB33" s="777">
        <v>50000000000</v>
      </c>
      <c r="EC33" s="776">
        <v>10.49</v>
      </c>
      <c r="ED33" s="778">
        <v>2.41</v>
      </c>
      <c r="EE33" s="72">
        <f>_xlfn.XLOOKUP(DY33,Outstanding_pos_BB_MSB[BondsDeals_Id],Outstanding_pos_BB_MSB[ItD adj])</f>
        <v>-8246060616.4383574</v>
      </c>
      <c r="EF33" s="32">
        <f>_xlfn.XLOOKUP(DY33,Outstanding_pos_BB_MSB[BondsDeals_Id],Outstanding_pos_BB_MSB[Yield])</f>
        <v>2.41</v>
      </c>
      <c r="EG33" s="71">
        <f>_xlfn.XLOOKUP(BB_tufund[[#This Row],[Deal ID]],Outstanding_pos_BB_MSB[BondsDeals_Id],Outstanding_pos_BB_MSB[Total Rate])</f>
        <v>2.2999999999999998</v>
      </c>
      <c r="EH33" s="124">
        <f>_xlfn.XLOOKUP(DY33,Outstanding_pos_BB_MSB[BondsDeals_Id],Outstanding_pos_BB_MSB[Mature Date])</f>
        <v>50004</v>
      </c>
      <c r="EI33" s="787">
        <f>(BB_tufund[[#This Row],[Amt]]/10^9)/(_xlfn.XLOOKUP(BB_tufund[[#This Row],[Bond code]],Bankingbook_MSB[Security Name],Bankingbook_MSB[QUANTITY])/10^4)</f>
        <v>1</v>
      </c>
      <c r="EJ33" s="72">
        <f>_xlfn.XLOOKUP(BB_tufund[[#This Row],[Bond code]],Bankingbook_MSB[Security Name],Bankingbook_MSB[MARKET_VALUE])*BB_tufund[[#This Row],[% amt FNRP]]</f>
        <v>41266500000</v>
      </c>
      <c r="EK33" s="71">
        <f>_xlfn.XLOOKUP(BB_tufund[[#This Row],[Bond code]],Bankingbook_MSB[Security Name],Bankingbook_MSB[BPV_edited])
/10^9*BB_tufund[[#This Row],[% amt FNRP]]</f>
        <v>-3.6103341839033562E-2</v>
      </c>
    </row>
    <row r="34" spans="2:141" x14ac:dyDescent="0.3">
      <c r="B34">
        <v>48421</v>
      </c>
      <c r="C34" s="35">
        <v>46030</v>
      </c>
      <c r="D34" t="s">
        <v>2836</v>
      </c>
      <c r="E34" t="s">
        <v>824</v>
      </c>
      <c r="F34" t="s">
        <v>823</v>
      </c>
      <c r="G34" s="500">
        <v>50000000000</v>
      </c>
      <c r="H34">
        <v>2.7</v>
      </c>
      <c r="I34" t="s">
        <v>3494</v>
      </c>
      <c r="J34">
        <v>3.12</v>
      </c>
      <c r="K34">
        <v>7.92</v>
      </c>
      <c r="L34" t="s">
        <v>2747</v>
      </c>
      <c r="M34">
        <v>4.3499999999999996</v>
      </c>
      <c r="N34" s="37">
        <v>-3876500000</v>
      </c>
      <c r="O34">
        <v>6.87</v>
      </c>
      <c r="P34" s="500">
        <v>-61366731.100000001</v>
      </c>
      <c r="Q34" s="500">
        <v>229000000</v>
      </c>
      <c r="R34">
        <v>56.75</v>
      </c>
      <c r="S3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-3987906954.4860468</v>
      </c>
      <c r="T34" s="72">
        <f>VLOOKUP(Outstanding_pos_TB_MSB[[#This Row],[Bonds_ShortName]],FNRP!D:J,7,0)</f>
        <v>8000000</v>
      </c>
      <c r="U34" s="72">
        <f>SUMIFS(Outstanding_pos_TB_MSB[Amt],Outstanding_pos_TB_MSB[Bonds_ShortName],Outstanding_pos_TB_MSB[[#This Row],[Bonds_ShortName]])/100000-Outstanding_pos_TB_MSB[[#This Row],[Quantity FNRP]]</f>
        <v>0</v>
      </c>
      <c r="V34" s="162" t="str">
        <f>INDEX(Ref!$I$1:$K$13,MATCH(Outstanding_pos_TB_MSB[[#This Row],[Tenor left]],Ref!$I$1:$I$13,1),3)</f>
        <v>10Y</v>
      </c>
      <c r="W34" s="72">
        <f>IF(RPT-VLOOKUP(Outstanding_pos_TB_MSB[[#This Row],[Bonds_ShortName]],CT:CU,2,0)&lt;=0,0,RPT-VLOOKUP(Outstanding_pos_TB_MSB[[#This Row],[Bonds_ShortName]],CT:CU,2,0))</f>
        <v>0</v>
      </c>
      <c r="X34" s="72">
        <f>IF(RPT-Outstanding_pos_TB_MSB[[#This Row],[VALUE_DATE]]&lt;=0,0,RPT-Outstanding_pos_TB_MSB[[#This Row],[VALUE_DATE]])</f>
        <v>222</v>
      </c>
      <c r="Y34" s="72" t="str">
        <f>_xlfn.XLOOKUP(Outstanding_pos_TB_MSB[[#This Row],[Time hold/Deal]],Ref!S:S,Ref!U:U,,-1)</f>
        <v>9M</v>
      </c>
      <c r="AB34">
        <v>41957</v>
      </c>
      <c r="AC34" s="35">
        <v>45391</v>
      </c>
      <c r="AD34" t="s">
        <v>2800</v>
      </c>
      <c r="AE34" t="s">
        <v>2180</v>
      </c>
      <c r="AF34" t="s">
        <v>823</v>
      </c>
      <c r="AG34" s="500">
        <v>200000000000</v>
      </c>
      <c r="AH34">
        <v>2.2999999999999998</v>
      </c>
      <c r="AI34">
        <v>50781</v>
      </c>
      <c r="AJ34">
        <v>2.48</v>
      </c>
      <c r="AK34">
        <v>12.41</v>
      </c>
      <c r="AL34" s="645" t="s">
        <v>2740</v>
      </c>
      <c r="AM34">
        <v>4.51</v>
      </c>
      <c r="AN34" s="500">
        <v>-36898000000</v>
      </c>
      <c r="AO34">
        <v>10.07</v>
      </c>
      <c r="AP34">
        <v>-81298587.519999996</v>
      </c>
      <c r="AQ34">
        <v>1386000000</v>
      </c>
      <c r="AR34">
        <v>122.75</v>
      </c>
      <c r="AS34" s="72">
        <f>SUM(_xlfn.IFNA(VLOOKUP(Outstanding_pos_BB_MSB[[#This Row],[Bonds_ShortName]],FNRP!AV:BA,6,0)*Outstanding_pos_BB_MSB[[#This Row],[Amt]]/10^4,0),_xlfn.IFNA((VLOOKUP(Outstanding_pos_BB_MSB[[#This Row],[Bonds_ShortName]],FNRP!IK:IP,6,0)*Outstanding_pos_BB_MSB[[#This Row],[Amt]]/10^4),0))</f>
        <v>1586800000000</v>
      </c>
      <c r="AT34" s="72">
        <f>(_xlfn.XLOOKUP(Outstanding_pos_BB_MSB[[#This Row],[Bonds_ShortName]],FNRP!AV:AV,FNRP!BA:BA,,0)
-_xlfn.XLOOKUP(Outstanding_pos_BB_MSB[[#This Row],[BondsDeals_Id]],BS!AL:AL,BS!AR:AR,_xlfn.XLOOKUP(Outstanding_pos_BB_MSB[[#This Row],[BondsDeals_Id]],BS!BA:BA,BS!BQ:BQ,,0),0)-10^5)
*Outstanding_pos_BB_MSB[[#This Row],[Amt]]/10^5</f>
        <v>-37611425830.063759</v>
      </c>
      <c r="AU34" s="72">
        <f>VLOOKUP(Outstanding_pos_BB_MSB[[#This Row],[Bonds_ShortName]],FNRP!AV:CD,35,0)</f>
        <v>6000000</v>
      </c>
      <c r="AV34" s="157">
        <f>SUMIFS(AG$1:AG$103,AD$1:AD$103,Outstanding_pos_BB_MSB[[#This Row],[Bonds_ShortName]])/10^5-Outstanding_pos_BB_MSB[[#This Row],[Quantity FNRP]]</f>
        <v>0</v>
      </c>
      <c r="AW34" s="72">
        <f>IF(RPT-Outstanding_pos_BB_MSB[[#This Row],[Value Date]]&lt;=0,0,RPT-Outstanding_pos_BB_MSB[[#This Row],[Value Date]])</f>
        <v>861</v>
      </c>
      <c r="AX34" s="32" t="str">
        <f>INDEX(Ref!$I$1:$K$13,MATCH(Outstanding_pos_BB_MSB[[#This Row],[Tenor left]],Ref!$I$1:$I$13,1),3)</f>
        <v>15Y</v>
      </c>
      <c r="AY34" s="72" t="str">
        <f>_xlfn.XLOOKUP(Outstanding_pos_BB_MSB[[#This Row],[Time hold/Deal]],Ref!S:S,Ref!U:U,,-1)</f>
        <v>2Y</v>
      </c>
      <c r="BC34"/>
      <c r="BD34"/>
      <c r="BG34"/>
      <c r="BH34"/>
      <c r="BJ34"/>
      <c r="BN34"/>
      <c r="BO34"/>
      <c r="BQ34"/>
      <c r="BR34"/>
      <c r="BX34">
        <v>41952</v>
      </c>
      <c r="BY34" s="502">
        <v>45391</v>
      </c>
      <c r="BZ34" t="s">
        <v>679</v>
      </c>
      <c r="CA34" t="s">
        <v>2180</v>
      </c>
      <c r="CB34" t="s">
        <v>823</v>
      </c>
      <c r="CC34" s="500">
        <v>50000000000</v>
      </c>
      <c r="CD34">
        <v>3.2</v>
      </c>
      <c r="CE34" s="502">
        <v>49318</v>
      </c>
      <c r="CF34">
        <v>2.3199999999999998</v>
      </c>
      <c r="CG34">
        <v>8.4</v>
      </c>
      <c r="CH34" t="s">
        <v>2747</v>
      </c>
      <c r="CI34">
        <v>4.37</v>
      </c>
      <c r="CJ34" s="500">
        <v>-8197500000</v>
      </c>
      <c r="CK34">
        <v>6.99</v>
      </c>
      <c r="CL34" s="500">
        <v>-65586595.939999998</v>
      </c>
      <c r="CM34" s="500">
        <v>1946000000</v>
      </c>
      <c r="CN34">
        <v>60.32</v>
      </c>
      <c r="CO3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-7290670729.1958008</v>
      </c>
      <c r="CP34" s="72">
        <f>RPT-VLOOKUP(Outstanding_pos_BB_SBV[[#This Row],[Bonds_ShortName]],CT:CU,2,0)</f>
        <v>515</v>
      </c>
      <c r="CQ34" s="157">
        <f>SUMIFS(CC:CC,BZ:BZ,Outstanding_pos_BB_SBV[[#This Row],[Bonds_ShortName]])/10^5-VLOOKUP(Outstanding_pos_BB_SBV[[#This Row],[Bonds_ShortName]],FNRP!EE:FL,34,0)</f>
        <v>0</v>
      </c>
      <c r="CT34" t="s">
        <v>712</v>
      </c>
      <c r="CU34" s="502">
        <v>46230</v>
      </c>
      <c r="DY34" s="776">
        <v>43047</v>
      </c>
      <c r="DZ34" s="776" t="s">
        <v>683</v>
      </c>
      <c r="EA34" s="776" t="s">
        <v>2180</v>
      </c>
      <c r="EB34" s="777">
        <v>29000000000</v>
      </c>
      <c r="EC34" s="776">
        <v>10.64</v>
      </c>
      <c r="ED34" s="778">
        <v>2.62</v>
      </c>
      <c r="EE34" s="72">
        <f>_xlfn.XLOOKUP(DY34,Outstanding_pos_BB_MSB[BondsDeals_Id],Outstanding_pos_BB_MSB[ItD adj])</f>
        <v>-5260562518.0666018</v>
      </c>
      <c r="EF34" s="32">
        <f>_xlfn.XLOOKUP(DY34,Outstanding_pos_BB_MSB[BondsDeals_Id],Outstanding_pos_BB_MSB[Yield])</f>
        <v>2.62</v>
      </c>
      <c r="EG34" s="71">
        <f>_xlfn.XLOOKUP(BB_tufund[[#This Row],[Deal ID]],Outstanding_pos_BB_MSB[BondsDeals_Id],Outstanding_pos_BB_MSB[Total Rate])</f>
        <v>7.7</v>
      </c>
      <c r="EH34" s="124">
        <f>_xlfn.XLOOKUP(DY34,Outstanding_pos_BB_MSB[BondsDeals_Id],Outstanding_pos_BB_MSB[Mature Date])</f>
        <v>50059</v>
      </c>
      <c r="EI34" s="787">
        <f>(BB_tufund[[#This Row],[Amt]]/10^9)/(_xlfn.XLOOKUP(BB_tufund[[#This Row],[Bond code]],Bankingbook_MSB[Security Name],Bankingbook_MSB[QUANTITY])/10^4)</f>
        <v>1</v>
      </c>
      <c r="EJ34" s="72">
        <f>_xlfn.XLOOKUP(BB_tufund[[#This Row],[Bond code]],Bankingbook_MSB[Security Name],Bankingbook_MSB[MARKET_VALUE])*BB_tufund[[#This Row],[% amt FNRP]]</f>
        <v>36688770000</v>
      </c>
      <c r="EK34" s="71">
        <f>_xlfn.XLOOKUP(BB_tufund[[#This Row],[Bond code]],Bankingbook_MSB[Security Name],Bankingbook_MSB[BPV_edited])
/10^9*BB_tufund[[#This Row],[% amt FNRP]]</f>
        <v>-2.7695144384462675E-2</v>
      </c>
    </row>
    <row r="35" spans="2:141" x14ac:dyDescent="0.3">
      <c r="B35">
        <v>48869</v>
      </c>
      <c r="C35" s="35">
        <v>46059</v>
      </c>
      <c r="D35" t="s">
        <v>3517</v>
      </c>
      <c r="E35" t="s">
        <v>824</v>
      </c>
      <c r="F35" t="s">
        <v>823</v>
      </c>
      <c r="G35" s="500">
        <v>200000000000</v>
      </c>
      <c r="H35">
        <v>2.7</v>
      </c>
      <c r="I35" t="s">
        <v>3586</v>
      </c>
      <c r="J35">
        <v>3</v>
      </c>
      <c r="K35">
        <v>3.93</v>
      </c>
      <c r="L35" t="s">
        <v>2500</v>
      </c>
      <c r="M35">
        <v>3.95</v>
      </c>
      <c r="N35" s="37">
        <v>-6434000000</v>
      </c>
      <c r="O35">
        <v>3.63</v>
      </c>
      <c r="P35" s="500">
        <v>-34730230.82</v>
      </c>
      <c r="Q35" s="500">
        <v>185000000</v>
      </c>
      <c r="R35">
        <v>16.98</v>
      </c>
      <c r="S3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-6734604673.8481388</v>
      </c>
      <c r="T35" s="72">
        <f>VLOOKUP(Outstanding_pos_TB_MSB[[#This Row],[Bonds_ShortName]],FNRP!D:J,7,0)</f>
        <v>4000000</v>
      </c>
      <c r="U35" s="72">
        <f>SUMIFS(Outstanding_pos_TB_MSB[Amt],Outstanding_pos_TB_MSB[Bonds_ShortName],Outstanding_pos_TB_MSB[[#This Row],[Bonds_ShortName]])/100000-Outstanding_pos_TB_MSB[[#This Row],[Quantity FNRP]]</f>
        <v>0</v>
      </c>
      <c r="V35" s="162" t="str">
        <f>INDEX(Ref!$I$1:$K$13,MATCH(Outstanding_pos_TB_MSB[[#This Row],[Tenor left]],Ref!$I$1:$I$13,1),3)</f>
        <v>4Y</v>
      </c>
      <c r="W35" s="72">
        <f>IF(RPT-VLOOKUP(Outstanding_pos_TB_MSB[[#This Row],[Bonds_ShortName]],CT:CU,2,0)&lt;=0,0,RPT-VLOOKUP(Outstanding_pos_TB_MSB[[#This Row],[Bonds_ShortName]],CT:CU,2,0))</f>
        <v>0</v>
      </c>
      <c r="X35" s="72">
        <f>IF(RPT-Outstanding_pos_TB_MSB[[#This Row],[VALUE_DATE]]&lt;=0,0,RPT-Outstanding_pos_TB_MSB[[#This Row],[VALUE_DATE]])</f>
        <v>193</v>
      </c>
      <c r="Y35" s="72" t="str">
        <f>_xlfn.XLOOKUP(Outstanding_pos_TB_MSB[[#This Row],[Time hold/Deal]],Ref!S:S,Ref!U:U,,-1)</f>
        <v>9M</v>
      </c>
      <c r="AB35">
        <v>41965</v>
      </c>
      <c r="AC35" s="35">
        <v>45394</v>
      </c>
      <c r="AD35" t="s">
        <v>709</v>
      </c>
      <c r="AE35" t="s">
        <v>2180</v>
      </c>
      <c r="AF35" t="s">
        <v>823</v>
      </c>
      <c r="AG35" s="500">
        <v>50000000000</v>
      </c>
      <c r="AH35">
        <v>5.2</v>
      </c>
      <c r="AI35">
        <v>50437</v>
      </c>
      <c r="AJ35">
        <v>2.46</v>
      </c>
      <c r="AK35">
        <v>11.46</v>
      </c>
      <c r="AL35" s="645" t="s">
        <v>2740</v>
      </c>
      <c r="AM35">
        <v>4.49</v>
      </c>
      <c r="AN35" s="500">
        <v>-12737500000</v>
      </c>
      <c r="AO35">
        <v>8.4</v>
      </c>
      <c r="AP35">
        <v>-91597363.689999998</v>
      </c>
      <c r="AQ35">
        <v>2835000000</v>
      </c>
      <c r="AR35">
        <v>91.53</v>
      </c>
      <c r="AS35" s="72">
        <f>SUM(_xlfn.IFNA(VLOOKUP(Outstanding_pos_BB_MSB[[#This Row],[Bonds_ShortName]],FNRP!AV:BA,6,0)*Outstanding_pos_BB_MSB[[#This Row],[Amt]]/10^4,0),_xlfn.IFNA((VLOOKUP(Outstanding_pos_BB_MSB[[#This Row],[Bonds_ShortName]],FNRP!IK:IP,6,0)*Outstanding_pos_BB_MSB[[#This Row],[Amt]]/10^4),0))</f>
        <v>531310000000</v>
      </c>
      <c r="AT35" s="72">
        <f>(_xlfn.XLOOKUP(Outstanding_pos_BB_MSB[[#This Row],[Bonds_ShortName]],FNRP!AV:AV,FNRP!BA:BA,,0)
-_xlfn.XLOOKUP(Outstanding_pos_BB_MSB[[#This Row],[BondsDeals_Id]],BS!AL:AL,BS!AR:AR,_xlfn.XLOOKUP(Outstanding_pos_BB_MSB[[#This Row],[BondsDeals_Id]],BS!BA:BA,BS!BQ:BQ,,0),0)-10^5)
*Outstanding_pos_BB_MSB[[#This Row],[Amt]]/10^5</f>
        <v>-10034643721.915003</v>
      </c>
      <c r="AU35" s="72">
        <f>VLOOKUP(Outstanding_pos_BB_MSB[[#This Row],[Bonds_ShortName]],FNRP!AV:CD,35,0)</f>
        <v>1000000</v>
      </c>
      <c r="AV35" s="157">
        <f>SUMIFS(AG$1:AG$103,AD$1:AD$103,Outstanding_pos_BB_MSB[[#This Row],[Bonds_ShortName]])/10^5-Outstanding_pos_BB_MSB[[#This Row],[Quantity FNRP]]</f>
        <v>0</v>
      </c>
      <c r="AW35" s="72">
        <f>IF(RPT-Outstanding_pos_BB_MSB[[#This Row],[Value Date]]&lt;=0,0,RPT-Outstanding_pos_BB_MSB[[#This Row],[Value Date]])</f>
        <v>858</v>
      </c>
      <c r="AX35" s="32" t="str">
        <f>INDEX(Ref!$I$1:$K$13,MATCH(Outstanding_pos_BB_MSB[[#This Row],[Tenor left]],Ref!$I$1:$I$13,1),3)</f>
        <v>15Y</v>
      </c>
      <c r="AY35" s="72" t="str">
        <f>_xlfn.XLOOKUP(Outstanding_pos_BB_MSB[[#This Row],[Time hold/Deal]],Ref!S:S,Ref!U:U,,-1)</f>
        <v>2Y</v>
      </c>
      <c r="BC35"/>
      <c r="BD35"/>
      <c r="BG35"/>
      <c r="BH35"/>
      <c r="BJ35"/>
      <c r="BN35"/>
      <c r="BO35"/>
      <c r="BQ35"/>
      <c r="BR35"/>
      <c r="BX35">
        <v>41954</v>
      </c>
      <c r="BY35" s="502">
        <v>45391</v>
      </c>
      <c r="BZ35" t="s">
        <v>697</v>
      </c>
      <c r="CA35" t="s">
        <v>2180</v>
      </c>
      <c r="CB35" t="s">
        <v>823</v>
      </c>
      <c r="CC35" s="500">
        <v>50000000000</v>
      </c>
      <c r="CD35">
        <v>2.5</v>
      </c>
      <c r="CE35" s="502">
        <v>49660</v>
      </c>
      <c r="CF35">
        <v>2.33</v>
      </c>
      <c r="CG35">
        <v>9.33</v>
      </c>
      <c r="CH35" t="s">
        <v>2743</v>
      </c>
      <c r="CI35">
        <v>4.42</v>
      </c>
      <c r="CJ35" s="500">
        <v>-8064000000</v>
      </c>
      <c r="CK35">
        <v>7.84</v>
      </c>
      <c r="CL35" s="500">
        <v>-68456572.510000005</v>
      </c>
      <c r="CM35" s="500">
        <v>1678000000</v>
      </c>
      <c r="CN35">
        <v>74.69</v>
      </c>
      <c r="CO3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-7892876223.5560217</v>
      </c>
      <c r="CP35" s="72">
        <f>RPT-VLOOKUP(Outstanding_pos_BB_SBV[[#This Row],[Bonds_ShortName]],CT:CU,2,0)</f>
        <v>865</v>
      </c>
      <c r="CQ35" s="157">
        <f>SUMIFS(CC:CC,BZ:BZ,Outstanding_pos_BB_SBV[[#This Row],[Bonds_ShortName]])/10^5-VLOOKUP(Outstanding_pos_BB_SBV[[#This Row],[Bonds_ShortName]],FNRP!EE:FL,34,0)</f>
        <v>0</v>
      </c>
      <c r="CT35" t="s">
        <v>2775</v>
      </c>
      <c r="CU35" s="502">
        <v>46009</v>
      </c>
      <c r="DY35" s="776">
        <v>41967</v>
      </c>
      <c r="DZ35" s="776" t="s">
        <v>2303</v>
      </c>
      <c r="EA35" s="776" t="s">
        <v>2180</v>
      </c>
      <c r="EB35" s="777">
        <v>100000000000</v>
      </c>
      <c r="EC35" s="776">
        <v>11.47</v>
      </c>
      <c r="ED35" s="778">
        <v>2.57</v>
      </c>
      <c r="EE35" s="72">
        <f>_xlfn.XLOOKUP(DY35,Outstanding_pos_BB_MSB[BondsDeals_Id],Outstanding_pos_BB_MSB[ItD adj])</f>
        <v>-18246378700.413391</v>
      </c>
      <c r="EF35" s="32">
        <f>_xlfn.XLOOKUP(DY35,Outstanding_pos_BB_MSB[BondsDeals_Id],Outstanding_pos_BB_MSB[Yield])</f>
        <v>2.57</v>
      </c>
      <c r="EG35" s="71">
        <f>_xlfn.XLOOKUP(BB_tufund[[#This Row],[Deal ID]],Outstanding_pos_BB_MSB[BondsDeals_Id],Outstanding_pos_BB_MSB[Total Rate])</f>
        <v>4.9000000000000004</v>
      </c>
      <c r="EH35" s="124">
        <f>_xlfn.XLOOKUP(DY35,Outstanding_pos_BB_MSB[BondsDeals_Id],Outstanding_pos_BB_MSB[Mature Date])</f>
        <v>50361</v>
      </c>
      <c r="EI35" s="787">
        <f>(BB_tufund[[#This Row],[Amt]]/10^9)/(_xlfn.XLOOKUP(BB_tufund[[#This Row],[Bond code]],Bankingbook_MSB[Security Name],Bankingbook_MSB[QUANTITY])/10^4)</f>
        <v>1</v>
      </c>
      <c r="EJ35" s="72">
        <f>_xlfn.XLOOKUP(BB_tufund[[#This Row],[Bond code]],Bankingbook_MSB[Security Name],Bankingbook_MSB[MARKET_VALUE])*BB_tufund[[#This Row],[% amt FNRP]]</f>
        <v>103625000000</v>
      </c>
      <c r="EK35" s="71">
        <f>_xlfn.XLOOKUP(BB_tufund[[#This Row],[Bond code]],Bankingbook_MSB[Security Name],Bankingbook_MSB[BPV_edited])
/10^9*BB_tufund[[#This Row],[% amt FNRP]]</f>
        <v>-8.8849246841772478E-2</v>
      </c>
    </row>
    <row r="36" spans="2:141" x14ac:dyDescent="0.3">
      <c r="B36">
        <v>48970</v>
      </c>
      <c r="C36" s="35">
        <v>46065</v>
      </c>
      <c r="D36" t="s">
        <v>3317</v>
      </c>
      <c r="E36" t="s">
        <v>824</v>
      </c>
      <c r="F36" t="s">
        <v>823</v>
      </c>
      <c r="G36" s="500">
        <v>139000000000</v>
      </c>
      <c r="H36">
        <v>3.3</v>
      </c>
      <c r="I36" t="s">
        <v>3498</v>
      </c>
      <c r="J36">
        <v>3.46</v>
      </c>
      <c r="K36">
        <v>8.98</v>
      </c>
      <c r="L36" t="s">
        <v>2747</v>
      </c>
      <c r="M36">
        <v>4.4000000000000004</v>
      </c>
      <c r="N36" s="37">
        <v>-9332460000</v>
      </c>
      <c r="O36">
        <v>7.52</v>
      </c>
      <c r="P36" s="500">
        <v>-69212896.269999996</v>
      </c>
      <c r="Q36" s="500">
        <v>99000000</v>
      </c>
      <c r="R36">
        <v>68.540000000000006</v>
      </c>
      <c r="S3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-9430789423.3363266</v>
      </c>
      <c r="T36" s="72">
        <f>VLOOKUP(Outstanding_pos_TB_MSB[[#This Row],[Bonds_ShortName]],FNRP!D:J,7,0)</f>
        <v>12000000</v>
      </c>
      <c r="U36" s="72">
        <f>SUMIFS(Outstanding_pos_TB_MSB[Amt],Outstanding_pos_TB_MSB[Bonds_ShortName],Outstanding_pos_TB_MSB[[#This Row],[Bonds_ShortName]])/100000-Outstanding_pos_TB_MSB[[#This Row],[Quantity FNRP]]</f>
        <v>0</v>
      </c>
      <c r="V36" s="162" t="str">
        <f>INDEX(Ref!$I$1:$K$13,MATCH(Outstanding_pos_TB_MSB[[#This Row],[Tenor left]],Ref!$I$1:$I$13,1),3)</f>
        <v>10Y</v>
      </c>
      <c r="W36" s="72">
        <f>IF(RPT-VLOOKUP(Outstanding_pos_TB_MSB[[#This Row],[Bonds_ShortName]],CT:CU,2,0)&lt;=0,0,RPT-VLOOKUP(Outstanding_pos_TB_MSB[[#This Row],[Bonds_ShortName]],CT:CU,2,0))</f>
        <v>0</v>
      </c>
      <c r="X36" s="72">
        <f>IF(RPT-Outstanding_pos_TB_MSB[[#This Row],[VALUE_DATE]]&lt;=0,0,RPT-Outstanding_pos_TB_MSB[[#This Row],[VALUE_DATE]])</f>
        <v>187</v>
      </c>
      <c r="Y36" s="72" t="str">
        <f>_xlfn.XLOOKUP(Outstanding_pos_TB_MSB[[#This Row],[Time hold/Deal]],Ref!S:S,Ref!U:U,,-1)</f>
        <v>9M</v>
      </c>
      <c r="AB36">
        <v>41966</v>
      </c>
      <c r="AC36" s="35">
        <v>45394</v>
      </c>
      <c r="AD36" t="s">
        <v>2386</v>
      </c>
      <c r="AE36" t="s">
        <v>2180</v>
      </c>
      <c r="AF36" t="s">
        <v>823</v>
      </c>
      <c r="AG36" s="500">
        <v>200000000000</v>
      </c>
      <c r="AH36">
        <v>4.4000000000000004</v>
      </c>
      <c r="AI36">
        <v>50438</v>
      </c>
      <c r="AJ36">
        <v>2.4700000000000002</v>
      </c>
      <c r="AK36">
        <v>11.47</v>
      </c>
      <c r="AL36" s="645" t="s">
        <v>2740</v>
      </c>
      <c r="AM36">
        <v>4.49</v>
      </c>
      <c r="AN36" s="500">
        <v>-46246000000</v>
      </c>
      <c r="AO36">
        <v>8.6300000000000008</v>
      </c>
      <c r="AP36">
        <v>-87723046.180000007</v>
      </c>
      <c r="AQ36">
        <v>2387000000</v>
      </c>
      <c r="AR36">
        <v>95.16</v>
      </c>
      <c r="AS36" s="72">
        <f>SUM(_xlfn.IFNA(VLOOKUP(Outstanding_pos_BB_MSB[[#This Row],[Bonds_ShortName]],FNRP!AV:BA,6,0)*Outstanding_pos_BB_MSB[[#This Row],[Amt]]/10^4,0),_xlfn.IFNA((VLOOKUP(Outstanding_pos_BB_MSB[[#This Row],[Bonds_ShortName]],FNRP!IK:IP,6,0)*Outstanding_pos_BB_MSB[[#This Row],[Amt]]/10^4),0))</f>
        <v>1984380000000</v>
      </c>
      <c r="AT36" s="72">
        <f>(_xlfn.XLOOKUP(Outstanding_pos_BB_MSB[[#This Row],[Bonds_ShortName]],FNRP!AV:AV,FNRP!BA:BA,,0)
-_xlfn.XLOOKUP(Outstanding_pos_BB_MSB[[#This Row],[BondsDeals_Id]],BS!AL:AL,BS!AR:AR,_xlfn.XLOOKUP(Outstanding_pos_BB_MSB[[#This Row],[BondsDeals_Id]],BS!BA:BA,BS!BQ:BQ,,0),0)-10^5)
*Outstanding_pos_BB_MSB[[#This Row],[Amt]]/10^5</f>
        <v>-38637034385.928391</v>
      </c>
      <c r="AU36" s="72">
        <f>VLOOKUP(Outstanding_pos_BB_MSB[[#This Row],[Bonds_ShortName]],FNRP!AV:CD,35,0)</f>
        <v>3500000</v>
      </c>
      <c r="AV36" s="157">
        <f>SUMIFS(AG$1:AG$103,AD$1:AD$103,Outstanding_pos_BB_MSB[[#This Row],[Bonds_ShortName]])/10^5-Outstanding_pos_BB_MSB[[#This Row],[Quantity FNRP]]</f>
        <v>0</v>
      </c>
      <c r="AW36" s="72">
        <f>IF(RPT-Outstanding_pos_BB_MSB[[#This Row],[Value Date]]&lt;=0,0,RPT-Outstanding_pos_BB_MSB[[#This Row],[Value Date]])</f>
        <v>858</v>
      </c>
      <c r="AX36" s="32" t="str">
        <f>INDEX(Ref!$I$1:$K$13,MATCH(Outstanding_pos_BB_MSB[[#This Row],[Tenor left]],Ref!$I$1:$I$13,1),3)</f>
        <v>15Y</v>
      </c>
      <c r="AY36" s="72" t="str">
        <f>_xlfn.XLOOKUP(Outstanding_pos_BB_MSB[[#This Row],[Time hold/Deal]],Ref!S:S,Ref!U:U,,-1)</f>
        <v>2Y</v>
      </c>
      <c r="BC36"/>
      <c r="BD36"/>
      <c r="BG36"/>
      <c r="BH36"/>
      <c r="BJ36"/>
      <c r="BN36"/>
      <c r="BO36"/>
      <c r="BQ36"/>
      <c r="BR36"/>
      <c r="BX36">
        <v>41955</v>
      </c>
      <c r="BY36" s="502">
        <v>45391</v>
      </c>
      <c r="BZ36" t="s">
        <v>2503</v>
      </c>
      <c r="CA36" t="s">
        <v>2180</v>
      </c>
      <c r="CB36" t="s">
        <v>823</v>
      </c>
      <c r="CC36" s="500">
        <v>150000000000</v>
      </c>
      <c r="CD36">
        <v>3.4</v>
      </c>
      <c r="CE36" s="502">
        <v>50515</v>
      </c>
      <c r="CF36">
        <v>2.4</v>
      </c>
      <c r="CG36">
        <v>11.68</v>
      </c>
      <c r="CH36" t="s">
        <v>2740</v>
      </c>
      <c r="CI36">
        <v>4.49</v>
      </c>
      <c r="CJ36" s="500">
        <v>-32275500000</v>
      </c>
      <c r="CK36">
        <v>9.18</v>
      </c>
      <c r="CL36" s="500">
        <v>-83889598.819999993</v>
      </c>
      <c r="CM36" s="500">
        <v>1127000000</v>
      </c>
      <c r="CN36">
        <v>104.3</v>
      </c>
      <c r="CO3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-29312704873.24189</v>
      </c>
      <c r="CP36" s="72">
        <f>RPT-VLOOKUP(Outstanding_pos_BB_SBV[[#This Row],[Bonds_ShortName]],CT:CU,2,0)</f>
        <v>6</v>
      </c>
      <c r="CQ36" s="157">
        <f>SUMIFS(CC:CC,BZ:BZ,Outstanding_pos_BB_SBV[[#This Row],[Bonds_ShortName]])/10^5-VLOOKUP(Outstanding_pos_BB_SBV[[#This Row],[Bonds_ShortName]],FNRP!EE:FL,34,0)</f>
        <v>0</v>
      </c>
      <c r="CT36" t="s">
        <v>720</v>
      </c>
      <c r="CU36" s="502">
        <v>46241</v>
      </c>
      <c r="DY36" s="776">
        <v>45193</v>
      </c>
      <c r="DZ36" s="776" t="s">
        <v>2380</v>
      </c>
      <c r="EA36" s="776" t="s">
        <v>2180</v>
      </c>
      <c r="EB36" s="777">
        <v>350000000000</v>
      </c>
      <c r="EC36" s="776">
        <v>11.6</v>
      </c>
      <c r="ED36" s="778">
        <v>2.48</v>
      </c>
      <c r="EE36" s="72">
        <f>_xlfn.XLOOKUP(DY36,Outstanding_pos_BB_MSB[BondsDeals_Id],Outstanding_pos_BB_MSB[ItD adj])</f>
        <v>-68273373302.827682</v>
      </c>
      <c r="EF36" s="32">
        <f>_xlfn.XLOOKUP(DY36,Outstanding_pos_BB_MSB[BondsDeals_Id],Outstanding_pos_BB_MSB[Yield])</f>
        <v>2.48</v>
      </c>
      <c r="EG36" s="71">
        <f>_xlfn.XLOOKUP(BB_tufund[[#This Row],[Deal ID]],Outstanding_pos_BB_MSB[BondsDeals_Id],Outstanding_pos_BB_MSB[Total Rate])</f>
        <v>4.7</v>
      </c>
      <c r="EH36" s="124">
        <f>_xlfn.XLOOKUP(DY36,Outstanding_pos_BB_MSB[BondsDeals_Id],Outstanding_pos_BB_MSB[Mature Date])</f>
        <v>50410</v>
      </c>
      <c r="EI36" s="787">
        <f>(BB_tufund[[#This Row],[Amt]]/10^9)/(_xlfn.XLOOKUP(BB_tufund[[#This Row],[Bond code]],Bankingbook_MSB[Security Name],Bankingbook_MSB[QUANTITY])/10^4)</f>
        <v>0.3888888888888889</v>
      </c>
      <c r="EJ36" s="72">
        <f>_xlfn.XLOOKUP(BB_tufund[[#This Row],[Bond code]],Bankingbook_MSB[Security Name],Bankingbook_MSB[MARKET_VALUE])*BB_tufund[[#This Row],[% amt FNRP]]</f>
        <v>356545000000</v>
      </c>
      <c r="EK36" s="71">
        <f>_xlfn.XLOOKUP(BB_tufund[[#This Row],[Bond code]],Bankingbook_MSB[Security Name],Bankingbook_MSB[BPV_edited])
/10^9*BB_tufund[[#This Row],[% amt FNRP]]</f>
        <v>-0.31045471291786514</v>
      </c>
    </row>
    <row r="37" spans="2:141" x14ac:dyDescent="0.3">
      <c r="B37">
        <v>49112</v>
      </c>
      <c r="C37" s="35">
        <v>46094</v>
      </c>
      <c r="D37" t="s">
        <v>636</v>
      </c>
      <c r="E37" t="s">
        <v>824</v>
      </c>
      <c r="F37" t="s">
        <v>823</v>
      </c>
      <c r="G37" s="500">
        <v>100000000000</v>
      </c>
      <c r="H37">
        <v>2.2000000000000002</v>
      </c>
      <c r="I37" t="s">
        <v>3485</v>
      </c>
      <c r="J37">
        <v>3.66</v>
      </c>
      <c r="K37">
        <v>4.41</v>
      </c>
      <c r="L37" t="s">
        <v>2500</v>
      </c>
      <c r="M37">
        <v>4.08</v>
      </c>
      <c r="N37" s="37">
        <v>-1092000000</v>
      </c>
      <c r="O37">
        <v>4.0199999999999996</v>
      </c>
      <c r="P37" s="500">
        <v>-37748238.390000001</v>
      </c>
      <c r="Q37" s="500">
        <v>1302000000</v>
      </c>
      <c r="R37">
        <v>20.62</v>
      </c>
      <c r="S3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-1664702054.7945285</v>
      </c>
      <c r="T37" s="72">
        <f>VLOOKUP(Outstanding_pos_TB_MSB[[#This Row],[Bonds_ShortName]],FNRP!D:J,7,0)</f>
        <v>3000000</v>
      </c>
      <c r="U37" s="72">
        <f>SUMIFS(Outstanding_pos_TB_MSB[Amt],Outstanding_pos_TB_MSB[Bonds_ShortName],Outstanding_pos_TB_MSB[[#This Row],[Bonds_ShortName]])/100000-Outstanding_pos_TB_MSB[[#This Row],[Quantity FNRP]]</f>
        <v>0</v>
      </c>
      <c r="V37" s="162" t="str">
        <f>INDEX(Ref!$I$1:$K$13,MATCH(Outstanding_pos_TB_MSB[[#This Row],[Tenor left]],Ref!$I$1:$I$13,1),3)</f>
        <v>4Y</v>
      </c>
      <c r="W37" s="72">
        <f>IF(RPT-VLOOKUP(Outstanding_pos_TB_MSB[[#This Row],[Bonds_ShortName]],CT:CU,2,0)&lt;=0,0,RPT-VLOOKUP(Outstanding_pos_TB_MSB[[#This Row],[Bonds_ShortName]],CT:CU,2,0))</f>
        <v>0</v>
      </c>
      <c r="X37" s="72">
        <f>IF(RPT-Outstanding_pos_TB_MSB[[#This Row],[VALUE_DATE]]&lt;=0,0,RPT-Outstanding_pos_TB_MSB[[#This Row],[VALUE_DATE]])</f>
        <v>158</v>
      </c>
      <c r="Y37" s="72" t="str">
        <f>_xlfn.XLOOKUP(Outstanding_pos_TB_MSB[[#This Row],[Time hold/Deal]],Ref!S:S,Ref!U:U,,-1)</f>
        <v>6M</v>
      </c>
      <c r="AB37">
        <v>41967</v>
      </c>
      <c r="AC37" s="35">
        <v>45397</v>
      </c>
      <c r="AD37" t="s">
        <v>2303</v>
      </c>
      <c r="AE37" t="s">
        <v>2180</v>
      </c>
      <c r="AF37" t="s">
        <v>823</v>
      </c>
      <c r="AG37" s="500">
        <v>100000000000</v>
      </c>
      <c r="AH37">
        <v>4.9000000000000004</v>
      </c>
      <c r="AI37">
        <v>50361</v>
      </c>
      <c r="AJ37">
        <v>2.57</v>
      </c>
      <c r="AK37">
        <v>11.25</v>
      </c>
      <c r="AL37" s="645" t="s">
        <v>2740</v>
      </c>
      <c r="AM37">
        <v>4.4800000000000004</v>
      </c>
      <c r="AN37" s="500">
        <v>-22805000000</v>
      </c>
      <c r="AO37">
        <v>8.2799999999999994</v>
      </c>
      <c r="AP37">
        <v>-88879839.120000005</v>
      </c>
      <c r="AQ37">
        <v>3692000000</v>
      </c>
      <c r="AR37">
        <v>89.3</v>
      </c>
      <c r="AS37" s="72">
        <f>SUM(_xlfn.IFNA(VLOOKUP(Outstanding_pos_BB_MSB[[#This Row],[Bonds_ShortName]],FNRP!AV:BA,6,0)*Outstanding_pos_BB_MSB[[#This Row],[Amt]]/10^4,0),_xlfn.IFNA((VLOOKUP(Outstanding_pos_BB_MSB[[#This Row],[Bonds_ShortName]],FNRP!IK:IP,6,0)*Outstanding_pos_BB_MSB[[#This Row],[Amt]]/10^4),0))</f>
        <v>1036250000000</v>
      </c>
      <c r="AT37" s="72">
        <f>(_xlfn.XLOOKUP(Outstanding_pos_BB_MSB[[#This Row],[Bonds_ShortName]],FNRP!AV:AV,FNRP!BA:BA,,0)
-_xlfn.XLOOKUP(Outstanding_pos_BB_MSB[[#This Row],[BondsDeals_Id]],BS!AL:AL,BS!AR:AR,_xlfn.XLOOKUP(Outstanding_pos_BB_MSB[[#This Row],[BondsDeals_Id]],BS!BA:BA,BS!BQ:BQ,,0),0)-10^5)
*Outstanding_pos_BB_MSB[[#This Row],[Amt]]/10^5</f>
        <v>-18246378700.413391</v>
      </c>
      <c r="AU37" s="72">
        <f>VLOOKUP(Outstanding_pos_BB_MSB[[#This Row],[Bonds_ShortName]],FNRP!AV:CD,35,0)</f>
        <v>1000000</v>
      </c>
      <c r="AV37" s="157">
        <f>SUMIFS(AG$1:AG$103,AD$1:AD$103,Outstanding_pos_BB_MSB[[#This Row],[Bonds_ShortName]])/10^5-Outstanding_pos_BB_MSB[[#This Row],[Quantity FNRP]]</f>
        <v>0</v>
      </c>
      <c r="AW37" s="72">
        <f>IF(RPT-Outstanding_pos_BB_MSB[[#This Row],[Value Date]]&lt;=0,0,RPT-Outstanding_pos_BB_MSB[[#This Row],[Value Date]])</f>
        <v>855</v>
      </c>
      <c r="AX37" s="32" t="str">
        <f>INDEX(Ref!$I$1:$K$13,MATCH(Outstanding_pos_BB_MSB[[#This Row],[Tenor left]],Ref!$I$1:$I$13,1),3)</f>
        <v>15Y</v>
      </c>
      <c r="AY37" s="72" t="str">
        <f>_xlfn.XLOOKUP(Outstanding_pos_BB_MSB[[#This Row],[Time hold/Deal]],Ref!S:S,Ref!U:U,,-1)</f>
        <v>2Y</v>
      </c>
      <c r="BC37"/>
      <c r="BD37"/>
      <c r="BG37"/>
      <c r="BH37"/>
      <c r="BJ37"/>
      <c r="BN37"/>
      <c r="BO37"/>
      <c r="BQ37"/>
      <c r="BR37"/>
      <c r="BX37">
        <v>41957</v>
      </c>
      <c r="BY37" s="502">
        <v>45391</v>
      </c>
      <c r="BZ37" t="s">
        <v>2800</v>
      </c>
      <c r="CA37" t="s">
        <v>2180</v>
      </c>
      <c r="CB37" t="s">
        <v>823</v>
      </c>
      <c r="CC37" s="500">
        <v>200000000000</v>
      </c>
      <c r="CD37">
        <v>2.2999999999999998</v>
      </c>
      <c r="CE37" s="502">
        <v>50781</v>
      </c>
      <c r="CF37">
        <v>2.48</v>
      </c>
      <c r="CG37">
        <v>12.41</v>
      </c>
      <c r="CH37" t="s">
        <v>2740</v>
      </c>
      <c r="CI37">
        <v>4.51</v>
      </c>
      <c r="CJ37" s="500">
        <v>-36898000000</v>
      </c>
      <c r="CK37">
        <v>10.07</v>
      </c>
      <c r="CL37" s="500">
        <v>-81298587.519999996</v>
      </c>
      <c r="CM37" s="500">
        <v>1386000000</v>
      </c>
      <c r="CN37">
        <v>122.75</v>
      </c>
      <c r="CO3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-37611425830.063759</v>
      </c>
      <c r="CP37" s="72">
        <f>RPT-VLOOKUP(Outstanding_pos_BB_SBV[[#This Row],[Bonds_ShortName]],CT:CU,2,0)</f>
        <v>249</v>
      </c>
      <c r="CQ37" s="157">
        <f>SUMIFS(CC:CC,BZ:BZ,Outstanding_pos_BB_SBV[[#This Row],[Bonds_ShortName]])/10^5-VLOOKUP(Outstanding_pos_BB_SBV[[#This Row],[Bonds_ShortName]],FNRP!EE:FL,34,0)</f>
        <v>0</v>
      </c>
      <c r="CT37" t="s">
        <v>3621</v>
      </c>
      <c r="CU37" s="502">
        <v>46220</v>
      </c>
      <c r="DY37" s="776">
        <v>47108</v>
      </c>
      <c r="DZ37" s="776" t="s">
        <v>2380</v>
      </c>
      <c r="EA37" s="776" t="s">
        <v>2180</v>
      </c>
      <c r="EB37" s="777">
        <v>200000000000</v>
      </c>
      <c r="EC37" s="776">
        <v>11.6</v>
      </c>
      <c r="ED37" s="778">
        <v>2.72</v>
      </c>
      <c r="EE37" s="72">
        <f>_xlfn.XLOOKUP(DY37,Outstanding_pos_BB_MSB[BondsDeals_Id],Outstanding_pos_BB_MSB[ItD adj])</f>
        <v>-34052672390.294609</v>
      </c>
      <c r="EF37" s="32">
        <f>_xlfn.XLOOKUP(DY37,Outstanding_pos_BB_MSB[BondsDeals_Id],Outstanding_pos_BB_MSB[Yield])</f>
        <v>2.72</v>
      </c>
      <c r="EG37" s="71">
        <f>_xlfn.XLOOKUP(BB_tufund[[#This Row],[Deal ID]],Outstanding_pos_BB_MSB[BondsDeals_Id],Outstanding_pos_BB_MSB[Total Rate])</f>
        <v>4.7</v>
      </c>
      <c r="EH37" s="124">
        <f>_xlfn.XLOOKUP(DY37,Outstanding_pos_BB_MSB[BondsDeals_Id],Outstanding_pos_BB_MSB[Mature Date])</f>
        <v>50410</v>
      </c>
      <c r="EI37" s="787">
        <f>(BB_tufund[[#This Row],[Amt]]/10^9)/(_xlfn.XLOOKUP(BB_tufund[[#This Row],[Bond code]],Bankingbook_MSB[Security Name],Bankingbook_MSB[QUANTITY])/10^4)</f>
        <v>0.22222222222222221</v>
      </c>
      <c r="EJ37" s="72">
        <f>_xlfn.XLOOKUP(BB_tufund[[#This Row],[Bond code]],Bankingbook_MSB[Security Name],Bankingbook_MSB[MARKET_VALUE])*BB_tufund[[#This Row],[% amt FNRP]]</f>
        <v>203740000000</v>
      </c>
      <c r="EK37" s="71">
        <f>_xlfn.XLOOKUP(BB_tufund[[#This Row],[Bond code]],Bankingbook_MSB[Security Name],Bankingbook_MSB[BPV_edited])
/10^9*BB_tufund[[#This Row],[% amt FNRP]]</f>
        <v>-0.17740269309592294</v>
      </c>
    </row>
    <row r="38" spans="2:141" x14ac:dyDescent="0.3">
      <c r="B38">
        <v>49118</v>
      </c>
      <c r="C38" s="35">
        <v>46092</v>
      </c>
      <c r="D38" t="s">
        <v>2831</v>
      </c>
      <c r="E38" t="s">
        <v>824</v>
      </c>
      <c r="F38" t="s">
        <v>823</v>
      </c>
      <c r="G38" s="500">
        <v>100000000000</v>
      </c>
      <c r="H38">
        <v>2.7</v>
      </c>
      <c r="I38" t="s">
        <v>3492</v>
      </c>
      <c r="J38">
        <v>3.4</v>
      </c>
      <c r="K38">
        <v>7.84</v>
      </c>
      <c r="L38" t="s">
        <v>2747</v>
      </c>
      <c r="M38">
        <v>4.3499999999999996</v>
      </c>
      <c r="N38" s="37">
        <v>-5737000000</v>
      </c>
      <c r="O38">
        <v>6.79</v>
      </c>
      <c r="P38" s="500">
        <v>-60926119.990000002</v>
      </c>
      <c r="Q38" s="500">
        <v>436000000</v>
      </c>
      <c r="R38">
        <v>55.68</v>
      </c>
      <c r="S3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-6004526910.127387</v>
      </c>
      <c r="T38" s="72">
        <f>VLOOKUP(Outstanding_pos_TB_MSB[[#This Row],[Bonds_ShortName]],FNRP!D:J,7,0)</f>
        <v>6500000</v>
      </c>
      <c r="U38" s="72">
        <f>SUMIFS(Outstanding_pos_TB_MSB[Amt],Outstanding_pos_TB_MSB[Bonds_ShortName],Outstanding_pos_TB_MSB[[#This Row],[Bonds_ShortName]])/100000-Outstanding_pos_TB_MSB[[#This Row],[Quantity FNRP]]</f>
        <v>0</v>
      </c>
      <c r="V38" s="162" t="str">
        <f>INDEX(Ref!$I$1:$K$13,MATCH(Outstanding_pos_TB_MSB[[#This Row],[Tenor left]],Ref!$I$1:$I$13,1),3)</f>
        <v>10Y</v>
      </c>
      <c r="W38" s="72">
        <f>IF(RPT-VLOOKUP(Outstanding_pos_TB_MSB[[#This Row],[Bonds_ShortName]],CT:CU,2,0)&lt;=0,0,RPT-VLOOKUP(Outstanding_pos_TB_MSB[[#This Row],[Bonds_ShortName]],CT:CU,2,0))</f>
        <v>0</v>
      </c>
      <c r="X38" s="72">
        <f>IF(RPT-Outstanding_pos_TB_MSB[[#This Row],[VALUE_DATE]]&lt;=0,0,RPT-Outstanding_pos_TB_MSB[[#This Row],[VALUE_DATE]])</f>
        <v>160</v>
      </c>
      <c r="Y38" s="72" t="str">
        <f>_xlfn.XLOOKUP(Outstanding_pos_TB_MSB[[#This Row],[Time hold/Deal]],Ref!S:S,Ref!U:U,,-1)</f>
        <v>6M</v>
      </c>
      <c r="AB38">
        <v>41968</v>
      </c>
      <c r="AC38" s="35">
        <v>45397</v>
      </c>
      <c r="AD38" t="s">
        <v>2380</v>
      </c>
      <c r="AE38" t="s">
        <v>2180</v>
      </c>
      <c r="AF38" t="s">
        <v>823</v>
      </c>
      <c r="AG38" s="500">
        <v>150000000000</v>
      </c>
      <c r="AH38">
        <v>4.7</v>
      </c>
      <c r="AI38">
        <v>50410</v>
      </c>
      <c r="AJ38">
        <v>2.44</v>
      </c>
      <c r="AK38">
        <v>11.39</v>
      </c>
      <c r="AL38" s="645" t="s">
        <v>2740</v>
      </c>
      <c r="AM38">
        <v>4.4800000000000004</v>
      </c>
      <c r="AN38" s="500">
        <v>-36313500000</v>
      </c>
      <c r="AO38">
        <v>8.4700000000000006</v>
      </c>
      <c r="AP38">
        <v>-88733432.620000005</v>
      </c>
      <c r="AQ38">
        <v>2910000000</v>
      </c>
      <c r="AR38">
        <v>92.44</v>
      </c>
      <c r="AS38" s="72">
        <f>SUM(_xlfn.IFNA(VLOOKUP(Outstanding_pos_BB_MSB[[#This Row],[Bonds_ShortName]],FNRP!AV:BA,6,0)*Outstanding_pos_BB_MSB[[#This Row],[Amt]]/10^4,0),_xlfn.IFNA((VLOOKUP(Outstanding_pos_BB_MSB[[#This Row],[Bonds_ShortName]],FNRP!IK:IP,6,0)*Outstanding_pos_BB_MSB[[#This Row],[Amt]]/10^4),0))</f>
        <v>1528050000000</v>
      </c>
      <c r="AT38" s="72">
        <f>(_xlfn.XLOOKUP(Outstanding_pos_BB_MSB[[#This Row],[Bonds_ShortName]],FNRP!AV:AV,FNRP!BA:BA,,0)
-_xlfn.XLOOKUP(Outstanding_pos_BB_MSB[[#This Row],[BondsDeals_Id]],BS!AL:AL,BS!AR:AR,_xlfn.XLOOKUP(Outstanding_pos_BB_MSB[[#This Row],[BondsDeals_Id]],BS!BA:BA,BS!BQ:BQ,,0),0)-10^5)
*Outstanding_pos_BB_MSB[[#This Row],[Amt]]/10^5</f>
        <v>-29633786868.894909</v>
      </c>
      <c r="AU38" s="72">
        <f>VLOOKUP(Outstanding_pos_BB_MSB[[#This Row],[Bonds_ShortName]],FNRP!AV:CD,35,0)</f>
        <v>9000000</v>
      </c>
      <c r="AV38" s="157">
        <f>SUMIFS(AG$1:AG$103,AD$1:AD$103,Outstanding_pos_BB_MSB[[#This Row],[Bonds_ShortName]])/10^5-Outstanding_pos_BB_MSB[[#This Row],[Quantity FNRP]]</f>
        <v>0</v>
      </c>
      <c r="AW38" s="72">
        <f>IF(RPT-Outstanding_pos_BB_MSB[[#This Row],[Value Date]]&lt;=0,0,RPT-Outstanding_pos_BB_MSB[[#This Row],[Value Date]])</f>
        <v>855</v>
      </c>
      <c r="AX38" s="32" t="str">
        <f>INDEX(Ref!$I$1:$K$13,MATCH(Outstanding_pos_BB_MSB[[#This Row],[Tenor left]],Ref!$I$1:$I$13,1),3)</f>
        <v>15Y</v>
      </c>
      <c r="AY38" s="72" t="str">
        <f>_xlfn.XLOOKUP(Outstanding_pos_BB_MSB[[#This Row],[Time hold/Deal]],Ref!S:S,Ref!U:U,,-1)</f>
        <v>2Y</v>
      </c>
      <c r="BC38"/>
      <c r="BD38"/>
      <c r="BG38"/>
      <c r="BH38"/>
      <c r="BJ38"/>
      <c r="BN38"/>
      <c r="BO38"/>
      <c r="BQ38"/>
      <c r="BR38"/>
      <c r="BX38">
        <v>41965</v>
      </c>
      <c r="BY38" s="502">
        <v>45394</v>
      </c>
      <c r="BZ38" t="s">
        <v>709</v>
      </c>
      <c r="CA38" t="s">
        <v>2180</v>
      </c>
      <c r="CB38" t="s">
        <v>823</v>
      </c>
      <c r="CC38" s="500">
        <v>50000000000</v>
      </c>
      <c r="CD38">
        <v>5.2</v>
      </c>
      <c r="CE38" s="502">
        <v>50437</v>
      </c>
      <c r="CF38">
        <v>2.46</v>
      </c>
      <c r="CG38">
        <v>11.46</v>
      </c>
      <c r="CH38" t="s">
        <v>2740</v>
      </c>
      <c r="CI38">
        <v>4.49</v>
      </c>
      <c r="CJ38" s="500">
        <v>-12737500000</v>
      </c>
      <c r="CK38">
        <v>8.4</v>
      </c>
      <c r="CL38" s="500">
        <v>-91597363.689999998</v>
      </c>
      <c r="CM38" s="500">
        <v>2835000000</v>
      </c>
      <c r="CN38">
        <v>91.53</v>
      </c>
      <c r="CO3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-10034643721.915003</v>
      </c>
      <c r="CP38" s="72">
        <f>RPT-VLOOKUP(Outstanding_pos_BB_SBV[[#This Row],[Bonds_ShortName]],CT:CU,2,0)</f>
        <v>390</v>
      </c>
      <c r="CQ38" s="157">
        <f>SUMIFS(CC:CC,BZ:BZ,Outstanding_pos_BB_SBV[[#This Row],[Bonds_ShortName]])/10^5-VLOOKUP(Outstanding_pos_BB_SBV[[#This Row],[Bonds_ShortName]],FNRP!EE:FL,34,0)</f>
        <v>0</v>
      </c>
      <c r="CT38" t="s">
        <v>2371</v>
      </c>
      <c r="CU38" s="502">
        <v>46227</v>
      </c>
      <c r="DY38" s="776">
        <v>41968</v>
      </c>
      <c r="DZ38" s="776" t="s">
        <v>2380</v>
      </c>
      <c r="EA38" s="776" t="s">
        <v>2180</v>
      </c>
      <c r="EB38" s="777">
        <v>150000000000</v>
      </c>
      <c r="EC38" s="776">
        <v>11.6</v>
      </c>
      <c r="ED38" s="778">
        <v>2.44</v>
      </c>
      <c r="EE38" s="72">
        <f>_xlfn.XLOOKUP(DY38,Outstanding_pos_BB_MSB[BondsDeals_Id],Outstanding_pos_BB_MSB[ItD adj])</f>
        <v>-29633786868.894909</v>
      </c>
      <c r="EF38" s="32">
        <f>_xlfn.XLOOKUP(DY38,Outstanding_pos_BB_MSB[BondsDeals_Id],Outstanding_pos_BB_MSB[Yield])</f>
        <v>2.44</v>
      </c>
      <c r="EG38" s="71">
        <f>_xlfn.XLOOKUP(BB_tufund[[#This Row],[Deal ID]],Outstanding_pos_BB_MSB[BondsDeals_Id],Outstanding_pos_BB_MSB[Total Rate])</f>
        <v>4.7</v>
      </c>
      <c r="EH38" s="124">
        <f>_xlfn.XLOOKUP(DY38,Outstanding_pos_BB_MSB[BondsDeals_Id],Outstanding_pos_BB_MSB[Mature Date])</f>
        <v>50410</v>
      </c>
      <c r="EI38" s="787">
        <f>(BB_tufund[[#This Row],[Amt]]/10^9)/(_xlfn.XLOOKUP(BB_tufund[[#This Row],[Bond code]],Bankingbook_MSB[Security Name],Bankingbook_MSB[QUANTITY])/10^4)</f>
        <v>0.16666666666666666</v>
      </c>
      <c r="EJ38" s="72">
        <f>_xlfn.XLOOKUP(BB_tufund[[#This Row],[Bond code]],Bankingbook_MSB[Security Name],Bankingbook_MSB[MARKET_VALUE])*BB_tufund[[#This Row],[% amt FNRP]]</f>
        <v>152805000000</v>
      </c>
      <c r="EK38" s="71">
        <f>_xlfn.XLOOKUP(BB_tufund[[#This Row],[Bond code]],Bankingbook_MSB[Security Name],Bankingbook_MSB[BPV_edited])
/10^9*BB_tufund[[#This Row],[% amt FNRP]]</f>
        <v>-0.1330520198219422</v>
      </c>
    </row>
    <row r="39" spans="2:141" x14ac:dyDescent="0.3">
      <c r="B39">
        <v>49120</v>
      </c>
      <c r="C39" s="35">
        <v>46092</v>
      </c>
      <c r="D39" t="s">
        <v>2831</v>
      </c>
      <c r="E39" t="s">
        <v>824</v>
      </c>
      <c r="F39" t="s">
        <v>823</v>
      </c>
      <c r="G39" s="500">
        <v>100000000000</v>
      </c>
      <c r="H39">
        <v>2.7</v>
      </c>
      <c r="I39" t="s">
        <v>3492</v>
      </c>
      <c r="J39">
        <v>3.01</v>
      </c>
      <c r="K39">
        <v>7.84</v>
      </c>
      <c r="L39" t="s">
        <v>2747</v>
      </c>
      <c r="M39">
        <v>4.3499999999999996</v>
      </c>
      <c r="N39" s="37">
        <v>-8523000000</v>
      </c>
      <c r="O39">
        <v>6.79</v>
      </c>
      <c r="P39" s="500">
        <v>-60926119.990000002</v>
      </c>
      <c r="Q39" s="500">
        <v>436000000</v>
      </c>
      <c r="R39">
        <v>55.68</v>
      </c>
      <c r="S3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-8642149139.7006607</v>
      </c>
      <c r="T39" s="72">
        <f>VLOOKUP(Outstanding_pos_TB_MSB[[#This Row],[Bonds_ShortName]],FNRP!D:J,7,0)</f>
        <v>6500000</v>
      </c>
      <c r="U39" s="72">
        <f>SUMIFS(Outstanding_pos_TB_MSB[Amt],Outstanding_pos_TB_MSB[Bonds_ShortName],Outstanding_pos_TB_MSB[[#This Row],[Bonds_ShortName]])/100000-Outstanding_pos_TB_MSB[[#This Row],[Quantity FNRP]]</f>
        <v>0</v>
      </c>
      <c r="V39" s="162" t="str">
        <f>INDEX(Ref!$I$1:$K$13,MATCH(Outstanding_pos_TB_MSB[[#This Row],[Tenor left]],Ref!$I$1:$I$13,1),3)</f>
        <v>10Y</v>
      </c>
      <c r="W39" s="72">
        <f>IF(RPT-VLOOKUP(Outstanding_pos_TB_MSB[[#This Row],[Bonds_ShortName]],CT:CU,2,0)&lt;=0,0,RPT-VLOOKUP(Outstanding_pos_TB_MSB[[#This Row],[Bonds_ShortName]],CT:CU,2,0))</f>
        <v>0</v>
      </c>
      <c r="X39" s="72">
        <f>IF(RPT-Outstanding_pos_TB_MSB[[#This Row],[VALUE_DATE]]&lt;=0,0,RPT-Outstanding_pos_TB_MSB[[#This Row],[VALUE_DATE]])</f>
        <v>160</v>
      </c>
      <c r="Y39" s="72" t="str">
        <f>_xlfn.XLOOKUP(Outstanding_pos_TB_MSB[[#This Row],[Time hold/Deal]],Ref!S:S,Ref!U:U,,-1)</f>
        <v>6M</v>
      </c>
      <c r="AB39">
        <v>41969</v>
      </c>
      <c r="AC39" s="35">
        <v>45397</v>
      </c>
      <c r="AD39" t="s">
        <v>2786</v>
      </c>
      <c r="AE39" t="s">
        <v>2180</v>
      </c>
      <c r="AF39" t="s">
        <v>823</v>
      </c>
      <c r="AG39" s="500">
        <v>100000000000</v>
      </c>
      <c r="AH39">
        <v>2.6</v>
      </c>
      <c r="AI39">
        <v>50697</v>
      </c>
      <c r="AJ39">
        <v>2.41</v>
      </c>
      <c r="AK39">
        <v>12.18</v>
      </c>
      <c r="AL39" s="645" t="s">
        <v>2740</v>
      </c>
      <c r="AM39">
        <v>4.5</v>
      </c>
      <c r="AN39" s="500">
        <v>-19846000000</v>
      </c>
      <c r="AO39">
        <v>9.69</v>
      </c>
      <c r="AP39">
        <v>-81990398.019999996</v>
      </c>
      <c r="AQ39">
        <v>2165000000</v>
      </c>
      <c r="AR39">
        <v>115.6</v>
      </c>
      <c r="AS39" s="72">
        <f>SUM(_xlfn.IFNA(VLOOKUP(Outstanding_pos_BB_MSB[[#This Row],[Bonds_ShortName]],FNRP!AV:BA,6,0)*Outstanding_pos_BB_MSB[[#This Row],[Amt]]/10^4,0),_xlfn.IFNA((VLOOKUP(Outstanding_pos_BB_MSB[[#This Row],[Bonds_ShortName]],FNRP!IK:IP,6,0)*Outstanding_pos_BB_MSB[[#This Row],[Amt]]/10^4),0))</f>
        <v>824460000000</v>
      </c>
      <c r="AT39" s="72">
        <f>(_xlfn.XLOOKUP(Outstanding_pos_BB_MSB[[#This Row],[Bonds_ShortName]],FNRP!AV:AV,FNRP!BA:BA,,0)
-_xlfn.XLOOKUP(Outstanding_pos_BB_MSB[[#This Row],[BondsDeals_Id]],BS!AL:AL,BS!AR:AR,_xlfn.XLOOKUP(Outstanding_pos_BB_MSB[[#This Row],[BondsDeals_Id]],BS!BA:BA,BS!BQ:BQ,,0),0)-10^5)
*Outstanding_pos_BB_MSB[[#This Row],[Amt]]/10^5</f>
        <v>-19478684074.646866</v>
      </c>
      <c r="AU39" s="72">
        <f>VLOOKUP(Outstanding_pos_BB_MSB[[#This Row],[Bonds_ShortName]],FNRP!AV:CD,35,0)</f>
        <v>4000000</v>
      </c>
      <c r="AV39" s="157">
        <f>SUMIFS(AG$1:AG$103,AD$1:AD$103,Outstanding_pos_BB_MSB[[#This Row],[Bonds_ShortName]])/10^5-Outstanding_pos_BB_MSB[[#This Row],[Quantity FNRP]]</f>
        <v>0</v>
      </c>
      <c r="AW39" s="72">
        <f>IF(RPT-Outstanding_pos_BB_MSB[[#This Row],[Value Date]]&lt;=0,0,RPT-Outstanding_pos_BB_MSB[[#This Row],[Value Date]])</f>
        <v>855</v>
      </c>
      <c r="AX39" s="32" t="str">
        <f>INDEX(Ref!$I$1:$K$13,MATCH(Outstanding_pos_BB_MSB[[#This Row],[Tenor left]],Ref!$I$1:$I$13,1),3)</f>
        <v>15Y</v>
      </c>
      <c r="AY39" s="72" t="str">
        <f>_xlfn.XLOOKUP(Outstanding_pos_BB_MSB[[#This Row],[Time hold/Deal]],Ref!S:S,Ref!U:U,,-1)</f>
        <v>2Y</v>
      </c>
      <c r="BC39"/>
      <c r="BD39"/>
      <c r="BG39"/>
      <c r="BH39"/>
      <c r="BJ39"/>
      <c r="BN39"/>
      <c r="BO39"/>
      <c r="BQ39"/>
      <c r="BR39"/>
      <c r="BX39">
        <v>41966</v>
      </c>
      <c r="BY39" s="502">
        <v>45394</v>
      </c>
      <c r="BZ39" t="s">
        <v>2386</v>
      </c>
      <c r="CA39" t="s">
        <v>2180</v>
      </c>
      <c r="CB39" t="s">
        <v>823</v>
      </c>
      <c r="CC39" s="500">
        <v>200000000000</v>
      </c>
      <c r="CD39">
        <v>4.4000000000000004</v>
      </c>
      <c r="CE39" s="502">
        <v>50438</v>
      </c>
      <c r="CF39">
        <v>2.4700000000000002</v>
      </c>
      <c r="CG39">
        <v>11.47</v>
      </c>
      <c r="CH39" t="s">
        <v>2740</v>
      </c>
      <c r="CI39">
        <v>4.49</v>
      </c>
      <c r="CJ39" s="500">
        <v>-46246000000</v>
      </c>
      <c r="CK39">
        <v>8.6300000000000008</v>
      </c>
      <c r="CL39" s="500">
        <v>-87723046.180000007</v>
      </c>
      <c r="CM39" s="500">
        <v>2387000000</v>
      </c>
      <c r="CN39">
        <v>95.16</v>
      </c>
      <c r="CO3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-38637034385.928391</v>
      </c>
      <c r="CP39" s="72">
        <f>RPT-VLOOKUP(Outstanding_pos_BB_SBV[[#This Row],[Bonds_ShortName]],CT:CU,2,0)</f>
        <v>575</v>
      </c>
      <c r="CQ39" s="157">
        <f>SUMIFS(CC:CC,BZ:BZ,Outstanding_pos_BB_SBV[[#This Row],[Bonds_ShortName]])/10^5-VLOOKUP(Outstanding_pos_BB_SBV[[#This Row],[Bonds_ShortName]],FNRP!EE:FL,34,0)</f>
        <v>0</v>
      </c>
      <c r="CT39" t="s">
        <v>2497</v>
      </c>
      <c r="CU39" s="502">
        <v>46272</v>
      </c>
      <c r="DY39" s="776">
        <v>45190</v>
      </c>
      <c r="DZ39" s="776" t="s">
        <v>2380</v>
      </c>
      <c r="EA39" s="776" t="s">
        <v>2180</v>
      </c>
      <c r="EB39" s="777">
        <v>150000000000</v>
      </c>
      <c r="EC39" s="776">
        <v>11.6</v>
      </c>
      <c r="ED39" s="778">
        <v>2.4900000000000002</v>
      </c>
      <c r="EE39" s="72">
        <f>_xlfn.XLOOKUP(DY39,Outstanding_pos_BB_MSB[BondsDeals_Id],Outstanding_pos_BB_MSB[ItD adj])</f>
        <v>-29096381256.877384</v>
      </c>
      <c r="EF39" s="32">
        <f>_xlfn.XLOOKUP(DY39,Outstanding_pos_BB_MSB[BondsDeals_Id],Outstanding_pos_BB_MSB[Yield])</f>
        <v>2.4900000000000002</v>
      </c>
      <c r="EG39" s="71">
        <f>_xlfn.XLOOKUP(BB_tufund[[#This Row],[Deal ID]],Outstanding_pos_BB_MSB[BondsDeals_Id],Outstanding_pos_BB_MSB[Total Rate])</f>
        <v>4.7</v>
      </c>
      <c r="EH39" s="124">
        <f>_xlfn.XLOOKUP(DY39,Outstanding_pos_BB_MSB[BondsDeals_Id],Outstanding_pos_BB_MSB[Mature Date])</f>
        <v>50410</v>
      </c>
      <c r="EI39" s="787">
        <f>(BB_tufund[[#This Row],[Amt]]/10^9)/(_xlfn.XLOOKUP(BB_tufund[[#This Row],[Bond code]],Bankingbook_MSB[Security Name],Bankingbook_MSB[QUANTITY])/10^4)</f>
        <v>0.16666666666666666</v>
      </c>
      <c r="EJ39" s="72">
        <f>_xlfn.XLOOKUP(BB_tufund[[#This Row],[Bond code]],Bankingbook_MSB[Security Name],Bankingbook_MSB[MARKET_VALUE])*BB_tufund[[#This Row],[% amt FNRP]]</f>
        <v>152805000000</v>
      </c>
      <c r="EK39" s="71">
        <f>_xlfn.XLOOKUP(BB_tufund[[#This Row],[Bond code]],Bankingbook_MSB[Security Name],Bankingbook_MSB[BPV_edited])
/10^9*BB_tufund[[#This Row],[% amt FNRP]]</f>
        <v>-0.1330520198219422</v>
      </c>
    </row>
    <row r="40" spans="2:141" x14ac:dyDescent="0.3">
      <c r="B40">
        <v>49181</v>
      </c>
      <c r="C40" s="35">
        <v>46098</v>
      </c>
      <c r="D40" t="s">
        <v>2834</v>
      </c>
      <c r="E40" t="s">
        <v>824</v>
      </c>
      <c r="F40" t="s">
        <v>823</v>
      </c>
      <c r="G40" s="500">
        <v>250000000000</v>
      </c>
      <c r="H40">
        <v>2.7</v>
      </c>
      <c r="I40" t="s">
        <v>3493</v>
      </c>
      <c r="J40">
        <v>3.1</v>
      </c>
      <c r="K40">
        <v>7.88</v>
      </c>
      <c r="L40" t="s">
        <v>2747</v>
      </c>
      <c r="M40">
        <v>4.3499999999999996</v>
      </c>
      <c r="N40" s="37">
        <v>-19787500000</v>
      </c>
      <c r="O40">
        <v>6.83</v>
      </c>
      <c r="P40" s="500">
        <v>-61147016.689999998</v>
      </c>
      <c r="Q40" s="500">
        <v>333000000</v>
      </c>
      <c r="R40">
        <v>56.21</v>
      </c>
      <c r="S4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-20158583586.049206</v>
      </c>
      <c r="T40" s="72">
        <f>VLOOKUP(Outstanding_pos_TB_MSB[[#This Row],[Bonds_ShortName]],FNRP!D:J,7,0)</f>
        <v>8500000</v>
      </c>
      <c r="U40" s="72">
        <f>SUMIFS(Outstanding_pos_TB_MSB[Amt],Outstanding_pos_TB_MSB[Bonds_ShortName],Outstanding_pos_TB_MSB[[#This Row],[Bonds_ShortName]])/100000-Outstanding_pos_TB_MSB[[#This Row],[Quantity FNRP]]</f>
        <v>0</v>
      </c>
      <c r="V40" s="162" t="str">
        <f>INDEX(Ref!$I$1:$K$13,MATCH(Outstanding_pos_TB_MSB[[#This Row],[Tenor left]],Ref!$I$1:$I$13,1),3)</f>
        <v>10Y</v>
      </c>
      <c r="W40" s="72">
        <f>IF(RPT-VLOOKUP(Outstanding_pos_TB_MSB[[#This Row],[Bonds_ShortName]],CT:CU,2,0)&lt;=0,0,RPT-VLOOKUP(Outstanding_pos_TB_MSB[[#This Row],[Bonds_ShortName]],CT:CU,2,0))</f>
        <v>67</v>
      </c>
      <c r="X40" s="72">
        <f>IF(RPT-Outstanding_pos_TB_MSB[[#This Row],[VALUE_DATE]]&lt;=0,0,RPT-Outstanding_pos_TB_MSB[[#This Row],[VALUE_DATE]])</f>
        <v>154</v>
      </c>
      <c r="Y40" s="72" t="str">
        <f>_xlfn.XLOOKUP(Outstanding_pos_TB_MSB[[#This Row],[Time hold/Deal]],Ref!S:S,Ref!U:U,,-1)</f>
        <v>6M</v>
      </c>
      <c r="AB40">
        <v>41982</v>
      </c>
      <c r="AC40" s="35">
        <v>45392</v>
      </c>
      <c r="AD40" t="s">
        <v>2799</v>
      </c>
      <c r="AE40" t="s">
        <v>2180</v>
      </c>
      <c r="AF40" t="s">
        <v>823</v>
      </c>
      <c r="AG40" s="500">
        <v>100000000000</v>
      </c>
      <c r="AH40">
        <v>2.1</v>
      </c>
      <c r="AI40">
        <v>48955</v>
      </c>
      <c r="AJ40">
        <v>2.2400000000000002</v>
      </c>
      <c r="AK40">
        <v>7.4</v>
      </c>
      <c r="AL40" s="645" t="s">
        <v>2746</v>
      </c>
      <c r="AM40">
        <v>4.33</v>
      </c>
      <c r="AN40" s="500">
        <v>-12640000000</v>
      </c>
      <c r="AO40">
        <v>6.51</v>
      </c>
      <c r="AP40">
        <v>-56870686.310000002</v>
      </c>
      <c r="AQ40">
        <v>1266000000</v>
      </c>
      <c r="AR40">
        <v>51.1</v>
      </c>
      <c r="AS40" s="72">
        <f>SUM(_xlfn.IFNA(VLOOKUP(Outstanding_pos_BB_MSB[[#This Row],[Bonds_ShortName]],FNRP!AV:BA,6,0)*Outstanding_pos_BB_MSB[[#This Row],[Amt]]/10^4,0),_xlfn.IFNA((VLOOKUP(Outstanding_pos_BB_MSB[[#This Row],[Bonds_ShortName]],FNRP!IK:IP,6,0)*Outstanding_pos_BB_MSB[[#This Row],[Amt]]/10^4),0))</f>
        <v>861370000000</v>
      </c>
      <c r="AT40" s="72">
        <f>(_xlfn.XLOOKUP(Outstanding_pos_BB_MSB[[#This Row],[Bonds_ShortName]],FNRP!AV:AV,FNRP!BA:BA,,0)
-_xlfn.XLOOKUP(Outstanding_pos_BB_MSB[[#This Row],[BondsDeals_Id]],BS!AL:AL,BS!AR:AR,_xlfn.XLOOKUP(Outstanding_pos_BB_MSB[[#This Row],[BondsDeals_Id]],BS!BA:BA,BS!BQ:BQ,,0),0)-10^5)
*Outstanding_pos_BB_MSB[[#This Row],[Amt]]/10^5</f>
        <v>-12939031691.841927</v>
      </c>
      <c r="AU40" s="72">
        <f>VLOOKUP(Outstanding_pos_BB_MSB[[#This Row],[Bonds_ShortName]],FNRP!AV:CD,35,0)</f>
        <v>3500000</v>
      </c>
      <c r="AV40" s="157">
        <f>SUMIFS(AG$1:AG$103,AD$1:AD$103,Outstanding_pos_BB_MSB[[#This Row],[Bonds_ShortName]])/10^5-Outstanding_pos_BB_MSB[[#This Row],[Quantity FNRP]]</f>
        <v>0</v>
      </c>
      <c r="AW40" s="72">
        <f>IF(RPT-Outstanding_pos_BB_MSB[[#This Row],[Value Date]]&lt;=0,0,RPT-Outstanding_pos_BB_MSB[[#This Row],[Value Date]])</f>
        <v>860</v>
      </c>
      <c r="AX40" s="32" t="str">
        <f>INDEX(Ref!$I$1:$K$13,MATCH(Outstanding_pos_BB_MSB[[#This Row],[Tenor left]],Ref!$I$1:$I$13,1),3)</f>
        <v>7Y</v>
      </c>
      <c r="AY40" s="72" t="str">
        <f>_xlfn.XLOOKUP(Outstanding_pos_BB_MSB[[#This Row],[Time hold/Deal]],Ref!S:S,Ref!U:U,,-1)</f>
        <v>2Y</v>
      </c>
      <c r="BC40"/>
      <c r="BD40"/>
      <c r="BG40"/>
      <c r="BH40"/>
      <c r="BJ40"/>
      <c r="BN40"/>
      <c r="BO40"/>
      <c r="BQ40"/>
      <c r="BR40"/>
      <c r="BX40">
        <v>41967</v>
      </c>
      <c r="BY40" s="502">
        <v>45397</v>
      </c>
      <c r="BZ40" t="s">
        <v>2303</v>
      </c>
      <c r="CA40" t="s">
        <v>2180</v>
      </c>
      <c r="CB40" t="s">
        <v>823</v>
      </c>
      <c r="CC40" s="500">
        <v>100000000000</v>
      </c>
      <c r="CD40">
        <v>4.9000000000000004</v>
      </c>
      <c r="CE40" s="502">
        <v>50361</v>
      </c>
      <c r="CF40">
        <v>2.57</v>
      </c>
      <c r="CG40">
        <v>11.25</v>
      </c>
      <c r="CH40" t="s">
        <v>2740</v>
      </c>
      <c r="CI40">
        <v>4.4800000000000004</v>
      </c>
      <c r="CJ40" s="500">
        <v>-22805000000</v>
      </c>
      <c r="CK40">
        <v>8.2799999999999994</v>
      </c>
      <c r="CL40" s="500">
        <v>-88879839.120000005</v>
      </c>
      <c r="CM40" s="500">
        <v>3692000000</v>
      </c>
      <c r="CN40">
        <v>89.3</v>
      </c>
      <c r="CO4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-18246378700.413391</v>
      </c>
      <c r="CP40" s="72">
        <f>RPT-VLOOKUP(Outstanding_pos_BB_SBV[[#This Row],[Bonds_ShortName]],CT:CU,2,0)</f>
        <v>63</v>
      </c>
      <c r="CQ40" s="157">
        <f>SUMIFS(CC:CC,BZ:BZ,Outstanding_pos_BB_SBV[[#This Row],[Bonds_ShortName]])/10^5-VLOOKUP(Outstanding_pos_BB_SBV[[#This Row],[Bonds_ShortName]],FNRP!EE:FL,34,0)</f>
        <v>0</v>
      </c>
      <c r="CT40" t="s">
        <v>3306</v>
      </c>
      <c r="CU40" s="502">
        <v>46062</v>
      </c>
      <c r="DY40" s="776">
        <v>48339</v>
      </c>
      <c r="DZ40" s="776" t="s">
        <v>2380</v>
      </c>
      <c r="EA40" s="776" t="s">
        <v>2180</v>
      </c>
      <c r="EB40" s="777">
        <v>50000000000</v>
      </c>
      <c r="EC40" s="776">
        <v>11.6</v>
      </c>
      <c r="ED40" s="778">
        <v>2.72</v>
      </c>
      <c r="EE40" s="72">
        <f>_xlfn.XLOOKUP(DY40,Outstanding_pos_BB_MSB[BondsDeals_Id],Outstanding_pos_BB_MSB[ItD adj])</f>
        <v>-8560975063.1430874</v>
      </c>
      <c r="EF40" s="32">
        <f>_xlfn.XLOOKUP(DY40,Outstanding_pos_BB_MSB[BondsDeals_Id],Outstanding_pos_BB_MSB[Yield])</f>
        <v>2.72</v>
      </c>
      <c r="EG40" s="71">
        <f>_xlfn.XLOOKUP(BB_tufund[[#This Row],[Deal ID]],Outstanding_pos_BB_MSB[BondsDeals_Id],Outstanding_pos_BB_MSB[Total Rate])</f>
        <v>4.7</v>
      </c>
      <c r="EH40" s="124">
        <f>_xlfn.XLOOKUP(DY40,Outstanding_pos_BB_MSB[BondsDeals_Id],Outstanding_pos_BB_MSB[Mature Date])</f>
        <v>50410</v>
      </c>
      <c r="EI40" s="787">
        <f>(BB_tufund[[#This Row],[Amt]]/10^9)/(_xlfn.XLOOKUP(BB_tufund[[#This Row],[Bond code]],Bankingbook_MSB[Security Name],Bankingbook_MSB[QUANTITY])/10^4)</f>
        <v>5.5555555555555552E-2</v>
      </c>
      <c r="EJ40" s="72">
        <f>_xlfn.XLOOKUP(BB_tufund[[#This Row],[Bond code]],Bankingbook_MSB[Security Name],Bankingbook_MSB[MARKET_VALUE])*BB_tufund[[#This Row],[% amt FNRP]]</f>
        <v>50935000000</v>
      </c>
      <c r="EK40" s="71">
        <f>_xlfn.XLOOKUP(BB_tufund[[#This Row],[Bond code]],Bankingbook_MSB[Security Name],Bankingbook_MSB[BPV_edited])
/10^9*BB_tufund[[#This Row],[% amt FNRP]]</f>
        <v>-4.4350673273980734E-2</v>
      </c>
    </row>
    <row r="41" spans="2:141" x14ac:dyDescent="0.3">
      <c r="B41">
        <v>49561</v>
      </c>
      <c r="C41" s="35">
        <v>46136</v>
      </c>
      <c r="D41" t="s">
        <v>2831</v>
      </c>
      <c r="E41" t="s">
        <v>824</v>
      </c>
      <c r="F41" t="s">
        <v>823</v>
      </c>
      <c r="G41" s="500">
        <v>50000000000</v>
      </c>
      <c r="H41">
        <v>2.7</v>
      </c>
      <c r="I41" t="s">
        <v>3492</v>
      </c>
      <c r="J41">
        <v>2.91</v>
      </c>
      <c r="K41">
        <v>7.84</v>
      </c>
      <c r="L41" t="s">
        <v>2747</v>
      </c>
      <c r="M41">
        <v>4.3499999999999996</v>
      </c>
      <c r="N41" s="37">
        <v>-4606500000</v>
      </c>
      <c r="O41">
        <v>6.79</v>
      </c>
      <c r="P41" s="500">
        <v>-60926119.990000002</v>
      </c>
      <c r="Q41" s="500">
        <v>436000000</v>
      </c>
      <c r="R41">
        <v>55.68</v>
      </c>
      <c r="S4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-4636668791.1269321</v>
      </c>
      <c r="T41" s="72">
        <f>VLOOKUP(Outstanding_pos_TB_MSB[[#This Row],[Bonds_ShortName]],FNRP!D:J,7,0)</f>
        <v>6500000</v>
      </c>
      <c r="U41" s="72">
        <f>SUMIFS(Outstanding_pos_TB_MSB[Amt],Outstanding_pos_TB_MSB[Bonds_ShortName],Outstanding_pos_TB_MSB[[#This Row],[Bonds_ShortName]])/100000-Outstanding_pos_TB_MSB[[#This Row],[Quantity FNRP]]</f>
        <v>0</v>
      </c>
      <c r="V41" s="162" t="str">
        <f>INDEX(Ref!$I$1:$K$13,MATCH(Outstanding_pos_TB_MSB[[#This Row],[Tenor left]],Ref!$I$1:$I$13,1),3)</f>
        <v>10Y</v>
      </c>
      <c r="W41" s="72">
        <f>IF(RPT-VLOOKUP(Outstanding_pos_TB_MSB[[#This Row],[Bonds_ShortName]],CT:CU,2,0)&lt;=0,0,RPT-VLOOKUP(Outstanding_pos_TB_MSB[[#This Row],[Bonds_ShortName]],CT:CU,2,0))</f>
        <v>0</v>
      </c>
      <c r="X41" s="72">
        <f>IF(RPT-Outstanding_pos_TB_MSB[[#This Row],[VALUE_DATE]]&lt;=0,0,RPT-Outstanding_pos_TB_MSB[[#This Row],[VALUE_DATE]])</f>
        <v>116</v>
      </c>
      <c r="Y41" s="72" t="str">
        <f>_xlfn.XLOOKUP(Outstanding_pos_TB_MSB[[#This Row],[Time hold/Deal]],Ref!S:S,Ref!U:U,,-1)</f>
        <v>6M</v>
      </c>
      <c r="AB41">
        <v>41986</v>
      </c>
      <c r="AC41" s="35">
        <v>45392</v>
      </c>
      <c r="AD41" t="s">
        <v>2799</v>
      </c>
      <c r="AE41" t="s">
        <v>2180</v>
      </c>
      <c r="AF41" t="s">
        <v>823</v>
      </c>
      <c r="AG41" s="500">
        <v>100000000000</v>
      </c>
      <c r="AH41">
        <v>2.1</v>
      </c>
      <c r="AI41">
        <v>48955</v>
      </c>
      <c r="AJ41">
        <v>2.2400000000000002</v>
      </c>
      <c r="AK41">
        <v>7.4</v>
      </c>
      <c r="AL41" s="645" t="s">
        <v>2746</v>
      </c>
      <c r="AM41">
        <v>4.33</v>
      </c>
      <c r="AN41" s="500">
        <v>-12640000000</v>
      </c>
      <c r="AO41">
        <v>6.51</v>
      </c>
      <c r="AP41">
        <v>-56870686.310000002</v>
      </c>
      <c r="AQ41">
        <v>1266000000</v>
      </c>
      <c r="AR41">
        <v>51.1</v>
      </c>
      <c r="AS41" s="72">
        <f>SUM(_xlfn.IFNA(VLOOKUP(Outstanding_pos_BB_MSB[[#This Row],[Bonds_ShortName]],FNRP!AV:BA,6,0)*Outstanding_pos_BB_MSB[[#This Row],[Amt]]/10^4,0),_xlfn.IFNA((VLOOKUP(Outstanding_pos_BB_MSB[[#This Row],[Bonds_ShortName]],FNRP!IK:IP,6,0)*Outstanding_pos_BB_MSB[[#This Row],[Amt]]/10^4),0))</f>
        <v>861370000000</v>
      </c>
      <c r="AT41" s="72">
        <f>(_xlfn.XLOOKUP(Outstanding_pos_BB_MSB[[#This Row],[Bonds_ShortName]],FNRP!AV:AV,FNRP!BA:BA,,0)
-_xlfn.XLOOKUP(Outstanding_pos_BB_MSB[[#This Row],[BondsDeals_Id]],BS!AL:AL,BS!AR:AR,_xlfn.XLOOKUP(Outstanding_pos_BB_MSB[[#This Row],[BondsDeals_Id]],BS!BA:BA,BS!BQ:BQ,,0),0)-10^5)
*Outstanding_pos_BB_MSB[[#This Row],[Amt]]/10^5</f>
        <v>-12939031691.841927</v>
      </c>
      <c r="AU41" s="72">
        <f>VLOOKUP(Outstanding_pos_BB_MSB[[#This Row],[Bonds_ShortName]],FNRP!AV:CD,35,0)</f>
        <v>3500000</v>
      </c>
      <c r="AV41" s="157">
        <f>SUMIFS(AG$1:AG$103,AD$1:AD$103,Outstanding_pos_BB_MSB[[#This Row],[Bonds_ShortName]])/10^5-Outstanding_pos_BB_MSB[[#This Row],[Quantity FNRP]]</f>
        <v>0</v>
      </c>
      <c r="AW41" s="72">
        <f>IF(RPT-Outstanding_pos_BB_MSB[[#This Row],[Value Date]]&lt;=0,0,RPT-Outstanding_pos_BB_MSB[[#This Row],[Value Date]])</f>
        <v>860</v>
      </c>
      <c r="AX41" s="32" t="str">
        <f>INDEX(Ref!$I$1:$K$13,MATCH(Outstanding_pos_BB_MSB[[#This Row],[Tenor left]],Ref!$I$1:$I$13,1),3)</f>
        <v>7Y</v>
      </c>
      <c r="AY41" s="72" t="str">
        <f>_xlfn.XLOOKUP(Outstanding_pos_BB_MSB[[#This Row],[Time hold/Deal]],Ref!S:S,Ref!U:U,,-1)</f>
        <v>2Y</v>
      </c>
      <c r="BC41"/>
      <c r="BD41"/>
      <c r="BG41"/>
      <c r="BH41"/>
      <c r="BJ41"/>
      <c r="BN41"/>
      <c r="BO41"/>
      <c r="BQ41"/>
      <c r="BR41"/>
      <c r="BX41">
        <v>41968</v>
      </c>
      <c r="BY41" s="502">
        <v>45397</v>
      </c>
      <c r="BZ41" t="s">
        <v>2380</v>
      </c>
      <c r="CA41" t="s">
        <v>2180</v>
      </c>
      <c r="CB41" t="s">
        <v>823</v>
      </c>
      <c r="CC41" s="500">
        <v>150000000000</v>
      </c>
      <c r="CD41">
        <v>4.7</v>
      </c>
      <c r="CE41" s="502">
        <v>50410</v>
      </c>
      <c r="CF41">
        <v>2.44</v>
      </c>
      <c r="CG41">
        <v>11.39</v>
      </c>
      <c r="CH41" t="s">
        <v>2740</v>
      </c>
      <c r="CI41">
        <v>4.4800000000000004</v>
      </c>
      <c r="CJ41" s="500">
        <v>-36313500000</v>
      </c>
      <c r="CK41">
        <v>8.4700000000000006</v>
      </c>
      <c r="CL41" s="500">
        <v>-88733432.620000005</v>
      </c>
      <c r="CM41" s="500">
        <v>2910000000</v>
      </c>
      <c r="CN41">
        <v>92.44</v>
      </c>
      <c r="CO4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-29633786868.894909</v>
      </c>
      <c r="CP41" s="72">
        <f>RPT-VLOOKUP(Outstanding_pos_BB_SBV[[#This Row],[Bonds_ShortName]],CT:CU,2,0)</f>
        <v>249</v>
      </c>
      <c r="CQ41" s="157">
        <f>SUMIFS(CC:CC,BZ:BZ,Outstanding_pos_BB_SBV[[#This Row],[Bonds_ShortName]])/10^5-VLOOKUP(Outstanding_pos_BB_SBV[[#This Row],[Bonds_ShortName]],FNRP!EE:FL,34,0)</f>
        <v>0</v>
      </c>
      <c r="CT41" t="s">
        <v>681</v>
      </c>
      <c r="CU41" s="502">
        <v>46245</v>
      </c>
      <c r="DY41" s="776">
        <v>41965</v>
      </c>
      <c r="DZ41" s="776" t="s">
        <v>709</v>
      </c>
      <c r="EA41" s="776" t="s">
        <v>2180</v>
      </c>
      <c r="EB41" s="777">
        <v>50000000000</v>
      </c>
      <c r="EC41" s="776">
        <v>11.67</v>
      </c>
      <c r="ED41" s="778">
        <v>2.46</v>
      </c>
      <c r="EE41" s="72">
        <f>_xlfn.XLOOKUP(DY41,Outstanding_pos_BB_MSB[BondsDeals_Id],Outstanding_pos_BB_MSB[ItD adj])</f>
        <v>-10034643721.915003</v>
      </c>
      <c r="EF41" s="32">
        <f>_xlfn.XLOOKUP(DY41,Outstanding_pos_BB_MSB[BondsDeals_Id],Outstanding_pos_BB_MSB[Yield])</f>
        <v>2.46</v>
      </c>
      <c r="EG41" s="71">
        <f>_xlfn.XLOOKUP(BB_tufund[[#This Row],[Deal ID]],Outstanding_pos_BB_MSB[BondsDeals_Id],Outstanding_pos_BB_MSB[Total Rate])</f>
        <v>5.2</v>
      </c>
      <c r="EH41" s="124">
        <f>_xlfn.XLOOKUP(DY41,Outstanding_pos_BB_MSB[BondsDeals_Id],Outstanding_pos_BB_MSB[Mature Date])</f>
        <v>50437</v>
      </c>
      <c r="EI41" s="787">
        <f>(BB_tufund[[#This Row],[Amt]]/10^9)/(_xlfn.XLOOKUP(BB_tufund[[#This Row],[Bond code]],Bankingbook_MSB[Security Name],Bankingbook_MSB[QUANTITY])/10^4)</f>
        <v>0.5</v>
      </c>
      <c r="EJ41" s="72">
        <f>_xlfn.XLOOKUP(BB_tufund[[#This Row],[Bond code]],Bankingbook_MSB[Security Name],Bankingbook_MSB[MARKET_VALUE])*BB_tufund[[#This Row],[% amt FNRP]]</f>
        <v>53131000000</v>
      </c>
      <c r="EK41" s="71">
        <f>_xlfn.XLOOKUP(BB_tufund[[#This Row],[Bond code]],Bankingbook_MSB[Security Name],Bankingbook_MSB[BPV_edited])
/10^9*BB_tufund[[#This Row],[% amt FNRP]]</f>
        <v>-4.5782023020910181E-2</v>
      </c>
    </row>
    <row r="42" spans="2:141" x14ac:dyDescent="0.3">
      <c r="B42">
        <v>49645</v>
      </c>
      <c r="C42" s="35">
        <v>46149</v>
      </c>
      <c r="D42" t="s">
        <v>2834</v>
      </c>
      <c r="E42" t="s">
        <v>824</v>
      </c>
      <c r="F42" t="s">
        <v>823</v>
      </c>
      <c r="G42" s="500">
        <v>100000000000</v>
      </c>
      <c r="H42">
        <v>2.7</v>
      </c>
      <c r="I42" t="s">
        <v>3493</v>
      </c>
      <c r="J42">
        <v>3.01</v>
      </c>
      <c r="K42">
        <v>7.88</v>
      </c>
      <c r="L42" t="s">
        <v>2747</v>
      </c>
      <c r="M42">
        <v>4.3499999999999996</v>
      </c>
      <c r="N42" s="37">
        <v>-8572000000</v>
      </c>
      <c r="O42">
        <v>6.83</v>
      </c>
      <c r="P42" s="500">
        <v>-61147016.689999998</v>
      </c>
      <c r="Q42" s="500">
        <v>333000000</v>
      </c>
      <c r="R42">
        <v>56.21</v>
      </c>
      <c r="S4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-8650214158.3157215</v>
      </c>
      <c r="T42" s="72">
        <f>VLOOKUP(Outstanding_pos_TB_MSB[[#This Row],[Bonds_ShortName]],FNRP!D:J,7,0)</f>
        <v>8500000</v>
      </c>
      <c r="U42" s="72">
        <f>SUMIFS(Outstanding_pos_TB_MSB[Amt],Outstanding_pos_TB_MSB[Bonds_ShortName],Outstanding_pos_TB_MSB[[#This Row],[Bonds_ShortName]])/100000-Outstanding_pos_TB_MSB[[#This Row],[Quantity FNRP]]</f>
        <v>0</v>
      </c>
      <c r="V42" s="162" t="str">
        <f>INDEX(Ref!$I$1:$K$13,MATCH(Outstanding_pos_TB_MSB[[#This Row],[Tenor left]],Ref!$I$1:$I$13,1),3)</f>
        <v>10Y</v>
      </c>
      <c r="W42" s="72">
        <f>IF(RPT-VLOOKUP(Outstanding_pos_TB_MSB[[#This Row],[Bonds_ShortName]],CT:CU,2,0)&lt;=0,0,RPT-VLOOKUP(Outstanding_pos_TB_MSB[[#This Row],[Bonds_ShortName]],CT:CU,2,0))</f>
        <v>67</v>
      </c>
      <c r="X42" s="72">
        <f>IF(RPT-Outstanding_pos_TB_MSB[[#This Row],[VALUE_DATE]]&lt;=0,0,RPT-Outstanding_pos_TB_MSB[[#This Row],[VALUE_DATE]])</f>
        <v>103</v>
      </c>
      <c r="Y42" s="72" t="str">
        <f>_xlfn.XLOOKUP(Outstanding_pos_TB_MSB[[#This Row],[Time hold/Deal]],Ref!S:S,Ref!U:U,,-1)</f>
        <v>6M</v>
      </c>
      <c r="AB42">
        <v>42020</v>
      </c>
      <c r="AC42" s="35">
        <v>45399</v>
      </c>
      <c r="AD42" t="s">
        <v>2800</v>
      </c>
      <c r="AE42" t="s">
        <v>2180</v>
      </c>
      <c r="AF42" t="s">
        <v>823</v>
      </c>
      <c r="AG42" s="500">
        <v>250000000000</v>
      </c>
      <c r="AH42">
        <v>2.2999999999999998</v>
      </c>
      <c r="AI42">
        <v>50781</v>
      </c>
      <c r="AJ42">
        <v>2.4900000000000002</v>
      </c>
      <c r="AK42">
        <v>12.41</v>
      </c>
      <c r="AL42" s="645" t="s">
        <v>2740</v>
      </c>
      <c r="AM42">
        <v>4.51</v>
      </c>
      <c r="AN42" s="500">
        <v>-45825000000</v>
      </c>
      <c r="AO42">
        <v>10.07</v>
      </c>
      <c r="AP42">
        <v>-81298587.519999996</v>
      </c>
      <c r="AQ42">
        <v>1386000000</v>
      </c>
      <c r="AR42">
        <v>122.75</v>
      </c>
      <c r="AS42" s="72">
        <f>SUM(_xlfn.IFNA(VLOOKUP(Outstanding_pos_BB_MSB[[#This Row],[Bonds_ShortName]],FNRP!AV:BA,6,0)*Outstanding_pos_BB_MSB[[#This Row],[Amt]]/10^4,0),_xlfn.IFNA((VLOOKUP(Outstanding_pos_BB_MSB[[#This Row],[Bonds_ShortName]],FNRP!IK:IP,6,0)*Outstanding_pos_BB_MSB[[#This Row],[Amt]]/10^4),0))</f>
        <v>1983500000000</v>
      </c>
      <c r="AT42" s="72">
        <f>(_xlfn.XLOOKUP(Outstanding_pos_BB_MSB[[#This Row],[Bonds_ShortName]],FNRP!AV:AV,FNRP!BA:BA,,0)
-_xlfn.XLOOKUP(Outstanding_pos_BB_MSB[[#This Row],[BondsDeals_Id]],BS!AL:AL,BS!AR:AR,_xlfn.XLOOKUP(Outstanding_pos_BB_MSB[[#This Row],[BondsDeals_Id]],BS!BA:BA,BS!BQ:BQ,,0),0)-10^5)
*Outstanding_pos_BB_MSB[[#This Row],[Amt]]/10^5</f>
        <v>-46758626650.665138</v>
      </c>
      <c r="AU42" s="72">
        <f>VLOOKUP(Outstanding_pos_BB_MSB[[#This Row],[Bonds_ShortName]],FNRP!AV:CD,35,0)</f>
        <v>6000000</v>
      </c>
      <c r="AV42" s="157">
        <f>SUMIFS(AG$1:AG$103,AD$1:AD$103,Outstanding_pos_BB_MSB[[#This Row],[Bonds_ShortName]])/10^5-Outstanding_pos_BB_MSB[[#This Row],[Quantity FNRP]]</f>
        <v>0</v>
      </c>
      <c r="AW42" s="72">
        <f>IF(RPT-Outstanding_pos_BB_MSB[[#This Row],[Value Date]]&lt;=0,0,RPT-Outstanding_pos_BB_MSB[[#This Row],[Value Date]])</f>
        <v>853</v>
      </c>
      <c r="AX42" s="32" t="str">
        <f>INDEX(Ref!$I$1:$K$13,MATCH(Outstanding_pos_BB_MSB[[#This Row],[Tenor left]],Ref!$I$1:$I$13,1),3)</f>
        <v>15Y</v>
      </c>
      <c r="AY42" s="72" t="str">
        <f>_xlfn.XLOOKUP(Outstanding_pos_BB_MSB[[#This Row],[Time hold/Deal]],Ref!S:S,Ref!U:U,,-1)</f>
        <v>2Y</v>
      </c>
      <c r="BC42"/>
      <c r="BD42"/>
      <c r="BG42"/>
      <c r="BH42"/>
      <c r="BJ42"/>
      <c r="BN42"/>
      <c r="BO42"/>
      <c r="BQ42"/>
      <c r="BR42"/>
      <c r="BX42">
        <v>41969</v>
      </c>
      <c r="BY42" s="502">
        <v>45397</v>
      </c>
      <c r="BZ42" t="s">
        <v>2786</v>
      </c>
      <c r="CA42" t="s">
        <v>2180</v>
      </c>
      <c r="CB42" t="s">
        <v>823</v>
      </c>
      <c r="CC42" s="500">
        <v>100000000000</v>
      </c>
      <c r="CD42">
        <v>2.6</v>
      </c>
      <c r="CE42" s="502">
        <v>50697</v>
      </c>
      <c r="CF42">
        <v>2.41</v>
      </c>
      <c r="CG42">
        <v>12.18</v>
      </c>
      <c r="CH42" t="s">
        <v>2740</v>
      </c>
      <c r="CI42">
        <v>4.5</v>
      </c>
      <c r="CJ42" s="500">
        <v>-19846000000</v>
      </c>
      <c r="CK42">
        <v>9.69</v>
      </c>
      <c r="CL42" s="500">
        <v>-81990398.019999996</v>
      </c>
      <c r="CM42" s="500">
        <v>2165000000</v>
      </c>
      <c r="CN42">
        <v>115.6</v>
      </c>
      <c r="CO4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-19478684074.646866</v>
      </c>
      <c r="CP42" s="72">
        <f>RPT-VLOOKUP(Outstanding_pos_BB_SBV[[#This Row],[Bonds_ShortName]],CT:CU,2,0)</f>
        <v>26</v>
      </c>
      <c r="CQ42" s="157">
        <f>SUMIFS(CC:CC,BZ:BZ,Outstanding_pos_BB_SBV[[#This Row],[Bonds_ShortName]])/10^5-VLOOKUP(Outstanding_pos_BB_SBV[[#This Row],[Bonds_ShortName]],FNRP!EE:FL,34,0)</f>
        <v>0</v>
      </c>
      <c r="CT42" t="s">
        <v>682</v>
      </c>
      <c r="CU42" s="502">
        <v>46127</v>
      </c>
      <c r="CV42" s="157"/>
      <c r="CW42" s="157"/>
      <c r="DY42" s="776">
        <v>46914</v>
      </c>
      <c r="DZ42" s="776" t="s">
        <v>709</v>
      </c>
      <c r="EA42" s="776" t="s">
        <v>2180</v>
      </c>
      <c r="EB42" s="777">
        <v>50000000000</v>
      </c>
      <c r="EC42" s="776">
        <v>11.67</v>
      </c>
      <c r="ED42" s="778">
        <v>2.74</v>
      </c>
      <c r="EE42" s="72">
        <f>_xlfn.XLOOKUP(DY42,Outstanding_pos_BB_MSB[BondsDeals_Id],Outstanding_pos_BB_MSB[ItD adj])</f>
        <v>-8653123437.415699</v>
      </c>
      <c r="EF42" s="32">
        <f>_xlfn.XLOOKUP(DY42,Outstanding_pos_BB_MSB[BondsDeals_Id],Outstanding_pos_BB_MSB[Yield])</f>
        <v>2.74</v>
      </c>
      <c r="EG42" s="71">
        <f>_xlfn.XLOOKUP(BB_tufund[[#This Row],[Deal ID]],Outstanding_pos_BB_MSB[BondsDeals_Id],Outstanding_pos_BB_MSB[Total Rate])</f>
        <v>5.2</v>
      </c>
      <c r="EH42" s="124">
        <f>_xlfn.XLOOKUP(DY42,Outstanding_pos_BB_MSB[BondsDeals_Id],Outstanding_pos_BB_MSB[Mature Date])</f>
        <v>50437</v>
      </c>
      <c r="EI42" s="787">
        <f>(BB_tufund[[#This Row],[Amt]]/10^9)/(_xlfn.XLOOKUP(BB_tufund[[#This Row],[Bond code]],Bankingbook_MSB[Security Name],Bankingbook_MSB[QUANTITY])/10^4)</f>
        <v>0.5</v>
      </c>
      <c r="EJ42" s="72">
        <f>_xlfn.XLOOKUP(BB_tufund[[#This Row],[Bond code]],Bankingbook_MSB[Security Name],Bankingbook_MSB[MARKET_VALUE])*BB_tufund[[#This Row],[% amt FNRP]]</f>
        <v>53131000000</v>
      </c>
      <c r="EK42" s="71">
        <f>_xlfn.XLOOKUP(BB_tufund[[#This Row],[Bond code]],Bankingbook_MSB[Security Name],Bankingbook_MSB[BPV_edited])
/10^9*BB_tufund[[#This Row],[% amt FNRP]]</f>
        <v>-4.5782023020910181E-2</v>
      </c>
    </row>
    <row r="43" spans="2:141" x14ac:dyDescent="0.3">
      <c r="B43">
        <v>49699</v>
      </c>
      <c r="C43" s="35">
        <v>46150</v>
      </c>
      <c r="D43" t="s">
        <v>3081</v>
      </c>
      <c r="E43" t="s">
        <v>825</v>
      </c>
      <c r="F43" t="s">
        <v>823</v>
      </c>
      <c r="G43" s="500">
        <v>50000000000</v>
      </c>
      <c r="H43">
        <v>2.9</v>
      </c>
      <c r="I43" t="s">
        <v>3833</v>
      </c>
      <c r="J43">
        <v>3.41</v>
      </c>
      <c r="K43">
        <v>8.57</v>
      </c>
      <c r="L43" t="s">
        <v>2747</v>
      </c>
      <c r="M43">
        <v>4.38</v>
      </c>
      <c r="N43" s="37">
        <v>-3283000000</v>
      </c>
      <c r="O43">
        <v>7.23</v>
      </c>
      <c r="P43" s="500">
        <v>-65697159.299999997</v>
      </c>
      <c r="Q43" s="500">
        <v>1255000000</v>
      </c>
      <c r="R43">
        <v>63.72</v>
      </c>
      <c r="S4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-3344319908.1670318</v>
      </c>
      <c r="T43" s="72">
        <f>VLOOKUP(Outstanding_pos_TB_MSB[[#This Row],[Bonds_ShortName]],FNRP!D:J,7,0)</f>
        <v>1000000</v>
      </c>
      <c r="U43" s="72">
        <f>SUMIFS(Outstanding_pos_TB_MSB[Amt],Outstanding_pos_TB_MSB[Bonds_ShortName],Outstanding_pos_TB_MSB[[#This Row],[Bonds_ShortName]])/100000-Outstanding_pos_TB_MSB[[#This Row],[Quantity FNRP]]</f>
        <v>0</v>
      </c>
      <c r="V43" s="162" t="str">
        <f>INDEX(Ref!$I$1:$K$13,MATCH(Outstanding_pos_TB_MSB[[#This Row],[Tenor left]],Ref!$I$1:$I$13,1),3)</f>
        <v>10Y</v>
      </c>
      <c r="W43" s="72">
        <f>IF(RPT-VLOOKUP(Outstanding_pos_TB_MSB[[#This Row],[Bonds_ShortName]],CT:CU,2,0)&lt;=0,0,RPT-VLOOKUP(Outstanding_pos_TB_MSB[[#This Row],[Bonds_ShortName]],CT:CU,2,0))</f>
        <v>60</v>
      </c>
      <c r="X43" s="72">
        <f>IF(RPT-Outstanding_pos_TB_MSB[[#This Row],[VALUE_DATE]]&lt;=0,0,RPT-Outstanding_pos_TB_MSB[[#This Row],[VALUE_DATE]])</f>
        <v>102</v>
      </c>
      <c r="Y43" s="72" t="str">
        <f>_xlfn.XLOOKUP(Outstanding_pos_TB_MSB[[#This Row],[Time hold/Deal]],Ref!S:S,Ref!U:U,,-1)</f>
        <v>6M</v>
      </c>
      <c r="AB43">
        <v>42022</v>
      </c>
      <c r="AC43" s="35">
        <v>45399</v>
      </c>
      <c r="AD43" t="s">
        <v>672</v>
      </c>
      <c r="AE43" t="s">
        <v>2180</v>
      </c>
      <c r="AF43" t="s">
        <v>823</v>
      </c>
      <c r="AG43" s="500">
        <v>100000000000</v>
      </c>
      <c r="AH43">
        <v>4</v>
      </c>
      <c r="AI43">
        <v>49234</v>
      </c>
      <c r="AJ43">
        <v>2.3199999999999998</v>
      </c>
      <c r="AK43">
        <v>8.17</v>
      </c>
      <c r="AL43" s="645" t="s">
        <v>2747</v>
      </c>
      <c r="AM43">
        <v>4.3600000000000003</v>
      </c>
      <c r="AN43" s="500">
        <v>-17944000000</v>
      </c>
      <c r="AO43">
        <v>6.59</v>
      </c>
      <c r="AP43">
        <v>-66457608.850000001</v>
      </c>
      <c r="AQ43">
        <v>3353000000</v>
      </c>
      <c r="AR43">
        <v>55.07</v>
      </c>
      <c r="AS43" s="72">
        <f>SUM(_xlfn.IFNA(VLOOKUP(Outstanding_pos_BB_MSB[[#This Row],[Bonds_ShortName]],FNRP!AV:BA,6,0)*Outstanding_pos_BB_MSB[[#This Row],[Amt]]/10^4,0),_xlfn.IFNA((VLOOKUP(Outstanding_pos_BB_MSB[[#This Row],[Bonds_ShortName]],FNRP!IK:IP,6,0)*Outstanding_pos_BB_MSB[[#This Row],[Amt]]/10^4),0))</f>
        <v>975400000000</v>
      </c>
      <c r="AT43" s="72">
        <f>(_xlfn.XLOOKUP(Outstanding_pos_BB_MSB[[#This Row],[Bonds_ShortName]],FNRP!AV:AV,FNRP!BA:BA,,0)
-_xlfn.XLOOKUP(Outstanding_pos_BB_MSB[[#This Row],[BondsDeals_Id]],BS!AL:AL,BS!AR:AR,_xlfn.XLOOKUP(Outstanding_pos_BB_MSB[[#This Row],[BondsDeals_Id]],BS!BA:BA,BS!BQ:BQ,,0),0)-10^5)
*Outstanding_pos_BB_MSB[[#This Row],[Amt]]/10^5</f>
        <v>-14497487874.836994</v>
      </c>
      <c r="AU43" s="72">
        <f>VLOOKUP(Outstanding_pos_BB_MSB[[#This Row],[Bonds_ShortName]],FNRP!AV:CD,35,0)</f>
        <v>1000000</v>
      </c>
      <c r="AV43" s="157">
        <f>SUMIFS(AG$1:AG$103,AD$1:AD$103,Outstanding_pos_BB_MSB[[#This Row],[Bonds_ShortName]])/10^5-Outstanding_pos_BB_MSB[[#This Row],[Quantity FNRP]]</f>
        <v>0</v>
      </c>
      <c r="AW43" s="72">
        <f>IF(RPT-Outstanding_pos_BB_MSB[[#This Row],[Value Date]]&lt;=0,0,RPT-Outstanding_pos_BB_MSB[[#This Row],[Value Date]])</f>
        <v>853</v>
      </c>
      <c r="AX43" s="32" t="str">
        <f>INDEX(Ref!$I$1:$K$13,MATCH(Outstanding_pos_BB_MSB[[#This Row],[Tenor left]],Ref!$I$1:$I$13,1),3)</f>
        <v>10Y</v>
      </c>
      <c r="AY43" s="72" t="str">
        <f>_xlfn.XLOOKUP(Outstanding_pos_BB_MSB[[#This Row],[Time hold/Deal]],Ref!S:S,Ref!U:U,,-1)</f>
        <v>2Y</v>
      </c>
      <c r="BC43"/>
      <c r="BD43"/>
      <c r="BG43"/>
      <c r="BH43"/>
      <c r="BJ43"/>
      <c r="BN43"/>
      <c r="BO43"/>
      <c r="BQ43"/>
      <c r="BR43"/>
      <c r="BX43">
        <v>41982</v>
      </c>
      <c r="BY43" s="502">
        <v>45392</v>
      </c>
      <c r="BZ43" t="s">
        <v>2799</v>
      </c>
      <c r="CA43" t="s">
        <v>2180</v>
      </c>
      <c r="CB43" t="s">
        <v>823</v>
      </c>
      <c r="CC43" s="500">
        <v>100000000000</v>
      </c>
      <c r="CD43">
        <v>2.1</v>
      </c>
      <c r="CE43" s="502">
        <v>48955</v>
      </c>
      <c r="CF43">
        <v>2.2400000000000002</v>
      </c>
      <c r="CG43">
        <v>7.4</v>
      </c>
      <c r="CH43" t="s">
        <v>2746</v>
      </c>
      <c r="CI43">
        <v>4.33</v>
      </c>
      <c r="CJ43" s="500">
        <v>-12640000000</v>
      </c>
      <c r="CK43">
        <v>6.51</v>
      </c>
      <c r="CL43" s="500">
        <v>-56870686.310000002</v>
      </c>
      <c r="CM43" s="500">
        <v>1266000000</v>
      </c>
      <c r="CN43">
        <v>51.1</v>
      </c>
      <c r="CO4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-12939031691.841927</v>
      </c>
      <c r="CP43" s="72">
        <f>RPT-VLOOKUP(Outstanding_pos_BB_SBV[[#This Row],[Bonds_ShortName]],CT:CU,2,0)</f>
        <v>42</v>
      </c>
      <c r="CQ43" s="157">
        <f>SUMIFS(CC:CC,BZ:BZ,Outstanding_pos_BB_SBV[[#This Row],[Bonds_ShortName]])/10^5-VLOOKUP(Outstanding_pos_BB_SBV[[#This Row],[Bonds_ShortName]],FNRP!EE:FL,34,0)</f>
        <v>0</v>
      </c>
      <c r="CT43" t="s">
        <v>733</v>
      </c>
      <c r="CU43" s="502">
        <v>46174</v>
      </c>
      <c r="CV43" s="157"/>
      <c r="CW43" s="157"/>
      <c r="DY43" s="776">
        <v>41966</v>
      </c>
      <c r="DZ43" s="776" t="s">
        <v>2386</v>
      </c>
      <c r="EA43" s="776" t="s">
        <v>2180</v>
      </c>
      <c r="EB43" s="777">
        <v>200000000000</v>
      </c>
      <c r="EC43" s="776">
        <v>11.68</v>
      </c>
      <c r="ED43" s="778">
        <v>2.4700000000000002</v>
      </c>
      <c r="EE43" s="72">
        <f>_xlfn.XLOOKUP(DY43,Outstanding_pos_BB_MSB[BondsDeals_Id],Outstanding_pos_BB_MSB[ItD adj])</f>
        <v>-38637034385.928391</v>
      </c>
      <c r="EF43" s="32">
        <f>_xlfn.XLOOKUP(DY43,Outstanding_pos_BB_MSB[BondsDeals_Id],Outstanding_pos_BB_MSB[Yield])</f>
        <v>2.4700000000000002</v>
      </c>
      <c r="EG43" s="71">
        <f>_xlfn.XLOOKUP(BB_tufund[[#This Row],[Deal ID]],Outstanding_pos_BB_MSB[BondsDeals_Id],Outstanding_pos_BB_MSB[Total Rate])</f>
        <v>4.4000000000000004</v>
      </c>
      <c r="EH43" s="124">
        <f>_xlfn.XLOOKUP(DY43,Outstanding_pos_BB_MSB[BondsDeals_Id],Outstanding_pos_BB_MSB[Mature Date])</f>
        <v>50438</v>
      </c>
      <c r="EI43" s="787">
        <f>(BB_tufund[[#This Row],[Amt]]/10^9)/(_xlfn.XLOOKUP(BB_tufund[[#This Row],[Bond code]],Bankingbook_MSB[Security Name],Bankingbook_MSB[QUANTITY])/10^4)</f>
        <v>0.5714285714285714</v>
      </c>
      <c r="EJ43" s="72">
        <f>_xlfn.XLOOKUP(BB_tufund[[#This Row],[Bond code]],Bankingbook_MSB[Security Name],Bankingbook_MSB[MARKET_VALUE])*BB_tufund[[#This Row],[% amt FNRP]]</f>
        <v>198438000000</v>
      </c>
      <c r="EK43" s="71">
        <f>_xlfn.XLOOKUP(BB_tufund[[#This Row],[Bond code]],Bankingbook_MSB[Security Name],Bankingbook_MSB[BPV_edited])
/10^9*BB_tufund[[#This Row],[% amt FNRP]]</f>
        <v>-0.17538202840435282</v>
      </c>
    </row>
    <row r="44" spans="2:141" x14ac:dyDescent="0.3">
      <c r="B44">
        <v>49701</v>
      </c>
      <c r="C44" s="35">
        <v>46150</v>
      </c>
      <c r="D44" t="s">
        <v>3118</v>
      </c>
      <c r="E44" t="s">
        <v>824</v>
      </c>
      <c r="F44" t="s">
        <v>823</v>
      </c>
      <c r="G44" s="500">
        <v>100000000000</v>
      </c>
      <c r="H44">
        <v>2.9</v>
      </c>
      <c r="I44" t="s">
        <v>3834</v>
      </c>
      <c r="J44">
        <v>3.7</v>
      </c>
      <c r="K44">
        <v>8.61</v>
      </c>
      <c r="L44" t="s">
        <v>2747</v>
      </c>
      <c r="M44">
        <v>4.38</v>
      </c>
      <c r="N44" s="37">
        <v>-4490000000</v>
      </c>
      <c r="O44">
        <v>7.27</v>
      </c>
      <c r="P44" s="500">
        <v>-65912106.310000002</v>
      </c>
      <c r="Q44" s="500">
        <v>1144000000</v>
      </c>
      <c r="R44">
        <v>64.290000000000006</v>
      </c>
      <c r="S4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-4679818152.2679806</v>
      </c>
      <c r="T44" s="72">
        <f>VLOOKUP(Outstanding_pos_TB_MSB[[#This Row],[Bonds_ShortName]],FNRP!D:J,7,0)</f>
        <v>3000000</v>
      </c>
      <c r="U44" s="72">
        <f>SUMIFS(Outstanding_pos_TB_MSB[Amt],Outstanding_pos_TB_MSB[Bonds_ShortName],Outstanding_pos_TB_MSB[[#This Row],[Bonds_ShortName]])/100000-Outstanding_pos_TB_MSB[[#This Row],[Quantity FNRP]]</f>
        <v>0</v>
      </c>
      <c r="V44" s="162" t="str">
        <f>INDEX(Ref!$I$1:$K$13,MATCH(Outstanding_pos_TB_MSB[[#This Row],[Tenor left]],Ref!$I$1:$I$13,1),3)</f>
        <v>10Y</v>
      </c>
      <c r="W44" s="72">
        <f>IF(RPT-VLOOKUP(Outstanding_pos_TB_MSB[[#This Row],[Bonds_ShortName]],CT:CU,2,0)&lt;=0,0,RPT-VLOOKUP(Outstanding_pos_TB_MSB[[#This Row],[Bonds_ShortName]],CT:CU,2,0))</f>
        <v>56</v>
      </c>
      <c r="X44" s="72">
        <f>IF(RPT-Outstanding_pos_TB_MSB[[#This Row],[VALUE_DATE]]&lt;=0,0,RPT-Outstanding_pos_TB_MSB[[#This Row],[VALUE_DATE]])</f>
        <v>102</v>
      </c>
      <c r="Y44" s="72" t="str">
        <f>_xlfn.XLOOKUP(Outstanding_pos_TB_MSB[[#This Row],[Time hold/Deal]],Ref!S:S,Ref!U:U,,-1)</f>
        <v>6M</v>
      </c>
      <c r="AB44">
        <v>42024</v>
      </c>
      <c r="AC44" s="35">
        <v>45399</v>
      </c>
      <c r="AD44" t="s">
        <v>688</v>
      </c>
      <c r="AE44" t="s">
        <v>2180</v>
      </c>
      <c r="AF44" t="s">
        <v>823</v>
      </c>
      <c r="AG44" s="500">
        <v>100000000000</v>
      </c>
      <c r="AH44">
        <v>3</v>
      </c>
      <c r="AI44">
        <v>49548</v>
      </c>
      <c r="AJ44">
        <v>2.36</v>
      </c>
      <c r="AK44">
        <v>9.0299999999999994</v>
      </c>
      <c r="AL44" s="645" t="s">
        <v>2743</v>
      </c>
      <c r="AM44">
        <v>4.4000000000000004</v>
      </c>
      <c r="AN44" s="500">
        <v>-16567000000</v>
      </c>
      <c r="AO44">
        <v>7.39</v>
      </c>
      <c r="AP44">
        <v>-68514433.450000003</v>
      </c>
      <c r="AQ44">
        <v>2934000000</v>
      </c>
      <c r="AR44">
        <v>68</v>
      </c>
      <c r="AS44" s="72">
        <f>SUM(_xlfn.IFNA(VLOOKUP(Outstanding_pos_BB_MSB[[#This Row],[Bonds_ShortName]],FNRP!AV:BA,6,0)*Outstanding_pos_BB_MSB[[#This Row],[Amt]]/10^4,0),_xlfn.IFNA((VLOOKUP(Outstanding_pos_BB_MSB[[#This Row],[Bonds_ShortName]],FNRP!IK:IP,6,0)*Outstanding_pos_BB_MSB[[#This Row],[Amt]]/10^4),0))</f>
        <v>897350000000</v>
      </c>
      <c r="AT44" s="72">
        <f>(_xlfn.XLOOKUP(Outstanding_pos_BB_MSB[[#This Row],[Bonds_ShortName]],FNRP!AV:AV,FNRP!BA:BA,,0)
-_xlfn.XLOOKUP(Outstanding_pos_BB_MSB[[#This Row],[BondsDeals_Id]],BS!AL:AL,BS!AR:AR,_xlfn.XLOOKUP(Outstanding_pos_BB_MSB[[#This Row],[BondsDeals_Id]],BS!BA:BA,BS!BQ:BQ,,0),0)-10^5)
*Outstanding_pos_BB_MSB[[#This Row],[Amt]]/10^5</f>
        <v>-15272198594.170433</v>
      </c>
      <c r="AU44" s="72">
        <f>VLOOKUP(Outstanding_pos_BB_MSB[[#This Row],[Bonds_ShortName]],FNRP!AV:CD,35,0)</f>
        <v>1000000</v>
      </c>
      <c r="AV44" s="157">
        <f>SUMIFS(AG$1:AG$103,AD$1:AD$103,Outstanding_pos_BB_MSB[[#This Row],[Bonds_ShortName]])/10^5-Outstanding_pos_BB_MSB[[#This Row],[Quantity FNRP]]</f>
        <v>0</v>
      </c>
      <c r="AW44" s="72">
        <f>IF(RPT-Outstanding_pos_BB_MSB[[#This Row],[Value Date]]&lt;=0,0,RPT-Outstanding_pos_BB_MSB[[#This Row],[Value Date]])</f>
        <v>853</v>
      </c>
      <c r="AX44" s="32" t="str">
        <f>INDEX(Ref!$I$1:$K$13,MATCH(Outstanding_pos_BB_MSB[[#This Row],[Tenor left]],Ref!$I$1:$I$13,1),3)</f>
        <v>10Y</v>
      </c>
      <c r="AY44" s="72" t="str">
        <f>_xlfn.XLOOKUP(Outstanding_pos_BB_MSB[[#This Row],[Time hold/Deal]],Ref!S:S,Ref!U:U,,-1)</f>
        <v>2Y</v>
      </c>
      <c r="BC44"/>
      <c r="BD44"/>
      <c r="BG44"/>
      <c r="BH44"/>
      <c r="BJ44"/>
      <c r="BN44"/>
      <c r="BO44"/>
      <c r="BQ44"/>
      <c r="BR44"/>
      <c r="BX44">
        <v>41986</v>
      </c>
      <c r="BY44" s="502">
        <v>45392</v>
      </c>
      <c r="BZ44" t="s">
        <v>2799</v>
      </c>
      <c r="CA44" t="s">
        <v>2180</v>
      </c>
      <c r="CB44" t="s">
        <v>823</v>
      </c>
      <c r="CC44" s="500">
        <v>100000000000</v>
      </c>
      <c r="CD44">
        <v>2.1</v>
      </c>
      <c r="CE44" s="502">
        <v>48955</v>
      </c>
      <c r="CF44">
        <v>2.2400000000000002</v>
      </c>
      <c r="CG44">
        <v>7.4</v>
      </c>
      <c r="CH44" t="s">
        <v>2746</v>
      </c>
      <c r="CI44">
        <v>4.33</v>
      </c>
      <c r="CJ44" s="500">
        <v>-12640000000</v>
      </c>
      <c r="CK44">
        <v>6.51</v>
      </c>
      <c r="CL44" s="500">
        <v>-56870686.310000002</v>
      </c>
      <c r="CM44" s="500">
        <v>1266000000</v>
      </c>
      <c r="CN44">
        <v>51.1</v>
      </c>
      <c r="CO4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-12939031691.841927</v>
      </c>
      <c r="CP44" s="72">
        <f>RPT-VLOOKUP(Outstanding_pos_BB_SBV[[#This Row],[Bonds_ShortName]],CT:CU,2,0)</f>
        <v>42</v>
      </c>
      <c r="CQ44" s="157">
        <f>SUMIFS(CC:CC,BZ:BZ,Outstanding_pos_BB_SBV[[#This Row],[Bonds_ShortName]])/10^5-VLOOKUP(Outstanding_pos_BB_SBV[[#This Row],[Bonds_ShortName]],FNRP!EE:FL,34,0)</f>
        <v>0</v>
      </c>
      <c r="CT44" t="s">
        <v>1193</v>
      </c>
      <c r="CU44" s="502">
        <v>46125</v>
      </c>
      <c r="CV44" s="157"/>
      <c r="CW44" s="157"/>
      <c r="DY44" s="776">
        <v>42196</v>
      </c>
      <c r="DZ44" s="776" t="s">
        <v>2386</v>
      </c>
      <c r="EA44" s="776" t="s">
        <v>2180</v>
      </c>
      <c r="EB44" s="777">
        <v>100000000000</v>
      </c>
      <c r="EC44" s="776">
        <v>11.68</v>
      </c>
      <c r="ED44" s="778">
        <v>2.4</v>
      </c>
      <c r="EE44" s="72">
        <f>_xlfn.XLOOKUP(DY44,Outstanding_pos_BB_MSB[BondsDeals_Id],Outstanding_pos_BB_MSB[ItD adj])</f>
        <v>-20090223771.143299</v>
      </c>
      <c r="EF44" s="32">
        <f>_xlfn.XLOOKUP(DY44,Outstanding_pos_BB_MSB[BondsDeals_Id],Outstanding_pos_BB_MSB[Yield])</f>
        <v>2.4</v>
      </c>
      <c r="EG44" s="71">
        <f>_xlfn.XLOOKUP(BB_tufund[[#This Row],[Deal ID]],Outstanding_pos_BB_MSB[BondsDeals_Id],Outstanding_pos_BB_MSB[Total Rate])</f>
        <v>4.4000000000000004</v>
      </c>
      <c r="EH44" s="124">
        <f>_xlfn.XLOOKUP(DY44,Outstanding_pos_BB_MSB[BondsDeals_Id],Outstanding_pos_BB_MSB[Mature Date])</f>
        <v>50438</v>
      </c>
      <c r="EI44" s="787">
        <f>(BB_tufund[[#This Row],[Amt]]/10^9)/(_xlfn.XLOOKUP(BB_tufund[[#This Row],[Bond code]],Bankingbook_MSB[Security Name],Bankingbook_MSB[QUANTITY])/10^4)</f>
        <v>0.2857142857142857</v>
      </c>
      <c r="EJ44" s="72">
        <f>_xlfn.XLOOKUP(BB_tufund[[#This Row],[Bond code]],Bankingbook_MSB[Security Name],Bankingbook_MSB[MARKET_VALUE])*BB_tufund[[#This Row],[% amt FNRP]]</f>
        <v>99219000000</v>
      </c>
      <c r="EK44" s="71">
        <f>_xlfn.XLOOKUP(BB_tufund[[#This Row],[Bond code]],Bankingbook_MSB[Security Name],Bankingbook_MSB[BPV_edited])
/10^9*BB_tufund[[#This Row],[% amt FNRP]]</f>
        <v>-8.7691014202176412E-2</v>
      </c>
    </row>
    <row r="45" spans="2:141" x14ac:dyDescent="0.3">
      <c r="B45">
        <v>49769</v>
      </c>
      <c r="C45" s="35">
        <v>46156</v>
      </c>
      <c r="D45" t="s">
        <v>2835</v>
      </c>
      <c r="E45" t="s">
        <v>824</v>
      </c>
      <c r="F45" t="s">
        <v>823</v>
      </c>
      <c r="G45" s="500">
        <v>200000000000</v>
      </c>
      <c r="H45">
        <v>2.7</v>
      </c>
      <c r="I45" s="35" t="s">
        <v>3474</v>
      </c>
      <c r="J45">
        <v>3.25</v>
      </c>
      <c r="K45">
        <v>12.73</v>
      </c>
      <c r="L45" t="s">
        <v>2740</v>
      </c>
      <c r="M45">
        <v>4.5199999999999996</v>
      </c>
      <c r="N45" s="114">
        <v>-23086000000</v>
      </c>
      <c r="O45">
        <v>10.17</v>
      </c>
      <c r="P45" s="500">
        <v>-84822127.340000004</v>
      </c>
      <c r="Q45" s="500">
        <v>747000000</v>
      </c>
      <c r="R45">
        <v>125.77</v>
      </c>
      <c r="S4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-23322442607.562988</v>
      </c>
      <c r="T45" s="72">
        <f>VLOOKUP(Outstanding_pos_TB_MSB[[#This Row],[Bonds_ShortName]],FNRP!D:J,7,0)</f>
        <v>6000000</v>
      </c>
      <c r="U45" s="72">
        <f>SUMIFS(Outstanding_pos_TB_MSB[Amt],Outstanding_pos_TB_MSB[Bonds_ShortName],Outstanding_pos_TB_MSB[[#This Row],[Bonds_ShortName]])/100000-Outstanding_pos_TB_MSB[[#This Row],[Quantity FNRP]]</f>
        <v>0</v>
      </c>
      <c r="V45" s="162" t="str">
        <f>INDEX(Ref!$I$1:$K$13,MATCH(Outstanding_pos_TB_MSB[[#This Row],[Tenor left]],Ref!$I$1:$I$13,1),3)</f>
        <v>15Y</v>
      </c>
      <c r="W45" s="72">
        <f>IF(RPT-VLOOKUP(Outstanding_pos_TB_MSB[[#This Row],[Bonds_ShortName]],CT:CU,2,0)&lt;=0,0,RPT-VLOOKUP(Outstanding_pos_TB_MSB[[#This Row],[Bonds_ShortName]],CT:CU,2,0))</f>
        <v>0</v>
      </c>
      <c r="X45" s="72">
        <f>IF(RPT-Outstanding_pos_TB_MSB[[#This Row],[VALUE_DATE]]&lt;=0,0,RPT-Outstanding_pos_TB_MSB[[#This Row],[VALUE_DATE]])</f>
        <v>96</v>
      </c>
      <c r="Y45" s="72" t="str">
        <f>_xlfn.XLOOKUP(Outstanding_pos_TB_MSB[[#This Row],[Time hold/Deal]],Ref!S:S,Ref!U:U,,-1)</f>
        <v>6M</v>
      </c>
      <c r="AB45">
        <v>42091</v>
      </c>
      <c r="AC45" s="35">
        <v>45401</v>
      </c>
      <c r="AD45" t="s">
        <v>665</v>
      </c>
      <c r="AE45" t="s">
        <v>2180</v>
      </c>
      <c r="AF45" t="s">
        <v>823</v>
      </c>
      <c r="AG45" s="500">
        <v>300000000000</v>
      </c>
      <c r="AH45">
        <v>5.3</v>
      </c>
      <c r="AI45">
        <v>48947</v>
      </c>
      <c r="AJ45">
        <v>2.33</v>
      </c>
      <c r="AK45">
        <v>7.38</v>
      </c>
      <c r="AL45" s="645" t="s">
        <v>2746</v>
      </c>
      <c r="AM45">
        <v>4.33</v>
      </c>
      <c r="AN45" s="500">
        <v>-58548000000</v>
      </c>
      <c r="AO45">
        <v>5.89</v>
      </c>
      <c r="AP45">
        <v>-64387758.649999999</v>
      </c>
      <c r="AQ45">
        <v>3311000000</v>
      </c>
      <c r="AR45">
        <v>44.74</v>
      </c>
      <c r="AS45" s="72">
        <f>SUM(_xlfn.IFNA(VLOOKUP(Outstanding_pos_BB_MSB[[#This Row],[Bonds_ShortName]],FNRP!AV:BA,6,0)*Outstanding_pos_BB_MSB[[#This Row],[Amt]]/10^4,0),_xlfn.IFNA((VLOOKUP(Outstanding_pos_BB_MSB[[#This Row],[Bonds_ShortName]],FNRP!IK:IP,6,0)*Outstanding_pos_BB_MSB[[#This Row],[Amt]]/10^4),0))</f>
        <v>3180390000000</v>
      </c>
      <c r="AT45" s="72">
        <f>(_xlfn.XLOOKUP(Outstanding_pos_BB_MSB[[#This Row],[Bonds_ShortName]],FNRP!AV:AV,FNRP!BA:BA,,0)
-_xlfn.XLOOKUP(Outstanding_pos_BB_MSB[[#This Row],[BondsDeals_Id]],BS!AL:AL,BS!AR:AR,_xlfn.XLOOKUP(Outstanding_pos_BB_MSB[[#This Row],[BondsDeals_Id]],BS!BA:BA,BS!BQ:BQ,,0),0)-10^5)
*Outstanding_pos_BB_MSB[[#This Row],[Amt]]/10^5</f>
        <v>-40140793681.173889</v>
      </c>
      <c r="AU45" s="72">
        <f>VLOOKUP(Outstanding_pos_BB_MSB[[#This Row],[Bonds_ShortName]],FNRP!AV:CD,35,0)</f>
        <v>3000000</v>
      </c>
      <c r="AV45" s="157">
        <f>SUMIFS(AG$1:AG$103,AD$1:AD$103,Outstanding_pos_BB_MSB[[#This Row],[Bonds_ShortName]])/10^5-Outstanding_pos_BB_MSB[[#This Row],[Quantity FNRP]]</f>
        <v>0</v>
      </c>
      <c r="AW45" s="72">
        <f>IF(RPT-Outstanding_pos_BB_MSB[[#This Row],[Value Date]]&lt;=0,0,RPT-Outstanding_pos_BB_MSB[[#This Row],[Value Date]])</f>
        <v>851</v>
      </c>
      <c r="AX45" s="32" t="str">
        <f>INDEX(Ref!$I$1:$K$13,MATCH(Outstanding_pos_BB_MSB[[#This Row],[Tenor left]],Ref!$I$1:$I$13,1),3)</f>
        <v>7Y</v>
      </c>
      <c r="AY45" s="72" t="str">
        <f>_xlfn.XLOOKUP(Outstanding_pos_BB_MSB[[#This Row],[Time hold/Deal]],Ref!S:S,Ref!U:U,,-1)</f>
        <v>2Y</v>
      </c>
      <c r="BC45"/>
      <c r="BD45"/>
      <c r="BG45"/>
      <c r="BH45"/>
      <c r="BJ45"/>
      <c r="BN45"/>
      <c r="BO45"/>
      <c r="BQ45"/>
      <c r="BR45"/>
      <c r="BX45">
        <v>42020</v>
      </c>
      <c r="BY45" s="502">
        <v>45399</v>
      </c>
      <c r="BZ45" t="s">
        <v>2800</v>
      </c>
      <c r="CA45" t="s">
        <v>2180</v>
      </c>
      <c r="CB45" t="s">
        <v>823</v>
      </c>
      <c r="CC45" s="500">
        <v>250000000000</v>
      </c>
      <c r="CD45">
        <v>2.2999999999999998</v>
      </c>
      <c r="CE45" s="502">
        <v>50781</v>
      </c>
      <c r="CF45">
        <v>2.4900000000000002</v>
      </c>
      <c r="CG45">
        <v>12.41</v>
      </c>
      <c r="CH45" t="s">
        <v>2740</v>
      </c>
      <c r="CI45">
        <v>4.51</v>
      </c>
      <c r="CJ45" s="500">
        <v>-45825000000</v>
      </c>
      <c r="CK45">
        <v>10.07</v>
      </c>
      <c r="CL45" s="500">
        <v>-81298587.519999996</v>
      </c>
      <c r="CM45" s="500">
        <v>1386000000</v>
      </c>
      <c r="CN45">
        <v>122.75</v>
      </c>
      <c r="CO4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-46758626650.665138</v>
      </c>
      <c r="CP45" s="72">
        <f>RPT-VLOOKUP(Outstanding_pos_BB_SBV[[#This Row],[Bonds_ShortName]],CT:CU,2,0)</f>
        <v>249</v>
      </c>
      <c r="CQ45" s="157">
        <f>SUMIFS(CC:CC,BZ:BZ,Outstanding_pos_BB_SBV[[#This Row],[Bonds_ShortName]])/10^5-VLOOKUP(Outstanding_pos_BB_SBV[[#This Row],[Bonds_ShortName]],FNRP!EE:FL,34,0)</f>
        <v>0</v>
      </c>
      <c r="CT45" t="s">
        <v>730</v>
      </c>
      <c r="CU45" s="502">
        <v>46225</v>
      </c>
      <c r="CV45" s="157"/>
      <c r="CW45" s="157"/>
      <c r="DY45" s="776">
        <v>45230</v>
      </c>
      <c r="DZ45" s="776" t="s">
        <v>2386</v>
      </c>
      <c r="EA45" s="776" t="s">
        <v>2180</v>
      </c>
      <c r="EB45" s="777">
        <v>50000000000</v>
      </c>
      <c r="EC45" s="776">
        <v>11.68</v>
      </c>
      <c r="ED45" s="778">
        <v>2.4900000000000002</v>
      </c>
      <c r="EE45" s="72">
        <f>_xlfn.XLOOKUP(DY45,Outstanding_pos_BB_MSB[BondsDeals_Id],Outstanding_pos_BB_MSB[ItD adj])</f>
        <v>-9637179380.7686996</v>
      </c>
      <c r="EF45" s="32">
        <f>_xlfn.XLOOKUP(DY45,Outstanding_pos_BB_MSB[BondsDeals_Id],Outstanding_pos_BB_MSB[Yield])</f>
        <v>2.4900000000000002</v>
      </c>
      <c r="EG45" s="71">
        <f>_xlfn.XLOOKUP(BB_tufund[[#This Row],[Deal ID]],Outstanding_pos_BB_MSB[BondsDeals_Id],Outstanding_pos_BB_MSB[Total Rate])</f>
        <v>4.4000000000000004</v>
      </c>
      <c r="EH45" s="124">
        <f>_xlfn.XLOOKUP(DY45,Outstanding_pos_BB_MSB[BondsDeals_Id],Outstanding_pos_BB_MSB[Mature Date])</f>
        <v>50438</v>
      </c>
      <c r="EI45" s="787">
        <f>(BB_tufund[[#This Row],[Amt]]/10^9)/(_xlfn.XLOOKUP(BB_tufund[[#This Row],[Bond code]],Bankingbook_MSB[Security Name],Bankingbook_MSB[QUANTITY])/10^4)</f>
        <v>0.14285714285714285</v>
      </c>
      <c r="EJ45" s="72">
        <f>_xlfn.XLOOKUP(BB_tufund[[#This Row],[Bond code]],Bankingbook_MSB[Security Name],Bankingbook_MSB[MARKET_VALUE])*BB_tufund[[#This Row],[% amt FNRP]]</f>
        <v>49609500000</v>
      </c>
      <c r="EK45" s="71">
        <f>_xlfn.XLOOKUP(BB_tufund[[#This Row],[Bond code]],Bankingbook_MSB[Security Name],Bankingbook_MSB[BPV_edited])
/10^9*BB_tufund[[#This Row],[% amt FNRP]]</f>
        <v>-4.3845507101088206E-2</v>
      </c>
    </row>
    <row r="46" spans="2:141" x14ac:dyDescent="0.3">
      <c r="B46">
        <v>49925</v>
      </c>
      <c r="C46" s="35">
        <v>46178</v>
      </c>
      <c r="D46" t="s">
        <v>2834</v>
      </c>
      <c r="E46" t="s">
        <v>824</v>
      </c>
      <c r="F46" t="s">
        <v>823</v>
      </c>
      <c r="G46" s="500">
        <v>250000000000</v>
      </c>
      <c r="H46">
        <v>2.7</v>
      </c>
      <c r="I46" t="s">
        <v>3493</v>
      </c>
      <c r="J46">
        <v>3.05</v>
      </c>
      <c r="K46">
        <v>7.88</v>
      </c>
      <c r="L46" t="s">
        <v>2747</v>
      </c>
      <c r="M46">
        <v>4.3499999999999996</v>
      </c>
      <c r="N46" s="37">
        <v>-20842500000</v>
      </c>
      <c r="O46">
        <v>6.83</v>
      </c>
      <c r="P46" s="500">
        <v>-61147016.689999998</v>
      </c>
      <c r="Q46" s="500">
        <v>333000000</v>
      </c>
      <c r="R46">
        <v>56.21</v>
      </c>
      <c r="S4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-20998587848.094212</v>
      </c>
      <c r="T46" s="72">
        <f>VLOOKUP(Outstanding_pos_TB_MSB[[#This Row],[Bonds_ShortName]],FNRP!D:J,7,0)</f>
        <v>8500000</v>
      </c>
      <c r="U46" s="72">
        <f>SUMIFS(Outstanding_pos_TB_MSB[Amt],Outstanding_pos_TB_MSB[Bonds_ShortName],Outstanding_pos_TB_MSB[[#This Row],[Bonds_ShortName]])/100000-Outstanding_pos_TB_MSB[[#This Row],[Quantity FNRP]]</f>
        <v>0</v>
      </c>
      <c r="V46" s="162" t="str">
        <f>INDEX(Ref!$I$1:$K$13,MATCH(Outstanding_pos_TB_MSB[[#This Row],[Tenor left]],Ref!$I$1:$I$13,1),3)</f>
        <v>10Y</v>
      </c>
      <c r="W46" s="72">
        <f>IF(RPT-VLOOKUP(Outstanding_pos_TB_MSB[[#This Row],[Bonds_ShortName]],CT:CU,2,0)&lt;=0,0,RPT-VLOOKUP(Outstanding_pos_TB_MSB[[#This Row],[Bonds_ShortName]],CT:CU,2,0))</f>
        <v>67</v>
      </c>
      <c r="X46" s="72">
        <f>IF(RPT-Outstanding_pos_TB_MSB[[#This Row],[VALUE_DATE]]&lt;=0,0,RPT-Outstanding_pos_TB_MSB[[#This Row],[VALUE_DATE]])</f>
        <v>74</v>
      </c>
      <c r="Y46" s="72" t="str">
        <f>_xlfn.XLOOKUP(Outstanding_pos_TB_MSB[[#This Row],[Time hold/Deal]],Ref!S:S,Ref!U:U,,-1)</f>
        <v>3M</v>
      </c>
      <c r="AB46">
        <v>42093</v>
      </c>
      <c r="AC46" s="35">
        <v>45401</v>
      </c>
      <c r="AD46" t="s">
        <v>668</v>
      </c>
      <c r="AE46" t="s">
        <v>2180</v>
      </c>
      <c r="AF46" t="s">
        <v>823</v>
      </c>
      <c r="AG46" s="500">
        <v>250000000000</v>
      </c>
      <c r="AH46">
        <v>5</v>
      </c>
      <c r="AI46">
        <v>49094</v>
      </c>
      <c r="AJ46">
        <v>2.36</v>
      </c>
      <c r="AK46">
        <v>7.78</v>
      </c>
      <c r="AL46" s="645" t="s">
        <v>2747</v>
      </c>
      <c r="AM46">
        <v>4.3499999999999996</v>
      </c>
      <c r="AN46" s="500">
        <v>-48180000000</v>
      </c>
      <c r="AO46">
        <v>6.32</v>
      </c>
      <c r="AP46">
        <v>-66566567.390000001</v>
      </c>
      <c r="AQ46">
        <v>1110000000</v>
      </c>
      <c r="AR46">
        <v>50.28</v>
      </c>
      <c r="AS46" s="72">
        <f>SUM(_xlfn.IFNA(VLOOKUP(Outstanding_pos_BB_MSB[[#This Row],[Bonds_ShortName]],FNRP!AV:BA,6,0)*Outstanding_pos_BB_MSB[[#This Row],[Amt]]/10^4,0),_xlfn.IFNA((VLOOKUP(Outstanding_pos_BB_MSB[[#This Row],[Bonds_ShortName]],FNRP!IK:IP,6,0)*Outstanding_pos_BB_MSB[[#This Row],[Amt]]/10^4),0))</f>
        <v>2605700000000</v>
      </c>
      <c r="AT46" s="72">
        <f>(_xlfn.XLOOKUP(Outstanding_pos_BB_MSB[[#This Row],[Bonds_ShortName]],FNRP!AV:AV,FNRP!BA:BA,,0)
-_xlfn.XLOOKUP(Outstanding_pos_BB_MSB[[#This Row],[BondsDeals_Id]],BS!AL:AL,BS!AR:AR,_xlfn.XLOOKUP(Outstanding_pos_BB_MSB[[#This Row],[BondsDeals_Id]],BS!BA:BA,BS!BQ:BQ,,0),0)-10^5)
*Outstanding_pos_BB_MSB[[#This Row],[Amt]]/10^5</f>
        <v>-34624265835.23098</v>
      </c>
      <c r="AU46" s="72">
        <f>VLOOKUP(Outstanding_pos_BB_MSB[[#This Row],[Bonds_ShortName]],FNRP!AV:CD,35,0)</f>
        <v>2500000</v>
      </c>
      <c r="AV46" s="157">
        <f>SUMIFS(AG$1:AG$103,AD$1:AD$103,Outstanding_pos_BB_MSB[[#This Row],[Bonds_ShortName]])/10^5-Outstanding_pos_BB_MSB[[#This Row],[Quantity FNRP]]</f>
        <v>0</v>
      </c>
      <c r="AW46" s="72">
        <f>IF(RPT-Outstanding_pos_BB_MSB[[#This Row],[Value Date]]&lt;=0,0,RPT-Outstanding_pos_BB_MSB[[#This Row],[Value Date]])</f>
        <v>851</v>
      </c>
      <c r="AX46" s="32" t="str">
        <f>INDEX(Ref!$I$1:$K$13,MATCH(Outstanding_pos_BB_MSB[[#This Row],[Tenor left]],Ref!$I$1:$I$13,1),3)</f>
        <v>10Y</v>
      </c>
      <c r="AY46" s="72" t="str">
        <f>_xlfn.XLOOKUP(Outstanding_pos_BB_MSB[[#This Row],[Time hold/Deal]],Ref!S:S,Ref!U:U,,-1)</f>
        <v>2Y</v>
      </c>
      <c r="BC46"/>
      <c r="BD46"/>
      <c r="BG46"/>
      <c r="BH46"/>
      <c r="BJ46"/>
      <c r="BN46"/>
      <c r="BO46"/>
      <c r="BQ46"/>
      <c r="BR46"/>
      <c r="BX46">
        <v>42022</v>
      </c>
      <c r="BY46" s="502">
        <v>45399</v>
      </c>
      <c r="BZ46" t="s">
        <v>672</v>
      </c>
      <c r="CA46" t="s">
        <v>2180</v>
      </c>
      <c r="CB46" t="s">
        <v>823</v>
      </c>
      <c r="CC46" s="500">
        <v>100000000000</v>
      </c>
      <c r="CD46">
        <v>4</v>
      </c>
      <c r="CE46" s="502">
        <v>49234</v>
      </c>
      <c r="CF46">
        <v>2.3199999999999998</v>
      </c>
      <c r="CG46">
        <v>8.17</v>
      </c>
      <c r="CH46" t="s">
        <v>2747</v>
      </c>
      <c r="CI46">
        <v>4.3600000000000003</v>
      </c>
      <c r="CJ46" s="500">
        <v>-17944000000</v>
      </c>
      <c r="CK46">
        <v>6.59</v>
      </c>
      <c r="CL46" s="500">
        <v>-66457608.850000001</v>
      </c>
      <c r="CM46" s="500">
        <v>3353000000</v>
      </c>
      <c r="CN46">
        <v>55.07</v>
      </c>
      <c r="CO4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-14497487874.836994</v>
      </c>
      <c r="CP46" s="72">
        <f>RPT-VLOOKUP(Outstanding_pos_BB_SBV[[#This Row],[Bonds_ShortName]],CT:CU,2,0)</f>
        <v>855</v>
      </c>
      <c r="CQ46" s="157">
        <f>SUMIFS(CC:CC,BZ:BZ,Outstanding_pos_BB_SBV[[#This Row],[Bonds_ShortName]])/10^5-VLOOKUP(Outstanding_pos_BB_SBV[[#This Row],[Bonds_ShortName]],FNRP!EE:FL,34,0)</f>
        <v>0</v>
      </c>
      <c r="CT46" t="s">
        <v>666</v>
      </c>
      <c r="CU46" s="502">
        <v>46245</v>
      </c>
      <c r="CV46" s="157"/>
      <c r="CW46" s="157"/>
      <c r="DY46" s="776">
        <v>45142</v>
      </c>
      <c r="DZ46" s="776" t="s">
        <v>2496</v>
      </c>
      <c r="EA46" s="776" t="s">
        <v>2180</v>
      </c>
      <c r="EB46" s="777">
        <v>250000000000</v>
      </c>
      <c r="EC46" s="776">
        <v>11.81</v>
      </c>
      <c r="ED46" s="778">
        <v>2.64</v>
      </c>
      <c r="EE46" s="72">
        <f>_xlfn.XLOOKUP(DY46,Outstanding_pos_BB_MSB[BondsDeals_Id],Outstanding_pos_BB_MSB[ItD adj])</f>
        <v>-43424451004.764816</v>
      </c>
      <c r="EF46" s="32">
        <f>_xlfn.XLOOKUP(DY46,Outstanding_pos_BB_MSB[BondsDeals_Id],Outstanding_pos_BB_MSB[Yield])</f>
        <v>2.64</v>
      </c>
      <c r="EG46" s="71">
        <f>_xlfn.XLOOKUP(BB_tufund[[#This Row],[Deal ID]],Outstanding_pos_BB_MSB[BondsDeals_Id],Outstanding_pos_BB_MSB[Total Rate])</f>
        <v>3.8</v>
      </c>
      <c r="EH46" s="124">
        <f>_xlfn.XLOOKUP(DY46,Outstanding_pos_BB_MSB[BondsDeals_Id],Outstanding_pos_BB_MSB[Mature Date])</f>
        <v>50487</v>
      </c>
      <c r="EI46" s="787">
        <f>(BB_tufund[[#This Row],[Amt]]/10^9)/(_xlfn.XLOOKUP(BB_tufund[[#This Row],[Bond code]],Bankingbook_MSB[Security Name],Bankingbook_MSB[QUANTITY])/10^4)</f>
        <v>0.7142857142857143</v>
      </c>
      <c r="EJ46" s="72">
        <f>_xlfn.XLOOKUP(BB_tufund[[#This Row],[Bond code]],Bankingbook_MSB[Security Name],Bankingbook_MSB[MARKET_VALUE])*BB_tufund[[#This Row],[% amt FNRP]]</f>
        <v>234630000000</v>
      </c>
      <c r="EK46" s="71">
        <f>_xlfn.XLOOKUP(BB_tufund[[#This Row],[Bond code]],Bankingbook_MSB[Security Name],Bankingbook_MSB[BPV_edited])
/10^9*BB_tufund[[#This Row],[% amt FNRP]]</f>
        <v>-0.21366505112251089</v>
      </c>
    </row>
    <row r="47" spans="2:141" x14ac:dyDescent="0.3">
      <c r="B47">
        <v>49930</v>
      </c>
      <c r="C47" s="35">
        <v>46181</v>
      </c>
      <c r="D47" t="s">
        <v>2381</v>
      </c>
      <c r="E47" t="s">
        <v>824</v>
      </c>
      <c r="F47" t="s">
        <v>823</v>
      </c>
      <c r="G47" s="500">
        <v>300000000000</v>
      </c>
      <c r="H47">
        <v>4.5</v>
      </c>
      <c r="I47" t="s">
        <v>3444</v>
      </c>
      <c r="J47">
        <v>2.9</v>
      </c>
      <c r="K47">
        <v>6.39</v>
      </c>
      <c r="L47" t="s">
        <v>3644</v>
      </c>
      <c r="M47">
        <v>4.29</v>
      </c>
      <c r="N47" s="37">
        <v>-24891000000</v>
      </c>
      <c r="O47">
        <v>5.32</v>
      </c>
      <c r="P47" s="500">
        <v>-55279932.649999999</v>
      </c>
      <c r="Q47" s="500">
        <v>2774000000</v>
      </c>
      <c r="R47">
        <v>36.159999999999997</v>
      </c>
      <c r="S4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-24043357241.803894</v>
      </c>
      <c r="T47" s="72">
        <f>VLOOKUP(Outstanding_pos_TB_MSB[[#This Row],[Bonds_ShortName]],FNRP!D:J,7,0)</f>
        <v>5000000</v>
      </c>
      <c r="U47" s="72">
        <f>SUMIFS(Outstanding_pos_TB_MSB[Amt],Outstanding_pos_TB_MSB[Bonds_ShortName],Outstanding_pos_TB_MSB[[#This Row],[Bonds_ShortName]])/100000-Outstanding_pos_TB_MSB[[#This Row],[Quantity FNRP]]</f>
        <v>0</v>
      </c>
      <c r="V47" s="162" t="str">
        <f>INDEX(Ref!$I$1:$K$13,MATCH(Outstanding_pos_TB_MSB[[#This Row],[Tenor left]],Ref!$I$1:$I$13,1),3)</f>
        <v>7Y</v>
      </c>
      <c r="W47" s="72">
        <f>IF(RPT-VLOOKUP(Outstanding_pos_TB_MSB[[#This Row],[Bonds_ShortName]],CT:CU,2,0)&lt;=0,0,RPT-VLOOKUP(Outstanding_pos_TB_MSB[[#This Row],[Bonds_ShortName]],CT:CU,2,0))</f>
        <v>74</v>
      </c>
      <c r="X47" s="72">
        <f>IF(RPT-Outstanding_pos_TB_MSB[[#This Row],[VALUE_DATE]]&lt;=0,0,RPT-Outstanding_pos_TB_MSB[[#This Row],[VALUE_DATE]])</f>
        <v>71</v>
      </c>
      <c r="Y47" s="72" t="str">
        <f>_xlfn.XLOOKUP(Outstanding_pos_TB_MSB[[#This Row],[Time hold/Deal]],Ref!S:S,Ref!U:U,,-1)</f>
        <v>3M</v>
      </c>
      <c r="AB47">
        <v>42190</v>
      </c>
      <c r="AC47" s="35">
        <v>45406</v>
      </c>
      <c r="AD47" t="s">
        <v>713</v>
      </c>
      <c r="AE47" t="s">
        <v>2180</v>
      </c>
      <c r="AF47" t="s">
        <v>823</v>
      </c>
      <c r="AG47" s="500">
        <v>200000000000</v>
      </c>
      <c r="AH47">
        <v>3.3</v>
      </c>
      <c r="AI47">
        <v>51368</v>
      </c>
      <c r="AJ47">
        <v>2.71</v>
      </c>
      <c r="AK47">
        <v>14.01</v>
      </c>
      <c r="AL47" s="645" t="s">
        <v>2740</v>
      </c>
      <c r="AM47">
        <v>4.55</v>
      </c>
      <c r="AN47" s="500">
        <v>-40896000000</v>
      </c>
      <c r="AO47">
        <v>10.73</v>
      </c>
      <c r="AP47">
        <v>-93621000.530000001</v>
      </c>
      <c r="AQ47">
        <v>-9000000</v>
      </c>
      <c r="AR47">
        <v>142.36000000000001</v>
      </c>
      <c r="AS47" s="72">
        <f>SUM(_xlfn.IFNA(VLOOKUP(Outstanding_pos_BB_MSB[[#This Row],[Bonds_ShortName]],FNRP!AV:BA,6,0)*Outstanding_pos_BB_MSB[[#This Row],[Amt]]/10^4,0),_xlfn.IFNA((VLOOKUP(Outstanding_pos_BB_MSB[[#This Row],[Bonds_ShortName]],FNRP!IK:IP,6,0)*Outstanding_pos_BB_MSB[[#This Row],[Amt]]/10^4),0))</f>
        <v>1744800000000</v>
      </c>
      <c r="AT47" s="72">
        <f>(_xlfn.XLOOKUP(Outstanding_pos_BB_MSB[[#This Row],[Bonds_ShortName]],FNRP!AV:AV,FNRP!BA:BA,,0)
-_xlfn.XLOOKUP(Outstanding_pos_BB_MSB[[#This Row],[BondsDeals_Id]],BS!AL:AL,BS!AR:AR,_xlfn.XLOOKUP(Outstanding_pos_BB_MSB[[#This Row],[BondsDeals_Id]],BS!BA:BA,BS!BQ:BQ,,0),0)-10^5)
*Outstanding_pos_BB_MSB[[#This Row],[Amt]]/10^5</f>
        <v>-38714905934.305191</v>
      </c>
      <c r="AU47" s="72">
        <f>VLOOKUP(Outstanding_pos_BB_MSB[[#This Row],[Bonds_ShortName]],FNRP!AV:CD,35,0)</f>
        <v>10000000</v>
      </c>
      <c r="AV47" s="157">
        <f>SUMIFS(AG$1:AG$103,AD$1:AD$103,Outstanding_pos_BB_MSB[[#This Row],[Bonds_ShortName]])/10^5-Outstanding_pos_BB_MSB[[#This Row],[Quantity FNRP]]</f>
        <v>0</v>
      </c>
      <c r="AW47" s="72">
        <f>IF(RPT-Outstanding_pos_BB_MSB[[#This Row],[Value Date]]&lt;=0,0,RPT-Outstanding_pos_BB_MSB[[#This Row],[Value Date]])</f>
        <v>846</v>
      </c>
      <c r="AX47" s="32" t="str">
        <f>INDEX(Ref!$I$1:$K$13,MATCH(Outstanding_pos_BB_MSB[[#This Row],[Tenor left]],Ref!$I$1:$I$13,1),3)</f>
        <v>15Y</v>
      </c>
      <c r="AY47" s="72" t="str">
        <f>_xlfn.XLOOKUP(Outstanding_pos_BB_MSB[[#This Row],[Time hold/Deal]],Ref!S:S,Ref!U:U,,-1)</f>
        <v>2Y</v>
      </c>
      <c r="BC47"/>
      <c r="BD47"/>
      <c r="BG47"/>
      <c r="BH47"/>
      <c r="BJ47"/>
      <c r="BN47"/>
      <c r="BO47"/>
      <c r="BQ47"/>
      <c r="BR47"/>
      <c r="BX47">
        <v>42024</v>
      </c>
      <c r="BY47" s="502">
        <v>45399</v>
      </c>
      <c r="BZ47" t="s">
        <v>688</v>
      </c>
      <c r="CA47" t="s">
        <v>2180</v>
      </c>
      <c r="CB47" t="s">
        <v>823</v>
      </c>
      <c r="CC47" s="500">
        <v>100000000000</v>
      </c>
      <c r="CD47">
        <v>3</v>
      </c>
      <c r="CE47" s="502">
        <v>49548</v>
      </c>
      <c r="CF47">
        <v>2.36</v>
      </c>
      <c r="CG47">
        <v>9.0299999999999994</v>
      </c>
      <c r="CH47" t="s">
        <v>2743</v>
      </c>
      <c r="CI47">
        <v>4.4000000000000004</v>
      </c>
      <c r="CJ47" s="500">
        <v>-16567000000</v>
      </c>
      <c r="CK47">
        <v>7.39</v>
      </c>
      <c r="CL47" s="500">
        <v>-68514433.450000003</v>
      </c>
      <c r="CM47" s="500">
        <v>2934000000</v>
      </c>
      <c r="CN47">
        <v>68</v>
      </c>
      <c r="CO4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-15272198594.170433</v>
      </c>
      <c r="CP47" s="72">
        <f>RPT-VLOOKUP(Outstanding_pos_BB_SBV[[#This Row],[Bonds_ShortName]],CT:CU,2,0)</f>
        <v>78</v>
      </c>
      <c r="CQ47" s="157">
        <f>SUMIFS(CC:CC,BZ:BZ,Outstanding_pos_BB_SBV[[#This Row],[Bonds_ShortName]])/10^5-VLOOKUP(Outstanding_pos_BB_SBV[[#This Row],[Bonds_ShortName]],FNRP!EE:FL,34,0)</f>
        <v>0</v>
      </c>
      <c r="CT47" t="s">
        <v>729</v>
      </c>
      <c r="CU47" s="502">
        <v>46246</v>
      </c>
      <c r="CV47" s="157"/>
      <c r="CW47" s="157"/>
      <c r="DY47" s="776">
        <v>45204</v>
      </c>
      <c r="DZ47" s="776" t="s">
        <v>2496</v>
      </c>
      <c r="EA47" s="776" t="s">
        <v>2180</v>
      </c>
      <c r="EB47" s="777">
        <v>100000000000</v>
      </c>
      <c r="EC47" s="776">
        <v>11.81</v>
      </c>
      <c r="ED47" s="778">
        <v>2.61</v>
      </c>
      <c r="EE47" s="72">
        <f>_xlfn.XLOOKUP(DY47,Outstanding_pos_BB_MSB[BondsDeals_Id],Outstanding_pos_BB_MSB[ItD adj])</f>
        <v>-17687711794.019894</v>
      </c>
      <c r="EF47" s="32">
        <f>_xlfn.XLOOKUP(DY47,Outstanding_pos_BB_MSB[BondsDeals_Id],Outstanding_pos_BB_MSB[Yield])</f>
        <v>2.61</v>
      </c>
      <c r="EG47" s="71">
        <f>_xlfn.XLOOKUP(BB_tufund[[#This Row],[Deal ID]],Outstanding_pos_BB_MSB[BondsDeals_Id],Outstanding_pos_BB_MSB[Total Rate])</f>
        <v>3.8</v>
      </c>
      <c r="EH47" s="124">
        <f>_xlfn.XLOOKUP(DY47,Outstanding_pos_BB_MSB[BondsDeals_Id],Outstanding_pos_BB_MSB[Mature Date])</f>
        <v>50487</v>
      </c>
      <c r="EI47" s="787">
        <f>(BB_tufund[[#This Row],[Amt]]/10^9)/(_xlfn.XLOOKUP(BB_tufund[[#This Row],[Bond code]],Bankingbook_MSB[Security Name],Bankingbook_MSB[QUANTITY])/10^4)</f>
        <v>0.2857142857142857</v>
      </c>
      <c r="EJ47" s="72">
        <f>_xlfn.XLOOKUP(BB_tufund[[#This Row],[Bond code]],Bankingbook_MSB[Security Name],Bankingbook_MSB[MARKET_VALUE])*BB_tufund[[#This Row],[% amt FNRP]]</f>
        <v>93852000000</v>
      </c>
      <c r="EK47" s="71">
        <f>_xlfn.XLOOKUP(BB_tufund[[#This Row],[Bond code]],Bankingbook_MSB[Security Name],Bankingbook_MSB[BPV_edited])
/10^9*BB_tufund[[#This Row],[% amt FNRP]]</f>
        <v>-8.5466020449004351E-2</v>
      </c>
    </row>
    <row r="48" spans="2:141" x14ac:dyDescent="0.3">
      <c r="B48">
        <v>49933</v>
      </c>
      <c r="C48" s="35">
        <v>46188</v>
      </c>
      <c r="D48" t="s">
        <v>2839</v>
      </c>
      <c r="E48" t="s">
        <v>2176</v>
      </c>
      <c r="F48" t="s">
        <v>823</v>
      </c>
      <c r="G48" s="500">
        <v>450000000000</v>
      </c>
      <c r="H48">
        <v>2.7</v>
      </c>
      <c r="I48" t="s">
        <v>3495</v>
      </c>
      <c r="J48">
        <v>3.03</v>
      </c>
      <c r="K48">
        <v>8</v>
      </c>
      <c r="L48" t="s">
        <v>2747</v>
      </c>
      <c r="M48">
        <v>4.3499999999999996</v>
      </c>
      <c r="N48" s="37">
        <v>-38848500000</v>
      </c>
      <c r="O48">
        <v>6.94</v>
      </c>
      <c r="P48" s="500">
        <v>-61803446.899999999</v>
      </c>
      <c r="Q48" s="500">
        <v>22000000</v>
      </c>
      <c r="R48">
        <v>57.83</v>
      </c>
      <c r="S4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-39078779216.93251</v>
      </c>
      <c r="T48" s="72">
        <f>VLOOKUP(Outstanding_pos_TB_MSB[[#This Row],[Bonds_ShortName]],FNRP!D:J,7,0)</f>
        <v>7500000</v>
      </c>
      <c r="U48" s="72">
        <f>SUMIFS(Outstanding_pos_TB_MSB[Amt],Outstanding_pos_TB_MSB[Bonds_ShortName],Outstanding_pos_TB_MSB[[#This Row],[Bonds_ShortName]])/100000-Outstanding_pos_TB_MSB[[#This Row],[Quantity FNRP]]</f>
        <v>0</v>
      </c>
      <c r="V48" s="162" t="str">
        <f>INDEX(Ref!$I$1:$K$13,MATCH(Outstanding_pos_TB_MSB[[#This Row],[Tenor left]],Ref!$I$1:$I$13,1),3)</f>
        <v>10Y</v>
      </c>
      <c r="W48" s="72">
        <f>IF(RPT-VLOOKUP(Outstanding_pos_TB_MSB[[#This Row],[Bonds_ShortName]],CT:CU,2,0)&lt;=0,0,RPT-VLOOKUP(Outstanding_pos_TB_MSB[[#This Row],[Bonds_ShortName]],CT:CU,2,0))</f>
        <v>0</v>
      </c>
      <c r="X48" s="72">
        <f>IF(RPT-Outstanding_pos_TB_MSB[[#This Row],[VALUE_DATE]]&lt;=0,0,RPT-Outstanding_pos_TB_MSB[[#This Row],[VALUE_DATE]])</f>
        <v>64</v>
      </c>
      <c r="Y48" s="72" t="str">
        <f>_xlfn.XLOOKUP(Outstanding_pos_TB_MSB[[#This Row],[Time hold/Deal]],Ref!S:S,Ref!U:U,,-1)</f>
        <v>3M</v>
      </c>
      <c r="AB48">
        <v>42192</v>
      </c>
      <c r="AC48" s="35">
        <v>45406</v>
      </c>
      <c r="AD48" t="s">
        <v>2502</v>
      </c>
      <c r="AE48" t="s">
        <v>2180</v>
      </c>
      <c r="AF48" t="s">
        <v>823</v>
      </c>
      <c r="AG48" s="500">
        <v>150000000000</v>
      </c>
      <c r="AH48">
        <v>3.2</v>
      </c>
      <c r="AI48">
        <v>48682</v>
      </c>
      <c r="AJ48">
        <v>2.29</v>
      </c>
      <c r="AK48">
        <v>6.65</v>
      </c>
      <c r="AL48" s="645" t="s">
        <v>2746</v>
      </c>
      <c r="AM48">
        <v>4.3</v>
      </c>
      <c r="AN48" s="500">
        <v>-20319000000</v>
      </c>
      <c r="AO48">
        <v>5.76</v>
      </c>
      <c r="AP48">
        <v>-54632672.810000002</v>
      </c>
      <c r="AQ48">
        <v>1122000000</v>
      </c>
      <c r="AR48">
        <v>40.909999999999997</v>
      </c>
      <c r="AS48" s="72">
        <f>SUM(_xlfn.IFNA(VLOOKUP(Outstanding_pos_BB_MSB[[#This Row],[Bonds_ShortName]],FNRP!AV:BA,6,0)*Outstanding_pos_BB_MSB[[#This Row],[Amt]]/10^4,0),_xlfn.IFNA((VLOOKUP(Outstanding_pos_BB_MSB[[#This Row],[Bonds_ShortName]],FNRP!IK:IP,6,0)*Outstanding_pos_BB_MSB[[#This Row],[Amt]]/10^4),0))</f>
        <v>1406325000000</v>
      </c>
      <c r="AT48" s="72">
        <f>(_xlfn.XLOOKUP(Outstanding_pos_BB_MSB[[#This Row],[Bonds_ShortName]],FNRP!AV:AV,FNRP!BA:BA,,0)
-_xlfn.XLOOKUP(Outstanding_pos_BB_MSB[[#This Row],[BondsDeals_Id]],BS!AL:AL,BS!AR:AR,_xlfn.XLOOKUP(Outstanding_pos_BB_MSB[[#This Row],[BondsDeals_Id]],BS!BA:BA,BS!BQ:BQ,,0),0)-10^5)
*Outstanding_pos_BB_MSB[[#This Row],[Amt]]/10^5</f>
        <v>-17489259264.137684</v>
      </c>
      <c r="AU48" s="72">
        <f>VLOOKUP(Outstanding_pos_BB_MSB[[#This Row],[Bonds_ShortName]],FNRP!AV:CD,35,0)</f>
        <v>1500000</v>
      </c>
      <c r="AV48" s="157">
        <f>SUMIFS(AG$1:AG$103,AD$1:AD$103,Outstanding_pos_BB_MSB[[#This Row],[Bonds_ShortName]])/10^5-Outstanding_pos_BB_MSB[[#This Row],[Quantity FNRP]]</f>
        <v>0</v>
      </c>
      <c r="AW48" s="72">
        <f>IF(RPT-Outstanding_pos_BB_MSB[[#This Row],[Value Date]]&lt;=0,0,RPT-Outstanding_pos_BB_MSB[[#This Row],[Value Date]])</f>
        <v>846</v>
      </c>
      <c r="AX48" s="32" t="str">
        <f>INDEX(Ref!$I$1:$K$13,MATCH(Outstanding_pos_BB_MSB[[#This Row],[Tenor left]],Ref!$I$1:$I$13,1),3)</f>
        <v>7Y</v>
      </c>
      <c r="AY48" s="72" t="str">
        <f>_xlfn.XLOOKUP(Outstanding_pos_BB_MSB[[#This Row],[Time hold/Deal]],Ref!S:S,Ref!U:U,,-1)</f>
        <v>2Y</v>
      </c>
      <c r="BC48"/>
      <c r="BD48"/>
      <c r="BG48"/>
      <c r="BH48"/>
      <c r="BJ48"/>
      <c r="BN48"/>
      <c r="BO48"/>
      <c r="BQ48"/>
      <c r="BR48"/>
      <c r="BX48">
        <v>42091</v>
      </c>
      <c r="BY48" s="502">
        <v>45401</v>
      </c>
      <c r="BZ48" t="s">
        <v>665</v>
      </c>
      <c r="CA48" t="s">
        <v>2180</v>
      </c>
      <c r="CB48" t="s">
        <v>823</v>
      </c>
      <c r="CC48" s="500">
        <v>300000000000</v>
      </c>
      <c r="CD48">
        <v>5.3</v>
      </c>
      <c r="CE48" s="502">
        <v>48947</v>
      </c>
      <c r="CF48">
        <v>2.33</v>
      </c>
      <c r="CG48">
        <v>7.38</v>
      </c>
      <c r="CH48" t="s">
        <v>2746</v>
      </c>
      <c r="CI48">
        <v>4.33</v>
      </c>
      <c r="CJ48" s="500">
        <v>-58548000000</v>
      </c>
      <c r="CK48">
        <v>5.89</v>
      </c>
      <c r="CL48" s="500">
        <v>-64387758.649999999</v>
      </c>
      <c r="CM48" s="500">
        <v>3311000000</v>
      </c>
      <c r="CN48">
        <v>44.74</v>
      </c>
      <c r="CO4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-40140793681.173889</v>
      </c>
      <c r="CP48" s="72">
        <f>RPT-VLOOKUP(Outstanding_pos_BB_SBV[[#This Row],[Bonds_ShortName]],CT:CU,2,0)</f>
        <v>615</v>
      </c>
      <c r="CQ48" s="157">
        <f>SUMIFS(CC:CC,BZ:BZ,Outstanding_pos_BB_SBV[[#This Row],[Bonds_ShortName]])/10^5-VLOOKUP(Outstanding_pos_BB_SBV[[#This Row],[Bonds_ShortName]],FNRP!EE:FL,34,0)</f>
        <v>0</v>
      </c>
      <c r="CT48" t="s">
        <v>615</v>
      </c>
      <c r="CU48" s="502">
        <v>46245</v>
      </c>
      <c r="CV48" s="157"/>
      <c r="CW48" s="157"/>
      <c r="DY48" s="776">
        <v>45229</v>
      </c>
      <c r="DZ48" s="776" t="s">
        <v>2503</v>
      </c>
      <c r="EA48" s="776" t="s">
        <v>2180</v>
      </c>
      <c r="EB48" s="777">
        <v>400000000000</v>
      </c>
      <c r="EC48" s="776">
        <v>11.89</v>
      </c>
      <c r="ED48" s="778">
        <v>2.67</v>
      </c>
      <c r="EE48" s="72">
        <f>_xlfn.XLOOKUP(DY48,Outstanding_pos_BB_MSB[BondsDeals_Id],Outstanding_pos_BB_MSB[ItD adj])</f>
        <v>-67418261030.130089</v>
      </c>
      <c r="EF48" s="32">
        <f>_xlfn.XLOOKUP(DY48,Outstanding_pos_BB_MSB[BondsDeals_Id],Outstanding_pos_BB_MSB[Yield])</f>
        <v>2.67</v>
      </c>
      <c r="EG48" s="71">
        <f>_xlfn.XLOOKUP(BB_tufund[[#This Row],[Deal ID]],Outstanding_pos_BB_MSB[BondsDeals_Id],Outstanding_pos_BB_MSB[Total Rate])</f>
        <v>3.4</v>
      </c>
      <c r="EH48" s="124">
        <f>_xlfn.XLOOKUP(DY48,Outstanding_pos_BB_MSB[BondsDeals_Id],Outstanding_pos_BB_MSB[Mature Date])</f>
        <v>50515</v>
      </c>
      <c r="EI48" s="787">
        <f>(BB_tufund[[#This Row],[Amt]]/10^9)/(_xlfn.XLOOKUP(BB_tufund[[#This Row],[Bond code]],Bankingbook_MSB[Security Name],Bankingbook_MSB[QUANTITY])/10^4)</f>
        <v>0.53333333333333333</v>
      </c>
      <c r="EJ48" s="72">
        <f>_xlfn.XLOOKUP(BB_tufund[[#This Row],[Bond code]],Bankingbook_MSB[Security Name],Bankingbook_MSB[MARKET_VALUE])*BB_tufund[[#This Row],[% amt FNRP]]</f>
        <v>360940000000</v>
      </c>
      <c r="EK48" s="71">
        <f>_xlfn.XLOOKUP(BB_tufund[[#This Row],[Bond code]],Bankingbook_MSB[Security Name],Bankingbook_MSB[BPV_edited])
/10^9*BB_tufund[[#This Row],[% amt FNRP]]</f>
        <v>-0.33542314590717093</v>
      </c>
    </row>
    <row r="49" spans="2:141" x14ac:dyDescent="0.3">
      <c r="B49">
        <v>49935</v>
      </c>
      <c r="C49" s="35">
        <v>46211</v>
      </c>
      <c r="D49" t="s">
        <v>2799</v>
      </c>
      <c r="E49" t="s">
        <v>824</v>
      </c>
      <c r="F49" t="s">
        <v>823</v>
      </c>
      <c r="G49" s="500">
        <v>250000000000</v>
      </c>
      <c r="H49">
        <v>2.1</v>
      </c>
      <c r="I49" t="s">
        <v>3450</v>
      </c>
      <c r="J49">
        <v>2.81</v>
      </c>
      <c r="K49">
        <v>7.41</v>
      </c>
      <c r="L49" t="s">
        <v>2746</v>
      </c>
      <c r="M49">
        <v>4.33</v>
      </c>
      <c r="N49" s="37">
        <v>-22767500000</v>
      </c>
      <c r="O49">
        <v>6.51</v>
      </c>
      <c r="P49" s="500">
        <v>-56886365.280000001</v>
      </c>
      <c r="Q49" s="500">
        <v>1260000000</v>
      </c>
      <c r="R49">
        <v>51.13</v>
      </c>
      <c r="S4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-22949220016.773907</v>
      </c>
      <c r="T49" s="72">
        <f>VLOOKUP(Outstanding_pos_TB_MSB[[#This Row],[Bonds_ShortName]],FNRP!D:J,7,0)</f>
        <v>4000000</v>
      </c>
      <c r="U49" s="72">
        <f>SUMIFS(Outstanding_pos_TB_MSB[Amt],Outstanding_pos_TB_MSB[Bonds_ShortName],Outstanding_pos_TB_MSB[[#This Row],[Bonds_ShortName]])/100000-Outstanding_pos_TB_MSB[[#This Row],[Quantity FNRP]]</f>
        <v>0</v>
      </c>
      <c r="V49" s="162" t="str">
        <f>INDEX(Ref!$I$1:$K$13,MATCH(Outstanding_pos_TB_MSB[[#This Row],[Tenor left]],Ref!$I$1:$I$13,1),3)</f>
        <v>7Y</v>
      </c>
      <c r="W49" s="72">
        <f>IF(RPT-VLOOKUP(Outstanding_pos_TB_MSB[[#This Row],[Bonds_ShortName]],CT:CU,2,0)&lt;=0,0,RPT-VLOOKUP(Outstanding_pos_TB_MSB[[#This Row],[Bonds_ShortName]],CT:CU,2,0))</f>
        <v>42</v>
      </c>
      <c r="X49" s="72">
        <f>IF(RPT-Outstanding_pos_TB_MSB[[#This Row],[VALUE_DATE]]&lt;=0,0,RPT-Outstanding_pos_TB_MSB[[#This Row],[VALUE_DATE]])</f>
        <v>41</v>
      </c>
      <c r="Y49" s="72" t="str">
        <f>_xlfn.XLOOKUP(Outstanding_pos_TB_MSB[[#This Row],[Time hold/Deal]],Ref!S:S,Ref!U:U,,-1)</f>
        <v>2M</v>
      </c>
      <c r="AB49">
        <v>42194</v>
      </c>
      <c r="AC49" s="35">
        <v>45406</v>
      </c>
      <c r="AD49" t="s">
        <v>669</v>
      </c>
      <c r="AE49" t="s">
        <v>2180</v>
      </c>
      <c r="AF49" t="s">
        <v>823</v>
      </c>
      <c r="AG49" s="500">
        <v>100000000000</v>
      </c>
      <c r="AH49">
        <v>4.5999999999999996</v>
      </c>
      <c r="AI49">
        <v>49150</v>
      </c>
      <c r="AJ49">
        <v>2.2799999999999998</v>
      </c>
      <c r="AK49">
        <v>7.94</v>
      </c>
      <c r="AL49" s="645" t="s">
        <v>2747</v>
      </c>
      <c r="AM49">
        <v>4.3499999999999996</v>
      </c>
      <c r="AN49" s="500">
        <v>-19359000000</v>
      </c>
      <c r="AO49">
        <v>6.53</v>
      </c>
      <c r="AP49">
        <v>-66560179.43</v>
      </c>
      <c r="AQ49">
        <v>315000000</v>
      </c>
      <c r="AR49">
        <v>53</v>
      </c>
      <c r="AS49" s="72">
        <f>SUM(_xlfn.IFNA(VLOOKUP(Outstanding_pos_BB_MSB[[#This Row],[Bonds_ShortName]],FNRP!AV:BA,6,0)*Outstanding_pos_BB_MSB[[#This Row],[Amt]]/10^4,0),_xlfn.IFNA((VLOOKUP(Outstanding_pos_BB_MSB[[#This Row],[Bonds_ShortName]],FNRP!IK:IP,6,0)*Outstanding_pos_BB_MSB[[#This Row],[Amt]]/10^4),0))</f>
        <v>1016270000000</v>
      </c>
      <c r="AT49" s="72">
        <f>(_xlfn.XLOOKUP(Outstanding_pos_BB_MSB[[#This Row],[Bonds_ShortName]],FNRP!AV:AV,FNRP!BA:BA,,0)
-_xlfn.XLOOKUP(Outstanding_pos_BB_MSB[[#This Row],[BondsDeals_Id]],BS!AL:AL,BS!AR:AR,_xlfn.XLOOKUP(Outstanding_pos_BB_MSB[[#This Row],[BondsDeals_Id]],BS!BA:BA,BS!BQ:BQ,,0),0)-10^5)
*Outstanding_pos_BB_MSB[[#This Row],[Amt]]/10^5</f>
        <v>-14611585788.263008</v>
      </c>
      <c r="AU49" s="72">
        <f>VLOOKUP(Outstanding_pos_BB_MSB[[#This Row],[Bonds_ShortName]],FNRP!AV:CD,35,0)</f>
        <v>3500000</v>
      </c>
      <c r="AV49" s="157">
        <f>SUMIFS(AG$1:AG$103,AD$1:AD$103,Outstanding_pos_BB_MSB[[#This Row],[Bonds_ShortName]])/10^5-Outstanding_pos_BB_MSB[[#This Row],[Quantity FNRP]]</f>
        <v>0</v>
      </c>
      <c r="AW49" s="72">
        <f>IF(RPT-Outstanding_pos_BB_MSB[[#This Row],[Value Date]]&lt;=0,0,RPT-Outstanding_pos_BB_MSB[[#This Row],[Value Date]])</f>
        <v>846</v>
      </c>
      <c r="AX49" s="32" t="str">
        <f>INDEX(Ref!$I$1:$K$13,MATCH(Outstanding_pos_BB_MSB[[#This Row],[Tenor left]],Ref!$I$1:$I$13,1),3)</f>
        <v>10Y</v>
      </c>
      <c r="AY49" s="72" t="str">
        <f>_xlfn.XLOOKUP(Outstanding_pos_BB_MSB[[#This Row],[Time hold/Deal]],Ref!S:S,Ref!U:U,,-1)</f>
        <v>2Y</v>
      </c>
      <c r="BC49"/>
      <c r="BD49"/>
      <c r="BG49"/>
      <c r="BH49"/>
      <c r="BJ49"/>
      <c r="BN49"/>
      <c r="BO49"/>
      <c r="BQ49"/>
      <c r="BR49"/>
      <c r="BX49">
        <v>42093</v>
      </c>
      <c r="BY49" s="502">
        <v>45401</v>
      </c>
      <c r="BZ49" t="s">
        <v>668</v>
      </c>
      <c r="CA49" t="s">
        <v>2180</v>
      </c>
      <c r="CB49" t="s">
        <v>823</v>
      </c>
      <c r="CC49" s="500">
        <v>250000000000</v>
      </c>
      <c r="CD49">
        <v>5</v>
      </c>
      <c r="CE49" s="502">
        <v>49094</v>
      </c>
      <c r="CF49">
        <v>2.36</v>
      </c>
      <c r="CG49">
        <v>7.78</v>
      </c>
      <c r="CH49" t="s">
        <v>2747</v>
      </c>
      <c r="CI49">
        <v>4.3499999999999996</v>
      </c>
      <c r="CJ49" s="500">
        <v>-48180000000</v>
      </c>
      <c r="CK49">
        <v>6.32</v>
      </c>
      <c r="CL49" s="500">
        <v>-66566567.390000001</v>
      </c>
      <c r="CM49" s="500">
        <v>1110000000</v>
      </c>
      <c r="CN49">
        <v>50.28</v>
      </c>
      <c r="CO4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-34624265835.23098</v>
      </c>
      <c r="CP49" s="72">
        <f>RPT-VLOOKUP(Outstanding_pos_BB_SBV[[#This Row],[Bonds_ShortName]],CT:CU,2,0)</f>
        <v>853</v>
      </c>
      <c r="CQ49" s="157">
        <f>SUMIFS(CC:CC,BZ:BZ,Outstanding_pos_BB_SBV[[#This Row],[Bonds_ShortName]])/10^5-VLOOKUP(Outstanding_pos_BB_SBV[[#This Row],[Bonds_ShortName]],FNRP!EE:FL,34,0)</f>
        <v>0</v>
      </c>
      <c r="CT49" t="s">
        <v>718</v>
      </c>
      <c r="CU49" s="502">
        <v>46245</v>
      </c>
      <c r="CV49" s="157"/>
      <c r="CW49" s="157"/>
      <c r="DY49" s="776">
        <v>41955</v>
      </c>
      <c r="DZ49" s="776" t="s">
        <v>2503</v>
      </c>
      <c r="EA49" s="776" t="s">
        <v>2180</v>
      </c>
      <c r="EB49" s="777">
        <v>150000000000</v>
      </c>
      <c r="EC49" s="776">
        <v>11.89</v>
      </c>
      <c r="ED49" s="778">
        <v>2.4</v>
      </c>
      <c r="EE49" s="72">
        <f>_xlfn.XLOOKUP(DY49,Outstanding_pos_BB_MSB[BondsDeals_Id],Outstanding_pos_BB_MSB[ItD adj])</f>
        <v>-29312704873.24189</v>
      </c>
      <c r="EF49" s="32">
        <f>_xlfn.XLOOKUP(DY49,Outstanding_pos_BB_MSB[BondsDeals_Id],Outstanding_pos_BB_MSB[Yield])</f>
        <v>2.4</v>
      </c>
      <c r="EG49" s="71">
        <f>_xlfn.XLOOKUP(BB_tufund[[#This Row],[Deal ID]],Outstanding_pos_BB_MSB[BondsDeals_Id],Outstanding_pos_BB_MSB[Total Rate])</f>
        <v>3.4</v>
      </c>
      <c r="EH49" s="124">
        <f>_xlfn.XLOOKUP(DY49,Outstanding_pos_BB_MSB[BondsDeals_Id],Outstanding_pos_BB_MSB[Mature Date])</f>
        <v>50515</v>
      </c>
      <c r="EI49" s="787">
        <f>(BB_tufund[[#This Row],[Amt]]/10^9)/(_xlfn.XLOOKUP(BB_tufund[[#This Row],[Bond code]],Bankingbook_MSB[Security Name],Bankingbook_MSB[QUANTITY])/10^4)</f>
        <v>0.2</v>
      </c>
      <c r="EJ49" s="72">
        <f>_xlfn.XLOOKUP(BB_tufund[[#This Row],[Bond code]],Bankingbook_MSB[Security Name],Bankingbook_MSB[MARKET_VALUE])*BB_tufund[[#This Row],[% amt FNRP]]</f>
        <v>135352500000</v>
      </c>
      <c r="EK49" s="71">
        <f>_xlfn.XLOOKUP(BB_tufund[[#This Row],[Bond code]],Bankingbook_MSB[Security Name],Bankingbook_MSB[BPV_edited])
/10^9*BB_tufund[[#This Row],[% amt FNRP]]</f>
        <v>-0.12578367971518908</v>
      </c>
    </row>
    <row r="50" spans="2:141" x14ac:dyDescent="0.3">
      <c r="B50">
        <v>49936</v>
      </c>
      <c r="C50" s="35">
        <v>46211</v>
      </c>
      <c r="D50" t="s">
        <v>3051</v>
      </c>
      <c r="E50" t="s">
        <v>824</v>
      </c>
      <c r="F50" t="s">
        <v>823</v>
      </c>
      <c r="G50" s="500">
        <v>200000000000</v>
      </c>
      <c r="H50">
        <v>2.9</v>
      </c>
      <c r="I50" t="s">
        <v>3518</v>
      </c>
      <c r="J50">
        <v>3.01</v>
      </c>
      <c r="K50">
        <v>8.5299999999999994</v>
      </c>
      <c r="L50" t="s">
        <v>2747</v>
      </c>
      <c r="M50">
        <v>4.38</v>
      </c>
      <c r="N50" s="37">
        <v>-19052000000</v>
      </c>
      <c r="O50">
        <v>7.2</v>
      </c>
      <c r="P50" s="500">
        <v>-65480997.75</v>
      </c>
      <c r="Q50" s="500">
        <v>1367000000</v>
      </c>
      <c r="R50">
        <v>63.16</v>
      </c>
      <c r="S5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-19074602375.123707</v>
      </c>
      <c r="T50" s="72">
        <f>VLOOKUP(Outstanding_pos_TB_MSB[[#This Row],[Bonds_ShortName]],FNRP!D:J,7,0)</f>
        <v>6000000</v>
      </c>
      <c r="U50" s="72">
        <f>SUMIFS(Outstanding_pos_TB_MSB[Amt],Outstanding_pos_TB_MSB[Bonds_ShortName],Outstanding_pos_TB_MSB[[#This Row],[Bonds_ShortName]])/100000-Outstanding_pos_TB_MSB[[#This Row],[Quantity FNRP]]</f>
        <v>0</v>
      </c>
      <c r="V50" s="162" t="str">
        <f>INDEX(Ref!$I$1:$K$13,MATCH(Outstanding_pos_TB_MSB[[#This Row],[Tenor left]],Ref!$I$1:$I$13,1),3)</f>
        <v>10Y</v>
      </c>
      <c r="W50" s="72">
        <f>IF(RPT-VLOOKUP(Outstanding_pos_TB_MSB[[#This Row],[Bonds_ShortName]],CT:CU,2,0)&lt;=0,0,RPT-VLOOKUP(Outstanding_pos_TB_MSB[[#This Row],[Bonds_ShortName]],CT:CU,2,0))</f>
        <v>0</v>
      </c>
      <c r="X50" s="72">
        <f>IF(RPT-Outstanding_pos_TB_MSB[[#This Row],[VALUE_DATE]]&lt;=0,0,RPT-Outstanding_pos_TB_MSB[[#This Row],[VALUE_DATE]])</f>
        <v>41</v>
      </c>
      <c r="Y50" s="72" t="str">
        <f>_xlfn.XLOOKUP(Outstanding_pos_TB_MSB[[#This Row],[Time hold/Deal]],Ref!S:S,Ref!U:U,,-1)</f>
        <v>2M</v>
      </c>
      <c r="AB50">
        <v>42196</v>
      </c>
      <c r="AC50" s="35">
        <v>45406</v>
      </c>
      <c r="AD50" t="s">
        <v>2386</v>
      </c>
      <c r="AE50" t="s">
        <v>2180</v>
      </c>
      <c r="AF50" t="s">
        <v>823</v>
      </c>
      <c r="AG50" s="500">
        <v>100000000000</v>
      </c>
      <c r="AH50">
        <v>4.4000000000000004</v>
      </c>
      <c r="AI50">
        <v>50438</v>
      </c>
      <c r="AJ50">
        <v>2.4</v>
      </c>
      <c r="AK50">
        <v>11.47</v>
      </c>
      <c r="AL50" s="645" t="s">
        <v>2740</v>
      </c>
      <c r="AM50">
        <v>4.49</v>
      </c>
      <c r="AN50" s="500">
        <v>-23998000000</v>
      </c>
      <c r="AO50">
        <v>8.6300000000000008</v>
      </c>
      <c r="AP50">
        <v>-87723046.180000007</v>
      </c>
      <c r="AQ50">
        <v>2387000000</v>
      </c>
      <c r="AR50">
        <v>95.16</v>
      </c>
      <c r="AS50" s="72">
        <f>SUM(_xlfn.IFNA(VLOOKUP(Outstanding_pos_BB_MSB[[#This Row],[Bonds_ShortName]],FNRP!AV:BA,6,0)*Outstanding_pos_BB_MSB[[#This Row],[Amt]]/10^4,0),_xlfn.IFNA((VLOOKUP(Outstanding_pos_BB_MSB[[#This Row],[Bonds_ShortName]],FNRP!IK:IP,6,0)*Outstanding_pos_BB_MSB[[#This Row],[Amt]]/10^4),0))</f>
        <v>992190000000</v>
      </c>
      <c r="AT50" s="72">
        <f>(_xlfn.XLOOKUP(Outstanding_pos_BB_MSB[[#This Row],[Bonds_ShortName]],FNRP!AV:AV,FNRP!BA:BA,,0)
-_xlfn.XLOOKUP(Outstanding_pos_BB_MSB[[#This Row],[BondsDeals_Id]],BS!AL:AL,BS!AR:AR,_xlfn.XLOOKUP(Outstanding_pos_BB_MSB[[#This Row],[BondsDeals_Id]],BS!BA:BA,BS!BQ:BQ,,0),0)-10^5)
*Outstanding_pos_BB_MSB[[#This Row],[Amt]]/10^5</f>
        <v>-20090223771.143299</v>
      </c>
      <c r="AU50" s="72">
        <f>VLOOKUP(Outstanding_pos_BB_MSB[[#This Row],[Bonds_ShortName]],FNRP!AV:CD,35,0)</f>
        <v>3500000</v>
      </c>
      <c r="AV50" s="157">
        <f>SUMIFS(AG$1:AG$103,AD$1:AD$103,Outstanding_pos_BB_MSB[[#This Row],[Bonds_ShortName]])/10^5-Outstanding_pos_BB_MSB[[#This Row],[Quantity FNRP]]</f>
        <v>0</v>
      </c>
      <c r="AW50" s="72">
        <f>IF(RPT-Outstanding_pos_BB_MSB[[#This Row],[Value Date]]&lt;=0,0,RPT-Outstanding_pos_BB_MSB[[#This Row],[Value Date]])</f>
        <v>846</v>
      </c>
      <c r="AX50" s="32" t="str">
        <f>INDEX(Ref!$I$1:$K$13,MATCH(Outstanding_pos_BB_MSB[[#This Row],[Tenor left]],Ref!$I$1:$I$13,1),3)</f>
        <v>15Y</v>
      </c>
      <c r="AY50" s="72" t="str">
        <f>_xlfn.XLOOKUP(Outstanding_pos_BB_MSB[[#This Row],[Time hold/Deal]],Ref!S:S,Ref!U:U,,-1)</f>
        <v>2Y</v>
      </c>
      <c r="BC50"/>
      <c r="BD50"/>
      <c r="BG50"/>
      <c r="BH50"/>
      <c r="BJ50"/>
      <c r="BN50"/>
      <c r="BO50"/>
      <c r="BQ50"/>
      <c r="BR50"/>
      <c r="BX50">
        <v>42190</v>
      </c>
      <c r="BY50" s="502">
        <v>45406</v>
      </c>
      <c r="BZ50" t="s">
        <v>713</v>
      </c>
      <c r="CA50" t="s">
        <v>2180</v>
      </c>
      <c r="CB50" t="s">
        <v>823</v>
      </c>
      <c r="CC50" s="500">
        <v>200000000000</v>
      </c>
      <c r="CD50">
        <v>3.3</v>
      </c>
      <c r="CE50" s="502">
        <v>51368</v>
      </c>
      <c r="CF50">
        <v>2.71</v>
      </c>
      <c r="CG50">
        <v>14.01</v>
      </c>
      <c r="CH50" t="s">
        <v>2740</v>
      </c>
      <c r="CI50">
        <v>4.55</v>
      </c>
      <c r="CJ50" s="500">
        <v>-40896000000</v>
      </c>
      <c r="CK50">
        <v>10.73</v>
      </c>
      <c r="CL50" s="500">
        <v>-93621000.530000001</v>
      </c>
      <c r="CM50" s="500">
        <v>-9000000</v>
      </c>
      <c r="CN50">
        <v>142.36000000000001</v>
      </c>
      <c r="CO5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-38714905934.305191</v>
      </c>
      <c r="CP50" s="72">
        <f>RPT-VLOOKUP(Outstanding_pos_BB_SBV[[#This Row],[Bonds_ShortName]],CT:CU,2,0)</f>
        <v>575</v>
      </c>
      <c r="CQ50" s="157">
        <f>SUMIFS(CC:CC,BZ:BZ,Outstanding_pos_BB_SBV[[#This Row],[Bonds_ShortName]])/10^5-VLOOKUP(Outstanding_pos_BB_SBV[[#This Row],[Bonds_ShortName]],FNRP!EE:FL,34,0)</f>
        <v>0</v>
      </c>
      <c r="CT50" t="s">
        <v>717</v>
      </c>
      <c r="CU50" s="502">
        <v>46224</v>
      </c>
      <c r="CV50" s="157"/>
      <c r="CW50" s="157"/>
      <c r="DY50" s="776">
        <v>45177</v>
      </c>
      <c r="DZ50" s="776" t="s">
        <v>2503</v>
      </c>
      <c r="EA50" s="776" t="s">
        <v>2180</v>
      </c>
      <c r="EB50" s="777">
        <v>150000000000</v>
      </c>
      <c r="EC50" s="776">
        <v>11.89</v>
      </c>
      <c r="ED50" s="778">
        <v>2.65</v>
      </c>
      <c r="EE50" s="72">
        <f>_xlfn.XLOOKUP(DY50,Outstanding_pos_BB_MSB[BondsDeals_Id],Outstanding_pos_BB_MSB[ItD adj])</f>
        <v>-25581166869.98579</v>
      </c>
      <c r="EF50" s="32">
        <f>_xlfn.XLOOKUP(DY50,Outstanding_pos_BB_MSB[BondsDeals_Id],Outstanding_pos_BB_MSB[Yield])</f>
        <v>2.65</v>
      </c>
      <c r="EG50" s="71">
        <f>_xlfn.XLOOKUP(BB_tufund[[#This Row],[Deal ID]],Outstanding_pos_BB_MSB[BondsDeals_Id],Outstanding_pos_BB_MSB[Total Rate])</f>
        <v>3.4</v>
      </c>
      <c r="EH50" s="124">
        <f>_xlfn.XLOOKUP(DY50,Outstanding_pos_BB_MSB[BondsDeals_Id],Outstanding_pos_BB_MSB[Mature Date])</f>
        <v>50515</v>
      </c>
      <c r="EI50" s="787">
        <f>(BB_tufund[[#This Row],[Amt]]/10^9)/(_xlfn.XLOOKUP(BB_tufund[[#This Row],[Bond code]],Bankingbook_MSB[Security Name],Bankingbook_MSB[QUANTITY])/10^4)</f>
        <v>0.2</v>
      </c>
      <c r="EJ50" s="72">
        <f>_xlfn.XLOOKUP(BB_tufund[[#This Row],[Bond code]],Bankingbook_MSB[Security Name],Bankingbook_MSB[MARKET_VALUE])*BB_tufund[[#This Row],[% amt FNRP]]</f>
        <v>135352500000</v>
      </c>
      <c r="EK50" s="71">
        <f>_xlfn.XLOOKUP(BB_tufund[[#This Row],[Bond code]],Bankingbook_MSB[Security Name],Bankingbook_MSB[BPV_edited])
/10^9*BB_tufund[[#This Row],[% amt FNRP]]</f>
        <v>-0.12578367971518908</v>
      </c>
    </row>
    <row r="51" spans="2:141" x14ac:dyDescent="0.3">
      <c r="B51">
        <v>49939</v>
      </c>
      <c r="C51" s="35">
        <v>46212</v>
      </c>
      <c r="D51" t="s">
        <v>3317</v>
      </c>
      <c r="E51" t="s">
        <v>824</v>
      </c>
      <c r="F51" t="s">
        <v>823</v>
      </c>
      <c r="G51" s="500">
        <v>300000000000</v>
      </c>
      <c r="H51">
        <v>3.3</v>
      </c>
      <c r="I51" t="s">
        <v>3498</v>
      </c>
      <c r="J51">
        <v>3.51</v>
      </c>
      <c r="K51">
        <v>8.98</v>
      </c>
      <c r="L51" t="s">
        <v>2747</v>
      </c>
      <c r="M51">
        <v>4.4000000000000004</v>
      </c>
      <c r="N51" s="37">
        <v>-19200000000</v>
      </c>
      <c r="O51">
        <v>7.52</v>
      </c>
      <c r="P51" s="500">
        <v>-69212896.269999996</v>
      </c>
      <c r="Q51" s="500">
        <v>99000000</v>
      </c>
      <c r="R51">
        <v>68.540000000000006</v>
      </c>
      <c r="S5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-19260399049.027546</v>
      </c>
      <c r="T51" s="72">
        <f>VLOOKUP(Outstanding_pos_TB_MSB[[#This Row],[Bonds_ShortName]],FNRP!D:J,7,0)</f>
        <v>12000000</v>
      </c>
      <c r="U51" s="72">
        <f>SUMIFS(Outstanding_pos_TB_MSB[Amt],Outstanding_pos_TB_MSB[Bonds_ShortName],Outstanding_pos_TB_MSB[[#This Row],[Bonds_ShortName]])/100000-Outstanding_pos_TB_MSB[[#This Row],[Quantity FNRP]]</f>
        <v>0</v>
      </c>
      <c r="V51" s="162" t="str">
        <f>INDEX(Ref!$I$1:$K$13,MATCH(Outstanding_pos_TB_MSB[[#This Row],[Tenor left]],Ref!$I$1:$I$13,1),3)</f>
        <v>10Y</v>
      </c>
      <c r="W51" s="72">
        <f>IF(RPT-VLOOKUP(Outstanding_pos_TB_MSB[[#This Row],[Bonds_ShortName]],CT:CU,2,0)&lt;=0,0,RPT-VLOOKUP(Outstanding_pos_TB_MSB[[#This Row],[Bonds_ShortName]],CT:CU,2,0))</f>
        <v>0</v>
      </c>
      <c r="X51" s="72">
        <f>IF(RPT-Outstanding_pos_TB_MSB[[#This Row],[VALUE_DATE]]&lt;=0,0,RPT-Outstanding_pos_TB_MSB[[#This Row],[VALUE_DATE]])</f>
        <v>40</v>
      </c>
      <c r="Y51" s="72" t="str">
        <f>_xlfn.XLOOKUP(Outstanding_pos_TB_MSB[[#This Row],[Time hold/Deal]],Ref!S:S,Ref!U:U,,-1)</f>
        <v>2M</v>
      </c>
      <c r="AB51">
        <v>43044</v>
      </c>
      <c r="AC51" s="35">
        <v>45482</v>
      </c>
      <c r="AD51" t="s">
        <v>627</v>
      </c>
      <c r="AE51" t="s">
        <v>2180</v>
      </c>
      <c r="AF51" t="s">
        <v>823</v>
      </c>
      <c r="AG51" s="500">
        <v>100000000000</v>
      </c>
      <c r="AH51">
        <v>2.7</v>
      </c>
      <c r="AI51">
        <v>47680</v>
      </c>
      <c r="AJ51">
        <v>2.2000000000000002</v>
      </c>
      <c r="AK51">
        <v>3.91</v>
      </c>
      <c r="AL51" s="645" t="s">
        <v>2500</v>
      </c>
      <c r="AM51">
        <v>3.95</v>
      </c>
      <c r="AN51" s="500">
        <v>-7226000000</v>
      </c>
      <c r="AO51">
        <v>3.61</v>
      </c>
      <c r="AP51">
        <v>-34545753.439999998</v>
      </c>
      <c r="AQ51">
        <v>252000000</v>
      </c>
      <c r="AR51">
        <v>16.79</v>
      </c>
      <c r="AS51" s="72">
        <f>SUM(_xlfn.IFNA(VLOOKUP(Outstanding_pos_BB_MSB[[#This Row],[Bonds_ShortName]],FNRP!AV:BA,6,0)*Outstanding_pos_BB_MSB[[#This Row],[Amt]]/10^4,0),_xlfn.IFNA((VLOOKUP(Outstanding_pos_BB_MSB[[#This Row],[Bonds_ShortName]],FNRP!IK:IP,6,0)*Outstanding_pos_BB_MSB[[#This Row],[Amt]]/10^4),0))</f>
        <v>955620000000</v>
      </c>
      <c r="AT51" s="72">
        <f>(_xlfn.XLOOKUP(Outstanding_pos_BB_MSB[[#This Row],[Bonds_ShortName]],FNRP!AV:AV,FNRP!BA:BA,,0)
-_xlfn.XLOOKUP(Outstanding_pos_BB_MSB[[#This Row],[BondsDeals_Id]],BS!AL:AL,BS!AR:AR,_xlfn.XLOOKUP(Outstanding_pos_BB_MSB[[#This Row],[BondsDeals_Id]],BS!BA:BA,BS!BQ:BQ,,0),0)-10^5)
*Outstanding_pos_BB_MSB[[#This Row],[Amt]]/10^5</f>
        <v>-6249107981.92097</v>
      </c>
      <c r="AU51" s="72">
        <f>VLOOKUP(Outstanding_pos_BB_MSB[[#This Row],[Bonds_ShortName]],FNRP!AV:CD,35,0)</f>
        <v>1000000</v>
      </c>
      <c r="AV51" s="157">
        <f>SUMIFS(AG$1:AG$103,AD$1:AD$103,Outstanding_pos_BB_MSB[[#This Row],[Bonds_ShortName]])/10^5-Outstanding_pos_BB_MSB[[#This Row],[Quantity FNRP]]</f>
        <v>0</v>
      </c>
      <c r="AW51" s="72">
        <f>IF(RPT-Outstanding_pos_BB_MSB[[#This Row],[Value Date]]&lt;=0,0,RPT-Outstanding_pos_BB_MSB[[#This Row],[Value Date]])</f>
        <v>770</v>
      </c>
      <c r="AX51" s="32" t="str">
        <f>INDEX(Ref!$I$1:$K$13,MATCH(Outstanding_pos_BB_MSB[[#This Row],[Tenor left]],Ref!$I$1:$I$13,1),3)</f>
        <v>4Y</v>
      </c>
      <c r="AY51" s="72" t="str">
        <f>_xlfn.XLOOKUP(Outstanding_pos_BB_MSB[[#This Row],[Time hold/Deal]],Ref!S:S,Ref!U:U,,-1)</f>
        <v>2Y</v>
      </c>
      <c r="BC51"/>
      <c r="BD51"/>
      <c r="BG51"/>
      <c r="BH51"/>
      <c r="BJ51"/>
      <c r="BN51"/>
      <c r="BO51"/>
      <c r="BQ51"/>
      <c r="BR51"/>
      <c r="BX51">
        <v>42192</v>
      </c>
      <c r="BY51" s="502">
        <v>45406</v>
      </c>
      <c r="BZ51" t="s">
        <v>2502</v>
      </c>
      <c r="CA51" t="s">
        <v>2180</v>
      </c>
      <c r="CB51" t="s">
        <v>823</v>
      </c>
      <c r="CC51" s="500">
        <v>150000000000</v>
      </c>
      <c r="CD51">
        <v>3.2</v>
      </c>
      <c r="CE51" s="502">
        <v>48682</v>
      </c>
      <c r="CF51">
        <v>2.29</v>
      </c>
      <c r="CG51">
        <v>6.65</v>
      </c>
      <c r="CH51" t="s">
        <v>2746</v>
      </c>
      <c r="CI51">
        <v>4.3</v>
      </c>
      <c r="CJ51" s="500">
        <v>-20319000000</v>
      </c>
      <c r="CK51">
        <v>5.76</v>
      </c>
      <c r="CL51" s="500">
        <v>-54632672.810000002</v>
      </c>
      <c r="CM51" s="500">
        <v>1122000000</v>
      </c>
      <c r="CN51">
        <v>40.909999999999997</v>
      </c>
      <c r="CO5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-17489259264.137684</v>
      </c>
      <c r="CP51" s="72">
        <f>RPT-VLOOKUP(Outstanding_pos_BB_SBV[[#This Row],[Bonds_ShortName]],CT:CU,2,0)</f>
        <v>377</v>
      </c>
      <c r="CQ51" s="157">
        <f>SUMIFS(CC:CC,BZ:BZ,Outstanding_pos_BB_SBV[[#This Row],[Bonds_ShortName]])/10^5-VLOOKUP(Outstanding_pos_BB_SBV[[#This Row],[Bonds_ShortName]],FNRP!EE:FL,34,0)</f>
        <v>0</v>
      </c>
      <c r="CT51" t="s">
        <v>711</v>
      </c>
      <c r="CU51" s="502">
        <v>46127</v>
      </c>
      <c r="CV51" s="157"/>
      <c r="CW51" s="157"/>
      <c r="DY51" s="776">
        <v>45511</v>
      </c>
      <c r="DZ51" s="776" t="s">
        <v>2503</v>
      </c>
      <c r="EA51" s="776" t="s">
        <v>2180</v>
      </c>
      <c r="EB51" s="777">
        <v>50000000000</v>
      </c>
      <c r="EC51" s="776">
        <v>11.89</v>
      </c>
      <c r="ED51" s="778">
        <v>2.65</v>
      </c>
      <c r="EE51" s="72">
        <f>_xlfn.XLOOKUP(DY51,Outstanding_pos_BB_MSB[BondsDeals_Id],Outstanding_pos_BB_MSB[ItD adj])</f>
        <v>-8534761389.3754311</v>
      </c>
      <c r="EF51" s="32">
        <f>_xlfn.XLOOKUP(DY51,Outstanding_pos_BB_MSB[BondsDeals_Id],Outstanding_pos_BB_MSB[Yield])</f>
        <v>2.65</v>
      </c>
      <c r="EG51" s="71">
        <f>_xlfn.XLOOKUP(BB_tufund[[#This Row],[Deal ID]],Outstanding_pos_BB_MSB[BondsDeals_Id],Outstanding_pos_BB_MSB[Total Rate])</f>
        <v>3.4</v>
      </c>
      <c r="EH51" s="124">
        <f>_xlfn.XLOOKUP(DY51,Outstanding_pos_BB_MSB[BondsDeals_Id],Outstanding_pos_BB_MSB[Mature Date])</f>
        <v>50515</v>
      </c>
      <c r="EI51" s="787">
        <f>(BB_tufund[[#This Row],[Amt]]/10^9)/(_xlfn.XLOOKUP(BB_tufund[[#This Row],[Bond code]],Bankingbook_MSB[Security Name],Bankingbook_MSB[QUANTITY])/10^4)</f>
        <v>6.6666666666666666E-2</v>
      </c>
      <c r="EJ51" s="72">
        <f>_xlfn.XLOOKUP(BB_tufund[[#This Row],[Bond code]],Bankingbook_MSB[Security Name],Bankingbook_MSB[MARKET_VALUE])*BB_tufund[[#This Row],[% amt FNRP]]</f>
        <v>45117500000</v>
      </c>
      <c r="EK51" s="71">
        <f>_xlfn.XLOOKUP(BB_tufund[[#This Row],[Bond code]],Bankingbook_MSB[Security Name],Bankingbook_MSB[BPV_edited])
/10^9*BB_tufund[[#This Row],[% amt FNRP]]</f>
        <v>-4.1927893238396366E-2</v>
      </c>
    </row>
    <row r="52" spans="2:141" x14ac:dyDescent="0.3">
      <c r="B52">
        <v>49973</v>
      </c>
      <c r="C52" s="35">
        <v>46188</v>
      </c>
      <c r="D52" t="s">
        <v>2836</v>
      </c>
      <c r="E52" t="s">
        <v>2176</v>
      </c>
      <c r="F52" t="s">
        <v>823</v>
      </c>
      <c r="G52" s="500">
        <v>100000000000</v>
      </c>
      <c r="H52">
        <v>2.7</v>
      </c>
      <c r="I52" t="s">
        <v>3494</v>
      </c>
      <c r="J52">
        <v>3.01</v>
      </c>
      <c r="K52">
        <v>7.92</v>
      </c>
      <c r="L52" t="s">
        <v>2747</v>
      </c>
      <c r="M52">
        <v>4.3499999999999996</v>
      </c>
      <c r="N52" s="37">
        <v>-8690000000</v>
      </c>
      <c r="O52">
        <v>6.87</v>
      </c>
      <c r="P52" s="500">
        <v>-61366731.100000001</v>
      </c>
      <c r="Q52" s="500">
        <v>229000000</v>
      </c>
      <c r="R52">
        <v>56.75</v>
      </c>
      <c r="S5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-8737949818.0469666</v>
      </c>
      <c r="T52" s="72">
        <f>VLOOKUP(Outstanding_pos_TB_MSB[[#This Row],[Bonds_ShortName]],FNRP!D:J,7,0)</f>
        <v>8000000</v>
      </c>
      <c r="U52" s="72">
        <f>SUMIFS(Outstanding_pos_TB_MSB[Amt],Outstanding_pos_TB_MSB[Bonds_ShortName],Outstanding_pos_TB_MSB[[#This Row],[Bonds_ShortName]])/100000-Outstanding_pos_TB_MSB[[#This Row],[Quantity FNRP]]</f>
        <v>0</v>
      </c>
      <c r="V52" s="162" t="str">
        <f>INDEX(Ref!$I$1:$K$13,MATCH(Outstanding_pos_TB_MSB[[#This Row],[Tenor left]],Ref!$I$1:$I$13,1),3)</f>
        <v>10Y</v>
      </c>
      <c r="W52" s="72">
        <f>IF(RPT-VLOOKUP(Outstanding_pos_TB_MSB[[#This Row],[Bonds_ShortName]],CT:CU,2,0)&lt;=0,0,RPT-VLOOKUP(Outstanding_pos_TB_MSB[[#This Row],[Bonds_ShortName]],CT:CU,2,0))</f>
        <v>0</v>
      </c>
      <c r="X52" s="72">
        <f>IF(RPT-Outstanding_pos_TB_MSB[[#This Row],[VALUE_DATE]]&lt;=0,0,RPT-Outstanding_pos_TB_MSB[[#This Row],[VALUE_DATE]])</f>
        <v>64</v>
      </c>
      <c r="Y52" s="72" t="str">
        <f>_xlfn.XLOOKUP(Outstanding_pos_TB_MSB[[#This Row],[Time hold/Deal]],Ref!S:S,Ref!U:U,,-1)</f>
        <v>3M</v>
      </c>
      <c r="AB52">
        <v>43045</v>
      </c>
      <c r="AC52" s="35">
        <v>45482</v>
      </c>
      <c r="AD52" t="s">
        <v>611</v>
      </c>
      <c r="AE52" t="s">
        <v>2180</v>
      </c>
      <c r="AF52" t="s">
        <v>823</v>
      </c>
      <c r="AG52" s="500">
        <v>100000000000</v>
      </c>
      <c r="AH52">
        <v>7.6</v>
      </c>
      <c r="AI52">
        <v>47634</v>
      </c>
      <c r="AJ52">
        <v>2.2000000000000002</v>
      </c>
      <c r="AK52">
        <v>3.78</v>
      </c>
      <c r="AL52" s="645" t="s">
        <v>2500</v>
      </c>
      <c r="AM52">
        <v>3.91</v>
      </c>
      <c r="AN52" s="500">
        <v>-16829000000</v>
      </c>
      <c r="AO52">
        <v>3.28</v>
      </c>
      <c r="AP52">
        <v>-37461101.600000001</v>
      </c>
      <c r="AQ52">
        <v>1666000000</v>
      </c>
      <c r="AR52">
        <v>14.57</v>
      </c>
      <c r="AS52" s="72">
        <f>SUM(_xlfn.IFNA(VLOOKUP(Outstanding_pos_BB_MSB[[#This Row],[Bonds_ShortName]],FNRP!AV:BA,6,0)*Outstanding_pos_BB_MSB[[#This Row],[Amt]]/10^4,0),_xlfn.IFNA((VLOOKUP(Outstanding_pos_BB_MSB[[#This Row],[Bonds_ShortName]],FNRP!IK:IP,6,0)*Outstanding_pos_BB_MSB[[#This Row],[Amt]]/10^4),0))</f>
        <v>1127150000000</v>
      </c>
      <c r="AT52" s="72">
        <f>(_xlfn.XLOOKUP(Outstanding_pos_BB_MSB[[#This Row],[Bonds_ShortName]],FNRP!AV:AV,FNRP!BA:BA,,0)
-_xlfn.XLOOKUP(Outstanding_pos_BB_MSB[[#This Row],[BondsDeals_Id]],BS!AL:AL,BS!AR:AR,_xlfn.XLOOKUP(Outstanding_pos_BB_MSB[[#This Row],[BondsDeals_Id]],BS!BA:BA,BS!BQ:BQ,,0),0)-10^5)
*Outstanding_pos_BB_MSB[[#This Row],[Amt]]/10^5</f>
        <v>-6238419762.4382067</v>
      </c>
      <c r="AU52" s="72">
        <f>VLOOKUP(Outstanding_pos_BB_MSB[[#This Row],[Bonds_ShortName]],FNRP!AV:CD,35,0)</f>
        <v>1000000</v>
      </c>
      <c r="AV52" s="157">
        <f>SUMIFS(AG$1:AG$103,AD$1:AD$103,Outstanding_pos_BB_MSB[[#This Row],[Bonds_ShortName]])/10^5-Outstanding_pos_BB_MSB[[#This Row],[Quantity FNRP]]</f>
        <v>0</v>
      </c>
      <c r="AW52" s="72">
        <f>IF(RPT-Outstanding_pos_BB_MSB[[#This Row],[Value Date]]&lt;=0,0,RPT-Outstanding_pos_BB_MSB[[#This Row],[Value Date]])</f>
        <v>770</v>
      </c>
      <c r="AX52" s="32" t="str">
        <f>INDEX(Ref!$I$1:$K$13,MATCH(Outstanding_pos_BB_MSB[[#This Row],[Tenor left]],Ref!$I$1:$I$13,1),3)</f>
        <v>4Y</v>
      </c>
      <c r="AY52" s="72" t="str">
        <f>_xlfn.XLOOKUP(Outstanding_pos_BB_MSB[[#This Row],[Time hold/Deal]],Ref!S:S,Ref!U:U,,-1)</f>
        <v>2Y</v>
      </c>
      <c r="BC52"/>
      <c r="BD52"/>
      <c r="BG52"/>
      <c r="BH52"/>
      <c r="BJ52"/>
      <c r="BN52"/>
      <c r="BO52"/>
      <c r="BQ52"/>
      <c r="BR52"/>
      <c r="BX52">
        <v>42194</v>
      </c>
      <c r="BY52" s="502">
        <v>45406</v>
      </c>
      <c r="BZ52" t="s">
        <v>669</v>
      </c>
      <c r="CA52" t="s">
        <v>2180</v>
      </c>
      <c r="CB52" t="s">
        <v>823</v>
      </c>
      <c r="CC52" s="500">
        <v>100000000000</v>
      </c>
      <c r="CD52">
        <v>4.5999999999999996</v>
      </c>
      <c r="CE52" s="502">
        <v>49150</v>
      </c>
      <c r="CF52">
        <v>2.2799999999999998</v>
      </c>
      <c r="CG52">
        <v>7.94</v>
      </c>
      <c r="CH52" t="s">
        <v>2747</v>
      </c>
      <c r="CI52">
        <v>4.3499999999999996</v>
      </c>
      <c r="CJ52" s="500">
        <v>-19359000000</v>
      </c>
      <c r="CK52">
        <v>6.53</v>
      </c>
      <c r="CL52" s="500">
        <v>-66560179.43</v>
      </c>
      <c r="CM52" s="500">
        <v>315000000</v>
      </c>
      <c r="CN52">
        <v>53</v>
      </c>
      <c r="CO5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-14611585788.263008</v>
      </c>
      <c r="CP52" s="72">
        <f>RPT-VLOOKUP(Outstanding_pos_BB_SBV[[#This Row],[Bonds_ShortName]],CT:CU,2,0)</f>
        <v>384</v>
      </c>
      <c r="CQ52" s="157">
        <f>SUMIFS(CC:CC,BZ:BZ,Outstanding_pos_BB_SBV[[#This Row],[Bonds_ShortName]])/10^5-VLOOKUP(Outstanding_pos_BB_SBV[[#This Row],[Bonds_ShortName]],FNRP!EE:FL,34,0)</f>
        <v>0</v>
      </c>
      <c r="CT52" t="s">
        <v>2831</v>
      </c>
      <c r="CU52" s="502">
        <v>46261</v>
      </c>
      <c r="CV52" s="157"/>
      <c r="CW52" s="157"/>
      <c r="DY52" s="776">
        <v>45432</v>
      </c>
      <c r="DZ52" s="776" t="s">
        <v>2741</v>
      </c>
      <c r="EA52" s="776" t="s">
        <v>2180</v>
      </c>
      <c r="EB52" s="777">
        <v>300000000000</v>
      </c>
      <c r="EC52" s="776">
        <v>12.06</v>
      </c>
      <c r="ED52" s="778">
        <v>2.74</v>
      </c>
      <c r="EE52" s="72">
        <f>_xlfn.XLOOKUP(DY52,Outstanding_pos_BB_MSB[BondsDeals_Id],Outstanding_pos_BB_MSB[ItD adj])</f>
        <v>-47708141289.977783</v>
      </c>
      <c r="EF52" s="32">
        <f>_xlfn.XLOOKUP(DY52,Outstanding_pos_BB_MSB[BondsDeals_Id],Outstanding_pos_BB_MSB[Yield])</f>
        <v>2.74</v>
      </c>
      <c r="EG52" s="71">
        <f>_xlfn.XLOOKUP(BB_tufund[[#This Row],[Deal ID]],Outstanding_pos_BB_MSB[BondsDeals_Id],Outstanding_pos_BB_MSB[Total Rate])</f>
        <v>2.8</v>
      </c>
      <c r="EH52" s="124">
        <f>_xlfn.XLOOKUP(DY52,Outstanding_pos_BB_MSB[BondsDeals_Id],Outstanding_pos_BB_MSB[Mature Date])</f>
        <v>50578</v>
      </c>
      <c r="EI52" s="787">
        <f>(BB_tufund[[#This Row],[Amt]]/10^9)/(_xlfn.XLOOKUP(BB_tufund[[#This Row],[Bond code]],Bankingbook_MSB[Security Name],Bankingbook_MSB[QUANTITY])/10^4)</f>
        <v>0.35294117647058826</v>
      </c>
      <c r="EJ52" s="72">
        <f>_xlfn.XLOOKUP(BB_tufund[[#This Row],[Bond code]],Bankingbook_MSB[Security Name],Bankingbook_MSB[MARKET_VALUE])*BB_tufund[[#This Row],[% amt FNRP]]</f>
        <v>254034000000.00003</v>
      </c>
      <c r="EK52" s="71">
        <f>_xlfn.XLOOKUP(BB_tufund[[#This Row],[Bond code]],Bankingbook_MSB[Security Name],Bankingbook_MSB[BPV_edited])
/10^9*BB_tufund[[#This Row],[% amt FNRP]]</f>
        <v>-0.24481882714179276</v>
      </c>
    </row>
    <row r="53" spans="2:141" x14ac:dyDescent="0.3">
      <c r="B53">
        <v>49977</v>
      </c>
      <c r="C53" s="35">
        <v>46190</v>
      </c>
      <c r="D53" t="s">
        <v>2785</v>
      </c>
      <c r="E53" t="s">
        <v>824</v>
      </c>
      <c r="F53" t="s">
        <v>823</v>
      </c>
      <c r="G53" s="500">
        <v>200000000000</v>
      </c>
      <c r="H53">
        <v>2.2999999999999998</v>
      </c>
      <c r="I53" t="s">
        <v>3490</v>
      </c>
      <c r="J53">
        <v>3.05</v>
      </c>
      <c r="K53">
        <v>7.08</v>
      </c>
      <c r="L53" t="s">
        <v>2746</v>
      </c>
      <c r="M53">
        <v>4.3099999999999996</v>
      </c>
      <c r="N53">
        <v>-14472000000</v>
      </c>
      <c r="O53">
        <v>6.15</v>
      </c>
      <c r="P53">
        <v>-55415550.399999999</v>
      </c>
      <c r="Q53">
        <v>2130000000</v>
      </c>
      <c r="R53">
        <v>46.44</v>
      </c>
      <c r="S5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-14700985649.054142</v>
      </c>
      <c r="T53" s="72">
        <f>VLOOKUP(Outstanding_pos_TB_MSB[[#This Row],[Bonds_ShortName]],FNRP!D:J,7,0)</f>
        <v>6000000</v>
      </c>
      <c r="U53" s="72">
        <f>SUMIFS(Outstanding_pos_TB_MSB[Amt],Outstanding_pos_TB_MSB[Bonds_ShortName],Outstanding_pos_TB_MSB[[#This Row],[Bonds_ShortName]])/100000-Outstanding_pos_TB_MSB[[#This Row],[Quantity FNRP]]</f>
        <v>0</v>
      </c>
      <c r="V53" s="162" t="str">
        <f>INDEX(Ref!$I$1:$K$13,MATCH(Outstanding_pos_TB_MSB[[#This Row],[Tenor left]],Ref!$I$1:$I$13,1),3)</f>
        <v>7Y</v>
      </c>
      <c r="W53" s="72">
        <f>IF(RPT-VLOOKUP(Outstanding_pos_TB_MSB[[#This Row],[Bonds_ShortName]],CT:CU,2,0)&lt;=0,0,RPT-VLOOKUP(Outstanding_pos_TB_MSB[[#This Row],[Bonds_ShortName]],CT:CU,2,0))</f>
        <v>21</v>
      </c>
      <c r="X53" s="72">
        <f>IF(RPT-Outstanding_pos_TB_MSB[[#This Row],[VALUE_DATE]]&lt;=0,0,RPT-Outstanding_pos_TB_MSB[[#This Row],[VALUE_DATE]])</f>
        <v>62</v>
      </c>
      <c r="Y53" s="72" t="str">
        <f>_xlfn.XLOOKUP(Outstanding_pos_TB_MSB[[#This Row],[Time hold/Deal]],Ref!S:S,Ref!U:U,,-1)</f>
        <v>3M</v>
      </c>
      <c r="AB53">
        <v>43046</v>
      </c>
      <c r="AC53" s="35">
        <v>45482</v>
      </c>
      <c r="AD53" t="s">
        <v>610</v>
      </c>
      <c r="AE53" t="s">
        <v>2180</v>
      </c>
      <c r="AF53" t="s">
        <v>823</v>
      </c>
      <c r="AG53" s="500">
        <v>177000000000</v>
      </c>
      <c r="AH53">
        <v>2.7</v>
      </c>
      <c r="AI53">
        <v>47617</v>
      </c>
      <c r="AJ53">
        <v>2.2000000000000002</v>
      </c>
      <c r="AK53">
        <v>3.74</v>
      </c>
      <c r="AL53" s="645" t="s">
        <v>2500</v>
      </c>
      <c r="AM53">
        <v>3.9</v>
      </c>
      <c r="AN53" s="500">
        <v>-12067860000</v>
      </c>
      <c r="AO53">
        <v>3.44</v>
      </c>
      <c r="AP53">
        <v>-33244758.41</v>
      </c>
      <c r="AQ53">
        <v>718000000</v>
      </c>
      <c r="AR53">
        <v>15.48</v>
      </c>
      <c r="AS53" s="72">
        <f>SUM(_xlfn.IFNA(VLOOKUP(Outstanding_pos_BB_MSB[[#This Row],[Bonds_ShortName]],FNRP!AV:BA,6,0)*Outstanding_pos_BB_MSB[[#This Row],[Amt]]/10^4,0),_xlfn.IFNA((VLOOKUP(Outstanding_pos_BB_MSB[[#This Row],[Bonds_ShortName]],FNRP!IK:IP,6,0)*Outstanding_pos_BB_MSB[[#This Row],[Amt]]/10^4),0))</f>
        <v>1697288400000</v>
      </c>
      <c r="AT53" s="72">
        <f>(_xlfn.XLOOKUP(Outstanding_pos_BB_MSB[[#This Row],[Bonds_ShortName]],FNRP!AV:AV,FNRP!BA:BA,,0)
-_xlfn.XLOOKUP(Outstanding_pos_BB_MSB[[#This Row],[BondsDeals_Id]],BS!AL:AL,BS!AR:AR,_xlfn.XLOOKUP(Outstanding_pos_BB_MSB[[#This Row],[BondsDeals_Id]],BS!BA:BA,BS!BQ:BQ,,0),0)-10^5)
*Outstanding_pos_BB_MSB[[#This Row],[Amt]]/10^5</f>
        <v>-10337638715.729368</v>
      </c>
      <c r="AU53" s="72">
        <f>VLOOKUP(Outstanding_pos_BB_MSB[[#This Row],[Bonds_ShortName]],FNRP!AV:CD,35,0)</f>
        <v>1770000</v>
      </c>
      <c r="AV53" s="157">
        <f>SUMIFS(AG$1:AG$103,AD$1:AD$103,Outstanding_pos_BB_MSB[[#This Row],[Bonds_ShortName]])/10^5-Outstanding_pos_BB_MSB[[#This Row],[Quantity FNRP]]</f>
        <v>0</v>
      </c>
      <c r="AW53" s="72">
        <f>IF(RPT-Outstanding_pos_BB_MSB[[#This Row],[Value Date]]&lt;=0,0,RPT-Outstanding_pos_BB_MSB[[#This Row],[Value Date]])</f>
        <v>770</v>
      </c>
      <c r="AX53" s="32" t="str">
        <f>INDEX(Ref!$I$1:$K$13,MATCH(Outstanding_pos_BB_MSB[[#This Row],[Tenor left]],Ref!$I$1:$I$13,1),3)</f>
        <v>4Y</v>
      </c>
      <c r="AY53" s="72" t="str">
        <f>_xlfn.XLOOKUP(Outstanding_pos_BB_MSB[[#This Row],[Time hold/Deal]],Ref!S:S,Ref!U:U,,-1)</f>
        <v>2Y</v>
      </c>
      <c r="BC53"/>
      <c r="BD53"/>
      <c r="BG53"/>
      <c r="BH53"/>
      <c r="BJ53"/>
      <c r="BN53"/>
      <c r="BO53"/>
      <c r="BQ53"/>
      <c r="BR53"/>
      <c r="BX53">
        <v>42196</v>
      </c>
      <c r="BY53" s="502">
        <v>45406</v>
      </c>
      <c r="BZ53" t="s">
        <v>2386</v>
      </c>
      <c r="CA53" t="s">
        <v>2180</v>
      </c>
      <c r="CB53" t="s">
        <v>823</v>
      </c>
      <c r="CC53" s="500">
        <v>100000000000</v>
      </c>
      <c r="CD53">
        <v>4.4000000000000004</v>
      </c>
      <c r="CE53" s="502">
        <v>50438</v>
      </c>
      <c r="CF53">
        <v>2.4</v>
      </c>
      <c r="CG53">
        <v>11.47</v>
      </c>
      <c r="CH53" t="s">
        <v>2740</v>
      </c>
      <c r="CI53">
        <v>4.49</v>
      </c>
      <c r="CJ53" s="500">
        <v>-23998000000</v>
      </c>
      <c r="CK53">
        <v>8.6300000000000008</v>
      </c>
      <c r="CL53" s="500">
        <v>-87723046.180000007</v>
      </c>
      <c r="CM53" s="500">
        <v>2387000000</v>
      </c>
      <c r="CN53">
        <v>95.16</v>
      </c>
      <c r="CO5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-20090223771.143299</v>
      </c>
      <c r="CP53" s="72">
        <f>RPT-VLOOKUP(Outstanding_pos_BB_SBV[[#This Row],[Bonds_ShortName]],CT:CU,2,0)</f>
        <v>575</v>
      </c>
      <c r="CQ53" s="157">
        <f>SUMIFS(CC:CC,BZ:BZ,Outstanding_pos_BB_SBV[[#This Row],[Bonds_ShortName]])/10^5-VLOOKUP(Outstanding_pos_BB_SBV[[#This Row],[Bonds_ShortName]],FNRP!EE:FL,34,0)</f>
        <v>0</v>
      </c>
      <c r="CT53" t="s">
        <v>3081</v>
      </c>
      <c r="CU53" s="502">
        <v>46192</v>
      </c>
      <c r="CV53" s="157"/>
      <c r="CW53" s="157"/>
      <c r="DY53" s="776">
        <v>45440</v>
      </c>
      <c r="DZ53" s="776" t="s">
        <v>2741</v>
      </c>
      <c r="EA53" s="776" t="s">
        <v>2180</v>
      </c>
      <c r="EB53" s="777">
        <v>150000000000</v>
      </c>
      <c r="EC53" s="776">
        <v>12.06</v>
      </c>
      <c r="ED53" s="778">
        <v>2.69</v>
      </c>
      <c r="EE53" s="72">
        <f>_xlfn.XLOOKUP(DY53,Outstanding_pos_BB_MSB[BondsDeals_Id],Outstanding_pos_BB_MSB[ItD adj])</f>
        <v>-24596070131.641853</v>
      </c>
      <c r="EF53" s="32">
        <f>_xlfn.XLOOKUP(DY53,Outstanding_pos_BB_MSB[BondsDeals_Id],Outstanding_pos_BB_MSB[Yield])</f>
        <v>2.69</v>
      </c>
      <c r="EG53" s="71">
        <f>_xlfn.XLOOKUP(BB_tufund[[#This Row],[Deal ID]],Outstanding_pos_BB_MSB[BondsDeals_Id],Outstanding_pos_BB_MSB[Total Rate])</f>
        <v>2.8</v>
      </c>
      <c r="EH53" s="124">
        <f>_xlfn.XLOOKUP(DY53,Outstanding_pos_BB_MSB[BondsDeals_Id],Outstanding_pos_BB_MSB[Mature Date])</f>
        <v>50578</v>
      </c>
      <c r="EI53" s="787">
        <f>(BB_tufund[[#This Row],[Amt]]/10^9)/(_xlfn.XLOOKUP(BB_tufund[[#This Row],[Bond code]],Bankingbook_MSB[Security Name],Bankingbook_MSB[QUANTITY])/10^4)</f>
        <v>0.17647058823529413</v>
      </c>
      <c r="EJ53" s="72">
        <f>_xlfn.XLOOKUP(BB_tufund[[#This Row],[Bond code]],Bankingbook_MSB[Security Name],Bankingbook_MSB[MARKET_VALUE])*BB_tufund[[#This Row],[% amt FNRP]]</f>
        <v>127017000000.00002</v>
      </c>
      <c r="EK53" s="71">
        <f>_xlfn.XLOOKUP(BB_tufund[[#This Row],[Bond code]],Bankingbook_MSB[Security Name],Bankingbook_MSB[BPV_edited])
/10^9*BB_tufund[[#This Row],[% amt FNRP]]</f>
        <v>-0.12240941357089638</v>
      </c>
    </row>
    <row r="54" spans="2:141" x14ac:dyDescent="0.3">
      <c r="B54">
        <v>49983</v>
      </c>
      <c r="C54" s="35">
        <v>46190</v>
      </c>
      <c r="D54" t="s">
        <v>666</v>
      </c>
      <c r="E54" t="s">
        <v>2176</v>
      </c>
      <c r="F54" t="s">
        <v>823</v>
      </c>
      <c r="G54" s="500">
        <v>150000000000</v>
      </c>
      <c r="H54">
        <v>5.0999999999999996</v>
      </c>
      <c r="I54" t="s">
        <v>3448</v>
      </c>
      <c r="J54">
        <v>3.12</v>
      </c>
      <c r="K54">
        <v>7.44</v>
      </c>
      <c r="L54" t="s">
        <v>2746</v>
      </c>
      <c r="M54">
        <v>4.33</v>
      </c>
      <c r="N54">
        <v>-12627000000</v>
      </c>
      <c r="O54">
        <v>5.98</v>
      </c>
      <c r="P54">
        <v>-64355771.479999997</v>
      </c>
      <c r="Q54">
        <v>2878000000</v>
      </c>
      <c r="R54">
        <v>45.78</v>
      </c>
      <c r="S5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-12177721508.0327</v>
      </c>
      <c r="T54" s="72">
        <f>VLOOKUP(Outstanding_pos_TB_MSB[[#This Row],[Bonds_ShortName]],FNRP!D:J,7,0)</f>
        <v>1500000</v>
      </c>
      <c r="U54" s="72">
        <f>SUMIFS(Outstanding_pos_TB_MSB[Amt],Outstanding_pos_TB_MSB[Bonds_ShortName],Outstanding_pos_TB_MSB[[#This Row],[Bonds_ShortName]])/100000-Outstanding_pos_TB_MSB[[#This Row],[Quantity FNRP]]</f>
        <v>0</v>
      </c>
      <c r="V54" s="162" t="str">
        <f>INDEX(Ref!$I$1:$K$13,MATCH(Outstanding_pos_TB_MSB[[#This Row],[Tenor left]],Ref!$I$1:$I$13,1),3)</f>
        <v>7Y</v>
      </c>
      <c r="W54" s="72">
        <f>IF(RPT-VLOOKUP(Outstanding_pos_TB_MSB[[#This Row],[Bonds_ShortName]],CT:CU,2,0)&lt;=0,0,RPT-VLOOKUP(Outstanding_pos_TB_MSB[[#This Row],[Bonds_ShortName]],CT:CU,2,0))</f>
        <v>7</v>
      </c>
      <c r="X54" s="72">
        <f>IF(RPT-Outstanding_pos_TB_MSB[[#This Row],[VALUE_DATE]]&lt;=0,0,RPT-Outstanding_pos_TB_MSB[[#This Row],[VALUE_DATE]])</f>
        <v>62</v>
      </c>
      <c r="Y54" s="72" t="str">
        <f>_xlfn.XLOOKUP(Outstanding_pos_TB_MSB[[#This Row],[Time hold/Deal]],Ref!S:S,Ref!U:U,,-1)</f>
        <v>3M</v>
      </c>
      <c r="AB54">
        <v>43047</v>
      </c>
      <c r="AC54" s="35">
        <v>45482</v>
      </c>
      <c r="AD54" t="s">
        <v>683</v>
      </c>
      <c r="AE54" t="s">
        <v>2180</v>
      </c>
      <c r="AF54" t="s">
        <v>823</v>
      </c>
      <c r="AG54" s="500">
        <v>29000000000</v>
      </c>
      <c r="AH54">
        <v>7.7</v>
      </c>
      <c r="AI54">
        <v>50059</v>
      </c>
      <c r="AJ54">
        <v>2.62</v>
      </c>
      <c r="AK54">
        <v>10.43</v>
      </c>
      <c r="AL54" s="645" t="s">
        <v>2743</v>
      </c>
      <c r="AM54">
        <v>4.46</v>
      </c>
      <c r="AN54" s="500">
        <v>-7884810000</v>
      </c>
      <c r="AO54">
        <v>7.29</v>
      </c>
      <c r="AP54">
        <v>-95525798.859999999</v>
      </c>
      <c r="AQ54">
        <v>4472000000</v>
      </c>
      <c r="AR54">
        <v>71.599999999999994</v>
      </c>
      <c r="AS54" s="72">
        <f>SUM(_xlfn.IFNA(VLOOKUP(Outstanding_pos_BB_MSB[[#This Row],[Bonds_ShortName]],FNRP!AV:BA,6,0)*Outstanding_pos_BB_MSB[[#This Row],[Amt]]/10^4,0),_xlfn.IFNA((VLOOKUP(Outstanding_pos_BB_MSB[[#This Row],[Bonds_ShortName]],FNRP!IK:IP,6,0)*Outstanding_pos_BB_MSB[[#This Row],[Amt]]/10^4),0))</f>
        <v>366887700000</v>
      </c>
      <c r="AT54" s="72">
        <f>(_xlfn.XLOOKUP(Outstanding_pos_BB_MSB[[#This Row],[Bonds_ShortName]],FNRP!AV:AV,FNRP!BA:BA,,0)
-_xlfn.XLOOKUP(Outstanding_pos_BB_MSB[[#This Row],[BondsDeals_Id]],BS!AL:AL,BS!AR:AR,_xlfn.XLOOKUP(Outstanding_pos_BB_MSB[[#This Row],[BondsDeals_Id]],BS!BA:BA,BS!BQ:BQ,,0),0)-10^5)
*Outstanding_pos_BB_MSB[[#This Row],[Amt]]/10^5</f>
        <v>-5260562518.0666018</v>
      </c>
      <c r="AU54" s="72">
        <f>VLOOKUP(Outstanding_pos_BB_MSB[[#This Row],[Bonds_ShortName]],FNRP!AV:CD,35,0)</f>
        <v>290000</v>
      </c>
      <c r="AV54" s="157">
        <f>SUMIFS(AG$1:AG$103,AD$1:AD$103,Outstanding_pos_BB_MSB[[#This Row],[Bonds_ShortName]])/10^5-Outstanding_pos_BB_MSB[[#This Row],[Quantity FNRP]]</f>
        <v>0</v>
      </c>
      <c r="AW54" s="72">
        <f>IF(RPT-Outstanding_pos_BB_MSB[[#This Row],[Value Date]]&lt;=0,0,RPT-Outstanding_pos_BB_MSB[[#This Row],[Value Date]])</f>
        <v>770</v>
      </c>
      <c r="AX54" s="32" t="str">
        <f>INDEX(Ref!$I$1:$K$13,MATCH(Outstanding_pos_BB_MSB[[#This Row],[Tenor left]],Ref!$I$1:$I$13,1),3)</f>
        <v>10Y</v>
      </c>
      <c r="AY54" s="72" t="str">
        <f>_xlfn.XLOOKUP(Outstanding_pos_BB_MSB[[#This Row],[Time hold/Deal]],Ref!S:S,Ref!U:U,,-1)</f>
        <v>2Y</v>
      </c>
      <c r="BC54"/>
      <c r="BD54"/>
      <c r="BG54"/>
      <c r="BH54"/>
      <c r="BJ54"/>
      <c r="BN54"/>
      <c r="BO54"/>
      <c r="BQ54"/>
      <c r="BR54"/>
      <c r="BX54">
        <v>43044</v>
      </c>
      <c r="BY54" s="502">
        <v>45482</v>
      </c>
      <c r="BZ54" t="s">
        <v>627</v>
      </c>
      <c r="CA54" t="s">
        <v>2180</v>
      </c>
      <c r="CB54" t="s">
        <v>823</v>
      </c>
      <c r="CC54" s="500">
        <v>100000000000</v>
      </c>
      <c r="CD54">
        <v>2.7</v>
      </c>
      <c r="CE54" s="502">
        <v>47680</v>
      </c>
      <c r="CF54">
        <v>2.2000000000000002</v>
      </c>
      <c r="CG54">
        <v>3.91</v>
      </c>
      <c r="CH54" t="s">
        <v>2500</v>
      </c>
      <c r="CI54">
        <v>3.95</v>
      </c>
      <c r="CJ54" s="500">
        <v>-7226000000</v>
      </c>
      <c r="CK54">
        <v>3.61</v>
      </c>
      <c r="CL54" s="500">
        <v>-34545753.439999998</v>
      </c>
      <c r="CM54" s="500">
        <v>252000000</v>
      </c>
      <c r="CN54">
        <v>16.79</v>
      </c>
      <c r="CO5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-6249107981.92097</v>
      </c>
      <c r="CP54" s="72">
        <f>RPT-VLOOKUP(Outstanding_pos_BB_SBV[[#This Row],[Bonds_ShortName]],CT:CU,2,0)</f>
        <v>459</v>
      </c>
      <c r="CQ54" s="157">
        <f>SUMIFS(CC:CC,BZ:BZ,Outstanding_pos_BB_SBV[[#This Row],[Bonds_ShortName]])/10^5-VLOOKUP(Outstanding_pos_BB_SBV[[#This Row],[Bonds_ShortName]],FNRP!EE:FL,34,0)</f>
        <v>0</v>
      </c>
      <c r="CT54" t="s">
        <v>3097</v>
      </c>
      <c r="CU54" s="502">
        <v>45813</v>
      </c>
      <c r="CV54" s="157"/>
      <c r="CW54" s="157"/>
      <c r="DY54" s="776">
        <v>45529</v>
      </c>
      <c r="DZ54" s="776" t="s">
        <v>2741</v>
      </c>
      <c r="EA54" s="776" t="s">
        <v>2180</v>
      </c>
      <c r="EB54" s="777">
        <v>150000000000</v>
      </c>
      <c r="EC54" s="776">
        <v>12.06</v>
      </c>
      <c r="ED54" s="778">
        <v>2.73</v>
      </c>
      <c r="EE54" s="72">
        <f>_xlfn.XLOOKUP(DY54,Outstanding_pos_BB_MSB[BondsDeals_Id],Outstanding_pos_BB_MSB[ItD adj])</f>
        <v>-24003158059.492142</v>
      </c>
      <c r="EF54" s="32">
        <f>_xlfn.XLOOKUP(DY54,Outstanding_pos_BB_MSB[BondsDeals_Id],Outstanding_pos_BB_MSB[Yield])</f>
        <v>2.73</v>
      </c>
      <c r="EG54" s="71">
        <f>_xlfn.XLOOKUP(BB_tufund[[#This Row],[Deal ID]],Outstanding_pos_BB_MSB[BondsDeals_Id],Outstanding_pos_BB_MSB[Total Rate])</f>
        <v>2.8</v>
      </c>
      <c r="EH54" s="124">
        <f>_xlfn.XLOOKUP(DY54,Outstanding_pos_BB_MSB[BondsDeals_Id],Outstanding_pos_BB_MSB[Mature Date])</f>
        <v>50578</v>
      </c>
      <c r="EI54" s="787">
        <f>(BB_tufund[[#This Row],[Amt]]/10^9)/(_xlfn.XLOOKUP(BB_tufund[[#This Row],[Bond code]],Bankingbook_MSB[Security Name],Bankingbook_MSB[QUANTITY])/10^4)</f>
        <v>0.17647058823529413</v>
      </c>
      <c r="EJ54" s="72">
        <f>_xlfn.XLOOKUP(BB_tufund[[#This Row],[Bond code]],Bankingbook_MSB[Security Name],Bankingbook_MSB[MARKET_VALUE])*BB_tufund[[#This Row],[% amt FNRP]]</f>
        <v>127017000000.00002</v>
      </c>
      <c r="EK54" s="71">
        <f>_xlfn.XLOOKUP(BB_tufund[[#This Row],[Bond code]],Bankingbook_MSB[Security Name],Bankingbook_MSB[BPV_edited])
/10^9*BB_tufund[[#This Row],[% amt FNRP]]</f>
        <v>-0.12240941357089638</v>
      </c>
    </row>
    <row r="55" spans="2:141" x14ac:dyDescent="0.3">
      <c r="B55">
        <v>49989</v>
      </c>
      <c r="C55" s="35">
        <v>46188</v>
      </c>
      <c r="D55" t="s">
        <v>2834</v>
      </c>
      <c r="E55" t="s">
        <v>2176</v>
      </c>
      <c r="F55" t="s">
        <v>823</v>
      </c>
      <c r="G55" s="500">
        <v>250000000000</v>
      </c>
      <c r="H55">
        <v>2.7</v>
      </c>
      <c r="I55" t="s">
        <v>3493</v>
      </c>
      <c r="J55">
        <v>3.04</v>
      </c>
      <c r="K55">
        <v>7.88</v>
      </c>
      <c r="L55" t="s">
        <v>2747</v>
      </c>
      <c r="M55">
        <v>4.3499999999999996</v>
      </c>
      <c r="N55">
        <v>-21092500000</v>
      </c>
      <c r="O55">
        <v>6.83</v>
      </c>
      <c r="P55">
        <v>-61147016.689999998</v>
      </c>
      <c r="Q55">
        <v>333000000</v>
      </c>
      <c r="R55">
        <v>56.21</v>
      </c>
      <c r="S5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-21222621464.137154</v>
      </c>
      <c r="T55" s="72">
        <f>VLOOKUP(Outstanding_pos_TB_MSB[[#This Row],[Bonds_ShortName]],FNRP!D:J,7,0)</f>
        <v>8500000</v>
      </c>
      <c r="U55" s="72">
        <f>SUMIFS(Outstanding_pos_TB_MSB[Amt],Outstanding_pos_TB_MSB[Bonds_ShortName],Outstanding_pos_TB_MSB[[#This Row],[Bonds_ShortName]])/100000-Outstanding_pos_TB_MSB[[#This Row],[Quantity FNRP]]</f>
        <v>0</v>
      </c>
      <c r="V55" s="162" t="str">
        <f>INDEX(Ref!$I$1:$K$13,MATCH(Outstanding_pos_TB_MSB[[#This Row],[Tenor left]],Ref!$I$1:$I$13,1),3)</f>
        <v>10Y</v>
      </c>
      <c r="W55" s="72">
        <f>IF(RPT-VLOOKUP(Outstanding_pos_TB_MSB[[#This Row],[Bonds_ShortName]],CT:CU,2,0)&lt;=0,0,RPT-VLOOKUP(Outstanding_pos_TB_MSB[[#This Row],[Bonds_ShortName]],CT:CU,2,0))</f>
        <v>67</v>
      </c>
      <c r="X55" s="72">
        <f>IF(RPT-Outstanding_pos_TB_MSB[[#This Row],[VALUE_DATE]]&lt;=0,0,RPT-Outstanding_pos_TB_MSB[[#This Row],[VALUE_DATE]])</f>
        <v>64</v>
      </c>
      <c r="Y55" s="72" t="str">
        <f>_xlfn.XLOOKUP(Outstanding_pos_TB_MSB[[#This Row],[Time hold/Deal]],Ref!S:S,Ref!U:U,,-1)</f>
        <v>3M</v>
      </c>
      <c r="AB55">
        <v>45063</v>
      </c>
      <c r="AC55" s="35">
        <v>45652</v>
      </c>
      <c r="AD55" t="s">
        <v>2497</v>
      </c>
      <c r="AE55" t="s">
        <v>2180</v>
      </c>
      <c r="AF55" t="s">
        <v>823</v>
      </c>
      <c r="AG55" s="500">
        <v>350000000000</v>
      </c>
      <c r="AH55">
        <v>4.2</v>
      </c>
      <c r="AI55">
        <v>55966</v>
      </c>
      <c r="AJ55">
        <v>2.96</v>
      </c>
      <c r="AK55">
        <v>26.61</v>
      </c>
      <c r="AL55" s="645" t="s">
        <v>2813</v>
      </c>
      <c r="AM55">
        <v>4.71</v>
      </c>
      <c r="AN55" s="500">
        <v>-109088000000</v>
      </c>
      <c r="AO55">
        <v>15.08</v>
      </c>
      <c r="AP55">
        <v>-141778278.08000001</v>
      </c>
      <c r="AQ55">
        <v>1715000000</v>
      </c>
      <c r="AR55">
        <v>325.38</v>
      </c>
      <c r="AS55" s="72">
        <f>SUM(_xlfn.IFNA(VLOOKUP(Outstanding_pos_BB_MSB[[#This Row],[Bonds_ShortName]],FNRP!AV:BA,6,0)*Outstanding_pos_BB_MSB[[#This Row],[Amt]]/10^4,0),_xlfn.IFNA((VLOOKUP(Outstanding_pos_BB_MSB[[#This Row],[Bonds_ShortName]],FNRP!IK:IP,6,0)*Outstanding_pos_BB_MSB[[#This Row],[Amt]]/10^4),0))</f>
        <v>3231550000000</v>
      </c>
      <c r="AT55" s="72">
        <f>(_xlfn.XLOOKUP(Outstanding_pos_BB_MSB[[#This Row],[Bonds_ShortName]],FNRP!AV:AV,FNRP!BA:BA,,0)
-_xlfn.XLOOKUP(Outstanding_pos_BB_MSB[[#This Row],[BondsDeals_Id]],BS!AL:AL,BS!AR:AR,_xlfn.XLOOKUP(Outstanding_pos_BB_MSB[[#This Row],[BondsDeals_Id]],BS!BA:BA,BS!BQ:BQ,,0),0)-10^5)
*Outstanding_pos_BB_MSB[[#This Row],[Amt]]/10^5</f>
        <v>-104299286827.85202</v>
      </c>
      <c r="AU55" s="72">
        <f>VLOOKUP(Outstanding_pos_BB_MSB[[#This Row],[Bonds_ShortName]],FNRP!AV:CD,35,0)</f>
        <v>6000000</v>
      </c>
      <c r="AV55" s="157">
        <f>SUMIFS(AG$1:AG$103,AD$1:AD$103,Outstanding_pos_BB_MSB[[#This Row],[Bonds_ShortName]])/10^5-Outstanding_pos_BB_MSB[[#This Row],[Quantity FNRP]]</f>
        <v>0</v>
      </c>
      <c r="AW55" s="72">
        <f>IF(RPT-Outstanding_pos_BB_MSB[[#This Row],[Value Date]]&lt;=0,0,RPT-Outstanding_pos_BB_MSB[[#This Row],[Value Date]])</f>
        <v>600</v>
      </c>
      <c r="AX55" s="32" t="str">
        <f>INDEX(Ref!$I$1:$K$13,MATCH(Outstanding_pos_BB_MSB[[#This Row],[Tenor left]],Ref!$I$1:$I$13,1),3)</f>
        <v>30Y</v>
      </c>
      <c r="AY55" s="72" t="str">
        <f>_xlfn.XLOOKUP(Outstanding_pos_BB_MSB[[#This Row],[Time hold/Deal]],Ref!S:S,Ref!U:U,,-1)</f>
        <v>2Y</v>
      </c>
      <c r="BC55"/>
      <c r="BD55"/>
      <c r="BG55"/>
      <c r="BH55"/>
      <c r="BJ55"/>
      <c r="BN55"/>
      <c r="BO55"/>
      <c r="BQ55"/>
      <c r="BR55"/>
      <c r="BX55">
        <v>43045</v>
      </c>
      <c r="BY55" s="502">
        <v>45482</v>
      </c>
      <c r="BZ55" t="s">
        <v>611</v>
      </c>
      <c r="CA55" t="s">
        <v>2180</v>
      </c>
      <c r="CB55" t="s">
        <v>823</v>
      </c>
      <c r="CC55" s="500">
        <v>100000000000</v>
      </c>
      <c r="CD55">
        <v>7.6</v>
      </c>
      <c r="CE55" s="502">
        <v>47634</v>
      </c>
      <c r="CF55">
        <v>2.2000000000000002</v>
      </c>
      <c r="CG55">
        <v>3.78</v>
      </c>
      <c r="CH55" t="s">
        <v>2500</v>
      </c>
      <c r="CI55">
        <v>3.91</v>
      </c>
      <c r="CJ55" s="500">
        <v>-16829000000</v>
      </c>
      <c r="CK55">
        <v>3.28</v>
      </c>
      <c r="CL55" s="500">
        <v>-37461101.600000001</v>
      </c>
      <c r="CM55" s="500">
        <v>1666000000</v>
      </c>
      <c r="CN55">
        <v>14.57</v>
      </c>
      <c r="CO5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-6238419762.4382067</v>
      </c>
      <c r="CP55" s="72">
        <f>RPT-VLOOKUP(Outstanding_pos_BB_SBV[[#This Row],[Bonds_ShortName]],CT:CU,2,0)</f>
        <v>678</v>
      </c>
      <c r="CQ55" s="157">
        <f>SUMIFS(CC:CC,BZ:BZ,Outstanding_pos_BB_SBV[[#This Row],[Bonds_ShortName]])/10^5-VLOOKUP(Outstanding_pos_BB_SBV[[#This Row],[Bonds_ShortName]],FNRP!EE:FL,34,0)</f>
        <v>0</v>
      </c>
      <c r="CT55" t="s">
        <v>2496</v>
      </c>
      <c r="CU55" s="502">
        <v>45670</v>
      </c>
      <c r="CV55" s="157"/>
      <c r="CW55" s="157"/>
      <c r="DY55" s="776">
        <v>45429</v>
      </c>
      <c r="DZ55" s="776" t="s">
        <v>2786</v>
      </c>
      <c r="EA55" s="776" t="s">
        <v>2180</v>
      </c>
      <c r="EB55" s="777">
        <v>300000000000</v>
      </c>
      <c r="EC55" s="776">
        <v>12.39</v>
      </c>
      <c r="ED55" s="778">
        <v>2.74</v>
      </c>
      <c r="EE55" s="72">
        <f>_xlfn.XLOOKUP(DY55,Outstanding_pos_BB_MSB[BondsDeals_Id],Outstanding_pos_BB_MSB[ItD adj])</f>
        <v>-48424490195.647652</v>
      </c>
      <c r="EF55" s="32">
        <f>_xlfn.XLOOKUP(DY55,Outstanding_pos_BB_MSB[BondsDeals_Id],Outstanding_pos_BB_MSB[Yield])</f>
        <v>2.74</v>
      </c>
      <c r="EG55" s="71">
        <f>_xlfn.XLOOKUP(BB_tufund[[#This Row],[Deal ID]],Outstanding_pos_BB_MSB[BondsDeals_Id],Outstanding_pos_BB_MSB[Total Rate])</f>
        <v>2.6</v>
      </c>
      <c r="EH55" s="124">
        <f>_xlfn.XLOOKUP(DY55,Outstanding_pos_BB_MSB[BondsDeals_Id],Outstanding_pos_BB_MSB[Mature Date])</f>
        <v>50697</v>
      </c>
      <c r="EI55" s="787">
        <f>(BB_tufund[[#This Row],[Amt]]/10^9)/(_xlfn.XLOOKUP(BB_tufund[[#This Row],[Bond code]],Bankingbook_MSB[Security Name],Bankingbook_MSB[QUANTITY])/10^4)</f>
        <v>0.75</v>
      </c>
      <c r="EJ55" s="72">
        <f>_xlfn.XLOOKUP(BB_tufund[[#This Row],[Bond code]],Bankingbook_MSB[Security Name],Bankingbook_MSB[MARKET_VALUE])*BB_tufund[[#This Row],[% amt FNRP]]</f>
        <v>247338000000</v>
      </c>
      <c r="EK55" s="71">
        <f>_xlfn.XLOOKUP(BB_tufund[[#This Row],[Bond code]],Bankingbook_MSB[Security Name],Bankingbook_MSB[BPV_edited])
/10^9*BB_tufund[[#This Row],[% amt FNRP]]</f>
        <v>-0.24586203293206471</v>
      </c>
    </row>
    <row r="56" spans="2:141" x14ac:dyDescent="0.3">
      <c r="B56">
        <v>49999</v>
      </c>
      <c r="C56" s="35">
        <v>46196</v>
      </c>
      <c r="D56" t="s">
        <v>667</v>
      </c>
      <c r="E56" t="s">
        <v>824</v>
      </c>
      <c r="F56" t="s">
        <v>823</v>
      </c>
      <c r="G56">
        <v>50000000000</v>
      </c>
      <c r="H56">
        <v>5</v>
      </c>
      <c r="I56" t="s">
        <v>3451</v>
      </c>
      <c r="J56">
        <v>3.15</v>
      </c>
      <c r="K56">
        <v>7.52</v>
      </c>
      <c r="L56" t="s">
        <v>2747</v>
      </c>
      <c r="M56">
        <v>4.33</v>
      </c>
      <c r="N56">
        <v>-4103000000</v>
      </c>
      <c r="O56">
        <v>6.07</v>
      </c>
      <c r="P56">
        <v>-64671488.329999998</v>
      </c>
      <c r="Q56">
        <v>2438000000</v>
      </c>
      <c r="R56">
        <v>46.89</v>
      </c>
      <c r="S5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-3976854860.5675092</v>
      </c>
      <c r="T56" s="72">
        <f>VLOOKUP(Outstanding_pos_TB_MSB[[#This Row],[Bonds_ShortName]],FNRP!D:J,7,0)</f>
        <v>1000000</v>
      </c>
      <c r="U56" s="72">
        <f>SUMIFS(Outstanding_pos_TB_MSB[Amt],Outstanding_pos_TB_MSB[Bonds_ShortName],Outstanding_pos_TB_MSB[[#This Row],[Bonds_ShortName]])/100000-Outstanding_pos_TB_MSB[[#This Row],[Quantity FNRP]]</f>
        <v>0</v>
      </c>
      <c r="V56" s="162" t="str">
        <f>INDEX(Ref!$I$1:$K$13,MATCH(Outstanding_pos_TB_MSB[[#This Row],[Tenor left]],Ref!$I$1:$I$13,1),3)</f>
        <v>10Y</v>
      </c>
      <c r="W56" s="72">
        <f>IF(RPT-VLOOKUP(Outstanding_pos_TB_MSB[[#This Row],[Bonds_ShortName]],CT:CU,2,0)&lt;=0,0,RPT-VLOOKUP(Outstanding_pos_TB_MSB[[#This Row],[Bonds_ShortName]],CT:CU,2,0))</f>
        <v>0</v>
      </c>
      <c r="X56" s="72">
        <f>IF(RPT-Outstanding_pos_TB_MSB[[#This Row],[VALUE_DATE]]&lt;=0,0,RPT-Outstanding_pos_TB_MSB[[#This Row],[VALUE_DATE]])</f>
        <v>56</v>
      </c>
      <c r="Y56" s="72" t="str">
        <f>_xlfn.XLOOKUP(Outstanding_pos_TB_MSB[[#This Row],[Time hold/Deal]],Ref!S:S,Ref!U:U,,-1)</f>
        <v>2M</v>
      </c>
      <c r="AB56">
        <v>45064</v>
      </c>
      <c r="AC56" s="35">
        <v>45656</v>
      </c>
      <c r="AD56" t="s">
        <v>2381</v>
      </c>
      <c r="AE56" t="s">
        <v>2180</v>
      </c>
      <c r="AF56" t="s">
        <v>823</v>
      </c>
      <c r="AG56" s="500">
        <v>100000000000</v>
      </c>
      <c r="AH56">
        <v>4.5</v>
      </c>
      <c r="AI56">
        <v>48584</v>
      </c>
      <c r="AJ56">
        <v>2.2200000000000002</v>
      </c>
      <c r="AK56">
        <v>6.39</v>
      </c>
      <c r="AL56" s="645" t="s">
        <v>3644</v>
      </c>
      <c r="AM56">
        <v>4.29</v>
      </c>
      <c r="AN56" s="500">
        <v>-15430000000</v>
      </c>
      <c r="AO56">
        <v>5.32</v>
      </c>
      <c r="AP56">
        <v>-55259019.450000003</v>
      </c>
      <c r="AQ56">
        <v>2786000000</v>
      </c>
      <c r="AR56">
        <v>36.130000000000003</v>
      </c>
      <c r="AS56" s="72">
        <f>SUM(_xlfn.IFNA(VLOOKUP(Outstanding_pos_BB_MSB[[#This Row],[Bonds_ShortName]],FNRP!AV:BA,6,0)*Outstanding_pos_BB_MSB[[#This Row],[Amt]]/10^4,0),_xlfn.IFNA((VLOOKUP(Outstanding_pos_BB_MSB[[#This Row],[Bonds_ShortName]],FNRP!IK:IP,6,0)*Outstanding_pos_BB_MSB[[#This Row],[Amt]]/10^4),0))</f>
        <v>1011450000000</v>
      </c>
      <c r="AT56" s="72">
        <f>(_xlfn.XLOOKUP(Outstanding_pos_BB_MSB[[#This Row],[Bonds_ShortName]],FNRP!AV:AV,FNRP!BA:BA,,0)
-_xlfn.XLOOKUP(Outstanding_pos_BB_MSB[[#This Row],[BondsDeals_Id]],BS!AL:AL,BS!AR:AR,_xlfn.XLOOKUP(Outstanding_pos_BB_MSB[[#This Row],[BondsDeals_Id]],BS!BA:BA,BS!BQ:BQ,,0),0)-10^5)
*Outstanding_pos_BB_MSB[[#This Row],[Amt]]/10^5</f>
        <v>-12050283475.544203</v>
      </c>
      <c r="AU56" s="72">
        <f>VLOOKUP(Outstanding_pos_BB_MSB[[#This Row],[Bonds_ShortName]],FNRP!AV:CD,35,0)</f>
        <v>3500000</v>
      </c>
      <c r="AV56" s="157">
        <f>SUMIFS(AG$1:AG$103,AD$1:AD$103,Outstanding_pos_BB_MSB[[#This Row],[Bonds_ShortName]])/10^5-Outstanding_pos_BB_MSB[[#This Row],[Quantity FNRP]]</f>
        <v>0</v>
      </c>
      <c r="AW56" s="72">
        <f>IF(RPT-Outstanding_pos_BB_MSB[[#This Row],[Value Date]]&lt;=0,0,RPT-Outstanding_pos_BB_MSB[[#This Row],[Value Date]])</f>
        <v>596</v>
      </c>
      <c r="AX56" s="32" t="str">
        <f>INDEX(Ref!$I$1:$K$13,MATCH(Outstanding_pos_BB_MSB[[#This Row],[Tenor left]],Ref!$I$1:$I$13,1),3)</f>
        <v>7Y</v>
      </c>
      <c r="AY56" s="72" t="str">
        <f>_xlfn.XLOOKUP(Outstanding_pos_BB_MSB[[#This Row],[Time hold/Deal]],Ref!S:S,Ref!U:U,,-1)</f>
        <v>2Y</v>
      </c>
      <c r="BC56"/>
      <c r="BD56"/>
      <c r="BG56"/>
      <c r="BH56"/>
      <c r="BJ56"/>
      <c r="BN56"/>
      <c r="BO56"/>
      <c r="BQ56"/>
      <c r="BR56"/>
      <c r="BX56">
        <v>43046</v>
      </c>
      <c r="BY56" s="502">
        <v>45482</v>
      </c>
      <c r="BZ56" t="s">
        <v>610</v>
      </c>
      <c r="CA56" t="s">
        <v>2180</v>
      </c>
      <c r="CB56" t="s">
        <v>823</v>
      </c>
      <c r="CC56" s="500">
        <v>177000000000</v>
      </c>
      <c r="CD56">
        <v>2.7</v>
      </c>
      <c r="CE56" s="502">
        <v>47617</v>
      </c>
      <c r="CF56">
        <v>2.2000000000000002</v>
      </c>
      <c r="CG56">
        <v>3.74</v>
      </c>
      <c r="CH56" t="s">
        <v>2500</v>
      </c>
      <c r="CI56">
        <v>3.9</v>
      </c>
      <c r="CJ56" s="500">
        <v>-12067860000</v>
      </c>
      <c r="CK56">
        <v>3.44</v>
      </c>
      <c r="CL56" s="500">
        <v>-33244758.41</v>
      </c>
      <c r="CM56" s="500">
        <v>718000000</v>
      </c>
      <c r="CN56">
        <v>15.48</v>
      </c>
      <c r="CO5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-10337638715.729368</v>
      </c>
      <c r="CP56" s="72">
        <f>RPT-VLOOKUP(Outstanding_pos_BB_SBV[[#This Row],[Bonds_ShortName]],CT:CU,2,0)</f>
        <v>771</v>
      </c>
      <c r="CQ56" s="157">
        <f>SUMIFS(CC:CC,BZ:BZ,Outstanding_pos_BB_SBV[[#This Row],[Bonds_ShortName]])/10^5-VLOOKUP(Outstanding_pos_BB_SBV[[#This Row],[Bonds_ShortName]],FNRP!EE:FL,34,0)</f>
        <v>0</v>
      </c>
      <c r="CT56" t="s">
        <v>2303</v>
      </c>
      <c r="CU56" s="502">
        <v>46189</v>
      </c>
      <c r="CV56" s="157"/>
      <c r="CW56" s="157"/>
      <c r="DY56" s="776">
        <v>41969</v>
      </c>
      <c r="DZ56" s="776" t="s">
        <v>2786</v>
      </c>
      <c r="EA56" s="776" t="s">
        <v>2180</v>
      </c>
      <c r="EB56" s="777">
        <v>100000000000</v>
      </c>
      <c r="EC56" s="776">
        <v>12.39</v>
      </c>
      <c r="ED56" s="778">
        <v>2.41</v>
      </c>
      <c r="EE56" s="72">
        <f>_xlfn.XLOOKUP(DY56,Outstanding_pos_BB_MSB[BondsDeals_Id],Outstanding_pos_BB_MSB[ItD adj])</f>
        <v>-19478684074.646866</v>
      </c>
      <c r="EF56" s="32">
        <f>_xlfn.XLOOKUP(DY56,Outstanding_pos_BB_MSB[BondsDeals_Id],Outstanding_pos_BB_MSB[Yield])</f>
        <v>2.41</v>
      </c>
      <c r="EG56" s="71">
        <f>_xlfn.XLOOKUP(BB_tufund[[#This Row],[Deal ID]],Outstanding_pos_BB_MSB[BondsDeals_Id],Outstanding_pos_BB_MSB[Total Rate])</f>
        <v>2.6</v>
      </c>
      <c r="EH56" s="124">
        <f>_xlfn.XLOOKUP(DY56,Outstanding_pos_BB_MSB[BondsDeals_Id],Outstanding_pos_BB_MSB[Mature Date])</f>
        <v>50697</v>
      </c>
      <c r="EI56" s="787">
        <f>(BB_tufund[[#This Row],[Amt]]/10^9)/(_xlfn.XLOOKUP(BB_tufund[[#This Row],[Bond code]],Bankingbook_MSB[Security Name],Bankingbook_MSB[QUANTITY])/10^4)</f>
        <v>0.25</v>
      </c>
      <c r="EJ56" s="72">
        <f>_xlfn.XLOOKUP(BB_tufund[[#This Row],[Bond code]],Bankingbook_MSB[Security Name],Bankingbook_MSB[MARKET_VALUE])*BB_tufund[[#This Row],[% amt FNRP]]</f>
        <v>82446000000</v>
      </c>
      <c r="EK56" s="71">
        <f>_xlfn.XLOOKUP(BB_tufund[[#This Row],[Bond code]],Bankingbook_MSB[Security Name],Bankingbook_MSB[BPV_edited])
/10^9*BB_tufund[[#This Row],[% amt FNRP]]</f>
        <v>-8.1954010977354899E-2</v>
      </c>
    </row>
    <row r="57" spans="2:141" x14ac:dyDescent="0.3">
      <c r="B57">
        <v>50021</v>
      </c>
      <c r="C57" s="35">
        <v>46198</v>
      </c>
      <c r="D57" t="s">
        <v>2385</v>
      </c>
      <c r="E57" t="s">
        <v>824</v>
      </c>
      <c r="F57" t="s">
        <v>823</v>
      </c>
      <c r="G57">
        <v>100000000000</v>
      </c>
      <c r="H57">
        <v>4.2</v>
      </c>
      <c r="I57" t="s">
        <v>3488</v>
      </c>
      <c r="J57">
        <v>2.99</v>
      </c>
      <c r="K57">
        <v>6.47</v>
      </c>
      <c r="L57" t="s">
        <v>3644</v>
      </c>
      <c r="M57">
        <v>4.29</v>
      </c>
      <c r="N57">
        <v>-7661000000</v>
      </c>
      <c r="O57">
        <v>5.43</v>
      </c>
      <c r="P57">
        <v>-55278158.149999999</v>
      </c>
      <c r="Q57">
        <v>2267000000</v>
      </c>
      <c r="R57">
        <v>37.380000000000003</v>
      </c>
      <c r="S5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-7497832631.5669985</v>
      </c>
      <c r="T57" s="72">
        <f>VLOOKUP(Outstanding_pos_TB_MSB[[#This Row],[Bonds_ShortName]],FNRP!D:J,7,0)</f>
        <v>1000000</v>
      </c>
      <c r="U57" s="72">
        <f>SUMIFS(Outstanding_pos_TB_MSB[Amt],Outstanding_pos_TB_MSB[Bonds_ShortName],Outstanding_pos_TB_MSB[[#This Row],[Bonds_ShortName]])/100000-Outstanding_pos_TB_MSB[[#This Row],[Quantity FNRP]]</f>
        <v>0</v>
      </c>
      <c r="V57" s="162" t="str">
        <f>INDEX(Ref!$I$1:$K$13,MATCH(Outstanding_pos_TB_MSB[[#This Row],[Tenor left]],Ref!$I$1:$I$13,1),3)</f>
        <v>7Y</v>
      </c>
      <c r="W57" s="72">
        <f>IF(RPT-VLOOKUP(Outstanding_pos_TB_MSB[[#This Row],[Bonds_ShortName]],CT:CU,2,0)&lt;=0,0,RPT-VLOOKUP(Outstanding_pos_TB_MSB[[#This Row],[Bonds_ShortName]],CT:CU,2,0))</f>
        <v>55</v>
      </c>
      <c r="X57" s="72">
        <f>IF(RPT-Outstanding_pos_TB_MSB[[#This Row],[VALUE_DATE]]&lt;=0,0,RPT-Outstanding_pos_TB_MSB[[#This Row],[VALUE_DATE]])</f>
        <v>54</v>
      </c>
      <c r="Y57" s="72" t="str">
        <f>_xlfn.XLOOKUP(Outstanding_pos_TB_MSB[[#This Row],[Time hold/Deal]],Ref!S:S,Ref!U:U,,-1)</f>
        <v>2M</v>
      </c>
      <c r="AB57">
        <v>45065</v>
      </c>
      <c r="AC57" s="35">
        <v>45656</v>
      </c>
      <c r="AD57" t="s">
        <v>693</v>
      </c>
      <c r="AE57" t="s">
        <v>2180</v>
      </c>
      <c r="AF57" t="s">
        <v>823</v>
      </c>
      <c r="AG57" s="500">
        <v>50000000000</v>
      </c>
      <c r="AH57">
        <v>2.7</v>
      </c>
      <c r="AI57">
        <v>49639</v>
      </c>
      <c r="AJ57">
        <v>2.48</v>
      </c>
      <c r="AK57">
        <v>9.2799999999999994</v>
      </c>
      <c r="AL57" s="645" t="s">
        <v>2743</v>
      </c>
      <c r="AM57">
        <v>4.41</v>
      </c>
      <c r="AN57" s="500">
        <v>-7452000000</v>
      </c>
      <c r="AO57">
        <v>7.72</v>
      </c>
      <c r="AP57">
        <v>-68855336.099999994</v>
      </c>
      <c r="AQ57">
        <v>1968000000</v>
      </c>
      <c r="AR57">
        <v>72.959999999999994</v>
      </c>
      <c r="AS57" s="72">
        <f>SUM(_xlfn.IFNA(VLOOKUP(Outstanding_pos_BB_MSB[[#This Row],[Bonds_ShortName]],FNRP!AV:BA,6,0)*Outstanding_pos_BB_MSB[[#This Row],[Amt]]/10^4,0),_xlfn.IFNA((VLOOKUP(Outstanding_pos_BB_MSB[[#This Row],[Bonds_ShortName]],FNRP!IK:IP,6,0)*Outstanding_pos_BB_MSB[[#This Row],[Amt]]/10^4),0))</f>
        <v>435850000000</v>
      </c>
      <c r="AT57" s="72">
        <f>(_xlfn.XLOOKUP(Outstanding_pos_BB_MSB[[#This Row],[Bonds_ShortName]],FNRP!AV:AV,FNRP!BA:BA,,0)
-_xlfn.XLOOKUP(Outstanding_pos_BB_MSB[[#This Row],[BondsDeals_Id]],BS!AL:AL,BS!AR:AR,_xlfn.XLOOKUP(Outstanding_pos_BB_MSB[[#This Row],[BondsDeals_Id]],BS!BA:BA,BS!BQ:BQ,,0),0)-10^5)
*Outstanding_pos_BB_MSB[[#This Row],[Amt]]/10^5</f>
        <v>-7298051946.801301</v>
      </c>
      <c r="AU57" s="72">
        <f>VLOOKUP(Outstanding_pos_BB_MSB[[#This Row],[Bonds_ShortName]],FNRP!AV:CD,35,0)</f>
        <v>500000</v>
      </c>
      <c r="AV57" s="157">
        <f>SUMIFS(AG$1:AG$103,AD$1:AD$103,Outstanding_pos_BB_MSB[[#This Row],[Bonds_ShortName]])/10^5-Outstanding_pos_BB_MSB[[#This Row],[Quantity FNRP]]</f>
        <v>0</v>
      </c>
      <c r="AW57" s="72">
        <f>IF(RPT-Outstanding_pos_BB_MSB[[#This Row],[Value Date]]&lt;=0,0,RPT-Outstanding_pos_BB_MSB[[#This Row],[Value Date]])</f>
        <v>596</v>
      </c>
      <c r="AX57" s="32" t="str">
        <f>INDEX(Ref!$I$1:$K$13,MATCH(Outstanding_pos_BB_MSB[[#This Row],[Tenor left]],Ref!$I$1:$I$13,1),3)</f>
        <v>10Y</v>
      </c>
      <c r="AY57" s="72" t="str">
        <f>_xlfn.XLOOKUP(Outstanding_pos_BB_MSB[[#This Row],[Time hold/Deal]],Ref!S:S,Ref!U:U,,-1)</f>
        <v>2Y</v>
      </c>
      <c r="BC57"/>
      <c r="BD57"/>
      <c r="BG57"/>
      <c r="BH57"/>
      <c r="BJ57"/>
      <c r="BN57"/>
      <c r="BO57"/>
      <c r="BQ57"/>
      <c r="BR57"/>
      <c r="BX57">
        <v>43047</v>
      </c>
      <c r="BY57" s="502">
        <v>45482</v>
      </c>
      <c r="BZ57" t="s">
        <v>683</v>
      </c>
      <c r="CA57" t="s">
        <v>2180</v>
      </c>
      <c r="CB57" t="s">
        <v>823</v>
      </c>
      <c r="CC57" s="500">
        <v>29000000000</v>
      </c>
      <c r="CD57">
        <v>7.7</v>
      </c>
      <c r="CE57" s="502">
        <v>50059</v>
      </c>
      <c r="CF57">
        <v>2.62</v>
      </c>
      <c r="CG57">
        <v>10.43</v>
      </c>
      <c r="CH57" t="s">
        <v>2743</v>
      </c>
      <c r="CI57">
        <v>4.46</v>
      </c>
      <c r="CJ57" s="500">
        <v>-7884810000</v>
      </c>
      <c r="CK57">
        <v>7.29</v>
      </c>
      <c r="CL57" s="500">
        <v>-95525798.859999999</v>
      </c>
      <c r="CM57" s="500">
        <v>4472000000</v>
      </c>
      <c r="CN57">
        <v>71.599999999999994</v>
      </c>
      <c r="CO5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-5260562518.0666018</v>
      </c>
      <c r="CP57" s="72">
        <f>RPT-VLOOKUP(Outstanding_pos_BB_SBV[[#This Row],[Bonds_ShortName]],CT:CU,2,0)</f>
        <v>771</v>
      </c>
      <c r="CQ57" s="157">
        <f>SUMIFS(CC:CC,BZ:BZ,Outstanding_pos_BB_SBV[[#This Row],[Bonds_ShortName]])/10^5-VLOOKUP(Outstanding_pos_BB_SBV[[#This Row],[Bonds_ShortName]],FNRP!EE:FL,34,0)</f>
        <v>0</v>
      </c>
      <c r="CT57" t="s">
        <v>652</v>
      </c>
      <c r="CU57" s="502">
        <v>45699</v>
      </c>
      <c r="CV57" s="157"/>
      <c r="CW57" s="157"/>
      <c r="DY57" s="776">
        <v>41208</v>
      </c>
      <c r="DZ57" s="776" t="s">
        <v>2782</v>
      </c>
      <c r="EA57" s="776" t="s">
        <v>2180</v>
      </c>
      <c r="EB57" s="777">
        <v>110000000000</v>
      </c>
      <c r="EC57" s="776">
        <v>12.48</v>
      </c>
      <c r="ED57" s="778">
        <v>2.9</v>
      </c>
      <c r="EE57" s="72">
        <f>_xlfn.XLOOKUP(DY57,Outstanding_pos_BB_MSB[BondsDeals_Id],Outstanding_pos_BB_MSB[ItD adj])</f>
        <v>-21332762066.390018</v>
      </c>
      <c r="EF57" s="32">
        <f>_xlfn.XLOOKUP(DY57,Outstanding_pos_BB_MSB[BondsDeals_Id],Outstanding_pos_BB_MSB[Yield])</f>
        <v>2.9</v>
      </c>
      <c r="EG57" s="71">
        <f>_xlfn.XLOOKUP(BB_tufund[[#This Row],[Deal ID]],Outstanding_pos_BB_MSB[BondsDeals_Id],Outstanding_pos_BB_MSB[Total Rate])</f>
        <v>3.4</v>
      </c>
      <c r="EH57" s="124">
        <f>_xlfn.XLOOKUP(DY57,Outstanding_pos_BB_MSB[BondsDeals_Id],Outstanding_pos_BB_MSB[Mature Date])</f>
        <v>50730</v>
      </c>
      <c r="EI57" s="787">
        <f>(BB_tufund[[#This Row],[Amt]]/10^9)/(_xlfn.XLOOKUP(BB_tufund[[#This Row],[Bond code]],Bankingbook_MSB[Security Name],Bankingbook_MSB[QUANTITY])/10^4)</f>
        <v>0.8029197080291971</v>
      </c>
      <c r="EJ57" s="72">
        <f>_xlfn.XLOOKUP(BB_tufund[[#This Row],[Bond code]],Bankingbook_MSB[Security Name],Bankingbook_MSB[MARKET_VALUE])*BB_tufund[[#This Row],[% amt FNRP]]</f>
        <v>94075300000</v>
      </c>
      <c r="EK57" s="71">
        <f>_xlfn.XLOOKUP(BB_tufund[[#This Row],[Bond code]],Bankingbook_MSB[Security Name],Bankingbook_MSB[BPV_edited])
/10^9*BB_tufund[[#This Row],[% amt FNRP]]</f>
        <v>-8.9856640504887411E-2</v>
      </c>
    </row>
    <row r="58" spans="2:141" x14ac:dyDescent="0.3">
      <c r="B58">
        <v>50023</v>
      </c>
      <c r="C58" s="35">
        <v>46198</v>
      </c>
      <c r="D58" t="s">
        <v>2742</v>
      </c>
      <c r="E58" t="s">
        <v>824</v>
      </c>
      <c r="F58" t="s">
        <v>823</v>
      </c>
      <c r="G58">
        <v>200000000000</v>
      </c>
      <c r="H58">
        <v>2.4</v>
      </c>
      <c r="I58" t="s">
        <v>3827</v>
      </c>
      <c r="J58">
        <v>3</v>
      </c>
      <c r="K58">
        <v>6.89</v>
      </c>
      <c r="L58" t="s">
        <v>2746</v>
      </c>
      <c r="M58">
        <v>4.3</v>
      </c>
      <c r="N58">
        <v>-14786000000</v>
      </c>
      <c r="O58">
        <v>6.11</v>
      </c>
      <c r="P58">
        <v>-54464991.899999999</v>
      </c>
      <c r="Q58">
        <v>283000000</v>
      </c>
      <c r="R58">
        <v>45.03</v>
      </c>
      <c r="S5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-14947445632.228045</v>
      </c>
      <c r="T58" s="72">
        <f>VLOOKUP(Outstanding_pos_TB_MSB[[#This Row],[Bonds_ShortName]],FNRP!D:J,7,0)</f>
        <v>2000000</v>
      </c>
      <c r="U58" s="72">
        <f>SUMIFS(Outstanding_pos_TB_MSB[Amt],Outstanding_pos_TB_MSB[Bonds_ShortName],Outstanding_pos_TB_MSB[[#This Row],[Bonds_ShortName]])/100000-Outstanding_pos_TB_MSB[[#This Row],[Quantity FNRP]]</f>
        <v>0</v>
      </c>
      <c r="V58" s="162" t="str">
        <f>INDEX(Ref!$I$1:$K$13,MATCH(Outstanding_pos_TB_MSB[[#This Row],[Tenor left]],Ref!$I$1:$I$13,1),3)</f>
        <v>7Y</v>
      </c>
      <c r="W58" s="72">
        <f>IF(RPT-VLOOKUP(Outstanding_pos_TB_MSB[[#This Row],[Bonds_ShortName]],CT:CU,2,0)&lt;=0,0,RPT-VLOOKUP(Outstanding_pos_TB_MSB[[#This Row],[Bonds_ShortName]],CT:CU,2,0))</f>
        <v>55</v>
      </c>
      <c r="X58" s="72">
        <f>IF(RPT-Outstanding_pos_TB_MSB[[#This Row],[VALUE_DATE]]&lt;=0,0,RPT-Outstanding_pos_TB_MSB[[#This Row],[VALUE_DATE]])</f>
        <v>54</v>
      </c>
      <c r="Y58" s="72" t="str">
        <f>_xlfn.XLOOKUP(Outstanding_pos_TB_MSB[[#This Row],[Time hold/Deal]],Ref!S:S,Ref!U:U,,-1)</f>
        <v>2M</v>
      </c>
      <c r="AB58">
        <v>45101</v>
      </c>
      <c r="AC58" s="35">
        <v>45656</v>
      </c>
      <c r="AD58" t="s">
        <v>2794</v>
      </c>
      <c r="AE58" t="s">
        <v>2180</v>
      </c>
      <c r="AF58" t="s">
        <v>823</v>
      </c>
      <c r="AG58" s="500">
        <v>50000000000</v>
      </c>
      <c r="AH58">
        <v>2.2000000000000002</v>
      </c>
      <c r="AI58">
        <v>48920</v>
      </c>
      <c r="AJ58">
        <v>2.2000000000000002</v>
      </c>
      <c r="AK58">
        <v>7.31</v>
      </c>
      <c r="AL58" s="645" t="s">
        <v>2746</v>
      </c>
      <c r="AM58">
        <v>4.32</v>
      </c>
      <c r="AN58" s="500">
        <v>-6531000000</v>
      </c>
      <c r="AO58">
        <v>6.39</v>
      </c>
      <c r="AP58">
        <v>-56549652.170000002</v>
      </c>
      <c r="AQ58">
        <v>1537000000</v>
      </c>
      <c r="AR58">
        <v>49.59</v>
      </c>
      <c r="AS58" s="72">
        <f>SUM(_xlfn.IFNA(VLOOKUP(Outstanding_pos_BB_MSB[[#This Row],[Bonds_ShortName]],FNRP!AV:BA,6,0)*Outstanding_pos_BB_MSB[[#This Row],[Amt]]/10^4,0),_xlfn.IFNA((VLOOKUP(Outstanding_pos_BB_MSB[[#This Row],[Bonds_ShortName]],FNRP!IK:IP,6,0)*Outstanding_pos_BB_MSB[[#This Row],[Amt]]/10^4),0))</f>
        <v>434655000000</v>
      </c>
      <c r="AT58" s="72">
        <f>(_xlfn.XLOOKUP(Outstanding_pos_BB_MSB[[#This Row],[Bonds_ShortName]],FNRP!AV:AV,FNRP!BA:BA,,0)
-_xlfn.XLOOKUP(Outstanding_pos_BB_MSB[[#This Row],[BondsDeals_Id]],BS!AL:AL,BS!AR:AR,_xlfn.XLOOKUP(Outstanding_pos_BB_MSB[[#This Row],[BondsDeals_Id]],BS!BA:BA,BS!BQ:BQ,,0),0)-10^5)
*Outstanding_pos_BB_MSB[[#This Row],[Amt]]/10^5</f>
        <v>-6533834011.1301365</v>
      </c>
      <c r="AU58" s="72">
        <f>VLOOKUP(Outstanding_pos_BB_MSB[[#This Row],[Bonds_ShortName]],FNRP!AV:CD,35,0)</f>
        <v>500000</v>
      </c>
      <c r="AV58" s="157">
        <f>SUMIFS(AG$1:AG$103,AD$1:AD$103,Outstanding_pos_BB_MSB[[#This Row],[Bonds_ShortName]])/10^5-Outstanding_pos_BB_MSB[[#This Row],[Quantity FNRP]]</f>
        <v>0</v>
      </c>
      <c r="AW58" s="72">
        <f>IF(RPT-Outstanding_pos_BB_MSB[[#This Row],[Value Date]]&lt;=0,0,RPT-Outstanding_pos_BB_MSB[[#This Row],[Value Date]])</f>
        <v>596</v>
      </c>
      <c r="AX58" s="32" t="str">
        <f>INDEX(Ref!$I$1:$K$13,MATCH(Outstanding_pos_BB_MSB[[#This Row],[Tenor left]],Ref!$I$1:$I$13,1),3)</f>
        <v>7Y</v>
      </c>
      <c r="AY58" s="72" t="str">
        <f>_xlfn.XLOOKUP(Outstanding_pos_BB_MSB[[#This Row],[Time hold/Deal]],Ref!S:S,Ref!U:U,,-1)</f>
        <v>2Y</v>
      </c>
      <c r="BC58"/>
      <c r="BD58"/>
      <c r="BG58"/>
      <c r="BH58"/>
      <c r="BJ58"/>
      <c r="BN58"/>
      <c r="BO58"/>
      <c r="BQ58"/>
      <c r="BR58"/>
      <c r="BX58">
        <v>43063</v>
      </c>
      <c r="BY58" s="502">
        <v>45470</v>
      </c>
      <c r="BZ58" t="s">
        <v>2775</v>
      </c>
      <c r="CA58" t="s">
        <v>824</v>
      </c>
      <c r="CB58" t="s">
        <v>907</v>
      </c>
      <c r="CC58" s="500">
        <v>200000000000</v>
      </c>
      <c r="CD58">
        <v>3.6</v>
      </c>
      <c r="CE58" s="502">
        <v>50723</v>
      </c>
      <c r="CF58">
        <v>3.25</v>
      </c>
      <c r="CG58">
        <v>12.25</v>
      </c>
      <c r="CH58" t="s">
        <v>2740</v>
      </c>
      <c r="CI58">
        <v>5.01</v>
      </c>
      <c r="CJ58" s="500">
        <v>-33152000000</v>
      </c>
      <c r="CK58">
        <v>9.18</v>
      </c>
      <c r="CL58" s="500">
        <v>-82676708.909999996</v>
      </c>
      <c r="CM58" s="500">
        <v>2742000000</v>
      </c>
      <c r="CN58">
        <v>107.43</v>
      </c>
      <c r="CO5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-31987471477.656799</v>
      </c>
      <c r="CP58" s="72">
        <f>RPT-VLOOKUP(Outstanding_pos_BB_SBV[[#This Row],[Bonds_ShortName]],CT:CU,2,0)</f>
        <v>243</v>
      </c>
      <c r="CQ58" s="157">
        <f>SUMIFS(CC:CC,BZ:BZ,Outstanding_pos_BB_SBV[[#This Row],[Bonds_ShortName]])/10^5-VLOOKUP(Outstanding_pos_BB_SBV[[#This Row],[Bonds_ShortName]],FNRP!EE:FL,34,0)</f>
        <v>0</v>
      </c>
      <c r="CT58" t="s">
        <v>2799</v>
      </c>
      <c r="CU58" s="502">
        <v>46210</v>
      </c>
      <c r="CV58" s="157"/>
      <c r="CW58" s="157"/>
      <c r="DY58" s="776">
        <v>41205</v>
      </c>
      <c r="DZ58" s="776" t="s">
        <v>2782</v>
      </c>
      <c r="EA58" s="776" t="s">
        <v>2180</v>
      </c>
      <c r="EB58" s="777">
        <v>27000000000</v>
      </c>
      <c r="EC58" s="776">
        <v>12.48</v>
      </c>
      <c r="ED58" s="10">
        <v>2.91</v>
      </c>
      <c r="EE58" s="72">
        <f>_xlfn.XLOOKUP(DY58,Outstanding_pos_BB_MSB[BondsDeals_Id],Outstanding_pos_BB_MSB[ItD adj])</f>
        <v>-5218088294.6964502</v>
      </c>
      <c r="EF58" s="32">
        <f>_xlfn.XLOOKUP(DY58,Outstanding_pos_BB_MSB[BondsDeals_Id],Outstanding_pos_BB_MSB[Yield])</f>
        <v>2.91</v>
      </c>
      <c r="EG58" s="71">
        <f>_xlfn.XLOOKUP(BB_tufund[[#This Row],[Deal ID]],Outstanding_pos_BB_MSB[BondsDeals_Id],Outstanding_pos_BB_MSB[Total Rate])</f>
        <v>3.4</v>
      </c>
      <c r="EH58" s="124">
        <f>_xlfn.XLOOKUP(DY58,Outstanding_pos_BB_MSB[BondsDeals_Id],Outstanding_pos_BB_MSB[Mature Date])</f>
        <v>50730</v>
      </c>
      <c r="EI58" s="787">
        <f>(BB_tufund[[#This Row],[Amt]]/10^9)/(_xlfn.XLOOKUP(BB_tufund[[#This Row],[Bond code]],Bankingbook_MSB[Security Name],Bankingbook_MSB[QUANTITY])/10^4)</f>
        <v>0.19708029197080293</v>
      </c>
      <c r="EJ58" s="72">
        <f>_xlfn.XLOOKUP(BB_tufund[[#This Row],[Bond code]],Bankingbook_MSB[Security Name],Bankingbook_MSB[MARKET_VALUE])*BB_tufund[[#This Row],[% amt FNRP]]</f>
        <v>23091210000</v>
      </c>
      <c r="EK58" s="71">
        <f>_xlfn.XLOOKUP(BB_tufund[[#This Row],[Bond code]],Bankingbook_MSB[Security Name],Bankingbook_MSB[BPV_edited])
/10^9*BB_tufund[[#This Row],[% amt FNRP]]</f>
        <v>-2.2055720851199639E-2</v>
      </c>
    </row>
    <row r="59" spans="2:141" x14ac:dyDescent="0.3">
      <c r="B59">
        <v>50068</v>
      </c>
      <c r="C59" s="35">
        <v>46195</v>
      </c>
      <c r="D59" t="s">
        <v>3081</v>
      </c>
      <c r="E59" t="s">
        <v>824</v>
      </c>
      <c r="F59" t="s">
        <v>823</v>
      </c>
      <c r="G59">
        <v>50000000000</v>
      </c>
      <c r="H59">
        <v>2.9</v>
      </c>
      <c r="I59" t="s">
        <v>3833</v>
      </c>
      <c r="J59">
        <v>3.42</v>
      </c>
      <c r="K59">
        <v>8.57</v>
      </c>
      <c r="L59" t="s">
        <v>2747</v>
      </c>
      <c r="M59">
        <v>4.38</v>
      </c>
      <c r="N59">
        <v>-3273500000</v>
      </c>
      <c r="O59">
        <v>7.23</v>
      </c>
      <c r="P59">
        <v>-65697159.299999997</v>
      </c>
      <c r="Q59">
        <v>1255000000</v>
      </c>
      <c r="R59">
        <v>63.72</v>
      </c>
      <c r="S5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-3308442737.4902225</v>
      </c>
      <c r="T59" s="72">
        <f>VLOOKUP(Outstanding_pos_TB_MSB[[#This Row],[Bonds_ShortName]],FNRP!D:J,7,0)</f>
        <v>1000000</v>
      </c>
      <c r="U59" s="72">
        <f>SUMIFS(Outstanding_pos_TB_MSB[Amt],Outstanding_pos_TB_MSB[Bonds_ShortName],Outstanding_pos_TB_MSB[[#This Row],[Bonds_ShortName]])/100000-Outstanding_pos_TB_MSB[[#This Row],[Quantity FNRP]]</f>
        <v>0</v>
      </c>
      <c r="V59" s="162" t="str">
        <f>INDEX(Ref!$I$1:$K$13,MATCH(Outstanding_pos_TB_MSB[[#This Row],[Tenor left]],Ref!$I$1:$I$13,1),3)</f>
        <v>10Y</v>
      </c>
      <c r="W59" s="72">
        <f>IF(RPT-VLOOKUP(Outstanding_pos_TB_MSB[[#This Row],[Bonds_ShortName]],CT:CU,2,0)&lt;=0,0,RPT-VLOOKUP(Outstanding_pos_TB_MSB[[#This Row],[Bonds_ShortName]],CT:CU,2,0))</f>
        <v>60</v>
      </c>
      <c r="X59" s="72">
        <f>IF(RPT-Outstanding_pos_TB_MSB[[#This Row],[VALUE_DATE]]&lt;=0,0,RPT-Outstanding_pos_TB_MSB[[#This Row],[VALUE_DATE]])</f>
        <v>57</v>
      </c>
      <c r="Y59" s="72" t="str">
        <f>_xlfn.XLOOKUP(Outstanding_pos_TB_MSB[[#This Row],[Time hold/Deal]],Ref!S:S,Ref!U:U,,-1)</f>
        <v>2M</v>
      </c>
      <c r="AB59">
        <v>45102</v>
      </c>
      <c r="AC59" s="35">
        <v>45656</v>
      </c>
      <c r="AD59" t="s">
        <v>703</v>
      </c>
      <c r="AE59" t="s">
        <v>2180</v>
      </c>
      <c r="AF59" t="s">
        <v>823</v>
      </c>
      <c r="AG59" s="500">
        <v>50000000000</v>
      </c>
      <c r="AH59">
        <v>2.2000000000000002</v>
      </c>
      <c r="AI59">
        <v>49927</v>
      </c>
      <c r="AJ59">
        <v>2.41</v>
      </c>
      <c r="AK59">
        <v>10.07</v>
      </c>
      <c r="AL59" s="645" t="s">
        <v>2743</v>
      </c>
      <c r="AM59">
        <v>4.45</v>
      </c>
      <c r="AN59" s="500">
        <v>-7902500000</v>
      </c>
      <c r="AO59">
        <v>8.42</v>
      </c>
      <c r="AP59">
        <v>-70826550.109999999</v>
      </c>
      <c r="AQ59">
        <v>2073000000</v>
      </c>
      <c r="AR59">
        <v>85.85</v>
      </c>
      <c r="AS59" s="72">
        <f>SUM(_xlfn.IFNA(VLOOKUP(Outstanding_pos_BB_MSB[[#This Row],[Bonds_ShortName]],FNRP!AV:BA,6,0)*Outstanding_pos_BB_MSB[[#This Row],[Amt]]/10^4,0),_xlfn.IFNA((VLOOKUP(Outstanding_pos_BB_MSB[[#This Row],[Bonds_ShortName]],FNRP!IK:IP,6,0)*Outstanding_pos_BB_MSB[[#This Row],[Amt]]/10^4),0))</f>
        <v>410340000000</v>
      </c>
      <c r="AT59" s="72">
        <f>(_xlfn.XLOOKUP(Outstanding_pos_BB_MSB[[#This Row],[Bonds_ShortName]],FNRP!AV:AV,FNRP!BA:BA,,0)
-_xlfn.XLOOKUP(Outstanding_pos_BB_MSB[[#This Row],[BondsDeals_Id]],BS!AL:AL,BS!AR:AR,_xlfn.XLOOKUP(Outstanding_pos_BB_MSB[[#This Row],[BondsDeals_Id]],BS!BA:BA,BS!BQ:BQ,,0),0)-10^5)
*Outstanding_pos_BB_MSB[[#This Row],[Amt]]/10^5</f>
        <v>-8052846915.9639864</v>
      </c>
      <c r="AU59" s="72">
        <f>VLOOKUP(Outstanding_pos_BB_MSB[[#This Row],[Bonds_ShortName]],FNRP!AV:CD,35,0)</f>
        <v>2500000</v>
      </c>
      <c r="AV59" s="157">
        <f>SUMIFS(AG$1:AG$103,AD$1:AD$103,Outstanding_pos_BB_MSB[[#This Row],[Bonds_ShortName]])/10^5-Outstanding_pos_BB_MSB[[#This Row],[Quantity FNRP]]</f>
        <v>0</v>
      </c>
      <c r="AW59" s="72">
        <f>IF(RPT-Outstanding_pos_BB_MSB[[#This Row],[Value Date]]&lt;=0,0,RPT-Outstanding_pos_BB_MSB[[#This Row],[Value Date]])</f>
        <v>596</v>
      </c>
      <c r="AX59" s="32" t="str">
        <f>INDEX(Ref!$I$1:$K$13,MATCH(Outstanding_pos_BB_MSB[[#This Row],[Tenor left]],Ref!$I$1:$I$13,1),3)</f>
        <v>10Y</v>
      </c>
      <c r="AY59" s="72" t="str">
        <f>_xlfn.XLOOKUP(Outstanding_pos_BB_MSB[[#This Row],[Time hold/Deal]],Ref!S:S,Ref!U:U,,-1)</f>
        <v>2Y</v>
      </c>
      <c r="BC59"/>
      <c r="BD59"/>
      <c r="BG59"/>
      <c r="BH59"/>
      <c r="BJ59"/>
      <c r="BN59"/>
      <c r="BO59"/>
      <c r="BQ59"/>
      <c r="BR59"/>
      <c r="BX59">
        <v>43543</v>
      </c>
      <c r="BY59" s="502">
        <v>45512</v>
      </c>
      <c r="BZ59" t="s">
        <v>670</v>
      </c>
      <c r="CA59" t="s">
        <v>824</v>
      </c>
      <c r="CB59" t="s">
        <v>907</v>
      </c>
      <c r="CC59" s="500">
        <v>50000000000</v>
      </c>
      <c r="CD59">
        <v>4.7</v>
      </c>
      <c r="CE59" s="502">
        <v>49204</v>
      </c>
      <c r="CF59">
        <v>3.02</v>
      </c>
      <c r="CG59">
        <v>8.08</v>
      </c>
      <c r="CH59" t="s">
        <v>2747</v>
      </c>
      <c r="CI59">
        <v>4.8600000000000003</v>
      </c>
      <c r="CJ59" s="500">
        <v>-7747000000</v>
      </c>
      <c r="CK59">
        <v>6.31</v>
      </c>
      <c r="CL59" s="500">
        <v>-65123087.479999997</v>
      </c>
      <c r="CM59" s="500">
        <v>4327000000</v>
      </c>
      <c r="CN59">
        <v>51.62</v>
      </c>
      <c r="CO5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-6298378684.6763611</v>
      </c>
      <c r="CP59" s="72">
        <f>RPT-VLOOKUP(Outstanding_pos_BB_SBV[[#This Row],[Bonds_ShortName]],CT:CU,2,0)</f>
        <v>742</v>
      </c>
      <c r="CQ59" s="157">
        <f>SUMIFS(CC:CC,BZ:BZ,Outstanding_pos_BB_SBV[[#This Row],[Bonds_ShortName]])/10^5-VLOOKUP(Outstanding_pos_BB_SBV[[#This Row],[Bonds_ShortName]],FNRP!EE:FL,34,0)</f>
        <v>0</v>
      </c>
      <c r="CT59" t="s">
        <v>2862</v>
      </c>
      <c r="CU59" s="502">
        <v>46258</v>
      </c>
      <c r="CV59" s="157"/>
      <c r="CW59" s="157"/>
      <c r="DY59" s="776">
        <v>41196</v>
      </c>
      <c r="DZ59" s="776" t="s">
        <v>2788</v>
      </c>
      <c r="EA59" s="776" t="s">
        <v>2180</v>
      </c>
      <c r="EB59" s="777">
        <v>300000000000</v>
      </c>
      <c r="EC59" s="776">
        <v>12.52</v>
      </c>
      <c r="ED59" s="10">
        <v>3</v>
      </c>
      <c r="EE59" s="72">
        <f>_xlfn.XLOOKUP(DY59,Outstanding_pos_BB_MSB[BondsDeals_Id],Outstanding_pos_BB_MSB[ItD adj])</f>
        <v>-54604885846.614067</v>
      </c>
      <c r="EF59" s="32">
        <f>_xlfn.XLOOKUP(DY59,Outstanding_pos_BB_MSB[BondsDeals_Id],Outstanding_pos_BB_MSB[Yield])</f>
        <v>3</v>
      </c>
      <c r="EG59" s="71">
        <f>_xlfn.XLOOKUP(BB_tufund[[#This Row],[Deal ID]],Outstanding_pos_BB_MSB[BondsDeals_Id],Outstanding_pos_BB_MSB[Total Rate])</f>
        <v>3.1</v>
      </c>
      <c r="EH59" s="124">
        <f>_xlfn.XLOOKUP(DY59,Outstanding_pos_BB_MSB[BondsDeals_Id],Outstanding_pos_BB_MSB[Mature Date])</f>
        <v>50744</v>
      </c>
      <c r="EI59" s="787">
        <f>(BB_tufund[[#This Row],[Amt]]/10^9)/(_xlfn.XLOOKUP(BB_tufund[[#This Row],[Bond code]],Bankingbook_MSB[Security Name],Bankingbook_MSB[QUANTITY])/10^4)</f>
        <v>0.31088082901554404</v>
      </c>
      <c r="EJ59" s="72">
        <f>_xlfn.XLOOKUP(BB_tufund[[#This Row],[Bond code]],Bankingbook_MSB[Security Name],Bankingbook_MSB[MARKET_VALUE])*BB_tufund[[#This Row],[% amt FNRP]]</f>
        <v>248328000000</v>
      </c>
      <c r="EK59" s="71">
        <f>_xlfn.XLOOKUP(BB_tufund[[#This Row],[Bond code]],Bankingbook_MSB[Security Name],Bankingbook_MSB[BPV_edited])
/10^9*BB_tufund[[#This Row],[% amt FNRP]]</f>
        <v>-0.24086021492191786</v>
      </c>
    </row>
    <row r="60" spans="2:141" x14ac:dyDescent="0.3">
      <c r="B60">
        <v>50082</v>
      </c>
      <c r="C60" s="35">
        <v>46197</v>
      </c>
      <c r="D60" t="s">
        <v>3118</v>
      </c>
      <c r="E60" t="s">
        <v>824</v>
      </c>
      <c r="F60" t="s">
        <v>823</v>
      </c>
      <c r="G60">
        <v>200000000000</v>
      </c>
      <c r="H60">
        <v>2.9</v>
      </c>
      <c r="I60" t="s">
        <v>3834</v>
      </c>
      <c r="J60">
        <v>3.14</v>
      </c>
      <c r="K60">
        <v>8.61</v>
      </c>
      <c r="L60" t="s">
        <v>2747</v>
      </c>
      <c r="M60">
        <v>4.38</v>
      </c>
      <c r="N60">
        <v>-17242000000</v>
      </c>
      <c r="O60">
        <v>7.27</v>
      </c>
      <c r="P60">
        <v>-65912106.310000002</v>
      </c>
      <c r="Q60">
        <v>1144000000</v>
      </c>
      <c r="R60">
        <v>64.290000000000006</v>
      </c>
      <c r="S6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-17306198017.596619</v>
      </c>
      <c r="T60" s="72">
        <f>VLOOKUP(Outstanding_pos_TB_MSB[[#This Row],[Bonds_ShortName]],FNRP!D:J,7,0)</f>
        <v>3000000</v>
      </c>
      <c r="U60" s="72">
        <f>SUMIFS(Outstanding_pos_TB_MSB[Amt],Outstanding_pos_TB_MSB[Bonds_ShortName],Outstanding_pos_TB_MSB[[#This Row],[Bonds_ShortName]])/100000-Outstanding_pos_TB_MSB[[#This Row],[Quantity FNRP]]</f>
        <v>0</v>
      </c>
      <c r="V60" s="162" t="str">
        <f>INDEX(Ref!$I$1:$K$13,MATCH(Outstanding_pos_TB_MSB[[#This Row],[Tenor left]],Ref!$I$1:$I$13,1),3)</f>
        <v>10Y</v>
      </c>
      <c r="W60" s="72">
        <f>IF(RPT-VLOOKUP(Outstanding_pos_TB_MSB[[#This Row],[Bonds_ShortName]],CT:CU,2,0)&lt;=0,0,RPT-VLOOKUP(Outstanding_pos_TB_MSB[[#This Row],[Bonds_ShortName]],CT:CU,2,0))</f>
        <v>56</v>
      </c>
      <c r="X60" s="72">
        <f>IF(RPT-Outstanding_pos_TB_MSB[[#This Row],[VALUE_DATE]]&lt;=0,0,RPT-Outstanding_pos_TB_MSB[[#This Row],[VALUE_DATE]])</f>
        <v>55</v>
      </c>
      <c r="Y60" s="72" t="str">
        <f>_xlfn.XLOOKUP(Outstanding_pos_TB_MSB[[#This Row],[Time hold/Deal]],Ref!S:S,Ref!U:U,,-1)</f>
        <v>2M</v>
      </c>
      <c r="AB60">
        <v>45142</v>
      </c>
      <c r="AC60" s="35">
        <v>45660</v>
      </c>
      <c r="AD60" t="s">
        <v>2496</v>
      </c>
      <c r="AE60" t="s">
        <v>2180</v>
      </c>
      <c r="AF60" t="s">
        <v>823</v>
      </c>
      <c r="AG60" s="500">
        <v>250000000000</v>
      </c>
      <c r="AH60">
        <v>3.8</v>
      </c>
      <c r="AI60">
        <v>50487</v>
      </c>
      <c r="AJ60">
        <v>2.64</v>
      </c>
      <c r="AK60">
        <v>11.6</v>
      </c>
      <c r="AL60" s="645" t="s">
        <v>2740</v>
      </c>
      <c r="AM60">
        <v>4.49</v>
      </c>
      <c r="AN60" s="500">
        <v>-47347500000</v>
      </c>
      <c r="AO60">
        <v>8.9600000000000009</v>
      </c>
      <c r="AP60">
        <v>-85499892.670000002</v>
      </c>
      <c r="AQ60">
        <v>1551000000</v>
      </c>
      <c r="AR60">
        <v>100.61</v>
      </c>
      <c r="AS60" s="72">
        <f>SUM(_xlfn.IFNA(VLOOKUP(Outstanding_pos_BB_MSB[[#This Row],[Bonds_ShortName]],FNRP!AV:BA,6,0)*Outstanding_pos_BB_MSB[[#This Row],[Amt]]/10^4,0),_xlfn.IFNA((VLOOKUP(Outstanding_pos_BB_MSB[[#This Row],[Bonds_ShortName]],FNRP!IK:IP,6,0)*Outstanding_pos_BB_MSB[[#This Row],[Amt]]/10^4),0))</f>
        <v>2346300000000</v>
      </c>
      <c r="AT60" s="72">
        <f>(_xlfn.XLOOKUP(Outstanding_pos_BB_MSB[[#This Row],[Bonds_ShortName]],FNRP!AV:AV,FNRP!BA:BA,,0)
-_xlfn.XLOOKUP(Outstanding_pos_BB_MSB[[#This Row],[BondsDeals_Id]],BS!AL:AL,BS!AR:AR,_xlfn.XLOOKUP(Outstanding_pos_BB_MSB[[#This Row],[BondsDeals_Id]],BS!BA:BA,BS!BQ:BQ,,0),0)-10^5)
*Outstanding_pos_BB_MSB[[#This Row],[Amt]]/10^5</f>
        <v>-43424451004.764816</v>
      </c>
      <c r="AU60" s="72">
        <f>VLOOKUP(Outstanding_pos_BB_MSB[[#This Row],[Bonds_ShortName]],FNRP!AV:CD,35,0)</f>
        <v>3500000</v>
      </c>
      <c r="AV60" s="157">
        <f>SUMIFS(AG$1:AG$103,AD$1:AD$103,Outstanding_pos_BB_MSB[[#This Row],[Bonds_ShortName]])/10^5-Outstanding_pos_BB_MSB[[#This Row],[Quantity FNRP]]</f>
        <v>0</v>
      </c>
      <c r="AW60" s="72">
        <f>IF(RPT-Outstanding_pos_BB_MSB[[#This Row],[Value Date]]&lt;=0,0,RPT-Outstanding_pos_BB_MSB[[#This Row],[Value Date]])</f>
        <v>592</v>
      </c>
      <c r="AX60" s="32" t="str">
        <f>INDEX(Ref!$I$1:$K$13,MATCH(Outstanding_pos_BB_MSB[[#This Row],[Tenor left]],Ref!$I$1:$I$13,1),3)</f>
        <v>15Y</v>
      </c>
      <c r="AY60" s="72" t="str">
        <f>_xlfn.XLOOKUP(Outstanding_pos_BB_MSB[[#This Row],[Time hold/Deal]],Ref!S:S,Ref!U:U,,-1)</f>
        <v>2Y</v>
      </c>
      <c r="BC60"/>
      <c r="BD60"/>
      <c r="BG60"/>
      <c r="BH60"/>
      <c r="BJ60"/>
      <c r="BN60"/>
      <c r="BO60"/>
      <c r="BQ60"/>
      <c r="BR60"/>
      <c r="BX60">
        <v>43842</v>
      </c>
      <c r="BY60" s="502">
        <v>45545</v>
      </c>
      <c r="BZ60" t="s">
        <v>2788</v>
      </c>
      <c r="CA60" t="s">
        <v>824</v>
      </c>
      <c r="CB60" t="s">
        <v>907</v>
      </c>
      <c r="CC60" s="500">
        <v>100000000000</v>
      </c>
      <c r="CD60">
        <v>3.1</v>
      </c>
      <c r="CE60" s="502">
        <v>50744</v>
      </c>
      <c r="CF60">
        <v>3.17</v>
      </c>
      <c r="CG60">
        <v>12.3</v>
      </c>
      <c r="CH60" t="s">
        <v>2740</v>
      </c>
      <c r="CI60">
        <v>5.01</v>
      </c>
      <c r="CJ60" s="500">
        <v>-16420000000</v>
      </c>
      <c r="CK60">
        <v>9.4499999999999993</v>
      </c>
      <c r="CL60" s="500">
        <v>-80323686.430000007</v>
      </c>
      <c r="CM60" s="500">
        <v>2183000000</v>
      </c>
      <c r="CN60">
        <v>112.05</v>
      </c>
      <c r="CO6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-16532438952.635916</v>
      </c>
      <c r="CP60" s="72">
        <f>RPT-VLOOKUP(Outstanding_pos_BB_SBV[[#This Row],[Bonds_ShortName]],CT:CU,2,0)</f>
        <v>540</v>
      </c>
      <c r="CQ60" s="157">
        <f>SUMIFS(CC:CC,BZ:BZ,Outstanding_pos_BB_SBV[[#This Row],[Bonds_ShortName]])/10^5-VLOOKUP(Outstanding_pos_BB_SBV[[#This Row],[Bonds_ShortName]],FNRP!EE:FL,34,0)</f>
        <v>0</v>
      </c>
      <c r="CT60" t="s">
        <v>2785</v>
      </c>
      <c r="CU60" s="502">
        <v>46231</v>
      </c>
      <c r="CV60" s="157"/>
      <c r="CW60" s="157"/>
      <c r="DY60" s="776">
        <v>41200</v>
      </c>
      <c r="DZ60" s="776" t="s">
        <v>2788</v>
      </c>
      <c r="EA60" s="776" t="s">
        <v>2180</v>
      </c>
      <c r="EB60" s="777">
        <v>265000000000</v>
      </c>
      <c r="EC60" s="776">
        <v>12.52</v>
      </c>
      <c r="ED60" s="10">
        <v>3</v>
      </c>
      <c r="EE60" s="72">
        <f>_xlfn.XLOOKUP(DY60,Outstanding_pos_BB_MSB[BondsDeals_Id],Outstanding_pos_BB_MSB[ItD adj])</f>
        <v>-48234315831.175758</v>
      </c>
      <c r="EF60" s="32">
        <f>_xlfn.XLOOKUP(DY60,Outstanding_pos_BB_MSB[BondsDeals_Id],Outstanding_pos_BB_MSB[Yield])</f>
        <v>3</v>
      </c>
      <c r="EG60" s="71">
        <f>_xlfn.XLOOKUP(BB_tufund[[#This Row],[Deal ID]],Outstanding_pos_BB_MSB[BondsDeals_Id],Outstanding_pos_BB_MSB[Total Rate])</f>
        <v>3.1</v>
      </c>
      <c r="EH60" s="124">
        <f>_xlfn.XLOOKUP(DY60,Outstanding_pos_BB_MSB[BondsDeals_Id],Outstanding_pos_BB_MSB[Mature Date])</f>
        <v>50744</v>
      </c>
      <c r="EI60" s="787">
        <f>(BB_tufund[[#This Row],[Amt]]/10^9)/(_xlfn.XLOOKUP(BB_tufund[[#This Row],[Bond code]],Bankingbook_MSB[Security Name],Bankingbook_MSB[QUANTITY])/10^4)</f>
        <v>0.27461139896373055</v>
      </c>
      <c r="EJ60" s="72">
        <f>_xlfn.XLOOKUP(BB_tufund[[#This Row],[Bond code]],Bankingbook_MSB[Security Name],Bankingbook_MSB[MARKET_VALUE])*BB_tufund[[#This Row],[% amt FNRP]]</f>
        <v>219356399999.99997</v>
      </c>
      <c r="EK60" s="71">
        <f>_xlfn.XLOOKUP(BB_tufund[[#This Row],[Bond code]],Bankingbook_MSB[Security Name],Bankingbook_MSB[BPV_edited])
/10^9*BB_tufund[[#This Row],[% amt FNRP]]</f>
        <v>-0.21275985651436077</v>
      </c>
    </row>
    <row r="61" spans="2:141" x14ac:dyDescent="0.3">
      <c r="B61">
        <v>50083</v>
      </c>
      <c r="C61" s="35">
        <v>46197</v>
      </c>
      <c r="D61" t="s">
        <v>2862</v>
      </c>
      <c r="E61" t="s">
        <v>824</v>
      </c>
      <c r="F61" t="s">
        <v>823</v>
      </c>
      <c r="G61">
        <v>16000000000</v>
      </c>
      <c r="H61">
        <v>2.6</v>
      </c>
      <c r="I61" t="s">
        <v>3497</v>
      </c>
      <c r="J61">
        <v>3.05</v>
      </c>
      <c r="K61">
        <v>8.11</v>
      </c>
      <c r="L61" t="s">
        <v>2747</v>
      </c>
      <c r="M61">
        <v>4.3600000000000003</v>
      </c>
      <c r="N61">
        <v>-1366400000</v>
      </c>
      <c r="O61">
        <v>6.87</v>
      </c>
      <c r="P61">
        <v>-62198559.399999999</v>
      </c>
      <c r="Q61">
        <v>2322000000</v>
      </c>
      <c r="R61">
        <v>58.01</v>
      </c>
      <c r="S6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-1376058968.7874727</v>
      </c>
      <c r="T61" s="72">
        <f>VLOOKUP(Outstanding_pos_TB_MSB[[#This Row],[Bonds_ShortName]],FNRP!D:J,7,0)</f>
        <v>2000000</v>
      </c>
      <c r="U61" s="72">
        <f>SUMIFS(Outstanding_pos_TB_MSB[Amt],Outstanding_pos_TB_MSB[Bonds_ShortName],Outstanding_pos_TB_MSB[[#This Row],[Bonds_ShortName]])/100000-Outstanding_pos_TB_MSB[[#This Row],[Quantity FNRP]]</f>
        <v>0</v>
      </c>
      <c r="V61" s="162" t="str">
        <f>INDEX(Ref!$I$1:$K$13,MATCH(Outstanding_pos_TB_MSB[[#This Row],[Tenor left]],Ref!$I$1:$I$13,1),3)</f>
        <v>10Y</v>
      </c>
      <c r="W61" s="72">
        <f>IF(RPT-VLOOKUP(Outstanding_pos_TB_MSB[[#This Row],[Bonds_ShortName]],CT:CU,2,0)&lt;=0,0,RPT-VLOOKUP(Outstanding_pos_TB_MSB[[#This Row],[Bonds_ShortName]],CT:CU,2,0))</f>
        <v>0</v>
      </c>
      <c r="X61" s="72">
        <f>IF(RPT-Outstanding_pos_TB_MSB[[#This Row],[VALUE_DATE]]&lt;=0,0,RPT-Outstanding_pos_TB_MSB[[#This Row],[VALUE_DATE]])</f>
        <v>55</v>
      </c>
      <c r="Y61" s="72" t="str">
        <f>_xlfn.XLOOKUP(Outstanding_pos_TB_MSB[[#This Row],[Time hold/Deal]],Ref!S:S,Ref!U:U,,-1)</f>
        <v>2M</v>
      </c>
      <c r="AB61">
        <v>45177</v>
      </c>
      <c r="AC61" s="35">
        <v>45664</v>
      </c>
      <c r="AD61" t="s">
        <v>2503</v>
      </c>
      <c r="AE61" t="s">
        <v>2180</v>
      </c>
      <c r="AF61" t="s">
        <v>823</v>
      </c>
      <c r="AG61" s="500">
        <v>150000000000</v>
      </c>
      <c r="AH61">
        <v>3.4</v>
      </c>
      <c r="AI61">
        <v>50515</v>
      </c>
      <c r="AJ61">
        <v>2.65</v>
      </c>
      <c r="AK61">
        <v>11.68</v>
      </c>
      <c r="AL61" s="645" t="s">
        <v>2740</v>
      </c>
      <c r="AM61">
        <v>4.49</v>
      </c>
      <c r="AN61" s="500">
        <v>-27088500000</v>
      </c>
      <c r="AO61">
        <v>9.18</v>
      </c>
      <c r="AP61">
        <v>-83889598.819999993</v>
      </c>
      <c r="AQ61">
        <v>1127000000</v>
      </c>
      <c r="AR61">
        <v>104.3</v>
      </c>
      <c r="AS61" s="72">
        <f>SUM(_xlfn.IFNA(VLOOKUP(Outstanding_pos_BB_MSB[[#This Row],[Bonds_ShortName]],FNRP!AV:BA,6,0)*Outstanding_pos_BB_MSB[[#This Row],[Amt]]/10^4,0),_xlfn.IFNA((VLOOKUP(Outstanding_pos_BB_MSB[[#This Row],[Bonds_ShortName]],FNRP!IK:IP,6,0)*Outstanding_pos_BB_MSB[[#This Row],[Amt]]/10^4),0))</f>
        <v>1353525000000</v>
      </c>
      <c r="AT61" s="72">
        <f>(_xlfn.XLOOKUP(Outstanding_pos_BB_MSB[[#This Row],[Bonds_ShortName]],FNRP!AV:AV,FNRP!BA:BA,,0)
-_xlfn.XLOOKUP(Outstanding_pos_BB_MSB[[#This Row],[BondsDeals_Id]],BS!AL:AL,BS!AR:AR,_xlfn.XLOOKUP(Outstanding_pos_BB_MSB[[#This Row],[BondsDeals_Id]],BS!BA:BA,BS!BQ:BQ,,0),0)-10^5)
*Outstanding_pos_BB_MSB[[#This Row],[Amt]]/10^5</f>
        <v>-25581166869.98579</v>
      </c>
      <c r="AU61" s="72">
        <f>VLOOKUP(Outstanding_pos_BB_MSB[[#This Row],[Bonds_ShortName]],FNRP!AV:CD,35,0)</f>
        <v>7500000</v>
      </c>
      <c r="AV61" s="157">
        <f>SUMIFS(AG$1:AG$103,AD$1:AD$103,Outstanding_pos_BB_MSB[[#This Row],[Bonds_ShortName]])/10^5-Outstanding_pos_BB_MSB[[#This Row],[Quantity FNRP]]</f>
        <v>0</v>
      </c>
      <c r="AW61" s="72">
        <f>IF(RPT-Outstanding_pos_BB_MSB[[#This Row],[Value Date]]&lt;=0,0,RPT-Outstanding_pos_BB_MSB[[#This Row],[Value Date]])</f>
        <v>588</v>
      </c>
      <c r="AX61" s="32" t="str">
        <f>INDEX(Ref!$I$1:$K$13,MATCH(Outstanding_pos_BB_MSB[[#This Row],[Tenor left]],Ref!$I$1:$I$13,1),3)</f>
        <v>15Y</v>
      </c>
      <c r="AY61" s="72" t="str">
        <f>_xlfn.XLOOKUP(Outstanding_pos_BB_MSB[[#This Row],[Time hold/Deal]],Ref!S:S,Ref!U:U,,-1)</f>
        <v>2Y</v>
      </c>
      <c r="BC61"/>
      <c r="BD61"/>
      <c r="BG61"/>
      <c r="BH61"/>
      <c r="BJ61"/>
      <c r="BN61"/>
      <c r="BO61"/>
      <c r="BQ61"/>
      <c r="BR61"/>
      <c r="BX61">
        <v>44976</v>
      </c>
      <c r="BY61" s="502">
        <v>45646</v>
      </c>
      <c r="BZ61" t="s">
        <v>596</v>
      </c>
      <c r="CA61" t="s">
        <v>824</v>
      </c>
      <c r="CB61" t="s">
        <v>895</v>
      </c>
      <c r="CC61" s="500">
        <v>200000000000</v>
      </c>
      <c r="CD61">
        <v>7.83</v>
      </c>
      <c r="CE61" s="502">
        <v>47393</v>
      </c>
      <c r="CF61">
        <v>4.79</v>
      </c>
      <c r="CG61">
        <v>3.12</v>
      </c>
      <c r="CH61" t="s">
        <v>3183</v>
      </c>
      <c r="CI61">
        <v>4.24</v>
      </c>
      <c r="CJ61" s="500">
        <v>-4812000000</v>
      </c>
      <c r="CK61">
        <v>2.62</v>
      </c>
      <c r="CL61" s="500">
        <v>-30714251.809999999</v>
      </c>
      <c r="CM61" s="500">
        <v>6886000000</v>
      </c>
      <c r="CN61">
        <v>10.09</v>
      </c>
      <c r="CO6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4024060738.1734881</v>
      </c>
      <c r="CP61" s="72">
        <f>RPT-VLOOKUP(Outstanding_pos_BB_SBV[[#This Row],[Bonds_ShortName]],CT:CU,2,0)</f>
        <v>596</v>
      </c>
      <c r="CQ61" s="157">
        <f>SUMIFS(CC:CC,BZ:BZ,Outstanding_pos_BB_SBV[[#This Row],[Bonds_ShortName]])/10^5-VLOOKUP(Outstanding_pos_BB_SBV[[#This Row],[Bonds_ShortName]],FNRP!EE:FL,34,0)</f>
        <v>0</v>
      </c>
      <c r="CT61" t="s">
        <v>636</v>
      </c>
      <c r="CU61" s="502">
        <v>46261</v>
      </c>
      <c r="DY61" s="776">
        <v>42020</v>
      </c>
      <c r="DZ61" s="776" t="s">
        <v>2800</v>
      </c>
      <c r="EA61" s="776" t="s">
        <v>2180</v>
      </c>
      <c r="EB61" s="777">
        <v>250000000000</v>
      </c>
      <c r="EC61" s="776">
        <v>12.62</v>
      </c>
      <c r="ED61" s="10">
        <v>2.4900000000000002</v>
      </c>
      <c r="EE61" s="72">
        <f>_xlfn.XLOOKUP(DY61,Outstanding_pos_BB_MSB[BondsDeals_Id],Outstanding_pos_BB_MSB[ItD adj])</f>
        <v>-46758626650.665138</v>
      </c>
      <c r="EF61" s="32">
        <f>_xlfn.XLOOKUP(DY61,Outstanding_pos_BB_MSB[BondsDeals_Id],Outstanding_pos_BB_MSB[Yield])</f>
        <v>2.4900000000000002</v>
      </c>
      <c r="EG61" s="71">
        <f>_xlfn.XLOOKUP(BB_tufund[[#This Row],[Deal ID]],Outstanding_pos_BB_MSB[BondsDeals_Id],Outstanding_pos_BB_MSB[Total Rate])</f>
        <v>2.2999999999999998</v>
      </c>
      <c r="EH61" s="124">
        <f>_xlfn.XLOOKUP(DY61,Outstanding_pos_BB_MSB[BondsDeals_Id],Outstanding_pos_BB_MSB[Mature Date])</f>
        <v>50781</v>
      </c>
      <c r="EI61" s="787">
        <f>(BB_tufund[[#This Row],[Amt]]/10^9)/(_xlfn.XLOOKUP(BB_tufund[[#This Row],[Bond code]],Bankingbook_MSB[Security Name],Bankingbook_MSB[QUANTITY])/10^4)</f>
        <v>0.41666666666666669</v>
      </c>
      <c r="EJ61" s="72">
        <f>_xlfn.XLOOKUP(BB_tufund[[#This Row],[Bond code]],Bankingbook_MSB[Security Name],Bankingbook_MSB[MARKET_VALUE])*BB_tufund[[#This Row],[% amt FNRP]]</f>
        <v>198350000000</v>
      </c>
      <c r="EK61" s="71">
        <f>_xlfn.XLOOKUP(BB_tufund[[#This Row],[Bond code]],Bankingbook_MSB[Security Name],Bankingbook_MSB[BPV_edited])
/10^9*BB_tufund[[#This Row],[% amt FNRP]]</f>
        <v>-0.20315015661408004</v>
      </c>
    </row>
    <row r="62" spans="2:141" x14ac:dyDescent="0.3">
      <c r="B62">
        <v>50089</v>
      </c>
      <c r="C62" s="35">
        <v>46216</v>
      </c>
      <c r="D62" t="s">
        <v>2836</v>
      </c>
      <c r="E62" t="s">
        <v>824</v>
      </c>
      <c r="F62" t="s">
        <v>823</v>
      </c>
      <c r="G62">
        <v>100000000000</v>
      </c>
      <c r="H62">
        <v>2.7</v>
      </c>
      <c r="I62" t="s">
        <v>3494</v>
      </c>
      <c r="J62">
        <v>3.12</v>
      </c>
      <c r="K62">
        <v>7.92</v>
      </c>
      <c r="L62" t="s">
        <v>2747</v>
      </c>
      <c r="M62">
        <v>4.3499999999999996</v>
      </c>
      <c r="N62">
        <v>-7950000000</v>
      </c>
      <c r="O62">
        <v>6.87</v>
      </c>
      <c r="P62">
        <v>-61366731.100000001</v>
      </c>
      <c r="Q62">
        <v>229000000</v>
      </c>
      <c r="R62">
        <v>56.75</v>
      </c>
      <c r="S6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-7986834783.3819275</v>
      </c>
      <c r="T62" s="72">
        <f>VLOOKUP(Outstanding_pos_TB_MSB[[#This Row],[Bonds_ShortName]],FNRP!D:J,7,0)</f>
        <v>8000000</v>
      </c>
      <c r="U62" s="72">
        <f>SUMIFS(Outstanding_pos_TB_MSB[Amt],Outstanding_pos_TB_MSB[Bonds_ShortName],Outstanding_pos_TB_MSB[[#This Row],[Bonds_ShortName]])/100000-Outstanding_pos_TB_MSB[[#This Row],[Quantity FNRP]]</f>
        <v>0</v>
      </c>
      <c r="V62" s="162" t="str">
        <f>INDEX(Ref!$I$1:$K$13,MATCH(Outstanding_pos_TB_MSB[[#This Row],[Tenor left]],Ref!$I$1:$I$13,1),3)</f>
        <v>10Y</v>
      </c>
      <c r="W62" s="72">
        <f>IF(RPT-VLOOKUP(Outstanding_pos_TB_MSB[[#This Row],[Bonds_ShortName]],CT:CU,2,0)&lt;=0,0,RPT-VLOOKUP(Outstanding_pos_TB_MSB[[#This Row],[Bonds_ShortName]],CT:CU,2,0))</f>
        <v>0</v>
      </c>
      <c r="X62" s="72">
        <f>IF(RPT-Outstanding_pos_TB_MSB[[#This Row],[VALUE_DATE]]&lt;=0,0,RPT-Outstanding_pos_TB_MSB[[#This Row],[VALUE_DATE]])</f>
        <v>36</v>
      </c>
      <c r="Y62" s="72" t="str">
        <f>_xlfn.XLOOKUP(Outstanding_pos_TB_MSB[[#This Row],[Time hold/Deal]],Ref!S:S,Ref!U:U,,-1)</f>
        <v>2M</v>
      </c>
      <c r="AB62">
        <v>45178</v>
      </c>
      <c r="AC62" s="35">
        <v>45664</v>
      </c>
      <c r="AD62" t="s">
        <v>2381</v>
      </c>
      <c r="AE62" t="s">
        <v>2180</v>
      </c>
      <c r="AF62" t="s">
        <v>823</v>
      </c>
      <c r="AG62" s="500">
        <v>50000000000</v>
      </c>
      <c r="AH62">
        <v>4.5</v>
      </c>
      <c r="AI62">
        <v>48584</v>
      </c>
      <c r="AJ62">
        <v>2.2599999999999998</v>
      </c>
      <c r="AK62">
        <v>6.39</v>
      </c>
      <c r="AL62" s="645" t="s">
        <v>3644</v>
      </c>
      <c r="AM62">
        <v>4.29</v>
      </c>
      <c r="AN62" s="500">
        <v>-7535500000</v>
      </c>
      <c r="AO62">
        <v>5.32</v>
      </c>
      <c r="AP62">
        <v>-55259019.450000003</v>
      </c>
      <c r="AQ62">
        <v>2786000000</v>
      </c>
      <c r="AR62">
        <v>36.130000000000003</v>
      </c>
      <c r="AS62" s="72">
        <f>SUM(_xlfn.IFNA(VLOOKUP(Outstanding_pos_BB_MSB[[#This Row],[Bonds_ShortName]],FNRP!AV:BA,6,0)*Outstanding_pos_BB_MSB[[#This Row],[Amt]]/10^4,0),_xlfn.IFNA((VLOOKUP(Outstanding_pos_BB_MSB[[#This Row],[Bonds_ShortName]],FNRP!IK:IP,6,0)*Outstanding_pos_BB_MSB[[#This Row],[Amt]]/10^4),0))</f>
        <v>505725000000</v>
      </c>
      <c r="AT62" s="72">
        <f>(_xlfn.XLOOKUP(Outstanding_pos_BB_MSB[[#This Row],[Bonds_ShortName]],FNRP!AV:AV,FNRP!BA:BA,,0)
-_xlfn.XLOOKUP(Outstanding_pos_BB_MSB[[#This Row],[BondsDeals_Id]],BS!AL:AL,BS!AR:AR,_xlfn.XLOOKUP(Outstanding_pos_BB_MSB[[#This Row],[BondsDeals_Id]],BS!BA:BA,BS!BQ:BQ,,0),0)-10^5)
*Outstanding_pos_BB_MSB[[#This Row],[Amt]]/10^5</f>
        <v>-5900153131.4505491</v>
      </c>
      <c r="AU62" s="72">
        <f>VLOOKUP(Outstanding_pos_BB_MSB[[#This Row],[Bonds_ShortName]],FNRP!AV:CD,35,0)</f>
        <v>3500000</v>
      </c>
      <c r="AV62" s="157">
        <f>SUMIFS(AG$1:AG$103,AD$1:AD$103,Outstanding_pos_BB_MSB[[#This Row],[Bonds_ShortName]])/10^5-Outstanding_pos_BB_MSB[[#This Row],[Quantity FNRP]]</f>
        <v>0</v>
      </c>
      <c r="AW62" s="72">
        <f>IF(RPT-Outstanding_pos_BB_MSB[[#This Row],[Value Date]]&lt;=0,0,RPT-Outstanding_pos_BB_MSB[[#This Row],[Value Date]])</f>
        <v>588</v>
      </c>
      <c r="AX62" s="32" t="str">
        <f>INDEX(Ref!$I$1:$K$13,MATCH(Outstanding_pos_BB_MSB[[#This Row],[Tenor left]],Ref!$I$1:$I$13,1),3)</f>
        <v>7Y</v>
      </c>
      <c r="AY62" s="72" t="str">
        <f>_xlfn.XLOOKUP(Outstanding_pos_BB_MSB[[#This Row],[Time hold/Deal]],Ref!S:S,Ref!U:U,,-1)</f>
        <v>2Y</v>
      </c>
      <c r="BC62"/>
      <c r="BD62"/>
      <c r="BG62"/>
      <c r="BH62"/>
      <c r="BJ62"/>
      <c r="BN62"/>
      <c r="BO62"/>
      <c r="BQ62"/>
      <c r="BR62"/>
      <c r="BX62">
        <v>44999</v>
      </c>
      <c r="BY62" s="502">
        <v>45650</v>
      </c>
      <c r="BZ62" t="s">
        <v>2779</v>
      </c>
      <c r="CA62" t="s">
        <v>824</v>
      </c>
      <c r="CB62" t="s">
        <v>907</v>
      </c>
      <c r="CC62" s="500">
        <v>50000000000</v>
      </c>
      <c r="CD62">
        <v>3.1</v>
      </c>
      <c r="CE62" s="502">
        <v>48900</v>
      </c>
      <c r="CF62">
        <v>2.9</v>
      </c>
      <c r="CG62">
        <v>7.25</v>
      </c>
      <c r="CH62" t="s">
        <v>2746</v>
      </c>
      <c r="CI62">
        <v>4.82</v>
      </c>
      <c r="CJ62" s="500">
        <v>-5937500000</v>
      </c>
      <c r="CK62">
        <v>6.1</v>
      </c>
      <c r="CL62" s="500">
        <v>-56132613.909999996</v>
      </c>
      <c r="CM62" s="500">
        <v>2336000000</v>
      </c>
      <c r="CN62">
        <v>46.36</v>
      </c>
      <c r="CO6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-5796071125.3951521</v>
      </c>
      <c r="CP62" s="72">
        <f>RPT-VLOOKUP(Outstanding_pos_BB_SBV[[#This Row],[Bonds_ShortName]],CT:CU,2,0)</f>
        <v>607</v>
      </c>
      <c r="CQ62" s="157">
        <f>SUMIFS(CC:CC,BZ:BZ,Outstanding_pos_BB_SBV[[#This Row],[Bonds_ShortName]])/10^5-VLOOKUP(Outstanding_pos_BB_SBV[[#This Row],[Bonds_ShortName]],FNRP!EE:FL,34,0)</f>
        <v>0</v>
      </c>
      <c r="CT62" t="s">
        <v>590</v>
      </c>
      <c r="CU62" s="502">
        <v>45652</v>
      </c>
      <c r="DY62" s="776">
        <v>41957</v>
      </c>
      <c r="DZ62" s="776" t="s">
        <v>2800</v>
      </c>
      <c r="EA62" s="776" t="s">
        <v>2180</v>
      </c>
      <c r="EB62" s="777">
        <v>200000000000</v>
      </c>
      <c r="EC62" s="776">
        <v>12.62</v>
      </c>
      <c r="ED62" s="10">
        <v>2.48</v>
      </c>
      <c r="EE62" s="72">
        <f>_xlfn.XLOOKUP(DY62,Outstanding_pos_BB_MSB[BondsDeals_Id],Outstanding_pos_BB_MSB[ItD adj])</f>
        <v>-37611425830.063759</v>
      </c>
      <c r="EF62" s="32">
        <f>_xlfn.XLOOKUP(DY62,Outstanding_pos_BB_MSB[BondsDeals_Id],Outstanding_pos_BB_MSB[Yield])</f>
        <v>2.48</v>
      </c>
      <c r="EG62" s="71">
        <f>_xlfn.XLOOKUP(BB_tufund[[#This Row],[Deal ID]],Outstanding_pos_BB_MSB[BondsDeals_Id],Outstanding_pos_BB_MSB[Total Rate])</f>
        <v>2.2999999999999998</v>
      </c>
      <c r="EH62" s="124">
        <f>_xlfn.XLOOKUP(DY62,Outstanding_pos_BB_MSB[BondsDeals_Id],Outstanding_pos_BB_MSB[Mature Date])</f>
        <v>50781</v>
      </c>
      <c r="EI62" s="787">
        <f>(BB_tufund[[#This Row],[Amt]]/10^9)/(_xlfn.XLOOKUP(BB_tufund[[#This Row],[Bond code]],Bankingbook_MSB[Security Name],Bankingbook_MSB[QUANTITY])/10^4)</f>
        <v>0.33333333333333331</v>
      </c>
      <c r="EJ62" s="72">
        <f>_xlfn.XLOOKUP(BB_tufund[[#This Row],[Bond code]],Bankingbook_MSB[Security Name],Bankingbook_MSB[MARKET_VALUE])*BB_tufund[[#This Row],[% amt FNRP]]</f>
        <v>158680000000</v>
      </c>
      <c r="EK62" s="71">
        <f>_xlfn.XLOOKUP(BB_tufund[[#This Row],[Bond code]],Bankingbook_MSB[Security Name],Bankingbook_MSB[BPV_edited])
/10^9*BB_tufund[[#This Row],[% amt FNRP]]</f>
        <v>-0.16252012529126403</v>
      </c>
    </row>
    <row r="63" spans="2:141" x14ac:dyDescent="0.3">
      <c r="B63">
        <v>50100</v>
      </c>
      <c r="C63" s="35">
        <v>46202</v>
      </c>
      <c r="D63" t="s">
        <v>3317</v>
      </c>
      <c r="E63" t="s">
        <v>824</v>
      </c>
      <c r="F63" t="s">
        <v>823</v>
      </c>
      <c r="G63">
        <v>350000000000</v>
      </c>
      <c r="H63">
        <v>3.3</v>
      </c>
      <c r="I63" t="s">
        <v>3498</v>
      </c>
      <c r="J63">
        <v>3.49</v>
      </c>
      <c r="K63">
        <v>8.98</v>
      </c>
      <c r="L63" t="s">
        <v>2747</v>
      </c>
      <c r="M63">
        <v>4.4000000000000004</v>
      </c>
      <c r="N63">
        <v>-23037000000</v>
      </c>
      <c r="O63">
        <v>7.52</v>
      </c>
      <c r="P63">
        <v>-69212896.269999996</v>
      </c>
      <c r="Q63">
        <v>99000000</v>
      </c>
      <c r="R63">
        <v>68.540000000000006</v>
      </c>
      <c r="S6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-23112429917.050396</v>
      </c>
      <c r="T63" s="72">
        <f>VLOOKUP(Outstanding_pos_TB_MSB[[#This Row],[Bonds_ShortName]],FNRP!D:J,7,0)</f>
        <v>12000000</v>
      </c>
      <c r="U63" s="72">
        <f>SUMIFS(Outstanding_pos_TB_MSB[Amt],Outstanding_pos_TB_MSB[Bonds_ShortName],Outstanding_pos_TB_MSB[[#This Row],[Bonds_ShortName]])/100000-Outstanding_pos_TB_MSB[[#This Row],[Quantity FNRP]]</f>
        <v>0</v>
      </c>
      <c r="V63" s="162" t="str">
        <f>INDEX(Ref!$I$1:$K$13,MATCH(Outstanding_pos_TB_MSB[[#This Row],[Tenor left]],Ref!$I$1:$I$13,1),3)</f>
        <v>10Y</v>
      </c>
      <c r="W63" s="72">
        <f>IF(RPT-VLOOKUP(Outstanding_pos_TB_MSB[[#This Row],[Bonds_ShortName]],CT:CU,2,0)&lt;=0,0,RPT-VLOOKUP(Outstanding_pos_TB_MSB[[#This Row],[Bonds_ShortName]],CT:CU,2,0))</f>
        <v>0</v>
      </c>
      <c r="X63" s="72">
        <f>IF(RPT-Outstanding_pos_TB_MSB[[#This Row],[VALUE_DATE]]&lt;=0,0,RPT-Outstanding_pos_TB_MSB[[#This Row],[VALUE_DATE]])</f>
        <v>50</v>
      </c>
      <c r="Y63" s="72" t="str">
        <f>_xlfn.XLOOKUP(Outstanding_pos_TB_MSB[[#This Row],[Time hold/Deal]],Ref!S:S,Ref!U:U,,-1)</f>
        <v>2M</v>
      </c>
      <c r="AB63">
        <v>45179</v>
      </c>
      <c r="AC63" s="35">
        <v>45664</v>
      </c>
      <c r="AD63" t="s">
        <v>704</v>
      </c>
      <c r="AE63" t="s">
        <v>2180</v>
      </c>
      <c r="AF63" t="s">
        <v>823</v>
      </c>
      <c r="AG63" s="500">
        <v>50000000000</v>
      </c>
      <c r="AH63">
        <v>2.2999999999999998</v>
      </c>
      <c r="AI63">
        <v>50004</v>
      </c>
      <c r="AJ63">
        <v>2.41</v>
      </c>
      <c r="AK63">
        <v>10.28</v>
      </c>
      <c r="AL63" s="645" t="s">
        <v>2743</v>
      </c>
      <c r="AM63">
        <v>4.45</v>
      </c>
      <c r="AN63" s="500">
        <v>-8167500000</v>
      </c>
      <c r="AO63">
        <v>8.58</v>
      </c>
      <c r="AP63">
        <v>-72230615.189999998</v>
      </c>
      <c r="AQ63">
        <v>1682000000</v>
      </c>
      <c r="AR63">
        <v>88.9</v>
      </c>
      <c r="AS63" s="72">
        <f>SUM(_xlfn.IFNA(VLOOKUP(Outstanding_pos_BB_MSB[[#This Row],[Bonds_ShortName]],FNRP!AV:BA,6,0)*Outstanding_pos_BB_MSB[[#This Row],[Amt]]/10^4,0),_xlfn.IFNA((VLOOKUP(Outstanding_pos_BB_MSB[[#This Row],[Bonds_ShortName]],FNRP!IK:IP,6,0)*Outstanding_pos_BB_MSB[[#This Row],[Amt]]/10^4),0))</f>
        <v>412665000000</v>
      </c>
      <c r="AT63" s="72">
        <f>(_xlfn.XLOOKUP(Outstanding_pos_BB_MSB[[#This Row],[Bonds_ShortName]],FNRP!AV:AV,FNRP!BA:BA,,0)
-_xlfn.XLOOKUP(Outstanding_pos_BB_MSB[[#This Row],[BondsDeals_Id]],BS!AL:AL,BS!AR:AR,_xlfn.XLOOKUP(Outstanding_pos_BB_MSB[[#This Row],[BondsDeals_Id]],BS!BA:BA,BS!BQ:BQ,,0),0)-10^5)
*Outstanding_pos_BB_MSB[[#This Row],[Amt]]/10^5</f>
        <v>-8246060616.4383574</v>
      </c>
      <c r="AU63" s="72">
        <f>VLOOKUP(Outstanding_pos_BB_MSB[[#This Row],[Bonds_ShortName]],FNRP!AV:CD,35,0)</f>
        <v>500000</v>
      </c>
      <c r="AV63" s="157">
        <f>SUMIFS(AG$1:AG$103,AD$1:AD$103,Outstanding_pos_BB_MSB[[#This Row],[Bonds_ShortName]])/10^5-Outstanding_pos_BB_MSB[[#This Row],[Quantity FNRP]]</f>
        <v>0</v>
      </c>
      <c r="AW63" s="72">
        <f>IF(RPT-Outstanding_pos_BB_MSB[[#This Row],[Value Date]]&lt;=0,0,RPT-Outstanding_pos_BB_MSB[[#This Row],[Value Date]])</f>
        <v>588</v>
      </c>
      <c r="AX63" s="32" t="str">
        <f>INDEX(Ref!$I$1:$K$13,MATCH(Outstanding_pos_BB_MSB[[#This Row],[Tenor left]],Ref!$I$1:$I$13,1),3)</f>
        <v>10Y</v>
      </c>
      <c r="AY63" s="72" t="str">
        <f>_xlfn.XLOOKUP(Outstanding_pos_BB_MSB[[#This Row],[Time hold/Deal]],Ref!S:S,Ref!U:U,,-1)</f>
        <v>2Y</v>
      </c>
      <c r="BC63"/>
      <c r="BD63"/>
      <c r="BG63"/>
      <c r="BH63"/>
      <c r="BJ63"/>
      <c r="BN63"/>
      <c r="BO63"/>
      <c r="BQ63"/>
      <c r="BR63"/>
      <c r="BX63">
        <v>45000</v>
      </c>
      <c r="BY63" s="502">
        <v>45650</v>
      </c>
      <c r="BZ63" t="s">
        <v>2779</v>
      </c>
      <c r="CA63" t="s">
        <v>824</v>
      </c>
      <c r="CB63" t="s">
        <v>907</v>
      </c>
      <c r="CC63" s="500">
        <v>300000000000</v>
      </c>
      <c r="CD63">
        <v>3.1</v>
      </c>
      <c r="CE63" s="502">
        <v>48900</v>
      </c>
      <c r="CF63">
        <v>2.9</v>
      </c>
      <c r="CG63">
        <v>7.25</v>
      </c>
      <c r="CH63" t="s">
        <v>2746</v>
      </c>
      <c r="CI63">
        <v>4.82</v>
      </c>
      <c r="CJ63" s="500">
        <v>-35625000000</v>
      </c>
      <c r="CK63">
        <v>6.1</v>
      </c>
      <c r="CL63" s="500">
        <v>-56132613.909999996</v>
      </c>
      <c r="CM63" s="500">
        <v>2336000000</v>
      </c>
      <c r="CN63">
        <v>46.36</v>
      </c>
      <c r="CO6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-34776426752.370918</v>
      </c>
      <c r="CP63" s="72">
        <f>RPT-VLOOKUP(Outstanding_pos_BB_SBV[[#This Row],[Bonds_ShortName]],CT:CU,2,0)</f>
        <v>607</v>
      </c>
      <c r="CQ63" s="157">
        <f>SUMIFS(CC:CC,BZ:BZ,Outstanding_pos_BB_SBV[[#This Row],[Bonds_ShortName]])/10^5-VLOOKUP(Outstanding_pos_BB_SBV[[#This Row],[Bonds_ShortName]],FNRP!EE:FL,34,0)</f>
        <v>0</v>
      </c>
      <c r="CT63" t="s">
        <v>3317</v>
      </c>
      <c r="CU63" s="502">
        <v>46261</v>
      </c>
      <c r="DY63" s="776">
        <v>46995</v>
      </c>
      <c r="DZ63" s="776" t="s">
        <v>710</v>
      </c>
      <c r="EA63" s="776" t="s">
        <v>2180</v>
      </c>
      <c r="EB63" s="777">
        <v>100000000000</v>
      </c>
      <c r="EC63" s="776">
        <v>12.63</v>
      </c>
      <c r="ED63" s="10">
        <v>2.85</v>
      </c>
      <c r="EE63" s="72">
        <f>_xlfn.XLOOKUP(DY63,Outstanding_pos_BB_MSB[BondsDeals_Id],Outstanding_pos_BB_MSB[ItD adj])</f>
        <v>-17861130312.752792</v>
      </c>
      <c r="EF63" s="32">
        <f>_xlfn.XLOOKUP(DY63,Outstanding_pos_BB_MSB[BondsDeals_Id],Outstanding_pos_BB_MSB[Yield])</f>
        <v>2.85</v>
      </c>
      <c r="EG63" s="71">
        <f>_xlfn.XLOOKUP(BB_tufund[[#This Row],[Deal ID]],Outstanding_pos_BB_MSB[BondsDeals_Id],Outstanding_pos_BB_MSB[Total Rate])</f>
        <v>5.6</v>
      </c>
      <c r="EH63" s="124">
        <f>_xlfn.XLOOKUP(DY63,Outstanding_pos_BB_MSB[BondsDeals_Id],Outstanding_pos_BB_MSB[Mature Date])</f>
        <v>50787</v>
      </c>
      <c r="EI63" s="787">
        <f>(BB_tufund[[#This Row],[Amt]]/10^9)/(_xlfn.XLOOKUP(BB_tufund[[#This Row],[Bond code]],Bankingbook_MSB[Security Name],Bankingbook_MSB[QUANTITY])/10^4)</f>
        <v>1</v>
      </c>
      <c r="EJ63" s="72">
        <f>_xlfn.XLOOKUP(BB_tufund[[#This Row],[Bond code]],Bankingbook_MSB[Security Name],Bankingbook_MSB[MARKET_VALUE])*BB_tufund[[#This Row],[% amt FNRP]]</f>
        <v>110155000000</v>
      </c>
      <c r="EK63" s="71">
        <f>_xlfn.XLOOKUP(BB_tufund[[#This Row],[Bond code]],Bankingbook_MSB[Security Name],Bankingbook_MSB[BPV_edited])
/10^9*BB_tufund[[#This Row],[% amt FNRP]]</f>
        <v>-9.9505699369881948E-2</v>
      </c>
    </row>
    <row r="64" spans="2:141" x14ac:dyDescent="0.3">
      <c r="B64">
        <v>50105</v>
      </c>
      <c r="C64" s="35">
        <v>46245</v>
      </c>
      <c r="D64" t="s">
        <v>3051</v>
      </c>
      <c r="E64" t="s">
        <v>824</v>
      </c>
      <c r="F64" t="s">
        <v>823</v>
      </c>
      <c r="G64">
        <v>40000000000</v>
      </c>
      <c r="H64">
        <v>2.9</v>
      </c>
      <c r="I64" t="s">
        <v>3518</v>
      </c>
      <c r="J64">
        <v>3.75</v>
      </c>
      <c r="K64">
        <v>8.5299999999999994</v>
      </c>
      <c r="L64" t="s">
        <v>2747</v>
      </c>
      <c r="M64">
        <v>4.38</v>
      </c>
      <c r="N64">
        <v>-1705600000</v>
      </c>
      <c r="O64">
        <v>7.2</v>
      </c>
      <c r="P64">
        <v>-65480997.75</v>
      </c>
      <c r="Q64">
        <v>1367000000</v>
      </c>
      <c r="R64">
        <v>63.16</v>
      </c>
      <c r="S6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-1711866748.5717916</v>
      </c>
      <c r="T64" s="72">
        <f>VLOOKUP(Outstanding_pos_TB_MSB[[#This Row],[Bonds_ShortName]],FNRP!D:J,7,0)</f>
        <v>6000000</v>
      </c>
      <c r="U64" s="72">
        <f>SUMIFS(Outstanding_pos_TB_MSB[Amt],Outstanding_pos_TB_MSB[Bonds_ShortName],Outstanding_pos_TB_MSB[[#This Row],[Bonds_ShortName]])/100000-Outstanding_pos_TB_MSB[[#This Row],[Quantity FNRP]]</f>
        <v>0</v>
      </c>
      <c r="V64" s="162" t="str">
        <f>INDEX(Ref!$I$1:$K$13,MATCH(Outstanding_pos_TB_MSB[[#This Row],[Tenor left]],Ref!$I$1:$I$13,1),3)</f>
        <v>10Y</v>
      </c>
      <c r="W64" s="72">
        <f>IF(RPT-VLOOKUP(Outstanding_pos_TB_MSB[[#This Row],[Bonds_ShortName]],CT:CU,2,0)&lt;=0,0,RPT-VLOOKUP(Outstanding_pos_TB_MSB[[#This Row],[Bonds_ShortName]],CT:CU,2,0))</f>
        <v>0</v>
      </c>
      <c r="X64" s="72">
        <f>IF(RPT-Outstanding_pos_TB_MSB[[#This Row],[VALUE_DATE]]&lt;=0,0,RPT-Outstanding_pos_TB_MSB[[#This Row],[VALUE_DATE]])</f>
        <v>7</v>
      </c>
      <c r="Y64" s="72" t="str">
        <f>_xlfn.XLOOKUP(Outstanding_pos_TB_MSB[[#This Row],[Time hold/Deal]],Ref!S:S,Ref!U:U,,-1)</f>
        <v>1W</v>
      </c>
      <c r="AB64">
        <v>45190</v>
      </c>
      <c r="AC64" s="35">
        <v>45667</v>
      </c>
      <c r="AD64" t="s">
        <v>2380</v>
      </c>
      <c r="AE64" t="s">
        <v>2180</v>
      </c>
      <c r="AF64" t="s">
        <v>823</v>
      </c>
      <c r="AG64" s="500">
        <v>150000000000</v>
      </c>
      <c r="AH64">
        <v>4.7</v>
      </c>
      <c r="AI64">
        <v>50410</v>
      </c>
      <c r="AJ64">
        <v>2.4900000000000002</v>
      </c>
      <c r="AK64">
        <v>11.39</v>
      </c>
      <c r="AL64" s="645" t="s">
        <v>2740</v>
      </c>
      <c r="AM64">
        <v>4.4800000000000004</v>
      </c>
      <c r="AN64" s="500">
        <v>-33594000000</v>
      </c>
      <c r="AO64">
        <v>8.4700000000000006</v>
      </c>
      <c r="AP64">
        <v>-88733432.620000005</v>
      </c>
      <c r="AQ64">
        <v>2910000000</v>
      </c>
      <c r="AR64">
        <v>92.44</v>
      </c>
      <c r="AS64" s="72">
        <f>SUM(_xlfn.IFNA(VLOOKUP(Outstanding_pos_BB_MSB[[#This Row],[Bonds_ShortName]],FNRP!AV:BA,6,0)*Outstanding_pos_BB_MSB[[#This Row],[Amt]]/10^4,0),_xlfn.IFNA((VLOOKUP(Outstanding_pos_BB_MSB[[#This Row],[Bonds_ShortName]],FNRP!IK:IP,6,0)*Outstanding_pos_BB_MSB[[#This Row],[Amt]]/10^4),0))</f>
        <v>1528050000000</v>
      </c>
      <c r="AT64" s="72">
        <f>(_xlfn.XLOOKUP(Outstanding_pos_BB_MSB[[#This Row],[Bonds_ShortName]],FNRP!AV:AV,FNRP!BA:BA,,0)
-_xlfn.XLOOKUP(Outstanding_pos_BB_MSB[[#This Row],[BondsDeals_Id]],BS!AL:AL,BS!AR:AR,_xlfn.XLOOKUP(Outstanding_pos_BB_MSB[[#This Row],[BondsDeals_Id]],BS!BA:BA,BS!BQ:BQ,,0),0)-10^5)
*Outstanding_pos_BB_MSB[[#This Row],[Amt]]/10^5</f>
        <v>-29096381256.877384</v>
      </c>
      <c r="AU64" s="72">
        <f>VLOOKUP(Outstanding_pos_BB_MSB[[#This Row],[Bonds_ShortName]],FNRP!AV:CD,35,0)</f>
        <v>9000000</v>
      </c>
      <c r="AV64" s="157">
        <f>SUMIFS(AG$1:AG$103,AD$1:AD$103,Outstanding_pos_BB_MSB[[#This Row],[Bonds_ShortName]])/10^5-Outstanding_pos_BB_MSB[[#This Row],[Quantity FNRP]]</f>
        <v>0</v>
      </c>
      <c r="AW64" s="72">
        <f>IF(RPT-Outstanding_pos_BB_MSB[[#This Row],[Value Date]]&lt;=0,0,RPT-Outstanding_pos_BB_MSB[[#This Row],[Value Date]])</f>
        <v>585</v>
      </c>
      <c r="AX64" s="32" t="str">
        <f>INDEX(Ref!$I$1:$K$13,MATCH(Outstanding_pos_BB_MSB[[#This Row],[Tenor left]],Ref!$I$1:$I$13,1),3)</f>
        <v>15Y</v>
      </c>
      <c r="AY64" s="72" t="str">
        <f>_xlfn.XLOOKUP(Outstanding_pos_BB_MSB[[#This Row],[Time hold/Deal]],Ref!S:S,Ref!U:U,,-1)</f>
        <v>2Y</v>
      </c>
      <c r="BC64"/>
      <c r="BD64"/>
      <c r="BG64"/>
      <c r="BH64"/>
      <c r="BJ64"/>
      <c r="BN64"/>
      <c r="BO64"/>
      <c r="BQ64"/>
      <c r="BR64"/>
      <c r="BX64">
        <v>45063</v>
      </c>
      <c r="BY64" s="502">
        <v>45652</v>
      </c>
      <c r="BZ64" t="s">
        <v>2497</v>
      </c>
      <c r="CA64" t="s">
        <v>2180</v>
      </c>
      <c r="CB64" t="s">
        <v>823</v>
      </c>
      <c r="CC64" s="500">
        <v>350000000000</v>
      </c>
      <c r="CD64">
        <v>4.2</v>
      </c>
      <c r="CE64" s="502">
        <v>55966</v>
      </c>
      <c r="CF64">
        <v>2.96</v>
      </c>
      <c r="CG64">
        <v>26.61</v>
      </c>
      <c r="CH64" t="s">
        <v>2813</v>
      </c>
      <c r="CI64">
        <v>4.71</v>
      </c>
      <c r="CJ64" s="500">
        <v>-109088000000</v>
      </c>
      <c r="CK64">
        <v>15.08</v>
      </c>
      <c r="CL64" s="500">
        <v>-141778278.08000001</v>
      </c>
      <c r="CM64" s="500">
        <v>1715000000</v>
      </c>
      <c r="CN64">
        <v>325.38</v>
      </c>
      <c r="CO6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-104299286827.85202</v>
      </c>
      <c r="CP64" s="72">
        <f>RPT-VLOOKUP(Outstanding_pos_BB_SBV[[#This Row],[Bonds_ShortName]],CT:CU,2,0)</f>
        <v>-20</v>
      </c>
      <c r="CQ64" s="157">
        <f>SUMIFS(CC:CC,BZ:BZ,Outstanding_pos_BB_SBV[[#This Row],[Bonds_ShortName]])/10^5-VLOOKUP(Outstanding_pos_BB_SBV[[#This Row],[Bonds_ShortName]],FNRP!EE:FL,34,0)</f>
        <v>0</v>
      </c>
      <c r="CT64" t="s">
        <v>722</v>
      </c>
      <c r="CU64" s="502">
        <v>46062</v>
      </c>
      <c r="DY64" s="776">
        <v>45448</v>
      </c>
      <c r="DZ64" s="776" t="s">
        <v>2835</v>
      </c>
      <c r="EA64" s="776" t="s">
        <v>2180</v>
      </c>
      <c r="EB64" s="777">
        <v>350000000000</v>
      </c>
      <c r="EC64" s="776">
        <v>12.94</v>
      </c>
      <c r="ED64" s="10">
        <v>2.89</v>
      </c>
      <c r="EE64" s="72">
        <f>_xlfn.XLOOKUP(DY64,Outstanding_pos_BB_MSB[BondsDeals_Id],Outstanding_pos_BB_MSB[ItD adj])</f>
        <v>-53751332413.920769</v>
      </c>
      <c r="EF64" s="32">
        <f>_xlfn.XLOOKUP(DY64,Outstanding_pos_BB_MSB[BondsDeals_Id],Outstanding_pos_BB_MSB[Yield])</f>
        <v>2.89</v>
      </c>
      <c r="EG64" s="71">
        <f>_xlfn.XLOOKUP(BB_tufund[[#This Row],[Deal ID]],Outstanding_pos_BB_MSB[BondsDeals_Id],Outstanding_pos_BB_MSB[Total Rate])</f>
        <v>2.7</v>
      </c>
      <c r="EH64" s="124">
        <f>_xlfn.XLOOKUP(DY64,Outstanding_pos_BB_MSB[BondsDeals_Id],Outstanding_pos_BB_MSB[Mature Date])</f>
        <v>50899</v>
      </c>
      <c r="EI64" s="787">
        <f>(BB_tufund[[#This Row],[Amt]]/10^9)/(_xlfn.XLOOKUP(BB_tufund[[#This Row],[Bond code]],Bankingbook_MSB[Security Name],Bankingbook_MSB[QUANTITY])/10^4)</f>
        <v>0.53846153846153844</v>
      </c>
      <c r="EJ64" s="72">
        <f>_xlfn.XLOOKUP(BB_tufund[[#This Row],[Bond code]],Bankingbook_MSB[Security Name],Bankingbook_MSB[MARKET_VALUE])*BB_tufund[[#This Row],[% amt FNRP]]</f>
        <v>289369500000</v>
      </c>
      <c r="EK64" s="71">
        <f>_xlfn.XLOOKUP(BB_tufund[[#This Row],[Bond code]],Bankingbook_MSB[Security Name],Bankingbook_MSB[BPV_edited])
/10^9*BB_tufund[[#This Row],[% amt FNRP]]</f>
        <v>-0.2966938255101903</v>
      </c>
    </row>
    <row r="65" spans="2:141" x14ac:dyDescent="0.3">
      <c r="B65">
        <v>50111</v>
      </c>
      <c r="C65" s="35">
        <v>46241</v>
      </c>
      <c r="D65" t="s">
        <v>660</v>
      </c>
      <c r="E65" t="s">
        <v>824</v>
      </c>
      <c r="F65" t="s">
        <v>823</v>
      </c>
      <c r="G65">
        <v>360000000000</v>
      </c>
      <c r="H65">
        <v>5.2</v>
      </c>
      <c r="I65" t="s">
        <v>3826</v>
      </c>
      <c r="J65">
        <v>3.07</v>
      </c>
      <c r="K65">
        <v>6.41</v>
      </c>
      <c r="L65" t="s">
        <v>3644</v>
      </c>
      <c r="M65">
        <v>4.29</v>
      </c>
      <c r="N65">
        <v>-26114400000</v>
      </c>
      <c r="O65">
        <v>5.25</v>
      </c>
      <c r="P65">
        <v>-56724448.93</v>
      </c>
      <c r="Q65">
        <v>3120000000</v>
      </c>
      <c r="R65">
        <v>35.549999999999997</v>
      </c>
      <c r="S6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-25888247834.986599</v>
      </c>
      <c r="T65" s="72">
        <f>VLOOKUP(Outstanding_pos_TB_MSB[[#This Row],[Bonds_ShortName]],FNRP!D:J,7,0)</f>
        <v>3600000</v>
      </c>
      <c r="U65" s="72">
        <f>SUMIFS(Outstanding_pos_TB_MSB[Amt],Outstanding_pos_TB_MSB[Bonds_ShortName],Outstanding_pos_TB_MSB[[#This Row],[Bonds_ShortName]])/100000-Outstanding_pos_TB_MSB[[#This Row],[Quantity FNRP]]</f>
        <v>0</v>
      </c>
      <c r="V65" s="162" t="str">
        <f>INDEX(Ref!$I$1:$K$13,MATCH(Outstanding_pos_TB_MSB[[#This Row],[Tenor left]],Ref!$I$1:$I$13,1),3)</f>
        <v>7Y</v>
      </c>
      <c r="W65" s="72">
        <f>IF(RPT-VLOOKUP(Outstanding_pos_TB_MSB[[#This Row],[Bonds_ShortName]],CT:CU,2,0)&lt;=0,0,RPT-VLOOKUP(Outstanding_pos_TB_MSB[[#This Row],[Bonds_ShortName]],CT:CU,2,0))</f>
        <v>12</v>
      </c>
      <c r="X65" s="72">
        <f>IF(RPT-Outstanding_pos_TB_MSB[[#This Row],[VALUE_DATE]]&lt;=0,0,RPT-Outstanding_pos_TB_MSB[[#This Row],[VALUE_DATE]])</f>
        <v>11</v>
      </c>
      <c r="Y65" s="72" t="str">
        <f>_xlfn.XLOOKUP(Outstanding_pos_TB_MSB[[#This Row],[Time hold/Deal]],Ref!S:S,Ref!U:U,,-1)</f>
        <v>2W</v>
      </c>
      <c r="AB65">
        <v>45193</v>
      </c>
      <c r="AC65" s="35">
        <v>45665</v>
      </c>
      <c r="AD65" t="s">
        <v>2380</v>
      </c>
      <c r="AE65" t="s">
        <v>2180</v>
      </c>
      <c r="AF65" t="s">
        <v>823</v>
      </c>
      <c r="AG65" s="500">
        <v>350000000000</v>
      </c>
      <c r="AH65">
        <v>4.7</v>
      </c>
      <c r="AI65">
        <v>50410</v>
      </c>
      <c r="AJ65">
        <v>2.48</v>
      </c>
      <c r="AK65">
        <v>11.39</v>
      </c>
      <c r="AL65" s="645" t="s">
        <v>2740</v>
      </c>
      <c r="AM65">
        <v>4.4800000000000004</v>
      </c>
      <c r="AN65" s="500">
        <v>-78855000000</v>
      </c>
      <c r="AO65">
        <v>8.4700000000000006</v>
      </c>
      <c r="AP65">
        <v>-88733432.620000005</v>
      </c>
      <c r="AQ65">
        <v>2910000000</v>
      </c>
      <c r="AR65">
        <v>92.44</v>
      </c>
      <c r="AS65" s="72">
        <f>SUM(_xlfn.IFNA(VLOOKUP(Outstanding_pos_BB_MSB[[#This Row],[Bonds_ShortName]],FNRP!AV:BA,6,0)*Outstanding_pos_BB_MSB[[#This Row],[Amt]]/10^4,0),_xlfn.IFNA((VLOOKUP(Outstanding_pos_BB_MSB[[#This Row],[Bonds_ShortName]],FNRP!IK:IP,6,0)*Outstanding_pos_BB_MSB[[#This Row],[Amt]]/10^4),0))</f>
        <v>3565450000000</v>
      </c>
      <c r="AT65" s="72">
        <f>(_xlfn.XLOOKUP(Outstanding_pos_BB_MSB[[#This Row],[Bonds_ShortName]],FNRP!AV:AV,FNRP!BA:BA,,0)
-_xlfn.XLOOKUP(Outstanding_pos_BB_MSB[[#This Row],[BondsDeals_Id]],BS!AL:AL,BS!AR:AR,_xlfn.XLOOKUP(Outstanding_pos_BB_MSB[[#This Row],[BondsDeals_Id]],BS!BA:BA,BS!BQ:BQ,,0),0)-10^5)
*Outstanding_pos_BB_MSB[[#This Row],[Amt]]/10^5</f>
        <v>-68273373302.827682</v>
      </c>
      <c r="AU65" s="72">
        <f>VLOOKUP(Outstanding_pos_BB_MSB[[#This Row],[Bonds_ShortName]],FNRP!AV:CD,35,0)</f>
        <v>9000000</v>
      </c>
      <c r="AV65" s="157">
        <f>SUMIFS(AG$1:AG$103,AD$1:AD$103,Outstanding_pos_BB_MSB[[#This Row],[Bonds_ShortName]])/10^5-Outstanding_pos_BB_MSB[[#This Row],[Quantity FNRP]]</f>
        <v>0</v>
      </c>
      <c r="AW65" s="72">
        <f>IF(RPT-Outstanding_pos_BB_MSB[[#This Row],[Value Date]]&lt;=0,0,RPT-Outstanding_pos_BB_MSB[[#This Row],[Value Date]])</f>
        <v>587</v>
      </c>
      <c r="AX65" s="32" t="str">
        <f>INDEX(Ref!$I$1:$K$13,MATCH(Outstanding_pos_BB_MSB[[#This Row],[Tenor left]],Ref!$I$1:$I$13,1),3)</f>
        <v>15Y</v>
      </c>
      <c r="AY65" s="72" t="str">
        <f>_xlfn.XLOOKUP(Outstanding_pos_BB_MSB[[#This Row],[Time hold/Deal]],Ref!S:S,Ref!U:U,,-1)</f>
        <v>2Y</v>
      </c>
      <c r="BC65"/>
      <c r="BD65"/>
      <c r="BG65"/>
      <c r="BH65"/>
      <c r="BJ65"/>
      <c r="BN65"/>
      <c r="BO65"/>
      <c r="BQ65"/>
      <c r="BR65"/>
      <c r="BX65">
        <v>45064</v>
      </c>
      <c r="BY65" s="502">
        <v>45656</v>
      </c>
      <c r="BZ65" t="s">
        <v>2381</v>
      </c>
      <c r="CA65" t="s">
        <v>2180</v>
      </c>
      <c r="CB65" t="s">
        <v>823</v>
      </c>
      <c r="CC65" s="500">
        <v>100000000000</v>
      </c>
      <c r="CD65">
        <v>4.5</v>
      </c>
      <c r="CE65" s="502">
        <v>48584</v>
      </c>
      <c r="CF65">
        <v>2.2200000000000002</v>
      </c>
      <c r="CG65">
        <v>6.39</v>
      </c>
      <c r="CH65" t="s">
        <v>3644</v>
      </c>
      <c r="CI65">
        <v>4.29</v>
      </c>
      <c r="CJ65" s="500">
        <v>-15430000000</v>
      </c>
      <c r="CK65">
        <v>5.32</v>
      </c>
      <c r="CL65" s="500">
        <v>-55259019.450000003</v>
      </c>
      <c r="CM65" s="500">
        <v>2786000000</v>
      </c>
      <c r="CN65">
        <v>36.130000000000003</v>
      </c>
      <c r="CO6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-12050283475.544203</v>
      </c>
      <c r="CP65" s="72">
        <f>RPT-VLOOKUP(Outstanding_pos_BB_SBV[[#This Row],[Bonds_ShortName]],CT:CU,2,0)</f>
        <v>74</v>
      </c>
      <c r="CQ65" s="157">
        <f>SUMIFS(CC:CC,BZ:BZ,Outstanding_pos_BB_SBV[[#This Row],[Bonds_ShortName]])/10^5-VLOOKUP(Outstanding_pos_BB_SBV[[#This Row],[Bonds_ShortName]],FNRP!EE:FL,34,0)</f>
        <v>0</v>
      </c>
      <c r="CT65" t="s">
        <v>667</v>
      </c>
      <c r="CU65" s="502">
        <v>46258</v>
      </c>
      <c r="DY65" s="776">
        <v>46937</v>
      </c>
      <c r="DZ65" s="776" t="s">
        <v>2840</v>
      </c>
      <c r="EA65" s="776" t="s">
        <v>2180</v>
      </c>
      <c r="EB65" s="777">
        <v>300000000000</v>
      </c>
      <c r="EC65" s="776">
        <v>13.23</v>
      </c>
      <c r="ED65" s="10">
        <v>2.84</v>
      </c>
      <c r="EE65" s="72">
        <f>_xlfn.XLOOKUP(DY65,Outstanding_pos_BB_MSB[BondsDeals_Id],Outstanding_pos_BB_MSB[ItD adj])</f>
        <v>-49093397468.11158</v>
      </c>
      <c r="EF65" s="32">
        <f>_xlfn.XLOOKUP(DY65,Outstanding_pos_BB_MSB[BondsDeals_Id],Outstanding_pos_BB_MSB[Yield])</f>
        <v>2.84</v>
      </c>
      <c r="EG65" s="71">
        <f>_xlfn.XLOOKUP(BB_tufund[[#This Row],[Deal ID]],Outstanding_pos_BB_MSB[BondsDeals_Id],Outstanding_pos_BB_MSB[Total Rate])</f>
        <v>2.9</v>
      </c>
      <c r="EH65" s="124">
        <f>_xlfn.XLOOKUP(DY65,Outstanding_pos_BB_MSB[BondsDeals_Id],Outstanding_pos_BB_MSB[Mature Date])</f>
        <v>51004</v>
      </c>
      <c r="EI65" s="787">
        <f>(BB_tufund[[#This Row],[Amt]]/10^9)/(_xlfn.XLOOKUP(BB_tufund[[#This Row],[Bond code]],Bankingbook_MSB[Security Name],Bankingbook_MSB[QUANTITY])/10^4)</f>
        <v>1</v>
      </c>
      <c r="EJ65" s="72">
        <f>_xlfn.XLOOKUP(BB_tufund[[#This Row],[Bond code]],Bankingbook_MSB[Security Name],Bankingbook_MSB[MARKET_VALUE])*BB_tufund[[#This Row],[% amt FNRP]]</f>
        <v>252807000000</v>
      </c>
      <c r="EK65" s="71">
        <f>_xlfn.XLOOKUP(BB_tufund[[#This Row],[Bond code]],Bankingbook_MSB[Security Name],Bankingbook_MSB[BPV_edited])
/10^9*BB_tufund[[#This Row],[% amt FNRP]]</f>
        <v>-0.26120176172388621</v>
      </c>
    </row>
    <row r="66" spans="2:141" x14ac:dyDescent="0.3">
      <c r="B66">
        <v>50163</v>
      </c>
      <c r="C66" s="35">
        <v>46227</v>
      </c>
      <c r="D66" t="s">
        <v>2786</v>
      </c>
      <c r="E66" t="s">
        <v>824</v>
      </c>
      <c r="F66" t="s">
        <v>823</v>
      </c>
      <c r="G66">
        <v>50000000000</v>
      </c>
      <c r="H66">
        <v>2.6</v>
      </c>
      <c r="I66" t="s">
        <v>2787</v>
      </c>
      <c r="J66">
        <v>2.98</v>
      </c>
      <c r="K66">
        <v>12.18</v>
      </c>
      <c r="L66" t="s">
        <v>2740</v>
      </c>
      <c r="M66">
        <v>4.5</v>
      </c>
      <c r="N66">
        <v>-6849000000</v>
      </c>
      <c r="O66">
        <v>9.69</v>
      </c>
      <c r="P66">
        <v>-82002935.900000006</v>
      </c>
      <c r="Q66">
        <v>2158000000</v>
      </c>
      <c r="R66">
        <v>115.66</v>
      </c>
      <c r="S6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-6860078128.1603413</v>
      </c>
      <c r="T66" s="72">
        <f>VLOOKUP(Outstanding_pos_TB_MSB[[#This Row],[Bonds_ShortName]],FNRP!D:J,7,0)</f>
        <v>500000</v>
      </c>
      <c r="U66" s="72">
        <f>SUMIFS(Outstanding_pos_TB_MSB[Amt],Outstanding_pos_TB_MSB[Bonds_ShortName],Outstanding_pos_TB_MSB[[#This Row],[Bonds_ShortName]])/100000-Outstanding_pos_TB_MSB[[#This Row],[Quantity FNRP]]</f>
        <v>0</v>
      </c>
      <c r="V66" s="162" t="str">
        <f>INDEX(Ref!$I$1:$K$13,MATCH(Outstanding_pos_TB_MSB[[#This Row],[Tenor left]],Ref!$I$1:$I$13,1),3)</f>
        <v>15Y</v>
      </c>
      <c r="W66" s="72">
        <f>IF(RPT-VLOOKUP(Outstanding_pos_TB_MSB[[#This Row],[Bonds_ShortName]],CT:CU,2,0)&lt;=0,0,RPT-VLOOKUP(Outstanding_pos_TB_MSB[[#This Row],[Bonds_ShortName]],CT:CU,2,0))</f>
        <v>26</v>
      </c>
      <c r="X66" s="72">
        <f>IF(RPT-Outstanding_pos_TB_MSB[[#This Row],[VALUE_DATE]]&lt;=0,0,RPT-Outstanding_pos_TB_MSB[[#This Row],[VALUE_DATE]])</f>
        <v>25</v>
      </c>
      <c r="Y66" s="72" t="str">
        <f>_xlfn.XLOOKUP(Outstanding_pos_TB_MSB[[#This Row],[Time hold/Deal]],Ref!S:S,Ref!U:U,,-1)</f>
        <v>1M</v>
      </c>
      <c r="AB66">
        <v>45204</v>
      </c>
      <c r="AC66" s="35">
        <v>45671</v>
      </c>
      <c r="AD66" t="s">
        <v>2496</v>
      </c>
      <c r="AE66" t="s">
        <v>2180</v>
      </c>
      <c r="AF66" t="s">
        <v>823</v>
      </c>
      <c r="AG66" s="500">
        <v>100000000000</v>
      </c>
      <c r="AH66">
        <v>3.8</v>
      </c>
      <c r="AI66">
        <v>50487</v>
      </c>
      <c r="AJ66">
        <v>2.61</v>
      </c>
      <c r="AK66">
        <v>11.6</v>
      </c>
      <c r="AL66" s="645" t="s">
        <v>2740</v>
      </c>
      <c r="AM66">
        <v>4.49</v>
      </c>
      <c r="AN66" s="500">
        <v>-19272000000</v>
      </c>
      <c r="AO66">
        <v>8.9600000000000009</v>
      </c>
      <c r="AP66">
        <v>-85499892.670000002</v>
      </c>
      <c r="AQ66">
        <v>1551000000</v>
      </c>
      <c r="AR66">
        <v>100.61</v>
      </c>
      <c r="AS66" s="72">
        <f>SUM(_xlfn.IFNA(VLOOKUP(Outstanding_pos_BB_MSB[[#This Row],[Bonds_ShortName]],FNRP!AV:BA,6,0)*Outstanding_pos_BB_MSB[[#This Row],[Amt]]/10^4,0),_xlfn.IFNA((VLOOKUP(Outstanding_pos_BB_MSB[[#This Row],[Bonds_ShortName]],FNRP!IK:IP,6,0)*Outstanding_pos_BB_MSB[[#This Row],[Amt]]/10^4),0))</f>
        <v>938520000000</v>
      </c>
      <c r="AT66" s="72">
        <f>(_xlfn.XLOOKUP(Outstanding_pos_BB_MSB[[#This Row],[Bonds_ShortName]],FNRP!AV:AV,FNRP!BA:BA,,0)
-_xlfn.XLOOKUP(Outstanding_pos_BB_MSB[[#This Row],[BondsDeals_Id]],BS!AL:AL,BS!AR:AR,_xlfn.XLOOKUP(Outstanding_pos_BB_MSB[[#This Row],[BondsDeals_Id]],BS!BA:BA,BS!BQ:BQ,,0),0)-10^5)
*Outstanding_pos_BB_MSB[[#This Row],[Amt]]/10^5</f>
        <v>-17687711794.019894</v>
      </c>
      <c r="AU66" s="72">
        <f>VLOOKUP(Outstanding_pos_BB_MSB[[#This Row],[Bonds_ShortName]],FNRP!AV:CD,35,0)</f>
        <v>3500000</v>
      </c>
      <c r="AV66" s="157">
        <f>SUMIFS(AG$1:AG$103,AD$1:AD$103,Outstanding_pos_BB_MSB[[#This Row],[Bonds_ShortName]])/10^5-Outstanding_pos_BB_MSB[[#This Row],[Quantity FNRP]]</f>
        <v>0</v>
      </c>
      <c r="AW66" s="72">
        <f>IF(RPT-Outstanding_pos_BB_MSB[[#This Row],[Value Date]]&lt;=0,0,RPT-Outstanding_pos_BB_MSB[[#This Row],[Value Date]])</f>
        <v>581</v>
      </c>
      <c r="AX66" s="32" t="str">
        <f>INDEX(Ref!$I$1:$K$13,MATCH(Outstanding_pos_BB_MSB[[#This Row],[Tenor left]],Ref!$I$1:$I$13,1),3)</f>
        <v>15Y</v>
      </c>
      <c r="AY66" s="72" t="str">
        <f>_xlfn.XLOOKUP(Outstanding_pos_BB_MSB[[#This Row],[Time hold/Deal]],Ref!S:S,Ref!U:U,,-1)</f>
        <v>2Y</v>
      </c>
      <c r="BC66"/>
      <c r="BD66"/>
      <c r="BG66"/>
      <c r="BH66"/>
      <c r="BJ66"/>
      <c r="BN66"/>
      <c r="BO66"/>
      <c r="BQ66"/>
      <c r="BR66"/>
      <c r="BX66">
        <v>45065</v>
      </c>
      <c r="BY66" s="502">
        <v>45656</v>
      </c>
      <c r="BZ66" t="s">
        <v>693</v>
      </c>
      <c r="CA66" t="s">
        <v>2180</v>
      </c>
      <c r="CB66" t="s">
        <v>823</v>
      </c>
      <c r="CC66" s="500">
        <v>50000000000</v>
      </c>
      <c r="CD66">
        <v>2.7</v>
      </c>
      <c r="CE66" s="502">
        <v>49639</v>
      </c>
      <c r="CF66">
        <v>2.48</v>
      </c>
      <c r="CG66">
        <v>9.2799999999999994</v>
      </c>
      <c r="CH66" t="s">
        <v>2743</v>
      </c>
      <c r="CI66">
        <v>4.41</v>
      </c>
      <c r="CJ66" s="500">
        <v>-7452000000</v>
      </c>
      <c r="CK66">
        <v>7.72</v>
      </c>
      <c r="CL66" s="500">
        <v>-68855336.099999994</v>
      </c>
      <c r="CM66" s="500">
        <v>1968000000</v>
      </c>
      <c r="CN66">
        <v>72.959999999999994</v>
      </c>
      <c r="CO6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-7298051946.801301</v>
      </c>
      <c r="CP66" s="72">
        <f>RPT-VLOOKUP(Outstanding_pos_BB_SBV[[#This Row],[Bonds_ShortName]],CT:CU,2,0)</f>
        <v>138</v>
      </c>
      <c r="CQ66" s="157">
        <f>SUMIFS(CC:CC,BZ:BZ,Outstanding_pos_BB_SBV[[#This Row],[Bonds_ShortName]])/10^5-VLOOKUP(Outstanding_pos_BB_SBV[[#This Row],[Bonds_ShortName]],FNRP!EE:FL,34,0)</f>
        <v>0</v>
      </c>
      <c r="CT66" t="s">
        <v>632</v>
      </c>
      <c r="CU66" s="502">
        <v>44173</v>
      </c>
      <c r="DY66" s="776">
        <v>41177</v>
      </c>
      <c r="DZ66" s="776" t="s">
        <v>711</v>
      </c>
      <c r="EA66" s="776" t="s">
        <v>2180</v>
      </c>
      <c r="EB66" s="777">
        <v>50000000000</v>
      </c>
      <c r="EC66" s="776">
        <v>13.28</v>
      </c>
      <c r="ED66" s="10">
        <v>2.5</v>
      </c>
      <c r="EE66" s="72">
        <f>_xlfn.XLOOKUP(DY66,Outstanding_pos_BB_MSB[BondsDeals_Id],Outstanding_pos_BB_MSB[ItD adj])</f>
        <v>-11027623234.614599</v>
      </c>
      <c r="EF66" s="32">
        <f>_xlfn.XLOOKUP(DY66,Outstanding_pos_BB_MSB[BondsDeals_Id],Outstanding_pos_BB_MSB[Yield])</f>
        <v>2.5</v>
      </c>
      <c r="EG66" s="71">
        <f>_xlfn.XLOOKUP(BB_tufund[[#This Row],[Deal ID]],Outstanding_pos_BB_MSB[BondsDeals_Id],Outstanding_pos_BB_MSB[Total Rate])</f>
        <v>4.9000000000000004</v>
      </c>
      <c r="EH66" s="124">
        <f>_xlfn.XLOOKUP(DY66,Outstanding_pos_BB_MSB[BondsDeals_Id],Outstanding_pos_BB_MSB[Mature Date])</f>
        <v>51025</v>
      </c>
      <c r="EI66" s="787">
        <f>(BB_tufund[[#This Row],[Amt]]/10^9)/(_xlfn.XLOOKUP(BB_tufund[[#This Row],[Bond code]],Bankingbook_MSB[Security Name],Bankingbook_MSB[QUANTITY])/10^4)</f>
        <v>0.35008881753300813</v>
      </c>
      <c r="EJ66" s="72">
        <f>_xlfn.XLOOKUP(BB_tufund[[#This Row],[Bond code]],Bankingbook_MSB[Security Name],Bankingbook_MSB[MARKET_VALUE])*BB_tufund[[#This Row],[% amt FNRP]]</f>
        <v>51803000000</v>
      </c>
      <c r="EK66" s="71">
        <f>_xlfn.XLOOKUP(BB_tufund[[#This Row],[Bond code]],Bankingbook_MSB[Security Name],Bankingbook_MSB[BPV_edited])
/10^9*BB_tufund[[#This Row],[% amt FNRP]]</f>
        <v>-4.9605575227415918E-2</v>
      </c>
    </row>
    <row r="67" spans="2:141" x14ac:dyDescent="0.3">
      <c r="B67">
        <v>50192</v>
      </c>
      <c r="C67" s="35">
        <v>46232</v>
      </c>
      <c r="D67" t="s">
        <v>2785</v>
      </c>
      <c r="E67" t="s">
        <v>824</v>
      </c>
      <c r="F67" t="s">
        <v>823</v>
      </c>
      <c r="G67">
        <v>300000000000</v>
      </c>
      <c r="H67">
        <v>2.2999999999999998</v>
      </c>
      <c r="I67" t="s">
        <v>3490</v>
      </c>
      <c r="J67">
        <v>3.05</v>
      </c>
      <c r="K67">
        <v>7.08</v>
      </c>
      <c r="L67" t="s">
        <v>2746</v>
      </c>
      <c r="M67">
        <v>4.3099999999999996</v>
      </c>
      <c r="N67">
        <v>-21921000000</v>
      </c>
      <c r="O67">
        <v>6.15</v>
      </c>
      <c r="P67">
        <v>-55415550.399999999</v>
      </c>
      <c r="Q67">
        <v>2130000000</v>
      </c>
      <c r="R67">
        <v>46.44</v>
      </c>
      <c r="S6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-22036287560.760117</v>
      </c>
      <c r="T67" s="72">
        <f>VLOOKUP(Outstanding_pos_TB_MSB[[#This Row],[Bonds_ShortName]],FNRP!D:J,7,0)</f>
        <v>6000000</v>
      </c>
      <c r="U67" s="72">
        <f>SUMIFS(Outstanding_pos_TB_MSB[Amt],Outstanding_pos_TB_MSB[Bonds_ShortName],Outstanding_pos_TB_MSB[[#This Row],[Bonds_ShortName]])/100000-Outstanding_pos_TB_MSB[[#This Row],[Quantity FNRP]]</f>
        <v>0</v>
      </c>
      <c r="V67" s="162" t="str">
        <f>INDEX(Ref!$I$1:$K$13,MATCH(Outstanding_pos_TB_MSB[[#This Row],[Tenor left]],Ref!$I$1:$I$13,1),3)</f>
        <v>7Y</v>
      </c>
      <c r="W67" s="72">
        <f>IF(RPT-VLOOKUP(Outstanding_pos_TB_MSB[[#This Row],[Bonds_ShortName]],CT:CU,2,0)&lt;=0,0,RPT-VLOOKUP(Outstanding_pos_TB_MSB[[#This Row],[Bonds_ShortName]],CT:CU,2,0))</f>
        <v>21</v>
      </c>
      <c r="X67" s="72">
        <f>IF(RPT-Outstanding_pos_TB_MSB[[#This Row],[VALUE_DATE]]&lt;=0,0,RPT-Outstanding_pos_TB_MSB[[#This Row],[VALUE_DATE]])</f>
        <v>20</v>
      </c>
      <c r="Y67" s="72" t="str">
        <f>_xlfn.XLOOKUP(Outstanding_pos_TB_MSB[[#This Row],[Time hold/Deal]],Ref!S:S,Ref!U:U,,-1)</f>
        <v>3W</v>
      </c>
      <c r="AB67">
        <v>45205</v>
      </c>
      <c r="AC67" s="35">
        <v>45671</v>
      </c>
      <c r="AD67" t="s">
        <v>712</v>
      </c>
      <c r="AE67" t="s">
        <v>2180</v>
      </c>
      <c r="AF67" t="s">
        <v>823</v>
      </c>
      <c r="AG67" s="500">
        <v>50000000000</v>
      </c>
      <c r="AH67">
        <v>3.6</v>
      </c>
      <c r="AI67">
        <v>51144</v>
      </c>
      <c r="AJ67">
        <v>2.66</v>
      </c>
      <c r="AK67">
        <v>13.4</v>
      </c>
      <c r="AL67" s="645" t="s">
        <v>2740</v>
      </c>
      <c r="AM67">
        <v>4.54</v>
      </c>
      <c r="AN67" s="500">
        <v>-10379000000</v>
      </c>
      <c r="AO67">
        <v>10.01</v>
      </c>
      <c r="AP67">
        <v>-93005742.140000001</v>
      </c>
      <c r="AQ67">
        <v>2190000000</v>
      </c>
      <c r="AR67">
        <v>127.16</v>
      </c>
      <c r="AS67" s="72">
        <f>SUM(_xlfn.IFNA(VLOOKUP(Outstanding_pos_BB_MSB[[#This Row],[Bonds_ShortName]],FNRP!AV:BA,6,0)*Outstanding_pos_BB_MSB[[#This Row],[Amt]]/10^4,0),_xlfn.IFNA((VLOOKUP(Outstanding_pos_BB_MSB[[#This Row],[Bonds_ShortName]],FNRP!IK:IP,6,0)*Outstanding_pos_BB_MSB[[#This Row],[Amt]]/10^4),0))</f>
        <v>453675000000</v>
      </c>
      <c r="AT67" s="72">
        <f>(_xlfn.XLOOKUP(Outstanding_pos_BB_MSB[[#This Row],[Bonds_ShortName]],FNRP!AV:AV,FNRP!BA:BA,,0)
-_xlfn.XLOOKUP(Outstanding_pos_BB_MSB[[#This Row],[BondsDeals_Id]],BS!AL:AL,BS!AR:AR,_xlfn.XLOOKUP(Outstanding_pos_BB_MSB[[#This Row],[BondsDeals_Id]],BS!BA:BA,BS!BQ:BQ,,0),0)-10^5)
*Outstanding_pos_BB_MSB[[#This Row],[Amt]]/10^5</f>
        <v>-9768221998.9036961</v>
      </c>
      <c r="AU67" s="72">
        <f>VLOOKUP(Outstanding_pos_BB_MSB[[#This Row],[Bonds_ShortName]],FNRP!AV:CD,35,0)</f>
        <v>4000000</v>
      </c>
      <c r="AV67" s="157">
        <f>SUMIFS(AG$1:AG$103,AD$1:AD$103,Outstanding_pos_BB_MSB[[#This Row],[Bonds_ShortName]])/10^5-Outstanding_pos_BB_MSB[[#This Row],[Quantity FNRP]]</f>
        <v>0</v>
      </c>
      <c r="AW67" s="72">
        <f>IF(RPT-Outstanding_pos_BB_MSB[[#This Row],[Value Date]]&lt;=0,0,RPT-Outstanding_pos_BB_MSB[[#This Row],[Value Date]])</f>
        <v>581</v>
      </c>
      <c r="AX67" s="32" t="str">
        <f>INDEX(Ref!$I$1:$K$13,MATCH(Outstanding_pos_BB_MSB[[#This Row],[Tenor left]],Ref!$I$1:$I$13,1),3)</f>
        <v>15Y</v>
      </c>
      <c r="AY67" s="72" t="str">
        <f>_xlfn.XLOOKUP(Outstanding_pos_BB_MSB[[#This Row],[Time hold/Deal]],Ref!S:S,Ref!U:U,,-1)</f>
        <v>2Y</v>
      </c>
      <c r="BC67"/>
      <c r="BD67"/>
      <c r="BG67"/>
      <c r="BH67"/>
      <c r="BJ67"/>
      <c r="BN67"/>
      <c r="BO67"/>
      <c r="BQ67"/>
      <c r="BR67"/>
      <c r="BX67">
        <v>45101</v>
      </c>
      <c r="BY67" s="502">
        <v>45656</v>
      </c>
      <c r="BZ67" t="s">
        <v>2794</v>
      </c>
      <c r="CA67" t="s">
        <v>2180</v>
      </c>
      <c r="CB67" t="s">
        <v>823</v>
      </c>
      <c r="CC67" s="500">
        <v>50000000000</v>
      </c>
      <c r="CD67">
        <v>2.2000000000000002</v>
      </c>
      <c r="CE67" s="502">
        <v>48920</v>
      </c>
      <c r="CF67">
        <v>2.2000000000000002</v>
      </c>
      <c r="CG67">
        <v>7.31</v>
      </c>
      <c r="CH67" t="s">
        <v>2746</v>
      </c>
      <c r="CI67">
        <v>4.32</v>
      </c>
      <c r="CJ67" s="500">
        <v>-6531000000</v>
      </c>
      <c r="CK67">
        <v>6.39</v>
      </c>
      <c r="CL67" s="500">
        <v>-56549652.170000002</v>
      </c>
      <c r="CM67" s="500">
        <v>1537000000</v>
      </c>
      <c r="CN67">
        <v>49.59</v>
      </c>
      <c r="CO6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-6533834011.1301365</v>
      </c>
      <c r="CP67" s="72">
        <f>RPT-VLOOKUP(Outstanding_pos_BB_SBV[[#This Row],[Bonds_ShortName]],CT:CU,2,0)</f>
        <v>526</v>
      </c>
      <c r="CQ67" s="157">
        <f>SUMIFS(CC:CC,BZ:BZ,Outstanding_pos_BB_SBV[[#This Row],[Bonds_ShortName]])/10^5-VLOOKUP(Outstanding_pos_BB_SBV[[#This Row],[Bonds_ShortName]],FNRP!EE:FL,34,0)</f>
        <v>0</v>
      </c>
      <c r="CT67" t="s">
        <v>629</v>
      </c>
      <c r="CU67" s="502">
        <v>45825</v>
      </c>
      <c r="DY67" s="776">
        <v>25708</v>
      </c>
      <c r="DZ67" s="776" t="s">
        <v>711</v>
      </c>
      <c r="EA67" s="776" t="s">
        <v>2180</v>
      </c>
      <c r="EB67" s="777">
        <v>92820900000</v>
      </c>
      <c r="EC67" s="776">
        <v>13.28</v>
      </c>
      <c r="ED67" s="10">
        <v>4.0199999999999996</v>
      </c>
      <c r="EE67" s="72">
        <f>_xlfn.XLOOKUP(DY67,Outstanding_pos_BB_MSB[BondsDeals_Id],Outstanding_pos_BB_MSB[ItD adj])</f>
        <v>-3915277223.2929363</v>
      </c>
      <c r="EF67" s="32">
        <f>_xlfn.XLOOKUP(DY67,Outstanding_pos_BB_MSB[BondsDeals_Id],Outstanding_pos_BB_MSB[Yield])</f>
        <v>4.0199999999999996</v>
      </c>
      <c r="EG67" s="71">
        <f>_xlfn.XLOOKUP(BB_tufund[[#This Row],[Deal ID]],Outstanding_pos_BB_MSB[BondsDeals_Id],Outstanding_pos_BB_MSB[Total Rate])</f>
        <v>4.9000000000000004</v>
      </c>
      <c r="EH67" s="124">
        <f>_xlfn.XLOOKUP(DY67,Outstanding_pos_BB_MSB[BondsDeals_Id],Outstanding_pos_BB_MSB[Mature Date])</f>
        <v>51025</v>
      </c>
      <c r="EI67" s="787">
        <f>(BB_tufund[[#This Row],[Amt]]/10^9)/(_xlfn.XLOOKUP(BB_tufund[[#This Row],[Bond code]],Bankingbook_MSB[Security Name],Bankingbook_MSB[QUANTITY])/10^4)</f>
        <v>0.64991118246699187</v>
      </c>
      <c r="EJ67" s="72">
        <f>_xlfn.XLOOKUP(BB_tufund[[#This Row],[Bond code]],Bankingbook_MSB[Security Name],Bankingbook_MSB[MARKET_VALUE])*BB_tufund[[#This Row],[% amt FNRP]]</f>
        <v>96168021654</v>
      </c>
      <c r="EK67" s="71">
        <f>_xlfn.XLOOKUP(BB_tufund[[#This Row],[Bond code]],Bankingbook_MSB[Security Name],Bankingbook_MSB[BPV_edited])
/10^9*BB_tufund[[#This Row],[% amt FNRP]]</f>
        <v>-9.2088682752529002E-2</v>
      </c>
    </row>
    <row r="68" spans="2:141" x14ac:dyDescent="0.3">
      <c r="B68">
        <v>50194</v>
      </c>
      <c r="C68" s="35">
        <v>46232</v>
      </c>
      <c r="D68" t="s">
        <v>2852</v>
      </c>
      <c r="E68" t="s">
        <v>824</v>
      </c>
      <c r="F68" t="s">
        <v>823</v>
      </c>
      <c r="G68">
        <v>100000000000</v>
      </c>
      <c r="H68">
        <v>2.4</v>
      </c>
      <c r="I68" t="s">
        <v>3491</v>
      </c>
      <c r="J68">
        <v>3.25</v>
      </c>
      <c r="K68">
        <v>7.65</v>
      </c>
      <c r="L68" t="s">
        <v>2747</v>
      </c>
      <c r="M68">
        <v>4.34</v>
      </c>
      <c r="N68">
        <v>-6717000000</v>
      </c>
      <c r="O68">
        <v>6.68</v>
      </c>
      <c r="P68">
        <v>-59045852.780000001</v>
      </c>
      <c r="Q68">
        <v>848000000</v>
      </c>
      <c r="R68">
        <v>53.75</v>
      </c>
      <c r="S6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-6759740909.3786697</v>
      </c>
      <c r="T68" s="72">
        <f>VLOOKUP(Outstanding_pos_TB_MSB[[#This Row],[Bonds_ShortName]],FNRP!D:J,7,0)</f>
        <v>2500000</v>
      </c>
      <c r="U68" s="72">
        <f>SUMIFS(Outstanding_pos_TB_MSB[Amt],Outstanding_pos_TB_MSB[Bonds_ShortName],Outstanding_pos_TB_MSB[[#This Row],[Bonds_ShortName]])/100000-Outstanding_pos_TB_MSB[[#This Row],[Quantity FNRP]]</f>
        <v>0</v>
      </c>
      <c r="V68" s="162" t="str">
        <f>INDEX(Ref!$I$1:$K$13,MATCH(Outstanding_pos_TB_MSB[[#This Row],[Tenor left]],Ref!$I$1:$I$13,1),3)</f>
        <v>10Y</v>
      </c>
      <c r="W68" s="72">
        <f>IF(RPT-VLOOKUP(Outstanding_pos_TB_MSB[[#This Row],[Bonds_ShortName]],CT:CU,2,0)&lt;=0,0,RPT-VLOOKUP(Outstanding_pos_TB_MSB[[#This Row],[Bonds_ShortName]],CT:CU,2,0))</f>
        <v>7</v>
      </c>
      <c r="X68" s="72">
        <f>IF(RPT-Outstanding_pos_TB_MSB[[#This Row],[VALUE_DATE]]&lt;=0,0,RPT-Outstanding_pos_TB_MSB[[#This Row],[VALUE_DATE]])</f>
        <v>20</v>
      </c>
      <c r="Y68" s="72" t="str">
        <f>_xlfn.XLOOKUP(Outstanding_pos_TB_MSB[[#This Row],[Time hold/Deal]],Ref!S:S,Ref!U:U,,-1)</f>
        <v>3W</v>
      </c>
      <c r="AB68">
        <v>45226</v>
      </c>
      <c r="AC68" s="35">
        <v>45678</v>
      </c>
      <c r="AD68" t="s">
        <v>713</v>
      </c>
      <c r="AE68" t="s">
        <v>2180</v>
      </c>
      <c r="AF68" t="s">
        <v>823</v>
      </c>
      <c r="AG68" s="500">
        <v>100000000000</v>
      </c>
      <c r="AH68">
        <v>3.3</v>
      </c>
      <c r="AI68">
        <v>51368</v>
      </c>
      <c r="AJ68">
        <v>2.73</v>
      </c>
      <c r="AK68">
        <v>14.01</v>
      </c>
      <c r="AL68" s="645" t="s">
        <v>2740</v>
      </c>
      <c r="AM68">
        <v>4.55</v>
      </c>
      <c r="AN68" s="500">
        <v>-19902000000</v>
      </c>
      <c r="AO68">
        <v>10.73</v>
      </c>
      <c r="AP68">
        <v>-93621000.530000001</v>
      </c>
      <c r="AQ68">
        <v>-9000000</v>
      </c>
      <c r="AR68">
        <v>142.36000000000001</v>
      </c>
      <c r="AS68" s="72">
        <f>SUM(_xlfn.IFNA(VLOOKUP(Outstanding_pos_BB_MSB[[#This Row],[Bonds_ShortName]],FNRP!AV:BA,6,0)*Outstanding_pos_BB_MSB[[#This Row],[Amt]]/10^4,0),_xlfn.IFNA((VLOOKUP(Outstanding_pos_BB_MSB[[#This Row],[Bonds_ShortName]],FNRP!IK:IP,6,0)*Outstanding_pos_BB_MSB[[#This Row],[Amt]]/10^4),0))</f>
        <v>872400000000</v>
      </c>
      <c r="AT68" s="72">
        <f>(_xlfn.XLOOKUP(Outstanding_pos_BB_MSB[[#This Row],[Bonds_ShortName]],FNRP!AV:AV,FNRP!BA:BA,,0)
-_xlfn.XLOOKUP(Outstanding_pos_BB_MSB[[#This Row],[BondsDeals_Id]],BS!AL:AL,BS!AR:AR,_xlfn.XLOOKUP(Outstanding_pos_BB_MSB[[#This Row],[BondsDeals_Id]],BS!BA:BA,BS!BQ:BQ,,0),0)-10^5)
*Outstanding_pos_BB_MSB[[#This Row],[Amt]]/10^5</f>
        <v>-19181771240.099186</v>
      </c>
      <c r="AU68" s="72">
        <f>VLOOKUP(Outstanding_pos_BB_MSB[[#This Row],[Bonds_ShortName]],FNRP!AV:CD,35,0)</f>
        <v>10000000</v>
      </c>
      <c r="AV68" s="157">
        <f>SUMIFS(AG$1:AG$103,AD$1:AD$103,Outstanding_pos_BB_MSB[[#This Row],[Bonds_ShortName]])/10^5-Outstanding_pos_BB_MSB[[#This Row],[Quantity FNRP]]</f>
        <v>0</v>
      </c>
      <c r="AW68" s="72">
        <f>IF(RPT-Outstanding_pos_BB_MSB[[#This Row],[Value Date]]&lt;=0,0,RPT-Outstanding_pos_BB_MSB[[#This Row],[Value Date]])</f>
        <v>574</v>
      </c>
      <c r="AX68" s="32" t="str">
        <f>INDEX(Ref!$I$1:$K$13,MATCH(Outstanding_pos_BB_MSB[[#This Row],[Tenor left]],Ref!$I$1:$I$13,1),3)</f>
        <v>15Y</v>
      </c>
      <c r="AY68" s="72" t="str">
        <f>_xlfn.XLOOKUP(Outstanding_pos_BB_MSB[[#This Row],[Time hold/Deal]],Ref!S:S,Ref!U:U,,-1)</f>
        <v>2Y</v>
      </c>
      <c r="BC68"/>
      <c r="BD68"/>
      <c r="BG68"/>
      <c r="BH68"/>
      <c r="BJ68"/>
      <c r="BN68"/>
      <c r="BO68"/>
      <c r="BQ68"/>
      <c r="BR68"/>
      <c r="BX68">
        <v>45102</v>
      </c>
      <c r="BY68" s="502">
        <v>45656</v>
      </c>
      <c r="BZ68" t="s">
        <v>703</v>
      </c>
      <c r="CA68" t="s">
        <v>2180</v>
      </c>
      <c r="CB68" t="s">
        <v>823</v>
      </c>
      <c r="CC68" s="500">
        <v>50000000000</v>
      </c>
      <c r="CD68">
        <v>2.2000000000000002</v>
      </c>
      <c r="CE68" s="502">
        <v>49927</v>
      </c>
      <c r="CF68">
        <v>2.41</v>
      </c>
      <c r="CG68">
        <v>10.07</v>
      </c>
      <c r="CH68" t="s">
        <v>2743</v>
      </c>
      <c r="CI68">
        <v>4.45</v>
      </c>
      <c r="CJ68" s="500">
        <v>-7902500000</v>
      </c>
      <c r="CK68">
        <v>8.42</v>
      </c>
      <c r="CL68" s="500">
        <v>-70826550.109999999</v>
      </c>
      <c r="CM68" s="500">
        <v>2073000000</v>
      </c>
      <c r="CN68">
        <v>85.85</v>
      </c>
      <c r="CO6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-8052846915.9639864</v>
      </c>
      <c r="CP68" s="72">
        <f>RPT-VLOOKUP(Outstanding_pos_BB_SBV[[#This Row],[Bonds_ShortName]],CT:CU,2,0)</f>
        <v>599</v>
      </c>
      <c r="CQ68" s="157">
        <f>SUMIFS(CC:CC,BZ:BZ,Outstanding_pos_BB_SBV[[#This Row],[Bonds_ShortName]])/10^5-VLOOKUP(Outstanding_pos_BB_SBV[[#This Row],[Bonds_ShortName]],FNRP!EE:FL,34,0)</f>
        <v>0</v>
      </c>
      <c r="CT68" t="s">
        <v>581</v>
      </c>
      <c r="CU68" s="502">
        <v>45639</v>
      </c>
      <c r="DY68" s="776">
        <v>48340</v>
      </c>
      <c r="DZ68" s="776" t="s">
        <v>712</v>
      </c>
      <c r="EA68" s="776" t="s">
        <v>2180</v>
      </c>
      <c r="EB68" s="777">
        <v>50000000000</v>
      </c>
      <c r="EC68" s="776">
        <v>13.61</v>
      </c>
      <c r="ED68" s="10">
        <v>2.9</v>
      </c>
      <c r="EE68" s="72">
        <f>_xlfn.XLOOKUP(DY68,Outstanding_pos_BB_MSB[BondsDeals_Id],Outstanding_pos_BB_MSB[ItD adj])</f>
        <v>-8435245523.5500088</v>
      </c>
      <c r="EF68" s="32">
        <f>_xlfn.XLOOKUP(DY68,Outstanding_pos_BB_MSB[BondsDeals_Id],Outstanding_pos_BB_MSB[Yield])</f>
        <v>2.9</v>
      </c>
      <c r="EG68" s="71">
        <f>_xlfn.XLOOKUP(BB_tufund[[#This Row],[Deal ID]],Outstanding_pos_BB_MSB[BondsDeals_Id],Outstanding_pos_BB_MSB[Total Rate])</f>
        <v>3.6</v>
      </c>
      <c r="EH68" s="124">
        <f>_xlfn.XLOOKUP(DY68,Outstanding_pos_BB_MSB[BondsDeals_Id],Outstanding_pos_BB_MSB[Mature Date])</f>
        <v>51144</v>
      </c>
      <c r="EI68" s="787">
        <f>(BB_tufund[[#This Row],[Amt]]/10^9)/(_xlfn.XLOOKUP(BB_tufund[[#This Row],[Bond code]],Bankingbook_MSB[Security Name],Bankingbook_MSB[QUANTITY])/10^4)</f>
        <v>0.125</v>
      </c>
      <c r="EJ68" s="72">
        <f>_xlfn.XLOOKUP(BB_tufund[[#This Row],[Bond code]],Bankingbook_MSB[Security Name],Bankingbook_MSB[MARKET_VALUE])*BB_tufund[[#This Row],[% amt FNRP]]</f>
        <v>45367500000</v>
      </c>
      <c r="EK68" s="71">
        <f>_xlfn.XLOOKUP(BB_tufund[[#This Row],[Bond code]],Bankingbook_MSB[Security Name],Bankingbook_MSB[BPV_edited])
/10^9*BB_tufund[[#This Row],[% amt FNRP]]</f>
        <v>-4.6480031616143641E-2</v>
      </c>
    </row>
    <row r="69" spans="2:141" x14ac:dyDescent="0.3">
      <c r="B69">
        <v>50221</v>
      </c>
      <c r="C69" s="35">
        <v>46233</v>
      </c>
      <c r="D69" t="s">
        <v>3051</v>
      </c>
      <c r="E69" t="s">
        <v>824</v>
      </c>
      <c r="F69" t="s">
        <v>823</v>
      </c>
      <c r="G69">
        <v>150000000000</v>
      </c>
      <c r="H69">
        <v>2.9</v>
      </c>
      <c r="I69" t="s">
        <v>3518</v>
      </c>
      <c r="J69">
        <v>3.48</v>
      </c>
      <c r="K69">
        <v>8.5299999999999994</v>
      </c>
      <c r="L69" t="s">
        <v>2747</v>
      </c>
      <c r="M69">
        <v>4.38</v>
      </c>
      <c r="N69">
        <v>-9142500000</v>
      </c>
      <c r="O69">
        <v>7.2</v>
      </c>
      <c r="P69">
        <v>-65480997.75</v>
      </c>
      <c r="Q69">
        <v>1367000000</v>
      </c>
      <c r="R69">
        <v>63.16</v>
      </c>
      <c r="S6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-9183917235.6216946</v>
      </c>
      <c r="T69" s="72">
        <f>VLOOKUP(Outstanding_pos_TB_MSB[[#This Row],[Bonds_ShortName]],FNRP!D:J,7,0)</f>
        <v>6000000</v>
      </c>
      <c r="U69" s="72">
        <f>SUMIFS(Outstanding_pos_TB_MSB[Amt],Outstanding_pos_TB_MSB[Bonds_ShortName],Outstanding_pos_TB_MSB[[#This Row],[Bonds_ShortName]])/100000-Outstanding_pos_TB_MSB[[#This Row],[Quantity FNRP]]</f>
        <v>0</v>
      </c>
      <c r="V69" s="162" t="str">
        <f>INDEX(Ref!$I$1:$K$13,MATCH(Outstanding_pos_TB_MSB[[#This Row],[Tenor left]],Ref!$I$1:$I$13,1),3)</f>
        <v>10Y</v>
      </c>
      <c r="W69" s="72">
        <f>IF(RPT-VLOOKUP(Outstanding_pos_TB_MSB[[#This Row],[Bonds_ShortName]],CT:CU,2,0)&lt;=0,0,RPT-VLOOKUP(Outstanding_pos_TB_MSB[[#This Row],[Bonds_ShortName]],CT:CU,2,0))</f>
        <v>0</v>
      </c>
      <c r="X69" s="72">
        <f>IF(RPT-Outstanding_pos_TB_MSB[[#This Row],[VALUE_DATE]]&lt;=0,0,RPT-Outstanding_pos_TB_MSB[[#This Row],[VALUE_DATE]])</f>
        <v>19</v>
      </c>
      <c r="Y69" s="72" t="str">
        <f>_xlfn.XLOOKUP(Outstanding_pos_TB_MSB[[#This Row],[Time hold/Deal]],Ref!S:S,Ref!U:U,,-1)</f>
        <v>3W</v>
      </c>
      <c r="AB69">
        <v>45229</v>
      </c>
      <c r="AC69" s="35">
        <v>45678</v>
      </c>
      <c r="AD69" t="s">
        <v>2503</v>
      </c>
      <c r="AE69" t="s">
        <v>2180</v>
      </c>
      <c r="AF69" t="s">
        <v>823</v>
      </c>
      <c r="AG69" s="500">
        <v>400000000000</v>
      </c>
      <c r="AH69">
        <v>3.4</v>
      </c>
      <c r="AI69">
        <v>50515</v>
      </c>
      <c r="AJ69">
        <v>2.67</v>
      </c>
      <c r="AK69">
        <v>11.68</v>
      </c>
      <c r="AL69" s="645" t="s">
        <v>2740</v>
      </c>
      <c r="AM69">
        <v>4.49</v>
      </c>
      <c r="AN69" s="500">
        <v>-71236000000</v>
      </c>
      <c r="AO69">
        <v>9.18</v>
      </c>
      <c r="AP69">
        <v>-83889598.819999993</v>
      </c>
      <c r="AQ69">
        <v>1127000000</v>
      </c>
      <c r="AR69">
        <v>104.3</v>
      </c>
      <c r="AS69" s="72">
        <f>SUM(_xlfn.IFNA(VLOOKUP(Outstanding_pos_BB_MSB[[#This Row],[Bonds_ShortName]],FNRP!AV:BA,6,0)*Outstanding_pos_BB_MSB[[#This Row],[Amt]]/10^4,0),_xlfn.IFNA((VLOOKUP(Outstanding_pos_BB_MSB[[#This Row],[Bonds_ShortName]],FNRP!IK:IP,6,0)*Outstanding_pos_BB_MSB[[#This Row],[Amt]]/10^4),0))</f>
        <v>3609400000000</v>
      </c>
      <c r="AT69" s="72">
        <f>(_xlfn.XLOOKUP(Outstanding_pos_BB_MSB[[#This Row],[Bonds_ShortName]],FNRP!AV:AV,FNRP!BA:BA,,0)
-_xlfn.XLOOKUP(Outstanding_pos_BB_MSB[[#This Row],[BondsDeals_Id]],BS!AL:AL,BS!AR:AR,_xlfn.XLOOKUP(Outstanding_pos_BB_MSB[[#This Row],[BondsDeals_Id]],BS!BA:BA,BS!BQ:BQ,,0),0)-10^5)
*Outstanding_pos_BB_MSB[[#This Row],[Amt]]/10^5</f>
        <v>-67418261030.130089</v>
      </c>
      <c r="AU69" s="72">
        <f>VLOOKUP(Outstanding_pos_BB_MSB[[#This Row],[Bonds_ShortName]],FNRP!AV:CD,35,0)</f>
        <v>7500000</v>
      </c>
      <c r="AV69" s="157">
        <f>SUMIFS(AG$1:AG$103,AD$1:AD$103,Outstanding_pos_BB_MSB[[#This Row],[Bonds_ShortName]])/10^5-Outstanding_pos_BB_MSB[[#This Row],[Quantity FNRP]]</f>
        <v>0</v>
      </c>
      <c r="AW69" s="72">
        <f>IF(RPT-Outstanding_pos_BB_MSB[[#This Row],[Value Date]]&lt;=0,0,RPT-Outstanding_pos_BB_MSB[[#This Row],[Value Date]])</f>
        <v>574</v>
      </c>
      <c r="AX69" s="32" t="str">
        <f>INDEX(Ref!$I$1:$K$13,MATCH(Outstanding_pos_BB_MSB[[#This Row],[Tenor left]],Ref!$I$1:$I$13,1),3)</f>
        <v>15Y</v>
      </c>
      <c r="AY69" s="72" t="str">
        <f>_xlfn.XLOOKUP(Outstanding_pos_BB_MSB[[#This Row],[Time hold/Deal]],Ref!S:S,Ref!U:U,,-1)</f>
        <v>2Y</v>
      </c>
      <c r="BC69"/>
      <c r="BD69"/>
      <c r="BG69"/>
      <c r="BH69"/>
      <c r="BJ69"/>
      <c r="BN69"/>
      <c r="BO69"/>
      <c r="BQ69"/>
      <c r="BR69"/>
      <c r="BX69">
        <v>45116</v>
      </c>
      <c r="BY69" s="502">
        <v>45657</v>
      </c>
      <c r="BZ69" t="s">
        <v>568</v>
      </c>
      <c r="CA69" t="s">
        <v>824</v>
      </c>
      <c r="CB69" t="s">
        <v>821</v>
      </c>
      <c r="CC69" s="500">
        <v>52000000000</v>
      </c>
      <c r="CD69">
        <v>6.6</v>
      </c>
      <c r="CE69" s="502">
        <v>46432</v>
      </c>
      <c r="CF69">
        <v>3</v>
      </c>
      <c r="CG69">
        <v>0.49</v>
      </c>
      <c r="CH69" t="s">
        <v>3870</v>
      </c>
      <c r="CI69">
        <v>4.25</v>
      </c>
      <c r="CJ69" s="500">
        <v>-3243240000</v>
      </c>
      <c r="CK69">
        <v>0.48</v>
      </c>
      <c r="CL69" s="500">
        <v>-5016340.13</v>
      </c>
      <c r="CM69" s="500">
        <v>3363000000</v>
      </c>
      <c r="CN69">
        <v>0.46</v>
      </c>
      <c r="CO6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-322530233.73876059</v>
      </c>
      <c r="CP69" s="72">
        <f>RPT-VLOOKUP(Outstanding_pos_BB_SBV[[#This Row],[Bonds_ShortName]],CT:CU,2,0)</f>
        <v>7</v>
      </c>
      <c r="CQ69" s="157">
        <f>SUMIFS(CC:CC,BZ:BZ,Outstanding_pos_BB_SBV[[#This Row],[Bonds_ShortName]])/10^5-VLOOKUP(Outstanding_pos_BB_SBV[[#This Row],[Bonds_ShortName]],FNRP!EE:FL,34,0)</f>
        <v>0</v>
      </c>
      <c r="CT69" t="s">
        <v>597</v>
      </c>
      <c r="CU69" s="502">
        <v>45637</v>
      </c>
      <c r="DY69" s="776">
        <v>45205</v>
      </c>
      <c r="DZ69" s="776" t="s">
        <v>712</v>
      </c>
      <c r="EA69" s="776" t="s">
        <v>2180</v>
      </c>
      <c r="EB69" s="777">
        <v>50000000000</v>
      </c>
      <c r="EC69" s="776">
        <v>13.61</v>
      </c>
      <c r="ED69" s="10">
        <v>2.66</v>
      </c>
      <c r="EE69" s="72">
        <f>_xlfn.XLOOKUP(DY69,Outstanding_pos_BB_MSB[BondsDeals_Id],Outstanding_pos_BB_MSB[ItD adj])</f>
        <v>-9768221998.9036961</v>
      </c>
      <c r="EF69" s="32">
        <f>_xlfn.XLOOKUP(DY69,Outstanding_pos_BB_MSB[BondsDeals_Id],Outstanding_pos_BB_MSB[Yield])</f>
        <v>2.66</v>
      </c>
      <c r="EG69" s="71">
        <f>_xlfn.XLOOKUP(BB_tufund[[#This Row],[Deal ID]],Outstanding_pos_BB_MSB[BondsDeals_Id],Outstanding_pos_BB_MSB[Total Rate])</f>
        <v>3.6</v>
      </c>
      <c r="EH69" s="124">
        <f>_xlfn.XLOOKUP(DY69,Outstanding_pos_BB_MSB[BondsDeals_Id],Outstanding_pos_BB_MSB[Mature Date])</f>
        <v>51144</v>
      </c>
      <c r="EI69" s="787">
        <f>(BB_tufund[[#This Row],[Amt]]/10^9)/(_xlfn.XLOOKUP(BB_tufund[[#This Row],[Bond code]],Bankingbook_MSB[Security Name],Bankingbook_MSB[QUANTITY])/10^4)</f>
        <v>0.125</v>
      </c>
      <c r="EJ69" s="72">
        <f>_xlfn.XLOOKUP(BB_tufund[[#This Row],[Bond code]],Bankingbook_MSB[Security Name],Bankingbook_MSB[MARKET_VALUE])*BB_tufund[[#This Row],[% amt FNRP]]</f>
        <v>45367500000</v>
      </c>
      <c r="EK69" s="71">
        <f>_xlfn.XLOOKUP(BB_tufund[[#This Row],[Bond code]],Bankingbook_MSB[Security Name],Bankingbook_MSB[BPV_edited])
/10^9*BB_tufund[[#This Row],[% amt FNRP]]</f>
        <v>-4.6480031616143641E-2</v>
      </c>
    </row>
    <row r="70" spans="2:141" x14ac:dyDescent="0.3">
      <c r="B70">
        <v>50264</v>
      </c>
      <c r="C70" s="35">
        <v>46240</v>
      </c>
      <c r="D70" t="s">
        <v>2499</v>
      </c>
      <c r="E70" t="s">
        <v>824</v>
      </c>
      <c r="F70" t="s">
        <v>823</v>
      </c>
      <c r="G70">
        <v>200000000000</v>
      </c>
      <c r="H70">
        <v>4.8</v>
      </c>
      <c r="I70" t="s">
        <v>3443</v>
      </c>
      <c r="J70">
        <v>2.84</v>
      </c>
      <c r="K70">
        <v>6.31</v>
      </c>
      <c r="L70" t="s">
        <v>3644</v>
      </c>
      <c r="M70">
        <v>4.28</v>
      </c>
      <c r="N70">
        <v>-16848000000</v>
      </c>
      <c r="O70">
        <v>5.21</v>
      </c>
      <c r="P70">
        <v>-55253263.409999996</v>
      </c>
      <c r="Q70">
        <v>3327000000</v>
      </c>
      <c r="R70">
        <v>34.97</v>
      </c>
      <c r="S7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-16721639375.872385</v>
      </c>
      <c r="T70" s="72">
        <f>VLOOKUP(Outstanding_pos_TB_MSB[[#This Row],[Bonds_ShortName]],FNRP!D:J,7,0)</f>
        <v>3000000</v>
      </c>
      <c r="U70" s="72">
        <f>SUMIFS(Outstanding_pos_TB_MSB[Amt],Outstanding_pos_TB_MSB[Bonds_ShortName],Outstanding_pos_TB_MSB[[#This Row],[Bonds_ShortName]])/100000-Outstanding_pos_TB_MSB[[#This Row],[Quantity FNRP]]</f>
        <v>0</v>
      </c>
      <c r="V70" s="162" t="str">
        <f>INDEX(Ref!$I$1:$K$13,MATCH(Outstanding_pos_TB_MSB[[#This Row],[Tenor left]],Ref!$I$1:$I$13,1),3)</f>
        <v>7Y</v>
      </c>
      <c r="W70" s="72">
        <f>IF(RPT-VLOOKUP(Outstanding_pos_TB_MSB[[#This Row],[Bonds_ShortName]],CT:CU,2,0)&lt;=0,0,RPT-VLOOKUP(Outstanding_pos_TB_MSB[[#This Row],[Bonds_ShortName]],CT:CU,2,0))</f>
        <v>0</v>
      </c>
      <c r="X70" s="72">
        <f>IF(RPT-Outstanding_pos_TB_MSB[[#This Row],[VALUE_DATE]]&lt;=0,0,RPT-Outstanding_pos_TB_MSB[[#This Row],[VALUE_DATE]])</f>
        <v>12</v>
      </c>
      <c r="Y70" s="72" t="str">
        <f>_xlfn.XLOOKUP(Outstanding_pos_TB_MSB[[#This Row],[Time hold/Deal]],Ref!S:S,Ref!U:U,,-1)</f>
        <v>2W</v>
      </c>
      <c r="AB70">
        <v>45230</v>
      </c>
      <c r="AC70" s="35">
        <v>45678</v>
      </c>
      <c r="AD70" t="s">
        <v>2386</v>
      </c>
      <c r="AE70" t="s">
        <v>2180</v>
      </c>
      <c r="AF70" t="s">
        <v>823</v>
      </c>
      <c r="AG70" s="500">
        <v>50000000000</v>
      </c>
      <c r="AH70">
        <v>4.4000000000000004</v>
      </c>
      <c r="AI70">
        <v>50438</v>
      </c>
      <c r="AJ70">
        <v>2.4900000000000002</v>
      </c>
      <c r="AK70">
        <v>11.47</v>
      </c>
      <c r="AL70" s="645" t="s">
        <v>2740</v>
      </c>
      <c r="AM70">
        <v>4.49</v>
      </c>
      <c r="AN70" s="500">
        <v>-10907500000</v>
      </c>
      <c r="AO70">
        <v>8.6300000000000008</v>
      </c>
      <c r="AP70">
        <v>-87723046.180000007</v>
      </c>
      <c r="AQ70">
        <v>2387000000</v>
      </c>
      <c r="AR70">
        <v>95.16</v>
      </c>
      <c r="AS70" s="72">
        <f>SUM(_xlfn.IFNA(VLOOKUP(Outstanding_pos_BB_MSB[[#This Row],[Bonds_ShortName]],FNRP!AV:BA,6,0)*Outstanding_pos_BB_MSB[[#This Row],[Amt]]/10^4,0),_xlfn.IFNA((VLOOKUP(Outstanding_pos_BB_MSB[[#This Row],[Bonds_ShortName]],FNRP!IK:IP,6,0)*Outstanding_pos_BB_MSB[[#This Row],[Amt]]/10^4),0))</f>
        <v>496095000000</v>
      </c>
      <c r="AT70" s="72">
        <f>(_xlfn.XLOOKUP(Outstanding_pos_BB_MSB[[#This Row],[Bonds_ShortName]],FNRP!AV:AV,FNRP!BA:BA,,0)
-_xlfn.XLOOKUP(Outstanding_pos_BB_MSB[[#This Row],[BondsDeals_Id]],BS!AL:AL,BS!AR:AR,_xlfn.XLOOKUP(Outstanding_pos_BB_MSB[[#This Row],[BondsDeals_Id]],BS!BA:BA,BS!BQ:BQ,,0),0)-10^5)
*Outstanding_pos_BB_MSB[[#This Row],[Amt]]/10^5</f>
        <v>-9637179380.7686996</v>
      </c>
      <c r="AU70" s="72">
        <f>VLOOKUP(Outstanding_pos_BB_MSB[[#This Row],[Bonds_ShortName]],FNRP!AV:CD,35,0)</f>
        <v>3500000</v>
      </c>
      <c r="AV70" s="157">
        <f>SUMIFS(AG$1:AG$103,AD$1:AD$103,Outstanding_pos_BB_MSB[[#This Row],[Bonds_ShortName]])/10^5-Outstanding_pos_BB_MSB[[#This Row],[Quantity FNRP]]</f>
        <v>0</v>
      </c>
      <c r="AW70" s="72">
        <f>IF(RPT-Outstanding_pos_BB_MSB[[#This Row],[Value Date]]&lt;=0,0,RPT-Outstanding_pos_BB_MSB[[#This Row],[Value Date]])</f>
        <v>574</v>
      </c>
      <c r="AX70" s="32" t="str">
        <f>INDEX(Ref!$I$1:$K$13,MATCH(Outstanding_pos_BB_MSB[[#This Row],[Tenor left]],Ref!$I$1:$I$13,1),3)</f>
        <v>15Y</v>
      </c>
      <c r="AY70" s="72" t="str">
        <f>_xlfn.XLOOKUP(Outstanding_pos_BB_MSB[[#This Row],[Time hold/Deal]],Ref!S:S,Ref!U:U,,-1)</f>
        <v>2Y</v>
      </c>
      <c r="BC70"/>
      <c r="BD70"/>
      <c r="BG70"/>
      <c r="BH70"/>
      <c r="BJ70"/>
      <c r="BN70"/>
      <c r="BO70"/>
      <c r="BQ70"/>
      <c r="BR70"/>
      <c r="BX70">
        <v>45142</v>
      </c>
      <c r="BY70" s="502">
        <v>45660</v>
      </c>
      <c r="BZ70" t="s">
        <v>2496</v>
      </c>
      <c r="CA70" t="s">
        <v>2180</v>
      </c>
      <c r="CB70" t="s">
        <v>823</v>
      </c>
      <c r="CC70" s="500">
        <v>250000000000</v>
      </c>
      <c r="CD70">
        <v>3.8</v>
      </c>
      <c r="CE70" s="502">
        <v>50487</v>
      </c>
      <c r="CF70">
        <v>2.64</v>
      </c>
      <c r="CG70">
        <v>11.6</v>
      </c>
      <c r="CH70" t="s">
        <v>2740</v>
      </c>
      <c r="CI70">
        <v>4.49</v>
      </c>
      <c r="CJ70" s="500">
        <v>-47347500000</v>
      </c>
      <c r="CK70">
        <v>8.9600000000000009</v>
      </c>
      <c r="CL70" s="500">
        <v>-85499892.670000002</v>
      </c>
      <c r="CM70" s="500">
        <v>1551000000</v>
      </c>
      <c r="CN70">
        <v>100.61</v>
      </c>
      <c r="CO7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-43424451004.764816</v>
      </c>
      <c r="CP70" s="72">
        <f>RPT-VLOOKUP(Outstanding_pos_BB_SBV[[#This Row],[Bonds_ShortName]],CT:CU,2,0)</f>
        <v>582</v>
      </c>
      <c r="CQ70" s="157">
        <f>SUMIFS(CC:CC,BZ:BZ,Outstanding_pos_BB_SBV[[#This Row],[Bonds_ShortName]])/10^5-VLOOKUP(Outstanding_pos_BB_SBV[[#This Row],[Bonds_ShortName]],FNRP!EE:FL,34,0)</f>
        <v>0</v>
      </c>
      <c r="CT70" t="s">
        <v>707</v>
      </c>
      <c r="CU70" s="502">
        <v>45637</v>
      </c>
      <c r="DY70" s="776">
        <v>41178</v>
      </c>
      <c r="DZ70" s="776" t="s">
        <v>713</v>
      </c>
      <c r="EA70" s="776" t="s">
        <v>2180</v>
      </c>
      <c r="EB70" s="777">
        <v>600000000000</v>
      </c>
      <c r="EC70" s="776">
        <v>14.22</v>
      </c>
      <c r="ED70" s="10">
        <v>2.74</v>
      </c>
      <c r="EE70" s="72">
        <f>_xlfn.XLOOKUP(DY70,Outstanding_pos_BB_MSB[BondsDeals_Id],Outstanding_pos_BB_MSB[ItD adj])</f>
        <v>-113886051339.70088</v>
      </c>
      <c r="EF70" s="32">
        <f>_xlfn.XLOOKUP(DY70,Outstanding_pos_BB_MSB[BondsDeals_Id],Outstanding_pos_BB_MSB[Yield])</f>
        <v>2.74</v>
      </c>
      <c r="EG70" s="71">
        <f>_xlfn.XLOOKUP(BB_tufund[[#This Row],[Deal ID]],Outstanding_pos_BB_MSB[BondsDeals_Id],Outstanding_pos_BB_MSB[Total Rate])</f>
        <v>3.3</v>
      </c>
      <c r="EH70" s="124">
        <f>_xlfn.XLOOKUP(DY70,Outstanding_pos_BB_MSB[BondsDeals_Id],Outstanding_pos_BB_MSB[Mature Date])</f>
        <v>51368</v>
      </c>
      <c r="EI70" s="787">
        <f>(BB_tufund[[#This Row],[Amt]]/10^9)/(_xlfn.XLOOKUP(BB_tufund[[#This Row],[Bond code]],Bankingbook_MSB[Security Name],Bankingbook_MSB[QUANTITY])/10^4)</f>
        <v>0.6</v>
      </c>
      <c r="EJ70" s="72">
        <f>_xlfn.XLOOKUP(BB_tufund[[#This Row],[Bond code]],Bankingbook_MSB[Security Name],Bankingbook_MSB[MARKET_VALUE])*BB_tufund[[#This Row],[% amt FNRP]]</f>
        <v>523440000000</v>
      </c>
      <c r="EK70" s="71">
        <f>_xlfn.XLOOKUP(BB_tufund[[#This Row],[Bond code]],Bankingbook_MSB[Security Name],Bankingbook_MSB[BPV_edited])
/10^9*BB_tufund[[#This Row],[% amt FNRP]]</f>
        <v>-0.5614191027781168</v>
      </c>
    </row>
    <row r="71" spans="2:141" x14ac:dyDescent="0.3">
      <c r="B71">
        <v>50304</v>
      </c>
      <c r="C71" s="35">
        <v>46259</v>
      </c>
      <c r="D71" t="s">
        <v>2831</v>
      </c>
      <c r="E71" t="s">
        <v>824</v>
      </c>
      <c r="F71" t="s">
        <v>823</v>
      </c>
      <c r="G71">
        <v>100000000000</v>
      </c>
      <c r="H71">
        <v>2.7</v>
      </c>
      <c r="I71" t="s">
        <v>3492</v>
      </c>
      <c r="J71">
        <v>2.93</v>
      </c>
      <c r="K71">
        <v>7.84</v>
      </c>
      <c r="L71" t="s">
        <v>2747</v>
      </c>
      <c r="M71">
        <v>4.3499999999999996</v>
      </c>
      <c r="N71">
        <v>-9197000000</v>
      </c>
      <c r="O71">
        <v>6.79</v>
      </c>
      <c r="P71">
        <v>-60926119.990000002</v>
      </c>
      <c r="Q71">
        <v>436000000</v>
      </c>
      <c r="R71">
        <v>55.68</v>
      </c>
      <c r="S7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-9193500949.6949501</v>
      </c>
      <c r="T71" s="72">
        <f>VLOOKUP(Outstanding_pos_TB_MSB[[#This Row],[Bonds_ShortName]],FNRP!D:J,7,0)</f>
        <v>6500000</v>
      </c>
      <c r="U71" s="72">
        <f>SUMIFS(Outstanding_pos_TB_MSB[Amt],Outstanding_pos_TB_MSB[Bonds_ShortName],Outstanding_pos_TB_MSB[[#This Row],[Bonds_ShortName]])/100000-Outstanding_pos_TB_MSB[[#This Row],[Quantity FNRP]]</f>
        <v>0</v>
      </c>
      <c r="V71" s="162" t="str">
        <f>INDEX(Ref!$I$1:$K$13,MATCH(Outstanding_pos_TB_MSB[[#This Row],[Tenor left]],Ref!$I$1:$I$13,1),3)</f>
        <v>10Y</v>
      </c>
      <c r="W71" s="72">
        <f>IF(RPT-VLOOKUP(Outstanding_pos_TB_MSB[[#This Row],[Bonds_ShortName]],CT:CU,2,0)&lt;=0,0,RPT-VLOOKUP(Outstanding_pos_TB_MSB[[#This Row],[Bonds_ShortName]],CT:CU,2,0))</f>
        <v>0</v>
      </c>
      <c r="X71" s="72">
        <f>IF(RPT-Outstanding_pos_TB_MSB[[#This Row],[VALUE_DATE]]&lt;=0,0,RPT-Outstanding_pos_TB_MSB[[#This Row],[VALUE_DATE]])</f>
        <v>0</v>
      </c>
      <c r="Y71" s="72" t="str">
        <f>_xlfn.XLOOKUP(Outstanding_pos_TB_MSB[[#This Row],[Time hold/Deal]],Ref!S:S,Ref!U:U,,-1)</f>
        <v>1W</v>
      </c>
      <c r="AB71">
        <v>45426</v>
      </c>
      <c r="AC71" s="35">
        <v>45706</v>
      </c>
      <c r="AD71" t="s">
        <v>2499</v>
      </c>
      <c r="AE71" t="s">
        <v>2180</v>
      </c>
      <c r="AF71" t="s">
        <v>823</v>
      </c>
      <c r="AG71" s="500">
        <v>100000000000</v>
      </c>
      <c r="AH71">
        <v>4.8</v>
      </c>
      <c r="AI71">
        <v>48556</v>
      </c>
      <c r="AJ71">
        <v>2.35</v>
      </c>
      <c r="AK71">
        <v>6.31</v>
      </c>
      <c r="AL71" s="645" t="s">
        <v>3644</v>
      </c>
      <c r="AM71">
        <v>4.28</v>
      </c>
      <c r="AN71" s="500">
        <v>-14497000000</v>
      </c>
      <c r="AO71">
        <v>5.2</v>
      </c>
      <c r="AP71">
        <v>-55232276.009999998</v>
      </c>
      <c r="AQ71">
        <v>3340000000</v>
      </c>
      <c r="AR71">
        <v>34.94</v>
      </c>
      <c r="AS71" s="72">
        <f>SUM(_xlfn.IFNA(VLOOKUP(Outstanding_pos_BB_MSB[[#This Row],[Bonds_ShortName]],FNRP!AV:BA,6,0)*Outstanding_pos_BB_MSB[[#This Row],[Amt]]/10^4,0),_xlfn.IFNA((VLOOKUP(Outstanding_pos_BB_MSB[[#This Row],[Bonds_ShortName]],FNRP!IK:IP,6,0)*Outstanding_pos_BB_MSB[[#This Row],[Amt]]/10^4),0))</f>
        <v>1027760000000</v>
      </c>
      <c r="AT71" s="72">
        <f>(_xlfn.XLOOKUP(Outstanding_pos_BB_MSB[[#This Row],[Bonds_ShortName]],FNRP!AV:AV,FNRP!BA:BA,,0)
-_xlfn.XLOOKUP(Outstanding_pos_BB_MSB[[#This Row],[BondsDeals_Id]],BS!AL:AL,BS!AR:AR,_xlfn.XLOOKUP(Outstanding_pos_BB_MSB[[#This Row],[BondsDeals_Id]],BS!BA:BA,BS!BQ:BQ,,0),0)-10^5)
*Outstanding_pos_BB_MSB[[#This Row],[Amt]]/10^5</f>
        <v>-11181917904.349903</v>
      </c>
      <c r="AU71" s="72">
        <f>VLOOKUP(Outstanding_pos_BB_MSB[[#This Row],[Bonds_ShortName]],FNRP!AV:CD,35,0)</f>
        <v>1000000</v>
      </c>
      <c r="AV71" s="157">
        <f>SUMIFS(AG$1:AG$103,AD$1:AD$103,Outstanding_pos_BB_MSB[[#This Row],[Bonds_ShortName]])/10^5-Outstanding_pos_BB_MSB[[#This Row],[Quantity FNRP]]</f>
        <v>0</v>
      </c>
      <c r="AW71" s="72">
        <f>IF(RPT-Outstanding_pos_BB_MSB[[#This Row],[Value Date]]&lt;=0,0,RPT-Outstanding_pos_BB_MSB[[#This Row],[Value Date]])</f>
        <v>546</v>
      </c>
      <c r="AX71" s="32" t="str">
        <f>INDEX(Ref!$I$1:$K$13,MATCH(Outstanding_pos_BB_MSB[[#This Row],[Tenor left]],Ref!$I$1:$I$13,1),3)</f>
        <v>7Y</v>
      </c>
      <c r="AY71" s="72" t="str">
        <f>_xlfn.XLOOKUP(Outstanding_pos_BB_MSB[[#This Row],[Time hold/Deal]],Ref!S:S,Ref!U:U,,-1)</f>
        <v>1Y</v>
      </c>
      <c r="BC71"/>
      <c r="BD71"/>
      <c r="BG71"/>
      <c r="BH71"/>
      <c r="BJ71"/>
      <c r="BN71"/>
      <c r="BO71"/>
      <c r="BQ71"/>
      <c r="BR71"/>
      <c r="BX71">
        <v>45148</v>
      </c>
      <c r="BY71" s="502">
        <v>45657</v>
      </c>
      <c r="BZ71" t="s">
        <v>596</v>
      </c>
      <c r="CA71" t="s">
        <v>824</v>
      </c>
      <c r="CB71" t="s">
        <v>895</v>
      </c>
      <c r="CC71" s="500">
        <v>100000000000</v>
      </c>
      <c r="CD71">
        <v>7.83</v>
      </c>
      <c r="CE71" s="502">
        <v>47393</v>
      </c>
      <c r="CF71">
        <v>3.99</v>
      </c>
      <c r="CG71">
        <v>3.12</v>
      </c>
      <c r="CH71" t="s">
        <v>3183</v>
      </c>
      <c r="CI71">
        <v>4.24</v>
      </c>
      <c r="CJ71" s="500">
        <v>-6016000000</v>
      </c>
      <c r="CK71">
        <v>2.62</v>
      </c>
      <c r="CL71" s="500">
        <v>-30714251.809999999</v>
      </c>
      <c r="CM71" s="500">
        <v>6886000000</v>
      </c>
      <c r="CN71">
        <v>10.09</v>
      </c>
      <c r="CO7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-411093996.59109479</v>
      </c>
      <c r="CP71" s="72">
        <f>RPT-VLOOKUP(Outstanding_pos_BB_SBV[[#This Row],[Bonds_ShortName]],CT:CU,2,0)</f>
        <v>596</v>
      </c>
      <c r="CQ71" s="157">
        <f>SUMIFS(CC:CC,BZ:BZ,Outstanding_pos_BB_SBV[[#This Row],[Bonds_ShortName]])/10^5-VLOOKUP(Outstanding_pos_BB_SBV[[#This Row],[Bonds_ShortName]],FNRP!EE:FL,34,0)</f>
        <v>0</v>
      </c>
      <c r="CT71" t="s">
        <v>695</v>
      </c>
      <c r="CU71" s="502">
        <v>46252</v>
      </c>
      <c r="DY71" s="776">
        <v>42190</v>
      </c>
      <c r="DZ71" s="776" t="s">
        <v>713</v>
      </c>
      <c r="EA71" s="776" t="s">
        <v>2180</v>
      </c>
      <c r="EB71" s="777">
        <v>200000000000</v>
      </c>
      <c r="EC71" s="776">
        <v>14.22</v>
      </c>
      <c r="ED71" s="10">
        <v>2.71</v>
      </c>
      <c r="EE71" s="72">
        <f>_xlfn.XLOOKUP(DY71,Outstanding_pos_BB_MSB[BondsDeals_Id],Outstanding_pos_BB_MSB[ItD adj])</f>
        <v>-38714905934.305191</v>
      </c>
      <c r="EF71" s="32">
        <f>_xlfn.XLOOKUP(DY71,Outstanding_pos_BB_MSB[BondsDeals_Id],Outstanding_pos_BB_MSB[Yield])</f>
        <v>2.71</v>
      </c>
      <c r="EG71" s="71">
        <f>_xlfn.XLOOKUP(BB_tufund[[#This Row],[Deal ID]],Outstanding_pos_BB_MSB[BondsDeals_Id],Outstanding_pos_BB_MSB[Total Rate])</f>
        <v>3.3</v>
      </c>
      <c r="EH71" s="124">
        <f>_xlfn.XLOOKUP(DY71,Outstanding_pos_BB_MSB[BondsDeals_Id],Outstanding_pos_BB_MSB[Mature Date])</f>
        <v>51368</v>
      </c>
      <c r="EI71" s="787">
        <f>(BB_tufund[[#This Row],[Amt]]/10^9)/(_xlfn.XLOOKUP(BB_tufund[[#This Row],[Bond code]],Bankingbook_MSB[Security Name],Bankingbook_MSB[QUANTITY])/10^4)</f>
        <v>0.2</v>
      </c>
      <c r="EJ71" s="72">
        <f>_xlfn.XLOOKUP(BB_tufund[[#This Row],[Bond code]],Bankingbook_MSB[Security Name],Bankingbook_MSB[MARKET_VALUE])*BB_tufund[[#This Row],[% amt FNRP]]</f>
        <v>174480000000</v>
      </c>
      <c r="EK71" s="71">
        <f>_xlfn.XLOOKUP(BB_tufund[[#This Row],[Bond code]],Bankingbook_MSB[Security Name],Bankingbook_MSB[BPV_edited])
/10^9*BB_tufund[[#This Row],[% amt FNRP]]</f>
        <v>-0.18713970092603893</v>
      </c>
    </row>
    <row r="72" spans="2:141" x14ac:dyDescent="0.3">
      <c r="B72">
        <v>50338</v>
      </c>
      <c r="C72" s="35">
        <v>46245</v>
      </c>
      <c r="D72" t="s">
        <v>655</v>
      </c>
      <c r="E72" t="s">
        <v>4054</v>
      </c>
      <c r="F72" t="s">
        <v>823</v>
      </c>
      <c r="G72">
        <v>34000000000</v>
      </c>
      <c r="H72">
        <v>5.7</v>
      </c>
      <c r="I72" t="s">
        <v>3441</v>
      </c>
      <c r="J72">
        <v>5.75</v>
      </c>
      <c r="K72">
        <v>5.93</v>
      </c>
      <c r="L72" t="s">
        <v>3644</v>
      </c>
      <c r="M72">
        <v>4.2699999999999996</v>
      </c>
      <c r="N72">
        <v>2579240000</v>
      </c>
      <c r="O72">
        <v>4.9800000000000004</v>
      </c>
      <c r="P72">
        <v>-53728039.759999998</v>
      </c>
      <c r="Q72">
        <v>453000000</v>
      </c>
      <c r="R72">
        <v>31.63</v>
      </c>
      <c r="S7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2578771877.0279655</v>
      </c>
      <c r="T72" s="72">
        <f>VLOOKUP(Outstanding_pos_TB_MSB[[#This Row],[Bonds_ShortName]],FNRP!D:J,7,0)</f>
        <v>340000</v>
      </c>
      <c r="U72" s="72">
        <f>SUMIFS(Outstanding_pos_TB_MSB[Amt],Outstanding_pos_TB_MSB[Bonds_ShortName],Outstanding_pos_TB_MSB[[#This Row],[Bonds_ShortName]])/100000-Outstanding_pos_TB_MSB[[#This Row],[Quantity FNRP]]</f>
        <v>0</v>
      </c>
      <c r="V72" s="162" t="str">
        <f>INDEX(Ref!$I$1:$K$13,MATCH(Outstanding_pos_TB_MSB[[#This Row],[Tenor left]],Ref!$I$1:$I$13,1),3)</f>
        <v>7Y</v>
      </c>
      <c r="W72" s="72">
        <f>IF(RPT-VLOOKUP(Outstanding_pos_TB_MSB[[#This Row],[Bonds_ShortName]],CT:CU,2,0)&lt;=0,0,RPT-VLOOKUP(Outstanding_pos_TB_MSB[[#This Row],[Bonds_ShortName]],CT:CU,2,0))</f>
        <v>7</v>
      </c>
      <c r="X72" s="72">
        <f>IF(RPT-Outstanding_pos_TB_MSB[[#This Row],[VALUE_DATE]]&lt;=0,0,RPT-Outstanding_pos_TB_MSB[[#This Row],[VALUE_DATE]])</f>
        <v>7</v>
      </c>
      <c r="Y72" s="72" t="str">
        <f>_xlfn.XLOOKUP(Outstanding_pos_TB_MSB[[#This Row],[Time hold/Deal]],Ref!S:S,Ref!U:U,,-1)</f>
        <v>1W</v>
      </c>
      <c r="AB72">
        <v>45428</v>
      </c>
      <c r="AC72" s="35">
        <v>45706</v>
      </c>
      <c r="AD72" t="s">
        <v>2741</v>
      </c>
      <c r="AE72" t="s">
        <v>2180</v>
      </c>
      <c r="AF72" t="s">
        <v>823</v>
      </c>
      <c r="AG72" s="500">
        <v>100000000000</v>
      </c>
      <c r="AH72">
        <v>2.8</v>
      </c>
      <c r="AI72">
        <v>50578</v>
      </c>
      <c r="AJ72">
        <v>2.69</v>
      </c>
      <c r="AK72">
        <v>11.85</v>
      </c>
      <c r="AL72" s="645" t="s">
        <v>2740</v>
      </c>
      <c r="AM72">
        <v>4.5</v>
      </c>
      <c r="AN72" s="500">
        <v>-16531000000</v>
      </c>
      <c r="AO72">
        <v>9.59</v>
      </c>
      <c r="AP72">
        <v>-81640935.620000005</v>
      </c>
      <c r="AQ72">
        <v>445000000</v>
      </c>
      <c r="AR72">
        <v>111.41</v>
      </c>
      <c r="AS72" s="72">
        <f>SUM(_xlfn.IFNA(VLOOKUP(Outstanding_pos_BB_MSB[[#This Row],[Bonds_ShortName]],FNRP!AV:BA,6,0)*Outstanding_pos_BB_MSB[[#This Row],[Amt]]/10^4,0),_xlfn.IFNA((VLOOKUP(Outstanding_pos_BB_MSB[[#This Row],[Bonds_ShortName]],FNRP!IK:IP,6,0)*Outstanding_pos_BB_MSB[[#This Row],[Amt]]/10^4),0))</f>
        <v>846780000000</v>
      </c>
      <c r="AT72" s="72">
        <f>(_xlfn.XLOOKUP(Outstanding_pos_BB_MSB[[#This Row],[Bonds_ShortName]],FNRP!AV:AV,FNRP!BA:BA,,0)
-_xlfn.XLOOKUP(Outstanding_pos_BB_MSB[[#This Row],[BondsDeals_Id]],BS!AL:AL,BS!AR:AR,_xlfn.XLOOKUP(Outstanding_pos_BB_MSB[[#This Row],[BondsDeals_Id]],BS!BA:BA,BS!BQ:BQ,,0),0)-10^5)
*Outstanding_pos_BB_MSB[[#This Row],[Amt]]/10^5</f>
        <v>-16397242650.201313</v>
      </c>
      <c r="AU72" s="72">
        <f>VLOOKUP(Outstanding_pos_BB_MSB[[#This Row],[Bonds_ShortName]],FNRP!AV:CD,35,0)</f>
        <v>8500000</v>
      </c>
      <c r="AV72" s="157">
        <f>SUMIFS(AG$1:AG$103,AD$1:AD$103,Outstanding_pos_BB_MSB[[#This Row],[Bonds_ShortName]])/10^5-Outstanding_pos_BB_MSB[[#This Row],[Quantity FNRP]]</f>
        <v>0</v>
      </c>
      <c r="AW72" s="72">
        <f>IF(RPT-Outstanding_pos_BB_MSB[[#This Row],[Value Date]]&lt;=0,0,RPT-Outstanding_pos_BB_MSB[[#This Row],[Value Date]])</f>
        <v>546</v>
      </c>
      <c r="AX72" s="32" t="str">
        <f>INDEX(Ref!$I$1:$K$13,MATCH(Outstanding_pos_BB_MSB[[#This Row],[Tenor left]],Ref!$I$1:$I$13,1),3)</f>
        <v>15Y</v>
      </c>
      <c r="AY72" s="72" t="str">
        <f>_xlfn.XLOOKUP(Outstanding_pos_BB_MSB[[#This Row],[Time hold/Deal]],Ref!S:S,Ref!U:U,,-1)</f>
        <v>1Y</v>
      </c>
      <c r="BC72"/>
      <c r="BD72"/>
      <c r="BG72"/>
      <c r="BH72"/>
      <c r="BJ72"/>
      <c r="BN72"/>
      <c r="BO72"/>
      <c r="BQ72"/>
      <c r="BR72"/>
      <c r="BX72">
        <v>45177</v>
      </c>
      <c r="BY72" s="502">
        <v>45664</v>
      </c>
      <c r="BZ72" t="s">
        <v>2503</v>
      </c>
      <c r="CA72" t="s">
        <v>2180</v>
      </c>
      <c r="CB72" t="s">
        <v>823</v>
      </c>
      <c r="CC72" s="500">
        <v>150000000000</v>
      </c>
      <c r="CD72">
        <v>3.4</v>
      </c>
      <c r="CE72" s="502">
        <v>50515</v>
      </c>
      <c r="CF72">
        <v>2.65</v>
      </c>
      <c r="CG72">
        <v>11.68</v>
      </c>
      <c r="CH72" t="s">
        <v>2740</v>
      </c>
      <c r="CI72">
        <v>4.49</v>
      </c>
      <c r="CJ72" s="500">
        <v>-27088500000</v>
      </c>
      <c r="CK72">
        <v>9.18</v>
      </c>
      <c r="CL72" s="500">
        <v>-83889598.819999993</v>
      </c>
      <c r="CM72" s="500">
        <v>1127000000</v>
      </c>
      <c r="CN72">
        <v>104.3</v>
      </c>
      <c r="CO7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-25581166869.98579</v>
      </c>
      <c r="CP72" s="72">
        <f>RPT-VLOOKUP(Outstanding_pos_BB_SBV[[#This Row],[Bonds_ShortName]],CT:CU,2,0)</f>
        <v>6</v>
      </c>
      <c r="CQ72" s="157">
        <f>SUMIFS(CC:CC,BZ:BZ,Outstanding_pos_BB_SBV[[#This Row],[Bonds_ShortName]])/10^5-VLOOKUP(Outstanding_pos_BB_SBV[[#This Row],[Bonds_ShortName]],FNRP!EE:FL,34,0)</f>
        <v>0</v>
      </c>
      <c r="CT72" t="s">
        <v>709</v>
      </c>
      <c r="CU72" s="502">
        <v>45862</v>
      </c>
      <c r="DY72" s="776">
        <v>41175</v>
      </c>
      <c r="DZ72" s="776" t="s">
        <v>713</v>
      </c>
      <c r="EA72" s="776" t="s">
        <v>2180</v>
      </c>
      <c r="EB72" s="777">
        <v>100000000000</v>
      </c>
      <c r="EC72" s="776">
        <v>14.22</v>
      </c>
      <c r="ED72" s="10">
        <v>2.74</v>
      </c>
      <c r="EE72" s="72">
        <f>_xlfn.XLOOKUP(DY72,Outstanding_pos_BB_MSB[BondsDeals_Id],Outstanding_pos_BB_MSB[ItD adj])</f>
        <v>-18965702381.65831</v>
      </c>
      <c r="EF72" s="32">
        <f>_xlfn.XLOOKUP(DY72,Outstanding_pos_BB_MSB[BondsDeals_Id],Outstanding_pos_BB_MSB[Yield])</f>
        <v>2.74</v>
      </c>
      <c r="EG72" s="71">
        <f>_xlfn.XLOOKUP(BB_tufund[[#This Row],[Deal ID]],Outstanding_pos_BB_MSB[BondsDeals_Id],Outstanding_pos_BB_MSB[Total Rate])</f>
        <v>3.3</v>
      </c>
      <c r="EH72" s="124">
        <f>_xlfn.XLOOKUP(DY72,Outstanding_pos_BB_MSB[BondsDeals_Id],Outstanding_pos_BB_MSB[Mature Date])</f>
        <v>51368</v>
      </c>
      <c r="EI72" s="787">
        <f>(BB_tufund[[#This Row],[Amt]]/10^9)/(_xlfn.XLOOKUP(BB_tufund[[#This Row],[Bond code]],Bankingbook_MSB[Security Name],Bankingbook_MSB[QUANTITY])/10^4)</f>
        <v>0.1</v>
      </c>
      <c r="EJ72" s="72">
        <f>_xlfn.XLOOKUP(BB_tufund[[#This Row],[Bond code]],Bankingbook_MSB[Security Name],Bankingbook_MSB[MARKET_VALUE])*BB_tufund[[#This Row],[% amt FNRP]]</f>
        <v>87240000000</v>
      </c>
      <c r="EK72" s="71">
        <f>_xlfn.XLOOKUP(BB_tufund[[#This Row],[Bond code]],Bankingbook_MSB[Security Name],Bankingbook_MSB[BPV_edited])
/10^9*BB_tufund[[#This Row],[% amt FNRP]]</f>
        <v>-9.3569850463019466E-2</v>
      </c>
    </row>
    <row r="73" spans="2:141" x14ac:dyDescent="0.3">
      <c r="B73">
        <v>50340</v>
      </c>
      <c r="C73" s="35">
        <v>46245</v>
      </c>
      <c r="D73" t="s">
        <v>568</v>
      </c>
      <c r="E73" t="s">
        <v>4054</v>
      </c>
      <c r="F73" t="s">
        <v>821</v>
      </c>
      <c r="G73">
        <v>300000000000</v>
      </c>
      <c r="H73">
        <v>6.6</v>
      </c>
      <c r="I73" t="s">
        <v>3407</v>
      </c>
      <c r="J73">
        <v>2.2000000000000002</v>
      </c>
      <c r="K73">
        <v>0.49</v>
      </c>
      <c r="L73" t="s">
        <v>3870</v>
      </c>
      <c r="M73">
        <v>4.25</v>
      </c>
      <c r="N73">
        <v>-3384000000</v>
      </c>
      <c r="O73">
        <v>0.48</v>
      </c>
      <c r="P73">
        <v>-5043205.0599999996</v>
      </c>
      <c r="Q73">
        <v>3345000000</v>
      </c>
      <c r="R73">
        <v>0.47</v>
      </c>
      <c r="S7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-3103607574.5366688</v>
      </c>
      <c r="T73" s="72">
        <f>VLOOKUP(Outstanding_pos_TB_MSB[[#This Row],[Bonds_ShortName]],FNRP!D:J,7,0)</f>
        <v>3520000</v>
      </c>
      <c r="U73" s="72">
        <f>SUMIFS(Outstanding_pos_TB_MSB[Amt],Outstanding_pos_TB_MSB[Bonds_ShortName],Outstanding_pos_TB_MSB[[#This Row],[Bonds_ShortName]])/100000-Outstanding_pos_TB_MSB[[#This Row],[Quantity FNRP]]</f>
        <v>0</v>
      </c>
      <c r="V73" s="162" t="str">
        <f>INDEX(Ref!$I$1:$K$13,MATCH(Outstanding_pos_TB_MSB[[#This Row],[Tenor left]],Ref!$I$1:$I$13,1),3)</f>
        <v>6M</v>
      </c>
      <c r="W73" s="72">
        <f>IF(RPT-VLOOKUP(Outstanding_pos_TB_MSB[[#This Row],[Bonds_ShortName]],CT:CU,2,0)&lt;=0,0,RPT-VLOOKUP(Outstanding_pos_TB_MSB[[#This Row],[Bonds_ShortName]],CT:CU,2,0))</f>
        <v>7</v>
      </c>
      <c r="X73" s="72">
        <f>IF(RPT-Outstanding_pos_TB_MSB[[#This Row],[VALUE_DATE]]&lt;=0,0,RPT-Outstanding_pos_TB_MSB[[#This Row],[VALUE_DATE]])</f>
        <v>7</v>
      </c>
      <c r="Y73" s="72" t="str">
        <f>_xlfn.XLOOKUP(Outstanding_pos_TB_MSB[[#This Row],[Time hold/Deal]],Ref!S:S,Ref!U:U,,-1)</f>
        <v>1W</v>
      </c>
      <c r="AB73">
        <v>45429</v>
      </c>
      <c r="AC73" s="35">
        <v>45709</v>
      </c>
      <c r="AD73" t="s">
        <v>2786</v>
      </c>
      <c r="AE73" t="s">
        <v>2180</v>
      </c>
      <c r="AF73" t="s">
        <v>823</v>
      </c>
      <c r="AG73" s="500">
        <v>300000000000</v>
      </c>
      <c r="AH73">
        <v>2.6</v>
      </c>
      <c r="AI73">
        <v>50697</v>
      </c>
      <c r="AJ73">
        <v>2.74</v>
      </c>
      <c r="AK73">
        <v>12.18</v>
      </c>
      <c r="AL73" s="645" t="s">
        <v>2740</v>
      </c>
      <c r="AM73">
        <v>4.5</v>
      </c>
      <c r="AN73" s="500">
        <v>-47898000000</v>
      </c>
      <c r="AO73">
        <v>9.69</v>
      </c>
      <c r="AP73">
        <v>-81990398.019999996</v>
      </c>
      <c r="AQ73">
        <v>2165000000</v>
      </c>
      <c r="AR73">
        <v>115.6</v>
      </c>
      <c r="AS73" s="72">
        <f>SUM(_xlfn.IFNA(VLOOKUP(Outstanding_pos_BB_MSB[[#This Row],[Bonds_ShortName]],FNRP!AV:BA,6,0)*Outstanding_pos_BB_MSB[[#This Row],[Amt]]/10^4,0),_xlfn.IFNA((VLOOKUP(Outstanding_pos_BB_MSB[[#This Row],[Bonds_ShortName]],FNRP!IK:IP,6,0)*Outstanding_pos_BB_MSB[[#This Row],[Amt]]/10^4),0))</f>
        <v>2473380000000</v>
      </c>
      <c r="AT73" s="72">
        <f>(_xlfn.XLOOKUP(Outstanding_pos_BB_MSB[[#This Row],[Bonds_ShortName]],FNRP!AV:AV,FNRP!BA:BA,,0)
-_xlfn.XLOOKUP(Outstanding_pos_BB_MSB[[#This Row],[BondsDeals_Id]],BS!AL:AL,BS!AR:AR,_xlfn.XLOOKUP(Outstanding_pos_BB_MSB[[#This Row],[BondsDeals_Id]],BS!BA:BA,BS!BQ:BQ,,0),0)-10^5)
*Outstanding_pos_BB_MSB[[#This Row],[Amt]]/10^5</f>
        <v>-48424490195.647652</v>
      </c>
      <c r="AU73" s="72">
        <f>VLOOKUP(Outstanding_pos_BB_MSB[[#This Row],[Bonds_ShortName]],FNRP!AV:CD,35,0)</f>
        <v>4000000</v>
      </c>
      <c r="AV73" s="157">
        <f>SUMIFS(AG$1:AG$103,AD$1:AD$103,Outstanding_pos_BB_MSB[[#This Row],[Bonds_ShortName]])/10^5-Outstanding_pos_BB_MSB[[#This Row],[Quantity FNRP]]</f>
        <v>0</v>
      </c>
      <c r="AW73" s="72">
        <f>IF(RPT-Outstanding_pos_BB_MSB[[#This Row],[Value Date]]&lt;=0,0,RPT-Outstanding_pos_BB_MSB[[#This Row],[Value Date]])</f>
        <v>543</v>
      </c>
      <c r="AX73" s="32" t="str">
        <f>INDEX(Ref!$I$1:$K$13,MATCH(Outstanding_pos_BB_MSB[[#This Row],[Tenor left]],Ref!$I$1:$I$13,1),3)</f>
        <v>15Y</v>
      </c>
      <c r="AY73" s="72" t="str">
        <f>_xlfn.XLOOKUP(Outstanding_pos_BB_MSB[[#This Row],[Time hold/Deal]],Ref!S:S,Ref!U:U,,-1)</f>
        <v>1Y</v>
      </c>
      <c r="BC73"/>
      <c r="BD73"/>
      <c r="BG73"/>
      <c r="BH73"/>
      <c r="BJ73"/>
      <c r="BN73"/>
      <c r="BO73"/>
      <c r="BQ73"/>
      <c r="BR73"/>
      <c r="BX73">
        <v>45178</v>
      </c>
      <c r="BY73" s="502">
        <v>45664</v>
      </c>
      <c r="BZ73" t="s">
        <v>2381</v>
      </c>
      <c r="CA73" t="s">
        <v>2180</v>
      </c>
      <c r="CB73" t="s">
        <v>823</v>
      </c>
      <c r="CC73" s="500">
        <v>50000000000</v>
      </c>
      <c r="CD73">
        <v>4.5</v>
      </c>
      <c r="CE73" s="502">
        <v>48584</v>
      </c>
      <c r="CF73">
        <v>2.2599999999999998</v>
      </c>
      <c r="CG73">
        <v>6.39</v>
      </c>
      <c r="CH73" t="s">
        <v>3644</v>
      </c>
      <c r="CI73">
        <v>4.29</v>
      </c>
      <c r="CJ73" s="500">
        <v>-7535500000</v>
      </c>
      <c r="CK73">
        <v>5.32</v>
      </c>
      <c r="CL73" s="500">
        <v>-55259019.450000003</v>
      </c>
      <c r="CM73" s="500">
        <v>2786000000</v>
      </c>
      <c r="CN73">
        <v>36.130000000000003</v>
      </c>
      <c r="CO7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-5900153131.4505491</v>
      </c>
      <c r="CP73" s="72">
        <f>RPT-VLOOKUP(Outstanding_pos_BB_SBV[[#This Row],[Bonds_ShortName]],CT:CU,2,0)</f>
        <v>74</v>
      </c>
      <c r="CQ73" s="157">
        <f>SUMIFS(CC:CC,BZ:BZ,Outstanding_pos_BB_SBV[[#This Row],[Bonds_ShortName]])/10^5-VLOOKUP(Outstanding_pos_BB_SBV[[#This Row],[Bonds_ShortName]],FNRP!EE:FL,34,0)</f>
        <v>0</v>
      </c>
      <c r="CT73" t="s">
        <v>2386</v>
      </c>
      <c r="CU73" s="502">
        <v>45677</v>
      </c>
      <c r="DY73" s="776">
        <v>45226</v>
      </c>
      <c r="DZ73" s="776" t="s">
        <v>713</v>
      </c>
      <c r="EA73" s="776" t="s">
        <v>2180</v>
      </c>
      <c r="EB73" s="777">
        <v>100000000000</v>
      </c>
      <c r="EC73" s="776">
        <v>14.22</v>
      </c>
      <c r="ED73" s="10">
        <v>2.73</v>
      </c>
      <c r="EE73" s="72">
        <f>_xlfn.XLOOKUP(DY73,Outstanding_pos_BB_MSB[BondsDeals_Id],Outstanding_pos_BB_MSB[ItD adj])</f>
        <v>-19181771240.099186</v>
      </c>
      <c r="EF73" s="32">
        <f>_xlfn.XLOOKUP(DY73,Outstanding_pos_BB_MSB[BondsDeals_Id],Outstanding_pos_BB_MSB[Yield])</f>
        <v>2.73</v>
      </c>
      <c r="EG73" s="71">
        <f>_xlfn.XLOOKUP(BB_tufund[[#This Row],[Deal ID]],Outstanding_pos_BB_MSB[BondsDeals_Id],Outstanding_pos_BB_MSB[Total Rate])</f>
        <v>3.3</v>
      </c>
      <c r="EH73" s="124">
        <f>_xlfn.XLOOKUP(DY73,Outstanding_pos_BB_MSB[BondsDeals_Id],Outstanding_pos_BB_MSB[Mature Date])</f>
        <v>51368</v>
      </c>
      <c r="EI73" s="787">
        <f>(BB_tufund[[#This Row],[Amt]]/10^9)/(_xlfn.XLOOKUP(BB_tufund[[#This Row],[Bond code]],Bankingbook_MSB[Security Name],Bankingbook_MSB[QUANTITY])/10^4)</f>
        <v>0.1</v>
      </c>
      <c r="EJ73" s="72">
        <f>_xlfn.XLOOKUP(BB_tufund[[#This Row],[Bond code]],Bankingbook_MSB[Security Name],Bankingbook_MSB[MARKET_VALUE])*BB_tufund[[#This Row],[% amt FNRP]]</f>
        <v>87240000000</v>
      </c>
      <c r="EK73" s="71">
        <f>_xlfn.XLOOKUP(BB_tufund[[#This Row],[Bond code]],Bankingbook_MSB[Security Name],Bankingbook_MSB[BPV_edited])
/10^9*BB_tufund[[#This Row],[% amt FNRP]]</f>
        <v>-9.3569850463019466E-2</v>
      </c>
    </row>
    <row r="74" spans="2:141" x14ac:dyDescent="0.3">
      <c r="B74">
        <v>50342</v>
      </c>
      <c r="C74" s="35">
        <v>46245</v>
      </c>
      <c r="D74" t="s">
        <v>2781</v>
      </c>
      <c r="E74" t="s">
        <v>4054</v>
      </c>
      <c r="F74" t="s">
        <v>907</v>
      </c>
      <c r="G74">
        <v>300000000000</v>
      </c>
      <c r="H74">
        <v>3</v>
      </c>
      <c r="I74" t="s">
        <v>2784</v>
      </c>
      <c r="J74">
        <v>2.8</v>
      </c>
      <c r="K74">
        <v>7.27</v>
      </c>
      <c r="L74" t="s">
        <v>2746</v>
      </c>
      <c r="M74">
        <v>4.82</v>
      </c>
      <c r="N74">
        <v>-36726000000</v>
      </c>
      <c r="O74">
        <v>6.13</v>
      </c>
      <c r="P74">
        <v>-55987895.590000004</v>
      </c>
      <c r="Q74">
        <v>2219000000</v>
      </c>
      <c r="R74">
        <v>46.74</v>
      </c>
      <c r="S7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-36715403751.539063</v>
      </c>
      <c r="T74" s="72">
        <f>VLOOKUP(Outstanding_pos_TB_MSB[[#This Row],[Bonds_ShortName]],FNRP!D:J,7,0)</f>
        <v>5000000</v>
      </c>
      <c r="U74" s="72">
        <f>SUMIFS(Outstanding_pos_TB_MSB[Amt],Outstanding_pos_TB_MSB[Bonds_ShortName],Outstanding_pos_TB_MSB[[#This Row],[Bonds_ShortName]])/100000-Outstanding_pos_TB_MSB[[#This Row],[Quantity FNRP]]</f>
        <v>0</v>
      </c>
      <c r="V74" s="162" t="str">
        <f>INDEX(Ref!$I$1:$K$13,MATCH(Outstanding_pos_TB_MSB[[#This Row],[Tenor left]],Ref!$I$1:$I$13,1),3)</f>
        <v>7Y</v>
      </c>
      <c r="W74" s="72">
        <f>IF(RPT-VLOOKUP(Outstanding_pos_TB_MSB[[#This Row],[Bonds_ShortName]],CT:CU,2,0)&lt;=0,0,RPT-VLOOKUP(Outstanding_pos_TB_MSB[[#This Row],[Bonds_ShortName]],CT:CU,2,0))</f>
        <v>7</v>
      </c>
      <c r="X74" s="72">
        <f>IF(RPT-Outstanding_pos_TB_MSB[[#This Row],[VALUE_DATE]]&lt;=0,0,RPT-Outstanding_pos_TB_MSB[[#This Row],[VALUE_DATE]])</f>
        <v>7</v>
      </c>
      <c r="Y74" s="72" t="str">
        <f>_xlfn.XLOOKUP(Outstanding_pos_TB_MSB[[#This Row],[Time hold/Deal]],Ref!S:S,Ref!U:U,,-1)</f>
        <v>1W</v>
      </c>
      <c r="AB74">
        <v>45432</v>
      </c>
      <c r="AC74" s="35">
        <v>45708</v>
      </c>
      <c r="AD74" t="s">
        <v>2741</v>
      </c>
      <c r="AE74" t="s">
        <v>2180</v>
      </c>
      <c r="AF74" t="s">
        <v>823</v>
      </c>
      <c r="AG74" s="500">
        <v>300000000000</v>
      </c>
      <c r="AH74">
        <v>2.8</v>
      </c>
      <c r="AI74">
        <v>50578</v>
      </c>
      <c r="AJ74">
        <v>2.74</v>
      </c>
      <c r="AK74">
        <v>11.85</v>
      </c>
      <c r="AL74" s="645" t="s">
        <v>2740</v>
      </c>
      <c r="AM74">
        <v>4.5</v>
      </c>
      <c r="AN74" s="500">
        <v>-47922000000</v>
      </c>
      <c r="AO74">
        <v>9.59</v>
      </c>
      <c r="AP74">
        <v>-81640935.620000005</v>
      </c>
      <c r="AQ74">
        <v>445000000</v>
      </c>
      <c r="AR74">
        <v>111.41</v>
      </c>
      <c r="AS74" s="72">
        <f>SUM(_xlfn.IFNA(VLOOKUP(Outstanding_pos_BB_MSB[[#This Row],[Bonds_ShortName]],FNRP!AV:BA,6,0)*Outstanding_pos_BB_MSB[[#This Row],[Amt]]/10^4,0),_xlfn.IFNA((VLOOKUP(Outstanding_pos_BB_MSB[[#This Row],[Bonds_ShortName]],FNRP!IK:IP,6,0)*Outstanding_pos_BB_MSB[[#This Row],[Amt]]/10^4),0))</f>
        <v>2540340000000</v>
      </c>
      <c r="AT74" s="72">
        <f>(_xlfn.XLOOKUP(Outstanding_pos_BB_MSB[[#This Row],[Bonds_ShortName]],FNRP!AV:AV,FNRP!BA:BA,,0)
-_xlfn.XLOOKUP(Outstanding_pos_BB_MSB[[#This Row],[BondsDeals_Id]],BS!AL:AL,BS!AR:AR,_xlfn.XLOOKUP(Outstanding_pos_BB_MSB[[#This Row],[BondsDeals_Id]],BS!BA:BA,BS!BQ:BQ,,0),0)-10^5)
*Outstanding_pos_BB_MSB[[#This Row],[Amt]]/10^5</f>
        <v>-47708141289.977783</v>
      </c>
      <c r="AU74" s="72">
        <f>VLOOKUP(Outstanding_pos_BB_MSB[[#This Row],[Bonds_ShortName]],FNRP!AV:CD,35,0)</f>
        <v>8500000</v>
      </c>
      <c r="AV74" s="157">
        <f>SUMIFS(AG$1:AG$103,AD$1:AD$103,Outstanding_pos_BB_MSB[[#This Row],[Bonds_ShortName]])/10^5-Outstanding_pos_BB_MSB[[#This Row],[Quantity FNRP]]</f>
        <v>0</v>
      </c>
      <c r="AW74" s="72">
        <f>IF(RPT-Outstanding_pos_BB_MSB[[#This Row],[Value Date]]&lt;=0,0,RPT-Outstanding_pos_BB_MSB[[#This Row],[Value Date]])</f>
        <v>544</v>
      </c>
      <c r="AX74" s="32" t="str">
        <f>INDEX(Ref!$I$1:$K$13,MATCH(Outstanding_pos_BB_MSB[[#This Row],[Tenor left]],Ref!$I$1:$I$13,1),3)</f>
        <v>15Y</v>
      </c>
      <c r="AY74" s="72" t="str">
        <f>_xlfn.XLOOKUP(Outstanding_pos_BB_MSB[[#This Row],[Time hold/Deal]],Ref!S:S,Ref!U:U,,-1)</f>
        <v>1Y</v>
      </c>
      <c r="BC74"/>
      <c r="BD74"/>
      <c r="BG74"/>
      <c r="BH74"/>
      <c r="BJ74"/>
      <c r="BN74"/>
      <c r="BO74"/>
      <c r="BQ74"/>
      <c r="BR74"/>
      <c r="BX74">
        <v>45179</v>
      </c>
      <c r="BY74" s="502">
        <v>45664</v>
      </c>
      <c r="BZ74" t="s">
        <v>704</v>
      </c>
      <c r="CA74" t="s">
        <v>2180</v>
      </c>
      <c r="CB74" t="s">
        <v>823</v>
      </c>
      <c r="CC74" s="500">
        <v>50000000000</v>
      </c>
      <c r="CD74">
        <v>2.2999999999999998</v>
      </c>
      <c r="CE74" s="502">
        <v>50004</v>
      </c>
      <c r="CF74">
        <v>2.41</v>
      </c>
      <c r="CG74">
        <v>10.28</v>
      </c>
      <c r="CH74" t="s">
        <v>2743</v>
      </c>
      <c r="CI74">
        <v>4.45</v>
      </c>
      <c r="CJ74" s="500">
        <v>-8167500000</v>
      </c>
      <c r="CK74">
        <v>8.58</v>
      </c>
      <c r="CL74" s="500">
        <v>-72230615.189999998</v>
      </c>
      <c r="CM74" s="500">
        <v>1682000000</v>
      </c>
      <c r="CN74">
        <v>88.9</v>
      </c>
      <c r="CO7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-8246060616.4383574</v>
      </c>
      <c r="CP74" s="72">
        <f>RPT-VLOOKUP(Outstanding_pos_BB_SBV[[#This Row],[Bonds_ShortName]],CT:CU,2,0)</f>
        <v>589</v>
      </c>
      <c r="CQ74" s="157">
        <f>SUMIFS(CC:CC,BZ:BZ,Outstanding_pos_BB_SBV[[#This Row],[Bonds_ShortName]])/10^5-VLOOKUP(Outstanding_pos_BB_SBV[[#This Row],[Bonds_ShortName]],FNRP!EE:FL,34,0)</f>
        <v>0</v>
      </c>
      <c r="CT74" t="s">
        <v>608</v>
      </c>
      <c r="CU74" s="502">
        <v>46128</v>
      </c>
      <c r="DY74" s="776">
        <v>48344</v>
      </c>
      <c r="DZ74" s="776" t="s">
        <v>2498</v>
      </c>
      <c r="EA74" s="776" t="s">
        <v>2180</v>
      </c>
      <c r="EB74" s="777">
        <v>50000000000</v>
      </c>
      <c r="EC74" s="776">
        <v>16.829999999999998</v>
      </c>
      <c r="ED74" s="10">
        <v>2.97</v>
      </c>
      <c r="EE74" s="72">
        <f>_xlfn.XLOOKUP(DY74,Outstanding_pos_BB_MSB[BondsDeals_Id],Outstanding_pos_BB_MSB[ItD adj])</f>
        <v>-9875711783.0352211</v>
      </c>
      <c r="EF74" s="32">
        <f>_xlfn.XLOOKUP(DY74,Outstanding_pos_BB_MSB[BondsDeals_Id],Outstanding_pos_BB_MSB[Yield])</f>
        <v>2.97</v>
      </c>
      <c r="EG74" s="71">
        <f>_xlfn.XLOOKUP(BB_tufund[[#This Row],[Deal ID]],Outstanding_pos_BB_MSB[BondsDeals_Id],Outstanding_pos_BB_MSB[Total Rate])</f>
        <v>3.7</v>
      </c>
      <c r="EH74" s="124">
        <f>_xlfn.XLOOKUP(DY74,Outstanding_pos_BB_MSB[BondsDeals_Id],Outstanding_pos_BB_MSB[Mature Date])</f>
        <v>52320</v>
      </c>
      <c r="EI74" s="787">
        <f>(BB_tufund[[#This Row],[Amt]]/10^9)/(_xlfn.XLOOKUP(BB_tufund[[#This Row],[Bond code]],Bankingbook_MSB[Security Name],Bankingbook_MSB[QUANTITY])/10^4)</f>
        <v>1</v>
      </c>
      <c r="EJ74" s="72">
        <f>_xlfn.XLOOKUP(BB_tufund[[#This Row],[Bond code]],Bankingbook_MSB[Security Name],Bankingbook_MSB[MARKET_VALUE])*BB_tufund[[#This Row],[% amt FNRP]]</f>
        <v>44808000000</v>
      </c>
      <c r="EK74" s="71">
        <f>_xlfn.XLOOKUP(BB_tufund[[#This Row],[Bond code]],Bankingbook_MSB[Security Name],Bankingbook_MSB[BPV_edited])
/10^9*BB_tufund[[#This Row],[% amt FNRP]]</f>
        <v>-5.3303295673964468E-2</v>
      </c>
    </row>
    <row r="75" spans="2:141" x14ac:dyDescent="0.3">
      <c r="B75">
        <v>50344</v>
      </c>
      <c r="C75" s="35">
        <v>46245</v>
      </c>
      <c r="D75" t="s">
        <v>2781</v>
      </c>
      <c r="E75" t="s">
        <v>4054</v>
      </c>
      <c r="F75" t="s">
        <v>907</v>
      </c>
      <c r="G75">
        <v>200000000000</v>
      </c>
      <c r="H75">
        <v>3</v>
      </c>
      <c r="I75" t="s">
        <v>2784</v>
      </c>
      <c r="J75">
        <v>2.8</v>
      </c>
      <c r="K75">
        <v>7.27</v>
      </c>
      <c r="L75" t="s">
        <v>2746</v>
      </c>
      <c r="M75">
        <v>4.82</v>
      </c>
      <c r="N75">
        <v>-24484000000</v>
      </c>
      <c r="O75">
        <v>6.13</v>
      </c>
      <c r="P75">
        <v>-55987895.590000004</v>
      </c>
      <c r="Q75">
        <v>2219000000</v>
      </c>
      <c r="R75">
        <v>46.74</v>
      </c>
      <c r="S7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-24476935834.359379</v>
      </c>
      <c r="T75" s="72">
        <f>VLOOKUP(Outstanding_pos_TB_MSB[[#This Row],[Bonds_ShortName]],FNRP!D:J,7,0)</f>
        <v>5000000</v>
      </c>
      <c r="U75" s="72">
        <f>SUMIFS(Outstanding_pos_TB_MSB[Amt],Outstanding_pos_TB_MSB[Bonds_ShortName],Outstanding_pos_TB_MSB[[#This Row],[Bonds_ShortName]])/100000-Outstanding_pos_TB_MSB[[#This Row],[Quantity FNRP]]</f>
        <v>0</v>
      </c>
      <c r="V75" s="162" t="str">
        <f>INDEX(Ref!$I$1:$K$13,MATCH(Outstanding_pos_TB_MSB[[#This Row],[Tenor left]],Ref!$I$1:$I$13,1),3)</f>
        <v>7Y</v>
      </c>
      <c r="W75" s="72">
        <f>IF(RPT-VLOOKUP(Outstanding_pos_TB_MSB[[#This Row],[Bonds_ShortName]],CT:CU,2,0)&lt;=0,0,RPT-VLOOKUP(Outstanding_pos_TB_MSB[[#This Row],[Bonds_ShortName]],CT:CU,2,0))</f>
        <v>7</v>
      </c>
      <c r="X75" s="72">
        <f>IF(RPT-Outstanding_pos_TB_MSB[[#This Row],[VALUE_DATE]]&lt;=0,0,RPT-Outstanding_pos_TB_MSB[[#This Row],[VALUE_DATE]])</f>
        <v>7</v>
      </c>
      <c r="Y75" s="72" t="str">
        <f>_xlfn.XLOOKUP(Outstanding_pos_TB_MSB[[#This Row],[Time hold/Deal]],Ref!S:S,Ref!U:U,,-1)</f>
        <v>1W</v>
      </c>
      <c r="AB75">
        <v>45440</v>
      </c>
      <c r="AC75" s="35">
        <v>45708</v>
      </c>
      <c r="AD75" t="s">
        <v>2741</v>
      </c>
      <c r="AE75" t="s">
        <v>2180</v>
      </c>
      <c r="AF75" t="s">
        <v>823</v>
      </c>
      <c r="AG75" s="500">
        <v>150000000000</v>
      </c>
      <c r="AH75">
        <v>2.8</v>
      </c>
      <c r="AI75">
        <v>50578</v>
      </c>
      <c r="AJ75">
        <v>2.69</v>
      </c>
      <c r="AK75">
        <v>11.85</v>
      </c>
      <c r="AL75" s="645" t="s">
        <v>2740</v>
      </c>
      <c r="AM75">
        <v>4.5</v>
      </c>
      <c r="AN75" s="500">
        <v>-24796500000</v>
      </c>
      <c r="AO75">
        <v>9.59</v>
      </c>
      <c r="AP75">
        <v>-81640935.620000005</v>
      </c>
      <c r="AQ75">
        <v>445000000</v>
      </c>
      <c r="AR75">
        <v>111.41</v>
      </c>
      <c r="AS75" s="72">
        <f>SUM(_xlfn.IFNA(VLOOKUP(Outstanding_pos_BB_MSB[[#This Row],[Bonds_ShortName]],FNRP!AV:BA,6,0)*Outstanding_pos_BB_MSB[[#This Row],[Amt]]/10^4,0),_xlfn.IFNA((VLOOKUP(Outstanding_pos_BB_MSB[[#This Row],[Bonds_ShortName]],FNRP!IK:IP,6,0)*Outstanding_pos_BB_MSB[[#This Row],[Amt]]/10^4),0))</f>
        <v>1270170000000</v>
      </c>
      <c r="AT75" s="72">
        <f>(_xlfn.XLOOKUP(Outstanding_pos_BB_MSB[[#This Row],[Bonds_ShortName]],FNRP!AV:AV,FNRP!BA:BA,,0)
-_xlfn.XLOOKUP(Outstanding_pos_BB_MSB[[#This Row],[BondsDeals_Id]],BS!AL:AL,BS!AR:AR,_xlfn.XLOOKUP(Outstanding_pos_BB_MSB[[#This Row],[BondsDeals_Id]],BS!BA:BA,BS!BQ:BQ,,0),0)-10^5)
*Outstanding_pos_BB_MSB[[#This Row],[Amt]]/10^5</f>
        <v>-24596070131.641853</v>
      </c>
      <c r="AU75" s="72">
        <f>VLOOKUP(Outstanding_pos_BB_MSB[[#This Row],[Bonds_ShortName]],FNRP!AV:CD,35,0)</f>
        <v>8500000</v>
      </c>
      <c r="AV75" s="157">
        <f>SUMIFS(AG$1:AG$103,AD$1:AD$103,Outstanding_pos_BB_MSB[[#This Row],[Bonds_ShortName]])/10^5-Outstanding_pos_BB_MSB[[#This Row],[Quantity FNRP]]</f>
        <v>0</v>
      </c>
      <c r="AW75" s="72">
        <f>IF(RPT-Outstanding_pos_BB_MSB[[#This Row],[Value Date]]&lt;=0,0,RPT-Outstanding_pos_BB_MSB[[#This Row],[Value Date]])</f>
        <v>544</v>
      </c>
      <c r="AX75" s="32" t="str">
        <f>INDEX(Ref!$I$1:$K$13,MATCH(Outstanding_pos_BB_MSB[[#This Row],[Tenor left]],Ref!$I$1:$I$13,1),3)</f>
        <v>15Y</v>
      </c>
      <c r="AY75" s="72" t="str">
        <f>_xlfn.XLOOKUP(Outstanding_pos_BB_MSB[[#This Row],[Time hold/Deal]],Ref!S:S,Ref!U:U,,-1)</f>
        <v>1Y</v>
      </c>
      <c r="BC75"/>
      <c r="BD75"/>
      <c r="BG75"/>
      <c r="BH75"/>
      <c r="BJ75"/>
      <c r="BN75"/>
      <c r="BO75"/>
      <c r="BQ75"/>
      <c r="BR75"/>
      <c r="BX75">
        <v>45190</v>
      </c>
      <c r="BY75" s="502">
        <v>45667</v>
      </c>
      <c r="BZ75" t="s">
        <v>2380</v>
      </c>
      <c r="CA75" t="s">
        <v>2180</v>
      </c>
      <c r="CB75" t="s">
        <v>823</v>
      </c>
      <c r="CC75" s="500">
        <v>150000000000</v>
      </c>
      <c r="CD75">
        <v>4.7</v>
      </c>
      <c r="CE75" s="502">
        <v>50410</v>
      </c>
      <c r="CF75">
        <v>2.4900000000000002</v>
      </c>
      <c r="CG75">
        <v>11.39</v>
      </c>
      <c r="CH75" t="s">
        <v>2740</v>
      </c>
      <c r="CI75">
        <v>4.4800000000000004</v>
      </c>
      <c r="CJ75" s="500">
        <v>-33594000000</v>
      </c>
      <c r="CK75">
        <v>8.4700000000000006</v>
      </c>
      <c r="CL75" s="500">
        <v>-88733432.620000005</v>
      </c>
      <c r="CM75" s="500">
        <v>2910000000</v>
      </c>
      <c r="CN75">
        <v>92.44</v>
      </c>
      <c r="CO7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-29096381256.877384</v>
      </c>
      <c r="CP75" s="72">
        <f>RPT-VLOOKUP(Outstanding_pos_BB_SBV[[#This Row],[Bonds_ShortName]],CT:CU,2,0)</f>
        <v>249</v>
      </c>
      <c r="CQ75" s="157">
        <f>SUMIFS(CC:CC,BZ:BZ,Outstanding_pos_BB_SBV[[#This Row],[Bonds_ShortName]])/10^5-VLOOKUP(Outstanding_pos_BB_SBV[[#This Row],[Bonds_ShortName]],FNRP!EE:FL,34,0)</f>
        <v>0</v>
      </c>
      <c r="CT75" t="s">
        <v>2800</v>
      </c>
      <c r="CU75" s="502">
        <v>46003</v>
      </c>
      <c r="DY75" s="776">
        <v>45063</v>
      </c>
      <c r="DZ75" s="776" t="s">
        <v>2497</v>
      </c>
      <c r="EA75" s="776" t="s">
        <v>2180</v>
      </c>
      <c r="EB75" s="777">
        <v>350000000000</v>
      </c>
      <c r="EC75" s="776">
        <v>26.82</v>
      </c>
      <c r="ED75" s="10">
        <v>2.96</v>
      </c>
      <c r="EE75" s="72">
        <f>_xlfn.XLOOKUP(DY75,Outstanding_pos_BB_MSB[BondsDeals_Id],Outstanding_pos_BB_MSB[ItD adj])</f>
        <v>-104299286827.85202</v>
      </c>
      <c r="EF75" s="32">
        <f>_xlfn.XLOOKUP(DY75,Outstanding_pos_BB_MSB[BondsDeals_Id],Outstanding_pos_BB_MSB[Yield])</f>
        <v>2.96</v>
      </c>
      <c r="EG75" s="71">
        <f>_xlfn.XLOOKUP(BB_tufund[[#This Row],[Deal ID]],Outstanding_pos_BB_MSB[BondsDeals_Id],Outstanding_pos_BB_MSB[Total Rate])</f>
        <v>4.2</v>
      </c>
      <c r="EH75" s="124">
        <f>_xlfn.XLOOKUP(DY75,Outstanding_pos_BB_MSB[BondsDeals_Id],Outstanding_pos_BB_MSB[Mature Date])</f>
        <v>55966</v>
      </c>
      <c r="EI75" s="787">
        <f>(BB_tufund[[#This Row],[Amt]]/10^9)/(_xlfn.XLOOKUP(BB_tufund[[#This Row],[Bond code]],Bankingbook_MSB[Security Name],Bankingbook_MSB[QUANTITY])/10^4)</f>
        <v>0.58333333333333337</v>
      </c>
      <c r="EJ75" s="72">
        <f>_xlfn.XLOOKUP(BB_tufund[[#This Row],[Bond code]],Bankingbook_MSB[Security Name],Bankingbook_MSB[MARKET_VALUE])*BB_tufund[[#This Row],[% amt FNRP]]</f>
        <v>323155000000</v>
      </c>
      <c r="EK75" s="71">
        <f>_xlfn.XLOOKUP(BB_tufund[[#This Row],[Bond code]],Bankingbook_MSB[Security Name],Bankingbook_MSB[BPV_edited])
/10^9*BB_tufund[[#This Row],[% amt FNRP]]</f>
        <v>-0.49570332042986848</v>
      </c>
    </row>
    <row r="76" spans="2:141" x14ac:dyDescent="0.3">
      <c r="B76">
        <v>50346</v>
      </c>
      <c r="C76" s="35">
        <v>46245</v>
      </c>
      <c r="D76" t="s">
        <v>2852</v>
      </c>
      <c r="E76" t="s">
        <v>4054</v>
      </c>
      <c r="F76" t="s">
        <v>823</v>
      </c>
      <c r="G76">
        <v>50000000000</v>
      </c>
      <c r="H76">
        <v>2.4</v>
      </c>
      <c r="I76" t="s">
        <v>3491</v>
      </c>
      <c r="J76">
        <v>2.68</v>
      </c>
      <c r="K76">
        <v>7.65</v>
      </c>
      <c r="L76" t="s">
        <v>2747</v>
      </c>
      <c r="M76">
        <v>4.34</v>
      </c>
      <c r="N76">
        <v>-5240000000</v>
      </c>
      <c r="O76">
        <v>6.68</v>
      </c>
      <c r="P76">
        <v>-59045852.780000001</v>
      </c>
      <c r="Q76">
        <v>848000000</v>
      </c>
      <c r="R76">
        <v>53.75</v>
      </c>
      <c r="S7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-5242652954.9902191</v>
      </c>
      <c r="T76" s="72">
        <f>VLOOKUP(Outstanding_pos_TB_MSB[[#This Row],[Bonds_ShortName]],FNRP!D:J,7,0)</f>
        <v>2500000</v>
      </c>
      <c r="U76" s="72">
        <f>SUMIFS(Outstanding_pos_TB_MSB[Amt],Outstanding_pos_TB_MSB[Bonds_ShortName],Outstanding_pos_TB_MSB[[#This Row],[Bonds_ShortName]])/100000-Outstanding_pos_TB_MSB[[#This Row],[Quantity FNRP]]</f>
        <v>0</v>
      </c>
      <c r="V76" s="162" t="str">
        <f>INDEX(Ref!$I$1:$K$13,MATCH(Outstanding_pos_TB_MSB[[#This Row],[Tenor left]],Ref!$I$1:$I$13,1),3)</f>
        <v>10Y</v>
      </c>
      <c r="W76" s="72">
        <f>IF(RPT-VLOOKUP(Outstanding_pos_TB_MSB[[#This Row],[Bonds_ShortName]],CT:CU,2,0)&lt;=0,0,RPT-VLOOKUP(Outstanding_pos_TB_MSB[[#This Row],[Bonds_ShortName]],CT:CU,2,0))</f>
        <v>7</v>
      </c>
      <c r="X76" s="72">
        <f>IF(RPT-Outstanding_pos_TB_MSB[[#This Row],[VALUE_DATE]]&lt;=0,0,RPT-Outstanding_pos_TB_MSB[[#This Row],[VALUE_DATE]])</f>
        <v>7</v>
      </c>
      <c r="Y76" s="72" t="str">
        <f>_xlfn.XLOOKUP(Outstanding_pos_TB_MSB[[#This Row],[Time hold/Deal]],Ref!S:S,Ref!U:U,,-1)</f>
        <v>1W</v>
      </c>
      <c r="AB76">
        <v>45448</v>
      </c>
      <c r="AC76" s="35">
        <v>45719</v>
      </c>
      <c r="AD76" t="s">
        <v>2835</v>
      </c>
      <c r="AE76" t="s">
        <v>2180</v>
      </c>
      <c r="AF76" t="s">
        <v>823</v>
      </c>
      <c r="AG76" s="500">
        <v>350000000000</v>
      </c>
      <c r="AH76">
        <v>2.7</v>
      </c>
      <c r="AI76">
        <v>50899</v>
      </c>
      <c r="AJ76">
        <v>2.89</v>
      </c>
      <c r="AK76">
        <v>12.73</v>
      </c>
      <c r="AL76" s="645" t="s">
        <v>2740</v>
      </c>
      <c r="AM76">
        <v>4.5199999999999996</v>
      </c>
      <c r="AN76" s="500">
        <v>-52955000000</v>
      </c>
      <c r="AO76">
        <v>10.16</v>
      </c>
      <c r="AP76">
        <v>-84810402.099999994</v>
      </c>
      <c r="AQ76">
        <v>755000000</v>
      </c>
      <c r="AR76">
        <v>125.72</v>
      </c>
      <c r="AS76" s="72">
        <f>SUM(_xlfn.IFNA(VLOOKUP(Outstanding_pos_BB_MSB[[#This Row],[Bonds_ShortName]],FNRP!AV:BA,6,0)*Outstanding_pos_BB_MSB[[#This Row],[Amt]]/10^4,0),_xlfn.IFNA((VLOOKUP(Outstanding_pos_BB_MSB[[#This Row],[Bonds_ShortName]],FNRP!IK:IP,6,0)*Outstanding_pos_BB_MSB[[#This Row],[Amt]]/10^4),0))</f>
        <v>2893695000000</v>
      </c>
      <c r="AT76" s="72">
        <f>(_xlfn.XLOOKUP(Outstanding_pos_BB_MSB[[#This Row],[Bonds_ShortName]],FNRP!AV:AV,FNRP!BA:BA,,0)
-_xlfn.XLOOKUP(Outstanding_pos_BB_MSB[[#This Row],[BondsDeals_Id]],BS!AL:AL,BS!AR:AR,_xlfn.XLOOKUP(Outstanding_pos_BB_MSB[[#This Row],[BondsDeals_Id]],BS!BA:BA,BS!BQ:BQ,,0),0)-10^5)
*Outstanding_pos_BB_MSB[[#This Row],[Amt]]/10^5</f>
        <v>-53751332413.920769</v>
      </c>
      <c r="AU76" s="72">
        <f>VLOOKUP(Outstanding_pos_BB_MSB[[#This Row],[Bonds_ShortName]],FNRP!AV:CD,35,0)</f>
        <v>6500000</v>
      </c>
      <c r="AV76" s="157">
        <f>SUMIFS(AG$1:AG$103,AD$1:AD$103,Outstanding_pos_BB_MSB[[#This Row],[Bonds_ShortName]])/10^5-Outstanding_pos_BB_MSB[[#This Row],[Quantity FNRP]]</f>
        <v>0</v>
      </c>
      <c r="AW76" s="72">
        <f>IF(RPT-Outstanding_pos_BB_MSB[[#This Row],[Value Date]]&lt;=0,0,RPT-Outstanding_pos_BB_MSB[[#This Row],[Value Date]])</f>
        <v>533</v>
      </c>
      <c r="AX76" s="32" t="str">
        <f>INDEX(Ref!$I$1:$K$13,MATCH(Outstanding_pos_BB_MSB[[#This Row],[Tenor left]],Ref!$I$1:$I$13,1),3)</f>
        <v>15Y</v>
      </c>
      <c r="AY76" s="72" t="str">
        <f>_xlfn.XLOOKUP(Outstanding_pos_BB_MSB[[#This Row],[Time hold/Deal]],Ref!S:S,Ref!U:U,,-1)</f>
        <v>1Y</v>
      </c>
      <c r="BC76"/>
      <c r="BD76"/>
      <c r="BG76"/>
      <c r="BH76"/>
      <c r="BJ76"/>
      <c r="BN76"/>
      <c r="BO76"/>
      <c r="BQ76"/>
      <c r="BR76"/>
      <c r="BX76">
        <v>45193</v>
      </c>
      <c r="BY76" s="502">
        <v>45665</v>
      </c>
      <c r="BZ76" t="s">
        <v>2380</v>
      </c>
      <c r="CA76" t="s">
        <v>2180</v>
      </c>
      <c r="CB76" t="s">
        <v>823</v>
      </c>
      <c r="CC76" s="500">
        <v>350000000000</v>
      </c>
      <c r="CD76">
        <v>4.7</v>
      </c>
      <c r="CE76" s="502">
        <v>50410</v>
      </c>
      <c r="CF76">
        <v>2.48</v>
      </c>
      <c r="CG76">
        <v>11.39</v>
      </c>
      <c r="CH76" t="s">
        <v>2740</v>
      </c>
      <c r="CI76">
        <v>4.4800000000000004</v>
      </c>
      <c r="CJ76" s="500">
        <v>-78855000000</v>
      </c>
      <c r="CK76">
        <v>8.4700000000000006</v>
      </c>
      <c r="CL76" s="500">
        <v>-88733432.620000005</v>
      </c>
      <c r="CM76" s="500">
        <v>2910000000</v>
      </c>
      <c r="CN76">
        <v>92.44</v>
      </c>
      <c r="CO7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-68273373302.827682</v>
      </c>
      <c r="CP76" s="72">
        <f>RPT-VLOOKUP(Outstanding_pos_BB_SBV[[#This Row],[Bonds_ShortName]],CT:CU,2,0)</f>
        <v>249</v>
      </c>
      <c r="CQ76" s="157">
        <f>SUMIFS(CC:CC,BZ:BZ,Outstanding_pos_BB_SBV[[#This Row],[Bonds_ShortName]])/10^5-VLOOKUP(Outstanding_pos_BB_SBV[[#This Row],[Bonds_ShortName]],FNRP!EE:FL,34,0)</f>
        <v>0</v>
      </c>
      <c r="CT76" t="s">
        <v>679</v>
      </c>
      <c r="CU76" s="502">
        <v>45737</v>
      </c>
      <c r="DY76" s="776">
        <v>45562</v>
      </c>
      <c r="DZ76" s="776" t="s">
        <v>2497</v>
      </c>
      <c r="EA76" s="776" t="s">
        <v>2180</v>
      </c>
      <c r="EB76" s="777">
        <v>150000000000</v>
      </c>
      <c r="EC76" s="776">
        <v>26.82</v>
      </c>
      <c r="ED76" s="10">
        <v>3.03</v>
      </c>
      <c r="EE76" s="72">
        <f>_xlfn.XLOOKUP(DY76,Outstanding_pos_BB_MSB[BondsDeals_Id],Outstanding_pos_BB_MSB[ItD adj])</f>
        <v>-42636336531.239502</v>
      </c>
      <c r="EF76" s="32">
        <f>_xlfn.XLOOKUP(DY76,Outstanding_pos_BB_MSB[BondsDeals_Id],Outstanding_pos_BB_MSB[Yield])</f>
        <v>3.03</v>
      </c>
      <c r="EG76" s="71">
        <f>_xlfn.XLOOKUP(BB_tufund[[#This Row],[Deal ID]],Outstanding_pos_BB_MSB[BondsDeals_Id],Outstanding_pos_BB_MSB[Total Rate])</f>
        <v>4.2</v>
      </c>
      <c r="EH76" s="124">
        <f>_xlfn.XLOOKUP(DY76,Outstanding_pos_BB_MSB[BondsDeals_Id],Outstanding_pos_BB_MSB[Mature Date])</f>
        <v>55966</v>
      </c>
      <c r="EI76" s="787">
        <f>(BB_tufund[[#This Row],[Amt]]/10^9)/(_xlfn.XLOOKUP(BB_tufund[[#This Row],[Bond code]],Bankingbook_MSB[Security Name],Bankingbook_MSB[QUANTITY])/10^4)</f>
        <v>0.25</v>
      </c>
      <c r="EJ76" s="72">
        <f>_xlfn.XLOOKUP(BB_tufund[[#This Row],[Bond code]],Bankingbook_MSB[Security Name],Bankingbook_MSB[MARKET_VALUE])*BB_tufund[[#This Row],[% amt FNRP]]</f>
        <v>138495000000</v>
      </c>
      <c r="EK76" s="71">
        <f>_xlfn.XLOOKUP(BB_tufund[[#This Row],[Bond code]],Bankingbook_MSB[Security Name],Bankingbook_MSB[BPV_edited])
/10^9*BB_tufund[[#This Row],[% amt FNRP]]</f>
        <v>-0.21244428018422934</v>
      </c>
    </row>
    <row r="77" spans="2:141" x14ac:dyDescent="0.3">
      <c r="B77">
        <v>50387</v>
      </c>
      <c r="C77" s="35">
        <v>46246</v>
      </c>
      <c r="D77" t="s">
        <v>2503</v>
      </c>
      <c r="E77" t="s">
        <v>4054</v>
      </c>
      <c r="F77" t="s">
        <v>823</v>
      </c>
      <c r="G77">
        <v>200000000000</v>
      </c>
      <c r="H77">
        <v>3.4</v>
      </c>
      <c r="I77" t="s">
        <v>3470</v>
      </c>
      <c r="J77">
        <v>2.7</v>
      </c>
      <c r="K77">
        <v>11.68</v>
      </c>
      <c r="L77" t="s">
        <v>2740</v>
      </c>
      <c r="M77">
        <v>4.49</v>
      </c>
      <c r="N77">
        <v>-33384000000</v>
      </c>
      <c r="O77">
        <v>9.18</v>
      </c>
      <c r="P77">
        <v>-83903450.430000007</v>
      </c>
      <c r="Q77">
        <v>1118000000</v>
      </c>
      <c r="R77">
        <v>104.35</v>
      </c>
      <c r="S7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-33361447318.514809</v>
      </c>
      <c r="T77" s="72">
        <f>VLOOKUP(Outstanding_pos_TB_MSB[[#This Row],[Bonds_ShortName]],FNRP!D:J,7,0)</f>
        <v>4000000</v>
      </c>
      <c r="U77" s="72">
        <f>SUMIFS(Outstanding_pos_TB_MSB[Amt],Outstanding_pos_TB_MSB[Bonds_ShortName],Outstanding_pos_TB_MSB[[#This Row],[Bonds_ShortName]])/100000-Outstanding_pos_TB_MSB[[#This Row],[Quantity FNRP]]</f>
        <v>0</v>
      </c>
      <c r="V77" s="162" t="str">
        <f>INDEX(Ref!$I$1:$K$13,MATCH(Outstanding_pos_TB_MSB[[#This Row],[Tenor left]],Ref!$I$1:$I$13,1),3)</f>
        <v>15Y</v>
      </c>
      <c r="W77" s="72">
        <f>IF(RPT-VLOOKUP(Outstanding_pos_TB_MSB[[#This Row],[Bonds_ShortName]],CT:CU,2,0)&lt;=0,0,RPT-VLOOKUP(Outstanding_pos_TB_MSB[[#This Row],[Bonds_ShortName]],CT:CU,2,0))</f>
        <v>6</v>
      </c>
      <c r="X77" s="72">
        <f>IF(RPT-Outstanding_pos_TB_MSB[[#This Row],[VALUE_DATE]]&lt;=0,0,RPT-Outstanding_pos_TB_MSB[[#This Row],[VALUE_DATE]])</f>
        <v>6</v>
      </c>
      <c r="Y77" s="72" t="str">
        <f>_xlfn.XLOOKUP(Outstanding_pos_TB_MSB[[#This Row],[Time hold/Deal]],Ref!S:S,Ref!U:U,,-1)</f>
        <v>1W</v>
      </c>
      <c r="AB77">
        <v>45449</v>
      </c>
      <c r="AC77" s="35">
        <v>45716</v>
      </c>
      <c r="AD77" t="s">
        <v>2741</v>
      </c>
      <c r="AE77" t="s">
        <v>2180</v>
      </c>
      <c r="AF77" t="s">
        <v>823</v>
      </c>
      <c r="AG77" s="500">
        <v>100000000000</v>
      </c>
      <c r="AH77">
        <v>2.8</v>
      </c>
      <c r="AI77">
        <v>50578</v>
      </c>
      <c r="AJ77">
        <v>2.7</v>
      </c>
      <c r="AK77">
        <v>11.85</v>
      </c>
      <c r="AL77" s="645" t="s">
        <v>2740</v>
      </c>
      <c r="AM77">
        <v>4.5</v>
      </c>
      <c r="AN77" s="500">
        <v>-16418000000</v>
      </c>
      <c r="AO77">
        <v>9.59</v>
      </c>
      <c r="AP77">
        <v>-81640935.620000005</v>
      </c>
      <c r="AQ77">
        <v>445000000</v>
      </c>
      <c r="AR77">
        <v>111.41</v>
      </c>
      <c r="AS77" s="72">
        <f>SUM(_xlfn.IFNA(VLOOKUP(Outstanding_pos_BB_MSB[[#This Row],[Bonds_ShortName]],FNRP!AV:BA,6,0)*Outstanding_pos_BB_MSB[[#This Row],[Amt]]/10^4,0),_xlfn.IFNA((VLOOKUP(Outstanding_pos_BB_MSB[[#This Row],[Bonds_ShortName]],FNRP!IK:IP,6,0)*Outstanding_pos_BB_MSB[[#This Row],[Amt]]/10^4),0))</f>
        <v>846780000000</v>
      </c>
      <c r="AT77" s="72">
        <f>(_xlfn.XLOOKUP(Outstanding_pos_BB_MSB[[#This Row],[Bonds_ShortName]],FNRP!AV:AV,FNRP!BA:BA,,0)
-_xlfn.XLOOKUP(Outstanding_pos_BB_MSB[[#This Row],[BondsDeals_Id]],BS!AL:AL,BS!AR:AR,_xlfn.XLOOKUP(Outstanding_pos_BB_MSB[[#This Row],[BondsDeals_Id]],BS!BA:BA,BS!BQ:BQ,,0),0)-10^5)
*Outstanding_pos_BB_MSB[[#This Row],[Amt]]/10^5</f>
        <v>-16298301186.726255</v>
      </c>
      <c r="AU77" s="72">
        <f>VLOOKUP(Outstanding_pos_BB_MSB[[#This Row],[Bonds_ShortName]],FNRP!AV:CD,35,0)</f>
        <v>8500000</v>
      </c>
      <c r="AV77" s="157">
        <f>SUMIFS(AG$1:AG$103,AD$1:AD$103,Outstanding_pos_BB_MSB[[#This Row],[Bonds_ShortName]])/10^5-Outstanding_pos_BB_MSB[[#This Row],[Quantity FNRP]]</f>
        <v>0</v>
      </c>
      <c r="AW77" s="72">
        <f>IF(RPT-Outstanding_pos_BB_MSB[[#This Row],[Value Date]]&lt;=0,0,RPT-Outstanding_pos_BB_MSB[[#This Row],[Value Date]])</f>
        <v>536</v>
      </c>
      <c r="AX77" s="32" t="str">
        <f>INDEX(Ref!$I$1:$K$13,MATCH(Outstanding_pos_BB_MSB[[#This Row],[Tenor left]],Ref!$I$1:$I$13,1),3)</f>
        <v>15Y</v>
      </c>
      <c r="AY77" s="72" t="str">
        <f>_xlfn.XLOOKUP(Outstanding_pos_BB_MSB[[#This Row],[Time hold/Deal]],Ref!S:S,Ref!U:U,,-1)</f>
        <v>1Y</v>
      </c>
      <c r="BC77"/>
      <c r="BD77"/>
      <c r="BG77"/>
      <c r="BH77"/>
      <c r="BJ77"/>
      <c r="BN77"/>
      <c r="BO77"/>
      <c r="BQ77"/>
      <c r="BR77"/>
      <c r="BX77">
        <v>45204</v>
      </c>
      <c r="BY77" s="502">
        <v>45671</v>
      </c>
      <c r="BZ77" t="s">
        <v>2496</v>
      </c>
      <c r="CA77" t="s">
        <v>2180</v>
      </c>
      <c r="CB77" t="s">
        <v>823</v>
      </c>
      <c r="CC77" s="500">
        <v>100000000000</v>
      </c>
      <c r="CD77">
        <v>3.8</v>
      </c>
      <c r="CE77" s="502">
        <v>50487</v>
      </c>
      <c r="CF77">
        <v>2.61</v>
      </c>
      <c r="CG77">
        <v>11.6</v>
      </c>
      <c r="CH77" t="s">
        <v>2740</v>
      </c>
      <c r="CI77">
        <v>4.49</v>
      </c>
      <c r="CJ77" s="500">
        <v>-19272000000</v>
      </c>
      <c r="CK77">
        <v>8.9600000000000009</v>
      </c>
      <c r="CL77" s="500">
        <v>-85499892.670000002</v>
      </c>
      <c r="CM77" s="500">
        <v>1551000000</v>
      </c>
      <c r="CN77">
        <v>100.61</v>
      </c>
      <c r="CO7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-17687711794.019894</v>
      </c>
      <c r="CP77" s="72">
        <f>RPT-VLOOKUP(Outstanding_pos_BB_SBV[[#This Row],[Bonds_ShortName]],CT:CU,2,0)</f>
        <v>582</v>
      </c>
      <c r="CQ77" s="157">
        <f>SUMIFS(CC:CC,BZ:BZ,Outstanding_pos_BB_SBV[[#This Row],[Bonds_ShortName]])/10^5-VLOOKUP(Outstanding_pos_BB_SBV[[#This Row],[Bonds_ShortName]],FNRP!EE:FL,34,0)</f>
        <v>0</v>
      </c>
      <c r="CT77" t="s">
        <v>2380</v>
      </c>
      <c r="CU77" s="502">
        <v>46003</v>
      </c>
      <c r="DY77" s="776">
        <v>47019</v>
      </c>
      <c r="DZ77" s="776" t="s">
        <v>2497</v>
      </c>
      <c r="EA77" s="776" t="s">
        <v>2180</v>
      </c>
      <c r="EB77" s="777">
        <v>100000000000</v>
      </c>
      <c r="EC77" s="776">
        <v>26.82</v>
      </c>
      <c r="ED77" s="10">
        <v>3.03</v>
      </c>
      <c r="EE77" s="72">
        <f>_xlfn.XLOOKUP(DY77,Outstanding_pos_BB_MSB[BondsDeals_Id],Outstanding_pos_BB_MSB[ItD adj])</f>
        <v>-28525591209.107197</v>
      </c>
      <c r="EF77" s="32">
        <f>_xlfn.XLOOKUP(DY77,Outstanding_pos_BB_MSB[BondsDeals_Id],Outstanding_pos_BB_MSB[Yield])</f>
        <v>3.03</v>
      </c>
      <c r="EG77" s="71">
        <f>_xlfn.XLOOKUP(BB_tufund[[#This Row],[Deal ID]],Outstanding_pos_BB_MSB[BondsDeals_Id],Outstanding_pos_BB_MSB[Total Rate])</f>
        <v>4.2</v>
      </c>
      <c r="EH77" s="124">
        <f>_xlfn.XLOOKUP(DY77,Outstanding_pos_BB_MSB[BondsDeals_Id],Outstanding_pos_BB_MSB[Mature Date])</f>
        <v>55966</v>
      </c>
      <c r="EI77" s="787">
        <f>(BB_tufund[[#This Row],[Amt]]/10^9)/(_xlfn.XLOOKUP(BB_tufund[[#This Row],[Bond code]],Bankingbook_MSB[Security Name],Bankingbook_MSB[QUANTITY])/10^4)</f>
        <v>0.16666666666666666</v>
      </c>
      <c r="EJ77" s="72">
        <f>_xlfn.XLOOKUP(BB_tufund[[#This Row],[Bond code]],Bankingbook_MSB[Security Name],Bankingbook_MSB[MARKET_VALUE])*BB_tufund[[#This Row],[% amt FNRP]]</f>
        <v>92330000000</v>
      </c>
      <c r="EK77" s="71">
        <f>_xlfn.XLOOKUP(BB_tufund[[#This Row],[Bond code]],Bankingbook_MSB[Security Name],Bankingbook_MSB[BPV_edited])
/10^9*BB_tufund[[#This Row],[% amt FNRP]]</f>
        <v>-0.14162952012281954</v>
      </c>
    </row>
    <row r="78" spans="2:141" x14ac:dyDescent="0.3">
      <c r="B78">
        <v>50389</v>
      </c>
      <c r="C78" s="35">
        <v>46246</v>
      </c>
      <c r="D78" t="s">
        <v>2503</v>
      </c>
      <c r="E78" t="s">
        <v>4054</v>
      </c>
      <c r="F78" t="s">
        <v>823</v>
      </c>
      <c r="G78">
        <v>150000000000</v>
      </c>
      <c r="H78">
        <v>3.4</v>
      </c>
      <c r="I78" t="s">
        <v>3470</v>
      </c>
      <c r="J78">
        <v>2.7</v>
      </c>
      <c r="K78">
        <v>11.68</v>
      </c>
      <c r="L78" t="s">
        <v>2740</v>
      </c>
      <c r="M78">
        <v>4.49</v>
      </c>
      <c r="N78">
        <v>-25038000000</v>
      </c>
      <c r="O78">
        <v>9.18</v>
      </c>
      <c r="P78">
        <v>-83903450.430000007</v>
      </c>
      <c r="Q78">
        <v>1118000000</v>
      </c>
      <c r="R78">
        <v>104.35</v>
      </c>
      <c r="S7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-25021085488.886105</v>
      </c>
      <c r="T78" s="72">
        <f>VLOOKUP(Outstanding_pos_TB_MSB[[#This Row],[Bonds_ShortName]],FNRP!D:J,7,0)</f>
        <v>4000000</v>
      </c>
      <c r="U78" s="72">
        <f>SUMIFS(Outstanding_pos_TB_MSB[Amt],Outstanding_pos_TB_MSB[Bonds_ShortName],Outstanding_pos_TB_MSB[[#This Row],[Bonds_ShortName]])/100000-Outstanding_pos_TB_MSB[[#This Row],[Quantity FNRP]]</f>
        <v>0</v>
      </c>
      <c r="V78" s="162" t="str">
        <f>INDEX(Ref!$I$1:$K$13,MATCH(Outstanding_pos_TB_MSB[[#This Row],[Tenor left]],Ref!$I$1:$I$13,1),3)</f>
        <v>15Y</v>
      </c>
      <c r="W78" s="72">
        <f>IF(RPT-VLOOKUP(Outstanding_pos_TB_MSB[[#This Row],[Bonds_ShortName]],CT:CU,2,0)&lt;=0,0,RPT-VLOOKUP(Outstanding_pos_TB_MSB[[#This Row],[Bonds_ShortName]],CT:CU,2,0))</f>
        <v>6</v>
      </c>
      <c r="X78" s="72">
        <f>IF(RPT-Outstanding_pos_TB_MSB[[#This Row],[VALUE_DATE]]&lt;=0,0,RPT-Outstanding_pos_TB_MSB[[#This Row],[VALUE_DATE]])</f>
        <v>6</v>
      </c>
      <c r="Y78" s="72" t="str">
        <f>_xlfn.XLOOKUP(Outstanding_pos_TB_MSB[[#This Row],[Time hold/Deal]],Ref!S:S,Ref!U:U,,-1)</f>
        <v>1W</v>
      </c>
      <c r="AB78">
        <v>45510</v>
      </c>
      <c r="AC78" s="35">
        <v>45713</v>
      </c>
      <c r="AD78" t="s">
        <v>2835</v>
      </c>
      <c r="AE78" t="s">
        <v>2180</v>
      </c>
      <c r="AF78" t="s">
        <v>823</v>
      </c>
      <c r="AG78" s="500">
        <v>300000000000</v>
      </c>
      <c r="AH78">
        <v>2.7</v>
      </c>
      <c r="AI78">
        <v>50899</v>
      </c>
      <c r="AJ78">
        <v>2.87</v>
      </c>
      <c r="AK78">
        <v>12.73</v>
      </c>
      <c r="AL78" s="645" t="s">
        <v>2740</v>
      </c>
      <c r="AM78">
        <v>4.5199999999999996</v>
      </c>
      <c r="AN78" s="500">
        <v>-46065000000</v>
      </c>
      <c r="AO78">
        <v>10.16</v>
      </c>
      <c r="AP78">
        <v>-84810402.099999994</v>
      </c>
      <c r="AQ78">
        <v>755000000</v>
      </c>
      <c r="AR78">
        <v>125.72</v>
      </c>
      <c r="AS78" s="72">
        <f>SUM(_xlfn.IFNA(VLOOKUP(Outstanding_pos_BB_MSB[[#This Row],[Bonds_ShortName]],FNRP!AV:BA,6,0)*Outstanding_pos_BB_MSB[[#This Row],[Amt]]/10^4,0),_xlfn.IFNA((VLOOKUP(Outstanding_pos_BB_MSB[[#This Row],[Bonds_ShortName]],FNRP!IK:IP,6,0)*Outstanding_pos_BB_MSB[[#This Row],[Amt]]/10^4),0))</f>
        <v>2480310000000</v>
      </c>
      <c r="AT78" s="72">
        <f>(_xlfn.XLOOKUP(Outstanding_pos_BB_MSB[[#This Row],[Bonds_ShortName]],FNRP!AV:AV,FNRP!BA:BA,,0)
-_xlfn.XLOOKUP(Outstanding_pos_BB_MSB[[#This Row],[BondsDeals_Id]],BS!AL:AL,BS!AR:AR,_xlfn.XLOOKUP(Outstanding_pos_BB_MSB[[#This Row],[BondsDeals_Id]],BS!BA:BA,BS!BQ:BQ,,0),0)-10^5)
*Outstanding_pos_BB_MSB[[#This Row],[Amt]]/10^5</f>
        <v>-46685138064.018509</v>
      </c>
      <c r="AU78" s="72">
        <f>VLOOKUP(Outstanding_pos_BB_MSB[[#This Row],[Bonds_ShortName]],FNRP!AV:CD,35,0)</f>
        <v>6500000</v>
      </c>
      <c r="AV78" s="157">
        <f>SUMIFS(AG$1:AG$103,AD$1:AD$103,Outstanding_pos_BB_MSB[[#This Row],[Bonds_ShortName]])/10^5-Outstanding_pos_BB_MSB[[#This Row],[Quantity FNRP]]</f>
        <v>0</v>
      </c>
      <c r="AW78" s="72">
        <f>IF(RPT-Outstanding_pos_BB_MSB[[#This Row],[Value Date]]&lt;=0,0,RPT-Outstanding_pos_BB_MSB[[#This Row],[Value Date]])</f>
        <v>539</v>
      </c>
      <c r="AX78" s="32" t="str">
        <f>INDEX(Ref!$I$1:$K$13,MATCH(Outstanding_pos_BB_MSB[[#This Row],[Tenor left]],Ref!$I$1:$I$13,1),3)</f>
        <v>15Y</v>
      </c>
      <c r="AY78" s="72" t="str">
        <f>_xlfn.XLOOKUP(Outstanding_pos_BB_MSB[[#This Row],[Time hold/Deal]],Ref!S:S,Ref!U:U,,-1)</f>
        <v>1Y</v>
      </c>
      <c r="BC78"/>
      <c r="BD78"/>
      <c r="BG78"/>
      <c r="BH78"/>
      <c r="BJ78"/>
      <c r="BN78"/>
      <c r="BO78"/>
      <c r="BQ78"/>
      <c r="BR78"/>
      <c r="BX78">
        <v>45205</v>
      </c>
      <c r="BY78" s="502">
        <v>45671</v>
      </c>
      <c r="BZ78" t="s">
        <v>712</v>
      </c>
      <c r="CA78" t="s">
        <v>2180</v>
      </c>
      <c r="CB78" t="s">
        <v>823</v>
      </c>
      <c r="CC78" s="500">
        <v>50000000000</v>
      </c>
      <c r="CD78">
        <v>3.6</v>
      </c>
      <c r="CE78" s="502">
        <v>51144</v>
      </c>
      <c r="CF78">
        <v>2.66</v>
      </c>
      <c r="CG78">
        <v>13.4</v>
      </c>
      <c r="CH78" t="s">
        <v>2740</v>
      </c>
      <c r="CI78">
        <v>4.54</v>
      </c>
      <c r="CJ78" s="500">
        <v>-10379000000</v>
      </c>
      <c r="CK78">
        <v>10.01</v>
      </c>
      <c r="CL78" s="500">
        <v>-93005742.140000001</v>
      </c>
      <c r="CM78" s="500">
        <v>2190000000</v>
      </c>
      <c r="CN78">
        <v>127.16</v>
      </c>
      <c r="CO7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-9768221998.9036961</v>
      </c>
      <c r="CP78" s="72">
        <f>RPT-VLOOKUP(Outstanding_pos_BB_SBV[[#This Row],[Bonds_ShortName]],CT:CU,2,0)</f>
        <v>22</v>
      </c>
      <c r="CQ78" s="157">
        <f>SUMIFS(CC:CC,BZ:BZ,Outstanding_pos_BB_SBV[[#This Row],[Bonds_ShortName]])/10^5-VLOOKUP(Outstanding_pos_BB_SBV[[#This Row],[Bonds_ShortName]],FNRP!EE:FL,34,0)</f>
        <v>0</v>
      </c>
      <c r="CT78" t="s">
        <v>617</v>
      </c>
      <c r="CU78" s="502">
        <v>45615</v>
      </c>
      <c r="DY78" s="776"/>
      <c r="DZ78" s="776"/>
      <c r="EA78" s="776"/>
      <c r="EB78" s="777"/>
      <c r="EC78" s="776"/>
      <c r="ED78" s="10"/>
      <c r="EE78" s="72"/>
      <c r="EF78" s="32"/>
      <c r="EG78" s="71"/>
      <c r="EH78" s="124"/>
      <c r="EI78" s="787"/>
      <c r="EJ78" s="72"/>
      <c r="EK78" s="71"/>
    </row>
    <row r="79" spans="2:141" x14ac:dyDescent="0.3">
      <c r="B79">
        <v>50402</v>
      </c>
      <c r="C79" s="35">
        <v>46255</v>
      </c>
      <c r="D79" t="s">
        <v>636</v>
      </c>
      <c r="E79" t="s">
        <v>824</v>
      </c>
      <c r="F79" t="s">
        <v>823</v>
      </c>
      <c r="G79">
        <v>100000000000</v>
      </c>
      <c r="H79">
        <v>2.2000000000000002</v>
      </c>
      <c r="I79" t="s">
        <v>3485</v>
      </c>
      <c r="J79">
        <v>4.04</v>
      </c>
      <c r="K79">
        <v>4.41</v>
      </c>
      <c r="L79" t="s">
        <v>2500</v>
      </c>
      <c r="M79">
        <v>4.08</v>
      </c>
      <c r="N79">
        <v>-162000000</v>
      </c>
      <c r="O79">
        <v>4.0199999999999996</v>
      </c>
      <c r="P79">
        <v>-37748238.390000001</v>
      </c>
      <c r="Q79">
        <v>1302000000</v>
      </c>
      <c r="R79">
        <v>20.62</v>
      </c>
      <c r="S7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-152922215.30803365</v>
      </c>
      <c r="T79" s="72">
        <f>VLOOKUP(Outstanding_pos_TB_MSB[[#This Row],[Bonds_ShortName]],FNRP!D:J,7,0)</f>
        <v>3000000</v>
      </c>
      <c r="U79" s="72">
        <f>SUMIFS(Outstanding_pos_TB_MSB[Amt],Outstanding_pos_TB_MSB[Bonds_ShortName],Outstanding_pos_TB_MSB[[#This Row],[Bonds_ShortName]])/100000-Outstanding_pos_TB_MSB[[#This Row],[Quantity FNRP]]</f>
        <v>0</v>
      </c>
      <c r="V79" s="162" t="str">
        <f>INDEX(Ref!$I$1:$K$13,MATCH(Outstanding_pos_TB_MSB[[#This Row],[Tenor left]],Ref!$I$1:$I$13,1),3)</f>
        <v>4Y</v>
      </c>
      <c r="W79" s="72">
        <f>IF(RPT-VLOOKUP(Outstanding_pos_TB_MSB[[#This Row],[Bonds_ShortName]],CT:CU,2,0)&lt;=0,0,RPT-VLOOKUP(Outstanding_pos_TB_MSB[[#This Row],[Bonds_ShortName]],CT:CU,2,0))</f>
        <v>0</v>
      </c>
      <c r="X79" s="72">
        <f>IF(RPT-Outstanding_pos_TB_MSB[[#This Row],[VALUE_DATE]]&lt;=0,0,RPT-Outstanding_pos_TB_MSB[[#This Row],[VALUE_DATE]])</f>
        <v>0</v>
      </c>
      <c r="Y79" s="72" t="str">
        <f>_xlfn.XLOOKUP(Outstanding_pos_TB_MSB[[#This Row],[Time hold/Deal]],Ref!S:S,Ref!U:U,,-1)</f>
        <v>1W</v>
      </c>
      <c r="AB79">
        <v>45511</v>
      </c>
      <c r="AC79" s="35">
        <v>45713</v>
      </c>
      <c r="AD79" t="s">
        <v>2503</v>
      </c>
      <c r="AE79" t="s">
        <v>2180</v>
      </c>
      <c r="AF79" t="s">
        <v>823</v>
      </c>
      <c r="AG79" s="500">
        <v>50000000000</v>
      </c>
      <c r="AH79">
        <v>3.4</v>
      </c>
      <c r="AI79">
        <v>50515</v>
      </c>
      <c r="AJ79">
        <v>2.65</v>
      </c>
      <c r="AK79">
        <v>11.68</v>
      </c>
      <c r="AL79" s="645" t="s">
        <v>2740</v>
      </c>
      <c r="AM79">
        <v>4.49</v>
      </c>
      <c r="AN79" s="500">
        <v>-8996500000</v>
      </c>
      <c r="AO79">
        <v>9.18</v>
      </c>
      <c r="AP79">
        <v>-83889598.819999993</v>
      </c>
      <c r="AQ79">
        <v>1127000000</v>
      </c>
      <c r="AR79">
        <v>104.3</v>
      </c>
      <c r="AS79" s="72">
        <f>SUM(_xlfn.IFNA(VLOOKUP(Outstanding_pos_BB_MSB[[#This Row],[Bonds_ShortName]],FNRP!AV:BA,6,0)*Outstanding_pos_BB_MSB[[#This Row],[Amt]]/10^4,0),_xlfn.IFNA((VLOOKUP(Outstanding_pos_BB_MSB[[#This Row],[Bonds_ShortName]],FNRP!IK:IP,6,0)*Outstanding_pos_BB_MSB[[#This Row],[Amt]]/10^4),0))</f>
        <v>451175000000</v>
      </c>
      <c r="AT79" s="72">
        <f>(_xlfn.XLOOKUP(Outstanding_pos_BB_MSB[[#This Row],[Bonds_ShortName]],FNRP!AV:AV,FNRP!BA:BA,,0)
-_xlfn.XLOOKUP(Outstanding_pos_BB_MSB[[#This Row],[BondsDeals_Id]],BS!AL:AL,BS!AR:AR,_xlfn.XLOOKUP(Outstanding_pos_BB_MSB[[#This Row],[BondsDeals_Id]],BS!BA:BA,BS!BQ:BQ,,0),0)-10^5)
*Outstanding_pos_BB_MSB[[#This Row],[Amt]]/10^5</f>
        <v>-8534761389.3754311</v>
      </c>
      <c r="AU79" s="72">
        <f>VLOOKUP(Outstanding_pos_BB_MSB[[#This Row],[Bonds_ShortName]],FNRP!AV:CD,35,0)</f>
        <v>7500000</v>
      </c>
      <c r="AV79" s="157">
        <f>SUMIFS(AG$1:AG$103,AD$1:AD$103,Outstanding_pos_BB_MSB[[#This Row],[Bonds_ShortName]])/10^5-Outstanding_pos_BB_MSB[[#This Row],[Quantity FNRP]]</f>
        <v>0</v>
      </c>
      <c r="AW79" s="72">
        <f>IF(RPT-Outstanding_pos_BB_MSB[[#This Row],[Value Date]]&lt;=0,0,RPT-Outstanding_pos_BB_MSB[[#This Row],[Value Date]])</f>
        <v>539</v>
      </c>
      <c r="AX79" s="32" t="str">
        <f>INDEX(Ref!$I$1:$K$13,MATCH(Outstanding_pos_BB_MSB[[#This Row],[Tenor left]],Ref!$I$1:$I$13,1),3)</f>
        <v>15Y</v>
      </c>
      <c r="AY79" s="72" t="str">
        <f>_xlfn.XLOOKUP(Outstanding_pos_BB_MSB[[#This Row],[Time hold/Deal]],Ref!S:S,Ref!U:U,,-1)</f>
        <v>1Y</v>
      </c>
      <c r="BC79"/>
      <c r="BD79"/>
      <c r="BG79"/>
      <c r="BH79"/>
      <c r="BJ79"/>
      <c r="BN79"/>
      <c r="BO79"/>
      <c r="BQ79"/>
      <c r="BR79"/>
      <c r="BX79">
        <v>45226</v>
      </c>
      <c r="BY79" s="502">
        <v>45678</v>
      </c>
      <c r="BZ79" t="s">
        <v>713</v>
      </c>
      <c r="CA79" t="s">
        <v>2180</v>
      </c>
      <c r="CB79" t="s">
        <v>823</v>
      </c>
      <c r="CC79" s="500">
        <v>100000000000</v>
      </c>
      <c r="CD79">
        <v>3.3</v>
      </c>
      <c r="CE79" s="502">
        <v>51368</v>
      </c>
      <c r="CF79">
        <v>2.73</v>
      </c>
      <c r="CG79">
        <v>14.01</v>
      </c>
      <c r="CH79" t="s">
        <v>2740</v>
      </c>
      <c r="CI79">
        <v>4.55</v>
      </c>
      <c r="CJ79" s="500">
        <v>-19902000000</v>
      </c>
      <c r="CK79">
        <v>10.73</v>
      </c>
      <c r="CL79" s="500">
        <v>-93621000.530000001</v>
      </c>
      <c r="CM79" s="500">
        <v>-9000000</v>
      </c>
      <c r="CN79">
        <v>142.36000000000001</v>
      </c>
      <c r="CO7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-19181771240.099186</v>
      </c>
      <c r="CP79" s="72">
        <f>RPT-VLOOKUP(Outstanding_pos_BB_SBV[[#This Row],[Bonds_ShortName]],CT:CU,2,0)</f>
        <v>575</v>
      </c>
      <c r="CQ79" s="157">
        <f>SUMIFS(CC:CC,BZ:BZ,Outstanding_pos_BB_SBV[[#This Row],[Bonds_ShortName]])/10^5-VLOOKUP(Outstanding_pos_BB_SBV[[#This Row],[Bonds_ShortName]],FNRP!EE:FL,34,0)</f>
        <v>0</v>
      </c>
      <c r="CT79" t="s">
        <v>699</v>
      </c>
      <c r="CU79" s="502">
        <v>46037</v>
      </c>
      <c r="DY79" s="776"/>
      <c r="DZ79" s="776"/>
      <c r="EA79" s="776"/>
      <c r="EB79" s="777"/>
      <c r="EC79" s="776"/>
      <c r="ED79" s="10"/>
      <c r="EE79" s="72"/>
      <c r="EF79" s="32"/>
      <c r="EG79" s="71"/>
      <c r="EH79" s="124"/>
      <c r="EI79" s="787"/>
      <c r="EJ79" s="72"/>
      <c r="EK79" s="71"/>
    </row>
    <row r="80" spans="2:141" x14ac:dyDescent="0.3">
      <c r="B80">
        <v>50418</v>
      </c>
      <c r="C80">
        <v>46259</v>
      </c>
      <c r="D80" t="s">
        <v>2499</v>
      </c>
      <c r="E80" t="s">
        <v>824</v>
      </c>
      <c r="F80" t="s">
        <v>823</v>
      </c>
      <c r="G80">
        <v>100000000000</v>
      </c>
      <c r="H80">
        <v>4.8</v>
      </c>
      <c r="I80" t="s">
        <v>3443</v>
      </c>
      <c r="J80">
        <v>2.84</v>
      </c>
      <c r="K80">
        <v>6.31</v>
      </c>
      <c r="L80" t="s">
        <v>3644</v>
      </c>
      <c r="M80">
        <v>4.28</v>
      </c>
      <c r="N80">
        <v>-8341000000</v>
      </c>
      <c r="O80">
        <v>5.21</v>
      </c>
      <c r="P80">
        <v>-55253263.409999996</v>
      </c>
      <c r="Q80">
        <v>3327000000</v>
      </c>
      <c r="R80">
        <v>34.97</v>
      </c>
      <c r="S8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-8369860198.8299198</v>
      </c>
      <c r="T80" s="72">
        <f>VLOOKUP(Outstanding_pos_TB_MSB[[#This Row],[Bonds_ShortName]],FNRP!D:J,7,0)</f>
        <v>3000000</v>
      </c>
      <c r="U80" s="72">
        <f>SUMIFS(Outstanding_pos_TB_MSB[Amt],Outstanding_pos_TB_MSB[Bonds_ShortName],Outstanding_pos_TB_MSB[[#This Row],[Bonds_ShortName]])/100000-Outstanding_pos_TB_MSB[[#This Row],[Quantity FNRP]]</f>
        <v>0</v>
      </c>
      <c r="V80" s="162" t="str">
        <f>INDEX(Ref!$I$1:$K$13,MATCH(Outstanding_pos_TB_MSB[[#This Row],[Tenor left]],Ref!$I$1:$I$13,1),3)</f>
        <v>7Y</v>
      </c>
      <c r="W80" s="72">
        <f>IF(RPT-VLOOKUP(Outstanding_pos_TB_MSB[[#This Row],[Bonds_ShortName]],CT:CU,2,0)&lt;=0,0,RPT-VLOOKUP(Outstanding_pos_TB_MSB[[#This Row],[Bonds_ShortName]],CT:CU,2,0))</f>
        <v>0</v>
      </c>
      <c r="X80" s="72">
        <f>IF(RPT-Outstanding_pos_TB_MSB[[#This Row],[VALUE_DATE]]&lt;=0,0,RPT-Outstanding_pos_TB_MSB[[#This Row],[VALUE_DATE]])</f>
        <v>0</v>
      </c>
      <c r="Y80" s="72" t="str">
        <f>_xlfn.XLOOKUP(Outstanding_pos_TB_MSB[[#This Row],[Time hold/Deal]],Ref!S:S,Ref!U:U,,-1)</f>
        <v>1W</v>
      </c>
      <c r="AB80">
        <v>45529</v>
      </c>
      <c r="AC80" s="35">
        <v>45714</v>
      </c>
      <c r="AD80" t="s">
        <v>2741</v>
      </c>
      <c r="AE80" t="s">
        <v>2180</v>
      </c>
      <c r="AF80" t="s">
        <v>823</v>
      </c>
      <c r="AG80" s="500">
        <v>150000000000</v>
      </c>
      <c r="AH80">
        <v>2.8</v>
      </c>
      <c r="AI80">
        <v>50578</v>
      </c>
      <c r="AJ80">
        <v>2.73</v>
      </c>
      <c r="AK80">
        <v>11.85</v>
      </c>
      <c r="AL80" s="645" t="s">
        <v>2740</v>
      </c>
      <c r="AM80">
        <v>4.5</v>
      </c>
      <c r="AN80" s="500">
        <v>-24127500000</v>
      </c>
      <c r="AO80">
        <v>9.59</v>
      </c>
      <c r="AP80">
        <v>-81640935.620000005</v>
      </c>
      <c r="AQ80">
        <v>445000000</v>
      </c>
      <c r="AR80">
        <v>111.41</v>
      </c>
      <c r="AS80" s="72">
        <f>SUM(_xlfn.IFNA(VLOOKUP(Outstanding_pos_BB_MSB[[#This Row],[Bonds_ShortName]],FNRP!AV:BA,6,0)*Outstanding_pos_BB_MSB[[#This Row],[Amt]]/10^4,0),_xlfn.IFNA((VLOOKUP(Outstanding_pos_BB_MSB[[#This Row],[Bonds_ShortName]],FNRP!IK:IP,6,0)*Outstanding_pos_BB_MSB[[#This Row],[Amt]]/10^4),0))</f>
        <v>1270170000000</v>
      </c>
      <c r="AT80" s="72">
        <f>(_xlfn.XLOOKUP(Outstanding_pos_BB_MSB[[#This Row],[Bonds_ShortName]],FNRP!AV:AV,FNRP!BA:BA,,0)
-_xlfn.XLOOKUP(Outstanding_pos_BB_MSB[[#This Row],[BondsDeals_Id]],BS!AL:AL,BS!AR:AR,_xlfn.XLOOKUP(Outstanding_pos_BB_MSB[[#This Row],[BondsDeals_Id]],BS!BA:BA,BS!BQ:BQ,,0),0)-10^5)
*Outstanding_pos_BB_MSB[[#This Row],[Amt]]/10^5</f>
        <v>-24003158059.492142</v>
      </c>
      <c r="AU80" s="72">
        <f>VLOOKUP(Outstanding_pos_BB_MSB[[#This Row],[Bonds_ShortName]],FNRP!AV:CD,35,0)</f>
        <v>8500000</v>
      </c>
      <c r="AV80" s="157">
        <f>SUMIFS(AG$1:AG$103,AD$1:AD$103,Outstanding_pos_BB_MSB[[#This Row],[Bonds_ShortName]])/10^5-Outstanding_pos_BB_MSB[[#This Row],[Quantity FNRP]]</f>
        <v>0</v>
      </c>
      <c r="AW80" s="72">
        <f>IF(RPT-Outstanding_pos_BB_MSB[[#This Row],[Value Date]]&lt;=0,0,RPT-Outstanding_pos_BB_MSB[[#This Row],[Value Date]])</f>
        <v>538</v>
      </c>
      <c r="AX80" s="32" t="str">
        <f>INDEX(Ref!$I$1:$K$13,MATCH(Outstanding_pos_BB_MSB[[#This Row],[Tenor left]],Ref!$I$1:$I$13,1),3)</f>
        <v>15Y</v>
      </c>
      <c r="AY80" s="72" t="str">
        <f>_xlfn.XLOOKUP(Outstanding_pos_BB_MSB[[#This Row],[Time hold/Deal]],Ref!S:S,Ref!U:U,,-1)</f>
        <v>1Y</v>
      </c>
      <c r="BC80"/>
      <c r="BD80"/>
      <c r="BG80"/>
      <c r="BH80"/>
      <c r="BJ80"/>
      <c r="BN80"/>
      <c r="BO80"/>
      <c r="BQ80"/>
      <c r="BR80"/>
      <c r="BX80">
        <v>45229</v>
      </c>
      <c r="BY80" s="502">
        <v>45678</v>
      </c>
      <c r="BZ80" t="s">
        <v>2503</v>
      </c>
      <c r="CA80" t="s">
        <v>2180</v>
      </c>
      <c r="CB80" t="s">
        <v>823</v>
      </c>
      <c r="CC80" s="500">
        <v>400000000000</v>
      </c>
      <c r="CD80">
        <v>3.4</v>
      </c>
      <c r="CE80" s="502">
        <v>50515</v>
      </c>
      <c r="CF80">
        <v>2.67</v>
      </c>
      <c r="CG80">
        <v>11.68</v>
      </c>
      <c r="CH80" t="s">
        <v>2740</v>
      </c>
      <c r="CI80">
        <v>4.49</v>
      </c>
      <c r="CJ80" s="500">
        <v>-71236000000</v>
      </c>
      <c r="CK80">
        <v>9.18</v>
      </c>
      <c r="CL80" s="500">
        <v>-83889598.819999993</v>
      </c>
      <c r="CM80" s="500">
        <v>1127000000</v>
      </c>
      <c r="CN80">
        <v>104.3</v>
      </c>
      <c r="CO8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-67418261030.130089</v>
      </c>
      <c r="CP80" s="72">
        <f>RPT-VLOOKUP(Outstanding_pos_BB_SBV[[#This Row],[Bonds_ShortName]],CT:CU,2,0)</f>
        <v>6</v>
      </c>
      <c r="CQ80" s="157">
        <f>SUMIFS(CC:CC,BZ:BZ,Outstanding_pos_BB_SBV[[#This Row],[Bonds_ShortName]])/10^5-VLOOKUP(Outstanding_pos_BB_SBV[[#This Row],[Bonds_ShortName]],FNRP!EE:FL,34,0)</f>
        <v>0</v>
      </c>
      <c r="CT80" t="s">
        <v>693</v>
      </c>
      <c r="CU80" s="502">
        <v>46114</v>
      </c>
      <c r="DY80" s="776"/>
      <c r="DZ80" s="776"/>
      <c r="EA80" s="776"/>
      <c r="EB80" s="777"/>
      <c r="EC80" s="776"/>
      <c r="ED80" s="10"/>
      <c r="EE80" s="72"/>
      <c r="EF80" s="32"/>
      <c r="EG80" s="71"/>
      <c r="EH80" s="124"/>
      <c r="EI80" s="787"/>
      <c r="EJ80" s="72"/>
      <c r="EK80" s="71"/>
    </row>
    <row r="81" spans="2:141" x14ac:dyDescent="0.3">
      <c r="B81">
        <v>50420</v>
      </c>
      <c r="C81">
        <v>46259</v>
      </c>
      <c r="D81" t="s">
        <v>2398</v>
      </c>
      <c r="E81" t="s">
        <v>824</v>
      </c>
      <c r="F81" t="s">
        <v>823</v>
      </c>
      <c r="G81">
        <v>50000000000</v>
      </c>
      <c r="H81">
        <v>4.0999999999999996</v>
      </c>
      <c r="I81" t="s">
        <v>3489</v>
      </c>
      <c r="J81">
        <v>2.61</v>
      </c>
      <c r="K81">
        <v>6.52</v>
      </c>
      <c r="L81" t="s">
        <v>2746</v>
      </c>
      <c r="M81">
        <v>4.29</v>
      </c>
      <c r="N81">
        <v>-4941000000</v>
      </c>
      <c r="O81">
        <v>5.5</v>
      </c>
      <c r="P81">
        <v>-55502107.719999999</v>
      </c>
      <c r="Q81">
        <v>1977000000</v>
      </c>
      <c r="R81">
        <v>38.159999999999997</v>
      </c>
      <c r="S8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-4952298836.7127838</v>
      </c>
      <c r="T81" s="72">
        <f>VLOOKUP(Outstanding_pos_TB_MSB[[#This Row],[Bonds_ShortName]],FNRP!D:J,7,0)</f>
        <v>500000</v>
      </c>
      <c r="U81" s="72">
        <f>SUMIFS(Outstanding_pos_TB_MSB[Amt],Outstanding_pos_TB_MSB[Bonds_ShortName],Outstanding_pos_TB_MSB[[#This Row],[Bonds_ShortName]])/100000-Outstanding_pos_TB_MSB[[#This Row],[Quantity FNRP]]</f>
        <v>0</v>
      </c>
      <c r="V81" s="162" t="str">
        <f>INDEX(Ref!$I$1:$K$13,MATCH(Outstanding_pos_TB_MSB[[#This Row],[Tenor left]],Ref!$I$1:$I$13,1),3)</f>
        <v>7Y</v>
      </c>
      <c r="W81" s="72">
        <f>IF(RPT-VLOOKUP(Outstanding_pos_TB_MSB[[#This Row],[Bonds_ShortName]],CT:CU,2,0)&lt;=0,0,RPT-VLOOKUP(Outstanding_pos_TB_MSB[[#This Row],[Bonds_ShortName]],CT:CU,2,0))</f>
        <v>0</v>
      </c>
      <c r="X81" s="72">
        <f>IF(RPT-Outstanding_pos_TB_MSB[[#This Row],[VALUE_DATE]]&lt;=0,0,RPT-Outstanding_pos_TB_MSB[[#This Row],[VALUE_DATE]])</f>
        <v>0</v>
      </c>
      <c r="Y81" s="72" t="str">
        <f>_xlfn.XLOOKUP(Outstanding_pos_TB_MSB[[#This Row],[Time hold/Deal]],Ref!S:S,Ref!U:U,,-1)</f>
        <v>1W</v>
      </c>
      <c r="AB81">
        <v>45553</v>
      </c>
      <c r="AC81" s="35">
        <v>45714</v>
      </c>
      <c r="AD81" t="s">
        <v>2843</v>
      </c>
      <c r="AE81" t="s">
        <v>2180</v>
      </c>
      <c r="AF81" t="s">
        <v>907</v>
      </c>
      <c r="AG81" s="500">
        <v>200000000000</v>
      </c>
      <c r="AH81">
        <v>3.6</v>
      </c>
      <c r="AI81">
        <v>50726</v>
      </c>
      <c r="AJ81">
        <v>3.17</v>
      </c>
      <c r="AK81">
        <v>12.25</v>
      </c>
      <c r="AL81" s="645" t="s">
        <v>2740</v>
      </c>
      <c r="AM81">
        <v>5.01</v>
      </c>
      <c r="AN81" s="500">
        <v>-34756000000</v>
      </c>
      <c r="AO81">
        <v>9.19</v>
      </c>
      <c r="AP81">
        <v>-82711853.319999993</v>
      </c>
      <c r="AQ81">
        <v>2712000000</v>
      </c>
      <c r="AR81">
        <v>107.58</v>
      </c>
      <c r="AS81" s="72">
        <f>SUM(_xlfn.IFNA(VLOOKUP(Outstanding_pos_BB_MSB[[#This Row],[Bonds_ShortName]],FNRP!AV:BA,6,0)*Outstanding_pos_BB_MSB[[#This Row],[Amt]]/10^4,0),_xlfn.IFNA((VLOOKUP(Outstanding_pos_BB_MSB[[#This Row],[Bonds_ShortName]],FNRP!IK:IP,6,0)*Outstanding_pos_BB_MSB[[#This Row],[Amt]]/10^4),0))</f>
        <v>1746680000000</v>
      </c>
      <c r="AT81" s="72">
        <f>(_xlfn.XLOOKUP(Outstanding_pos_BB_MSB[[#This Row],[Bonds_ShortName]],FNRP!AV:AV,FNRP!BA:BA,,0)
-_xlfn.XLOOKUP(Outstanding_pos_BB_MSB[[#This Row],[BondsDeals_Id]],BS!AL:AL,BS!AR:AR,_xlfn.XLOOKUP(Outstanding_pos_BB_MSB[[#This Row],[BondsDeals_Id]],BS!BA:BA,BS!BQ:BQ,,0),0)-10^5)
*Outstanding_pos_BB_MSB[[#This Row],[Amt]]/10^5</f>
        <v>-33763473386.948231</v>
      </c>
      <c r="AU81" s="72">
        <f>VLOOKUP(Outstanding_pos_BB_MSB[[#This Row],[Bonds_ShortName]],FNRP!AV:CD,35,0)</f>
        <v>2000000</v>
      </c>
      <c r="AV81" s="157">
        <f>SUMIFS(AG$1:AG$103,AD$1:AD$103,Outstanding_pos_BB_MSB[[#This Row],[Bonds_ShortName]])/10^5-Outstanding_pos_BB_MSB[[#This Row],[Quantity FNRP]]</f>
        <v>0</v>
      </c>
      <c r="AW81" s="72">
        <f>IF(RPT-Outstanding_pos_BB_MSB[[#This Row],[Value Date]]&lt;=0,0,RPT-Outstanding_pos_BB_MSB[[#This Row],[Value Date]])</f>
        <v>538</v>
      </c>
      <c r="AX81" s="32" t="str">
        <f>INDEX(Ref!$I$1:$K$13,MATCH(Outstanding_pos_BB_MSB[[#This Row],[Tenor left]],Ref!$I$1:$I$13,1),3)</f>
        <v>15Y</v>
      </c>
      <c r="AY81" s="72" t="str">
        <f>_xlfn.XLOOKUP(Outstanding_pos_BB_MSB[[#This Row],[Time hold/Deal]],Ref!S:S,Ref!U:U,,-1)</f>
        <v>1Y</v>
      </c>
      <c r="BC81"/>
      <c r="BD81"/>
      <c r="BG81"/>
      <c r="BH81"/>
      <c r="BJ81"/>
      <c r="BN81"/>
      <c r="BO81"/>
      <c r="BQ81"/>
      <c r="BR81"/>
      <c r="BX81">
        <v>45230</v>
      </c>
      <c r="BY81" s="502">
        <v>45678</v>
      </c>
      <c r="BZ81" t="s">
        <v>2386</v>
      </c>
      <c r="CA81" t="s">
        <v>2180</v>
      </c>
      <c r="CB81" t="s">
        <v>823</v>
      </c>
      <c r="CC81" s="500">
        <v>50000000000</v>
      </c>
      <c r="CD81">
        <v>4.4000000000000004</v>
      </c>
      <c r="CE81" s="502">
        <v>50438</v>
      </c>
      <c r="CF81">
        <v>2.4900000000000002</v>
      </c>
      <c r="CG81">
        <v>11.47</v>
      </c>
      <c r="CH81" t="s">
        <v>2740</v>
      </c>
      <c r="CI81">
        <v>4.49</v>
      </c>
      <c r="CJ81" s="500">
        <v>-10907500000</v>
      </c>
      <c r="CK81">
        <v>8.6300000000000008</v>
      </c>
      <c r="CL81" s="500">
        <v>-87723046.180000007</v>
      </c>
      <c r="CM81" s="500">
        <v>2387000000</v>
      </c>
      <c r="CN81">
        <v>95.16</v>
      </c>
      <c r="CO8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-9637179380.7686996</v>
      </c>
      <c r="CP81" s="72">
        <f>RPT-VLOOKUP(Outstanding_pos_BB_SBV[[#This Row],[Bonds_ShortName]],CT:CU,2,0)</f>
        <v>575</v>
      </c>
      <c r="CQ81" s="157">
        <f>SUMIFS(CC:CC,BZ:BZ,Outstanding_pos_BB_SBV[[#This Row],[Bonds_ShortName]])/10^5-VLOOKUP(Outstanding_pos_BB_SBV[[#This Row],[Bonds_ShortName]],FNRP!EE:FL,34,0)</f>
        <v>0</v>
      </c>
      <c r="CT81" t="s">
        <v>655</v>
      </c>
      <c r="CU81" s="502">
        <v>46245</v>
      </c>
      <c r="DY81" s="776"/>
      <c r="DZ81" s="776"/>
      <c r="EA81" s="776"/>
      <c r="EB81" s="777"/>
      <c r="EC81" s="776"/>
      <c r="ED81" s="10"/>
      <c r="EE81" s="72"/>
      <c r="EF81" s="32"/>
      <c r="EG81" s="71"/>
      <c r="EH81" s="124"/>
      <c r="EI81" s="787"/>
      <c r="EJ81" s="72"/>
      <c r="EK81" s="71"/>
    </row>
    <row r="82" spans="2:141" x14ac:dyDescent="0.3">
      <c r="B82">
        <v>50422</v>
      </c>
      <c r="C82">
        <v>46259</v>
      </c>
      <c r="D82" t="s">
        <v>3517</v>
      </c>
      <c r="E82" t="s">
        <v>824</v>
      </c>
      <c r="F82" t="s">
        <v>823</v>
      </c>
      <c r="G82">
        <v>200000000000</v>
      </c>
      <c r="H82">
        <v>2.7</v>
      </c>
      <c r="I82" t="s">
        <v>3586</v>
      </c>
      <c r="J82">
        <v>3.18</v>
      </c>
      <c r="K82">
        <v>3.93</v>
      </c>
      <c r="L82" t="s">
        <v>2500</v>
      </c>
      <c r="M82">
        <v>3.95</v>
      </c>
      <c r="N82">
        <v>-5500000000</v>
      </c>
      <c r="O82">
        <v>3.63</v>
      </c>
      <c r="P82">
        <v>-34730230.82</v>
      </c>
      <c r="Q82">
        <v>185000000</v>
      </c>
      <c r="R82">
        <v>16.98</v>
      </c>
      <c r="S8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-5486041718.9911528</v>
      </c>
      <c r="T82" s="72">
        <f>VLOOKUP(Outstanding_pos_TB_MSB[[#This Row],[Bonds_ShortName]],FNRP!D:J,7,0)</f>
        <v>4000000</v>
      </c>
      <c r="U82" s="72">
        <f>SUMIFS(Outstanding_pos_TB_MSB[Amt],Outstanding_pos_TB_MSB[Bonds_ShortName],Outstanding_pos_TB_MSB[[#This Row],[Bonds_ShortName]])/100000-Outstanding_pos_TB_MSB[[#This Row],[Quantity FNRP]]</f>
        <v>0</v>
      </c>
      <c r="V82" s="162" t="str">
        <f>INDEX(Ref!$I$1:$K$13,MATCH(Outstanding_pos_TB_MSB[[#This Row],[Tenor left]],Ref!$I$1:$I$13,1),3)</f>
        <v>4Y</v>
      </c>
      <c r="W82" s="72">
        <f>IF(RPT-VLOOKUP(Outstanding_pos_TB_MSB[[#This Row],[Bonds_ShortName]],CT:CU,2,0)&lt;=0,0,RPT-VLOOKUP(Outstanding_pos_TB_MSB[[#This Row],[Bonds_ShortName]],CT:CU,2,0))</f>
        <v>0</v>
      </c>
      <c r="X82" s="72">
        <f>IF(RPT-Outstanding_pos_TB_MSB[[#This Row],[VALUE_DATE]]&lt;=0,0,RPT-Outstanding_pos_TB_MSB[[#This Row],[VALUE_DATE]])</f>
        <v>0</v>
      </c>
      <c r="Y82" s="72" t="str">
        <f>_xlfn.XLOOKUP(Outstanding_pos_TB_MSB[[#This Row],[Time hold/Deal]],Ref!S:S,Ref!U:U,,-1)</f>
        <v>1W</v>
      </c>
      <c r="AB82">
        <v>45554</v>
      </c>
      <c r="AC82" s="35">
        <v>45714</v>
      </c>
      <c r="AD82" t="s">
        <v>2788</v>
      </c>
      <c r="AE82" t="s">
        <v>2180</v>
      </c>
      <c r="AF82" t="s">
        <v>907</v>
      </c>
      <c r="AG82" s="500">
        <v>200000000000</v>
      </c>
      <c r="AH82">
        <v>3.1</v>
      </c>
      <c r="AI82">
        <v>50744</v>
      </c>
      <c r="AJ82">
        <v>3.15</v>
      </c>
      <c r="AK82">
        <v>12.3</v>
      </c>
      <c r="AL82" s="645" t="s">
        <v>2740</v>
      </c>
      <c r="AM82">
        <v>5.01</v>
      </c>
      <c r="AN82" s="500">
        <v>-33322000000</v>
      </c>
      <c r="AO82">
        <v>9.4499999999999993</v>
      </c>
      <c r="AP82">
        <v>-80323686.430000007</v>
      </c>
      <c r="AQ82">
        <v>2183000000</v>
      </c>
      <c r="AR82">
        <v>112.05</v>
      </c>
      <c r="AS82" s="72">
        <f>SUM(_xlfn.IFNA(VLOOKUP(Outstanding_pos_BB_MSB[[#This Row],[Bonds_ShortName]],FNRP!AV:BA,6,0)*Outstanding_pos_BB_MSB[[#This Row],[Amt]]/10^4,0),_xlfn.IFNA((VLOOKUP(Outstanding_pos_BB_MSB[[#This Row],[Bonds_ShortName]],FNRP!IK:IP,6,0)*Outstanding_pos_BB_MSB[[#This Row],[Amt]]/10^4),0))</f>
        <v>1655520000000</v>
      </c>
      <c r="AT82" s="72">
        <f>(_xlfn.XLOOKUP(Outstanding_pos_BB_MSB[[#This Row],[Bonds_ShortName]],FNRP!AV:AV,FNRP!BA:BA,,0)
-_xlfn.XLOOKUP(Outstanding_pos_BB_MSB[[#This Row],[BondsDeals_Id]],BS!AL:AL,BS!AR:AR,_xlfn.XLOOKUP(Outstanding_pos_BB_MSB[[#This Row],[BondsDeals_Id]],BS!BA:BA,BS!BQ:BQ,,0),0)-10^5)
*Outstanding_pos_BB_MSB[[#This Row],[Amt]]/10^5</f>
        <v>-33448138211.824928</v>
      </c>
      <c r="AU82" s="72">
        <f>VLOOKUP(Outstanding_pos_BB_MSB[[#This Row],[Bonds_ShortName]],FNRP!AV:CD,35,0)</f>
        <v>9650000</v>
      </c>
      <c r="AV82" s="157">
        <f>SUMIFS(AG$1:AG$103,AD$1:AD$103,Outstanding_pos_BB_MSB[[#This Row],[Bonds_ShortName]])/10^5-Outstanding_pos_BB_MSB[[#This Row],[Quantity FNRP]]</f>
        <v>0</v>
      </c>
      <c r="AW82" s="72">
        <f>IF(RPT-Outstanding_pos_BB_MSB[[#This Row],[Value Date]]&lt;=0,0,RPT-Outstanding_pos_BB_MSB[[#This Row],[Value Date]])</f>
        <v>538</v>
      </c>
      <c r="AX82" s="32" t="str">
        <f>INDEX(Ref!$I$1:$K$13,MATCH(Outstanding_pos_BB_MSB[[#This Row],[Tenor left]],Ref!$I$1:$I$13,1),3)</f>
        <v>15Y</v>
      </c>
      <c r="AY82" s="72" t="str">
        <f>_xlfn.XLOOKUP(Outstanding_pos_BB_MSB[[#This Row],[Time hold/Deal]],Ref!S:S,Ref!U:U,,-1)</f>
        <v>1Y</v>
      </c>
      <c r="BC82"/>
      <c r="BD82"/>
      <c r="BG82"/>
      <c r="BH82"/>
      <c r="BJ82"/>
      <c r="BN82"/>
      <c r="BO82"/>
      <c r="BQ82"/>
      <c r="BR82"/>
      <c r="BX82">
        <v>45426</v>
      </c>
      <c r="BY82" s="502">
        <v>45706</v>
      </c>
      <c r="BZ82" t="s">
        <v>2499</v>
      </c>
      <c r="CA82" t="s">
        <v>2180</v>
      </c>
      <c r="CB82" t="s">
        <v>823</v>
      </c>
      <c r="CC82" s="500">
        <v>100000000000</v>
      </c>
      <c r="CD82">
        <v>4.8</v>
      </c>
      <c r="CE82" s="502">
        <v>48556</v>
      </c>
      <c r="CF82">
        <v>2.35</v>
      </c>
      <c r="CG82">
        <v>6.31</v>
      </c>
      <c r="CH82" t="s">
        <v>3644</v>
      </c>
      <c r="CI82">
        <v>4.28</v>
      </c>
      <c r="CJ82" s="500">
        <v>-14497000000</v>
      </c>
      <c r="CK82">
        <v>5.2</v>
      </c>
      <c r="CL82" s="500">
        <v>-55232276.009999998</v>
      </c>
      <c r="CM82" s="500">
        <v>3340000000</v>
      </c>
      <c r="CN82">
        <v>34.94</v>
      </c>
      <c r="CO8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-11181917904.349903</v>
      </c>
      <c r="CP82" s="72">
        <f>RPT-VLOOKUP(Outstanding_pos_BB_SBV[[#This Row],[Bonds_ShortName]],CT:CU,2,0)</f>
        <v>-6</v>
      </c>
      <c r="CQ82" s="157">
        <f>SUMIFS(CC:CC,BZ:BZ,Outstanding_pos_BB_SBV[[#This Row],[Bonds_ShortName]])/10^5-VLOOKUP(Outstanding_pos_BB_SBV[[#This Row],[Bonds_ShortName]],FNRP!EE:FL,34,0)</f>
        <v>0</v>
      </c>
      <c r="CT82" t="s">
        <v>731</v>
      </c>
      <c r="CU82" s="502">
        <v>46189</v>
      </c>
      <c r="DY82" s="776"/>
      <c r="DZ82" s="776"/>
      <c r="EA82" s="776"/>
      <c r="EB82" s="777"/>
      <c r="EC82" s="776"/>
      <c r="ED82" s="10"/>
      <c r="EE82" s="72"/>
      <c r="EF82" s="32"/>
      <c r="EG82" s="71"/>
      <c r="EH82" s="124"/>
      <c r="EI82" s="787"/>
      <c r="EJ82" s="72"/>
      <c r="EK82" s="71"/>
    </row>
    <row r="83" spans="2:141" x14ac:dyDescent="0.3">
      <c r="B83">
        <v>50426</v>
      </c>
      <c r="C83">
        <v>46262</v>
      </c>
      <c r="D83" t="s">
        <v>636</v>
      </c>
      <c r="E83" t="s">
        <v>824</v>
      </c>
      <c r="F83" t="s">
        <v>823</v>
      </c>
      <c r="G83">
        <v>100000000000</v>
      </c>
      <c r="H83">
        <v>2.2000000000000002</v>
      </c>
      <c r="I83" t="s">
        <v>3485</v>
      </c>
      <c r="J83">
        <v>3.03</v>
      </c>
      <c r="K83">
        <v>4.41</v>
      </c>
      <c r="L83" t="s">
        <v>2500</v>
      </c>
      <c r="M83">
        <v>4.08</v>
      </c>
      <c r="N83">
        <v>-4091000000</v>
      </c>
      <c r="O83">
        <v>4.0199999999999996</v>
      </c>
      <c r="P83">
        <v>-37748238.390000001</v>
      </c>
      <c r="Q83">
        <v>1302000000</v>
      </c>
      <c r="R83">
        <v>20.62</v>
      </c>
      <c r="S83"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-4071879015.4109592</v>
      </c>
      <c r="T83" s="72">
        <f>VLOOKUP(Outstanding_pos_TB_MSB[[#This Row],[Bonds_ShortName]],FNRP!D:J,7,0)</f>
        <v>3000000</v>
      </c>
      <c r="U83" s="72">
        <f>SUMIFS(Outstanding_pos_TB_MSB[Amt],Outstanding_pos_TB_MSB[Bonds_ShortName],Outstanding_pos_TB_MSB[[#This Row],[Bonds_ShortName]])/100000-Outstanding_pos_TB_MSB[[#This Row],[Quantity FNRP]]</f>
        <v>0</v>
      </c>
      <c r="V83" s="162" t="str">
        <f>INDEX(Ref!$I$1:$K$13,MATCH(Outstanding_pos_TB_MSB[[#This Row],[Tenor left]],Ref!$I$1:$I$13,1),3)</f>
        <v>4Y</v>
      </c>
      <c r="W83" s="72">
        <f>IF(RPT-VLOOKUP(Outstanding_pos_TB_MSB[[#This Row],[Bonds_ShortName]],CT:CU,2,0)&lt;=0,0,RPT-VLOOKUP(Outstanding_pos_TB_MSB[[#This Row],[Bonds_ShortName]],CT:CU,2,0))</f>
        <v>0</v>
      </c>
      <c r="X83" s="72">
        <f>IF(RPT-Outstanding_pos_TB_MSB[[#This Row],[VALUE_DATE]]&lt;=0,0,RPT-Outstanding_pos_TB_MSB[[#This Row],[VALUE_DATE]])</f>
        <v>0</v>
      </c>
      <c r="Y83" s="72" t="str">
        <f>_xlfn.XLOOKUP(Outstanding_pos_TB_MSB[[#This Row],[Time hold/Deal]],Ref!S:S,Ref!U:U,,-1)</f>
        <v>1W</v>
      </c>
      <c r="AB83">
        <v>45562</v>
      </c>
      <c r="AC83" s="35">
        <v>45716</v>
      </c>
      <c r="AD83" t="s">
        <v>2497</v>
      </c>
      <c r="AE83" t="s">
        <v>2180</v>
      </c>
      <c r="AF83" t="s">
        <v>823</v>
      </c>
      <c r="AG83" s="500">
        <v>150000000000</v>
      </c>
      <c r="AH83">
        <v>4.2</v>
      </c>
      <c r="AI83">
        <v>55966</v>
      </c>
      <c r="AJ83">
        <v>3.03</v>
      </c>
      <c r="AK83">
        <v>26.61</v>
      </c>
      <c r="AL83" s="645" t="s">
        <v>2813</v>
      </c>
      <c r="AM83">
        <v>4.71</v>
      </c>
      <c r="AN83" s="500">
        <v>-44356500000</v>
      </c>
      <c r="AO83">
        <v>15.08</v>
      </c>
      <c r="AP83">
        <v>-141778278.08000001</v>
      </c>
      <c r="AQ83">
        <v>1715000000</v>
      </c>
      <c r="AR83">
        <v>325.38</v>
      </c>
      <c r="AS83" s="72">
        <f>SUM(_xlfn.IFNA(VLOOKUP(Outstanding_pos_BB_MSB[[#This Row],[Bonds_ShortName]],FNRP!AV:BA,6,0)*Outstanding_pos_BB_MSB[[#This Row],[Amt]]/10^4,0),_xlfn.IFNA((VLOOKUP(Outstanding_pos_BB_MSB[[#This Row],[Bonds_ShortName]],FNRP!IK:IP,6,0)*Outstanding_pos_BB_MSB[[#This Row],[Amt]]/10^4),0))</f>
        <v>1384950000000</v>
      </c>
      <c r="AT83" s="72">
        <f>(_xlfn.XLOOKUP(Outstanding_pos_BB_MSB[[#This Row],[Bonds_ShortName]],FNRP!AV:AV,FNRP!BA:BA,,0)
-_xlfn.XLOOKUP(Outstanding_pos_BB_MSB[[#This Row],[BondsDeals_Id]],BS!AL:AL,BS!AR:AR,_xlfn.XLOOKUP(Outstanding_pos_BB_MSB[[#This Row],[BondsDeals_Id]],BS!BA:BA,BS!BQ:BQ,,0),0)-10^5)
*Outstanding_pos_BB_MSB[[#This Row],[Amt]]/10^5</f>
        <v>-42636336531.239502</v>
      </c>
      <c r="AU83" s="72">
        <f>VLOOKUP(Outstanding_pos_BB_MSB[[#This Row],[Bonds_ShortName]],FNRP!AV:CD,35,0)</f>
        <v>6000000</v>
      </c>
      <c r="AV83" s="157">
        <f>SUMIFS(AG$1:AG$103,AD$1:AD$103,Outstanding_pos_BB_MSB[[#This Row],[Bonds_ShortName]])/10^5-Outstanding_pos_BB_MSB[[#This Row],[Quantity FNRP]]</f>
        <v>0</v>
      </c>
      <c r="AW83" s="72">
        <f>IF(RPT-Outstanding_pos_BB_MSB[[#This Row],[Value Date]]&lt;=0,0,RPT-Outstanding_pos_BB_MSB[[#This Row],[Value Date]])</f>
        <v>536</v>
      </c>
      <c r="AX83" s="32" t="str">
        <f>INDEX(Ref!$I$1:$K$13,MATCH(Outstanding_pos_BB_MSB[[#This Row],[Tenor left]],Ref!$I$1:$I$13,1),3)</f>
        <v>30Y</v>
      </c>
      <c r="AY83" s="72" t="str">
        <f>_xlfn.XLOOKUP(Outstanding_pos_BB_MSB[[#This Row],[Time hold/Deal]],Ref!S:S,Ref!U:U,,-1)</f>
        <v>1Y</v>
      </c>
      <c r="BC83"/>
      <c r="BD83"/>
      <c r="BG83"/>
      <c r="BH83"/>
      <c r="BJ83"/>
      <c r="BN83"/>
      <c r="BO83"/>
      <c r="BQ83"/>
      <c r="BR83"/>
      <c r="BX83">
        <v>45428</v>
      </c>
      <c r="BY83" s="502">
        <v>45706</v>
      </c>
      <c r="BZ83" t="s">
        <v>2741</v>
      </c>
      <c r="CA83" t="s">
        <v>2180</v>
      </c>
      <c r="CB83" t="s">
        <v>823</v>
      </c>
      <c r="CC83" s="500">
        <v>100000000000</v>
      </c>
      <c r="CD83">
        <v>2.8</v>
      </c>
      <c r="CE83" s="502">
        <v>50578</v>
      </c>
      <c r="CF83">
        <v>2.69</v>
      </c>
      <c r="CG83">
        <v>11.85</v>
      </c>
      <c r="CH83" t="s">
        <v>2740</v>
      </c>
      <c r="CI83">
        <v>4.5</v>
      </c>
      <c r="CJ83" s="500">
        <v>-16531000000</v>
      </c>
      <c r="CK83">
        <v>9.59</v>
      </c>
      <c r="CL83" s="500">
        <v>-81640935.620000005</v>
      </c>
      <c r="CM83" s="500">
        <v>445000000</v>
      </c>
      <c r="CN83">
        <v>111.41</v>
      </c>
      <c r="CO8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-16397242650.201313</v>
      </c>
      <c r="CP83" s="72">
        <f>RPT-VLOOKUP(Outstanding_pos_BB_SBV[[#This Row],[Bonds_ShortName]],CT:CU,2,0)</f>
        <v>249</v>
      </c>
      <c r="CQ83" s="157">
        <f>SUMIFS(CC:CC,BZ:BZ,Outstanding_pos_BB_SBV[[#This Row],[Bonds_ShortName]])/10^5-VLOOKUP(Outstanding_pos_BB_SBV[[#This Row],[Bonds_ShortName]],FNRP!EE:FL,34,0)</f>
        <v>0</v>
      </c>
      <c r="CT83" t="s">
        <v>660</v>
      </c>
      <c r="CU83" s="502">
        <v>46240</v>
      </c>
      <c r="DY83" s="776"/>
      <c r="DZ83" s="776"/>
      <c r="EA83" s="776"/>
      <c r="EB83" s="777"/>
      <c r="EC83" s="776"/>
      <c r="ED83" s="10"/>
      <c r="EE83" s="72"/>
      <c r="EF83" s="32"/>
      <c r="EG83" s="71"/>
      <c r="EH83" s="124"/>
      <c r="EI83" s="787"/>
      <c r="EJ83" s="72"/>
      <c r="EK83" s="71"/>
    </row>
    <row r="84" spans="2:141" x14ac:dyDescent="0.3">
      <c r="B84">
        <v>50428</v>
      </c>
      <c r="C84">
        <v>46262</v>
      </c>
      <c r="D84" t="s">
        <v>2831</v>
      </c>
      <c r="E84" t="s">
        <v>824</v>
      </c>
      <c r="F84" t="s">
        <v>823</v>
      </c>
      <c r="G84">
        <v>300000000000</v>
      </c>
      <c r="H84">
        <v>2.7</v>
      </c>
      <c r="I84" t="s">
        <v>3492</v>
      </c>
      <c r="J84">
        <v>3.03</v>
      </c>
      <c r="K84">
        <v>7.84</v>
      </c>
      <c r="L84" t="s">
        <v>2747</v>
      </c>
      <c r="M84">
        <v>4.3499999999999996</v>
      </c>
      <c r="N84">
        <v>-25455000000</v>
      </c>
      <c r="O84">
        <v>6.79</v>
      </c>
      <c r="P84">
        <v>-60926119.990000002</v>
      </c>
      <c r="Q84">
        <v>436000000</v>
      </c>
      <c r="R84">
        <v>55.68</v>
      </c>
      <c r="S84"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-25432252193.077221</v>
      </c>
      <c r="T84" s="72">
        <f>VLOOKUP(Outstanding_pos_TB_MSB[[#This Row],[Bonds_ShortName]],FNRP!D:J,7,0)</f>
        <v>6500000</v>
      </c>
      <c r="U84" s="72">
        <f>SUMIFS(Outstanding_pos_TB_MSB[Amt],Outstanding_pos_TB_MSB[Bonds_ShortName],Outstanding_pos_TB_MSB[[#This Row],[Bonds_ShortName]])/100000-Outstanding_pos_TB_MSB[[#This Row],[Quantity FNRP]]</f>
        <v>0</v>
      </c>
      <c r="V84" s="162" t="str">
        <f>INDEX(Ref!$I$1:$K$13,MATCH(Outstanding_pos_TB_MSB[[#This Row],[Tenor left]],Ref!$I$1:$I$13,1),3)</f>
        <v>10Y</v>
      </c>
      <c r="W84" s="72">
        <f>IF(RPT-VLOOKUP(Outstanding_pos_TB_MSB[[#This Row],[Bonds_ShortName]],CT:CU,2,0)&lt;=0,0,RPT-VLOOKUP(Outstanding_pos_TB_MSB[[#This Row],[Bonds_ShortName]],CT:CU,2,0))</f>
        <v>0</v>
      </c>
      <c r="X84" s="72">
        <f>IF(RPT-Outstanding_pos_TB_MSB[[#This Row],[VALUE_DATE]]&lt;=0,0,RPT-Outstanding_pos_TB_MSB[[#This Row],[VALUE_DATE]])</f>
        <v>0</v>
      </c>
      <c r="Y84" s="72" t="str">
        <f>_xlfn.XLOOKUP(Outstanding_pos_TB_MSB[[#This Row],[Time hold/Deal]],Ref!S:S,Ref!U:U,,-1)</f>
        <v>1W</v>
      </c>
      <c r="AB84">
        <v>45636</v>
      </c>
      <c r="AC84" s="35">
        <v>45722</v>
      </c>
      <c r="AD84" t="s">
        <v>2381</v>
      </c>
      <c r="AE84" t="s">
        <v>2180</v>
      </c>
      <c r="AF84" t="s">
        <v>823</v>
      </c>
      <c r="AG84" s="500">
        <v>200000000000</v>
      </c>
      <c r="AH84">
        <v>4.5</v>
      </c>
      <c r="AI84">
        <v>48584</v>
      </c>
      <c r="AJ84">
        <v>2.35</v>
      </c>
      <c r="AK84">
        <v>6.39</v>
      </c>
      <c r="AL84" s="645" t="s">
        <v>3644</v>
      </c>
      <c r="AM84">
        <v>4.29</v>
      </c>
      <c r="AN84" s="500">
        <v>-28144000000</v>
      </c>
      <c r="AO84">
        <v>5.32</v>
      </c>
      <c r="AP84">
        <v>-55259019.450000003</v>
      </c>
      <c r="AQ84">
        <v>2786000000</v>
      </c>
      <c r="AR84">
        <v>36.130000000000003</v>
      </c>
      <c r="AS84" s="72">
        <f>SUM(_xlfn.IFNA(VLOOKUP(Outstanding_pos_BB_MSB[[#This Row],[Bonds_ShortName]],FNRP!AV:BA,6,0)*Outstanding_pos_BB_MSB[[#This Row],[Amt]]/10^4,0),_xlfn.IFNA((VLOOKUP(Outstanding_pos_BB_MSB[[#This Row],[Bonds_ShortName]],FNRP!IK:IP,6,0)*Outstanding_pos_BB_MSB[[#This Row],[Amt]]/10^4),0))</f>
        <v>2022900000000</v>
      </c>
      <c r="AT84" s="72">
        <f>(_xlfn.XLOOKUP(Outstanding_pos_BB_MSB[[#This Row],[Bonds_ShortName]],FNRP!AV:AV,FNRP!BA:BA,,0)
-_xlfn.XLOOKUP(Outstanding_pos_BB_MSB[[#This Row],[BondsDeals_Id]],BS!AL:AL,BS!AR:AR,_xlfn.XLOOKUP(Outstanding_pos_BB_MSB[[#This Row],[BondsDeals_Id]],BS!BA:BA,BS!BQ:BQ,,0),0)-10^5)
*Outstanding_pos_BB_MSB[[#This Row],[Amt]]/10^5</f>
        <v>-22497886533.988087</v>
      </c>
      <c r="AU84" s="72">
        <f>VLOOKUP(Outstanding_pos_BB_MSB[[#This Row],[Bonds_ShortName]],FNRP!AV:CD,35,0)</f>
        <v>3500000</v>
      </c>
      <c r="AV84" s="157">
        <f>SUMIFS(AG$1:AG$103,AD$1:AD$103,Outstanding_pos_BB_MSB[[#This Row],[Bonds_ShortName]])/10^5-Outstanding_pos_BB_MSB[[#This Row],[Quantity FNRP]]</f>
        <v>0</v>
      </c>
      <c r="AW84" s="72">
        <f>IF(RPT-Outstanding_pos_BB_MSB[[#This Row],[Value Date]]&lt;=0,0,RPT-Outstanding_pos_BB_MSB[[#This Row],[Value Date]])</f>
        <v>530</v>
      </c>
      <c r="AX84" s="32" t="str">
        <f>INDEX(Ref!$I$1:$K$13,MATCH(Outstanding_pos_BB_MSB[[#This Row],[Tenor left]],Ref!$I$1:$I$13,1),3)</f>
        <v>7Y</v>
      </c>
      <c r="AY84" s="72" t="str">
        <f>_xlfn.XLOOKUP(Outstanding_pos_BB_MSB[[#This Row],[Time hold/Deal]],Ref!S:S,Ref!U:U,,-1)</f>
        <v>1Y</v>
      </c>
      <c r="BC84"/>
      <c r="BD84"/>
      <c r="BG84"/>
      <c r="BH84"/>
      <c r="BJ84"/>
      <c r="BN84"/>
      <c r="BO84"/>
      <c r="BQ84"/>
      <c r="BR84"/>
      <c r="BX84">
        <v>45429</v>
      </c>
      <c r="BY84" s="502">
        <v>45709</v>
      </c>
      <c r="BZ84" t="s">
        <v>2786</v>
      </c>
      <c r="CA84" t="s">
        <v>2180</v>
      </c>
      <c r="CB84" t="s">
        <v>823</v>
      </c>
      <c r="CC84" s="500">
        <v>300000000000</v>
      </c>
      <c r="CD84">
        <v>2.6</v>
      </c>
      <c r="CE84" s="502">
        <v>50697</v>
      </c>
      <c r="CF84">
        <v>2.74</v>
      </c>
      <c r="CG84">
        <v>12.18</v>
      </c>
      <c r="CH84" t="s">
        <v>2740</v>
      </c>
      <c r="CI84">
        <v>4.5</v>
      </c>
      <c r="CJ84" s="500">
        <v>-47898000000</v>
      </c>
      <c r="CK84">
        <v>9.69</v>
      </c>
      <c r="CL84" s="500">
        <v>-81990398.019999996</v>
      </c>
      <c r="CM84" s="500">
        <v>2165000000</v>
      </c>
      <c r="CN84">
        <v>115.6</v>
      </c>
      <c r="CO8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-48424490195.647652</v>
      </c>
      <c r="CP84" s="72">
        <f>RPT-VLOOKUP(Outstanding_pos_BB_SBV[[#This Row],[Bonds_ShortName]],CT:CU,2,0)</f>
        <v>26</v>
      </c>
      <c r="CQ84" s="157">
        <f>SUMIFS(CC:CC,BZ:BZ,Outstanding_pos_BB_SBV[[#This Row],[Bonds_ShortName]])/10^5-VLOOKUP(Outstanding_pos_BB_SBV[[#This Row],[Bonds_ShortName]],FNRP!EE:FL,34,0)</f>
        <v>0</v>
      </c>
      <c r="CT84" t="s">
        <v>3645</v>
      </c>
      <c r="CU84" s="502">
        <v>46150</v>
      </c>
      <c r="DY84" s="776"/>
      <c r="DZ84" s="776"/>
      <c r="EA84" s="776"/>
      <c r="EB84" s="777"/>
      <c r="EC84" s="776"/>
      <c r="ED84" s="10"/>
      <c r="EE84" s="72"/>
      <c r="EF84" s="32"/>
      <c r="EG84" s="71"/>
      <c r="EH84" s="124"/>
      <c r="EI84" s="787"/>
      <c r="EJ84" s="72"/>
      <c r="EK84" s="71"/>
    </row>
    <row r="85" spans="2:141" x14ac:dyDescent="0.3">
      <c r="B85">
        <v>50432</v>
      </c>
      <c r="C85">
        <v>46259</v>
      </c>
      <c r="D85" t="s">
        <v>667</v>
      </c>
      <c r="E85" t="s">
        <v>824</v>
      </c>
      <c r="F85" t="s">
        <v>823</v>
      </c>
      <c r="G85">
        <v>50000000000</v>
      </c>
      <c r="H85">
        <v>5</v>
      </c>
      <c r="I85" t="s">
        <v>3451</v>
      </c>
      <c r="J85">
        <v>2.66</v>
      </c>
      <c r="K85">
        <v>7.52</v>
      </c>
      <c r="L85" t="s">
        <v>2747</v>
      </c>
      <c r="M85">
        <v>4.33</v>
      </c>
      <c r="N85">
        <v>-5756000000</v>
      </c>
      <c r="O85">
        <v>6.07</v>
      </c>
      <c r="P85">
        <v>-64671488.329999998</v>
      </c>
      <c r="Q85">
        <v>2438000000</v>
      </c>
      <c r="R85">
        <v>46.89</v>
      </c>
      <c r="S85"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-5773071911.5519972</v>
      </c>
      <c r="T85" s="72">
        <f>VLOOKUP(Outstanding_pos_TB_MSB[[#This Row],[Bonds_ShortName]],FNRP!D:J,7,0)</f>
        <v>1000000</v>
      </c>
      <c r="U85" s="72">
        <f>SUMIFS(Outstanding_pos_TB_MSB[Amt],Outstanding_pos_TB_MSB[Bonds_ShortName],Outstanding_pos_TB_MSB[[#This Row],[Bonds_ShortName]])/100000-Outstanding_pos_TB_MSB[[#This Row],[Quantity FNRP]]</f>
        <v>0</v>
      </c>
      <c r="V85" s="162" t="str">
        <f>INDEX(Ref!$I$1:$K$13,MATCH(Outstanding_pos_TB_MSB[[#This Row],[Tenor left]],Ref!$I$1:$I$13,1),3)</f>
        <v>10Y</v>
      </c>
      <c r="W85" s="72">
        <f>IF(RPT-VLOOKUP(Outstanding_pos_TB_MSB[[#This Row],[Bonds_ShortName]],CT:CU,2,0)&lt;=0,0,RPT-VLOOKUP(Outstanding_pos_TB_MSB[[#This Row],[Bonds_ShortName]],CT:CU,2,0))</f>
        <v>0</v>
      </c>
      <c r="X85" s="72">
        <f>IF(RPT-Outstanding_pos_TB_MSB[[#This Row],[VALUE_DATE]]&lt;=0,0,RPT-Outstanding_pos_TB_MSB[[#This Row],[VALUE_DATE]])</f>
        <v>0</v>
      </c>
      <c r="Y85" s="72" t="str">
        <f>_xlfn.XLOOKUP(Outstanding_pos_TB_MSB[[#This Row],[Time hold/Deal]],Ref!S:S,Ref!U:U,,-1)</f>
        <v>1W</v>
      </c>
      <c r="AB85">
        <v>46906</v>
      </c>
      <c r="AC85" s="35">
        <v>45866</v>
      </c>
      <c r="AD85" t="s">
        <v>1204</v>
      </c>
      <c r="AE85" t="s">
        <v>2180</v>
      </c>
      <c r="AF85" t="s">
        <v>823</v>
      </c>
      <c r="AG85" s="500">
        <v>50000000000</v>
      </c>
      <c r="AH85">
        <v>5.3</v>
      </c>
      <c r="AI85">
        <v>48898</v>
      </c>
      <c r="AJ85">
        <v>2.54</v>
      </c>
      <c r="AK85">
        <v>7.25</v>
      </c>
      <c r="AL85" s="645" t="s">
        <v>2746</v>
      </c>
      <c r="AM85">
        <v>4.32</v>
      </c>
      <c r="AN85" s="500">
        <v>-7224000000</v>
      </c>
      <c r="AO85">
        <v>5.76</v>
      </c>
      <c r="AP85">
        <v>-63369797.009999998</v>
      </c>
      <c r="AQ85">
        <v>4022000000</v>
      </c>
      <c r="AR85">
        <v>43.12</v>
      </c>
      <c r="AS85" s="72">
        <f>SUM(_xlfn.IFNA(VLOOKUP(Outstanding_pos_BB_MSB[[#This Row],[Bonds_ShortName]],FNRP!AV:BA,6,0)*Outstanding_pos_BB_MSB[[#This Row],[Amt]]/10^4,0),_xlfn.IFNA((VLOOKUP(Outstanding_pos_BB_MSB[[#This Row],[Bonds_ShortName]],FNRP!IK:IP,6,0)*Outstanding_pos_BB_MSB[[#This Row],[Amt]]/10^4),0))</f>
        <v>529815000000</v>
      </c>
      <c r="AT85" s="72">
        <f>(_xlfn.XLOOKUP(Outstanding_pos_BB_MSB[[#This Row],[Bonds_ShortName]],FNRP!AV:AV,FNRP!BA:BA,,0)
-_xlfn.XLOOKUP(Outstanding_pos_BB_MSB[[#This Row],[BondsDeals_Id]],BS!AL:AL,BS!AR:AR,_xlfn.XLOOKUP(Outstanding_pos_BB_MSB[[#This Row],[BondsDeals_Id]],BS!BA:BA,BS!BQ:BQ,,0),0)-10^5)
*Outstanding_pos_BB_MSB[[#This Row],[Amt]]/10^5</f>
        <v>-5921498585.8604126</v>
      </c>
      <c r="AU85" s="72">
        <f>VLOOKUP(Outstanding_pos_BB_MSB[[#This Row],[Bonds_ShortName]],FNRP!AV:CD,35,0)</f>
        <v>500000</v>
      </c>
      <c r="AV85" s="157">
        <f>SUMIFS(AG$1:AG$103,AD$1:AD$103,Outstanding_pos_BB_MSB[[#This Row],[Bonds_ShortName]])/10^5-Outstanding_pos_BB_MSB[[#This Row],[Quantity FNRP]]</f>
        <v>0</v>
      </c>
      <c r="AW85" s="72">
        <f>IF(RPT-Outstanding_pos_BB_MSB[[#This Row],[Value Date]]&lt;=0,0,RPT-Outstanding_pos_BB_MSB[[#This Row],[Value Date]])</f>
        <v>386</v>
      </c>
      <c r="AX85" s="32" t="str">
        <f>INDEX(Ref!$I$1:$K$13,MATCH(Outstanding_pos_BB_MSB[[#This Row],[Tenor left]],Ref!$I$1:$I$13,1),3)</f>
        <v>7Y</v>
      </c>
      <c r="AY85" s="72" t="str">
        <f>_xlfn.XLOOKUP(Outstanding_pos_BB_MSB[[#This Row],[Time hold/Deal]],Ref!S:S,Ref!U:U,,-1)</f>
        <v>1Y</v>
      </c>
      <c r="BC85"/>
      <c r="BD85"/>
      <c r="BG85"/>
      <c r="BH85"/>
      <c r="BJ85"/>
      <c r="BN85"/>
      <c r="BO85"/>
      <c r="BQ85"/>
      <c r="BR85"/>
      <c r="BX85">
        <v>45432</v>
      </c>
      <c r="BY85" s="502">
        <v>45708</v>
      </c>
      <c r="BZ85" t="s">
        <v>2741</v>
      </c>
      <c r="CA85" t="s">
        <v>2180</v>
      </c>
      <c r="CB85" t="s">
        <v>823</v>
      </c>
      <c r="CC85" s="500">
        <v>300000000000</v>
      </c>
      <c r="CD85">
        <v>2.8</v>
      </c>
      <c r="CE85" s="502">
        <v>50578</v>
      </c>
      <c r="CF85">
        <v>2.74</v>
      </c>
      <c r="CG85">
        <v>11.85</v>
      </c>
      <c r="CH85" t="s">
        <v>2740</v>
      </c>
      <c r="CI85">
        <v>4.5</v>
      </c>
      <c r="CJ85" s="500">
        <v>-47922000000</v>
      </c>
      <c r="CK85">
        <v>9.59</v>
      </c>
      <c r="CL85" s="500">
        <v>-81640935.620000005</v>
      </c>
      <c r="CM85" s="500">
        <v>445000000</v>
      </c>
      <c r="CN85">
        <v>111.41</v>
      </c>
      <c r="CO8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-47708141289.977783</v>
      </c>
      <c r="CP85" s="72">
        <f>RPT-VLOOKUP(Outstanding_pos_BB_SBV[[#This Row],[Bonds_ShortName]],CT:CU,2,0)</f>
        <v>249</v>
      </c>
      <c r="CQ85" s="157">
        <f>SUMIFS(CC:CC,BZ:BZ,Outstanding_pos_BB_SBV[[#This Row],[Bonds_ShortName]])/10^5-VLOOKUP(Outstanding_pos_BB_SBV[[#This Row],[Bonds_ShortName]],FNRP!EE:FL,34,0)</f>
        <v>0</v>
      </c>
      <c r="CT85" t="s">
        <v>685</v>
      </c>
      <c r="CU85" s="502">
        <v>45288</v>
      </c>
      <c r="CV85" s="35"/>
      <c r="DY85" s="776"/>
      <c r="DZ85" s="776"/>
      <c r="EA85" s="776"/>
      <c r="EB85" s="777"/>
      <c r="EC85" s="776"/>
      <c r="ED85" s="10"/>
      <c r="EE85" s="72"/>
      <c r="EF85" s="32"/>
      <c r="EG85" s="71"/>
      <c r="EH85" s="124"/>
      <c r="EI85" s="787"/>
      <c r="EJ85" s="72"/>
      <c r="EK85" s="71"/>
    </row>
    <row r="86" spans="2:141" x14ac:dyDescent="0.3">
      <c r="B86">
        <v>50434</v>
      </c>
      <c r="C86">
        <v>46259</v>
      </c>
      <c r="D86" t="s">
        <v>2862</v>
      </c>
      <c r="E86" t="s">
        <v>824</v>
      </c>
      <c r="F86" t="s">
        <v>823</v>
      </c>
      <c r="G86">
        <v>134000000000</v>
      </c>
      <c r="H86">
        <v>2.6</v>
      </c>
      <c r="I86" t="s">
        <v>3497</v>
      </c>
      <c r="J86">
        <v>3.05</v>
      </c>
      <c r="K86">
        <v>8.11</v>
      </c>
      <c r="L86" t="s">
        <v>2747</v>
      </c>
      <c r="M86">
        <v>4.3600000000000003</v>
      </c>
      <c r="N86">
        <v>-11550800000</v>
      </c>
      <c r="O86">
        <v>6.87</v>
      </c>
      <c r="P86">
        <v>-62198559.399999999</v>
      </c>
      <c r="Q86">
        <v>2322000000</v>
      </c>
      <c r="R86">
        <v>58.01</v>
      </c>
      <c r="S86"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-11542035931.961315</v>
      </c>
      <c r="T86" s="72">
        <f>VLOOKUP(Outstanding_pos_TB_MSB[[#This Row],[Bonds_ShortName]],FNRP!D:J,7,0)</f>
        <v>2000000</v>
      </c>
      <c r="U86" s="72">
        <f>SUMIFS(Outstanding_pos_TB_MSB[Amt],Outstanding_pos_TB_MSB[Bonds_ShortName],Outstanding_pos_TB_MSB[[#This Row],[Bonds_ShortName]])/100000-Outstanding_pos_TB_MSB[[#This Row],[Quantity FNRP]]</f>
        <v>0</v>
      </c>
      <c r="V86" s="162" t="str">
        <f>INDEX(Ref!$I$1:$K$13,MATCH(Outstanding_pos_TB_MSB[[#This Row],[Tenor left]],Ref!$I$1:$I$13,1),3)</f>
        <v>10Y</v>
      </c>
      <c r="W86" s="72">
        <f>IF(RPT-VLOOKUP(Outstanding_pos_TB_MSB[[#This Row],[Bonds_ShortName]],CT:CU,2,0)&lt;=0,0,RPT-VLOOKUP(Outstanding_pos_TB_MSB[[#This Row],[Bonds_ShortName]],CT:CU,2,0))</f>
        <v>0</v>
      </c>
      <c r="X86" s="72">
        <f>IF(RPT-Outstanding_pos_TB_MSB[[#This Row],[VALUE_DATE]]&lt;=0,0,RPT-Outstanding_pos_TB_MSB[[#This Row],[VALUE_DATE]])</f>
        <v>0</v>
      </c>
      <c r="Y86" s="72" t="str">
        <f>_xlfn.XLOOKUP(Outstanding_pos_TB_MSB[[#This Row],[Time hold/Deal]],Ref!S:S,Ref!U:U,,-1)</f>
        <v>1W</v>
      </c>
      <c r="AB86">
        <v>46914</v>
      </c>
      <c r="AC86" s="35">
        <v>45863</v>
      </c>
      <c r="AD86" t="s">
        <v>709</v>
      </c>
      <c r="AE86" t="s">
        <v>2180</v>
      </c>
      <c r="AF86" t="s">
        <v>823</v>
      </c>
      <c r="AG86" s="500">
        <v>50000000000</v>
      </c>
      <c r="AH86">
        <v>5.2</v>
      </c>
      <c r="AI86">
        <v>50437</v>
      </c>
      <c r="AJ86">
        <v>2.74</v>
      </c>
      <c r="AK86">
        <v>11.46</v>
      </c>
      <c r="AL86" s="645" t="s">
        <v>2740</v>
      </c>
      <c r="AM86">
        <v>4.49</v>
      </c>
      <c r="AN86" s="500">
        <v>-9751500000</v>
      </c>
      <c r="AO86">
        <v>8.4</v>
      </c>
      <c r="AP86">
        <v>-91597363.689999998</v>
      </c>
      <c r="AQ86">
        <v>2835000000</v>
      </c>
      <c r="AR86">
        <v>91.53</v>
      </c>
      <c r="AS86" s="72">
        <f>SUM(_xlfn.IFNA(VLOOKUP(Outstanding_pos_BB_MSB[[#This Row],[Bonds_ShortName]],FNRP!AV:BA,6,0)*Outstanding_pos_BB_MSB[[#This Row],[Amt]]/10^4,0),_xlfn.IFNA((VLOOKUP(Outstanding_pos_BB_MSB[[#This Row],[Bonds_ShortName]],FNRP!IK:IP,6,0)*Outstanding_pos_BB_MSB[[#This Row],[Amt]]/10^4),0))</f>
        <v>531310000000</v>
      </c>
      <c r="AT86" s="72">
        <f>(_xlfn.XLOOKUP(Outstanding_pos_BB_MSB[[#This Row],[Bonds_ShortName]],FNRP!AV:AV,FNRP!BA:BA,,0)
-_xlfn.XLOOKUP(Outstanding_pos_BB_MSB[[#This Row],[BondsDeals_Id]],BS!AL:AL,BS!AR:AR,_xlfn.XLOOKUP(Outstanding_pos_BB_MSB[[#This Row],[BondsDeals_Id]],BS!BA:BA,BS!BQ:BQ,,0),0)-10^5)
*Outstanding_pos_BB_MSB[[#This Row],[Amt]]/10^5</f>
        <v>-8653123437.415699</v>
      </c>
      <c r="AU86" s="72">
        <f>VLOOKUP(Outstanding_pos_BB_MSB[[#This Row],[Bonds_ShortName]],FNRP!AV:CD,35,0)</f>
        <v>1000000</v>
      </c>
      <c r="AV86" s="157">
        <f>SUMIFS(AG$1:AG$103,AD$1:AD$103,Outstanding_pos_BB_MSB[[#This Row],[Bonds_ShortName]])/10^5-Outstanding_pos_BB_MSB[[#This Row],[Quantity FNRP]]</f>
        <v>0</v>
      </c>
      <c r="AW86" s="72">
        <f>IF(RPT-Outstanding_pos_BB_MSB[[#This Row],[Value Date]]&lt;=0,0,RPT-Outstanding_pos_BB_MSB[[#This Row],[Value Date]])</f>
        <v>389</v>
      </c>
      <c r="AX86" s="32" t="str">
        <f>INDEX(Ref!$I$1:$K$13,MATCH(Outstanding_pos_BB_MSB[[#This Row],[Tenor left]],Ref!$I$1:$I$13,1),3)</f>
        <v>15Y</v>
      </c>
      <c r="AY86" s="72" t="str">
        <f>_xlfn.XLOOKUP(Outstanding_pos_BB_MSB[[#This Row],[Time hold/Deal]],Ref!S:S,Ref!U:U,,-1)</f>
        <v>1Y</v>
      </c>
      <c r="BC86"/>
      <c r="BD86"/>
      <c r="BG86"/>
      <c r="BH86"/>
      <c r="BJ86"/>
      <c r="BN86"/>
      <c r="BO86"/>
      <c r="BQ86"/>
      <c r="BR86"/>
      <c r="BX86">
        <v>45440</v>
      </c>
      <c r="BY86" s="502">
        <v>45708</v>
      </c>
      <c r="BZ86" t="s">
        <v>2741</v>
      </c>
      <c r="CA86" t="s">
        <v>2180</v>
      </c>
      <c r="CB86" t="s">
        <v>823</v>
      </c>
      <c r="CC86" s="500">
        <v>150000000000</v>
      </c>
      <c r="CD86">
        <v>2.8</v>
      </c>
      <c r="CE86" s="502">
        <v>50578</v>
      </c>
      <c r="CF86">
        <v>2.69</v>
      </c>
      <c r="CG86">
        <v>11.85</v>
      </c>
      <c r="CH86" t="s">
        <v>2740</v>
      </c>
      <c r="CI86">
        <v>4.5</v>
      </c>
      <c r="CJ86" s="500">
        <v>-24796500000</v>
      </c>
      <c r="CK86">
        <v>9.59</v>
      </c>
      <c r="CL86" s="500">
        <v>-81640935.620000005</v>
      </c>
      <c r="CM86" s="500">
        <v>445000000</v>
      </c>
      <c r="CN86">
        <v>111.41</v>
      </c>
      <c r="CO8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-24596070131.641853</v>
      </c>
      <c r="CP86" s="72">
        <f>RPT-VLOOKUP(Outstanding_pos_BB_SBV[[#This Row],[Bonds_ShortName]],CT:CU,2,0)</f>
        <v>249</v>
      </c>
      <c r="CQ86" s="157">
        <f>SUMIFS(CC:CC,BZ:BZ,Outstanding_pos_BB_SBV[[#This Row],[Bonds_ShortName]])/10^5-VLOOKUP(Outstanding_pos_BB_SBV[[#This Row],[Bonds_ShortName]],FNRP!EE:FL,34,0)</f>
        <v>0</v>
      </c>
      <c r="CT86" t="s">
        <v>688</v>
      </c>
      <c r="CU86" s="502">
        <v>46174</v>
      </c>
      <c r="CV86" s="35"/>
    </row>
    <row r="87" spans="2:141" x14ac:dyDescent="0.3">
      <c r="B87">
        <v>50436</v>
      </c>
      <c r="C87">
        <v>46262</v>
      </c>
      <c r="D87" t="s">
        <v>2836</v>
      </c>
      <c r="E87" t="s">
        <v>824</v>
      </c>
      <c r="F87" t="s">
        <v>823</v>
      </c>
      <c r="G87">
        <v>200000000000</v>
      </c>
      <c r="H87">
        <v>2.7</v>
      </c>
      <c r="I87" t="s">
        <v>3494</v>
      </c>
      <c r="J87">
        <v>3.04</v>
      </c>
      <c r="K87">
        <v>7.92</v>
      </c>
      <c r="L87" t="s">
        <v>2747</v>
      </c>
      <c r="M87">
        <v>4.3499999999999996</v>
      </c>
      <c r="N87">
        <v>-16970000000</v>
      </c>
      <c r="O87">
        <v>6.87</v>
      </c>
      <c r="P87">
        <v>-61366731.100000001</v>
      </c>
      <c r="Q87">
        <v>229000000</v>
      </c>
      <c r="R87">
        <v>56.75</v>
      </c>
      <c r="S87"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-16954553023.35092</v>
      </c>
      <c r="T87" s="72">
        <f>VLOOKUP(Outstanding_pos_TB_MSB[[#This Row],[Bonds_ShortName]],FNRP!D:J,7,0)</f>
        <v>8000000</v>
      </c>
      <c r="U87" s="72">
        <f>SUMIFS(Outstanding_pos_TB_MSB[Amt],Outstanding_pos_TB_MSB[Bonds_ShortName],Outstanding_pos_TB_MSB[[#This Row],[Bonds_ShortName]])/100000-Outstanding_pos_TB_MSB[[#This Row],[Quantity FNRP]]</f>
        <v>0</v>
      </c>
      <c r="V87" s="162" t="str">
        <f>INDEX(Ref!$I$1:$K$13,MATCH(Outstanding_pos_TB_MSB[[#This Row],[Tenor left]],Ref!$I$1:$I$13,1),3)</f>
        <v>10Y</v>
      </c>
      <c r="W87" s="72">
        <f>IF(RPT-VLOOKUP(Outstanding_pos_TB_MSB[[#This Row],[Bonds_ShortName]],CT:CU,2,0)&lt;=0,0,RPT-VLOOKUP(Outstanding_pos_TB_MSB[[#This Row],[Bonds_ShortName]],CT:CU,2,0))</f>
        <v>0</v>
      </c>
      <c r="X87" s="72">
        <f>IF(RPT-Outstanding_pos_TB_MSB[[#This Row],[VALUE_DATE]]&lt;=0,0,RPT-Outstanding_pos_TB_MSB[[#This Row],[VALUE_DATE]])</f>
        <v>0</v>
      </c>
      <c r="Y87" s="72" t="str">
        <f>_xlfn.XLOOKUP(Outstanding_pos_TB_MSB[[#This Row],[Time hold/Deal]],Ref!S:S,Ref!U:U,,-1)</f>
        <v>1W</v>
      </c>
      <c r="AB87">
        <v>46937</v>
      </c>
      <c r="AC87" s="35">
        <v>45863</v>
      </c>
      <c r="AD87" t="s">
        <v>2840</v>
      </c>
      <c r="AE87" t="s">
        <v>2180</v>
      </c>
      <c r="AF87" t="s">
        <v>823</v>
      </c>
      <c r="AG87" s="500">
        <v>300000000000</v>
      </c>
      <c r="AH87">
        <v>2.9</v>
      </c>
      <c r="AI87">
        <v>51004</v>
      </c>
      <c r="AJ87">
        <v>2.84</v>
      </c>
      <c r="AK87">
        <v>13.02</v>
      </c>
      <c r="AL87" s="645" t="s">
        <v>2740</v>
      </c>
      <c r="AM87">
        <v>4.53</v>
      </c>
      <c r="AN87" s="500">
        <v>-49236000000</v>
      </c>
      <c r="AO87">
        <v>10.34</v>
      </c>
      <c r="AP87">
        <v>-87107900.489999995</v>
      </c>
      <c r="AQ87">
        <v>-24000000</v>
      </c>
      <c r="AR87">
        <v>129.88</v>
      </c>
      <c r="AS87" s="72">
        <f>SUM(_xlfn.IFNA(VLOOKUP(Outstanding_pos_BB_MSB[[#This Row],[Bonds_ShortName]],FNRP!AV:BA,6,0)*Outstanding_pos_BB_MSB[[#This Row],[Amt]]/10^4,0),_xlfn.IFNA((VLOOKUP(Outstanding_pos_BB_MSB[[#This Row],[Bonds_ShortName]],FNRP!IK:IP,6,0)*Outstanding_pos_BB_MSB[[#This Row],[Amt]]/10^4),0))</f>
        <v>2528070000000</v>
      </c>
      <c r="AT87" s="72">
        <f>(_xlfn.XLOOKUP(Outstanding_pos_BB_MSB[[#This Row],[Bonds_ShortName]],FNRP!AV:AV,FNRP!BA:BA,,0)
-_xlfn.XLOOKUP(Outstanding_pos_BB_MSB[[#This Row],[BondsDeals_Id]],BS!AL:AL,BS!AR:AR,_xlfn.XLOOKUP(Outstanding_pos_BB_MSB[[#This Row],[BondsDeals_Id]],BS!BA:BA,BS!BQ:BQ,,0),0)-10^5)
*Outstanding_pos_BB_MSB[[#This Row],[Amt]]/10^5</f>
        <v>-49093397468.11158</v>
      </c>
      <c r="AU87" s="72">
        <f>VLOOKUP(Outstanding_pos_BB_MSB[[#This Row],[Bonds_ShortName]],FNRP!AV:CD,35,0)</f>
        <v>3000000</v>
      </c>
      <c r="AV87" s="157">
        <f>SUMIFS(AG$1:AG$103,AD$1:AD$103,Outstanding_pos_BB_MSB[[#This Row],[Bonds_ShortName]])/10^5-Outstanding_pos_BB_MSB[[#This Row],[Quantity FNRP]]</f>
        <v>0</v>
      </c>
      <c r="AW87" s="72">
        <f>IF(RPT-Outstanding_pos_BB_MSB[[#This Row],[Value Date]]&lt;=0,0,RPT-Outstanding_pos_BB_MSB[[#This Row],[Value Date]])</f>
        <v>389</v>
      </c>
      <c r="AX87" s="32" t="str">
        <f>INDEX(Ref!$I$1:$K$13,MATCH(Outstanding_pos_BB_MSB[[#This Row],[Tenor left]],Ref!$I$1:$I$13,1),3)</f>
        <v>15Y</v>
      </c>
      <c r="AY87" s="72" t="str">
        <f>_xlfn.XLOOKUP(Outstanding_pos_BB_MSB[[#This Row],[Time hold/Deal]],Ref!S:S,Ref!U:U,,-1)</f>
        <v>1Y</v>
      </c>
      <c r="BC87"/>
      <c r="BD87"/>
      <c r="BG87"/>
      <c r="BH87"/>
      <c r="BJ87"/>
      <c r="BN87"/>
      <c r="BO87"/>
      <c r="BQ87"/>
      <c r="BR87"/>
      <c r="BX87">
        <v>45448</v>
      </c>
      <c r="BY87" s="502">
        <v>45719</v>
      </c>
      <c r="BZ87" t="s">
        <v>2835</v>
      </c>
      <c r="CA87" t="s">
        <v>2180</v>
      </c>
      <c r="CB87" t="s">
        <v>823</v>
      </c>
      <c r="CC87" s="500">
        <v>350000000000</v>
      </c>
      <c r="CD87">
        <v>2.7</v>
      </c>
      <c r="CE87" s="502">
        <v>50899</v>
      </c>
      <c r="CF87">
        <v>2.89</v>
      </c>
      <c r="CG87">
        <v>12.73</v>
      </c>
      <c r="CH87" t="s">
        <v>2740</v>
      </c>
      <c r="CI87">
        <v>4.5199999999999996</v>
      </c>
      <c r="CJ87" s="500">
        <v>-52955000000</v>
      </c>
      <c r="CK87">
        <v>10.16</v>
      </c>
      <c r="CL87" s="500">
        <v>-84810402.099999994</v>
      </c>
      <c r="CM87" s="500">
        <v>755000000</v>
      </c>
      <c r="CN87">
        <v>125.72</v>
      </c>
      <c r="CO8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-53751332413.920769</v>
      </c>
      <c r="CP87" s="72">
        <f>RPT-VLOOKUP(Outstanding_pos_BB_SBV[[#This Row],[Bonds_ShortName]],CT:CU,2,0)</f>
        <v>0</v>
      </c>
      <c r="CQ87" s="157">
        <f>SUMIFS(CC:CC,BZ:BZ,Outstanding_pos_BB_SBV[[#This Row],[Bonds_ShortName]])/10^5-VLOOKUP(Outstanding_pos_BB_SBV[[#This Row],[Bonds_ShortName]],FNRP!EE:FL,34,0)</f>
        <v>0</v>
      </c>
      <c r="CT87" t="s">
        <v>596</v>
      </c>
      <c r="CU87" s="502">
        <v>45656</v>
      </c>
      <c r="CV87" s="35"/>
    </row>
    <row r="88" spans="2:141" x14ac:dyDescent="0.3">
      <c r="B88">
        <v>50438</v>
      </c>
      <c r="C88">
        <v>46262</v>
      </c>
      <c r="D88" t="s">
        <v>3317</v>
      </c>
      <c r="E88" t="s">
        <v>824</v>
      </c>
      <c r="F88" t="s">
        <v>823</v>
      </c>
      <c r="G88">
        <v>11000000000</v>
      </c>
      <c r="H88">
        <v>3.3</v>
      </c>
      <c r="I88" t="s">
        <v>3498</v>
      </c>
      <c r="J88">
        <v>3.48</v>
      </c>
      <c r="K88">
        <v>8.98</v>
      </c>
      <c r="L88" t="s">
        <v>2747</v>
      </c>
      <c r="M88">
        <v>4.4000000000000004</v>
      </c>
      <c r="N88">
        <v>-728090000</v>
      </c>
      <c r="O88">
        <v>7.52</v>
      </c>
      <c r="P88">
        <v>-69212896.269999996</v>
      </c>
      <c r="Q88">
        <v>99000000</v>
      </c>
      <c r="R88">
        <v>68.540000000000006</v>
      </c>
      <c r="S88"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-727682556.43449724</v>
      </c>
      <c r="T88" s="72">
        <f>VLOOKUP(Outstanding_pos_TB_MSB[[#This Row],[Bonds_ShortName]],FNRP!D:J,7,0)</f>
        <v>12000000</v>
      </c>
      <c r="U88" s="72">
        <f>SUMIFS(Outstanding_pos_TB_MSB[Amt],Outstanding_pos_TB_MSB[Bonds_ShortName],Outstanding_pos_TB_MSB[[#This Row],[Bonds_ShortName]])/100000-Outstanding_pos_TB_MSB[[#This Row],[Quantity FNRP]]</f>
        <v>0</v>
      </c>
      <c r="V88" s="162" t="str">
        <f>INDEX(Ref!$I$1:$K$13,MATCH(Outstanding_pos_TB_MSB[[#This Row],[Tenor left]],Ref!$I$1:$I$13,1),3)</f>
        <v>10Y</v>
      </c>
      <c r="W88" s="72">
        <f>IF(RPT-VLOOKUP(Outstanding_pos_TB_MSB[[#This Row],[Bonds_ShortName]],CT:CU,2,0)&lt;=0,0,RPT-VLOOKUP(Outstanding_pos_TB_MSB[[#This Row],[Bonds_ShortName]],CT:CU,2,0))</f>
        <v>0</v>
      </c>
      <c r="X88" s="72">
        <f>IF(RPT-Outstanding_pos_TB_MSB[[#This Row],[VALUE_DATE]]&lt;=0,0,RPT-Outstanding_pos_TB_MSB[[#This Row],[VALUE_DATE]])</f>
        <v>0</v>
      </c>
      <c r="Y88" s="72" t="str">
        <f>_xlfn.XLOOKUP(Outstanding_pos_TB_MSB[[#This Row],[Time hold/Deal]],Ref!S:S,Ref!U:U,,-1)</f>
        <v>1W</v>
      </c>
      <c r="AB88">
        <v>46965</v>
      </c>
      <c r="AC88" s="35">
        <v>45869</v>
      </c>
      <c r="AD88" t="s">
        <v>669</v>
      </c>
      <c r="AE88" t="s">
        <v>2180</v>
      </c>
      <c r="AF88" t="s">
        <v>823</v>
      </c>
      <c r="AG88" s="500">
        <v>250000000000</v>
      </c>
      <c r="AH88">
        <v>4.5999999999999996</v>
      </c>
      <c r="AI88">
        <v>49150</v>
      </c>
      <c r="AJ88">
        <v>2.63</v>
      </c>
      <c r="AK88">
        <v>7.94</v>
      </c>
      <c r="AL88" s="645" t="s">
        <v>2747</v>
      </c>
      <c r="AM88">
        <v>4.3499999999999996</v>
      </c>
      <c r="AN88" s="500">
        <v>-34882500000</v>
      </c>
      <c r="AO88">
        <v>6.53</v>
      </c>
      <c r="AP88">
        <v>-66560179.43</v>
      </c>
      <c r="AQ88">
        <v>315000000</v>
      </c>
      <c r="AR88">
        <v>53</v>
      </c>
      <c r="AS88" s="72">
        <f>SUM(_xlfn.IFNA(VLOOKUP(Outstanding_pos_BB_MSB[[#This Row],[Bonds_ShortName]],FNRP!AV:BA,6,0)*Outstanding_pos_BB_MSB[[#This Row],[Amt]]/10^4,0),_xlfn.IFNA((VLOOKUP(Outstanding_pos_BB_MSB[[#This Row],[Bonds_ShortName]],FNRP!IK:IP,6,0)*Outstanding_pos_BB_MSB[[#This Row],[Amt]]/10^4),0))</f>
        <v>2540675000000</v>
      </c>
      <c r="AT88" s="72">
        <f>(_xlfn.XLOOKUP(Outstanding_pos_BB_MSB[[#This Row],[Bonds_ShortName]],FNRP!AV:AV,FNRP!BA:BA,,0)
-_xlfn.XLOOKUP(Outstanding_pos_BB_MSB[[#This Row],[BondsDeals_Id]],BS!AL:AL,BS!AR:AR,_xlfn.XLOOKUP(Outstanding_pos_BB_MSB[[#This Row],[BondsDeals_Id]],BS!BA:BA,BS!BQ:BQ,,0),0)-10^5)
*Outstanding_pos_BB_MSB[[#This Row],[Amt]]/10^5</f>
        <v>-30324736496.557598</v>
      </c>
      <c r="AU88" s="72">
        <f>VLOOKUP(Outstanding_pos_BB_MSB[[#This Row],[Bonds_ShortName]],FNRP!AV:CD,35,0)</f>
        <v>3500000</v>
      </c>
      <c r="AV88" s="157">
        <f>SUMIFS(AG$1:AG$103,AD$1:AD$103,Outstanding_pos_BB_MSB[[#This Row],[Bonds_ShortName]])/10^5-Outstanding_pos_BB_MSB[[#This Row],[Quantity FNRP]]</f>
        <v>0</v>
      </c>
      <c r="AW88" s="72">
        <f>IF(RPT-Outstanding_pos_BB_MSB[[#This Row],[Value Date]]&lt;=0,0,RPT-Outstanding_pos_BB_MSB[[#This Row],[Value Date]])</f>
        <v>383</v>
      </c>
      <c r="AX88" s="32" t="str">
        <f>INDEX(Ref!$I$1:$K$13,MATCH(Outstanding_pos_BB_MSB[[#This Row],[Tenor left]],Ref!$I$1:$I$13,1),3)</f>
        <v>10Y</v>
      </c>
      <c r="AY88" s="72" t="str">
        <f>_xlfn.XLOOKUP(Outstanding_pos_BB_MSB[[#This Row],[Time hold/Deal]],Ref!S:S,Ref!U:U,,-1)</f>
        <v>1Y</v>
      </c>
      <c r="BC88"/>
      <c r="BD88"/>
      <c r="BG88"/>
      <c r="BH88"/>
      <c r="BJ88"/>
      <c r="BN88"/>
      <c r="BO88"/>
      <c r="BQ88"/>
      <c r="BR88"/>
      <c r="BX88">
        <v>45449</v>
      </c>
      <c r="BY88" s="502">
        <v>45716</v>
      </c>
      <c r="BZ88" t="s">
        <v>2741</v>
      </c>
      <c r="CA88" t="s">
        <v>2180</v>
      </c>
      <c r="CB88" t="s">
        <v>823</v>
      </c>
      <c r="CC88" s="500">
        <v>100000000000</v>
      </c>
      <c r="CD88">
        <v>2.8</v>
      </c>
      <c r="CE88" s="502">
        <v>50578</v>
      </c>
      <c r="CF88">
        <v>2.7</v>
      </c>
      <c r="CG88">
        <v>11.85</v>
      </c>
      <c r="CH88" t="s">
        <v>2740</v>
      </c>
      <c r="CI88">
        <v>4.5</v>
      </c>
      <c r="CJ88" s="500">
        <v>-16418000000</v>
      </c>
      <c r="CK88">
        <v>9.59</v>
      </c>
      <c r="CL88" s="500">
        <v>-81640935.620000005</v>
      </c>
      <c r="CM88" s="500">
        <v>445000000</v>
      </c>
      <c r="CN88">
        <v>111.41</v>
      </c>
      <c r="CO8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-16298301186.726255</v>
      </c>
      <c r="CP88" s="72">
        <f>RPT-VLOOKUP(Outstanding_pos_BB_SBV[[#This Row],[Bonds_ShortName]],CT:CU,2,0)</f>
        <v>249</v>
      </c>
      <c r="CQ88" s="157">
        <f>SUMIFS(CC:CC,BZ:BZ,Outstanding_pos_BB_SBV[[#This Row],[Bonds_ShortName]])/10^5-VLOOKUP(Outstanding_pos_BB_SBV[[#This Row],[Bonds_ShortName]],FNRP!EE:FL,34,0)</f>
        <v>0</v>
      </c>
      <c r="CT88" t="s">
        <v>1205</v>
      </c>
      <c r="CU88" s="502">
        <v>45952</v>
      </c>
      <c r="CV88" s="35"/>
    </row>
    <row r="89" spans="2:141" x14ac:dyDescent="0.3">
      <c r="B89">
        <v>50440</v>
      </c>
      <c r="C89">
        <v>46262</v>
      </c>
      <c r="D89" t="s">
        <v>3051</v>
      </c>
      <c r="E89" t="s">
        <v>824</v>
      </c>
      <c r="F89" t="s">
        <v>823</v>
      </c>
      <c r="G89">
        <v>160000000000</v>
      </c>
      <c r="H89">
        <v>2.9</v>
      </c>
      <c r="I89" t="s">
        <v>3518</v>
      </c>
      <c r="J89">
        <v>3.75</v>
      </c>
      <c r="K89">
        <v>8.5299999999999994</v>
      </c>
      <c r="L89" t="s">
        <v>2747</v>
      </c>
      <c r="M89">
        <v>4.38</v>
      </c>
      <c r="N89">
        <v>-6779200000</v>
      </c>
      <c r="O89">
        <v>7.2</v>
      </c>
      <c r="P89">
        <v>-65480997.75</v>
      </c>
      <c r="Q89">
        <v>1367000000</v>
      </c>
      <c r="R89">
        <v>63.16</v>
      </c>
      <c r="S89"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-6750750240.2223654</v>
      </c>
      <c r="T89" s="72">
        <f>VLOOKUP(Outstanding_pos_TB_MSB[[#This Row],[Bonds_ShortName]],FNRP!D:J,7,0)</f>
        <v>6000000</v>
      </c>
      <c r="U89" s="72">
        <f>SUMIFS(Outstanding_pos_TB_MSB[Amt],Outstanding_pos_TB_MSB[Bonds_ShortName],Outstanding_pos_TB_MSB[[#This Row],[Bonds_ShortName]])/100000-Outstanding_pos_TB_MSB[[#This Row],[Quantity FNRP]]</f>
        <v>0</v>
      </c>
      <c r="V89" s="162" t="str">
        <f>INDEX(Ref!$I$1:$K$13,MATCH(Outstanding_pos_TB_MSB[[#This Row],[Tenor left]],Ref!$I$1:$I$13,1),3)</f>
        <v>10Y</v>
      </c>
      <c r="W89" s="72">
        <f>IF(RPT-VLOOKUP(Outstanding_pos_TB_MSB[[#This Row],[Bonds_ShortName]],CT:CU,2,0)&lt;=0,0,RPT-VLOOKUP(Outstanding_pos_TB_MSB[[#This Row],[Bonds_ShortName]],CT:CU,2,0))</f>
        <v>0</v>
      </c>
      <c r="X89" s="72">
        <f>IF(RPT-Outstanding_pos_TB_MSB[[#This Row],[VALUE_DATE]]&lt;=0,0,RPT-Outstanding_pos_TB_MSB[[#This Row],[VALUE_DATE]])</f>
        <v>0</v>
      </c>
      <c r="Y89" s="72" t="str">
        <f>_xlfn.XLOOKUP(Outstanding_pos_TB_MSB[[#This Row],[Time hold/Deal]],Ref!S:S,Ref!U:U,,-1)</f>
        <v>1W</v>
      </c>
      <c r="AB89">
        <v>46995</v>
      </c>
      <c r="AC89" s="35">
        <v>45877</v>
      </c>
      <c r="AD89" t="s">
        <v>710</v>
      </c>
      <c r="AE89" t="s">
        <v>2180</v>
      </c>
      <c r="AF89" t="s">
        <v>823</v>
      </c>
      <c r="AG89" s="500">
        <v>100000000000</v>
      </c>
      <c r="AH89">
        <v>5.6</v>
      </c>
      <c r="AI89">
        <v>50787</v>
      </c>
      <c r="AJ89">
        <v>2.85</v>
      </c>
      <c r="AK89">
        <v>12.42</v>
      </c>
      <c r="AL89" s="645" t="s">
        <v>2740</v>
      </c>
      <c r="AM89">
        <v>4.51</v>
      </c>
      <c r="AN89" s="500">
        <v>-20185000000</v>
      </c>
      <c r="AO89">
        <v>8.7799999999999994</v>
      </c>
      <c r="AP89">
        <v>-99545976.120000005</v>
      </c>
      <c r="AQ89">
        <v>3283000000</v>
      </c>
      <c r="AR89">
        <v>101.6</v>
      </c>
      <c r="AS89" s="72">
        <f>SUM(_xlfn.IFNA(VLOOKUP(Outstanding_pos_BB_MSB[[#This Row],[Bonds_ShortName]],FNRP!AV:BA,6,0)*Outstanding_pos_BB_MSB[[#This Row],[Amt]]/10^4,0),_xlfn.IFNA((VLOOKUP(Outstanding_pos_BB_MSB[[#This Row],[Bonds_ShortName]],FNRP!IK:IP,6,0)*Outstanding_pos_BB_MSB[[#This Row],[Amt]]/10^4),0))</f>
        <v>1101550000000</v>
      </c>
      <c r="AT89" s="72">
        <f>(_xlfn.XLOOKUP(Outstanding_pos_BB_MSB[[#This Row],[Bonds_ShortName]],FNRP!AV:AV,FNRP!BA:BA,,0)
-_xlfn.XLOOKUP(Outstanding_pos_BB_MSB[[#This Row],[BondsDeals_Id]],BS!AL:AL,BS!AR:AR,_xlfn.XLOOKUP(Outstanding_pos_BB_MSB[[#This Row],[BondsDeals_Id]],BS!BA:BA,BS!BQ:BQ,,0),0)-10^5)
*Outstanding_pos_BB_MSB[[#This Row],[Amt]]/10^5</f>
        <v>-17861130312.752792</v>
      </c>
      <c r="AU89" s="72">
        <f>VLOOKUP(Outstanding_pos_BB_MSB[[#This Row],[Bonds_ShortName]],FNRP!AV:CD,35,0)</f>
        <v>1000000</v>
      </c>
      <c r="AV89" s="157">
        <f>SUMIFS(AG$1:AG$103,AD$1:AD$103,Outstanding_pos_BB_MSB[[#This Row],[Bonds_ShortName]])/10^5-Outstanding_pos_BB_MSB[[#This Row],[Quantity FNRP]]</f>
        <v>0</v>
      </c>
      <c r="AW89" s="72">
        <f>IF(RPT-Outstanding_pos_BB_MSB[[#This Row],[Value Date]]&lt;=0,0,RPT-Outstanding_pos_BB_MSB[[#This Row],[Value Date]])</f>
        <v>375</v>
      </c>
      <c r="AX89" s="32" t="str">
        <f>INDEX(Ref!$I$1:$K$13,MATCH(Outstanding_pos_BB_MSB[[#This Row],[Tenor left]],Ref!$I$1:$I$13,1),3)</f>
        <v>15Y</v>
      </c>
      <c r="AY89" s="72" t="str">
        <f>_xlfn.XLOOKUP(Outstanding_pos_BB_MSB[[#This Row],[Time hold/Deal]],Ref!S:S,Ref!U:U,,-1)</f>
        <v>1Y</v>
      </c>
      <c r="BC89"/>
      <c r="BD89"/>
      <c r="BG89"/>
      <c r="BH89"/>
      <c r="BJ89"/>
      <c r="BN89"/>
      <c r="BO89"/>
      <c r="BQ89"/>
      <c r="BR89"/>
      <c r="BX89">
        <v>45510</v>
      </c>
      <c r="BY89" s="502">
        <v>45713</v>
      </c>
      <c r="BZ89" t="s">
        <v>2835</v>
      </c>
      <c r="CA89" t="s">
        <v>2180</v>
      </c>
      <c r="CB89" t="s">
        <v>823</v>
      </c>
      <c r="CC89" s="500">
        <v>300000000000</v>
      </c>
      <c r="CD89">
        <v>2.7</v>
      </c>
      <c r="CE89" s="502">
        <v>50899</v>
      </c>
      <c r="CF89">
        <v>2.87</v>
      </c>
      <c r="CG89">
        <v>12.73</v>
      </c>
      <c r="CH89" t="s">
        <v>2740</v>
      </c>
      <c r="CI89">
        <v>4.5199999999999996</v>
      </c>
      <c r="CJ89" s="500">
        <v>-46065000000</v>
      </c>
      <c r="CK89">
        <v>10.16</v>
      </c>
      <c r="CL89" s="500">
        <v>-84810402.099999994</v>
      </c>
      <c r="CM89" s="500">
        <v>755000000</v>
      </c>
      <c r="CN89">
        <v>125.72</v>
      </c>
      <c r="CO8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-46685138064.018509</v>
      </c>
      <c r="CP89" s="72">
        <f>RPT-VLOOKUP(Outstanding_pos_BB_SBV[[#This Row],[Bonds_ShortName]],CT:CU,2,0)</f>
        <v>0</v>
      </c>
      <c r="CQ89" s="157">
        <f>SUMIFS(CC:CC,BZ:BZ,Outstanding_pos_BB_SBV[[#This Row],[Bonds_ShortName]])/10^5-VLOOKUP(Outstanding_pos_BB_SBV[[#This Row],[Bonds_ShortName]],FNRP!EE:FL,34,0)</f>
        <v>0</v>
      </c>
      <c r="CT89" t="s">
        <v>2498</v>
      </c>
      <c r="CU89" s="502">
        <v>46006</v>
      </c>
      <c r="CV89" s="35"/>
    </row>
    <row r="90" spans="2:141" x14ac:dyDescent="0.3">
      <c r="B90">
        <v>50457</v>
      </c>
      <c r="C90">
        <v>46252</v>
      </c>
      <c r="D90" t="s">
        <v>2839</v>
      </c>
      <c r="E90" t="s">
        <v>4054</v>
      </c>
      <c r="F90" t="s">
        <v>823</v>
      </c>
      <c r="G90">
        <v>200000000000</v>
      </c>
      <c r="H90">
        <v>2.7</v>
      </c>
      <c r="I90" t="s">
        <v>3495</v>
      </c>
      <c r="J90">
        <v>2.75</v>
      </c>
      <c r="K90">
        <v>8</v>
      </c>
      <c r="L90" t="s">
        <v>2747</v>
      </c>
      <c r="M90">
        <v>4.3499999999999996</v>
      </c>
      <c r="N90">
        <v>-21234000000</v>
      </c>
      <c r="O90">
        <v>6.94</v>
      </c>
      <c r="P90">
        <v>-61803446.899999999</v>
      </c>
      <c r="Q90">
        <v>22000000</v>
      </c>
      <c r="R90">
        <v>57.83</v>
      </c>
      <c r="S90"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-21233859118.575989</v>
      </c>
      <c r="T90" s="72">
        <f>VLOOKUP(Outstanding_pos_TB_MSB[[#This Row],[Bonds_ShortName]],FNRP!D:J,7,0)</f>
        <v>7500000</v>
      </c>
      <c r="U90" s="72">
        <f>SUMIFS(Outstanding_pos_TB_MSB[Amt],Outstanding_pos_TB_MSB[Bonds_ShortName],Outstanding_pos_TB_MSB[[#This Row],[Bonds_ShortName]])/100000-Outstanding_pos_TB_MSB[[#This Row],[Quantity FNRP]]</f>
        <v>0</v>
      </c>
      <c r="V90" s="162" t="str">
        <f>INDEX(Ref!$I$1:$K$13,MATCH(Outstanding_pos_TB_MSB[[#This Row],[Tenor left]],Ref!$I$1:$I$13,1),3)</f>
        <v>10Y</v>
      </c>
      <c r="W90" s="72">
        <f>IF(RPT-VLOOKUP(Outstanding_pos_TB_MSB[[#This Row],[Bonds_ShortName]],CT:CU,2,0)&lt;=0,0,RPT-VLOOKUP(Outstanding_pos_TB_MSB[[#This Row],[Bonds_ShortName]],CT:CU,2,0))</f>
        <v>0</v>
      </c>
      <c r="X90" s="72">
        <f>IF(RPT-Outstanding_pos_TB_MSB[[#This Row],[VALUE_DATE]]&lt;=0,0,RPT-Outstanding_pos_TB_MSB[[#This Row],[VALUE_DATE]])</f>
        <v>0</v>
      </c>
      <c r="Y90" s="72" t="str">
        <f>_xlfn.XLOOKUP(Outstanding_pos_TB_MSB[[#This Row],[Time hold/Deal]],Ref!S:S,Ref!U:U,,-1)</f>
        <v>1W</v>
      </c>
      <c r="AB90">
        <v>47019</v>
      </c>
      <c r="AC90" s="35">
        <v>45869</v>
      </c>
      <c r="AD90" t="s">
        <v>2497</v>
      </c>
      <c r="AE90" t="s">
        <v>2180</v>
      </c>
      <c r="AF90" t="s">
        <v>823</v>
      </c>
      <c r="AG90" s="500">
        <v>100000000000</v>
      </c>
      <c r="AH90">
        <v>4.2</v>
      </c>
      <c r="AI90">
        <v>55966</v>
      </c>
      <c r="AJ90">
        <v>3.03</v>
      </c>
      <c r="AK90">
        <v>26.61</v>
      </c>
      <c r="AL90" s="645" t="s">
        <v>2813</v>
      </c>
      <c r="AM90">
        <v>4.71</v>
      </c>
      <c r="AN90" s="500">
        <v>-29349000000</v>
      </c>
      <c r="AO90">
        <v>15.08</v>
      </c>
      <c r="AP90">
        <v>-141778278.08000001</v>
      </c>
      <c r="AQ90">
        <v>1715000000</v>
      </c>
      <c r="AR90">
        <v>325.38</v>
      </c>
      <c r="AS90" s="72">
        <f>SUM(_xlfn.IFNA(VLOOKUP(Outstanding_pos_BB_MSB[[#This Row],[Bonds_ShortName]],FNRP!AV:BA,6,0)*Outstanding_pos_BB_MSB[[#This Row],[Amt]]/10^4,0),_xlfn.IFNA((VLOOKUP(Outstanding_pos_BB_MSB[[#This Row],[Bonds_ShortName]],FNRP!IK:IP,6,0)*Outstanding_pos_BB_MSB[[#This Row],[Amt]]/10^4),0))</f>
        <v>923300000000</v>
      </c>
      <c r="AT90" s="72">
        <f>(_xlfn.XLOOKUP(Outstanding_pos_BB_MSB[[#This Row],[Bonds_ShortName]],FNRP!AV:AV,FNRP!BA:BA,,0)
-_xlfn.XLOOKUP(Outstanding_pos_BB_MSB[[#This Row],[BondsDeals_Id]],BS!AL:AL,BS!AR:AR,_xlfn.XLOOKUP(Outstanding_pos_BB_MSB[[#This Row],[BondsDeals_Id]],BS!BA:BA,BS!BQ:BQ,,0),0)-10^5)
*Outstanding_pos_BB_MSB[[#This Row],[Amt]]/10^5</f>
        <v>-28525591209.107197</v>
      </c>
      <c r="AU90" s="72">
        <f>VLOOKUP(Outstanding_pos_BB_MSB[[#This Row],[Bonds_ShortName]],FNRP!AV:CD,35,0)</f>
        <v>6000000</v>
      </c>
      <c r="AV90" s="157">
        <f>SUMIFS(AG$1:AG$103,AD$1:AD$103,Outstanding_pos_BB_MSB[[#This Row],[Bonds_ShortName]])/10^5-Outstanding_pos_BB_MSB[[#This Row],[Quantity FNRP]]</f>
        <v>0</v>
      </c>
      <c r="AW90" s="72">
        <f>IF(RPT-Outstanding_pos_BB_MSB[[#This Row],[Value Date]]&lt;=0,0,RPT-Outstanding_pos_BB_MSB[[#This Row],[Value Date]])</f>
        <v>383</v>
      </c>
      <c r="AX90" s="32" t="str">
        <f>INDEX(Ref!$I$1:$K$13,MATCH(Outstanding_pos_BB_MSB[[#This Row],[Tenor left]],Ref!$I$1:$I$13,1),3)</f>
        <v>30Y</v>
      </c>
      <c r="AY90" s="72" t="str">
        <f>_xlfn.XLOOKUP(Outstanding_pos_BB_MSB[[#This Row],[Time hold/Deal]],Ref!S:S,Ref!U:U,,-1)</f>
        <v>1Y</v>
      </c>
      <c r="BC90"/>
      <c r="BD90"/>
      <c r="BG90"/>
      <c r="BH90"/>
      <c r="BJ90"/>
      <c r="BN90"/>
      <c r="BO90"/>
      <c r="BQ90"/>
      <c r="BR90"/>
      <c r="BX90">
        <v>45511</v>
      </c>
      <c r="BY90" s="502">
        <v>45713</v>
      </c>
      <c r="BZ90" t="s">
        <v>2503</v>
      </c>
      <c r="CA90" t="s">
        <v>2180</v>
      </c>
      <c r="CB90" t="s">
        <v>823</v>
      </c>
      <c r="CC90" s="500">
        <v>50000000000</v>
      </c>
      <c r="CD90">
        <v>3.4</v>
      </c>
      <c r="CE90" s="502">
        <v>50515</v>
      </c>
      <c r="CF90">
        <v>2.65</v>
      </c>
      <c r="CG90">
        <v>11.68</v>
      </c>
      <c r="CH90" t="s">
        <v>2740</v>
      </c>
      <c r="CI90">
        <v>4.49</v>
      </c>
      <c r="CJ90" s="500">
        <v>-8996500000</v>
      </c>
      <c r="CK90">
        <v>9.18</v>
      </c>
      <c r="CL90" s="500">
        <v>-83889598.819999993</v>
      </c>
      <c r="CM90" s="500">
        <v>1127000000</v>
      </c>
      <c r="CN90">
        <v>104.3</v>
      </c>
      <c r="CO9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-8534761389.3754311</v>
      </c>
      <c r="CP90" s="72">
        <f>RPT-VLOOKUP(Outstanding_pos_BB_SBV[[#This Row],[Bonds_ShortName]],CT:CU,2,0)</f>
        <v>6</v>
      </c>
      <c r="CQ90" s="157">
        <f>SUMIFS(CC:CC,BZ:BZ,Outstanding_pos_BB_SBV[[#This Row],[Bonds_ShortName]])/10^5-VLOOKUP(Outstanding_pos_BB_SBV[[#This Row],[Bonds_ShortName]],FNRP!EE:FL,34,0)</f>
        <v>0</v>
      </c>
      <c r="CT90" t="s">
        <v>2398</v>
      </c>
      <c r="CU90" s="502">
        <v>46258</v>
      </c>
      <c r="CV90" s="35"/>
    </row>
    <row r="91" spans="2:141" x14ac:dyDescent="0.3">
      <c r="B91">
        <v>50459</v>
      </c>
      <c r="C91">
        <v>46252</v>
      </c>
      <c r="D91" t="s">
        <v>695</v>
      </c>
      <c r="E91" t="s">
        <v>4054</v>
      </c>
      <c r="F91" t="s">
        <v>907</v>
      </c>
      <c r="G91">
        <v>100000000000</v>
      </c>
      <c r="H91">
        <v>2.9</v>
      </c>
      <c r="I91" t="s">
        <v>696</v>
      </c>
      <c r="J91">
        <v>2.92</v>
      </c>
      <c r="K91">
        <v>9.2799999999999994</v>
      </c>
      <c r="L91" t="s">
        <v>2743</v>
      </c>
      <c r="M91">
        <v>4.91</v>
      </c>
      <c r="N91">
        <v>-14569000000</v>
      </c>
      <c r="O91">
        <v>7.6</v>
      </c>
      <c r="P91">
        <v>-66384916.640000001</v>
      </c>
      <c r="Q91">
        <v>2098000000</v>
      </c>
      <c r="R91">
        <v>71.22</v>
      </c>
      <c r="S91"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-14569515497.8894</v>
      </c>
      <c r="T91" s="72">
        <f>VLOOKUP(Outstanding_pos_TB_MSB[[#This Row],[Bonds_ShortName]],FNRP!D:J,7,0)</f>
        <v>1000000</v>
      </c>
      <c r="U91" s="72">
        <f>SUMIFS(Outstanding_pos_TB_MSB[Amt],Outstanding_pos_TB_MSB[Bonds_ShortName],Outstanding_pos_TB_MSB[[#This Row],[Bonds_ShortName]])/100000-Outstanding_pos_TB_MSB[[#This Row],[Quantity FNRP]]</f>
        <v>0</v>
      </c>
      <c r="V91" s="162" t="str">
        <f>INDEX(Ref!$I$1:$K$13,MATCH(Outstanding_pos_TB_MSB[[#This Row],[Tenor left]],Ref!$I$1:$I$13,1),3)</f>
        <v>10Y</v>
      </c>
      <c r="W91" s="72">
        <f>IF(RPT-VLOOKUP(Outstanding_pos_TB_MSB[[#This Row],[Bonds_ShortName]],CT:CU,2,0)&lt;=0,0,RPT-VLOOKUP(Outstanding_pos_TB_MSB[[#This Row],[Bonds_ShortName]],CT:CU,2,0))</f>
        <v>0</v>
      </c>
      <c r="X91" s="72">
        <f>IF(RPT-Outstanding_pos_TB_MSB[[#This Row],[VALUE_DATE]]&lt;=0,0,RPT-Outstanding_pos_TB_MSB[[#This Row],[VALUE_DATE]])</f>
        <v>0</v>
      </c>
      <c r="Y91" s="72" t="str">
        <f>_xlfn.XLOOKUP(Outstanding_pos_TB_MSB[[#This Row],[Time hold/Deal]],Ref!S:S,Ref!U:U,,-1)</f>
        <v>1W</v>
      </c>
      <c r="AB91">
        <v>47035</v>
      </c>
      <c r="AC91" s="35">
        <v>45870</v>
      </c>
      <c r="AD91" t="s">
        <v>1147</v>
      </c>
      <c r="AE91" t="s">
        <v>2180</v>
      </c>
      <c r="AF91" t="s">
        <v>907</v>
      </c>
      <c r="AG91" s="500">
        <v>100000000000</v>
      </c>
      <c r="AH91">
        <v>6</v>
      </c>
      <c r="AI91">
        <v>48861</v>
      </c>
      <c r="AJ91">
        <v>3</v>
      </c>
      <c r="AK91">
        <v>7.15</v>
      </c>
      <c r="AL91" s="645" t="s">
        <v>2746</v>
      </c>
      <c r="AM91">
        <v>4.82</v>
      </c>
      <c r="AN91" s="500">
        <v>-14486000000</v>
      </c>
      <c r="AO91">
        <v>5.52</v>
      </c>
      <c r="AP91">
        <v>-61859744.670000002</v>
      </c>
      <c r="AQ91">
        <v>5162000000</v>
      </c>
      <c r="AR91">
        <v>40.35</v>
      </c>
      <c r="AS91" s="72">
        <f>SUM(_xlfn.IFNA(VLOOKUP(Outstanding_pos_BB_MSB[[#This Row],[Bonds_ShortName]],FNRP!AV:BA,6,0)*Outstanding_pos_BB_MSB[[#This Row],[Amt]]/10^4,0),_xlfn.IFNA((VLOOKUP(Outstanding_pos_BB_MSB[[#This Row],[Bonds_ShortName]],FNRP!IK:IP,6,0)*Outstanding_pos_BB_MSB[[#This Row],[Amt]]/10^4),0))</f>
        <v>1070000000000</v>
      </c>
      <c r="AT91" s="72">
        <f>(_xlfn.XLOOKUP(Outstanding_pos_BB_MSB[[#This Row],[Bonds_ShortName]],FNRP!AV:AV,FNRP!BA:BA,,0)
-_xlfn.XLOOKUP(Outstanding_pos_BB_MSB[[#This Row],[BondsDeals_Id]],BS!AL:AL,BS!AR:AR,_xlfn.XLOOKUP(Outstanding_pos_BB_MSB[[#This Row],[BondsDeals_Id]],BS!BA:BA,BS!BQ:BQ,,0),0)-10^5)
*Outstanding_pos_BB_MSB[[#This Row],[Amt]]/10^5</f>
        <v>-11734043152.287893</v>
      </c>
      <c r="AU91" s="72">
        <f>VLOOKUP(Outstanding_pos_BB_MSB[[#This Row],[Bonds_ShortName]],FNRP!AV:CD,35,0)</f>
        <v>1000000</v>
      </c>
      <c r="AV91" s="157">
        <f>SUMIFS(AG$1:AG$103,AD$1:AD$103,Outstanding_pos_BB_MSB[[#This Row],[Bonds_ShortName]])/10^5-Outstanding_pos_BB_MSB[[#This Row],[Quantity FNRP]]</f>
        <v>0</v>
      </c>
      <c r="AW91" s="72">
        <f>IF(RPT-Outstanding_pos_BB_MSB[[#This Row],[Value Date]]&lt;=0,0,RPT-Outstanding_pos_BB_MSB[[#This Row],[Value Date]])</f>
        <v>382</v>
      </c>
      <c r="AX91" s="32" t="str">
        <f>INDEX(Ref!$I$1:$K$13,MATCH(Outstanding_pos_BB_MSB[[#This Row],[Tenor left]],Ref!$I$1:$I$13,1),3)</f>
        <v>7Y</v>
      </c>
      <c r="AY91" s="72" t="str">
        <f>_xlfn.XLOOKUP(Outstanding_pos_BB_MSB[[#This Row],[Time hold/Deal]],Ref!S:S,Ref!U:U,,-1)</f>
        <v>1Y</v>
      </c>
      <c r="BC91"/>
      <c r="BD91"/>
      <c r="BG91"/>
      <c r="BH91"/>
      <c r="BJ91"/>
      <c r="BN91"/>
      <c r="BO91"/>
      <c r="BQ91"/>
      <c r="BR91"/>
      <c r="BX91">
        <v>45529</v>
      </c>
      <c r="BY91" s="502">
        <v>45714</v>
      </c>
      <c r="BZ91" t="s">
        <v>2741</v>
      </c>
      <c r="CA91" t="s">
        <v>2180</v>
      </c>
      <c r="CB91" t="s">
        <v>823</v>
      </c>
      <c r="CC91" s="500">
        <v>150000000000</v>
      </c>
      <c r="CD91">
        <v>2.8</v>
      </c>
      <c r="CE91" s="502">
        <v>50578</v>
      </c>
      <c r="CF91">
        <v>2.73</v>
      </c>
      <c r="CG91">
        <v>11.85</v>
      </c>
      <c r="CH91" t="s">
        <v>2740</v>
      </c>
      <c r="CI91">
        <v>4.5</v>
      </c>
      <c r="CJ91" s="500">
        <v>-24127500000</v>
      </c>
      <c r="CK91">
        <v>9.59</v>
      </c>
      <c r="CL91" s="500">
        <v>-81640935.620000005</v>
      </c>
      <c r="CM91" s="500">
        <v>445000000</v>
      </c>
      <c r="CN91">
        <v>111.41</v>
      </c>
      <c r="CO9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-24003158059.492142</v>
      </c>
      <c r="CP91" s="72">
        <f>RPT-VLOOKUP(Outstanding_pos_BB_SBV[[#This Row],[Bonds_ShortName]],CT:CU,2,0)</f>
        <v>249</v>
      </c>
      <c r="CQ91" s="157">
        <f>SUMIFS(CC:CC,BZ:BZ,Outstanding_pos_BB_SBV[[#This Row],[Bonds_ShortName]])/10^5-VLOOKUP(Outstanding_pos_BB_SBV[[#This Row],[Bonds_ShortName]],FNRP!EE:FL,34,0)</f>
        <v>0</v>
      </c>
      <c r="CT91" t="s">
        <v>612</v>
      </c>
      <c r="CU91" s="502">
        <v>45817</v>
      </c>
      <c r="CV91" s="35"/>
    </row>
    <row r="92" spans="2:141" x14ac:dyDescent="0.3">
      <c r="B92">
        <v>50461</v>
      </c>
      <c r="C92">
        <v>46252</v>
      </c>
      <c r="D92" t="s">
        <v>2835</v>
      </c>
      <c r="E92" t="s">
        <v>4054</v>
      </c>
      <c r="F92" t="s">
        <v>823</v>
      </c>
      <c r="G92">
        <v>400000000000</v>
      </c>
      <c r="H92">
        <v>2.7</v>
      </c>
      <c r="I92" t="s">
        <v>3474</v>
      </c>
      <c r="J92">
        <v>2.93</v>
      </c>
      <c r="K92">
        <v>12.73</v>
      </c>
      <c r="L92" t="s">
        <v>2740</v>
      </c>
      <c r="M92">
        <v>4.5199999999999996</v>
      </c>
      <c r="N92">
        <v>-59608000000</v>
      </c>
      <c r="O92">
        <v>10.17</v>
      </c>
      <c r="P92">
        <v>-84822127.340000004</v>
      </c>
      <c r="Q92">
        <v>747000000</v>
      </c>
      <c r="R92">
        <v>125.77</v>
      </c>
      <c r="S92" s="72">
        <f>_xlfn.IFNA(
(_xlfn.XLOOKUP(Outstanding_pos_TB_MSB[[#This Row],[Bonds_ShortName]],FNRP!D:D,FNRP!I:I,,0)-_xlfn.XLOOKUP(Outstanding_pos_TB_MSB[[#This Row],[DEAL_BUY_ID]],Ref!BF:BF,Ref!BG:BG,,0))*Outstanding_pos_TB_MSB[[#This Row],[Amt]]/10^5,
(_xlfn.XLOOKUP(Outstanding_pos_TB_MSB[[#This Row],[Bonds_ShortName]],FNRP!D:D,FNRP!I:I,,0)
-_xlfn.XLOOKUP(Outstanding_pos_TB_MSB[[#This Row],[DEAL_BUY_ID]],BS!AL:AL,BS!AR:AR,_xlfn.XLOOKUP(Outstanding_pos_TB_MSB[[#This Row],[DEAL_BUY_ID]],BS!BA:BA,BS!BQ:BQ,,0),0)-10^5)
*Outstanding_pos_TB_MSB[[#This Row],[Amt]]/10^5)</f>
        <v>-59609590880.550438</v>
      </c>
      <c r="T92" s="72">
        <f>VLOOKUP(Outstanding_pos_TB_MSB[[#This Row],[Bonds_ShortName]],FNRP!D:J,7,0)</f>
        <v>6000000</v>
      </c>
      <c r="U92" s="72">
        <f>SUMIFS(Outstanding_pos_TB_MSB[Amt],Outstanding_pos_TB_MSB[Bonds_ShortName],Outstanding_pos_TB_MSB[[#This Row],[Bonds_ShortName]])/100000-Outstanding_pos_TB_MSB[[#This Row],[Quantity FNRP]]</f>
        <v>0</v>
      </c>
      <c r="V92" s="162" t="str">
        <f>INDEX(Ref!$I$1:$K$13,MATCH(Outstanding_pos_TB_MSB[[#This Row],[Tenor left]],Ref!$I$1:$I$13,1),3)</f>
        <v>15Y</v>
      </c>
      <c r="W92" s="72">
        <f>IF(RPT-VLOOKUP(Outstanding_pos_TB_MSB[[#This Row],[Bonds_ShortName]],CT:CU,2,0)&lt;=0,0,RPT-VLOOKUP(Outstanding_pos_TB_MSB[[#This Row],[Bonds_ShortName]],CT:CU,2,0))</f>
        <v>0</v>
      </c>
      <c r="X92" s="72">
        <f>IF(RPT-Outstanding_pos_TB_MSB[[#This Row],[VALUE_DATE]]&lt;=0,0,RPT-Outstanding_pos_TB_MSB[[#This Row],[VALUE_DATE]])</f>
        <v>0</v>
      </c>
      <c r="Y92" s="72" t="str">
        <f>_xlfn.XLOOKUP(Outstanding_pos_TB_MSB[[#This Row],[Time hold/Deal]],Ref!S:S,Ref!U:U,,-1)</f>
        <v>1W</v>
      </c>
      <c r="AB92">
        <v>47036</v>
      </c>
      <c r="AC92" s="35">
        <v>45870</v>
      </c>
      <c r="AD92" t="s">
        <v>2775</v>
      </c>
      <c r="AE92" t="s">
        <v>2180</v>
      </c>
      <c r="AF92" t="s">
        <v>907</v>
      </c>
      <c r="AG92" s="500">
        <v>258000000000</v>
      </c>
      <c r="AH92">
        <v>3.6</v>
      </c>
      <c r="AI92">
        <v>50723</v>
      </c>
      <c r="AJ92">
        <v>3.19</v>
      </c>
      <c r="AK92">
        <v>12.25</v>
      </c>
      <c r="AL92" s="645" t="s">
        <v>2740</v>
      </c>
      <c r="AM92">
        <v>5.01</v>
      </c>
      <c r="AN92" s="500">
        <v>-43934820000</v>
      </c>
      <c r="AO92">
        <v>9.18</v>
      </c>
      <c r="AP92">
        <v>-82676708.909999996</v>
      </c>
      <c r="AQ92">
        <v>2742000000</v>
      </c>
      <c r="AR92">
        <v>107.43</v>
      </c>
      <c r="AS92" s="72">
        <f>SUM(_xlfn.IFNA(VLOOKUP(Outstanding_pos_BB_MSB[[#This Row],[Bonds_ShortName]],FNRP!AV:BA,6,0)*Outstanding_pos_BB_MSB[[#This Row],[Amt]]/10^4,0),_xlfn.IFNA((VLOOKUP(Outstanding_pos_BB_MSB[[#This Row],[Bonds_ShortName]],FNRP!IK:IP,6,0)*Outstanding_pos_BB_MSB[[#This Row],[Amt]]/10^4),0))</f>
        <v>2253423600000</v>
      </c>
      <c r="AT92" s="72">
        <f>(_xlfn.XLOOKUP(Outstanding_pos_BB_MSB[[#This Row],[Bonds_ShortName]],FNRP!AV:AV,FNRP!BA:BA,,0)
-_xlfn.XLOOKUP(Outstanding_pos_BB_MSB[[#This Row],[BondsDeals_Id]],BS!AL:AL,BS!AR:AR,_xlfn.XLOOKUP(Outstanding_pos_BB_MSB[[#This Row],[BondsDeals_Id]],BS!BA:BA,BS!BQ:BQ,,0),0)-10^5)
*Outstanding_pos_BB_MSB[[#This Row],[Amt]]/10^5</f>
        <v>-43048663354.005005</v>
      </c>
      <c r="AU92" s="72">
        <f>VLOOKUP(Outstanding_pos_BB_MSB[[#This Row],[Bonds_ShortName]],FNRP!AV:CD,35,0)</f>
        <v>4580000</v>
      </c>
      <c r="AV92" s="157">
        <f>SUMIFS(AG$1:AG$103,AD$1:AD$103,Outstanding_pos_BB_MSB[[#This Row],[Bonds_ShortName]])/10^5-Outstanding_pos_BB_MSB[[#This Row],[Quantity FNRP]]</f>
        <v>0</v>
      </c>
      <c r="AW92" s="72">
        <f>IF(RPT-Outstanding_pos_BB_MSB[[#This Row],[Value Date]]&lt;=0,0,RPT-Outstanding_pos_BB_MSB[[#This Row],[Value Date]])</f>
        <v>382</v>
      </c>
      <c r="AX92" s="32" t="str">
        <f>INDEX(Ref!$I$1:$K$13,MATCH(Outstanding_pos_BB_MSB[[#This Row],[Tenor left]],Ref!$I$1:$I$13,1),3)</f>
        <v>15Y</v>
      </c>
      <c r="AY92" s="72" t="str">
        <f>_xlfn.XLOOKUP(Outstanding_pos_BB_MSB[[#This Row],[Time hold/Deal]],Ref!S:S,Ref!U:U,,-1)</f>
        <v>1Y</v>
      </c>
      <c r="BC92"/>
      <c r="BD92"/>
      <c r="BG92"/>
      <c r="BH92"/>
      <c r="BJ92"/>
      <c r="BN92"/>
      <c r="BO92"/>
      <c r="BQ92"/>
      <c r="BR92"/>
      <c r="BX92">
        <v>45553</v>
      </c>
      <c r="BY92" s="502">
        <v>45714</v>
      </c>
      <c r="BZ92" t="s">
        <v>2843</v>
      </c>
      <c r="CA92" t="s">
        <v>2180</v>
      </c>
      <c r="CB92" t="s">
        <v>907</v>
      </c>
      <c r="CC92" s="500">
        <v>200000000000</v>
      </c>
      <c r="CD92">
        <v>3.6</v>
      </c>
      <c r="CE92" s="502">
        <v>50726</v>
      </c>
      <c r="CF92">
        <v>3.17</v>
      </c>
      <c r="CG92">
        <v>12.25</v>
      </c>
      <c r="CH92" t="s">
        <v>2740</v>
      </c>
      <c r="CI92">
        <v>5.01</v>
      </c>
      <c r="CJ92" s="500">
        <v>-34756000000</v>
      </c>
      <c r="CK92">
        <v>9.19</v>
      </c>
      <c r="CL92" s="500">
        <v>-82711853.319999993</v>
      </c>
      <c r="CM92" s="500">
        <v>2712000000</v>
      </c>
      <c r="CN92">
        <v>107.58</v>
      </c>
      <c r="CO9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-33763473386.948231</v>
      </c>
      <c r="CP92" s="72">
        <f>RPT-VLOOKUP(Outstanding_pos_BB_SBV[[#This Row],[Bonds_ShortName]],CT:CU,2,0)</f>
        <v>540</v>
      </c>
      <c r="CQ92" s="157">
        <f>SUMIFS(CC:CC,BZ:BZ,Outstanding_pos_BB_SBV[[#This Row],[Bonds_ShortName]])/10^5-VLOOKUP(Outstanding_pos_BB_SBV[[#This Row],[Bonds_ShortName]],FNRP!EE:FL,34,0)</f>
        <v>0</v>
      </c>
      <c r="CT92" t="s">
        <v>710</v>
      </c>
      <c r="CU92" s="502">
        <v>46230</v>
      </c>
      <c r="CV92" s="35"/>
    </row>
    <row r="93" spans="2:141" x14ac:dyDescent="0.3">
      <c r="B93" t="s">
        <v>1034</v>
      </c>
      <c r="C93"/>
      <c r="G93"/>
      <c r="I93"/>
      <c r="J93"/>
      <c r="N93"/>
      <c r="P93"/>
      <c r="Q93"/>
      <c r="S93"/>
      <c r="T93"/>
      <c r="U93"/>
      <c r="V93"/>
      <c r="W93"/>
      <c r="X93"/>
      <c r="Y93">
        <f>SUBTOTAL(103,Outstanding_pos_TB_MSB[Time hold (tenor)])</f>
        <v>91</v>
      </c>
      <c r="AB93">
        <v>47108</v>
      </c>
      <c r="AC93" s="35">
        <v>45877</v>
      </c>
      <c r="AD93" t="s">
        <v>2380</v>
      </c>
      <c r="AE93" t="s">
        <v>2180</v>
      </c>
      <c r="AF93" t="s">
        <v>823</v>
      </c>
      <c r="AG93" s="500">
        <v>200000000000</v>
      </c>
      <c r="AH93">
        <v>4.7</v>
      </c>
      <c r="AI93">
        <v>50410</v>
      </c>
      <c r="AJ93">
        <v>2.72</v>
      </c>
      <c r="AK93">
        <v>11.39</v>
      </c>
      <c r="AL93" s="645" t="s">
        <v>2740</v>
      </c>
      <c r="AM93">
        <v>4.4800000000000004</v>
      </c>
      <c r="AN93" s="500">
        <v>-37472000000</v>
      </c>
      <c r="AO93">
        <v>8.4700000000000006</v>
      </c>
      <c r="AP93">
        <v>-88733432.620000005</v>
      </c>
      <c r="AQ93">
        <v>2910000000</v>
      </c>
      <c r="AR93">
        <v>92.44</v>
      </c>
      <c r="AS93" s="72">
        <f>SUM(_xlfn.IFNA(VLOOKUP(Outstanding_pos_BB_MSB[[#This Row],[Bonds_ShortName]],FNRP!AV:BA,6,0)*Outstanding_pos_BB_MSB[[#This Row],[Amt]]/10^4,0),_xlfn.IFNA((VLOOKUP(Outstanding_pos_BB_MSB[[#This Row],[Bonds_ShortName]],FNRP!IK:IP,6,0)*Outstanding_pos_BB_MSB[[#This Row],[Amt]]/10^4),0))</f>
        <v>2037400000000</v>
      </c>
      <c r="AT93" s="72">
        <f>(_xlfn.XLOOKUP(Outstanding_pos_BB_MSB[[#This Row],[Bonds_ShortName]],FNRP!AV:AV,FNRP!BA:BA,,0)
-_xlfn.XLOOKUP(Outstanding_pos_BB_MSB[[#This Row],[BondsDeals_Id]],BS!AL:AL,BS!AR:AR,_xlfn.XLOOKUP(Outstanding_pos_BB_MSB[[#This Row],[BondsDeals_Id]],BS!BA:BA,BS!BQ:BQ,,0),0)-10^5)
*Outstanding_pos_BB_MSB[[#This Row],[Amt]]/10^5</f>
        <v>-34052672390.294609</v>
      </c>
      <c r="AU93" s="72">
        <f>VLOOKUP(Outstanding_pos_BB_MSB[[#This Row],[Bonds_ShortName]],FNRP!AV:CD,35,0)</f>
        <v>9000000</v>
      </c>
      <c r="AV93" s="157">
        <f>SUMIFS(AG$1:AG$103,AD$1:AD$103,Outstanding_pos_BB_MSB[[#This Row],[Bonds_ShortName]])/10^5-Outstanding_pos_BB_MSB[[#This Row],[Quantity FNRP]]</f>
        <v>0</v>
      </c>
      <c r="AW93" s="72">
        <f>IF(RPT-Outstanding_pos_BB_MSB[[#This Row],[Value Date]]&lt;=0,0,RPT-Outstanding_pos_BB_MSB[[#This Row],[Value Date]])</f>
        <v>375</v>
      </c>
      <c r="AX93" s="32" t="str">
        <f>INDEX(Ref!$I$1:$K$13,MATCH(Outstanding_pos_BB_MSB[[#This Row],[Tenor left]],Ref!$I$1:$I$13,1),3)</f>
        <v>15Y</v>
      </c>
      <c r="AY93" s="72" t="str">
        <f>_xlfn.XLOOKUP(Outstanding_pos_BB_MSB[[#This Row],[Time hold/Deal]],Ref!S:S,Ref!U:U,,-1)</f>
        <v>1Y</v>
      </c>
      <c r="BC93"/>
      <c r="BD93"/>
      <c r="BG93"/>
      <c r="BH93"/>
      <c r="BJ93"/>
      <c r="BN93"/>
      <c r="BO93"/>
      <c r="BQ93"/>
      <c r="BR93"/>
      <c r="BX93">
        <v>45554</v>
      </c>
      <c r="BY93" s="502">
        <v>45714</v>
      </c>
      <c r="BZ93" t="s">
        <v>2788</v>
      </c>
      <c r="CA93" t="s">
        <v>2180</v>
      </c>
      <c r="CB93" t="s">
        <v>907</v>
      </c>
      <c r="CC93" s="500">
        <v>200000000000</v>
      </c>
      <c r="CD93">
        <v>3.1</v>
      </c>
      <c r="CE93" s="502">
        <v>50744</v>
      </c>
      <c r="CF93">
        <v>3.15</v>
      </c>
      <c r="CG93">
        <v>12.3</v>
      </c>
      <c r="CH93" t="s">
        <v>2740</v>
      </c>
      <c r="CI93">
        <v>5.01</v>
      </c>
      <c r="CJ93" s="500">
        <v>-33322000000</v>
      </c>
      <c r="CK93">
        <v>9.4499999999999993</v>
      </c>
      <c r="CL93" s="500">
        <v>-80323686.430000007</v>
      </c>
      <c r="CM93" s="500">
        <v>2183000000</v>
      </c>
      <c r="CN93">
        <v>112.05</v>
      </c>
      <c r="CO9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-33448138211.824928</v>
      </c>
      <c r="CP93" s="72">
        <f>RPT-VLOOKUP(Outstanding_pos_BB_SBV[[#This Row],[Bonds_ShortName]],CT:CU,2,0)</f>
        <v>540</v>
      </c>
      <c r="CQ93" s="157">
        <f>SUMIFS(CC:CC,BZ:BZ,Outstanding_pos_BB_SBV[[#This Row],[Bonds_ShortName]])/10^5-VLOOKUP(Outstanding_pos_BB_SBV[[#This Row],[Bonds_ShortName]],FNRP!EE:FL,34,0)</f>
        <v>0</v>
      </c>
      <c r="CT93" t="s">
        <v>723</v>
      </c>
      <c r="CU93" s="502">
        <v>46083</v>
      </c>
      <c r="CV93" s="35"/>
    </row>
    <row r="94" spans="2:141" x14ac:dyDescent="0.3">
      <c r="D94" s="500"/>
      <c r="I94"/>
      <c r="AB94">
        <v>48334</v>
      </c>
      <c r="AC94" s="35">
        <v>46006</v>
      </c>
      <c r="AD94" t="s">
        <v>2834</v>
      </c>
      <c r="AE94" t="s">
        <v>2180</v>
      </c>
      <c r="AF94" t="s">
        <v>823</v>
      </c>
      <c r="AG94" s="500">
        <v>200000000000</v>
      </c>
      <c r="AH94">
        <v>2.7</v>
      </c>
      <c r="AI94">
        <v>49129</v>
      </c>
      <c r="AJ94">
        <v>2.72</v>
      </c>
      <c r="AK94">
        <v>7.88</v>
      </c>
      <c r="AL94" s="645" t="s">
        <v>2747</v>
      </c>
      <c r="AM94">
        <v>4.3499999999999996</v>
      </c>
      <c r="AN94" s="500">
        <v>-21296000000</v>
      </c>
      <c r="AO94">
        <v>6.83</v>
      </c>
      <c r="AP94">
        <v>-61131101.270000003</v>
      </c>
      <c r="AQ94">
        <v>340000000</v>
      </c>
      <c r="AR94">
        <v>56.17</v>
      </c>
      <c r="AS94" s="72">
        <f>SUM(_xlfn.IFNA(VLOOKUP(Outstanding_pos_BB_MSB[[#This Row],[Bonds_ShortName]],FNRP!AV:BA,6,0)*Outstanding_pos_BB_MSB[[#This Row],[Amt]]/10^4,0),_xlfn.IFNA((VLOOKUP(Outstanding_pos_BB_MSB[[#This Row],[Bonds_ShortName]],FNRP!IK:IP,6,0)*Outstanding_pos_BB_MSB[[#This Row],[Amt]]/10^4),0))</f>
        <v>1783760000000</v>
      </c>
      <c r="AT94" s="72">
        <f>(_xlfn.XLOOKUP(Outstanding_pos_BB_MSB[[#This Row],[Bonds_ShortName]],FNRP!AV:AV,FNRP!BA:BA,,0)
-_xlfn.XLOOKUP(Outstanding_pos_BB_MSB[[#This Row],[BondsDeals_Id]],BS!AL:AL,BS!AR:AR,_xlfn.XLOOKUP(Outstanding_pos_BB_MSB[[#This Row],[BondsDeals_Id]],BS!BA:BA,BS!BQ:BQ,,0),0)-10^5)
*Outstanding_pos_BB_MSB[[#This Row],[Amt]]/10^5</f>
        <v>-21329031463.424267</v>
      </c>
      <c r="AU94" s="72">
        <f>VLOOKUP(Outstanding_pos_BB_MSB[[#This Row],[Bonds_ShortName]],FNRP!AV:CD,35,0)</f>
        <v>2000000</v>
      </c>
      <c r="AV94" s="157">
        <f>SUMIFS(AG$1:AG$103,AD$1:AD$103,Outstanding_pos_BB_MSB[[#This Row],[Bonds_ShortName]])/10^5-Outstanding_pos_BB_MSB[[#This Row],[Quantity FNRP]]</f>
        <v>0</v>
      </c>
      <c r="AW94" s="72">
        <f>IF(RPT-Outstanding_pos_BB_MSB[[#This Row],[Value Date]]&lt;=0,0,RPT-Outstanding_pos_BB_MSB[[#This Row],[Value Date]])</f>
        <v>246</v>
      </c>
      <c r="AX94" s="32" t="str">
        <f>INDEX(Ref!$I$1:$K$13,MATCH(Outstanding_pos_BB_MSB[[#This Row],[Tenor left]],Ref!$I$1:$I$13,1),3)</f>
        <v>10Y</v>
      </c>
      <c r="AY94" s="72" t="str">
        <f>_xlfn.XLOOKUP(Outstanding_pos_BB_MSB[[#This Row],[Time hold/Deal]],Ref!S:S,Ref!U:U,,-1)</f>
        <v>9M</v>
      </c>
      <c r="BC94"/>
      <c r="BD94"/>
      <c r="BG94"/>
      <c r="BH94"/>
      <c r="BJ94"/>
      <c r="BN94"/>
      <c r="BO94"/>
      <c r="BQ94"/>
      <c r="BR94"/>
      <c r="BX94">
        <v>45562</v>
      </c>
      <c r="BY94" s="502">
        <v>45716</v>
      </c>
      <c r="BZ94" t="s">
        <v>2497</v>
      </c>
      <c r="CA94" t="s">
        <v>2180</v>
      </c>
      <c r="CB94" t="s">
        <v>823</v>
      </c>
      <c r="CC94" s="500">
        <v>150000000000</v>
      </c>
      <c r="CD94">
        <v>4.2</v>
      </c>
      <c r="CE94" s="502">
        <v>55966</v>
      </c>
      <c r="CF94">
        <v>3.03</v>
      </c>
      <c r="CG94">
        <v>26.61</v>
      </c>
      <c r="CH94" t="s">
        <v>2813</v>
      </c>
      <c r="CI94">
        <v>4.71</v>
      </c>
      <c r="CJ94" s="500">
        <v>-44356500000</v>
      </c>
      <c r="CK94">
        <v>15.08</v>
      </c>
      <c r="CL94" s="500">
        <v>-141778278.08000001</v>
      </c>
      <c r="CM94" s="500">
        <v>1715000000</v>
      </c>
      <c r="CN94">
        <v>325.38</v>
      </c>
      <c r="CO9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-42636336531.239502</v>
      </c>
      <c r="CP94" s="72">
        <f>RPT-VLOOKUP(Outstanding_pos_BB_SBV[[#This Row],[Bonds_ShortName]],CT:CU,2,0)</f>
        <v>-20</v>
      </c>
      <c r="CQ94" s="157">
        <f>SUMIFS(CC:CC,BZ:BZ,Outstanding_pos_BB_SBV[[#This Row],[Bonds_ShortName]])/10^5-VLOOKUP(Outstanding_pos_BB_SBV[[#This Row],[Bonds_ShortName]],FNRP!EE:FL,34,0)</f>
        <v>0</v>
      </c>
      <c r="CT94" t="s">
        <v>3517</v>
      </c>
      <c r="CU94" s="502">
        <v>46258</v>
      </c>
      <c r="CV94" s="35"/>
    </row>
    <row r="95" spans="2:141" x14ac:dyDescent="0.3">
      <c r="D95" s="500"/>
      <c r="I95"/>
      <c r="AB95">
        <v>48336</v>
      </c>
      <c r="AC95" s="35">
        <v>46010</v>
      </c>
      <c r="AD95" t="s">
        <v>2799</v>
      </c>
      <c r="AE95" t="s">
        <v>2180</v>
      </c>
      <c r="AF95" t="s">
        <v>823</v>
      </c>
      <c r="AG95" s="500">
        <v>150000000000</v>
      </c>
      <c r="AH95">
        <v>2.1</v>
      </c>
      <c r="AI95">
        <v>48955</v>
      </c>
      <c r="AJ95">
        <v>2.74</v>
      </c>
      <c r="AK95">
        <v>7.4</v>
      </c>
      <c r="AL95" s="645" t="s">
        <v>2746</v>
      </c>
      <c r="AM95">
        <v>4.33</v>
      </c>
      <c r="AN95" s="500">
        <v>-13923000000</v>
      </c>
      <c r="AO95">
        <v>6.51</v>
      </c>
      <c r="AP95">
        <v>-56870686.310000002</v>
      </c>
      <c r="AQ95">
        <v>1266000000</v>
      </c>
      <c r="AR95">
        <v>51.1</v>
      </c>
      <c r="AS95" s="72">
        <f>SUM(_xlfn.IFNA(VLOOKUP(Outstanding_pos_BB_MSB[[#This Row],[Bonds_ShortName]],FNRP!AV:BA,6,0)*Outstanding_pos_BB_MSB[[#This Row],[Amt]]/10^4,0),_xlfn.IFNA((VLOOKUP(Outstanding_pos_BB_MSB[[#This Row],[Bonds_ShortName]],FNRP!IK:IP,6,0)*Outstanding_pos_BB_MSB[[#This Row],[Amt]]/10^4),0))</f>
        <v>1292055000000</v>
      </c>
      <c r="AT95" s="72">
        <f>(_xlfn.XLOOKUP(Outstanding_pos_BB_MSB[[#This Row],[Bonds_ShortName]],FNRP!AV:AV,FNRP!BA:BA,,0)
-_xlfn.XLOOKUP(Outstanding_pos_BB_MSB[[#This Row],[BondsDeals_Id]],BS!AL:AL,BS!AR:AR,_xlfn.XLOOKUP(Outstanding_pos_BB_MSB[[#This Row],[BondsDeals_Id]],BS!BA:BA,BS!BQ:BQ,,0),0)-10^5)
*Outstanding_pos_BB_MSB[[#This Row],[Amt]]/10^5</f>
        <v>-14497319861.850832</v>
      </c>
      <c r="AU95" s="72">
        <f>VLOOKUP(Outstanding_pos_BB_MSB[[#This Row],[Bonds_ShortName]],FNRP!AV:CD,35,0)</f>
        <v>3500000</v>
      </c>
      <c r="AV95" s="157">
        <f>SUMIFS(AG$1:AG$103,AD$1:AD$103,Outstanding_pos_BB_MSB[[#This Row],[Bonds_ShortName]])/10^5-Outstanding_pos_BB_MSB[[#This Row],[Quantity FNRP]]</f>
        <v>0</v>
      </c>
      <c r="AW95" s="72">
        <f>IF(RPT-Outstanding_pos_BB_MSB[[#This Row],[Value Date]]&lt;=0,0,RPT-Outstanding_pos_BB_MSB[[#This Row],[Value Date]])</f>
        <v>242</v>
      </c>
      <c r="AX95" s="32" t="str">
        <f>INDEX(Ref!$I$1:$K$13,MATCH(Outstanding_pos_BB_MSB[[#This Row],[Tenor left]],Ref!$I$1:$I$13,1),3)</f>
        <v>7Y</v>
      </c>
      <c r="AY95" s="72" t="str">
        <f>_xlfn.XLOOKUP(Outstanding_pos_BB_MSB[[#This Row],[Time hold/Deal]],Ref!S:S,Ref!U:U,,-1)</f>
        <v>9M</v>
      </c>
      <c r="BC95"/>
      <c r="BD95"/>
      <c r="BG95"/>
      <c r="BH95"/>
      <c r="BJ95"/>
      <c r="BN95"/>
      <c r="BO95"/>
      <c r="BQ95"/>
      <c r="BR95"/>
      <c r="BX95">
        <v>45636</v>
      </c>
      <c r="BY95" s="502">
        <v>45722</v>
      </c>
      <c r="BZ95" t="s">
        <v>2381</v>
      </c>
      <c r="CA95" t="s">
        <v>2180</v>
      </c>
      <c r="CB95" t="s">
        <v>823</v>
      </c>
      <c r="CC95" s="500">
        <v>200000000000</v>
      </c>
      <c r="CD95">
        <v>4.5</v>
      </c>
      <c r="CE95" s="502">
        <v>48584</v>
      </c>
      <c r="CF95">
        <v>2.35</v>
      </c>
      <c r="CG95">
        <v>6.39</v>
      </c>
      <c r="CH95" t="s">
        <v>3644</v>
      </c>
      <c r="CI95">
        <v>4.29</v>
      </c>
      <c r="CJ95" s="500">
        <v>-28144000000</v>
      </c>
      <c r="CK95">
        <v>5.32</v>
      </c>
      <c r="CL95" s="500">
        <v>-55259019.450000003</v>
      </c>
      <c r="CM95" s="500">
        <v>2786000000</v>
      </c>
      <c r="CN95">
        <v>36.130000000000003</v>
      </c>
      <c r="CO9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-22497886533.988087</v>
      </c>
      <c r="CP95" s="72">
        <f>RPT-VLOOKUP(Outstanding_pos_BB_SBV[[#This Row],[Bonds_ShortName]],CT:CU,2,0)</f>
        <v>74</v>
      </c>
      <c r="CQ95" s="157">
        <f>SUMIFS(CC:CC,BZ:BZ,Outstanding_pos_BB_SBV[[#This Row],[Bonds_ShortName]])/10^5-VLOOKUP(Outstanding_pos_BB_SBV[[#This Row],[Bonds_ShortName]],FNRP!EE:FL,34,0)</f>
        <v>0</v>
      </c>
      <c r="CT95" t="s">
        <v>721</v>
      </c>
      <c r="CU95" s="502">
        <v>46225</v>
      </c>
      <c r="CV95" s="35"/>
    </row>
    <row r="96" spans="2:141" x14ac:dyDescent="0.3">
      <c r="D96" s="500"/>
      <c r="H96" s="35"/>
      <c r="I96"/>
      <c r="AB96">
        <v>48338</v>
      </c>
      <c r="AC96" s="35">
        <v>46006</v>
      </c>
      <c r="AD96" t="s">
        <v>2800</v>
      </c>
      <c r="AE96" t="s">
        <v>2180</v>
      </c>
      <c r="AF96" t="s">
        <v>823</v>
      </c>
      <c r="AG96" s="500">
        <v>150000000000</v>
      </c>
      <c r="AH96">
        <v>2.2999999999999998</v>
      </c>
      <c r="AI96">
        <v>50781</v>
      </c>
      <c r="AJ96">
        <v>2.96</v>
      </c>
      <c r="AK96">
        <v>12.41</v>
      </c>
      <c r="AL96" s="645" t="s">
        <v>2740</v>
      </c>
      <c r="AM96">
        <v>4.51</v>
      </c>
      <c r="AN96" s="500">
        <v>-20376000000</v>
      </c>
      <c r="AO96">
        <v>10.07</v>
      </c>
      <c r="AP96">
        <v>-81298587.519999996</v>
      </c>
      <c r="AQ96">
        <v>1386000000</v>
      </c>
      <c r="AR96">
        <v>122.75</v>
      </c>
      <c r="AS96" s="72">
        <f>SUM(_xlfn.IFNA(VLOOKUP(Outstanding_pos_BB_MSB[[#This Row],[Bonds_ShortName]],FNRP!AV:BA,6,0)*Outstanding_pos_BB_MSB[[#This Row],[Amt]]/10^4,0),_xlfn.IFNA((VLOOKUP(Outstanding_pos_BB_MSB[[#This Row],[Bonds_ShortName]],FNRP!IK:IP,6,0)*Outstanding_pos_BB_MSB[[#This Row],[Amt]]/10^4),0))</f>
        <v>1190100000000</v>
      </c>
      <c r="AT96" s="72">
        <f>(_xlfn.XLOOKUP(Outstanding_pos_BB_MSB[[#This Row],[Bonds_ShortName]],FNRP!AV:AV,FNRP!BA:BA,,0)
-_xlfn.XLOOKUP(Outstanding_pos_BB_MSB[[#This Row],[BondsDeals_Id]],BS!AL:AL,BS!AR:AR,_xlfn.XLOOKUP(Outstanding_pos_BB_MSB[[#This Row],[BondsDeals_Id]],BS!BA:BA,BS!BQ:BQ,,0),0)-10^5)
*Outstanding_pos_BB_MSB[[#This Row],[Amt]]/10^5</f>
        <v>-20930922808.577801</v>
      </c>
      <c r="AU96" s="72">
        <f>VLOOKUP(Outstanding_pos_BB_MSB[[#This Row],[Bonds_ShortName]],FNRP!AV:CD,35,0)</f>
        <v>6000000</v>
      </c>
      <c r="AV96" s="157">
        <f>SUMIFS(AG$1:AG$103,AD$1:AD$103,Outstanding_pos_BB_MSB[[#This Row],[Bonds_ShortName]])/10^5-Outstanding_pos_BB_MSB[[#This Row],[Quantity FNRP]]</f>
        <v>0</v>
      </c>
      <c r="AW96" s="72">
        <f>IF(RPT-Outstanding_pos_BB_MSB[[#This Row],[Value Date]]&lt;=0,0,RPT-Outstanding_pos_BB_MSB[[#This Row],[Value Date]])</f>
        <v>246</v>
      </c>
      <c r="AX96" s="32" t="str">
        <f>INDEX(Ref!$I$1:$K$13,MATCH(Outstanding_pos_BB_MSB[[#This Row],[Tenor left]],Ref!$I$1:$I$13,1),3)</f>
        <v>15Y</v>
      </c>
      <c r="AY96" s="72" t="str">
        <f>_xlfn.XLOOKUP(Outstanding_pos_BB_MSB[[#This Row],[Time hold/Deal]],Ref!S:S,Ref!U:U,,-1)</f>
        <v>9M</v>
      </c>
      <c r="BC96"/>
      <c r="BD96"/>
      <c r="BG96"/>
      <c r="BH96"/>
      <c r="BJ96"/>
      <c r="BN96"/>
      <c r="BO96"/>
      <c r="BQ96"/>
      <c r="BR96"/>
      <c r="BX96">
        <v>46900</v>
      </c>
      <c r="BY96" s="502">
        <v>45861</v>
      </c>
      <c r="BZ96" t="s">
        <v>616</v>
      </c>
      <c r="CA96" t="s">
        <v>824</v>
      </c>
      <c r="CB96" t="s">
        <v>823</v>
      </c>
      <c r="CC96" s="500">
        <v>50000000000</v>
      </c>
      <c r="CD96">
        <v>7.6</v>
      </c>
      <c r="CE96" s="502">
        <v>47952</v>
      </c>
      <c r="CF96">
        <v>2.16</v>
      </c>
      <c r="CG96">
        <v>4.6500000000000004</v>
      </c>
      <c r="CH96" t="s">
        <v>2745</v>
      </c>
      <c r="CI96">
        <v>4.1500000000000004</v>
      </c>
      <c r="CJ96" s="500">
        <v>-7324000000</v>
      </c>
      <c r="CK96">
        <v>3.88</v>
      </c>
      <c r="CL96" s="500">
        <v>-45414849.969999999</v>
      </c>
      <c r="CM96" s="500">
        <v>2644000000</v>
      </c>
      <c r="CN96">
        <v>20.170000000000002</v>
      </c>
      <c r="CO9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-4606573688.2791023</v>
      </c>
      <c r="CP96" s="72">
        <f>RPT-VLOOKUP(Outstanding_pos_BB_SBV[[#This Row],[Bonds_ShortName]],CT:CU,2,0)</f>
        <v>117</v>
      </c>
      <c r="CQ96" s="157">
        <f>SUMIFS(CC:CC,BZ:BZ,Outstanding_pos_BB_SBV[[#This Row],[Bonds_ShortName]])/10^5-VLOOKUP(Outstanding_pos_BB_SBV[[#This Row],[Bonds_ShortName]],FNRP!EE:FL,34,0)</f>
        <v>0</v>
      </c>
      <c r="CT96" t="s">
        <v>3118</v>
      </c>
      <c r="CU96" s="502">
        <v>46196</v>
      </c>
      <c r="CV96" s="35"/>
    </row>
    <row r="97" spans="4:100" x14ac:dyDescent="0.3">
      <c r="D97" s="500"/>
      <c r="I97"/>
      <c r="AB97">
        <v>48339</v>
      </c>
      <c r="AC97" s="35">
        <v>46006</v>
      </c>
      <c r="AD97" t="s">
        <v>2380</v>
      </c>
      <c r="AE97" t="s">
        <v>2180</v>
      </c>
      <c r="AF97" t="s">
        <v>823</v>
      </c>
      <c r="AG97" s="500">
        <v>50000000000</v>
      </c>
      <c r="AH97">
        <v>4.7</v>
      </c>
      <c r="AI97">
        <v>50410</v>
      </c>
      <c r="AJ97">
        <v>2.72</v>
      </c>
      <c r="AK97">
        <v>11.39</v>
      </c>
      <c r="AL97" s="645" t="s">
        <v>2740</v>
      </c>
      <c r="AM97">
        <v>4.4800000000000004</v>
      </c>
      <c r="AN97" s="500">
        <v>-9125000000</v>
      </c>
      <c r="AO97">
        <v>8.4700000000000006</v>
      </c>
      <c r="AP97">
        <v>-88733432.620000005</v>
      </c>
      <c r="AQ97">
        <v>2910000000</v>
      </c>
      <c r="AR97">
        <v>92.44</v>
      </c>
      <c r="AS97" s="72">
        <f>SUM(_xlfn.IFNA(VLOOKUP(Outstanding_pos_BB_MSB[[#This Row],[Bonds_ShortName]],FNRP!AV:BA,6,0)*Outstanding_pos_BB_MSB[[#This Row],[Amt]]/10^4,0),_xlfn.IFNA((VLOOKUP(Outstanding_pos_BB_MSB[[#This Row],[Bonds_ShortName]],FNRP!IK:IP,6,0)*Outstanding_pos_BB_MSB[[#This Row],[Amt]]/10^4),0))</f>
        <v>509350000000</v>
      </c>
      <c r="AT97" s="72">
        <f>(_xlfn.XLOOKUP(Outstanding_pos_BB_MSB[[#This Row],[Bonds_ShortName]],FNRP!AV:AV,FNRP!BA:BA,,0)
-_xlfn.XLOOKUP(Outstanding_pos_BB_MSB[[#This Row],[BondsDeals_Id]],BS!AL:AL,BS!AR:AR,_xlfn.XLOOKUP(Outstanding_pos_BB_MSB[[#This Row],[BondsDeals_Id]],BS!BA:BA,BS!BQ:BQ,,0),0)-10^5)
*Outstanding_pos_BB_MSB[[#This Row],[Amt]]/10^5</f>
        <v>-8560975063.1430874</v>
      </c>
      <c r="AU97" s="72">
        <f>VLOOKUP(Outstanding_pos_BB_MSB[[#This Row],[Bonds_ShortName]],FNRP!AV:CD,35,0)</f>
        <v>9000000</v>
      </c>
      <c r="AV97" s="157">
        <f>SUMIFS(AG$1:AG$103,AD$1:AD$103,Outstanding_pos_BB_MSB[[#This Row],[Bonds_ShortName]])/10^5-Outstanding_pos_BB_MSB[[#This Row],[Quantity FNRP]]</f>
        <v>0</v>
      </c>
      <c r="AW97" s="72">
        <f>IF(RPT-Outstanding_pos_BB_MSB[[#This Row],[Value Date]]&lt;=0,0,RPT-Outstanding_pos_BB_MSB[[#This Row],[Value Date]])</f>
        <v>246</v>
      </c>
      <c r="AX97" s="32" t="str">
        <f>INDEX(Ref!$I$1:$K$13,MATCH(Outstanding_pos_BB_MSB[[#This Row],[Tenor left]],Ref!$I$1:$I$13,1),3)</f>
        <v>15Y</v>
      </c>
      <c r="AY97" s="72" t="str">
        <f>_xlfn.XLOOKUP(Outstanding_pos_BB_MSB[[#This Row],[Time hold/Deal]],Ref!S:S,Ref!U:U,,-1)</f>
        <v>9M</v>
      </c>
      <c r="BC97"/>
      <c r="BD97"/>
      <c r="BG97"/>
      <c r="BH97"/>
      <c r="BJ97"/>
      <c r="BN97"/>
      <c r="BO97"/>
      <c r="BQ97"/>
      <c r="BR97"/>
      <c r="BX97">
        <v>46906</v>
      </c>
      <c r="BY97" s="502">
        <v>45866</v>
      </c>
      <c r="BZ97" t="s">
        <v>1204</v>
      </c>
      <c r="CA97" t="s">
        <v>2180</v>
      </c>
      <c r="CB97" t="s">
        <v>823</v>
      </c>
      <c r="CC97" s="500">
        <v>50000000000</v>
      </c>
      <c r="CD97">
        <v>5.3</v>
      </c>
      <c r="CE97" s="502">
        <v>48898</v>
      </c>
      <c r="CF97">
        <v>2.54</v>
      </c>
      <c r="CG97">
        <v>7.25</v>
      </c>
      <c r="CH97" t="s">
        <v>2746</v>
      </c>
      <c r="CI97">
        <v>4.32</v>
      </c>
      <c r="CJ97" s="500">
        <v>-7224000000</v>
      </c>
      <c r="CK97">
        <v>5.76</v>
      </c>
      <c r="CL97" s="500">
        <v>-63369797.009999998</v>
      </c>
      <c r="CM97" s="500">
        <v>4022000000</v>
      </c>
      <c r="CN97">
        <v>43.12</v>
      </c>
      <c r="CO9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-5921498585.8604126</v>
      </c>
      <c r="CP97" s="72">
        <f>RPT-VLOOKUP(Outstanding_pos_BB_SBV[[#This Row],[Bonds_ShortName]],CT:CU,2,0)</f>
        <v>389</v>
      </c>
      <c r="CQ97" s="157">
        <f>SUMIFS(CC:CC,BZ:BZ,Outstanding_pos_BB_SBV[[#This Row],[Bonds_ShortName]])/10^5-VLOOKUP(Outstanding_pos_BB_SBV[[#This Row],[Bonds_ShortName]],FNRP!EE:FL,34,0)</f>
        <v>0</v>
      </c>
      <c r="CT97" t="s">
        <v>732</v>
      </c>
      <c r="CU97" s="502">
        <v>46015</v>
      </c>
      <c r="CV97" s="35"/>
    </row>
    <row r="98" spans="4:100" x14ac:dyDescent="0.3">
      <c r="H98" s="35"/>
      <c r="I98"/>
      <c r="AB98">
        <v>48340</v>
      </c>
      <c r="AC98" s="35">
        <v>46006</v>
      </c>
      <c r="AD98" t="s">
        <v>712</v>
      </c>
      <c r="AE98" t="s">
        <v>2180</v>
      </c>
      <c r="AF98" t="s">
        <v>823</v>
      </c>
      <c r="AG98" s="500">
        <v>50000000000</v>
      </c>
      <c r="AH98">
        <v>3.6</v>
      </c>
      <c r="AI98">
        <v>51144</v>
      </c>
      <c r="AJ98">
        <v>2.9</v>
      </c>
      <c r="AK98">
        <v>13.4</v>
      </c>
      <c r="AL98" s="645" t="s">
        <v>2740</v>
      </c>
      <c r="AM98">
        <v>4.54</v>
      </c>
      <c r="AN98" s="500">
        <v>-8627000000</v>
      </c>
      <c r="AO98">
        <v>10.01</v>
      </c>
      <c r="AP98">
        <v>-93005742.140000001</v>
      </c>
      <c r="AQ98">
        <v>2190000000</v>
      </c>
      <c r="AR98">
        <v>127.16</v>
      </c>
      <c r="AS98" s="72">
        <f>SUM(_xlfn.IFNA(VLOOKUP(Outstanding_pos_BB_MSB[[#This Row],[Bonds_ShortName]],FNRP!AV:BA,6,0)*Outstanding_pos_BB_MSB[[#This Row],[Amt]]/10^4,0),_xlfn.IFNA((VLOOKUP(Outstanding_pos_BB_MSB[[#This Row],[Bonds_ShortName]],FNRP!IK:IP,6,0)*Outstanding_pos_BB_MSB[[#This Row],[Amt]]/10^4),0))</f>
        <v>453675000000</v>
      </c>
      <c r="AT98" s="72">
        <f>(_xlfn.XLOOKUP(Outstanding_pos_BB_MSB[[#This Row],[Bonds_ShortName]],FNRP!AV:AV,FNRP!BA:BA,,0)
-_xlfn.XLOOKUP(Outstanding_pos_BB_MSB[[#This Row],[BondsDeals_Id]],BS!AL:AL,BS!AR:AR,_xlfn.XLOOKUP(Outstanding_pos_BB_MSB[[#This Row],[BondsDeals_Id]],BS!BA:BA,BS!BQ:BQ,,0),0)-10^5)
*Outstanding_pos_BB_MSB[[#This Row],[Amt]]/10^5</f>
        <v>-8435245523.5500088</v>
      </c>
      <c r="AU98" s="72">
        <f>VLOOKUP(Outstanding_pos_BB_MSB[[#This Row],[Bonds_ShortName]],FNRP!AV:CD,35,0)</f>
        <v>4000000</v>
      </c>
      <c r="AV98" s="157">
        <f>SUMIFS(AG$1:AG$103,AD$1:AD$103,Outstanding_pos_BB_MSB[[#This Row],[Bonds_ShortName]])/10^5-Outstanding_pos_BB_MSB[[#This Row],[Quantity FNRP]]</f>
        <v>0</v>
      </c>
      <c r="AW98" s="72">
        <f>IF(RPT-Outstanding_pos_BB_MSB[[#This Row],[Value Date]]&lt;=0,0,RPT-Outstanding_pos_BB_MSB[[#This Row],[Value Date]])</f>
        <v>246</v>
      </c>
      <c r="AX98" s="32" t="str">
        <f>INDEX(Ref!$I$1:$K$13,MATCH(Outstanding_pos_BB_MSB[[#This Row],[Tenor left]],Ref!$I$1:$I$13,1),3)</f>
        <v>15Y</v>
      </c>
      <c r="AY98" s="72" t="str">
        <f>_xlfn.XLOOKUP(Outstanding_pos_BB_MSB[[#This Row],[Time hold/Deal]],Ref!S:S,Ref!U:U,,-1)</f>
        <v>9M</v>
      </c>
      <c r="BC98"/>
      <c r="BD98"/>
      <c r="BG98"/>
      <c r="BH98"/>
      <c r="BJ98"/>
      <c r="BN98"/>
      <c r="BO98"/>
      <c r="BQ98"/>
      <c r="BR98"/>
      <c r="BX98">
        <v>46914</v>
      </c>
      <c r="BY98" s="502">
        <v>45863</v>
      </c>
      <c r="BZ98" t="s">
        <v>709</v>
      </c>
      <c r="CA98" t="s">
        <v>2180</v>
      </c>
      <c r="CB98" t="s">
        <v>823</v>
      </c>
      <c r="CC98" s="500">
        <v>50000000000</v>
      </c>
      <c r="CD98">
        <v>5.2</v>
      </c>
      <c r="CE98" s="502">
        <v>50437</v>
      </c>
      <c r="CF98">
        <v>2.74</v>
      </c>
      <c r="CG98">
        <v>11.46</v>
      </c>
      <c r="CH98" t="s">
        <v>2740</v>
      </c>
      <c r="CI98">
        <v>4.49</v>
      </c>
      <c r="CJ98" s="500">
        <v>-9751500000</v>
      </c>
      <c r="CK98">
        <v>8.4</v>
      </c>
      <c r="CL98" s="500">
        <v>-91597363.689999998</v>
      </c>
      <c r="CM98" s="500">
        <v>2835000000</v>
      </c>
      <c r="CN98">
        <v>91.53</v>
      </c>
      <c r="CO9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-8653123437.415699</v>
      </c>
      <c r="CP98" s="72">
        <f>RPT-VLOOKUP(Outstanding_pos_BB_SBV[[#This Row],[Bonds_ShortName]],CT:CU,2,0)</f>
        <v>390</v>
      </c>
      <c r="CQ98" s="157">
        <f>SUMIFS(CC:CC,BZ:BZ,Outstanding_pos_BB_SBV[[#This Row],[Bonds_ShortName]])/10^5-VLOOKUP(Outstanding_pos_BB_SBV[[#This Row],[Bonds_ShortName]],FNRP!EE:FL,34,0)</f>
        <v>0</v>
      </c>
      <c r="CT98" t="s">
        <v>2499</v>
      </c>
      <c r="CU98" s="502">
        <v>46258</v>
      </c>
      <c r="CV98" s="35"/>
    </row>
    <row r="99" spans="4:100" x14ac:dyDescent="0.3">
      <c r="D99" s="500"/>
      <c r="I99"/>
      <c r="AB99">
        <v>48341</v>
      </c>
      <c r="AC99" s="35">
        <v>46006</v>
      </c>
      <c r="AD99" t="s">
        <v>2741</v>
      </c>
      <c r="AE99" t="s">
        <v>2180</v>
      </c>
      <c r="AF99" t="s">
        <v>823</v>
      </c>
      <c r="AG99" s="500">
        <v>50000000000</v>
      </c>
      <c r="AH99">
        <v>2.8</v>
      </c>
      <c r="AI99">
        <v>50578</v>
      </c>
      <c r="AJ99">
        <v>3.03</v>
      </c>
      <c r="AK99">
        <v>11.85</v>
      </c>
      <c r="AL99" s="645" t="s">
        <v>2740</v>
      </c>
      <c r="AM99">
        <v>4.5</v>
      </c>
      <c r="AN99" s="500">
        <v>-6471500000</v>
      </c>
      <c r="AO99">
        <v>9.59</v>
      </c>
      <c r="AP99">
        <v>-81640935.620000005</v>
      </c>
      <c r="AQ99">
        <v>445000000</v>
      </c>
      <c r="AR99">
        <v>111.41</v>
      </c>
      <c r="AS99" s="72">
        <f>SUM(_xlfn.IFNA(VLOOKUP(Outstanding_pos_BB_MSB[[#This Row],[Bonds_ShortName]],FNRP!AV:BA,6,0)*Outstanding_pos_BB_MSB[[#This Row],[Amt]]/10^4,0),_xlfn.IFNA((VLOOKUP(Outstanding_pos_BB_MSB[[#This Row],[Bonds_ShortName]],FNRP!IK:IP,6,0)*Outstanding_pos_BB_MSB[[#This Row],[Amt]]/10^4),0))</f>
        <v>423390000000</v>
      </c>
      <c r="AT99" s="72">
        <f>(_xlfn.XLOOKUP(Outstanding_pos_BB_MSB[[#This Row],[Bonds_ShortName]],FNRP!AV:AV,FNRP!BA:BA,,0)
-_xlfn.XLOOKUP(Outstanding_pos_BB_MSB[[#This Row],[BondsDeals_Id]],BS!AL:AL,BS!AR:AR,_xlfn.XLOOKUP(Outstanding_pos_BB_MSB[[#This Row],[BondsDeals_Id]],BS!BA:BA,BS!BQ:BQ,,0),0)-10^5)
*Outstanding_pos_BB_MSB[[#This Row],[Amt]]/10^5</f>
        <v>-6536643321.7680025</v>
      </c>
      <c r="AU99" s="72">
        <f>VLOOKUP(Outstanding_pos_BB_MSB[[#This Row],[Bonds_ShortName]],FNRP!AV:CD,35,0)</f>
        <v>8500000</v>
      </c>
      <c r="AV99" s="157">
        <f>SUMIFS(AG$1:AG$103,AD$1:AD$103,Outstanding_pos_BB_MSB[[#This Row],[Bonds_ShortName]])/10^5-Outstanding_pos_BB_MSB[[#This Row],[Quantity FNRP]]</f>
        <v>0</v>
      </c>
      <c r="AW99" s="72">
        <f>IF(RPT-Outstanding_pos_BB_MSB[[#This Row],[Value Date]]&lt;=0,0,RPT-Outstanding_pos_BB_MSB[[#This Row],[Value Date]])</f>
        <v>246</v>
      </c>
      <c r="AX99" s="32" t="str">
        <f>INDEX(Ref!$I$1:$K$13,MATCH(Outstanding_pos_BB_MSB[[#This Row],[Tenor left]],Ref!$I$1:$I$13,1),3)</f>
        <v>15Y</v>
      </c>
      <c r="AY99" s="72" t="str">
        <f>_xlfn.XLOOKUP(Outstanding_pos_BB_MSB[[#This Row],[Time hold/Deal]],Ref!S:S,Ref!U:U,,-1)</f>
        <v>9M</v>
      </c>
      <c r="BC99"/>
      <c r="BD99"/>
      <c r="BG99"/>
      <c r="BH99"/>
      <c r="BJ99"/>
      <c r="BN99"/>
      <c r="BO99"/>
      <c r="BQ99"/>
      <c r="BR99"/>
      <c r="BX99">
        <v>46937</v>
      </c>
      <c r="BY99" s="502">
        <v>45863</v>
      </c>
      <c r="BZ99" t="s">
        <v>2840</v>
      </c>
      <c r="CA99" t="s">
        <v>2180</v>
      </c>
      <c r="CB99" t="s">
        <v>823</v>
      </c>
      <c r="CC99" s="500">
        <v>300000000000</v>
      </c>
      <c r="CD99">
        <v>2.9</v>
      </c>
      <c r="CE99" s="502">
        <v>51004</v>
      </c>
      <c r="CF99">
        <v>2.84</v>
      </c>
      <c r="CG99">
        <v>13.02</v>
      </c>
      <c r="CH99" t="s">
        <v>2740</v>
      </c>
      <c r="CI99">
        <v>4.53</v>
      </c>
      <c r="CJ99" s="500">
        <v>-49236000000</v>
      </c>
      <c r="CK99">
        <v>10.34</v>
      </c>
      <c r="CL99" s="500">
        <v>-87107900.489999995</v>
      </c>
      <c r="CM99" s="500">
        <v>-24000000</v>
      </c>
      <c r="CN99">
        <v>129.88</v>
      </c>
      <c r="CO9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-49093397468.11158</v>
      </c>
      <c r="CP99" s="72">
        <f>RPT-VLOOKUP(Outstanding_pos_BB_SBV[[#This Row],[Bonds_ShortName]],CT:CU,2,0)</f>
        <v>301</v>
      </c>
      <c r="CQ99" s="157">
        <f>SUMIFS(CC:CC,BZ:BZ,Outstanding_pos_BB_SBV[[#This Row],[Bonds_ShortName]])/10^5-VLOOKUP(Outstanding_pos_BB_SBV[[#This Row],[Bonds_ShortName]],FNRP!EE:FL,34,0)</f>
        <v>0</v>
      </c>
      <c r="CT99" t="s">
        <v>686</v>
      </c>
      <c r="CU99" s="502">
        <v>45763</v>
      </c>
      <c r="CV99" s="35"/>
    </row>
    <row r="100" spans="4:100" x14ac:dyDescent="0.3">
      <c r="D100" s="721"/>
      <c r="H100" s="35"/>
      <c r="I100"/>
      <c r="AB100">
        <v>48343</v>
      </c>
      <c r="AC100" s="35">
        <v>46009</v>
      </c>
      <c r="AD100" t="s">
        <v>637</v>
      </c>
      <c r="AE100" t="s">
        <v>2180</v>
      </c>
      <c r="AF100" t="s">
        <v>823</v>
      </c>
      <c r="AG100" s="500">
        <v>50000000000</v>
      </c>
      <c r="AH100">
        <v>2.2999999999999998</v>
      </c>
      <c r="AI100">
        <v>47946</v>
      </c>
      <c r="AJ100">
        <v>2.11</v>
      </c>
      <c r="AK100">
        <v>4.6399999999999997</v>
      </c>
      <c r="AL100" s="645" t="s">
        <v>2745</v>
      </c>
      <c r="AM100">
        <v>4.1399999999999997</v>
      </c>
      <c r="AN100" s="500">
        <v>-4285500000</v>
      </c>
      <c r="AO100">
        <v>4.2300000000000004</v>
      </c>
      <c r="AP100">
        <v>-39420398.560000002</v>
      </c>
      <c r="AQ100">
        <v>838000000</v>
      </c>
      <c r="AR100">
        <v>22.55</v>
      </c>
      <c r="AS100" s="72">
        <f>SUM(_xlfn.IFNA(VLOOKUP(Outstanding_pos_BB_MSB[[#This Row],[Bonds_ShortName]],FNRP!AV:BA,6,0)*Outstanding_pos_BB_MSB[[#This Row],[Amt]]/10^4,0),_xlfn.IFNA((VLOOKUP(Outstanding_pos_BB_MSB[[#This Row],[Bonds_ShortName]],FNRP!IK:IP,6,0)*Outstanding_pos_BB_MSB[[#This Row],[Amt]]/10^4),0))</f>
        <v>461805000000</v>
      </c>
      <c r="AT100" s="72">
        <f>(_xlfn.XLOOKUP(Outstanding_pos_BB_MSB[[#This Row],[Bonds_ShortName]],FNRP!AV:AV,FNRP!BA:BA,,0)
-_xlfn.XLOOKUP(Outstanding_pos_BB_MSB[[#This Row],[BondsDeals_Id]],BS!AL:AL,BS!AR:AR,_xlfn.XLOOKUP(Outstanding_pos_BB_MSB[[#This Row],[BondsDeals_Id]],BS!BA:BA,BS!BQ:BQ,,0),0)-10^5)
*Outstanding_pos_BB_MSB[[#This Row],[Amt]]/10^5</f>
        <v>-4230055583.0581145</v>
      </c>
      <c r="AU100" s="72">
        <f>VLOOKUP(Outstanding_pos_BB_MSB[[#This Row],[Bonds_ShortName]],FNRP!AV:CD,35,0)</f>
        <v>500000</v>
      </c>
      <c r="AV100" s="157">
        <f>SUMIFS(AG$1:AG$103,AD$1:AD$103,Outstanding_pos_BB_MSB[[#This Row],[Bonds_ShortName]])/10^5-Outstanding_pos_BB_MSB[[#This Row],[Quantity FNRP]]</f>
        <v>0</v>
      </c>
      <c r="AW100" s="72">
        <f>IF(RPT-Outstanding_pos_BB_MSB[[#This Row],[Value Date]]&lt;=0,0,RPT-Outstanding_pos_BB_MSB[[#This Row],[Value Date]])</f>
        <v>243</v>
      </c>
      <c r="AX100" s="32" t="str">
        <f>INDEX(Ref!$I$1:$K$13,MATCH(Outstanding_pos_BB_MSB[[#This Row],[Tenor left]],Ref!$I$1:$I$13,1),3)</f>
        <v>5Y</v>
      </c>
      <c r="AY100" s="72" t="str">
        <f>_xlfn.XLOOKUP(Outstanding_pos_BB_MSB[[#This Row],[Time hold/Deal]],Ref!S:S,Ref!U:U,,-1)</f>
        <v>9M</v>
      </c>
      <c r="BC100"/>
      <c r="BD100"/>
      <c r="BG100"/>
      <c r="BH100"/>
      <c r="BJ100"/>
      <c r="BN100"/>
      <c r="BO100"/>
      <c r="BQ100"/>
      <c r="BR100"/>
      <c r="BX100">
        <v>46965</v>
      </c>
      <c r="BY100" s="502">
        <v>45869</v>
      </c>
      <c r="BZ100" t="s">
        <v>669</v>
      </c>
      <c r="CA100" t="s">
        <v>2180</v>
      </c>
      <c r="CB100" t="s">
        <v>823</v>
      </c>
      <c r="CC100" s="500">
        <v>250000000000</v>
      </c>
      <c r="CD100">
        <v>4.5999999999999996</v>
      </c>
      <c r="CE100" s="502">
        <v>49150</v>
      </c>
      <c r="CF100">
        <v>2.63</v>
      </c>
      <c r="CG100">
        <v>7.94</v>
      </c>
      <c r="CH100" t="s">
        <v>2747</v>
      </c>
      <c r="CI100">
        <v>4.3499999999999996</v>
      </c>
      <c r="CJ100" s="500">
        <v>-34882500000</v>
      </c>
      <c r="CK100">
        <v>6.53</v>
      </c>
      <c r="CL100" s="500">
        <v>-66560179.43</v>
      </c>
      <c r="CM100" s="500">
        <v>315000000</v>
      </c>
      <c r="CN100">
        <v>53</v>
      </c>
      <c r="CO10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-30324736496.557598</v>
      </c>
      <c r="CP100" s="72">
        <f>RPT-VLOOKUP(Outstanding_pos_BB_SBV[[#This Row],[Bonds_ShortName]],CT:CU,2,0)</f>
        <v>384</v>
      </c>
      <c r="CQ100" s="157">
        <f>SUMIFS(CC:CC,BZ:BZ,Outstanding_pos_BB_SBV[[#This Row],[Bonds_ShortName]])/10^5-VLOOKUP(Outstanding_pos_BB_SBV[[#This Row],[Bonds_ShortName]],FNRP!EE:FL,34,0)</f>
        <v>0</v>
      </c>
      <c r="CT100" t="s">
        <v>2381</v>
      </c>
      <c r="CU100" s="502">
        <v>46178</v>
      </c>
      <c r="CV100" s="35"/>
    </row>
    <row r="101" spans="4:100" x14ac:dyDescent="0.3">
      <c r="I101"/>
      <c r="AB101">
        <v>48344</v>
      </c>
      <c r="AC101" s="35">
        <v>46007</v>
      </c>
      <c r="AD101" t="s">
        <v>2498</v>
      </c>
      <c r="AE101" t="s">
        <v>2180</v>
      </c>
      <c r="AF101" t="s">
        <v>823</v>
      </c>
      <c r="AG101" s="500">
        <v>50000000000</v>
      </c>
      <c r="AH101">
        <v>3.7</v>
      </c>
      <c r="AI101">
        <v>52320</v>
      </c>
      <c r="AJ101">
        <v>2.97</v>
      </c>
      <c r="AK101">
        <v>16.62</v>
      </c>
      <c r="AL101" s="645" t="s">
        <v>3593</v>
      </c>
      <c r="AM101">
        <v>4.6100000000000003</v>
      </c>
      <c r="AN101" s="500">
        <v>-10065000000</v>
      </c>
      <c r="AO101">
        <v>11.72</v>
      </c>
      <c r="AP101">
        <v>-106676361</v>
      </c>
      <c r="AQ101">
        <v>1439000000</v>
      </c>
      <c r="AR101">
        <v>177.45</v>
      </c>
      <c r="AS101" s="72">
        <f>SUM(_xlfn.IFNA(VLOOKUP(Outstanding_pos_BB_MSB[[#This Row],[Bonds_ShortName]],FNRP!AV:BA,6,0)*Outstanding_pos_BB_MSB[[#This Row],[Amt]]/10^4,0),_xlfn.IFNA((VLOOKUP(Outstanding_pos_BB_MSB[[#This Row],[Bonds_ShortName]],FNRP!IK:IP,6,0)*Outstanding_pos_BB_MSB[[#This Row],[Amt]]/10^4),0))</f>
        <v>448080000000</v>
      </c>
      <c r="AT101" s="72">
        <f>(_xlfn.XLOOKUP(Outstanding_pos_BB_MSB[[#This Row],[Bonds_ShortName]],FNRP!AV:AV,FNRP!BA:BA,,0)
-_xlfn.XLOOKUP(Outstanding_pos_BB_MSB[[#This Row],[BondsDeals_Id]],BS!AL:AL,BS!AR:AR,_xlfn.XLOOKUP(Outstanding_pos_BB_MSB[[#This Row],[BondsDeals_Id]],BS!BA:BA,BS!BQ:BQ,,0),0)-10^5)
*Outstanding_pos_BB_MSB[[#This Row],[Amt]]/10^5</f>
        <v>-9875711783.0352211</v>
      </c>
      <c r="AU101" s="72">
        <f>VLOOKUP(Outstanding_pos_BB_MSB[[#This Row],[Bonds_ShortName]],FNRP!AV:CD,35,0)</f>
        <v>500000</v>
      </c>
      <c r="AV101" s="157">
        <f>SUMIFS(AG$1:AG$103,AD$1:AD$103,Outstanding_pos_BB_MSB[[#This Row],[Bonds_ShortName]])/10^5-Outstanding_pos_BB_MSB[[#This Row],[Quantity FNRP]]</f>
        <v>0</v>
      </c>
      <c r="AW101" s="72">
        <f>IF(RPT-Outstanding_pos_BB_MSB[[#This Row],[Value Date]]&lt;=0,0,RPT-Outstanding_pos_BB_MSB[[#This Row],[Value Date]])</f>
        <v>245</v>
      </c>
      <c r="AX101" s="32" t="str">
        <f>INDEX(Ref!$I$1:$K$13,MATCH(Outstanding_pos_BB_MSB[[#This Row],[Tenor left]],Ref!$I$1:$I$13,1),3)</f>
        <v>20Y</v>
      </c>
      <c r="AY101" s="72" t="str">
        <f>_xlfn.XLOOKUP(Outstanding_pos_BB_MSB[[#This Row],[Time hold/Deal]],Ref!S:S,Ref!U:U,,-1)</f>
        <v>9M</v>
      </c>
      <c r="BC101"/>
      <c r="BD101"/>
      <c r="BG101"/>
      <c r="BH101"/>
      <c r="BJ101"/>
      <c r="BN101"/>
      <c r="BO101"/>
      <c r="BQ101"/>
      <c r="BR101"/>
      <c r="BX101">
        <v>46995</v>
      </c>
      <c r="BY101" s="502">
        <v>45877</v>
      </c>
      <c r="BZ101" t="s">
        <v>710</v>
      </c>
      <c r="CA101" t="s">
        <v>2180</v>
      </c>
      <c r="CB101" t="s">
        <v>823</v>
      </c>
      <c r="CC101" s="500">
        <v>100000000000</v>
      </c>
      <c r="CD101">
        <v>5.6</v>
      </c>
      <c r="CE101" s="502">
        <v>50787</v>
      </c>
      <c r="CF101">
        <v>2.85</v>
      </c>
      <c r="CG101">
        <v>12.42</v>
      </c>
      <c r="CH101" t="s">
        <v>2740</v>
      </c>
      <c r="CI101">
        <v>4.51</v>
      </c>
      <c r="CJ101" s="500">
        <v>-20185000000</v>
      </c>
      <c r="CK101">
        <v>8.7799999999999994</v>
      </c>
      <c r="CL101" s="500">
        <v>-99545976.120000005</v>
      </c>
      <c r="CM101" s="500">
        <v>3283000000</v>
      </c>
      <c r="CN101">
        <v>101.6</v>
      </c>
      <c r="CO10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-17861130312.752792</v>
      </c>
      <c r="CP101" s="72">
        <f>RPT-VLOOKUP(Outstanding_pos_BB_SBV[[#This Row],[Bonds_ShortName]],CT:CU,2,0)</f>
        <v>22</v>
      </c>
      <c r="CQ101" s="157">
        <f>SUMIFS(CC:CC,BZ:BZ,Outstanding_pos_BB_SBV[[#This Row],[Bonds_ShortName]])/10^5-VLOOKUP(Outstanding_pos_BB_SBV[[#This Row],[Bonds_ShortName]],FNRP!EE:FL,34,0)</f>
        <v>0</v>
      </c>
      <c r="CT101" t="s">
        <v>637</v>
      </c>
      <c r="CU101" s="502">
        <v>46008</v>
      </c>
      <c r="CV101" s="35"/>
    </row>
    <row r="102" spans="4:100" x14ac:dyDescent="0.3">
      <c r="I102"/>
      <c r="AB102">
        <v>48359</v>
      </c>
      <c r="AC102" s="35">
        <v>46010</v>
      </c>
      <c r="AD102" t="s">
        <v>2775</v>
      </c>
      <c r="AE102" t="s">
        <v>2180</v>
      </c>
      <c r="AF102" t="s">
        <v>907</v>
      </c>
      <c r="AG102" s="500">
        <v>200000000000</v>
      </c>
      <c r="AH102">
        <v>3.6</v>
      </c>
      <c r="AI102">
        <v>50723</v>
      </c>
      <c r="AJ102">
        <v>3.25</v>
      </c>
      <c r="AK102">
        <v>12.25</v>
      </c>
      <c r="AL102" s="645" t="s">
        <v>2740</v>
      </c>
      <c r="AM102">
        <v>5.01</v>
      </c>
      <c r="AN102" s="500">
        <v>-32586000000</v>
      </c>
      <c r="AO102">
        <v>9.18</v>
      </c>
      <c r="AP102">
        <v>-82676708.909999996</v>
      </c>
      <c r="AQ102">
        <v>2742000000</v>
      </c>
      <c r="AR102">
        <v>107.43</v>
      </c>
      <c r="AS102" s="72">
        <f>SUM(_xlfn.IFNA(VLOOKUP(Outstanding_pos_BB_MSB[[#This Row],[Bonds_ShortName]],FNRP!AV:BA,6,0)*Outstanding_pos_BB_MSB[[#This Row],[Amt]]/10^4,0),_xlfn.IFNA((VLOOKUP(Outstanding_pos_BB_MSB[[#This Row],[Bonds_ShortName]],FNRP!IK:IP,6,0)*Outstanding_pos_BB_MSB[[#This Row],[Amt]]/10^4),0))</f>
        <v>1746840000000</v>
      </c>
      <c r="AT102" s="72">
        <f>(_xlfn.XLOOKUP(Outstanding_pos_BB_MSB[[#This Row],[Bonds_ShortName]],FNRP!AV:AV,FNRP!BA:BA,,0)
-_xlfn.XLOOKUP(Outstanding_pos_BB_MSB[[#This Row],[BondsDeals_Id]],BS!AL:AL,BS!AR:AR,_xlfn.XLOOKUP(Outstanding_pos_BB_MSB[[#This Row],[BondsDeals_Id]],BS!BA:BA,BS!BQ:BQ,,0),0)-10^5)
*Outstanding_pos_BB_MSB[[#This Row],[Amt]]/10^5</f>
        <v>-32214566308.868786</v>
      </c>
      <c r="AU102" s="72">
        <f>VLOOKUP(Outstanding_pos_BB_MSB[[#This Row],[Bonds_ShortName]],FNRP!AV:CD,35,0)</f>
        <v>4580000</v>
      </c>
      <c r="AV102" s="157">
        <f>SUMIFS(AG$1:AG$103,AD$1:AD$103,Outstanding_pos_BB_MSB[[#This Row],[Bonds_ShortName]])/10^5-Outstanding_pos_BB_MSB[[#This Row],[Quantity FNRP]]</f>
        <v>0</v>
      </c>
      <c r="AW102" s="72">
        <f>IF(RPT-Outstanding_pos_BB_MSB[[#This Row],[Value Date]]&lt;=0,0,RPT-Outstanding_pos_BB_MSB[[#This Row],[Value Date]])</f>
        <v>242</v>
      </c>
      <c r="AX102" s="32" t="str">
        <f>INDEX(Ref!$I$1:$K$13,MATCH(Outstanding_pos_BB_MSB[[#This Row],[Tenor left]],Ref!$I$1:$I$13,1),3)</f>
        <v>15Y</v>
      </c>
      <c r="AY102" s="72" t="str">
        <f>_xlfn.XLOOKUP(Outstanding_pos_BB_MSB[[#This Row],[Time hold/Deal]],Ref!S:S,Ref!U:U,,-1)</f>
        <v>9M</v>
      </c>
      <c r="BC102"/>
      <c r="BD102"/>
      <c r="BG102"/>
      <c r="BH102"/>
      <c r="BJ102"/>
      <c r="BN102"/>
      <c r="BO102"/>
      <c r="BQ102"/>
      <c r="BR102"/>
      <c r="BX102">
        <v>47019</v>
      </c>
      <c r="BY102" s="502">
        <v>45869</v>
      </c>
      <c r="BZ102" t="s">
        <v>2497</v>
      </c>
      <c r="CA102" t="s">
        <v>2180</v>
      </c>
      <c r="CB102" t="s">
        <v>823</v>
      </c>
      <c r="CC102" s="500">
        <v>100000000000</v>
      </c>
      <c r="CD102">
        <v>4.2</v>
      </c>
      <c r="CE102" s="502">
        <v>55966</v>
      </c>
      <c r="CF102">
        <v>3.03</v>
      </c>
      <c r="CG102">
        <v>26.61</v>
      </c>
      <c r="CH102" t="s">
        <v>2813</v>
      </c>
      <c r="CI102">
        <v>4.71</v>
      </c>
      <c r="CJ102" s="500">
        <v>-29349000000</v>
      </c>
      <c r="CK102">
        <v>15.08</v>
      </c>
      <c r="CL102" s="500">
        <v>-141778278.08000001</v>
      </c>
      <c r="CM102" s="500">
        <v>1715000000</v>
      </c>
      <c r="CN102">
        <v>325.38</v>
      </c>
      <c r="CO10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-28525591209.107197</v>
      </c>
      <c r="CP102" s="72">
        <f>RPT-VLOOKUP(Outstanding_pos_BB_SBV[[#This Row],[Bonds_ShortName]],CT:CU,2,0)</f>
        <v>-20</v>
      </c>
      <c r="CQ102" s="157">
        <f>SUMIFS(CC:CC,BZ:BZ,Outstanding_pos_BB_SBV[[#This Row],[Bonds_ShortName]])/10^5-VLOOKUP(Outstanding_pos_BB_SBV[[#This Row],[Bonds_ShortName]],FNRP!EE:FL,34,0)</f>
        <v>0</v>
      </c>
      <c r="CT102" t="s">
        <v>1204</v>
      </c>
      <c r="CU102" s="502">
        <v>45863</v>
      </c>
      <c r="CV102" s="35"/>
    </row>
    <row r="103" spans="4:100" x14ac:dyDescent="0.3">
      <c r="I103"/>
      <c r="AB103">
        <v>4553</v>
      </c>
      <c r="AC103" s="35">
        <v>41918</v>
      </c>
      <c r="AD103" t="s">
        <v>593</v>
      </c>
      <c r="AE103" t="s">
        <v>2180</v>
      </c>
      <c r="AF103" t="s">
        <v>823</v>
      </c>
      <c r="AG103" s="500">
        <v>1490400000</v>
      </c>
      <c r="AH103">
        <v>8.8000000000000007</v>
      </c>
      <c r="AI103">
        <v>47192</v>
      </c>
      <c r="AJ103">
        <v>6.96</v>
      </c>
      <c r="AK103">
        <v>2.57</v>
      </c>
      <c r="AL103" s="645" t="s">
        <v>3183</v>
      </c>
      <c r="AM103">
        <v>3.67</v>
      </c>
      <c r="AN103" s="500">
        <v>-1397765814</v>
      </c>
      <c r="AO103">
        <v>2.27</v>
      </c>
      <c r="AP103">
        <v>-26314832.68</v>
      </c>
      <c r="AQ103">
        <v>3785000000</v>
      </c>
      <c r="AR103">
        <v>7.62</v>
      </c>
      <c r="AS103" s="72">
        <f>SUM(_xlfn.IFNA(VLOOKUP(Outstanding_pos_BB_MSB[[#This Row],[Bonds_ShortName]],FNRP!AV:BA,6,0)*Outstanding_pos_BB_MSB[[#This Row],[Amt]]/10^4,0),_xlfn.IFNA((VLOOKUP(Outstanding_pos_BB_MSB[[#This Row],[Bonds_ShortName]],FNRP!IK:IP,6,0)*Outstanding_pos_BB_MSB[[#This Row],[Amt]]/10^4),0))</f>
        <v>16741812240</v>
      </c>
      <c r="AT103" s="72">
        <f>(_xlfn.XLOOKUP(Outstanding_pos_BB_MSB[[#This Row],[Bonds_ShortName]],FNRP!AV:AV,FNRP!BA:BA,,0)
-_xlfn.XLOOKUP(Outstanding_pos_BB_MSB[[#This Row],[BondsDeals_Id]],BS!AL:AL,BS!AR:AR,_xlfn.XLOOKUP(Outstanding_pos_BB_MSB[[#This Row],[BondsDeals_Id]],BS!BA:BA,BS!BQ:BQ,,0),0)-10^5)
*Outstanding_pos_BB_MSB[[#This Row],[Amt]]/10^5</f>
        <v>140378076.39478531</v>
      </c>
      <c r="AU103" s="72">
        <f>VLOOKUP(Outstanding_pos_BB_MSB[[#This Row],[Bonds_ShortName]],FNRP!AV:CD,35,0)</f>
        <v>14904</v>
      </c>
      <c r="AV103" s="157">
        <f>SUMIFS(AG$1:AG$103,AD$1:AD$103,Outstanding_pos_BB_MSB[[#This Row],[Bonds_ShortName]])/10^5-Outstanding_pos_BB_MSB[[#This Row],[Quantity FNRP]]</f>
        <v>0</v>
      </c>
      <c r="AW103" s="72">
        <f>IF(RPT-Outstanding_pos_BB_MSB[[#This Row],[Value Date]]&lt;=0,0,RPT-Outstanding_pos_BB_MSB[[#This Row],[Value Date]])</f>
        <v>4334</v>
      </c>
      <c r="AX103" s="32" t="str">
        <f>INDEX(Ref!$I$1:$K$13,MATCH(Outstanding_pos_BB_MSB[[#This Row],[Tenor left]],Ref!$I$1:$I$13,1),3)</f>
        <v>3Y</v>
      </c>
      <c r="AY103" s="72" t="str">
        <f>_xlfn.XLOOKUP(Outstanding_pos_BB_MSB[[#This Row],[Time hold/Deal]],Ref!S:S,Ref!U:U,,-1)</f>
        <v>3Y</v>
      </c>
      <c r="BC103"/>
      <c r="BD103"/>
      <c r="BG103"/>
      <c r="BH103"/>
      <c r="BJ103"/>
      <c r="BN103"/>
      <c r="BO103"/>
      <c r="BQ103"/>
      <c r="BR103"/>
      <c r="BX103">
        <v>47035</v>
      </c>
      <c r="BY103" s="502">
        <v>45870</v>
      </c>
      <c r="BZ103" t="s">
        <v>1147</v>
      </c>
      <c r="CA103" t="s">
        <v>2180</v>
      </c>
      <c r="CB103" t="s">
        <v>907</v>
      </c>
      <c r="CC103" s="500">
        <v>100000000000</v>
      </c>
      <c r="CD103">
        <v>6</v>
      </c>
      <c r="CE103" s="502">
        <v>48861</v>
      </c>
      <c r="CF103">
        <v>3</v>
      </c>
      <c r="CG103">
        <v>7.15</v>
      </c>
      <c r="CH103" t="s">
        <v>2746</v>
      </c>
      <c r="CI103">
        <v>4.82</v>
      </c>
      <c r="CJ103" s="500">
        <v>-14486000000</v>
      </c>
      <c r="CK103">
        <v>5.52</v>
      </c>
      <c r="CL103" s="500">
        <v>-61859744.670000002</v>
      </c>
      <c r="CM103" s="500">
        <v>5162000000</v>
      </c>
      <c r="CN103">
        <v>40.35</v>
      </c>
      <c r="CO10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-11734043152.287893</v>
      </c>
      <c r="CP103" s="72">
        <f>RPT-VLOOKUP(Outstanding_pos_BB_SBV[[#This Row],[Bonds_ShortName]],CT:CU,2,0)</f>
        <v>383</v>
      </c>
      <c r="CQ103" s="157">
        <f>SUMIFS(CC:CC,BZ:BZ,Outstanding_pos_BB_SBV[[#This Row],[Bonds_ShortName]])/10^5-VLOOKUP(Outstanding_pos_BB_SBV[[#This Row],[Bonds_ShortName]],FNRP!EE:FL,34,0)</f>
        <v>0</v>
      </c>
      <c r="CT103" t="s">
        <v>715</v>
      </c>
      <c r="CU103" s="502">
        <v>46189</v>
      </c>
      <c r="CV103" s="35"/>
    </row>
    <row r="104" spans="4:100" x14ac:dyDescent="0.3">
      <c r="I104"/>
      <c r="BC104"/>
      <c r="BD104"/>
      <c r="BG104"/>
      <c r="BH104"/>
      <c r="BJ104"/>
      <c r="BN104"/>
      <c r="BO104"/>
      <c r="BQ104"/>
      <c r="BR104"/>
      <c r="BX104">
        <v>47036</v>
      </c>
      <c r="BY104" s="502">
        <v>45870</v>
      </c>
      <c r="BZ104" t="s">
        <v>2775</v>
      </c>
      <c r="CA104" t="s">
        <v>2180</v>
      </c>
      <c r="CB104" t="s">
        <v>907</v>
      </c>
      <c r="CC104" s="500">
        <v>258000000000</v>
      </c>
      <c r="CD104">
        <v>3.6</v>
      </c>
      <c r="CE104" s="502">
        <v>50723</v>
      </c>
      <c r="CF104">
        <v>3.19</v>
      </c>
      <c r="CG104">
        <v>12.25</v>
      </c>
      <c r="CH104" t="s">
        <v>2740</v>
      </c>
      <c r="CI104">
        <v>5.01</v>
      </c>
      <c r="CJ104" s="500">
        <v>-43934820000</v>
      </c>
      <c r="CK104">
        <v>9.18</v>
      </c>
      <c r="CL104" s="500">
        <v>-82676708.909999996</v>
      </c>
      <c r="CM104" s="500">
        <v>2742000000</v>
      </c>
      <c r="CN104">
        <v>107.43</v>
      </c>
      <c r="CO10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-43048663354.005005</v>
      </c>
      <c r="CP104" s="72">
        <f>RPT-VLOOKUP(Outstanding_pos_BB_SBV[[#This Row],[Bonds_ShortName]],CT:CU,2,0)</f>
        <v>243</v>
      </c>
      <c r="CQ104" s="157">
        <f>SUMIFS(CC:CC,BZ:BZ,Outstanding_pos_BB_SBV[[#This Row],[Bonds_ShortName]])/10^5-VLOOKUP(Outstanding_pos_BB_SBV[[#This Row],[Bonds_ShortName]],FNRP!EE:FL,34,0)</f>
        <v>0</v>
      </c>
      <c r="CT104" t="s">
        <v>724</v>
      </c>
      <c r="CU104" s="502">
        <v>46148</v>
      </c>
      <c r="CV104" s="35"/>
    </row>
    <row r="105" spans="4:100" x14ac:dyDescent="0.3">
      <c r="I105"/>
      <c r="AN105" s="645"/>
      <c r="BC105"/>
      <c r="BD105"/>
      <c r="BG105"/>
      <c r="BH105"/>
      <c r="BJ105"/>
      <c r="BN105"/>
      <c r="BO105"/>
      <c r="BQ105"/>
      <c r="BR105"/>
      <c r="BX105">
        <v>47096</v>
      </c>
      <c r="BY105" s="502">
        <v>45876</v>
      </c>
      <c r="BZ105" t="s">
        <v>2502</v>
      </c>
      <c r="CA105" t="s">
        <v>824</v>
      </c>
      <c r="CB105" t="s">
        <v>823</v>
      </c>
      <c r="CC105" s="500">
        <v>50000000000</v>
      </c>
      <c r="CD105">
        <v>3.2</v>
      </c>
      <c r="CE105" s="502">
        <v>48682</v>
      </c>
      <c r="CF105">
        <v>2.48</v>
      </c>
      <c r="CG105">
        <v>6.65</v>
      </c>
      <c r="CH105" t="s">
        <v>2746</v>
      </c>
      <c r="CI105">
        <v>4.3</v>
      </c>
      <c r="CJ105" s="500">
        <v>-5599500000</v>
      </c>
      <c r="CK105">
        <v>5.76</v>
      </c>
      <c r="CL105" s="500">
        <v>-54632672.810000002</v>
      </c>
      <c r="CM105" s="500">
        <v>1122000000</v>
      </c>
      <c r="CN105">
        <v>40.909999999999997</v>
      </c>
      <c r="CO10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-5267574353.879652</v>
      </c>
      <c r="CP105" s="72">
        <f>RPT-VLOOKUP(Outstanding_pos_BB_SBV[[#This Row],[Bonds_ShortName]],CT:CU,2,0)</f>
        <v>377</v>
      </c>
      <c r="CQ105" s="157">
        <f>SUMIFS(CC:CC,BZ:BZ,Outstanding_pos_BB_SBV[[#This Row],[Bonds_ShortName]])/10^5-VLOOKUP(Outstanding_pos_BB_SBV[[#This Row],[Bonds_ShortName]],FNRP!EE:FL,34,0)</f>
        <v>0</v>
      </c>
      <c r="CT105" t="s">
        <v>669</v>
      </c>
      <c r="CU105" s="502">
        <v>45868</v>
      </c>
      <c r="CV105" s="35"/>
    </row>
    <row r="106" spans="4:100" x14ac:dyDescent="0.3">
      <c r="I106"/>
      <c r="BC106"/>
      <c r="BD106"/>
      <c r="BG106"/>
      <c r="BH106"/>
      <c r="BJ106"/>
      <c r="BN106"/>
      <c r="BO106"/>
      <c r="BQ106"/>
      <c r="BR106"/>
      <c r="BX106">
        <v>47108</v>
      </c>
      <c r="BY106" s="502">
        <v>45877</v>
      </c>
      <c r="BZ106" t="s">
        <v>2380</v>
      </c>
      <c r="CA106" t="s">
        <v>2180</v>
      </c>
      <c r="CB106" t="s">
        <v>823</v>
      </c>
      <c r="CC106" s="500">
        <v>200000000000</v>
      </c>
      <c r="CD106">
        <v>4.7</v>
      </c>
      <c r="CE106" s="502">
        <v>50410</v>
      </c>
      <c r="CF106">
        <v>2.72</v>
      </c>
      <c r="CG106">
        <v>11.39</v>
      </c>
      <c r="CH106" t="s">
        <v>2740</v>
      </c>
      <c r="CI106">
        <v>4.4800000000000004</v>
      </c>
      <c r="CJ106" s="500">
        <v>-37472000000</v>
      </c>
      <c r="CK106">
        <v>8.4700000000000006</v>
      </c>
      <c r="CL106" s="500">
        <v>-88733432.620000005</v>
      </c>
      <c r="CM106" s="500">
        <v>2910000000</v>
      </c>
      <c r="CN106">
        <v>92.44</v>
      </c>
      <c r="CO10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-34052672390.294609</v>
      </c>
      <c r="CP106" s="72">
        <f>RPT-VLOOKUP(Outstanding_pos_BB_SBV[[#This Row],[Bonds_ShortName]],CT:CU,2,0)</f>
        <v>249</v>
      </c>
      <c r="CQ106" s="157">
        <f>SUMIFS(CC:CC,BZ:BZ,Outstanding_pos_BB_SBV[[#This Row],[Bonds_ShortName]])/10^5-VLOOKUP(Outstanding_pos_BB_SBV[[#This Row],[Bonds_ShortName]],FNRP!EE:FL,34,0)</f>
        <v>0</v>
      </c>
      <c r="CT106" t="s">
        <v>645</v>
      </c>
      <c r="CU106" s="502">
        <v>45566</v>
      </c>
      <c r="CV106" s="35"/>
    </row>
    <row r="107" spans="4:100" x14ac:dyDescent="0.3">
      <c r="I107"/>
      <c r="AW107" s="70"/>
      <c r="BC107"/>
      <c r="BD107"/>
      <c r="BG107"/>
      <c r="BH107"/>
      <c r="BJ107"/>
      <c r="BN107"/>
      <c r="BO107"/>
      <c r="BQ107"/>
      <c r="BR107"/>
      <c r="BX107">
        <v>47255</v>
      </c>
      <c r="BY107" s="502">
        <v>45891</v>
      </c>
      <c r="BZ107" t="s">
        <v>2785</v>
      </c>
      <c r="CA107" t="s">
        <v>824</v>
      </c>
      <c r="CB107" t="s">
        <v>823</v>
      </c>
      <c r="CC107" s="500">
        <v>100000000000</v>
      </c>
      <c r="CD107">
        <v>2.2999999999999998</v>
      </c>
      <c r="CE107" s="502">
        <v>48836</v>
      </c>
      <c r="CF107">
        <v>3.1</v>
      </c>
      <c r="CG107">
        <v>7.08</v>
      </c>
      <c r="CH107" t="s">
        <v>2746</v>
      </c>
      <c r="CI107">
        <v>4.3099999999999996</v>
      </c>
      <c r="CJ107" s="500">
        <v>-6386000000</v>
      </c>
      <c r="CK107">
        <v>6.15</v>
      </c>
      <c r="CL107" s="500">
        <v>-55398737.030000001</v>
      </c>
      <c r="CM107" s="500">
        <v>2136000000</v>
      </c>
      <c r="CN107">
        <v>46.41</v>
      </c>
      <c r="CO10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-7086791199.3860035</v>
      </c>
      <c r="CP107" s="72">
        <f>RPT-VLOOKUP(Outstanding_pos_BB_SBV[[#This Row],[Bonds_ShortName]],CT:CU,2,0)</f>
        <v>21</v>
      </c>
      <c r="CQ107" s="157">
        <f>SUMIFS(CC:CC,BZ:BZ,Outstanding_pos_BB_SBV[[#This Row],[Bonds_ShortName]])/10^5-VLOOKUP(Outstanding_pos_BB_SBV[[#This Row],[Bonds_ShortName]],FNRP!EE:FL,34,0)</f>
        <v>0</v>
      </c>
      <c r="CT107" t="s">
        <v>598</v>
      </c>
      <c r="CU107" s="502">
        <v>46183</v>
      </c>
      <c r="CV107" s="35"/>
    </row>
    <row r="108" spans="4:100" x14ac:dyDescent="0.3">
      <c r="I108"/>
      <c r="AW108" s="70"/>
      <c r="BC108"/>
      <c r="BD108"/>
      <c r="BG108"/>
      <c r="BH108"/>
      <c r="BJ108"/>
      <c r="BN108"/>
      <c r="BO108"/>
      <c r="BQ108"/>
      <c r="BR108"/>
      <c r="BX108">
        <v>47399</v>
      </c>
      <c r="BY108" s="502">
        <v>45911</v>
      </c>
      <c r="BZ108" t="s">
        <v>1205</v>
      </c>
      <c r="CA108" t="s">
        <v>824</v>
      </c>
      <c r="CB108" t="s">
        <v>823</v>
      </c>
      <c r="CC108" s="500">
        <v>50000000000</v>
      </c>
      <c r="CD108">
        <v>5.3</v>
      </c>
      <c r="CE108" s="502">
        <v>48926</v>
      </c>
      <c r="CF108">
        <v>3.15</v>
      </c>
      <c r="CG108">
        <v>7.32</v>
      </c>
      <c r="CH108" t="s">
        <v>2746</v>
      </c>
      <c r="CI108">
        <v>4.32</v>
      </c>
      <c r="CJ108" s="500">
        <v>-4705000000</v>
      </c>
      <c r="CK108">
        <v>5.83</v>
      </c>
      <c r="CL108" s="500">
        <v>-63953528.609999999</v>
      </c>
      <c r="CM108" s="500">
        <v>3616000000</v>
      </c>
      <c r="CN108">
        <v>44.04</v>
      </c>
      <c r="CO10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-3831249335.5141993</v>
      </c>
      <c r="CP108" s="72">
        <f>RPT-VLOOKUP(Outstanding_pos_BB_SBV[[#This Row],[Bonds_ShortName]],CT:CU,2,0)</f>
        <v>300</v>
      </c>
      <c r="CQ108" s="157">
        <f>SUMIFS(CC:CC,BZ:BZ,Outstanding_pos_BB_SBV[[#This Row],[Bonds_ShortName]])/10^5-VLOOKUP(Outstanding_pos_BB_SBV[[#This Row],[Bonds_ShortName]],FNRP!EE:FL,34,0)</f>
        <v>0</v>
      </c>
      <c r="CT108" t="s">
        <v>728</v>
      </c>
      <c r="CU108" s="502">
        <v>46230</v>
      </c>
      <c r="CV108" s="35"/>
    </row>
    <row r="109" spans="4:100" x14ac:dyDescent="0.3">
      <c r="I109"/>
      <c r="AW109" s="70"/>
      <c r="BC109"/>
      <c r="BD109"/>
      <c r="BG109"/>
      <c r="BH109"/>
      <c r="BJ109"/>
      <c r="BN109"/>
      <c r="BO109"/>
      <c r="BQ109"/>
      <c r="BR109"/>
      <c r="BX109">
        <v>47454</v>
      </c>
      <c r="BY109" s="502">
        <v>45945</v>
      </c>
      <c r="BZ109" t="s">
        <v>2381</v>
      </c>
      <c r="CA109" t="s">
        <v>824</v>
      </c>
      <c r="CB109" t="s">
        <v>823</v>
      </c>
      <c r="CC109" s="500">
        <v>200000000000</v>
      </c>
      <c r="CD109">
        <v>4.5</v>
      </c>
      <c r="CE109" s="502">
        <v>48584</v>
      </c>
      <c r="CF109">
        <v>2.94</v>
      </c>
      <c r="CG109">
        <v>6.39</v>
      </c>
      <c r="CH109" t="s">
        <v>3644</v>
      </c>
      <c r="CI109">
        <v>4.29</v>
      </c>
      <c r="CJ109" s="500">
        <v>-17756000000</v>
      </c>
      <c r="CK109">
        <v>5.32</v>
      </c>
      <c r="CL109" s="500">
        <v>-55259019.450000003</v>
      </c>
      <c r="CM109" s="500">
        <v>2786000000</v>
      </c>
      <c r="CN109">
        <v>36.130000000000003</v>
      </c>
      <c r="CO10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-15416341193.997299</v>
      </c>
      <c r="CP109" s="72">
        <f>RPT-VLOOKUP(Outstanding_pos_BB_SBV[[#This Row],[Bonds_ShortName]],CT:CU,2,0)</f>
        <v>74</v>
      </c>
      <c r="CQ109" s="157">
        <f>SUMIFS(CC:CC,BZ:BZ,Outstanding_pos_BB_SBV[[#This Row],[Bonds_ShortName]])/10^5-VLOOKUP(Outstanding_pos_BB_SBV[[#This Row],[Bonds_ShortName]],FNRP!EE:FL,34,0)</f>
        <v>0</v>
      </c>
      <c r="CT109" t="s">
        <v>684</v>
      </c>
      <c r="CU109" s="502">
        <v>46135</v>
      </c>
      <c r="CV109" s="35"/>
    </row>
    <row r="110" spans="4:100" x14ac:dyDescent="0.3">
      <c r="I110"/>
      <c r="AW110" s="70"/>
      <c r="BC110"/>
      <c r="BD110"/>
      <c r="BG110"/>
      <c r="BH110"/>
      <c r="BJ110"/>
      <c r="BN110"/>
      <c r="BO110"/>
      <c r="BQ110"/>
      <c r="BR110"/>
      <c r="BX110">
        <v>47714</v>
      </c>
      <c r="BY110" s="502">
        <v>45952</v>
      </c>
      <c r="BZ110" t="s">
        <v>2503</v>
      </c>
      <c r="CA110" t="s">
        <v>824</v>
      </c>
      <c r="CB110" t="s">
        <v>823</v>
      </c>
      <c r="CC110" s="500">
        <v>50000000000</v>
      </c>
      <c r="CD110">
        <v>3.4</v>
      </c>
      <c r="CE110" s="502">
        <v>50515</v>
      </c>
      <c r="CF110">
        <v>2.94</v>
      </c>
      <c r="CG110">
        <v>11.68</v>
      </c>
      <c r="CH110" t="s">
        <v>2740</v>
      </c>
      <c r="CI110">
        <v>4.49</v>
      </c>
      <c r="CJ110" s="500">
        <v>-7251500000</v>
      </c>
      <c r="CK110">
        <v>9.18</v>
      </c>
      <c r="CL110" s="500">
        <v>-83889598.819999993</v>
      </c>
      <c r="CM110" s="500">
        <v>1127000000</v>
      </c>
      <c r="CN110">
        <v>104.3</v>
      </c>
      <c r="CO11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-7096027716.9850378</v>
      </c>
      <c r="CP110" s="72">
        <f>RPT-VLOOKUP(Outstanding_pos_BB_SBV[[#This Row],[Bonds_ShortName]],CT:CU,2,0)</f>
        <v>6</v>
      </c>
      <c r="CQ110" s="157">
        <f>SUMIFS(CC:CC,BZ:BZ,Outstanding_pos_BB_SBV[[#This Row],[Bonds_ShortName]])/10^5-VLOOKUP(Outstanding_pos_BB_SBV[[#This Row],[Bonds_ShortName]],FNRP!EE:FL,34,0)</f>
        <v>0</v>
      </c>
      <c r="CT110" t="s">
        <v>616</v>
      </c>
      <c r="CU110" s="502">
        <v>46135</v>
      </c>
      <c r="CV110" s="35"/>
    </row>
    <row r="111" spans="4:100" x14ac:dyDescent="0.3">
      <c r="I111"/>
      <c r="AW111" s="70"/>
      <c r="BC111"/>
      <c r="BD111"/>
      <c r="BG111"/>
      <c r="BH111"/>
      <c r="BJ111"/>
      <c r="BN111"/>
      <c r="BO111"/>
      <c r="BQ111"/>
      <c r="BR111"/>
      <c r="BX111">
        <v>47716</v>
      </c>
      <c r="BY111" s="502">
        <v>45952</v>
      </c>
      <c r="BZ111" t="s">
        <v>2840</v>
      </c>
      <c r="CA111" t="s">
        <v>824</v>
      </c>
      <c r="CB111" t="s">
        <v>823</v>
      </c>
      <c r="CC111" s="500">
        <v>100000000000</v>
      </c>
      <c r="CD111">
        <v>2.9</v>
      </c>
      <c r="CE111" s="502">
        <v>51004</v>
      </c>
      <c r="CF111">
        <v>3.25</v>
      </c>
      <c r="CG111">
        <v>13.02</v>
      </c>
      <c r="CH111" t="s">
        <v>2740</v>
      </c>
      <c r="CI111">
        <v>4.53</v>
      </c>
      <c r="CJ111" s="500">
        <v>-11870000000</v>
      </c>
      <c r="CK111">
        <v>10.34</v>
      </c>
      <c r="CL111" s="500">
        <v>-87107900.489999995</v>
      </c>
      <c r="CM111" s="500">
        <v>-24000000</v>
      </c>
      <c r="CN111">
        <v>129.88</v>
      </c>
      <c r="CO11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-12104123526.285532</v>
      </c>
      <c r="CP111" s="72">
        <f>RPT-VLOOKUP(Outstanding_pos_BB_SBV[[#This Row],[Bonds_ShortName]],CT:CU,2,0)</f>
        <v>301</v>
      </c>
      <c r="CQ111" s="157">
        <f>SUMIFS(CC:CC,BZ:BZ,Outstanding_pos_BB_SBV[[#This Row],[Bonds_ShortName]])/10^5-VLOOKUP(Outstanding_pos_BB_SBV[[#This Row],[Bonds_ShortName]],FNRP!EE:FL,34,0)</f>
        <v>0</v>
      </c>
      <c r="CT111" t="s">
        <v>593</v>
      </c>
      <c r="CU111" s="502">
        <v>46135</v>
      </c>
      <c r="CV111" s="35"/>
    </row>
    <row r="112" spans="4:100" x14ac:dyDescent="0.3">
      <c r="I112"/>
      <c r="AW112" s="70"/>
      <c r="BC112"/>
      <c r="BD112"/>
      <c r="BG112"/>
      <c r="BH112"/>
      <c r="BJ112"/>
      <c r="BN112"/>
      <c r="BO112"/>
      <c r="BQ112"/>
      <c r="BR112"/>
      <c r="BX112">
        <v>47722</v>
      </c>
      <c r="BY112" s="502">
        <v>45952</v>
      </c>
      <c r="BZ112" t="s">
        <v>638</v>
      </c>
      <c r="CA112" t="s">
        <v>824</v>
      </c>
      <c r="CB112" t="s">
        <v>823</v>
      </c>
      <c r="CC112" s="500">
        <v>50000000000</v>
      </c>
      <c r="CD112">
        <v>2.2999999999999998</v>
      </c>
      <c r="CE112" s="502">
        <v>47974</v>
      </c>
      <c r="CF112">
        <v>2.61</v>
      </c>
      <c r="CG112">
        <v>4.72</v>
      </c>
      <c r="CH112" t="s">
        <v>2745</v>
      </c>
      <c r="CI112">
        <v>4.16</v>
      </c>
      <c r="CJ112" s="500">
        <v>-3132000000</v>
      </c>
      <c r="CK112">
        <v>4.3</v>
      </c>
      <c r="CL112" s="500">
        <v>-39937852</v>
      </c>
      <c r="CM112" s="500">
        <v>662000000</v>
      </c>
      <c r="CN112">
        <v>23.24</v>
      </c>
      <c r="CO11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-3250939633.2127438</v>
      </c>
      <c r="CP112" s="72">
        <f>RPT-VLOOKUP(Outstanding_pos_BB_SBV[[#This Row],[Bonds_ShortName]],CT:CU,2,0)</f>
        <v>301</v>
      </c>
      <c r="CQ112" s="157">
        <f>SUMIFS(CC:CC,BZ:BZ,Outstanding_pos_BB_SBV[[#This Row],[Bonds_ShortName]])/10^5-VLOOKUP(Outstanding_pos_BB_SBV[[#This Row],[Bonds_ShortName]],FNRP!EE:FL,34,0)</f>
        <v>0</v>
      </c>
      <c r="CT112" t="s">
        <v>611</v>
      </c>
      <c r="CU112" s="502">
        <v>45574</v>
      </c>
      <c r="CV112" s="35"/>
    </row>
    <row r="113" spans="49:134" x14ac:dyDescent="0.3">
      <c r="AW113" s="70"/>
      <c r="BC113"/>
      <c r="BD113"/>
      <c r="BG113"/>
      <c r="BH113"/>
      <c r="BJ113"/>
      <c r="BN113"/>
      <c r="BO113"/>
      <c r="BQ113"/>
      <c r="BR113"/>
      <c r="BX113">
        <v>47724</v>
      </c>
      <c r="BY113" s="502">
        <v>45952</v>
      </c>
      <c r="BZ113" t="s">
        <v>702</v>
      </c>
      <c r="CA113" t="s">
        <v>824</v>
      </c>
      <c r="CB113" t="s">
        <v>823</v>
      </c>
      <c r="CC113" s="500">
        <v>50000000000</v>
      </c>
      <c r="CD113">
        <v>2.2999999999999998</v>
      </c>
      <c r="CE113" s="502">
        <v>49899</v>
      </c>
      <c r="CF113">
        <v>2.58</v>
      </c>
      <c r="CG113">
        <v>9.99</v>
      </c>
      <c r="CH113" t="s">
        <v>2743</v>
      </c>
      <c r="CI113">
        <v>4.45</v>
      </c>
      <c r="CJ113" s="500">
        <v>-7185000000</v>
      </c>
      <c r="CK113">
        <v>8.5299999999999994</v>
      </c>
      <c r="CL113" s="500">
        <v>-70854492.819999993</v>
      </c>
      <c r="CM113" s="500">
        <v>44000000</v>
      </c>
      <c r="CN113">
        <v>86.34</v>
      </c>
      <c r="CO11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-7287904052.3234291</v>
      </c>
      <c r="CP113" s="72">
        <f>RPT-VLOOKUP(Outstanding_pos_BB_SBV[[#This Row],[Bonds_ShortName]],CT:CU,2,0)</f>
        <v>-9</v>
      </c>
      <c r="CQ113" s="157">
        <f>SUMIFS(CC:CC,BZ:BZ,Outstanding_pos_BB_SBV[[#This Row],[Bonds_ShortName]])/10^5-VLOOKUP(Outstanding_pos_BB_SBV[[#This Row],[Bonds_ShortName]],FNRP!EE:FL,34,0)</f>
        <v>0</v>
      </c>
      <c r="CT113" t="s">
        <v>1209</v>
      </c>
      <c r="CU113" s="502">
        <v>46268</v>
      </c>
      <c r="CV113" s="35"/>
    </row>
    <row r="114" spans="49:134" x14ac:dyDescent="0.3">
      <c r="AW114" s="70"/>
      <c r="BC114"/>
      <c r="BD114"/>
      <c r="BG114"/>
      <c r="BH114"/>
      <c r="BJ114"/>
      <c r="BN114"/>
      <c r="BO114"/>
      <c r="BQ114"/>
      <c r="BR114"/>
      <c r="BX114">
        <v>47730</v>
      </c>
      <c r="BY114" s="502">
        <v>45953</v>
      </c>
      <c r="BZ114" t="s">
        <v>1205</v>
      </c>
      <c r="CA114" t="s">
        <v>824</v>
      </c>
      <c r="CB114" t="s">
        <v>823</v>
      </c>
      <c r="CC114" s="500">
        <v>50000000000</v>
      </c>
      <c r="CD114">
        <v>5.3</v>
      </c>
      <c r="CE114" s="502">
        <v>48926</v>
      </c>
      <c r="CF114">
        <v>3.15</v>
      </c>
      <c r="CG114">
        <v>7.32</v>
      </c>
      <c r="CH114" t="s">
        <v>2746</v>
      </c>
      <c r="CI114">
        <v>4.32</v>
      </c>
      <c r="CJ114" s="500">
        <v>-4597000000</v>
      </c>
      <c r="CK114">
        <v>5.83</v>
      </c>
      <c r="CL114" s="500">
        <v>-63953528.609999999</v>
      </c>
      <c r="CM114" s="500">
        <v>3616000000</v>
      </c>
      <c r="CN114">
        <v>44.04</v>
      </c>
      <c r="CO11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-3830201926.9314189</v>
      </c>
      <c r="CP114" s="72">
        <f>RPT-VLOOKUP(Outstanding_pos_BB_SBV[[#This Row],[Bonds_ShortName]],CT:CU,2,0)</f>
        <v>300</v>
      </c>
      <c r="CQ114" s="157">
        <f>SUMIFS(CC:CC,BZ:BZ,Outstanding_pos_BB_SBV[[#This Row],[Bonds_ShortName]])/10^5-VLOOKUP(Outstanding_pos_BB_SBV[[#This Row],[Bonds_ShortName]],FNRP!EE:FL,34,0)</f>
        <v>0</v>
      </c>
      <c r="CT114" t="s">
        <v>719</v>
      </c>
      <c r="CU114" s="502">
        <v>45694</v>
      </c>
      <c r="CV114" s="35"/>
    </row>
    <row r="115" spans="49:134" x14ac:dyDescent="0.3">
      <c r="AW115" s="70"/>
      <c r="BC115"/>
      <c r="BD115"/>
      <c r="BG115"/>
      <c r="BH115"/>
      <c r="BJ115"/>
      <c r="BN115"/>
      <c r="BO115"/>
      <c r="BQ115"/>
      <c r="BR115"/>
      <c r="BX115">
        <v>47808</v>
      </c>
      <c r="BY115" s="502">
        <v>45957</v>
      </c>
      <c r="BZ115" t="s">
        <v>2799</v>
      </c>
      <c r="CA115" t="s">
        <v>824</v>
      </c>
      <c r="CB115" t="s">
        <v>823</v>
      </c>
      <c r="CC115" s="500">
        <v>100000000000</v>
      </c>
      <c r="CD115">
        <v>2.1</v>
      </c>
      <c r="CE115" s="502">
        <v>48955</v>
      </c>
      <c r="CF115">
        <v>3.3</v>
      </c>
      <c r="CG115">
        <v>7.4</v>
      </c>
      <c r="CH115" t="s">
        <v>2746</v>
      </c>
      <c r="CI115">
        <v>4.33</v>
      </c>
      <c r="CJ115" s="500">
        <v>-5345000000</v>
      </c>
      <c r="CK115">
        <v>6.51</v>
      </c>
      <c r="CL115" s="500">
        <v>-56870686.310000002</v>
      </c>
      <c r="CM115" s="500">
        <v>1266000000</v>
      </c>
      <c r="CN115">
        <v>51.1</v>
      </c>
      <c r="CO11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-6190744249.5910654</v>
      </c>
      <c r="CP115" s="72">
        <f>RPT-VLOOKUP(Outstanding_pos_BB_SBV[[#This Row],[Bonds_ShortName]],CT:CU,2,0)</f>
        <v>42</v>
      </c>
      <c r="CQ115" s="157">
        <f>SUMIFS(CC:CC,BZ:BZ,Outstanding_pos_BB_SBV[[#This Row],[Bonds_ShortName]])/10^5-VLOOKUP(Outstanding_pos_BB_SBV[[#This Row],[Bonds_ShortName]],FNRP!EE:FL,34,0)</f>
        <v>0</v>
      </c>
      <c r="CT115" t="s">
        <v>706</v>
      </c>
      <c r="CU115" s="502">
        <v>46230</v>
      </c>
      <c r="CV115" s="35"/>
    </row>
    <row r="116" spans="49:134" x14ac:dyDescent="0.3">
      <c r="AW116" s="70"/>
      <c r="BC116"/>
      <c r="BD116"/>
      <c r="BG116"/>
      <c r="BH116"/>
      <c r="BJ116"/>
      <c r="BO116"/>
      <c r="BQ116"/>
      <c r="BR116"/>
      <c r="BS116" s="72"/>
      <c r="BT116" s="72"/>
      <c r="BU116" s="157"/>
      <c r="BX116">
        <v>47986</v>
      </c>
      <c r="BY116" s="502">
        <v>45975</v>
      </c>
      <c r="BZ116" t="s">
        <v>2839</v>
      </c>
      <c r="CA116" t="s">
        <v>824</v>
      </c>
      <c r="CB116" t="s">
        <v>823</v>
      </c>
      <c r="CC116" s="500">
        <v>100000000000</v>
      </c>
      <c r="CD116">
        <v>2.7</v>
      </c>
      <c r="CE116" s="502">
        <v>49171</v>
      </c>
      <c r="CF116">
        <v>3.11</v>
      </c>
      <c r="CG116">
        <v>7.99</v>
      </c>
      <c r="CH116" t="s">
        <v>2747</v>
      </c>
      <c r="CI116">
        <v>4.3499999999999996</v>
      </c>
      <c r="CJ116" s="500">
        <v>-7831000000</v>
      </c>
      <c r="CK116">
        <v>6.94</v>
      </c>
      <c r="CL116" s="500">
        <v>-61787782.329999998</v>
      </c>
      <c r="CM116" s="500">
        <v>30000000</v>
      </c>
      <c r="CN116">
        <v>57.79</v>
      </c>
      <c r="CO11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-8106730382.1557722</v>
      </c>
      <c r="CP116" s="72">
        <f>RPT-VLOOKUP(Outstanding_pos_BB_SBV[[#This Row],[Bonds_ShortName]],CT:CU,2,0)</f>
        <v>0</v>
      </c>
      <c r="CQ116" s="157">
        <f>SUMIFS(CC:CC,BZ:BZ,Outstanding_pos_BB_SBV[[#This Row],[Bonds_ShortName]])/10^5-VLOOKUP(Outstanding_pos_BB_SBV[[#This Row],[Bonds_ShortName]],FNRP!EE:FL,34,0)</f>
        <v>1000000</v>
      </c>
      <c r="CT116" t="s">
        <v>702</v>
      </c>
      <c r="CU116" s="502">
        <v>46261</v>
      </c>
      <c r="CV116" s="35"/>
    </row>
    <row r="117" spans="49:134" x14ac:dyDescent="0.3">
      <c r="AW117" s="70"/>
      <c r="BC117"/>
      <c r="BD117"/>
      <c r="BG117"/>
      <c r="BH117"/>
      <c r="BJ117"/>
      <c r="BO117"/>
      <c r="BQ117"/>
      <c r="BR117"/>
      <c r="BS117" s="72"/>
      <c r="BT117" s="72"/>
      <c r="BU117" s="157"/>
      <c r="BX117">
        <v>48066</v>
      </c>
      <c r="BY117" s="502">
        <v>45981</v>
      </c>
      <c r="BZ117" t="s">
        <v>2836</v>
      </c>
      <c r="CA117" t="s">
        <v>824</v>
      </c>
      <c r="CB117" t="s">
        <v>823</v>
      </c>
      <c r="CC117" s="500">
        <v>179000000000</v>
      </c>
      <c r="CD117">
        <v>2.7</v>
      </c>
      <c r="CE117" s="502">
        <v>49143</v>
      </c>
      <c r="CF117">
        <v>3.01</v>
      </c>
      <c r="CG117">
        <v>7.92</v>
      </c>
      <c r="CH117" t="s">
        <v>2747</v>
      </c>
      <c r="CI117">
        <v>4.3499999999999996</v>
      </c>
      <c r="CJ117" s="500">
        <v>-15265120000</v>
      </c>
      <c r="CK117">
        <v>6.86</v>
      </c>
      <c r="CL117" s="500">
        <v>-61350899.390000001</v>
      </c>
      <c r="CM117" s="500">
        <v>237000000</v>
      </c>
      <c r="CN117">
        <v>56.71</v>
      </c>
      <c r="CO11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-15630436087.78908</v>
      </c>
      <c r="CP117" s="72">
        <f>RPT-VLOOKUP(Outstanding_pos_BB_SBV[[#This Row],[Bonds_ShortName]],CT:CU,2,0)</f>
        <v>-9</v>
      </c>
      <c r="CQ117" s="157">
        <f>SUMIFS(CC:CC,BZ:BZ,Outstanding_pos_BB_SBV[[#This Row],[Bonds_ShortName]])/10^5-VLOOKUP(Outstanding_pos_BB_SBV[[#This Row],[Bonds_ShortName]],FNRP!EE:FL,34,0)</f>
        <v>0</v>
      </c>
      <c r="CT117" t="s">
        <v>567</v>
      </c>
      <c r="CU117" s="502">
        <v>45636</v>
      </c>
      <c r="CV117" s="35"/>
    </row>
    <row r="118" spans="49:134" x14ac:dyDescent="0.3">
      <c r="AW118" s="70"/>
      <c r="BC118"/>
      <c r="BD118"/>
      <c r="BG118"/>
      <c r="BH118"/>
      <c r="BJ118"/>
      <c r="BO118"/>
      <c r="BQ118"/>
      <c r="BR118"/>
      <c r="BS118" s="72"/>
      <c r="BT118" s="72"/>
      <c r="BU118" s="157"/>
      <c r="BX118">
        <v>48164</v>
      </c>
      <c r="BY118" s="502">
        <v>45988</v>
      </c>
      <c r="BZ118" t="s">
        <v>2836</v>
      </c>
      <c r="CA118" t="s">
        <v>824</v>
      </c>
      <c r="CB118" t="s">
        <v>823</v>
      </c>
      <c r="CC118" s="500">
        <v>171000000000</v>
      </c>
      <c r="CD118">
        <v>2.7</v>
      </c>
      <c r="CE118" s="502">
        <v>49143</v>
      </c>
      <c r="CF118">
        <v>3.3</v>
      </c>
      <c r="CG118">
        <v>7.92</v>
      </c>
      <c r="CH118" t="s">
        <v>2747</v>
      </c>
      <c r="CI118">
        <v>4.3499999999999996</v>
      </c>
      <c r="CJ118" s="500">
        <v>-10923480000</v>
      </c>
      <c r="CK118">
        <v>6.86</v>
      </c>
      <c r="CL118" s="500">
        <v>-61350899.390000001</v>
      </c>
      <c r="CM118" s="500">
        <v>237000000</v>
      </c>
      <c r="CN118">
        <v>56.71</v>
      </c>
      <c r="CO11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-11570520233.81023</v>
      </c>
      <c r="CP118" s="72">
        <f>RPT-VLOOKUP(Outstanding_pos_BB_SBV[[#This Row],[Bonds_ShortName]],CT:CU,2,0)</f>
        <v>-9</v>
      </c>
      <c r="CQ118" s="157">
        <f>SUMIFS(CC:CC,BZ:BZ,Outstanding_pos_BB_SBV[[#This Row],[Bonds_ShortName]])/10^5-VLOOKUP(Outstanding_pos_BB_SBV[[#This Row],[Bonds_ShortName]],FNRP!EE:FL,34,0)</f>
        <v>0</v>
      </c>
      <c r="CT118" t="s">
        <v>2779</v>
      </c>
      <c r="CU118" s="502">
        <v>45645</v>
      </c>
      <c r="CV118" s="35"/>
    </row>
    <row r="119" spans="49:134" x14ac:dyDescent="0.3">
      <c r="AW119" s="70"/>
      <c r="BC119"/>
      <c r="BD119"/>
      <c r="BG119"/>
      <c r="BH119"/>
      <c r="BJ119"/>
      <c r="BO119"/>
      <c r="BQ119"/>
      <c r="BR119"/>
      <c r="BS119" s="72"/>
      <c r="BT119" s="72"/>
      <c r="BU119" s="157"/>
      <c r="BX119">
        <v>48326</v>
      </c>
      <c r="BY119" s="502">
        <v>46003</v>
      </c>
      <c r="BZ119" t="s">
        <v>3051</v>
      </c>
      <c r="CA119" t="s">
        <v>824</v>
      </c>
      <c r="CB119" t="s">
        <v>823</v>
      </c>
      <c r="CC119" s="500">
        <v>50000000000</v>
      </c>
      <c r="CD119">
        <v>2.9</v>
      </c>
      <c r="CE119" s="502">
        <v>49367</v>
      </c>
      <c r="CF119">
        <v>3.8</v>
      </c>
      <c r="CG119">
        <v>8.5299999999999994</v>
      </c>
      <c r="CH119" t="s">
        <v>2747</v>
      </c>
      <c r="CI119">
        <v>4.38</v>
      </c>
      <c r="CJ119" s="500">
        <v>-1731500000</v>
      </c>
      <c r="CK119">
        <v>7.19</v>
      </c>
      <c r="CL119" s="500">
        <v>-65465949.960000001</v>
      </c>
      <c r="CM119" s="500">
        <v>1375000000</v>
      </c>
      <c r="CN119">
        <v>63.12</v>
      </c>
      <c r="CO11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-1989603965.4358027</v>
      </c>
      <c r="CP119" s="72">
        <f>RPT-VLOOKUP(Outstanding_pos_BB_SBV[[#This Row],[Bonds_ShortName]],CT:CU,2,0)</f>
        <v>-9</v>
      </c>
      <c r="CQ119" s="157">
        <f>SUMIFS(CC:CC,BZ:BZ,Outstanding_pos_BB_SBV[[#This Row],[Bonds_ShortName]])/10^5-VLOOKUP(Outstanding_pos_BB_SBV[[#This Row],[Bonds_ShortName]],FNRP!EE:FL,34,0)</f>
        <v>0</v>
      </c>
      <c r="CT119" t="s">
        <v>2502</v>
      </c>
      <c r="CU119" s="502">
        <v>45875</v>
      </c>
      <c r="CV119" s="35"/>
    </row>
    <row r="120" spans="49:134" x14ac:dyDescent="0.3">
      <c r="AW120" s="70"/>
      <c r="BC120"/>
      <c r="BD120"/>
      <c r="BG120"/>
      <c r="BH120"/>
      <c r="BJ120"/>
      <c r="BO120"/>
      <c r="BQ120"/>
      <c r="BR120"/>
      <c r="BS120" s="72"/>
      <c r="BT120" s="72"/>
      <c r="BU120" s="157"/>
      <c r="BX120">
        <v>48334</v>
      </c>
      <c r="BY120" s="502">
        <v>46006</v>
      </c>
      <c r="BZ120" t="s">
        <v>2834</v>
      </c>
      <c r="CA120" t="s">
        <v>2180</v>
      </c>
      <c r="CB120" t="s">
        <v>823</v>
      </c>
      <c r="CC120" s="500">
        <v>200000000000</v>
      </c>
      <c r="CD120">
        <v>2.7</v>
      </c>
      <c r="CE120" s="502">
        <v>49129</v>
      </c>
      <c r="CF120">
        <v>2.72</v>
      </c>
      <c r="CG120">
        <v>7.88</v>
      </c>
      <c r="CH120" t="s">
        <v>2747</v>
      </c>
      <c r="CI120">
        <v>4.3499999999999996</v>
      </c>
      <c r="CJ120" s="500">
        <v>-21296000000</v>
      </c>
      <c r="CK120">
        <v>6.83</v>
      </c>
      <c r="CL120" s="500">
        <v>-61131101.270000003</v>
      </c>
      <c r="CM120" s="500">
        <v>340000000</v>
      </c>
      <c r="CN120">
        <v>56.17</v>
      </c>
      <c r="CO12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-21329031463.424267</v>
      </c>
      <c r="CP120" s="72">
        <f>RPT-VLOOKUP(Outstanding_pos_BB_SBV[[#This Row],[Bonds_ShortName]],CT:CU,2,0)</f>
        <v>67</v>
      </c>
      <c r="CQ120" s="157">
        <f>SUMIFS(CC:CC,BZ:BZ,Outstanding_pos_BB_SBV[[#This Row],[Bonds_ShortName]])/10^5-VLOOKUP(Outstanding_pos_BB_SBV[[#This Row],[Bonds_ShortName]],FNRP!EE:FL,34,0)</f>
        <v>2500000</v>
      </c>
      <c r="CT120" t="s">
        <v>568</v>
      </c>
      <c r="CU120" s="502">
        <v>46245</v>
      </c>
      <c r="CV120" s="35"/>
    </row>
    <row r="121" spans="49:134" x14ac:dyDescent="0.3">
      <c r="BC121"/>
      <c r="BD121"/>
      <c r="BG121"/>
      <c r="BH121"/>
      <c r="BJ121"/>
      <c r="BO121"/>
      <c r="BQ121"/>
      <c r="BR121"/>
      <c r="BS121" s="72"/>
      <c r="BT121" s="72"/>
      <c r="BU121" s="157"/>
      <c r="BX121">
        <v>48336</v>
      </c>
      <c r="BY121" s="502">
        <v>46010</v>
      </c>
      <c r="BZ121" t="s">
        <v>2799</v>
      </c>
      <c r="CA121" t="s">
        <v>2180</v>
      </c>
      <c r="CB121" t="s">
        <v>823</v>
      </c>
      <c r="CC121" s="500">
        <v>150000000000</v>
      </c>
      <c r="CD121">
        <v>2.1</v>
      </c>
      <c r="CE121" s="502">
        <v>48955</v>
      </c>
      <c r="CF121">
        <v>2.74</v>
      </c>
      <c r="CG121">
        <v>7.4</v>
      </c>
      <c r="CH121" t="s">
        <v>2746</v>
      </c>
      <c r="CI121">
        <v>4.33</v>
      </c>
      <c r="CJ121" s="500">
        <v>-13923000000</v>
      </c>
      <c r="CK121">
        <v>6.51</v>
      </c>
      <c r="CL121" s="500">
        <v>-56870686.310000002</v>
      </c>
      <c r="CM121" s="500">
        <v>1266000000</v>
      </c>
      <c r="CN121">
        <v>51.1</v>
      </c>
      <c r="CO12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-14497319861.850832</v>
      </c>
      <c r="CP121" s="72">
        <f>RPT-VLOOKUP(Outstanding_pos_BB_SBV[[#This Row],[Bonds_ShortName]],CT:CU,2,0)</f>
        <v>42</v>
      </c>
      <c r="CQ121" s="157">
        <f>SUMIFS(CC:CC,BZ:BZ,Outstanding_pos_BB_SBV[[#This Row],[Bonds_ShortName]])/10^5-VLOOKUP(Outstanding_pos_BB_SBV[[#This Row],[Bonds_ShortName]],FNRP!EE:FL,34,0)</f>
        <v>0</v>
      </c>
      <c r="CT121" t="s">
        <v>2788</v>
      </c>
      <c r="CU121" s="502">
        <v>45712</v>
      </c>
      <c r="CV121" s="35"/>
    </row>
    <row r="122" spans="49:134" x14ac:dyDescent="0.3">
      <c r="BC122"/>
      <c r="BD122"/>
      <c r="BG122"/>
      <c r="BH122"/>
      <c r="BJ122"/>
      <c r="BO122"/>
      <c r="BQ122"/>
      <c r="BR122"/>
      <c r="BS122" s="72"/>
      <c r="BT122" s="72"/>
      <c r="BU122" s="157"/>
      <c r="BX122">
        <v>48338</v>
      </c>
      <c r="BY122" s="502">
        <v>46006</v>
      </c>
      <c r="BZ122" t="s">
        <v>2800</v>
      </c>
      <c r="CA122" t="s">
        <v>2180</v>
      </c>
      <c r="CB122" t="s">
        <v>823</v>
      </c>
      <c r="CC122" s="500">
        <v>150000000000</v>
      </c>
      <c r="CD122">
        <v>2.2999999999999998</v>
      </c>
      <c r="CE122" s="502">
        <v>50781</v>
      </c>
      <c r="CF122">
        <v>2.96</v>
      </c>
      <c r="CG122">
        <v>12.41</v>
      </c>
      <c r="CH122" t="s">
        <v>2740</v>
      </c>
      <c r="CI122">
        <v>4.51</v>
      </c>
      <c r="CJ122" s="500">
        <v>-20376000000</v>
      </c>
      <c r="CK122">
        <v>10.07</v>
      </c>
      <c r="CL122" s="500">
        <v>-81298587.519999996</v>
      </c>
      <c r="CM122" s="500">
        <v>1386000000</v>
      </c>
      <c r="CN122">
        <v>122.75</v>
      </c>
      <c r="CO12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-20930922808.577801</v>
      </c>
      <c r="CP122" s="72">
        <f>RPT-VLOOKUP(Outstanding_pos_BB_SBV[[#This Row],[Bonds_ShortName]],CT:CU,2,0)</f>
        <v>249</v>
      </c>
      <c r="CQ122" s="157">
        <f>SUMIFS(CC:CC,BZ:BZ,Outstanding_pos_BB_SBV[[#This Row],[Bonds_ShortName]])/10^5-VLOOKUP(Outstanding_pos_BB_SBV[[#This Row],[Bonds_ShortName]],FNRP!EE:FL,34,0)</f>
        <v>0</v>
      </c>
      <c r="CT122" t="s">
        <v>640</v>
      </c>
      <c r="CU122" s="502">
        <v>45308</v>
      </c>
      <c r="CV122" s="35"/>
    </row>
    <row r="123" spans="49:134" x14ac:dyDescent="0.3">
      <c r="BC123"/>
      <c r="BD123"/>
      <c r="BG123"/>
      <c r="BH123"/>
      <c r="BJ123"/>
      <c r="BO123"/>
      <c r="BQ123"/>
      <c r="BR123"/>
      <c r="BS123" s="72"/>
      <c r="BT123" s="72"/>
      <c r="BU123" s="157"/>
      <c r="BX123">
        <v>48339</v>
      </c>
      <c r="BY123" s="502">
        <v>46006</v>
      </c>
      <c r="BZ123" t="s">
        <v>2380</v>
      </c>
      <c r="CA123" t="s">
        <v>2180</v>
      </c>
      <c r="CB123" t="s">
        <v>823</v>
      </c>
      <c r="CC123" s="500">
        <v>50000000000</v>
      </c>
      <c r="CD123">
        <v>4.7</v>
      </c>
      <c r="CE123" s="502">
        <v>50410</v>
      </c>
      <c r="CF123">
        <v>2.72</v>
      </c>
      <c r="CG123">
        <v>11.39</v>
      </c>
      <c r="CH123" t="s">
        <v>2740</v>
      </c>
      <c r="CI123">
        <v>4.4800000000000004</v>
      </c>
      <c r="CJ123" s="500">
        <v>-9125000000</v>
      </c>
      <c r="CK123">
        <v>8.4700000000000006</v>
      </c>
      <c r="CL123" s="500">
        <v>-88733432.620000005</v>
      </c>
      <c r="CM123" s="500">
        <v>2910000000</v>
      </c>
      <c r="CN123">
        <v>92.44</v>
      </c>
      <c r="CO12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-8560975063.1430874</v>
      </c>
      <c r="CP123" s="72">
        <f>RPT-VLOOKUP(Outstanding_pos_BB_SBV[[#This Row],[Bonds_ShortName]],CT:CU,2,0)</f>
        <v>249</v>
      </c>
      <c r="CQ123" s="157">
        <f>SUMIFS(CC:CC,BZ:BZ,Outstanding_pos_BB_SBV[[#This Row],[Bonds_ShortName]])/10^5-VLOOKUP(Outstanding_pos_BB_SBV[[#This Row],[Bonds_ShortName]],FNRP!EE:FL,34,0)</f>
        <v>0</v>
      </c>
      <c r="CT123" t="s">
        <v>2801</v>
      </c>
      <c r="CU123" s="502">
        <v>45321</v>
      </c>
      <c r="CV123" s="35"/>
    </row>
    <row r="124" spans="49:134" x14ac:dyDescent="0.3">
      <c r="BC124"/>
      <c r="BD124"/>
      <c r="BG124"/>
      <c r="BH124"/>
      <c r="BJ124"/>
      <c r="BO124"/>
      <c r="BQ124"/>
      <c r="BR124"/>
      <c r="BS124" s="72"/>
      <c r="BT124" s="72"/>
      <c r="BU124" s="157"/>
      <c r="BX124">
        <v>48340</v>
      </c>
      <c r="BY124" s="502">
        <v>46006</v>
      </c>
      <c r="BZ124" t="s">
        <v>712</v>
      </c>
      <c r="CA124" t="s">
        <v>2180</v>
      </c>
      <c r="CB124" t="s">
        <v>823</v>
      </c>
      <c r="CC124" s="500">
        <v>50000000000</v>
      </c>
      <c r="CD124">
        <v>3.6</v>
      </c>
      <c r="CE124" s="502">
        <v>51144</v>
      </c>
      <c r="CF124">
        <v>2.9</v>
      </c>
      <c r="CG124">
        <v>13.4</v>
      </c>
      <c r="CH124" t="s">
        <v>2740</v>
      </c>
      <c r="CI124">
        <v>4.54</v>
      </c>
      <c r="CJ124" s="500">
        <v>-8627000000</v>
      </c>
      <c r="CK124">
        <v>10.01</v>
      </c>
      <c r="CL124" s="500">
        <v>-93005742.140000001</v>
      </c>
      <c r="CM124" s="500">
        <v>2190000000</v>
      </c>
      <c r="CN124">
        <v>127.16</v>
      </c>
      <c r="CO12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-8435245523.5500088</v>
      </c>
      <c r="CP124" s="72">
        <f>RPT-VLOOKUP(Outstanding_pos_BB_SBV[[#This Row],[Bonds_ShortName]],CT:CU,2,0)</f>
        <v>22</v>
      </c>
      <c r="CQ124" s="157">
        <f>SUMIFS(CC:CC,BZ:BZ,Outstanding_pos_BB_SBV[[#This Row],[Bonds_ShortName]])/10^5-VLOOKUP(Outstanding_pos_BB_SBV[[#This Row],[Bonds_ShortName]],FNRP!EE:FL,34,0)</f>
        <v>0</v>
      </c>
      <c r="CT124" t="s">
        <v>2843</v>
      </c>
      <c r="CU124" s="502">
        <v>45712</v>
      </c>
      <c r="CV124" s="35"/>
    </row>
    <row r="125" spans="49:134" x14ac:dyDescent="0.3">
      <c r="BC125"/>
      <c r="BD125"/>
      <c r="BG125"/>
      <c r="BH125"/>
      <c r="BJ125"/>
      <c r="BO125"/>
      <c r="BQ125"/>
      <c r="BR125"/>
      <c r="BS125" s="72"/>
      <c r="BT125" s="72"/>
      <c r="BU125" s="157"/>
      <c r="BX125">
        <v>48341</v>
      </c>
      <c r="BY125" s="502">
        <v>46006</v>
      </c>
      <c r="BZ125" t="s">
        <v>2741</v>
      </c>
      <c r="CA125" t="s">
        <v>2180</v>
      </c>
      <c r="CB125" t="s">
        <v>823</v>
      </c>
      <c r="CC125" s="500">
        <v>50000000000</v>
      </c>
      <c r="CD125">
        <v>2.8</v>
      </c>
      <c r="CE125" s="502">
        <v>50578</v>
      </c>
      <c r="CF125">
        <v>3.03</v>
      </c>
      <c r="CG125">
        <v>11.85</v>
      </c>
      <c r="CH125" t="s">
        <v>2740</v>
      </c>
      <c r="CI125">
        <v>4.5</v>
      </c>
      <c r="CJ125" s="500">
        <v>-6471500000</v>
      </c>
      <c r="CK125">
        <v>9.59</v>
      </c>
      <c r="CL125" s="500">
        <v>-81640935.620000005</v>
      </c>
      <c r="CM125" s="500">
        <v>445000000</v>
      </c>
      <c r="CN125">
        <v>111.41</v>
      </c>
      <c r="CO12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-6536643321.7680025</v>
      </c>
      <c r="CP125" s="72">
        <f>RPT-VLOOKUP(Outstanding_pos_BB_SBV[[#This Row],[Bonds_ShortName]],CT:CU,2,0)</f>
        <v>249</v>
      </c>
      <c r="CQ125" s="157">
        <f>SUMIFS(CC:CC,BZ:BZ,Outstanding_pos_BB_SBV[[#This Row],[Bonds_ShortName]])/10^5-VLOOKUP(Outstanding_pos_BB_SBV[[#This Row],[Bonds_ShortName]],FNRP!EE:FL,34,0)</f>
        <v>0</v>
      </c>
      <c r="CT125" t="s">
        <v>2399</v>
      </c>
      <c r="CU125" s="502">
        <v>45581</v>
      </c>
      <c r="CV125" s="35"/>
      <c r="DX125" s="776"/>
      <c r="DY125" s="777"/>
      <c r="DZ125" s="776"/>
      <c r="EA125" s="778"/>
      <c r="EB125" s="37"/>
      <c r="ED125" s="35"/>
    </row>
    <row r="126" spans="49:134" x14ac:dyDescent="0.3">
      <c r="BC126"/>
      <c r="BD126"/>
      <c r="BG126"/>
      <c r="BH126"/>
      <c r="BJ126"/>
      <c r="BO126"/>
      <c r="BQ126"/>
      <c r="BR126"/>
      <c r="BS126" s="72"/>
      <c r="BT126" s="72"/>
      <c r="BU126" s="157"/>
      <c r="BX126">
        <v>48343</v>
      </c>
      <c r="BY126" s="502">
        <v>46009</v>
      </c>
      <c r="BZ126" t="s">
        <v>637</v>
      </c>
      <c r="CA126" t="s">
        <v>2180</v>
      </c>
      <c r="CB126" t="s">
        <v>823</v>
      </c>
      <c r="CC126" s="500">
        <v>50000000000</v>
      </c>
      <c r="CD126">
        <v>2.2999999999999998</v>
      </c>
      <c r="CE126" s="502">
        <v>47946</v>
      </c>
      <c r="CF126">
        <v>2.11</v>
      </c>
      <c r="CG126">
        <v>4.6399999999999997</v>
      </c>
      <c r="CH126" t="s">
        <v>2745</v>
      </c>
      <c r="CI126">
        <v>4.1399999999999997</v>
      </c>
      <c r="CJ126" s="500">
        <v>-4285500000</v>
      </c>
      <c r="CK126">
        <v>4.2300000000000004</v>
      </c>
      <c r="CL126" s="500">
        <v>-39420398.560000002</v>
      </c>
      <c r="CM126" s="500">
        <v>838000000</v>
      </c>
      <c r="CN126">
        <v>22.55</v>
      </c>
      <c r="CO12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-4230055583.0581145</v>
      </c>
      <c r="CP126" s="72">
        <f>RPT-VLOOKUP(Outstanding_pos_BB_SBV[[#This Row],[Bonds_ShortName]],CT:CU,2,0)</f>
        <v>244</v>
      </c>
      <c r="CQ126" s="157">
        <f>SUMIFS(CC:CC,BZ:BZ,Outstanding_pos_BB_SBV[[#This Row],[Bonds_ShortName]])/10^5-VLOOKUP(Outstanding_pos_BB_SBV[[#This Row],[Bonds_ShortName]],FNRP!EE:FL,34,0)</f>
        <v>0</v>
      </c>
      <c r="CT126" t="s">
        <v>671</v>
      </c>
      <c r="CU126" s="502">
        <v>45581</v>
      </c>
      <c r="CV126" s="35"/>
    </row>
    <row r="127" spans="49:134" x14ac:dyDescent="0.3">
      <c r="BC127"/>
      <c r="BD127"/>
      <c r="BG127"/>
      <c r="BH127"/>
      <c r="BJ127"/>
      <c r="BO127"/>
      <c r="BQ127"/>
      <c r="BR127"/>
      <c r="BS127" s="72"/>
      <c r="BT127" s="72"/>
      <c r="BU127" s="157"/>
      <c r="BX127">
        <v>48344</v>
      </c>
      <c r="BY127" s="502">
        <v>46007</v>
      </c>
      <c r="BZ127" t="s">
        <v>2498</v>
      </c>
      <c r="CA127" t="s">
        <v>2180</v>
      </c>
      <c r="CB127" t="s">
        <v>823</v>
      </c>
      <c r="CC127" s="500">
        <v>50000000000</v>
      </c>
      <c r="CD127">
        <v>3.7</v>
      </c>
      <c r="CE127" s="502">
        <v>52320</v>
      </c>
      <c r="CF127">
        <v>2.97</v>
      </c>
      <c r="CG127">
        <v>16.62</v>
      </c>
      <c r="CH127" t="s">
        <v>3593</v>
      </c>
      <c r="CI127">
        <v>4.6100000000000003</v>
      </c>
      <c r="CJ127" s="500">
        <v>-10065000000</v>
      </c>
      <c r="CK127">
        <v>11.72</v>
      </c>
      <c r="CL127" s="500">
        <v>-106676361</v>
      </c>
      <c r="CM127" s="500">
        <v>1439000000</v>
      </c>
      <c r="CN127">
        <v>177.45</v>
      </c>
      <c r="CO12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-9875711783.0352211</v>
      </c>
      <c r="CP127" s="72">
        <f>RPT-VLOOKUP(Outstanding_pos_BB_SBV[[#This Row],[Bonds_ShortName]],CT:CU,2,0)</f>
        <v>246</v>
      </c>
      <c r="CQ127" s="157">
        <f>SUMIFS(CC:CC,BZ:BZ,Outstanding_pos_BB_SBV[[#This Row],[Bonds_ShortName]])/10^5-VLOOKUP(Outstanding_pos_BB_SBV[[#This Row],[Bonds_ShortName]],FNRP!EE:FL,34,0)</f>
        <v>0</v>
      </c>
      <c r="CT127" t="s">
        <v>668</v>
      </c>
      <c r="CU127" s="502">
        <v>45399</v>
      </c>
      <c r="CV127" s="35"/>
    </row>
    <row r="128" spans="49:134" x14ac:dyDescent="0.3">
      <c r="BC128"/>
      <c r="BD128"/>
      <c r="BG128"/>
      <c r="BH128"/>
      <c r="BJ128"/>
      <c r="BO128"/>
      <c r="BQ128"/>
      <c r="BR128"/>
      <c r="BS128" s="72"/>
      <c r="BT128" s="72"/>
      <c r="BU128" s="157"/>
      <c r="BX128">
        <v>48359</v>
      </c>
      <c r="BY128" s="502">
        <v>46010</v>
      </c>
      <c r="BZ128" t="s">
        <v>2775</v>
      </c>
      <c r="CA128" t="s">
        <v>2180</v>
      </c>
      <c r="CB128" t="s">
        <v>907</v>
      </c>
      <c r="CC128" s="500">
        <v>200000000000</v>
      </c>
      <c r="CD128">
        <v>3.6</v>
      </c>
      <c r="CE128" s="502">
        <v>50723</v>
      </c>
      <c r="CF128">
        <v>3.25</v>
      </c>
      <c r="CG128">
        <v>12.25</v>
      </c>
      <c r="CH128" t="s">
        <v>2740</v>
      </c>
      <c r="CI128">
        <v>5.01</v>
      </c>
      <c r="CJ128" s="500">
        <v>-32586000000</v>
      </c>
      <c r="CK128">
        <v>9.18</v>
      </c>
      <c r="CL128" s="500">
        <v>-82676708.909999996</v>
      </c>
      <c r="CM128" s="500">
        <v>2742000000</v>
      </c>
      <c r="CN128">
        <v>107.43</v>
      </c>
      <c r="CO12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-32214566308.868786</v>
      </c>
      <c r="CP128" s="72">
        <f>RPT-VLOOKUP(Outstanding_pos_BB_SBV[[#This Row],[Bonds_ShortName]],CT:CU,2,0)</f>
        <v>243</v>
      </c>
      <c r="CQ128" s="157">
        <f>SUMIFS(CC:CC,BZ:BZ,Outstanding_pos_BB_SBV[[#This Row],[Bonds_ShortName]])/10^5-VLOOKUP(Outstanding_pos_BB_SBV[[#This Row],[Bonds_ShortName]],FNRP!EE:FL,34,0)</f>
        <v>0</v>
      </c>
      <c r="CT128" t="s">
        <v>600</v>
      </c>
      <c r="CU128" s="502">
        <v>45275</v>
      </c>
      <c r="CV128" s="35"/>
    </row>
    <row r="129" spans="55:100" x14ac:dyDescent="0.3">
      <c r="BC129"/>
      <c r="BD129"/>
      <c r="BG129"/>
      <c r="BH129"/>
      <c r="BJ129"/>
      <c r="BO129"/>
      <c r="BQ129"/>
      <c r="BR129"/>
      <c r="BS129" s="72"/>
      <c r="BT129" s="72"/>
      <c r="BU129" s="157"/>
      <c r="BX129">
        <v>48421</v>
      </c>
      <c r="BY129" s="502">
        <v>46030</v>
      </c>
      <c r="BZ129" t="s">
        <v>2836</v>
      </c>
      <c r="CA129" t="s">
        <v>824</v>
      </c>
      <c r="CB129" t="s">
        <v>823</v>
      </c>
      <c r="CC129" s="500">
        <v>50000000000</v>
      </c>
      <c r="CD129">
        <v>2.7</v>
      </c>
      <c r="CE129" s="502">
        <v>49143</v>
      </c>
      <c r="CF129">
        <v>3.12</v>
      </c>
      <c r="CG129">
        <v>7.92</v>
      </c>
      <c r="CH129" t="s">
        <v>2747</v>
      </c>
      <c r="CI129">
        <v>4.3499999999999996</v>
      </c>
      <c r="CJ129" s="500">
        <v>-3875000000</v>
      </c>
      <c r="CK129">
        <v>6.86</v>
      </c>
      <c r="CL129" s="500">
        <v>-61350899.390000001</v>
      </c>
      <c r="CM129" s="500">
        <v>237000000</v>
      </c>
      <c r="CN129">
        <v>56.71</v>
      </c>
      <c r="CO12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-3987906954.4860468</v>
      </c>
      <c r="CP129" s="72">
        <f>RPT-VLOOKUP(Outstanding_pos_BB_SBV[[#This Row],[Bonds_ShortName]],CT:CU,2,0)</f>
        <v>-9</v>
      </c>
      <c r="CQ129" s="157">
        <f>SUMIFS(CC:CC,BZ:BZ,Outstanding_pos_BB_SBV[[#This Row],[Bonds_ShortName]])/10^5-VLOOKUP(Outstanding_pos_BB_SBV[[#This Row],[Bonds_ShortName]],FNRP!EE:FL,34,0)</f>
        <v>0</v>
      </c>
      <c r="CT129" t="s">
        <v>563</v>
      </c>
      <c r="CU129" s="502">
        <v>45275</v>
      </c>
      <c r="CV129" s="35"/>
    </row>
    <row r="130" spans="55:100" x14ac:dyDescent="0.3">
      <c r="BC130"/>
      <c r="BD130"/>
      <c r="BG130"/>
      <c r="BH130"/>
      <c r="BJ130"/>
      <c r="BO130"/>
      <c r="BQ130"/>
      <c r="BR130"/>
      <c r="BS130" s="72"/>
      <c r="BT130" s="72"/>
      <c r="BU130" s="157"/>
      <c r="BX130">
        <v>48869</v>
      </c>
      <c r="BY130" s="502">
        <v>46059</v>
      </c>
      <c r="BZ130" t="s">
        <v>3517</v>
      </c>
      <c r="CA130" t="s">
        <v>824</v>
      </c>
      <c r="CB130" t="s">
        <v>823</v>
      </c>
      <c r="CC130" s="500">
        <v>200000000000</v>
      </c>
      <c r="CD130">
        <v>2.7</v>
      </c>
      <c r="CE130" s="502">
        <v>47688</v>
      </c>
      <c r="CF130">
        <v>3</v>
      </c>
      <c r="CG130">
        <v>3.93</v>
      </c>
      <c r="CH130" t="s">
        <v>2500</v>
      </c>
      <c r="CI130">
        <v>3.95</v>
      </c>
      <c r="CJ130" s="500">
        <v>-6428000000</v>
      </c>
      <c r="CK130">
        <v>3.63</v>
      </c>
      <c r="CL130" s="500">
        <v>-34708616.5</v>
      </c>
      <c r="CM130" s="500">
        <v>192000000</v>
      </c>
      <c r="CN130">
        <v>16.96</v>
      </c>
      <c r="CO13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-6734604673.8481388</v>
      </c>
      <c r="CP130" s="72">
        <f>RPT-VLOOKUP(Outstanding_pos_BB_SBV[[#This Row],[Bonds_ShortName]],CT:CU,2,0)</f>
        <v>-6</v>
      </c>
      <c r="CQ130" s="157">
        <f>SUMIFS(CC:CC,BZ:BZ,Outstanding_pos_BB_SBV[[#This Row],[Bonds_ShortName]])/10^5-VLOOKUP(Outstanding_pos_BB_SBV[[#This Row],[Bonds_ShortName]],FNRP!EE:FL,34,0)</f>
        <v>0</v>
      </c>
      <c r="CT130" t="s">
        <v>1147</v>
      </c>
      <c r="CU130" s="502">
        <v>45869</v>
      </c>
      <c r="CV130" s="35"/>
    </row>
    <row r="131" spans="55:100" x14ac:dyDescent="0.3">
      <c r="BC131"/>
      <c r="BD131"/>
      <c r="BG131"/>
      <c r="BH131"/>
      <c r="BJ131"/>
      <c r="BO131"/>
      <c r="BQ131"/>
      <c r="BR131"/>
      <c r="BS131" s="72"/>
      <c r="BT131" s="72"/>
      <c r="BU131" s="157"/>
      <c r="BX131">
        <v>48970</v>
      </c>
      <c r="BY131" s="502">
        <v>46065</v>
      </c>
      <c r="BZ131" t="s">
        <v>3317</v>
      </c>
      <c r="CA131" t="s">
        <v>824</v>
      </c>
      <c r="CB131" t="s">
        <v>823</v>
      </c>
      <c r="CC131" s="500">
        <v>139000000000</v>
      </c>
      <c r="CD131">
        <v>3.3</v>
      </c>
      <c r="CE131" s="502">
        <v>49528</v>
      </c>
      <c r="CF131">
        <v>3.46</v>
      </c>
      <c r="CG131">
        <v>8.9700000000000006</v>
      </c>
      <c r="CH131" t="s">
        <v>2747</v>
      </c>
      <c r="CI131">
        <v>4.4000000000000004</v>
      </c>
      <c r="CJ131" s="500">
        <v>-9328290000</v>
      </c>
      <c r="CK131">
        <v>7.51</v>
      </c>
      <c r="CL131" s="500">
        <v>-69197928.799999997</v>
      </c>
      <c r="CM131" s="500">
        <v>108000000</v>
      </c>
      <c r="CN131">
        <v>68.5</v>
      </c>
      <c r="CO13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-9430789423.3363266</v>
      </c>
      <c r="CP131" s="72">
        <f>RPT-VLOOKUP(Outstanding_pos_BB_SBV[[#This Row],[Bonds_ShortName]],CT:CU,2,0)</f>
        <v>-9</v>
      </c>
      <c r="CQ131" s="157">
        <f>SUMIFS(CC:CC,BZ:BZ,Outstanding_pos_BB_SBV[[#This Row],[Bonds_ShortName]])/10^5-VLOOKUP(Outstanding_pos_BB_SBV[[#This Row],[Bonds_ShortName]],FNRP!EE:FL,34,0)</f>
        <v>0</v>
      </c>
      <c r="CT131" t="s">
        <v>2761</v>
      </c>
      <c r="CU131" s="502">
        <v>45299</v>
      </c>
      <c r="CV131" s="35"/>
    </row>
    <row r="132" spans="55:100" x14ac:dyDescent="0.3">
      <c r="BC132"/>
      <c r="BD132"/>
      <c r="BG132"/>
      <c r="BH132"/>
      <c r="BJ132"/>
      <c r="BO132"/>
      <c r="BQ132"/>
      <c r="BR132"/>
      <c r="BS132" s="72"/>
      <c r="BT132" s="72"/>
      <c r="BU132" s="157"/>
      <c r="BX132">
        <v>49112</v>
      </c>
      <c r="BY132" s="502">
        <v>46094</v>
      </c>
      <c r="BZ132" t="s">
        <v>636</v>
      </c>
      <c r="CA132" t="s">
        <v>824</v>
      </c>
      <c r="CB132" t="s">
        <v>823</v>
      </c>
      <c r="CC132" s="500">
        <v>100000000000</v>
      </c>
      <c r="CD132">
        <v>2.2000000000000002</v>
      </c>
      <c r="CE132" s="502">
        <v>47862</v>
      </c>
      <c r="CF132">
        <v>3.66</v>
      </c>
      <c r="CG132">
        <v>4.41</v>
      </c>
      <c r="CH132" t="s">
        <v>2500</v>
      </c>
      <c r="CI132">
        <v>4.08</v>
      </c>
      <c r="CJ132" s="500">
        <v>-1087000000</v>
      </c>
      <c r="CK132">
        <v>4.0199999999999996</v>
      </c>
      <c r="CL132" s="500">
        <v>-37728036.020000003</v>
      </c>
      <c r="CM132" s="500">
        <v>1308000000</v>
      </c>
      <c r="CN132">
        <v>20.6</v>
      </c>
      <c r="CO13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-1664702054.7945285</v>
      </c>
      <c r="CP132" s="72">
        <f>RPT-VLOOKUP(Outstanding_pos_BB_SBV[[#This Row],[Bonds_ShortName]],CT:CU,2,0)</f>
        <v>-9</v>
      </c>
      <c r="CQ132" s="157">
        <f>SUMIFS(CC:CC,BZ:BZ,Outstanding_pos_BB_SBV[[#This Row],[Bonds_ShortName]])/10^5-VLOOKUP(Outstanding_pos_BB_SBV[[#This Row],[Bonds_ShortName]],FNRP!EE:FL,34,0)</f>
        <v>0</v>
      </c>
      <c r="CT132" t="s">
        <v>700</v>
      </c>
      <c r="CU132" s="502">
        <v>46114</v>
      </c>
      <c r="CV132" s="35"/>
    </row>
    <row r="133" spans="55:100" x14ac:dyDescent="0.3">
      <c r="BC133"/>
      <c r="BD133"/>
      <c r="BG133"/>
      <c r="BH133"/>
      <c r="BJ133"/>
      <c r="BO133"/>
      <c r="BQ133"/>
      <c r="BR133"/>
      <c r="BS133" s="72"/>
      <c r="BT133" s="72"/>
      <c r="BU133" s="157"/>
      <c r="BX133">
        <v>49118</v>
      </c>
      <c r="BY133" s="502">
        <v>46092</v>
      </c>
      <c r="BZ133" t="s">
        <v>2831</v>
      </c>
      <c r="CA133" t="s">
        <v>824</v>
      </c>
      <c r="CB133" t="s">
        <v>823</v>
      </c>
      <c r="CC133" s="500">
        <v>100000000000</v>
      </c>
      <c r="CD133">
        <v>2.7</v>
      </c>
      <c r="CE133" s="502">
        <v>49115</v>
      </c>
      <c r="CF133">
        <v>3.4</v>
      </c>
      <c r="CG133">
        <v>7.84</v>
      </c>
      <c r="CH133" t="s">
        <v>2747</v>
      </c>
      <c r="CI133">
        <v>4.3499999999999996</v>
      </c>
      <c r="CJ133" s="500">
        <v>-5734000000</v>
      </c>
      <c r="CK133">
        <v>6.79</v>
      </c>
      <c r="CL133" s="500">
        <v>-60910120.859999999</v>
      </c>
      <c r="CM133" s="500">
        <v>444000000</v>
      </c>
      <c r="CN133">
        <v>55.64</v>
      </c>
      <c r="CO13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-6004526910.127387</v>
      </c>
      <c r="CP133" s="72">
        <f>RPT-VLOOKUP(Outstanding_pos_BB_SBV[[#This Row],[Bonds_ShortName]],CT:CU,2,0)</f>
        <v>-9</v>
      </c>
      <c r="CQ133" s="157">
        <f>SUMIFS(CC:CC,BZ:BZ,Outstanding_pos_BB_SBV[[#This Row],[Bonds_ShortName]])/10^5-VLOOKUP(Outstanding_pos_BB_SBV[[#This Row],[Bonds_ShortName]],FNRP!EE:FL,34,0)</f>
        <v>0</v>
      </c>
      <c r="CT133" t="s">
        <v>689</v>
      </c>
      <c r="CU133" s="502">
        <v>45546</v>
      </c>
      <c r="CV133" s="35"/>
    </row>
    <row r="134" spans="55:100" x14ac:dyDescent="0.3">
      <c r="BC134"/>
      <c r="BD134"/>
      <c r="BG134"/>
      <c r="BH134"/>
      <c r="BJ134"/>
      <c r="BO134"/>
      <c r="BQ134"/>
      <c r="BR134"/>
      <c r="BS134" s="72"/>
      <c r="BT134" s="72"/>
      <c r="BU134" s="157"/>
      <c r="BX134">
        <v>49120</v>
      </c>
      <c r="BY134" s="502">
        <v>46092</v>
      </c>
      <c r="BZ134" t="s">
        <v>2831</v>
      </c>
      <c r="CA134" t="s">
        <v>824</v>
      </c>
      <c r="CB134" t="s">
        <v>823</v>
      </c>
      <c r="CC134" s="500">
        <v>100000000000</v>
      </c>
      <c r="CD134">
        <v>2.7</v>
      </c>
      <c r="CE134" s="502">
        <v>49115</v>
      </c>
      <c r="CF134">
        <v>3.01</v>
      </c>
      <c r="CG134">
        <v>7.84</v>
      </c>
      <c r="CH134" t="s">
        <v>2747</v>
      </c>
      <c r="CI134">
        <v>4.3499999999999996</v>
      </c>
      <c r="CJ134" s="500">
        <v>-8520000000</v>
      </c>
      <c r="CK134">
        <v>6.79</v>
      </c>
      <c r="CL134" s="500">
        <v>-60910120.859999999</v>
      </c>
      <c r="CM134" s="500">
        <v>444000000</v>
      </c>
      <c r="CN134">
        <v>55.64</v>
      </c>
      <c r="CO13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-8642149139.7006607</v>
      </c>
      <c r="CP134" s="72">
        <f>RPT-VLOOKUP(Outstanding_pos_BB_SBV[[#This Row],[Bonds_ShortName]],CT:CU,2,0)</f>
        <v>-9</v>
      </c>
      <c r="CQ134" s="157">
        <f>SUMIFS(CC:CC,BZ:BZ,Outstanding_pos_BB_SBV[[#This Row],[Bonds_ShortName]])/10^5-VLOOKUP(Outstanding_pos_BB_SBV[[#This Row],[Bonds_ShortName]],FNRP!EE:FL,34,0)</f>
        <v>0</v>
      </c>
      <c r="CT134" t="s">
        <v>2781</v>
      </c>
      <c r="CU134" s="502">
        <v>46245</v>
      </c>
      <c r="CV134" s="35"/>
    </row>
    <row r="135" spans="55:100" x14ac:dyDescent="0.3">
      <c r="BC135"/>
      <c r="BD135"/>
      <c r="BG135"/>
      <c r="BH135"/>
      <c r="BJ135"/>
      <c r="BO135"/>
      <c r="BQ135"/>
      <c r="BR135"/>
      <c r="BS135" s="72"/>
      <c r="BT135" s="72"/>
      <c r="BU135" s="157"/>
      <c r="BX135">
        <v>49181</v>
      </c>
      <c r="BY135" s="502">
        <v>46098</v>
      </c>
      <c r="BZ135" t="s">
        <v>2834</v>
      </c>
      <c r="CA135" t="s">
        <v>824</v>
      </c>
      <c r="CB135" t="s">
        <v>823</v>
      </c>
      <c r="CC135" s="500">
        <v>250000000000</v>
      </c>
      <c r="CD135">
        <v>2.7</v>
      </c>
      <c r="CE135" s="502">
        <v>49129</v>
      </c>
      <c r="CF135">
        <v>3.1</v>
      </c>
      <c r="CG135">
        <v>7.88</v>
      </c>
      <c r="CH135" t="s">
        <v>2747</v>
      </c>
      <c r="CI135">
        <v>4.3499999999999996</v>
      </c>
      <c r="CJ135" s="500">
        <v>-19777500000</v>
      </c>
      <c r="CK135">
        <v>6.83</v>
      </c>
      <c r="CL135" s="500">
        <v>-61131101.270000003</v>
      </c>
      <c r="CM135" s="500">
        <v>340000000</v>
      </c>
      <c r="CN135">
        <v>56.17</v>
      </c>
      <c r="CO13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-20158583586.049206</v>
      </c>
      <c r="CP135" s="72">
        <f>RPT-VLOOKUP(Outstanding_pos_BB_SBV[[#This Row],[Bonds_ShortName]],CT:CU,2,0)</f>
        <v>67</v>
      </c>
      <c r="CQ135" s="157">
        <f>SUMIFS(CC:CC,BZ:BZ,Outstanding_pos_BB_SBV[[#This Row],[Bonds_ShortName]])/10^5-VLOOKUP(Outstanding_pos_BB_SBV[[#This Row],[Bonds_ShortName]],FNRP!EE:FL,34,0)</f>
        <v>2500000</v>
      </c>
      <c r="CT135" t="s">
        <v>627</v>
      </c>
      <c r="CU135" s="502">
        <v>45793</v>
      </c>
      <c r="CV135" s="35"/>
    </row>
    <row r="136" spans="55:100" x14ac:dyDescent="0.3">
      <c r="BC136"/>
      <c r="BD136"/>
      <c r="BG136"/>
      <c r="BH136"/>
      <c r="BJ136"/>
      <c r="BO136"/>
      <c r="BQ136"/>
      <c r="BR136"/>
      <c r="BS136" s="72"/>
      <c r="BT136" s="72"/>
      <c r="BU136" s="157"/>
      <c r="BX136">
        <v>49561</v>
      </c>
      <c r="BY136" s="502">
        <v>46136</v>
      </c>
      <c r="BZ136" t="s">
        <v>2831</v>
      </c>
      <c r="CA136" t="s">
        <v>824</v>
      </c>
      <c r="CB136" t="s">
        <v>823</v>
      </c>
      <c r="CC136" s="500">
        <v>50000000000</v>
      </c>
      <c r="CD136">
        <v>2.7</v>
      </c>
      <c r="CE136" s="502">
        <v>49115</v>
      </c>
      <c r="CF136">
        <v>2.91</v>
      </c>
      <c r="CG136">
        <v>7.84</v>
      </c>
      <c r="CH136" t="s">
        <v>2747</v>
      </c>
      <c r="CI136">
        <v>4.3499999999999996</v>
      </c>
      <c r="CJ136" s="500">
        <v>-4605000000</v>
      </c>
      <c r="CK136">
        <v>6.79</v>
      </c>
      <c r="CL136" s="500">
        <v>-60910120.859999999</v>
      </c>
      <c r="CM136" s="500">
        <v>444000000</v>
      </c>
      <c r="CN136">
        <v>55.64</v>
      </c>
      <c r="CO13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-4636668791.1269321</v>
      </c>
      <c r="CP136" s="72">
        <f>RPT-VLOOKUP(Outstanding_pos_BB_SBV[[#This Row],[Bonds_ShortName]],CT:CU,2,0)</f>
        <v>-9</v>
      </c>
      <c r="CQ136" s="157">
        <f>SUMIFS(CC:CC,BZ:BZ,Outstanding_pos_BB_SBV[[#This Row],[Bonds_ShortName]])/10^5-VLOOKUP(Outstanding_pos_BB_SBV[[#This Row],[Bonds_ShortName]],FNRP!EE:FL,34,0)</f>
        <v>0</v>
      </c>
      <c r="CT136" t="s">
        <v>3865</v>
      </c>
      <c r="CU136" s="502">
        <v>46199</v>
      </c>
      <c r="CV136" s="35"/>
    </row>
    <row r="137" spans="55:100" x14ac:dyDescent="0.3">
      <c r="BC137"/>
      <c r="BD137"/>
      <c r="BG137"/>
      <c r="BH137"/>
      <c r="BJ137"/>
      <c r="BO137"/>
      <c r="BQ137"/>
      <c r="BR137"/>
      <c r="BS137" s="72"/>
      <c r="BT137" s="72"/>
      <c r="BU137" s="157"/>
      <c r="BX137">
        <v>49645</v>
      </c>
      <c r="BY137" s="502">
        <v>46149</v>
      </c>
      <c r="BZ137" t="s">
        <v>2834</v>
      </c>
      <c r="CA137" t="s">
        <v>824</v>
      </c>
      <c r="CB137" t="s">
        <v>823</v>
      </c>
      <c r="CC137" s="500">
        <v>100000000000</v>
      </c>
      <c r="CD137">
        <v>2.7</v>
      </c>
      <c r="CE137" s="502">
        <v>49129</v>
      </c>
      <c r="CF137">
        <v>3.01</v>
      </c>
      <c r="CG137">
        <v>7.88</v>
      </c>
      <c r="CH137" t="s">
        <v>2747</v>
      </c>
      <c r="CI137">
        <v>4.3499999999999996</v>
      </c>
      <c r="CJ137" s="500">
        <v>-8568000000</v>
      </c>
      <c r="CK137">
        <v>6.83</v>
      </c>
      <c r="CL137" s="500">
        <v>-61131101.270000003</v>
      </c>
      <c r="CM137" s="500">
        <v>340000000</v>
      </c>
      <c r="CN137">
        <v>56.17</v>
      </c>
      <c r="CO13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-8650214158.3157215</v>
      </c>
      <c r="CP137" s="72">
        <f>RPT-VLOOKUP(Outstanding_pos_BB_SBV[[#This Row],[Bonds_ShortName]],CT:CU,2,0)</f>
        <v>67</v>
      </c>
      <c r="CQ137" s="157">
        <f>SUMIFS(CC:CC,BZ:BZ,Outstanding_pos_BB_SBV[[#This Row],[Bonds_ShortName]])/10^5-VLOOKUP(Outstanding_pos_BB_SBV[[#This Row],[Bonds_ShortName]],FNRP!EE:FL,34,0)</f>
        <v>2500000</v>
      </c>
      <c r="CT137" t="s">
        <v>2773</v>
      </c>
      <c r="CU137" s="502">
        <v>45275</v>
      </c>
      <c r="CV137" s="35"/>
    </row>
    <row r="138" spans="55:100" x14ac:dyDescent="0.3">
      <c r="BC138"/>
      <c r="BD138"/>
      <c r="BG138"/>
      <c r="BH138"/>
      <c r="BJ138"/>
      <c r="BO138"/>
      <c r="BQ138"/>
      <c r="BR138"/>
      <c r="BS138" s="72"/>
      <c r="BT138" s="72"/>
      <c r="BU138" s="157"/>
      <c r="BX138">
        <v>49701</v>
      </c>
      <c r="BY138" s="502">
        <v>46150</v>
      </c>
      <c r="BZ138" t="s">
        <v>3118</v>
      </c>
      <c r="CA138" t="s">
        <v>824</v>
      </c>
      <c r="CB138" t="s">
        <v>823</v>
      </c>
      <c r="CC138" s="500">
        <v>100000000000</v>
      </c>
      <c r="CD138">
        <v>2.9</v>
      </c>
      <c r="CE138" s="502">
        <v>49395</v>
      </c>
      <c r="CF138">
        <v>3.7</v>
      </c>
      <c r="CG138">
        <v>8.61</v>
      </c>
      <c r="CH138" t="s">
        <v>2747</v>
      </c>
      <c r="CI138">
        <v>4.38</v>
      </c>
      <c r="CJ138" s="500">
        <v>-4486000000</v>
      </c>
      <c r="CK138">
        <v>7.27</v>
      </c>
      <c r="CL138" s="500">
        <v>-65897235.359999999</v>
      </c>
      <c r="CM138" s="500">
        <v>1152000000</v>
      </c>
      <c r="CN138">
        <v>64.25</v>
      </c>
      <c r="CO13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-4679818152.2679806</v>
      </c>
      <c r="CP138" s="72">
        <f>RPT-VLOOKUP(Outstanding_pos_BB_SBV[[#This Row],[Bonds_ShortName]],CT:CU,2,0)</f>
        <v>56</v>
      </c>
      <c r="CQ138" s="157">
        <f>SUMIFS(CC:CC,BZ:BZ,Outstanding_pos_BB_SBV[[#This Row],[Bonds_ShortName]])/10^5-VLOOKUP(Outstanding_pos_BB_SBV[[#This Row],[Bonds_ShortName]],FNRP!EE:FL,34,0)</f>
        <v>0</v>
      </c>
      <c r="CT138" t="s">
        <v>582</v>
      </c>
      <c r="CU138" s="502">
        <v>45803</v>
      </c>
      <c r="CV138" s="35"/>
    </row>
    <row r="139" spans="55:100" x14ac:dyDescent="0.3">
      <c r="BC139"/>
      <c r="BD139"/>
      <c r="BG139"/>
      <c r="BH139"/>
      <c r="BJ139"/>
      <c r="BO139"/>
      <c r="BQ139"/>
      <c r="BR139"/>
      <c r="BS139" s="72"/>
      <c r="BT139" s="72"/>
      <c r="BU139" s="157"/>
      <c r="BX139">
        <v>49769</v>
      </c>
      <c r="BY139" s="502">
        <v>46156</v>
      </c>
      <c r="BZ139" t="s">
        <v>2835</v>
      </c>
      <c r="CA139" t="s">
        <v>824</v>
      </c>
      <c r="CB139" t="s">
        <v>823</v>
      </c>
      <c r="CC139" s="500">
        <v>200000000000</v>
      </c>
      <c r="CD139">
        <v>2.7</v>
      </c>
      <c r="CE139" s="502">
        <v>50899</v>
      </c>
      <c r="CF139">
        <v>3.25</v>
      </c>
      <c r="CG139">
        <v>12.73</v>
      </c>
      <c r="CH139" t="s">
        <v>2740</v>
      </c>
      <c r="CI139">
        <v>4.5199999999999996</v>
      </c>
      <c r="CJ139" s="500">
        <v>-23082000000</v>
      </c>
      <c r="CK139">
        <v>10.16</v>
      </c>
      <c r="CL139" s="500">
        <v>-84810402.099999994</v>
      </c>
      <c r="CM139" s="500">
        <v>755000000</v>
      </c>
      <c r="CN139">
        <v>125.72</v>
      </c>
      <c r="CO13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-23322442607.562988</v>
      </c>
      <c r="CP139" s="72">
        <f>RPT-VLOOKUP(Outstanding_pos_BB_SBV[[#This Row],[Bonds_ShortName]],CT:CU,2,0)</f>
        <v>0</v>
      </c>
      <c r="CQ139" s="157">
        <f>SUMIFS(CC:CC,BZ:BZ,Outstanding_pos_BB_SBV[[#This Row],[Bonds_ShortName]])/10^5-VLOOKUP(Outstanding_pos_BB_SBV[[#This Row],[Bonds_ShortName]],FNRP!EE:FL,34,0)</f>
        <v>0</v>
      </c>
      <c r="CT139" t="s">
        <v>551</v>
      </c>
      <c r="CU139" s="502">
        <v>45450</v>
      </c>
      <c r="CV139" s="35"/>
    </row>
    <row r="140" spans="55:100" x14ac:dyDescent="0.3">
      <c r="BC140"/>
      <c r="BD140"/>
      <c r="BG140"/>
      <c r="BH140"/>
      <c r="BJ140"/>
      <c r="BO140"/>
      <c r="BQ140"/>
      <c r="BR140"/>
      <c r="BS140" s="72"/>
      <c r="BT140" s="72"/>
      <c r="BU140" s="157"/>
      <c r="BX140">
        <v>49925</v>
      </c>
      <c r="BY140" s="502">
        <v>46178</v>
      </c>
      <c r="BZ140" t="s">
        <v>2834</v>
      </c>
      <c r="CA140" t="s">
        <v>824</v>
      </c>
      <c r="CB140" t="s">
        <v>823</v>
      </c>
      <c r="CC140" s="500">
        <v>250000000000</v>
      </c>
      <c r="CD140">
        <v>2.7</v>
      </c>
      <c r="CE140" s="502">
        <v>49129</v>
      </c>
      <c r="CF140">
        <v>3.05</v>
      </c>
      <c r="CG140">
        <v>7.88</v>
      </c>
      <c r="CH140" t="s">
        <v>2747</v>
      </c>
      <c r="CI140">
        <v>4.3499999999999996</v>
      </c>
      <c r="CJ140" s="500">
        <v>-20832500000</v>
      </c>
      <c r="CK140">
        <v>6.83</v>
      </c>
      <c r="CL140" s="500">
        <v>-61131101.270000003</v>
      </c>
      <c r="CM140" s="500">
        <v>340000000</v>
      </c>
      <c r="CN140">
        <v>56.17</v>
      </c>
      <c r="CO14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-20998587848.094212</v>
      </c>
      <c r="CP140" s="72">
        <f>RPT-VLOOKUP(Outstanding_pos_BB_SBV[[#This Row],[Bonds_ShortName]],CT:CU,2,0)</f>
        <v>67</v>
      </c>
      <c r="CQ140" s="157">
        <f>SUMIFS(CC:CC,BZ:BZ,Outstanding_pos_BB_SBV[[#This Row],[Bonds_ShortName]])/10^5-VLOOKUP(Outstanding_pos_BB_SBV[[#This Row],[Bonds_ShortName]],FNRP!EE:FL,34,0)</f>
        <v>2500000</v>
      </c>
      <c r="CT140" t="s">
        <v>554</v>
      </c>
      <c r="CU140" s="502">
        <v>45370</v>
      </c>
      <c r="CV140" s="35"/>
    </row>
    <row r="141" spans="55:100" x14ac:dyDescent="0.3">
      <c r="BC141"/>
      <c r="BD141"/>
      <c r="BG141"/>
      <c r="BH141"/>
      <c r="BJ141"/>
      <c r="BO141"/>
      <c r="BQ141"/>
      <c r="BR141"/>
      <c r="BS141" s="72"/>
      <c r="BT141" s="72"/>
      <c r="BU141" s="157"/>
      <c r="BX141">
        <v>49930</v>
      </c>
      <c r="BY141" s="502">
        <v>46181</v>
      </c>
      <c r="BZ141" t="s">
        <v>2381</v>
      </c>
      <c r="CA141" t="s">
        <v>824</v>
      </c>
      <c r="CB141" t="s">
        <v>823</v>
      </c>
      <c r="CC141" s="500">
        <v>300000000000</v>
      </c>
      <c r="CD141">
        <v>4.5</v>
      </c>
      <c r="CE141" s="502">
        <v>48584</v>
      </c>
      <c r="CF141">
        <v>2.9</v>
      </c>
      <c r="CG141">
        <v>6.39</v>
      </c>
      <c r="CH141" t="s">
        <v>3644</v>
      </c>
      <c r="CI141">
        <v>4.29</v>
      </c>
      <c r="CJ141" s="500">
        <v>-24891000000</v>
      </c>
      <c r="CK141">
        <v>5.32</v>
      </c>
      <c r="CL141" s="500">
        <v>-55259019.450000003</v>
      </c>
      <c r="CM141" s="500">
        <v>2786000000</v>
      </c>
      <c r="CN141">
        <v>36.130000000000003</v>
      </c>
      <c r="CO14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-24043357241.803894</v>
      </c>
      <c r="CP141" s="72">
        <f>RPT-VLOOKUP(Outstanding_pos_BB_SBV[[#This Row],[Bonds_ShortName]],CT:CU,2,0)</f>
        <v>74</v>
      </c>
      <c r="CQ141" s="157">
        <f>SUMIFS(CC:CC,BZ:BZ,Outstanding_pos_BB_SBV[[#This Row],[Bonds_ShortName]])/10^5-VLOOKUP(Outstanding_pos_BB_SBV[[#This Row],[Bonds_ShortName]],FNRP!EE:FL,34,0)</f>
        <v>0</v>
      </c>
      <c r="CT141" t="s">
        <v>547</v>
      </c>
      <c r="CU141" s="502">
        <v>45370</v>
      </c>
      <c r="CV141" s="35"/>
    </row>
    <row r="142" spans="55:100" x14ac:dyDescent="0.3">
      <c r="BC142"/>
      <c r="BD142"/>
      <c r="BG142"/>
      <c r="BH142"/>
      <c r="BJ142"/>
      <c r="BO142"/>
      <c r="BQ142"/>
      <c r="BR142"/>
      <c r="BS142" s="72"/>
      <c r="BT142" s="72"/>
      <c r="BU142" s="157"/>
      <c r="BX142">
        <v>49935</v>
      </c>
      <c r="BY142" s="502">
        <v>46211</v>
      </c>
      <c r="BZ142" t="s">
        <v>2799</v>
      </c>
      <c r="CA142" t="s">
        <v>824</v>
      </c>
      <c r="CB142" t="s">
        <v>823</v>
      </c>
      <c r="CC142" s="500">
        <v>250000000000</v>
      </c>
      <c r="CD142">
        <v>2.1</v>
      </c>
      <c r="CE142" s="502">
        <v>48955</v>
      </c>
      <c r="CF142">
        <v>2.81</v>
      </c>
      <c r="CG142">
        <v>7.4</v>
      </c>
      <c r="CH142" t="s">
        <v>2746</v>
      </c>
      <c r="CI142">
        <v>4.33</v>
      </c>
      <c r="CJ142" s="500">
        <v>-22755000000</v>
      </c>
      <c r="CK142">
        <v>6.51</v>
      </c>
      <c r="CL142" s="500">
        <v>-56870686.310000002</v>
      </c>
      <c r="CM142" s="500">
        <v>1266000000</v>
      </c>
      <c r="CN142">
        <v>51.1</v>
      </c>
      <c r="CO14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-22949220016.773907</v>
      </c>
      <c r="CP142" s="72">
        <f>RPT-VLOOKUP(Outstanding_pos_BB_SBV[[#This Row],[Bonds_ShortName]],CT:CU,2,0)</f>
        <v>42</v>
      </c>
      <c r="CQ142" s="157">
        <f>SUMIFS(CC:CC,BZ:BZ,Outstanding_pos_BB_SBV[[#This Row],[Bonds_ShortName]])/10^5-VLOOKUP(Outstanding_pos_BB_SBV[[#This Row],[Bonds_ShortName]],FNRP!EE:FL,34,0)</f>
        <v>0</v>
      </c>
      <c r="CT142" t="s">
        <v>651</v>
      </c>
      <c r="CU142" s="502">
        <v>45609</v>
      </c>
      <c r="CV142" s="35"/>
    </row>
    <row r="143" spans="55:100" x14ac:dyDescent="0.3">
      <c r="BC143"/>
      <c r="BD143"/>
      <c r="BG143"/>
      <c r="BH143"/>
      <c r="BJ143"/>
      <c r="BO143"/>
      <c r="BQ143"/>
      <c r="BR143"/>
      <c r="BS143" s="72"/>
      <c r="BT143" s="72"/>
      <c r="BU143" s="157"/>
      <c r="BX143">
        <v>49936</v>
      </c>
      <c r="BY143" s="502">
        <v>46211</v>
      </c>
      <c r="BZ143" t="s">
        <v>3051</v>
      </c>
      <c r="CA143" t="s">
        <v>824</v>
      </c>
      <c r="CB143" t="s">
        <v>823</v>
      </c>
      <c r="CC143" s="500">
        <v>200000000000</v>
      </c>
      <c r="CD143">
        <v>2.9</v>
      </c>
      <c r="CE143" s="502">
        <v>49367</v>
      </c>
      <c r="CF143">
        <v>3.01</v>
      </c>
      <c r="CG143">
        <v>8.5299999999999994</v>
      </c>
      <c r="CH143" t="s">
        <v>2747</v>
      </c>
      <c r="CI143">
        <v>4.38</v>
      </c>
      <c r="CJ143" s="500">
        <v>-19044000000</v>
      </c>
      <c r="CK143">
        <v>7.19</v>
      </c>
      <c r="CL143" s="500">
        <v>-65465949.960000001</v>
      </c>
      <c r="CM143" s="500">
        <v>1375000000</v>
      </c>
      <c r="CN143">
        <v>63.12</v>
      </c>
      <c r="CO14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-19074602375.123707</v>
      </c>
      <c r="CP143" s="72">
        <f>RPT-VLOOKUP(Outstanding_pos_BB_SBV[[#This Row],[Bonds_ShortName]],CT:CU,2,0)</f>
        <v>-9</v>
      </c>
      <c r="CQ143" s="157">
        <f>SUMIFS(CC:CC,BZ:BZ,Outstanding_pos_BB_SBV[[#This Row],[Bonds_ShortName]])/10^5-VLOOKUP(Outstanding_pos_BB_SBV[[#This Row],[Bonds_ShortName]],FNRP!EE:FL,34,0)</f>
        <v>0</v>
      </c>
      <c r="CT143" t="s">
        <v>614</v>
      </c>
      <c r="CU143" s="502">
        <v>45705</v>
      </c>
      <c r="CV143" s="35"/>
    </row>
    <row r="144" spans="55:100" x14ac:dyDescent="0.3">
      <c r="BC144"/>
      <c r="BD144"/>
      <c r="BG144"/>
      <c r="BH144"/>
      <c r="BJ144"/>
      <c r="BO144"/>
      <c r="BQ144"/>
      <c r="BR144"/>
      <c r="BS144" s="72"/>
      <c r="BT144" s="72"/>
      <c r="BU144" s="157"/>
      <c r="BX144">
        <v>49939</v>
      </c>
      <c r="BY144" s="502">
        <v>46212</v>
      </c>
      <c r="BZ144" t="s">
        <v>3317</v>
      </c>
      <c r="CA144" t="s">
        <v>824</v>
      </c>
      <c r="CB144" t="s">
        <v>823</v>
      </c>
      <c r="CC144" s="500">
        <v>300000000000</v>
      </c>
      <c r="CD144">
        <v>3.3</v>
      </c>
      <c r="CE144" s="502">
        <v>49528</v>
      </c>
      <c r="CF144">
        <v>3.51</v>
      </c>
      <c r="CG144">
        <v>8.9700000000000006</v>
      </c>
      <c r="CH144" t="s">
        <v>2747</v>
      </c>
      <c r="CI144">
        <v>4.4000000000000004</v>
      </c>
      <c r="CJ144" s="500">
        <v>-19191000000</v>
      </c>
      <c r="CK144">
        <v>7.51</v>
      </c>
      <c r="CL144" s="500">
        <v>-69197928.799999997</v>
      </c>
      <c r="CM144" s="500">
        <v>108000000</v>
      </c>
      <c r="CN144">
        <v>68.5</v>
      </c>
      <c r="CO14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-19260399049.027546</v>
      </c>
      <c r="CP144" s="72">
        <f>RPT-VLOOKUP(Outstanding_pos_BB_SBV[[#This Row],[Bonds_ShortName]],CT:CU,2,0)</f>
        <v>-9</v>
      </c>
      <c r="CQ144" s="157">
        <f>SUMIFS(CC:CC,BZ:BZ,Outstanding_pos_BB_SBV[[#This Row],[Bonds_ShortName]])/10^5-VLOOKUP(Outstanding_pos_BB_SBV[[#This Row],[Bonds_ShortName]],FNRP!EE:FL,34,0)</f>
        <v>0</v>
      </c>
      <c r="CT144" t="s">
        <v>613</v>
      </c>
      <c r="CU144" s="502">
        <v>45762</v>
      </c>
      <c r="CV144" s="35"/>
    </row>
    <row r="145" spans="55:100" x14ac:dyDescent="0.3">
      <c r="BC145"/>
      <c r="BD145"/>
      <c r="BG145"/>
      <c r="BH145"/>
      <c r="BJ145"/>
      <c r="BO145"/>
      <c r="BQ145"/>
      <c r="BR145"/>
      <c r="BS145" s="72"/>
      <c r="BT145" s="72"/>
      <c r="BU145" s="157"/>
      <c r="BX145">
        <v>49977</v>
      </c>
      <c r="BY145" s="502">
        <v>46190</v>
      </c>
      <c r="BZ145" t="s">
        <v>2785</v>
      </c>
      <c r="CA145" t="s">
        <v>824</v>
      </c>
      <c r="CB145" t="s">
        <v>823</v>
      </c>
      <c r="CC145" s="500">
        <v>200000000000</v>
      </c>
      <c r="CD145">
        <v>2.2999999999999998</v>
      </c>
      <c r="CE145" s="502">
        <v>48836</v>
      </c>
      <c r="CF145">
        <v>3.05</v>
      </c>
      <c r="CG145">
        <v>7.08</v>
      </c>
      <c r="CH145" t="s">
        <v>2746</v>
      </c>
      <c r="CI145">
        <v>4.3099999999999996</v>
      </c>
      <c r="CJ145" s="500">
        <v>-14462000000</v>
      </c>
      <c r="CK145">
        <v>6.15</v>
      </c>
      <c r="CL145" s="500">
        <v>-55398737.030000001</v>
      </c>
      <c r="CM145" s="500">
        <v>2136000000</v>
      </c>
      <c r="CN145">
        <v>46.41</v>
      </c>
      <c r="CO14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-14700985649.054142</v>
      </c>
      <c r="CP145" s="72">
        <f>RPT-VLOOKUP(Outstanding_pos_BB_SBV[[#This Row],[Bonds_ShortName]],CT:CU,2,0)</f>
        <v>21</v>
      </c>
      <c r="CQ145" s="157">
        <f>SUMIFS(CC:CC,BZ:BZ,Outstanding_pos_BB_SBV[[#This Row],[Bonds_ShortName]])/10^5-VLOOKUP(Outstanding_pos_BB_SBV[[#This Row],[Bonds_ShortName]],FNRP!EE:FL,34,0)</f>
        <v>0</v>
      </c>
      <c r="CT145" t="s">
        <v>626</v>
      </c>
      <c r="CU145" s="502">
        <v>45771</v>
      </c>
      <c r="CV145" s="35"/>
    </row>
    <row r="146" spans="55:100" x14ac:dyDescent="0.3">
      <c r="BC146"/>
      <c r="BD146"/>
      <c r="BG146"/>
      <c r="BH146"/>
      <c r="BJ146"/>
      <c r="BO146"/>
      <c r="BQ146"/>
      <c r="BR146"/>
      <c r="BS146" s="72"/>
      <c r="BT146" s="72"/>
      <c r="BU146" s="157"/>
      <c r="BX146">
        <v>49999</v>
      </c>
      <c r="BY146" s="502">
        <v>46196</v>
      </c>
      <c r="BZ146" t="s">
        <v>667</v>
      </c>
      <c r="CA146" t="s">
        <v>824</v>
      </c>
      <c r="CB146" t="s">
        <v>823</v>
      </c>
      <c r="CC146" s="500">
        <v>50000000000</v>
      </c>
      <c r="CD146">
        <v>5</v>
      </c>
      <c r="CE146" s="502">
        <v>48996</v>
      </c>
      <c r="CF146">
        <v>3.15</v>
      </c>
      <c r="CG146">
        <v>7.52</v>
      </c>
      <c r="CH146" t="s">
        <v>2747</v>
      </c>
      <c r="CI146">
        <v>4.33</v>
      </c>
      <c r="CJ146" s="500">
        <v>-4103500000</v>
      </c>
      <c r="CK146">
        <v>6.06</v>
      </c>
      <c r="CL146" s="500">
        <v>-64651475.93</v>
      </c>
      <c r="CM146" s="500">
        <v>2452000000</v>
      </c>
      <c r="CN146">
        <v>46.86</v>
      </c>
      <c r="CO14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-3976854860.5675092</v>
      </c>
      <c r="CP146" s="72">
        <f>RPT-VLOOKUP(Outstanding_pos_BB_SBV[[#This Row],[Bonds_ShortName]],CT:CU,2,0)</f>
        <v>-6</v>
      </c>
      <c r="CQ146" s="157">
        <f>SUMIFS(CC:CC,BZ:BZ,Outstanding_pos_BB_SBV[[#This Row],[Bonds_ShortName]])/10^5-VLOOKUP(Outstanding_pos_BB_SBV[[#This Row],[Bonds_ShortName]],FNRP!EE:FL,34,0)</f>
        <v>0</v>
      </c>
      <c r="CT146" t="s">
        <v>697</v>
      </c>
      <c r="CU146" s="502">
        <v>45387</v>
      </c>
      <c r="CV146" s="35"/>
    </row>
    <row r="147" spans="55:100" x14ac:dyDescent="0.3">
      <c r="BC147"/>
      <c r="BD147"/>
      <c r="BG147"/>
      <c r="BH147"/>
      <c r="BJ147"/>
      <c r="BO147"/>
      <c r="BQ147"/>
      <c r="BR147"/>
      <c r="BS147" s="72"/>
      <c r="BT147" s="72"/>
      <c r="BU147" s="157"/>
      <c r="BX147">
        <v>50021</v>
      </c>
      <c r="BY147" s="502">
        <v>46198</v>
      </c>
      <c r="BZ147" t="s">
        <v>2385</v>
      </c>
      <c r="CA147" t="s">
        <v>824</v>
      </c>
      <c r="CB147" t="s">
        <v>823</v>
      </c>
      <c r="CC147" s="500">
        <v>100000000000</v>
      </c>
      <c r="CD147">
        <v>4.2</v>
      </c>
      <c r="CE147" s="502">
        <v>48612</v>
      </c>
      <c r="CF147">
        <v>2.99</v>
      </c>
      <c r="CG147">
        <v>6.46</v>
      </c>
      <c r="CH147" t="s">
        <v>3644</v>
      </c>
      <c r="CI147">
        <v>4.29</v>
      </c>
      <c r="CJ147" s="500">
        <v>-7660000000</v>
      </c>
      <c r="CK147">
        <v>5.43</v>
      </c>
      <c r="CL147" s="500">
        <v>-55257987.259999998</v>
      </c>
      <c r="CM147" s="500">
        <v>2278000000</v>
      </c>
      <c r="CN147">
        <v>37.35</v>
      </c>
      <c r="CO14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-7497832631.5669985</v>
      </c>
      <c r="CP147" s="72">
        <f>RPT-VLOOKUP(Outstanding_pos_BB_SBV[[#This Row],[Bonds_ShortName]],CT:CU,2,0)</f>
        <v>55</v>
      </c>
      <c r="CQ147" s="157">
        <f>SUMIFS(CC:CC,BZ:BZ,Outstanding_pos_BB_SBV[[#This Row],[Bonds_ShortName]])/10^5-VLOOKUP(Outstanding_pos_BB_SBV[[#This Row],[Bonds_ShortName]],FNRP!EE:FL,34,0)</f>
        <v>0</v>
      </c>
      <c r="CT147" t="s">
        <v>704</v>
      </c>
      <c r="CU147" s="502">
        <v>45663</v>
      </c>
      <c r="CV147" s="35"/>
    </row>
    <row r="148" spans="55:100" x14ac:dyDescent="0.3">
      <c r="BC148"/>
      <c r="BD148"/>
      <c r="BG148"/>
      <c r="BH148"/>
      <c r="BJ148"/>
      <c r="BO148"/>
      <c r="BQ148"/>
      <c r="BR148"/>
      <c r="BS148" s="72"/>
      <c r="BT148" s="72"/>
      <c r="BU148" s="157"/>
      <c r="BX148">
        <v>50023</v>
      </c>
      <c r="BY148" s="502">
        <v>46198</v>
      </c>
      <c r="BZ148" t="s">
        <v>2742</v>
      </c>
      <c r="CA148" t="s">
        <v>824</v>
      </c>
      <c r="CB148" t="s">
        <v>823</v>
      </c>
      <c r="CC148" s="500">
        <v>200000000000</v>
      </c>
      <c r="CD148">
        <v>2.4</v>
      </c>
      <c r="CE148" s="502">
        <v>48766</v>
      </c>
      <c r="CF148">
        <v>3</v>
      </c>
      <c r="CG148">
        <v>6.88</v>
      </c>
      <c r="CH148" t="s">
        <v>2746</v>
      </c>
      <c r="CI148">
        <v>4.3</v>
      </c>
      <c r="CJ148" s="500">
        <v>-14776000000</v>
      </c>
      <c r="CK148">
        <v>6.11</v>
      </c>
      <c r="CL148" s="500">
        <v>-54448386.369999997</v>
      </c>
      <c r="CM148" s="500">
        <v>289000000</v>
      </c>
      <c r="CN148">
        <v>44.99</v>
      </c>
      <c r="CO14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-14947445632.228045</v>
      </c>
      <c r="CP148" s="72">
        <f>RPT-VLOOKUP(Outstanding_pos_BB_SBV[[#This Row],[Bonds_ShortName]],CT:CU,2,0)</f>
        <v>55</v>
      </c>
      <c r="CQ148" s="157">
        <f>SUMIFS(CC:CC,BZ:BZ,Outstanding_pos_BB_SBV[[#This Row],[Bonds_ShortName]])/10^5-VLOOKUP(Outstanding_pos_BB_SBV[[#This Row],[Bonds_ShortName]],FNRP!EE:FL,34,0)</f>
        <v>0</v>
      </c>
      <c r="CT148" t="s">
        <v>701</v>
      </c>
      <c r="CU148" s="502">
        <v>45561</v>
      </c>
      <c r="CV148" s="35"/>
    </row>
    <row r="149" spans="55:100" x14ac:dyDescent="0.3">
      <c r="BC149"/>
      <c r="BD149"/>
      <c r="BG149"/>
      <c r="BH149"/>
      <c r="BJ149"/>
      <c r="BO149"/>
      <c r="BQ149"/>
      <c r="BR149"/>
      <c r="BS149" s="72"/>
      <c r="BT149" s="72"/>
      <c r="BU149" s="157"/>
      <c r="BX149">
        <v>50068</v>
      </c>
      <c r="BY149" s="502">
        <v>46195</v>
      </c>
      <c r="BZ149" t="s">
        <v>3081</v>
      </c>
      <c r="CA149" t="s">
        <v>824</v>
      </c>
      <c r="CB149" t="s">
        <v>823</v>
      </c>
      <c r="CC149" s="500">
        <v>50000000000</v>
      </c>
      <c r="CD149">
        <v>2.9</v>
      </c>
      <c r="CE149" s="502">
        <v>49381</v>
      </c>
      <c r="CF149">
        <v>3.42</v>
      </c>
      <c r="CG149">
        <v>8.57</v>
      </c>
      <c r="CH149" t="s">
        <v>2747</v>
      </c>
      <c r="CI149">
        <v>4.38</v>
      </c>
      <c r="CJ149" s="500">
        <v>-3271500000</v>
      </c>
      <c r="CK149">
        <v>7.23</v>
      </c>
      <c r="CL149" s="500">
        <v>-65682199.93</v>
      </c>
      <c r="CM149" s="500">
        <v>1263000000</v>
      </c>
      <c r="CN149">
        <v>63.68</v>
      </c>
      <c r="CO14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-3308442737.4902225</v>
      </c>
      <c r="CP149" s="72">
        <f>RPT-VLOOKUP(Outstanding_pos_BB_SBV[[#This Row],[Bonds_ShortName]],CT:CU,2,0)</f>
        <v>60</v>
      </c>
      <c r="CQ149" s="157">
        <f>SUMIFS(CC:CC,BZ:BZ,Outstanding_pos_BB_SBV[[#This Row],[Bonds_ShortName]])/10^5-VLOOKUP(Outstanding_pos_BB_SBV[[#This Row],[Bonds_ShortName]],FNRP!EE:FL,34,0)</f>
        <v>0</v>
      </c>
      <c r="CT149" t="s">
        <v>2782</v>
      </c>
      <c r="CU149" s="502">
        <v>45448</v>
      </c>
      <c r="CV149" s="35"/>
    </row>
    <row r="150" spans="55:100" x14ac:dyDescent="0.3">
      <c r="BC150"/>
      <c r="BD150"/>
      <c r="BG150"/>
      <c r="BH150"/>
      <c r="BJ150"/>
      <c r="BO150"/>
      <c r="BQ150"/>
      <c r="BR150"/>
      <c r="BS150" s="72"/>
      <c r="BT150" s="72"/>
      <c r="BU150" s="157"/>
      <c r="BX150">
        <v>50082</v>
      </c>
      <c r="BY150" s="502">
        <v>46197</v>
      </c>
      <c r="BZ150" t="s">
        <v>3118</v>
      </c>
      <c r="CA150" t="s">
        <v>824</v>
      </c>
      <c r="CB150" t="s">
        <v>823</v>
      </c>
      <c r="CC150" s="500">
        <v>200000000000</v>
      </c>
      <c r="CD150" s="37">
        <v>2.9</v>
      </c>
      <c r="CE150" s="502">
        <v>49395</v>
      </c>
      <c r="CF150" s="35">
        <v>3.14</v>
      </c>
      <c r="CG150">
        <v>8.61</v>
      </c>
      <c r="CH150" t="s">
        <v>2747</v>
      </c>
      <c r="CI150">
        <v>4.38</v>
      </c>
      <c r="CJ150" s="500">
        <v>-17234000000</v>
      </c>
      <c r="CK150" s="37">
        <v>7.27</v>
      </c>
      <c r="CL150" s="500">
        <v>-65897235.359999999</v>
      </c>
      <c r="CM150" s="500">
        <v>1152000000</v>
      </c>
      <c r="CN150" s="37">
        <v>64.25</v>
      </c>
      <c r="CO15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-17306198017.596619</v>
      </c>
      <c r="CP150" s="72">
        <f>RPT-VLOOKUP(Outstanding_pos_BB_SBV[[#This Row],[Bonds_ShortName]],CT:CU,2,0)</f>
        <v>56</v>
      </c>
      <c r="CQ150" s="157">
        <f>SUMIFS(CC:CC,BZ:BZ,Outstanding_pos_BB_SBV[[#This Row],[Bonds_ShortName]])/10^5-VLOOKUP(Outstanding_pos_BB_SBV[[#This Row],[Bonds_ShortName]],FNRP!EE:FL,34,0)</f>
        <v>0</v>
      </c>
      <c r="CT150" t="s">
        <v>703</v>
      </c>
      <c r="CU150" s="502">
        <v>45653</v>
      </c>
      <c r="CV150" s="35"/>
    </row>
    <row r="151" spans="55:100" x14ac:dyDescent="0.3">
      <c r="BC151"/>
      <c r="BD151"/>
      <c r="BG151"/>
      <c r="BH151"/>
      <c r="BJ151"/>
      <c r="BO151"/>
      <c r="BQ151"/>
      <c r="BR151"/>
      <c r="BS151" s="72"/>
      <c r="BT151" s="72"/>
      <c r="BU151" s="157"/>
      <c r="BX151">
        <v>50083</v>
      </c>
      <c r="BY151" s="502">
        <v>46197</v>
      </c>
      <c r="BZ151" t="s">
        <v>2862</v>
      </c>
      <c r="CA151" t="s">
        <v>824</v>
      </c>
      <c r="CB151" t="s">
        <v>823</v>
      </c>
      <c r="CC151" s="500">
        <v>16000000000</v>
      </c>
      <c r="CD151">
        <v>2.6</v>
      </c>
      <c r="CE151" s="502">
        <v>49213</v>
      </c>
      <c r="CF151">
        <v>3.05</v>
      </c>
      <c r="CG151">
        <v>8.11</v>
      </c>
      <c r="CH151" t="s">
        <v>2747</v>
      </c>
      <c r="CI151">
        <v>4.3600000000000003</v>
      </c>
      <c r="CJ151" s="500">
        <v>-1365600000</v>
      </c>
      <c r="CK151">
        <v>6.87</v>
      </c>
      <c r="CL151" s="500">
        <v>-62183264.149999999</v>
      </c>
      <c r="CM151" s="500">
        <v>2329000000</v>
      </c>
      <c r="CN151">
        <v>57.97</v>
      </c>
      <c r="CO15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-1376058968.7874727</v>
      </c>
      <c r="CP151" s="72">
        <f>RPT-VLOOKUP(Outstanding_pos_BB_SBV[[#This Row],[Bonds_ShortName]],CT:CU,2,0)</f>
        <v>-6</v>
      </c>
      <c r="CQ151" s="157">
        <f>SUMIFS(CC:CC,BZ:BZ,Outstanding_pos_BB_SBV[[#This Row],[Bonds_ShortName]])/10^5-VLOOKUP(Outstanding_pos_BB_SBV[[#This Row],[Bonds_ShortName]],FNRP!EE:FL,34,0)</f>
        <v>0</v>
      </c>
      <c r="CT151" t="s">
        <v>587</v>
      </c>
      <c r="CU151" s="502">
        <v>45652</v>
      </c>
      <c r="CV151" s="35"/>
    </row>
    <row r="152" spans="55:100" x14ac:dyDescent="0.3">
      <c r="BC152"/>
      <c r="BD152"/>
      <c r="BG152"/>
      <c r="BH152"/>
      <c r="BJ152"/>
      <c r="BO152"/>
      <c r="BQ152"/>
      <c r="BR152"/>
      <c r="BS152" s="72"/>
      <c r="BT152" s="72"/>
      <c r="BU152" s="157"/>
      <c r="BX152">
        <v>50089</v>
      </c>
      <c r="BY152" s="502">
        <v>46216</v>
      </c>
      <c r="BZ152" t="s">
        <v>2836</v>
      </c>
      <c r="CA152" t="s">
        <v>824</v>
      </c>
      <c r="CB152" t="s">
        <v>823</v>
      </c>
      <c r="CC152" s="500">
        <v>100000000000</v>
      </c>
      <c r="CD152">
        <v>2.7</v>
      </c>
      <c r="CE152" s="502">
        <v>49143</v>
      </c>
      <c r="CF152">
        <v>3.12</v>
      </c>
      <c r="CG152">
        <v>7.92</v>
      </c>
      <c r="CH152" t="s">
        <v>2747</v>
      </c>
      <c r="CI152">
        <v>4.3499999999999996</v>
      </c>
      <c r="CJ152" s="500">
        <v>-7947000000</v>
      </c>
      <c r="CK152">
        <v>6.86</v>
      </c>
      <c r="CL152" s="500">
        <v>-61350899.390000001</v>
      </c>
      <c r="CM152" s="500">
        <v>237000000</v>
      </c>
      <c r="CN152">
        <v>56.71</v>
      </c>
      <c r="CO15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-7986834783.3819275</v>
      </c>
      <c r="CP152" s="72">
        <f>RPT-VLOOKUP(Outstanding_pos_BB_SBV[[#This Row],[Bonds_ShortName]],CT:CU,2,0)</f>
        <v>-9</v>
      </c>
      <c r="CQ152" s="157">
        <f>SUMIFS(CC:CC,BZ:BZ,Outstanding_pos_BB_SBV[[#This Row],[Bonds_ShortName]])/10^5-VLOOKUP(Outstanding_pos_BB_SBV[[#This Row],[Bonds_ShortName]],FNRP!EE:FL,34,0)</f>
        <v>0</v>
      </c>
      <c r="CT152" t="s">
        <v>670</v>
      </c>
      <c r="CU152" s="502">
        <v>45510</v>
      </c>
      <c r="CV152" s="35"/>
    </row>
    <row r="153" spans="55:100" x14ac:dyDescent="0.3">
      <c r="BC153"/>
      <c r="BD153"/>
      <c r="BG153"/>
      <c r="BH153"/>
      <c r="BJ153"/>
      <c r="BO153"/>
      <c r="BQ153"/>
      <c r="BR153"/>
      <c r="BS153" s="72"/>
      <c r="BT153" s="72"/>
      <c r="BU153" s="157"/>
      <c r="BX153">
        <v>50100</v>
      </c>
      <c r="BY153" s="502">
        <v>46202</v>
      </c>
      <c r="BZ153" t="s">
        <v>3317</v>
      </c>
      <c r="CA153" t="s">
        <v>824</v>
      </c>
      <c r="CB153" t="s">
        <v>823</v>
      </c>
      <c r="CC153" s="500">
        <v>350000000000</v>
      </c>
      <c r="CD153">
        <v>3.3</v>
      </c>
      <c r="CE153" s="502">
        <v>49528</v>
      </c>
      <c r="CF153">
        <v>3.49</v>
      </c>
      <c r="CG153">
        <v>8.9700000000000006</v>
      </c>
      <c r="CH153" t="s">
        <v>2747</v>
      </c>
      <c r="CI153">
        <v>4.4000000000000004</v>
      </c>
      <c r="CJ153" s="500">
        <v>-23026500000</v>
      </c>
      <c r="CK153">
        <v>7.51</v>
      </c>
      <c r="CL153" s="500">
        <v>-69197928.799999997</v>
      </c>
      <c r="CM153" s="500">
        <v>108000000</v>
      </c>
      <c r="CN153">
        <v>68.5</v>
      </c>
      <c r="CO15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-23112429917.050396</v>
      </c>
      <c r="CP153" s="72">
        <f>RPT-VLOOKUP(Outstanding_pos_BB_SBV[[#This Row],[Bonds_ShortName]],CT:CU,2,0)</f>
        <v>-9</v>
      </c>
      <c r="CQ153" s="157">
        <f>SUMIFS(CC:CC,BZ:BZ,Outstanding_pos_BB_SBV[[#This Row],[Bonds_ShortName]])/10^5-VLOOKUP(Outstanding_pos_BB_SBV[[#This Row],[Bonds_ShortName]],FNRP!EE:FL,34,0)</f>
        <v>0</v>
      </c>
      <c r="CT153" t="s">
        <v>2494</v>
      </c>
      <c r="CU153" s="502">
        <v>45462</v>
      </c>
      <c r="CV153" s="35"/>
    </row>
    <row r="154" spans="55:100" x14ac:dyDescent="0.3">
      <c r="BC154"/>
      <c r="BD154"/>
      <c r="BG154"/>
      <c r="BH154"/>
      <c r="BJ154"/>
      <c r="BO154"/>
      <c r="BQ154"/>
      <c r="BR154"/>
      <c r="BS154" s="72"/>
      <c r="BT154" s="72"/>
      <c r="BU154" s="157"/>
      <c r="BX154">
        <v>50105</v>
      </c>
      <c r="BY154" s="502">
        <v>46245</v>
      </c>
      <c r="BZ154" t="s">
        <v>3051</v>
      </c>
      <c r="CA154" t="s">
        <v>824</v>
      </c>
      <c r="CB154" t="s">
        <v>823</v>
      </c>
      <c r="CC154" s="500">
        <v>40000000000</v>
      </c>
      <c r="CD154">
        <v>2.9</v>
      </c>
      <c r="CE154" s="502">
        <v>49367</v>
      </c>
      <c r="CF154">
        <v>3.75</v>
      </c>
      <c r="CG154">
        <v>8.5299999999999994</v>
      </c>
      <c r="CH154" t="s">
        <v>2747</v>
      </c>
      <c r="CI154">
        <v>4.38</v>
      </c>
      <c r="CJ154" s="500">
        <v>-1704000000</v>
      </c>
      <c r="CK154">
        <v>7.19</v>
      </c>
      <c r="CL154" s="500">
        <v>-65465949.960000001</v>
      </c>
      <c r="CM154" s="500">
        <v>1375000000</v>
      </c>
      <c r="CN154">
        <v>63.12</v>
      </c>
      <c r="CO15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-1711866748.5717916</v>
      </c>
      <c r="CP154" s="72">
        <f>RPT-VLOOKUP(Outstanding_pos_BB_SBV[[#This Row],[Bonds_ShortName]],CT:CU,2,0)</f>
        <v>-9</v>
      </c>
      <c r="CQ154" s="157">
        <f>SUMIFS(CC:CC,BZ:BZ,Outstanding_pos_BB_SBV[[#This Row],[Bonds_ShortName]])/10^5-VLOOKUP(Outstanding_pos_BB_SBV[[#This Row],[Bonds_ShortName]],FNRP!EE:FL,34,0)</f>
        <v>0</v>
      </c>
      <c r="CT154" t="s">
        <v>546</v>
      </c>
      <c r="CU154" s="502">
        <v>45450</v>
      </c>
      <c r="CV154" s="35"/>
    </row>
    <row r="155" spans="55:100" x14ac:dyDescent="0.3">
      <c r="BC155"/>
      <c r="BD155"/>
      <c r="BG155"/>
      <c r="BH155"/>
      <c r="BJ155"/>
      <c r="BO155"/>
      <c r="BQ155"/>
      <c r="BR155"/>
      <c r="BS155" s="72"/>
      <c r="BT155" s="72"/>
      <c r="BU155" s="157"/>
      <c r="BX155">
        <v>50111</v>
      </c>
      <c r="BY155" s="502">
        <v>46241</v>
      </c>
      <c r="BZ155" t="s">
        <v>660</v>
      </c>
      <c r="CA155" t="s">
        <v>824</v>
      </c>
      <c r="CB155" t="s">
        <v>823</v>
      </c>
      <c r="CC155" s="500">
        <v>360000000000</v>
      </c>
      <c r="CD155">
        <v>5.2</v>
      </c>
      <c r="CE155" s="502">
        <v>48590</v>
      </c>
      <c r="CF155">
        <v>3.07</v>
      </c>
      <c r="CG155">
        <v>6.4</v>
      </c>
      <c r="CH155" t="s">
        <v>3644</v>
      </c>
      <c r="CI155">
        <v>4.29</v>
      </c>
      <c r="CJ155" s="500">
        <v>-26118000000</v>
      </c>
      <c r="CK155">
        <v>5.24</v>
      </c>
      <c r="CL155" s="500">
        <v>-56702952.32</v>
      </c>
      <c r="CM155" s="500">
        <v>3134000000</v>
      </c>
      <c r="CN155">
        <v>35.520000000000003</v>
      </c>
      <c r="CO15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-25888247834.986599</v>
      </c>
      <c r="CP155" s="72">
        <f>RPT-VLOOKUP(Outstanding_pos_BB_SBV[[#This Row],[Bonds_ShortName]],CT:CU,2,0)</f>
        <v>12</v>
      </c>
      <c r="CQ155" s="157">
        <f>SUMIFS(CC:CC,BZ:BZ,Outstanding_pos_BB_SBV[[#This Row],[Bonds_ShortName]])/10^5-VLOOKUP(Outstanding_pos_BB_SBV[[#This Row],[Bonds_ShortName]],FNRP!EE:FL,34,0)</f>
        <v>0</v>
      </c>
      <c r="CT155" t="s">
        <v>683</v>
      </c>
      <c r="CU155" s="502">
        <v>45481</v>
      </c>
      <c r="CV155" s="35"/>
    </row>
    <row r="156" spans="55:100" x14ac:dyDescent="0.3">
      <c r="BC156"/>
      <c r="BD156"/>
      <c r="BG156"/>
      <c r="BH156"/>
      <c r="BJ156"/>
      <c r="BO156"/>
      <c r="BQ156"/>
      <c r="BR156"/>
      <c r="BS156" s="72"/>
      <c r="BT156" s="72"/>
      <c r="BU156" s="157"/>
      <c r="BX156">
        <v>50163</v>
      </c>
      <c r="BY156" s="502">
        <v>46227</v>
      </c>
      <c r="BZ156" t="s">
        <v>2786</v>
      </c>
      <c r="CA156" t="s">
        <v>824</v>
      </c>
      <c r="CB156" t="s">
        <v>823</v>
      </c>
      <c r="CC156" s="500">
        <v>50000000000</v>
      </c>
      <c r="CD156">
        <v>2.6</v>
      </c>
      <c r="CE156" s="502">
        <v>50697</v>
      </c>
      <c r="CF156">
        <v>2.98</v>
      </c>
      <c r="CG156">
        <v>12.18</v>
      </c>
      <c r="CH156" t="s">
        <v>2740</v>
      </c>
      <c r="CI156">
        <v>4.5</v>
      </c>
      <c r="CJ156" s="500">
        <v>-6847500000</v>
      </c>
      <c r="CK156">
        <v>9.69</v>
      </c>
      <c r="CL156" s="500">
        <v>-81990398.019999996</v>
      </c>
      <c r="CM156" s="500">
        <v>2165000000</v>
      </c>
      <c r="CN156">
        <v>115.6</v>
      </c>
      <c r="CO15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-6860078128.1603413</v>
      </c>
      <c r="CP156" s="72">
        <f>RPT-VLOOKUP(Outstanding_pos_BB_SBV[[#This Row],[Bonds_ShortName]],CT:CU,2,0)</f>
        <v>26</v>
      </c>
      <c r="CQ156" s="157">
        <f>SUMIFS(CC:CC,BZ:BZ,Outstanding_pos_BB_SBV[[#This Row],[Bonds_ShortName]])/10^5-VLOOKUP(Outstanding_pos_BB_SBV[[#This Row],[Bonds_ShortName]],FNRP!EE:FL,34,0)</f>
        <v>0</v>
      </c>
      <c r="CT156" t="s">
        <v>610</v>
      </c>
      <c r="CU156" s="502">
        <v>45481</v>
      </c>
      <c r="CV156" s="35"/>
    </row>
    <row r="157" spans="55:100" x14ac:dyDescent="0.3">
      <c r="BC157"/>
      <c r="BD157"/>
      <c r="BG157"/>
      <c r="BH157"/>
      <c r="BJ157"/>
      <c r="BO157"/>
      <c r="BQ157"/>
      <c r="BR157"/>
      <c r="BS157" s="72"/>
      <c r="BT157" s="72"/>
      <c r="BU157" s="157"/>
      <c r="BX157">
        <v>50192</v>
      </c>
      <c r="BY157" s="502">
        <v>46232</v>
      </c>
      <c r="BZ157" t="s">
        <v>2785</v>
      </c>
      <c r="CA157" t="s">
        <v>824</v>
      </c>
      <c r="CB157" t="s">
        <v>823</v>
      </c>
      <c r="CC157" s="500">
        <v>300000000000</v>
      </c>
      <c r="CD157">
        <v>2.2999999999999998</v>
      </c>
      <c r="CE157" s="502">
        <v>48836</v>
      </c>
      <c r="CF157">
        <v>3.05</v>
      </c>
      <c r="CG157">
        <v>7.08</v>
      </c>
      <c r="CH157" t="s">
        <v>2746</v>
      </c>
      <c r="CI157">
        <v>4.3099999999999996</v>
      </c>
      <c r="CJ157" s="500">
        <v>-21906000000</v>
      </c>
      <c r="CK157">
        <v>6.15</v>
      </c>
      <c r="CL157" s="500">
        <v>-55398737.030000001</v>
      </c>
      <c r="CM157" s="500">
        <v>2136000000</v>
      </c>
      <c r="CN157">
        <v>46.41</v>
      </c>
      <c r="CO15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-22036287560.760117</v>
      </c>
      <c r="CP157" s="72">
        <f>RPT-VLOOKUP(Outstanding_pos_BB_SBV[[#This Row],[Bonds_ShortName]],CT:CU,2,0)</f>
        <v>21</v>
      </c>
      <c r="CQ157" s="157">
        <f>SUMIFS(CC:CC,BZ:BZ,Outstanding_pos_BB_SBV[[#This Row],[Bonds_ShortName]])/10^5-VLOOKUP(Outstanding_pos_BB_SBV[[#This Row],[Bonds_ShortName]],FNRP!EE:FL,34,0)</f>
        <v>0</v>
      </c>
      <c r="CT157" t="s">
        <v>672</v>
      </c>
      <c r="CU157" s="502">
        <v>45397</v>
      </c>
      <c r="CV157" s="35"/>
    </row>
    <row r="158" spans="55:100" x14ac:dyDescent="0.3">
      <c r="BC158"/>
      <c r="BD158"/>
      <c r="BG158"/>
      <c r="BH158"/>
      <c r="BJ158"/>
      <c r="BO158"/>
      <c r="BQ158"/>
      <c r="BR158"/>
      <c r="BS158" s="72"/>
      <c r="BT158" s="72"/>
      <c r="BU158" s="157"/>
      <c r="BX158">
        <v>50194</v>
      </c>
      <c r="BY158" s="502">
        <v>46232</v>
      </c>
      <c r="BZ158" t="s">
        <v>2852</v>
      </c>
      <c r="CA158" t="s">
        <v>824</v>
      </c>
      <c r="CB158" t="s">
        <v>823</v>
      </c>
      <c r="CC158" s="500">
        <v>100000000000</v>
      </c>
      <c r="CD158">
        <v>2.4</v>
      </c>
      <c r="CE158" s="502">
        <v>49045</v>
      </c>
      <c r="CF158">
        <v>3.25</v>
      </c>
      <c r="CG158">
        <v>7.65</v>
      </c>
      <c r="CH158" t="s">
        <v>2747</v>
      </c>
      <c r="CI158">
        <v>4.34</v>
      </c>
      <c r="CJ158" s="500">
        <v>-6713000000</v>
      </c>
      <c r="CK158">
        <v>6.67</v>
      </c>
      <c r="CL158" s="500">
        <v>-59030067.240000002</v>
      </c>
      <c r="CM158" s="500">
        <v>855000000</v>
      </c>
      <c r="CN158">
        <v>53.71</v>
      </c>
      <c r="CO15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-6759740909.3786697</v>
      </c>
      <c r="CP158" s="72">
        <f>RPT-VLOOKUP(Outstanding_pos_BB_SBV[[#This Row],[Bonds_ShortName]],CT:CU,2,0)</f>
        <v>7</v>
      </c>
      <c r="CQ158" s="157">
        <f>SUMIFS(CC:CC,BZ:BZ,Outstanding_pos_BB_SBV[[#This Row],[Bonds_ShortName]])/10^5-VLOOKUP(Outstanding_pos_BB_SBV[[#This Row],[Bonds_ShortName]],FNRP!EE:FL,34,0)</f>
        <v>0</v>
      </c>
      <c r="CT158" t="s">
        <v>1174</v>
      </c>
      <c r="CU158" s="502">
        <v>45314</v>
      </c>
      <c r="CV158" s="35"/>
    </row>
    <row r="159" spans="55:100" x14ac:dyDescent="0.3">
      <c r="BC159"/>
      <c r="BD159"/>
      <c r="BG159"/>
      <c r="BH159"/>
      <c r="BJ159"/>
      <c r="BO159"/>
      <c r="BQ159"/>
      <c r="BR159"/>
      <c r="BS159" s="72"/>
      <c r="BT159" s="72"/>
      <c r="BU159" s="157"/>
      <c r="BX159">
        <v>50221</v>
      </c>
      <c r="BY159" s="502">
        <v>46233</v>
      </c>
      <c r="BZ159" t="s">
        <v>3051</v>
      </c>
      <c r="CA159" t="s">
        <v>824</v>
      </c>
      <c r="CB159" t="s">
        <v>823</v>
      </c>
      <c r="CC159" s="500">
        <v>150000000000</v>
      </c>
      <c r="CD159">
        <v>2.9</v>
      </c>
      <c r="CE159" s="502">
        <v>49367</v>
      </c>
      <c r="CF159">
        <v>3.48</v>
      </c>
      <c r="CG159">
        <v>8.5299999999999994</v>
      </c>
      <c r="CH159" t="s">
        <v>2747</v>
      </c>
      <c r="CI159">
        <v>4.38</v>
      </c>
      <c r="CJ159" s="500">
        <v>-9136500000</v>
      </c>
      <c r="CK159">
        <v>7.19</v>
      </c>
      <c r="CL159" s="500">
        <v>-65465949.960000001</v>
      </c>
      <c r="CM159" s="500">
        <v>1375000000</v>
      </c>
      <c r="CN159">
        <v>63.12</v>
      </c>
      <c r="CO15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-9183917235.6216946</v>
      </c>
      <c r="CP159" s="72">
        <f>RPT-VLOOKUP(Outstanding_pos_BB_SBV[[#This Row],[Bonds_ShortName]],CT:CU,2,0)</f>
        <v>-9</v>
      </c>
      <c r="CQ159" s="157">
        <f>SUMIFS(CC:CC,BZ:BZ,Outstanding_pos_BB_SBV[[#This Row],[Bonds_ShortName]])/10^5-VLOOKUP(Outstanding_pos_BB_SBV[[#This Row],[Bonds_ShortName]],FNRP!EE:FL,34,0)</f>
        <v>0</v>
      </c>
      <c r="CT159" t="s">
        <v>2774</v>
      </c>
      <c r="CU159" s="502">
        <v>45377</v>
      </c>
      <c r="CV159" s="35"/>
    </row>
    <row r="160" spans="55:100" x14ac:dyDescent="0.3">
      <c r="BC160"/>
      <c r="BD160"/>
      <c r="BG160"/>
      <c r="BH160"/>
      <c r="BJ160"/>
      <c r="BO160"/>
      <c r="BQ160"/>
      <c r="BR160"/>
      <c r="BS160" s="72"/>
      <c r="BT160" s="72"/>
      <c r="BU160" s="157"/>
      <c r="BX160">
        <v>50264</v>
      </c>
      <c r="BY160" s="502">
        <v>46240</v>
      </c>
      <c r="BZ160" t="s">
        <v>2499</v>
      </c>
      <c r="CA160" t="s">
        <v>824</v>
      </c>
      <c r="CB160" t="s">
        <v>823</v>
      </c>
      <c r="CC160" s="500">
        <v>200000000000</v>
      </c>
      <c r="CD160">
        <v>4.8</v>
      </c>
      <c r="CE160" s="502">
        <v>48556</v>
      </c>
      <c r="CF160">
        <v>2.84</v>
      </c>
      <c r="CG160">
        <v>6.31</v>
      </c>
      <c r="CH160" t="s">
        <v>3644</v>
      </c>
      <c r="CI160">
        <v>4.28</v>
      </c>
      <c r="CJ160" s="500">
        <v>-16848000000</v>
      </c>
      <c r="CK160">
        <v>5.2</v>
      </c>
      <c r="CL160" s="500">
        <v>-55232276.009999998</v>
      </c>
      <c r="CM160" s="500">
        <v>3340000000</v>
      </c>
      <c r="CN160">
        <v>34.94</v>
      </c>
      <c r="CO16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-16721639375.872385</v>
      </c>
      <c r="CP160" s="72">
        <f>RPT-VLOOKUP(Outstanding_pos_BB_SBV[[#This Row],[Bonds_ShortName]],CT:CU,2,0)</f>
        <v>-6</v>
      </c>
      <c r="CQ160" s="157">
        <f>SUMIFS(CC:CC,BZ:BZ,Outstanding_pos_BB_SBV[[#This Row],[Bonds_ShortName]])/10^5-VLOOKUP(Outstanding_pos_BB_SBV[[#This Row],[Bonds_ShortName]],FNRP!EE:FL,34,0)</f>
        <v>0</v>
      </c>
      <c r="CT160" t="s">
        <v>595</v>
      </c>
      <c r="CU160" s="502">
        <v>46101</v>
      </c>
      <c r="CV160" s="35"/>
    </row>
    <row r="161" spans="55:100" x14ac:dyDescent="0.3">
      <c r="BC161"/>
      <c r="BD161"/>
      <c r="BG161"/>
      <c r="BH161"/>
      <c r="BJ161"/>
      <c r="BO161"/>
      <c r="BQ161"/>
      <c r="BR161"/>
      <c r="BS161" s="72"/>
      <c r="BT161" s="72"/>
      <c r="BU161" s="157"/>
      <c r="BX161">
        <v>50304</v>
      </c>
      <c r="BY161" s="502">
        <v>46259</v>
      </c>
      <c r="BZ161" t="s">
        <v>2831</v>
      </c>
      <c r="CA161" t="s">
        <v>824</v>
      </c>
      <c r="CB161" t="s">
        <v>823</v>
      </c>
      <c r="CC161" s="500">
        <v>100000000000</v>
      </c>
      <c r="CD161">
        <v>2.7</v>
      </c>
      <c r="CE161" s="502">
        <v>49115</v>
      </c>
      <c r="CF161">
        <v>2.93</v>
      </c>
      <c r="CG161">
        <v>7.84</v>
      </c>
      <c r="CH161" t="s">
        <v>2747</v>
      </c>
      <c r="CI161">
        <v>4.3499999999999996</v>
      </c>
      <c r="CJ161" s="500">
        <v>-9194000000</v>
      </c>
      <c r="CK161">
        <v>6.79</v>
      </c>
      <c r="CL161" s="500">
        <v>-60910120.859999999</v>
      </c>
      <c r="CM161" s="500">
        <v>444000000</v>
      </c>
      <c r="CN161">
        <v>55.64</v>
      </c>
      <c r="CO16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-9193500949.6949501</v>
      </c>
      <c r="CP161" s="72">
        <f>RPT-VLOOKUP(Outstanding_pos_BB_SBV[[#This Row],[Bonds_ShortName]],CT:CU,2,0)</f>
        <v>-9</v>
      </c>
      <c r="CQ161" s="157">
        <f>SUMIFS(CC:CC,BZ:BZ,Outstanding_pos_BB_SBV[[#This Row],[Bonds_ShortName]])/10^5-VLOOKUP(Outstanding_pos_BB_SBV[[#This Row],[Bonds_ShortName]],FNRP!EE:FL,34,0)</f>
        <v>0</v>
      </c>
      <c r="CT161" t="s">
        <v>534</v>
      </c>
      <c r="CU161" s="502">
        <v>45377</v>
      </c>
      <c r="CV161" s="35"/>
    </row>
    <row r="162" spans="55:100" x14ac:dyDescent="0.3">
      <c r="BC162"/>
      <c r="BD162"/>
      <c r="BG162"/>
      <c r="BH162"/>
      <c r="BJ162"/>
      <c r="BO162"/>
      <c r="BQ162"/>
      <c r="BR162"/>
      <c r="BS162" s="72"/>
      <c r="BT162" s="72"/>
      <c r="BU162" s="157"/>
      <c r="BX162">
        <v>50338</v>
      </c>
      <c r="BY162" s="502">
        <v>46245</v>
      </c>
      <c r="BZ162" t="s">
        <v>655</v>
      </c>
      <c r="CA162" t="s">
        <v>4054</v>
      </c>
      <c r="CB162" t="s">
        <v>823</v>
      </c>
      <c r="CC162" s="500">
        <v>34000000000</v>
      </c>
      <c r="CD162">
        <v>5.7</v>
      </c>
      <c r="CE162" s="502">
        <v>48415</v>
      </c>
      <c r="CF162">
        <v>5.75</v>
      </c>
      <c r="CG162">
        <v>5.92</v>
      </c>
      <c r="CH162" t="s">
        <v>3644</v>
      </c>
      <c r="CI162">
        <v>4.2699999999999996</v>
      </c>
      <c r="CJ162" s="500">
        <v>2578560000</v>
      </c>
      <c r="CK162">
        <v>4.9800000000000004</v>
      </c>
      <c r="CL162" s="500">
        <v>-53706284.579999998</v>
      </c>
      <c r="CM162" s="500">
        <v>468000000</v>
      </c>
      <c r="CN162">
        <v>31.6</v>
      </c>
      <c r="CO16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2578771877.0279655</v>
      </c>
      <c r="CP162" s="72">
        <f>RPT-VLOOKUP(Outstanding_pos_BB_SBV[[#This Row],[Bonds_ShortName]],CT:CU,2,0)</f>
        <v>7</v>
      </c>
      <c r="CQ162" s="157">
        <f>SUMIFS(CC:CC,BZ:BZ,Outstanding_pos_BB_SBV[[#This Row],[Bonds_ShortName]])/10^5-VLOOKUP(Outstanding_pos_BB_SBV[[#This Row],[Bonds_ShortName]],FNRP!EE:FL,34,0)</f>
        <v>0</v>
      </c>
      <c r="CT162" t="s">
        <v>532</v>
      </c>
      <c r="CU162" s="502">
        <v>45344</v>
      </c>
      <c r="CV162" s="35"/>
    </row>
    <row r="163" spans="55:100" x14ac:dyDescent="0.3">
      <c r="BC163"/>
      <c r="BD163"/>
      <c r="BG163"/>
      <c r="BH163"/>
      <c r="BJ163"/>
      <c r="BO163"/>
      <c r="BQ163"/>
      <c r="BR163"/>
      <c r="BS163" s="72"/>
      <c r="BT163" s="72"/>
      <c r="BU163" s="157"/>
      <c r="BX163">
        <v>50340</v>
      </c>
      <c r="BY163" s="502">
        <v>46245</v>
      </c>
      <c r="BZ163" t="s">
        <v>568</v>
      </c>
      <c r="CA163" t="s">
        <v>4054</v>
      </c>
      <c r="CB163" t="s">
        <v>821</v>
      </c>
      <c r="CC163" s="500">
        <v>300000000000</v>
      </c>
      <c r="CD163">
        <v>6.6</v>
      </c>
      <c r="CE163" s="502">
        <v>46432</v>
      </c>
      <c r="CF163">
        <v>2.2000000000000002</v>
      </c>
      <c r="CG163">
        <v>0.49</v>
      </c>
      <c r="CH163" t="s">
        <v>3870</v>
      </c>
      <c r="CI163">
        <v>4.25</v>
      </c>
      <c r="CJ163" s="500">
        <v>-3402000000</v>
      </c>
      <c r="CK163">
        <v>0.48</v>
      </c>
      <c r="CL163" s="500">
        <v>-5016340.13</v>
      </c>
      <c r="CM163" s="500">
        <v>3363000000</v>
      </c>
      <c r="CN163">
        <v>0.46</v>
      </c>
      <c r="CO16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-3103607574.5366688</v>
      </c>
      <c r="CP163" s="72">
        <f>RPT-VLOOKUP(Outstanding_pos_BB_SBV[[#This Row],[Bonds_ShortName]],CT:CU,2,0)</f>
        <v>7</v>
      </c>
      <c r="CQ163" s="157">
        <f>SUMIFS(CC:CC,BZ:BZ,Outstanding_pos_BB_SBV[[#This Row],[Bonds_ShortName]])/10^5-VLOOKUP(Outstanding_pos_BB_SBV[[#This Row],[Bonds_ShortName]],FNRP!EE:FL,34,0)</f>
        <v>0</v>
      </c>
      <c r="CT163" t="s">
        <v>3991</v>
      </c>
      <c r="CU163" s="502">
        <v>46216</v>
      </c>
      <c r="CV163" s="35"/>
    </row>
    <row r="164" spans="55:100" x14ac:dyDescent="0.3">
      <c r="BC164"/>
      <c r="BD164"/>
      <c r="BG164"/>
      <c r="BH164"/>
      <c r="BJ164"/>
      <c r="BO164"/>
      <c r="BQ164"/>
      <c r="BR164"/>
      <c r="BS164" s="72"/>
      <c r="BT164" s="72"/>
      <c r="BU164" s="157"/>
      <c r="BX164">
        <v>50342</v>
      </c>
      <c r="BY164" s="502">
        <v>46245</v>
      </c>
      <c r="BZ164" t="s">
        <v>2781</v>
      </c>
      <c r="CA164" t="s">
        <v>4054</v>
      </c>
      <c r="CB164" t="s">
        <v>907</v>
      </c>
      <c r="CC164" s="500">
        <v>300000000000</v>
      </c>
      <c r="CD164">
        <v>3</v>
      </c>
      <c r="CE164" s="502">
        <v>48904</v>
      </c>
      <c r="CF164">
        <v>2.8</v>
      </c>
      <c r="CG164">
        <v>7.26</v>
      </c>
      <c r="CH164" t="s">
        <v>2746</v>
      </c>
      <c r="CI164">
        <v>4.82</v>
      </c>
      <c r="CJ164" s="500">
        <v>-36714000000</v>
      </c>
      <c r="CK164">
        <v>6.13</v>
      </c>
      <c r="CL164" s="500">
        <v>-55971432.100000001</v>
      </c>
      <c r="CM164" s="500">
        <v>2227000000</v>
      </c>
      <c r="CN164">
        <v>46.7</v>
      </c>
      <c r="CO16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-36715403751.539063</v>
      </c>
      <c r="CP164" s="72">
        <f>RPT-VLOOKUP(Outstanding_pos_BB_SBV[[#This Row],[Bonds_ShortName]],CT:CU,2,0)</f>
        <v>7</v>
      </c>
      <c r="CQ164" s="157">
        <f>SUMIFS(CC:CC,BZ:BZ,Outstanding_pos_BB_SBV[[#This Row],[Bonds_ShortName]])/10^5-VLOOKUP(Outstanding_pos_BB_SBV[[#This Row],[Bonds_ShortName]],FNRP!EE:FL,34,0)</f>
        <v>0</v>
      </c>
      <c r="CT164" t="s">
        <v>4037</v>
      </c>
      <c r="CU164" s="502">
        <v>46230</v>
      </c>
      <c r="CV164" s="35"/>
    </row>
    <row r="165" spans="55:100" x14ac:dyDescent="0.3">
      <c r="BC165"/>
      <c r="BD165"/>
      <c r="BG165"/>
      <c r="BH165"/>
      <c r="BJ165"/>
      <c r="BO165"/>
      <c r="BQ165"/>
      <c r="BR165"/>
      <c r="BS165" s="72"/>
      <c r="BT165" s="72"/>
      <c r="BU165" s="157"/>
      <c r="BX165">
        <v>50344</v>
      </c>
      <c r="BY165" s="502">
        <v>46245</v>
      </c>
      <c r="BZ165" t="s">
        <v>2781</v>
      </c>
      <c r="CA165" t="s">
        <v>4054</v>
      </c>
      <c r="CB165" t="s">
        <v>907</v>
      </c>
      <c r="CC165" s="500">
        <v>200000000000</v>
      </c>
      <c r="CD165">
        <v>3</v>
      </c>
      <c r="CE165" s="502">
        <v>48904</v>
      </c>
      <c r="CF165">
        <v>2.8</v>
      </c>
      <c r="CG165">
        <v>7.26</v>
      </c>
      <c r="CH165" t="s">
        <v>2746</v>
      </c>
      <c r="CI165">
        <v>4.82</v>
      </c>
      <c r="CJ165" s="500">
        <v>-24476000000</v>
      </c>
      <c r="CK165">
        <v>6.13</v>
      </c>
      <c r="CL165" s="500">
        <v>-55971432.100000001</v>
      </c>
      <c r="CM165" s="500">
        <v>2227000000</v>
      </c>
      <c r="CN165">
        <v>46.7</v>
      </c>
      <c r="CO16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-24476935834.359379</v>
      </c>
      <c r="CP165" s="72">
        <f>RPT-VLOOKUP(Outstanding_pos_BB_SBV[[#This Row],[Bonds_ShortName]],CT:CU,2,0)</f>
        <v>7</v>
      </c>
      <c r="CQ165" s="157">
        <f>SUMIFS(CC:CC,BZ:BZ,Outstanding_pos_BB_SBV[[#This Row],[Bonds_ShortName]])/10^5-VLOOKUP(Outstanding_pos_BB_SBV[[#This Row],[Bonds_ShortName]],FNRP!EE:FL,34,0)</f>
        <v>0</v>
      </c>
      <c r="CV165" s="35"/>
    </row>
    <row r="166" spans="55:100" x14ac:dyDescent="0.3">
      <c r="BC166"/>
      <c r="BD166"/>
      <c r="BG166"/>
      <c r="BH166"/>
      <c r="BJ166"/>
      <c r="BO166"/>
      <c r="BQ166"/>
      <c r="BR166"/>
      <c r="BS166" s="72"/>
      <c r="BT166" s="72"/>
      <c r="BU166" s="157"/>
      <c r="BX166">
        <v>50346</v>
      </c>
      <c r="BY166" s="502">
        <v>46245</v>
      </c>
      <c r="BZ166" t="s">
        <v>2852</v>
      </c>
      <c r="CA166" t="s">
        <v>4054</v>
      </c>
      <c r="CB166" t="s">
        <v>823</v>
      </c>
      <c r="CC166" s="500">
        <v>50000000000</v>
      </c>
      <c r="CD166">
        <v>2.4</v>
      </c>
      <c r="CE166" s="502">
        <v>49045</v>
      </c>
      <c r="CF166">
        <v>2.68</v>
      </c>
      <c r="CG166">
        <v>7.65</v>
      </c>
      <c r="CH166" t="s">
        <v>2747</v>
      </c>
      <c r="CI166">
        <v>4.34</v>
      </c>
      <c r="CJ166" s="500">
        <v>-5238000000</v>
      </c>
      <c r="CK166">
        <v>6.67</v>
      </c>
      <c r="CL166" s="500">
        <v>-59030067.240000002</v>
      </c>
      <c r="CM166" s="500">
        <v>855000000</v>
      </c>
      <c r="CN166">
        <v>53.71</v>
      </c>
      <c r="CO16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-5242652954.9902191</v>
      </c>
      <c r="CP166" s="72">
        <f>RPT-VLOOKUP(Outstanding_pos_BB_SBV[[#This Row],[Bonds_ShortName]],CT:CU,2,0)</f>
        <v>7</v>
      </c>
      <c r="CQ166" s="157">
        <f>SUMIFS(CC:CC,BZ:BZ,Outstanding_pos_BB_SBV[[#This Row],[Bonds_ShortName]])/10^5-VLOOKUP(Outstanding_pos_BB_SBV[[#This Row],[Bonds_ShortName]],FNRP!EE:FL,34,0)</f>
        <v>0</v>
      </c>
      <c r="CV166" s="35"/>
    </row>
    <row r="167" spans="55:100" x14ac:dyDescent="0.3">
      <c r="BC167"/>
      <c r="BD167"/>
      <c r="BG167"/>
      <c r="BH167"/>
      <c r="BJ167"/>
      <c r="BO167"/>
      <c r="BQ167"/>
      <c r="BR167"/>
      <c r="BS167" s="72"/>
      <c r="BT167" s="72"/>
      <c r="BU167" s="157"/>
      <c r="BX167">
        <v>50387</v>
      </c>
      <c r="BY167" s="502">
        <v>46246</v>
      </c>
      <c r="BZ167" t="s">
        <v>2503</v>
      </c>
      <c r="CA167" t="s">
        <v>4054</v>
      </c>
      <c r="CB167" t="s">
        <v>823</v>
      </c>
      <c r="CC167" s="500">
        <v>200000000000</v>
      </c>
      <c r="CD167">
        <v>3.4</v>
      </c>
      <c r="CE167" s="502">
        <v>50515</v>
      </c>
      <c r="CF167">
        <v>2.7</v>
      </c>
      <c r="CG167">
        <v>11.68</v>
      </c>
      <c r="CH167" t="s">
        <v>2740</v>
      </c>
      <c r="CI167">
        <v>4.49</v>
      </c>
      <c r="CJ167" s="500">
        <v>-33380000000</v>
      </c>
      <c r="CK167">
        <v>9.18</v>
      </c>
      <c r="CL167" s="500">
        <v>-83889598.819999993</v>
      </c>
      <c r="CM167" s="500">
        <v>1127000000</v>
      </c>
      <c r="CN167">
        <v>104.3</v>
      </c>
      <c r="CO16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-33361447318.514809</v>
      </c>
      <c r="CP167" s="72">
        <f>RPT-VLOOKUP(Outstanding_pos_BB_SBV[[#This Row],[Bonds_ShortName]],CT:CU,2,0)</f>
        <v>6</v>
      </c>
      <c r="CQ167" s="157">
        <f>SUMIFS(CC:CC,BZ:BZ,Outstanding_pos_BB_SBV[[#This Row],[Bonds_ShortName]])/10^5-VLOOKUP(Outstanding_pos_BB_SBV[[#This Row],[Bonds_ShortName]],FNRP!EE:FL,34,0)</f>
        <v>0</v>
      </c>
      <c r="CV167" s="35"/>
    </row>
    <row r="168" spans="55:100" x14ac:dyDescent="0.3">
      <c r="BC168"/>
      <c r="BD168"/>
      <c r="BG168"/>
      <c r="BH168"/>
      <c r="BJ168"/>
      <c r="BO168"/>
      <c r="BQ168"/>
      <c r="BR168"/>
      <c r="BS168" s="72"/>
      <c r="BT168" s="72"/>
      <c r="BU168" s="157"/>
      <c r="BX168">
        <v>50389</v>
      </c>
      <c r="BY168" s="502">
        <v>46246</v>
      </c>
      <c r="BZ168" t="s">
        <v>2503</v>
      </c>
      <c r="CA168" t="s">
        <v>4054</v>
      </c>
      <c r="CB168" t="s">
        <v>823</v>
      </c>
      <c r="CC168" s="500">
        <v>150000000000</v>
      </c>
      <c r="CD168">
        <v>3.4</v>
      </c>
      <c r="CE168" s="502">
        <v>50515</v>
      </c>
      <c r="CF168">
        <v>2.7</v>
      </c>
      <c r="CG168">
        <v>11.68</v>
      </c>
      <c r="CH168" t="s">
        <v>2740</v>
      </c>
      <c r="CI168">
        <v>4.49</v>
      </c>
      <c r="CJ168" s="500">
        <v>-25035000000</v>
      </c>
      <c r="CK168">
        <v>9.18</v>
      </c>
      <c r="CL168" s="500">
        <v>-83889598.819999993</v>
      </c>
      <c r="CM168" s="500">
        <v>1127000000</v>
      </c>
      <c r="CN168">
        <v>104.3</v>
      </c>
      <c r="CO16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-25021085488.886105</v>
      </c>
      <c r="CP168" s="72">
        <f>RPT-VLOOKUP(Outstanding_pos_BB_SBV[[#This Row],[Bonds_ShortName]],CT:CU,2,0)</f>
        <v>6</v>
      </c>
      <c r="CQ168" s="157">
        <f>SUMIFS(CC:CC,BZ:BZ,Outstanding_pos_BB_SBV[[#This Row],[Bonds_ShortName]])/10^5-VLOOKUP(Outstanding_pos_BB_SBV[[#This Row],[Bonds_ShortName]],FNRP!EE:FL,34,0)</f>
        <v>0</v>
      </c>
      <c r="CV168" s="35"/>
    </row>
    <row r="169" spans="55:100" x14ac:dyDescent="0.3">
      <c r="BC169"/>
      <c r="BD169"/>
      <c r="BG169"/>
      <c r="BH169"/>
      <c r="BJ169"/>
      <c r="BO169"/>
      <c r="BQ169"/>
      <c r="BR169"/>
      <c r="BS169" s="72"/>
      <c r="BT169" s="72"/>
      <c r="BU169" s="157"/>
      <c r="BX169">
        <v>50402</v>
      </c>
      <c r="BY169" s="502">
        <v>46255</v>
      </c>
      <c r="BZ169" t="s">
        <v>636</v>
      </c>
      <c r="CA169" t="s">
        <v>824</v>
      </c>
      <c r="CB169" t="s">
        <v>823</v>
      </c>
      <c r="CC169" s="500">
        <v>100000000000</v>
      </c>
      <c r="CD169">
        <v>2.2000000000000002</v>
      </c>
      <c r="CE169" s="502">
        <v>47862</v>
      </c>
      <c r="CF169">
        <v>4.04</v>
      </c>
      <c r="CG169">
        <v>4.41</v>
      </c>
      <c r="CH169" t="s">
        <v>2500</v>
      </c>
      <c r="CI169">
        <v>4.08</v>
      </c>
      <c r="CJ169" s="500">
        <v>-157000000</v>
      </c>
      <c r="CK169">
        <v>4.0199999999999996</v>
      </c>
      <c r="CL169" s="500">
        <v>-37728036.020000003</v>
      </c>
      <c r="CM169" s="500">
        <v>1308000000</v>
      </c>
      <c r="CN169">
        <v>20.6</v>
      </c>
      <c r="CO16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-152922215.30803365</v>
      </c>
      <c r="CP169" s="72">
        <f>RPT-VLOOKUP(Outstanding_pos_BB_SBV[[#This Row],[Bonds_ShortName]],CT:CU,2,0)</f>
        <v>-9</v>
      </c>
      <c r="CQ169" s="157">
        <f>SUMIFS(CC:CC,BZ:BZ,Outstanding_pos_BB_SBV[[#This Row],[Bonds_ShortName]])/10^5-VLOOKUP(Outstanding_pos_BB_SBV[[#This Row],[Bonds_ShortName]],FNRP!EE:FL,34,0)</f>
        <v>0</v>
      </c>
      <c r="CV169" s="35"/>
    </row>
    <row r="170" spans="55:100" x14ac:dyDescent="0.3">
      <c r="BC170"/>
      <c r="BD170"/>
      <c r="BG170"/>
      <c r="BH170"/>
      <c r="BJ170"/>
      <c r="BO170"/>
      <c r="BQ170"/>
      <c r="BR170"/>
      <c r="BS170" s="72"/>
      <c r="BT170" s="72"/>
      <c r="BU170" s="157"/>
      <c r="BX170">
        <v>50418</v>
      </c>
      <c r="BY170" s="502">
        <v>46259</v>
      </c>
      <c r="BZ170" t="s">
        <v>2499</v>
      </c>
      <c r="CA170" t="s">
        <v>824</v>
      </c>
      <c r="CB170" t="s">
        <v>823</v>
      </c>
      <c r="CC170" s="500">
        <v>100000000000</v>
      </c>
      <c r="CD170">
        <v>4.8</v>
      </c>
      <c r="CE170" s="502">
        <v>48556</v>
      </c>
      <c r="CF170">
        <v>2.84</v>
      </c>
      <c r="CG170">
        <v>6.31</v>
      </c>
      <c r="CH170" t="s">
        <v>3644</v>
      </c>
      <c r="CI170">
        <v>4.28</v>
      </c>
      <c r="CJ170" s="500">
        <v>-8341000000</v>
      </c>
      <c r="CK170">
        <v>5.2</v>
      </c>
      <c r="CL170" s="500">
        <v>-55232276.009999998</v>
      </c>
      <c r="CM170" s="500">
        <v>3340000000</v>
      </c>
      <c r="CN170">
        <v>34.94</v>
      </c>
      <c r="CO17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-8369860198.8299198</v>
      </c>
      <c r="CP170" s="72">
        <f>RPT-VLOOKUP(Outstanding_pos_BB_SBV[[#This Row],[Bonds_ShortName]],CT:CU,2,0)</f>
        <v>-6</v>
      </c>
      <c r="CQ170" s="157">
        <f>SUMIFS(CC:CC,BZ:BZ,Outstanding_pos_BB_SBV[[#This Row],[Bonds_ShortName]])/10^5-VLOOKUP(Outstanding_pos_BB_SBV[[#This Row],[Bonds_ShortName]],FNRP!EE:FL,34,0)</f>
        <v>0</v>
      </c>
      <c r="CV170" s="35"/>
    </row>
    <row r="171" spans="55:100" x14ac:dyDescent="0.3">
      <c r="BC171"/>
      <c r="BD171"/>
      <c r="BG171"/>
      <c r="BH171"/>
      <c r="BJ171"/>
      <c r="BO171"/>
      <c r="BQ171"/>
      <c r="BR171"/>
      <c r="BS171" s="72"/>
      <c r="BT171" s="72"/>
      <c r="BU171" s="157"/>
      <c r="BX171">
        <v>50420</v>
      </c>
      <c r="BY171" s="502">
        <v>46259</v>
      </c>
      <c r="BZ171" t="s">
        <v>2398</v>
      </c>
      <c r="CA171" t="s">
        <v>824</v>
      </c>
      <c r="CB171" t="s">
        <v>823</v>
      </c>
      <c r="CC171" s="500">
        <v>50000000000</v>
      </c>
      <c r="CD171">
        <v>4.0999999999999996</v>
      </c>
      <c r="CE171" s="502">
        <v>48633</v>
      </c>
      <c r="CF171">
        <v>2.61</v>
      </c>
      <c r="CG171">
        <v>6.52</v>
      </c>
      <c r="CH171" t="s">
        <v>2746</v>
      </c>
      <c r="CI171">
        <v>4.29</v>
      </c>
      <c r="CJ171" s="500">
        <v>-4940500000</v>
      </c>
      <c r="CK171">
        <v>5.5</v>
      </c>
      <c r="CL171" s="500">
        <v>-55482259.560000002</v>
      </c>
      <c r="CM171" s="500">
        <v>1988000000</v>
      </c>
      <c r="CN171">
        <v>38.130000000000003</v>
      </c>
      <c r="CO17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-4952298836.7127838</v>
      </c>
      <c r="CP171" s="72">
        <f>RPT-VLOOKUP(Outstanding_pos_BB_SBV[[#This Row],[Bonds_ShortName]],CT:CU,2,0)</f>
        <v>-6</v>
      </c>
      <c r="CQ171" s="157">
        <f>SUMIFS(CC:CC,BZ:BZ,Outstanding_pos_BB_SBV[[#This Row],[Bonds_ShortName]])/10^5-VLOOKUP(Outstanding_pos_BB_SBV[[#This Row],[Bonds_ShortName]],FNRP!EE:FL,34,0)</f>
        <v>0</v>
      </c>
      <c r="CV171" s="35"/>
    </row>
    <row r="172" spans="55:100" x14ac:dyDescent="0.3">
      <c r="BC172"/>
      <c r="BD172"/>
      <c r="BG172"/>
      <c r="BH172"/>
      <c r="BJ172"/>
      <c r="BO172"/>
      <c r="BQ172"/>
      <c r="BR172"/>
      <c r="BS172" s="72"/>
      <c r="BT172" s="72"/>
      <c r="BU172" s="157"/>
      <c r="BX172">
        <v>50422</v>
      </c>
      <c r="BY172" s="502">
        <v>46259</v>
      </c>
      <c r="BZ172" t="s">
        <v>3517</v>
      </c>
      <c r="CA172" t="s">
        <v>824</v>
      </c>
      <c r="CB172" t="s">
        <v>823</v>
      </c>
      <c r="CC172" s="500">
        <v>200000000000</v>
      </c>
      <c r="CD172">
        <v>2.7</v>
      </c>
      <c r="CE172" s="502">
        <v>47688</v>
      </c>
      <c r="CF172">
        <v>3.18</v>
      </c>
      <c r="CG172">
        <v>3.93</v>
      </c>
      <c r="CH172" t="s">
        <v>2500</v>
      </c>
      <c r="CI172">
        <v>3.95</v>
      </c>
      <c r="CJ172" s="500">
        <v>-5494000000</v>
      </c>
      <c r="CK172">
        <v>3.63</v>
      </c>
      <c r="CL172" s="500">
        <v>-34708616.5</v>
      </c>
      <c r="CM172" s="500">
        <v>192000000</v>
      </c>
      <c r="CN172">
        <v>16.96</v>
      </c>
      <c r="CO17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-5486041718.9911528</v>
      </c>
      <c r="CP172" s="72">
        <f>RPT-VLOOKUP(Outstanding_pos_BB_SBV[[#This Row],[Bonds_ShortName]],CT:CU,2,0)</f>
        <v>-6</v>
      </c>
      <c r="CQ172" s="157">
        <f>SUMIFS(CC:CC,BZ:BZ,Outstanding_pos_BB_SBV[[#This Row],[Bonds_ShortName]])/10^5-VLOOKUP(Outstanding_pos_BB_SBV[[#This Row],[Bonds_ShortName]],FNRP!EE:FL,34,0)</f>
        <v>0</v>
      </c>
      <c r="CV172" s="35"/>
    </row>
    <row r="173" spans="55:100" x14ac:dyDescent="0.3">
      <c r="BC173"/>
      <c r="BD173"/>
      <c r="BG173"/>
      <c r="BH173"/>
      <c r="BJ173"/>
      <c r="BO173"/>
      <c r="BQ173"/>
      <c r="BR173"/>
      <c r="BS173" s="72"/>
      <c r="BT173" s="72"/>
      <c r="BU173" s="157"/>
      <c r="BX173">
        <v>50426</v>
      </c>
      <c r="BY173" s="502">
        <v>46262</v>
      </c>
      <c r="BZ173" t="s">
        <v>636</v>
      </c>
      <c r="CA173" t="s">
        <v>824</v>
      </c>
      <c r="CB173" t="s">
        <v>823</v>
      </c>
      <c r="CC173" s="500">
        <v>100000000000</v>
      </c>
      <c r="CD173">
        <v>2.2000000000000002</v>
      </c>
      <c r="CE173" s="502">
        <v>47862</v>
      </c>
      <c r="CF173">
        <v>3.03</v>
      </c>
      <c r="CG173">
        <v>4.41</v>
      </c>
      <c r="CH173" t="s">
        <v>2500</v>
      </c>
      <c r="CI173">
        <v>4.08</v>
      </c>
      <c r="CJ173" s="500">
        <v>-4086000000</v>
      </c>
      <c r="CK173">
        <v>4.0199999999999996</v>
      </c>
      <c r="CL173" s="500">
        <v>-37728036.020000003</v>
      </c>
      <c r="CM173" s="500">
        <v>1308000000</v>
      </c>
      <c r="CN173">
        <v>20.6</v>
      </c>
      <c r="CO173"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-4071879015.4109592</v>
      </c>
      <c r="CP173" s="72">
        <f>RPT-VLOOKUP(Outstanding_pos_BB_SBV[[#This Row],[Bonds_ShortName]],CT:CU,2,0)</f>
        <v>-9</v>
      </c>
      <c r="CQ173" s="157">
        <f>SUMIFS(CC:CC,BZ:BZ,Outstanding_pos_BB_SBV[[#This Row],[Bonds_ShortName]])/10^5-VLOOKUP(Outstanding_pos_BB_SBV[[#This Row],[Bonds_ShortName]],FNRP!EE:FL,34,0)</f>
        <v>0</v>
      </c>
      <c r="CV173" s="35"/>
    </row>
    <row r="174" spans="55:100" x14ac:dyDescent="0.3">
      <c r="BC174"/>
      <c r="BD174"/>
      <c r="BG174"/>
      <c r="BH174"/>
      <c r="BJ174"/>
      <c r="BO174"/>
      <c r="BQ174"/>
      <c r="BR174"/>
      <c r="BS174" s="72"/>
      <c r="BT174" s="72"/>
      <c r="BU174" s="157"/>
      <c r="BX174">
        <v>50428</v>
      </c>
      <c r="BY174" s="502">
        <v>46262</v>
      </c>
      <c r="BZ174" t="s">
        <v>2831</v>
      </c>
      <c r="CA174" t="s">
        <v>824</v>
      </c>
      <c r="CB174" t="s">
        <v>823</v>
      </c>
      <c r="CC174" s="500">
        <v>300000000000</v>
      </c>
      <c r="CD174">
        <v>2.7</v>
      </c>
      <c r="CE174" s="502">
        <v>49115</v>
      </c>
      <c r="CF174">
        <v>3.03</v>
      </c>
      <c r="CG174">
        <v>7.84</v>
      </c>
      <c r="CH174" t="s">
        <v>2747</v>
      </c>
      <c r="CI174">
        <v>4.3499999999999996</v>
      </c>
      <c r="CJ174" s="500">
        <v>-25446000000</v>
      </c>
      <c r="CK174">
        <v>6.79</v>
      </c>
      <c r="CL174" s="500">
        <v>-60910120.859999999</v>
      </c>
      <c r="CM174" s="500">
        <v>444000000</v>
      </c>
      <c r="CN174">
        <v>55.64</v>
      </c>
      <c r="CO174"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-25432252193.077221</v>
      </c>
      <c r="CP174" s="72">
        <f>RPT-VLOOKUP(Outstanding_pos_BB_SBV[[#This Row],[Bonds_ShortName]],CT:CU,2,0)</f>
        <v>-9</v>
      </c>
      <c r="CQ174" s="157">
        <f>SUMIFS(CC:CC,BZ:BZ,Outstanding_pos_BB_SBV[[#This Row],[Bonds_ShortName]])/10^5-VLOOKUP(Outstanding_pos_BB_SBV[[#This Row],[Bonds_ShortName]],FNRP!EE:FL,34,0)</f>
        <v>0</v>
      </c>
      <c r="CV174" s="35"/>
    </row>
    <row r="175" spans="55:100" x14ac:dyDescent="0.3">
      <c r="BC175"/>
      <c r="BD175"/>
      <c r="BG175"/>
      <c r="BH175"/>
      <c r="BJ175"/>
      <c r="BO175"/>
      <c r="BQ175"/>
      <c r="BR175"/>
      <c r="BS175" s="72"/>
      <c r="BT175" s="72"/>
      <c r="BU175" s="157"/>
      <c r="BX175">
        <v>50432</v>
      </c>
      <c r="BY175" s="502">
        <v>46259</v>
      </c>
      <c r="BZ175" t="s">
        <v>667</v>
      </c>
      <c r="CA175" t="s">
        <v>824</v>
      </c>
      <c r="CB175" t="s">
        <v>823</v>
      </c>
      <c r="CC175" s="500">
        <v>50000000000</v>
      </c>
      <c r="CD175">
        <v>5</v>
      </c>
      <c r="CE175" s="502">
        <v>48996</v>
      </c>
      <c r="CF175">
        <v>2.66</v>
      </c>
      <c r="CG175">
        <v>7.52</v>
      </c>
      <c r="CH175" t="s">
        <v>2747</v>
      </c>
      <c r="CI175">
        <v>4.33</v>
      </c>
      <c r="CJ175" s="500">
        <v>-5756500000</v>
      </c>
      <c r="CK175">
        <v>6.06</v>
      </c>
      <c r="CL175" s="500">
        <v>-64651475.93</v>
      </c>
      <c r="CM175" s="500">
        <v>2452000000</v>
      </c>
      <c r="CN175">
        <v>46.86</v>
      </c>
      <c r="CO175"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-5773071911.5519972</v>
      </c>
      <c r="CP175" s="72">
        <f>RPT-VLOOKUP(Outstanding_pos_BB_SBV[[#This Row],[Bonds_ShortName]],CT:CU,2,0)</f>
        <v>-6</v>
      </c>
      <c r="CQ175" s="157">
        <f>SUMIFS(CC:CC,BZ:BZ,Outstanding_pos_BB_SBV[[#This Row],[Bonds_ShortName]])/10^5-VLOOKUP(Outstanding_pos_BB_SBV[[#This Row],[Bonds_ShortName]],FNRP!EE:FL,34,0)</f>
        <v>0</v>
      </c>
      <c r="CV175" s="35"/>
    </row>
    <row r="176" spans="55:100" x14ac:dyDescent="0.3">
      <c r="BC176"/>
      <c r="BD176"/>
      <c r="BG176"/>
      <c r="BH176"/>
      <c r="BJ176"/>
      <c r="BO176"/>
      <c r="BQ176"/>
      <c r="BR176"/>
      <c r="BS176" s="72"/>
      <c r="BT176" s="72"/>
      <c r="BU176" s="157"/>
      <c r="BX176">
        <v>50434</v>
      </c>
      <c r="BY176" s="502">
        <v>46259</v>
      </c>
      <c r="BZ176" t="s">
        <v>2862</v>
      </c>
      <c r="CA176" t="s">
        <v>824</v>
      </c>
      <c r="CB176" t="s">
        <v>823</v>
      </c>
      <c r="CC176" s="500">
        <v>134000000000</v>
      </c>
      <c r="CD176">
        <v>2.6</v>
      </c>
      <c r="CE176" s="502">
        <v>49213</v>
      </c>
      <c r="CF176">
        <v>3.05</v>
      </c>
      <c r="CG176">
        <v>8.11</v>
      </c>
      <c r="CH176" t="s">
        <v>2747</v>
      </c>
      <c r="CI176">
        <v>4.3600000000000003</v>
      </c>
      <c r="CJ176" s="500">
        <v>-11544100000</v>
      </c>
      <c r="CK176">
        <v>6.87</v>
      </c>
      <c r="CL176" s="500">
        <v>-62183264.149999999</v>
      </c>
      <c r="CM176" s="500">
        <v>2329000000</v>
      </c>
      <c r="CN176">
        <v>57.97</v>
      </c>
      <c r="CO176"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-11542035931.961315</v>
      </c>
      <c r="CP176" s="72">
        <f>RPT-VLOOKUP(Outstanding_pos_BB_SBV[[#This Row],[Bonds_ShortName]],CT:CU,2,0)</f>
        <v>-6</v>
      </c>
      <c r="CQ176" s="157">
        <f>SUMIFS(CC:CC,BZ:BZ,Outstanding_pos_BB_SBV[[#This Row],[Bonds_ShortName]])/10^5-VLOOKUP(Outstanding_pos_BB_SBV[[#This Row],[Bonds_ShortName]],FNRP!EE:FL,34,0)</f>
        <v>0</v>
      </c>
      <c r="CV176" s="35"/>
    </row>
    <row r="177" spans="55:100" x14ac:dyDescent="0.3">
      <c r="BC177"/>
      <c r="BD177"/>
      <c r="BG177"/>
      <c r="BH177"/>
      <c r="BJ177"/>
      <c r="BO177"/>
      <c r="BQ177"/>
      <c r="BR177"/>
      <c r="BS177" s="72"/>
      <c r="BT177" s="72"/>
      <c r="BU177" s="157"/>
      <c r="BX177">
        <v>50436</v>
      </c>
      <c r="BY177" s="502">
        <v>46262</v>
      </c>
      <c r="BZ177" t="s">
        <v>2836</v>
      </c>
      <c r="CA177" t="s">
        <v>824</v>
      </c>
      <c r="CB177" t="s">
        <v>823</v>
      </c>
      <c r="CC177" s="500">
        <v>200000000000</v>
      </c>
      <c r="CD177">
        <v>2.7</v>
      </c>
      <c r="CE177" s="502">
        <v>49143</v>
      </c>
      <c r="CF177">
        <v>3.04</v>
      </c>
      <c r="CG177">
        <v>7.92</v>
      </c>
      <c r="CH177" t="s">
        <v>2747</v>
      </c>
      <c r="CI177">
        <v>4.3499999999999996</v>
      </c>
      <c r="CJ177" s="500">
        <v>-16964000000</v>
      </c>
      <c r="CK177">
        <v>6.86</v>
      </c>
      <c r="CL177" s="500">
        <v>-61350899.390000001</v>
      </c>
      <c r="CM177" s="500">
        <v>237000000</v>
      </c>
      <c r="CN177">
        <v>56.71</v>
      </c>
      <c r="CO177"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-16954553023.35092</v>
      </c>
      <c r="CP177" s="72">
        <f>RPT-VLOOKUP(Outstanding_pos_BB_SBV[[#This Row],[Bonds_ShortName]],CT:CU,2,0)</f>
        <v>-9</v>
      </c>
      <c r="CQ177" s="157">
        <f>SUMIFS(CC:CC,BZ:BZ,Outstanding_pos_BB_SBV[[#This Row],[Bonds_ShortName]])/10^5-VLOOKUP(Outstanding_pos_BB_SBV[[#This Row],[Bonds_ShortName]],FNRP!EE:FL,34,0)</f>
        <v>0</v>
      </c>
      <c r="CV177" s="35"/>
    </row>
    <row r="178" spans="55:100" x14ac:dyDescent="0.3">
      <c r="BC178"/>
      <c r="BD178"/>
      <c r="BG178"/>
      <c r="BH178"/>
      <c r="BJ178"/>
      <c r="BO178"/>
      <c r="BQ178"/>
      <c r="BR178"/>
      <c r="BS178" s="72"/>
      <c r="BT178" s="72"/>
      <c r="BU178" s="157"/>
      <c r="BX178">
        <v>50438</v>
      </c>
      <c r="BY178" s="502">
        <v>46262</v>
      </c>
      <c r="BZ178" t="s">
        <v>3317</v>
      </c>
      <c r="CA178" t="s">
        <v>824</v>
      </c>
      <c r="CB178" t="s">
        <v>823</v>
      </c>
      <c r="CC178" s="500">
        <v>11000000000</v>
      </c>
      <c r="CD178">
        <v>3.3</v>
      </c>
      <c r="CE178" s="502">
        <v>49528</v>
      </c>
      <c r="CF178">
        <v>3.48</v>
      </c>
      <c r="CG178">
        <v>8.9700000000000006</v>
      </c>
      <c r="CH178" t="s">
        <v>2747</v>
      </c>
      <c r="CI178">
        <v>4.4000000000000004</v>
      </c>
      <c r="CJ178" s="500">
        <v>-727760000</v>
      </c>
      <c r="CK178">
        <v>7.51</v>
      </c>
      <c r="CL178" s="500">
        <v>-69197928.799999997</v>
      </c>
      <c r="CM178" s="500">
        <v>108000000</v>
      </c>
      <c r="CN178">
        <v>68.5</v>
      </c>
      <c r="CO178"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-727682556.43449724</v>
      </c>
      <c r="CP178" s="72">
        <f>RPT-VLOOKUP(Outstanding_pos_BB_SBV[[#This Row],[Bonds_ShortName]],CT:CU,2,0)</f>
        <v>-9</v>
      </c>
      <c r="CQ178" s="157">
        <f>SUMIFS(CC:CC,BZ:BZ,Outstanding_pos_BB_SBV[[#This Row],[Bonds_ShortName]])/10^5-VLOOKUP(Outstanding_pos_BB_SBV[[#This Row],[Bonds_ShortName]],FNRP!EE:FL,34,0)</f>
        <v>0</v>
      </c>
      <c r="CV178" s="35"/>
    </row>
    <row r="179" spans="55:100" x14ac:dyDescent="0.3">
      <c r="BC179"/>
      <c r="BD179"/>
      <c r="BG179"/>
      <c r="BH179"/>
      <c r="BJ179"/>
      <c r="BO179"/>
      <c r="BQ179"/>
      <c r="BR179"/>
      <c r="BS179" s="72"/>
      <c r="BT179" s="72"/>
      <c r="BU179" s="157"/>
      <c r="BX179">
        <v>50440</v>
      </c>
      <c r="BY179" s="502">
        <v>46262</v>
      </c>
      <c r="BZ179" t="s">
        <v>3051</v>
      </c>
      <c r="CA179" t="s">
        <v>824</v>
      </c>
      <c r="CB179" t="s">
        <v>823</v>
      </c>
      <c r="CC179" s="500">
        <v>160000000000</v>
      </c>
      <c r="CD179">
        <v>2.9</v>
      </c>
      <c r="CE179" s="502">
        <v>49367</v>
      </c>
      <c r="CF179">
        <v>3.75</v>
      </c>
      <c r="CG179">
        <v>8.5299999999999994</v>
      </c>
      <c r="CH179" t="s">
        <v>2747</v>
      </c>
      <c r="CI179">
        <v>4.38</v>
      </c>
      <c r="CJ179" s="500">
        <v>-6772800000</v>
      </c>
      <c r="CK179">
        <v>7.19</v>
      </c>
      <c r="CL179" s="500">
        <v>-65465949.960000001</v>
      </c>
      <c r="CM179" s="500">
        <v>1375000000</v>
      </c>
      <c r="CN179">
        <v>63.12</v>
      </c>
      <c r="CO179"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-6750750240.2223654</v>
      </c>
      <c r="CP179" s="72">
        <f>RPT-VLOOKUP(Outstanding_pos_BB_SBV[[#This Row],[Bonds_ShortName]],CT:CU,2,0)</f>
        <v>-9</v>
      </c>
      <c r="CQ179" s="157">
        <f>SUMIFS(CC:CC,BZ:BZ,Outstanding_pos_BB_SBV[[#This Row],[Bonds_ShortName]])/10^5-VLOOKUP(Outstanding_pos_BB_SBV[[#This Row],[Bonds_ShortName]],FNRP!EE:FL,34,0)</f>
        <v>0</v>
      </c>
      <c r="CV179" s="35"/>
    </row>
    <row r="180" spans="55:100" x14ac:dyDescent="0.3">
      <c r="BC180"/>
      <c r="BD180"/>
      <c r="BG180"/>
      <c r="BH180"/>
      <c r="BJ180"/>
      <c r="BO180"/>
      <c r="BQ180"/>
      <c r="BR180"/>
      <c r="BS180" s="72"/>
      <c r="BT180" s="72"/>
      <c r="BU180" s="157"/>
      <c r="BX180">
        <v>50457</v>
      </c>
      <c r="BY180" s="502">
        <v>46252</v>
      </c>
      <c r="BZ180" t="s">
        <v>2839</v>
      </c>
      <c r="CA180" t="s">
        <v>4054</v>
      </c>
      <c r="CB180" t="s">
        <v>823</v>
      </c>
      <c r="CC180" s="500">
        <v>200000000000</v>
      </c>
      <c r="CD180">
        <v>2.7</v>
      </c>
      <c r="CE180" s="502">
        <v>49171</v>
      </c>
      <c r="CF180">
        <v>2.75</v>
      </c>
      <c r="CG180">
        <v>7.99</v>
      </c>
      <c r="CH180" t="s">
        <v>2747</v>
      </c>
      <c r="CI180">
        <v>4.3499999999999996</v>
      </c>
      <c r="CJ180" s="500">
        <v>-21228000000</v>
      </c>
      <c r="CK180">
        <v>6.94</v>
      </c>
      <c r="CL180" s="500">
        <v>-61787782.329999998</v>
      </c>
      <c r="CM180" s="500">
        <v>30000000</v>
      </c>
      <c r="CN180">
        <v>57.79</v>
      </c>
      <c r="CO180"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-21233859118.575989</v>
      </c>
      <c r="CP180" s="72">
        <f>RPT-VLOOKUP(Outstanding_pos_BB_SBV[[#This Row],[Bonds_ShortName]],CT:CU,2,0)</f>
        <v>0</v>
      </c>
      <c r="CQ180" s="157">
        <f>SUMIFS(CC:CC,BZ:BZ,Outstanding_pos_BB_SBV[[#This Row],[Bonds_ShortName]])/10^5-VLOOKUP(Outstanding_pos_BB_SBV[[#This Row],[Bonds_ShortName]],FNRP!EE:FL,34,0)</f>
        <v>1000000</v>
      </c>
      <c r="CV180" s="35"/>
    </row>
    <row r="181" spans="55:100" x14ac:dyDescent="0.3">
      <c r="BC181"/>
      <c r="BD181"/>
      <c r="BG181"/>
      <c r="BH181"/>
      <c r="BJ181"/>
      <c r="BO181"/>
      <c r="BQ181"/>
      <c r="BR181"/>
      <c r="BS181" s="72"/>
      <c r="BT181" s="72"/>
      <c r="BU181" s="157"/>
      <c r="BX181">
        <v>50459</v>
      </c>
      <c r="BY181" s="502">
        <v>46252</v>
      </c>
      <c r="BZ181" t="s">
        <v>695</v>
      </c>
      <c r="CA181" t="s">
        <v>4054</v>
      </c>
      <c r="CB181" t="s">
        <v>907</v>
      </c>
      <c r="CC181" s="500">
        <v>100000000000</v>
      </c>
      <c r="CD181">
        <v>2.9</v>
      </c>
      <c r="CE181" s="502">
        <v>49640</v>
      </c>
      <c r="CF181">
        <v>2.92</v>
      </c>
      <c r="CG181">
        <v>9.2799999999999994</v>
      </c>
      <c r="CH181" t="s">
        <v>2743</v>
      </c>
      <c r="CI181">
        <v>4.91</v>
      </c>
      <c r="CJ181" s="500">
        <v>-14564000000</v>
      </c>
      <c r="CK181">
        <v>7.6</v>
      </c>
      <c r="CL181" s="500">
        <v>-66371310.850000001</v>
      </c>
      <c r="CM181" s="500">
        <v>2105000000</v>
      </c>
      <c r="CN181">
        <v>71.17</v>
      </c>
      <c r="CO181"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-14569515497.8894</v>
      </c>
      <c r="CP181" s="72">
        <f>RPT-VLOOKUP(Outstanding_pos_BB_SBV[[#This Row],[Bonds_ShortName]],CT:CU,2,0)</f>
        <v>0</v>
      </c>
      <c r="CQ181" s="157">
        <f>SUMIFS(CC:CC,BZ:BZ,Outstanding_pos_BB_SBV[[#This Row],[Bonds_ShortName]])/10^5-VLOOKUP(Outstanding_pos_BB_SBV[[#This Row],[Bonds_ShortName]],FNRP!EE:FL,34,0)</f>
        <v>0</v>
      </c>
      <c r="CV181" s="35"/>
    </row>
    <row r="182" spans="55:100" x14ac:dyDescent="0.3">
      <c r="BC182"/>
      <c r="BD182"/>
      <c r="BG182"/>
      <c r="BH182"/>
      <c r="BJ182"/>
      <c r="BO182"/>
      <c r="BQ182"/>
      <c r="BR182"/>
      <c r="BS182" s="72"/>
      <c r="BT182" s="72"/>
      <c r="BU182" s="157"/>
      <c r="BX182">
        <v>50461</v>
      </c>
      <c r="BY182" s="502">
        <v>46252</v>
      </c>
      <c r="BZ182" t="s">
        <v>2835</v>
      </c>
      <c r="CA182" t="s">
        <v>4054</v>
      </c>
      <c r="CB182" t="s">
        <v>823</v>
      </c>
      <c r="CC182" s="500">
        <v>400000000000</v>
      </c>
      <c r="CD182">
        <v>2.7</v>
      </c>
      <c r="CE182" s="502">
        <v>50899</v>
      </c>
      <c r="CF182">
        <v>2.93</v>
      </c>
      <c r="CG182">
        <v>12.73</v>
      </c>
      <c r="CH182" t="s">
        <v>2740</v>
      </c>
      <c r="CI182">
        <v>4.5199999999999996</v>
      </c>
      <c r="CJ182" s="500">
        <v>-59600000000</v>
      </c>
      <c r="CK182">
        <v>10.16</v>
      </c>
      <c r="CL182" s="500">
        <v>-84810402.099999994</v>
      </c>
      <c r="CM182" s="500">
        <v>755000000</v>
      </c>
      <c r="CN182">
        <v>125.72</v>
      </c>
      <c r="CO182" s="72">
        <f>_xlfn.IFNA(
(_xlfn.XLOOKUP(Outstanding_pos_BB_SBV[[#This Row],[Bonds_ShortName]],FNRP!EE:EE,FNRP!EJ:EJ,,0)-_xlfn.XLOOKUP(Outstanding_pos_BB_SBV[[#This Row],[BondsDeals_Id]],Ref!BF:BF,Ref!BG:BG,,0))*Outstanding_pos_BB_SBV[[#This Row],[Amt]]/10^5,
(_xlfn.XLOOKUP(Outstanding_pos_BB_SBV[[#This Row],[Bonds_ShortName]],FNRP!EE:EE,FNRP!EJ:EJ,,0)
-_xlfn.XLOOKUP(Outstanding_pos_BB_SBV[[#This Row],[BondsDeals_Id]],BS!AL:AL,BS!AR:AR,_xlfn.XLOOKUP(Outstanding_pos_BB_SBV[[#This Row],[BondsDeals_Id]],BS!BA:BA,BS!BQ:BQ,,0),0)-10^5)
*Outstanding_pos_BB_SBV[[#This Row],[Amt]]/10^5)</f>
        <v>-59609590880.550438</v>
      </c>
      <c r="CP182" s="72">
        <f>RPT-VLOOKUP(Outstanding_pos_BB_SBV[[#This Row],[Bonds_ShortName]],CT:CU,2,0)</f>
        <v>0</v>
      </c>
      <c r="CQ182" s="157">
        <f>SUMIFS(CC:CC,BZ:BZ,Outstanding_pos_BB_SBV[[#This Row],[Bonds_ShortName]])/10^5-VLOOKUP(Outstanding_pos_BB_SBV[[#This Row],[Bonds_ShortName]],FNRP!EE:FL,34,0)</f>
        <v>0</v>
      </c>
      <c r="CV182" s="35"/>
    </row>
    <row r="183" spans="55:100" x14ac:dyDescent="0.3">
      <c r="BC183"/>
      <c r="BD183"/>
      <c r="BG183"/>
      <c r="BH183"/>
      <c r="BJ183"/>
      <c r="BO183"/>
      <c r="BQ183"/>
      <c r="BR183"/>
      <c r="BS183" s="72"/>
      <c r="BT183" s="72"/>
      <c r="BU183" s="157"/>
      <c r="CV183" s="35"/>
    </row>
    <row r="184" spans="55:100" x14ac:dyDescent="0.3">
      <c r="BC184"/>
      <c r="BD184"/>
      <c r="BG184"/>
      <c r="BH184"/>
      <c r="BJ184"/>
      <c r="BO184"/>
      <c r="BQ184"/>
      <c r="BR184"/>
      <c r="BS184" s="72"/>
      <c r="BT184" s="72"/>
      <c r="BU184" s="157"/>
      <c r="CV184" s="35"/>
    </row>
    <row r="185" spans="55:100" x14ac:dyDescent="0.3">
      <c r="BC185"/>
      <c r="BD185"/>
      <c r="BG185"/>
      <c r="BH185"/>
      <c r="BJ185"/>
      <c r="BO185"/>
      <c r="BQ185"/>
      <c r="BR185"/>
      <c r="BS185" s="72"/>
      <c r="BT185" s="72"/>
      <c r="BU185" s="157"/>
      <c r="CV185" s="35"/>
    </row>
    <row r="186" spans="55:100" x14ac:dyDescent="0.3">
      <c r="BC186"/>
      <c r="BD186"/>
      <c r="BG186"/>
      <c r="BH186"/>
      <c r="BJ186"/>
      <c r="BO186"/>
      <c r="BQ186"/>
      <c r="BR186"/>
      <c r="BS186" s="72"/>
      <c r="BT186" s="72"/>
      <c r="BU186" s="157"/>
      <c r="CV186" s="35"/>
    </row>
    <row r="187" spans="55:100" x14ac:dyDescent="0.3">
      <c r="BC187"/>
      <c r="BD187"/>
      <c r="BG187"/>
      <c r="BH187"/>
      <c r="BJ187"/>
      <c r="BO187"/>
      <c r="BQ187"/>
      <c r="BR187"/>
      <c r="BS187" s="72"/>
      <c r="BT187" s="72"/>
      <c r="BU187" s="157"/>
      <c r="CV187" s="35"/>
    </row>
    <row r="188" spans="55:100" x14ac:dyDescent="0.3">
      <c r="BC188"/>
      <c r="BD188"/>
      <c r="BG188"/>
      <c r="BH188"/>
      <c r="BJ188"/>
      <c r="BO188"/>
      <c r="BQ188"/>
      <c r="BR188"/>
      <c r="BS188" s="72"/>
      <c r="BT188" s="72"/>
      <c r="BU188" s="157"/>
      <c r="CV188" s="35"/>
    </row>
    <row r="189" spans="55:100" x14ac:dyDescent="0.3">
      <c r="BC189"/>
      <c r="BD189"/>
      <c r="BG189"/>
      <c r="BH189"/>
      <c r="BJ189"/>
      <c r="BO189"/>
      <c r="BQ189"/>
      <c r="BR189"/>
      <c r="BS189" s="72"/>
      <c r="BT189" s="72"/>
      <c r="BU189" s="157"/>
      <c r="CV189" s="35"/>
    </row>
    <row r="190" spans="55:100" x14ac:dyDescent="0.3">
      <c r="BC190"/>
      <c r="BD190"/>
      <c r="BG190"/>
      <c r="BH190"/>
      <c r="BJ190"/>
      <c r="BO190"/>
      <c r="BQ190"/>
      <c r="BR190"/>
      <c r="BS190" s="72"/>
      <c r="BT190" s="72"/>
      <c r="BU190" s="157"/>
      <c r="CV190" s="35"/>
    </row>
    <row r="191" spans="55:100" x14ac:dyDescent="0.3">
      <c r="BC191"/>
      <c r="BD191"/>
      <c r="BG191"/>
      <c r="BH191"/>
      <c r="BJ191"/>
      <c r="BO191"/>
      <c r="BQ191"/>
      <c r="BR191"/>
      <c r="BS191" s="72"/>
      <c r="BT191" s="72"/>
      <c r="BU191" s="157"/>
      <c r="CV191" s="35"/>
    </row>
    <row r="192" spans="55:100" x14ac:dyDescent="0.3">
      <c r="BC192"/>
      <c r="BD192"/>
      <c r="BG192"/>
      <c r="BH192"/>
      <c r="BJ192"/>
      <c r="BO192"/>
      <c r="BQ192"/>
      <c r="BR192"/>
      <c r="BS192" s="72"/>
      <c r="BT192" s="72"/>
      <c r="BU192" s="157"/>
      <c r="CV192" s="35"/>
    </row>
    <row r="193" spans="55:100" x14ac:dyDescent="0.3">
      <c r="BC193"/>
      <c r="BD193"/>
      <c r="BG193"/>
      <c r="BH193"/>
      <c r="BJ193"/>
      <c r="BO193"/>
      <c r="BQ193"/>
      <c r="BR193"/>
      <c r="BS193" s="72"/>
      <c r="BT193" s="72"/>
      <c r="BU193" s="157"/>
      <c r="CV193" s="35"/>
    </row>
    <row r="194" spans="55:100" x14ac:dyDescent="0.3">
      <c r="BC194"/>
      <c r="BD194"/>
      <c r="BG194"/>
      <c r="BH194"/>
      <c r="BJ194"/>
      <c r="BO194"/>
      <c r="BQ194"/>
      <c r="BR194"/>
      <c r="BS194" s="72"/>
      <c r="BT194" s="72"/>
      <c r="BU194" s="157"/>
      <c r="CV194" s="35"/>
    </row>
    <row r="195" spans="55:100" x14ac:dyDescent="0.3">
      <c r="BC195"/>
      <c r="BD195"/>
      <c r="BG195"/>
      <c r="BH195"/>
      <c r="BJ195"/>
      <c r="BO195"/>
      <c r="BQ195"/>
      <c r="BR195"/>
      <c r="BS195" s="72"/>
      <c r="BT195" s="72"/>
      <c r="BU195" s="157"/>
      <c r="CV195" s="35"/>
    </row>
    <row r="196" spans="55:100" x14ac:dyDescent="0.3">
      <c r="BC196"/>
      <c r="BD196"/>
      <c r="BG196"/>
      <c r="BH196"/>
      <c r="BJ196"/>
      <c r="BO196"/>
      <c r="BQ196"/>
      <c r="BR196"/>
      <c r="BS196" s="72"/>
      <c r="BT196" s="72"/>
      <c r="BU196" s="157"/>
      <c r="CV196" s="35"/>
    </row>
    <row r="197" spans="55:100" x14ac:dyDescent="0.3">
      <c r="BC197"/>
      <c r="BD197"/>
      <c r="BG197"/>
      <c r="BH197"/>
      <c r="BJ197"/>
      <c r="BO197"/>
      <c r="BQ197"/>
      <c r="BR197"/>
      <c r="BS197" s="72"/>
      <c r="BT197" s="72"/>
      <c r="BU197" s="157"/>
      <c r="CV197" s="35"/>
    </row>
    <row r="198" spans="55:100" x14ac:dyDescent="0.3">
      <c r="BC198"/>
      <c r="BD198"/>
      <c r="BG198"/>
      <c r="BH198"/>
      <c r="BJ198"/>
      <c r="BO198"/>
      <c r="BQ198"/>
      <c r="BR198"/>
      <c r="BS198" s="72"/>
      <c r="BT198" s="72"/>
      <c r="BU198" s="157"/>
      <c r="CV198" s="35"/>
    </row>
    <row r="199" spans="55:100" x14ac:dyDescent="0.3">
      <c r="BC199"/>
      <c r="BD199"/>
      <c r="BG199"/>
      <c r="BH199"/>
      <c r="BJ199"/>
      <c r="BO199"/>
      <c r="BQ199"/>
      <c r="BR199"/>
      <c r="BS199" s="72"/>
      <c r="BT199" s="72"/>
      <c r="BU199" s="157"/>
      <c r="CV199" s="35"/>
    </row>
    <row r="200" spans="55:100" x14ac:dyDescent="0.3">
      <c r="BC200"/>
      <c r="BD200"/>
      <c r="BG200"/>
      <c r="BH200"/>
      <c r="BJ200"/>
      <c r="BO200"/>
      <c r="BQ200"/>
      <c r="BR200"/>
      <c r="BS200" s="72"/>
      <c r="BT200" s="72"/>
      <c r="BU200" s="157"/>
      <c r="CV200" s="35"/>
    </row>
    <row r="201" spans="55:100" x14ac:dyDescent="0.3">
      <c r="BC201"/>
      <c r="BD201"/>
      <c r="BG201"/>
      <c r="BH201"/>
      <c r="BJ201"/>
      <c r="BO201"/>
      <c r="BQ201"/>
      <c r="BR201"/>
      <c r="BS201" s="72"/>
      <c r="BT201" s="72"/>
      <c r="BU201" s="157"/>
      <c r="CV201" s="35"/>
    </row>
    <row r="202" spans="55:100" x14ac:dyDescent="0.3">
      <c r="BC202"/>
      <c r="BD202"/>
      <c r="BG202"/>
      <c r="BH202"/>
      <c r="BJ202"/>
      <c r="BO202"/>
      <c r="BQ202"/>
      <c r="BR202"/>
      <c r="BS202" s="72"/>
      <c r="BT202" s="72"/>
      <c r="BU202" s="157"/>
      <c r="CV202" s="35"/>
    </row>
    <row r="203" spans="55:100" x14ac:dyDescent="0.3">
      <c r="BC203"/>
      <c r="BD203"/>
      <c r="BG203"/>
      <c r="BH203"/>
      <c r="BJ203"/>
      <c r="BO203"/>
      <c r="BQ203"/>
      <c r="BR203"/>
      <c r="BS203" s="72"/>
      <c r="BT203" s="72"/>
      <c r="BU203" s="157"/>
      <c r="CV203" s="35"/>
    </row>
    <row r="204" spans="55:100" x14ac:dyDescent="0.3">
      <c r="BC204"/>
      <c r="BD204"/>
      <c r="BG204"/>
      <c r="BH204"/>
      <c r="BJ204"/>
      <c r="BO204"/>
      <c r="BQ204"/>
      <c r="BR204"/>
      <c r="BS204" s="72"/>
      <c r="BT204" s="72"/>
      <c r="BU204" s="157"/>
      <c r="CV204" s="35"/>
    </row>
    <row r="205" spans="55:100" x14ac:dyDescent="0.3">
      <c r="BC205"/>
      <c r="BD205"/>
      <c r="BG205"/>
      <c r="BH205"/>
      <c r="BJ205"/>
      <c r="BO205"/>
      <c r="BQ205"/>
      <c r="BR205"/>
      <c r="BS205" s="72"/>
      <c r="BT205" s="72"/>
      <c r="BU205" s="157"/>
      <c r="CV205" s="35"/>
    </row>
    <row r="206" spans="55:100" x14ac:dyDescent="0.3">
      <c r="BC206"/>
      <c r="BD206"/>
      <c r="BG206"/>
      <c r="BH206"/>
      <c r="BJ206"/>
      <c r="BO206"/>
      <c r="BQ206"/>
      <c r="BR206"/>
      <c r="BS206" s="72"/>
      <c r="BT206" s="72"/>
      <c r="BU206" s="157"/>
      <c r="CV206" s="35"/>
    </row>
    <row r="207" spans="55:100" x14ac:dyDescent="0.3">
      <c r="BC207"/>
      <c r="BD207"/>
      <c r="BG207"/>
      <c r="BH207"/>
      <c r="BJ207"/>
      <c r="BO207"/>
      <c r="BQ207"/>
      <c r="BR207"/>
      <c r="BS207" s="72"/>
      <c r="BT207" s="72"/>
      <c r="BU207" s="157"/>
      <c r="CV207" s="35"/>
    </row>
    <row r="208" spans="55:100" x14ac:dyDescent="0.3">
      <c r="BC208"/>
      <c r="BD208"/>
      <c r="BG208"/>
      <c r="BH208"/>
      <c r="BJ208"/>
      <c r="BO208"/>
      <c r="BQ208"/>
      <c r="BR208"/>
      <c r="BS208" s="72"/>
      <c r="BT208" s="72"/>
      <c r="BU208" s="157"/>
      <c r="CV208" s="35"/>
    </row>
    <row r="209" spans="55:100" x14ac:dyDescent="0.3">
      <c r="BC209"/>
      <c r="BD209"/>
      <c r="BG209"/>
      <c r="BH209"/>
      <c r="BJ209"/>
      <c r="BO209"/>
      <c r="BQ209"/>
      <c r="BR209"/>
      <c r="BS209" s="72"/>
      <c r="BT209" s="72"/>
      <c r="BU209" s="157"/>
      <c r="CV209" s="35"/>
    </row>
    <row r="210" spans="55:100" x14ac:dyDescent="0.3">
      <c r="BC210"/>
      <c r="BD210"/>
      <c r="BG210"/>
      <c r="BH210"/>
      <c r="BJ210"/>
      <c r="BO210"/>
      <c r="BQ210"/>
      <c r="BR210"/>
      <c r="BS210" s="72"/>
      <c r="BT210" s="72"/>
      <c r="BU210" s="157"/>
      <c r="CV210" s="35"/>
    </row>
    <row r="211" spans="55:100" x14ac:dyDescent="0.3">
      <c r="BC211"/>
      <c r="BD211"/>
      <c r="BG211"/>
      <c r="BH211"/>
      <c r="BJ211"/>
      <c r="BO211"/>
      <c r="BQ211"/>
      <c r="BR211"/>
      <c r="BS211" s="72"/>
      <c r="BT211" s="72"/>
      <c r="BU211" s="157"/>
      <c r="CV211" s="35"/>
    </row>
    <row r="212" spans="55:100" x14ac:dyDescent="0.3">
      <c r="BC212"/>
      <c r="BD212"/>
      <c r="BG212"/>
      <c r="BH212"/>
      <c r="BJ212"/>
      <c r="BO212"/>
      <c r="BQ212"/>
      <c r="BR212"/>
      <c r="BS212" s="72"/>
      <c r="BT212" s="72"/>
      <c r="BU212" s="157"/>
      <c r="CV212" s="35"/>
    </row>
    <row r="213" spans="55:100" x14ac:dyDescent="0.3">
      <c r="BC213"/>
      <c r="BD213"/>
      <c r="BG213"/>
      <c r="BH213"/>
      <c r="BJ213"/>
      <c r="BO213"/>
      <c r="BQ213"/>
      <c r="BR213"/>
      <c r="BS213" s="72"/>
      <c r="BT213" s="72"/>
      <c r="BU213" s="157"/>
      <c r="CV213" s="35"/>
    </row>
    <row r="214" spans="55:100" x14ac:dyDescent="0.3">
      <c r="BC214"/>
      <c r="BD214"/>
      <c r="BG214"/>
      <c r="BH214"/>
      <c r="BJ214"/>
      <c r="BO214"/>
      <c r="BQ214"/>
      <c r="BR214"/>
      <c r="BS214" s="72"/>
      <c r="BT214" s="72"/>
      <c r="BU214" s="157"/>
      <c r="CV214" s="35"/>
    </row>
    <row r="215" spans="55:100" x14ac:dyDescent="0.3">
      <c r="BC215"/>
      <c r="BD215"/>
      <c r="BG215"/>
      <c r="BH215"/>
      <c r="BJ215"/>
      <c r="BO215"/>
      <c r="BQ215"/>
      <c r="BR215"/>
      <c r="BS215" s="72"/>
      <c r="BT215" s="72"/>
      <c r="BU215" s="157"/>
      <c r="CV215" s="35"/>
    </row>
    <row r="216" spans="55:100" x14ac:dyDescent="0.3">
      <c r="BC216"/>
      <c r="BD216"/>
      <c r="BG216"/>
      <c r="BH216"/>
      <c r="BJ216"/>
      <c r="BO216"/>
      <c r="BQ216"/>
      <c r="BR216"/>
      <c r="BS216" s="72"/>
      <c r="BT216" s="72"/>
      <c r="BU216" s="157"/>
      <c r="CV216" s="35"/>
    </row>
    <row r="217" spans="55:100" x14ac:dyDescent="0.3">
      <c r="BC217"/>
      <c r="BD217"/>
      <c r="BG217"/>
      <c r="BH217"/>
      <c r="BJ217"/>
      <c r="BO217"/>
      <c r="BQ217"/>
      <c r="BR217"/>
      <c r="BS217" s="72"/>
      <c r="BT217" s="72"/>
      <c r="BU217" s="157"/>
      <c r="CV217" s="35"/>
    </row>
    <row r="218" spans="55:100" x14ac:dyDescent="0.3">
      <c r="BC218"/>
      <c r="BD218"/>
      <c r="BG218"/>
      <c r="BH218"/>
      <c r="BJ218"/>
      <c r="BO218"/>
      <c r="BQ218"/>
      <c r="BR218"/>
      <c r="BS218" s="72"/>
      <c r="BT218" s="72"/>
      <c r="BU218" s="157"/>
      <c r="CV218" s="35"/>
    </row>
    <row r="219" spans="55:100" x14ac:dyDescent="0.3">
      <c r="BC219"/>
      <c r="BD219"/>
      <c r="BG219"/>
      <c r="BH219"/>
      <c r="BJ219"/>
      <c r="BO219"/>
      <c r="BQ219"/>
      <c r="BR219"/>
      <c r="BS219" s="72"/>
      <c r="BT219" s="72"/>
      <c r="BU219" s="157"/>
      <c r="CV219" s="35"/>
    </row>
    <row r="220" spans="55:100" x14ac:dyDescent="0.3">
      <c r="BC220"/>
      <c r="BD220"/>
      <c r="BG220"/>
      <c r="BH220"/>
      <c r="BJ220"/>
      <c r="BO220"/>
      <c r="BQ220"/>
      <c r="BR220"/>
      <c r="BS220" s="72"/>
      <c r="BT220" s="72"/>
      <c r="BU220" s="157"/>
      <c r="CV220" s="35"/>
    </row>
    <row r="221" spans="55:100" x14ac:dyDescent="0.3">
      <c r="BC221"/>
      <c r="BD221"/>
      <c r="BG221"/>
      <c r="BH221"/>
      <c r="BJ221"/>
      <c r="BO221"/>
      <c r="BQ221"/>
      <c r="BR221"/>
      <c r="BS221" s="72"/>
      <c r="BT221" s="72"/>
      <c r="BU221" s="157"/>
      <c r="CV221" s="35"/>
    </row>
    <row r="222" spans="55:100" x14ac:dyDescent="0.3">
      <c r="BC222"/>
      <c r="BD222"/>
      <c r="BG222"/>
      <c r="BH222"/>
      <c r="BJ222"/>
      <c r="BO222"/>
      <c r="BQ222"/>
      <c r="BR222"/>
      <c r="BS222" s="72"/>
      <c r="BT222" s="72"/>
      <c r="BU222" s="157"/>
      <c r="CV222" s="35"/>
    </row>
    <row r="223" spans="55:100" x14ac:dyDescent="0.3">
      <c r="BC223"/>
      <c r="BD223"/>
      <c r="BG223"/>
      <c r="BH223"/>
      <c r="BJ223"/>
      <c r="BO223"/>
      <c r="BQ223"/>
      <c r="BR223"/>
      <c r="BS223" s="72"/>
      <c r="BT223" s="72"/>
      <c r="BU223" s="157"/>
      <c r="CV223" s="35"/>
    </row>
    <row r="224" spans="55:100" x14ac:dyDescent="0.3">
      <c r="BC224"/>
      <c r="BD224"/>
      <c r="BG224"/>
      <c r="BH224"/>
      <c r="BJ224"/>
      <c r="BO224"/>
      <c r="BQ224"/>
      <c r="BR224"/>
      <c r="BS224" s="72"/>
      <c r="BT224" s="72"/>
      <c r="BU224" s="157"/>
      <c r="CV224" s="35"/>
    </row>
    <row r="225" spans="55:100" x14ac:dyDescent="0.3">
      <c r="BC225"/>
      <c r="BD225"/>
      <c r="BG225"/>
      <c r="BH225"/>
      <c r="BJ225"/>
      <c r="BO225"/>
      <c r="BQ225"/>
      <c r="BR225"/>
      <c r="BS225" s="72"/>
      <c r="BT225" s="72"/>
      <c r="BU225" s="157"/>
      <c r="CV225" s="35"/>
    </row>
    <row r="226" spans="55:100" x14ac:dyDescent="0.3">
      <c r="BC226"/>
      <c r="BD226"/>
      <c r="BG226"/>
      <c r="BH226"/>
      <c r="BJ226"/>
      <c r="BO226"/>
      <c r="BQ226"/>
      <c r="BR226"/>
      <c r="BS226" s="72"/>
      <c r="BT226" s="72"/>
      <c r="BU226" s="157"/>
      <c r="CV226" s="35"/>
    </row>
    <row r="227" spans="55:100" x14ac:dyDescent="0.3">
      <c r="BC227"/>
      <c r="BD227"/>
      <c r="BG227"/>
      <c r="BH227"/>
      <c r="BJ227"/>
      <c r="BO227"/>
      <c r="BQ227"/>
      <c r="BR227"/>
      <c r="BS227" s="72"/>
      <c r="BT227" s="72"/>
      <c r="BU227" s="157"/>
      <c r="CV227" s="35"/>
    </row>
    <row r="228" spans="55:100" x14ac:dyDescent="0.3">
      <c r="BC228"/>
      <c r="BD228"/>
      <c r="BG228"/>
      <c r="BH228"/>
      <c r="BJ228"/>
      <c r="BO228"/>
      <c r="BQ228"/>
      <c r="BR228"/>
      <c r="BS228" s="72"/>
      <c r="BT228" s="72"/>
      <c r="BU228" s="157"/>
      <c r="CV228" s="35"/>
    </row>
    <row r="229" spans="55:100" x14ac:dyDescent="0.3">
      <c r="BC229"/>
      <c r="BD229"/>
      <c r="BG229"/>
      <c r="BH229"/>
      <c r="BJ229"/>
      <c r="BO229"/>
      <c r="BQ229"/>
      <c r="BR229"/>
      <c r="BS229" s="72"/>
      <c r="BT229" s="72"/>
      <c r="BU229" s="157"/>
      <c r="CV229" s="35"/>
    </row>
    <row r="230" spans="55:100" x14ac:dyDescent="0.3">
      <c r="BC230"/>
      <c r="BD230"/>
      <c r="BG230"/>
      <c r="BH230"/>
      <c r="BJ230"/>
      <c r="BO230"/>
      <c r="BQ230"/>
      <c r="BR230"/>
      <c r="BS230" s="72"/>
      <c r="BT230" s="72"/>
      <c r="BU230" s="157"/>
      <c r="CV230" s="35"/>
    </row>
    <row r="231" spans="55:100" x14ac:dyDescent="0.3">
      <c r="BC231"/>
      <c r="BD231"/>
      <c r="BG231"/>
      <c r="BH231"/>
      <c r="BJ231"/>
      <c r="BO231"/>
      <c r="BQ231"/>
      <c r="BR231"/>
      <c r="BS231" s="72"/>
      <c r="BT231" s="72"/>
      <c r="BU231" s="157"/>
      <c r="CV231" s="35"/>
    </row>
    <row r="232" spans="55:100" x14ac:dyDescent="0.3">
      <c r="BC232"/>
      <c r="BD232"/>
      <c r="BG232"/>
      <c r="BH232"/>
      <c r="BJ232"/>
      <c r="BO232"/>
      <c r="BQ232"/>
      <c r="BR232"/>
      <c r="BS232" s="72"/>
      <c r="BT232" s="72"/>
      <c r="BU232" s="157"/>
      <c r="CV232" s="35"/>
    </row>
    <row r="233" spans="55:100" x14ac:dyDescent="0.3">
      <c r="BC233"/>
      <c r="BD233"/>
      <c r="BG233"/>
      <c r="BH233"/>
      <c r="BJ233"/>
      <c r="BO233"/>
      <c r="BQ233"/>
      <c r="BR233"/>
      <c r="BS233" s="72"/>
      <c r="BT233" s="72"/>
      <c r="BU233" s="157"/>
      <c r="CV233" s="35"/>
    </row>
    <row r="234" spans="55:100" x14ac:dyDescent="0.3">
      <c r="BC234"/>
      <c r="BD234"/>
      <c r="BG234"/>
      <c r="BH234"/>
      <c r="BJ234"/>
      <c r="BO234"/>
      <c r="BQ234"/>
      <c r="BR234"/>
      <c r="BS234" s="72"/>
      <c r="BT234" s="72"/>
      <c r="BU234" s="157"/>
      <c r="CV234" s="35"/>
    </row>
    <row r="235" spans="55:100" x14ac:dyDescent="0.3">
      <c r="BC235"/>
      <c r="BD235"/>
      <c r="BG235"/>
      <c r="BH235"/>
      <c r="BJ235"/>
      <c r="BO235"/>
      <c r="BQ235"/>
      <c r="BR235"/>
      <c r="BS235" s="72"/>
      <c r="BT235" s="72"/>
      <c r="BU235" s="157"/>
      <c r="CV235" s="35"/>
    </row>
    <row r="236" spans="55:100" x14ac:dyDescent="0.3">
      <c r="BD236"/>
      <c r="BH236"/>
      <c r="BI236" s="35"/>
      <c r="BJ236"/>
      <c r="BO236"/>
      <c r="BP236" s="37"/>
      <c r="BR236"/>
      <c r="CV236" s="35"/>
    </row>
    <row r="237" spans="55:100" x14ac:dyDescent="0.3">
      <c r="BD237"/>
      <c r="BH237"/>
      <c r="BI237" s="35"/>
      <c r="BJ237"/>
      <c r="BO237"/>
      <c r="BP237" s="37"/>
      <c r="BR237"/>
      <c r="CV237" s="35"/>
    </row>
    <row r="238" spans="55:100" x14ac:dyDescent="0.3">
      <c r="BD238"/>
      <c r="BH238"/>
      <c r="BI238" s="35"/>
      <c r="BJ238"/>
      <c r="BO238"/>
      <c r="BP238" s="37"/>
      <c r="BR238"/>
      <c r="CV238" s="35"/>
    </row>
    <row r="239" spans="55:100" x14ac:dyDescent="0.3">
      <c r="BD239"/>
      <c r="BH239"/>
      <c r="BI239" s="35"/>
      <c r="BJ239"/>
      <c r="BO239"/>
      <c r="BP239" s="37"/>
      <c r="BR239"/>
      <c r="CV239" s="35"/>
    </row>
    <row r="240" spans="55:100" x14ac:dyDescent="0.3">
      <c r="BD240"/>
      <c r="BH240"/>
      <c r="BI240" s="35"/>
      <c r="BJ240"/>
      <c r="BO240"/>
      <c r="BP240" s="37"/>
      <c r="BR240"/>
      <c r="CV240" s="35"/>
    </row>
    <row r="241" spans="56:100" x14ac:dyDescent="0.3">
      <c r="BD241"/>
      <c r="BH241"/>
      <c r="BI241" s="35"/>
      <c r="BJ241"/>
      <c r="BO241"/>
      <c r="BP241" s="37"/>
      <c r="BR241"/>
      <c r="CV241" s="35"/>
    </row>
    <row r="242" spans="56:100" x14ac:dyDescent="0.3">
      <c r="BD242"/>
      <c r="BH242"/>
      <c r="BI242" s="35"/>
      <c r="BJ242"/>
      <c r="BO242"/>
      <c r="BP242" s="37"/>
      <c r="BR242"/>
      <c r="CV242" s="35"/>
    </row>
    <row r="243" spans="56:100" x14ac:dyDescent="0.3">
      <c r="BD243"/>
      <c r="BH243"/>
      <c r="BI243" s="35"/>
      <c r="BJ243"/>
      <c r="BO243"/>
      <c r="BP243" s="37"/>
      <c r="BR243"/>
      <c r="CV243" s="35"/>
    </row>
    <row r="244" spans="56:100" x14ac:dyDescent="0.3">
      <c r="BD244"/>
      <c r="BH244"/>
      <c r="BI244" s="35"/>
      <c r="BJ244"/>
      <c r="BO244"/>
      <c r="BP244" s="37"/>
      <c r="BR244"/>
      <c r="CV244" s="35"/>
    </row>
    <row r="245" spans="56:100" x14ac:dyDescent="0.3">
      <c r="BD245"/>
      <c r="BH245"/>
      <c r="BI245" s="35"/>
      <c r="BJ245"/>
      <c r="BO245"/>
      <c r="BP245" s="37"/>
      <c r="BR245"/>
      <c r="CV245" s="35"/>
    </row>
    <row r="246" spans="56:100" x14ac:dyDescent="0.3">
      <c r="BD246"/>
      <c r="BH246"/>
      <c r="BI246" s="35"/>
      <c r="BJ246"/>
      <c r="BO246"/>
      <c r="BP246" s="37"/>
      <c r="BR246"/>
      <c r="CV246" s="35"/>
    </row>
    <row r="247" spans="56:100" x14ac:dyDescent="0.3">
      <c r="BD247"/>
      <c r="BH247"/>
      <c r="BI247" s="35"/>
      <c r="BJ247"/>
      <c r="BO247"/>
      <c r="BP247" s="37"/>
      <c r="BR247"/>
      <c r="CV247" s="35"/>
    </row>
    <row r="248" spans="56:100" x14ac:dyDescent="0.3">
      <c r="BD248"/>
      <c r="BH248"/>
      <c r="BI248" s="35"/>
      <c r="BJ248"/>
      <c r="BO248"/>
      <c r="BP248" s="37"/>
      <c r="BR248"/>
      <c r="CV248" s="35"/>
    </row>
    <row r="249" spans="56:100" x14ac:dyDescent="0.3">
      <c r="BD249"/>
      <c r="BH249"/>
      <c r="BI249" s="35"/>
      <c r="BJ249"/>
      <c r="BO249"/>
      <c r="BP249" s="37"/>
      <c r="BR249"/>
      <c r="CV249" s="35"/>
    </row>
    <row r="250" spans="56:100" x14ac:dyDescent="0.3">
      <c r="BD250"/>
      <c r="BH250"/>
      <c r="BI250" s="35"/>
      <c r="BJ250"/>
      <c r="BO250"/>
      <c r="BP250" s="37"/>
      <c r="BR250"/>
      <c r="CV250" s="35"/>
    </row>
    <row r="251" spans="56:100" x14ac:dyDescent="0.3">
      <c r="BD251"/>
      <c r="BH251"/>
      <c r="BI251" s="35"/>
      <c r="BJ251"/>
      <c r="BO251"/>
      <c r="BP251" s="37"/>
      <c r="BR251"/>
      <c r="CV251" s="35"/>
    </row>
    <row r="252" spans="56:100" x14ac:dyDescent="0.3">
      <c r="BD252"/>
      <c r="BH252"/>
      <c r="BI252" s="35"/>
      <c r="BJ252"/>
      <c r="BO252"/>
      <c r="BP252" s="37"/>
      <c r="BR252"/>
      <c r="CV252" s="35"/>
    </row>
    <row r="253" spans="56:100" x14ac:dyDescent="0.3">
      <c r="BD253"/>
      <c r="BH253"/>
      <c r="BI253" s="35"/>
      <c r="BJ253"/>
      <c r="BO253"/>
      <c r="BP253" s="37"/>
      <c r="BR253"/>
      <c r="CV253" s="35"/>
    </row>
    <row r="254" spans="56:100" x14ac:dyDescent="0.3">
      <c r="BD254"/>
      <c r="BH254"/>
      <c r="BI254" s="35"/>
      <c r="BJ254"/>
      <c r="BO254"/>
      <c r="BP254" s="37"/>
      <c r="BR254"/>
      <c r="CV254" s="35"/>
    </row>
    <row r="255" spans="56:100" x14ac:dyDescent="0.3">
      <c r="BD255"/>
      <c r="BH255"/>
      <c r="BI255" s="35"/>
      <c r="BJ255"/>
      <c r="BO255"/>
      <c r="BP255" s="37"/>
      <c r="BR255"/>
      <c r="CV255" s="35"/>
    </row>
    <row r="256" spans="56:100" x14ac:dyDescent="0.3">
      <c r="BD256"/>
      <c r="BH256"/>
      <c r="BI256" s="35"/>
      <c r="BJ256"/>
      <c r="BO256"/>
      <c r="BP256" s="37"/>
      <c r="BR256"/>
      <c r="CV256" s="35"/>
    </row>
    <row r="257" spans="56:100" x14ac:dyDescent="0.3">
      <c r="BD257"/>
      <c r="BH257"/>
      <c r="BI257" s="35"/>
      <c r="BJ257"/>
      <c r="BO257"/>
      <c r="BP257" s="37"/>
      <c r="BR257"/>
      <c r="CV257" s="35"/>
    </row>
    <row r="258" spans="56:100" x14ac:dyDescent="0.3">
      <c r="BD258"/>
      <c r="BH258"/>
      <c r="BI258" s="35"/>
      <c r="BJ258"/>
      <c r="BO258"/>
      <c r="BP258" s="37"/>
      <c r="BR258"/>
      <c r="CV258" s="35"/>
    </row>
    <row r="259" spans="56:100" x14ac:dyDescent="0.3">
      <c r="BD259"/>
      <c r="BH259"/>
      <c r="BI259" s="35"/>
      <c r="BJ259"/>
      <c r="BO259"/>
      <c r="BP259" s="37"/>
      <c r="BR259"/>
      <c r="CV259" s="35"/>
    </row>
    <row r="260" spans="56:100" x14ac:dyDescent="0.3">
      <c r="BD260"/>
      <c r="BH260"/>
      <c r="BI260" s="35"/>
      <c r="BJ260"/>
      <c r="BO260"/>
      <c r="BP260" s="37"/>
      <c r="BR260"/>
      <c r="CV260" s="35"/>
    </row>
    <row r="261" spans="56:100" x14ac:dyDescent="0.3">
      <c r="BD261"/>
      <c r="BH261"/>
      <c r="BI261" s="35"/>
      <c r="BJ261"/>
      <c r="BO261"/>
      <c r="BP261" s="37"/>
      <c r="BR261"/>
      <c r="CV261" s="35"/>
    </row>
    <row r="262" spans="56:100" x14ac:dyDescent="0.3">
      <c r="BD262"/>
      <c r="BH262"/>
      <c r="BI262" s="35"/>
      <c r="BJ262"/>
      <c r="BO262"/>
      <c r="BP262" s="37"/>
      <c r="BR262"/>
      <c r="CV262" s="35"/>
    </row>
    <row r="263" spans="56:100" x14ac:dyDescent="0.3">
      <c r="BD263"/>
      <c r="BH263"/>
      <c r="BI263" s="35"/>
      <c r="BJ263"/>
      <c r="BO263"/>
      <c r="BP263" s="37"/>
      <c r="BR263"/>
      <c r="CV263" s="35"/>
    </row>
    <row r="264" spans="56:100" x14ac:dyDescent="0.3">
      <c r="BD264"/>
      <c r="BH264"/>
      <c r="BI264" s="35"/>
      <c r="BJ264"/>
      <c r="BO264"/>
      <c r="BP264" s="37"/>
      <c r="BR264"/>
      <c r="CV264" s="35"/>
    </row>
    <row r="265" spans="56:100" x14ac:dyDescent="0.3">
      <c r="BD265"/>
      <c r="BH265"/>
      <c r="BI265" s="35"/>
      <c r="BJ265"/>
      <c r="BO265"/>
      <c r="BP265" s="37"/>
      <c r="BR265"/>
      <c r="CV265" s="35"/>
    </row>
    <row r="266" spans="56:100" x14ac:dyDescent="0.3">
      <c r="BD266"/>
      <c r="BH266"/>
      <c r="BI266" s="35"/>
      <c r="BJ266"/>
      <c r="BO266"/>
      <c r="BP266" s="37"/>
      <c r="BR266"/>
      <c r="CV266" s="35"/>
    </row>
    <row r="267" spans="56:100" x14ac:dyDescent="0.3">
      <c r="BD267"/>
      <c r="BH267"/>
      <c r="BI267" s="35"/>
      <c r="BJ267"/>
      <c r="BO267"/>
      <c r="BP267" s="37"/>
      <c r="BR267"/>
      <c r="CV267" s="35"/>
    </row>
    <row r="268" spans="56:100" x14ac:dyDescent="0.3">
      <c r="BD268"/>
      <c r="BH268"/>
      <c r="BI268" s="35"/>
      <c r="BJ268"/>
      <c r="BO268"/>
      <c r="BP268" s="37"/>
      <c r="BR268"/>
      <c r="CV268" s="35"/>
    </row>
    <row r="269" spans="56:100" x14ac:dyDescent="0.3">
      <c r="BD269"/>
      <c r="BH269"/>
      <c r="BI269" s="35"/>
      <c r="BJ269"/>
      <c r="BO269"/>
      <c r="BP269" s="37"/>
      <c r="BR269"/>
      <c r="CV269" s="35"/>
    </row>
    <row r="270" spans="56:100" x14ac:dyDescent="0.3">
      <c r="BD270"/>
      <c r="BH270"/>
      <c r="BI270" s="35"/>
      <c r="BJ270"/>
      <c r="BO270"/>
      <c r="BP270" s="37"/>
      <c r="BR270"/>
      <c r="CV270" s="35"/>
    </row>
    <row r="271" spans="56:100" x14ac:dyDescent="0.3">
      <c r="BD271"/>
      <c r="BH271"/>
      <c r="BI271" s="35"/>
      <c r="BJ271"/>
      <c r="BO271"/>
      <c r="BP271" s="37"/>
      <c r="BR271"/>
      <c r="CV271" s="35"/>
    </row>
    <row r="272" spans="56:100" x14ac:dyDescent="0.3">
      <c r="BD272"/>
      <c r="BH272"/>
      <c r="BI272" s="35"/>
      <c r="BJ272"/>
      <c r="BO272"/>
      <c r="BP272" s="37"/>
      <c r="BR272"/>
      <c r="CV272" s="35"/>
    </row>
    <row r="273" spans="56:100" x14ac:dyDescent="0.3">
      <c r="BD273"/>
      <c r="BH273"/>
      <c r="BI273" s="35"/>
      <c r="BJ273"/>
      <c r="BO273"/>
      <c r="BP273" s="37"/>
      <c r="BR273"/>
      <c r="CV273" s="35"/>
    </row>
    <row r="274" spans="56:100" x14ac:dyDescent="0.3">
      <c r="BD274"/>
      <c r="BH274"/>
      <c r="BI274" s="35"/>
      <c r="BJ274"/>
      <c r="BO274"/>
      <c r="BP274" s="37"/>
      <c r="BR274"/>
      <c r="CV274" s="35"/>
    </row>
    <row r="275" spans="56:100" x14ac:dyDescent="0.3">
      <c r="BD275"/>
      <c r="BH275"/>
      <c r="BI275" s="35"/>
      <c r="BJ275"/>
      <c r="BO275"/>
      <c r="BP275" s="37"/>
      <c r="BR275"/>
      <c r="CV275" s="35"/>
    </row>
    <row r="276" spans="56:100" x14ac:dyDescent="0.3">
      <c r="BD276"/>
      <c r="BH276"/>
      <c r="BI276" s="35"/>
      <c r="BJ276"/>
      <c r="BO276"/>
      <c r="BP276" s="37"/>
      <c r="BR276"/>
      <c r="CV276" s="35"/>
    </row>
    <row r="277" spans="56:100" x14ac:dyDescent="0.3">
      <c r="BD277"/>
      <c r="BH277"/>
      <c r="BI277" s="35"/>
      <c r="BJ277"/>
      <c r="BO277"/>
      <c r="BP277" s="37"/>
      <c r="BR277"/>
      <c r="CV277" s="35"/>
    </row>
    <row r="278" spans="56:100" x14ac:dyDescent="0.3">
      <c r="BD278"/>
      <c r="BH278"/>
      <c r="BI278" s="35"/>
      <c r="BJ278"/>
      <c r="BO278"/>
      <c r="BP278" s="37"/>
      <c r="BR278"/>
      <c r="CV278" s="35"/>
    </row>
    <row r="279" spans="56:100" x14ac:dyDescent="0.3">
      <c r="BD279"/>
      <c r="BH279"/>
      <c r="BI279" s="35"/>
      <c r="BJ279"/>
      <c r="BO279"/>
      <c r="BP279" s="37"/>
      <c r="BR279"/>
      <c r="CV279" s="35"/>
    </row>
    <row r="280" spans="56:100" x14ac:dyDescent="0.3">
      <c r="BD280"/>
      <c r="BH280"/>
      <c r="BI280" s="35"/>
      <c r="BJ280"/>
      <c r="BO280"/>
      <c r="BP280" s="37"/>
      <c r="BR280"/>
      <c r="CV280" s="35"/>
    </row>
    <row r="281" spans="56:100" x14ac:dyDescent="0.3">
      <c r="BD281"/>
      <c r="BH281"/>
      <c r="BI281" s="35"/>
      <c r="BJ281"/>
      <c r="BO281"/>
      <c r="BP281" s="37"/>
      <c r="BR281"/>
      <c r="CV281" s="35"/>
    </row>
    <row r="282" spans="56:100" x14ac:dyDescent="0.3">
      <c r="BD282"/>
      <c r="BH282"/>
      <c r="BI282" s="35"/>
      <c r="BJ282"/>
      <c r="BO282"/>
      <c r="BP282" s="37"/>
      <c r="BR282"/>
      <c r="CV282" s="35"/>
    </row>
    <row r="283" spans="56:100" x14ac:dyDescent="0.3">
      <c r="BD283"/>
      <c r="BH283"/>
      <c r="BI283" s="35"/>
      <c r="BJ283"/>
      <c r="BO283"/>
      <c r="BP283" s="37"/>
      <c r="BR283"/>
      <c r="CV283" s="35"/>
    </row>
    <row r="284" spans="56:100" x14ac:dyDescent="0.3">
      <c r="BD284"/>
      <c r="BH284"/>
      <c r="BI284" s="35"/>
      <c r="BJ284"/>
      <c r="BO284"/>
      <c r="BP284" s="37"/>
      <c r="BR284"/>
      <c r="CV284" s="35"/>
    </row>
    <row r="285" spans="56:100" x14ac:dyDescent="0.3">
      <c r="BD285"/>
      <c r="BH285"/>
      <c r="BI285" s="35"/>
      <c r="BJ285"/>
      <c r="BO285"/>
      <c r="BP285" s="37"/>
      <c r="BR285"/>
      <c r="CV285" s="35"/>
    </row>
    <row r="286" spans="56:100" x14ac:dyDescent="0.3">
      <c r="BD286"/>
      <c r="BH286"/>
      <c r="BI286" s="35"/>
      <c r="BJ286"/>
      <c r="BO286"/>
      <c r="BP286" s="37"/>
      <c r="BR286"/>
      <c r="CV286" s="35"/>
    </row>
    <row r="287" spans="56:100" x14ac:dyDescent="0.3">
      <c r="BD287"/>
      <c r="BH287"/>
      <c r="BI287" s="35"/>
      <c r="BJ287"/>
      <c r="BO287"/>
      <c r="BP287" s="37"/>
      <c r="BR287"/>
      <c r="CV287" s="35"/>
    </row>
    <row r="288" spans="56:100" x14ac:dyDescent="0.3">
      <c r="BD288"/>
      <c r="BH288"/>
      <c r="BI288" s="35"/>
      <c r="BJ288"/>
      <c r="BO288"/>
      <c r="BP288" s="37"/>
      <c r="BR288"/>
      <c r="CV288" s="35"/>
    </row>
    <row r="289" spans="56:100" x14ac:dyDescent="0.3">
      <c r="BD289"/>
      <c r="BH289"/>
      <c r="BI289" s="35"/>
      <c r="BJ289"/>
      <c r="BO289"/>
      <c r="BP289" s="37"/>
      <c r="BR289"/>
      <c r="CV289" s="35"/>
    </row>
    <row r="290" spans="56:100" x14ac:dyDescent="0.3">
      <c r="BD290"/>
      <c r="BH290"/>
      <c r="BI290" s="35"/>
      <c r="BJ290"/>
      <c r="BO290"/>
      <c r="BP290" s="37"/>
      <c r="BR290"/>
      <c r="CV290" s="35"/>
    </row>
    <row r="291" spans="56:100" x14ac:dyDescent="0.3">
      <c r="BD291"/>
      <c r="BH291"/>
      <c r="BI291" s="35"/>
      <c r="BJ291"/>
      <c r="BO291"/>
      <c r="BP291" s="37"/>
      <c r="BR291"/>
      <c r="CV291" s="35"/>
    </row>
    <row r="292" spans="56:100" x14ac:dyDescent="0.3">
      <c r="BD292"/>
      <c r="BH292"/>
      <c r="BI292" s="35"/>
      <c r="BJ292"/>
      <c r="BO292"/>
      <c r="BP292" s="37"/>
      <c r="BR292"/>
      <c r="CV292" s="35"/>
    </row>
    <row r="293" spans="56:100" x14ac:dyDescent="0.3">
      <c r="BD293"/>
      <c r="BH293"/>
      <c r="BI293" s="35"/>
      <c r="BJ293"/>
      <c r="BO293"/>
      <c r="BP293" s="37"/>
      <c r="BR293"/>
      <c r="CV293" s="35"/>
    </row>
    <row r="294" spans="56:100" x14ac:dyDescent="0.3">
      <c r="BD294"/>
      <c r="BH294"/>
      <c r="BI294" s="35"/>
      <c r="BJ294"/>
      <c r="BO294"/>
      <c r="BP294" s="37"/>
      <c r="BR294"/>
      <c r="CV294" s="35"/>
    </row>
    <row r="295" spans="56:100" x14ac:dyDescent="0.3">
      <c r="BD295"/>
      <c r="BH295"/>
      <c r="BI295" s="35"/>
      <c r="BJ295"/>
      <c r="BO295"/>
      <c r="BP295" s="37"/>
      <c r="BR295"/>
      <c r="CV295" s="35"/>
    </row>
    <row r="296" spans="56:100" x14ac:dyDescent="0.3">
      <c r="BD296"/>
      <c r="BH296"/>
      <c r="BI296" s="35"/>
      <c r="BJ296"/>
      <c r="BO296"/>
      <c r="BP296" s="37"/>
      <c r="BR296"/>
      <c r="CV296" s="35"/>
    </row>
    <row r="297" spans="56:100" x14ac:dyDescent="0.3">
      <c r="BD297"/>
      <c r="BH297"/>
      <c r="BI297" s="35"/>
      <c r="BJ297"/>
      <c r="BO297"/>
      <c r="BP297" s="37"/>
      <c r="BR297"/>
      <c r="CV297" s="35"/>
    </row>
    <row r="298" spans="56:100" x14ac:dyDescent="0.3">
      <c r="BD298"/>
      <c r="BH298"/>
      <c r="BI298" s="35"/>
      <c r="BJ298"/>
      <c r="BO298"/>
      <c r="BP298" s="37"/>
      <c r="BR298"/>
      <c r="CV298" s="35"/>
    </row>
    <row r="299" spans="56:100" x14ac:dyDescent="0.3">
      <c r="BD299"/>
      <c r="BH299"/>
      <c r="BI299" s="35"/>
      <c r="BJ299"/>
      <c r="BO299"/>
      <c r="BP299" s="37"/>
      <c r="BR299"/>
      <c r="CV299" s="35"/>
    </row>
    <row r="300" spans="56:100" x14ac:dyDescent="0.3">
      <c r="BD300"/>
      <c r="BH300"/>
      <c r="BI300" s="35"/>
      <c r="BJ300"/>
      <c r="BO300"/>
      <c r="BP300" s="37"/>
      <c r="BR300"/>
      <c r="CV300" s="35"/>
    </row>
    <row r="301" spans="56:100" x14ac:dyDescent="0.3">
      <c r="CV301" s="35"/>
    </row>
    <row r="302" spans="56:100" x14ac:dyDescent="0.3">
      <c r="CV302" s="35"/>
    </row>
    <row r="303" spans="56:100" x14ac:dyDescent="0.3">
      <c r="CV303" s="35"/>
    </row>
    <row r="304" spans="56:100" x14ac:dyDescent="0.3">
      <c r="CV304" s="35"/>
    </row>
    <row r="305" spans="100:100" x14ac:dyDescent="0.3">
      <c r="CV305" s="35"/>
    </row>
    <row r="306" spans="100:100" x14ac:dyDescent="0.3">
      <c r="CV306" s="35"/>
    </row>
    <row r="307" spans="100:100" x14ac:dyDescent="0.3">
      <c r="CV307" s="35"/>
    </row>
    <row r="308" spans="100:100" x14ac:dyDescent="0.3">
      <c r="CV308" s="35"/>
    </row>
    <row r="309" spans="100:100" x14ac:dyDescent="0.3">
      <c r="CV309" s="35"/>
    </row>
    <row r="310" spans="100:100" x14ac:dyDescent="0.3">
      <c r="CV310" s="35"/>
    </row>
    <row r="311" spans="100:100" x14ac:dyDescent="0.3">
      <c r="CV311" s="35"/>
    </row>
    <row r="312" spans="100:100" x14ac:dyDescent="0.3">
      <c r="CV312" s="35"/>
    </row>
    <row r="313" spans="100:100" x14ac:dyDescent="0.3">
      <c r="CV313" s="35"/>
    </row>
    <row r="314" spans="100:100" x14ac:dyDescent="0.3">
      <c r="CV314" s="35"/>
    </row>
    <row r="315" spans="100:100" x14ac:dyDescent="0.3">
      <c r="CV315" s="35"/>
    </row>
    <row r="316" spans="100:100" x14ac:dyDescent="0.3">
      <c r="CV316" s="35"/>
    </row>
    <row r="317" spans="100:100" x14ac:dyDescent="0.3">
      <c r="CV317" s="35"/>
    </row>
    <row r="318" spans="100:100" x14ac:dyDescent="0.3">
      <c r="CV318" s="35"/>
    </row>
    <row r="319" spans="100:100" x14ac:dyDescent="0.3">
      <c r="CV319" s="35"/>
    </row>
    <row r="320" spans="100:100" x14ac:dyDescent="0.3">
      <c r="CV320" s="35"/>
    </row>
    <row r="321" spans="100:100" x14ac:dyDescent="0.3">
      <c r="CV321" s="35"/>
    </row>
    <row r="322" spans="100:100" x14ac:dyDescent="0.3">
      <c r="CV322" s="35"/>
    </row>
    <row r="323" spans="100:100" x14ac:dyDescent="0.3">
      <c r="CV323" s="35"/>
    </row>
    <row r="324" spans="100:100" x14ac:dyDescent="0.3">
      <c r="CV324" s="35"/>
    </row>
    <row r="325" spans="100:100" x14ac:dyDescent="0.3">
      <c r="CV325" s="35"/>
    </row>
    <row r="326" spans="100:100" x14ac:dyDescent="0.3">
      <c r="CV326" s="35"/>
    </row>
    <row r="327" spans="100:100" x14ac:dyDescent="0.3">
      <c r="CV327" s="35"/>
    </row>
    <row r="328" spans="100:100" x14ac:dyDescent="0.3">
      <c r="CV328" s="35"/>
    </row>
    <row r="329" spans="100:100" x14ac:dyDescent="0.3">
      <c r="CV329" s="35"/>
    </row>
    <row r="330" spans="100:100" x14ac:dyDescent="0.3">
      <c r="CV330" s="35"/>
    </row>
    <row r="331" spans="100:100" x14ac:dyDescent="0.3">
      <c r="CV331" s="35"/>
    </row>
    <row r="332" spans="100:100" x14ac:dyDescent="0.3">
      <c r="CV332" s="35"/>
    </row>
    <row r="333" spans="100:100" x14ac:dyDescent="0.3">
      <c r="CV333" s="35"/>
    </row>
    <row r="334" spans="100:100" x14ac:dyDescent="0.3">
      <c r="CV334" s="35"/>
    </row>
    <row r="335" spans="100:100" x14ac:dyDescent="0.3">
      <c r="CV335" s="35"/>
    </row>
    <row r="336" spans="100:100" x14ac:dyDescent="0.3">
      <c r="CV336" s="35"/>
    </row>
    <row r="337" spans="100:100" x14ac:dyDescent="0.3">
      <c r="CV337" s="35"/>
    </row>
    <row r="338" spans="100:100" x14ac:dyDescent="0.3">
      <c r="CV338" s="35"/>
    </row>
    <row r="339" spans="100:100" x14ac:dyDescent="0.3">
      <c r="CV339" s="35"/>
    </row>
    <row r="340" spans="100:100" x14ac:dyDescent="0.3">
      <c r="CV340" s="35"/>
    </row>
    <row r="341" spans="100:100" x14ac:dyDescent="0.3">
      <c r="CV341" s="35"/>
    </row>
    <row r="342" spans="100:100" x14ac:dyDescent="0.3">
      <c r="CV342" s="35"/>
    </row>
    <row r="343" spans="100:100" x14ac:dyDescent="0.3">
      <c r="CV343" s="35"/>
    </row>
    <row r="344" spans="100:100" x14ac:dyDescent="0.3">
      <c r="CV344" s="35"/>
    </row>
    <row r="345" spans="100:100" x14ac:dyDescent="0.3">
      <c r="CV345" s="35"/>
    </row>
    <row r="346" spans="100:100" x14ac:dyDescent="0.3">
      <c r="CV346" s="35"/>
    </row>
    <row r="347" spans="100:100" x14ac:dyDescent="0.3">
      <c r="CV347" s="35"/>
    </row>
    <row r="348" spans="100:100" x14ac:dyDescent="0.3">
      <c r="CV348" s="35"/>
    </row>
    <row r="349" spans="100:100" x14ac:dyDescent="0.3">
      <c r="CV349" s="35"/>
    </row>
    <row r="350" spans="100:100" x14ac:dyDescent="0.3">
      <c r="CV350" s="35"/>
    </row>
    <row r="351" spans="100:100" x14ac:dyDescent="0.3">
      <c r="CV351" s="35"/>
    </row>
    <row r="352" spans="100:100" x14ac:dyDescent="0.3">
      <c r="CV352" s="35"/>
    </row>
    <row r="353" spans="100:100" x14ac:dyDescent="0.3">
      <c r="CV353" s="35"/>
    </row>
    <row r="354" spans="100:100" x14ac:dyDescent="0.3">
      <c r="CV354" s="35"/>
    </row>
    <row r="355" spans="100:100" x14ac:dyDescent="0.3">
      <c r="CV355" s="35"/>
    </row>
    <row r="356" spans="100:100" x14ac:dyDescent="0.3">
      <c r="CV356" s="35"/>
    </row>
    <row r="357" spans="100:100" x14ac:dyDescent="0.3">
      <c r="CV357" s="35"/>
    </row>
    <row r="358" spans="100:100" x14ac:dyDescent="0.3">
      <c r="CV358" s="35"/>
    </row>
    <row r="359" spans="100:100" x14ac:dyDescent="0.3">
      <c r="CV359" s="35"/>
    </row>
    <row r="360" spans="100:100" x14ac:dyDescent="0.3">
      <c r="CV360" s="35"/>
    </row>
    <row r="361" spans="100:100" x14ac:dyDescent="0.3">
      <c r="CV361" s="35"/>
    </row>
    <row r="362" spans="100:100" x14ac:dyDescent="0.3">
      <c r="CV362" s="35"/>
    </row>
    <row r="363" spans="100:100" x14ac:dyDescent="0.3">
      <c r="CV363" s="35"/>
    </row>
    <row r="364" spans="100:100" x14ac:dyDescent="0.3">
      <c r="CV364" s="35"/>
    </row>
    <row r="365" spans="100:100" x14ac:dyDescent="0.3">
      <c r="CV365" s="35"/>
    </row>
    <row r="366" spans="100:100" x14ac:dyDescent="0.3">
      <c r="CV366" s="35"/>
    </row>
    <row r="367" spans="100:100" x14ac:dyDescent="0.3">
      <c r="CV367" s="35"/>
    </row>
    <row r="368" spans="100:100" x14ac:dyDescent="0.3">
      <c r="CV368" s="35"/>
    </row>
    <row r="369" spans="100:100" x14ac:dyDescent="0.3">
      <c r="CV369" s="35"/>
    </row>
    <row r="370" spans="100:100" x14ac:dyDescent="0.3">
      <c r="CV370" s="35"/>
    </row>
    <row r="371" spans="100:100" x14ac:dyDescent="0.3">
      <c r="CV371" s="35"/>
    </row>
    <row r="372" spans="100:100" x14ac:dyDescent="0.3">
      <c r="CV372" s="35"/>
    </row>
    <row r="373" spans="100:100" x14ac:dyDescent="0.3">
      <c r="CV373" s="35"/>
    </row>
    <row r="374" spans="100:100" x14ac:dyDescent="0.3">
      <c r="CV374" s="35"/>
    </row>
    <row r="375" spans="100:100" x14ac:dyDescent="0.3">
      <c r="CV375" s="35"/>
    </row>
    <row r="376" spans="100:100" x14ac:dyDescent="0.3">
      <c r="CV376" s="35"/>
    </row>
    <row r="377" spans="100:100" x14ac:dyDescent="0.3">
      <c r="CV377" s="35"/>
    </row>
    <row r="378" spans="100:100" x14ac:dyDescent="0.3">
      <c r="CV378" s="35"/>
    </row>
    <row r="379" spans="100:100" x14ac:dyDescent="0.3">
      <c r="CV379" s="35"/>
    </row>
    <row r="380" spans="100:100" x14ac:dyDescent="0.3">
      <c r="CV380" s="35"/>
    </row>
    <row r="381" spans="100:100" x14ac:dyDescent="0.3">
      <c r="CV381" s="35"/>
    </row>
    <row r="382" spans="100:100" x14ac:dyDescent="0.3">
      <c r="CV382" s="35"/>
    </row>
    <row r="383" spans="100:100" x14ac:dyDescent="0.3">
      <c r="CV383" s="35"/>
    </row>
    <row r="384" spans="100:100" x14ac:dyDescent="0.3">
      <c r="CV384" s="35"/>
    </row>
    <row r="385" spans="100:100" x14ac:dyDescent="0.3">
      <c r="CV385" s="35"/>
    </row>
    <row r="386" spans="100:100" x14ac:dyDescent="0.3">
      <c r="CV386" s="35"/>
    </row>
    <row r="387" spans="100:100" x14ac:dyDescent="0.3">
      <c r="CV387" s="35"/>
    </row>
    <row r="388" spans="100:100" x14ac:dyDescent="0.3">
      <c r="CV388" s="35"/>
    </row>
    <row r="389" spans="100:100" x14ac:dyDescent="0.3">
      <c r="CV389" s="35"/>
    </row>
    <row r="390" spans="100:100" x14ac:dyDescent="0.3">
      <c r="CV390" s="35"/>
    </row>
    <row r="391" spans="100:100" x14ac:dyDescent="0.3">
      <c r="CV391" s="35"/>
    </row>
    <row r="392" spans="100:100" x14ac:dyDescent="0.3">
      <c r="CV392" s="35"/>
    </row>
    <row r="393" spans="100:100" x14ac:dyDescent="0.3">
      <c r="CV393" s="35"/>
    </row>
    <row r="394" spans="100:100" x14ac:dyDescent="0.3">
      <c r="CV394" s="35"/>
    </row>
    <row r="395" spans="100:100" x14ac:dyDescent="0.3">
      <c r="CV395" s="35"/>
    </row>
    <row r="396" spans="100:100" x14ac:dyDescent="0.3">
      <c r="CV396" s="35"/>
    </row>
    <row r="397" spans="100:100" x14ac:dyDescent="0.3">
      <c r="CV397" s="35"/>
    </row>
    <row r="398" spans="100:100" x14ac:dyDescent="0.3">
      <c r="CV398" s="35"/>
    </row>
    <row r="399" spans="100:100" x14ac:dyDescent="0.3">
      <c r="CV399" s="35"/>
    </row>
    <row r="400" spans="100:100" x14ac:dyDescent="0.3">
      <c r="CV400" s="35"/>
    </row>
    <row r="401" spans="100:100" x14ac:dyDescent="0.3">
      <c r="CV401" s="35"/>
    </row>
    <row r="402" spans="100:100" x14ac:dyDescent="0.3">
      <c r="CV402" s="35"/>
    </row>
    <row r="403" spans="100:100" x14ac:dyDescent="0.3">
      <c r="CV403" s="35"/>
    </row>
    <row r="404" spans="100:100" x14ac:dyDescent="0.3">
      <c r="CV404" s="35"/>
    </row>
    <row r="405" spans="100:100" x14ac:dyDescent="0.3">
      <c r="CV405" s="35"/>
    </row>
    <row r="406" spans="100:100" x14ac:dyDescent="0.3">
      <c r="CV406" s="35"/>
    </row>
    <row r="407" spans="100:100" x14ac:dyDescent="0.3">
      <c r="CV407" s="35"/>
    </row>
    <row r="408" spans="100:100" x14ac:dyDescent="0.3">
      <c r="CV408" s="35"/>
    </row>
    <row r="409" spans="100:100" x14ac:dyDescent="0.3">
      <c r="CV409" s="35"/>
    </row>
    <row r="410" spans="100:100" x14ac:dyDescent="0.3">
      <c r="CV410" s="35"/>
    </row>
    <row r="411" spans="100:100" x14ac:dyDescent="0.3">
      <c r="CV411" s="35"/>
    </row>
    <row r="412" spans="100:100" x14ac:dyDescent="0.3">
      <c r="CV412" s="35"/>
    </row>
    <row r="413" spans="100:100" x14ac:dyDescent="0.3">
      <c r="CV413" s="35"/>
    </row>
    <row r="414" spans="100:100" x14ac:dyDescent="0.3">
      <c r="CV414" s="35"/>
    </row>
    <row r="415" spans="100:100" x14ac:dyDescent="0.3">
      <c r="CV415" s="35"/>
    </row>
    <row r="416" spans="100:100" x14ac:dyDescent="0.3">
      <c r="CV416" s="35"/>
    </row>
    <row r="417" spans="100:100" x14ac:dyDescent="0.3">
      <c r="CV417" s="35"/>
    </row>
    <row r="418" spans="100:100" x14ac:dyDescent="0.3">
      <c r="CV418" s="35"/>
    </row>
    <row r="419" spans="100:100" x14ac:dyDescent="0.3">
      <c r="CV419" s="35"/>
    </row>
    <row r="420" spans="100:100" x14ac:dyDescent="0.3">
      <c r="CV420" s="35"/>
    </row>
    <row r="421" spans="100:100" x14ac:dyDescent="0.3">
      <c r="CV421" s="35"/>
    </row>
    <row r="422" spans="100:100" x14ac:dyDescent="0.3">
      <c r="CV422" s="35"/>
    </row>
    <row r="423" spans="100:100" x14ac:dyDescent="0.3">
      <c r="CV423" s="35"/>
    </row>
    <row r="424" spans="100:100" x14ac:dyDescent="0.3">
      <c r="CV424" s="35"/>
    </row>
    <row r="425" spans="100:100" x14ac:dyDescent="0.3">
      <c r="CV425" s="35"/>
    </row>
    <row r="426" spans="100:100" x14ac:dyDescent="0.3">
      <c r="CV426" s="35"/>
    </row>
    <row r="427" spans="100:100" x14ac:dyDescent="0.3">
      <c r="CV427" s="35"/>
    </row>
    <row r="428" spans="100:100" x14ac:dyDescent="0.3">
      <c r="CV428" s="35"/>
    </row>
    <row r="429" spans="100:100" x14ac:dyDescent="0.3">
      <c r="CV429" s="35"/>
    </row>
    <row r="430" spans="100:100" x14ac:dyDescent="0.3">
      <c r="CV430" s="35"/>
    </row>
    <row r="431" spans="100:100" x14ac:dyDescent="0.3">
      <c r="CV431" s="35"/>
    </row>
    <row r="432" spans="100:100" x14ac:dyDescent="0.3">
      <c r="CV432" s="35"/>
    </row>
    <row r="433" spans="100:100" x14ac:dyDescent="0.3">
      <c r="CV433" s="35"/>
    </row>
    <row r="434" spans="100:100" x14ac:dyDescent="0.3">
      <c r="CV434" s="35"/>
    </row>
    <row r="435" spans="100:100" x14ac:dyDescent="0.3">
      <c r="CV435" s="35"/>
    </row>
    <row r="436" spans="100:100" x14ac:dyDescent="0.3">
      <c r="CV436" s="35"/>
    </row>
    <row r="437" spans="100:100" x14ac:dyDescent="0.3">
      <c r="CV437" s="35"/>
    </row>
    <row r="438" spans="100:100" x14ac:dyDescent="0.3">
      <c r="CV438" s="35"/>
    </row>
    <row r="439" spans="100:100" x14ac:dyDescent="0.3">
      <c r="CV439" s="35"/>
    </row>
    <row r="440" spans="100:100" x14ac:dyDescent="0.3">
      <c r="CV440" s="35"/>
    </row>
    <row r="441" spans="100:100" x14ac:dyDescent="0.3">
      <c r="CV441" s="35"/>
    </row>
    <row r="442" spans="100:100" x14ac:dyDescent="0.3">
      <c r="CV442" s="35"/>
    </row>
    <row r="443" spans="100:100" x14ac:dyDescent="0.3">
      <c r="CV443" s="35"/>
    </row>
    <row r="444" spans="100:100" x14ac:dyDescent="0.3">
      <c r="CV444" s="35"/>
    </row>
    <row r="445" spans="100:100" x14ac:dyDescent="0.3">
      <c r="CV445" s="35"/>
    </row>
    <row r="446" spans="100:100" x14ac:dyDescent="0.3">
      <c r="CV446" s="35"/>
    </row>
    <row r="447" spans="100:100" x14ac:dyDescent="0.3">
      <c r="CV447" s="35"/>
    </row>
    <row r="448" spans="100:100" x14ac:dyDescent="0.3">
      <c r="CV448" s="35"/>
    </row>
    <row r="449" spans="100:100" x14ac:dyDescent="0.3">
      <c r="CV449" s="35"/>
    </row>
    <row r="450" spans="100:100" x14ac:dyDescent="0.3">
      <c r="CV450" s="35"/>
    </row>
    <row r="451" spans="100:100" x14ac:dyDescent="0.3">
      <c r="CV451" s="35"/>
    </row>
    <row r="452" spans="100:100" x14ac:dyDescent="0.3">
      <c r="CV452" s="35"/>
    </row>
    <row r="453" spans="100:100" x14ac:dyDescent="0.3">
      <c r="CV453" s="35"/>
    </row>
    <row r="454" spans="100:100" x14ac:dyDescent="0.3">
      <c r="CV454" s="35"/>
    </row>
    <row r="455" spans="100:100" x14ac:dyDescent="0.3">
      <c r="CV455" s="35"/>
    </row>
    <row r="456" spans="100:100" x14ac:dyDescent="0.3">
      <c r="CV456" s="35"/>
    </row>
    <row r="457" spans="100:100" x14ac:dyDescent="0.3">
      <c r="CV457" s="35"/>
    </row>
    <row r="458" spans="100:100" x14ac:dyDescent="0.3">
      <c r="CV458" s="35"/>
    </row>
    <row r="459" spans="100:100" x14ac:dyDescent="0.3">
      <c r="CV459" s="35"/>
    </row>
    <row r="460" spans="100:100" x14ac:dyDescent="0.3">
      <c r="CV460" s="35"/>
    </row>
    <row r="461" spans="100:100" x14ac:dyDescent="0.3">
      <c r="CV461" s="35"/>
    </row>
    <row r="462" spans="100:100" x14ac:dyDescent="0.3">
      <c r="CV462" s="35"/>
    </row>
    <row r="463" spans="100:100" x14ac:dyDescent="0.3">
      <c r="CV463" s="35"/>
    </row>
    <row r="464" spans="100:100" x14ac:dyDescent="0.3">
      <c r="CV464" s="35"/>
    </row>
    <row r="465" spans="100:100" x14ac:dyDescent="0.3">
      <c r="CV465" s="35"/>
    </row>
    <row r="466" spans="100:100" x14ac:dyDescent="0.3">
      <c r="CV466" s="35"/>
    </row>
    <row r="467" spans="100:100" x14ac:dyDescent="0.3">
      <c r="CV467" s="35"/>
    </row>
    <row r="468" spans="100:100" x14ac:dyDescent="0.3">
      <c r="CV468" s="35"/>
    </row>
    <row r="469" spans="100:100" x14ac:dyDescent="0.3">
      <c r="CV469" s="35"/>
    </row>
    <row r="470" spans="100:100" x14ac:dyDescent="0.3">
      <c r="CV470" s="35"/>
    </row>
    <row r="471" spans="100:100" x14ac:dyDescent="0.3">
      <c r="CV471" s="35"/>
    </row>
    <row r="472" spans="100:100" x14ac:dyDescent="0.3">
      <c r="CV472" s="35"/>
    </row>
    <row r="473" spans="100:100" x14ac:dyDescent="0.3">
      <c r="CV473" s="35"/>
    </row>
    <row r="474" spans="100:100" x14ac:dyDescent="0.3">
      <c r="CV474" s="35"/>
    </row>
    <row r="475" spans="100:100" x14ac:dyDescent="0.3">
      <c r="CV475" s="35"/>
    </row>
    <row r="476" spans="100:100" x14ac:dyDescent="0.3">
      <c r="CV476" s="35"/>
    </row>
    <row r="477" spans="100:100" x14ac:dyDescent="0.3">
      <c r="CV477" s="35"/>
    </row>
    <row r="478" spans="100:100" x14ac:dyDescent="0.3">
      <c r="CV478" s="35"/>
    </row>
    <row r="479" spans="100:100" x14ac:dyDescent="0.3">
      <c r="CV479" s="35"/>
    </row>
    <row r="480" spans="100:100" x14ac:dyDescent="0.3">
      <c r="CV480" s="35"/>
    </row>
    <row r="481" spans="100:100" x14ac:dyDescent="0.3">
      <c r="CV481" s="35"/>
    </row>
    <row r="482" spans="100:100" x14ac:dyDescent="0.3">
      <c r="CV482" s="35"/>
    </row>
    <row r="483" spans="100:100" x14ac:dyDescent="0.3">
      <c r="CV483" s="35"/>
    </row>
    <row r="484" spans="100:100" x14ac:dyDescent="0.3">
      <c r="CV484" s="35"/>
    </row>
    <row r="485" spans="100:100" x14ac:dyDescent="0.3">
      <c r="CV485" s="35"/>
    </row>
    <row r="486" spans="100:100" x14ac:dyDescent="0.3">
      <c r="CV486" s="35"/>
    </row>
    <row r="487" spans="100:100" x14ac:dyDescent="0.3">
      <c r="CV487" s="35"/>
    </row>
    <row r="488" spans="100:100" x14ac:dyDescent="0.3">
      <c r="CV488" s="35"/>
    </row>
    <row r="489" spans="100:100" x14ac:dyDescent="0.3">
      <c r="CV489" s="35"/>
    </row>
    <row r="490" spans="100:100" x14ac:dyDescent="0.3">
      <c r="CV490" s="35"/>
    </row>
    <row r="491" spans="100:100" x14ac:dyDescent="0.3">
      <c r="CV491" s="35"/>
    </row>
    <row r="492" spans="100:100" x14ac:dyDescent="0.3">
      <c r="CV492" s="35"/>
    </row>
    <row r="493" spans="100:100" x14ac:dyDescent="0.3">
      <c r="CV493" s="35"/>
    </row>
    <row r="494" spans="100:100" x14ac:dyDescent="0.3">
      <c r="CV494" s="35"/>
    </row>
    <row r="495" spans="100:100" x14ac:dyDescent="0.3">
      <c r="CV495" s="35"/>
    </row>
    <row r="496" spans="100:100" x14ac:dyDescent="0.3">
      <c r="CV496" s="35"/>
    </row>
    <row r="497" spans="100:100" x14ac:dyDescent="0.3">
      <c r="CV497" s="35"/>
    </row>
    <row r="498" spans="100:100" x14ac:dyDescent="0.3">
      <c r="CV498" s="35"/>
    </row>
    <row r="499" spans="100:100" x14ac:dyDescent="0.3">
      <c r="CV499" s="35"/>
    </row>
    <row r="500" spans="100:100" x14ac:dyDescent="0.3">
      <c r="CV500" s="35"/>
    </row>
    <row r="501" spans="100:100" x14ac:dyDescent="0.3">
      <c r="CV501" s="35"/>
    </row>
    <row r="502" spans="100:100" x14ac:dyDescent="0.3">
      <c r="CV502" s="35"/>
    </row>
    <row r="503" spans="100:100" x14ac:dyDescent="0.3">
      <c r="CV503" s="35"/>
    </row>
    <row r="504" spans="100:100" x14ac:dyDescent="0.3">
      <c r="CV504" s="35"/>
    </row>
    <row r="505" spans="100:100" x14ac:dyDescent="0.3">
      <c r="CV505" s="35"/>
    </row>
    <row r="506" spans="100:100" x14ac:dyDescent="0.3">
      <c r="CV506" s="35"/>
    </row>
    <row r="507" spans="100:100" x14ac:dyDescent="0.3">
      <c r="CV507" s="35"/>
    </row>
    <row r="508" spans="100:100" x14ac:dyDescent="0.3">
      <c r="CV508" s="35"/>
    </row>
    <row r="509" spans="100:100" x14ac:dyDescent="0.3">
      <c r="CV509" s="35"/>
    </row>
    <row r="510" spans="100:100" x14ac:dyDescent="0.3">
      <c r="CV510" s="35"/>
    </row>
    <row r="511" spans="100:100" x14ac:dyDescent="0.3">
      <c r="CV511" s="35"/>
    </row>
    <row r="512" spans="100:100" x14ac:dyDescent="0.3">
      <c r="CV512" s="35"/>
    </row>
    <row r="513" spans="100:100" x14ac:dyDescent="0.3">
      <c r="CV513" s="35"/>
    </row>
    <row r="514" spans="100:100" x14ac:dyDescent="0.3">
      <c r="CV514" s="35"/>
    </row>
    <row r="515" spans="100:100" x14ac:dyDescent="0.3">
      <c r="CV515" s="35"/>
    </row>
    <row r="516" spans="100:100" x14ac:dyDescent="0.3">
      <c r="CV516" s="35"/>
    </row>
    <row r="517" spans="100:100" x14ac:dyDescent="0.3">
      <c r="CV517" s="35"/>
    </row>
    <row r="518" spans="100:100" x14ac:dyDescent="0.3">
      <c r="CV518" s="35"/>
    </row>
    <row r="519" spans="100:100" x14ac:dyDescent="0.3">
      <c r="CV519" s="35"/>
    </row>
    <row r="520" spans="100:100" x14ac:dyDescent="0.3">
      <c r="CV520" s="35"/>
    </row>
    <row r="521" spans="100:100" x14ac:dyDescent="0.3">
      <c r="CV521" s="35"/>
    </row>
    <row r="522" spans="100:100" x14ac:dyDescent="0.3">
      <c r="CV522" s="35"/>
    </row>
    <row r="523" spans="100:100" x14ac:dyDescent="0.3">
      <c r="CV523" s="35"/>
    </row>
    <row r="524" spans="100:100" x14ac:dyDescent="0.3">
      <c r="CV524" s="35"/>
    </row>
    <row r="525" spans="100:100" x14ac:dyDescent="0.3">
      <c r="CV525" s="35"/>
    </row>
    <row r="526" spans="100:100" x14ac:dyDescent="0.3">
      <c r="CV526" s="35"/>
    </row>
    <row r="527" spans="100:100" x14ac:dyDescent="0.3">
      <c r="CV527" s="38"/>
    </row>
    <row r="528" spans="100:100" x14ac:dyDescent="0.3">
      <c r="CV528" s="38"/>
    </row>
    <row r="529" spans="100:100" x14ac:dyDescent="0.3">
      <c r="CV529" s="38"/>
    </row>
    <row r="530" spans="100:100" x14ac:dyDescent="0.3">
      <c r="CV530" s="38"/>
    </row>
    <row r="531" spans="100:100" x14ac:dyDescent="0.3">
      <c r="CV531" s="38"/>
    </row>
    <row r="532" spans="100:100" x14ac:dyDescent="0.3">
      <c r="CV532" s="38"/>
    </row>
    <row r="533" spans="100:100" x14ac:dyDescent="0.3">
      <c r="CV533" s="38"/>
    </row>
    <row r="534" spans="100:100" x14ac:dyDescent="0.3">
      <c r="CV534" s="38"/>
    </row>
    <row r="535" spans="100:100" x14ac:dyDescent="0.3">
      <c r="CV535" s="38"/>
    </row>
    <row r="536" spans="100:100" x14ac:dyDescent="0.3">
      <c r="CV536" s="38"/>
    </row>
    <row r="537" spans="100:100" x14ac:dyDescent="0.3">
      <c r="CV537" s="38"/>
    </row>
    <row r="538" spans="100:100" x14ac:dyDescent="0.3">
      <c r="CV538" s="38"/>
    </row>
    <row r="539" spans="100:100" x14ac:dyDescent="0.3">
      <c r="CV539" s="38"/>
    </row>
    <row r="540" spans="100:100" x14ac:dyDescent="0.3">
      <c r="CV540" s="38"/>
    </row>
    <row r="541" spans="100:100" x14ac:dyDescent="0.3">
      <c r="CV541" s="38"/>
    </row>
    <row r="542" spans="100:100" x14ac:dyDescent="0.3">
      <c r="CV542" s="38"/>
    </row>
    <row r="543" spans="100:100" x14ac:dyDescent="0.3">
      <c r="CV543" s="38"/>
    </row>
    <row r="544" spans="100:100" x14ac:dyDescent="0.3">
      <c r="CV544" s="38"/>
    </row>
    <row r="545" spans="100:100" x14ac:dyDescent="0.3">
      <c r="CV545" s="38"/>
    </row>
    <row r="546" spans="100:100" x14ac:dyDescent="0.3">
      <c r="CV546" s="38"/>
    </row>
    <row r="547" spans="100:100" x14ac:dyDescent="0.3">
      <c r="CV547" s="38"/>
    </row>
    <row r="548" spans="100:100" x14ac:dyDescent="0.3">
      <c r="CV548" s="38"/>
    </row>
    <row r="549" spans="100:100" x14ac:dyDescent="0.3">
      <c r="CV549" s="38"/>
    </row>
    <row r="550" spans="100:100" x14ac:dyDescent="0.3">
      <c r="CV550" s="38"/>
    </row>
    <row r="551" spans="100:100" x14ac:dyDescent="0.3">
      <c r="CV551" s="38"/>
    </row>
    <row r="552" spans="100:100" x14ac:dyDescent="0.3">
      <c r="CV552" s="38"/>
    </row>
    <row r="553" spans="100:100" x14ac:dyDescent="0.3">
      <c r="CV553" s="38"/>
    </row>
    <row r="554" spans="100:100" x14ac:dyDescent="0.3">
      <c r="CV554" s="38"/>
    </row>
    <row r="555" spans="100:100" x14ac:dyDescent="0.3">
      <c r="CV555" s="38"/>
    </row>
    <row r="556" spans="100:100" x14ac:dyDescent="0.3">
      <c r="CV556" s="38"/>
    </row>
    <row r="557" spans="100:100" x14ac:dyDescent="0.3">
      <c r="CV557" s="38"/>
    </row>
    <row r="558" spans="100:100" x14ac:dyDescent="0.3">
      <c r="CV558" s="38"/>
    </row>
    <row r="559" spans="100:100" x14ac:dyDescent="0.3">
      <c r="CV559" s="38"/>
    </row>
    <row r="560" spans="100:100" x14ac:dyDescent="0.3">
      <c r="CV560" s="38"/>
    </row>
    <row r="561" spans="100:100" x14ac:dyDescent="0.3">
      <c r="CV561" s="38"/>
    </row>
    <row r="562" spans="100:100" x14ac:dyDescent="0.3">
      <c r="CV562" s="38"/>
    </row>
    <row r="563" spans="100:100" x14ac:dyDescent="0.3">
      <c r="CV563" s="38"/>
    </row>
    <row r="564" spans="100:100" x14ac:dyDescent="0.3">
      <c r="CV564" s="38"/>
    </row>
    <row r="565" spans="100:100" x14ac:dyDescent="0.3">
      <c r="CV565" s="38"/>
    </row>
    <row r="566" spans="100:100" x14ac:dyDescent="0.3">
      <c r="CV566" s="38"/>
    </row>
    <row r="567" spans="100:100" x14ac:dyDescent="0.3">
      <c r="CV567" s="38"/>
    </row>
    <row r="568" spans="100:100" x14ac:dyDescent="0.3">
      <c r="CV568" s="38"/>
    </row>
    <row r="569" spans="100:100" x14ac:dyDescent="0.3">
      <c r="CV569" s="38"/>
    </row>
    <row r="570" spans="100:100" x14ac:dyDescent="0.3">
      <c r="CV570" s="38"/>
    </row>
    <row r="571" spans="100:100" x14ac:dyDescent="0.3">
      <c r="CV571" s="38"/>
    </row>
    <row r="572" spans="100:100" x14ac:dyDescent="0.3">
      <c r="CV572" s="38"/>
    </row>
    <row r="573" spans="100:100" x14ac:dyDescent="0.3">
      <c r="CV573" s="38"/>
    </row>
    <row r="574" spans="100:100" x14ac:dyDescent="0.3">
      <c r="CV574" s="38"/>
    </row>
    <row r="575" spans="100:100" x14ac:dyDescent="0.3">
      <c r="CV575" s="38"/>
    </row>
    <row r="576" spans="100:100" x14ac:dyDescent="0.3">
      <c r="CV576" s="38"/>
    </row>
    <row r="577" spans="100:100" x14ac:dyDescent="0.3">
      <c r="CV577" s="38"/>
    </row>
    <row r="578" spans="100:100" x14ac:dyDescent="0.3">
      <c r="CV578" s="38"/>
    </row>
    <row r="579" spans="100:100" x14ac:dyDescent="0.3">
      <c r="CV579" s="38"/>
    </row>
    <row r="580" spans="100:100" x14ac:dyDescent="0.3">
      <c r="CV580" s="38"/>
    </row>
    <row r="581" spans="100:100" x14ac:dyDescent="0.3">
      <c r="CV581" s="38"/>
    </row>
    <row r="582" spans="100:100" x14ac:dyDescent="0.3">
      <c r="CV582" s="38"/>
    </row>
    <row r="583" spans="100:100" x14ac:dyDescent="0.3">
      <c r="CV583" s="38"/>
    </row>
    <row r="584" spans="100:100" x14ac:dyDescent="0.3">
      <c r="CV584" s="38"/>
    </row>
    <row r="585" spans="100:100" x14ac:dyDescent="0.3">
      <c r="CV585" s="38"/>
    </row>
    <row r="586" spans="100:100" x14ac:dyDescent="0.3">
      <c r="CV586" s="38"/>
    </row>
    <row r="587" spans="100:100" x14ac:dyDescent="0.3">
      <c r="CV587" s="38"/>
    </row>
    <row r="588" spans="100:100" x14ac:dyDescent="0.3">
      <c r="CV588" s="38"/>
    </row>
    <row r="589" spans="100:100" x14ac:dyDescent="0.3">
      <c r="CV589" s="38"/>
    </row>
    <row r="590" spans="100:100" x14ac:dyDescent="0.3">
      <c r="CV590" s="38"/>
    </row>
    <row r="591" spans="100:100" x14ac:dyDescent="0.3">
      <c r="CV591" s="38"/>
    </row>
    <row r="592" spans="100:100" x14ac:dyDescent="0.3">
      <c r="CV592" s="38"/>
    </row>
    <row r="593" spans="100:100" x14ac:dyDescent="0.3">
      <c r="CV593" s="38"/>
    </row>
    <row r="594" spans="100:100" x14ac:dyDescent="0.3">
      <c r="CV594" s="38"/>
    </row>
    <row r="595" spans="100:100" x14ac:dyDescent="0.3">
      <c r="CV595" s="38"/>
    </row>
    <row r="596" spans="100:100" x14ac:dyDescent="0.3">
      <c r="CV596" s="38"/>
    </row>
    <row r="597" spans="100:100" x14ac:dyDescent="0.3">
      <c r="CV597" s="38"/>
    </row>
    <row r="598" spans="100:100" x14ac:dyDescent="0.3">
      <c r="CV598" s="38"/>
    </row>
    <row r="599" spans="100:100" x14ac:dyDescent="0.3">
      <c r="CV599" s="38"/>
    </row>
    <row r="600" spans="100:100" x14ac:dyDescent="0.3">
      <c r="CV600" s="38"/>
    </row>
    <row r="601" spans="100:100" x14ac:dyDescent="0.3">
      <c r="CV601" s="38"/>
    </row>
    <row r="602" spans="100:100" x14ac:dyDescent="0.3">
      <c r="CV602" s="38"/>
    </row>
    <row r="603" spans="100:100" x14ac:dyDescent="0.3">
      <c r="CV603" s="38"/>
    </row>
    <row r="604" spans="100:100" x14ac:dyDescent="0.3">
      <c r="CV604" s="38"/>
    </row>
    <row r="605" spans="100:100" x14ac:dyDescent="0.3">
      <c r="CV605" s="38"/>
    </row>
    <row r="606" spans="100:100" x14ac:dyDescent="0.3">
      <c r="CV606" s="38"/>
    </row>
    <row r="607" spans="100:100" x14ac:dyDescent="0.3">
      <c r="CV607" s="38"/>
    </row>
    <row r="608" spans="100:100" x14ac:dyDescent="0.3">
      <c r="CV608" s="38"/>
    </row>
    <row r="609" spans="100:100" x14ac:dyDescent="0.3">
      <c r="CV609" s="38"/>
    </row>
    <row r="610" spans="100:100" x14ac:dyDescent="0.3">
      <c r="CV610" s="38"/>
    </row>
    <row r="611" spans="100:100" x14ac:dyDescent="0.3">
      <c r="CV611" s="38"/>
    </row>
    <row r="612" spans="100:100" x14ac:dyDescent="0.3">
      <c r="CV612" s="38"/>
    </row>
    <row r="613" spans="100:100" x14ac:dyDescent="0.3">
      <c r="CV613" s="38"/>
    </row>
    <row r="614" spans="100:100" x14ac:dyDescent="0.3">
      <c r="CV614" s="38"/>
    </row>
    <row r="615" spans="100:100" x14ac:dyDescent="0.3">
      <c r="CV615" s="38"/>
    </row>
    <row r="616" spans="100:100" x14ac:dyDescent="0.3">
      <c r="CV616" s="38"/>
    </row>
    <row r="617" spans="100:100" x14ac:dyDescent="0.3">
      <c r="CV617" s="38"/>
    </row>
    <row r="618" spans="100:100" x14ac:dyDescent="0.3">
      <c r="CV618" s="38"/>
    </row>
    <row r="619" spans="100:100" x14ac:dyDescent="0.3">
      <c r="CV619" s="38"/>
    </row>
    <row r="620" spans="100:100" x14ac:dyDescent="0.3">
      <c r="CV620" s="38"/>
    </row>
    <row r="621" spans="100:100" x14ac:dyDescent="0.3">
      <c r="CV621" s="38"/>
    </row>
    <row r="622" spans="100:100" x14ac:dyDescent="0.3">
      <c r="CV622" s="38"/>
    </row>
    <row r="623" spans="100:100" x14ac:dyDescent="0.3">
      <c r="CV623" s="38"/>
    </row>
    <row r="624" spans="100:100" x14ac:dyDescent="0.3">
      <c r="CV624" s="38"/>
    </row>
    <row r="625" spans="100:100" x14ac:dyDescent="0.3">
      <c r="CV625" s="38"/>
    </row>
    <row r="626" spans="100:100" x14ac:dyDescent="0.3">
      <c r="CV626" s="38"/>
    </row>
    <row r="627" spans="100:100" x14ac:dyDescent="0.3">
      <c r="CV627" s="38"/>
    </row>
    <row r="628" spans="100:100" x14ac:dyDescent="0.3">
      <c r="CV628" s="38"/>
    </row>
    <row r="629" spans="100:100" x14ac:dyDescent="0.3">
      <c r="CV629" s="38"/>
    </row>
    <row r="630" spans="100:100" x14ac:dyDescent="0.3">
      <c r="CV630" s="38"/>
    </row>
    <row r="631" spans="100:100" x14ac:dyDescent="0.3">
      <c r="CV631" s="38"/>
    </row>
    <row r="632" spans="100:100" x14ac:dyDescent="0.3">
      <c r="CV632" s="38"/>
    </row>
    <row r="633" spans="100:100" x14ac:dyDescent="0.3">
      <c r="CV633" s="38"/>
    </row>
    <row r="634" spans="100:100" x14ac:dyDescent="0.3">
      <c r="CV634" s="38"/>
    </row>
    <row r="635" spans="100:100" x14ac:dyDescent="0.3">
      <c r="CV635" s="38"/>
    </row>
    <row r="636" spans="100:100" x14ac:dyDescent="0.3">
      <c r="CV636" s="38"/>
    </row>
    <row r="637" spans="100:100" x14ac:dyDescent="0.3">
      <c r="CV637" s="38"/>
    </row>
    <row r="638" spans="100:100" x14ac:dyDescent="0.3">
      <c r="CV638" s="38"/>
    </row>
    <row r="639" spans="100:100" x14ac:dyDescent="0.3">
      <c r="CV639" s="38"/>
    </row>
    <row r="640" spans="100:100" x14ac:dyDescent="0.3">
      <c r="CV640" s="38"/>
    </row>
    <row r="641" spans="100:100" x14ac:dyDescent="0.3">
      <c r="CV641" s="38"/>
    </row>
    <row r="642" spans="100:100" x14ac:dyDescent="0.3">
      <c r="CV642" s="38"/>
    </row>
    <row r="643" spans="100:100" x14ac:dyDescent="0.3">
      <c r="CV643" s="38"/>
    </row>
    <row r="644" spans="100:100" x14ac:dyDescent="0.3">
      <c r="CV644" s="38"/>
    </row>
    <row r="645" spans="100:100" x14ac:dyDescent="0.3">
      <c r="CV645" s="38"/>
    </row>
    <row r="646" spans="100:100" x14ac:dyDescent="0.3">
      <c r="CV646" s="38"/>
    </row>
    <row r="647" spans="100:100" x14ac:dyDescent="0.3">
      <c r="CV647" s="38"/>
    </row>
    <row r="648" spans="100:100" x14ac:dyDescent="0.3">
      <c r="CV648" s="38"/>
    </row>
    <row r="649" spans="100:100" x14ac:dyDescent="0.3">
      <c r="CV649" s="38"/>
    </row>
    <row r="650" spans="100:100" x14ac:dyDescent="0.3">
      <c r="CV650" s="38"/>
    </row>
  </sheetData>
  <phoneticPr fontId="91" type="noConversion"/>
  <pageMargins left="0.7" right="0.7" top="0.75" bottom="0.75" header="0.3" footer="0.3"/>
  <pageSetup paperSize="9" orientation="portrait" r:id="rId1"/>
  <legacyDrawing r:id="rId2"/>
  <tableParts count="7">
    <tablePart r:id="rId3"/>
    <tablePart r:id="rId4"/>
    <tablePart r:id="rId5"/>
    <tablePart r:id="rId6"/>
    <tablePart r:id="rId7"/>
    <tablePart r:id="rId8"/>
    <tablePart r:id="rId9"/>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tabColor rgb="FFFFC000"/>
  </sheetPr>
  <dimension ref="A1:BS69"/>
  <sheetViews>
    <sheetView topLeftCell="BC2" zoomScaleNormal="100" workbookViewId="0">
      <selection activeCell="BO2" sqref="BO2:BR69"/>
    </sheetView>
  </sheetViews>
  <sheetFormatPr defaultRowHeight="14.4" outlineLevelCol="1" x14ac:dyDescent="0.3"/>
  <cols>
    <col min="1" max="1" width="20.296875" bestFit="1" customWidth="1"/>
    <col min="2" max="2" width="11.8984375" customWidth="1" outlineLevel="1"/>
    <col min="3" max="3" width="6.296875" customWidth="1" outlineLevel="1"/>
    <col min="4" max="4" width="10.8984375" customWidth="1" outlineLevel="1"/>
    <col min="5" max="5" width="13.296875" customWidth="1" outlineLevel="1"/>
    <col min="6" max="6" width="12.8984375" customWidth="1" outlineLevel="1"/>
    <col min="7" max="7" width="7.69921875" customWidth="1" outlineLevel="1"/>
    <col min="8" max="8" width="10.59765625" customWidth="1" outlineLevel="1"/>
    <col min="9" max="9" width="11.09765625" style="37" customWidth="1" outlineLevel="1"/>
    <col min="10" max="10" width="8.3984375" customWidth="1" outlineLevel="1"/>
    <col min="11" max="11" width="8.8984375" customWidth="1" outlineLevel="1"/>
    <col min="12" max="12" width="18.09765625" customWidth="1" outlineLevel="1"/>
    <col min="13" max="13" width="10.5" bestFit="1" customWidth="1" outlineLevel="1"/>
    <col min="14" max="14" width="5.796875" bestFit="1" customWidth="1" outlineLevel="1"/>
    <col min="15" max="15" width="7.59765625" bestFit="1" customWidth="1" outlineLevel="1"/>
    <col min="16" max="16" width="8.8984375" customWidth="1" outlineLevel="1"/>
    <col min="17" max="17" width="14.296875" customWidth="1" outlineLevel="1"/>
    <col min="18" max="18" width="10.3984375" bestFit="1" customWidth="1" outlineLevel="1"/>
    <col min="19" max="19" width="8.69921875" bestFit="1" customWidth="1" outlineLevel="1"/>
    <col min="20" max="20" width="15.09765625" style="500" bestFit="1" customWidth="1" outlineLevel="1"/>
    <col min="21" max="21" width="9.09765625" customWidth="1" outlineLevel="1"/>
    <col min="22" max="22" width="13.59765625" customWidth="1" outlineLevel="1"/>
    <col min="23" max="23" width="4.8984375" bestFit="1" customWidth="1" outlineLevel="1"/>
    <col min="24" max="24" width="9.5" style="35" bestFit="1" customWidth="1" outlineLevel="1"/>
    <col min="25" max="25" width="9.19921875" bestFit="1" customWidth="1" outlineLevel="1"/>
    <col min="26" max="26" width="10.19921875" bestFit="1" customWidth="1" outlineLevel="1"/>
    <col min="27" max="27" width="5.09765625" bestFit="1" customWidth="1" outlineLevel="1"/>
    <col min="28" max="28" width="11.59765625" bestFit="1" customWidth="1" outlineLevel="1"/>
    <col min="29" max="29" width="12.5" style="49" bestFit="1" customWidth="1" outlineLevel="1"/>
    <col min="30" max="30" width="7.69921875" bestFit="1" customWidth="1" outlineLevel="1"/>
    <col min="31" max="31" width="8.8984375" customWidth="1"/>
    <col min="32" max="32" width="27.69921875" bestFit="1" customWidth="1"/>
    <col min="33" max="33" width="4.8984375" bestFit="1" customWidth="1" outlineLevel="1"/>
    <col min="34" max="34" width="9.5" bestFit="1" customWidth="1" outlineLevel="1"/>
    <col min="35" max="35" width="9.19921875" bestFit="1" customWidth="1" outlineLevel="1"/>
    <col min="36" max="36" width="10.19921875" bestFit="1" customWidth="1" outlineLevel="1"/>
    <col min="37" max="37" width="5.09765625" bestFit="1" customWidth="1" outlineLevel="1"/>
    <col min="38" max="38" width="17.3984375" bestFit="1" customWidth="1" outlineLevel="1"/>
    <col min="39" max="39" width="12.5" bestFit="1" customWidth="1" outlineLevel="1"/>
    <col min="40" max="40" width="7.69921875" bestFit="1" customWidth="1" outlineLevel="1"/>
    <col min="42" max="42" width="26.296875" bestFit="1" customWidth="1"/>
    <col min="43" max="43" width="4.8984375" bestFit="1" customWidth="1" outlineLevel="1"/>
    <col min="44" max="44" width="9.5" bestFit="1" customWidth="1" outlineLevel="1"/>
    <col min="45" max="45" width="9.19921875" bestFit="1" customWidth="1" outlineLevel="1"/>
    <col min="46" max="46" width="10.19921875" bestFit="1" customWidth="1" outlineLevel="1"/>
    <col min="47" max="47" width="5.09765625" bestFit="1" customWidth="1" outlineLevel="1"/>
    <col min="48" max="48" width="17.3984375" bestFit="1" customWidth="1" outlineLevel="1"/>
    <col min="49" max="49" width="12.5" style="49" bestFit="1" customWidth="1" outlineLevel="1"/>
    <col min="50" max="50" width="7.69921875" bestFit="1" customWidth="1" outlineLevel="1"/>
    <col min="52" max="52" width="26.296875" bestFit="1" customWidth="1"/>
    <col min="53" max="53" width="4.8984375" bestFit="1" customWidth="1" outlineLevel="1"/>
    <col min="54" max="54" width="9.5" bestFit="1" customWidth="1" outlineLevel="1"/>
    <col min="55" max="55" width="9.19921875" bestFit="1" customWidth="1" outlineLevel="1"/>
    <col min="56" max="56" width="10.19921875" bestFit="1" customWidth="1" outlineLevel="1"/>
    <col min="57" max="57" width="5.09765625" bestFit="1" customWidth="1" outlineLevel="1"/>
    <col min="58" max="58" width="17.3984375" bestFit="1" customWidth="1" outlineLevel="1"/>
    <col min="59" max="59" width="12.5" bestFit="1" customWidth="1" outlineLevel="1"/>
    <col min="60" max="60" width="7.69921875" bestFit="1" customWidth="1" outlineLevel="1"/>
    <col min="62" max="62" width="15.59765625" bestFit="1" customWidth="1"/>
    <col min="63" max="63" width="9.5" bestFit="1" customWidth="1" outlineLevel="1"/>
    <col min="64" max="64" width="11.8984375" bestFit="1" customWidth="1" outlineLevel="1"/>
    <col min="65" max="65" width="13.59765625" customWidth="1" outlineLevel="1"/>
    <col min="66" max="66" width="14.3984375" customWidth="1" outlineLevel="1"/>
    <col min="67" max="67" width="9.5" style="37" bestFit="1" customWidth="1" outlineLevel="1"/>
    <col min="68" max="68" width="10.19921875" style="37" bestFit="1" customWidth="1" outlineLevel="1"/>
    <col min="69" max="69" width="14.796875" style="500" bestFit="1" customWidth="1" outlineLevel="1"/>
    <col min="70" max="70" width="14.19921875" style="643" bestFit="1" customWidth="1" outlineLevel="1"/>
    <col min="71" max="71" width="10.09765625" style="500" bestFit="1" customWidth="1" outlineLevel="1"/>
  </cols>
  <sheetData>
    <row r="1" spans="1:71" ht="18.3" x14ac:dyDescent="0.4">
      <c r="A1" s="108" t="s">
        <v>2275</v>
      </c>
      <c r="B1" s="36" t="s">
        <v>2892</v>
      </c>
      <c r="C1" t="s">
        <v>0</v>
      </c>
      <c r="D1" t="s">
        <v>855</v>
      </c>
      <c r="E1" t="s">
        <v>856</v>
      </c>
      <c r="F1" t="s">
        <v>1052</v>
      </c>
      <c r="G1" t="s">
        <v>1053</v>
      </c>
      <c r="H1" t="s">
        <v>1056</v>
      </c>
      <c r="I1" s="37" t="s">
        <v>857</v>
      </c>
      <c r="J1" t="s">
        <v>981</v>
      </c>
      <c r="L1" s="36" t="s">
        <v>986</v>
      </c>
      <c r="M1" t="s">
        <v>855</v>
      </c>
      <c r="N1" t="s">
        <v>876</v>
      </c>
      <c r="O1" t="s">
        <v>982</v>
      </c>
      <c r="Q1" s="36" t="s">
        <v>2201</v>
      </c>
      <c r="R1" t="s">
        <v>855</v>
      </c>
      <c r="S1" t="s">
        <v>856</v>
      </c>
      <c r="T1" s="500" t="s">
        <v>857</v>
      </c>
      <c r="V1" s="36" t="s">
        <v>2250</v>
      </c>
      <c r="W1" t="s">
        <v>0</v>
      </c>
      <c r="X1" s="35" t="s">
        <v>855</v>
      </c>
      <c r="Y1" t="s">
        <v>856</v>
      </c>
      <c r="Z1" t="s">
        <v>1052</v>
      </c>
      <c r="AA1" t="s">
        <v>1053</v>
      </c>
      <c r="AB1" t="s">
        <v>1056</v>
      </c>
      <c r="AC1" s="49" t="s">
        <v>857</v>
      </c>
      <c r="AD1" t="s">
        <v>981</v>
      </c>
      <c r="AF1" s="108" t="s">
        <v>2284</v>
      </c>
      <c r="AG1" t="s">
        <v>0</v>
      </c>
      <c r="AH1" t="s">
        <v>855</v>
      </c>
      <c r="AI1" t="s">
        <v>856</v>
      </c>
      <c r="AJ1" t="s">
        <v>1052</v>
      </c>
      <c r="AK1" t="s">
        <v>1053</v>
      </c>
      <c r="AL1" t="s">
        <v>1056</v>
      </c>
      <c r="AM1" t="s">
        <v>857</v>
      </c>
      <c r="AN1" t="s">
        <v>981</v>
      </c>
      <c r="AP1" s="108" t="s">
        <v>2279</v>
      </c>
      <c r="AQ1" t="s">
        <v>0</v>
      </c>
      <c r="AR1" t="s">
        <v>855</v>
      </c>
      <c r="AS1" t="s">
        <v>856</v>
      </c>
      <c r="AT1" t="s">
        <v>1052</v>
      </c>
      <c r="AU1" t="s">
        <v>1053</v>
      </c>
      <c r="AV1" t="s">
        <v>1056</v>
      </c>
      <c r="AW1" s="49" t="s">
        <v>857</v>
      </c>
      <c r="AX1" t="s">
        <v>981</v>
      </c>
      <c r="AZ1" s="108" t="s">
        <v>2283</v>
      </c>
      <c r="BA1" t="s">
        <v>0</v>
      </c>
      <c r="BB1" t="s">
        <v>855</v>
      </c>
      <c r="BC1" t="s">
        <v>856</v>
      </c>
      <c r="BD1" t="s">
        <v>1052</v>
      </c>
      <c r="BE1" t="s">
        <v>1053</v>
      </c>
      <c r="BF1" t="s">
        <v>1056</v>
      </c>
      <c r="BG1" s="49" t="s">
        <v>857</v>
      </c>
      <c r="BH1" t="s">
        <v>981</v>
      </c>
      <c r="BJ1" s="108" t="s">
        <v>3079</v>
      </c>
      <c r="BK1" t="s">
        <v>855</v>
      </c>
      <c r="BL1" t="s">
        <v>857</v>
      </c>
      <c r="BN1" s="36" t="s">
        <v>3617</v>
      </c>
      <c r="BO1" t="s">
        <v>855</v>
      </c>
      <c r="BP1" t="s">
        <v>1052</v>
      </c>
      <c r="BQ1" s="500" t="s">
        <v>3126</v>
      </c>
      <c r="BR1" s="643" t="s">
        <v>3127</v>
      </c>
      <c r="BS1"/>
    </row>
    <row r="2" spans="1:71" x14ac:dyDescent="0.3">
      <c r="C2">
        <v>2473</v>
      </c>
      <c r="D2" s="502">
        <v>46251</v>
      </c>
      <c r="E2" t="s">
        <v>1050</v>
      </c>
      <c r="F2" t="s">
        <v>1064</v>
      </c>
      <c r="G2" t="s">
        <v>1030</v>
      </c>
      <c r="H2" t="s">
        <v>174</v>
      </c>
      <c r="I2" s="37">
        <v>17513</v>
      </c>
      <c r="J2" t="s">
        <v>1065</v>
      </c>
      <c r="M2" s="35">
        <v>46252</v>
      </c>
      <c r="N2" t="s">
        <v>915</v>
      </c>
      <c r="O2">
        <v>3.8254000000000001</v>
      </c>
      <c r="R2" s="35">
        <v>46251</v>
      </c>
      <c r="S2" t="s">
        <v>858</v>
      </c>
      <c r="T2" s="500">
        <v>44.506102908899997</v>
      </c>
      <c r="W2">
        <v>2473</v>
      </c>
      <c r="X2" s="35">
        <v>46251</v>
      </c>
      <c r="Y2" t="s">
        <v>890</v>
      </c>
      <c r="Z2" t="s">
        <v>1064</v>
      </c>
      <c r="AA2" t="s">
        <v>1030</v>
      </c>
      <c r="AB2" t="s">
        <v>1076</v>
      </c>
      <c r="AC2" s="49">
        <v>1717.1871540471</v>
      </c>
      <c r="AD2" t="s">
        <v>1065</v>
      </c>
      <c r="AG2">
        <v>2473</v>
      </c>
      <c r="AH2" s="35">
        <v>46251</v>
      </c>
      <c r="AI2" t="s">
        <v>890</v>
      </c>
      <c r="AJ2" t="s">
        <v>1064</v>
      </c>
      <c r="AK2" t="s">
        <v>1030</v>
      </c>
      <c r="AL2" t="s">
        <v>1076</v>
      </c>
      <c r="AM2">
        <v>1533.917194674</v>
      </c>
      <c r="AN2" t="s">
        <v>1065</v>
      </c>
      <c r="AQ2">
        <v>2473</v>
      </c>
      <c r="AR2" s="35">
        <v>46251</v>
      </c>
      <c r="AS2" t="s">
        <v>890</v>
      </c>
      <c r="AT2" t="s">
        <v>1064</v>
      </c>
      <c r="AU2" t="s">
        <v>1030</v>
      </c>
      <c r="AV2" t="s">
        <v>1076</v>
      </c>
      <c r="AW2" s="49">
        <v>1725.25446009857</v>
      </c>
      <c r="AX2" t="s">
        <v>1065</v>
      </c>
      <c r="BA2">
        <v>2473</v>
      </c>
      <c r="BB2" s="35">
        <v>46251</v>
      </c>
      <c r="BC2" t="s">
        <v>890</v>
      </c>
      <c r="BD2" t="s">
        <v>1064</v>
      </c>
      <c r="BE2" t="s">
        <v>1030</v>
      </c>
      <c r="BF2" t="s">
        <v>1076</v>
      </c>
      <c r="BG2" s="49">
        <v>1061.4304492169999</v>
      </c>
      <c r="BH2" t="s">
        <v>1065</v>
      </c>
      <c r="BJ2" t="s">
        <v>3080</v>
      </c>
      <c r="BK2" s="35">
        <v>46204</v>
      </c>
      <c r="BL2">
        <v>372969.03681309999</v>
      </c>
      <c r="BO2" s="658">
        <v>46204</v>
      </c>
      <c r="BP2" s="847" t="s">
        <v>3068</v>
      </c>
      <c r="BQ2" s="500">
        <v>9660.0213965019993</v>
      </c>
      <c r="BR2" s="643">
        <v>4.4999999999999998E-2</v>
      </c>
      <c r="BS2"/>
    </row>
    <row r="3" spans="1:71" x14ac:dyDescent="0.3">
      <c r="C3">
        <v>2464</v>
      </c>
      <c r="D3" s="502">
        <v>46238</v>
      </c>
      <c r="E3" t="s">
        <v>1050</v>
      </c>
      <c r="F3" t="s">
        <v>1064</v>
      </c>
      <c r="G3" t="s">
        <v>1030</v>
      </c>
      <c r="H3" t="s">
        <v>174</v>
      </c>
      <c r="I3" s="37">
        <v>16370</v>
      </c>
      <c r="J3" t="s">
        <v>1065</v>
      </c>
      <c r="M3">
        <v>46252</v>
      </c>
      <c r="N3" t="s">
        <v>917</v>
      </c>
      <c r="O3">
        <v>3.7469000000000001</v>
      </c>
      <c r="R3">
        <v>46251</v>
      </c>
      <c r="S3" t="s">
        <v>2756</v>
      </c>
      <c r="T3" s="500">
        <v>21.3830727671</v>
      </c>
      <c r="W3">
        <v>2473</v>
      </c>
      <c r="X3" s="35">
        <v>46251</v>
      </c>
      <c r="Y3" t="s">
        <v>890</v>
      </c>
      <c r="Z3" t="s">
        <v>1064</v>
      </c>
      <c r="AA3" t="s">
        <v>1030</v>
      </c>
      <c r="AB3" t="s">
        <v>1077</v>
      </c>
      <c r="AC3" s="49">
        <v>-1156.0969545584001</v>
      </c>
      <c r="AD3" t="s">
        <v>1065</v>
      </c>
      <c r="AG3">
        <v>2473</v>
      </c>
      <c r="AH3" s="35">
        <v>46251</v>
      </c>
      <c r="AI3" t="s">
        <v>890</v>
      </c>
      <c r="AJ3" t="s">
        <v>1064</v>
      </c>
      <c r="AK3" t="s">
        <v>1030</v>
      </c>
      <c r="AL3" t="s">
        <v>1077</v>
      </c>
      <c r="AM3">
        <v>-2481.8346595956</v>
      </c>
      <c r="AN3" t="s">
        <v>1065</v>
      </c>
      <c r="AQ3">
        <v>2473</v>
      </c>
      <c r="AR3" s="35">
        <v>46251</v>
      </c>
      <c r="AS3" t="s">
        <v>890</v>
      </c>
      <c r="AT3" t="s">
        <v>1064</v>
      </c>
      <c r="AU3" t="s">
        <v>1030</v>
      </c>
      <c r="AV3" t="s">
        <v>1077</v>
      </c>
      <c r="AW3" s="49">
        <v>-235.94539668898301</v>
      </c>
      <c r="AX3" t="s">
        <v>1065</v>
      </c>
      <c r="BA3">
        <v>2473</v>
      </c>
      <c r="BB3" s="35">
        <v>46251</v>
      </c>
      <c r="BC3" t="s">
        <v>890</v>
      </c>
      <c r="BD3" t="s">
        <v>1064</v>
      </c>
      <c r="BE3" t="s">
        <v>1030</v>
      </c>
      <c r="BF3" t="s">
        <v>1077</v>
      </c>
      <c r="BG3" s="49">
        <v>-2937.5667780594999</v>
      </c>
      <c r="BH3" t="s">
        <v>1065</v>
      </c>
      <c r="BK3" s="35">
        <v>46205</v>
      </c>
      <c r="BL3">
        <v>380578.20614865399</v>
      </c>
      <c r="BO3" s="658">
        <v>46204</v>
      </c>
      <c r="BP3" s="847" t="s">
        <v>811</v>
      </c>
      <c r="BQ3" s="500">
        <v>30054.692965999999</v>
      </c>
      <c r="BR3" s="643">
        <v>4.5176634399999999E-2</v>
      </c>
      <c r="BS3"/>
    </row>
    <row r="4" spans="1:71" x14ac:dyDescent="0.3">
      <c r="C4">
        <v>2462</v>
      </c>
      <c r="D4" s="502">
        <v>46234</v>
      </c>
      <c r="E4" t="s">
        <v>1050</v>
      </c>
      <c r="F4" t="s">
        <v>1064</v>
      </c>
      <c r="G4" t="s">
        <v>1030</v>
      </c>
      <c r="H4" t="s">
        <v>174</v>
      </c>
      <c r="I4" s="37">
        <v>16370</v>
      </c>
      <c r="J4" t="s">
        <v>1065</v>
      </c>
      <c r="M4">
        <v>46252</v>
      </c>
      <c r="N4" t="s">
        <v>983</v>
      </c>
      <c r="O4">
        <v>3.8569</v>
      </c>
      <c r="W4">
        <v>2464</v>
      </c>
      <c r="X4" s="35">
        <v>46238</v>
      </c>
      <c r="Y4" t="s">
        <v>890</v>
      </c>
      <c r="Z4" t="s">
        <v>1064</v>
      </c>
      <c r="AA4" t="s">
        <v>1030</v>
      </c>
      <c r="AB4" t="s">
        <v>1076</v>
      </c>
      <c r="AC4" s="49">
        <v>1718.3363494854</v>
      </c>
      <c r="AD4" t="s">
        <v>1065</v>
      </c>
      <c r="AG4">
        <v>2464</v>
      </c>
      <c r="AH4" s="35">
        <v>46238</v>
      </c>
      <c r="AI4" t="s">
        <v>890</v>
      </c>
      <c r="AJ4" t="s">
        <v>1064</v>
      </c>
      <c r="AK4" t="s">
        <v>1030</v>
      </c>
      <c r="AL4" t="s">
        <v>1076</v>
      </c>
      <c r="AM4">
        <v>1553.2253933152001</v>
      </c>
      <c r="AN4" t="s">
        <v>1065</v>
      </c>
      <c r="AQ4">
        <v>2462</v>
      </c>
      <c r="AR4">
        <v>46234</v>
      </c>
      <c r="AS4" t="s">
        <v>890</v>
      </c>
      <c r="AT4" t="s">
        <v>1064</v>
      </c>
      <c r="AU4" t="s">
        <v>1030</v>
      </c>
      <c r="AV4" t="s">
        <v>1076</v>
      </c>
      <c r="AW4">
        <v>1725.25446009857</v>
      </c>
      <c r="AX4" t="s">
        <v>1065</v>
      </c>
      <c r="BA4">
        <v>2462</v>
      </c>
      <c r="BB4">
        <v>46234</v>
      </c>
      <c r="BC4" t="s">
        <v>890</v>
      </c>
      <c r="BD4" t="s">
        <v>1064</v>
      </c>
      <c r="BE4" t="s">
        <v>1030</v>
      </c>
      <c r="BF4" t="s">
        <v>1076</v>
      </c>
      <c r="BG4">
        <v>1063.8632716612001</v>
      </c>
      <c r="BH4" t="s">
        <v>1065</v>
      </c>
      <c r="BK4" s="35">
        <v>46206</v>
      </c>
      <c r="BL4">
        <v>370801.98598095798</v>
      </c>
      <c r="BM4" s="395"/>
      <c r="BO4" s="658">
        <v>46205</v>
      </c>
      <c r="BP4" s="847" t="s">
        <v>3068</v>
      </c>
      <c r="BQ4" s="500">
        <v>9660.0213965019993</v>
      </c>
      <c r="BR4" s="643">
        <v>4.4999999999999998E-2</v>
      </c>
      <c r="BS4"/>
    </row>
    <row r="5" spans="1:71" x14ac:dyDescent="0.3">
      <c r="C5">
        <v>2310</v>
      </c>
      <c r="D5" s="502">
        <v>46022</v>
      </c>
      <c r="E5" t="s">
        <v>1050</v>
      </c>
      <c r="F5" t="s">
        <v>1064</v>
      </c>
      <c r="G5" t="s">
        <v>1030</v>
      </c>
      <c r="H5" t="s">
        <v>174</v>
      </c>
      <c r="I5" s="37">
        <v>8762</v>
      </c>
      <c r="J5" t="s">
        <v>1065</v>
      </c>
      <c r="M5">
        <v>46252</v>
      </c>
      <c r="N5" t="s">
        <v>877</v>
      </c>
      <c r="O5">
        <v>3.5289999999999999</v>
      </c>
      <c r="W5">
        <v>2464</v>
      </c>
      <c r="X5" s="35">
        <v>46238</v>
      </c>
      <c r="Y5" t="s">
        <v>890</v>
      </c>
      <c r="Z5" t="s">
        <v>1064</v>
      </c>
      <c r="AA5" t="s">
        <v>1030</v>
      </c>
      <c r="AB5" t="s">
        <v>1077</v>
      </c>
      <c r="AC5" s="49">
        <v>-1017.4638999967</v>
      </c>
      <c r="AD5" t="s">
        <v>1065</v>
      </c>
      <c r="AG5">
        <v>2464</v>
      </c>
      <c r="AH5" s="35">
        <v>46238</v>
      </c>
      <c r="AI5" t="s">
        <v>890</v>
      </c>
      <c r="AJ5" t="s">
        <v>1064</v>
      </c>
      <c r="AK5" t="s">
        <v>1030</v>
      </c>
      <c r="AL5" t="s">
        <v>1077</v>
      </c>
      <c r="AM5">
        <v>-2601.4881871098</v>
      </c>
      <c r="AN5" t="s">
        <v>1065</v>
      </c>
      <c r="AQ5">
        <v>2462</v>
      </c>
      <c r="AR5">
        <v>46234</v>
      </c>
      <c r="AS5" t="s">
        <v>890</v>
      </c>
      <c r="AT5" t="s">
        <v>1064</v>
      </c>
      <c r="AU5" t="s">
        <v>1030</v>
      </c>
      <c r="AV5" t="s">
        <v>1077</v>
      </c>
      <c r="AW5">
        <v>-231.123896688983</v>
      </c>
      <c r="AX5" t="s">
        <v>1065</v>
      </c>
      <c r="BA5">
        <v>2462</v>
      </c>
      <c r="BB5">
        <v>46234</v>
      </c>
      <c r="BC5" t="s">
        <v>890</v>
      </c>
      <c r="BD5" t="s">
        <v>1064</v>
      </c>
      <c r="BE5" t="s">
        <v>1030</v>
      </c>
      <c r="BF5" t="s">
        <v>1077</v>
      </c>
      <c r="BG5">
        <v>-2899.7866671257002</v>
      </c>
      <c r="BH5" t="s">
        <v>1065</v>
      </c>
      <c r="BK5" s="35">
        <v>46207</v>
      </c>
      <c r="BL5">
        <v>375067.64106030198</v>
      </c>
      <c r="BO5" s="658">
        <v>46205</v>
      </c>
      <c r="BP5" s="847" t="s">
        <v>811</v>
      </c>
      <c r="BQ5" s="500">
        <v>30092.780277000002</v>
      </c>
      <c r="BR5" s="643">
        <v>4.51900249E-2</v>
      </c>
      <c r="BS5"/>
    </row>
    <row r="6" spans="1:71" x14ac:dyDescent="0.3">
      <c r="M6">
        <v>46252</v>
      </c>
      <c r="N6" t="s">
        <v>878</v>
      </c>
      <c r="O6">
        <v>3.633</v>
      </c>
      <c r="Q6" s="36" t="s">
        <v>3568</v>
      </c>
      <c r="R6" t="s">
        <v>855</v>
      </c>
      <c r="S6" t="s">
        <v>2795</v>
      </c>
      <c r="T6" s="500" t="s">
        <v>3716</v>
      </c>
      <c r="U6" s="32"/>
      <c r="W6">
        <v>2462</v>
      </c>
      <c r="X6" s="35">
        <v>46234</v>
      </c>
      <c r="Y6" t="s">
        <v>890</v>
      </c>
      <c r="Z6" t="s">
        <v>1064</v>
      </c>
      <c r="AA6" t="s">
        <v>1030</v>
      </c>
      <c r="AB6" t="s">
        <v>1076</v>
      </c>
      <c r="AC6">
        <v>1719.3963730977</v>
      </c>
      <c r="AD6" t="s">
        <v>1065</v>
      </c>
      <c r="AG6">
        <v>2462</v>
      </c>
      <c r="AH6">
        <v>46234</v>
      </c>
      <c r="AI6" t="s">
        <v>890</v>
      </c>
      <c r="AJ6" t="s">
        <v>1064</v>
      </c>
      <c r="AK6" t="s">
        <v>1030</v>
      </c>
      <c r="AL6" t="s">
        <v>1076</v>
      </c>
      <c r="AM6">
        <v>1553.2253933152001</v>
      </c>
      <c r="AN6" t="s">
        <v>1065</v>
      </c>
      <c r="AQ6">
        <v>2310</v>
      </c>
      <c r="AR6">
        <v>46022</v>
      </c>
      <c r="AS6" t="s">
        <v>890</v>
      </c>
      <c r="AT6" t="s">
        <v>1064</v>
      </c>
      <c r="AU6" t="s">
        <v>1030</v>
      </c>
      <c r="AV6" t="s">
        <v>1076</v>
      </c>
      <c r="AW6">
        <v>1721.96677880269</v>
      </c>
      <c r="AX6" t="s">
        <v>1065</v>
      </c>
      <c r="BA6">
        <v>2310</v>
      </c>
      <c r="BB6">
        <v>46022</v>
      </c>
      <c r="BC6" t="s">
        <v>890</v>
      </c>
      <c r="BD6" t="s">
        <v>1064</v>
      </c>
      <c r="BE6" t="s">
        <v>1030</v>
      </c>
      <c r="BF6" t="s">
        <v>1076</v>
      </c>
      <c r="BG6">
        <v>1081.0577723398001</v>
      </c>
      <c r="BH6" t="s">
        <v>1065</v>
      </c>
      <c r="BK6" s="35">
        <v>46208</v>
      </c>
      <c r="BL6">
        <v>378725.36038961099</v>
      </c>
      <c r="BM6" s="49"/>
      <c r="BN6" s="49"/>
      <c r="BO6" s="658">
        <v>46206</v>
      </c>
      <c r="BP6" s="847" t="s">
        <v>3068</v>
      </c>
      <c r="BQ6" s="500">
        <v>9254.6166831650007</v>
      </c>
      <c r="BR6" s="643">
        <v>4.4999999999999998E-2</v>
      </c>
      <c r="BS6"/>
    </row>
    <row r="7" spans="1:71" x14ac:dyDescent="0.3">
      <c r="M7">
        <v>46252</v>
      </c>
      <c r="N7" t="s">
        <v>879</v>
      </c>
      <c r="O7">
        <v>3.7040000000000002</v>
      </c>
      <c r="R7" s="502">
        <v>46204</v>
      </c>
      <c r="S7" s="500">
        <v>36346.699999999997</v>
      </c>
      <c r="T7" s="643">
        <v>4.0545899058000003</v>
      </c>
      <c r="U7" s="32"/>
      <c r="W7">
        <v>2462</v>
      </c>
      <c r="X7" s="35">
        <v>46234</v>
      </c>
      <c r="Y7" t="s">
        <v>890</v>
      </c>
      <c r="Z7" t="s">
        <v>1064</v>
      </c>
      <c r="AA7" t="s">
        <v>1030</v>
      </c>
      <c r="AB7" t="s">
        <v>1077</v>
      </c>
      <c r="AC7">
        <v>-1014.087223609</v>
      </c>
      <c r="AD7" t="s">
        <v>1065</v>
      </c>
      <c r="AG7">
        <v>2462</v>
      </c>
      <c r="AH7">
        <v>46234</v>
      </c>
      <c r="AI7" t="s">
        <v>890</v>
      </c>
      <c r="AJ7" t="s">
        <v>1064</v>
      </c>
      <c r="AK7" t="s">
        <v>1030</v>
      </c>
      <c r="AL7" t="s">
        <v>1077</v>
      </c>
      <c r="AM7">
        <v>-2600.3273748587999</v>
      </c>
      <c r="AN7" t="s">
        <v>1065</v>
      </c>
      <c r="AQ7">
        <v>2310</v>
      </c>
      <c r="AR7">
        <v>46022</v>
      </c>
      <c r="AS7" t="s">
        <v>890</v>
      </c>
      <c r="AT7" t="s">
        <v>1064</v>
      </c>
      <c r="AU7" t="s">
        <v>1030</v>
      </c>
      <c r="AV7" t="s">
        <v>1077</v>
      </c>
      <c r="AW7">
        <v>-147.41921539310599</v>
      </c>
      <c r="AX7" t="s">
        <v>1065</v>
      </c>
      <c r="BA7">
        <v>2310</v>
      </c>
      <c r="BB7">
        <v>46022</v>
      </c>
      <c r="BC7" t="s">
        <v>890</v>
      </c>
      <c r="BD7" t="s">
        <v>1064</v>
      </c>
      <c r="BE7" t="s">
        <v>1030</v>
      </c>
      <c r="BF7" t="s">
        <v>1077</v>
      </c>
      <c r="BG7">
        <v>-1998.1872155373001</v>
      </c>
      <c r="BH7" t="s">
        <v>1065</v>
      </c>
      <c r="BK7" s="35">
        <v>46209</v>
      </c>
      <c r="BL7">
        <v>371227.57718860701</v>
      </c>
      <c r="BO7" s="658">
        <v>46206</v>
      </c>
      <c r="BP7" s="847" t="s">
        <v>811</v>
      </c>
      <c r="BQ7" s="500">
        <v>29009.966797000001</v>
      </c>
      <c r="BR7" s="643">
        <v>4.5336857799999998E-2</v>
      </c>
      <c r="BS7"/>
    </row>
    <row r="8" spans="1:71" x14ac:dyDescent="0.3">
      <c r="M8">
        <v>46252</v>
      </c>
      <c r="N8" t="s">
        <v>880</v>
      </c>
      <c r="O8">
        <v>3.9710000000000001</v>
      </c>
      <c r="R8" s="502">
        <v>46205</v>
      </c>
      <c r="S8" s="500">
        <v>37654.699999999997</v>
      </c>
      <c r="T8" s="643">
        <v>4.0521302421999996</v>
      </c>
      <c r="U8" s="560"/>
      <c r="W8">
        <v>2310</v>
      </c>
      <c r="X8">
        <v>46022</v>
      </c>
      <c r="Y8" t="s">
        <v>890</v>
      </c>
      <c r="Z8" t="s">
        <v>1064</v>
      </c>
      <c r="AA8" t="s">
        <v>1030</v>
      </c>
      <c r="AB8" t="s">
        <v>1076</v>
      </c>
      <c r="AC8">
        <v>1658.2093120637001</v>
      </c>
      <c r="AD8" t="s">
        <v>1065</v>
      </c>
      <c r="AG8">
        <v>2310</v>
      </c>
      <c r="AH8">
        <v>46022</v>
      </c>
      <c r="AI8" t="s">
        <v>890</v>
      </c>
      <c r="AJ8" t="s">
        <v>1064</v>
      </c>
      <c r="AK8" t="s">
        <v>1030</v>
      </c>
      <c r="AL8" t="s">
        <v>1076</v>
      </c>
      <c r="AM8">
        <v>1553.2253933152001</v>
      </c>
      <c r="AN8" t="s">
        <v>1065</v>
      </c>
      <c r="BK8" s="35">
        <v>46210</v>
      </c>
      <c r="BL8">
        <v>366033.37051030301</v>
      </c>
      <c r="BO8" s="658">
        <v>46209</v>
      </c>
      <c r="BP8" s="847" t="s">
        <v>3068</v>
      </c>
      <c r="BQ8" s="500">
        <v>8565.3527434129992</v>
      </c>
      <c r="BR8" s="643">
        <v>4.4999999999999998E-2</v>
      </c>
      <c r="BS8"/>
    </row>
    <row r="9" spans="1:71" x14ac:dyDescent="0.3">
      <c r="B9" s="36" t="s">
        <v>2893</v>
      </c>
      <c r="C9" t="s">
        <v>0</v>
      </c>
      <c r="D9" t="s">
        <v>855</v>
      </c>
      <c r="E9" t="s">
        <v>856</v>
      </c>
      <c r="F9" t="s">
        <v>1052</v>
      </c>
      <c r="G9" t="s">
        <v>1053</v>
      </c>
      <c r="H9" t="s">
        <v>1056</v>
      </c>
      <c r="I9" s="37" t="s">
        <v>857</v>
      </c>
      <c r="J9" t="s">
        <v>981</v>
      </c>
      <c r="M9">
        <v>46252</v>
      </c>
      <c r="N9" t="s">
        <v>881</v>
      </c>
      <c r="O9">
        <v>4.2380000000000004</v>
      </c>
      <c r="R9" s="502">
        <v>46206</v>
      </c>
      <c r="S9" s="500">
        <v>37443.699999999997</v>
      </c>
      <c r="T9" s="643">
        <v>4.0559015223000001</v>
      </c>
      <c r="U9" s="32"/>
      <c r="W9">
        <v>2310</v>
      </c>
      <c r="X9">
        <v>46022</v>
      </c>
      <c r="Y9" t="s">
        <v>890</v>
      </c>
      <c r="Z9" t="s">
        <v>1064</v>
      </c>
      <c r="AA9" t="s">
        <v>1030</v>
      </c>
      <c r="AB9" t="s">
        <v>1077</v>
      </c>
      <c r="AC9">
        <v>-525.29562857500002</v>
      </c>
      <c r="AD9" t="s">
        <v>1065</v>
      </c>
      <c r="AG9">
        <v>2310</v>
      </c>
      <c r="AH9">
        <v>46022</v>
      </c>
      <c r="AI9" t="s">
        <v>890</v>
      </c>
      <c r="AJ9" t="s">
        <v>1064</v>
      </c>
      <c r="AK9" t="s">
        <v>1030</v>
      </c>
      <c r="AL9" t="s">
        <v>1077</v>
      </c>
      <c r="AM9">
        <v>-2028.7209565917999</v>
      </c>
      <c r="AN9" t="s">
        <v>1065</v>
      </c>
      <c r="BK9" s="35">
        <v>46211</v>
      </c>
      <c r="BL9">
        <v>367026.976240733</v>
      </c>
      <c r="BO9" s="658">
        <v>46209</v>
      </c>
      <c r="BP9" s="847" t="s">
        <v>811</v>
      </c>
      <c r="BQ9" s="500">
        <v>26388.290663</v>
      </c>
      <c r="BR9" s="643">
        <v>4.52844897E-2</v>
      </c>
      <c r="BS9"/>
    </row>
    <row r="10" spans="1:71" x14ac:dyDescent="0.3">
      <c r="C10">
        <v>2473</v>
      </c>
      <c r="D10" s="502">
        <v>46251</v>
      </c>
      <c r="E10" t="s">
        <v>1050</v>
      </c>
      <c r="F10" t="s">
        <v>1064</v>
      </c>
      <c r="G10" t="s">
        <v>1030</v>
      </c>
      <c r="H10" t="s">
        <v>174</v>
      </c>
      <c r="I10" s="37">
        <v>10858.311299999999</v>
      </c>
      <c r="J10" t="s">
        <v>1065</v>
      </c>
      <c r="M10">
        <v>46252</v>
      </c>
      <c r="N10" t="s">
        <v>882</v>
      </c>
      <c r="O10">
        <v>4.3090000000000002</v>
      </c>
      <c r="R10" s="502">
        <v>46209</v>
      </c>
      <c r="S10" s="500">
        <v>36443.699999999997</v>
      </c>
      <c r="T10" s="643">
        <v>4.0516680340000004</v>
      </c>
      <c r="U10" s="32"/>
      <c r="BK10" s="35">
        <v>46212</v>
      </c>
      <c r="BL10">
        <v>366977.56417462602</v>
      </c>
      <c r="BO10" s="658">
        <v>46210</v>
      </c>
      <c r="BP10" s="847" t="s">
        <v>3068</v>
      </c>
      <c r="BQ10" s="500">
        <v>7593.8965659429996</v>
      </c>
      <c r="BR10" s="643">
        <v>4.4999999999999998E-2</v>
      </c>
      <c r="BS10"/>
    </row>
    <row r="11" spans="1:71" x14ac:dyDescent="0.3">
      <c r="C11">
        <v>2464</v>
      </c>
      <c r="D11" s="502">
        <v>46238</v>
      </c>
      <c r="E11" t="s">
        <v>1050</v>
      </c>
      <c r="F11" t="s">
        <v>1064</v>
      </c>
      <c r="G11" t="s">
        <v>1030</v>
      </c>
      <c r="H11" t="s">
        <v>174</v>
      </c>
      <c r="I11" s="37">
        <v>12001.311299999999</v>
      </c>
      <c r="J11" t="s">
        <v>1065</v>
      </c>
      <c r="M11">
        <v>46252</v>
      </c>
      <c r="N11" t="s">
        <v>883</v>
      </c>
      <c r="O11">
        <v>4.4480000000000004</v>
      </c>
      <c r="R11" s="502">
        <v>46210</v>
      </c>
      <c r="S11" s="500">
        <v>35283.699999999997</v>
      </c>
      <c r="T11" s="643">
        <v>4.0461540068000001</v>
      </c>
      <c r="U11" s="32"/>
      <c r="BK11" s="35">
        <v>46213</v>
      </c>
      <c r="BL11">
        <v>366977.56417462602</v>
      </c>
      <c r="BO11" s="658">
        <v>46210</v>
      </c>
      <c r="BP11" s="847" t="s">
        <v>811</v>
      </c>
      <c r="BQ11" s="500">
        <v>24341.304633</v>
      </c>
      <c r="BR11" s="643">
        <v>4.5652649099999998E-2</v>
      </c>
      <c r="BS11"/>
    </row>
    <row r="12" spans="1:71" x14ac:dyDescent="0.3">
      <c r="C12">
        <v>2462</v>
      </c>
      <c r="D12" s="502">
        <v>46234</v>
      </c>
      <c r="E12" t="s">
        <v>1050</v>
      </c>
      <c r="F12" t="s">
        <v>1064</v>
      </c>
      <c r="G12" t="s">
        <v>1030</v>
      </c>
      <c r="H12" t="s">
        <v>174</v>
      </c>
      <c r="I12" s="37">
        <v>12001.311299999999</v>
      </c>
      <c r="J12" t="s">
        <v>1065</v>
      </c>
      <c r="M12">
        <v>46252</v>
      </c>
      <c r="N12" t="s">
        <v>884</v>
      </c>
      <c r="O12">
        <v>4.5780000000000003</v>
      </c>
      <c r="R12" s="502">
        <v>46211</v>
      </c>
      <c r="S12" s="500">
        <v>36043.699999999997</v>
      </c>
      <c r="T12" s="643">
        <v>4.0306952152999997</v>
      </c>
      <c r="U12" s="32"/>
      <c r="BK12" s="35">
        <v>46214</v>
      </c>
      <c r="BL12">
        <v>369629.64323848399</v>
      </c>
      <c r="BO12" s="658">
        <v>46211</v>
      </c>
      <c r="BP12" s="847" t="s">
        <v>3068</v>
      </c>
      <c r="BQ12" s="500">
        <v>8300.9668053730002</v>
      </c>
      <c r="BR12" s="643">
        <v>4.4999999999999998E-2</v>
      </c>
      <c r="BS12"/>
    </row>
    <row r="13" spans="1:71" x14ac:dyDescent="0.3">
      <c r="C13">
        <v>2310</v>
      </c>
      <c r="D13" s="502">
        <v>46022</v>
      </c>
      <c r="E13" t="s">
        <v>1050</v>
      </c>
      <c r="F13" t="s">
        <v>1064</v>
      </c>
      <c r="G13" t="s">
        <v>1030</v>
      </c>
      <c r="H13" t="s">
        <v>174</v>
      </c>
      <c r="I13" s="37">
        <v>16959.311300000001</v>
      </c>
      <c r="J13" t="s">
        <v>1065</v>
      </c>
      <c r="M13">
        <v>46252</v>
      </c>
      <c r="N13" t="s">
        <v>885</v>
      </c>
      <c r="O13">
        <v>4.6660000000000004</v>
      </c>
      <c r="R13" s="502">
        <v>46212</v>
      </c>
      <c r="S13" s="500">
        <v>35928.699999999997</v>
      </c>
      <c r="T13" s="643">
        <v>4.0204071990000001</v>
      </c>
      <c r="U13" s="32"/>
      <c r="BK13" s="35">
        <v>46215</v>
      </c>
      <c r="BL13">
        <v>366977.56417462602</v>
      </c>
      <c r="BO13" s="658">
        <v>46211</v>
      </c>
      <c r="BP13" s="847" t="s">
        <v>811</v>
      </c>
      <c r="BQ13" s="500">
        <v>24341.304633</v>
      </c>
      <c r="BR13" s="643">
        <v>4.5652649099999998E-2</v>
      </c>
      <c r="BS13"/>
    </row>
    <row r="14" spans="1:71" x14ac:dyDescent="0.3">
      <c r="M14">
        <v>46252</v>
      </c>
      <c r="N14" t="s">
        <v>886</v>
      </c>
      <c r="O14">
        <v>4.7329999999999997</v>
      </c>
      <c r="R14" s="502">
        <v>46213</v>
      </c>
      <c r="S14" s="500">
        <v>37363.699999999997</v>
      </c>
      <c r="T14" s="643">
        <v>4.0357812296000004</v>
      </c>
      <c r="U14" s="32"/>
      <c r="V14" s="36" t="s">
        <v>2250</v>
      </c>
      <c r="W14" t="s">
        <v>0</v>
      </c>
      <c r="X14" s="35" t="s">
        <v>855</v>
      </c>
      <c r="Y14" t="s">
        <v>856</v>
      </c>
      <c r="Z14" t="s">
        <v>1052</v>
      </c>
      <c r="AA14" t="s">
        <v>1053</v>
      </c>
      <c r="AB14" t="s">
        <v>1058</v>
      </c>
      <c r="AC14" s="49" t="s">
        <v>857</v>
      </c>
      <c r="AD14" t="s">
        <v>981</v>
      </c>
      <c r="BK14" s="35">
        <v>46216</v>
      </c>
      <c r="BL14">
        <v>365649.49249787797</v>
      </c>
      <c r="BO14" s="658">
        <v>46212</v>
      </c>
      <c r="BP14" s="847" t="s">
        <v>3068</v>
      </c>
      <c r="BQ14" s="500">
        <v>8300.9668053730002</v>
      </c>
      <c r="BR14" s="643">
        <v>4.4999999999999998E-2</v>
      </c>
      <c r="BS14"/>
    </row>
    <row r="15" spans="1:71" x14ac:dyDescent="0.3">
      <c r="R15" s="502">
        <v>46216</v>
      </c>
      <c r="S15" s="500">
        <v>37048.699999999997</v>
      </c>
      <c r="T15" s="643">
        <v>4.0422541689000004</v>
      </c>
      <c r="U15" s="32"/>
      <c r="V15" s="36" t="s">
        <v>2877</v>
      </c>
      <c r="W15">
        <v>2473</v>
      </c>
      <c r="X15" s="35">
        <v>46251</v>
      </c>
      <c r="Y15" t="s">
        <v>852</v>
      </c>
      <c r="Z15" t="s">
        <v>1064</v>
      </c>
      <c r="AA15" t="s">
        <v>1030</v>
      </c>
      <c r="AB15" t="s">
        <v>915</v>
      </c>
      <c r="AC15" s="49">
        <v>-7.9331682000000001E-3</v>
      </c>
      <c r="AD15" t="s">
        <v>1065</v>
      </c>
      <c r="BK15" s="35">
        <v>46217</v>
      </c>
      <c r="BL15">
        <v>363348.017019069</v>
      </c>
      <c r="BO15" s="658">
        <v>46212</v>
      </c>
      <c r="BP15" s="847" t="s">
        <v>811</v>
      </c>
      <c r="BQ15" s="500">
        <v>26032.304633</v>
      </c>
      <c r="BR15" s="643">
        <v>4.5678460099999998E-2</v>
      </c>
      <c r="BS15"/>
    </row>
    <row r="16" spans="1:71" x14ac:dyDescent="0.3">
      <c r="R16" s="502">
        <v>46217</v>
      </c>
      <c r="S16" s="500">
        <v>37048.699999999997</v>
      </c>
      <c r="T16" s="643">
        <v>4.0422541689000004</v>
      </c>
      <c r="U16" s="32"/>
      <c r="W16">
        <v>2473</v>
      </c>
      <c r="X16" s="35">
        <v>46251</v>
      </c>
      <c r="Y16" t="s">
        <v>852</v>
      </c>
      <c r="Z16" t="s">
        <v>1064</v>
      </c>
      <c r="AA16" t="s">
        <v>1030</v>
      </c>
      <c r="AB16" t="s">
        <v>917</v>
      </c>
      <c r="AC16" s="49">
        <v>-3.5592800600000002E-2</v>
      </c>
      <c r="AD16" t="s">
        <v>1065</v>
      </c>
      <c r="BK16" s="35">
        <v>46218</v>
      </c>
      <c r="BL16">
        <v>367771.147462836</v>
      </c>
      <c r="BO16" s="658">
        <v>46213</v>
      </c>
      <c r="BP16" s="847" t="s">
        <v>3068</v>
      </c>
      <c r="BQ16" s="500">
        <v>8300.9668053730002</v>
      </c>
      <c r="BR16" s="643">
        <v>4.4999999999999998E-2</v>
      </c>
      <c r="BS16"/>
    </row>
    <row r="17" spans="12:71" x14ac:dyDescent="0.3">
      <c r="R17" s="502">
        <v>46218</v>
      </c>
      <c r="S17" s="500">
        <v>37048.699999999997</v>
      </c>
      <c r="T17" s="643">
        <v>3.9054075190000002</v>
      </c>
      <c r="U17" s="32"/>
      <c r="W17">
        <v>2473</v>
      </c>
      <c r="X17" s="35">
        <v>46251</v>
      </c>
      <c r="Y17" t="s">
        <v>852</v>
      </c>
      <c r="Z17" t="s">
        <v>1064</v>
      </c>
      <c r="AA17" t="s">
        <v>1030</v>
      </c>
      <c r="AB17" t="s">
        <v>877</v>
      </c>
      <c r="AC17" s="49">
        <v>0</v>
      </c>
      <c r="AD17" t="s">
        <v>1065</v>
      </c>
      <c r="BK17" s="35">
        <v>46219</v>
      </c>
      <c r="BL17">
        <v>363963.65429637098</v>
      </c>
      <c r="BO17" s="658">
        <v>46213</v>
      </c>
      <c r="BP17" s="847" t="s">
        <v>811</v>
      </c>
      <c r="BQ17" s="500">
        <v>27901.199003000002</v>
      </c>
      <c r="BR17" s="643">
        <v>4.5703824900000002E-2</v>
      </c>
      <c r="BS17"/>
    </row>
    <row r="18" spans="12:71" x14ac:dyDescent="0.3">
      <c r="R18" s="502">
        <v>46219</v>
      </c>
      <c r="S18" s="500">
        <v>35872.699999999997</v>
      </c>
      <c r="T18" s="643">
        <v>3.9248191244999999</v>
      </c>
      <c r="U18" s="32"/>
      <c r="W18">
        <v>2473</v>
      </c>
      <c r="X18" s="35">
        <v>46251</v>
      </c>
      <c r="Y18" t="s">
        <v>852</v>
      </c>
      <c r="Z18" t="s">
        <v>1064</v>
      </c>
      <c r="AA18" t="s">
        <v>1030</v>
      </c>
      <c r="AB18" t="s">
        <v>878</v>
      </c>
      <c r="AC18" s="49">
        <v>0</v>
      </c>
      <c r="AD18" t="s">
        <v>1065</v>
      </c>
      <c r="BK18" s="35">
        <v>46220</v>
      </c>
      <c r="BL18">
        <v>364332.89015556301</v>
      </c>
      <c r="BO18" s="658">
        <v>46216</v>
      </c>
      <c r="BP18" s="847" t="s">
        <v>3068</v>
      </c>
      <c r="BQ18" s="500">
        <v>8540.9079846709992</v>
      </c>
      <c r="BR18" s="643">
        <v>4.4999999999999998E-2</v>
      </c>
      <c r="BS18"/>
    </row>
    <row r="19" spans="12:71" x14ac:dyDescent="0.3">
      <c r="L19" s="36" t="s">
        <v>985</v>
      </c>
      <c r="M19" t="s">
        <v>855</v>
      </c>
      <c r="N19" t="s">
        <v>876</v>
      </c>
      <c r="O19" t="s">
        <v>982</v>
      </c>
      <c r="R19" s="502">
        <v>46220</v>
      </c>
      <c r="S19" s="500">
        <v>36652.699999999997</v>
      </c>
      <c r="T19" s="643">
        <v>3.9302346806999999</v>
      </c>
      <c r="U19" s="32"/>
      <c r="W19">
        <v>2473</v>
      </c>
      <c r="X19" s="35">
        <v>46251</v>
      </c>
      <c r="Y19" t="s">
        <v>852</v>
      </c>
      <c r="Z19" t="s">
        <v>1064</v>
      </c>
      <c r="AA19" t="s">
        <v>1030</v>
      </c>
      <c r="AB19" t="s">
        <v>879</v>
      </c>
      <c r="AC19" s="49">
        <v>-9.2280254899999997E-2</v>
      </c>
      <c r="AD19" t="s">
        <v>1065</v>
      </c>
      <c r="BK19" s="35">
        <v>46221</v>
      </c>
      <c r="BL19">
        <v>368518.420627254</v>
      </c>
      <c r="BO19" s="658">
        <v>46216</v>
      </c>
      <c r="BP19" s="847" t="s">
        <v>811</v>
      </c>
      <c r="BQ19" s="500">
        <v>28966.018812999999</v>
      </c>
      <c r="BR19" s="643">
        <v>4.5695559599999998E-2</v>
      </c>
      <c r="BS19"/>
    </row>
    <row r="20" spans="12:71" x14ac:dyDescent="0.3">
      <c r="M20" s="35">
        <v>46251</v>
      </c>
      <c r="N20" t="s">
        <v>915</v>
      </c>
      <c r="O20">
        <v>3.8224999999999998</v>
      </c>
      <c r="R20" s="502">
        <v>46223</v>
      </c>
      <c r="S20" s="500">
        <v>35448.199999999997</v>
      </c>
      <c r="T20" s="643">
        <v>3.922434934</v>
      </c>
      <c r="U20" s="32"/>
      <c r="W20">
        <v>2473</v>
      </c>
      <c r="X20" s="35">
        <v>46251</v>
      </c>
      <c r="Y20" t="s">
        <v>852</v>
      </c>
      <c r="Z20" t="s">
        <v>1064</v>
      </c>
      <c r="AA20" t="s">
        <v>1030</v>
      </c>
      <c r="AB20" t="s">
        <v>880</v>
      </c>
      <c r="AC20" s="49">
        <v>-0.28856477479999998</v>
      </c>
      <c r="AD20" t="s">
        <v>1065</v>
      </c>
      <c r="BK20" s="35">
        <v>46222</v>
      </c>
      <c r="BL20">
        <v>371584.81738793402</v>
      </c>
      <c r="BO20" s="658">
        <v>46217</v>
      </c>
      <c r="BP20" s="847" t="s">
        <v>3068</v>
      </c>
      <c r="BQ20" s="500">
        <v>8759.7994102320008</v>
      </c>
      <c r="BR20" s="643">
        <v>4.4999999999999998E-2</v>
      </c>
      <c r="BS20"/>
    </row>
    <row r="21" spans="12:71" x14ac:dyDescent="0.3">
      <c r="M21">
        <v>46251</v>
      </c>
      <c r="N21" t="s">
        <v>917</v>
      </c>
      <c r="O21">
        <v>3.7391999999999999</v>
      </c>
      <c r="R21" s="502">
        <v>46224</v>
      </c>
      <c r="S21" s="500">
        <v>35338.199999999997</v>
      </c>
      <c r="T21" s="643">
        <v>3.9207265058999998</v>
      </c>
      <c r="U21" s="32"/>
      <c r="W21">
        <v>2473</v>
      </c>
      <c r="X21" s="35">
        <v>46251</v>
      </c>
      <c r="Y21" t="s">
        <v>852</v>
      </c>
      <c r="Z21" t="s">
        <v>1064</v>
      </c>
      <c r="AA21" t="s">
        <v>1030</v>
      </c>
      <c r="AB21" t="s">
        <v>881</v>
      </c>
      <c r="AC21" s="49">
        <v>-4.6767720999999998E-2</v>
      </c>
      <c r="AD21" t="s">
        <v>1065</v>
      </c>
      <c r="BK21" s="35">
        <v>46223</v>
      </c>
      <c r="BL21">
        <v>360299.29886208498</v>
      </c>
      <c r="BO21" s="658">
        <v>46217</v>
      </c>
      <c r="BP21" s="847" t="s">
        <v>811</v>
      </c>
      <c r="BQ21" s="500">
        <v>30095.782233000002</v>
      </c>
      <c r="BR21" s="643">
        <v>4.5708082599999998E-2</v>
      </c>
      <c r="BS21"/>
    </row>
    <row r="22" spans="12:71" x14ac:dyDescent="0.3">
      <c r="M22">
        <v>46251</v>
      </c>
      <c r="N22" t="s">
        <v>983</v>
      </c>
      <c r="O22">
        <v>3.8574000000000002</v>
      </c>
      <c r="R22" s="502">
        <v>46225</v>
      </c>
      <c r="S22" s="500">
        <v>36811.199999999997</v>
      </c>
      <c r="T22" s="643">
        <v>3.9525213105999999</v>
      </c>
      <c r="U22" s="32"/>
      <c r="W22">
        <v>2473</v>
      </c>
      <c r="X22" s="35">
        <v>46251</v>
      </c>
      <c r="Y22" t="s">
        <v>852</v>
      </c>
      <c r="Z22" t="s">
        <v>1064</v>
      </c>
      <c r="AA22" t="s">
        <v>1030</v>
      </c>
      <c r="AB22" t="s">
        <v>882</v>
      </c>
      <c r="AC22" s="49">
        <v>-2.7055362318</v>
      </c>
      <c r="AD22" t="s">
        <v>1065</v>
      </c>
      <c r="BK22" s="35">
        <v>46224</v>
      </c>
      <c r="BL22">
        <v>363700.38141228602</v>
      </c>
      <c r="BO22" s="658">
        <v>46218</v>
      </c>
      <c r="BP22" s="847" t="s">
        <v>3068</v>
      </c>
      <c r="BQ22" s="500">
        <v>8538.8561924309997</v>
      </c>
      <c r="BR22" s="643">
        <v>4.4999999999999998E-2</v>
      </c>
      <c r="BS22"/>
    </row>
    <row r="23" spans="12:71" x14ac:dyDescent="0.3">
      <c r="M23">
        <v>46251</v>
      </c>
      <c r="N23" t="s">
        <v>877</v>
      </c>
      <c r="O23">
        <v>3.5289999999999999</v>
      </c>
      <c r="R23" s="502">
        <v>46226</v>
      </c>
      <c r="S23" s="500">
        <v>36917.199999999997</v>
      </c>
      <c r="T23" s="643">
        <v>3.9671878731999999</v>
      </c>
      <c r="U23" s="32"/>
      <c r="W23">
        <v>2473</v>
      </c>
      <c r="X23" s="35">
        <v>46251</v>
      </c>
      <c r="Y23" t="s">
        <v>852</v>
      </c>
      <c r="Z23" t="s">
        <v>1064</v>
      </c>
      <c r="AA23" t="s">
        <v>1030</v>
      </c>
      <c r="AB23" t="s">
        <v>883</v>
      </c>
      <c r="AC23" s="49">
        <v>-4.1403544094000004</v>
      </c>
      <c r="AD23" t="s">
        <v>1065</v>
      </c>
      <c r="BK23" s="35">
        <v>46225</v>
      </c>
      <c r="BL23">
        <v>369239.43639231898</v>
      </c>
      <c r="BO23" s="658">
        <v>46218</v>
      </c>
      <c r="BP23" s="847" t="s">
        <v>811</v>
      </c>
      <c r="BQ23" s="500">
        <v>29598.644493</v>
      </c>
      <c r="BR23" s="643">
        <v>4.5651278599999998E-2</v>
      </c>
      <c r="BS23"/>
    </row>
    <row r="24" spans="12:71" x14ac:dyDescent="0.3">
      <c r="M24">
        <v>46251</v>
      </c>
      <c r="N24" t="s">
        <v>878</v>
      </c>
      <c r="O24">
        <v>3.633</v>
      </c>
      <c r="R24" s="502">
        <v>46227</v>
      </c>
      <c r="S24" s="500">
        <v>36180.199999999997</v>
      </c>
      <c r="T24" s="643">
        <v>3.9539086209000001</v>
      </c>
      <c r="U24" s="32"/>
      <c r="W24">
        <v>2473</v>
      </c>
      <c r="X24" s="35">
        <v>46251</v>
      </c>
      <c r="Y24" t="s">
        <v>852</v>
      </c>
      <c r="Z24" t="s">
        <v>1064</v>
      </c>
      <c r="AA24" t="s">
        <v>1030</v>
      </c>
      <c r="AB24" t="s">
        <v>884</v>
      </c>
      <c r="AC24" s="49">
        <v>-3.3630192995999999</v>
      </c>
      <c r="AD24" t="s">
        <v>1065</v>
      </c>
      <c r="BK24" s="35">
        <v>46226</v>
      </c>
      <c r="BL24">
        <v>375471.70256442402</v>
      </c>
      <c r="BO24" s="658">
        <v>46219</v>
      </c>
      <c r="BP24" s="847" t="s">
        <v>3068</v>
      </c>
      <c r="BQ24" s="500">
        <v>8732.8338810320001</v>
      </c>
      <c r="BR24" s="643">
        <v>4.4999999999999998E-2</v>
      </c>
      <c r="BS24"/>
    </row>
    <row r="25" spans="12:71" x14ac:dyDescent="0.3">
      <c r="M25">
        <v>46251</v>
      </c>
      <c r="N25" t="s">
        <v>879</v>
      </c>
      <c r="O25">
        <v>3.7040000000000002</v>
      </c>
      <c r="R25" s="502">
        <v>46230</v>
      </c>
      <c r="S25" s="500">
        <v>38744.199999999997</v>
      </c>
      <c r="T25" s="643">
        <v>3.9284587558999999</v>
      </c>
      <c r="W25">
        <v>2473</v>
      </c>
      <c r="X25" s="35">
        <v>46251</v>
      </c>
      <c r="Y25" t="s">
        <v>852</v>
      </c>
      <c r="Z25" t="s">
        <v>1064</v>
      </c>
      <c r="AA25" t="s">
        <v>1030</v>
      </c>
      <c r="AB25" t="s">
        <v>885</v>
      </c>
      <c r="AC25" s="49">
        <v>0</v>
      </c>
      <c r="AD25" t="s">
        <v>1065</v>
      </c>
      <c r="BK25" s="35">
        <v>46227</v>
      </c>
      <c r="BL25">
        <v>375546.09801933798</v>
      </c>
      <c r="BO25" s="658">
        <v>46219</v>
      </c>
      <c r="BP25" s="847" t="s">
        <v>811</v>
      </c>
      <c r="BQ25" s="500">
        <v>28075.423618000001</v>
      </c>
      <c r="BR25" s="643">
        <v>4.5554461900000003E-2</v>
      </c>
      <c r="BS25"/>
    </row>
    <row r="26" spans="12:71" x14ac:dyDescent="0.3">
      <c r="M26">
        <v>46251</v>
      </c>
      <c r="N26" t="s">
        <v>880</v>
      </c>
      <c r="O26">
        <v>3.976</v>
      </c>
      <c r="R26" s="502">
        <v>46231</v>
      </c>
      <c r="S26" s="500">
        <v>41122.199999999997</v>
      </c>
      <c r="T26" s="643">
        <v>3.9662796915</v>
      </c>
      <c r="W26">
        <v>2473</v>
      </c>
      <c r="X26" s="35">
        <v>46251</v>
      </c>
      <c r="Y26" t="s">
        <v>852</v>
      </c>
      <c r="Z26" t="s">
        <v>1064</v>
      </c>
      <c r="AA26" t="s">
        <v>1030</v>
      </c>
      <c r="AB26" t="s">
        <v>886</v>
      </c>
      <c r="AC26" s="49">
        <v>0</v>
      </c>
      <c r="AD26" t="s">
        <v>1065</v>
      </c>
      <c r="BK26" s="35">
        <v>46228</v>
      </c>
      <c r="BL26">
        <v>378928.52711151098</v>
      </c>
      <c r="BO26" s="658">
        <v>46220</v>
      </c>
      <c r="BP26" s="847" t="s">
        <v>3068</v>
      </c>
      <c r="BQ26" s="500">
        <v>9437.4964373830007</v>
      </c>
      <c r="BR26" s="643">
        <v>4.4999999999999998E-2</v>
      </c>
      <c r="BS26"/>
    </row>
    <row r="27" spans="12:71" x14ac:dyDescent="0.3">
      <c r="M27">
        <v>46251</v>
      </c>
      <c r="N27" t="s">
        <v>881</v>
      </c>
      <c r="O27">
        <v>4.2480000000000002</v>
      </c>
      <c r="R27" s="502">
        <v>46232</v>
      </c>
      <c r="S27" s="500">
        <v>40874.199999999997</v>
      </c>
      <c r="T27" s="643">
        <v>3.9422434379000002</v>
      </c>
      <c r="W27">
        <v>2464</v>
      </c>
      <c r="X27" s="35">
        <v>46238</v>
      </c>
      <c r="Y27" t="s">
        <v>852</v>
      </c>
      <c r="Z27" t="s">
        <v>1064</v>
      </c>
      <c r="AA27" t="s">
        <v>1030</v>
      </c>
      <c r="AB27" t="s">
        <v>915</v>
      </c>
      <c r="AC27" s="49">
        <v>0</v>
      </c>
      <c r="AD27" t="s">
        <v>1065</v>
      </c>
      <c r="BK27" s="35">
        <v>46229</v>
      </c>
      <c r="BL27">
        <v>382071.44505436101</v>
      </c>
      <c r="BO27" s="658">
        <v>46220</v>
      </c>
      <c r="BP27" s="847" t="s">
        <v>811</v>
      </c>
      <c r="BQ27" s="500">
        <v>27927.257538000002</v>
      </c>
      <c r="BR27" s="643">
        <v>4.5569794099999998E-2</v>
      </c>
      <c r="BS27"/>
    </row>
    <row r="28" spans="12:71" x14ac:dyDescent="0.3">
      <c r="M28">
        <v>46251</v>
      </c>
      <c r="N28" t="s">
        <v>882</v>
      </c>
      <c r="O28">
        <v>4.3109999999999999</v>
      </c>
      <c r="R28" s="502">
        <v>46233</v>
      </c>
      <c r="S28" s="500">
        <v>41024.199999999997</v>
      </c>
      <c r="T28" s="643">
        <v>3.9405609792999998</v>
      </c>
      <c r="W28">
        <v>2464</v>
      </c>
      <c r="X28" s="35">
        <v>46238</v>
      </c>
      <c r="Y28" t="s">
        <v>852</v>
      </c>
      <c r="Z28" t="s">
        <v>1064</v>
      </c>
      <c r="AA28" t="s">
        <v>1030</v>
      </c>
      <c r="AB28" t="s">
        <v>917</v>
      </c>
      <c r="AC28" s="49">
        <v>-2.8170393E-3</v>
      </c>
      <c r="AD28" t="s">
        <v>1065</v>
      </c>
      <c r="BK28" s="35">
        <v>46230</v>
      </c>
      <c r="BL28">
        <v>369640.41739923699</v>
      </c>
      <c r="BO28" s="658">
        <v>46223</v>
      </c>
      <c r="BP28" s="847" t="s">
        <v>3068</v>
      </c>
      <c r="BQ28" s="500">
        <v>9291.9702988709996</v>
      </c>
      <c r="BR28" s="643">
        <v>4.4999999999999998E-2</v>
      </c>
      <c r="BS28"/>
    </row>
    <row r="29" spans="12:71" x14ac:dyDescent="0.3">
      <c r="M29">
        <v>46251</v>
      </c>
      <c r="N29" t="s">
        <v>883</v>
      </c>
      <c r="O29">
        <v>4.4530000000000003</v>
      </c>
      <c r="R29" s="502">
        <v>46234</v>
      </c>
      <c r="S29" s="500">
        <v>41024.199999999997</v>
      </c>
      <c r="T29" s="643">
        <v>3.9405609792999998</v>
      </c>
      <c r="W29">
        <v>2464</v>
      </c>
      <c r="X29" s="35">
        <v>46238</v>
      </c>
      <c r="Y29" t="s">
        <v>852</v>
      </c>
      <c r="Z29" t="s">
        <v>1064</v>
      </c>
      <c r="AA29" t="s">
        <v>1030</v>
      </c>
      <c r="AB29" t="s">
        <v>877</v>
      </c>
      <c r="AC29" s="49">
        <v>0</v>
      </c>
      <c r="AD29" t="s">
        <v>1065</v>
      </c>
      <c r="BK29" s="35">
        <v>46231</v>
      </c>
      <c r="BL29">
        <v>371560.37873389001</v>
      </c>
      <c r="BO29" s="658">
        <v>46223</v>
      </c>
      <c r="BP29" s="847" t="s">
        <v>811</v>
      </c>
      <c r="BQ29" s="500">
        <v>26937.284348000001</v>
      </c>
      <c r="BR29" s="643">
        <v>4.5587296300000003E-2</v>
      </c>
      <c r="BS29"/>
    </row>
    <row r="30" spans="12:71" x14ac:dyDescent="0.3">
      <c r="M30">
        <v>46251</v>
      </c>
      <c r="N30" t="s">
        <v>884</v>
      </c>
      <c r="O30">
        <v>4.5780000000000003</v>
      </c>
      <c r="R30" s="502">
        <v>46237</v>
      </c>
      <c r="S30" s="500">
        <v>40454.199999999997</v>
      </c>
      <c r="T30" s="643">
        <v>3.9411898327000001</v>
      </c>
      <c r="W30">
        <v>2464</v>
      </c>
      <c r="X30" s="35">
        <v>46238</v>
      </c>
      <c r="Y30" t="s">
        <v>852</v>
      </c>
      <c r="Z30" t="s">
        <v>1064</v>
      </c>
      <c r="AA30" t="s">
        <v>1030</v>
      </c>
      <c r="AB30" t="s">
        <v>878</v>
      </c>
      <c r="AC30" s="49">
        <v>0</v>
      </c>
      <c r="AD30" t="s">
        <v>1065</v>
      </c>
      <c r="BK30" s="35">
        <v>46232</v>
      </c>
      <c r="BL30">
        <v>371412.47320666199</v>
      </c>
      <c r="BO30" s="658">
        <v>46224</v>
      </c>
      <c r="BP30" s="847" t="s">
        <v>3068</v>
      </c>
      <c r="BQ30" s="500">
        <v>9242.5952525379998</v>
      </c>
      <c r="BR30" s="643">
        <v>4.4999999999999998E-2</v>
      </c>
      <c r="BS30"/>
    </row>
    <row r="31" spans="12:71" x14ac:dyDescent="0.3">
      <c r="M31">
        <v>46251</v>
      </c>
      <c r="N31" t="s">
        <v>885</v>
      </c>
      <c r="O31">
        <v>4.6660000000000004</v>
      </c>
      <c r="R31" s="502">
        <v>46238</v>
      </c>
      <c r="S31" s="500">
        <v>40219.199999999997</v>
      </c>
      <c r="T31" s="643">
        <v>3.9425284001000001</v>
      </c>
      <c r="W31">
        <v>2464</v>
      </c>
      <c r="X31" s="35">
        <v>46238</v>
      </c>
      <c r="Y31" t="s">
        <v>852</v>
      </c>
      <c r="Z31" t="s">
        <v>1064</v>
      </c>
      <c r="AA31" t="s">
        <v>1030</v>
      </c>
      <c r="AB31" t="s">
        <v>879</v>
      </c>
      <c r="AC31" s="49">
        <v>-9.33880079E-2</v>
      </c>
      <c r="AD31" t="s">
        <v>1065</v>
      </c>
      <c r="BK31" s="35">
        <v>46233</v>
      </c>
      <c r="BL31">
        <v>370393.91421797202</v>
      </c>
      <c r="BO31" s="658">
        <v>46224</v>
      </c>
      <c r="BP31" s="847" t="s">
        <v>811</v>
      </c>
      <c r="BQ31" s="500">
        <v>28282.026517999999</v>
      </c>
      <c r="BR31" s="643">
        <v>4.5574864100000001E-2</v>
      </c>
      <c r="BS31"/>
    </row>
    <row r="32" spans="12:71" x14ac:dyDescent="0.3">
      <c r="M32">
        <v>46251</v>
      </c>
      <c r="N32" t="s">
        <v>886</v>
      </c>
      <c r="O32">
        <v>4.7329999999999997</v>
      </c>
      <c r="R32" s="502">
        <v>46239</v>
      </c>
      <c r="S32" s="500">
        <v>39434.199999999997</v>
      </c>
      <c r="T32" s="643">
        <v>3.9300189486999999</v>
      </c>
      <c r="W32">
        <v>2464</v>
      </c>
      <c r="X32" s="35">
        <v>46238</v>
      </c>
      <c r="Y32" t="s">
        <v>852</v>
      </c>
      <c r="Z32" t="s">
        <v>1064</v>
      </c>
      <c r="AA32" t="s">
        <v>1030</v>
      </c>
      <c r="AB32" t="s">
        <v>880</v>
      </c>
      <c r="AC32" s="49">
        <v>-0.29093594099999998</v>
      </c>
      <c r="AD32" t="s">
        <v>1065</v>
      </c>
      <c r="BK32" s="35">
        <v>46234</v>
      </c>
      <c r="BL32">
        <v>378732.37940153002</v>
      </c>
      <c r="BO32" s="658">
        <v>46225</v>
      </c>
      <c r="BP32" s="847" t="s">
        <v>3068</v>
      </c>
      <c r="BQ32" s="500">
        <v>9096.2517426100003</v>
      </c>
      <c r="BR32" s="643">
        <v>4.4999999999999998E-2</v>
      </c>
      <c r="BS32"/>
    </row>
    <row r="33" spans="12:71" x14ac:dyDescent="0.3">
      <c r="R33" s="502">
        <v>46240</v>
      </c>
      <c r="S33" s="500">
        <v>39193.199999999997</v>
      </c>
      <c r="T33" s="643">
        <v>3.9202568270999998</v>
      </c>
      <c r="W33">
        <v>2464</v>
      </c>
      <c r="X33" s="35">
        <v>46238</v>
      </c>
      <c r="Y33" t="s">
        <v>852</v>
      </c>
      <c r="Z33" t="s">
        <v>1064</v>
      </c>
      <c r="AA33" t="s">
        <v>1030</v>
      </c>
      <c r="AB33" t="s">
        <v>881</v>
      </c>
      <c r="AC33" s="49">
        <v>-4.3020234300000001E-2</v>
      </c>
      <c r="AD33" t="s">
        <v>1065</v>
      </c>
      <c r="BL33" s="395"/>
      <c r="BO33" s="658">
        <v>46225</v>
      </c>
      <c r="BP33" s="847" t="s">
        <v>811</v>
      </c>
      <c r="BQ33" s="500">
        <v>28204.045168000001</v>
      </c>
      <c r="BR33" s="643">
        <v>4.5652921499999999E-2</v>
      </c>
      <c r="BS33"/>
    </row>
    <row r="34" spans="12:71" x14ac:dyDescent="0.3">
      <c r="R34" s="502">
        <v>46241</v>
      </c>
      <c r="S34" s="500">
        <v>39969.199999999997</v>
      </c>
      <c r="T34" s="643">
        <v>3.9106816817999999</v>
      </c>
      <c r="W34">
        <v>2464</v>
      </c>
      <c r="X34" s="35">
        <v>46238</v>
      </c>
      <c r="Y34" t="s">
        <v>852</v>
      </c>
      <c r="Z34" t="s">
        <v>1064</v>
      </c>
      <c r="AA34" t="s">
        <v>1030</v>
      </c>
      <c r="AB34" t="s">
        <v>882</v>
      </c>
      <c r="AC34" s="49">
        <v>-2.7047461334</v>
      </c>
      <c r="AD34" t="s">
        <v>1065</v>
      </c>
      <c r="BO34" s="658">
        <v>46226</v>
      </c>
      <c r="BP34" s="847" t="s">
        <v>3068</v>
      </c>
      <c r="BQ34" s="500">
        <v>8981.3920374869995</v>
      </c>
      <c r="BR34" s="643">
        <v>4.4999999999999998E-2</v>
      </c>
      <c r="BS34"/>
    </row>
    <row r="35" spans="12:71" x14ac:dyDescent="0.3">
      <c r="R35" s="502">
        <v>46244</v>
      </c>
      <c r="S35" s="500">
        <v>41045.199999999997</v>
      </c>
      <c r="T35" s="643">
        <v>3.8689106149999999</v>
      </c>
      <c r="W35">
        <v>2464</v>
      </c>
      <c r="X35" s="35">
        <v>46238</v>
      </c>
      <c r="Y35" t="s">
        <v>852</v>
      </c>
      <c r="Z35" t="s">
        <v>1064</v>
      </c>
      <c r="AA35" t="s">
        <v>1030</v>
      </c>
      <c r="AB35" t="s">
        <v>883</v>
      </c>
      <c r="AC35" s="70">
        <v>-4.1409073250999997</v>
      </c>
      <c r="AD35" t="s">
        <v>1065</v>
      </c>
      <c r="BO35" s="658">
        <v>46226</v>
      </c>
      <c r="BP35" s="847" t="s">
        <v>811</v>
      </c>
      <c r="BQ35" s="500">
        <v>27816.474667999999</v>
      </c>
      <c r="BR35" s="643">
        <v>4.5659232100000002E-2</v>
      </c>
      <c r="BS35"/>
    </row>
    <row r="36" spans="12:71" x14ac:dyDescent="0.3">
      <c r="R36" s="502">
        <v>46245</v>
      </c>
      <c r="S36" s="500">
        <v>40668.699999999997</v>
      </c>
      <c r="T36" s="643">
        <v>3.8733625213999998</v>
      </c>
      <c r="W36">
        <v>2464</v>
      </c>
      <c r="X36" s="35">
        <v>46238</v>
      </c>
      <c r="Y36" t="s">
        <v>852</v>
      </c>
      <c r="Z36" t="s">
        <v>1064</v>
      </c>
      <c r="AA36" t="s">
        <v>1030</v>
      </c>
      <c r="AB36" t="s">
        <v>884</v>
      </c>
      <c r="AC36" s="70">
        <v>-3.2734262030000001</v>
      </c>
      <c r="AD36" t="s">
        <v>1065</v>
      </c>
      <c r="BL36" s="35"/>
      <c r="BO36" s="658">
        <v>46227</v>
      </c>
      <c r="BP36" s="847" t="s">
        <v>3068</v>
      </c>
      <c r="BQ36" s="500">
        <v>8981.3920374869995</v>
      </c>
      <c r="BR36" s="643">
        <v>4.4999999999999998E-2</v>
      </c>
      <c r="BS36"/>
    </row>
    <row r="37" spans="12:71" x14ac:dyDescent="0.3">
      <c r="L37" s="36" t="s">
        <v>988</v>
      </c>
      <c r="M37" t="s">
        <v>855</v>
      </c>
      <c r="N37" t="s">
        <v>876</v>
      </c>
      <c r="O37" t="s">
        <v>982</v>
      </c>
      <c r="R37" s="502">
        <v>46246</v>
      </c>
      <c r="S37" s="500">
        <v>40618.699999999997</v>
      </c>
      <c r="T37" s="643">
        <v>3.9070584357999998</v>
      </c>
      <c r="W37">
        <v>2464</v>
      </c>
      <c r="X37" s="35">
        <v>46238</v>
      </c>
      <c r="Y37" t="s">
        <v>852</v>
      </c>
      <c r="Z37" t="s">
        <v>1064</v>
      </c>
      <c r="AA37" t="s">
        <v>1030</v>
      </c>
      <c r="AB37" t="s">
        <v>885</v>
      </c>
      <c r="AC37" s="70">
        <v>0</v>
      </c>
      <c r="AD37" t="s">
        <v>1065</v>
      </c>
      <c r="BO37" s="658">
        <v>46227</v>
      </c>
      <c r="BP37" s="847" t="s">
        <v>811</v>
      </c>
      <c r="BQ37" s="500">
        <v>27510.207868000001</v>
      </c>
      <c r="BR37" s="643">
        <v>4.5666571199999999E-2</v>
      </c>
      <c r="BS37"/>
    </row>
    <row r="38" spans="12:71" x14ac:dyDescent="0.3">
      <c r="M38" s="35">
        <v>46234</v>
      </c>
      <c r="N38" t="s">
        <v>915</v>
      </c>
      <c r="O38">
        <v>3.8258000000000001</v>
      </c>
      <c r="R38" s="502">
        <v>46247</v>
      </c>
      <c r="S38" s="500">
        <v>39918.699999999997</v>
      </c>
      <c r="T38" s="643">
        <v>3.9232721938999999</v>
      </c>
      <c r="W38">
        <v>2464</v>
      </c>
      <c r="X38" s="35">
        <v>46238</v>
      </c>
      <c r="Y38" t="s">
        <v>852</v>
      </c>
      <c r="Z38" t="s">
        <v>1064</v>
      </c>
      <c r="AA38" t="s">
        <v>1030</v>
      </c>
      <c r="AB38" t="s">
        <v>886</v>
      </c>
      <c r="AC38" s="70">
        <v>0</v>
      </c>
      <c r="AD38" t="s">
        <v>1065</v>
      </c>
      <c r="BO38" s="658">
        <v>46230</v>
      </c>
      <c r="BP38" s="847" t="s">
        <v>3068</v>
      </c>
      <c r="BQ38" s="500">
        <v>8585.7708802950001</v>
      </c>
      <c r="BR38" s="643">
        <v>4.4999999999999998E-2</v>
      </c>
      <c r="BS38"/>
    </row>
    <row r="39" spans="12:71" x14ac:dyDescent="0.3">
      <c r="M39">
        <v>46234</v>
      </c>
      <c r="N39" t="s">
        <v>917</v>
      </c>
      <c r="O39">
        <v>3.7429999999999999</v>
      </c>
      <c r="R39" s="502">
        <v>46248</v>
      </c>
      <c r="S39" s="500">
        <v>38717.699999999997</v>
      </c>
      <c r="T39" s="643">
        <v>3.9071443812000002</v>
      </c>
      <c r="W39">
        <v>2462</v>
      </c>
      <c r="X39">
        <v>46234</v>
      </c>
      <c r="Y39" t="s">
        <v>852</v>
      </c>
      <c r="Z39" t="s">
        <v>1064</v>
      </c>
      <c r="AA39" t="s">
        <v>1030</v>
      </c>
      <c r="AB39" t="s">
        <v>917</v>
      </c>
      <c r="AC39">
        <v>-2.8729134000000001E-3</v>
      </c>
      <c r="AD39" t="s">
        <v>1065</v>
      </c>
      <c r="BO39" s="658">
        <v>46230</v>
      </c>
      <c r="BP39" s="847" t="s">
        <v>811</v>
      </c>
      <c r="BQ39" s="500">
        <v>27510.207868000001</v>
      </c>
      <c r="BR39" s="643">
        <v>4.5666571199999999E-2</v>
      </c>
      <c r="BS39"/>
    </row>
    <row r="40" spans="12:71" x14ac:dyDescent="0.3">
      <c r="M40">
        <v>46234</v>
      </c>
      <c r="N40" t="s">
        <v>983</v>
      </c>
      <c r="O40">
        <v>3.7801</v>
      </c>
      <c r="R40" s="502">
        <v>46251</v>
      </c>
      <c r="S40" s="500">
        <v>38947.699999999997</v>
      </c>
      <c r="T40" s="643">
        <v>3.9087754010000002</v>
      </c>
      <c r="W40">
        <v>2462</v>
      </c>
      <c r="X40">
        <v>46234</v>
      </c>
      <c r="Y40" t="s">
        <v>852</v>
      </c>
      <c r="Z40" t="s">
        <v>1064</v>
      </c>
      <c r="AA40" t="s">
        <v>1030</v>
      </c>
      <c r="AB40" t="s">
        <v>877</v>
      </c>
      <c r="AC40">
        <v>0</v>
      </c>
      <c r="AD40" t="s">
        <v>1065</v>
      </c>
      <c r="BO40" s="658">
        <v>46231</v>
      </c>
      <c r="BP40" s="847" t="s">
        <v>3068</v>
      </c>
      <c r="BQ40" s="500">
        <v>8539.5106313180004</v>
      </c>
      <c r="BR40" s="643">
        <v>4.4999999999999998E-2</v>
      </c>
      <c r="BS40"/>
    </row>
    <row r="41" spans="12:71" x14ac:dyDescent="0.3">
      <c r="M41">
        <v>46234</v>
      </c>
      <c r="N41" t="s">
        <v>877</v>
      </c>
      <c r="O41">
        <v>3.4670000000000001</v>
      </c>
      <c r="W41">
        <v>2462</v>
      </c>
      <c r="X41">
        <v>46234</v>
      </c>
      <c r="Y41" t="s">
        <v>852</v>
      </c>
      <c r="Z41" t="s">
        <v>1064</v>
      </c>
      <c r="AA41" t="s">
        <v>1030</v>
      </c>
      <c r="AB41" t="s">
        <v>878</v>
      </c>
      <c r="AC41">
        <v>0</v>
      </c>
      <c r="AD41" t="s">
        <v>1065</v>
      </c>
      <c r="BO41" s="658">
        <v>46231</v>
      </c>
      <c r="BP41" s="847" t="s">
        <v>811</v>
      </c>
      <c r="BQ41" s="500">
        <v>27920.087867999999</v>
      </c>
      <c r="BR41" s="643">
        <v>4.5671466100000002E-2</v>
      </c>
      <c r="BS41"/>
    </row>
    <row r="42" spans="12:71" x14ac:dyDescent="0.3">
      <c r="M42">
        <v>46234</v>
      </c>
      <c r="N42" t="s">
        <v>878</v>
      </c>
      <c r="O42">
        <v>3.5710000000000002</v>
      </c>
      <c r="W42">
        <v>2462</v>
      </c>
      <c r="X42">
        <v>46234</v>
      </c>
      <c r="Y42" t="s">
        <v>852</v>
      </c>
      <c r="Z42" t="s">
        <v>1064</v>
      </c>
      <c r="AA42" t="s">
        <v>1030</v>
      </c>
      <c r="AB42" t="s">
        <v>879</v>
      </c>
      <c r="AC42">
        <v>-9.3838348599999996E-2</v>
      </c>
      <c r="AD42" t="s">
        <v>1065</v>
      </c>
      <c r="BO42" s="658">
        <v>46232</v>
      </c>
      <c r="BP42" s="847" t="s">
        <v>3068</v>
      </c>
      <c r="BQ42" s="500">
        <v>8539.5106313180004</v>
      </c>
      <c r="BR42" s="643">
        <v>4.4999999999999998E-2</v>
      </c>
      <c r="BS42"/>
    </row>
    <row r="43" spans="12:71" x14ac:dyDescent="0.3">
      <c r="M43">
        <v>46234</v>
      </c>
      <c r="N43" t="s">
        <v>879</v>
      </c>
      <c r="O43">
        <v>3.6419999999999999</v>
      </c>
      <c r="W43">
        <v>2462</v>
      </c>
      <c r="X43">
        <v>46234</v>
      </c>
      <c r="Y43" t="s">
        <v>852</v>
      </c>
      <c r="Z43" t="s">
        <v>1064</v>
      </c>
      <c r="AA43" t="s">
        <v>1030</v>
      </c>
      <c r="AB43" t="s">
        <v>880</v>
      </c>
      <c r="AC43">
        <v>-0.29186314250000001</v>
      </c>
      <c r="AD43" t="s">
        <v>1065</v>
      </c>
      <c r="BO43" s="658">
        <v>46232</v>
      </c>
      <c r="BP43" s="847" t="s">
        <v>811</v>
      </c>
      <c r="BQ43" s="500">
        <v>28366.248368</v>
      </c>
      <c r="BR43" s="643">
        <v>4.5676633500000001E-2</v>
      </c>
      <c r="BS43"/>
    </row>
    <row r="44" spans="12:71" x14ac:dyDescent="0.3">
      <c r="M44">
        <v>46234</v>
      </c>
      <c r="N44" t="s">
        <v>880</v>
      </c>
      <c r="O44">
        <v>3.9279999999999999</v>
      </c>
      <c r="W44">
        <v>2462</v>
      </c>
      <c r="X44">
        <v>46234</v>
      </c>
      <c r="Y44" t="s">
        <v>852</v>
      </c>
      <c r="Z44" t="s">
        <v>1064</v>
      </c>
      <c r="AA44" t="s">
        <v>1030</v>
      </c>
      <c r="AB44" t="s">
        <v>881</v>
      </c>
      <c r="AC44">
        <v>-4.3132857400000002E-2</v>
      </c>
      <c r="AD44" t="s">
        <v>1065</v>
      </c>
      <c r="BO44" s="658">
        <v>46233</v>
      </c>
      <c r="BP44" s="847" t="s">
        <v>3068</v>
      </c>
      <c r="BQ44" s="500">
        <v>8539.5106313180004</v>
      </c>
      <c r="BR44" s="643">
        <v>4.4999999999999998E-2</v>
      </c>
      <c r="BS44"/>
    </row>
    <row r="45" spans="12:71" x14ac:dyDescent="0.3">
      <c r="M45">
        <v>46234</v>
      </c>
      <c r="N45" t="s">
        <v>881</v>
      </c>
      <c r="O45">
        <v>4.2140000000000004</v>
      </c>
      <c r="W45">
        <v>2462</v>
      </c>
      <c r="X45">
        <v>46234</v>
      </c>
      <c r="Y45" t="s">
        <v>852</v>
      </c>
      <c r="Z45" t="s">
        <v>1064</v>
      </c>
      <c r="AA45" t="s">
        <v>1030</v>
      </c>
      <c r="AB45" t="s">
        <v>882</v>
      </c>
      <c r="AC45">
        <v>-2.7100433783</v>
      </c>
      <c r="AD45" t="s">
        <v>1065</v>
      </c>
      <c r="BO45" s="658">
        <v>46233</v>
      </c>
      <c r="BP45" s="847" t="s">
        <v>811</v>
      </c>
      <c r="BQ45" s="500">
        <v>29216.400367999999</v>
      </c>
      <c r="BR45" s="643">
        <v>4.5671493700000003E-2</v>
      </c>
      <c r="BS45"/>
    </row>
    <row r="46" spans="12:71" x14ac:dyDescent="0.3">
      <c r="M46">
        <v>46234</v>
      </c>
      <c r="N46" t="s">
        <v>882</v>
      </c>
      <c r="O46">
        <v>4.2690000000000001</v>
      </c>
      <c r="W46">
        <v>2462</v>
      </c>
      <c r="X46">
        <v>46234</v>
      </c>
      <c r="Y46" t="s">
        <v>852</v>
      </c>
      <c r="Z46" t="s">
        <v>1064</v>
      </c>
      <c r="AA46" t="s">
        <v>1030</v>
      </c>
      <c r="AB46" t="s">
        <v>883</v>
      </c>
      <c r="AC46">
        <v>-4.1473684184000001</v>
      </c>
      <c r="AD46" t="s">
        <v>1065</v>
      </c>
      <c r="BO46" s="658">
        <v>46234</v>
      </c>
      <c r="BP46" s="847" t="s">
        <v>3068</v>
      </c>
      <c r="BQ46" s="500">
        <v>8539.5106313180004</v>
      </c>
      <c r="BR46" s="643">
        <v>4.4999999999999998E-2</v>
      </c>
      <c r="BS46"/>
    </row>
    <row r="47" spans="12:71" x14ac:dyDescent="0.3">
      <c r="M47">
        <v>46234</v>
      </c>
      <c r="N47" t="s">
        <v>883</v>
      </c>
      <c r="O47">
        <v>4.41</v>
      </c>
      <c r="W47">
        <v>2462</v>
      </c>
      <c r="X47">
        <v>46234</v>
      </c>
      <c r="Y47" t="s">
        <v>852</v>
      </c>
      <c r="Z47" t="s">
        <v>1064</v>
      </c>
      <c r="AA47" t="s">
        <v>1030</v>
      </c>
      <c r="AB47" t="s">
        <v>884</v>
      </c>
      <c r="AC47">
        <v>-3.2748046147999998</v>
      </c>
      <c r="AD47" t="s">
        <v>1065</v>
      </c>
      <c r="BO47" s="658">
        <v>46234</v>
      </c>
      <c r="BP47" s="847" t="s">
        <v>811</v>
      </c>
      <c r="BQ47" s="500">
        <v>29713.512868000002</v>
      </c>
      <c r="BR47" s="643">
        <v>4.5643529299999999E-2</v>
      </c>
      <c r="BS47"/>
    </row>
    <row r="48" spans="12:71" x14ac:dyDescent="0.3">
      <c r="M48">
        <v>46234</v>
      </c>
      <c r="N48" t="s">
        <v>884</v>
      </c>
      <c r="O48">
        <v>4.5780000000000003</v>
      </c>
      <c r="W48">
        <v>2462</v>
      </c>
      <c r="X48">
        <v>46234</v>
      </c>
      <c r="Y48" t="s">
        <v>852</v>
      </c>
      <c r="Z48" t="s">
        <v>1064</v>
      </c>
      <c r="AA48" t="s">
        <v>1030</v>
      </c>
      <c r="AB48" t="s">
        <v>885</v>
      </c>
      <c r="AC48">
        <v>0</v>
      </c>
      <c r="AD48" t="s">
        <v>1065</v>
      </c>
      <c r="BO48" s="658">
        <v>46237</v>
      </c>
      <c r="BP48" s="847" t="s">
        <v>3068</v>
      </c>
      <c r="BQ48" s="500">
        <v>8539.5106313180004</v>
      </c>
      <c r="BR48" s="643">
        <v>4.4999999999999998E-2</v>
      </c>
      <c r="BS48"/>
    </row>
    <row r="49" spans="12:71" x14ac:dyDescent="0.3">
      <c r="M49">
        <v>46234</v>
      </c>
      <c r="N49" t="s">
        <v>885</v>
      </c>
      <c r="O49">
        <v>4.6580000000000004</v>
      </c>
      <c r="W49">
        <v>2462</v>
      </c>
      <c r="X49">
        <v>46234</v>
      </c>
      <c r="Y49" t="s">
        <v>852</v>
      </c>
      <c r="Z49" t="s">
        <v>1064</v>
      </c>
      <c r="AA49" t="s">
        <v>1030</v>
      </c>
      <c r="AB49" t="s">
        <v>886</v>
      </c>
      <c r="AC49">
        <v>0</v>
      </c>
      <c r="AD49" t="s">
        <v>1065</v>
      </c>
      <c r="BO49" s="658">
        <v>46237</v>
      </c>
      <c r="BP49" s="847" t="s">
        <v>811</v>
      </c>
      <c r="BQ49" s="500">
        <v>27582.557368000002</v>
      </c>
      <c r="BR49" s="643">
        <v>4.56338783E-2</v>
      </c>
      <c r="BS49"/>
    </row>
    <row r="50" spans="12:71" x14ac:dyDescent="0.3">
      <c r="M50">
        <v>46234</v>
      </c>
      <c r="N50" t="s">
        <v>886</v>
      </c>
      <c r="O50">
        <v>4.7240000000000002</v>
      </c>
      <c r="W50">
        <v>2462</v>
      </c>
      <c r="X50">
        <v>46234</v>
      </c>
      <c r="Y50" t="s">
        <v>852</v>
      </c>
      <c r="Z50" t="s">
        <v>1064</v>
      </c>
      <c r="AA50" t="s">
        <v>1030</v>
      </c>
      <c r="AB50" t="s">
        <v>915</v>
      </c>
      <c r="AC50">
        <v>0</v>
      </c>
      <c r="AD50" t="s">
        <v>1065</v>
      </c>
      <c r="BO50" s="658">
        <v>46238</v>
      </c>
      <c r="BP50" s="847" t="s">
        <v>3068</v>
      </c>
      <c r="BQ50" s="500">
        <v>8539.5106313180004</v>
      </c>
      <c r="BR50" s="643">
        <v>4.4999999999999998E-2</v>
      </c>
      <c r="BS50"/>
    </row>
    <row r="51" spans="12:71" x14ac:dyDescent="0.3">
      <c r="W51">
        <v>2310</v>
      </c>
      <c r="X51">
        <v>46022</v>
      </c>
      <c r="Y51" t="s">
        <v>852</v>
      </c>
      <c r="Z51" t="s">
        <v>1064</v>
      </c>
      <c r="AA51" t="s">
        <v>1030</v>
      </c>
      <c r="AB51" t="s">
        <v>915</v>
      </c>
      <c r="AC51">
        <v>0</v>
      </c>
      <c r="AD51" t="s">
        <v>1065</v>
      </c>
      <c r="BO51" s="658">
        <v>46238</v>
      </c>
      <c r="BP51" s="847" t="s">
        <v>811</v>
      </c>
      <c r="BQ51" s="500">
        <v>27249.820317999998</v>
      </c>
      <c r="BR51" s="643">
        <v>4.5641618299999999E-2</v>
      </c>
      <c r="BS51"/>
    </row>
    <row r="52" spans="12:71" x14ac:dyDescent="0.3">
      <c r="W52">
        <v>2310</v>
      </c>
      <c r="X52">
        <v>46022</v>
      </c>
      <c r="Y52" t="s">
        <v>852</v>
      </c>
      <c r="Z52" t="s">
        <v>1064</v>
      </c>
      <c r="AA52" t="s">
        <v>1030</v>
      </c>
      <c r="AB52" t="s">
        <v>917</v>
      </c>
      <c r="AC52">
        <v>0</v>
      </c>
      <c r="AD52" t="s">
        <v>1065</v>
      </c>
      <c r="BO52" s="658">
        <v>46239</v>
      </c>
      <c r="BP52" s="847" t="s">
        <v>3068</v>
      </c>
      <c r="BQ52" s="500">
        <v>8684.7187897910007</v>
      </c>
      <c r="BR52" s="643">
        <v>4.4999999999999998E-2</v>
      </c>
      <c r="BS52"/>
    </row>
    <row r="53" spans="12:71" x14ac:dyDescent="0.3">
      <c r="W53">
        <v>2310</v>
      </c>
      <c r="X53">
        <v>46022</v>
      </c>
      <c r="Y53" t="s">
        <v>852</v>
      </c>
      <c r="Z53" t="s">
        <v>1064</v>
      </c>
      <c r="AA53" t="s">
        <v>1030</v>
      </c>
      <c r="AB53" t="s">
        <v>877</v>
      </c>
      <c r="AC53">
        <v>-5.8372281999999999E-3</v>
      </c>
      <c r="AD53" t="s">
        <v>1065</v>
      </c>
      <c r="BO53" s="658">
        <v>46239</v>
      </c>
      <c r="BP53" s="847" t="s">
        <v>811</v>
      </c>
      <c r="BQ53" s="500">
        <v>27805.212318000002</v>
      </c>
      <c r="BR53" s="643">
        <v>4.5628802400000001E-2</v>
      </c>
      <c r="BS53"/>
    </row>
    <row r="54" spans="12:71" x14ac:dyDescent="0.3">
      <c r="W54">
        <v>2310</v>
      </c>
      <c r="X54">
        <v>46022</v>
      </c>
      <c r="Y54" t="s">
        <v>852</v>
      </c>
      <c r="Z54" t="s">
        <v>1064</v>
      </c>
      <c r="AA54" t="s">
        <v>1030</v>
      </c>
      <c r="AB54" t="s">
        <v>878</v>
      </c>
      <c r="AC54">
        <v>0</v>
      </c>
      <c r="AD54" t="s">
        <v>1065</v>
      </c>
      <c r="BO54" s="658">
        <v>46240</v>
      </c>
      <c r="BP54" s="847" t="s">
        <v>3068</v>
      </c>
      <c r="BQ54" s="500">
        <v>8488.3712889140006</v>
      </c>
      <c r="BR54" s="643">
        <v>4.4999999999999998E-2</v>
      </c>
      <c r="BS54"/>
    </row>
    <row r="55" spans="12:71" x14ac:dyDescent="0.3">
      <c r="L55" s="36" t="s">
        <v>987</v>
      </c>
      <c r="M55" t="s">
        <v>855</v>
      </c>
      <c r="N55" t="s">
        <v>876</v>
      </c>
      <c r="O55" t="s">
        <v>982</v>
      </c>
      <c r="W55">
        <v>2310</v>
      </c>
      <c r="X55">
        <v>46022</v>
      </c>
      <c r="Y55" t="s">
        <v>852</v>
      </c>
      <c r="Z55" t="s">
        <v>1064</v>
      </c>
      <c r="AA55" t="s">
        <v>1030</v>
      </c>
      <c r="AB55" t="s">
        <v>879</v>
      </c>
      <c r="AC55">
        <v>0</v>
      </c>
      <c r="AD55" t="s">
        <v>1065</v>
      </c>
      <c r="BO55" s="658">
        <v>46240</v>
      </c>
      <c r="BP55" s="847" t="s">
        <v>811</v>
      </c>
      <c r="BQ55" s="500">
        <v>26458.869817999999</v>
      </c>
      <c r="BR55" s="643">
        <v>4.5664841900000003E-2</v>
      </c>
      <c r="BS55"/>
    </row>
    <row r="56" spans="12:71" x14ac:dyDescent="0.3">
      <c r="M56" s="35">
        <v>46022</v>
      </c>
      <c r="N56" t="s">
        <v>915</v>
      </c>
      <c r="O56">
        <v>3.0667</v>
      </c>
      <c r="W56">
        <v>2310</v>
      </c>
      <c r="X56">
        <v>46022</v>
      </c>
      <c r="Y56" t="s">
        <v>852</v>
      </c>
      <c r="Z56" t="s">
        <v>1064</v>
      </c>
      <c r="AA56" t="s">
        <v>1030</v>
      </c>
      <c r="AB56" t="s">
        <v>880</v>
      </c>
      <c r="AC56">
        <v>-0.1136054242</v>
      </c>
      <c r="AD56" t="s">
        <v>1065</v>
      </c>
      <c r="BO56" s="658">
        <v>46241</v>
      </c>
      <c r="BP56" s="847" t="s">
        <v>3068</v>
      </c>
      <c r="BQ56" s="500">
        <v>8488.3712889140006</v>
      </c>
      <c r="BR56" s="643">
        <v>4.4999999999999998E-2</v>
      </c>
      <c r="BS56"/>
    </row>
    <row r="57" spans="12:71" x14ac:dyDescent="0.3">
      <c r="M57" s="35">
        <v>46022</v>
      </c>
      <c r="N57" t="s">
        <v>917</v>
      </c>
      <c r="O57">
        <v>3.012</v>
      </c>
      <c r="W57">
        <v>2310</v>
      </c>
      <c r="X57">
        <v>46022</v>
      </c>
      <c r="Y57" t="s">
        <v>852</v>
      </c>
      <c r="Z57" t="s">
        <v>1064</v>
      </c>
      <c r="AA57" t="s">
        <v>1030</v>
      </c>
      <c r="AB57" t="s">
        <v>881</v>
      </c>
      <c r="AC57">
        <v>-0.13608825829999999</v>
      </c>
      <c r="AD57" t="s">
        <v>1065</v>
      </c>
      <c r="BO57" s="658">
        <v>46241</v>
      </c>
      <c r="BP57" s="847" t="s">
        <v>811</v>
      </c>
      <c r="BQ57" s="500">
        <v>26074.408117999999</v>
      </c>
      <c r="BR57" s="643">
        <v>4.5704134399999999E-2</v>
      </c>
      <c r="BS57"/>
    </row>
    <row r="58" spans="12:71" x14ac:dyDescent="0.3">
      <c r="M58" s="35">
        <v>46022</v>
      </c>
      <c r="N58" t="s">
        <v>983</v>
      </c>
      <c r="O58">
        <v>3.0175000000000001</v>
      </c>
      <c r="W58">
        <v>2310</v>
      </c>
      <c r="X58">
        <v>46022</v>
      </c>
      <c r="Y58" t="s">
        <v>852</v>
      </c>
      <c r="Z58" t="s">
        <v>1064</v>
      </c>
      <c r="AA58" t="s">
        <v>1030</v>
      </c>
      <c r="AB58" t="s">
        <v>882</v>
      </c>
      <c r="AC58">
        <v>-0.74293382500000005</v>
      </c>
      <c r="AD58" t="s">
        <v>1065</v>
      </c>
      <c r="BO58" s="658">
        <v>46244</v>
      </c>
      <c r="BP58" s="847" t="s">
        <v>3068</v>
      </c>
      <c r="BQ58" s="500">
        <v>7938.5614074360001</v>
      </c>
      <c r="BR58" s="643">
        <v>4.4999999999999998E-2</v>
      </c>
      <c r="BS58"/>
    </row>
    <row r="59" spans="12:71" x14ac:dyDescent="0.3">
      <c r="M59" s="35">
        <v>46022</v>
      </c>
      <c r="N59" t="s">
        <v>877</v>
      </c>
      <c r="O59">
        <v>2.9169999999999998</v>
      </c>
      <c r="W59">
        <v>2310</v>
      </c>
      <c r="X59">
        <v>46022</v>
      </c>
      <c r="Y59" t="s">
        <v>852</v>
      </c>
      <c r="Z59" t="s">
        <v>1064</v>
      </c>
      <c r="AA59" t="s">
        <v>1030</v>
      </c>
      <c r="AB59" t="s">
        <v>883</v>
      </c>
      <c r="AC59">
        <v>-4.0811248297000002</v>
      </c>
      <c r="AD59" t="s">
        <v>1065</v>
      </c>
      <c r="BO59" s="658">
        <v>46244</v>
      </c>
      <c r="BP59" s="847" t="s">
        <v>811</v>
      </c>
      <c r="BQ59" s="500">
        <v>25705.891548</v>
      </c>
      <c r="BR59" s="643">
        <v>4.5714228799999999E-2</v>
      </c>
      <c r="BS59"/>
    </row>
    <row r="60" spans="12:71" x14ac:dyDescent="0.3">
      <c r="M60" s="35">
        <v>46022</v>
      </c>
      <c r="N60" t="s">
        <v>878</v>
      </c>
      <c r="O60">
        <v>2.9710000000000001</v>
      </c>
      <c r="W60">
        <v>2310</v>
      </c>
      <c r="X60">
        <v>46022</v>
      </c>
      <c r="Y60" t="s">
        <v>852</v>
      </c>
      <c r="Z60" t="s">
        <v>1064</v>
      </c>
      <c r="AA60" t="s">
        <v>1030</v>
      </c>
      <c r="AB60" t="s">
        <v>884</v>
      </c>
      <c r="AC60">
        <v>-0.93780220089999999</v>
      </c>
      <c r="AD60" t="s">
        <v>1065</v>
      </c>
      <c r="BO60" s="658">
        <v>46245</v>
      </c>
      <c r="BP60" s="847" t="s">
        <v>3068</v>
      </c>
      <c r="BQ60" s="500">
        <v>7855.085688354</v>
      </c>
      <c r="BR60" s="643">
        <v>4.4999999999999998E-2</v>
      </c>
      <c r="BS60"/>
    </row>
    <row r="61" spans="12:71" x14ac:dyDescent="0.3">
      <c r="M61" s="35">
        <v>46022</v>
      </c>
      <c r="N61" t="s">
        <v>879</v>
      </c>
      <c r="O61">
        <v>3.0270000000000001</v>
      </c>
      <c r="W61">
        <v>2310</v>
      </c>
      <c r="X61">
        <v>46022</v>
      </c>
      <c r="Y61" t="s">
        <v>852</v>
      </c>
      <c r="Z61" t="s">
        <v>1064</v>
      </c>
      <c r="AA61" t="s">
        <v>1030</v>
      </c>
      <c r="AB61" t="s">
        <v>885</v>
      </c>
      <c r="AC61">
        <v>0</v>
      </c>
      <c r="AD61" t="s">
        <v>1065</v>
      </c>
      <c r="BO61" s="658">
        <v>46245</v>
      </c>
      <c r="BP61" s="847" t="s">
        <v>811</v>
      </c>
      <c r="BQ61" s="500">
        <v>25705.891548</v>
      </c>
      <c r="BR61" s="643">
        <v>4.5714228799999999E-2</v>
      </c>
      <c r="BS61"/>
    </row>
    <row r="62" spans="12:71" x14ac:dyDescent="0.3">
      <c r="M62" s="35">
        <v>46022</v>
      </c>
      <c r="N62" t="s">
        <v>880</v>
      </c>
      <c r="O62">
        <v>3.141</v>
      </c>
      <c r="W62">
        <v>2310</v>
      </c>
      <c r="X62">
        <v>46022</v>
      </c>
      <c r="Y62" t="s">
        <v>852</v>
      </c>
      <c r="Z62" t="s">
        <v>1064</v>
      </c>
      <c r="AA62" t="s">
        <v>1030</v>
      </c>
      <c r="AB62" t="s">
        <v>886</v>
      </c>
      <c r="AC62">
        <v>0</v>
      </c>
      <c r="AD62" t="s">
        <v>1065</v>
      </c>
      <c r="BO62" s="658">
        <v>46246</v>
      </c>
      <c r="BP62" s="847" t="s">
        <v>3068</v>
      </c>
      <c r="BQ62" s="500">
        <v>7612.4177781509998</v>
      </c>
      <c r="BR62" s="643">
        <v>4.4999999999999998E-2</v>
      </c>
    </row>
    <row r="63" spans="12:71" x14ac:dyDescent="0.3">
      <c r="M63" s="35">
        <v>46022</v>
      </c>
      <c r="N63" t="s">
        <v>881</v>
      </c>
      <c r="O63">
        <v>3.254</v>
      </c>
      <c r="BO63" s="658">
        <v>46246</v>
      </c>
      <c r="BP63" s="847" t="s">
        <v>811</v>
      </c>
      <c r="BQ63" s="500">
        <v>26753.818358</v>
      </c>
      <c r="BR63" s="643">
        <v>4.5666668399999999E-2</v>
      </c>
    </row>
    <row r="64" spans="12:71" x14ac:dyDescent="0.3">
      <c r="M64" s="35">
        <v>46022</v>
      </c>
      <c r="N64" t="s">
        <v>882</v>
      </c>
      <c r="O64">
        <v>3.4950000000000001</v>
      </c>
      <c r="BO64" s="658">
        <v>46247</v>
      </c>
      <c r="BP64" s="847" t="s">
        <v>3068</v>
      </c>
      <c r="BQ64" s="500">
        <v>7715.289817119</v>
      </c>
      <c r="BR64" s="643">
        <v>4.4999999999999998E-2</v>
      </c>
    </row>
    <row r="65" spans="13:70" x14ac:dyDescent="0.3">
      <c r="M65" s="35">
        <v>46022</v>
      </c>
      <c r="N65" t="s">
        <v>883</v>
      </c>
      <c r="O65">
        <v>4.04</v>
      </c>
      <c r="BO65" s="658">
        <v>46247</v>
      </c>
      <c r="BP65" s="847" t="s">
        <v>811</v>
      </c>
      <c r="BQ65" s="500">
        <v>27306.702858000001</v>
      </c>
      <c r="BR65" s="643">
        <v>4.5632922999999999E-2</v>
      </c>
    </row>
    <row r="66" spans="13:70" x14ac:dyDescent="0.3">
      <c r="M66" s="35">
        <v>46022</v>
      </c>
      <c r="N66" t="s">
        <v>884</v>
      </c>
      <c r="O66">
        <v>4.1079999999999997</v>
      </c>
      <c r="BO66" s="658">
        <v>46248</v>
      </c>
      <c r="BP66" s="847" t="s">
        <v>3068</v>
      </c>
      <c r="BQ66" s="500">
        <v>7715.289817119</v>
      </c>
      <c r="BR66" s="643">
        <v>4.4999999999999998E-2</v>
      </c>
    </row>
    <row r="67" spans="13:70" x14ac:dyDescent="0.3">
      <c r="M67" s="35">
        <v>46022</v>
      </c>
      <c r="N67" t="s">
        <v>885</v>
      </c>
      <c r="O67">
        <v>4.1130000000000004</v>
      </c>
      <c r="BO67" s="658">
        <v>46248</v>
      </c>
      <c r="BP67" s="847" t="s">
        <v>811</v>
      </c>
      <c r="BQ67" s="500">
        <v>28807.590858</v>
      </c>
      <c r="BR67" s="643">
        <v>4.5547847000000002E-2</v>
      </c>
    </row>
    <row r="68" spans="13:70" x14ac:dyDescent="0.3">
      <c r="M68" s="35">
        <v>46022</v>
      </c>
      <c r="N68" t="s">
        <v>886</v>
      </c>
      <c r="O68">
        <v>4.1710000000000003</v>
      </c>
      <c r="BO68" s="658">
        <v>46251</v>
      </c>
      <c r="BP68" s="847" t="s">
        <v>3068</v>
      </c>
      <c r="BQ68" s="500">
        <v>7581.8709254630003</v>
      </c>
      <c r="BR68" s="643">
        <v>4.4999999999999998E-2</v>
      </c>
    </row>
    <row r="69" spans="13:70" x14ac:dyDescent="0.3">
      <c r="BO69" s="658">
        <v>46251</v>
      </c>
      <c r="BP69" s="847" t="s">
        <v>811</v>
      </c>
      <c r="BQ69" s="500">
        <v>27312.924358</v>
      </c>
      <c r="BR69" s="643">
        <v>4.5605189099999999E-2</v>
      </c>
    </row>
  </sheetData>
  <phoneticPr fontId="91" type="noConversion"/>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tabColor rgb="FFFFC000"/>
  </sheetPr>
  <dimension ref="A1:R193"/>
  <sheetViews>
    <sheetView topLeftCell="B1" workbookViewId="0">
      <pane ySplit="1" topLeftCell="A2" activePane="bottomLeft" state="frozen"/>
      <selection pane="bottomLeft" activeCell="F2" sqref="F2:K193"/>
    </sheetView>
  </sheetViews>
  <sheetFormatPr defaultRowHeight="14.4" x14ac:dyDescent="0.3"/>
  <cols>
    <col min="1" max="1" width="11.09765625" customWidth="1"/>
    <col min="2" max="3" width="18" style="49" customWidth="1"/>
    <col min="4" max="5" width="9.8984375" customWidth="1"/>
    <col min="6" max="6" width="5.296875" bestFit="1" customWidth="1"/>
    <col min="7" max="7" width="7.3984375" bestFit="1" customWidth="1"/>
    <col min="8" max="8" width="9.69921875" bestFit="1" customWidth="1"/>
    <col min="9" max="9" width="13.09765625" style="35" bestFit="1" customWidth="1"/>
    <col min="10" max="10" width="7.59765625" bestFit="1" customWidth="1"/>
    <col min="11" max="11" width="16.3984375" style="500" bestFit="1" customWidth="1"/>
    <col min="12" max="12" width="9.8984375" customWidth="1"/>
    <col min="13" max="13" width="20" bestFit="1" customWidth="1"/>
    <col min="14" max="14" width="10.5" style="35" bestFit="1" customWidth="1"/>
    <col min="15" max="15" width="9.19921875" bestFit="1" customWidth="1"/>
    <col min="16" max="16" width="11.8984375" style="154" bestFit="1" customWidth="1"/>
    <col min="19" max="19" width="8.8984375" customWidth="1"/>
  </cols>
  <sheetData>
    <row r="1" spans="1:16" x14ac:dyDescent="0.3">
      <c r="A1" t="s">
        <v>10</v>
      </c>
      <c r="B1" s="49" t="s">
        <v>860</v>
      </c>
      <c r="C1" s="49" t="s">
        <v>1034</v>
      </c>
      <c r="E1" s="36" t="s">
        <v>3167</v>
      </c>
      <c r="F1" t="s">
        <v>3168</v>
      </c>
      <c r="G1" t="s">
        <v>816</v>
      </c>
      <c r="H1" t="s">
        <v>3169</v>
      </c>
      <c r="I1" s="35" t="s">
        <v>2814</v>
      </c>
      <c r="J1" t="s">
        <v>3034</v>
      </c>
      <c r="K1" s="500" t="s">
        <v>2886</v>
      </c>
      <c r="M1" s="36" t="s">
        <v>2928</v>
      </c>
      <c r="N1" s="35" t="s">
        <v>855</v>
      </c>
      <c r="O1" t="s">
        <v>856</v>
      </c>
      <c r="P1" s="154" t="s">
        <v>857</v>
      </c>
    </row>
    <row r="2" spans="1:16" x14ac:dyDescent="0.3">
      <c r="A2" t="s">
        <v>859</v>
      </c>
      <c r="F2" t="s">
        <v>2770</v>
      </c>
      <c r="G2" t="s">
        <v>3170</v>
      </c>
      <c r="H2" t="s">
        <v>3171</v>
      </c>
      <c r="I2" s="35">
        <v>45884</v>
      </c>
      <c r="J2">
        <v>1</v>
      </c>
      <c r="K2" s="500">
        <v>-49450352966.969833</v>
      </c>
      <c r="N2" s="35">
        <v>46022</v>
      </c>
      <c r="O2" t="s">
        <v>2756</v>
      </c>
      <c r="P2" s="154">
        <v>15.018996428299999</v>
      </c>
    </row>
    <row r="3" spans="1:16" x14ac:dyDescent="0.3">
      <c r="A3" s="159" t="s">
        <v>2501</v>
      </c>
      <c r="B3" s="159" t="s">
        <v>860</v>
      </c>
      <c r="C3" s="159" t="s">
        <v>2744</v>
      </c>
      <c r="F3" t="s">
        <v>2770</v>
      </c>
      <c r="G3" t="s">
        <v>3170</v>
      </c>
      <c r="H3" t="s">
        <v>3171</v>
      </c>
      <c r="I3" s="35">
        <v>45887</v>
      </c>
      <c r="J3">
        <v>2</v>
      </c>
      <c r="K3" s="500">
        <v>-48349473549.47847</v>
      </c>
      <c r="N3" s="35">
        <v>46022</v>
      </c>
      <c r="O3" t="s">
        <v>858</v>
      </c>
      <c r="P3" s="154">
        <v>34.021451951800003</v>
      </c>
    </row>
    <row r="4" spans="1:16" x14ac:dyDescent="0.3">
      <c r="A4" s="181" t="s">
        <v>861</v>
      </c>
      <c r="B4" s="182">
        <v>9132152526.9635792</v>
      </c>
      <c r="C4" s="182">
        <v>9132152526.9635773</v>
      </c>
      <c r="D4" s="37"/>
      <c r="E4" s="37"/>
      <c r="F4" s="39" t="s">
        <v>2770</v>
      </c>
      <c r="G4" s="39" t="s">
        <v>3170</v>
      </c>
      <c r="H4" s="39" t="s">
        <v>3171</v>
      </c>
      <c r="I4" s="35">
        <v>45881</v>
      </c>
      <c r="J4">
        <v>3</v>
      </c>
      <c r="K4" s="500">
        <v>-48086207269.211746</v>
      </c>
      <c r="L4" s="37"/>
      <c r="N4" s="35">
        <v>46234</v>
      </c>
      <c r="O4" t="s">
        <v>858</v>
      </c>
      <c r="P4" s="154">
        <v>44.9299905735</v>
      </c>
    </row>
    <row r="5" spans="1:16" x14ac:dyDescent="0.3">
      <c r="A5" s="189" t="s">
        <v>169</v>
      </c>
      <c r="B5" s="190">
        <v>9132152526.9635792</v>
      </c>
      <c r="C5" s="191">
        <v>9132152526.9635773</v>
      </c>
      <c r="D5" s="37"/>
      <c r="E5" s="37"/>
      <c r="F5" s="39" t="s">
        <v>2770</v>
      </c>
      <c r="G5" s="39" t="s">
        <v>3170</v>
      </c>
      <c r="H5" s="39" t="s">
        <v>3171</v>
      </c>
      <c r="I5" s="35">
        <v>45883</v>
      </c>
      <c r="J5">
        <v>4</v>
      </c>
      <c r="K5" s="500">
        <v>-48085264647.915329</v>
      </c>
      <c r="L5" s="37"/>
      <c r="N5" s="35">
        <v>46234</v>
      </c>
      <c r="O5" t="s">
        <v>2756</v>
      </c>
      <c r="P5" s="154">
        <v>21.353612839</v>
      </c>
    </row>
    <row r="6" spans="1:16" x14ac:dyDescent="0.3">
      <c r="A6" t="s">
        <v>2762</v>
      </c>
      <c r="B6" s="183"/>
      <c r="C6" s="183"/>
      <c r="D6" s="37"/>
      <c r="E6" s="37"/>
      <c r="F6" s="39" t="s">
        <v>2770</v>
      </c>
      <c r="G6" s="39" t="s">
        <v>3170</v>
      </c>
      <c r="H6" s="39" t="s">
        <v>3171</v>
      </c>
      <c r="I6" s="35">
        <v>45882</v>
      </c>
      <c r="J6">
        <v>5</v>
      </c>
      <c r="K6" s="500">
        <v>-46860581686.141708</v>
      </c>
      <c r="L6" s="37"/>
      <c r="N6" s="35">
        <v>46238</v>
      </c>
      <c r="O6" t="s">
        <v>858</v>
      </c>
      <c r="P6">
        <v>44.781263885599998</v>
      </c>
    </row>
    <row r="7" spans="1:16" x14ac:dyDescent="0.3">
      <c r="A7" s="186" t="s">
        <v>2501</v>
      </c>
      <c r="B7" s="187" t="s">
        <v>860</v>
      </c>
      <c r="C7" s="188" t="s">
        <v>2744</v>
      </c>
      <c r="D7" s="37"/>
      <c r="E7" s="37"/>
      <c r="F7" s="39" t="s">
        <v>2770</v>
      </c>
      <c r="G7" s="39" t="s">
        <v>3170</v>
      </c>
      <c r="H7" s="39" t="s">
        <v>3171</v>
      </c>
      <c r="I7" s="35">
        <v>45888</v>
      </c>
      <c r="J7">
        <v>6</v>
      </c>
      <c r="K7" s="500">
        <v>-45613658350.602112</v>
      </c>
      <c r="L7" s="37"/>
      <c r="N7" s="35">
        <v>46238</v>
      </c>
      <c r="O7" t="s">
        <v>2756</v>
      </c>
      <c r="P7">
        <v>21.367226451899999</v>
      </c>
    </row>
    <row r="8" spans="1:16" x14ac:dyDescent="0.3">
      <c r="A8" s="184" t="s">
        <v>861</v>
      </c>
      <c r="B8" s="185">
        <v>8828323554.8159695</v>
      </c>
      <c r="C8" s="185">
        <v>8828323554.8159695</v>
      </c>
      <c r="D8" s="37"/>
      <c r="E8" s="37"/>
      <c r="F8" s="39" t="s">
        <v>2770</v>
      </c>
      <c r="G8" s="39" t="s">
        <v>3170</v>
      </c>
      <c r="H8" s="39" t="s">
        <v>3171</v>
      </c>
      <c r="I8" s="35">
        <v>45889</v>
      </c>
      <c r="J8">
        <v>7</v>
      </c>
      <c r="K8" s="500">
        <v>-45599530213.60289</v>
      </c>
      <c r="L8" s="37"/>
      <c r="N8">
        <v>46251</v>
      </c>
      <c r="O8" t="s">
        <v>858</v>
      </c>
      <c r="P8">
        <v>44.506102908899997</v>
      </c>
    </row>
    <row r="9" spans="1:16" x14ac:dyDescent="0.3">
      <c r="A9" s="160" t="s">
        <v>169</v>
      </c>
      <c r="B9" s="161">
        <v>8828323554.8159695</v>
      </c>
      <c r="C9" s="161">
        <v>8828323554.8159695</v>
      </c>
      <c r="D9" s="37"/>
      <c r="E9" s="37"/>
      <c r="F9" s="39" t="s">
        <v>2770</v>
      </c>
      <c r="G9" s="39" t="s">
        <v>3170</v>
      </c>
      <c r="H9" s="39" t="s">
        <v>3171</v>
      </c>
      <c r="I9" s="35">
        <v>45877</v>
      </c>
      <c r="J9">
        <v>8</v>
      </c>
      <c r="K9" s="500">
        <v>-44545169060.157722</v>
      </c>
      <c r="L9" s="37"/>
      <c r="N9">
        <v>46251</v>
      </c>
      <c r="O9" t="s">
        <v>2756</v>
      </c>
      <c r="P9">
        <v>21.3830727671</v>
      </c>
    </row>
    <row r="10" spans="1:16" x14ac:dyDescent="0.3">
      <c r="D10" s="37"/>
      <c r="E10" s="37"/>
      <c r="F10" s="39" t="s">
        <v>2770</v>
      </c>
      <c r="G10" s="39" t="s">
        <v>3170</v>
      </c>
      <c r="H10" s="39" t="s">
        <v>3171</v>
      </c>
      <c r="I10" s="35">
        <v>45880</v>
      </c>
      <c r="J10">
        <v>9</v>
      </c>
      <c r="K10" s="500">
        <v>-42081957042.005333</v>
      </c>
      <c r="L10" s="37"/>
    </row>
    <row r="11" spans="1:16" x14ac:dyDescent="0.3">
      <c r="D11" s="37"/>
      <c r="E11" s="37"/>
      <c r="F11" s="39" t="s">
        <v>2770</v>
      </c>
      <c r="G11" s="39" t="s">
        <v>3170</v>
      </c>
      <c r="H11" s="39" t="s">
        <v>3171</v>
      </c>
      <c r="I11" s="35">
        <v>46027</v>
      </c>
      <c r="J11">
        <v>10</v>
      </c>
      <c r="K11" s="500">
        <v>-39793658154.9981</v>
      </c>
      <c r="L11" s="37"/>
    </row>
    <row r="12" spans="1:16" x14ac:dyDescent="0.3">
      <c r="F12" t="s">
        <v>2770</v>
      </c>
      <c r="G12" t="s">
        <v>3170</v>
      </c>
      <c r="H12" t="s">
        <v>3171</v>
      </c>
      <c r="I12" s="35">
        <v>45890</v>
      </c>
      <c r="J12">
        <v>11</v>
      </c>
      <c r="K12" s="500">
        <v>-34480788016.00177</v>
      </c>
    </row>
    <row r="13" spans="1:16" x14ac:dyDescent="0.3">
      <c r="F13" t="s">
        <v>2770</v>
      </c>
      <c r="G13" t="s">
        <v>3170</v>
      </c>
      <c r="H13" t="s">
        <v>3171</v>
      </c>
      <c r="I13" s="35">
        <v>46024</v>
      </c>
      <c r="J13">
        <v>12</v>
      </c>
      <c r="K13" s="500">
        <v>-33753001414.420712</v>
      </c>
    </row>
    <row r="14" spans="1:16" x14ac:dyDescent="0.3">
      <c r="F14" t="s">
        <v>2770</v>
      </c>
      <c r="G14" t="s">
        <v>3170</v>
      </c>
      <c r="H14" t="s">
        <v>3171</v>
      </c>
      <c r="I14" s="35">
        <v>46022</v>
      </c>
      <c r="J14">
        <v>13</v>
      </c>
      <c r="K14" s="500">
        <v>-33625003601.145309</v>
      </c>
    </row>
    <row r="15" spans="1:16" x14ac:dyDescent="0.3">
      <c r="F15" t="s">
        <v>2770</v>
      </c>
      <c r="G15" t="s">
        <v>3170</v>
      </c>
      <c r="H15" t="s">
        <v>3171</v>
      </c>
      <c r="I15" s="35">
        <v>46021</v>
      </c>
      <c r="J15">
        <v>14</v>
      </c>
      <c r="K15" s="500">
        <v>-33586538994.770939</v>
      </c>
    </row>
    <row r="16" spans="1:16" x14ac:dyDescent="0.3">
      <c r="F16" t="s">
        <v>2867</v>
      </c>
      <c r="G16" t="s">
        <v>3172</v>
      </c>
      <c r="H16" t="s">
        <v>3173</v>
      </c>
      <c r="I16" s="35">
        <v>46252</v>
      </c>
      <c r="J16" t="s">
        <v>2924</v>
      </c>
      <c r="K16" s="500">
        <v>23082881421.98251</v>
      </c>
    </row>
    <row r="17" spans="6:11" x14ac:dyDescent="0.3">
      <c r="F17" t="s">
        <v>2867</v>
      </c>
      <c r="G17" t="s">
        <v>3172</v>
      </c>
      <c r="H17" t="s">
        <v>3173</v>
      </c>
      <c r="I17" s="35">
        <v>46252</v>
      </c>
      <c r="J17" t="s">
        <v>2925</v>
      </c>
      <c r="K17" s="500">
        <v>54876767224.285027</v>
      </c>
    </row>
    <row r="18" spans="6:11" x14ac:dyDescent="0.3">
      <c r="F18" t="s">
        <v>2770</v>
      </c>
      <c r="G18" t="s">
        <v>3172</v>
      </c>
      <c r="H18" t="s">
        <v>3171</v>
      </c>
      <c r="I18" s="35">
        <v>46252</v>
      </c>
      <c r="J18" t="s">
        <v>2924</v>
      </c>
      <c r="K18" s="500">
        <v>258336613849.35849</v>
      </c>
    </row>
    <row r="19" spans="6:11" x14ac:dyDescent="0.3">
      <c r="F19" t="s">
        <v>2770</v>
      </c>
      <c r="G19" t="s">
        <v>3172</v>
      </c>
      <c r="H19" t="s">
        <v>3171</v>
      </c>
      <c r="I19" s="35">
        <v>46252</v>
      </c>
      <c r="J19" t="s">
        <v>2925</v>
      </c>
      <c r="K19" s="500">
        <v>316480202825.60419</v>
      </c>
    </row>
    <row r="20" spans="6:11" x14ac:dyDescent="0.3">
      <c r="F20" t="s">
        <v>2867</v>
      </c>
      <c r="G20" t="s">
        <v>3170</v>
      </c>
      <c r="H20" t="s">
        <v>3173</v>
      </c>
      <c r="I20" s="35">
        <v>46029</v>
      </c>
      <c r="J20">
        <v>1</v>
      </c>
      <c r="K20" s="500">
        <v>-62882468448.710167</v>
      </c>
    </row>
    <row r="21" spans="6:11" x14ac:dyDescent="0.3">
      <c r="F21" t="s">
        <v>2867</v>
      </c>
      <c r="G21" t="s">
        <v>3170</v>
      </c>
      <c r="H21" t="s">
        <v>3173</v>
      </c>
      <c r="I21" s="35">
        <v>45890</v>
      </c>
      <c r="J21">
        <v>2</v>
      </c>
      <c r="K21" s="500">
        <v>-62375820989.265907</v>
      </c>
    </row>
    <row r="22" spans="6:11" x14ac:dyDescent="0.3">
      <c r="F22" t="s">
        <v>2867</v>
      </c>
      <c r="G22" t="s">
        <v>3170</v>
      </c>
      <c r="H22" t="s">
        <v>3173</v>
      </c>
      <c r="I22" s="35">
        <v>46092</v>
      </c>
      <c r="J22">
        <v>3</v>
      </c>
      <c r="K22" s="500">
        <v>-60276191719.984283</v>
      </c>
    </row>
    <row r="23" spans="6:11" x14ac:dyDescent="0.3">
      <c r="F23" t="s">
        <v>2867</v>
      </c>
      <c r="G23" t="s">
        <v>3170</v>
      </c>
      <c r="H23" t="s">
        <v>3173</v>
      </c>
      <c r="I23" s="35">
        <v>46169</v>
      </c>
      <c r="J23">
        <v>4</v>
      </c>
      <c r="K23" s="500">
        <v>-43582815490.083069</v>
      </c>
    </row>
    <row r="24" spans="6:11" x14ac:dyDescent="0.3">
      <c r="F24" t="s">
        <v>2867</v>
      </c>
      <c r="G24" t="s">
        <v>3170</v>
      </c>
      <c r="H24" t="s">
        <v>3173</v>
      </c>
      <c r="I24" s="35">
        <v>45889</v>
      </c>
      <c r="J24">
        <v>5</v>
      </c>
      <c r="K24" s="500">
        <v>-38493160370.984543</v>
      </c>
    </row>
    <row r="25" spans="6:11" x14ac:dyDescent="0.3">
      <c r="F25" t="s">
        <v>2867</v>
      </c>
      <c r="G25" t="s">
        <v>3170</v>
      </c>
      <c r="H25" t="s">
        <v>3173</v>
      </c>
      <c r="I25" s="35">
        <v>45891</v>
      </c>
      <c r="J25">
        <v>6</v>
      </c>
      <c r="K25" s="500">
        <v>-37845291515.070038</v>
      </c>
    </row>
    <row r="26" spans="6:11" x14ac:dyDescent="0.3">
      <c r="F26" t="s">
        <v>2867</v>
      </c>
      <c r="G26" t="s">
        <v>3170</v>
      </c>
      <c r="H26" t="s">
        <v>3173</v>
      </c>
      <c r="I26" s="35">
        <v>46028</v>
      </c>
      <c r="J26">
        <v>7</v>
      </c>
      <c r="K26" s="500">
        <v>-37036921907.557709</v>
      </c>
    </row>
    <row r="27" spans="6:11" x14ac:dyDescent="0.3">
      <c r="F27" t="s">
        <v>2867</v>
      </c>
      <c r="G27" t="s">
        <v>3170</v>
      </c>
      <c r="H27" t="s">
        <v>3173</v>
      </c>
      <c r="I27" s="35">
        <v>46038</v>
      </c>
      <c r="J27">
        <v>8</v>
      </c>
      <c r="K27" s="500">
        <v>-32260629660.77562</v>
      </c>
    </row>
    <row r="28" spans="6:11" x14ac:dyDescent="0.3">
      <c r="F28" t="s">
        <v>2867</v>
      </c>
      <c r="G28" t="s">
        <v>3170</v>
      </c>
      <c r="H28" t="s">
        <v>3173</v>
      </c>
      <c r="I28" s="35">
        <v>46091</v>
      </c>
      <c r="J28">
        <v>9</v>
      </c>
      <c r="K28" s="500">
        <v>-32207618227.482399</v>
      </c>
    </row>
    <row r="29" spans="6:11" x14ac:dyDescent="0.3">
      <c r="F29" t="s">
        <v>2867</v>
      </c>
      <c r="G29" t="s">
        <v>3170</v>
      </c>
      <c r="H29" t="s">
        <v>3173</v>
      </c>
      <c r="I29" s="35">
        <v>45931</v>
      </c>
      <c r="J29">
        <v>10</v>
      </c>
      <c r="K29" s="500">
        <v>-26791050015.865879</v>
      </c>
    </row>
    <row r="30" spans="6:11" x14ac:dyDescent="0.3">
      <c r="F30" t="s">
        <v>2867</v>
      </c>
      <c r="G30" t="s">
        <v>3170</v>
      </c>
      <c r="H30" t="s">
        <v>3173</v>
      </c>
      <c r="I30" s="35">
        <v>46059</v>
      </c>
      <c r="J30">
        <v>11</v>
      </c>
      <c r="K30" s="500">
        <v>-25465999954.001099</v>
      </c>
    </row>
    <row r="31" spans="6:11" x14ac:dyDescent="0.3">
      <c r="F31" t="s">
        <v>2867</v>
      </c>
      <c r="G31" t="s">
        <v>3170</v>
      </c>
      <c r="H31" t="s">
        <v>3173</v>
      </c>
      <c r="I31" s="35">
        <v>46190</v>
      </c>
      <c r="J31">
        <v>12</v>
      </c>
      <c r="K31" s="500">
        <v>-25369519432.780991</v>
      </c>
    </row>
    <row r="32" spans="6:11" x14ac:dyDescent="0.3">
      <c r="F32" t="s">
        <v>2867</v>
      </c>
      <c r="G32" t="s">
        <v>3170</v>
      </c>
      <c r="H32" t="s">
        <v>3173</v>
      </c>
      <c r="I32" s="35">
        <v>46080</v>
      </c>
      <c r="J32">
        <v>13</v>
      </c>
      <c r="K32" s="500">
        <v>-24860028933.603939</v>
      </c>
    </row>
    <row r="33" spans="6:11" x14ac:dyDescent="0.3">
      <c r="F33" t="s">
        <v>2867</v>
      </c>
      <c r="G33" t="s">
        <v>3170</v>
      </c>
      <c r="H33" t="s">
        <v>3173</v>
      </c>
      <c r="I33" s="35">
        <v>46052</v>
      </c>
      <c r="J33">
        <v>14</v>
      </c>
      <c r="K33" s="500">
        <v>-23791259898.782711</v>
      </c>
    </row>
    <row r="34" spans="6:11" x14ac:dyDescent="0.3">
      <c r="F34" t="s">
        <v>2770</v>
      </c>
      <c r="G34" t="s">
        <v>3172</v>
      </c>
      <c r="H34" t="s">
        <v>3174</v>
      </c>
      <c r="I34" s="35">
        <v>46252</v>
      </c>
      <c r="J34" t="s">
        <v>2924</v>
      </c>
      <c r="K34" s="500">
        <v>372962318338.72278</v>
      </c>
    </row>
    <row r="35" spans="6:11" x14ac:dyDescent="0.3">
      <c r="F35" t="s">
        <v>2770</v>
      </c>
      <c r="G35" t="s">
        <v>3172</v>
      </c>
      <c r="H35" t="s">
        <v>3174</v>
      </c>
      <c r="I35" s="35">
        <v>46252</v>
      </c>
      <c r="J35" t="s">
        <v>2925</v>
      </c>
      <c r="K35" s="500">
        <v>447644751422.75873</v>
      </c>
    </row>
    <row r="36" spans="6:11" x14ac:dyDescent="0.3">
      <c r="F36" t="s">
        <v>2867</v>
      </c>
      <c r="G36" t="s">
        <v>3170</v>
      </c>
      <c r="H36" t="s">
        <v>3171</v>
      </c>
      <c r="I36" s="35">
        <v>45881</v>
      </c>
      <c r="J36">
        <v>1</v>
      </c>
      <c r="K36" s="500">
        <v>-201489255047.0387</v>
      </c>
    </row>
    <row r="37" spans="6:11" x14ac:dyDescent="0.3">
      <c r="F37" t="s">
        <v>2867</v>
      </c>
      <c r="G37" t="s">
        <v>3170</v>
      </c>
      <c r="H37" t="s">
        <v>3171</v>
      </c>
      <c r="I37" s="35">
        <v>45882</v>
      </c>
      <c r="J37">
        <v>2</v>
      </c>
      <c r="K37" s="500">
        <v>-198153475829.70239</v>
      </c>
    </row>
    <row r="38" spans="6:11" x14ac:dyDescent="0.3">
      <c r="F38" t="s">
        <v>2867</v>
      </c>
      <c r="G38" t="s">
        <v>3170</v>
      </c>
      <c r="H38" t="s">
        <v>3171</v>
      </c>
      <c r="I38" s="35">
        <v>45883</v>
      </c>
      <c r="J38">
        <v>3</v>
      </c>
      <c r="K38" s="500">
        <v>-182355534960.56131</v>
      </c>
    </row>
    <row r="39" spans="6:11" x14ac:dyDescent="0.3">
      <c r="F39" t="s">
        <v>2867</v>
      </c>
      <c r="G39" t="s">
        <v>3170</v>
      </c>
      <c r="H39" t="s">
        <v>3171</v>
      </c>
      <c r="I39" s="35">
        <v>45884</v>
      </c>
      <c r="J39">
        <v>4</v>
      </c>
      <c r="K39" s="500">
        <v>-181430266949.52161</v>
      </c>
    </row>
    <row r="40" spans="6:11" x14ac:dyDescent="0.3">
      <c r="F40" t="s">
        <v>2867</v>
      </c>
      <c r="G40" t="s">
        <v>3170</v>
      </c>
      <c r="H40" t="s">
        <v>3171</v>
      </c>
      <c r="I40" s="35">
        <v>45887</v>
      </c>
      <c r="J40">
        <v>5</v>
      </c>
      <c r="K40" s="500">
        <v>-179778010989.5694</v>
      </c>
    </row>
    <row r="41" spans="6:11" x14ac:dyDescent="0.3">
      <c r="F41" t="s">
        <v>2867</v>
      </c>
      <c r="G41" t="s">
        <v>3170</v>
      </c>
      <c r="H41" t="s">
        <v>3171</v>
      </c>
      <c r="I41" s="35">
        <v>45880</v>
      </c>
      <c r="J41">
        <v>6</v>
      </c>
      <c r="K41" s="500">
        <v>-176932598162.83539</v>
      </c>
    </row>
    <row r="42" spans="6:11" x14ac:dyDescent="0.3">
      <c r="F42" t="s">
        <v>2867</v>
      </c>
      <c r="G42" t="s">
        <v>3170</v>
      </c>
      <c r="H42" t="s">
        <v>3171</v>
      </c>
      <c r="I42" s="35">
        <v>45888</v>
      </c>
      <c r="J42">
        <v>7</v>
      </c>
      <c r="K42" s="500">
        <v>-175562000931.31689</v>
      </c>
    </row>
    <row r="43" spans="6:11" x14ac:dyDescent="0.3">
      <c r="F43" t="s">
        <v>2867</v>
      </c>
      <c r="G43" t="s">
        <v>3170</v>
      </c>
      <c r="H43" t="s">
        <v>3171</v>
      </c>
      <c r="I43" s="35">
        <v>46027</v>
      </c>
      <c r="J43">
        <v>8</v>
      </c>
      <c r="K43" s="500">
        <v>-168999232112.06131</v>
      </c>
    </row>
    <row r="44" spans="6:11" x14ac:dyDescent="0.3">
      <c r="F44" t="s">
        <v>2867</v>
      </c>
      <c r="G44" t="s">
        <v>3170</v>
      </c>
      <c r="H44" t="s">
        <v>3171</v>
      </c>
      <c r="I44" s="35">
        <v>45889</v>
      </c>
      <c r="J44">
        <v>9</v>
      </c>
      <c r="K44" s="500">
        <v>-164407805083.41461</v>
      </c>
    </row>
    <row r="45" spans="6:11" x14ac:dyDescent="0.3">
      <c r="F45" t="s">
        <v>2867</v>
      </c>
      <c r="G45" t="s">
        <v>3170</v>
      </c>
      <c r="H45" t="s">
        <v>3171</v>
      </c>
      <c r="I45" s="35">
        <v>45877</v>
      </c>
      <c r="J45">
        <v>10</v>
      </c>
      <c r="K45" s="500">
        <v>-150898515357.65729</v>
      </c>
    </row>
    <row r="46" spans="6:11" x14ac:dyDescent="0.3">
      <c r="F46" t="s">
        <v>2867</v>
      </c>
      <c r="G46" t="s">
        <v>3170</v>
      </c>
      <c r="H46" t="s">
        <v>3171</v>
      </c>
      <c r="I46" s="35">
        <v>46080</v>
      </c>
      <c r="J46">
        <v>11</v>
      </c>
      <c r="K46" s="500">
        <v>-148036480181.10529</v>
      </c>
    </row>
    <row r="47" spans="6:11" x14ac:dyDescent="0.3">
      <c r="F47" t="s">
        <v>2867</v>
      </c>
      <c r="G47" t="s">
        <v>3170</v>
      </c>
      <c r="H47" t="s">
        <v>3171</v>
      </c>
      <c r="I47" s="35">
        <v>46079</v>
      </c>
      <c r="J47">
        <v>12</v>
      </c>
      <c r="K47" s="500">
        <v>-141554002995.62039</v>
      </c>
    </row>
    <row r="48" spans="6:11" x14ac:dyDescent="0.3">
      <c r="F48" t="s">
        <v>2867</v>
      </c>
      <c r="G48" t="s">
        <v>3170</v>
      </c>
      <c r="H48" t="s">
        <v>3171</v>
      </c>
      <c r="I48" s="35">
        <v>46024</v>
      </c>
      <c r="J48">
        <v>13</v>
      </c>
      <c r="K48" s="500">
        <v>-137438280111.12379</v>
      </c>
    </row>
    <row r="49" spans="6:11" x14ac:dyDescent="0.3">
      <c r="F49" t="s">
        <v>2867</v>
      </c>
      <c r="G49" t="s">
        <v>3170</v>
      </c>
      <c r="H49" t="s">
        <v>3171</v>
      </c>
      <c r="I49" s="35">
        <v>46022</v>
      </c>
      <c r="J49">
        <v>14</v>
      </c>
      <c r="K49" s="500">
        <v>-135253155206.6416</v>
      </c>
    </row>
    <row r="50" spans="6:11" x14ac:dyDescent="0.3">
      <c r="F50" t="s">
        <v>2770</v>
      </c>
      <c r="G50" t="s">
        <v>3170</v>
      </c>
      <c r="H50" t="s">
        <v>3174</v>
      </c>
      <c r="I50" s="35">
        <v>45873</v>
      </c>
      <c r="J50">
        <v>1</v>
      </c>
      <c r="K50" s="500">
        <v>-76846498023.458771</v>
      </c>
    </row>
    <row r="51" spans="6:11" x14ac:dyDescent="0.3">
      <c r="F51" t="s">
        <v>2770</v>
      </c>
      <c r="G51" t="s">
        <v>3170</v>
      </c>
      <c r="H51" t="s">
        <v>3174</v>
      </c>
      <c r="I51" s="35">
        <v>45870</v>
      </c>
      <c r="J51">
        <v>2</v>
      </c>
      <c r="K51" s="500">
        <v>-74459257614.752304</v>
      </c>
    </row>
    <row r="52" spans="6:11" x14ac:dyDescent="0.3">
      <c r="F52" t="s">
        <v>2770</v>
      </c>
      <c r="G52" t="s">
        <v>3170</v>
      </c>
      <c r="H52" t="s">
        <v>3174</v>
      </c>
      <c r="I52" s="35">
        <v>45868</v>
      </c>
      <c r="J52">
        <v>3</v>
      </c>
      <c r="K52" s="500">
        <v>-70564329350.515564</v>
      </c>
    </row>
    <row r="53" spans="6:11" x14ac:dyDescent="0.3">
      <c r="F53" t="s">
        <v>2770</v>
      </c>
      <c r="G53" t="s">
        <v>3170</v>
      </c>
      <c r="H53" t="s">
        <v>3174</v>
      </c>
      <c r="I53" s="35">
        <v>45867</v>
      </c>
      <c r="J53">
        <v>4</v>
      </c>
      <c r="K53" s="500">
        <v>-69529001485.735367</v>
      </c>
    </row>
    <row r="54" spans="6:11" x14ac:dyDescent="0.3">
      <c r="F54" t="s">
        <v>2770</v>
      </c>
      <c r="G54" t="s">
        <v>3170</v>
      </c>
      <c r="H54" t="s">
        <v>3174</v>
      </c>
      <c r="I54" s="35">
        <v>45874</v>
      </c>
      <c r="J54">
        <v>5</v>
      </c>
      <c r="K54" s="500">
        <v>-69331409155.37941</v>
      </c>
    </row>
    <row r="55" spans="6:11" x14ac:dyDescent="0.3">
      <c r="F55" t="s">
        <v>2770</v>
      </c>
      <c r="G55" t="s">
        <v>3170</v>
      </c>
      <c r="H55" t="s">
        <v>3174</v>
      </c>
      <c r="I55" s="35">
        <v>45869</v>
      </c>
      <c r="J55">
        <v>6</v>
      </c>
      <c r="K55" s="500">
        <v>-68654766749.727631</v>
      </c>
    </row>
    <row r="56" spans="6:11" x14ac:dyDescent="0.3">
      <c r="F56" t="s">
        <v>2770</v>
      </c>
      <c r="G56" t="s">
        <v>3170</v>
      </c>
      <c r="H56" t="s">
        <v>3174</v>
      </c>
      <c r="I56" s="35">
        <v>45875</v>
      </c>
      <c r="J56">
        <v>7</v>
      </c>
      <c r="K56" s="500">
        <v>-68208383807.447578</v>
      </c>
    </row>
    <row r="57" spans="6:11" x14ac:dyDescent="0.3">
      <c r="F57" t="s">
        <v>2770</v>
      </c>
      <c r="G57" t="s">
        <v>3170</v>
      </c>
      <c r="H57" t="s">
        <v>3174</v>
      </c>
      <c r="I57" s="35">
        <v>45877</v>
      </c>
      <c r="J57">
        <v>8</v>
      </c>
      <c r="K57" s="500">
        <v>-65728104830.456841</v>
      </c>
    </row>
    <row r="58" spans="6:11" x14ac:dyDescent="0.3">
      <c r="F58" t="s">
        <v>2770</v>
      </c>
      <c r="G58" t="s">
        <v>3170</v>
      </c>
      <c r="H58" t="s">
        <v>3174</v>
      </c>
      <c r="I58" s="35">
        <v>45876</v>
      </c>
      <c r="J58">
        <v>9</v>
      </c>
      <c r="K58" s="500">
        <v>-64816964998.813507</v>
      </c>
    </row>
    <row r="59" spans="6:11" x14ac:dyDescent="0.3">
      <c r="F59" t="s">
        <v>2770</v>
      </c>
      <c r="G59" t="s">
        <v>3170</v>
      </c>
      <c r="H59" t="s">
        <v>3174</v>
      </c>
      <c r="I59" s="35">
        <v>45866</v>
      </c>
      <c r="J59">
        <v>10</v>
      </c>
      <c r="K59" s="500">
        <v>-64789425419.20929</v>
      </c>
    </row>
    <row r="60" spans="6:11" x14ac:dyDescent="0.3">
      <c r="F60" t="s">
        <v>2770</v>
      </c>
      <c r="G60" t="s">
        <v>3170</v>
      </c>
      <c r="H60" t="s">
        <v>3174</v>
      </c>
      <c r="I60" s="35">
        <v>45881</v>
      </c>
      <c r="J60">
        <v>11</v>
      </c>
      <c r="K60" s="500">
        <v>-59358617011.100906</v>
      </c>
    </row>
    <row r="61" spans="6:11" x14ac:dyDescent="0.3">
      <c r="F61" t="s">
        <v>2770</v>
      </c>
      <c r="G61" t="s">
        <v>3170</v>
      </c>
      <c r="H61" t="s">
        <v>3174</v>
      </c>
      <c r="I61" s="35">
        <v>45882</v>
      </c>
      <c r="J61">
        <v>12</v>
      </c>
      <c r="K61" s="500">
        <v>-59084552517.084778</v>
      </c>
    </row>
    <row r="62" spans="6:11" x14ac:dyDescent="0.3">
      <c r="F62" t="s">
        <v>2770</v>
      </c>
      <c r="G62" t="s">
        <v>3170</v>
      </c>
      <c r="H62" t="s">
        <v>3174</v>
      </c>
      <c r="I62" s="35">
        <v>45863</v>
      </c>
      <c r="J62">
        <v>13</v>
      </c>
      <c r="K62" s="500">
        <v>-58481695959.549171</v>
      </c>
    </row>
    <row r="63" spans="6:11" x14ac:dyDescent="0.3">
      <c r="F63" t="s">
        <v>2770</v>
      </c>
      <c r="G63" t="s">
        <v>3170</v>
      </c>
      <c r="H63" t="s">
        <v>3174</v>
      </c>
      <c r="I63" s="35">
        <v>45880</v>
      </c>
      <c r="J63">
        <v>14</v>
      </c>
      <c r="K63" s="500">
        <v>-58290849889.062523</v>
      </c>
    </row>
    <row r="64" spans="6:11" x14ac:dyDescent="0.3">
      <c r="F64" t="s">
        <v>2867</v>
      </c>
      <c r="G64" t="s">
        <v>3172</v>
      </c>
      <c r="H64" t="s">
        <v>3171</v>
      </c>
      <c r="I64" s="35">
        <v>46252</v>
      </c>
      <c r="J64" t="s">
        <v>2924</v>
      </c>
      <c r="K64" s="500">
        <v>160521913155.44821</v>
      </c>
    </row>
    <row r="65" spans="6:11" x14ac:dyDescent="0.3">
      <c r="F65" t="s">
        <v>2867</v>
      </c>
      <c r="G65" t="s">
        <v>3172</v>
      </c>
      <c r="H65" t="s">
        <v>3171</v>
      </c>
      <c r="I65" s="35">
        <v>46252</v>
      </c>
      <c r="J65" t="s">
        <v>2925</v>
      </c>
      <c r="K65" s="500">
        <v>187283464186.77789</v>
      </c>
    </row>
    <row r="66" spans="6:11" x14ac:dyDescent="0.3">
      <c r="F66" t="s">
        <v>2770</v>
      </c>
      <c r="G66" t="s">
        <v>3170</v>
      </c>
      <c r="H66" t="s">
        <v>3173</v>
      </c>
      <c r="I66" s="35">
        <v>46252</v>
      </c>
      <c r="J66" t="s">
        <v>2924</v>
      </c>
      <c r="K66" s="500">
        <v>5629230293.4634705</v>
      </c>
    </row>
    <row r="67" spans="6:11" x14ac:dyDescent="0.3">
      <c r="F67" t="s">
        <v>2770</v>
      </c>
      <c r="G67" t="s">
        <v>3170</v>
      </c>
      <c r="H67" t="s">
        <v>3173</v>
      </c>
      <c r="I67" s="35">
        <v>46252</v>
      </c>
      <c r="J67" t="s">
        <v>2925</v>
      </c>
      <c r="K67" s="500">
        <v>11233079312.15826</v>
      </c>
    </row>
    <row r="68" spans="6:11" x14ac:dyDescent="0.3">
      <c r="F68" t="s">
        <v>2770</v>
      </c>
      <c r="G68" t="s">
        <v>3172</v>
      </c>
      <c r="H68" t="s">
        <v>3173</v>
      </c>
      <c r="I68" s="35">
        <v>46029</v>
      </c>
      <c r="J68">
        <v>1</v>
      </c>
      <c r="K68" s="500">
        <v>-131105768152.81979</v>
      </c>
    </row>
    <row r="69" spans="6:11" x14ac:dyDescent="0.3">
      <c r="F69" t="s">
        <v>2770</v>
      </c>
      <c r="G69" t="s">
        <v>3172</v>
      </c>
      <c r="H69" t="s">
        <v>3173</v>
      </c>
      <c r="I69" s="35">
        <v>46169</v>
      </c>
      <c r="J69">
        <v>2</v>
      </c>
      <c r="K69" s="500">
        <v>-122093880292.9304</v>
      </c>
    </row>
    <row r="70" spans="6:11" x14ac:dyDescent="0.3">
      <c r="F70" t="s">
        <v>2770</v>
      </c>
      <c r="G70" t="s">
        <v>3172</v>
      </c>
      <c r="H70" t="s">
        <v>3173</v>
      </c>
      <c r="I70" s="35">
        <v>45890</v>
      </c>
      <c r="J70">
        <v>3</v>
      </c>
      <c r="K70" s="500">
        <v>-100823622341.69279</v>
      </c>
    </row>
    <row r="71" spans="6:11" x14ac:dyDescent="0.3">
      <c r="F71" t="s">
        <v>2770</v>
      </c>
      <c r="G71" t="s">
        <v>3172</v>
      </c>
      <c r="H71" t="s">
        <v>3173</v>
      </c>
      <c r="I71" s="35">
        <v>45889</v>
      </c>
      <c r="J71">
        <v>4</v>
      </c>
      <c r="K71" s="500">
        <v>-85156913707.090118</v>
      </c>
    </row>
    <row r="72" spans="6:11" x14ac:dyDescent="0.3">
      <c r="F72" t="s">
        <v>2770</v>
      </c>
      <c r="G72" t="s">
        <v>3172</v>
      </c>
      <c r="H72" t="s">
        <v>3173</v>
      </c>
      <c r="I72" s="35">
        <v>46092</v>
      </c>
      <c r="J72">
        <v>5</v>
      </c>
      <c r="K72" s="500">
        <v>-82378226452.07373</v>
      </c>
    </row>
    <row r="73" spans="6:11" x14ac:dyDescent="0.3">
      <c r="F73" t="s">
        <v>2770</v>
      </c>
      <c r="G73" t="s">
        <v>3172</v>
      </c>
      <c r="H73" t="s">
        <v>3173</v>
      </c>
      <c r="I73" s="35">
        <v>46028</v>
      </c>
      <c r="J73">
        <v>6</v>
      </c>
      <c r="K73" s="500">
        <v>-79171368235.299728</v>
      </c>
    </row>
    <row r="74" spans="6:11" x14ac:dyDescent="0.3">
      <c r="F74" t="s">
        <v>2770</v>
      </c>
      <c r="G74" t="s">
        <v>3172</v>
      </c>
      <c r="H74" t="s">
        <v>3173</v>
      </c>
      <c r="I74" s="35">
        <v>45931</v>
      </c>
      <c r="J74">
        <v>7</v>
      </c>
      <c r="K74" s="500">
        <v>-60564050001.317482</v>
      </c>
    </row>
    <row r="75" spans="6:11" x14ac:dyDescent="0.3">
      <c r="F75" t="s">
        <v>2770</v>
      </c>
      <c r="G75" t="s">
        <v>3172</v>
      </c>
      <c r="H75" t="s">
        <v>3173</v>
      </c>
      <c r="I75" s="35">
        <v>46091</v>
      </c>
      <c r="J75">
        <v>8</v>
      </c>
      <c r="K75" s="500">
        <v>-48519469174.319458</v>
      </c>
    </row>
    <row r="76" spans="6:11" x14ac:dyDescent="0.3">
      <c r="F76" t="s">
        <v>2770</v>
      </c>
      <c r="G76" t="s">
        <v>3172</v>
      </c>
      <c r="H76" t="s">
        <v>3173</v>
      </c>
      <c r="I76" s="35">
        <v>46080</v>
      </c>
      <c r="J76">
        <v>9</v>
      </c>
      <c r="K76" s="500">
        <v>-48298463575.047684</v>
      </c>
    </row>
    <row r="77" spans="6:11" x14ac:dyDescent="0.3">
      <c r="F77" t="s">
        <v>2770</v>
      </c>
      <c r="G77" t="s">
        <v>3172</v>
      </c>
      <c r="H77" t="s">
        <v>3173</v>
      </c>
      <c r="I77" s="35">
        <v>46190</v>
      </c>
      <c r="J77">
        <v>10</v>
      </c>
      <c r="K77" s="500">
        <v>-48044567234.235672</v>
      </c>
    </row>
    <row r="78" spans="6:11" x14ac:dyDescent="0.3">
      <c r="F78" t="s">
        <v>2770</v>
      </c>
      <c r="G78" t="s">
        <v>3172</v>
      </c>
      <c r="H78" t="s">
        <v>3173</v>
      </c>
      <c r="I78" s="35">
        <v>45891</v>
      </c>
      <c r="J78">
        <v>11</v>
      </c>
      <c r="K78" s="500">
        <v>-47615989883.771187</v>
      </c>
    </row>
    <row r="79" spans="6:11" x14ac:dyDescent="0.3">
      <c r="F79" t="s">
        <v>2770</v>
      </c>
      <c r="G79" t="s">
        <v>3172</v>
      </c>
      <c r="H79" t="s">
        <v>3173</v>
      </c>
      <c r="I79" s="35">
        <v>45938</v>
      </c>
      <c r="J79">
        <v>12</v>
      </c>
      <c r="K79" s="500">
        <v>-47482905929.169098</v>
      </c>
    </row>
    <row r="80" spans="6:11" x14ac:dyDescent="0.3">
      <c r="F80" t="s">
        <v>2770</v>
      </c>
      <c r="G80" t="s">
        <v>3172</v>
      </c>
      <c r="H80" t="s">
        <v>3173</v>
      </c>
      <c r="I80" s="35">
        <v>45924</v>
      </c>
      <c r="J80">
        <v>13</v>
      </c>
      <c r="K80" s="500">
        <v>-42971384876.988251</v>
      </c>
    </row>
    <row r="81" spans="6:11" x14ac:dyDescent="0.3">
      <c r="F81" t="s">
        <v>2770</v>
      </c>
      <c r="G81" t="s">
        <v>3172</v>
      </c>
      <c r="H81" t="s">
        <v>3173</v>
      </c>
      <c r="I81" s="35">
        <v>46038</v>
      </c>
      <c r="J81">
        <v>14</v>
      </c>
      <c r="K81" s="500">
        <v>-37648565287.099533</v>
      </c>
    </row>
    <row r="82" spans="6:11" x14ac:dyDescent="0.3">
      <c r="F82" t="s">
        <v>2867</v>
      </c>
      <c r="G82" t="s">
        <v>3172</v>
      </c>
      <c r="H82" t="s">
        <v>3174</v>
      </c>
      <c r="I82" s="35">
        <v>46252</v>
      </c>
      <c r="J82" t="s">
        <v>2924</v>
      </c>
      <c r="K82" s="500">
        <v>228866944912.772</v>
      </c>
    </row>
    <row r="83" spans="6:11" x14ac:dyDescent="0.3">
      <c r="F83" t="s">
        <v>2867</v>
      </c>
      <c r="G83" t="s">
        <v>3172</v>
      </c>
      <c r="H83" t="s">
        <v>3174</v>
      </c>
      <c r="I83" s="35">
        <v>46252</v>
      </c>
      <c r="J83" t="s">
        <v>2925</v>
      </c>
      <c r="K83" s="500">
        <v>274086967020.4642</v>
      </c>
    </row>
    <row r="84" spans="6:11" x14ac:dyDescent="0.3">
      <c r="F84" t="s">
        <v>2867</v>
      </c>
      <c r="G84" t="s">
        <v>3170</v>
      </c>
      <c r="H84" t="s">
        <v>3173</v>
      </c>
      <c r="I84" s="35">
        <v>46252</v>
      </c>
      <c r="J84" t="s">
        <v>2924</v>
      </c>
      <c r="K84" s="500">
        <v>24218767512.711185</v>
      </c>
    </row>
    <row r="85" spans="6:11" x14ac:dyDescent="0.3">
      <c r="F85" t="s">
        <v>2867</v>
      </c>
      <c r="G85" t="s">
        <v>3170</v>
      </c>
      <c r="H85" t="s">
        <v>3173</v>
      </c>
      <c r="I85" s="35">
        <v>46252</v>
      </c>
      <c r="J85" t="s">
        <v>2925</v>
      </c>
      <c r="K85" s="500">
        <v>51595636080.435493</v>
      </c>
    </row>
    <row r="86" spans="6:11" x14ac:dyDescent="0.3">
      <c r="F86" t="s">
        <v>2770</v>
      </c>
      <c r="G86" t="s">
        <v>3170</v>
      </c>
      <c r="H86" t="s">
        <v>3171</v>
      </c>
      <c r="I86" s="35">
        <v>46252</v>
      </c>
      <c r="J86" t="s">
        <v>2924</v>
      </c>
      <c r="K86" s="500">
        <v>33601924837.32069</v>
      </c>
    </row>
    <row r="87" spans="6:11" x14ac:dyDescent="0.3">
      <c r="F87" t="s">
        <v>2770</v>
      </c>
      <c r="G87" t="s">
        <v>3170</v>
      </c>
      <c r="H87" t="s">
        <v>3171</v>
      </c>
      <c r="I87" s="35">
        <v>46252</v>
      </c>
      <c r="J87" t="s">
        <v>2925</v>
      </c>
      <c r="K87" s="500">
        <v>48085717106.137611</v>
      </c>
    </row>
    <row r="88" spans="6:11" x14ac:dyDescent="0.3">
      <c r="F88" t="s">
        <v>2867</v>
      </c>
      <c r="G88" t="s">
        <v>3170</v>
      </c>
      <c r="H88" t="s">
        <v>3174</v>
      </c>
      <c r="I88" s="35">
        <v>45870</v>
      </c>
      <c r="J88">
        <v>1</v>
      </c>
      <c r="K88" s="500">
        <v>-249338768734.4938</v>
      </c>
    </row>
    <row r="89" spans="6:11" x14ac:dyDescent="0.3">
      <c r="F89" t="s">
        <v>2867</v>
      </c>
      <c r="G89" t="s">
        <v>3170</v>
      </c>
      <c r="H89" t="s">
        <v>3174</v>
      </c>
      <c r="I89" s="35">
        <v>45873</v>
      </c>
      <c r="J89">
        <v>2</v>
      </c>
      <c r="K89" s="500">
        <v>-249109831790.4664</v>
      </c>
    </row>
    <row r="90" spans="6:11" x14ac:dyDescent="0.3">
      <c r="F90" t="s">
        <v>2867</v>
      </c>
      <c r="G90" t="s">
        <v>3170</v>
      </c>
      <c r="H90" t="s">
        <v>3174</v>
      </c>
      <c r="I90" s="35">
        <v>45868</v>
      </c>
      <c r="J90">
        <v>3</v>
      </c>
      <c r="K90" s="500">
        <v>-246673008337.0162</v>
      </c>
    </row>
    <row r="91" spans="6:11" x14ac:dyDescent="0.3">
      <c r="F91" t="s">
        <v>2867</v>
      </c>
      <c r="G91" t="s">
        <v>3170</v>
      </c>
      <c r="H91" t="s">
        <v>3174</v>
      </c>
      <c r="I91" s="35">
        <v>45867</v>
      </c>
      <c r="J91">
        <v>4</v>
      </c>
      <c r="K91" s="500">
        <v>-245941069189.8194</v>
      </c>
    </row>
    <row r="92" spans="6:11" x14ac:dyDescent="0.3">
      <c r="F92" t="s">
        <v>2867</v>
      </c>
      <c r="G92" t="s">
        <v>3170</v>
      </c>
      <c r="H92" t="s">
        <v>3174</v>
      </c>
      <c r="I92" s="35">
        <v>45869</v>
      </c>
      <c r="J92">
        <v>5</v>
      </c>
      <c r="K92" s="500">
        <v>-241744928498.7074</v>
      </c>
    </row>
    <row r="93" spans="6:11" x14ac:dyDescent="0.3">
      <c r="F93" t="s">
        <v>2867</v>
      </c>
      <c r="G93" t="s">
        <v>3170</v>
      </c>
      <c r="H93" t="s">
        <v>3174</v>
      </c>
      <c r="I93" s="35">
        <v>45874</v>
      </c>
      <c r="J93">
        <v>6</v>
      </c>
      <c r="K93" s="500">
        <v>-238230649393.7084</v>
      </c>
    </row>
    <row r="94" spans="6:11" x14ac:dyDescent="0.3">
      <c r="F94" t="s">
        <v>2867</v>
      </c>
      <c r="G94" t="s">
        <v>3170</v>
      </c>
      <c r="H94" t="s">
        <v>3174</v>
      </c>
      <c r="I94" s="35">
        <v>45875</v>
      </c>
      <c r="J94">
        <v>7</v>
      </c>
      <c r="K94" s="500">
        <v>-228117964937.58289</v>
      </c>
    </row>
    <row r="95" spans="6:11" x14ac:dyDescent="0.3">
      <c r="F95" t="s">
        <v>2867</v>
      </c>
      <c r="G95" t="s">
        <v>3170</v>
      </c>
      <c r="H95" t="s">
        <v>3174</v>
      </c>
      <c r="I95" s="35">
        <v>45866</v>
      </c>
      <c r="J95">
        <v>8</v>
      </c>
      <c r="K95" s="500">
        <v>-225172706387.401</v>
      </c>
    </row>
    <row r="96" spans="6:11" x14ac:dyDescent="0.3">
      <c r="F96" t="s">
        <v>2867</v>
      </c>
      <c r="G96" t="s">
        <v>3170</v>
      </c>
      <c r="H96" t="s">
        <v>3174</v>
      </c>
      <c r="I96" s="35">
        <v>45877</v>
      </c>
      <c r="J96">
        <v>9</v>
      </c>
      <c r="K96" s="500">
        <v>-216068814949.92099</v>
      </c>
    </row>
    <row r="97" spans="6:18" x14ac:dyDescent="0.3">
      <c r="F97" t="s">
        <v>2867</v>
      </c>
      <c r="G97" t="s">
        <v>3170</v>
      </c>
      <c r="H97" t="s">
        <v>3174</v>
      </c>
      <c r="I97" s="35">
        <v>45881</v>
      </c>
      <c r="J97">
        <v>10</v>
      </c>
      <c r="K97" s="500">
        <v>-215531526537.93451</v>
      </c>
    </row>
    <row r="98" spans="6:18" x14ac:dyDescent="0.3">
      <c r="F98" t="s">
        <v>2867</v>
      </c>
      <c r="G98" t="s">
        <v>3170</v>
      </c>
      <c r="H98" t="s">
        <v>3174</v>
      </c>
      <c r="I98" s="35">
        <v>45876</v>
      </c>
      <c r="J98">
        <v>11</v>
      </c>
      <c r="K98" s="500">
        <v>-215508734563.63019</v>
      </c>
    </row>
    <row r="99" spans="6:18" x14ac:dyDescent="0.3">
      <c r="F99" t="s">
        <v>2867</v>
      </c>
      <c r="G99" t="s">
        <v>3170</v>
      </c>
      <c r="H99" t="s">
        <v>3174</v>
      </c>
      <c r="I99" s="35">
        <v>45882</v>
      </c>
      <c r="J99">
        <v>12</v>
      </c>
      <c r="K99" s="500">
        <v>-213046246546.99719</v>
      </c>
    </row>
    <row r="100" spans="6:18" x14ac:dyDescent="0.3">
      <c r="F100" t="s">
        <v>2867</v>
      </c>
      <c r="G100" t="s">
        <v>3170</v>
      </c>
      <c r="H100" t="s">
        <v>3174</v>
      </c>
      <c r="I100" s="35">
        <v>45880</v>
      </c>
      <c r="J100">
        <v>13</v>
      </c>
      <c r="K100" s="500">
        <v>-207685859377.49469</v>
      </c>
    </row>
    <row r="101" spans="6:18" x14ac:dyDescent="0.3">
      <c r="F101" t="s">
        <v>2867</v>
      </c>
      <c r="G101" t="s">
        <v>3170</v>
      </c>
      <c r="H101" t="s">
        <v>3174</v>
      </c>
      <c r="I101" s="35">
        <v>46059</v>
      </c>
      <c r="J101">
        <v>14</v>
      </c>
      <c r="K101" s="500">
        <v>-189603569102.814</v>
      </c>
    </row>
    <row r="102" spans="6:18" x14ac:dyDescent="0.3">
      <c r="F102" t="s">
        <v>2867</v>
      </c>
      <c r="G102" t="s">
        <v>3172</v>
      </c>
      <c r="H102" t="s">
        <v>3171</v>
      </c>
      <c r="I102" s="35">
        <v>46169</v>
      </c>
      <c r="J102">
        <v>1</v>
      </c>
      <c r="K102" s="500">
        <v>-89744749342.712524</v>
      </c>
      <c r="R102" t="s">
        <v>173</v>
      </c>
    </row>
    <row r="103" spans="6:18" x14ac:dyDescent="0.3">
      <c r="F103" t="s">
        <v>2867</v>
      </c>
      <c r="G103" t="s">
        <v>3172</v>
      </c>
      <c r="H103" t="s">
        <v>3171</v>
      </c>
      <c r="I103" s="35">
        <v>46029</v>
      </c>
      <c r="J103">
        <v>2</v>
      </c>
      <c r="K103" s="500">
        <v>-81743570345.850525</v>
      </c>
    </row>
    <row r="104" spans="6:18" x14ac:dyDescent="0.3">
      <c r="F104" t="s">
        <v>2867</v>
      </c>
      <c r="G104" t="s">
        <v>3172</v>
      </c>
      <c r="H104" t="s">
        <v>3171</v>
      </c>
      <c r="I104" s="35">
        <v>45889</v>
      </c>
      <c r="J104">
        <v>3</v>
      </c>
      <c r="K104" s="500">
        <v>-57896273976.534477</v>
      </c>
    </row>
    <row r="105" spans="6:18" x14ac:dyDescent="0.3">
      <c r="F105" t="s">
        <v>2867</v>
      </c>
      <c r="G105" t="s">
        <v>3172</v>
      </c>
      <c r="H105" t="s">
        <v>3171</v>
      </c>
      <c r="I105" s="35">
        <v>45890</v>
      </c>
      <c r="J105">
        <v>4</v>
      </c>
      <c r="K105" s="500">
        <v>-52089530222.208717</v>
      </c>
    </row>
    <row r="106" spans="6:18" x14ac:dyDescent="0.3">
      <c r="F106" t="s">
        <v>2867</v>
      </c>
      <c r="G106" t="s">
        <v>3172</v>
      </c>
      <c r="H106" t="s">
        <v>3171</v>
      </c>
      <c r="I106" s="35">
        <v>46028</v>
      </c>
      <c r="J106">
        <v>5</v>
      </c>
      <c r="K106" s="500">
        <v>-51189955427.141403</v>
      </c>
    </row>
    <row r="107" spans="6:18" x14ac:dyDescent="0.3">
      <c r="F107" t="s">
        <v>2867</v>
      </c>
      <c r="G107" t="s">
        <v>3172</v>
      </c>
      <c r="H107" t="s">
        <v>3171</v>
      </c>
      <c r="I107" s="35">
        <v>45931</v>
      </c>
      <c r="J107">
        <v>6</v>
      </c>
      <c r="K107" s="500">
        <v>-41144765556.74913</v>
      </c>
    </row>
    <row r="108" spans="6:18" x14ac:dyDescent="0.3">
      <c r="F108" t="s">
        <v>2867</v>
      </c>
      <c r="G108" t="s">
        <v>3172</v>
      </c>
      <c r="H108" t="s">
        <v>3171</v>
      </c>
      <c r="I108" s="35">
        <v>46092</v>
      </c>
      <c r="J108">
        <v>7</v>
      </c>
      <c r="K108" s="500">
        <v>-32845630326.299351</v>
      </c>
    </row>
    <row r="109" spans="6:18" x14ac:dyDescent="0.3">
      <c r="F109" t="s">
        <v>2867</v>
      </c>
      <c r="G109" t="s">
        <v>3172</v>
      </c>
      <c r="H109" t="s">
        <v>3171</v>
      </c>
      <c r="I109" s="35">
        <v>45938</v>
      </c>
      <c r="J109">
        <v>8</v>
      </c>
      <c r="K109" s="500">
        <v>-31980999613.20631</v>
      </c>
    </row>
    <row r="110" spans="6:18" x14ac:dyDescent="0.3">
      <c r="F110" t="s">
        <v>2867</v>
      </c>
      <c r="G110" t="s">
        <v>3172</v>
      </c>
      <c r="H110" t="s">
        <v>3171</v>
      </c>
      <c r="I110" s="35">
        <v>45924</v>
      </c>
      <c r="J110">
        <v>9</v>
      </c>
      <c r="K110" s="500">
        <v>-31974905803.465981</v>
      </c>
    </row>
    <row r="111" spans="6:18" x14ac:dyDescent="0.3">
      <c r="F111" t="s">
        <v>2867</v>
      </c>
      <c r="G111" t="s">
        <v>3172</v>
      </c>
      <c r="H111" t="s">
        <v>3171</v>
      </c>
      <c r="I111" s="35">
        <v>46080</v>
      </c>
      <c r="J111">
        <v>10</v>
      </c>
      <c r="K111" s="500">
        <v>-27276852959.367908</v>
      </c>
    </row>
    <row r="112" spans="6:18" x14ac:dyDescent="0.3">
      <c r="F112" t="s">
        <v>2867</v>
      </c>
      <c r="G112" t="s">
        <v>3172</v>
      </c>
      <c r="H112" t="s">
        <v>3171</v>
      </c>
      <c r="I112" s="35">
        <v>46190</v>
      </c>
      <c r="J112">
        <v>11</v>
      </c>
      <c r="K112" s="500">
        <v>-27182634277.11681</v>
      </c>
    </row>
    <row r="113" spans="6:11" x14ac:dyDescent="0.3">
      <c r="F113" t="s">
        <v>2867</v>
      </c>
      <c r="G113" t="s">
        <v>3172</v>
      </c>
      <c r="H113" t="s">
        <v>3171</v>
      </c>
      <c r="I113" s="35">
        <v>45952</v>
      </c>
      <c r="J113">
        <v>12</v>
      </c>
      <c r="K113" s="500">
        <v>-26119373588.43298</v>
      </c>
    </row>
    <row r="114" spans="6:11" x14ac:dyDescent="0.3">
      <c r="F114" t="s">
        <v>2867</v>
      </c>
      <c r="G114" t="s">
        <v>3172</v>
      </c>
      <c r="H114" t="s">
        <v>3171</v>
      </c>
      <c r="I114" s="35">
        <v>46001</v>
      </c>
      <c r="J114">
        <v>13</v>
      </c>
      <c r="K114" s="500">
        <v>-23281586164.01593</v>
      </c>
    </row>
    <row r="115" spans="6:11" x14ac:dyDescent="0.3">
      <c r="F115" t="s">
        <v>2867</v>
      </c>
      <c r="G115" t="s">
        <v>3172</v>
      </c>
      <c r="H115" t="s">
        <v>3171</v>
      </c>
      <c r="I115" s="35">
        <v>45945</v>
      </c>
      <c r="J115">
        <v>14</v>
      </c>
      <c r="K115" s="500">
        <v>-22950411593.960239</v>
      </c>
    </row>
    <row r="116" spans="6:11" x14ac:dyDescent="0.3">
      <c r="F116" t="s">
        <v>2867</v>
      </c>
      <c r="G116" t="s">
        <v>3170</v>
      </c>
      <c r="H116" t="s">
        <v>3171</v>
      </c>
      <c r="I116" s="35">
        <v>46252</v>
      </c>
      <c r="J116" t="s">
        <v>2924</v>
      </c>
      <c r="K116" s="500">
        <v>136127205168.43448</v>
      </c>
    </row>
    <row r="117" spans="6:11" x14ac:dyDescent="0.3">
      <c r="F117" t="s">
        <v>2867</v>
      </c>
      <c r="G117" t="s">
        <v>3170</v>
      </c>
      <c r="H117" t="s">
        <v>3171</v>
      </c>
      <c r="I117" s="35">
        <v>46252</v>
      </c>
      <c r="J117" t="s">
        <v>2925</v>
      </c>
      <c r="K117" s="500">
        <v>181874395594.82059</v>
      </c>
    </row>
    <row r="118" spans="6:11" x14ac:dyDescent="0.3">
      <c r="F118" t="s">
        <v>2867</v>
      </c>
      <c r="G118" t="s">
        <v>3172</v>
      </c>
      <c r="H118" t="s">
        <v>3173</v>
      </c>
      <c r="I118" s="35">
        <v>46169</v>
      </c>
      <c r="J118">
        <v>1</v>
      </c>
      <c r="K118" s="500">
        <v>-89744749342.712524</v>
      </c>
    </row>
    <row r="119" spans="6:11" x14ac:dyDescent="0.3">
      <c r="F119" t="s">
        <v>2867</v>
      </c>
      <c r="G119" t="s">
        <v>3172</v>
      </c>
      <c r="H119" t="s">
        <v>3173</v>
      </c>
      <c r="I119" s="35">
        <v>46029</v>
      </c>
      <c r="J119">
        <v>2</v>
      </c>
      <c r="K119" s="500">
        <v>-81743570345.850525</v>
      </c>
    </row>
    <row r="120" spans="6:11" x14ac:dyDescent="0.3">
      <c r="F120" t="s">
        <v>2867</v>
      </c>
      <c r="G120" t="s">
        <v>3172</v>
      </c>
      <c r="H120" t="s">
        <v>3173</v>
      </c>
      <c r="I120" s="35">
        <v>45889</v>
      </c>
      <c r="J120">
        <v>3</v>
      </c>
      <c r="K120" s="500">
        <v>-57896273976.534477</v>
      </c>
    </row>
    <row r="121" spans="6:11" x14ac:dyDescent="0.3">
      <c r="F121" t="s">
        <v>2867</v>
      </c>
      <c r="G121" t="s">
        <v>3172</v>
      </c>
      <c r="H121" t="s">
        <v>3173</v>
      </c>
      <c r="I121" s="35">
        <v>45890</v>
      </c>
      <c r="J121">
        <v>4</v>
      </c>
      <c r="K121" s="500">
        <v>-52089530222.208717</v>
      </c>
    </row>
    <row r="122" spans="6:11" x14ac:dyDescent="0.3">
      <c r="F122" t="s">
        <v>2867</v>
      </c>
      <c r="G122" t="s">
        <v>3172</v>
      </c>
      <c r="H122" t="s">
        <v>3173</v>
      </c>
      <c r="I122" s="35">
        <v>46028</v>
      </c>
      <c r="J122">
        <v>5</v>
      </c>
      <c r="K122" s="500">
        <v>-51189955427.141403</v>
      </c>
    </row>
    <row r="123" spans="6:11" x14ac:dyDescent="0.3">
      <c r="F123" t="s">
        <v>2867</v>
      </c>
      <c r="G123" t="s">
        <v>3172</v>
      </c>
      <c r="H123" t="s">
        <v>3173</v>
      </c>
      <c r="I123" s="35">
        <v>45931</v>
      </c>
      <c r="J123">
        <v>6</v>
      </c>
      <c r="K123" s="500">
        <v>-41144765556.74913</v>
      </c>
    </row>
    <row r="124" spans="6:11" x14ac:dyDescent="0.3">
      <c r="F124" t="s">
        <v>2867</v>
      </c>
      <c r="G124" t="s">
        <v>3172</v>
      </c>
      <c r="H124" t="s">
        <v>3173</v>
      </c>
      <c r="I124" s="35">
        <v>46092</v>
      </c>
      <c r="J124">
        <v>7</v>
      </c>
      <c r="K124" s="500">
        <v>-32845630326.299351</v>
      </c>
    </row>
    <row r="125" spans="6:11" x14ac:dyDescent="0.3">
      <c r="F125" t="s">
        <v>2867</v>
      </c>
      <c r="G125" t="s">
        <v>3172</v>
      </c>
      <c r="H125" t="s">
        <v>3173</v>
      </c>
      <c r="I125" s="35">
        <v>45938</v>
      </c>
      <c r="J125">
        <v>8</v>
      </c>
      <c r="K125" s="500">
        <v>-31980999613.20631</v>
      </c>
    </row>
    <row r="126" spans="6:11" x14ac:dyDescent="0.3">
      <c r="F126" t="s">
        <v>2867</v>
      </c>
      <c r="G126" t="s">
        <v>3172</v>
      </c>
      <c r="H126" t="s">
        <v>3173</v>
      </c>
      <c r="I126" s="35">
        <v>45924</v>
      </c>
      <c r="J126">
        <v>9</v>
      </c>
      <c r="K126" s="500">
        <v>-31974905803.465981</v>
      </c>
    </row>
    <row r="127" spans="6:11" x14ac:dyDescent="0.3">
      <c r="F127" t="s">
        <v>2867</v>
      </c>
      <c r="G127" t="s">
        <v>3172</v>
      </c>
      <c r="H127" t="s">
        <v>3173</v>
      </c>
      <c r="I127" s="35">
        <v>46080</v>
      </c>
      <c r="J127">
        <v>10</v>
      </c>
      <c r="K127" s="500">
        <v>-27276852959.367908</v>
      </c>
    </row>
    <row r="128" spans="6:11" x14ac:dyDescent="0.3">
      <c r="F128" t="s">
        <v>2867</v>
      </c>
      <c r="G128" t="s">
        <v>3172</v>
      </c>
      <c r="H128" t="s">
        <v>3173</v>
      </c>
      <c r="I128" s="35">
        <v>46190</v>
      </c>
      <c r="J128">
        <v>11</v>
      </c>
      <c r="K128" s="500">
        <v>-27182634277.11681</v>
      </c>
    </row>
    <row r="129" spans="6:11" x14ac:dyDescent="0.3">
      <c r="F129" t="s">
        <v>2867</v>
      </c>
      <c r="G129" t="s">
        <v>3172</v>
      </c>
      <c r="H129" t="s">
        <v>3173</v>
      </c>
      <c r="I129" s="35">
        <v>45952</v>
      </c>
      <c r="J129">
        <v>12</v>
      </c>
      <c r="K129" s="500">
        <v>-26119373588.43298</v>
      </c>
    </row>
    <row r="130" spans="6:11" x14ac:dyDescent="0.3">
      <c r="F130" t="s">
        <v>2867</v>
      </c>
      <c r="G130" t="s">
        <v>3172</v>
      </c>
      <c r="H130" t="s">
        <v>3173</v>
      </c>
      <c r="I130" s="35">
        <v>46001</v>
      </c>
      <c r="J130">
        <v>13</v>
      </c>
      <c r="K130" s="500">
        <v>-23281586164.01593</v>
      </c>
    </row>
    <row r="131" spans="6:11" x14ac:dyDescent="0.3">
      <c r="F131" t="s">
        <v>2867</v>
      </c>
      <c r="G131" t="s">
        <v>3172</v>
      </c>
      <c r="H131" t="s">
        <v>3173</v>
      </c>
      <c r="I131" s="35">
        <v>45945</v>
      </c>
      <c r="J131">
        <v>14</v>
      </c>
      <c r="K131" s="500">
        <v>-22950411593.960239</v>
      </c>
    </row>
    <row r="132" spans="6:11" x14ac:dyDescent="0.3">
      <c r="F132" t="s">
        <v>2770</v>
      </c>
      <c r="G132" t="s">
        <v>3172</v>
      </c>
      <c r="H132" t="s">
        <v>3174</v>
      </c>
      <c r="I132" s="35">
        <v>45868</v>
      </c>
      <c r="J132">
        <v>1</v>
      </c>
      <c r="K132" s="500">
        <v>-453259399394.70178</v>
      </c>
    </row>
    <row r="133" spans="6:11" x14ac:dyDescent="0.3">
      <c r="F133" t="s">
        <v>2770</v>
      </c>
      <c r="G133" t="s">
        <v>3172</v>
      </c>
      <c r="H133" t="s">
        <v>3174</v>
      </c>
      <c r="I133" s="35">
        <v>45867</v>
      </c>
      <c r="J133">
        <v>2</v>
      </c>
      <c r="K133" s="500">
        <v>-452717551873.59973</v>
      </c>
    </row>
    <row r="134" spans="6:11" x14ac:dyDescent="0.3">
      <c r="F134" t="s">
        <v>2770</v>
      </c>
      <c r="G134" t="s">
        <v>3172</v>
      </c>
      <c r="H134" t="s">
        <v>3174</v>
      </c>
      <c r="I134" s="35">
        <v>45870</v>
      </c>
      <c r="J134">
        <v>3</v>
      </c>
      <c r="K134" s="500">
        <v>-448502252068.51007</v>
      </c>
    </row>
    <row r="135" spans="6:11" x14ac:dyDescent="0.3">
      <c r="F135" t="s">
        <v>2770</v>
      </c>
      <c r="G135" t="s">
        <v>3172</v>
      </c>
      <c r="H135" t="s">
        <v>3174</v>
      </c>
      <c r="I135" s="35">
        <v>45873</v>
      </c>
      <c r="J135">
        <v>4</v>
      </c>
      <c r="K135" s="500">
        <v>-446853212365.14203</v>
      </c>
    </row>
    <row r="136" spans="6:11" x14ac:dyDescent="0.3">
      <c r="F136" t="s">
        <v>2770</v>
      </c>
      <c r="G136" t="s">
        <v>3172</v>
      </c>
      <c r="H136" t="s">
        <v>3174</v>
      </c>
      <c r="I136" s="35">
        <v>45869</v>
      </c>
      <c r="J136">
        <v>5</v>
      </c>
      <c r="K136" s="500">
        <v>-440224263233.19397</v>
      </c>
    </row>
    <row r="137" spans="6:11" x14ac:dyDescent="0.3">
      <c r="F137" t="s">
        <v>2770</v>
      </c>
      <c r="G137" t="s">
        <v>3172</v>
      </c>
      <c r="H137" t="s">
        <v>3174</v>
      </c>
      <c r="I137" s="35">
        <v>45874</v>
      </c>
      <c r="J137">
        <v>6</v>
      </c>
      <c r="K137" s="500">
        <v>-436378824429.79102</v>
      </c>
    </row>
    <row r="138" spans="6:11" x14ac:dyDescent="0.3">
      <c r="F138" t="s">
        <v>2770</v>
      </c>
      <c r="G138" t="s">
        <v>3172</v>
      </c>
      <c r="H138" t="s">
        <v>3174</v>
      </c>
      <c r="I138" s="35">
        <v>45866</v>
      </c>
      <c r="J138">
        <v>7</v>
      </c>
      <c r="K138" s="500">
        <v>-420904514442.13959</v>
      </c>
    </row>
    <row r="139" spans="6:11" x14ac:dyDescent="0.3">
      <c r="F139" t="s">
        <v>2770</v>
      </c>
      <c r="G139" t="s">
        <v>3172</v>
      </c>
      <c r="H139" t="s">
        <v>3174</v>
      </c>
      <c r="I139" s="35">
        <v>45875</v>
      </c>
      <c r="J139">
        <v>8</v>
      </c>
      <c r="K139" s="500">
        <v>-418741781080.1095</v>
      </c>
    </row>
    <row r="140" spans="6:11" x14ac:dyDescent="0.3">
      <c r="F140" t="s">
        <v>2770</v>
      </c>
      <c r="G140" t="s">
        <v>3172</v>
      </c>
      <c r="H140" t="s">
        <v>3174</v>
      </c>
      <c r="I140" s="35">
        <v>45881</v>
      </c>
      <c r="J140">
        <v>9</v>
      </c>
      <c r="K140" s="500">
        <v>-393458716989.41779</v>
      </c>
    </row>
    <row r="141" spans="6:11" x14ac:dyDescent="0.3">
      <c r="F141" t="s">
        <v>2770</v>
      </c>
      <c r="G141" t="s">
        <v>3172</v>
      </c>
      <c r="H141" t="s">
        <v>3174</v>
      </c>
      <c r="I141" s="35">
        <v>45882</v>
      </c>
      <c r="J141">
        <v>10</v>
      </c>
      <c r="K141" s="500">
        <v>-392208313935.6012</v>
      </c>
    </row>
    <row r="142" spans="6:11" x14ac:dyDescent="0.3">
      <c r="F142" t="s">
        <v>2770</v>
      </c>
      <c r="G142" t="s">
        <v>3172</v>
      </c>
      <c r="H142" t="s">
        <v>3174</v>
      </c>
      <c r="I142" s="35">
        <v>45877</v>
      </c>
      <c r="J142">
        <v>11</v>
      </c>
      <c r="K142" s="500">
        <v>-384085269191.5177</v>
      </c>
    </row>
    <row r="143" spans="6:11" x14ac:dyDescent="0.3">
      <c r="F143" t="s">
        <v>2770</v>
      </c>
      <c r="G143" t="s">
        <v>3172</v>
      </c>
      <c r="H143" t="s">
        <v>3174</v>
      </c>
      <c r="I143" s="35">
        <v>45876</v>
      </c>
      <c r="J143">
        <v>12</v>
      </c>
      <c r="K143" s="500">
        <v>-382910602877.63794</v>
      </c>
    </row>
    <row r="144" spans="6:11" x14ac:dyDescent="0.3">
      <c r="F144" t="s">
        <v>2770</v>
      </c>
      <c r="G144" t="s">
        <v>3172</v>
      </c>
      <c r="H144" t="s">
        <v>3174</v>
      </c>
      <c r="I144" s="35">
        <v>45880</v>
      </c>
      <c r="J144">
        <v>13</v>
      </c>
      <c r="K144" s="500">
        <v>-376027362134.50519</v>
      </c>
    </row>
    <row r="145" spans="6:11" x14ac:dyDescent="0.3">
      <c r="F145" t="s">
        <v>2770</v>
      </c>
      <c r="G145" t="s">
        <v>3172</v>
      </c>
      <c r="H145" t="s">
        <v>3174</v>
      </c>
      <c r="I145" s="35">
        <v>45863</v>
      </c>
      <c r="J145">
        <v>14</v>
      </c>
      <c r="K145" s="500">
        <v>-370918955808.20142</v>
      </c>
    </row>
    <row r="146" spans="6:11" x14ac:dyDescent="0.3">
      <c r="F146" t="s">
        <v>2770</v>
      </c>
      <c r="G146" t="s">
        <v>3170</v>
      </c>
      <c r="H146" t="s">
        <v>3174</v>
      </c>
      <c r="I146" s="35">
        <v>46252</v>
      </c>
      <c r="J146" t="s">
        <v>2924</v>
      </c>
      <c r="K146" s="500">
        <v>58367188317.257172</v>
      </c>
    </row>
    <row r="147" spans="6:11" x14ac:dyDescent="0.3">
      <c r="F147" t="s">
        <v>2770</v>
      </c>
      <c r="G147" t="s">
        <v>3170</v>
      </c>
      <c r="H147" t="s">
        <v>3174</v>
      </c>
      <c r="I147" s="35">
        <v>46252</v>
      </c>
      <c r="J147" t="s">
        <v>2925</v>
      </c>
      <c r="K147" s="500">
        <v>70025958860.829849</v>
      </c>
    </row>
    <row r="148" spans="6:11" x14ac:dyDescent="0.3">
      <c r="F148" t="s">
        <v>2770</v>
      </c>
      <c r="G148" t="s">
        <v>3172</v>
      </c>
      <c r="H148" t="s">
        <v>3171</v>
      </c>
      <c r="I148" s="35">
        <v>45881</v>
      </c>
      <c r="J148">
        <v>1</v>
      </c>
      <c r="K148" s="500">
        <v>-360561984643.58539</v>
      </c>
    </row>
    <row r="149" spans="6:11" x14ac:dyDescent="0.3">
      <c r="F149" t="s">
        <v>2770</v>
      </c>
      <c r="G149" t="s">
        <v>3172</v>
      </c>
      <c r="H149" t="s">
        <v>3171</v>
      </c>
      <c r="I149" s="35">
        <v>45882</v>
      </c>
      <c r="J149">
        <v>2</v>
      </c>
      <c r="K149" s="500">
        <v>-360500972175.35742</v>
      </c>
    </row>
    <row r="150" spans="6:11" x14ac:dyDescent="0.3">
      <c r="F150" t="s">
        <v>2770</v>
      </c>
      <c r="G150" t="s">
        <v>3172</v>
      </c>
      <c r="H150" t="s">
        <v>3171</v>
      </c>
      <c r="I150" s="35">
        <v>45880</v>
      </c>
      <c r="J150">
        <v>3</v>
      </c>
      <c r="K150" s="500">
        <v>-325090323240.41742</v>
      </c>
    </row>
    <row r="151" spans="6:11" x14ac:dyDescent="0.3">
      <c r="F151" t="s">
        <v>2770</v>
      </c>
      <c r="G151" t="s">
        <v>3172</v>
      </c>
      <c r="H151" t="s">
        <v>3171</v>
      </c>
      <c r="I151" s="35">
        <v>45883</v>
      </c>
      <c r="J151">
        <v>4</v>
      </c>
      <c r="K151" s="500">
        <v>-308532399365.77698</v>
      </c>
    </row>
    <row r="152" spans="6:11" x14ac:dyDescent="0.3">
      <c r="F152" t="s">
        <v>2770</v>
      </c>
      <c r="G152" t="s">
        <v>3172</v>
      </c>
      <c r="H152" t="s">
        <v>3171</v>
      </c>
      <c r="I152" s="35">
        <v>45884</v>
      </c>
      <c r="J152">
        <v>5</v>
      </c>
      <c r="K152" s="500">
        <v>-301681134767.65521</v>
      </c>
    </row>
    <row r="153" spans="6:11" x14ac:dyDescent="0.3">
      <c r="F153" t="s">
        <v>2770</v>
      </c>
      <c r="G153" t="s">
        <v>3172</v>
      </c>
      <c r="H153" t="s">
        <v>3171</v>
      </c>
      <c r="I153" s="35">
        <v>45887</v>
      </c>
      <c r="J153">
        <v>6</v>
      </c>
      <c r="K153" s="500">
        <v>-298420334696.08722</v>
      </c>
    </row>
    <row r="154" spans="6:11" x14ac:dyDescent="0.3">
      <c r="F154" t="s">
        <v>2770</v>
      </c>
      <c r="G154" t="s">
        <v>3172</v>
      </c>
      <c r="H154" t="s">
        <v>3171</v>
      </c>
      <c r="I154" s="35">
        <v>46027</v>
      </c>
      <c r="J154">
        <v>7</v>
      </c>
      <c r="K154" s="500">
        <v>-297484314434.23969</v>
      </c>
    </row>
    <row r="155" spans="6:11" x14ac:dyDescent="0.3">
      <c r="F155" t="s">
        <v>2770</v>
      </c>
      <c r="G155" t="s">
        <v>3172</v>
      </c>
      <c r="H155" t="s">
        <v>3171</v>
      </c>
      <c r="I155" s="35">
        <v>45888</v>
      </c>
      <c r="J155">
        <v>8</v>
      </c>
      <c r="K155" s="500">
        <v>-292948266597.36517</v>
      </c>
    </row>
    <row r="156" spans="6:11" x14ac:dyDescent="0.3">
      <c r="F156" t="s">
        <v>2770</v>
      </c>
      <c r="G156" t="s">
        <v>3172</v>
      </c>
      <c r="H156" t="s">
        <v>3171</v>
      </c>
      <c r="I156" s="35">
        <v>45877</v>
      </c>
      <c r="J156">
        <v>9</v>
      </c>
      <c r="K156" s="500">
        <v>-290907993930.91528</v>
      </c>
    </row>
    <row r="157" spans="6:11" x14ac:dyDescent="0.3">
      <c r="F157" t="s">
        <v>2770</v>
      </c>
      <c r="G157" t="s">
        <v>3172</v>
      </c>
      <c r="H157" t="s">
        <v>3171</v>
      </c>
      <c r="I157" s="35">
        <v>45889</v>
      </c>
      <c r="J157">
        <v>10</v>
      </c>
      <c r="K157" s="500">
        <v>-275284640520.00043</v>
      </c>
    </row>
    <row r="158" spans="6:11" x14ac:dyDescent="0.3">
      <c r="F158" t="s">
        <v>2770</v>
      </c>
      <c r="G158" t="s">
        <v>3172</v>
      </c>
      <c r="H158" t="s">
        <v>3171</v>
      </c>
      <c r="I158" s="35">
        <v>46024</v>
      </c>
      <c r="J158">
        <v>11</v>
      </c>
      <c r="K158" s="500">
        <v>-264042428412.32159</v>
      </c>
    </row>
    <row r="159" spans="6:11" x14ac:dyDescent="0.3">
      <c r="F159" t="s">
        <v>2770</v>
      </c>
      <c r="G159" t="s">
        <v>3172</v>
      </c>
      <c r="H159" t="s">
        <v>3171</v>
      </c>
      <c r="I159" s="35">
        <v>46022</v>
      </c>
      <c r="J159">
        <v>12</v>
      </c>
      <c r="K159" s="500">
        <v>-262397209920.68951</v>
      </c>
    </row>
    <row r="160" spans="6:11" x14ac:dyDescent="0.3">
      <c r="F160" t="s">
        <v>2770</v>
      </c>
      <c r="G160" t="s">
        <v>3172</v>
      </c>
      <c r="H160" t="s">
        <v>3171</v>
      </c>
      <c r="I160" s="35">
        <v>46015</v>
      </c>
      <c r="J160">
        <v>13</v>
      </c>
      <c r="K160" s="500">
        <v>-258673912093.203</v>
      </c>
    </row>
    <row r="161" spans="6:11" x14ac:dyDescent="0.3">
      <c r="F161" t="s">
        <v>2770</v>
      </c>
      <c r="G161" t="s">
        <v>3172</v>
      </c>
      <c r="H161" t="s">
        <v>3171</v>
      </c>
      <c r="I161" s="35">
        <v>46021</v>
      </c>
      <c r="J161">
        <v>14</v>
      </c>
      <c r="K161" s="500">
        <v>-258111748353.46219</v>
      </c>
    </row>
    <row r="162" spans="6:11" x14ac:dyDescent="0.3">
      <c r="F162" t="s">
        <v>2770</v>
      </c>
      <c r="G162" t="s">
        <v>3170</v>
      </c>
      <c r="H162" t="s">
        <v>3173</v>
      </c>
      <c r="I162" s="35">
        <v>45890</v>
      </c>
      <c r="J162">
        <v>1</v>
      </c>
      <c r="K162" s="500">
        <v>-13641728869.781919</v>
      </c>
    </row>
    <row r="163" spans="6:11" x14ac:dyDescent="0.3">
      <c r="F163" t="s">
        <v>2770</v>
      </c>
      <c r="G163" t="s">
        <v>3170</v>
      </c>
      <c r="H163" t="s">
        <v>3173</v>
      </c>
      <c r="I163" s="35">
        <v>46029</v>
      </c>
      <c r="J163">
        <v>2</v>
      </c>
      <c r="K163" s="500">
        <v>-13520270641.74095</v>
      </c>
    </row>
    <row r="164" spans="6:11" x14ac:dyDescent="0.3">
      <c r="F164" t="s">
        <v>2770</v>
      </c>
      <c r="G164" t="s">
        <v>3170</v>
      </c>
      <c r="H164" t="s">
        <v>3173</v>
      </c>
      <c r="I164" s="35">
        <v>46169</v>
      </c>
      <c r="J164">
        <v>3</v>
      </c>
      <c r="K164" s="500">
        <v>-11233684539.86517</v>
      </c>
    </row>
    <row r="165" spans="6:11" x14ac:dyDescent="0.3">
      <c r="F165" t="s">
        <v>2770</v>
      </c>
      <c r="G165" t="s">
        <v>3170</v>
      </c>
      <c r="H165" t="s">
        <v>3173</v>
      </c>
      <c r="I165" s="35">
        <v>45889</v>
      </c>
      <c r="J165">
        <v>4</v>
      </c>
      <c r="K165" s="500">
        <v>-11232520640.428801</v>
      </c>
    </row>
    <row r="166" spans="6:11" x14ac:dyDescent="0.3">
      <c r="F166" t="s">
        <v>2770</v>
      </c>
      <c r="G166" t="s">
        <v>3170</v>
      </c>
      <c r="H166" t="s">
        <v>3173</v>
      </c>
      <c r="I166" s="35">
        <v>46092</v>
      </c>
      <c r="J166">
        <v>5</v>
      </c>
      <c r="K166" s="500">
        <v>-10743595594.20989</v>
      </c>
    </row>
    <row r="167" spans="6:11" x14ac:dyDescent="0.3">
      <c r="F167" t="s">
        <v>2770</v>
      </c>
      <c r="G167" t="s">
        <v>3170</v>
      </c>
      <c r="H167" t="s">
        <v>3173</v>
      </c>
      <c r="I167" s="35">
        <v>46028</v>
      </c>
      <c r="J167">
        <v>6</v>
      </c>
      <c r="K167" s="500">
        <v>-9055509099.39925</v>
      </c>
    </row>
    <row r="168" spans="6:11" x14ac:dyDescent="0.3">
      <c r="F168" t="s">
        <v>2770</v>
      </c>
      <c r="G168" t="s">
        <v>3170</v>
      </c>
      <c r="H168" t="s">
        <v>3173</v>
      </c>
      <c r="I168" s="35">
        <v>45931</v>
      </c>
      <c r="J168">
        <v>7</v>
      </c>
      <c r="K168" s="500">
        <v>-7371765571.2976942</v>
      </c>
    </row>
    <row r="169" spans="6:11" x14ac:dyDescent="0.3">
      <c r="F169" t="s">
        <v>2770</v>
      </c>
      <c r="G169" t="s">
        <v>3170</v>
      </c>
      <c r="H169" t="s">
        <v>3173</v>
      </c>
      <c r="I169" s="35">
        <v>46223</v>
      </c>
      <c r="J169">
        <v>8</v>
      </c>
      <c r="K169" s="500">
        <v>-7032140596.8302946</v>
      </c>
    </row>
    <row r="170" spans="6:11" x14ac:dyDescent="0.3">
      <c r="F170" t="s">
        <v>2770</v>
      </c>
      <c r="G170" t="s">
        <v>3170</v>
      </c>
      <c r="H170" t="s">
        <v>3173</v>
      </c>
      <c r="I170" s="35">
        <v>45891</v>
      </c>
      <c r="J170">
        <v>9</v>
      </c>
      <c r="K170" s="500">
        <v>-6675208375.8914528</v>
      </c>
    </row>
    <row r="171" spans="6:11" x14ac:dyDescent="0.3">
      <c r="F171" t="s">
        <v>2770</v>
      </c>
      <c r="G171" t="s">
        <v>3170</v>
      </c>
      <c r="H171" t="s">
        <v>3173</v>
      </c>
      <c r="I171" s="35">
        <v>46091</v>
      </c>
      <c r="J171">
        <v>10</v>
      </c>
      <c r="K171" s="500">
        <v>-6448739494.868082</v>
      </c>
    </row>
    <row r="172" spans="6:11" x14ac:dyDescent="0.3">
      <c r="F172" t="s">
        <v>2770</v>
      </c>
      <c r="G172" t="s">
        <v>3170</v>
      </c>
      <c r="H172" t="s">
        <v>3173</v>
      </c>
      <c r="I172" s="35">
        <v>45896</v>
      </c>
      <c r="J172">
        <v>11</v>
      </c>
      <c r="K172" s="500">
        <v>-6036891457.3291283</v>
      </c>
    </row>
    <row r="173" spans="6:11" x14ac:dyDescent="0.3">
      <c r="F173" t="s">
        <v>2770</v>
      </c>
      <c r="G173" t="s">
        <v>3170</v>
      </c>
      <c r="H173" t="s">
        <v>3173</v>
      </c>
      <c r="I173" s="35">
        <v>46038</v>
      </c>
      <c r="J173">
        <v>12</v>
      </c>
      <c r="K173" s="500">
        <v>-5929729591.4681549</v>
      </c>
    </row>
    <row r="174" spans="6:11" x14ac:dyDescent="0.3">
      <c r="F174" t="s">
        <v>2770</v>
      </c>
      <c r="G174" t="s">
        <v>3170</v>
      </c>
      <c r="H174" t="s">
        <v>3173</v>
      </c>
      <c r="I174" s="35">
        <v>46043</v>
      </c>
      <c r="J174">
        <v>13</v>
      </c>
      <c r="K174" s="500">
        <v>-5691635149.2917757</v>
      </c>
    </row>
    <row r="175" spans="6:11" x14ac:dyDescent="0.3">
      <c r="F175" t="s">
        <v>2770</v>
      </c>
      <c r="G175" t="s">
        <v>3170</v>
      </c>
      <c r="H175" t="s">
        <v>3173</v>
      </c>
      <c r="I175" s="35">
        <v>46184</v>
      </c>
      <c r="J175">
        <v>14</v>
      </c>
      <c r="K175" s="500">
        <v>-5587627056.2446041</v>
      </c>
    </row>
    <row r="176" spans="6:11" x14ac:dyDescent="0.3">
      <c r="F176" t="s">
        <v>2867</v>
      </c>
      <c r="G176" t="s">
        <v>3170</v>
      </c>
      <c r="H176" t="s">
        <v>3174</v>
      </c>
      <c r="I176" s="35">
        <v>46252</v>
      </c>
      <c r="J176" t="s">
        <v>2924</v>
      </c>
      <c r="K176" s="500">
        <v>196836485212.68591</v>
      </c>
    </row>
    <row r="177" spans="6:11" x14ac:dyDescent="0.3">
      <c r="F177" t="s">
        <v>2867</v>
      </c>
      <c r="G177" t="s">
        <v>3170</v>
      </c>
      <c r="H177" t="s">
        <v>3174</v>
      </c>
      <c r="I177" s="35">
        <v>46252</v>
      </c>
      <c r="J177" t="s">
        <v>2925</v>
      </c>
      <c r="K177" s="500">
        <v>246292399980.47379</v>
      </c>
    </row>
    <row r="178" spans="6:11" x14ac:dyDescent="0.3">
      <c r="F178" t="s">
        <v>2770</v>
      </c>
      <c r="G178" t="s">
        <v>3172</v>
      </c>
      <c r="H178" t="s">
        <v>3173</v>
      </c>
      <c r="I178" s="35">
        <v>46252</v>
      </c>
      <c r="J178" t="s">
        <v>2924</v>
      </c>
      <c r="K178" s="500">
        <v>39777693123.054901</v>
      </c>
    </row>
    <row r="179" spans="6:11" x14ac:dyDescent="0.3">
      <c r="F179" t="s">
        <v>2770</v>
      </c>
      <c r="G179" t="s">
        <v>3172</v>
      </c>
      <c r="H179" t="s">
        <v>3173</v>
      </c>
      <c r="I179" s="35">
        <v>46252</v>
      </c>
      <c r="J179" t="s">
        <v>2925</v>
      </c>
      <c r="K179" s="500">
        <v>92676933851.699265</v>
      </c>
    </row>
    <row r="180" spans="6:11" x14ac:dyDescent="0.3">
      <c r="F180" t="s">
        <v>2867</v>
      </c>
      <c r="G180" t="s">
        <v>3172</v>
      </c>
      <c r="H180" t="s">
        <v>3174</v>
      </c>
      <c r="I180" s="35">
        <v>45868</v>
      </c>
      <c r="J180">
        <v>1</v>
      </c>
      <c r="K180" s="500">
        <v>-277150720408.20117</v>
      </c>
    </row>
    <row r="181" spans="6:11" x14ac:dyDescent="0.3">
      <c r="F181" t="s">
        <v>2867</v>
      </c>
      <c r="G181" t="s">
        <v>3172</v>
      </c>
      <c r="H181" t="s">
        <v>3174</v>
      </c>
      <c r="I181" s="35">
        <v>45867</v>
      </c>
      <c r="J181">
        <v>2</v>
      </c>
      <c r="K181" s="500">
        <v>-276305484169.51563</v>
      </c>
    </row>
    <row r="182" spans="6:11" x14ac:dyDescent="0.3">
      <c r="F182" t="s">
        <v>2867</v>
      </c>
      <c r="G182" t="s">
        <v>3172</v>
      </c>
      <c r="H182" t="s">
        <v>3174</v>
      </c>
      <c r="I182" s="35">
        <v>45873</v>
      </c>
      <c r="J182">
        <v>3</v>
      </c>
      <c r="K182" s="500">
        <v>-274589878598.13449</v>
      </c>
    </row>
    <row r="183" spans="6:11" x14ac:dyDescent="0.3">
      <c r="F183" t="s">
        <v>2867</v>
      </c>
      <c r="G183" t="s">
        <v>3172</v>
      </c>
      <c r="H183" t="s">
        <v>3174</v>
      </c>
      <c r="I183" s="35">
        <v>45870</v>
      </c>
      <c r="J183">
        <v>4</v>
      </c>
      <c r="K183" s="500">
        <v>-273622740948.76859</v>
      </c>
    </row>
    <row r="184" spans="6:11" x14ac:dyDescent="0.3">
      <c r="F184" t="s">
        <v>2867</v>
      </c>
      <c r="G184" t="s">
        <v>3172</v>
      </c>
      <c r="H184" t="s">
        <v>3174</v>
      </c>
      <c r="I184" s="35">
        <v>45874</v>
      </c>
      <c r="J184">
        <v>5</v>
      </c>
      <c r="K184" s="500">
        <v>-267479584191.4621</v>
      </c>
    </row>
    <row r="185" spans="6:11" x14ac:dyDescent="0.3">
      <c r="F185" t="s">
        <v>2867</v>
      </c>
      <c r="G185" t="s">
        <v>3172</v>
      </c>
      <c r="H185" t="s">
        <v>3174</v>
      </c>
      <c r="I185" s="35">
        <v>45869</v>
      </c>
      <c r="J185">
        <v>6</v>
      </c>
      <c r="K185" s="500">
        <v>-267134101484.21411</v>
      </c>
    </row>
    <row r="186" spans="6:11" x14ac:dyDescent="0.3">
      <c r="F186" t="s">
        <v>2867</v>
      </c>
      <c r="G186" t="s">
        <v>3172</v>
      </c>
      <c r="H186" t="s">
        <v>3174</v>
      </c>
      <c r="I186" s="35">
        <v>45866</v>
      </c>
      <c r="J186">
        <v>7</v>
      </c>
      <c r="K186" s="500">
        <v>-260521233473.94809</v>
      </c>
    </row>
    <row r="187" spans="6:11" x14ac:dyDescent="0.3">
      <c r="F187" t="s">
        <v>2867</v>
      </c>
      <c r="G187" t="s">
        <v>3172</v>
      </c>
      <c r="H187" t="s">
        <v>3174</v>
      </c>
      <c r="I187" s="35">
        <v>45875</v>
      </c>
      <c r="J187">
        <v>8</v>
      </c>
      <c r="K187" s="500">
        <v>-258832199949.9743</v>
      </c>
    </row>
    <row r="188" spans="6:11" x14ac:dyDescent="0.3">
      <c r="F188" t="s">
        <v>2867</v>
      </c>
      <c r="G188" t="s">
        <v>3172</v>
      </c>
      <c r="H188" t="s">
        <v>3174</v>
      </c>
      <c r="I188" s="35">
        <v>45863</v>
      </c>
      <c r="J188">
        <v>9</v>
      </c>
      <c r="K188" s="500">
        <v>-242458492211.6257</v>
      </c>
    </row>
    <row r="189" spans="6:11" x14ac:dyDescent="0.3">
      <c r="F189" t="s">
        <v>2867</v>
      </c>
      <c r="G189" t="s">
        <v>3172</v>
      </c>
      <c r="H189" t="s">
        <v>3174</v>
      </c>
      <c r="I189" s="35">
        <v>45882</v>
      </c>
      <c r="J189">
        <v>10</v>
      </c>
      <c r="K189" s="500">
        <v>-238246619905.68881</v>
      </c>
    </row>
    <row r="190" spans="6:11" x14ac:dyDescent="0.3">
      <c r="F190" t="s">
        <v>2867</v>
      </c>
      <c r="G190" t="s">
        <v>3172</v>
      </c>
      <c r="H190" t="s">
        <v>3174</v>
      </c>
      <c r="I190" s="35">
        <v>45881</v>
      </c>
      <c r="J190">
        <v>11</v>
      </c>
      <c r="K190" s="500">
        <v>-237285807462.5842</v>
      </c>
    </row>
    <row r="191" spans="6:11" x14ac:dyDescent="0.3">
      <c r="F191" t="s">
        <v>2867</v>
      </c>
      <c r="G191" t="s">
        <v>3172</v>
      </c>
      <c r="H191" t="s">
        <v>3174</v>
      </c>
      <c r="I191" s="35">
        <v>45877</v>
      </c>
      <c r="J191">
        <v>12</v>
      </c>
      <c r="K191" s="500">
        <v>-233744559072.05359</v>
      </c>
    </row>
    <row r="192" spans="6:11" x14ac:dyDescent="0.3">
      <c r="F192" t="s">
        <v>2867</v>
      </c>
      <c r="G192" t="s">
        <v>3172</v>
      </c>
      <c r="H192" t="s">
        <v>3174</v>
      </c>
      <c r="I192" s="35">
        <v>45876</v>
      </c>
      <c r="J192">
        <v>13</v>
      </c>
      <c r="K192" s="500">
        <v>-232218833312.82111</v>
      </c>
    </row>
    <row r="193" spans="6:11" x14ac:dyDescent="0.3">
      <c r="F193" t="s">
        <v>2867</v>
      </c>
      <c r="G193" t="s">
        <v>3172</v>
      </c>
      <c r="H193" t="s">
        <v>3174</v>
      </c>
      <c r="I193" s="35">
        <v>45880</v>
      </c>
      <c r="J193">
        <v>14</v>
      </c>
      <c r="K193" s="500">
        <v>-226632352646.07281</v>
      </c>
    </row>
  </sheetData>
  <pageMargins left="0.7" right="0.7" top="0.75" bottom="0.75" header="0.3" footer="0.3"/>
  <pageSetup orientation="portrait" r:id="rId1"/>
  <tableParts count="3">
    <tablePart r:id="rId2"/>
    <tablePart r:id="rId3"/>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C9A8F-8DE7-47A4-AA46-6EC7F821915D}">
  <sheetPr codeName="Sheet25">
    <tabColor rgb="FFFFC000"/>
  </sheetPr>
  <dimension ref="A1:BH122"/>
  <sheetViews>
    <sheetView topLeftCell="AG1" workbookViewId="0">
      <pane ySplit="1" topLeftCell="A2" activePane="bottomLeft" state="frozen"/>
      <selection pane="bottomLeft" activeCell="AL2" sqref="AL2:AN2"/>
    </sheetView>
  </sheetViews>
  <sheetFormatPr defaultRowHeight="14.4" x14ac:dyDescent="0.3"/>
  <cols>
    <col min="2" max="2" width="11.09765625" style="35" bestFit="1" customWidth="1"/>
    <col min="3" max="3" width="8.296875" bestFit="1" customWidth="1"/>
    <col min="4" max="4" width="12.09765625" bestFit="1" customWidth="1"/>
    <col min="5" max="5" width="10.69921875" bestFit="1" customWidth="1"/>
    <col min="6" max="6" width="14.69921875" bestFit="1" customWidth="1"/>
    <col min="7" max="7" width="11.296875" bestFit="1" customWidth="1"/>
    <col min="8" max="9" width="14.8984375" bestFit="1" customWidth="1"/>
    <col min="10" max="10" width="12.3984375" bestFit="1" customWidth="1"/>
    <col min="11" max="11" width="16.09765625" bestFit="1" customWidth="1"/>
    <col min="12" max="12" width="16.3984375" style="37" bestFit="1" customWidth="1"/>
    <col min="13" max="13" width="19.09765625" style="37" bestFit="1" customWidth="1"/>
    <col min="14" max="14" width="21.59765625" style="37" bestFit="1" customWidth="1"/>
    <col min="15" max="15" width="11.3984375" bestFit="1" customWidth="1"/>
    <col min="16" max="16" width="8.3984375" style="32" bestFit="1" customWidth="1"/>
    <col min="17" max="17" width="7.8984375" style="32" bestFit="1" customWidth="1"/>
    <col min="18" max="18" width="11.09765625" style="568" bestFit="1" customWidth="1"/>
    <col min="20" max="20" width="15.296875" bestFit="1" customWidth="1"/>
    <col min="21" max="21" width="11.09765625" style="35" bestFit="1" customWidth="1"/>
    <col min="22" max="22" width="8.296875" bestFit="1" customWidth="1"/>
    <col min="23" max="23" width="12.09765625" bestFit="1" customWidth="1"/>
    <col min="24" max="24" width="10.69921875" bestFit="1" customWidth="1"/>
    <col min="25" max="25" width="15.59765625" bestFit="1" customWidth="1"/>
    <col min="26" max="26" width="14.69921875" bestFit="1" customWidth="1"/>
    <col min="27" max="27" width="11.296875" bestFit="1" customWidth="1"/>
    <col min="28" max="28" width="11.69921875" bestFit="1" customWidth="1"/>
    <col min="29" max="30" width="14.8984375" bestFit="1" customWidth="1"/>
    <col min="31" max="31" width="12.3984375" bestFit="1" customWidth="1"/>
    <col min="32" max="32" width="16.09765625" bestFit="1" customWidth="1"/>
    <col min="33" max="33" width="16.3984375" style="37" bestFit="1" customWidth="1"/>
    <col min="34" max="34" width="19.09765625" style="37" bestFit="1" customWidth="1"/>
    <col min="35" max="35" width="21.59765625" style="37" bestFit="1" customWidth="1"/>
    <col min="36" max="36" width="11.3984375" bestFit="1" customWidth="1"/>
    <col min="37" max="37" width="11.69921875" bestFit="1" customWidth="1"/>
    <col min="38" max="39" width="9.296875" style="32" customWidth="1"/>
    <col min="40" max="40" width="9.69921875" style="32" bestFit="1" customWidth="1"/>
    <col min="42" max="42" width="10.59765625" customWidth="1"/>
    <col min="43" max="43" width="13.09765625" style="35" bestFit="1" customWidth="1"/>
    <col min="44" max="44" width="17.19921875" bestFit="1" customWidth="1"/>
    <col min="45" max="45" width="10.19921875" bestFit="1" customWidth="1"/>
    <col min="46" max="46" width="12.5" bestFit="1" customWidth="1"/>
    <col min="47" max="47" width="16.3984375" bestFit="1" customWidth="1"/>
    <col min="48" max="48" width="13.09765625" bestFit="1" customWidth="1"/>
    <col min="49" max="49" width="18" bestFit="1" customWidth="1"/>
    <col min="50" max="50" width="17.296875" style="37" bestFit="1" customWidth="1"/>
    <col min="51" max="51" width="13.19921875" bestFit="1" customWidth="1"/>
    <col min="52" max="52" width="16.5" bestFit="1" customWidth="1"/>
    <col min="53" max="53" width="14.09765625" bestFit="1" customWidth="1"/>
    <col min="54" max="54" width="17.5" bestFit="1" customWidth="1"/>
    <col min="57" max="57" width="12.09765625" bestFit="1" customWidth="1"/>
    <col min="58" max="59" width="9.59765625" bestFit="1" customWidth="1"/>
  </cols>
  <sheetData>
    <row r="1" spans="1:60" x14ac:dyDescent="0.3">
      <c r="A1" s="8" t="s">
        <v>811</v>
      </c>
      <c r="B1" s="35" t="s">
        <v>2814</v>
      </c>
      <c r="C1" t="s">
        <v>2906</v>
      </c>
      <c r="D1" t="s">
        <v>2815</v>
      </c>
      <c r="E1" t="s">
        <v>2907</v>
      </c>
      <c r="F1" t="s">
        <v>3036</v>
      </c>
      <c r="G1" t="s">
        <v>3056</v>
      </c>
      <c r="H1" t="s">
        <v>3060</v>
      </c>
      <c r="I1" t="s">
        <v>3063</v>
      </c>
      <c r="J1" t="s">
        <v>3061</v>
      </c>
      <c r="K1" t="s">
        <v>3062</v>
      </c>
      <c r="L1" s="37" t="s">
        <v>3064</v>
      </c>
      <c r="M1" s="37" t="s">
        <v>3065</v>
      </c>
      <c r="N1" s="37" t="s">
        <v>3066</v>
      </c>
      <c r="O1" t="s">
        <v>3059</v>
      </c>
      <c r="P1" s="32" t="s">
        <v>876</v>
      </c>
      <c r="Q1" s="32" t="s">
        <v>839</v>
      </c>
      <c r="R1" s="568" t="s">
        <v>3570</v>
      </c>
      <c r="T1" s="8" t="s">
        <v>3068</v>
      </c>
      <c r="U1" s="35" t="s">
        <v>2814</v>
      </c>
      <c r="V1" t="s">
        <v>2906</v>
      </c>
      <c r="W1" t="s">
        <v>2815</v>
      </c>
      <c r="X1" t="s">
        <v>2907</v>
      </c>
      <c r="Y1" t="s">
        <v>3069</v>
      </c>
      <c r="Z1" t="s">
        <v>3036</v>
      </c>
      <c r="AA1" t="s">
        <v>3056</v>
      </c>
      <c r="AB1" t="s">
        <v>2816</v>
      </c>
      <c r="AC1" t="s">
        <v>3060</v>
      </c>
      <c r="AD1" t="s">
        <v>3063</v>
      </c>
      <c r="AE1" t="s">
        <v>3061</v>
      </c>
      <c r="AF1" t="s">
        <v>3062</v>
      </c>
      <c r="AG1" s="37" t="s">
        <v>3064</v>
      </c>
      <c r="AH1" s="37" t="s">
        <v>3065</v>
      </c>
      <c r="AI1" s="37" t="s">
        <v>3066</v>
      </c>
      <c r="AJ1" t="s">
        <v>3059</v>
      </c>
      <c r="AK1" t="s">
        <v>3070</v>
      </c>
      <c r="AL1" s="32" t="s">
        <v>876</v>
      </c>
      <c r="AM1" s="32" t="s">
        <v>839</v>
      </c>
      <c r="AN1" s="32" t="s">
        <v>3570</v>
      </c>
      <c r="AP1" s="8" t="s">
        <v>3071</v>
      </c>
      <c r="AQ1" s="35" t="s">
        <v>2814</v>
      </c>
      <c r="AR1" t="s">
        <v>3055</v>
      </c>
      <c r="AS1" t="s">
        <v>2906</v>
      </c>
      <c r="AT1" t="s">
        <v>2907</v>
      </c>
      <c r="AU1" t="s">
        <v>3036</v>
      </c>
      <c r="AV1" t="s">
        <v>3056</v>
      </c>
      <c r="AW1" t="s">
        <v>3057</v>
      </c>
      <c r="AX1" s="37" t="s">
        <v>3058</v>
      </c>
      <c r="AY1" t="s">
        <v>3059</v>
      </c>
      <c r="AZ1" t="s">
        <v>3060</v>
      </c>
      <c r="BA1" t="s">
        <v>3061</v>
      </c>
      <c r="BB1" t="s">
        <v>3062</v>
      </c>
      <c r="BE1" s="50"/>
      <c r="BF1" s="50"/>
      <c r="BG1" s="50"/>
    </row>
    <row r="2" spans="1:60" x14ac:dyDescent="0.3">
      <c r="B2" s="502">
        <v>46252</v>
      </c>
      <c r="C2">
        <v>18024</v>
      </c>
      <c r="D2" t="s">
        <v>608</v>
      </c>
      <c r="E2" t="s">
        <v>3067</v>
      </c>
      <c r="F2" t="s">
        <v>2176</v>
      </c>
      <c r="G2" t="s">
        <v>812</v>
      </c>
      <c r="H2" s="502">
        <v>46217</v>
      </c>
      <c r="I2" s="502">
        <v>46217</v>
      </c>
      <c r="J2" s="502">
        <v>46219</v>
      </c>
      <c r="K2" s="502">
        <v>46283</v>
      </c>
      <c r="L2" s="37">
        <v>1000000000000</v>
      </c>
      <c r="M2" s="37">
        <v>1091790000000</v>
      </c>
      <c r="N2" s="37">
        <v>1100596108932</v>
      </c>
      <c r="O2">
        <v>4.5999999999999996</v>
      </c>
      <c r="P2" s="72" t="str">
        <f>INDEX(Ref!U:U,MATCH(Repo_TD[[#This Row],[MATURITY_DATE]]-RPT,Ref!S:S,1))</f>
        <v>2M</v>
      </c>
      <c r="Q2" s="72" t="str">
        <f>INDEX(Ref!U:U,MATCH(Repo_TD[[#This Row],[MATURITY_DATE]]-Repo_TD[[#This Row],[VALUE_DATE]],Ref!S:S,1))</f>
        <v>3M</v>
      </c>
      <c r="R2" s="568">
        <f>Repo_TD[[#This Row],[FIXED_RATE]]%*Repo_TD[[#This Row],[GLOBAL_AMOUNT]]/365/10^9</f>
        <v>0.13759545205479451</v>
      </c>
      <c r="T2" s="38"/>
      <c r="U2" s="502">
        <v>46252</v>
      </c>
      <c r="V2">
        <v>17914</v>
      </c>
      <c r="W2" t="s">
        <v>596</v>
      </c>
      <c r="X2" t="s">
        <v>3067</v>
      </c>
      <c r="Y2" t="s">
        <v>3068</v>
      </c>
      <c r="Z2" t="s">
        <v>2180</v>
      </c>
      <c r="AA2" t="s">
        <v>3294</v>
      </c>
      <c r="AB2" t="s">
        <v>822</v>
      </c>
      <c r="AC2" s="502">
        <v>46197</v>
      </c>
      <c r="AD2" s="502">
        <v>46197</v>
      </c>
      <c r="AE2" s="502">
        <v>46197</v>
      </c>
      <c r="AF2" s="502">
        <v>46253</v>
      </c>
      <c r="AG2" s="114">
        <v>159770200000</v>
      </c>
      <c r="AH2" s="114">
        <v>147716690966</v>
      </c>
      <c r="AI2" s="114">
        <v>148736543189</v>
      </c>
      <c r="AJ2">
        <v>4.5</v>
      </c>
      <c r="AK2" t="s">
        <v>2967</v>
      </c>
      <c r="AL2" s="72" t="str">
        <f>INDEX(Ref!U:U,MATCH(OMO[[#This Row],[MATURITY_DATE]]-RPT,Ref!S:S,1))</f>
        <v>1W</v>
      </c>
      <c r="AM2" s="72" t="str">
        <f>INDEX(Ref!U:U,MATCH(OMO[[#This Row],[MATURITY_DATE]]-OMO[[#This Row],[VALUE_DATE]],Ref!S:S,1))</f>
        <v>2M</v>
      </c>
      <c r="AN2" s="569">
        <f>OMO[[#This Row],[FIXED_RATE]]%*OMO[[#This Row],[GLOBAL_AMOUNT]]/365/10^9</f>
        <v>1.8211646831424656E-2</v>
      </c>
      <c r="AP2" s="157"/>
      <c r="AQ2" s="502">
        <v>46252</v>
      </c>
      <c r="AR2">
        <v>3289113</v>
      </c>
      <c r="AS2">
        <v>308483</v>
      </c>
      <c r="AT2" t="s">
        <v>3295</v>
      </c>
      <c r="AU2" t="s">
        <v>3296</v>
      </c>
      <c r="AV2" t="s">
        <v>3297</v>
      </c>
      <c r="AW2" t="s">
        <v>2935</v>
      </c>
      <c r="AX2" s="37">
        <v>265382432181</v>
      </c>
      <c r="AY2">
        <v>4</v>
      </c>
      <c r="AZ2" s="502">
        <v>46197</v>
      </c>
      <c r="BA2" s="502">
        <v>46197</v>
      </c>
      <c r="BB2" s="502">
        <v>46253</v>
      </c>
      <c r="BF2" s="72"/>
      <c r="BG2" s="72"/>
      <c r="BH2" s="38"/>
    </row>
    <row r="3" spans="1:60" x14ac:dyDescent="0.3">
      <c r="B3" s="502">
        <v>46252</v>
      </c>
      <c r="C3">
        <v>18055</v>
      </c>
      <c r="D3" t="s">
        <v>608</v>
      </c>
      <c r="E3" t="s">
        <v>3067</v>
      </c>
      <c r="F3" t="s">
        <v>2176</v>
      </c>
      <c r="G3" t="s">
        <v>812</v>
      </c>
      <c r="H3" s="502">
        <v>46220</v>
      </c>
      <c r="I3" s="502">
        <v>46220</v>
      </c>
      <c r="J3" s="502">
        <v>46225</v>
      </c>
      <c r="K3" s="502">
        <v>46286</v>
      </c>
      <c r="L3" s="37">
        <v>240000000000</v>
      </c>
      <c r="M3" s="37">
        <v>260973600000</v>
      </c>
      <c r="N3" s="37">
        <v>262979879237</v>
      </c>
      <c r="O3">
        <v>4.5999999999999996</v>
      </c>
      <c r="P3" s="72" t="str">
        <f>INDEX(Ref!U:U,MATCH(Repo_TD[[#This Row],[MATURITY_DATE]]-RPT,Ref!S:S,1))</f>
        <v>2M</v>
      </c>
      <c r="Q3" s="72" t="str">
        <f>INDEX(Ref!U:U,MATCH(Repo_TD[[#This Row],[MATURITY_DATE]]-Repo_TD[[#This Row],[VALUE_DATE]],Ref!S:S,1))</f>
        <v>3M</v>
      </c>
      <c r="R3" s="568">
        <f>Repo_TD[[#This Row],[FIXED_RATE]]%*Repo_TD[[#This Row],[GLOBAL_AMOUNT]]/365/10^9</f>
        <v>3.2889823561643834E-2</v>
      </c>
      <c r="T3" s="38"/>
      <c r="U3" s="502">
        <v>46252</v>
      </c>
      <c r="V3">
        <v>17918</v>
      </c>
      <c r="W3" t="s">
        <v>2499</v>
      </c>
      <c r="X3" t="s">
        <v>3067</v>
      </c>
      <c r="Y3" t="s">
        <v>3068</v>
      </c>
      <c r="Z3" t="s">
        <v>2180</v>
      </c>
      <c r="AA3" t="s">
        <v>3294</v>
      </c>
      <c r="AB3" t="s">
        <v>822</v>
      </c>
      <c r="AC3" s="502">
        <v>46197</v>
      </c>
      <c r="AD3" s="502">
        <v>46197</v>
      </c>
      <c r="AE3" s="502">
        <v>46197</v>
      </c>
      <c r="AF3" s="502">
        <v>46253</v>
      </c>
      <c r="AG3" s="114">
        <v>100000000000</v>
      </c>
      <c r="AH3" s="114">
        <v>93785455923</v>
      </c>
      <c r="AI3" s="114">
        <v>94432960989</v>
      </c>
      <c r="AJ3">
        <v>4.5</v>
      </c>
      <c r="AK3" t="s">
        <v>2967</v>
      </c>
      <c r="AL3" s="72" t="str">
        <f>INDEX(Ref!U:U,MATCH(OMO[[#This Row],[MATURITY_DATE]]-RPT,Ref!S:S,1))</f>
        <v>1W</v>
      </c>
      <c r="AM3" s="72" t="str">
        <f>INDEX(Ref!U:U,MATCH(OMO[[#This Row],[MATURITY_DATE]]-OMO[[#This Row],[VALUE_DATE]],Ref!S:S,1))</f>
        <v>2M</v>
      </c>
      <c r="AN3" s="569">
        <f>OMO[[#This Row],[FIXED_RATE]]%*OMO[[#This Row],[GLOBAL_AMOUNT]]/365/10^9</f>
        <v>1.1562590456260274E-2</v>
      </c>
      <c r="AQ3" s="502">
        <v>46252</v>
      </c>
      <c r="AR3">
        <v>3290676</v>
      </c>
      <c r="AS3">
        <v>308793</v>
      </c>
      <c r="AT3" t="s">
        <v>3295</v>
      </c>
      <c r="AU3" t="s">
        <v>3296</v>
      </c>
      <c r="AV3" t="s">
        <v>3297</v>
      </c>
      <c r="AW3" t="s">
        <v>2935</v>
      </c>
      <c r="AX3" s="37">
        <v>164642874242</v>
      </c>
      <c r="AY3">
        <v>4</v>
      </c>
      <c r="AZ3" s="502">
        <v>46198</v>
      </c>
      <c r="BA3" s="502">
        <v>46198</v>
      </c>
      <c r="BB3" s="502">
        <v>46254</v>
      </c>
      <c r="BF3" s="72"/>
      <c r="BG3" s="72"/>
      <c r="BH3" s="38"/>
    </row>
    <row r="4" spans="1:60" x14ac:dyDescent="0.3">
      <c r="B4" s="502">
        <v>46252</v>
      </c>
      <c r="C4">
        <v>18011</v>
      </c>
      <c r="D4" t="s">
        <v>717</v>
      </c>
      <c r="E4" t="s">
        <v>3067</v>
      </c>
      <c r="F4" t="s">
        <v>2176</v>
      </c>
      <c r="G4" t="s">
        <v>812</v>
      </c>
      <c r="H4" s="502">
        <v>46213</v>
      </c>
      <c r="I4" s="502">
        <v>46213</v>
      </c>
      <c r="J4" s="502">
        <v>46217</v>
      </c>
      <c r="K4" s="502">
        <v>46307</v>
      </c>
      <c r="L4" s="37">
        <v>500000000000</v>
      </c>
      <c r="M4" s="37">
        <v>641265000000</v>
      </c>
      <c r="N4" s="37">
        <v>648538526301</v>
      </c>
      <c r="O4">
        <v>4.5999999999999996</v>
      </c>
      <c r="P4" s="72" t="str">
        <f>INDEX(Ref!U:U,MATCH(Repo_TD[[#This Row],[MATURITY_DATE]]-RPT,Ref!S:S,1))</f>
        <v>2M</v>
      </c>
      <c r="Q4" s="72" t="str">
        <f>INDEX(Ref!U:U,MATCH(Repo_TD[[#This Row],[MATURITY_DATE]]-Repo_TD[[#This Row],[VALUE_DATE]],Ref!S:S,1))</f>
        <v>3M</v>
      </c>
      <c r="R4" s="568">
        <f>Repo_TD[[#This Row],[FIXED_RATE]]%*Repo_TD[[#This Row],[GLOBAL_AMOUNT]]/365/10^9</f>
        <v>8.0816958904109587E-2</v>
      </c>
      <c r="T4" s="38"/>
      <c r="U4" s="502">
        <v>46252</v>
      </c>
      <c r="V4">
        <v>17917</v>
      </c>
      <c r="W4" t="s">
        <v>2381</v>
      </c>
      <c r="X4" t="s">
        <v>3067</v>
      </c>
      <c r="Y4" t="s">
        <v>3068</v>
      </c>
      <c r="Z4" t="s">
        <v>2180</v>
      </c>
      <c r="AA4" t="s">
        <v>3294</v>
      </c>
      <c r="AB4" t="s">
        <v>822</v>
      </c>
      <c r="AC4" s="502">
        <v>46197</v>
      </c>
      <c r="AD4" s="502">
        <v>46197</v>
      </c>
      <c r="AE4" s="502">
        <v>46197</v>
      </c>
      <c r="AF4" s="502">
        <v>46253</v>
      </c>
      <c r="AG4" s="114">
        <v>26000500000</v>
      </c>
      <c r="AH4" s="114">
        <v>23880285292</v>
      </c>
      <c r="AI4" s="114">
        <v>24045157399</v>
      </c>
      <c r="AJ4">
        <v>4.5</v>
      </c>
      <c r="AK4" t="s">
        <v>2967</v>
      </c>
      <c r="AL4" s="72" t="str">
        <f>INDEX(Ref!U:U,MATCH(OMO[[#This Row],[MATURITY_DATE]]-RPT,Ref!S:S,1))</f>
        <v>1W</v>
      </c>
      <c r="AM4" s="72" t="str">
        <f>INDEX(Ref!U:U,MATCH(OMO[[#This Row],[MATURITY_DATE]]-OMO[[#This Row],[VALUE_DATE]],Ref!S:S,1))</f>
        <v>2M</v>
      </c>
      <c r="AN4" s="569">
        <f>OMO[[#This Row],[FIXED_RATE]]%*OMO[[#This Row],[GLOBAL_AMOUNT]]/365/10^9</f>
        <v>2.944144762027397E-3</v>
      </c>
      <c r="AQ4" s="502">
        <v>46252</v>
      </c>
      <c r="AR4">
        <v>3292370</v>
      </c>
      <c r="AS4">
        <v>308977</v>
      </c>
      <c r="AT4" t="s">
        <v>3295</v>
      </c>
      <c r="AU4" t="s">
        <v>3296</v>
      </c>
      <c r="AV4" t="s">
        <v>3297</v>
      </c>
      <c r="AW4" t="s">
        <v>2935</v>
      </c>
      <c r="AX4" s="37">
        <v>495011046539</v>
      </c>
      <c r="AY4">
        <v>4</v>
      </c>
      <c r="AZ4" s="502">
        <v>46199</v>
      </c>
      <c r="BA4" s="502">
        <v>46199</v>
      </c>
      <c r="BB4" s="502">
        <v>46255</v>
      </c>
      <c r="BF4" s="72"/>
      <c r="BG4" s="72"/>
      <c r="BH4" s="38"/>
    </row>
    <row r="5" spans="1:60" x14ac:dyDescent="0.3">
      <c r="B5" s="502">
        <v>46252</v>
      </c>
      <c r="C5">
        <v>18072</v>
      </c>
      <c r="D5" t="s">
        <v>717</v>
      </c>
      <c r="E5" t="s">
        <v>3067</v>
      </c>
      <c r="F5" t="s">
        <v>2176</v>
      </c>
      <c r="G5" t="s">
        <v>812</v>
      </c>
      <c r="H5" s="502">
        <v>46224</v>
      </c>
      <c r="I5" s="502">
        <v>46224</v>
      </c>
      <c r="J5" s="502">
        <v>46226</v>
      </c>
      <c r="K5" s="502">
        <v>46316</v>
      </c>
      <c r="L5" s="37">
        <v>500000000000</v>
      </c>
      <c r="M5" s="37">
        <v>656580000000</v>
      </c>
      <c r="N5" s="37">
        <v>664027236164</v>
      </c>
      <c r="O5">
        <v>4.5999999999999996</v>
      </c>
      <c r="P5" s="72" t="str">
        <f>INDEX(Ref!U:U,MATCH(Repo_TD[[#This Row],[MATURITY_DATE]]-RPT,Ref!S:S,1))</f>
        <v>3M</v>
      </c>
      <c r="Q5" s="72" t="str">
        <f>INDEX(Ref!U:U,MATCH(Repo_TD[[#This Row],[MATURITY_DATE]]-Repo_TD[[#This Row],[VALUE_DATE]],Ref!S:S,1))</f>
        <v>3M</v>
      </c>
      <c r="R5" s="568">
        <f>Repo_TD[[#This Row],[FIXED_RATE]]%*Repo_TD[[#This Row],[GLOBAL_AMOUNT]]/365/10^9</f>
        <v>8.274706849315068E-2</v>
      </c>
      <c r="T5" s="38"/>
      <c r="U5" s="502">
        <v>46252</v>
      </c>
      <c r="V5">
        <v>17921</v>
      </c>
      <c r="W5" t="s">
        <v>2381</v>
      </c>
      <c r="X5" t="s">
        <v>3067</v>
      </c>
      <c r="Y5" t="s">
        <v>3068</v>
      </c>
      <c r="Z5" t="s">
        <v>2180</v>
      </c>
      <c r="AA5" t="s">
        <v>3294</v>
      </c>
      <c r="AB5" t="s">
        <v>822</v>
      </c>
      <c r="AC5" s="502">
        <v>46198</v>
      </c>
      <c r="AD5" s="502">
        <v>46198</v>
      </c>
      <c r="AE5" s="502">
        <v>46198</v>
      </c>
      <c r="AF5" s="502">
        <v>46254</v>
      </c>
      <c r="AG5" s="114">
        <v>179239100000.00003</v>
      </c>
      <c r="AH5" s="114">
        <v>164642874242</v>
      </c>
      <c r="AI5" s="114">
        <v>165779586689</v>
      </c>
      <c r="AJ5">
        <v>4.5</v>
      </c>
      <c r="AK5" t="s">
        <v>2967</v>
      </c>
      <c r="AL5" s="72" t="str">
        <f>INDEX(Ref!U:U,MATCH(OMO[[#This Row],[MATURITY_DATE]]-RPT,Ref!S:S,1))</f>
        <v>1W</v>
      </c>
      <c r="AM5" s="72" t="str">
        <f>INDEX(Ref!U:U,MATCH(OMO[[#This Row],[MATURITY_DATE]]-OMO[[#This Row],[VALUE_DATE]],Ref!S:S,1))</f>
        <v>2M</v>
      </c>
      <c r="AN5" s="569">
        <f>OMO[[#This Row],[FIXED_RATE]]%*OMO[[#This Row],[GLOBAL_AMOUNT]]/365/10^9</f>
        <v>2.0298436550383561E-2</v>
      </c>
      <c r="AQ5" s="502">
        <v>46252</v>
      </c>
      <c r="AR5">
        <v>3294023</v>
      </c>
      <c r="AS5">
        <v>309264</v>
      </c>
      <c r="AT5" t="s">
        <v>3295</v>
      </c>
      <c r="AU5" t="s">
        <v>3296</v>
      </c>
      <c r="AV5" t="s">
        <v>3297</v>
      </c>
      <c r="AW5" t="s">
        <v>2935</v>
      </c>
      <c r="AX5" s="37">
        <v>316553942623</v>
      </c>
      <c r="AY5">
        <v>4</v>
      </c>
      <c r="AZ5" s="502">
        <v>46202</v>
      </c>
      <c r="BA5" s="502">
        <v>46202</v>
      </c>
      <c r="BB5" s="502">
        <v>46258</v>
      </c>
      <c r="BF5" s="72"/>
      <c r="BG5" s="72"/>
      <c r="BH5" s="38"/>
    </row>
    <row r="6" spans="1:60" x14ac:dyDescent="0.3">
      <c r="B6" s="502">
        <v>46252</v>
      </c>
      <c r="C6">
        <v>18010</v>
      </c>
      <c r="D6" t="s">
        <v>717</v>
      </c>
      <c r="E6" t="s">
        <v>3067</v>
      </c>
      <c r="F6" t="s">
        <v>2176</v>
      </c>
      <c r="G6" t="s">
        <v>812</v>
      </c>
      <c r="H6" s="502">
        <v>46213</v>
      </c>
      <c r="I6" s="502">
        <v>46213</v>
      </c>
      <c r="J6" s="502">
        <v>46217</v>
      </c>
      <c r="K6" s="502">
        <v>46307</v>
      </c>
      <c r="L6" s="37">
        <v>880000000000</v>
      </c>
      <c r="M6" s="37">
        <v>1128626400000</v>
      </c>
      <c r="N6" s="37">
        <v>1141427806290</v>
      </c>
      <c r="O6">
        <v>4.5999999999999996</v>
      </c>
      <c r="P6" s="72" t="str">
        <f>INDEX(Ref!U:U,MATCH(Repo_TD[[#This Row],[MATURITY_DATE]]-RPT,Ref!S:S,1))</f>
        <v>2M</v>
      </c>
      <c r="Q6" s="72" t="str">
        <f>INDEX(Ref!U:U,MATCH(Repo_TD[[#This Row],[MATURITY_DATE]]-Repo_TD[[#This Row],[VALUE_DATE]],Ref!S:S,1))</f>
        <v>3M</v>
      </c>
      <c r="R6" s="568">
        <f>Repo_TD[[#This Row],[FIXED_RATE]]%*Repo_TD[[#This Row],[GLOBAL_AMOUNT]]/365/10^9</f>
        <v>0.14223784767123288</v>
      </c>
      <c r="T6" s="38"/>
      <c r="U6" s="502">
        <v>46252</v>
      </c>
      <c r="V6">
        <v>17937</v>
      </c>
      <c r="W6" t="s">
        <v>2386</v>
      </c>
      <c r="X6" t="s">
        <v>3067</v>
      </c>
      <c r="Y6" t="s">
        <v>3068</v>
      </c>
      <c r="Z6" t="s">
        <v>2180</v>
      </c>
      <c r="AA6" t="s">
        <v>3294</v>
      </c>
      <c r="AB6" t="s">
        <v>822</v>
      </c>
      <c r="AC6" s="502">
        <v>46199</v>
      </c>
      <c r="AD6" s="502">
        <v>46199</v>
      </c>
      <c r="AE6" s="502">
        <v>46199</v>
      </c>
      <c r="AF6" s="502">
        <v>46255</v>
      </c>
      <c r="AG6" s="114">
        <v>50000000000</v>
      </c>
      <c r="AH6" s="114">
        <v>45357969374</v>
      </c>
      <c r="AI6" s="114">
        <v>45671125765</v>
      </c>
      <c r="AJ6">
        <v>4.5</v>
      </c>
      <c r="AK6" t="s">
        <v>2967</v>
      </c>
      <c r="AL6" s="72" t="str">
        <f>INDEX(Ref!U:U,MATCH(OMO[[#This Row],[MATURITY_DATE]]-RPT,Ref!S:S,1))</f>
        <v>1W</v>
      </c>
      <c r="AM6" s="72" t="str">
        <f>INDEX(Ref!U:U,MATCH(OMO[[#This Row],[MATURITY_DATE]]-OMO[[#This Row],[VALUE_DATE]],Ref!S:S,1))</f>
        <v>2M</v>
      </c>
      <c r="AN6" s="569">
        <f>OMO[[#This Row],[FIXED_RATE]]%*OMO[[#This Row],[GLOBAL_AMOUNT]]/365/10^9</f>
        <v>5.5920784159726022E-3</v>
      </c>
      <c r="AQ6" s="502">
        <v>46252</v>
      </c>
      <c r="AR6">
        <v>3295278</v>
      </c>
      <c r="AS6">
        <v>309440</v>
      </c>
      <c r="AT6" t="s">
        <v>3295</v>
      </c>
      <c r="AU6" t="s">
        <v>3296</v>
      </c>
      <c r="AV6" t="s">
        <v>3297</v>
      </c>
      <c r="AW6" t="s">
        <v>2935</v>
      </c>
      <c r="AX6" s="37">
        <v>537789448221</v>
      </c>
      <c r="AY6">
        <v>4</v>
      </c>
      <c r="AZ6" s="502">
        <v>46203</v>
      </c>
      <c r="BA6" s="502">
        <v>46203</v>
      </c>
      <c r="BB6" s="502">
        <v>46259</v>
      </c>
      <c r="BF6" s="72"/>
      <c r="BG6" s="72"/>
      <c r="BH6" s="38"/>
    </row>
    <row r="7" spans="1:60" x14ac:dyDescent="0.3">
      <c r="B7" s="502">
        <v>46252</v>
      </c>
      <c r="C7">
        <v>18071</v>
      </c>
      <c r="D7" t="s">
        <v>717</v>
      </c>
      <c r="E7" t="s">
        <v>3067</v>
      </c>
      <c r="F7" t="s">
        <v>2176</v>
      </c>
      <c r="G7" t="s">
        <v>812</v>
      </c>
      <c r="H7" s="502">
        <v>46224</v>
      </c>
      <c r="I7" s="502">
        <v>46224</v>
      </c>
      <c r="J7" s="502">
        <v>46226</v>
      </c>
      <c r="K7" s="502">
        <v>46316</v>
      </c>
      <c r="L7" s="37">
        <v>500000000000</v>
      </c>
      <c r="M7" s="37">
        <v>656580000000</v>
      </c>
      <c r="N7" s="37">
        <v>664027236164</v>
      </c>
      <c r="O7">
        <v>4.5999999999999996</v>
      </c>
      <c r="P7" s="72" t="str">
        <f>INDEX(Ref!U:U,MATCH(Repo_TD[[#This Row],[MATURITY_DATE]]-RPT,Ref!S:S,1))</f>
        <v>3M</v>
      </c>
      <c r="Q7" s="72" t="str">
        <f>INDEX(Ref!U:U,MATCH(Repo_TD[[#This Row],[MATURITY_DATE]]-Repo_TD[[#This Row],[VALUE_DATE]],Ref!S:S,1))</f>
        <v>3M</v>
      </c>
      <c r="R7" s="568">
        <f>Repo_TD[[#This Row],[FIXED_RATE]]%*Repo_TD[[#This Row],[GLOBAL_AMOUNT]]/365/10^9</f>
        <v>8.274706849315068E-2</v>
      </c>
      <c r="T7" s="38"/>
      <c r="U7" s="502">
        <v>46252</v>
      </c>
      <c r="V7">
        <v>17938</v>
      </c>
      <c r="W7" t="s">
        <v>2381</v>
      </c>
      <c r="X7" t="s">
        <v>3067</v>
      </c>
      <c r="Y7" t="s">
        <v>3068</v>
      </c>
      <c r="Z7" t="s">
        <v>2180</v>
      </c>
      <c r="AA7" t="s">
        <v>3294</v>
      </c>
      <c r="AB7" t="s">
        <v>822</v>
      </c>
      <c r="AC7" s="502">
        <v>46199</v>
      </c>
      <c r="AD7" s="502">
        <v>46199</v>
      </c>
      <c r="AE7" s="502">
        <v>46199</v>
      </c>
      <c r="AF7" s="502">
        <v>46255</v>
      </c>
      <c r="AG7" s="114">
        <v>80760400000</v>
      </c>
      <c r="AH7" s="114">
        <v>74192673214</v>
      </c>
      <c r="AI7" s="114">
        <v>74704907561</v>
      </c>
      <c r="AJ7">
        <v>4.5</v>
      </c>
      <c r="AK7" t="s">
        <v>2967</v>
      </c>
      <c r="AL7" s="72" t="str">
        <f>INDEX(Ref!U:U,MATCH(OMO[[#This Row],[MATURITY_DATE]]-RPT,Ref!S:S,1))</f>
        <v>1W</v>
      </c>
      <c r="AM7" s="72" t="str">
        <f>INDEX(Ref!U:U,MATCH(OMO[[#This Row],[MATURITY_DATE]]-OMO[[#This Row],[VALUE_DATE]],Ref!S:S,1))</f>
        <v>2M</v>
      </c>
      <c r="AN7" s="569">
        <f>OMO[[#This Row],[FIXED_RATE]]%*OMO[[#This Row],[GLOBAL_AMOUNT]]/365/10^9</f>
        <v>9.1470419030958896E-3</v>
      </c>
      <c r="AQ7" s="502">
        <v>46252</v>
      </c>
      <c r="AR7">
        <v>3303288</v>
      </c>
      <c r="AS7">
        <v>310693</v>
      </c>
      <c r="AT7" t="s">
        <v>3295</v>
      </c>
      <c r="AU7" t="s">
        <v>3296</v>
      </c>
      <c r="AV7" t="s">
        <v>3297</v>
      </c>
      <c r="AW7" t="s">
        <v>2935</v>
      </c>
      <c r="AX7" s="37">
        <v>483034393009</v>
      </c>
      <c r="AY7">
        <v>4</v>
      </c>
      <c r="AZ7" s="502">
        <v>46211</v>
      </c>
      <c r="BA7" s="502">
        <v>46211</v>
      </c>
      <c r="BB7" s="502">
        <v>46274</v>
      </c>
      <c r="BF7" s="72"/>
      <c r="BG7" s="72"/>
      <c r="BH7" s="38"/>
    </row>
    <row r="8" spans="1:60" x14ac:dyDescent="0.3">
      <c r="B8" s="502">
        <v>46252</v>
      </c>
      <c r="C8">
        <v>18073</v>
      </c>
      <c r="D8" t="s">
        <v>717</v>
      </c>
      <c r="E8" t="s">
        <v>3067</v>
      </c>
      <c r="F8" t="s">
        <v>2176</v>
      </c>
      <c r="G8" t="s">
        <v>812</v>
      </c>
      <c r="H8" s="502">
        <v>46224</v>
      </c>
      <c r="I8" s="502">
        <v>46224</v>
      </c>
      <c r="J8" s="502">
        <v>46226</v>
      </c>
      <c r="K8" s="502">
        <v>46316</v>
      </c>
      <c r="L8" s="37">
        <v>620000000000</v>
      </c>
      <c r="M8" s="37">
        <v>814159200000</v>
      </c>
      <c r="N8" s="37">
        <v>823393772844</v>
      </c>
      <c r="O8">
        <v>4.5999999999999996</v>
      </c>
      <c r="P8" s="72" t="str">
        <f>INDEX(Ref!U:U,MATCH(Repo_TD[[#This Row],[MATURITY_DATE]]-RPT,Ref!S:S,1))</f>
        <v>3M</v>
      </c>
      <c r="Q8" s="72" t="str">
        <f>INDEX(Ref!U:U,MATCH(Repo_TD[[#This Row],[MATURITY_DATE]]-Repo_TD[[#This Row],[VALUE_DATE]],Ref!S:S,1))</f>
        <v>3M</v>
      </c>
      <c r="R8" s="568">
        <f>Repo_TD[[#This Row],[FIXED_RATE]]%*Repo_TD[[#This Row],[GLOBAL_AMOUNT]]/365/10^9</f>
        <v>0.10260636493150684</v>
      </c>
      <c r="T8" s="38"/>
      <c r="U8" s="502">
        <v>46252</v>
      </c>
      <c r="V8">
        <v>17936</v>
      </c>
      <c r="W8" t="s">
        <v>2786</v>
      </c>
      <c r="X8" t="s">
        <v>3067</v>
      </c>
      <c r="Y8" t="s">
        <v>3068</v>
      </c>
      <c r="Z8" t="s">
        <v>2180</v>
      </c>
      <c r="AA8" t="s">
        <v>3294</v>
      </c>
      <c r="AB8" t="s">
        <v>822</v>
      </c>
      <c r="AC8" s="502">
        <v>46199</v>
      </c>
      <c r="AD8" s="502">
        <v>46199</v>
      </c>
      <c r="AE8" s="502">
        <v>46199</v>
      </c>
      <c r="AF8" s="502">
        <v>46255</v>
      </c>
      <c r="AG8" s="114">
        <v>175817200000</v>
      </c>
      <c r="AH8" s="114">
        <v>133035923512</v>
      </c>
      <c r="AI8" s="114">
        <v>133954418107</v>
      </c>
      <c r="AJ8">
        <v>4.5</v>
      </c>
      <c r="AK8" t="s">
        <v>2967</v>
      </c>
      <c r="AL8" s="72" t="str">
        <f>INDEX(Ref!U:U,MATCH(OMO[[#This Row],[MATURITY_DATE]]-RPT,Ref!S:S,1))</f>
        <v>1W</v>
      </c>
      <c r="AM8" s="72" t="str">
        <f>INDEX(Ref!U:U,MATCH(OMO[[#This Row],[MATURITY_DATE]]-OMO[[#This Row],[VALUE_DATE]],Ref!S:S,1))</f>
        <v>2M</v>
      </c>
      <c r="AN8" s="569">
        <f>OMO[[#This Row],[FIXED_RATE]]%*OMO[[#This Row],[GLOBAL_AMOUNT]]/365/10^9</f>
        <v>1.6401689200109589E-2</v>
      </c>
      <c r="AQ8" s="502">
        <v>46252</v>
      </c>
      <c r="AR8">
        <v>3307106</v>
      </c>
      <c r="AS8">
        <v>311129</v>
      </c>
      <c r="AT8" t="s">
        <v>3295</v>
      </c>
      <c r="AU8" t="s">
        <v>3296</v>
      </c>
      <c r="AV8" t="s">
        <v>3297</v>
      </c>
      <c r="AW8" t="s">
        <v>2935</v>
      </c>
      <c r="AX8" s="37">
        <v>424266483270</v>
      </c>
      <c r="AY8">
        <v>4</v>
      </c>
      <c r="AZ8" s="502">
        <v>46216</v>
      </c>
      <c r="BA8" s="502">
        <v>46216</v>
      </c>
      <c r="BB8" s="502">
        <v>46279</v>
      </c>
      <c r="BF8" s="72"/>
      <c r="BG8" s="72"/>
      <c r="BH8" s="38"/>
    </row>
    <row r="9" spans="1:60" x14ac:dyDescent="0.3">
      <c r="B9" s="502">
        <v>46252</v>
      </c>
      <c r="C9">
        <v>18039</v>
      </c>
      <c r="D9" t="s">
        <v>636</v>
      </c>
      <c r="E9" t="s">
        <v>3067</v>
      </c>
      <c r="F9" t="s">
        <v>2176</v>
      </c>
      <c r="G9" t="s">
        <v>812</v>
      </c>
      <c r="H9" s="502">
        <v>46219</v>
      </c>
      <c r="I9" s="502">
        <v>46219</v>
      </c>
      <c r="J9" s="502">
        <v>46223</v>
      </c>
      <c r="K9" s="502">
        <v>46254</v>
      </c>
      <c r="L9" s="37">
        <v>100000000000</v>
      </c>
      <c r="M9" s="37">
        <v>88797000000</v>
      </c>
      <c r="N9" s="37">
        <v>89132604004</v>
      </c>
      <c r="O9">
        <v>4.45</v>
      </c>
      <c r="P9" s="72" t="str">
        <f>INDEX(Ref!U:U,MATCH(Repo_TD[[#This Row],[MATURITY_DATE]]-RPT,Ref!S:S,1))</f>
        <v>1W</v>
      </c>
      <c r="Q9" s="72" t="str">
        <f>INDEX(Ref!U:U,MATCH(Repo_TD[[#This Row],[MATURITY_DATE]]-Repo_TD[[#This Row],[VALUE_DATE]],Ref!S:S,1))</f>
        <v>2M</v>
      </c>
      <c r="R9" s="568">
        <f>Repo_TD[[#This Row],[FIXED_RATE]]%*Repo_TD[[#This Row],[GLOBAL_AMOUNT]]/365/10^9</f>
        <v>1.0825935616438357E-2</v>
      </c>
      <c r="T9" s="38"/>
      <c r="U9" s="502">
        <v>46252</v>
      </c>
      <c r="V9">
        <v>17939</v>
      </c>
      <c r="W9" t="s">
        <v>2503</v>
      </c>
      <c r="X9" t="s">
        <v>3067</v>
      </c>
      <c r="Y9" t="s">
        <v>3068</v>
      </c>
      <c r="Z9" t="s">
        <v>2180</v>
      </c>
      <c r="AA9" t="s">
        <v>3294</v>
      </c>
      <c r="AB9" t="s">
        <v>822</v>
      </c>
      <c r="AC9" s="502">
        <v>46199</v>
      </c>
      <c r="AD9" s="502">
        <v>46199</v>
      </c>
      <c r="AE9" s="502">
        <v>46199</v>
      </c>
      <c r="AF9" s="502">
        <v>46255</v>
      </c>
      <c r="AG9" s="114">
        <v>162664099999.99997</v>
      </c>
      <c r="AH9" s="114">
        <v>132741492129</v>
      </c>
      <c r="AI9" s="114">
        <v>133657953938</v>
      </c>
      <c r="AJ9">
        <v>4.5</v>
      </c>
      <c r="AK9" t="s">
        <v>2967</v>
      </c>
      <c r="AL9" s="72" t="str">
        <f>INDEX(Ref!U:U,MATCH(OMO[[#This Row],[MATURITY_DATE]]-RPT,Ref!S:S,1))</f>
        <v>1W</v>
      </c>
      <c r="AM9" s="72" t="str">
        <f>INDEX(Ref!U:U,MATCH(OMO[[#This Row],[MATURITY_DATE]]-OMO[[#This Row],[VALUE_DATE]],Ref!S:S,1))</f>
        <v>2M</v>
      </c>
      <c r="AN9" s="569">
        <f>OMO[[#This Row],[FIXED_RATE]]%*OMO[[#This Row],[GLOBAL_AMOUNT]]/365/10^9</f>
        <v>1.6365389440561644E-2</v>
      </c>
      <c r="AQ9" s="502">
        <v>46252</v>
      </c>
      <c r="AR9">
        <v>3308162</v>
      </c>
      <c r="AS9">
        <v>311253</v>
      </c>
      <c r="AT9" t="s">
        <v>3295</v>
      </c>
      <c r="AU9" t="s">
        <v>3296</v>
      </c>
      <c r="AV9" t="s">
        <v>3297</v>
      </c>
      <c r="AW9" t="s">
        <v>2935</v>
      </c>
      <c r="AX9" s="37">
        <v>218891425561</v>
      </c>
      <c r="AY9">
        <v>4</v>
      </c>
      <c r="AZ9" s="502">
        <v>46217</v>
      </c>
      <c r="BA9" s="502">
        <v>46217</v>
      </c>
      <c r="BB9" s="502">
        <v>46280</v>
      </c>
      <c r="BF9" s="72"/>
      <c r="BG9" s="72"/>
      <c r="BH9" s="38"/>
    </row>
    <row r="10" spans="1:60" x14ac:dyDescent="0.3">
      <c r="B10" s="502">
        <v>46252</v>
      </c>
      <c r="C10">
        <v>18083</v>
      </c>
      <c r="D10" t="s">
        <v>712</v>
      </c>
      <c r="E10" t="s">
        <v>3067</v>
      </c>
      <c r="F10" t="s">
        <v>2176</v>
      </c>
      <c r="G10" t="s">
        <v>812</v>
      </c>
      <c r="H10" s="502">
        <v>46231</v>
      </c>
      <c r="I10" s="502">
        <v>46231</v>
      </c>
      <c r="J10" s="502">
        <v>46233</v>
      </c>
      <c r="K10" s="502">
        <v>46322</v>
      </c>
      <c r="L10" s="37">
        <v>500000000000</v>
      </c>
      <c r="M10" s="37">
        <v>409880000000</v>
      </c>
      <c r="N10" s="37">
        <v>414477393753</v>
      </c>
      <c r="O10">
        <v>4.5999999999999996</v>
      </c>
      <c r="P10" s="72" t="str">
        <f>INDEX(Ref!U:U,MATCH(Repo_TD[[#This Row],[MATURITY_DATE]]-RPT,Ref!S:S,1))</f>
        <v>3M</v>
      </c>
      <c r="Q10" s="72" t="str">
        <f>INDEX(Ref!U:U,MATCH(Repo_TD[[#This Row],[MATURITY_DATE]]-Repo_TD[[#This Row],[VALUE_DATE]],Ref!S:S,1))</f>
        <v>3M</v>
      </c>
      <c r="R10" s="568">
        <f>Repo_TD[[#This Row],[FIXED_RATE]]%*Repo_TD[[#This Row],[GLOBAL_AMOUNT]]/365/10^9</f>
        <v>5.1656109589041099E-2</v>
      </c>
      <c r="T10" s="38"/>
      <c r="U10" s="502">
        <v>46252</v>
      </c>
      <c r="V10">
        <v>17935</v>
      </c>
      <c r="W10" t="s">
        <v>2775</v>
      </c>
      <c r="X10" t="s">
        <v>3067</v>
      </c>
      <c r="Y10" t="s">
        <v>3068</v>
      </c>
      <c r="Z10" t="s">
        <v>2180</v>
      </c>
      <c r="AA10" t="s">
        <v>3294</v>
      </c>
      <c r="AB10" t="s">
        <v>822</v>
      </c>
      <c r="AC10" s="502">
        <v>46199</v>
      </c>
      <c r="AD10" s="502">
        <v>46199</v>
      </c>
      <c r="AE10" s="502">
        <v>46199</v>
      </c>
      <c r="AF10" s="502">
        <v>46255</v>
      </c>
      <c r="AG10" s="114">
        <v>129984000000</v>
      </c>
      <c r="AH10" s="114">
        <v>109682988310</v>
      </c>
      <c r="AI10" s="114">
        <v>110440251681</v>
      </c>
      <c r="AJ10">
        <v>4.5</v>
      </c>
      <c r="AK10" t="s">
        <v>2967</v>
      </c>
      <c r="AL10" s="72" t="str">
        <f>INDEX(Ref!U:U,MATCH(OMO[[#This Row],[MATURITY_DATE]]-RPT,Ref!S:S,1))</f>
        <v>1W</v>
      </c>
      <c r="AM10" s="72" t="str">
        <f>INDEX(Ref!U:U,MATCH(OMO[[#This Row],[MATURITY_DATE]]-OMO[[#This Row],[VALUE_DATE]],Ref!S:S,1))</f>
        <v>2M</v>
      </c>
      <c r="AN10" s="569">
        <f>OMO[[#This Row],[FIXED_RATE]]%*OMO[[#This Row],[GLOBAL_AMOUNT]]/365/10^9</f>
        <v>1.3522560202602738E-2</v>
      </c>
      <c r="AQ10" s="502">
        <v>46252</v>
      </c>
      <c r="AR10">
        <v>3309579</v>
      </c>
      <c r="AS10">
        <v>311694</v>
      </c>
      <c r="AT10" t="s">
        <v>3295</v>
      </c>
      <c r="AU10" t="s">
        <v>3296</v>
      </c>
      <c r="AV10" t="s">
        <v>3297</v>
      </c>
      <c r="AW10" t="s">
        <v>2935</v>
      </c>
      <c r="AX10" s="37">
        <v>214210282325</v>
      </c>
      <c r="AY10">
        <v>4</v>
      </c>
      <c r="AZ10" s="502">
        <v>46218</v>
      </c>
      <c r="BA10" s="502">
        <v>46218</v>
      </c>
      <c r="BB10" s="502">
        <v>46281</v>
      </c>
      <c r="BF10" s="72"/>
      <c r="BG10" s="72"/>
      <c r="BH10" s="38"/>
    </row>
    <row r="11" spans="1:60" x14ac:dyDescent="0.3">
      <c r="B11" s="502">
        <v>46252</v>
      </c>
      <c r="C11">
        <v>18087</v>
      </c>
      <c r="D11" t="s">
        <v>712</v>
      </c>
      <c r="E11" t="s">
        <v>3067</v>
      </c>
      <c r="F11" t="s">
        <v>2176</v>
      </c>
      <c r="G11" t="s">
        <v>812</v>
      </c>
      <c r="H11" s="502">
        <v>46233</v>
      </c>
      <c r="I11" s="502">
        <v>46233</v>
      </c>
      <c r="J11" s="502">
        <v>46237</v>
      </c>
      <c r="K11" s="502">
        <v>46328</v>
      </c>
      <c r="L11" s="37">
        <v>150000000000</v>
      </c>
      <c r="M11" s="37">
        <v>125032500000</v>
      </c>
      <c r="N11" s="37">
        <v>126450848127</v>
      </c>
      <c r="O11">
        <v>4.55</v>
      </c>
      <c r="P11" s="72" t="str">
        <f>INDEX(Ref!U:U,MATCH(Repo_TD[[#This Row],[MATURITY_DATE]]-RPT,Ref!S:S,1))</f>
        <v>3M</v>
      </c>
      <c r="Q11" s="72" t="str">
        <f>INDEX(Ref!U:U,MATCH(Repo_TD[[#This Row],[MATURITY_DATE]]-Repo_TD[[#This Row],[VALUE_DATE]],Ref!S:S,1))</f>
        <v>3M</v>
      </c>
      <c r="R11" s="568">
        <f>Repo_TD[[#This Row],[FIXED_RATE]]%*Repo_TD[[#This Row],[GLOBAL_AMOUNT]]/365/10^9</f>
        <v>1.5586243150684933E-2</v>
      </c>
      <c r="T11" s="38"/>
      <c r="U11" s="502">
        <v>46252</v>
      </c>
      <c r="V11">
        <v>17964</v>
      </c>
      <c r="W11" t="s">
        <v>2840</v>
      </c>
      <c r="X11" t="s">
        <v>3067</v>
      </c>
      <c r="Y11" t="s">
        <v>3068</v>
      </c>
      <c r="Z11" t="s">
        <v>2180</v>
      </c>
      <c r="AA11" t="s">
        <v>3294</v>
      </c>
      <c r="AB11" t="s">
        <v>822</v>
      </c>
      <c r="AC11" s="502">
        <v>46202</v>
      </c>
      <c r="AD11" s="502">
        <v>46202</v>
      </c>
      <c r="AE11" s="502">
        <v>46202</v>
      </c>
      <c r="AF11" s="502">
        <v>46258</v>
      </c>
      <c r="AG11" s="114">
        <v>73380500000</v>
      </c>
      <c r="AH11" s="114">
        <v>57334154328</v>
      </c>
      <c r="AI11" s="114">
        <v>57729995613</v>
      </c>
      <c r="AJ11">
        <v>4.5</v>
      </c>
      <c r="AK11" t="s">
        <v>2967</v>
      </c>
      <c r="AL11" s="72" t="str">
        <f>INDEX(Ref!U:U,MATCH(OMO[[#This Row],[MATURITY_DATE]]-RPT,Ref!S:S,1))</f>
        <v>1W</v>
      </c>
      <c r="AM11" s="72" t="str">
        <f>INDEX(Ref!U:U,MATCH(OMO[[#This Row],[MATURITY_DATE]]-OMO[[#This Row],[VALUE_DATE]],Ref!S:S,1))</f>
        <v>2M</v>
      </c>
      <c r="AN11" s="569">
        <f>OMO[[#This Row],[FIXED_RATE]]%*OMO[[#This Row],[GLOBAL_AMOUNT]]/365/10^9</f>
        <v>7.0685943692054788E-3</v>
      </c>
      <c r="AQ11" s="502">
        <v>46252</v>
      </c>
      <c r="AR11">
        <v>3310737</v>
      </c>
      <c r="AS11">
        <v>312096</v>
      </c>
      <c r="AT11" t="s">
        <v>3295</v>
      </c>
      <c r="AU11" t="s">
        <v>3296</v>
      </c>
      <c r="AV11" t="s">
        <v>3297</v>
      </c>
      <c r="AW11" t="s">
        <v>2935</v>
      </c>
      <c r="AX11" s="37">
        <v>437892022203</v>
      </c>
      <c r="AY11">
        <v>4</v>
      </c>
      <c r="AZ11" s="502">
        <v>46219</v>
      </c>
      <c r="BA11" s="502">
        <v>46219</v>
      </c>
      <c r="BB11" s="502">
        <v>46282</v>
      </c>
      <c r="BF11" s="72"/>
      <c r="BG11" s="72"/>
      <c r="BH11" s="38"/>
    </row>
    <row r="12" spans="1:60" x14ac:dyDescent="0.3">
      <c r="B12" s="502">
        <v>46252</v>
      </c>
      <c r="C12">
        <v>18084</v>
      </c>
      <c r="D12" t="s">
        <v>712</v>
      </c>
      <c r="E12" t="s">
        <v>3067</v>
      </c>
      <c r="F12" t="s">
        <v>2176</v>
      </c>
      <c r="G12" t="s">
        <v>812</v>
      </c>
      <c r="H12" s="502">
        <v>46232</v>
      </c>
      <c r="I12" s="502">
        <v>46232</v>
      </c>
      <c r="J12" s="502">
        <v>46234</v>
      </c>
      <c r="K12" s="502">
        <v>46322</v>
      </c>
      <c r="L12" s="37">
        <v>450000000000</v>
      </c>
      <c r="M12" s="37">
        <v>405904500000</v>
      </c>
      <c r="N12" s="37">
        <v>410406147715</v>
      </c>
      <c r="O12">
        <v>4.5999999999999996</v>
      </c>
      <c r="P12" s="72" t="str">
        <f>INDEX(Ref!U:U,MATCH(Repo_TD[[#This Row],[MATURITY_DATE]]-RPT,Ref!S:S,1))</f>
        <v>3M</v>
      </c>
      <c r="Q12" s="72" t="str">
        <f>INDEX(Ref!U:U,MATCH(Repo_TD[[#This Row],[MATURITY_DATE]]-Repo_TD[[#This Row],[VALUE_DATE]],Ref!S:S,1))</f>
        <v>3M</v>
      </c>
      <c r="R12" s="568">
        <f>Repo_TD[[#This Row],[FIXED_RATE]]%*Repo_TD[[#This Row],[GLOBAL_AMOUNT]]/365/10^9</f>
        <v>5.1155087671232877E-2</v>
      </c>
      <c r="T12" s="38"/>
      <c r="U12" s="502">
        <v>46252</v>
      </c>
      <c r="V12">
        <v>17963</v>
      </c>
      <c r="W12" t="s">
        <v>2775</v>
      </c>
      <c r="X12" t="s">
        <v>3067</v>
      </c>
      <c r="Y12" t="s">
        <v>3068</v>
      </c>
      <c r="Z12" t="s">
        <v>2180</v>
      </c>
      <c r="AA12" t="s">
        <v>3294</v>
      </c>
      <c r="AB12" t="s">
        <v>822</v>
      </c>
      <c r="AC12" s="502">
        <v>46202</v>
      </c>
      <c r="AD12" s="502">
        <v>46202</v>
      </c>
      <c r="AE12" s="502">
        <v>46202</v>
      </c>
      <c r="AF12" s="502">
        <v>46258</v>
      </c>
      <c r="AG12" s="114">
        <v>216901400000</v>
      </c>
      <c r="AH12" s="114">
        <v>183091782286</v>
      </c>
      <c r="AI12" s="114">
        <v>184355868016</v>
      </c>
      <c r="AJ12">
        <v>4.5</v>
      </c>
      <c r="AK12" t="s">
        <v>2967</v>
      </c>
      <c r="AL12" s="72" t="str">
        <f>INDEX(Ref!U:U,MATCH(OMO[[#This Row],[MATURITY_DATE]]-RPT,Ref!S:S,1))</f>
        <v>1W</v>
      </c>
      <c r="AM12" s="72" t="str">
        <f>INDEX(Ref!U:U,MATCH(OMO[[#This Row],[MATURITY_DATE]]-OMO[[#This Row],[VALUE_DATE]],Ref!S:S,1))</f>
        <v>2M</v>
      </c>
      <c r="AN12" s="569">
        <f>OMO[[#This Row],[FIXED_RATE]]%*OMO[[#This Row],[GLOBAL_AMOUNT]]/365/10^9</f>
        <v>2.2572959459917805E-2</v>
      </c>
      <c r="AQ12" s="502">
        <v>46252</v>
      </c>
      <c r="AR12">
        <v>3311824</v>
      </c>
      <c r="AS12">
        <v>312239</v>
      </c>
      <c r="AT12" t="s">
        <v>3295</v>
      </c>
      <c r="AU12" t="s">
        <v>3296</v>
      </c>
      <c r="AV12" t="s">
        <v>3297</v>
      </c>
      <c r="AW12" t="s">
        <v>2935</v>
      </c>
      <c r="AX12" s="37">
        <v>704662556351</v>
      </c>
      <c r="AY12">
        <v>4</v>
      </c>
      <c r="AZ12" s="502">
        <v>46220</v>
      </c>
      <c r="BA12" s="502">
        <v>46220</v>
      </c>
      <c r="BB12" s="502">
        <v>46283</v>
      </c>
      <c r="BF12" s="72"/>
      <c r="BG12" s="72"/>
      <c r="BH12" s="38"/>
    </row>
    <row r="13" spans="1:60" x14ac:dyDescent="0.3">
      <c r="B13" s="502">
        <v>46252</v>
      </c>
      <c r="C13">
        <v>18040</v>
      </c>
      <c r="D13" t="s">
        <v>667</v>
      </c>
      <c r="E13" t="s">
        <v>3067</v>
      </c>
      <c r="F13" t="s">
        <v>2176</v>
      </c>
      <c r="G13" t="s">
        <v>812</v>
      </c>
      <c r="H13" s="502">
        <v>46219</v>
      </c>
      <c r="I13" s="502">
        <v>46219</v>
      </c>
      <c r="J13" s="502">
        <v>46223</v>
      </c>
      <c r="K13" s="502">
        <v>46254</v>
      </c>
      <c r="L13" s="37">
        <v>50000000000</v>
      </c>
      <c r="M13" s="37">
        <v>49356500000</v>
      </c>
      <c r="N13" s="37">
        <v>49543040525</v>
      </c>
      <c r="O13">
        <v>4.45</v>
      </c>
      <c r="P13" s="72" t="str">
        <f>INDEX(Ref!U:U,MATCH(Repo_TD[[#This Row],[MATURITY_DATE]]-RPT,Ref!S:S,1))</f>
        <v>1W</v>
      </c>
      <c r="Q13" s="72" t="str">
        <f>INDEX(Ref!U:U,MATCH(Repo_TD[[#This Row],[MATURITY_DATE]]-Repo_TD[[#This Row],[VALUE_DATE]],Ref!S:S,1))</f>
        <v>2M</v>
      </c>
      <c r="R13" s="568">
        <f>Repo_TD[[#This Row],[FIXED_RATE]]%*Repo_TD[[#This Row],[GLOBAL_AMOUNT]]/365/10^9</f>
        <v>6.0174363013698624E-3</v>
      </c>
      <c r="T13" s="38"/>
      <c r="U13" s="502">
        <v>46252</v>
      </c>
      <c r="V13">
        <v>17961</v>
      </c>
      <c r="W13" t="s">
        <v>2782</v>
      </c>
      <c r="X13" t="s">
        <v>3067</v>
      </c>
      <c r="Y13" t="s">
        <v>3068</v>
      </c>
      <c r="Z13" t="s">
        <v>2180</v>
      </c>
      <c r="AA13" t="s">
        <v>3294</v>
      </c>
      <c r="AB13" t="s">
        <v>822</v>
      </c>
      <c r="AC13" s="502">
        <v>46202</v>
      </c>
      <c r="AD13" s="502">
        <v>46202</v>
      </c>
      <c r="AE13" s="502">
        <v>46202</v>
      </c>
      <c r="AF13" s="502">
        <v>46258</v>
      </c>
      <c r="AG13" s="114">
        <v>3116400000</v>
      </c>
      <c r="AH13" s="114">
        <v>2572643117</v>
      </c>
      <c r="AI13" s="114">
        <v>2590404927</v>
      </c>
      <c r="AJ13">
        <v>4.5</v>
      </c>
      <c r="AK13" t="s">
        <v>2967</v>
      </c>
      <c r="AL13" s="72" t="str">
        <f>INDEX(Ref!U:U,MATCH(OMO[[#This Row],[MATURITY_DATE]]-RPT,Ref!S:S,1))</f>
        <v>1W</v>
      </c>
      <c r="AM13" s="72" t="str">
        <f>INDEX(Ref!U:U,MATCH(OMO[[#This Row],[MATURITY_DATE]]-OMO[[#This Row],[VALUE_DATE]],Ref!S:S,1))</f>
        <v>2M</v>
      </c>
      <c r="AN13" s="569">
        <f>OMO[[#This Row],[FIXED_RATE]]%*OMO[[#This Row],[GLOBAL_AMOUNT]]/365/10^9</f>
        <v>3.1717517880821921E-4</v>
      </c>
      <c r="AQ13" s="502">
        <v>46252</v>
      </c>
      <c r="AR13">
        <v>3334341</v>
      </c>
      <c r="AS13">
        <v>315510</v>
      </c>
      <c r="AT13" t="s">
        <v>3295</v>
      </c>
      <c r="AU13" t="s">
        <v>3296</v>
      </c>
      <c r="AV13" t="s">
        <v>3297</v>
      </c>
      <c r="AW13" t="s">
        <v>2935</v>
      </c>
      <c r="AX13" s="37">
        <v>803126958405</v>
      </c>
      <c r="AY13">
        <v>4</v>
      </c>
      <c r="AZ13" s="502">
        <v>46246</v>
      </c>
      <c r="BA13" s="502">
        <v>46246</v>
      </c>
      <c r="BB13" s="502">
        <v>46337</v>
      </c>
      <c r="BF13" s="72"/>
      <c r="BG13" s="72"/>
      <c r="BH13" s="38"/>
    </row>
    <row r="14" spans="1:60" x14ac:dyDescent="0.3">
      <c r="B14" s="502">
        <v>46252</v>
      </c>
      <c r="C14">
        <v>18077</v>
      </c>
      <c r="D14" t="s">
        <v>721</v>
      </c>
      <c r="E14" t="s">
        <v>3067</v>
      </c>
      <c r="F14" t="s">
        <v>2176</v>
      </c>
      <c r="G14" t="s">
        <v>812</v>
      </c>
      <c r="H14" s="502">
        <v>46225</v>
      </c>
      <c r="I14" s="502">
        <v>46225</v>
      </c>
      <c r="J14" s="502">
        <v>46227</v>
      </c>
      <c r="K14" s="502">
        <v>46321</v>
      </c>
      <c r="L14" s="37">
        <v>862000000000</v>
      </c>
      <c r="M14" s="37">
        <v>1104670240000</v>
      </c>
      <c r="N14" s="37">
        <v>1117756799227</v>
      </c>
      <c r="O14">
        <v>4.5999999999999996</v>
      </c>
      <c r="P14" s="72" t="str">
        <f>INDEX(Ref!U:U,MATCH(Repo_TD[[#This Row],[MATURITY_DATE]]-RPT,Ref!S:S,1))</f>
        <v>3M</v>
      </c>
      <c r="Q14" s="72" t="str">
        <f>INDEX(Ref!U:U,MATCH(Repo_TD[[#This Row],[MATURITY_DATE]]-Repo_TD[[#This Row],[VALUE_DATE]],Ref!S:S,1))</f>
        <v>6M</v>
      </c>
      <c r="R14" s="568">
        <f>Repo_TD[[#This Row],[FIXED_RATE]]%*Repo_TD[[#This Row],[GLOBAL_AMOUNT]]/365/10^9</f>
        <v>0.13921871517808221</v>
      </c>
      <c r="T14" s="38"/>
      <c r="U14" s="502">
        <v>46252</v>
      </c>
      <c r="V14">
        <v>17960</v>
      </c>
      <c r="W14" t="s">
        <v>2788</v>
      </c>
      <c r="X14" t="s">
        <v>3067</v>
      </c>
      <c r="Y14" t="s">
        <v>3068</v>
      </c>
      <c r="Z14" t="s">
        <v>2180</v>
      </c>
      <c r="AA14" t="s">
        <v>3294</v>
      </c>
      <c r="AB14" t="s">
        <v>822</v>
      </c>
      <c r="AC14" s="502">
        <v>46202</v>
      </c>
      <c r="AD14" s="502">
        <v>46202</v>
      </c>
      <c r="AE14" s="502">
        <v>46202</v>
      </c>
      <c r="AF14" s="502">
        <v>46258</v>
      </c>
      <c r="AG14" s="114">
        <v>61725800000</v>
      </c>
      <c r="AH14" s="114">
        <v>49215737056</v>
      </c>
      <c r="AI14" s="114">
        <v>49555527898</v>
      </c>
      <c r="AJ14">
        <v>4.5</v>
      </c>
      <c r="AK14" t="s">
        <v>2967</v>
      </c>
      <c r="AL14" s="72" t="str">
        <f>INDEX(Ref!U:U,MATCH(OMO[[#This Row],[MATURITY_DATE]]-RPT,Ref!S:S,1))</f>
        <v>1W</v>
      </c>
      <c r="AM14" s="72" t="str">
        <f>INDEX(Ref!U:U,MATCH(OMO[[#This Row],[MATURITY_DATE]]-OMO[[#This Row],[VALUE_DATE]],Ref!S:S,1))</f>
        <v>2M</v>
      </c>
      <c r="AN14" s="569">
        <f>OMO[[#This Row],[FIXED_RATE]]%*OMO[[#This Row],[GLOBAL_AMOUNT]]/365/10^9</f>
        <v>6.0676936096438353E-3</v>
      </c>
      <c r="AQ14" s="502">
        <v>46252</v>
      </c>
      <c r="AR14">
        <v>3335779</v>
      </c>
      <c r="AS14">
        <v>316001</v>
      </c>
      <c r="AT14" t="s">
        <v>3295</v>
      </c>
      <c r="AU14" t="s">
        <v>3296</v>
      </c>
      <c r="AV14" t="s">
        <v>3297</v>
      </c>
      <c r="AW14" t="s">
        <v>2935</v>
      </c>
      <c r="AX14" s="37">
        <v>1024118425198</v>
      </c>
      <c r="AY14">
        <v>4</v>
      </c>
      <c r="AZ14" s="502">
        <v>46247</v>
      </c>
      <c r="BA14" s="502">
        <v>46247</v>
      </c>
      <c r="BB14" s="502">
        <v>46282</v>
      </c>
      <c r="BF14" s="72"/>
      <c r="BG14" s="72"/>
      <c r="BH14" s="38"/>
    </row>
    <row r="15" spans="1:60" x14ac:dyDescent="0.3">
      <c r="B15" s="502">
        <v>46252</v>
      </c>
      <c r="C15">
        <v>18078</v>
      </c>
      <c r="D15" t="s">
        <v>721</v>
      </c>
      <c r="E15" t="s">
        <v>3067</v>
      </c>
      <c r="F15" t="s">
        <v>2176</v>
      </c>
      <c r="G15" t="s">
        <v>812</v>
      </c>
      <c r="H15" s="502">
        <v>46225</v>
      </c>
      <c r="I15" s="502">
        <v>46225</v>
      </c>
      <c r="J15" s="502">
        <v>46227</v>
      </c>
      <c r="K15" s="502">
        <v>46321</v>
      </c>
      <c r="L15" s="37">
        <v>200000000000</v>
      </c>
      <c r="M15" s="37">
        <v>256304000000</v>
      </c>
      <c r="N15" s="37">
        <v>259340324647</v>
      </c>
      <c r="O15">
        <v>4.5999999999999996</v>
      </c>
      <c r="P15" s="72" t="str">
        <f>INDEX(Ref!U:U,MATCH(Repo_TD[[#This Row],[MATURITY_DATE]]-RPT,Ref!S:S,1))</f>
        <v>3M</v>
      </c>
      <c r="Q15" s="72" t="str">
        <f>INDEX(Ref!U:U,MATCH(Repo_TD[[#This Row],[MATURITY_DATE]]-Repo_TD[[#This Row],[VALUE_DATE]],Ref!S:S,1))</f>
        <v>6M</v>
      </c>
      <c r="R15" s="568">
        <f>Repo_TD[[#This Row],[FIXED_RATE]]%*Repo_TD[[#This Row],[GLOBAL_AMOUNT]]/365/10^9</f>
        <v>3.2301326027397263E-2</v>
      </c>
      <c r="T15" s="38"/>
      <c r="U15" s="502">
        <v>46252</v>
      </c>
      <c r="V15">
        <v>17962</v>
      </c>
      <c r="W15" t="s">
        <v>2843</v>
      </c>
      <c r="X15" t="s">
        <v>3067</v>
      </c>
      <c r="Y15" t="s">
        <v>3068</v>
      </c>
      <c r="Z15" t="s">
        <v>2180</v>
      </c>
      <c r="AA15" t="s">
        <v>3294</v>
      </c>
      <c r="AB15" t="s">
        <v>822</v>
      </c>
      <c r="AC15" s="502">
        <v>46202</v>
      </c>
      <c r="AD15" s="502">
        <v>46202</v>
      </c>
      <c r="AE15" s="502">
        <v>46202</v>
      </c>
      <c r="AF15" s="502">
        <v>46258</v>
      </c>
      <c r="AG15" s="114">
        <v>28844600000</v>
      </c>
      <c r="AH15" s="114">
        <v>24339625836</v>
      </c>
      <c r="AI15" s="114">
        <v>24507669280</v>
      </c>
      <c r="AJ15">
        <v>4.5</v>
      </c>
      <c r="AK15" t="s">
        <v>2967</v>
      </c>
      <c r="AL15" s="72" t="str">
        <f>INDEX(Ref!U:U,MATCH(OMO[[#This Row],[MATURITY_DATE]]-RPT,Ref!S:S,1))</f>
        <v>1W</v>
      </c>
      <c r="AM15" s="72" t="str">
        <f>INDEX(Ref!U:U,MATCH(OMO[[#This Row],[MATURITY_DATE]]-OMO[[#This Row],[VALUE_DATE]],Ref!S:S,1))</f>
        <v>2M</v>
      </c>
      <c r="AN15" s="569">
        <f>OMO[[#This Row],[FIXED_RATE]]%*OMO[[#This Row],[GLOBAL_AMOUNT]]/365/10^9</f>
        <v>3.0007757879999997E-3</v>
      </c>
      <c r="AQ15" s="502">
        <v>46252</v>
      </c>
      <c r="AR15">
        <v>3338479</v>
      </c>
      <c r="AS15">
        <v>316247</v>
      </c>
      <c r="AT15" t="s">
        <v>3295</v>
      </c>
      <c r="AU15" t="s">
        <v>3296</v>
      </c>
      <c r="AV15" t="s">
        <v>3297</v>
      </c>
      <c r="AW15" t="s">
        <v>2935</v>
      </c>
      <c r="AX15" s="37">
        <v>663451752502</v>
      </c>
      <c r="AY15">
        <v>4</v>
      </c>
      <c r="AZ15" s="502">
        <v>46251</v>
      </c>
      <c r="BA15" s="502">
        <v>46251</v>
      </c>
      <c r="BB15" s="502">
        <v>46258</v>
      </c>
      <c r="BF15" s="72"/>
      <c r="BG15" s="72"/>
      <c r="BH15" s="38"/>
    </row>
    <row r="16" spans="1:60" x14ac:dyDescent="0.3">
      <c r="B16" s="502">
        <v>46252</v>
      </c>
      <c r="C16">
        <v>18134</v>
      </c>
      <c r="D16" t="s">
        <v>1193</v>
      </c>
      <c r="E16" t="s">
        <v>3067</v>
      </c>
      <c r="F16" t="s">
        <v>2176</v>
      </c>
      <c r="G16" t="s">
        <v>812</v>
      </c>
      <c r="H16" s="502">
        <v>46248</v>
      </c>
      <c r="I16" s="502">
        <v>46248</v>
      </c>
      <c r="J16" s="502">
        <v>46253</v>
      </c>
      <c r="K16" s="502">
        <v>46268</v>
      </c>
      <c r="L16" s="37">
        <v>550000000000</v>
      </c>
      <c r="M16" s="37">
        <v>717816000000</v>
      </c>
      <c r="N16" s="37">
        <v>719113968658</v>
      </c>
      <c r="O16">
        <v>4.4000000000000004</v>
      </c>
      <c r="P16" s="72" t="str">
        <f>INDEX(Ref!U:U,MATCH(Repo_TD[[#This Row],[MATURITY_DATE]]-RPT,Ref!S:S,1))</f>
        <v>3W</v>
      </c>
      <c r="Q16" s="72" t="str">
        <f>INDEX(Ref!U:U,MATCH(Repo_TD[[#This Row],[MATURITY_DATE]]-Repo_TD[[#This Row],[VALUE_DATE]],Ref!S:S,1))</f>
        <v>3W</v>
      </c>
      <c r="R16" s="568">
        <f>Repo_TD[[#This Row],[FIXED_RATE]]%*Repo_TD[[#This Row],[GLOBAL_AMOUNT]]/365/10^9</f>
        <v>8.6531243835616459E-2</v>
      </c>
      <c r="T16" s="38"/>
      <c r="U16" s="502">
        <v>46252</v>
      </c>
      <c r="V16">
        <v>17972</v>
      </c>
      <c r="W16" t="s">
        <v>3118</v>
      </c>
      <c r="X16" t="s">
        <v>3067</v>
      </c>
      <c r="Y16" t="s">
        <v>3068</v>
      </c>
      <c r="Z16" t="s">
        <v>2180</v>
      </c>
      <c r="AA16" t="s">
        <v>3294</v>
      </c>
      <c r="AB16" t="s">
        <v>822</v>
      </c>
      <c r="AC16" s="502">
        <v>46203</v>
      </c>
      <c r="AD16" s="502">
        <v>46203</v>
      </c>
      <c r="AE16" s="502">
        <v>46203</v>
      </c>
      <c r="AF16" s="502">
        <v>46259</v>
      </c>
      <c r="AG16" s="114">
        <v>300000000000</v>
      </c>
      <c r="AH16" s="114">
        <v>241294941393</v>
      </c>
      <c r="AI16" s="114">
        <v>242960868112</v>
      </c>
      <c r="AJ16">
        <v>4.5</v>
      </c>
      <c r="AK16" t="s">
        <v>2967</v>
      </c>
      <c r="AL16" s="72" t="str">
        <f>INDEX(Ref!U:U,MATCH(OMO[[#This Row],[MATURITY_DATE]]-RPT,Ref!S:S,1))</f>
        <v>1W</v>
      </c>
      <c r="AM16" s="72" t="str">
        <f>INDEX(Ref!U:U,MATCH(OMO[[#This Row],[MATURITY_DATE]]-OMO[[#This Row],[VALUE_DATE]],Ref!S:S,1))</f>
        <v>2M</v>
      </c>
      <c r="AN16" s="569">
        <f>OMO[[#This Row],[FIXED_RATE]]%*OMO[[#This Row],[GLOBAL_AMOUNT]]/365/10^9</f>
        <v>2.9748691404616438E-2</v>
      </c>
      <c r="AQ16" s="502">
        <v>46252</v>
      </c>
      <c r="AR16">
        <v>3339610</v>
      </c>
      <c r="AS16">
        <v>316380</v>
      </c>
      <c r="AT16" t="s">
        <v>3295</v>
      </c>
      <c r="AU16" t="s">
        <v>3296</v>
      </c>
      <c r="AV16" t="s">
        <v>3297</v>
      </c>
      <c r="AW16" t="s">
        <v>2935</v>
      </c>
      <c r="AX16" s="37">
        <v>757382738057</v>
      </c>
      <c r="AY16">
        <v>4</v>
      </c>
      <c r="AZ16" s="502">
        <v>46252</v>
      </c>
      <c r="BA16" s="502">
        <v>46252</v>
      </c>
      <c r="BB16" s="502">
        <v>46287</v>
      </c>
      <c r="BF16" s="72"/>
      <c r="BG16" s="72"/>
      <c r="BH16" s="38"/>
    </row>
    <row r="17" spans="2:60" x14ac:dyDescent="0.3">
      <c r="B17" s="502">
        <v>46252</v>
      </c>
      <c r="C17">
        <v>18133</v>
      </c>
      <c r="D17" t="s">
        <v>1193</v>
      </c>
      <c r="E17" t="s">
        <v>3067</v>
      </c>
      <c r="F17" t="s">
        <v>2176</v>
      </c>
      <c r="G17" t="s">
        <v>812</v>
      </c>
      <c r="H17" s="502">
        <v>46248</v>
      </c>
      <c r="I17" s="502">
        <v>46248</v>
      </c>
      <c r="J17" s="502">
        <v>46253</v>
      </c>
      <c r="K17" s="502">
        <v>46268</v>
      </c>
      <c r="L17" s="37">
        <v>600000000000</v>
      </c>
      <c r="M17" s="37">
        <v>783072000000</v>
      </c>
      <c r="N17" s="37">
        <v>784487965808</v>
      </c>
      <c r="O17">
        <v>4.4000000000000004</v>
      </c>
      <c r="P17" s="72" t="str">
        <f>INDEX(Ref!U:U,MATCH(Repo_TD[[#This Row],[MATURITY_DATE]]-RPT,Ref!S:S,1))</f>
        <v>3W</v>
      </c>
      <c r="Q17" s="72" t="str">
        <f>INDEX(Ref!U:U,MATCH(Repo_TD[[#This Row],[MATURITY_DATE]]-Repo_TD[[#This Row],[VALUE_DATE]],Ref!S:S,1))</f>
        <v>3W</v>
      </c>
      <c r="R17" s="568">
        <f>Repo_TD[[#This Row],[FIXED_RATE]]%*Repo_TD[[#This Row],[GLOBAL_AMOUNT]]/365/10^9</f>
        <v>9.4397720547945208E-2</v>
      </c>
      <c r="T17" s="38"/>
      <c r="U17" s="502">
        <v>46252</v>
      </c>
      <c r="V17">
        <v>17971</v>
      </c>
      <c r="W17" t="s">
        <v>3317</v>
      </c>
      <c r="X17" t="s">
        <v>3067</v>
      </c>
      <c r="Y17" t="s">
        <v>3068</v>
      </c>
      <c r="Z17" t="s">
        <v>2180</v>
      </c>
      <c r="AA17" t="s">
        <v>3294</v>
      </c>
      <c r="AB17" t="s">
        <v>822</v>
      </c>
      <c r="AC17" s="502">
        <v>46203</v>
      </c>
      <c r="AD17" s="502">
        <v>46203</v>
      </c>
      <c r="AE17" s="502">
        <v>46203</v>
      </c>
      <c r="AF17" s="502">
        <v>46259</v>
      </c>
      <c r="AG17" s="114">
        <v>350000000000</v>
      </c>
      <c r="AH17" s="114">
        <v>296494506828</v>
      </c>
      <c r="AI17" s="114">
        <v>298541537396</v>
      </c>
      <c r="AJ17">
        <v>4.5</v>
      </c>
      <c r="AK17" t="s">
        <v>2967</v>
      </c>
      <c r="AL17" s="72" t="str">
        <f>INDEX(Ref!U:U,MATCH(OMO[[#This Row],[MATURITY_DATE]]-RPT,Ref!S:S,1))</f>
        <v>1W</v>
      </c>
      <c r="AM17" s="72" t="str">
        <f>INDEX(Ref!U:U,MATCH(OMO[[#This Row],[MATURITY_DATE]]-OMO[[#This Row],[VALUE_DATE]],Ref!S:S,1))</f>
        <v>2M</v>
      </c>
      <c r="AN17" s="569">
        <f>OMO[[#This Row],[FIXED_RATE]]%*OMO[[#This Row],[GLOBAL_AMOUNT]]/365/10^9</f>
        <v>3.6554117280164382E-2</v>
      </c>
      <c r="BF17" s="72"/>
      <c r="BG17" s="72"/>
      <c r="BH17" s="38"/>
    </row>
    <row r="18" spans="2:60" x14ac:dyDescent="0.3">
      <c r="B18" s="502">
        <v>46252</v>
      </c>
      <c r="C18">
        <v>18079</v>
      </c>
      <c r="D18" t="s">
        <v>2371</v>
      </c>
      <c r="E18" t="s">
        <v>3067</v>
      </c>
      <c r="F18" t="s">
        <v>2176</v>
      </c>
      <c r="G18" t="s">
        <v>812</v>
      </c>
      <c r="H18" s="502">
        <v>46225</v>
      </c>
      <c r="I18" s="502">
        <v>46225</v>
      </c>
      <c r="J18" s="502">
        <v>46227</v>
      </c>
      <c r="K18" s="502">
        <v>46321</v>
      </c>
      <c r="L18" s="37">
        <v>437000000000</v>
      </c>
      <c r="M18" s="37">
        <v>284251020000</v>
      </c>
      <c r="N18" s="37">
        <v>287618421125</v>
      </c>
      <c r="O18">
        <v>4.5999999999999996</v>
      </c>
      <c r="P18" s="72" t="str">
        <f>INDEX(Ref!U:U,MATCH(Repo_TD[[#This Row],[MATURITY_DATE]]-RPT,Ref!S:S,1))</f>
        <v>3M</v>
      </c>
      <c r="Q18" s="72" t="str">
        <f>INDEX(Ref!U:U,MATCH(Repo_TD[[#This Row],[MATURITY_DATE]]-Repo_TD[[#This Row],[VALUE_DATE]],Ref!S:S,1))</f>
        <v>6M</v>
      </c>
      <c r="R18" s="568">
        <f>Repo_TD[[#This Row],[FIXED_RATE]]%*Repo_TD[[#This Row],[GLOBAL_AMOUNT]]/365/10^9</f>
        <v>3.5823416219178082E-2</v>
      </c>
      <c r="T18" s="38"/>
      <c r="U18" s="502">
        <v>46252</v>
      </c>
      <c r="V18">
        <v>18006</v>
      </c>
      <c r="W18" t="s">
        <v>1205</v>
      </c>
      <c r="X18" t="s">
        <v>3067</v>
      </c>
      <c r="Y18" t="s">
        <v>3068</v>
      </c>
      <c r="Z18" t="s">
        <v>2180</v>
      </c>
      <c r="AA18" t="s">
        <v>3294</v>
      </c>
      <c r="AB18" t="s">
        <v>822</v>
      </c>
      <c r="AC18" s="502">
        <v>46211</v>
      </c>
      <c r="AD18" s="502">
        <v>46211</v>
      </c>
      <c r="AE18" s="502">
        <v>46211</v>
      </c>
      <c r="AF18" s="502">
        <v>46274</v>
      </c>
      <c r="AG18" s="114">
        <v>100000000000</v>
      </c>
      <c r="AH18" s="114">
        <v>97124745593</v>
      </c>
      <c r="AI18" s="114">
        <v>97879125466</v>
      </c>
      <c r="AJ18">
        <v>4.5</v>
      </c>
      <c r="AK18" t="s">
        <v>2967</v>
      </c>
      <c r="AL18" s="72" t="str">
        <f>INDEX(Ref!U:U,MATCH(OMO[[#This Row],[MATURITY_DATE]]-RPT,Ref!S:S,1))</f>
        <v>1M</v>
      </c>
      <c r="AM18" s="72" t="str">
        <f>INDEX(Ref!U:U,MATCH(OMO[[#This Row],[MATURITY_DATE]]-OMO[[#This Row],[VALUE_DATE]],Ref!S:S,1))</f>
        <v>3M</v>
      </c>
      <c r="AN18" s="569">
        <f>OMO[[#This Row],[FIXED_RATE]]%*OMO[[#This Row],[GLOBAL_AMOUNT]]/365/10^9</f>
        <v>1.1974283703246573E-2</v>
      </c>
      <c r="BF18" s="72"/>
      <c r="BG18" s="72"/>
      <c r="BH18" s="38"/>
    </row>
    <row r="19" spans="2:60" x14ac:dyDescent="0.3">
      <c r="B19" s="502">
        <v>46252</v>
      </c>
      <c r="C19">
        <v>17980</v>
      </c>
      <c r="D19" t="s">
        <v>2497</v>
      </c>
      <c r="E19" t="s">
        <v>3067</v>
      </c>
      <c r="F19" t="s">
        <v>2176</v>
      </c>
      <c r="G19" t="s">
        <v>812</v>
      </c>
      <c r="H19" s="502">
        <v>46205</v>
      </c>
      <c r="I19" s="502">
        <v>46205</v>
      </c>
      <c r="J19" s="502">
        <v>46210</v>
      </c>
      <c r="K19" s="502">
        <v>46272</v>
      </c>
      <c r="L19" s="37">
        <v>713400000000</v>
      </c>
      <c r="M19" s="37">
        <v>581435268000</v>
      </c>
      <c r="N19" s="37">
        <v>585978427957</v>
      </c>
      <c r="O19">
        <v>4.5999999999999996</v>
      </c>
      <c r="P19" s="72" t="str">
        <f>INDEX(Ref!U:U,MATCH(Repo_TD[[#This Row],[MATURITY_DATE]]-RPT,Ref!S:S,1))</f>
        <v>3W</v>
      </c>
      <c r="Q19" s="72" t="str">
        <f>INDEX(Ref!U:U,MATCH(Repo_TD[[#This Row],[MATURITY_DATE]]-Repo_TD[[#This Row],[VALUE_DATE]],Ref!S:S,1))</f>
        <v>3M</v>
      </c>
      <c r="R19" s="568">
        <f>Repo_TD[[#This Row],[FIXED_RATE]]%*Repo_TD[[#This Row],[GLOBAL_AMOUNT]]/365/10^9</f>
        <v>7.3276773501369866E-2</v>
      </c>
      <c r="T19" s="38"/>
      <c r="U19" s="502">
        <v>46252</v>
      </c>
      <c r="V19">
        <v>18003</v>
      </c>
      <c r="W19" t="s">
        <v>616</v>
      </c>
      <c r="X19" t="s">
        <v>3067</v>
      </c>
      <c r="Y19" t="s">
        <v>3068</v>
      </c>
      <c r="Z19" t="s">
        <v>2180</v>
      </c>
      <c r="AA19" t="s">
        <v>3294</v>
      </c>
      <c r="AB19" t="s">
        <v>822</v>
      </c>
      <c r="AC19" s="502">
        <v>46211</v>
      </c>
      <c r="AD19" s="502">
        <v>46211</v>
      </c>
      <c r="AE19" s="502">
        <v>46211</v>
      </c>
      <c r="AF19" s="502">
        <v>46274</v>
      </c>
      <c r="AG19" s="114">
        <v>6653600000</v>
      </c>
      <c r="AH19" s="114">
        <v>7254299364</v>
      </c>
      <c r="AI19" s="114">
        <v>7310644402</v>
      </c>
      <c r="AJ19">
        <v>4.5</v>
      </c>
      <c r="AK19" t="s">
        <v>2967</v>
      </c>
      <c r="AL19" s="72" t="str">
        <f>INDEX(Ref!U:U,MATCH(OMO[[#This Row],[MATURITY_DATE]]-RPT,Ref!S:S,1))</f>
        <v>1M</v>
      </c>
      <c r="AM19" s="72" t="str">
        <f>INDEX(Ref!U:U,MATCH(OMO[[#This Row],[MATURITY_DATE]]-OMO[[#This Row],[VALUE_DATE]],Ref!S:S,1))</f>
        <v>3M</v>
      </c>
      <c r="AN19" s="569">
        <f>OMO[[#This Row],[FIXED_RATE]]%*OMO[[#This Row],[GLOBAL_AMOUNT]]/365/10^9</f>
        <v>8.9436567501369863E-4</v>
      </c>
      <c r="BF19" s="72"/>
      <c r="BG19" s="72"/>
      <c r="BH19" s="38"/>
    </row>
    <row r="20" spans="2:60" x14ac:dyDescent="0.3">
      <c r="B20" s="502">
        <v>46252</v>
      </c>
      <c r="C20">
        <v>18044</v>
      </c>
      <c r="D20" t="s">
        <v>2497</v>
      </c>
      <c r="E20" t="s">
        <v>3067</v>
      </c>
      <c r="F20" t="s">
        <v>2176</v>
      </c>
      <c r="G20" t="s">
        <v>812</v>
      </c>
      <c r="H20" s="502">
        <v>46219</v>
      </c>
      <c r="I20" s="502">
        <v>46219</v>
      </c>
      <c r="J20" s="502">
        <v>46223</v>
      </c>
      <c r="K20" s="502">
        <v>46254</v>
      </c>
      <c r="L20" s="37">
        <v>250000000000</v>
      </c>
      <c r="M20" s="37">
        <v>204092500000</v>
      </c>
      <c r="N20" s="37">
        <v>204863857818</v>
      </c>
      <c r="O20">
        <v>4.45</v>
      </c>
      <c r="P20" s="72" t="str">
        <f>INDEX(Ref!U:U,MATCH(Repo_TD[[#This Row],[MATURITY_DATE]]-RPT,Ref!S:S,1))</f>
        <v>1W</v>
      </c>
      <c r="Q20" s="72" t="str">
        <f>INDEX(Ref!U:U,MATCH(Repo_TD[[#This Row],[MATURITY_DATE]]-Repo_TD[[#This Row],[VALUE_DATE]],Ref!S:S,1))</f>
        <v>2M</v>
      </c>
      <c r="R20" s="568">
        <f>Repo_TD[[#This Row],[FIXED_RATE]]%*Repo_TD[[#This Row],[GLOBAL_AMOUNT]]/365/10^9</f>
        <v>2.4882510273972609E-2</v>
      </c>
      <c r="T20" s="38"/>
      <c r="U20" s="502">
        <v>46252</v>
      </c>
      <c r="V20">
        <v>18004</v>
      </c>
      <c r="W20" t="s">
        <v>2831</v>
      </c>
      <c r="X20" t="s">
        <v>3067</v>
      </c>
      <c r="Y20" t="s">
        <v>3068</v>
      </c>
      <c r="Z20" t="s">
        <v>2180</v>
      </c>
      <c r="AA20" t="s">
        <v>3294</v>
      </c>
      <c r="AB20" t="s">
        <v>822</v>
      </c>
      <c r="AC20" s="502">
        <v>46211</v>
      </c>
      <c r="AD20" s="502">
        <v>46211</v>
      </c>
      <c r="AE20" s="502">
        <v>46211</v>
      </c>
      <c r="AF20" s="502">
        <v>46274</v>
      </c>
      <c r="AG20" s="114">
        <v>40697800000</v>
      </c>
      <c r="AH20" s="114">
        <v>32342305845</v>
      </c>
      <c r="AI20" s="114">
        <v>32593512522</v>
      </c>
      <c r="AJ20">
        <v>4.5</v>
      </c>
      <c r="AK20" t="s">
        <v>2967</v>
      </c>
      <c r="AL20" s="72" t="str">
        <f>INDEX(Ref!U:U,MATCH(OMO[[#This Row],[MATURITY_DATE]]-RPT,Ref!S:S,1))</f>
        <v>1M</v>
      </c>
      <c r="AM20" s="72" t="str">
        <f>INDEX(Ref!U:U,MATCH(OMO[[#This Row],[MATURITY_DATE]]-OMO[[#This Row],[VALUE_DATE]],Ref!S:S,1))</f>
        <v>3M</v>
      </c>
      <c r="AN20" s="569">
        <f>OMO[[#This Row],[FIXED_RATE]]%*OMO[[#This Row],[GLOBAL_AMOUNT]]/365/10^9</f>
        <v>3.9874075699315066E-3</v>
      </c>
      <c r="BF20" s="72"/>
      <c r="BG20" s="72"/>
      <c r="BH20" s="38"/>
    </row>
    <row r="21" spans="2:60" x14ac:dyDescent="0.3">
      <c r="B21" s="502">
        <v>46252</v>
      </c>
      <c r="C21">
        <v>18056</v>
      </c>
      <c r="D21" t="s">
        <v>2497</v>
      </c>
      <c r="E21" t="s">
        <v>3067</v>
      </c>
      <c r="F21" t="s">
        <v>2176</v>
      </c>
      <c r="G21" t="s">
        <v>812</v>
      </c>
      <c r="H21" s="502">
        <v>46220</v>
      </c>
      <c r="I21" s="502">
        <v>46220</v>
      </c>
      <c r="J21" s="502">
        <v>46225</v>
      </c>
      <c r="K21" s="502">
        <v>46286</v>
      </c>
      <c r="L21" s="37">
        <v>130000000000</v>
      </c>
      <c r="M21" s="37">
        <v>107373500000</v>
      </c>
      <c r="N21" s="37">
        <v>108198952167</v>
      </c>
      <c r="O21">
        <v>4.5999999999999996</v>
      </c>
      <c r="P21" s="72" t="str">
        <f>INDEX(Ref!U:U,MATCH(Repo_TD[[#This Row],[MATURITY_DATE]]-RPT,Ref!S:S,1))</f>
        <v>2M</v>
      </c>
      <c r="Q21" s="72" t="str">
        <f>INDEX(Ref!U:U,MATCH(Repo_TD[[#This Row],[MATURITY_DATE]]-Repo_TD[[#This Row],[VALUE_DATE]],Ref!S:S,1))</f>
        <v>3M</v>
      </c>
      <c r="R21" s="568">
        <f>Repo_TD[[#This Row],[FIXED_RATE]]%*Repo_TD[[#This Row],[GLOBAL_AMOUNT]]/365/10^9</f>
        <v>1.3532002739726028E-2</v>
      </c>
      <c r="T21" s="38"/>
      <c r="U21" s="502">
        <v>46252</v>
      </c>
      <c r="V21">
        <v>18005</v>
      </c>
      <c r="W21" t="s">
        <v>2799</v>
      </c>
      <c r="X21" t="s">
        <v>3067</v>
      </c>
      <c r="Y21" t="s">
        <v>3068</v>
      </c>
      <c r="Z21" t="s">
        <v>2180</v>
      </c>
      <c r="AA21" t="s">
        <v>3294</v>
      </c>
      <c r="AB21" t="s">
        <v>822</v>
      </c>
      <c r="AC21" s="502">
        <v>46211</v>
      </c>
      <c r="AD21" s="502">
        <v>46211</v>
      </c>
      <c r="AE21" s="502">
        <v>46211</v>
      </c>
      <c r="AF21" s="502">
        <v>46274</v>
      </c>
      <c r="AG21" s="114">
        <v>67609200000</v>
      </c>
      <c r="AH21" s="114">
        <v>52315681404</v>
      </c>
      <c r="AI21" s="114">
        <v>52722023751</v>
      </c>
      <c r="AJ21">
        <v>4.5</v>
      </c>
      <c r="AK21" t="s">
        <v>2967</v>
      </c>
      <c r="AL21" s="72" t="str">
        <f>INDEX(Ref!U:U,MATCH(OMO[[#This Row],[MATURITY_DATE]]-RPT,Ref!S:S,1))</f>
        <v>1M</v>
      </c>
      <c r="AM21" s="72" t="str">
        <f>INDEX(Ref!U:U,MATCH(OMO[[#This Row],[MATURITY_DATE]]-OMO[[#This Row],[VALUE_DATE]],Ref!S:S,1))</f>
        <v>3M</v>
      </c>
      <c r="AN21" s="569">
        <f>OMO[[#This Row],[FIXED_RATE]]%*OMO[[#This Row],[GLOBAL_AMOUNT]]/365/10^9</f>
        <v>6.4498785292602728E-3</v>
      </c>
      <c r="BF21" s="72"/>
      <c r="BG21" s="72"/>
      <c r="BH21" s="38"/>
    </row>
    <row r="22" spans="2:60" x14ac:dyDescent="0.3">
      <c r="B22" s="502">
        <v>46252</v>
      </c>
      <c r="C22">
        <v>18089</v>
      </c>
      <c r="D22" t="s">
        <v>2497</v>
      </c>
      <c r="E22" t="s">
        <v>3067</v>
      </c>
      <c r="F22" t="s">
        <v>2176</v>
      </c>
      <c r="G22" t="s">
        <v>812</v>
      </c>
      <c r="H22" s="502">
        <v>46233</v>
      </c>
      <c r="I22" s="502">
        <v>46233</v>
      </c>
      <c r="J22" s="502">
        <v>46238</v>
      </c>
      <c r="K22" s="502">
        <v>46329</v>
      </c>
      <c r="L22" s="37">
        <v>700000000000</v>
      </c>
      <c r="M22" s="37">
        <v>570444000000</v>
      </c>
      <c r="N22" s="37">
        <v>576915022964</v>
      </c>
      <c r="O22">
        <v>4.55</v>
      </c>
      <c r="P22" s="72" t="str">
        <f>INDEX(Ref!U:U,MATCH(Repo_TD[[#This Row],[MATURITY_DATE]]-RPT,Ref!S:S,1))</f>
        <v>3M</v>
      </c>
      <c r="Q22" s="72" t="str">
        <f>INDEX(Ref!U:U,MATCH(Repo_TD[[#This Row],[MATURITY_DATE]]-Repo_TD[[#This Row],[VALUE_DATE]],Ref!S:S,1))</f>
        <v>3M</v>
      </c>
      <c r="R22" s="568">
        <f>Repo_TD[[#This Row],[FIXED_RATE]]%*Repo_TD[[#This Row],[GLOBAL_AMOUNT]]/365/10^9</f>
        <v>7.1110142465753423E-2</v>
      </c>
      <c r="T22" s="38"/>
      <c r="U22" s="502">
        <v>46252</v>
      </c>
      <c r="V22">
        <v>18002</v>
      </c>
      <c r="W22" t="s">
        <v>2779</v>
      </c>
      <c r="X22" t="s">
        <v>3067</v>
      </c>
      <c r="Y22" t="s">
        <v>3068</v>
      </c>
      <c r="Z22" t="s">
        <v>2180</v>
      </c>
      <c r="AA22" t="s">
        <v>3294</v>
      </c>
      <c r="AB22" t="s">
        <v>822</v>
      </c>
      <c r="AC22" s="502">
        <v>46211</v>
      </c>
      <c r="AD22" s="502">
        <v>46211</v>
      </c>
      <c r="AE22" s="502">
        <v>46211</v>
      </c>
      <c r="AF22" s="502">
        <v>46274</v>
      </c>
      <c r="AG22" s="114">
        <v>350000000000</v>
      </c>
      <c r="AH22" s="114">
        <v>293997360803</v>
      </c>
      <c r="AI22" s="114">
        <v>296280874551</v>
      </c>
      <c r="AJ22">
        <v>4.5</v>
      </c>
      <c r="AK22" t="s">
        <v>2967</v>
      </c>
      <c r="AL22" s="72" t="str">
        <f>INDEX(Ref!U:U,MATCH(OMO[[#This Row],[MATURITY_DATE]]-RPT,Ref!S:S,1))</f>
        <v>1M</v>
      </c>
      <c r="AM22" s="72" t="str">
        <f>INDEX(Ref!U:U,MATCH(OMO[[#This Row],[MATURITY_DATE]]-OMO[[#This Row],[VALUE_DATE]],Ref!S:S,1))</f>
        <v>3M</v>
      </c>
      <c r="AN22" s="569">
        <f>OMO[[#This Row],[FIXED_RATE]]%*OMO[[#This Row],[GLOBAL_AMOUNT]]/365/10^9</f>
        <v>3.6246249962013699E-2</v>
      </c>
      <c r="BF22" s="72"/>
      <c r="BG22" s="72"/>
      <c r="BH22" s="38"/>
    </row>
    <row r="23" spans="2:60" x14ac:dyDescent="0.3">
      <c r="B23" s="502">
        <v>46252</v>
      </c>
      <c r="C23">
        <v>17981</v>
      </c>
      <c r="D23" t="s">
        <v>2497</v>
      </c>
      <c r="E23" t="s">
        <v>3067</v>
      </c>
      <c r="F23" t="s">
        <v>2176</v>
      </c>
      <c r="G23" t="s">
        <v>812</v>
      </c>
      <c r="H23" s="502">
        <v>46205</v>
      </c>
      <c r="I23" s="502">
        <v>46205</v>
      </c>
      <c r="J23" s="502">
        <v>46210</v>
      </c>
      <c r="K23" s="502">
        <v>46272</v>
      </c>
      <c r="L23" s="37">
        <v>500000000000</v>
      </c>
      <c r="M23" s="37">
        <v>407510000000</v>
      </c>
      <c r="N23" s="37">
        <v>410694160329</v>
      </c>
      <c r="O23">
        <v>4.5999999999999996</v>
      </c>
      <c r="P23" s="72" t="str">
        <f>INDEX(Ref!U:U,MATCH(Repo_TD[[#This Row],[MATURITY_DATE]]-RPT,Ref!S:S,1))</f>
        <v>3W</v>
      </c>
      <c r="Q23" s="72" t="str">
        <f>INDEX(Ref!U:U,MATCH(Repo_TD[[#This Row],[MATURITY_DATE]]-Repo_TD[[#This Row],[VALUE_DATE]],Ref!S:S,1))</f>
        <v>3M</v>
      </c>
      <c r="R23" s="568">
        <f>Repo_TD[[#This Row],[FIXED_RATE]]%*Repo_TD[[#This Row],[GLOBAL_AMOUNT]]/365/10^9</f>
        <v>5.1357424657534248E-2</v>
      </c>
      <c r="T23" s="38"/>
      <c r="U23" s="502">
        <v>46252</v>
      </c>
      <c r="V23">
        <v>18023</v>
      </c>
      <c r="W23" t="s">
        <v>3317</v>
      </c>
      <c r="X23" t="s">
        <v>3067</v>
      </c>
      <c r="Y23" t="s">
        <v>3068</v>
      </c>
      <c r="Z23" t="s">
        <v>2180</v>
      </c>
      <c r="AA23" t="s">
        <v>3294</v>
      </c>
      <c r="AB23" t="s">
        <v>822</v>
      </c>
      <c r="AC23" s="502">
        <v>46216</v>
      </c>
      <c r="AD23" s="502">
        <v>46216</v>
      </c>
      <c r="AE23" s="502">
        <v>46216</v>
      </c>
      <c r="AF23" s="502">
        <v>46279</v>
      </c>
      <c r="AG23" s="114">
        <v>500045200000</v>
      </c>
      <c r="AH23" s="114">
        <v>424266483270</v>
      </c>
      <c r="AI23" s="114">
        <v>427561813352</v>
      </c>
      <c r="AJ23">
        <v>4.5</v>
      </c>
      <c r="AK23" t="s">
        <v>2967</v>
      </c>
      <c r="AL23" s="72" t="str">
        <f>INDEX(Ref!U:U,MATCH(OMO[[#This Row],[MATURITY_DATE]]-RPT,Ref!S:S,1))</f>
        <v>1M</v>
      </c>
      <c r="AM23" s="72" t="str">
        <f>INDEX(Ref!U:U,MATCH(OMO[[#This Row],[MATURITY_DATE]]-OMO[[#This Row],[VALUE_DATE]],Ref!S:S,1))</f>
        <v>3M</v>
      </c>
      <c r="AN23" s="569">
        <f>OMO[[#This Row],[FIXED_RATE]]%*OMO[[#This Row],[GLOBAL_AMOUNT]]/365/10^9</f>
        <v>5.230682670452054E-2</v>
      </c>
      <c r="BF23" s="72"/>
      <c r="BG23" s="72"/>
      <c r="BH23" s="38"/>
    </row>
    <row r="24" spans="2:60" x14ac:dyDescent="0.3">
      <c r="B24" s="502">
        <v>46252</v>
      </c>
      <c r="C24">
        <v>17996</v>
      </c>
      <c r="D24" t="s">
        <v>2497</v>
      </c>
      <c r="E24" t="s">
        <v>3067</v>
      </c>
      <c r="F24" t="s">
        <v>2176</v>
      </c>
      <c r="G24" t="s">
        <v>812</v>
      </c>
      <c r="H24" s="502">
        <v>46210</v>
      </c>
      <c r="I24" s="502">
        <v>46210</v>
      </c>
      <c r="J24" s="502">
        <v>46212</v>
      </c>
      <c r="K24" s="502">
        <v>46274</v>
      </c>
      <c r="L24" s="37">
        <v>306000000000</v>
      </c>
      <c r="M24" s="37">
        <v>249460380000</v>
      </c>
      <c r="N24" s="37">
        <v>251409588229</v>
      </c>
      <c r="O24">
        <v>4.5999999999999996</v>
      </c>
      <c r="P24" s="72" t="str">
        <f>INDEX(Ref!U:U,MATCH(Repo_TD[[#This Row],[MATURITY_DATE]]-RPT,Ref!S:S,1))</f>
        <v>1M</v>
      </c>
      <c r="Q24" s="72" t="str">
        <f>INDEX(Ref!U:U,MATCH(Repo_TD[[#This Row],[MATURITY_DATE]]-Repo_TD[[#This Row],[VALUE_DATE]],Ref!S:S,1))</f>
        <v>3M</v>
      </c>
      <c r="R24" s="568">
        <f>Repo_TD[[#This Row],[FIXED_RATE]]%*Repo_TD[[#This Row],[GLOBAL_AMOUNT]]/365/10^9</f>
        <v>3.1438842410958907E-2</v>
      </c>
      <c r="T24" s="38"/>
      <c r="U24" s="502">
        <v>46252</v>
      </c>
      <c r="V24">
        <v>18029</v>
      </c>
      <c r="W24" t="s">
        <v>2380</v>
      </c>
      <c r="X24" t="s">
        <v>3067</v>
      </c>
      <c r="Y24" t="s">
        <v>3068</v>
      </c>
      <c r="Z24" t="s">
        <v>2180</v>
      </c>
      <c r="AA24" t="s">
        <v>3294</v>
      </c>
      <c r="AB24" t="s">
        <v>822</v>
      </c>
      <c r="AC24" s="502">
        <v>46217</v>
      </c>
      <c r="AD24" s="502">
        <v>46217</v>
      </c>
      <c r="AE24" s="502">
        <v>46217</v>
      </c>
      <c r="AF24" s="502">
        <v>46280</v>
      </c>
      <c r="AG24" s="114">
        <v>233511000000</v>
      </c>
      <c r="AH24" s="114">
        <v>218891425561</v>
      </c>
      <c r="AI24" s="114">
        <v>220591582250</v>
      </c>
      <c r="AJ24">
        <v>4.5</v>
      </c>
      <c r="AK24" t="s">
        <v>2967</v>
      </c>
      <c r="AL24" s="72" t="str">
        <f>INDEX(Ref!U:U,MATCH(OMO[[#This Row],[MATURITY_DATE]]-RPT,Ref!S:S,1))</f>
        <v>1M</v>
      </c>
      <c r="AM24" s="72" t="str">
        <f>INDEX(Ref!U:U,MATCH(OMO[[#This Row],[MATURITY_DATE]]-OMO[[#This Row],[VALUE_DATE]],Ref!S:S,1))</f>
        <v>3M</v>
      </c>
      <c r="AN24" s="569">
        <f>OMO[[#This Row],[FIXED_RATE]]%*OMO[[#This Row],[GLOBAL_AMOUNT]]/365/10^9</f>
        <v>2.6986614110260272E-2</v>
      </c>
      <c r="BF24" s="72"/>
      <c r="BG24" s="72"/>
      <c r="BH24" s="38"/>
    </row>
    <row r="25" spans="2:60" x14ac:dyDescent="0.3">
      <c r="B25" s="502">
        <v>46252</v>
      </c>
      <c r="C25">
        <v>18107</v>
      </c>
      <c r="D25" t="s">
        <v>702</v>
      </c>
      <c r="E25" t="s">
        <v>3067</v>
      </c>
      <c r="F25" t="s">
        <v>2176</v>
      </c>
      <c r="G25" t="s">
        <v>812</v>
      </c>
      <c r="H25" s="502">
        <v>46244</v>
      </c>
      <c r="I25" s="502">
        <v>46244</v>
      </c>
      <c r="J25" s="502">
        <v>46246</v>
      </c>
      <c r="K25" s="502">
        <v>46338</v>
      </c>
      <c r="L25" s="37">
        <v>50000000000</v>
      </c>
      <c r="M25" s="37">
        <v>37008000000</v>
      </c>
      <c r="N25" s="37">
        <v>37427761973</v>
      </c>
      <c r="O25">
        <v>4.5</v>
      </c>
      <c r="P25" s="72" t="str">
        <f>INDEX(Ref!U:U,MATCH(Repo_TD[[#This Row],[MATURITY_DATE]]-RPT,Ref!S:S,1))</f>
        <v>3M</v>
      </c>
      <c r="Q25" s="72" t="str">
        <f>INDEX(Ref!U:U,MATCH(Repo_TD[[#This Row],[MATURITY_DATE]]-Repo_TD[[#This Row],[VALUE_DATE]],Ref!S:S,1))</f>
        <v>6M</v>
      </c>
      <c r="R25" s="568">
        <f>Repo_TD[[#This Row],[FIXED_RATE]]%*Repo_TD[[#This Row],[GLOBAL_AMOUNT]]/365/10^9</f>
        <v>4.5626301369863015E-3</v>
      </c>
      <c r="T25" s="38"/>
      <c r="U25" s="502">
        <v>46252</v>
      </c>
      <c r="V25">
        <v>18038</v>
      </c>
      <c r="W25" t="s">
        <v>2834</v>
      </c>
      <c r="X25" t="s">
        <v>3067</v>
      </c>
      <c r="Y25" t="s">
        <v>3068</v>
      </c>
      <c r="Z25" t="s">
        <v>2180</v>
      </c>
      <c r="AA25" t="s">
        <v>3294</v>
      </c>
      <c r="AB25" t="s">
        <v>822</v>
      </c>
      <c r="AC25" s="502">
        <v>46218</v>
      </c>
      <c r="AD25" s="502">
        <v>46218</v>
      </c>
      <c r="AE25" s="502">
        <v>46218</v>
      </c>
      <c r="AF25" s="502">
        <v>46281</v>
      </c>
      <c r="AG25" s="114">
        <v>250000000000</v>
      </c>
      <c r="AH25" s="114">
        <v>198505910039</v>
      </c>
      <c r="AI25" s="114">
        <v>200047729916</v>
      </c>
      <c r="AJ25">
        <v>4.5</v>
      </c>
      <c r="AK25" t="s">
        <v>2967</v>
      </c>
      <c r="AL25" s="72" t="str">
        <f>INDEX(Ref!U:U,MATCH(OMO[[#This Row],[MATURITY_DATE]]-RPT,Ref!S:S,1))</f>
        <v>1M</v>
      </c>
      <c r="AM25" s="72" t="str">
        <f>INDEX(Ref!U:U,MATCH(OMO[[#This Row],[MATURITY_DATE]]-OMO[[#This Row],[VALUE_DATE]],Ref!S:S,1))</f>
        <v>3M</v>
      </c>
      <c r="AN25" s="569">
        <f>OMO[[#This Row],[FIXED_RATE]]%*OMO[[#This Row],[GLOBAL_AMOUNT]]/365/10^9</f>
        <v>2.4473331374671232E-2</v>
      </c>
      <c r="BF25" s="72"/>
      <c r="BG25" s="72"/>
      <c r="BH25" s="38"/>
    </row>
    <row r="26" spans="2:60" x14ac:dyDescent="0.3">
      <c r="B26" s="502">
        <v>46252</v>
      </c>
      <c r="C26">
        <v>18085</v>
      </c>
      <c r="D26" t="s">
        <v>706</v>
      </c>
      <c r="E26" t="s">
        <v>3067</v>
      </c>
      <c r="F26" t="s">
        <v>2176</v>
      </c>
      <c r="G26" t="s">
        <v>812</v>
      </c>
      <c r="H26" s="502">
        <v>46232</v>
      </c>
      <c r="I26" s="502">
        <v>46232</v>
      </c>
      <c r="J26" s="502">
        <v>46234</v>
      </c>
      <c r="K26" s="502">
        <v>46322</v>
      </c>
      <c r="L26" s="37">
        <v>50000000000</v>
      </c>
      <c r="M26" s="37">
        <v>40256000000</v>
      </c>
      <c r="N26" s="37">
        <v>40702455584</v>
      </c>
      <c r="O26">
        <v>4.5999999999999996</v>
      </c>
      <c r="P26" s="72" t="str">
        <f>INDEX(Ref!U:U,MATCH(Repo_TD[[#This Row],[MATURITY_DATE]]-RPT,Ref!S:S,1))</f>
        <v>3M</v>
      </c>
      <c r="Q26" s="72" t="str">
        <f>INDEX(Ref!U:U,MATCH(Repo_TD[[#This Row],[MATURITY_DATE]]-Repo_TD[[#This Row],[VALUE_DATE]],Ref!S:S,1))</f>
        <v>3M</v>
      </c>
      <c r="R26" s="568">
        <f>Repo_TD[[#This Row],[FIXED_RATE]]%*Repo_TD[[#This Row],[GLOBAL_AMOUNT]]/365/10^9</f>
        <v>5.0733589041095884E-3</v>
      </c>
      <c r="T26" s="38"/>
      <c r="U26" s="502">
        <v>46252</v>
      </c>
      <c r="V26">
        <v>18037</v>
      </c>
      <c r="W26" t="s">
        <v>3051</v>
      </c>
      <c r="X26" t="s">
        <v>3067</v>
      </c>
      <c r="Y26" t="s">
        <v>3068</v>
      </c>
      <c r="Z26" t="s">
        <v>2180</v>
      </c>
      <c r="AA26" t="s">
        <v>3294</v>
      </c>
      <c r="AB26" t="s">
        <v>822</v>
      </c>
      <c r="AC26" s="502">
        <v>46218</v>
      </c>
      <c r="AD26" s="502">
        <v>46218</v>
      </c>
      <c r="AE26" s="502">
        <v>46218</v>
      </c>
      <c r="AF26" s="502">
        <v>46281</v>
      </c>
      <c r="AG26" s="114">
        <v>19424000000</v>
      </c>
      <c r="AH26" s="114">
        <v>15704372286</v>
      </c>
      <c r="AI26" s="114">
        <v>15826350082</v>
      </c>
      <c r="AJ26">
        <v>4.5</v>
      </c>
      <c r="AK26" t="s">
        <v>2967</v>
      </c>
      <c r="AL26" s="72" t="str">
        <f>INDEX(Ref!U:U,MATCH(OMO[[#This Row],[MATURITY_DATE]]-RPT,Ref!S:S,1))</f>
        <v>1M</v>
      </c>
      <c r="AM26" s="72" t="str">
        <f>INDEX(Ref!U:U,MATCH(OMO[[#This Row],[MATURITY_DATE]]-OMO[[#This Row],[VALUE_DATE]],Ref!S:S,1))</f>
        <v>3M</v>
      </c>
      <c r="AN26" s="569">
        <f>OMO[[#This Row],[FIXED_RATE]]%*OMO[[#This Row],[GLOBAL_AMOUNT]]/365/10^9</f>
        <v>1.9361554873150685E-3</v>
      </c>
      <c r="BF26" s="72"/>
      <c r="BG26" s="72"/>
      <c r="BH26" s="38"/>
    </row>
    <row r="27" spans="2:60" x14ac:dyDescent="0.3">
      <c r="B27" s="502">
        <v>46252</v>
      </c>
      <c r="C27">
        <v>18095</v>
      </c>
      <c r="D27" t="s">
        <v>2499</v>
      </c>
      <c r="E27" t="s">
        <v>3067</v>
      </c>
      <c r="F27" t="s">
        <v>2176</v>
      </c>
      <c r="G27" t="s">
        <v>812</v>
      </c>
      <c r="H27" s="502">
        <v>46239</v>
      </c>
      <c r="I27" s="502">
        <v>46239</v>
      </c>
      <c r="J27" s="502">
        <v>46241</v>
      </c>
      <c r="K27" s="502">
        <v>46332</v>
      </c>
      <c r="L27" s="37">
        <v>200000000000</v>
      </c>
      <c r="M27" s="37">
        <v>195914000000</v>
      </c>
      <c r="N27" s="37">
        <v>198111994055</v>
      </c>
      <c r="O27">
        <v>4.5</v>
      </c>
      <c r="P27" s="72" t="str">
        <f>INDEX(Ref!U:U,MATCH(Repo_TD[[#This Row],[MATURITY_DATE]]-RPT,Ref!S:S,1))</f>
        <v>3M</v>
      </c>
      <c r="Q27" s="72" t="str">
        <f>INDEX(Ref!U:U,MATCH(Repo_TD[[#This Row],[MATURITY_DATE]]-Repo_TD[[#This Row],[VALUE_DATE]],Ref!S:S,1))</f>
        <v>3M</v>
      </c>
      <c r="R27" s="568">
        <f>Repo_TD[[#This Row],[FIXED_RATE]]%*Repo_TD[[#This Row],[GLOBAL_AMOUNT]]/365/10^9</f>
        <v>2.4153780821917808E-2</v>
      </c>
      <c r="T27" s="38"/>
      <c r="U27" s="502">
        <v>46252</v>
      </c>
      <c r="V27">
        <v>18048</v>
      </c>
      <c r="W27" t="s">
        <v>2381</v>
      </c>
      <c r="X27" t="s">
        <v>3067</v>
      </c>
      <c r="Y27" t="s">
        <v>3068</v>
      </c>
      <c r="Z27" t="s">
        <v>2180</v>
      </c>
      <c r="AA27" t="s">
        <v>3294</v>
      </c>
      <c r="AB27" t="s">
        <v>822</v>
      </c>
      <c r="AC27" s="502">
        <v>46219</v>
      </c>
      <c r="AD27" s="502">
        <v>46219</v>
      </c>
      <c r="AE27" s="502">
        <v>46219</v>
      </c>
      <c r="AF27" s="502">
        <v>46282</v>
      </c>
      <c r="AG27" s="114">
        <v>26861500000</v>
      </c>
      <c r="AH27" s="114">
        <v>24736615973</v>
      </c>
      <c r="AI27" s="114">
        <v>24928748319</v>
      </c>
      <c r="AJ27">
        <v>4.5</v>
      </c>
      <c r="AK27" t="s">
        <v>2967</v>
      </c>
      <c r="AL27" s="72" t="str">
        <f>INDEX(Ref!U:U,MATCH(OMO[[#This Row],[MATURITY_DATE]]-RPT,Ref!S:S,1))</f>
        <v>1M</v>
      </c>
      <c r="AM27" s="72" t="str">
        <f>INDEX(Ref!U:U,MATCH(OMO[[#This Row],[MATURITY_DATE]]-OMO[[#This Row],[VALUE_DATE]],Ref!S:S,1))</f>
        <v>3M</v>
      </c>
      <c r="AN27" s="569">
        <f>OMO[[#This Row],[FIXED_RATE]]%*OMO[[#This Row],[GLOBAL_AMOUNT]]/365/10^9</f>
        <v>3.0497197774931504E-3</v>
      </c>
      <c r="BF27" s="72"/>
      <c r="BG27" s="72"/>
      <c r="BH27" s="38"/>
    </row>
    <row r="28" spans="2:60" x14ac:dyDescent="0.3">
      <c r="B28" s="502">
        <v>46252</v>
      </c>
      <c r="C28">
        <v>18016</v>
      </c>
      <c r="D28" t="s">
        <v>2381</v>
      </c>
      <c r="E28" t="s">
        <v>3067</v>
      </c>
      <c r="F28" t="s">
        <v>2176</v>
      </c>
      <c r="G28" t="s">
        <v>812</v>
      </c>
      <c r="H28" s="502">
        <v>46216</v>
      </c>
      <c r="I28" s="502">
        <v>46216</v>
      </c>
      <c r="J28" s="502">
        <v>46218</v>
      </c>
      <c r="K28" s="502">
        <v>46283</v>
      </c>
      <c r="L28" s="37">
        <v>300000000000</v>
      </c>
      <c r="M28" s="37">
        <v>292494000000</v>
      </c>
      <c r="N28" s="37">
        <v>294890046740</v>
      </c>
      <c r="O28">
        <v>4.5999999999999996</v>
      </c>
      <c r="P28" s="72" t="str">
        <f>INDEX(Ref!U:U,MATCH(Repo_TD[[#This Row],[MATURITY_DATE]]-RPT,Ref!S:S,1))</f>
        <v>2M</v>
      </c>
      <c r="Q28" s="72" t="str">
        <f>INDEX(Ref!U:U,MATCH(Repo_TD[[#This Row],[MATURITY_DATE]]-Repo_TD[[#This Row],[VALUE_DATE]],Ref!S:S,1))</f>
        <v>3M</v>
      </c>
      <c r="R28" s="568">
        <f>Repo_TD[[#This Row],[FIXED_RATE]]%*Repo_TD[[#This Row],[GLOBAL_AMOUNT]]/365/10^9</f>
        <v>3.686225753424658E-2</v>
      </c>
      <c r="T28" s="38"/>
      <c r="U28" s="502">
        <v>46252</v>
      </c>
      <c r="V28">
        <v>18045</v>
      </c>
      <c r="W28" t="s">
        <v>1204</v>
      </c>
      <c r="X28" t="s">
        <v>3067</v>
      </c>
      <c r="Y28" t="s">
        <v>3068</v>
      </c>
      <c r="Z28" t="s">
        <v>2180</v>
      </c>
      <c r="AA28" t="s">
        <v>3294</v>
      </c>
      <c r="AB28" t="s">
        <v>822</v>
      </c>
      <c r="AC28" s="502">
        <v>46219</v>
      </c>
      <c r="AD28" s="502">
        <v>46219</v>
      </c>
      <c r="AE28" s="502">
        <v>46219</v>
      </c>
      <c r="AF28" s="502">
        <v>46282</v>
      </c>
      <c r="AG28" s="114">
        <v>50000000000</v>
      </c>
      <c r="AH28" s="114">
        <v>48773659373</v>
      </c>
      <c r="AI28" s="114">
        <v>49152490399</v>
      </c>
      <c r="AJ28">
        <v>4.5</v>
      </c>
      <c r="AK28" t="s">
        <v>2967</v>
      </c>
      <c r="AL28" s="72" t="str">
        <f>INDEX(Ref!U:U,MATCH(OMO[[#This Row],[MATURITY_DATE]]-RPT,Ref!S:S,1))</f>
        <v>1M</v>
      </c>
      <c r="AM28" s="72" t="str">
        <f>INDEX(Ref!U:U,MATCH(OMO[[#This Row],[MATURITY_DATE]]-OMO[[#This Row],[VALUE_DATE]],Ref!S:S,1))</f>
        <v>3M</v>
      </c>
      <c r="AN28" s="569">
        <f>OMO[[#This Row],[FIXED_RATE]]%*OMO[[#This Row],[GLOBAL_AMOUNT]]/365/10^9</f>
        <v>6.0131908816027386E-3</v>
      </c>
      <c r="BF28" s="72"/>
      <c r="BG28" s="72"/>
      <c r="BH28" s="38"/>
    </row>
    <row r="29" spans="2:60" x14ac:dyDescent="0.3">
      <c r="B29" s="502">
        <v>46252</v>
      </c>
      <c r="C29">
        <v>18025</v>
      </c>
      <c r="D29" t="s">
        <v>2496</v>
      </c>
      <c r="E29" t="s">
        <v>3067</v>
      </c>
      <c r="F29" t="s">
        <v>2176</v>
      </c>
      <c r="G29" t="s">
        <v>812</v>
      </c>
      <c r="H29" s="502">
        <v>46217</v>
      </c>
      <c r="I29" s="502">
        <v>46217</v>
      </c>
      <c r="J29" s="502">
        <v>46219</v>
      </c>
      <c r="K29" s="502">
        <v>46283</v>
      </c>
      <c r="L29" s="37">
        <v>350000000000</v>
      </c>
      <c r="M29" s="37">
        <v>299012000000</v>
      </c>
      <c r="N29" s="37">
        <v>301423757063</v>
      </c>
      <c r="O29">
        <v>4.5999999999999996</v>
      </c>
      <c r="P29" s="72" t="str">
        <f>INDEX(Ref!U:U,MATCH(Repo_TD[[#This Row],[MATURITY_DATE]]-RPT,Ref!S:S,1))</f>
        <v>2M</v>
      </c>
      <c r="Q29" s="72" t="str">
        <f>INDEX(Ref!U:U,MATCH(Repo_TD[[#This Row],[MATURITY_DATE]]-Repo_TD[[#This Row],[VALUE_DATE]],Ref!S:S,1))</f>
        <v>3M</v>
      </c>
      <c r="R29" s="568">
        <f>Repo_TD[[#This Row],[FIXED_RATE]]%*Repo_TD[[#This Row],[GLOBAL_AMOUNT]]/365/10^9</f>
        <v>3.7683704109589038E-2</v>
      </c>
      <c r="T29" s="38"/>
      <c r="U29" s="502">
        <v>46252</v>
      </c>
      <c r="V29">
        <v>18047</v>
      </c>
      <c r="W29" t="s">
        <v>2831</v>
      </c>
      <c r="X29" t="s">
        <v>3067</v>
      </c>
      <c r="Y29" t="s">
        <v>3068</v>
      </c>
      <c r="Z29" t="s">
        <v>2180</v>
      </c>
      <c r="AA29" t="s">
        <v>3294</v>
      </c>
      <c r="AB29" t="s">
        <v>822</v>
      </c>
      <c r="AC29" s="502">
        <v>46219</v>
      </c>
      <c r="AD29" s="502">
        <v>46219</v>
      </c>
      <c r="AE29" s="502">
        <v>46219</v>
      </c>
      <c r="AF29" s="502">
        <v>46282</v>
      </c>
      <c r="AG29" s="114">
        <v>159302200000</v>
      </c>
      <c r="AH29" s="114">
        <v>126718728700</v>
      </c>
      <c r="AI29" s="114">
        <v>127702968689</v>
      </c>
      <c r="AJ29">
        <v>4.5</v>
      </c>
      <c r="AK29" t="s">
        <v>2967</v>
      </c>
      <c r="AL29" s="72" t="str">
        <f>INDEX(Ref!U:U,MATCH(OMO[[#This Row],[MATURITY_DATE]]-RPT,Ref!S:S,1))</f>
        <v>1M</v>
      </c>
      <c r="AM29" s="72" t="str">
        <f>INDEX(Ref!U:U,MATCH(OMO[[#This Row],[MATURITY_DATE]]-OMO[[#This Row],[VALUE_DATE]],Ref!S:S,1))</f>
        <v>3M</v>
      </c>
      <c r="AN29" s="569">
        <f>OMO[[#This Row],[FIXED_RATE]]%*OMO[[#This Row],[GLOBAL_AMOUNT]]/365/10^9</f>
        <v>1.5622856963013699E-2</v>
      </c>
      <c r="BF29" s="72"/>
      <c r="BG29" s="72"/>
      <c r="BH29" s="38"/>
    </row>
    <row r="30" spans="2:60" x14ac:dyDescent="0.3">
      <c r="B30" s="502">
        <v>46252</v>
      </c>
      <c r="C30">
        <v>18036</v>
      </c>
      <c r="D30" t="s">
        <v>598</v>
      </c>
      <c r="E30" t="s">
        <v>3067</v>
      </c>
      <c r="F30" t="s">
        <v>2176</v>
      </c>
      <c r="G30" t="s">
        <v>812</v>
      </c>
      <c r="H30" s="502">
        <v>46218</v>
      </c>
      <c r="I30" s="502">
        <v>46218</v>
      </c>
      <c r="J30" s="502">
        <v>46220</v>
      </c>
      <c r="K30" s="502">
        <v>46283</v>
      </c>
      <c r="L30" s="37">
        <v>210000000000</v>
      </c>
      <c r="M30" s="37">
        <v>229131000000</v>
      </c>
      <c r="N30" s="37">
        <v>230950237364</v>
      </c>
      <c r="O30">
        <v>4.5999999999999996</v>
      </c>
      <c r="P30" s="72" t="str">
        <f>INDEX(Ref!U:U,MATCH(Repo_TD[[#This Row],[MATURITY_DATE]]-RPT,Ref!S:S,1))</f>
        <v>2M</v>
      </c>
      <c r="Q30" s="72" t="str">
        <f>INDEX(Ref!U:U,MATCH(Repo_TD[[#This Row],[MATURITY_DATE]]-Repo_TD[[#This Row],[VALUE_DATE]],Ref!S:S,1))</f>
        <v>3M</v>
      </c>
      <c r="R30" s="568">
        <f>Repo_TD[[#This Row],[FIXED_RATE]]%*Repo_TD[[#This Row],[GLOBAL_AMOUNT]]/365/10^9</f>
        <v>2.8876783561643835E-2</v>
      </c>
      <c r="T30" s="38"/>
      <c r="U30" s="502">
        <v>46252</v>
      </c>
      <c r="V30">
        <v>18046</v>
      </c>
      <c r="W30" t="s">
        <v>2836</v>
      </c>
      <c r="X30" t="s">
        <v>3067</v>
      </c>
      <c r="Y30" t="s">
        <v>3068</v>
      </c>
      <c r="Z30" t="s">
        <v>2180</v>
      </c>
      <c r="AA30" t="s">
        <v>3294</v>
      </c>
      <c r="AB30" t="s">
        <v>822</v>
      </c>
      <c r="AC30" s="502">
        <v>46219</v>
      </c>
      <c r="AD30" s="502">
        <v>46219</v>
      </c>
      <c r="AE30" s="502">
        <v>46219</v>
      </c>
      <c r="AF30" s="502">
        <v>46282</v>
      </c>
      <c r="AG30" s="114">
        <v>299784400000</v>
      </c>
      <c r="AH30" s="114">
        <v>237663018157</v>
      </c>
      <c r="AI30" s="114">
        <v>239508976120</v>
      </c>
      <c r="AJ30">
        <v>4.5</v>
      </c>
      <c r="AK30" t="s">
        <v>2967</v>
      </c>
      <c r="AL30" s="72" t="str">
        <f>INDEX(Ref!U:U,MATCH(OMO[[#This Row],[MATURITY_DATE]]-RPT,Ref!S:S,1))</f>
        <v>1M</v>
      </c>
      <c r="AM30" s="72" t="str">
        <f>INDEX(Ref!U:U,MATCH(OMO[[#This Row],[MATURITY_DATE]]-OMO[[#This Row],[VALUE_DATE]],Ref!S:S,1))</f>
        <v>3M</v>
      </c>
      <c r="AN30" s="569">
        <f>OMO[[#This Row],[FIXED_RATE]]%*OMO[[#This Row],[GLOBAL_AMOUNT]]/365/10^9</f>
        <v>2.9300920046753425E-2</v>
      </c>
      <c r="BF30" s="72"/>
      <c r="BG30" s="72"/>
      <c r="BH30" s="38"/>
    </row>
    <row r="31" spans="2:60" x14ac:dyDescent="0.3">
      <c r="B31" s="502">
        <v>46252</v>
      </c>
      <c r="C31">
        <v>18022</v>
      </c>
      <c r="D31" t="s">
        <v>598</v>
      </c>
      <c r="E31" t="s">
        <v>3067</v>
      </c>
      <c r="F31" t="s">
        <v>2176</v>
      </c>
      <c r="G31" t="s">
        <v>812</v>
      </c>
      <c r="H31" s="502">
        <v>46216</v>
      </c>
      <c r="I31" s="502">
        <v>46216</v>
      </c>
      <c r="J31" s="502">
        <v>46218</v>
      </c>
      <c r="K31" s="502">
        <v>46283</v>
      </c>
      <c r="L31" s="37">
        <v>90000000000</v>
      </c>
      <c r="M31" s="37">
        <v>98179200000</v>
      </c>
      <c r="N31" s="37">
        <v>98983462488</v>
      </c>
      <c r="O31">
        <v>4.5999999999999996</v>
      </c>
      <c r="P31" s="72" t="str">
        <f>INDEX(Ref!U:U,MATCH(Repo_TD[[#This Row],[MATURITY_DATE]]-RPT,Ref!S:S,1))</f>
        <v>2M</v>
      </c>
      <c r="Q31" s="72" t="str">
        <f>INDEX(Ref!U:U,MATCH(Repo_TD[[#This Row],[MATURITY_DATE]]-Repo_TD[[#This Row],[VALUE_DATE]],Ref!S:S,1))</f>
        <v>3M</v>
      </c>
      <c r="R31" s="568">
        <f>Repo_TD[[#This Row],[FIXED_RATE]]%*Repo_TD[[#This Row],[GLOBAL_AMOUNT]]/365/10^9</f>
        <v>1.237326904109589E-2</v>
      </c>
      <c r="T31" s="38"/>
      <c r="U31" s="502">
        <v>46252</v>
      </c>
      <c r="V31">
        <v>18063</v>
      </c>
      <c r="W31" t="s">
        <v>636</v>
      </c>
      <c r="X31" t="s">
        <v>3067</v>
      </c>
      <c r="Y31" t="s">
        <v>3068</v>
      </c>
      <c r="Z31" t="s">
        <v>2180</v>
      </c>
      <c r="AA31" t="s">
        <v>3294</v>
      </c>
      <c r="AB31" t="s">
        <v>822</v>
      </c>
      <c r="AC31" s="502">
        <v>46220</v>
      </c>
      <c r="AD31" s="502">
        <v>46220</v>
      </c>
      <c r="AE31" s="502">
        <v>46220</v>
      </c>
      <c r="AF31" s="502">
        <v>46283</v>
      </c>
      <c r="AG31" s="114">
        <v>52363300000</v>
      </c>
      <c r="AH31" s="114">
        <v>45720586028</v>
      </c>
      <c r="AI31" s="114">
        <v>46075703456</v>
      </c>
      <c r="AJ31">
        <v>4.5</v>
      </c>
      <c r="AK31" t="s">
        <v>2967</v>
      </c>
      <c r="AL31" s="72" t="str">
        <f>INDEX(Ref!U:U,MATCH(OMO[[#This Row],[MATURITY_DATE]]-RPT,Ref!S:S,1))</f>
        <v>2M</v>
      </c>
      <c r="AM31" s="72" t="str">
        <f>INDEX(Ref!U:U,MATCH(OMO[[#This Row],[MATURITY_DATE]]-OMO[[#This Row],[VALUE_DATE]],Ref!S:S,1))</f>
        <v>3M</v>
      </c>
      <c r="AN31" s="569">
        <f>OMO[[#This Row],[FIXED_RATE]]%*OMO[[#This Row],[GLOBAL_AMOUNT]]/365/10^9</f>
        <v>5.6367845787945207E-3</v>
      </c>
      <c r="BF31" s="72"/>
      <c r="BG31" s="72"/>
      <c r="BH31" s="38"/>
    </row>
    <row r="32" spans="2:60" x14ac:dyDescent="0.3">
      <c r="B32" s="502">
        <v>46252</v>
      </c>
      <c r="C32">
        <v>17997</v>
      </c>
      <c r="D32" t="s">
        <v>724</v>
      </c>
      <c r="E32" t="s">
        <v>3067</v>
      </c>
      <c r="F32" t="s">
        <v>2176</v>
      </c>
      <c r="G32" t="s">
        <v>812</v>
      </c>
      <c r="H32" s="502">
        <v>46210</v>
      </c>
      <c r="I32" s="502">
        <v>46210</v>
      </c>
      <c r="J32" s="502">
        <v>46212</v>
      </c>
      <c r="K32" s="502">
        <v>46274</v>
      </c>
      <c r="L32" s="37">
        <v>200000000000</v>
      </c>
      <c r="M32" s="37">
        <v>246534000000</v>
      </c>
      <c r="N32" s="37">
        <v>248460342378</v>
      </c>
      <c r="O32">
        <v>4.5999999999999996</v>
      </c>
      <c r="P32" s="72" t="str">
        <f>INDEX(Ref!U:U,MATCH(Repo_TD[[#This Row],[MATURITY_DATE]]-RPT,Ref!S:S,1))</f>
        <v>1M</v>
      </c>
      <c r="Q32" s="72" t="str">
        <f>INDEX(Ref!U:U,MATCH(Repo_TD[[#This Row],[MATURITY_DATE]]-Repo_TD[[#This Row],[VALUE_DATE]],Ref!S:S,1))</f>
        <v>3M</v>
      </c>
      <c r="R32" s="568">
        <f>Repo_TD[[#This Row],[FIXED_RATE]]%*Repo_TD[[#This Row],[GLOBAL_AMOUNT]]/365/10^9</f>
        <v>3.1070038356164384E-2</v>
      </c>
      <c r="T32" s="38"/>
      <c r="U32" s="502">
        <v>46252</v>
      </c>
      <c r="V32">
        <v>18057</v>
      </c>
      <c r="W32" t="s">
        <v>2380</v>
      </c>
      <c r="X32" t="s">
        <v>3067</v>
      </c>
      <c r="Y32" t="s">
        <v>3068</v>
      </c>
      <c r="Z32" t="s">
        <v>2180</v>
      </c>
      <c r="AA32" t="s">
        <v>3294</v>
      </c>
      <c r="AB32" t="s">
        <v>822</v>
      </c>
      <c r="AC32" s="502">
        <v>46220</v>
      </c>
      <c r="AD32" s="502">
        <v>46220</v>
      </c>
      <c r="AE32" s="502">
        <v>46220</v>
      </c>
      <c r="AF32" s="502">
        <v>46283</v>
      </c>
      <c r="AG32" s="114">
        <v>118325900000</v>
      </c>
      <c r="AH32" s="114">
        <v>110957929120</v>
      </c>
      <c r="AI32" s="114">
        <v>111819753035</v>
      </c>
      <c r="AJ32">
        <v>4.5</v>
      </c>
      <c r="AK32" t="s">
        <v>2967</v>
      </c>
      <c r="AL32" s="72" t="str">
        <f>INDEX(Ref!U:U,MATCH(OMO[[#This Row],[MATURITY_DATE]]-RPT,Ref!S:S,1))</f>
        <v>2M</v>
      </c>
      <c r="AM32" s="72" t="str">
        <f>INDEX(Ref!U:U,MATCH(OMO[[#This Row],[MATURITY_DATE]]-OMO[[#This Row],[VALUE_DATE]],Ref!S:S,1))</f>
        <v>3M</v>
      </c>
      <c r="AN32" s="569">
        <f>OMO[[#This Row],[FIXED_RATE]]%*OMO[[#This Row],[GLOBAL_AMOUNT]]/365/10^9</f>
        <v>1.3679744686027397E-2</v>
      </c>
      <c r="BF32" s="72"/>
      <c r="BG32" s="72"/>
      <c r="BH32" s="38"/>
    </row>
    <row r="33" spans="2:60" x14ac:dyDescent="0.3">
      <c r="B33" s="502">
        <v>46252</v>
      </c>
      <c r="C33">
        <v>17999</v>
      </c>
      <c r="D33" t="s">
        <v>616</v>
      </c>
      <c r="E33" t="s">
        <v>3067</v>
      </c>
      <c r="F33" t="s">
        <v>2176</v>
      </c>
      <c r="G33" t="s">
        <v>812</v>
      </c>
      <c r="H33" s="502">
        <v>46210</v>
      </c>
      <c r="I33" s="502">
        <v>46210</v>
      </c>
      <c r="J33" s="502">
        <v>46212</v>
      </c>
      <c r="K33" s="502">
        <v>46274</v>
      </c>
      <c r="L33" s="37">
        <v>655000000000</v>
      </c>
      <c r="M33" s="37">
        <v>728680950000</v>
      </c>
      <c r="N33" s="37">
        <v>734374643341</v>
      </c>
      <c r="O33">
        <v>4.5999999999999996</v>
      </c>
      <c r="P33" s="72" t="str">
        <f>INDEX(Ref!U:U,MATCH(Repo_TD[[#This Row],[MATURITY_DATE]]-RPT,Ref!S:S,1))</f>
        <v>1M</v>
      </c>
      <c r="Q33" s="72" t="str">
        <f>INDEX(Ref!U:U,MATCH(Repo_TD[[#This Row],[MATURITY_DATE]]-Repo_TD[[#This Row],[VALUE_DATE]],Ref!S:S,1))</f>
        <v>3M</v>
      </c>
      <c r="R33" s="568">
        <f>Repo_TD[[#This Row],[FIXED_RATE]]%*Repo_TD[[#This Row],[GLOBAL_AMOUNT]]/365/10^9</f>
        <v>9.1833763561643841E-2</v>
      </c>
      <c r="T33" s="38"/>
      <c r="U33" s="502">
        <v>46252</v>
      </c>
      <c r="V33">
        <v>18062</v>
      </c>
      <c r="W33" t="s">
        <v>638</v>
      </c>
      <c r="X33" t="s">
        <v>3067</v>
      </c>
      <c r="Y33" t="s">
        <v>3068</v>
      </c>
      <c r="Z33" t="s">
        <v>2180</v>
      </c>
      <c r="AA33" t="s">
        <v>3294</v>
      </c>
      <c r="AB33" t="s">
        <v>822</v>
      </c>
      <c r="AC33" s="502">
        <v>46220</v>
      </c>
      <c r="AD33" s="502">
        <v>46220</v>
      </c>
      <c r="AE33" s="502">
        <v>46220</v>
      </c>
      <c r="AF33" s="502">
        <v>46283</v>
      </c>
      <c r="AG33" s="114">
        <v>50000000000</v>
      </c>
      <c r="AH33" s="114">
        <v>43281603650</v>
      </c>
      <c r="AI33" s="114">
        <v>43617777202</v>
      </c>
      <c r="AJ33">
        <v>4.5</v>
      </c>
      <c r="AK33" t="s">
        <v>2967</v>
      </c>
      <c r="AL33" s="72" t="str">
        <f>INDEX(Ref!U:U,MATCH(OMO[[#This Row],[MATURITY_DATE]]-RPT,Ref!S:S,1))</f>
        <v>2M</v>
      </c>
      <c r="AM33" s="72" t="str">
        <f>INDEX(Ref!U:U,MATCH(OMO[[#This Row],[MATURITY_DATE]]-OMO[[#This Row],[VALUE_DATE]],Ref!S:S,1))</f>
        <v>3M</v>
      </c>
      <c r="AN33" s="569">
        <f>OMO[[#This Row],[FIXED_RATE]]%*OMO[[#This Row],[GLOBAL_AMOUNT]]/365/10^9</f>
        <v>5.3360881212328763E-3</v>
      </c>
      <c r="BF33" s="72"/>
      <c r="BG33" s="72"/>
      <c r="BH33" s="38"/>
    </row>
    <row r="34" spans="2:60" x14ac:dyDescent="0.3">
      <c r="B34" s="502">
        <v>46252</v>
      </c>
      <c r="C34">
        <v>18096</v>
      </c>
      <c r="D34" t="s">
        <v>660</v>
      </c>
      <c r="E34" t="s">
        <v>3067</v>
      </c>
      <c r="F34" t="s">
        <v>2176</v>
      </c>
      <c r="G34" t="s">
        <v>812</v>
      </c>
      <c r="H34" s="502">
        <v>46239</v>
      </c>
      <c r="I34" s="502">
        <v>46239</v>
      </c>
      <c r="J34" s="502">
        <v>46244</v>
      </c>
      <c r="K34" s="502">
        <v>46336</v>
      </c>
      <c r="L34" s="37">
        <v>360000000000</v>
      </c>
      <c r="M34" s="37">
        <v>359478000000</v>
      </c>
      <c r="N34" s="37">
        <v>363555366904</v>
      </c>
      <c r="O34">
        <v>4.5</v>
      </c>
      <c r="P34" s="72" t="str">
        <f>INDEX(Ref!U:U,MATCH(Repo_TD[[#This Row],[MATURITY_DATE]]-RPT,Ref!S:S,1))</f>
        <v>3M</v>
      </c>
      <c r="Q34" s="72" t="str">
        <f>INDEX(Ref!U:U,MATCH(Repo_TD[[#This Row],[MATURITY_DATE]]-Repo_TD[[#This Row],[VALUE_DATE]],Ref!S:S,1))</f>
        <v>6M</v>
      </c>
      <c r="R34" s="568">
        <f>Repo_TD[[#This Row],[FIXED_RATE]]%*Repo_TD[[#This Row],[GLOBAL_AMOUNT]]/365/10^9</f>
        <v>4.4319205479452048E-2</v>
      </c>
      <c r="T34" s="38"/>
      <c r="U34" s="502">
        <v>46252</v>
      </c>
      <c r="V34">
        <v>18059</v>
      </c>
      <c r="W34" t="s">
        <v>593</v>
      </c>
      <c r="X34" t="s">
        <v>3067</v>
      </c>
      <c r="Y34" t="s">
        <v>3068</v>
      </c>
      <c r="Z34" t="s">
        <v>2180</v>
      </c>
      <c r="AA34" t="s">
        <v>3294</v>
      </c>
      <c r="AB34" t="s">
        <v>822</v>
      </c>
      <c r="AC34" s="502">
        <v>46220</v>
      </c>
      <c r="AD34" s="502">
        <v>46220</v>
      </c>
      <c r="AE34" s="502">
        <v>46220</v>
      </c>
      <c r="AF34" s="502">
        <v>46283</v>
      </c>
      <c r="AG34" s="114">
        <v>405405100000</v>
      </c>
      <c r="AH34" s="114">
        <v>437099487052</v>
      </c>
      <c r="AI34" s="114">
        <v>440494492657</v>
      </c>
      <c r="AJ34">
        <v>4.5</v>
      </c>
      <c r="AK34" t="s">
        <v>2967</v>
      </c>
      <c r="AL34" s="72" t="str">
        <f>INDEX(Ref!U:U,MATCH(OMO[[#This Row],[MATURITY_DATE]]-RPT,Ref!S:S,1))</f>
        <v>2M</v>
      </c>
      <c r="AM34" s="72" t="str">
        <f>INDEX(Ref!U:U,MATCH(OMO[[#This Row],[MATURITY_DATE]]-OMO[[#This Row],[VALUE_DATE]],Ref!S:S,1))</f>
        <v>3M</v>
      </c>
      <c r="AN34" s="569">
        <f>OMO[[#This Row],[FIXED_RATE]]%*OMO[[#This Row],[GLOBAL_AMOUNT]]/365/10^9</f>
        <v>5.3888977855726029E-2</v>
      </c>
      <c r="BF34" s="72"/>
      <c r="BG34" s="72"/>
      <c r="BH34" s="38"/>
    </row>
    <row r="35" spans="2:60" x14ac:dyDescent="0.3">
      <c r="B35" s="502">
        <v>46252</v>
      </c>
      <c r="C35">
        <v>18088</v>
      </c>
      <c r="D35" t="s">
        <v>710</v>
      </c>
      <c r="E35" t="s">
        <v>3067</v>
      </c>
      <c r="F35" t="s">
        <v>2176</v>
      </c>
      <c r="G35" t="s">
        <v>812</v>
      </c>
      <c r="H35" s="502">
        <v>46233</v>
      </c>
      <c r="I35" s="502">
        <v>46233</v>
      </c>
      <c r="J35" s="502">
        <v>46237</v>
      </c>
      <c r="K35" s="502">
        <v>46328</v>
      </c>
      <c r="L35" s="37">
        <v>100000000000</v>
      </c>
      <c r="M35" s="37">
        <v>101544000000</v>
      </c>
      <c r="N35" s="37">
        <v>102695898444</v>
      </c>
      <c r="O35">
        <v>4.55</v>
      </c>
      <c r="P35" s="72" t="str">
        <f>INDEX(Ref!U:U,MATCH(Repo_TD[[#This Row],[MATURITY_DATE]]-RPT,Ref!S:S,1))</f>
        <v>3M</v>
      </c>
      <c r="Q35" s="72" t="str">
        <f>INDEX(Ref!U:U,MATCH(Repo_TD[[#This Row],[MATURITY_DATE]]-Repo_TD[[#This Row],[VALUE_DATE]],Ref!S:S,1))</f>
        <v>3M</v>
      </c>
      <c r="R35" s="568">
        <f>Repo_TD[[#This Row],[FIXED_RATE]]%*Repo_TD[[#This Row],[GLOBAL_AMOUNT]]/365/10^9</f>
        <v>1.2658224657534247E-2</v>
      </c>
      <c r="T35" s="38"/>
      <c r="U35" s="502">
        <v>46252</v>
      </c>
      <c r="V35">
        <v>18058</v>
      </c>
      <c r="W35" t="s">
        <v>693</v>
      </c>
      <c r="X35" t="s">
        <v>3067</v>
      </c>
      <c r="Y35" t="s">
        <v>3068</v>
      </c>
      <c r="Z35" t="s">
        <v>2180</v>
      </c>
      <c r="AA35" t="s">
        <v>3294</v>
      </c>
      <c r="AB35" t="s">
        <v>822</v>
      </c>
      <c r="AC35" s="502">
        <v>46220</v>
      </c>
      <c r="AD35" s="502">
        <v>46220</v>
      </c>
      <c r="AE35" s="502">
        <v>46220</v>
      </c>
      <c r="AF35" s="502">
        <v>46283</v>
      </c>
      <c r="AG35" s="114">
        <v>50000000000</v>
      </c>
      <c r="AH35" s="114">
        <v>39681902514</v>
      </c>
      <c r="AI35" s="114">
        <v>39990116743</v>
      </c>
      <c r="AJ35">
        <v>4.5</v>
      </c>
      <c r="AK35" t="s">
        <v>2967</v>
      </c>
      <c r="AL35" s="72" t="str">
        <f>INDEX(Ref!U:U,MATCH(OMO[[#This Row],[MATURITY_DATE]]-RPT,Ref!S:S,1))</f>
        <v>2M</v>
      </c>
      <c r="AM35" s="72" t="str">
        <f>INDEX(Ref!U:U,MATCH(OMO[[#This Row],[MATURITY_DATE]]-OMO[[#This Row],[VALUE_DATE]],Ref!S:S,1))</f>
        <v>3M</v>
      </c>
      <c r="AN35" s="569">
        <f>OMO[[#This Row],[FIXED_RATE]]%*OMO[[#This Row],[GLOBAL_AMOUNT]]/365/10^9</f>
        <v>4.8922893510410957E-3</v>
      </c>
      <c r="BF35" s="72"/>
      <c r="BG35" s="72"/>
      <c r="BH35" s="38"/>
    </row>
    <row r="36" spans="2:60" x14ac:dyDescent="0.3">
      <c r="B36" s="502">
        <v>46252</v>
      </c>
      <c r="C36">
        <v>18086</v>
      </c>
      <c r="D36" t="s">
        <v>728</v>
      </c>
      <c r="E36" t="s">
        <v>3067</v>
      </c>
      <c r="F36" t="s">
        <v>2176</v>
      </c>
      <c r="G36" t="s">
        <v>812</v>
      </c>
      <c r="H36" s="502">
        <v>46233</v>
      </c>
      <c r="I36" s="502">
        <v>46233</v>
      </c>
      <c r="J36" s="502">
        <v>46237</v>
      </c>
      <c r="K36" s="502">
        <v>46328</v>
      </c>
      <c r="L36" s="37">
        <v>50000000000</v>
      </c>
      <c r="M36" s="37">
        <v>53131500000</v>
      </c>
      <c r="N36" s="37">
        <v>53734215002</v>
      </c>
      <c r="O36">
        <v>4.55</v>
      </c>
      <c r="P36" s="72" t="str">
        <f>INDEX(Ref!U:U,MATCH(Repo_TD[[#This Row],[MATURITY_DATE]]-RPT,Ref!S:S,1))</f>
        <v>3M</v>
      </c>
      <c r="Q36" s="72" t="str">
        <f>INDEX(Ref!U:U,MATCH(Repo_TD[[#This Row],[MATURITY_DATE]]-Repo_TD[[#This Row],[VALUE_DATE]],Ref!S:S,1))</f>
        <v>3M</v>
      </c>
      <c r="R36" s="568">
        <f>Repo_TD[[#This Row],[FIXED_RATE]]%*Repo_TD[[#This Row],[GLOBAL_AMOUNT]]/365/10^9</f>
        <v>6.6232417808219177E-3</v>
      </c>
      <c r="T36" s="38"/>
      <c r="U36" s="502">
        <v>46252</v>
      </c>
      <c r="V36">
        <v>18061</v>
      </c>
      <c r="W36" t="s">
        <v>3051</v>
      </c>
      <c r="X36" t="s">
        <v>3067</v>
      </c>
      <c r="Y36" t="s">
        <v>3068</v>
      </c>
      <c r="Z36" t="s">
        <v>2180</v>
      </c>
      <c r="AA36" t="s">
        <v>3294</v>
      </c>
      <c r="AB36" t="s">
        <v>822</v>
      </c>
      <c r="AC36" s="502">
        <v>46220</v>
      </c>
      <c r="AD36" s="502">
        <v>46220</v>
      </c>
      <c r="AE36" s="502">
        <v>46220</v>
      </c>
      <c r="AF36" s="502">
        <v>46283</v>
      </c>
      <c r="AG36" s="114">
        <v>30576000000</v>
      </c>
      <c r="AH36" s="114">
        <v>24726766582</v>
      </c>
      <c r="AI36" s="114">
        <v>24918822427</v>
      </c>
      <c r="AJ36">
        <v>4.5</v>
      </c>
      <c r="AK36" t="s">
        <v>2967</v>
      </c>
      <c r="AL36" s="72" t="str">
        <f>INDEX(Ref!U:U,MATCH(OMO[[#This Row],[MATURITY_DATE]]-RPT,Ref!S:S,1))</f>
        <v>2M</v>
      </c>
      <c r="AM36" s="72" t="str">
        <f>INDEX(Ref!U:U,MATCH(OMO[[#This Row],[MATURITY_DATE]]-OMO[[#This Row],[VALUE_DATE]],Ref!S:S,1))</f>
        <v>3M</v>
      </c>
      <c r="AN36" s="569">
        <f>OMO[[#This Row],[FIXED_RATE]]%*OMO[[#This Row],[GLOBAL_AMOUNT]]/365/10^9</f>
        <v>3.0485054690136989E-3</v>
      </c>
      <c r="BF36" s="72"/>
      <c r="BG36" s="72"/>
      <c r="BH36" s="38"/>
    </row>
    <row r="37" spans="2:60" x14ac:dyDescent="0.3">
      <c r="B37" s="502">
        <v>46252</v>
      </c>
      <c r="C37">
        <v>17998</v>
      </c>
      <c r="D37" t="s">
        <v>684</v>
      </c>
      <c r="E37" t="s">
        <v>3067</v>
      </c>
      <c r="F37" t="s">
        <v>2176</v>
      </c>
      <c r="G37" t="s">
        <v>812</v>
      </c>
      <c r="H37" s="502">
        <v>46210</v>
      </c>
      <c r="I37" s="502">
        <v>46210</v>
      </c>
      <c r="J37" s="502">
        <v>46212</v>
      </c>
      <c r="K37" s="502">
        <v>46274</v>
      </c>
      <c r="L37" s="37">
        <v>300000000000</v>
      </c>
      <c r="M37" s="37">
        <v>340908000000</v>
      </c>
      <c r="N37" s="37">
        <v>343571752373</v>
      </c>
      <c r="O37">
        <v>4.5999999999999996</v>
      </c>
      <c r="P37" s="72" t="str">
        <f>INDEX(Ref!U:U,MATCH(Repo_TD[[#This Row],[MATURITY_DATE]]-RPT,Ref!S:S,1))</f>
        <v>1M</v>
      </c>
      <c r="Q37" s="72" t="str">
        <f>INDEX(Ref!U:U,MATCH(Repo_TD[[#This Row],[MATURITY_DATE]]-Repo_TD[[#This Row],[VALUE_DATE]],Ref!S:S,1))</f>
        <v>3M</v>
      </c>
      <c r="R37" s="568">
        <f>Repo_TD[[#This Row],[FIXED_RATE]]%*Repo_TD[[#This Row],[GLOBAL_AMOUNT]]/365/10^9</f>
        <v>4.296374794520548E-2</v>
      </c>
      <c r="T37" s="38"/>
      <c r="U37" s="502">
        <v>46252</v>
      </c>
      <c r="V37">
        <v>18060</v>
      </c>
      <c r="W37" t="s">
        <v>3317</v>
      </c>
      <c r="X37" t="s">
        <v>3067</v>
      </c>
      <c r="Y37" t="s">
        <v>3068</v>
      </c>
      <c r="Z37" t="s">
        <v>2180</v>
      </c>
      <c r="AA37" t="s">
        <v>3294</v>
      </c>
      <c r="AB37" t="s">
        <v>822</v>
      </c>
      <c r="AC37" s="502">
        <v>46220</v>
      </c>
      <c r="AD37" s="502">
        <v>46220</v>
      </c>
      <c r="AE37" s="502">
        <v>46220</v>
      </c>
      <c r="AF37" s="502">
        <v>46283</v>
      </c>
      <c r="AG37" s="114">
        <v>3763000000</v>
      </c>
      <c r="AH37" s="114">
        <v>3194281405</v>
      </c>
      <c r="AI37" s="114">
        <v>3219091782</v>
      </c>
      <c r="AJ37">
        <v>4.5</v>
      </c>
      <c r="AK37" t="s">
        <v>2967</v>
      </c>
      <c r="AL37" s="72" t="str">
        <f>INDEX(Ref!U:U,MATCH(OMO[[#This Row],[MATURITY_DATE]]-RPT,Ref!S:S,1))</f>
        <v>2M</v>
      </c>
      <c r="AM37" s="72" t="str">
        <f>INDEX(Ref!U:U,MATCH(OMO[[#This Row],[MATURITY_DATE]]-OMO[[#This Row],[VALUE_DATE]],Ref!S:S,1))</f>
        <v>3M</v>
      </c>
      <c r="AN37" s="569">
        <f>OMO[[#This Row],[FIXED_RATE]]%*OMO[[#This Row],[GLOBAL_AMOUNT]]/365/10^9</f>
        <v>3.9381551568493149E-4</v>
      </c>
      <c r="BF37" s="72"/>
      <c r="BG37" s="72"/>
      <c r="BH37" s="38"/>
    </row>
    <row r="38" spans="2:60" x14ac:dyDescent="0.3">
      <c r="B38" s="502">
        <v>46252</v>
      </c>
      <c r="C38">
        <v>18094</v>
      </c>
      <c r="D38" t="s">
        <v>2786</v>
      </c>
      <c r="E38" t="s">
        <v>3067</v>
      </c>
      <c r="F38" t="s">
        <v>2176</v>
      </c>
      <c r="G38" t="s">
        <v>812</v>
      </c>
      <c r="H38" s="502">
        <v>46234</v>
      </c>
      <c r="I38" s="502">
        <v>46234</v>
      </c>
      <c r="J38" s="502">
        <v>46238</v>
      </c>
      <c r="K38" s="502">
        <v>46269</v>
      </c>
      <c r="L38" s="37">
        <v>50000000000</v>
      </c>
      <c r="M38" s="37">
        <v>38023500000</v>
      </c>
      <c r="N38" s="37">
        <v>38165593299</v>
      </c>
      <c r="O38">
        <v>4.4000000000000004</v>
      </c>
      <c r="P38" s="72" t="str">
        <f>INDEX(Ref!U:U,MATCH(Repo_TD[[#This Row],[MATURITY_DATE]]-RPT,Ref!S:S,1))</f>
        <v>3W</v>
      </c>
      <c r="Q38" s="72" t="str">
        <f>INDEX(Ref!U:U,MATCH(Repo_TD[[#This Row],[MATURITY_DATE]]-Repo_TD[[#This Row],[VALUE_DATE]],Ref!S:S,1))</f>
        <v>2M</v>
      </c>
      <c r="R38" s="568">
        <f>Repo_TD[[#This Row],[FIXED_RATE]]%*Repo_TD[[#This Row],[GLOBAL_AMOUNT]]/365/10^9</f>
        <v>4.5836547945205487E-3</v>
      </c>
      <c r="T38" s="38"/>
      <c r="U38" s="502">
        <v>46252</v>
      </c>
      <c r="V38">
        <v>18115</v>
      </c>
      <c r="W38" t="s">
        <v>655</v>
      </c>
      <c r="X38" t="s">
        <v>3067</v>
      </c>
      <c r="Y38" t="s">
        <v>3068</v>
      </c>
      <c r="Z38" t="s">
        <v>2180</v>
      </c>
      <c r="AA38" t="s">
        <v>3294</v>
      </c>
      <c r="AB38" t="s">
        <v>822</v>
      </c>
      <c r="AC38" s="502">
        <v>46246</v>
      </c>
      <c r="AD38" s="502">
        <v>46246</v>
      </c>
      <c r="AE38" s="502">
        <v>46246</v>
      </c>
      <c r="AF38" s="502">
        <v>46337</v>
      </c>
      <c r="AG38" s="114">
        <v>34000000000</v>
      </c>
      <c r="AH38" s="114">
        <v>32577492956</v>
      </c>
      <c r="AI38" s="114">
        <v>32942985651</v>
      </c>
      <c r="AJ38">
        <v>4.5</v>
      </c>
      <c r="AK38" t="s">
        <v>2967</v>
      </c>
      <c r="AL38" s="72" t="str">
        <f>INDEX(Ref!U:U,MATCH(OMO[[#This Row],[MATURITY_DATE]]-RPT,Ref!S:S,1))</f>
        <v>3M</v>
      </c>
      <c r="AM38" s="72" t="str">
        <f>INDEX(Ref!U:U,MATCH(OMO[[#This Row],[MATURITY_DATE]]-OMO[[#This Row],[VALUE_DATE]],Ref!S:S,1))</f>
        <v>3M</v>
      </c>
      <c r="AN38" s="569">
        <f>OMO[[#This Row],[FIXED_RATE]]%*OMO[[#This Row],[GLOBAL_AMOUNT]]/365/10^9</f>
        <v>4.0164032411506845E-3</v>
      </c>
      <c r="BF38" s="72"/>
      <c r="BG38" s="72"/>
      <c r="BH38" s="38"/>
    </row>
    <row r="39" spans="2:60" x14ac:dyDescent="0.3">
      <c r="B39" s="502">
        <v>46252</v>
      </c>
      <c r="C39">
        <v>18090</v>
      </c>
      <c r="D39" t="s">
        <v>2785</v>
      </c>
      <c r="E39" t="s">
        <v>3067</v>
      </c>
      <c r="F39" t="s">
        <v>2176</v>
      </c>
      <c r="G39" t="s">
        <v>812</v>
      </c>
      <c r="H39" s="502">
        <v>46234</v>
      </c>
      <c r="I39" s="502">
        <v>46234</v>
      </c>
      <c r="J39" s="502">
        <v>46238</v>
      </c>
      <c r="K39" s="502">
        <v>46269</v>
      </c>
      <c r="L39" s="37">
        <v>300000000000</v>
      </c>
      <c r="M39" s="37">
        <v>251103000000</v>
      </c>
      <c r="N39" s="37">
        <v>252041368471</v>
      </c>
      <c r="O39">
        <v>4.4000000000000004</v>
      </c>
      <c r="P39" s="72" t="str">
        <f>INDEX(Ref!U:U,MATCH(Repo_TD[[#This Row],[MATURITY_DATE]]-RPT,Ref!S:S,1))</f>
        <v>3W</v>
      </c>
      <c r="Q39" s="72" t="str">
        <f>INDEX(Ref!U:U,MATCH(Repo_TD[[#This Row],[MATURITY_DATE]]-Repo_TD[[#This Row],[VALUE_DATE]],Ref!S:S,1))</f>
        <v>2M</v>
      </c>
      <c r="R39" s="568">
        <f>Repo_TD[[#This Row],[FIXED_RATE]]%*Repo_TD[[#This Row],[GLOBAL_AMOUNT]]/365/10^9</f>
        <v>3.0269950684931515E-2</v>
      </c>
      <c r="T39" s="38"/>
      <c r="U39" s="502">
        <v>46252</v>
      </c>
      <c r="V39">
        <v>18116</v>
      </c>
      <c r="W39" t="s">
        <v>2852</v>
      </c>
      <c r="X39" t="s">
        <v>3067</v>
      </c>
      <c r="Y39" t="s">
        <v>3068</v>
      </c>
      <c r="Z39" t="s">
        <v>2180</v>
      </c>
      <c r="AA39" t="s">
        <v>3294</v>
      </c>
      <c r="AB39" t="s">
        <v>822</v>
      </c>
      <c r="AC39" s="502">
        <v>46246</v>
      </c>
      <c r="AD39" s="502">
        <v>46246</v>
      </c>
      <c r="AE39" s="502">
        <v>46246</v>
      </c>
      <c r="AF39" s="502">
        <v>46337</v>
      </c>
      <c r="AG39" s="114">
        <v>50000000000</v>
      </c>
      <c r="AH39" s="114">
        <v>39337424200</v>
      </c>
      <c r="AI39" s="114">
        <v>39778757767</v>
      </c>
      <c r="AJ39">
        <v>4.5</v>
      </c>
      <c r="AK39" t="s">
        <v>2967</v>
      </c>
      <c r="AL39" s="72" t="str">
        <f>INDEX(Ref!U:U,MATCH(OMO[[#This Row],[MATURITY_DATE]]-RPT,Ref!S:S,1))</f>
        <v>3M</v>
      </c>
      <c r="AM39" s="72" t="str">
        <f>INDEX(Ref!U:U,MATCH(OMO[[#This Row],[MATURITY_DATE]]-OMO[[#This Row],[VALUE_DATE]],Ref!S:S,1))</f>
        <v>3M</v>
      </c>
      <c r="AN39" s="569">
        <f>OMO[[#This Row],[FIXED_RATE]]%*OMO[[#This Row],[GLOBAL_AMOUNT]]/365/10^9</f>
        <v>4.849819421917808E-3</v>
      </c>
      <c r="BF39" s="72"/>
      <c r="BG39" s="72"/>
      <c r="BH39" s="38"/>
    </row>
    <row r="40" spans="2:60" x14ac:dyDescent="0.3">
      <c r="B40" s="502">
        <v>46252</v>
      </c>
      <c r="C40">
        <v>18041</v>
      </c>
      <c r="D40" t="s">
        <v>2831</v>
      </c>
      <c r="E40" t="s">
        <v>3067</v>
      </c>
      <c r="F40" t="s">
        <v>2176</v>
      </c>
      <c r="G40" t="s">
        <v>812</v>
      </c>
      <c r="H40" s="502">
        <v>46219</v>
      </c>
      <c r="I40" s="502">
        <v>46219</v>
      </c>
      <c r="J40" s="502">
        <v>46223</v>
      </c>
      <c r="K40" s="502">
        <v>46254</v>
      </c>
      <c r="L40" s="37">
        <v>300000000000</v>
      </c>
      <c r="M40" s="37">
        <v>246639000000</v>
      </c>
      <c r="N40" s="37">
        <v>247571160275</v>
      </c>
      <c r="O40">
        <v>4.45</v>
      </c>
      <c r="P40" s="72" t="str">
        <f>INDEX(Ref!U:U,MATCH(Repo_TD[[#This Row],[MATURITY_DATE]]-RPT,Ref!S:S,1))</f>
        <v>1W</v>
      </c>
      <c r="Q40" s="72" t="str">
        <f>INDEX(Ref!U:U,MATCH(Repo_TD[[#This Row],[MATURITY_DATE]]-Repo_TD[[#This Row],[VALUE_DATE]],Ref!S:S,1))</f>
        <v>2M</v>
      </c>
      <c r="R40" s="568">
        <f>Repo_TD[[#This Row],[FIXED_RATE]]%*Repo_TD[[#This Row],[GLOBAL_AMOUNT]]/365/10^9</f>
        <v>3.0069686301369868E-2</v>
      </c>
      <c r="T40" s="38"/>
      <c r="U40" s="502">
        <v>46252</v>
      </c>
      <c r="V40">
        <v>18113</v>
      </c>
      <c r="W40" t="s">
        <v>568</v>
      </c>
      <c r="X40" t="s">
        <v>3067</v>
      </c>
      <c r="Y40" t="s">
        <v>3068</v>
      </c>
      <c r="Z40" t="s">
        <v>2180</v>
      </c>
      <c r="AA40" t="s">
        <v>3294</v>
      </c>
      <c r="AB40" t="s">
        <v>822</v>
      </c>
      <c r="AC40" s="502">
        <v>46246</v>
      </c>
      <c r="AD40" s="502">
        <v>46246</v>
      </c>
      <c r="AE40" s="502">
        <v>46246</v>
      </c>
      <c r="AF40" s="502">
        <v>46337</v>
      </c>
      <c r="AG40" s="114">
        <v>300000000000</v>
      </c>
      <c r="AH40" s="114">
        <v>312706570992</v>
      </c>
      <c r="AI40" s="114">
        <v>316214881699</v>
      </c>
      <c r="AJ40">
        <v>4.5</v>
      </c>
      <c r="AK40" t="s">
        <v>2967</v>
      </c>
      <c r="AL40" s="72" t="str">
        <f>INDEX(Ref!U:U,MATCH(OMO[[#This Row],[MATURITY_DATE]]-RPT,Ref!S:S,1))</f>
        <v>3M</v>
      </c>
      <c r="AM40" s="72" t="str">
        <f>INDEX(Ref!U:U,MATCH(OMO[[#This Row],[MATURITY_DATE]]-OMO[[#This Row],[VALUE_DATE]],Ref!S:S,1))</f>
        <v>3M</v>
      </c>
      <c r="AN40" s="569">
        <f>OMO[[#This Row],[FIXED_RATE]]%*OMO[[#This Row],[GLOBAL_AMOUNT]]/365/10^9</f>
        <v>3.8552864916821916E-2</v>
      </c>
      <c r="BF40" s="72"/>
      <c r="BG40" s="72"/>
      <c r="BH40" s="38"/>
    </row>
    <row r="41" spans="2:60" x14ac:dyDescent="0.3">
      <c r="B41" s="502">
        <v>46252</v>
      </c>
      <c r="C41">
        <v>18103</v>
      </c>
      <c r="D41" t="s">
        <v>2831</v>
      </c>
      <c r="E41" t="s">
        <v>3067</v>
      </c>
      <c r="F41" t="s">
        <v>2176</v>
      </c>
      <c r="G41" t="s">
        <v>812</v>
      </c>
      <c r="H41" s="502">
        <v>46244</v>
      </c>
      <c r="I41" s="502">
        <v>46244</v>
      </c>
      <c r="J41" s="502">
        <v>46246</v>
      </c>
      <c r="K41" s="502">
        <v>46338</v>
      </c>
      <c r="L41" s="37">
        <v>50000000000</v>
      </c>
      <c r="M41" s="37">
        <v>41077000000</v>
      </c>
      <c r="N41" s="37">
        <v>41542914466</v>
      </c>
      <c r="O41">
        <v>4.5</v>
      </c>
      <c r="P41" s="72" t="str">
        <f>INDEX(Ref!U:U,MATCH(Repo_TD[[#This Row],[MATURITY_DATE]]-RPT,Ref!S:S,1))</f>
        <v>3M</v>
      </c>
      <c r="Q41" s="72" t="str">
        <f>INDEX(Ref!U:U,MATCH(Repo_TD[[#This Row],[MATURITY_DATE]]-Repo_TD[[#This Row],[VALUE_DATE]],Ref!S:S,1))</f>
        <v>6M</v>
      </c>
      <c r="R41" s="568">
        <f>Repo_TD[[#This Row],[FIXED_RATE]]%*Repo_TD[[#This Row],[GLOBAL_AMOUNT]]/365/10^9</f>
        <v>5.0642876712328764E-3</v>
      </c>
      <c r="T41" s="38"/>
      <c r="U41" s="502">
        <v>46252</v>
      </c>
      <c r="V41">
        <v>18114</v>
      </c>
      <c r="W41" t="s">
        <v>2781</v>
      </c>
      <c r="X41" t="s">
        <v>3067</v>
      </c>
      <c r="Y41" t="s">
        <v>3068</v>
      </c>
      <c r="Z41" t="s">
        <v>2180</v>
      </c>
      <c r="AA41" t="s">
        <v>3294</v>
      </c>
      <c r="AB41" t="s">
        <v>822</v>
      </c>
      <c r="AC41" s="502">
        <v>46246</v>
      </c>
      <c r="AD41" s="502">
        <v>46246</v>
      </c>
      <c r="AE41" s="502">
        <v>46246</v>
      </c>
      <c r="AF41" s="502">
        <v>46337</v>
      </c>
      <c r="AG41" s="114">
        <v>500000000000</v>
      </c>
      <c r="AH41" s="114">
        <v>418505470257</v>
      </c>
      <c r="AI41" s="114">
        <v>423200757656</v>
      </c>
      <c r="AJ41">
        <v>4.5</v>
      </c>
      <c r="AK41" t="s">
        <v>2967</v>
      </c>
      <c r="AL41" s="72" t="str">
        <f>INDEX(Ref!U:U,MATCH(OMO[[#This Row],[MATURITY_DATE]]-RPT,Ref!S:S,1))</f>
        <v>3M</v>
      </c>
      <c r="AM41" s="72" t="str">
        <f>INDEX(Ref!U:U,MATCH(OMO[[#This Row],[MATURITY_DATE]]-OMO[[#This Row],[VALUE_DATE]],Ref!S:S,1))</f>
        <v>3M</v>
      </c>
      <c r="AN41" s="569">
        <f>OMO[[#This Row],[FIXED_RATE]]%*OMO[[#This Row],[GLOBAL_AMOUNT]]/365/10^9</f>
        <v>5.1596564826205477E-2</v>
      </c>
      <c r="BF41" s="72"/>
      <c r="BG41" s="72"/>
      <c r="BH41" s="38"/>
    </row>
    <row r="42" spans="2:60" x14ac:dyDescent="0.3">
      <c r="B42" s="502">
        <v>46252</v>
      </c>
      <c r="C42">
        <v>18104</v>
      </c>
      <c r="D42" t="s">
        <v>2834</v>
      </c>
      <c r="E42" t="s">
        <v>3067</v>
      </c>
      <c r="F42" t="s">
        <v>2176</v>
      </c>
      <c r="G42" t="s">
        <v>812</v>
      </c>
      <c r="H42" s="502">
        <v>46244</v>
      </c>
      <c r="I42" s="502">
        <v>46244</v>
      </c>
      <c r="J42" s="502">
        <v>46246</v>
      </c>
      <c r="K42" s="502">
        <v>46338</v>
      </c>
      <c r="L42" s="37">
        <v>250000000000</v>
      </c>
      <c r="M42" s="37">
        <v>205045000000</v>
      </c>
      <c r="N42" s="37">
        <v>207370715890</v>
      </c>
      <c r="O42">
        <v>4.5</v>
      </c>
      <c r="P42" s="72" t="str">
        <f>INDEX(Ref!U:U,MATCH(Repo_TD[[#This Row],[MATURITY_DATE]]-RPT,Ref!S:S,1))</f>
        <v>3M</v>
      </c>
      <c r="Q42" s="72" t="str">
        <f>INDEX(Ref!U:U,MATCH(Repo_TD[[#This Row],[MATURITY_DATE]]-Repo_TD[[#This Row],[VALUE_DATE]],Ref!S:S,1))</f>
        <v>6M</v>
      </c>
      <c r="R42" s="568">
        <f>Repo_TD[[#This Row],[FIXED_RATE]]%*Repo_TD[[#This Row],[GLOBAL_AMOUNT]]/365/10^9</f>
        <v>2.5279520547945206E-2</v>
      </c>
      <c r="T42" s="38"/>
      <c r="U42" s="502">
        <v>46252</v>
      </c>
      <c r="V42">
        <v>18129</v>
      </c>
      <c r="W42" t="s">
        <v>636</v>
      </c>
      <c r="X42" t="s">
        <v>3067</v>
      </c>
      <c r="Y42" t="s">
        <v>3068</v>
      </c>
      <c r="Z42" t="s">
        <v>2180</v>
      </c>
      <c r="AA42" t="s">
        <v>3294</v>
      </c>
      <c r="AB42" t="s">
        <v>822</v>
      </c>
      <c r="AC42" s="502">
        <v>46247</v>
      </c>
      <c r="AD42" s="502">
        <v>46247</v>
      </c>
      <c r="AE42" s="502">
        <v>46247</v>
      </c>
      <c r="AF42" s="502">
        <v>46282</v>
      </c>
      <c r="AG42" s="114">
        <v>47636700000</v>
      </c>
      <c r="AH42" s="114">
        <v>41729245273</v>
      </c>
      <c r="AI42" s="114">
        <v>41909309825</v>
      </c>
      <c r="AJ42">
        <v>4.5</v>
      </c>
      <c r="AK42" t="s">
        <v>2967</v>
      </c>
      <c r="AL42" s="72" t="str">
        <f>INDEX(Ref!U:U,MATCH(OMO[[#This Row],[MATURITY_DATE]]-RPT,Ref!S:S,1))</f>
        <v>1M</v>
      </c>
      <c r="AM42" s="72" t="str">
        <f>INDEX(Ref!U:U,MATCH(OMO[[#This Row],[MATURITY_DATE]]-OMO[[#This Row],[VALUE_DATE]],Ref!S:S,1))</f>
        <v>2M</v>
      </c>
      <c r="AN42" s="569">
        <f>OMO[[#This Row],[FIXED_RATE]]%*OMO[[#This Row],[GLOBAL_AMOUNT]]/365/10^9</f>
        <v>5.1447014720136979E-3</v>
      </c>
      <c r="BF42" s="72"/>
      <c r="BG42" s="72"/>
      <c r="BH42" s="38"/>
    </row>
    <row r="43" spans="2:60" x14ac:dyDescent="0.3">
      <c r="B43" s="502">
        <v>46252</v>
      </c>
      <c r="C43">
        <v>18019</v>
      </c>
      <c r="D43" t="s">
        <v>2862</v>
      </c>
      <c r="E43" t="s">
        <v>3067</v>
      </c>
      <c r="F43" t="s">
        <v>2176</v>
      </c>
      <c r="G43" t="s">
        <v>812</v>
      </c>
      <c r="H43" s="502">
        <v>46216</v>
      </c>
      <c r="I43" s="502">
        <v>46216</v>
      </c>
      <c r="J43" s="502">
        <v>46218</v>
      </c>
      <c r="K43" s="502">
        <v>46283</v>
      </c>
      <c r="L43" s="37">
        <v>16000000000</v>
      </c>
      <c r="M43" s="37">
        <v>13135360000</v>
      </c>
      <c r="N43" s="37">
        <v>13242961990</v>
      </c>
      <c r="O43">
        <v>4.5999999999999996</v>
      </c>
      <c r="P43" s="72" t="str">
        <f>INDEX(Ref!U:U,MATCH(Repo_TD[[#This Row],[MATURITY_DATE]]-RPT,Ref!S:S,1))</f>
        <v>2M</v>
      </c>
      <c r="Q43" s="72" t="str">
        <f>INDEX(Ref!U:U,MATCH(Repo_TD[[#This Row],[MATURITY_DATE]]-Repo_TD[[#This Row],[VALUE_DATE]],Ref!S:S,1))</f>
        <v>3M</v>
      </c>
      <c r="R43" s="568">
        <f>Repo_TD[[#This Row],[FIXED_RATE]]%*Repo_TD[[#This Row],[GLOBAL_AMOUNT]]/365/10^9</f>
        <v>1.6554152328767122E-3</v>
      </c>
      <c r="T43" s="38"/>
      <c r="U43" s="502">
        <v>46252</v>
      </c>
      <c r="V43">
        <v>18132</v>
      </c>
      <c r="W43" t="s">
        <v>593</v>
      </c>
      <c r="X43" t="s">
        <v>3067</v>
      </c>
      <c r="Y43" t="s">
        <v>3068</v>
      </c>
      <c r="Z43" t="s">
        <v>2180</v>
      </c>
      <c r="AA43" t="s">
        <v>3294</v>
      </c>
      <c r="AB43" t="s">
        <v>822</v>
      </c>
      <c r="AC43" s="502">
        <v>46247</v>
      </c>
      <c r="AD43" s="502">
        <v>46247</v>
      </c>
      <c r="AE43" s="502">
        <v>46247</v>
      </c>
      <c r="AF43" s="502">
        <v>46282</v>
      </c>
      <c r="AG43" s="114">
        <v>93342100000</v>
      </c>
      <c r="AH43" s="114">
        <v>100967763889</v>
      </c>
      <c r="AI43" s="114">
        <v>101403446706</v>
      </c>
      <c r="AJ43">
        <v>4.5</v>
      </c>
      <c r="AK43" t="s">
        <v>2967</v>
      </c>
      <c r="AL43" s="72" t="str">
        <f>INDEX(Ref!U:U,MATCH(OMO[[#This Row],[MATURITY_DATE]]-RPT,Ref!S:S,1))</f>
        <v>1M</v>
      </c>
      <c r="AM43" s="72" t="str">
        <f>INDEX(Ref!U:U,MATCH(OMO[[#This Row],[MATURITY_DATE]]-OMO[[#This Row],[VALUE_DATE]],Ref!S:S,1))</f>
        <v>2M</v>
      </c>
      <c r="AN43" s="569">
        <f>OMO[[#This Row],[FIXED_RATE]]%*OMO[[#This Row],[GLOBAL_AMOUNT]]/365/10^9</f>
        <v>1.2448080479465752E-2</v>
      </c>
      <c r="BF43" s="72"/>
      <c r="BG43" s="72"/>
      <c r="BH43" s="38"/>
    </row>
    <row r="44" spans="2:60" x14ac:dyDescent="0.3">
      <c r="B44" s="502">
        <v>46252</v>
      </c>
      <c r="C44">
        <v>18042</v>
      </c>
      <c r="D44" t="s">
        <v>2503</v>
      </c>
      <c r="E44" t="s">
        <v>3067</v>
      </c>
      <c r="F44" t="s">
        <v>2176</v>
      </c>
      <c r="G44" t="s">
        <v>812</v>
      </c>
      <c r="H44" s="502">
        <v>46219</v>
      </c>
      <c r="I44" s="502">
        <v>46219</v>
      </c>
      <c r="J44" s="502">
        <v>46223</v>
      </c>
      <c r="K44" s="502">
        <v>46254</v>
      </c>
      <c r="L44" s="37">
        <v>400000000000</v>
      </c>
      <c r="M44" s="37">
        <v>327464000000</v>
      </c>
      <c r="N44" s="37">
        <v>328701634488</v>
      </c>
      <c r="O44">
        <v>4.45</v>
      </c>
      <c r="P44" s="72" t="str">
        <f>INDEX(Ref!U:U,MATCH(Repo_TD[[#This Row],[MATURITY_DATE]]-RPT,Ref!S:S,1))</f>
        <v>1W</v>
      </c>
      <c r="Q44" s="72" t="str">
        <f>INDEX(Ref!U:U,MATCH(Repo_TD[[#This Row],[MATURITY_DATE]]-Repo_TD[[#This Row],[VALUE_DATE]],Ref!S:S,1))</f>
        <v>2M</v>
      </c>
      <c r="R44" s="568">
        <f>Repo_TD[[#This Row],[FIXED_RATE]]%*Repo_TD[[#This Row],[GLOBAL_AMOUNT]]/365/10^9</f>
        <v>3.992369315068494E-2</v>
      </c>
      <c r="T44" s="38"/>
      <c r="U44" s="502">
        <v>46252</v>
      </c>
      <c r="V44">
        <v>18124</v>
      </c>
      <c r="W44" t="s">
        <v>724</v>
      </c>
      <c r="X44" t="s">
        <v>3067</v>
      </c>
      <c r="Y44" t="s">
        <v>3068</v>
      </c>
      <c r="Z44" t="s">
        <v>2180</v>
      </c>
      <c r="AA44" t="s">
        <v>3294</v>
      </c>
      <c r="AB44" t="s">
        <v>822</v>
      </c>
      <c r="AC44" s="502">
        <v>46247</v>
      </c>
      <c r="AD44" s="502">
        <v>46247</v>
      </c>
      <c r="AE44" s="502">
        <v>46247</v>
      </c>
      <c r="AF44" s="502">
        <v>46282</v>
      </c>
      <c r="AG44" s="114">
        <v>71822300000</v>
      </c>
      <c r="AH44" s="114">
        <v>92743321135</v>
      </c>
      <c r="AI44" s="114">
        <v>93143514918</v>
      </c>
      <c r="AJ44">
        <v>4.5</v>
      </c>
      <c r="AK44" t="s">
        <v>2967</v>
      </c>
      <c r="AL44" s="72" t="str">
        <f>INDEX(Ref!U:U,MATCH(OMO[[#This Row],[MATURITY_DATE]]-RPT,Ref!S:S,1))</f>
        <v>1M</v>
      </c>
      <c r="AM44" s="72" t="str">
        <f>INDEX(Ref!U:U,MATCH(OMO[[#This Row],[MATURITY_DATE]]-OMO[[#This Row],[VALUE_DATE]],Ref!S:S,1))</f>
        <v>2M</v>
      </c>
      <c r="AN44" s="569">
        <f>OMO[[#This Row],[FIXED_RATE]]%*OMO[[#This Row],[GLOBAL_AMOUNT]]/365/10^9</f>
        <v>1.1434108085136986E-2</v>
      </c>
      <c r="BF44" s="72"/>
      <c r="BG44" s="72"/>
      <c r="BH44" s="38"/>
    </row>
    <row r="45" spans="2:60" x14ac:dyDescent="0.3">
      <c r="B45" s="502">
        <v>46252</v>
      </c>
      <c r="C45">
        <v>18119</v>
      </c>
      <c r="D45" t="s">
        <v>2503</v>
      </c>
      <c r="E45" t="s">
        <v>3067</v>
      </c>
      <c r="F45" t="s">
        <v>2176</v>
      </c>
      <c r="G45" t="s">
        <v>812</v>
      </c>
      <c r="H45" s="502">
        <v>46247</v>
      </c>
      <c r="I45" s="502">
        <v>46247</v>
      </c>
      <c r="J45" s="502">
        <v>46252</v>
      </c>
      <c r="K45" s="502">
        <v>46283</v>
      </c>
      <c r="L45" s="37">
        <v>350000000000</v>
      </c>
      <c r="M45" s="37">
        <v>287535500000</v>
      </c>
      <c r="N45" s="37">
        <v>288610016225</v>
      </c>
      <c r="O45">
        <v>4.4000000000000004</v>
      </c>
      <c r="P45" s="72" t="str">
        <f>INDEX(Ref!U:U,MATCH(Repo_TD[[#This Row],[MATURITY_DATE]]-RPT,Ref!S:S,1))</f>
        <v>2M</v>
      </c>
      <c r="Q45" s="72" t="str">
        <f>INDEX(Ref!U:U,MATCH(Repo_TD[[#This Row],[MATURITY_DATE]]-Repo_TD[[#This Row],[VALUE_DATE]],Ref!S:S,1))</f>
        <v>2M</v>
      </c>
      <c r="R45" s="568">
        <f>Repo_TD[[#This Row],[FIXED_RATE]]%*Repo_TD[[#This Row],[GLOBAL_AMOUNT]]/365/10^9</f>
        <v>3.466181369863014E-2</v>
      </c>
      <c r="T45" s="38"/>
      <c r="U45" s="502">
        <v>46252</v>
      </c>
      <c r="V45">
        <v>18125</v>
      </c>
      <c r="W45" t="s">
        <v>616</v>
      </c>
      <c r="X45" t="s">
        <v>3067</v>
      </c>
      <c r="Y45" t="s">
        <v>3068</v>
      </c>
      <c r="Z45" t="s">
        <v>2180</v>
      </c>
      <c r="AA45" t="s">
        <v>3294</v>
      </c>
      <c r="AB45" t="s">
        <v>822</v>
      </c>
      <c r="AC45" s="502">
        <v>46247</v>
      </c>
      <c r="AD45" s="502">
        <v>46247</v>
      </c>
      <c r="AE45" s="502">
        <v>46247</v>
      </c>
      <c r="AF45" s="502">
        <v>46282</v>
      </c>
      <c r="AG45" s="114">
        <v>43346400000</v>
      </c>
      <c r="AH45" s="114">
        <v>47465412764</v>
      </c>
      <c r="AI45" s="114">
        <v>47670229271</v>
      </c>
      <c r="AJ45">
        <v>4.5</v>
      </c>
      <c r="AK45" t="s">
        <v>2967</v>
      </c>
      <c r="AL45" s="72" t="str">
        <f>INDEX(Ref!U:U,MATCH(OMO[[#This Row],[MATURITY_DATE]]-RPT,Ref!S:S,1))</f>
        <v>1M</v>
      </c>
      <c r="AM45" s="72" t="str">
        <f>INDEX(Ref!U:U,MATCH(OMO[[#This Row],[MATURITY_DATE]]-OMO[[#This Row],[VALUE_DATE]],Ref!S:S,1))</f>
        <v>2M</v>
      </c>
      <c r="AN45" s="569">
        <f>OMO[[#This Row],[FIXED_RATE]]%*OMO[[#This Row],[GLOBAL_AMOUNT]]/365/10^9</f>
        <v>5.8519002037808214E-3</v>
      </c>
      <c r="BF45" s="72"/>
      <c r="BG45" s="72"/>
      <c r="BH45" s="38"/>
    </row>
    <row r="46" spans="2:60" x14ac:dyDescent="0.3">
      <c r="B46" s="502">
        <v>46252</v>
      </c>
      <c r="C46">
        <v>18118</v>
      </c>
      <c r="D46" t="s">
        <v>1209</v>
      </c>
      <c r="E46" t="s">
        <v>3067</v>
      </c>
      <c r="F46" t="s">
        <v>2176</v>
      </c>
      <c r="G46" t="s">
        <v>812</v>
      </c>
      <c r="H46" s="502">
        <v>46246</v>
      </c>
      <c r="I46" s="502">
        <v>46246</v>
      </c>
      <c r="J46" s="502">
        <v>46248</v>
      </c>
      <c r="K46" s="502">
        <v>46342</v>
      </c>
      <c r="L46" s="37">
        <v>550000000000</v>
      </c>
      <c r="M46" s="37">
        <v>616583000000</v>
      </c>
      <c r="N46" s="37">
        <v>623649210107</v>
      </c>
      <c r="O46">
        <v>4.45</v>
      </c>
      <c r="P46" s="72" t="str">
        <f>INDEX(Ref!U:U,MATCH(Repo_TD[[#This Row],[MATURITY_DATE]]-RPT,Ref!S:S,1))</f>
        <v>3M</v>
      </c>
      <c r="Q46" s="72" t="str">
        <f>INDEX(Ref!U:U,MATCH(Repo_TD[[#This Row],[MATURITY_DATE]]-Repo_TD[[#This Row],[VALUE_DATE]],Ref!S:S,1))</f>
        <v>6M</v>
      </c>
      <c r="R46" s="568">
        <f>Repo_TD[[#This Row],[FIXED_RATE]]%*Repo_TD[[#This Row],[GLOBAL_AMOUNT]]/365/10^9</f>
        <v>7.5172447945205501E-2</v>
      </c>
      <c r="T46" s="38"/>
      <c r="U46" s="502">
        <v>46252</v>
      </c>
      <c r="V46">
        <v>18127</v>
      </c>
      <c r="W46" t="s">
        <v>2862</v>
      </c>
      <c r="X46" t="s">
        <v>3067</v>
      </c>
      <c r="Y46" t="s">
        <v>3068</v>
      </c>
      <c r="Z46" t="s">
        <v>2180</v>
      </c>
      <c r="AA46" t="s">
        <v>3294</v>
      </c>
      <c r="AB46" t="s">
        <v>822</v>
      </c>
      <c r="AC46" s="502">
        <v>46247</v>
      </c>
      <c r="AD46" s="502">
        <v>46247</v>
      </c>
      <c r="AE46" s="502">
        <v>46247</v>
      </c>
      <c r="AF46" s="502">
        <v>46282</v>
      </c>
      <c r="AG46" s="114">
        <v>50000000000</v>
      </c>
      <c r="AH46" s="114">
        <v>40307334560</v>
      </c>
      <c r="AI46" s="114">
        <v>40481263469</v>
      </c>
      <c r="AJ46">
        <v>4.5</v>
      </c>
      <c r="AK46" t="s">
        <v>2967</v>
      </c>
      <c r="AL46" s="72" t="str">
        <f>INDEX(Ref!U:U,MATCH(OMO[[#This Row],[MATURITY_DATE]]-RPT,Ref!S:S,1))</f>
        <v>1M</v>
      </c>
      <c r="AM46" s="72" t="str">
        <f>INDEX(Ref!U:U,MATCH(OMO[[#This Row],[MATURITY_DATE]]-OMO[[#This Row],[VALUE_DATE]],Ref!S:S,1))</f>
        <v>2M</v>
      </c>
      <c r="AN46" s="569">
        <f>OMO[[#This Row],[FIXED_RATE]]%*OMO[[#This Row],[GLOBAL_AMOUNT]]/365/10^9</f>
        <v>4.969397411506849E-3</v>
      </c>
      <c r="BF46" s="72"/>
      <c r="BG46" s="72"/>
      <c r="BH46" s="38"/>
    </row>
    <row r="47" spans="2:60" x14ac:dyDescent="0.3">
      <c r="B47" s="502">
        <v>46252</v>
      </c>
      <c r="C47">
        <v>18117</v>
      </c>
      <c r="D47" t="s">
        <v>1209</v>
      </c>
      <c r="E47" t="s">
        <v>3067</v>
      </c>
      <c r="F47" t="s">
        <v>2176</v>
      </c>
      <c r="G47" t="s">
        <v>812</v>
      </c>
      <c r="H47" s="502">
        <v>46246</v>
      </c>
      <c r="I47" s="502">
        <v>46246</v>
      </c>
      <c r="J47" s="502">
        <v>46248</v>
      </c>
      <c r="K47" s="502">
        <v>46342</v>
      </c>
      <c r="L47" s="37">
        <v>550000000000</v>
      </c>
      <c r="M47" s="37">
        <v>616583000000</v>
      </c>
      <c r="N47" s="37">
        <v>623649210107</v>
      </c>
      <c r="O47">
        <v>4.45</v>
      </c>
      <c r="P47" s="72" t="str">
        <f>INDEX(Ref!U:U,MATCH(Repo_TD[[#This Row],[MATURITY_DATE]]-RPT,Ref!S:S,1))</f>
        <v>3M</v>
      </c>
      <c r="Q47" s="72" t="str">
        <f>INDEX(Ref!U:U,MATCH(Repo_TD[[#This Row],[MATURITY_DATE]]-Repo_TD[[#This Row],[VALUE_DATE]],Ref!S:S,1))</f>
        <v>6M</v>
      </c>
      <c r="R47" s="568">
        <f>Repo_TD[[#This Row],[FIXED_RATE]]%*Repo_TD[[#This Row],[GLOBAL_AMOUNT]]/365/10^9</f>
        <v>7.5172447945205501E-2</v>
      </c>
      <c r="T47" s="38"/>
      <c r="U47" s="502">
        <v>46252</v>
      </c>
      <c r="V47">
        <v>18128</v>
      </c>
      <c r="W47" t="s">
        <v>2836</v>
      </c>
      <c r="X47" t="s">
        <v>3067</v>
      </c>
      <c r="Y47" t="s">
        <v>3068</v>
      </c>
      <c r="Z47" t="s">
        <v>2180</v>
      </c>
      <c r="AA47" t="s">
        <v>3294</v>
      </c>
      <c r="AB47" t="s">
        <v>822</v>
      </c>
      <c r="AC47" s="502">
        <v>46247</v>
      </c>
      <c r="AD47" s="502">
        <v>46247</v>
      </c>
      <c r="AE47" s="502">
        <v>46247</v>
      </c>
      <c r="AF47" s="502">
        <v>46282</v>
      </c>
      <c r="AG47" s="114">
        <v>54892700000</v>
      </c>
      <c r="AH47" s="114">
        <v>43665016295</v>
      </c>
      <c r="AI47" s="114">
        <v>43853433831</v>
      </c>
      <c r="AJ47">
        <v>4.5</v>
      </c>
      <c r="AK47" t="s">
        <v>2967</v>
      </c>
      <c r="AL47" s="72" t="str">
        <f>INDEX(Ref!U:U,MATCH(OMO[[#This Row],[MATURITY_DATE]]-RPT,Ref!S:S,1))</f>
        <v>1M</v>
      </c>
      <c r="AM47" s="72" t="str">
        <f>INDEX(Ref!U:U,MATCH(OMO[[#This Row],[MATURITY_DATE]]-OMO[[#This Row],[VALUE_DATE]],Ref!S:S,1))</f>
        <v>2M</v>
      </c>
      <c r="AN47" s="569">
        <f>OMO[[#This Row],[FIXED_RATE]]%*OMO[[#This Row],[GLOBAL_AMOUNT]]/365/10^9</f>
        <v>5.383358173356164E-3</v>
      </c>
      <c r="BF47" s="72"/>
      <c r="BG47" s="72"/>
      <c r="BH47" s="38"/>
    </row>
    <row r="48" spans="2:60" x14ac:dyDescent="0.3">
      <c r="B48" s="502">
        <v>46252</v>
      </c>
      <c r="C48">
        <v>18091</v>
      </c>
      <c r="D48" t="s">
        <v>2852</v>
      </c>
      <c r="E48" t="s">
        <v>3067</v>
      </c>
      <c r="F48" t="s">
        <v>2176</v>
      </c>
      <c r="G48" t="s">
        <v>812</v>
      </c>
      <c r="H48" s="502">
        <v>46234</v>
      </c>
      <c r="I48" s="502">
        <v>46234</v>
      </c>
      <c r="J48" s="502">
        <v>46238</v>
      </c>
      <c r="K48" s="502">
        <v>46269</v>
      </c>
      <c r="L48" s="37">
        <v>100000000000</v>
      </c>
      <c r="M48" s="37">
        <v>82334000000</v>
      </c>
      <c r="N48" s="37">
        <v>82641681030</v>
      </c>
      <c r="O48">
        <v>4.4000000000000004</v>
      </c>
      <c r="P48" s="72" t="str">
        <f>INDEX(Ref!U:U,MATCH(Repo_TD[[#This Row],[MATURITY_DATE]]-RPT,Ref!S:S,1))</f>
        <v>3W</v>
      </c>
      <c r="Q48" s="72" t="str">
        <f>INDEX(Ref!U:U,MATCH(Repo_TD[[#This Row],[MATURITY_DATE]]-Repo_TD[[#This Row],[VALUE_DATE]],Ref!S:S,1))</f>
        <v>2M</v>
      </c>
      <c r="R48" s="568">
        <f>Repo_TD[[#This Row],[FIXED_RATE]]%*Repo_TD[[#This Row],[GLOBAL_AMOUNT]]/365/10^9</f>
        <v>9.9251945205479468E-3</v>
      </c>
      <c r="T48" s="38"/>
      <c r="U48" s="502">
        <v>46252</v>
      </c>
      <c r="V48">
        <v>18122</v>
      </c>
      <c r="W48" t="s">
        <v>2775</v>
      </c>
      <c r="X48" t="s">
        <v>3067</v>
      </c>
      <c r="Y48" t="s">
        <v>3068</v>
      </c>
      <c r="Z48" t="s">
        <v>2180</v>
      </c>
      <c r="AA48" t="s">
        <v>3294</v>
      </c>
      <c r="AB48" t="s">
        <v>822</v>
      </c>
      <c r="AC48" s="502">
        <v>46247</v>
      </c>
      <c r="AD48" s="502">
        <v>46247</v>
      </c>
      <c r="AE48" s="502">
        <v>46247</v>
      </c>
      <c r="AF48" s="502">
        <v>46282</v>
      </c>
      <c r="AG48" s="114">
        <v>311114600000</v>
      </c>
      <c r="AH48" s="114">
        <v>264048492399</v>
      </c>
      <c r="AI48" s="114">
        <v>265187879729</v>
      </c>
      <c r="AJ48">
        <v>4.5</v>
      </c>
      <c r="AK48" t="s">
        <v>2967</v>
      </c>
      <c r="AL48" s="72" t="str">
        <f>INDEX(Ref!U:U,MATCH(OMO[[#This Row],[MATURITY_DATE]]-RPT,Ref!S:S,1))</f>
        <v>1M</v>
      </c>
      <c r="AM48" s="72" t="str">
        <f>INDEX(Ref!U:U,MATCH(OMO[[#This Row],[MATURITY_DATE]]-OMO[[#This Row],[VALUE_DATE]],Ref!S:S,1))</f>
        <v>2M</v>
      </c>
      <c r="AN48" s="569">
        <f>OMO[[#This Row],[FIXED_RATE]]%*OMO[[#This Row],[GLOBAL_AMOUNT]]/365/10^9</f>
        <v>3.2553923720424656E-2</v>
      </c>
      <c r="BF48" s="72"/>
      <c r="BG48" s="72"/>
      <c r="BH48" s="38"/>
    </row>
    <row r="49" spans="2:60" x14ac:dyDescent="0.3">
      <c r="B49" s="502">
        <v>46252</v>
      </c>
      <c r="C49">
        <v>18120</v>
      </c>
      <c r="D49" t="s">
        <v>2852</v>
      </c>
      <c r="E49" t="s">
        <v>3067</v>
      </c>
      <c r="F49" t="s">
        <v>2176</v>
      </c>
      <c r="G49" t="s">
        <v>812</v>
      </c>
      <c r="H49" s="502">
        <v>46247</v>
      </c>
      <c r="I49" s="502">
        <v>46247</v>
      </c>
      <c r="J49" s="502">
        <v>46252</v>
      </c>
      <c r="K49" s="502">
        <v>46283</v>
      </c>
      <c r="L49" s="37">
        <v>100000000000</v>
      </c>
      <c r="M49" s="37">
        <v>81919000000</v>
      </c>
      <c r="N49" s="37">
        <v>82225130181</v>
      </c>
      <c r="O49">
        <v>4.4000000000000004</v>
      </c>
      <c r="P49" s="72" t="str">
        <f>INDEX(Ref!U:U,MATCH(Repo_TD[[#This Row],[MATURITY_DATE]]-RPT,Ref!S:S,1))</f>
        <v>2M</v>
      </c>
      <c r="Q49" s="72" t="str">
        <f>INDEX(Ref!U:U,MATCH(Repo_TD[[#This Row],[MATURITY_DATE]]-Repo_TD[[#This Row],[VALUE_DATE]],Ref!S:S,1))</f>
        <v>2M</v>
      </c>
      <c r="R49" s="568">
        <f>Repo_TD[[#This Row],[FIXED_RATE]]%*Repo_TD[[#This Row],[GLOBAL_AMOUNT]]/365/10^9</f>
        <v>9.8751671232876724E-3</v>
      </c>
      <c r="T49" s="38"/>
      <c r="U49" s="502">
        <v>46252</v>
      </c>
      <c r="V49">
        <v>18130</v>
      </c>
      <c r="W49" t="s">
        <v>2782</v>
      </c>
      <c r="X49" t="s">
        <v>3067</v>
      </c>
      <c r="Y49" t="s">
        <v>3068</v>
      </c>
      <c r="Z49" t="s">
        <v>2180</v>
      </c>
      <c r="AA49" t="s">
        <v>3294</v>
      </c>
      <c r="AB49" t="s">
        <v>822</v>
      </c>
      <c r="AC49" s="502">
        <v>46247</v>
      </c>
      <c r="AD49" s="502">
        <v>46247</v>
      </c>
      <c r="AE49" s="502">
        <v>46247</v>
      </c>
      <c r="AF49" s="502">
        <v>46282</v>
      </c>
      <c r="AG49" s="114">
        <v>296883600000</v>
      </c>
      <c r="AH49" s="114">
        <v>246416258385</v>
      </c>
      <c r="AI49" s="114">
        <v>247479561418</v>
      </c>
      <c r="AJ49">
        <v>4.5</v>
      </c>
      <c r="AK49" t="s">
        <v>2967</v>
      </c>
      <c r="AL49" s="72" t="str">
        <f>INDEX(Ref!U:U,MATCH(OMO[[#This Row],[MATURITY_DATE]]-RPT,Ref!S:S,1))</f>
        <v>1M</v>
      </c>
      <c r="AM49" s="72" t="str">
        <f>INDEX(Ref!U:U,MATCH(OMO[[#This Row],[MATURITY_DATE]]-OMO[[#This Row],[VALUE_DATE]],Ref!S:S,1))</f>
        <v>2M</v>
      </c>
      <c r="AN49" s="569">
        <f>OMO[[#This Row],[FIXED_RATE]]%*OMO[[#This Row],[GLOBAL_AMOUNT]]/365/10^9</f>
        <v>3.0380086650205477E-2</v>
      </c>
      <c r="BF49" s="72"/>
      <c r="BG49" s="72"/>
      <c r="BH49" s="38"/>
    </row>
    <row r="50" spans="2:60" x14ac:dyDescent="0.3">
      <c r="B50" s="502">
        <v>46252</v>
      </c>
      <c r="C50">
        <v>18018</v>
      </c>
      <c r="D50" t="s">
        <v>2839</v>
      </c>
      <c r="E50" t="s">
        <v>3067</v>
      </c>
      <c r="F50" t="s">
        <v>2176</v>
      </c>
      <c r="G50" t="s">
        <v>812</v>
      </c>
      <c r="H50" s="502">
        <v>46216</v>
      </c>
      <c r="I50" s="502">
        <v>46216</v>
      </c>
      <c r="J50" s="502">
        <v>46218</v>
      </c>
      <c r="K50" s="502">
        <v>46283</v>
      </c>
      <c r="L50" s="37">
        <v>450000000000</v>
      </c>
      <c r="M50" s="37">
        <v>374359500000</v>
      </c>
      <c r="N50" s="37">
        <v>377426170973</v>
      </c>
      <c r="O50">
        <v>4.5999999999999996</v>
      </c>
      <c r="P50" s="72" t="str">
        <f>INDEX(Ref!U:U,MATCH(Repo_TD[[#This Row],[MATURITY_DATE]]-RPT,Ref!S:S,1))</f>
        <v>2M</v>
      </c>
      <c r="Q50" s="72" t="str">
        <f>INDEX(Ref!U:U,MATCH(Repo_TD[[#This Row],[MATURITY_DATE]]-Repo_TD[[#This Row],[VALUE_DATE]],Ref!S:S,1))</f>
        <v>3M</v>
      </c>
      <c r="R50" s="568">
        <f>Repo_TD[[#This Row],[FIXED_RATE]]%*Repo_TD[[#This Row],[GLOBAL_AMOUNT]]/365/10^9</f>
        <v>4.717955342465753E-2</v>
      </c>
      <c r="T50" s="38"/>
      <c r="U50" s="502">
        <v>46252</v>
      </c>
      <c r="V50">
        <v>18131</v>
      </c>
      <c r="W50" t="s">
        <v>670</v>
      </c>
      <c r="X50" t="s">
        <v>3067</v>
      </c>
      <c r="Y50" t="s">
        <v>3068</v>
      </c>
      <c r="Z50" t="s">
        <v>2180</v>
      </c>
      <c r="AA50" t="s">
        <v>3294</v>
      </c>
      <c r="AB50" t="s">
        <v>822</v>
      </c>
      <c r="AC50" s="502">
        <v>46247</v>
      </c>
      <c r="AD50" s="502">
        <v>46247</v>
      </c>
      <c r="AE50" s="502">
        <v>46247</v>
      </c>
      <c r="AF50" s="502">
        <v>46282</v>
      </c>
      <c r="AG50" s="114">
        <v>50000000000</v>
      </c>
      <c r="AH50" s="114">
        <v>47498094452</v>
      </c>
      <c r="AI50" s="114">
        <v>47703051983</v>
      </c>
      <c r="AJ50">
        <v>4.5</v>
      </c>
      <c r="AK50" t="s">
        <v>2967</v>
      </c>
      <c r="AL50" s="72" t="str">
        <f>INDEX(Ref!U:U,MATCH(OMO[[#This Row],[MATURITY_DATE]]-RPT,Ref!S:S,1))</f>
        <v>1M</v>
      </c>
      <c r="AM50" s="72" t="str">
        <f>INDEX(Ref!U:U,MATCH(OMO[[#This Row],[MATURITY_DATE]]-OMO[[#This Row],[VALUE_DATE]],Ref!S:S,1))</f>
        <v>2M</v>
      </c>
      <c r="AN50" s="569">
        <f>OMO[[#This Row],[FIXED_RATE]]%*OMO[[#This Row],[GLOBAL_AMOUNT]]/365/10^9</f>
        <v>5.8559294529863005E-3</v>
      </c>
      <c r="BF50" s="72"/>
      <c r="BG50" s="72"/>
      <c r="BH50" s="38"/>
    </row>
    <row r="51" spans="2:60" x14ac:dyDescent="0.3">
      <c r="B51" s="502">
        <v>46252</v>
      </c>
      <c r="C51">
        <v>18105</v>
      </c>
      <c r="D51" t="s">
        <v>2839</v>
      </c>
      <c r="E51" t="s">
        <v>3067</v>
      </c>
      <c r="F51" t="s">
        <v>2176</v>
      </c>
      <c r="G51" t="s">
        <v>812</v>
      </c>
      <c r="H51" s="502">
        <v>46244</v>
      </c>
      <c r="I51" s="502">
        <v>46244</v>
      </c>
      <c r="J51" s="502">
        <v>46246</v>
      </c>
      <c r="K51" s="502">
        <v>46338</v>
      </c>
      <c r="L51" s="37">
        <v>100000000000</v>
      </c>
      <c r="M51" s="37">
        <v>81613000000</v>
      </c>
      <c r="N51" s="37">
        <v>82538692658</v>
      </c>
      <c r="O51">
        <v>4.5</v>
      </c>
      <c r="P51" s="72" t="str">
        <f>INDEX(Ref!U:U,MATCH(Repo_TD[[#This Row],[MATURITY_DATE]]-RPT,Ref!S:S,1))</f>
        <v>3M</v>
      </c>
      <c r="Q51" s="72" t="str">
        <f>INDEX(Ref!U:U,MATCH(Repo_TD[[#This Row],[MATURITY_DATE]]-Repo_TD[[#This Row],[VALUE_DATE]],Ref!S:S,1))</f>
        <v>6M</v>
      </c>
      <c r="R51" s="568">
        <f>Repo_TD[[#This Row],[FIXED_RATE]]%*Repo_TD[[#This Row],[GLOBAL_AMOUNT]]/365/10^9</f>
        <v>1.0061876712328768E-2</v>
      </c>
      <c r="T51" s="38"/>
      <c r="U51" s="502">
        <v>46252</v>
      </c>
      <c r="V51">
        <v>18123</v>
      </c>
      <c r="W51" t="s">
        <v>2774</v>
      </c>
      <c r="X51" t="s">
        <v>3067</v>
      </c>
      <c r="Y51" t="s">
        <v>3068</v>
      </c>
      <c r="Z51" t="s">
        <v>2180</v>
      </c>
      <c r="AA51" t="s">
        <v>3294</v>
      </c>
      <c r="AB51" t="s">
        <v>822</v>
      </c>
      <c r="AC51" s="502">
        <v>46247</v>
      </c>
      <c r="AD51" s="502">
        <v>46247</v>
      </c>
      <c r="AE51" s="502">
        <v>46247</v>
      </c>
      <c r="AF51" s="502">
        <v>46282</v>
      </c>
      <c r="AG51" s="114">
        <v>82166900000</v>
      </c>
      <c r="AH51" s="114">
        <v>70352902527</v>
      </c>
      <c r="AI51" s="114">
        <v>70656480120</v>
      </c>
      <c r="AJ51">
        <v>4.5</v>
      </c>
      <c r="AK51" t="s">
        <v>2967</v>
      </c>
      <c r="AL51" s="72" t="str">
        <f>INDEX(Ref!U:U,MATCH(OMO[[#This Row],[MATURITY_DATE]]-RPT,Ref!S:S,1))</f>
        <v>1M</v>
      </c>
      <c r="AM51" s="72" t="str">
        <f>INDEX(Ref!U:U,MATCH(OMO[[#This Row],[MATURITY_DATE]]-OMO[[#This Row],[VALUE_DATE]],Ref!S:S,1))</f>
        <v>2M</v>
      </c>
      <c r="AN51" s="569">
        <f>OMO[[#This Row],[FIXED_RATE]]%*OMO[[#This Row],[GLOBAL_AMOUNT]]/365/10^9</f>
        <v>8.6736455170273973E-3</v>
      </c>
      <c r="BF51" s="72"/>
      <c r="BG51" s="72"/>
      <c r="BH51" s="38"/>
    </row>
    <row r="52" spans="2:60" x14ac:dyDescent="0.3">
      <c r="B52" s="502">
        <v>46252</v>
      </c>
      <c r="C52">
        <v>18026</v>
      </c>
      <c r="D52" t="s">
        <v>2741</v>
      </c>
      <c r="E52" t="s">
        <v>3067</v>
      </c>
      <c r="F52" t="s">
        <v>2176</v>
      </c>
      <c r="G52" t="s">
        <v>812</v>
      </c>
      <c r="H52" s="502">
        <v>46217</v>
      </c>
      <c r="I52" s="502">
        <v>46217</v>
      </c>
      <c r="J52" s="502">
        <v>46219</v>
      </c>
      <c r="K52" s="502">
        <v>46283</v>
      </c>
      <c r="L52" s="37">
        <v>200000000000</v>
      </c>
      <c r="M52" s="37">
        <v>152538000000</v>
      </c>
      <c r="N52" s="37">
        <v>153768333896</v>
      </c>
      <c r="O52">
        <v>4.5999999999999996</v>
      </c>
      <c r="P52" s="72" t="str">
        <f>INDEX(Ref!U:U,MATCH(Repo_TD[[#This Row],[MATURITY_DATE]]-RPT,Ref!S:S,1))</f>
        <v>2M</v>
      </c>
      <c r="Q52" s="72" t="str">
        <f>INDEX(Ref!U:U,MATCH(Repo_TD[[#This Row],[MATURITY_DATE]]-Repo_TD[[#This Row],[VALUE_DATE]],Ref!S:S,1))</f>
        <v>3M</v>
      </c>
      <c r="R52" s="568">
        <f>Repo_TD[[#This Row],[FIXED_RATE]]%*Repo_TD[[#This Row],[GLOBAL_AMOUNT]]/365/10^9</f>
        <v>1.922396712328767E-2</v>
      </c>
      <c r="T52" s="38"/>
      <c r="U52" s="502">
        <v>46252</v>
      </c>
      <c r="V52">
        <v>18126</v>
      </c>
      <c r="W52" t="s">
        <v>3317</v>
      </c>
      <c r="X52" t="s">
        <v>3067</v>
      </c>
      <c r="Y52" t="s">
        <v>3068</v>
      </c>
      <c r="Z52" t="s">
        <v>2180</v>
      </c>
      <c r="AA52" t="s">
        <v>3294</v>
      </c>
      <c r="AB52" t="s">
        <v>822</v>
      </c>
      <c r="AC52" s="502">
        <v>46247</v>
      </c>
      <c r="AD52" s="502">
        <v>46247</v>
      </c>
      <c r="AE52" s="502">
        <v>46247</v>
      </c>
      <c r="AF52" s="502">
        <v>46282</v>
      </c>
      <c r="AG52" s="114">
        <v>35191800000</v>
      </c>
      <c r="AH52" s="114">
        <v>28924583519</v>
      </c>
      <c r="AI52" s="114">
        <v>29049395078</v>
      </c>
      <c r="AJ52">
        <v>4.5</v>
      </c>
      <c r="AK52" t="s">
        <v>2967</v>
      </c>
      <c r="AL52" s="72" t="str">
        <f>INDEX(Ref!U:U,MATCH(OMO[[#This Row],[MATURITY_DATE]]-RPT,Ref!S:S,1))</f>
        <v>1M</v>
      </c>
      <c r="AM52" s="72" t="str">
        <f>INDEX(Ref!U:U,MATCH(OMO[[#This Row],[MATURITY_DATE]]-OMO[[#This Row],[VALUE_DATE]],Ref!S:S,1))</f>
        <v>2M</v>
      </c>
      <c r="AN52" s="569">
        <f>OMO[[#This Row],[FIXED_RATE]]%*OMO[[#This Row],[GLOBAL_AMOUNT]]/365/10^9</f>
        <v>3.5660445434383564E-3</v>
      </c>
      <c r="BF52" s="72"/>
      <c r="BG52" s="72"/>
      <c r="BH52" s="38"/>
    </row>
    <row r="53" spans="2:60" x14ac:dyDescent="0.3">
      <c r="B53" s="502">
        <v>46252</v>
      </c>
      <c r="C53">
        <v>18043</v>
      </c>
      <c r="D53" t="s">
        <v>2741</v>
      </c>
      <c r="E53" t="s">
        <v>3067</v>
      </c>
      <c r="F53" t="s">
        <v>2176</v>
      </c>
      <c r="G53" t="s">
        <v>812</v>
      </c>
      <c r="H53" s="502">
        <v>46219</v>
      </c>
      <c r="I53" s="502">
        <v>46219</v>
      </c>
      <c r="J53" s="502">
        <v>46223</v>
      </c>
      <c r="K53" s="502">
        <v>46254</v>
      </c>
      <c r="L53" s="37">
        <v>600000000000</v>
      </c>
      <c r="M53" s="37">
        <v>457830000000</v>
      </c>
      <c r="N53" s="37">
        <v>459560346534</v>
      </c>
      <c r="O53">
        <v>4.45</v>
      </c>
      <c r="P53" s="72" t="str">
        <f>INDEX(Ref!U:U,MATCH(Repo_TD[[#This Row],[MATURITY_DATE]]-RPT,Ref!S:S,1))</f>
        <v>1W</v>
      </c>
      <c r="Q53" s="72" t="str">
        <f>INDEX(Ref!U:U,MATCH(Repo_TD[[#This Row],[MATURITY_DATE]]-Repo_TD[[#This Row],[VALUE_DATE]],Ref!S:S,1))</f>
        <v>2M</v>
      </c>
      <c r="R53" s="568">
        <f>Repo_TD[[#This Row],[FIXED_RATE]]%*Repo_TD[[#This Row],[GLOBAL_AMOUNT]]/365/10^9</f>
        <v>5.5817630136986318E-2</v>
      </c>
      <c r="T53" s="38"/>
      <c r="U53" s="502">
        <v>46252</v>
      </c>
      <c r="V53">
        <v>18137</v>
      </c>
      <c r="W53" t="s">
        <v>712</v>
      </c>
      <c r="X53" t="s">
        <v>3067</v>
      </c>
      <c r="Y53" t="s">
        <v>3068</v>
      </c>
      <c r="Z53" t="s">
        <v>2180</v>
      </c>
      <c r="AA53" t="s">
        <v>3294</v>
      </c>
      <c r="AB53" t="s">
        <v>822</v>
      </c>
      <c r="AC53" s="502">
        <v>46251</v>
      </c>
      <c r="AD53" s="502">
        <v>46251</v>
      </c>
      <c r="AE53" s="502">
        <v>46251</v>
      </c>
      <c r="AF53" s="502">
        <v>46258</v>
      </c>
      <c r="AG53" s="114">
        <v>50000000000</v>
      </c>
      <c r="AH53" s="114">
        <v>41946123028</v>
      </c>
      <c r="AI53" s="114">
        <v>41982323107</v>
      </c>
      <c r="AJ53">
        <v>4.5</v>
      </c>
      <c r="AK53" t="s">
        <v>2967</v>
      </c>
      <c r="AL53" s="72" t="str">
        <f>INDEX(Ref!U:U,MATCH(OMO[[#This Row],[MATURITY_DATE]]-RPT,Ref!S:S,1))</f>
        <v>1W</v>
      </c>
      <c r="AM53" s="72" t="str">
        <f>INDEX(Ref!U:U,MATCH(OMO[[#This Row],[MATURITY_DATE]]-OMO[[#This Row],[VALUE_DATE]],Ref!S:S,1))</f>
        <v>1W</v>
      </c>
      <c r="AN53" s="569">
        <f>OMO[[#This Row],[FIXED_RATE]]%*OMO[[#This Row],[GLOBAL_AMOUNT]]/365/10^9</f>
        <v>5.1714398253698626E-3</v>
      </c>
      <c r="BF53" s="72"/>
      <c r="BG53" s="72"/>
      <c r="BH53" s="38"/>
    </row>
    <row r="54" spans="2:60" x14ac:dyDescent="0.3">
      <c r="B54" s="502">
        <v>46252</v>
      </c>
      <c r="C54">
        <v>18017</v>
      </c>
      <c r="D54" t="s">
        <v>2836</v>
      </c>
      <c r="E54" t="s">
        <v>3067</v>
      </c>
      <c r="F54" t="s">
        <v>2176</v>
      </c>
      <c r="G54" t="s">
        <v>812</v>
      </c>
      <c r="H54" s="502">
        <v>46216</v>
      </c>
      <c r="I54" s="502">
        <v>46216</v>
      </c>
      <c r="J54" s="502">
        <v>46218</v>
      </c>
      <c r="K54" s="502">
        <v>46283</v>
      </c>
      <c r="L54" s="37">
        <v>200000000000</v>
      </c>
      <c r="M54" s="37">
        <v>162014000000</v>
      </c>
      <c r="N54" s="37">
        <v>163341183178</v>
      </c>
      <c r="O54">
        <v>4.5999999999999996</v>
      </c>
      <c r="P54" s="72" t="str">
        <f>INDEX(Ref!U:U,MATCH(Repo_TD[[#This Row],[MATURITY_DATE]]-RPT,Ref!S:S,1))</f>
        <v>2M</v>
      </c>
      <c r="Q54" s="72" t="str">
        <f>INDEX(Ref!U:U,MATCH(Repo_TD[[#This Row],[MATURITY_DATE]]-Repo_TD[[#This Row],[VALUE_DATE]],Ref!S:S,1))</f>
        <v>3M</v>
      </c>
      <c r="R54" s="568">
        <f>Repo_TD[[#This Row],[FIXED_RATE]]%*Repo_TD[[#This Row],[GLOBAL_AMOUNT]]/365/10^9</f>
        <v>2.0418202739726027E-2</v>
      </c>
      <c r="T54" s="38"/>
      <c r="U54" s="502">
        <v>46252</v>
      </c>
      <c r="V54">
        <v>18139</v>
      </c>
      <c r="W54" t="s">
        <v>669</v>
      </c>
      <c r="X54" t="s">
        <v>3067</v>
      </c>
      <c r="Y54" t="s">
        <v>3068</v>
      </c>
      <c r="Z54" t="s">
        <v>2180</v>
      </c>
      <c r="AA54" t="s">
        <v>3294</v>
      </c>
      <c r="AB54" t="s">
        <v>822</v>
      </c>
      <c r="AC54" s="502">
        <v>46251</v>
      </c>
      <c r="AD54" s="502">
        <v>46251</v>
      </c>
      <c r="AE54" s="502">
        <v>46251</v>
      </c>
      <c r="AF54" s="502">
        <v>46258</v>
      </c>
      <c r="AG54" s="114">
        <v>141403000000</v>
      </c>
      <c r="AH54" s="114">
        <v>128430721860</v>
      </c>
      <c r="AI54" s="114">
        <v>128541559332</v>
      </c>
      <c r="AJ54">
        <v>4.5</v>
      </c>
      <c r="AK54" t="s">
        <v>2967</v>
      </c>
      <c r="AL54" s="72" t="str">
        <f>INDEX(Ref!U:U,MATCH(OMO[[#This Row],[MATURITY_DATE]]-RPT,Ref!S:S,1))</f>
        <v>1W</v>
      </c>
      <c r="AM54" s="72" t="str">
        <f>INDEX(Ref!U:U,MATCH(OMO[[#This Row],[MATURITY_DATE]]-OMO[[#This Row],[VALUE_DATE]],Ref!S:S,1))</f>
        <v>1W</v>
      </c>
      <c r="AN54" s="569">
        <f>OMO[[#This Row],[FIXED_RATE]]%*OMO[[#This Row],[GLOBAL_AMOUNT]]/365/10^9</f>
        <v>1.583392461287671E-2</v>
      </c>
      <c r="BF54" s="72"/>
      <c r="BG54" s="72"/>
      <c r="BH54" s="38"/>
    </row>
    <row r="55" spans="2:60" x14ac:dyDescent="0.3">
      <c r="B55" s="502">
        <v>46252</v>
      </c>
      <c r="C55">
        <v>18021</v>
      </c>
      <c r="D55" t="s">
        <v>3081</v>
      </c>
      <c r="E55" t="s">
        <v>3067</v>
      </c>
      <c r="F55" t="s">
        <v>2176</v>
      </c>
      <c r="G55" t="s">
        <v>812</v>
      </c>
      <c r="H55" s="502">
        <v>46216</v>
      </c>
      <c r="I55" s="502">
        <v>46216</v>
      </c>
      <c r="J55" s="502">
        <v>46218</v>
      </c>
      <c r="K55" s="502">
        <v>46283</v>
      </c>
      <c r="L55" s="37">
        <v>100000000000</v>
      </c>
      <c r="M55" s="37">
        <v>82529000000</v>
      </c>
      <c r="N55" s="37">
        <v>83205059479</v>
      </c>
      <c r="O55">
        <v>4.5999999999999996</v>
      </c>
      <c r="P55" s="72" t="str">
        <f>INDEX(Ref!U:U,MATCH(Repo_TD[[#This Row],[MATURITY_DATE]]-RPT,Ref!S:S,1))</f>
        <v>2M</v>
      </c>
      <c r="Q55" s="72" t="str">
        <f>INDEX(Ref!U:U,MATCH(Repo_TD[[#This Row],[MATURITY_DATE]]-Repo_TD[[#This Row],[VALUE_DATE]],Ref!S:S,1))</f>
        <v>3M</v>
      </c>
      <c r="R55" s="568">
        <f>Repo_TD[[#This Row],[FIXED_RATE]]%*Repo_TD[[#This Row],[GLOBAL_AMOUNT]]/365/10^9</f>
        <v>1.0400915068493151E-2</v>
      </c>
      <c r="T55" s="38"/>
      <c r="U55" s="502">
        <v>46252</v>
      </c>
      <c r="V55">
        <v>18138</v>
      </c>
      <c r="W55" t="s">
        <v>2835</v>
      </c>
      <c r="X55" t="s">
        <v>3067</v>
      </c>
      <c r="Y55" t="s">
        <v>3068</v>
      </c>
      <c r="Z55" t="s">
        <v>2180</v>
      </c>
      <c r="AA55" t="s">
        <v>3294</v>
      </c>
      <c r="AB55" t="s">
        <v>822</v>
      </c>
      <c r="AC55" s="502">
        <v>46251</v>
      </c>
      <c r="AD55" s="502">
        <v>46251</v>
      </c>
      <c r="AE55" s="502">
        <v>46251</v>
      </c>
      <c r="AF55" s="502">
        <v>46258</v>
      </c>
      <c r="AG55" s="114">
        <v>300000000000</v>
      </c>
      <c r="AH55" s="114">
        <v>225575759725</v>
      </c>
      <c r="AI55" s="114">
        <v>225770434696</v>
      </c>
      <c r="AJ55">
        <v>4.5</v>
      </c>
      <c r="AK55" t="s">
        <v>2967</v>
      </c>
      <c r="AL55" s="72" t="str">
        <f>INDEX(Ref!U:U,MATCH(OMO[[#This Row],[MATURITY_DATE]]-RPT,Ref!S:S,1))</f>
        <v>1W</v>
      </c>
      <c r="AM55" s="72" t="str">
        <f>INDEX(Ref!U:U,MATCH(OMO[[#This Row],[MATURITY_DATE]]-OMO[[#This Row],[VALUE_DATE]],Ref!S:S,1))</f>
        <v>1W</v>
      </c>
      <c r="AN55" s="569">
        <f>OMO[[#This Row],[FIXED_RATE]]%*OMO[[#This Row],[GLOBAL_AMOUNT]]/365/10^9</f>
        <v>2.7810710103082191E-2</v>
      </c>
      <c r="BF55" s="72"/>
      <c r="BG55" s="72"/>
      <c r="BH55" s="38"/>
    </row>
    <row r="56" spans="2:60" x14ac:dyDescent="0.3">
      <c r="B56" s="502">
        <v>46252</v>
      </c>
      <c r="C56">
        <v>18106</v>
      </c>
      <c r="D56" t="s">
        <v>3051</v>
      </c>
      <c r="E56" t="s">
        <v>3067</v>
      </c>
      <c r="F56" t="s">
        <v>2176</v>
      </c>
      <c r="G56" t="s">
        <v>812</v>
      </c>
      <c r="H56" s="502">
        <v>46244</v>
      </c>
      <c r="I56" s="502">
        <v>46244</v>
      </c>
      <c r="J56" s="502">
        <v>46246</v>
      </c>
      <c r="K56" s="502">
        <v>46338</v>
      </c>
      <c r="L56" s="37">
        <v>40000000000</v>
      </c>
      <c r="M56" s="37">
        <v>33417600000</v>
      </c>
      <c r="N56" s="37">
        <v>33796637984</v>
      </c>
      <c r="O56">
        <v>4.5</v>
      </c>
      <c r="P56" s="72" t="str">
        <f>INDEX(Ref!U:U,MATCH(Repo_TD[[#This Row],[MATURITY_DATE]]-RPT,Ref!S:S,1))</f>
        <v>3M</v>
      </c>
      <c r="Q56" s="72" t="str">
        <f>INDEX(Ref!U:U,MATCH(Repo_TD[[#This Row],[MATURITY_DATE]]-Repo_TD[[#This Row],[VALUE_DATE]],Ref!S:S,1))</f>
        <v>6M</v>
      </c>
      <c r="R56" s="568">
        <f>Repo_TD[[#This Row],[FIXED_RATE]]%*Repo_TD[[#This Row],[GLOBAL_AMOUNT]]/365/10^9</f>
        <v>4.119978082191781E-3</v>
      </c>
      <c r="T56" s="38"/>
      <c r="U56" s="502">
        <v>46252</v>
      </c>
      <c r="V56">
        <v>18140</v>
      </c>
      <c r="W56" t="s">
        <v>2836</v>
      </c>
      <c r="X56" t="s">
        <v>3067</v>
      </c>
      <c r="Y56" t="s">
        <v>3068</v>
      </c>
      <c r="Z56" t="s">
        <v>2180</v>
      </c>
      <c r="AA56" t="s">
        <v>3294</v>
      </c>
      <c r="AB56" t="s">
        <v>822</v>
      </c>
      <c r="AC56" s="502">
        <v>46251</v>
      </c>
      <c r="AD56" s="502">
        <v>46251</v>
      </c>
      <c r="AE56" s="502">
        <v>46251</v>
      </c>
      <c r="AF56" s="502">
        <v>46258</v>
      </c>
      <c r="AG56" s="114">
        <v>45322900000</v>
      </c>
      <c r="AH56" s="114">
        <v>36070006271</v>
      </c>
      <c r="AI56" s="114">
        <v>36101135181</v>
      </c>
      <c r="AJ56">
        <v>4.5</v>
      </c>
      <c r="AK56" t="s">
        <v>2967</v>
      </c>
      <c r="AL56" s="72" t="str">
        <f>INDEX(Ref!U:U,MATCH(OMO[[#This Row],[MATURITY_DATE]]-RPT,Ref!S:S,1))</f>
        <v>1W</v>
      </c>
      <c r="AM56" s="72" t="str">
        <f>INDEX(Ref!U:U,MATCH(OMO[[#This Row],[MATURITY_DATE]]-OMO[[#This Row],[VALUE_DATE]],Ref!S:S,1))</f>
        <v>1W</v>
      </c>
      <c r="AN56" s="569">
        <f>OMO[[#This Row],[FIXED_RATE]]%*OMO[[#This Row],[GLOBAL_AMOUNT]]/365/10^9</f>
        <v>4.4469870745068489E-3</v>
      </c>
      <c r="BF56" s="72"/>
      <c r="BG56" s="72"/>
      <c r="BH56" s="38"/>
    </row>
    <row r="57" spans="2:60" x14ac:dyDescent="0.3">
      <c r="B57" s="502">
        <v>46252</v>
      </c>
      <c r="C57">
        <v>18020</v>
      </c>
      <c r="D57" t="s">
        <v>3051</v>
      </c>
      <c r="E57" t="s">
        <v>3067</v>
      </c>
      <c r="F57" t="s">
        <v>2176</v>
      </c>
      <c r="G57" t="s">
        <v>812</v>
      </c>
      <c r="H57" s="502">
        <v>46216</v>
      </c>
      <c r="I57" s="502">
        <v>46216</v>
      </c>
      <c r="J57" s="502">
        <v>46218</v>
      </c>
      <c r="K57" s="502">
        <v>46283</v>
      </c>
      <c r="L57" s="37">
        <v>200000000000</v>
      </c>
      <c r="M57" s="37">
        <v>165328000000</v>
      </c>
      <c r="N57" s="37">
        <v>166682330740</v>
      </c>
      <c r="O57">
        <v>4.5999999999999996</v>
      </c>
      <c r="P57" s="72" t="str">
        <f>INDEX(Ref!U:U,MATCH(Repo_TD[[#This Row],[MATURITY_DATE]]-RPT,Ref!S:S,1))</f>
        <v>2M</v>
      </c>
      <c r="Q57" s="72" t="str">
        <f>INDEX(Ref!U:U,MATCH(Repo_TD[[#This Row],[MATURITY_DATE]]-Repo_TD[[#This Row],[VALUE_DATE]],Ref!S:S,1))</f>
        <v>3M</v>
      </c>
      <c r="R57" s="568">
        <f>Repo_TD[[#This Row],[FIXED_RATE]]%*Repo_TD[[#This Row],[GLOBAL_AMOUNT]]/365/10^9</f>
        <v>2.0835857534246573E-2</v>
      </c>
      <c r="T57" s="38"/>
      <c r="U57" s="502">
        <v>46252</v>
      </c>
      <c r="V57">
        <v>18135</v>
      </c>
      <c r="W57" t="s">
        <v>2843</v>
      </c>
      <c r="X57" t="s">
        <v>3067</v>
      </c>
      <c r="Y57" t="s">
        <v>3068</v>
      </c>
      <c r="Z57" t="s">
        <v>2180</v>
      </c>
      <c r="AA57" t="s">
        <v>3294</v>
      </c>
      <c r="AB57" t="s">
        <v>822</v>
      </c>
      <c r="AC57" s="502">
        <v>46251</v>
      </c>
      <c r="AD57" s="502">
        <v>46251</v>
      </c>
      <c r="AE57" s="502">
        <v>46251</v>
      </c>
      <c r="AF57" s="502">
        <v>46258</v>
      </c>
      <c r="AG57" s="114">
        <v>171155400000</v>
      </c>
      <c r="AH57" s="114">
        <v>145280149880</v>
      </c>
      <c r="AI57" s="114">
        <v>145405528639</v>
      </c>
      <c r="AJ57">
        <v>4.5</v>
      </c>
      <c r="AK57" t="s">
        <v>2967</v>
      </c>
      <c r="AL57" s="72" t="str">
        <f>INDEX(Ref!U:U,MATCH(OMO[[#This Row],[MATURITY_DATE]]-RPT,Ref!S:S,1))</f>
        <v>1W</v>
      </c>
      <c r="AM57" s="72" t="str">
        <f>INDEX(Ref!U:U,MATCH(OMO[[#This Row],[MATURITY_DATE]]-OMO[[#This Row],[VALUE_DATE]],Ref!S:S,1))</f>
        <v>1W</v>
      </c>
      <c r="AN57" s="569">
        <f>OMO[[#This Row],[FIXED_RATE]]%*OMO[[#This Row],[GLOBAL_AMOUNT]]/365/10^9</f>
        <v>1.7911251355068492E-2</v>
      </c>
      <c r="BF57" s="72"/>
      <c r="BG57" s="72"/>
      <c r="BH57" s="38"/>
    </row>
    <row r="58" spans="2:60" x14ac:dyDescent="0.3">
      <c r="B58" s="502">
        <v>46252</v>
      </c>
      <c r="C58">
        <v>18092</v>
      </c>
      <c r="D58" t="s">
        <v>3051</v>
      </c>
      <c r="E58" t="s">
        <v>3067</v>
      </c>
      <c r="F58" t="s">
        <v>2176</v>
      </c>
      <c r="G58" t="s">
        <v>812</v>
      </c>
      <c r="H58" s="502">
        <v>46234</v>
      </c>
      <c r="I58" s="502">
        <v>46234</v>
      </c>
      <c r="J58" s="502">
        <v>46238</v>
      </c>
      <c r="K58" s="502">
        <v>46269</v>
      </c>
      <c r="L58" s="37">
        <v>150000000000</v>
      </c>
      <c r="M58" s="37">
        <v>125652000000</v>
      </c>
      <c r="N58" s="37">
        <v>126121559803</v>
      </c>
      <c r="O58">
        <v>4.4000000000000004</v>
      </c>
      <c r="P58" s="72" t="str">
        <f>INDEX(Ref!U:U,MATCH(Repo_TD[[#This Row],[MATURITY_DATE]]-RPT,Ref!S:S,1))</f>
        <v>3W</v>
      </c>
      <c r="Q58" s="72" t="str">
        <f>INDEX(Ref!U:U,MATCH(Repo_TD[[#This Row],[MATURITY_DATE]]-Repo_TD[[#This Row],[VALUE_DATE]],Ref!S:S,1))</f>
        <v>2M</v>
      </c>
      <c r="R58" s="568">
        <f>Repo_TD[[#This Row],[FIXED_RATE]]%*Repo_TD[[#This Row],[GLOBAL_AMOUNT]]/365/10^9</f>
        <v>1.5147090410958906E-2</v>
      </c>
      <c r="T58" s="38"/>
      <c r="U58" s="502">
        <v>46252</v>
      </c>
      <c r="V58">
        <v>18136</v>
      </c>
      <c r="W58" t="s">
        <v>1147</v>
      </c>
      <c r="X58" t="s">
        <v>3067</v>
      </c>
      <c r="Y58" t="s">
        <v>3068</v>
      </c>
      <c r="Z58" t="s">
        <v>2180</v>
      </c>
      <c r="AA58" t="s">
        <v>3294</v>
      </c>
      <c r="AB58" t="s">
        <v>822</v>
      </c>
      <c r="AC58" s="502">
        <v>46251</v>
      </c>
      <c r="AD58" s="502">
        <v>46251</v>
      </c>
      <c r="AE58" s="502">
        <v>46251</v>
      </c>
      <c r="AF58" s="502">
        <v>46258</v>
      </c>
      <c r="AG58" s="114">
        <v>83903200000</v>
      </c>
      <c r="AH58" s="114">
        <v>86148991738</v>
      </c>
      <c r="AI58" s="114">
        <v>86223339498</v>
      </c>
      <c r="AJ58">
        <v>4.5</v>
      </c>
      <c r="AK58" t="s">
        <v>2967</v>
      </c>
      <c r="AL58" s="72" t="str">
        <f>INDEX(Ref!U:U,MATCH(OMO[[#This Row],[MATURITY_DATE]]-RPT,Ref!S:S,1))</f>
        <v>1W</v>
      </c>
      <c r="AM58" s="72" t="str">
        <f>INDEX(Ref!U:U,MATCH(OMO[[#This Row],[MATURITY_DATE]]-OMO[[#This Row],[VALUE_DATE]],Ref!S:S,1))</f>
        <v>1W</v>
      </c>
      <c r="AN58" s="569">
        <f>OMO[[#This Row],[FIXED_RATE]]%*OMO[[#This Row],[GLOBAL_AMOUNT]]/365/10^9</f>
        <v>1.0621108570438357E-2</v>
      </c>
      <c r="BF58" s="72"/>
      <c r="BG58" s="72"/>
      <c r="BH58" s="38"/>
    </row>
    <row r="59" spans="2:60" x14ac:dyDescent="0.3">
      <c r="B59" s="502">
        <v>46252</v>
      </c>
      <c r="C59">
        <v>18121</v>
      </c>
      <c r="D59" t="s">
        <v>3517</v>
      </c>
      <c r="E59" t="s">
        <v>3067</v>
      </c>
      <c r="F59" t="s">
        <v>2176</v>
      </c>
      <c r="G59" t="s">
        <v>812</v>
      </c>
      <c r="H59" s="502">
        <v>46247</v>
      </c>
      <c r="I59" s="502">
        <v>46247</v>
      </c>
      <c r="J59" s="502">
        <v>46252</v>
      </c>
      <c r="K59" s="502">
        <v>46283</v>
      </c>
      <c r="L59" s="37">
        <v>200000000000</v>
      </c>
      <c r="M59" s="37">
        <v>183430000000</v>
      </c>
      <c r="N59" s="37">
        <v>184115475397</v>
      </c>
      <c r="O59">
        <v>4.4000000000000004</v>
      </c>
      <c r="P59" s="72" t="str">
        <f>INDEX(Ref!U:U,MATCH(Repo_TD[[#This Row],[MATURITY_DATE]]-RPT,Ref!S:S,1))</f>
        <v>2M</v>
      </c>
      <c r="Q59" s="72" t="str">
        <f>INDEX(Ref!U:U,MATCH(Repo_TD[[#This Row],[MATURITY_DATE]]-Repo_TD[[#This Row],[VALUE_DATE]],Ref!S:S,1))</f>
        <v>2M</v>
      </c>
      <c r="R59" s="568">
        <f>Repo_TD[[#This Row],[FIXED_RATE]]%*Repo_TD[[#This Row],[GLOBAL_AMOUNT]]/365/10^9</f>
        <v>2.2112109589041098E-2</v>
      </c>
      <c r="T59" s="38"/>
      <c r="U59" s="502">
        <v>46252</v>
      </c>
      <c r="V59">
        <v>18141</v>
      </c>
      <c r="W59" t="s">
        <v>596</v>
      </c>
      <c r="X59" t="s">
        <v>3067</v>
      </c>
      <c r="Y59" t="s">
        <v>3068</v>
      </c>
      <c r="Z59" t="s">
        <v>2180</v>
      </c>
      <c r="AA59" t="s">
        <v>3294</v>
      </c>
      <c r="AB59" t="s">
        <v>822</v>
      </c>
      <c r="AC59" s="502">
        <v>46252</v>
      </c>
      <c r="AD59" s="502">
        <v>46252</v>
      </c>
      <c r="AE59" s="502">
        <v>46252</v>
      </c>
      <c r="AF59" s="502">
        <v>46287</v>
      </c>
      <c r="AG59" s="114">
        <v>140229800000</v>
      </c>
      <c r="AH59" s="114">
        <v>130513261599</v>
      </c>
      <c r="AI59" s="114">
        <v>131076435262</v>
      </c>
      <c r="AJ59">
        <v>4.5</v>
      </c>
      <c r="AK59" t="s">
        <v>2967</v>
      </c>
      <c r="AL59" s="72" t="str">
        <f>INDEX(Ref!U:U,MATCH(OMO[[#This Row],[MATURITY_DATE]]-RPT,Ref!S:S,1))</f>
        <v>2M</v>
      </c>
      <c r="AM59" s="72" t="str">
        <f>INDEX(Ref!U:U,MATCH(OMO[[#This Row],[MATURITY_DATE]]-OMO[[#This Row],[VALUE_DATE]],Ref!S:S,1))</f>
        <v>2M</v>
      </c>
      <c r="AN59" s="569">
        <f>OMO[[#This Row],[FIXED_RATE]]%*OMO[[#This Row],[GLOBAL_AMOUNT]]/365/10^9</f>
        <v>1.6090676087547946E-2</v>
      </c>
      <c r="BF59" s="72"/>
      <c r="BG59" s="72"/>
      <c r="BH59" s="38"/>
    </row>
    <row r="60" spans="2:60" x14ac:dyDescent="0.3">
      <c r="B60" s="502">
        <v>46252</v>
      </c>
      <c r="C60">
        <v>18012</v>
      </c>
      <c r="D60" t="s">
        <v>3317</v>
      </c>
      <c r="E60" t="s">
        <v>3067</v>
      </c>
      <c r="F60" t="s">
        <v>2176</v>
      </c>
      <c r="G60" t="s">
        <v>812</v>
      </c>
      <c r="H60" s="502">
        <v>46213</v>
      </c>
      <c r="I60" s="502">
        <v>46213</v>
      </c>
      <c r="J60" s="502">
        <v>46217</v>
      </c>
      <c r="K60" s="502">
        <v>46307</v>
      </c>
      <c r="L60" s="37">
        <v>300000000000</v>
      </c>
      <c r="M60" s="37">
        <v>254622000000</v>
      </c>
      <c r="N60" s="37">
        <v>257510041315</v>
      </c>
      <c r="O60">
        <v>4.5999999999999996</v>
      </c>
      <c r="P60" s="72" t="str">
        <f>INDEX(Ref!U:U,MATCH(Repo_TD[[#This Row],[MATURITY_DATE]]-RPT,Ref!S:S,1))</f>
        <v>2M</v>
      </c>
      <c r="Q60" s="72" t="str">
        <f>INDEX(Ref!U:U,MATCH(Repo_TD[[#This Row],[MATURITY_DATE]]-Repo_TD[[#This Row],[VALUE_DATE]],Ref!S:S,1))</f>
        <v>3M</v>
      </c>
      <c r="R60" s="568">
        <f>Repo_TD[[#This Row],[FIXED_RATE]]%*Repo_TD[[#This Row],[GLOBAL_AMOUNT]]/365/10^9</f>
        <v>3.2089347945205481E-2</v>
      </c>
      <c r="T60" s="38"/>
      <c r="U60" s="502">
        <v>46252</v>
      </c>
      <c r="V60">
        <v>18148</v>
      </c>
      <c r="W60" t="s">
        <v>593</v>
      </c>
      <c r="X60" t="s">
        <v>3067</v>
      </c>
      <c r="Y60" t="s">
        <v>3068</v>
      </c>
      <c r="Z60" t="s">
        <v>2180</v>
      </c>
      <c r="AA60" t="s">
        <v>3294</v>
      </c>
      <c r="AB60" t="s">
        <v>822</v>
      </c>
      <c r="AC60" s="502">
        <v>46252</v>
      </c>
      <c r="AD60" s="502">
        <v>46252</v>
      </c>
      <c r="AE60" s="502">
        <v>46252</v>
      </c>
      <c r="AF60" s="502">
        <v>46287</v>
      </c>
      <c r="AG60" s="114">
        <v>96252800000</v>
      </c>
      <c r="AH60" s="114">
        <v>104179054069</v>
      </c>
      <c r="AI60" s="114">
        <v>104628593823</v>
      </c>
      <c r="AJ60">
        <v>4.5</v>
      </c>
      <c r="AK60" t="s">
        <v>2967</v>
      </c>
      <c r="AL60" s="72" t="str">
        <f>INDEX(Ref!U:U,MATCH(OMO[[#This Row],[MATURITY_DATE]]-RPT,Ref!S:S,1))</f>
        <v>2M</v>
      </c>
      <c r="AM60" s="72" t="str">
        <f>INDEX(Ref!U:U,MATCH(OMO[[#This Row],[MATURITY_DATE]]-OMO[[#This Row],[VALUE_DATE]],Ref!S:S,1))</f>
        <v>2M</v>
      </c>
      <c r="AN60" s="569">
        <f>OMO[[#This Row],[FIXED_RATE]]%*OMO[[#This Row],[GLOBAL_AMOUNT]]/365/10^9</f>
        <v>1.2843992967410957E-2</v>
      </c>
      <c r="BF60" s="72"/>
      <c r="BG60" s="72"/>
      <c r="BH60" s="38"/>
    </row>
    <row r="61" spans="2:60" x14ac:dyDescent="0.3">
      <c r="B61" s="502">
        <v>46252</v>
      </c>
      <c r="C61">
        <v>18050</v>
      </c>
      <c r="D61" t="s">
        <v>666</v>
      </c>
      <c r="E61" t="s">
        <v>3067</v>
      </c>
      <c r="F61" t="s">
        <v>2176</v>
      </c>
      <c r="G61" t="s">
        <v>823</v>
      </c>
      <c r="H61" s="502">
        <v>46220</v>
      </c>
      <c r="I61" s="502">
        <v>46220</v>
      </c>
      <c r="J61" s="502">
        <v>46224</v>
      </c>
      <c r="K61" s="502">
        <v>46286</v>
      </c>
      <c r="L61" s="37">
        <v>150000000000</v>
      </c>
      <c r="M61" s="37">
        <v>145804500000</v>
      </c>
      <c r="N61" s="37">
        <v>146931389026</v>
      </c>
      <c r="O61">
        <v>4.55</v>
      </c>
      <c r="P61" s="72" t="str">
        <f>INDEX(Ref!U:U,MATCH(Repo_TD[[#This Row],[MATURITY_DATE]]-RPT,Ref!S:S,1))</f>
        <v>2M</v>
      </c>
      <c r="Q61" s="72" t="str">
        <f>INDEX(Ref!U:U,MATCH(Repo_TD[[#This Row],[MATURITY_DATE]]-Repo_TD[[#This Row],[VALUE_DATE]],Ref!S:S,1))</f>
        <v>3M</v>
      </c>
      <c r="R61" s="568">
        <f>Repo_TD[[#This Row],[FIXED_RATE]]%*Repo_TD[[#This Row],[GLOBAL_AMOUNT]]/365/10^9</f>
        <v>1.8175629452054795E-2</v>
      </c>
      <c r="T61" s="38"/>
      <c r="U61" s="502">
        <v>46252</v>
      </c>
      <c r="V61">
        <v>18145</v>
      </c>
      <c r="W61" t="s">
        <v>724</v>
      </c>
      <c r="X61" t="s">
        <v>3067</v>
      </c>
      <c r="Y61" t="s">
        <v>3068</v>
      </c>
      <c r="Z61" t="s">
        <v>2180</v>
      </c>
      <c r="AA61" t="s">
        <v>3294</v>
      </c>
      <c r="AB61" t="s">
        <v>822</v>
      </c>
      <c r="AC61" s="502">
        <v>46252</v>
      </c>
      <c r="AD61" s="502">
        <v>46252</v>
      </c>
      <c r="AE61" s="502">
        <v>46252</v>
      </c>
      <c r="AF61" s="502">
        <v>46287</v>
      </c>
      <c r="AG61" s="114">
        <v>62254400000</v>
      </c>
      <c r="AH61" s="114">
        <v>80436886910</v>
      </c>
      <c r="AI61" s="114">
        <v>80783977586</v>
      </c>
      <c r="AJ61">
        <v>4.5</v>
      </c>
      <c r="AK61" t="s">
        <v>2967</v>
      </c>
      <c r="AL61" s="72" t="str">
        <f>INDEX(Ref!U:U,MATCH(OMO[[#This Row],[MATURITY_DATE]]-RPT,Ref!S:S,1))</f>
        <v>2M</v>
      </c>
      <c r="AM61" s="72" t="str">
        <f>INDEX(Ref!U:U,MATCH(OMO[[#This Row],[MATURITY_DATE]]-OMO[[#This Row],[VALUE_DATE]],Ref!S:S,1))</f>
        <v>2M</v>
      </c>
      <c r="AN61" s="569">
        <f>OMO[[#This Row],[FIXED_RATE]]%*OMO[[#This Row],[GLOBAL_AMOUNT]]/365/10^9</f>
        <v>9.9168764683561644E-3</v>
      </c>
      <c r="BF61" s="72"/>
      <c r="BG61" s="72"/>
      <c r="BH61" s="38"/>
    </row>
    <row r="62" spans="2:60" x14ac:dyDescent="0.3">
      <c r="B62" s="502">
        <v>46252</v>
      </c>
      <c r="C62">
        <v>17909</v>
      </c>
      <c r="D62" t="s">
        <v>667</v>
      </c>
      <c r="E62" t="s">
        <v>3067</v>
      </c>
      <c r="F62" t="s">
        <v>2176</v>
      </c>
      <c r="G62" t="s">
        <v>823</v>
      </c>
      <c r="H62" s="502">
        <v>46197</v>
      </c>
      <c r="I62" s="502">
        <v>46197</v>
      </c>
      <c r="J62" s="502">
        <v>46199</v>
      </c>
      <c r="K62" s="502">
        <v>46259</v>
      </c>
      <c r="L62" s="37">
        <v>50000000000</v>
      </c>
      <c r="M62" s="37">
        <v>47867500000</v>
      </c>
      <c r="N62" s="37">
        <v>48229456986</v>
      </c>
      <c r="O62">
        <v>4.5999999999999996</v>
      </c>
      <c r="P62" s="72" t="str">
        <f>INDEX(Ref!U:U,MATCH(Repo_TD[[#This Row],[MATURITY_DATE]]-RPT,Ref!S:S,1))</f>
        <v>1W</v>
      </c>
      <c r="Q62" s="72" t="str">
        <f>INDEX(Ref!U:U,MATCH(Repo_TD[[#This Row],[MATURITY_DATE]]-Repo_TD[[#This Row],[VALUE_DATE]],Ref!S:S,1))</f>
        <v>2M</v>
      </c>
      <c r="R62" s="568">
        <f>Repo_TD[[#This Row],[FIXED_RATE]]%*Repo_TD[[#This Row],[GLOBAL_AMOUNT]]/365/10^9</f>
        <v>6.0326164383561649E-3</v>
      </c>
      <c r="T62" s="38"/>
      <c r="U62" s="502">
        <v>46252</v>
      </c>
      <c r="V62">
        <v>18147</v>
      </c>
      <c r="W62" t="s">
        <v>669</v>
      </c>
      <c r="X62" t="s">
        <v>3067</v>
      </c>
      <c r="Y62" t="s">
        <v>3068</v>
      </c>
      <c r="Z62" t="s">
        <v>2180</v>
      </c>
      <c r="AA62" t="s">
        <v>3294</v>
      </c>
      <c r="AB62" t="s">
        <v>822</v>
      </c>
      <c r="AC62" s="502">
        <v>46252</v>
      </c>
      <c r="AD62" s="502">
        <v>46252</v>
      </c>
      <c r="AE62" s="502">
        <v>46252</v>
      </c>
      <c r="AF62" s="502">
        <v>46287</v>
      </c>
      <c r="AG62" s="114">
        <v>108597000000</v>
      </c>
      <c r="AH62" s="114">
        <v>98646232072</v>
      </c>
      <c r="AI62" s="114">
        <v>99071897320</v>
      </c>
      <c r="AJ62">
        <v>4.5</v>
      </c>
      <c r="AK62" t="s">
        <v>2967</v>
      </c>
      <c r="AL62" s="72" t="str">
        <f>INDEX(Ref!U:U,MATCH(OMO[[#This Row],[MATURITY_DATE]]-RPT,Ref!S:S,1))</f>
        <v>2M</v>
      </c>
      <c r="AM62" s="72" t="str">
        <f>INDEX(Ref!U:U,MATCH(OMO[[#This Row],[MATURITY_DATE]]-OMO[[#This Row],[VALUE_DATE]],Ref!S:S,1))</f>
        <v>2M</v>
      </c>
      <c r="AN62" s="569">
        <f>OMO[[#This Row],[FIXED_RATE]]%*OMO[[#This Row],[GLOBAL_AMOUNT]]/365/10^9</f>
        <v>1.2161864228054793E-2</v>
      </c>
      <c r="BF62" s="72"/>
      <c r="BG62" s="72"/>
      <c r="BH62" s="38"/>
    </row>
    <row r="63" spans="2:60" x14ac:dyDescent="0.3">
      <c r="B63" s="502">
        <v>46252</v>
      </c>
      <c r="C63">
        <v>17828</v>
      </c>
      <c r="D63" t="s">
        <v>2303</v>
      </c>
      <c r="E63" t="s">
        <v>3067</v>
      </c>
      <c r="F63" t="s">
        <v>2176</v>
      </c>
      <c r="G63" t="s">
        <v>823</v>
      </c>
      <c r="H63" s="502">
        <v>46189</v>
      </c>
      <c r="I63" s="502">
        <v>46189</v>
      </c>
      <c r="J63" s="502">
        <v>46191</v>
      </c>
      <c r="K63" s="502">
        <v>46281</v>
      </c>
      <c r="L63" s="37">
        <v>900000000000</v>
      </c>
      <c r="M63" s="37">
        <v>866232000000</v>
      </c>
      <c r="N63" s="37">
        <v>876057206795</v>
      </c>
      <c r="O63">
        <v>4.5999999999999996</v>
      </c>
      <c r="P63" s="72" t="str">
        <f>INDEX(Ref!U:U,MATCH(Repo_TD[[#This Row],[MATURITY_DATE]]-RPT,Ref!S:S,1))</f>
        <v>1M</v>
      </c>
      <c r="Q63" s="72" t="str">
        <f>INDEX(Ref!U:U,MATCH(Repo_TD[[#This Row],[MATURITY_DATE]]-Repo_TD[[#This Row],[VALUE_DATE]],Ref!S:S,1))</f>
        <v>3M</v>
      </c>
      <c r="R63" s="568">
        <f>Repo_TD[[#This Row],[FIXED_RATE]]%*Repo_TD[[#This Row],[GLOBAL_AMOUNT]]/365/10^9</f>
        <v>0.10916896438356163</v>
      </c>
      <c r="T63" s="38"/>
      <c r="U63" s="502">
        <v>46252</v>
      </c>
      <c r="V63">
        <v>18146</v>
      </c>
      <c r="W63" t="s">
        <v>2840</v>
      </c>
      <c r="X63" t="s">
        <v>3067</v>
      </c>
      <c r="Y63" t="s">
        <v>3068</v>
      </c>
      <c r="Z63" t="s">
        <v>2180</v>
      </c>
      <c r="AA63" t="s">
        <v>3294</v>
      </c>
      <c r="AB63" t="s">
        <v>822</v>
      </c>
      <c r="AC63" s="502">
        <v>46252</v>
      </c>
      <c r="AD63" s="502">
        <v>46252</v>
      </c>
      <c r="AE63" s="502">
        <v>46252</v>
      </c>
      <c r="AF63" s="502">
        <v>46287</v>
      </c>
      <c r="AG63" s="114">
        <v>89292500000</v>
      </c>
      <c r="AH63" s="114">
        <v>67859160084</v>
      </c>
      <c r="AI63" s="114">
        <v>68151977008</v>
      </c>
      <c r="AJ63">
        <v>4.5</v>
      </c>
      <c r="AK63" t="s">
        <v>2967</v>
      </c>
      <c r="AL63" s="72" t="str">
        <f>INDEX(Ref!U:U,MATCH(OMO[[#This Row],[MATURITY_DATE]]-RPT,Ref!S:S,1))</f>
        <v>2M</v>
      </c>
      <c r="AM63" s="72" t="str">
        <f>INDEX(Ref!U:U,MATCH(OMO[[#This Row],[MATURITY_DATE]]-OMO[[#This Row],[VALUE_DATE]],Ref!S:S,1))</f>
        <v>2M</v>
      </c>
      <c r="AN63" s="569">
        <f>OMO[[#This Row],[FIXED_RATE]]%*OMO[[#This Row],[GLOBAL_AMOUNT]]/365/10^9</f>
        <v>8.3661978185753418E-3</v>
      </c>
      <c r="BF63" s="72"/>
      <c r="BG63" s="72"/>
      <c r="BH63" s="38"/>
    </row>
    <row r="64" spans="2:60" x14ac:dyDescent="0.3">
      <c r="B64" s="502">
        <v>46252</v>
      </c>
      <c r="C64">
        <v>17864</v>
      </c>
      <c r="D64" t="s">
        <v>2303</v>
      </c>
      <c r="E64" t="s">
        <v>3067</v>
      </c>
      <c r="F64" t="s">
        <v>2176</v>
      </c>
      <c r="G64" t="s">
        <v>823</v>
      </c>
      <c r="H64" s="502">
        <v>46191</v>
      </c>
      <c r="I64" s="502">
        <v>46191</v>
      </c>
      <c r="J64" s="502">
        <v>46195</v>
      </c>
      <c r="K64" s="502">
        <v>46286</v>
      </c>
      <c r="L64" s="37">
        <v>888000000000</v>
      </c>
      <c r="M64" s="37">
        <v>856609200000</v>
      </c>
      <c r="N64" s="37">
        <v>866433216743</v>
      </c>
      <c r="O64">
        <v>4.5999999999999996</v>
      </c>
      <c r="P64" s="72" t="str">
        <f>INDEX(Ref!U:U,MATCH(Repo_TD[[#This Row],[MATURITY_DATE]]-RPT,Ref!S:S,1))</f>
        <v>2M</v>
      </c>
      <c r="Q64" s="72" t="str">
        <f>INDEX(Ref!U:U,MATCH(Repo_TD[[#This Row],[MATURITY_DATE]]-Repo_TD[[#This Row],[VALUE_DATE]],Ref!S:S,1))</f>
        <v>3M</v>
      </c>
      <c r="R64" s="568">
        <f>Repo_TD[[#This Row],[FIXED_RATE]]%*Repo_TD[[#This Row],[GLOBAL_AMOUNT]]/365/10^9</f>
        <v>0.10795622794520549</v>
      </c>
      <c r="T64" s="38"/>
      <c r="U64" s="502">
        <v>46252</v>
      </c>
      <c r="V64">
        <v>18149</v>
      </c>
      <c r="W64" t="s">
        <v>2799</v>
      </c>
      <c r="X64" t="s">
        <v>3067</v>
      </c>
      <c r="Y64" t="s">
        <v>3068</v>
      </c>
      <c r="Z64" t="s">
        <v>2180</v>
      </c>
      <c r="AA64" t="s">
        <v>3294</v>
      </c>
      <c r="AB64" t="s">
        <v>822</v>
      </c>
      <c r="AC64" s="502">
        <v>46252</v>
      </c>
      <c r="AD64" s="502">
        <v>46252</v>
      </c>
      <c r="AE64" s="502">
        <v>46252</v>
      </c>
      <c r="AF64" s="502">
        <v>46287</v>
      </c>
      <c r="AG64" s="114">
        <v>82390800000</v>
      </c>
      <c r="AH64" s="114">
        <v>64069615602</v>
      </c>
      <c r="AI64" s="114">
        <v>64346080382</v>
      </c>
      <c r="AJ64">
        <v>4.5</v>
      </c>
      <c r="AK64" t="s">
        <v>2967</v>
      </c>
      <c r="AL64" s="72" t="str">
        <f>INDEX(Ref!U:U,MATCH(OMO[[#This Row],[MATURITY_DATE]]-RPT,Ref!S:S,1))</f>
        <v>2M</v>
      </c>
      <c r="AM64" s="72" t="str">
        <f>INDEX(Ref!U:U,MATCH(OMO[[#This Row],[MATURITY_DATE]]-OMO[[#This Row],[VALUE_DATE]],Ref!S:S,1))</f>
        <v>2M</v>
      </c>
      <c r="AN64" s="569">
        <f>OMO[[#This Row],[FIXED_RATE]]%*OMO[[#This Row],[GLOBAL_AMOUNT]]/365/10^9</f>
        <v>7.8989937043561637E-3</v>
      </c>
      <c r="BF64" s="72"/>
      <c r="BG64" s="72"/>
      <c r="BH64" s="38"/>
    </row>
    <row r="65" spans="2:60" x14ac:dyDescent="0.3">
      <c r="B65" s="502">
        <v>46252</v>
      </c>
      <c r="C65">
        <v>17829</v>
      </c>
      <c r="D65" t="s">
        <v>2303</v>
      </c>
      <c r="E65" t="s">
        <v>3067</v>
      </c>
      <c r="F65" t="s">
        <v>2176</v>
      </c>
      <c r="G65" t="s">
        <v>823</v>
      </c>
      <c r="H65" s="502">
        <v>46189</v>
      </c>
      <c r="I65" s="502">
        <v>46189</v>
      </c>
      <c r="J65" s="502">
        <v>46191</v>
      </c>
      <c r="K65" s="502">
        <v>46281</v>
      </c>
      <c r="L65" s="37">
        <v>964000000000</v>
      </c>
      <c r="M65" s="37">
        <v>927830720000</v>
      </c>
      <c r="N65" s="37">
        <v>938354608167</v>
      </c>
      <c r="O65">
        <v>4.5999999999999996</v>
      </c>
      <c r="P65" s="72" t="str">
        <f>INDEX(Ref!U:U,MATCH(Repo_TD[[#This Row],[MATURITY_DATE]]-RPT,Ref!S:S,1))</f>
        <v>1M</v>
      </c>
      <c r="Q65" s="72" t="str">
        <f>INDEX(Ref!U:U,MATCH(Repo_TD[[#This Row],[MATURITY_DATE]]-Repo_TD[[#This Row],[VALUE_DATE]],Ref!S:S,1))</f>
        <v>3M</v>
      </c>
      <c r="R65" s="568">
        <f>Repo_TD[[#This Row],[FIXED_RATE]]%*Repo_TD[[#This Row],[GLOBAL_AMOUNT]]/365/10^9</f>
        <v>0.11693209073972602</v>
      </c>
      <c r="T65" s="38"/>
      <c r="U65" s="502">
        <v>46252</v>
      </c>
      <c r="V65">
        <v>18142</v>
      </c>
      <c r="W65" t="s">
        <v>568</v>
      </c>
      <c r="X65" t="s">
        <v>3067</v>
      </c>
      <c r="Y65" t="s">
        <v>3068</v>
      </c>
      <c r="Z65" t="s">
        <v>2180</v>
      </c>
      <c r="AA65" t="s">
        <v>3294</v>
      </c>
      <c r="AB65" t="s">
        <v>822</v>
      </c>
      <c r="AC65" s="502">
        <v>46252</v>
      </c>
      <c r="AD65" s="502">
        <v>46252</v>
      </c>
      <c r="AE65" s="502">
        <v>46252</v>
      </c>
      <c r="AF65" s="502">
        <v>46287</v>
      </c>
      <c r="AG65" s="114">
        <v>52000000000</v>
      </c>
      <c r="AH65" s="114">
        <v>54241705522</v>
      </c>
      <c r="AI65" s="114">
        <v>54475762197</v>
      </c>
      <c r="AJ65">
        <v>4.5</v>
      </c>
      <c r="AK65" t="s">
        <v>2967</v>
      </c>
      <c r="AL65" s="72" t="str">
        <f>INDEX(Ref!U:U,MATCH(OMO[[#This Row],[MATURITY_DATE]]-RPT,Ref!S:S,1))</f>
        <v>2M</v>
      </c>
      <c r="AM65" s="72" t="str">
        <f>INDEX(Ref!U:U,MATCH(OMO[[#This Row],[MATURITY_DATE]]-OMO[[#This Row],[VALUE_DATE]],Ref!S:S,1))</f>
        <v>2M</v>
      </c>
      <c r="AN65" s="569">
        <f>OMO[[#This Row],[FIXED_RATE]]%*OMO[[#This Row],[GLOBAL_AMOUNT]]/365/10^9</f>
        <v>6.687333557506849E-3</v>
      </c>
      <c r="BF65" s="72"/>
      <c r="BG65" s="72"/>
      <c r="BH65" s="38"/>
    </row>
    <row r="66" spans="2:60" x14ac:dyDescent="0.3">
      <c r="B66" s="502">
        <v>46252</v>
      </c>
      <c r="C66">
        <v>17992</v>
      </c>
      <c r="D66" t="s">
        <v>2497</v>
      </c>
      <c r="E66" t="s">
        <v>3067</v>
      </c>
      <c r="F66" t="s">
        <v>2176</v>
      </c>
      <c r="G66" t="s">
        <v>823</v>
      </c>
      <c r="H66" s="502">
        <v>46209</v>
      </c>
      <c r="I66" s="502">
        <v>46209</v>
      </c>
      <c r="J66" s="502">
        <v>46211</v>
      </c>
      <c r="K66" s="502">
        <v>46301</v>
      </c>
      <c r="L66" s="37">
        <v>1000000000000</v>
      </c>
      <c r="M66" s="37">
        <v>845500000000</v>
      </c>
      <c r="N66" s="37">
        <v>855090054795</v>
      </c>
      <c r="O66">
        <v>4.5999999999999996</v>
      </c>
      <c r="P66" s="72" t="str">
        <f>INDEX(Ref!U:U,MATCH(Repo_TD[[#This Row],[MATURITY_DATE]]-RPT,Ref!S:S,1))</f>
        <v>2M</v>
      </c>
      <c r="Q66" s="72" t="str">
        <f>INDEX(Ref!U:U,MATCH(Repo_TD[[#This Row],[MATURITY_DATE]]-Repo_TD[[#This Row],[VALUE_DATE]],Ref!S:S,1))</f>
        <v>3M</v>
      </c>
      <c r="R66" s="568">
        <f>Repo_TD[[#This Row],[FIXED_RATE]]%*Repo_TD[[#This Row],[GLOBAL_AMOUNT]]/365/10^9</f>
        <v>0.10655616438356164</v>
      </c>
      <c r="T66" s="38"/>
      <c r="U66" s="502">
        <v>46252</v>
      </c>
      <c r="V66">
        <v>18143</v>
      </c>
      <c r="W66" t="s">
        <v>2788</v>
      </c>
      <c r="X66" t="s">
        <v>3067</v>
      </c>
      <c r="Y66" t="s">
        <v>3068</v>
      </c>
      <c r="Z66" t="s">
        <v>2180</v>
      </c>
      <c r="AA66" t="s">
        <v>3294</v>
      </c>
      <c r="AB66" t="s">
        <v>822</v>
      </c>
      <c r="AC66" s="502">
        <v>46252</v>
      </c>
      <c r="AD66" s="502">
        <v>46252</v>
      </c>
      <c r="AE66" s="502">
        <v>46252</v>
      </c>
      <c r="AF66" s="502">
        <v>46287</v>
      </c>
      <c r="AG66" s="114">
        <v>38274200000</v>
      </c>
      <c r="AH66" s="114">
        <v>30701674149</v>
      </c>
      <c r="AI66" s="114">
        <v>30834153976</v>
      </c>
      <c r="AJ66">
        <v>4.5</v>
      </c>
      <c r="AK66" t="s">
        <v>2967</v>
      </c>
      <c r="AL66" s="72" t="str">
        <f>INDEX(Ref!U:U,MATCH(OMO[[#This Row],[MATURITY_DATE]]-RPT,Ref!S:S,1))</f>
        <v>2M</v>
      </c>
      <c r="AM66" s="72" t="str">
        <f>INDEX(Ref!U:U,MATCH(OMO[[#This Row],[MATURITY_DATE]]-OMO[[#This Row],[VALUE_DATE]],Ref!S:S,1))</f>
        <v>2M</v>
      </c>
      <c r="AN66" s="569">
        <f>OMO[[#This Row],[FIXED_RATE]]%*OMO[[#This Row],[GLOBAL_AMOUNT]]/365/10^9</f>
        <v>3.7851379087808215E-3</v>
      </c>
      <c r="BF66" s="72"/>
      <c r="BG66" s="72"/>
      <c r="BH66" s="38"/>
    </row>
    <row r="67" spans="2:60" x14ac:dyDescent="0.3">
      <c r="B67" s="502">
        <v>46252</v>
      </c>
      <c r="C67">
        <v>18015</v>
      </c>
      <c r="D67" t="s">
        <v>2497</v>
      </c>
      <c r="E67" t="s">
        <v>3067</v>
      </c>
      <c r="F67" t="s">
        <v>2176</v>
      </c>
      <c r="G67" t="s">
        <v>823</v>
      </c>
      <c r="H67" s="502">
        <v>46216</v>
      </c>
      <c r="I67" s="502">
        <v>46216</v>
      </c>
      <c r="J67" s="502">
        <v>46218</v>
      </c>
      <c r="K67" s="502">
        <v>46279</v>
      </c>
      <c r="L67" s="37">
        <v>150000000000</v>
      </c>
      <c r="M67" s="37">
        <v>126933000000</v>
      </c>
      <c r="N67" s="37">
        <v>127898212442</v>
      </c>
      <c r="O67">
        <v>4.55</v>
      </c>
      <c r="P67" s="72" t="str">
        <f>INDEX(Ref!U:U,MATCH(Repo_TD[[#This Row],[MATURITY_DATE]]-RPT,Ref!S:S,1))</f>
        <v>1M</v>
      </c>
      <c r="Q67" s="72" t="str">
        <f>INDEX(Ref!U:U,MATCH(Repo_TD[[#This Row],[MATURITY_DATE]]-Repo_TD[[#This Row],[VALUE_DATE]],Ref!S:S,1))</f>
        <v>3M</v>
      </c>
      <c r="R67" s="568">
        <f>Repo_TD[[#This Row],[FIXED_RATE]]%*Repo_TD[[#This Row],[GLOBAL_AMOUNT]]/365/10^9</f>
        <v>1.5823154794520549E-2</v>
      </c>
      <c r="T67" s="38"/>
      <c r="U67" s="502">
        <v>46252</v>
      </c>
      <c r="V67">
        <v>18144</v>
      </c>
      <c r="W67" t="s">
        <v>2774</v>
      </c>
      <c r="X67" t="s">
        <v>3067</v>
      </c>
      <c r="Y67" t="s">
        <v>3068</v>
      </c>
      <c r="Z67" t="s">
        <v>2180</v>
      </c>
      <c r="AA67" t="s">
        <v>3294</v>
      </c>
      <c r="AB67" t="s">
        <v>822</v>
      </c>
      <c r="AC67" s="502">
        <v>46252</v>
      </c>
      <c r="AD67" s="502">
        <v>46252</v>
      </c>
      <c r="AE67" s="502">
        <v>46252</v>
      </c>
      <c r="AF67" s="502">
        <v>46287</v>
      </c>
      <c r="AG67" s="114">
        <v>147927900000.00003</v>
      </c>
      <c r="AH67" s="114">
        <v>126735148050</v>
      </c>
      <c r="AI67" s="114">
        <v>127282018894</v>
      </c>
      <c r="AJ67">
        <v>4.5</v>
      </c>
      <c r="AK67" t="s">
        <v>2967</v>
      </c>
      <c r="AL67" s="72" t="str">
        <f>INDEX(Ref!U:U,MATCH(OMO[[#This Row],[MATURITY_DATE]]-RPT,Ref!S:S,1))</f>
        <v>2M</v>
      </c>
      <c r="AM67" s="72" t="str">
        <f>INDEX(Ref!U:U,MATCH(OMO[[#This Row],[MATURITY_DATE]]-OMO[[#This Row],[VALUE_DATE]],Ref!S:S,1))</f>
        <v>2M</v>
      </c>
      <c r="AN67" s="569">
        <f>OMO[[#This Row],[FIXED_RATE]]%*OMO[[#This Row],[GLOBAL_AMOUNT]]/365/10^9</f>
        <v>1.5624881266438356E-2</v>
      </c>
      <c r="BF67" s="72"/>
      <c r="BG67" s="72"/>
      <c r="BH67" s="38"/>
    </row>
    <row r="68" spans="2:60" x14ac:dyDescent="0.3">
      <c r="B68" s="502">
        <v>46252</v>
      </c>
      <c r="C68">
        <v>17977</v>
      </c>
      <c r="D68" t="s">
        <v>2497</v>
      </c>
      <c r="E68" t="s">
        <v>3067</v>
      </c>
      <c r="F68" t="s">
        <v>2176</v>
      </c>
      <c r="G68" t="s">
        <v>823</v>
      </c>
      <c r="H68" s="502">
        <v>46204</v>
      </c>
      <c r="I68" s="502">
        <v>46204</v>
      </c>
      <c r="J68" s="502">
        <v>46206</v>
      </c>
      <c r="K68" s="502">
        <v>46268</v>
      </c>
      <c r="L68" s="37">
        <v>783000000000</v>
      </c>
      <c r="M68" s="37">
        <v>661588020000</v>
      </c>
      <c r="N68" s="37">
        <v>666768707339</v>
      </c>
      <c r="O68">
        <v>4.6100000000000003</v>
      </c>
      <c r="P68" s="72" t="str">
        <f>INDEX(Ref!U:U,MATCH(Repo_TD[[#This Row],[MATURITY_DATE]]-RPT,Ref!S:S,1))</f>
        <v>3W</v>
      </c>
      <c r="Q68" s="72" t="str">
        <f>INDEX(Ref!U:U,MATCH(Repo_TD[[#This Row],[MATURITY_DATE]]-Repo_TD[[#This Row],[VALUE_DATE]],Ref!S:S,1))</f>
        <v>3M</v>
      </c>
      <c r="R68" s="568">
        <f>Repo_TD[[#This Row],[FIXED_RATE]]%*Repo_TD[[#This Row],[GLOBAL_AMOUNT]]/365/10^9</f>
        <v>8.3559473210958898E-2</v>
      </c>
      <c r="T68" s="38"/>
      <c r="AG68" s="114"/>
      <c r="AH68" s="114"/>
      <c r="AI68" s="114"/>
      <c r="BF68" s="72"/>
      <c r="BG68" s="72"/>
      <c r="BH68" s="38"/>
    </row>
    <row r="69" spans="2:60" x14ac:dyDescent="0.3">
      <c r="B69" s="502">
        <v>46252</v>
      </c>
      <c r="C69">
        <v>17991</v>
      </c>
      <c r="D69" t="s">
        <v>2497</v>
      </c>
      <c r="E69" t="s">
        <v>3067</v>
      </c>
      <c r="F69" t="s">
        <v>2176</v>
      </c>
      <c r="G69" t="s">
        <v>823</v>
      </c>
      <c r="H69" s="502">
        <v>46206</v>
      </c>
      <c r="I69" s="502">
        <v>46206</v>
      </c>
      <c r="J69" s="502">
        <v>46210</v>
      </c>
      <c r="K69" s="502">
        <v>46272</v>
      </c>
      <c r="L69" s="37">
        <v>650000000000</v>
      </c>
      <c r="M69" s="37">
        <v>547982500000</v>
      </c>
      <c r="N69" s="37">
        <v>552245653718</v>
      </c>
      <c r="O69">
        <v>4.58</v>
      </c>
      <c r="P69" s="72" t="str">
        <f>INDEX(Ref!U:U,MATCH(Repo_TD[[#This Row],[MATURITY_DATE]]-RPT,Ref!S:S,1))</f>
        <v>3W</v>
      </c>
      <c r="Q69" s="72" t="str">
        <f>INDEX(Ref!U:U,MATCH(Repo_TD[[#This Row],[MATURITY_DATE]]-Repo_TD[[#This Row],[VALUE_DATE]],Ref!S:S,1))</f>
        <v>3M</v>
      </c>
      <c r="R69" s="568">
        <f>Repo_TD[[#This Row],[FIXED_RATE]]%*Repo_TD[[#This Row],[GLOBAL_AMOUNT]]/365/10^9</f>
        <v>6.8760543835616444E-2</v>
      </c>
      <c r="T69" s="38"/>
      <c r="AG69" s="114"/>
      <c r="AH69" s="114"/>
      <c r="AI69" s="114"/>
      <c r="BF69" s="72"/>
      <c r="BG69" s="72"/>
      <c r="BH69" s="38"/>
    </row>
    <row r="70" spans="2:60" x14ac:dyDescent="0.3">
      <c r="B70" s="502">
        <v>46252</v>
      </c>
      <c r="C70">
        <v>17994</v>
      </c>
      <c r="D70" t="s">
        <v>2497</v>
      </c>
      <c r="E70" t="s">
        <v>3067</v>
      </c>
      <c r="F70" t="s">
        <v>2176</v>
      </c>
      <c r="G70" t="s">
        <v>823</v>
      </c>
      <c r="H70" s="502">
        <v>46209</v>
      </c>
      <c r="I70" s="502">
        <v>46209</v>
      </c>
      <c r="J70" s="502">
        <v>46211</v>
      </c>
      <c r="K70" s="502">
        <v>46301</v>
      </c>
      <c r="L70" s="37">
        <v>1000000000000</v>
      </c>
      <c r="M70" s="37">
        <v>845500000000</v>
      </c>
      <c r="N70" s="37">
        <v>855110902740</v>
      </c>
      <c r="O70">
        <v>4.6100000000000003</v>
      </c>
      <c r="P70" s="72" t="str">
        <f>INDEX(Ref!U:U,MATCH(Repo_TD[[#This Row],[MATURITY_DATE]]-RPT,Ref!S:S,1))</f>
        <v>2M</v>
      </c>
      <c r="Q70" s="72" t="str">
        <f>INDEX(Ref!U:U,MATCH(Repo_TD[[#This Row],[MATURITY_DATE]]-Repo_TD[[#This Row],[VALUE_DATE]],Ref!S:S,1))</f>
        <v>3M</v>
      </c>
      <c r="R70" s="568">
        <f>Repo_TD[[#This Row],[FIXED_RATE]]%*Repo_TD[[#This Row],[GLOBAL_AMOUNT]]/365/10^9</f>
        <v>0.10678780821917808</v>
      </c>
      <c r="T70" s="38"/>
      <c r="BF70" s="72"/>
      <c r="BG70" s="72"/>
      <c r="BH70" s="38"/>
    </row>
    <row r="71" spans="2:60" x14ac:dyDescent="0.3">
      <c r="B71" s="502">
        <v>46252</v>
      </c>
      <c r="C71">
        <v>17863</v>
      </c>
      <c r="D71" t="s">
        <v>715</v>
      </c>
      <c r="E71" t="s">
        <v>3067</v>
      </c>
      <c r="F71" t="s">
        <v>2176</v>
      </c>
      <c r="G71" t="s">
        <v>823</v>
      </c>
      <c r="H71" s="502">
        <v>46191</v>
      </c>
      <c r="I71" s="502">
        <v>46191</v>
      </c>
      <c r="J71" s="502">
        <v>46195</v>
      </c>
      <c r="K71" s="502">
        <v>46286</v>
      </c>
      <c r="L71" s="37">
        <v>450000000000</v>
      </c>
      <c r="M71" s="37">
        <v>329526000000</v>
      </c>
      <c r="N71" s="37">
        <v>333305166674</v>
      </c>
      <c r="O71">
        <v>4.5999999999999996</v>
      </c>
      <c r="P71" s="72" t="str">
        <f>INDEX(Ref!U:U,MATCH(Repo_TD[[#This Row],[MATURITY_DATE]]-RPT,Ref!S:S,1))</f>
        <v>2M</v>
      </c>
      <c r="Q71" s="72" t="str">
        <f>INDEX(Ref!U:U,MATCH(Repo_TD[[#This Row],[MATURITY_DATE]]-Repo_TD[[#This Row],[VALUE_DATE]],Ref!S:S,1))</f>
        <v>3M</v>
      </c>
      <c r="R71" s="568">
        <f>Repo_TD[[#This Row],[FIXED_RATE]]%*Repo_TD[[#This Row],[GLOBAL_AMOUNT]]/365/10^9</f>
        <v>4.1529304109589042E-2</v>
      </c>
      <c r="T71" s="38"/>
      <c r="BF71" s="72"/>
      <c r="BG71" s="72"/>
      <c r="BH71" s="38"/>
    </row>
    <row r="72" spans="2:60" x14ac:dyDescent="0.3">
      <c r="B72" s="502">
        <v>46252</v>
      </c>
      <c r="C72">
        <v>17910</v>
      </c>
      <c r="D72" t="s">
        <v>2385</v>
      </c>
      <c r="E72" t="s">
        <v>3067</v>
      </c>
      <c r="F72" t="s">
        <v>2176</v>
      </c>
      <c r="G72" t="s">
        <v>823</v>
      </c>
      <c r="H72" s="502">
        <v>46197</v>
      </c>
      <c r="I72" s="502">
        <v>46197</v>
      </c>
      <c r="J72" s="502">
        <v>46199</v>
      </c>
      <c r="K72" s="502">
        <v>46259</v>
      </c>
      <c r="L72" s="37">
        <v>100000000000</v>
      </c>
      <c r="M72" s="37">
        <v>91426000000</v>
      </c>
      <c r="N72" s="37">
        <v>92117330849</v>
      </c>
      <c r="O72">
        <v>4.5999999999999996</v>
      </c>
      <c r="P72" s="72" t="str">
        <f>INDEX(Ref!U:U,MATCH(Repo_TD[[#This Row],[MATURITY_DATE]]-RPT,Ref!S:S,1))</f>
        <v>1W</v>
      </c>
      <c r="Q72" s="72" t="str">
        <f>INDEX(Ref!U:U,MATCH(Repo_TD[[#This Row],[MATURITY_DATE]]-Repo_TD[[#This Row],[VALUE_DATE]],Ref!S:S,1))</f>
        <v>2M</v>
      </c>
      <c r="R72" s="568">
        <f>Repo_TD[[#This Row],[FIXED_RATE]]%*Repo_TD[[#This Row],[GLOBAL_AMOUNT]]/365/10^9</f>
        <v>1.1522180821917808E-2</v>
      </c>
      <c r="T72" s="38"/>
      <c r="BF72" s="72"/>
      <c r="BG72" s="72"/>
      <c r="BH72" s="38"/>
    </row>
    <row r="73" spans="2:60" x14ac:dyDescent="0.3">
      <c r="B73" s="502">
        <v>46252</v>
      </c>
      <c r="C73">
        <v>17862</v>
      </c>
      <c r="D73" t="s">
        <v>731</v>
      </c>
      <c r="E73" t="s">
        <v>3067</v>
      </c>
      <c r="F73" t="s">
        <v>2176</v>
      </c>
      <c r="G73" t="s">
        <v>823</v>
      </c>
      <c r="H73" s="502">
        <v>46191</v>
      </c>
      <c r="I73" s="502">
        <v>46191</v>
      </c>
      <c r="J73" s="502">
        <v>46195</v>
      </c>
      <c r="K73" s="502">
        <v>46286</v>
      </c>
      <c r="L73" s="37">
        <v>770000000000</v>
      </c>
      <c r="M73" s="37">
        <v>563378200000</v>
      </c>
      <c r="N73" s="37">
        <v>569839299028</v>
      </c>
      <c r="O73">
        <v>4.5999999999999996</v>
      </c>
      <c r="P73" s="72" t="str">
        <f>INDEX(Ref!U:U,MATCH(Repo_TD[[#This Row],[MATURITY_DATE]]-RPT,Ref!S:S,1))</f>
        <v>2M</v>
      </c>
      <c r="Q73" s="72" t="str">
        <f>INDEX(Ref!U:U,MATCH(Repo_TD[[#This Row],[MATURITY_DATE]]-Repo_TD[[#This Row],[VALUE_DATE]],Ref!S:S,1))</f>
        <v>3M</v>
      </c>
      <c r="R73" s="568">
        <f>Repo_TD[[#This Row],[FIXED_RATE]]%*Repo_TD[[#This Row],[GLOBAL_AMOUNT]]/365/10^9</f>
        <v>7.1001088219178082E-2</v>
      </c>
      <c r="T73" s="38"/>
      <c r="BF73" s="72"/>
      <c r="BG73" s="72"/>
      <c r="BH73" s="38"/>
    </row>
    <row r="74" spans="2:60" x14ac:dyDescent="0.3">
      <c r="B74" s="502">
        <v>46252</v>
      </c>
      <c r="C74">
        <v>18051</v>
      </c>
      <c r="D74" t="s">
        <v>2785</v>
      </c>
      <c r="E74" t="s">
        <v>3067</v>
      </c>
      <c r="F74" t="s">
        <v>2176</v>
      </c>
      <c r="G74" t="s">
        <v>823</v>
      </c>
      <c r="H74" s="502">
        <v>46220</v>
      </c>
      <c r="I74" s="502">
        <v>46220</v>
      </c>
      <c r="J74" s="502">
        <v>46224</v>
      </c>
      <c r="K74" s="502">
        <v>46286</v>
      </c>
      <c r="L74" s="37">
        <v>200000000000</v>
      </c>
      <c r="M74" s="37">
        <v>162556000000</v>
      </c>
      <c r="N74" s="37">
        <v>163812357468</v>
      </c>
      <c r="O74">
        <v>4.55</v>
      </c>
      <c r="P74" s="72" t="str">
        <f>INDEX(Ref!U:U,MATCH(Repo_TD[[#This Row],[MATURITY_DATE]]-RPT,Ref!S:S,1))</f>
        <v>2M</v>
      </c>
      <c r="Q74" s="72" t="str">
        <f>INDEX(Ref!U:U,MATCH(Repo_TD[[#This Row],[MATURITY_DATE]]-Repo_TD[[#This Row],[VALUE_DATE]],Ref!S:S,1))</f>
        <v>3M</v>
      </c>
      <c r="R74" s="568">
        <f>Repo_TD[[#This Row],[FIXED_RATE]]%*Repo_TD[[#This Row],[GLOBAL_AMOUNT]]/365/10^9</f>
        <v>2.0263830136986301E-2</v>
      </c>
      <c r="T74" s="38"/>
      <c r="BF74" s="72"/>
      <c r="BG74" s="72"/>
      <c r="BH74" s="38"/>
    </row>
    <row r="75" spans="2:60" x14ac:dyDescent="0.3">
      <c r="B75" s="502">
        <v>46252</v>
      </c>
      <c r="C75">
        <v>17911</v>
      </c>
      <c r="D75" t="s">
        <v>2742</v>
      </c>
      <c r="E75" t="s">
        <v>3067</v>
      </c>
      <c r="F75" t="s">
        <v>2176</v>
      </c>
      <c r="G75" t="s">
        <v>823</v>
      </c>
      <c r="H75" s="502">
        <v>46197</v>
      </c>
      <c r="I75" s="502">
        <v>46197</v>
      </c>
      <c r="J75" s="502">
        <v>46199</v>
      </c>
      <c r="K75" s="502">
        <v>46259</v>
      </c>
      <c r="L75" s="37">
        <v>200000000000</v>
      </c>
      <c r="M75" s="37">
        <v>164354000000</v>
      </c>
      <c r="N75" s="37">
        <v>165596786411</v>
      </c>
      <c r="O75">
        <v>4.5999999999999996</v>
      </c>
      <c r="P75" s="72" t="str">
        <f>INDEX(Ref!U:U,MATCH(Repo_TD[[#This Row],[MATURITY_DATE]]-RPT,Ref!S:S,1))</f>
        <v>1W</v>
      </c>
      <c r="Q75" s="72" t="str">
        <f>INDEX(Ref!U:U,MATCH(Repo_TD[[#This Row],[MATURITY_DATE]]-Repo_TD[[#This Row],[VALUE_DATE]],Ref!S:S,1))</f>
        <v>2M</v>
      </c>
      <c r="R75" s="568">
        <f>Repo_TD[[#This Row],[FIXED_RATE]]%*Repo_TD[[#This Row],[GLOBAL_AMOUNT]]/365/10^9</f>
        <v>2.0713106849315068E-2</v>
      </c>
      <c r="BF75" s="72"/>
      <c r="BG75" s="72"/>
      <c r="BH75" s="38"/>
    </row>
    <row r="76" spans="2:60" x14ac:dyDescent="0.3">
      <c r="B76" s="502">
        <v>46252</v>
      </c>
      <c r="C76">
        <v>17741</v>
      </c>
      <c r="D76" t="s">
        <v>2834</v>
      </c>
      <c r="E76" t="s">
        <v>3067</v>
      </c>
      <c r="F76" t="s">
        <v>2176</v>
      </c>
      <c r="G76" t="s">
        <v>823</v>
      </c>
      <c r="H76" s="502">
        <v>46181</v>
      </c>
      <c r="I76" s="502">
        <v>46181</v>
      </c>
      <c r="J76" s="502">
        <v>46183</v>
      </c>
      <c r="K76" s="502">
        <v>46273</v>
      </c>
      <c r="L76" s="37">
        <v>100000000000</v>
      </c>
      <c r="M76" s="37">
        <v>82871000000</v>
      </c>
      <c r="N76" s="37">
        <v>83810961479</v>
      </c>
      <c r="O76">
        <v>4.5999999999999996</v>
      </c>
      <c r="P76" s="72" t="str">
        <f>INDEX(Ref!U:U,MATCH(Repo_TD[[#This Row],[MATURITY_DATE]]-RPT,Ref!S:S,1))</f>
        <v>3W</v>
      </c>
      <c r="Q76" s="72" t="str">
        <f>INDEX(Ref!U:U,MATCH(Repo_TD[[#This Row],[MATURITY_DATE]]-Repo_TD[[#This Row],[VALUE_DATE]],Ref!S:S,1))</f>
        <v>3M</v>
      </c>
      <c r="R76" s="568">
        <f>Repo_TD[[#This Row],[FIXED_RATE]]%*Repo_TD[[#This Row],[GLOBAL_AMOUNT]]/365/10^9</f>
        <v>1.0444016438356164E-2</v>
      </c>
      <c r="BF76" s="72"/>
      <c r="BG76" s="72"/>
      <c r="BH76" s="38"/>
    </row>
    <row r="77" spans="2:60" x14ac:dyDescent="0.3">
      <c r="B77" s="502">
        <v>46252</v>
      </c>
      <c r="C77">
        <v>18053</v>
      </c>
      <c r="D77" t="s">
        <v>2834</v>
      </c>
      <c r="E77" t="s">
        <v>3067</v>
      </c>
      <c r="F77" t="s">
        <v>2176</v>
      </c>
      <c r="G77" t="s">
        <v>823</v>
      </c>
      <c r="H77" s="502">
        <v>46220</v>
      </c>
      <c r="I77" s="502">
        <v>46220</v>
      </c>
      <c r="J77" s="502">
        <v>46224</v>
      </c>
      <c r="K77" s="502">
        <v>46286</v>
      </c>
      <c r="L77" s="37">
        <v>250000000000</v>
      </c>
      <c r="M77" s="37">
        <v>202065000000</v>
      </c>
      <c r="N77" s="37">
        <v>203626713329</v>
      </c>
      <c r="O77">
        <v>4.55</v>
      </c>
      <c r="P77" s="72" t="str">
        <f>INDEX(Ref!U:U,MATCH(Repo_TD[[#This Row],[MATURITY_DATE]]-RPT,Ref!S:S,1))</f>
        <v>2M</v>
      </c>
      <c r="Q77" s="72" t="str">
        <f>INDEX(Ref!U:U,MATCH(Repo_TD[[#This Row],[MATURITY_DATE]]-Repo_TD[[#This Row],[VALUE_DATE]],Ref!S:S,1))</f>
        <v>3M</v>
      </c>
      <c r="R77" s="568">
        <f>Repo_TD[[#This Row],[FIXED_RATE]]%*Repo_TD[[#This Row],[GLOBAL_AMOUNT]]/365/10^9</f>
        <v>2.5188924657534244E-2</v>
      </c>
      <c r="BF77" s="72"/>
      <c r="BG77" s="72"/>
      <c r="BH77" s="38"/>
    </row>
    <row r="78" spans="2:60" x14ac:dyDescent="0.3">
      <c r="B78" s="502">
        <v>46252</v>
      </c>
      <c r="C78">
        <v>18052</v>
      </c>
      <c r="D78" t="s">
        <v>2835</v>
      </c>
      <c r="E78" t="s">
        <v>3067</v>
      </c>
      <c r="F78" t="s">
        <v>2176</v>
      </c>
      <c r="G78" t="s">
        <v>823</v>
      </c>
      <c r="H78" s="502">
        <v>46220</v>
      </c>
      <c r="I78" s="502">
        <v>46220</v>
      </c>
      <c r="J78" s="502">
        <v>46224</v>
      </c>
      <c r="K78" s="502">
        <v>46286</v>
      </c>
      <c r="L78" s="37">
        <v>200000000000</v>
      </c>
      <c r="M78" s="37">
        <v>150532000000</v>
      </c>
      <c r="N78" s="37">
        <v>151695426773</v>
      </c>
      <c r="O78">
        <v>4.55</v>
      </c>
      <c r="P78" s="72" t="str">
        <f>INDEX(Ref!U:U,MATCH(Repo_TD[[#This Row],[MATURITY_DATE]]-RPT,Ref!S:S,1))</f>
        <v>2M</v>
      </c>
      <c r="Q78" s="72" t="str">
        <f>INDEX(Ref!U:U,MATCH(Repo_TD[[#This Row],[MATURITY_DATE]]-Repo_TD[[#This Row],[VALUE_DATE]],Ref!S:S,1))</f>
        <v>3M</v>
      </c>
      <c r="R78" s="568">
        <f>Repo_TD[[#This Row],[FIXED_RATE]]%*Repo_TD[[#This Row],[GLOBAL_AMOUNT]]/365/10^9</f>
        <v>1.876494794520548E-2</v>
      </c>
      <c r="BF78" s="72"/>
      <c r="BG78" s="72"/>
      <c r="BH78" s="38"/>
    </row>
    <row r="79" spans="2:60" x14ac:dyDescent="0.3">
      <c r="B79" s="502">
        <v>46252</v>
      </c>
      <c r="C79">
        <v>17995</v>
      </c>
      <c r="D79" t="s">
        <v>2799</v>
      </c>
      <c r="E79" t="s">
        <v>3067</v>
      </c>
      <c r="F79" t="s">
        <v>2176</v>
      </c>
      <c r="G79" t="s">
        <v>823</v>
      </c>
      <c r="H79" s="502">
        <v>46210</v>
      </c>
      <c r="I79" s="502">
        <v>46210</v>
      </c>
      <c r="J79" s="502">
        <v>46212</v>
      </c>
      <c r="K79" s="502">
        <v>46272</v>
      </c>
      <c r="L79" s="37">
        <v>250000000000</v>
      </c>
      <c r="M79" s="37">
        <v>195950000000</v>
      </c>
      <c r="N79" s="37">
        <v>197425261918</v>
      </c>
      <c r="O79">
        <v>4.58</v>
      </c>
      <c r="P79" s="72" t="str">
        <f>INDEX(Ref!U:U,MATCH(Repo_TD[[#This Row],[MATURITY_DATE]]-RPT,Ref!S:S,1))</f>
        <v>3W</v>
      </c>
      <c r="Q79" s="72" t="str">
        <f>INDEX(Ref!U:U,MATCH(Repo_TD[[#This Row],[MATURITY_DATE]]-Repo_TD[[#This Row],[VALUE_DATE]],Ref!S:S,1))</f>
        <v>2M</v>
      </c>
      <c r="R79" s="568">
        <f>Repo_TD[[#This Row],[FIXED_RATE]]%*Repo_TD[[#This Row],[GLOBAL_AMOUNT]]/365/10^9</f>
        <v>2.4587698630136986E-2</v>
      </c>
      <c r="BF79" s="72"/>
      <c r="BG79" s="72"/>
      <c r="BH79" s="38"/>
    </row>
    <row r="80" spans="2:60" x14ac:dyDescent="0.3">
      <c r="BF80" s="72"/>
      <c r="BG80" s="72"/>
      <c r="BH80" s="38"/>
    </row>
    <row r="81" spans="58:60" x14ac:dyDescent="0.3">
      <c r="BF81" s="72"/>
      <c r="BG81" s="72"/>
      <c r="BH81" s="38"/>
    </row>
    <row r="82" spans="58:60" x14ac:dyDescent="0.3">
      <c r="BF82" s="72"/>
      <c r="BG82" s="72"/>
      <c r="BH82" s="38"/>
    </row>
    <row r="83" spans="58:60" x14ac:dyDescent="0.3">
      <c r="BF83" s="72"/>
      <c r="BG83" s="72"/>
      <c r="BH83" s="38"/>
    </row>
    <row r="84" spans="58:60" x14ac:dyDescent="0.3">
      <c r="BF84" s="72"/>
      <c r="BG84" s="72"/>
      <c r="BH84" s="38"/>
    </row>
    <row r="85" spans="58:60" x14ac:dyDescent="0.3">
      <c r="BF85" s="72"/>
      <c r="BG85" s="72"/>
      <c r="BH85" s="38"/>
    </row>
    <row r="86" spans="58:60" x14ac:dyDescent="0.3">
      <c r="BF86" s="72"/>
      <c r="BG86" s="72"/>
      <c r="BH86" s="38"/>
    </row>
    <row r="87" spans="58:60" x14ac:dyDescent="0.3">
      <c r="BF87" s="72"/>
      <c r="BG87" s="72"/>
      <c r="BH87" s="38"/>
    </row>
    <row r="88" spans="58:60" x14ac:dyDescent="0.3">
      <c r="BF88" s="72"/>
      <c r="BG88" s="72"/>
      <c r="BH88" s="38"/>
    </row>
    <row r="89" spans="58:60" x14ac:dyDescent="0.3">
      <c r="BF89" s="72"/>
      <c r="BG89" s="72"/>
      <c r="BH89" s="38"/>
    </row>
    <row r="90" spans="58:60" x14ac:dyDescent="0.3">
      <c r="BF90" s="72"/>
      <c r="BG90" s="72"/>
      <c r="BH90" s="38"/>
    </row>
    <row r="91" spans="58:60" x14ac:dyDescent="0.3">
      <c r="BF91" s="72"/>
      <c r="BG91" s="72"/>
      <c r="BH91" s="38"/>
    </row>
    <row r="92" spans="58:60" x14ac:dyDescent="0.3">
      <c r="BF92" s="72"/>
      <c r="BG92" s="72"/>
      <c r="BH92" s="38"/>
    </row>
    <row r="93" spans="58:60" x14ac:dyDescent="0.3">
      <c r="BF93" s="72"/>
      <c r="BG93" s="72"/>
      <c r="BH93" s="38"/>
    </row>
    <row r="94" spans="58:60" x14ac:dyDescent="0.3">
      <c r="BF94" s="72"/>
      <c r="BG94" s="72"/>
      <c r="BH94" s="38"/>
    </row>
    <row r="95" spans="58:60" x14ac:dyDescent="0.3">
      <c r="BF95" s="72"/>
      <c r="BG95" s="72"/>
      <c r="BH95" s="38"/>
    </row>
    <row r="96" spans="58:60" x14ac:dyDescent="0.3">
      <c r="BF96" s="72"/>
      <c r="BG96" s="72"/>
      <c r="BH96" s="38"/>
    </row>
    <row r="97" spans="58:60" x14ac:dyDescent="0.3">
      <c r="BF97" s="72"/>
      <c r="BG97" s="72"/>
      <c r="BH97" s="38"/>
    </row>
    <row r="98" spans="58:60" x14ac:dyDescent="0.3">
      <c r="BF98" s="72"/>
      <c r="BG98" s="72"/>
      <c r="BH98" s="38"/>
    </row>
    <row r="99" spans="58:60" x14ac:dyDescent="0.3">
      <c r="BF99" s="72"/>
      <c r="BG99" s="72"/>
      <c r="BH99" s="38"/>
    </row>
    <row r="100" spans="58:60" x14ac:dyDescent="0.3">
      <c r="BF100" s="72"/>
      <c r="BG100" s="72"/>
      <c r="BH100" s="38"/>
    </row>
    <row r="101" spans="58:60" x14ac:dyDescent="0.3">
      <c r="BF101" s="72"/>
      <c r="BG101" s="72"/>
      <c r="BH101" s="38"/>
    </row>
    <row r="102" spans="58:60" x14ac:dyDescent="0.3">
      <c r="BF102" s="72"/>
      <c r="BG102" s="72"/>
      <c r="BH102" s="38"/>
    </row>
    <row r="103" spans="58:60" x14ac:dyDescent="0.3">
      <c r="BF103" s="72"/>
      <c r="BG103" s="72"/>
      <c r="BH103" s="38"/>
    </row>
    <row r="104" spans="58:60" x14ac:dyDescent="0.3">
      <c r="BF104" s="72"/>
      <c r="BG104" s="72"/>
      <c r="BH104" s="38"/>
    </row>
    <row r="105" spans="58:60" x14ac:dyDescent="0.3">
      <c r="BF105" s="72"/>
      <c r="BG105" s="72"/>
      <c r="BH105" s="38"/>
    </row>
    <row r="106" spans="58:60" x14ac:dyDescent="0.3">
      <c r="BF106" s="72"/>
      <c r="BG106" s="72"/>
      <c r="BH106" s="38"/>
    </row>
    <row r="107" spans="58:60" x14ac:dyDescent="0.3">
      <c r="BF107" s="72"/>
      <c r="BG107" s="72"/>
      <c r="BH107" s="38"/>
    </row>
    <row r="108" spans="58:60" x14ac:dyDescent="0.3">
      <c r="BF108" s="72"/>
      <c r="BG108" s="72"/>
      <c r="BH108" s="38"/>
    </row>
    <row r="109" spans="58:60" x14ac:dyDescent="0.3">
      <c r="BF109" s="72"/>
      <c r="BG109" s="72"/>
      <c r="BH109" s="38"/>
    </row>
    <row r="110" spans="58:60" x14ac:dyDescent="0.3">
      <c r="BF110" s="72"/>
      <c r="BG110" s="72"/>
      <c r="BH110" s="38"/>
    </row>
    <row r="111" spans="58:60" x14ac:dyDescent="0.3">
      <c r="BF111" s="72"/>
      <c r="BG111" s="72"/>
      <c r="BH111" s="38"/>
    </row>
    <row r="112" spans="58:60" x14ac:dyDescent="0.3">
      <c r="BF112" s="72"/>
      <c r="BG112" s="72"/>
      <c r="BH112" s="38"/>
    </row>
    <row r="113" spans="58:60" x14ac:dyDescent="0.3">
      <c r="BF113" s="72"/>
      <c r="BG113" s="72"/>
      <c r="BH113" s="38"/>
    </row>
    <row r="114" spans="58:60" x14ac:dyDescent="0.3">
      <c r="BF114" s="72"/>
      <c r="BG114" s="72"/>
      <c r="BH114" s="38"/>
    </row>
    <row r="115" spans="58:60" x14ac:dyDescent="0.3">
      <c r="BF115" s="72"/>
      <c r="BG115" s="72"/>
      <c r="BH115" s="38"/>
    </row>
    <row r="116" spans="58:60" x14ac:dyDescent="0.3">
      <c r="BF116" s="72"/>
      <c r="BG116" s="72"/>
      <c r="BH116" s="38"/>
    </row>
    <row r="117" spans="58:60" x14ac:dyDescent="0.3">
      <c r="BF117" s="72"/>
      <c r="BG117" s="72"/>
      <c r="BH117" s="38"/>
    </row>
    <row r="118" spans="58:60" x14ac:dyDescent="0.3">
      <c r="BF118" s="72"/>
      <c r="BG118" s="72"/>
      <c r="BH118" s="38"/>
    </row>
    <row r="119" spans="58:60" x14ac:dyDescent="0.3">
      <c r="BF119" s="72"/>
      <c r="BG119" s="72"/>
      <c r="BH119" s="38"/>
    </row>
    <row r="120" spans="58:60" x14ac:dyDescent="0.3">
      <c r="BF120" s="72"/>
      <c r="BG120" s="72"/>
      <c r="BH120" s="38"/>
    </row>
    <row r="121" spans="58:60" x14ac:dyDescent="0.3">
      <c r="BF121" s="72"/>
      <c r="BG121" s="72"/>
      <c r="BH121" s="38"/>
    </row>
    <row r="122" spans="58:60" x14ac:dyDescent="0.3">
      <c r="BF122" s="72"/>
      <c r="BG122" s="72"/>
      <c r="BH122" s="38"/>
    </row>
  </sheetData>
  <pageMargins left="0.7" right="0.7" top="0.75" bottom="0.75" header="0.3" footer="0.3"/>
  <pageSetup paperSize="9" orientation="portrait" r:id="rId1"/>
  <tableParts count="3">
    <tablePart r:id="rId2"/>
    <tablePart r:id="rId3"/>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C782-B38A-4D0D-8ADC-0D9442004F01}">
  <sheetPr codeName="Sheet16"/>
  <dimension ref="A1"/>
  <sheetViews>
    <sheetView workbookViewId="0">
      <selection activeCell="N24" sqref="N24"/>
    </sheetView>
  </sheetViews>
  <sheetFormatPr defaultRowHeight="14.4" x14ac:dyDescent="0.3"/>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522EB-BDEE-4FF2-9F26-DCAB042A494D}">
  <sheetPr codeName="Sheet35">
    <tabColor rgb="FF92D050"/>
  </sheetPr>
  <dimension ref="A1:N29"/>
  <sheetViews>
    <sheetView workbookViewId="0">
      <pane ySplit="1" topLeftCell="A2" activePane="bottomLeft" state="frozen"/>
      <selection pane="bottomLeft" activeCell="H12" sqref="H12"/>
    </sheetView>
  </sheetViews>
  <sheetFormatPr defaultColWidth="9.09765625" defaultRowHeight="14.4" x14ac:dyDescent="0.3"/>
  <cols>
    <col min="1" max="1" width="13.09765625" style="128" bestFit="1" customWidth="1"/>
    <col min="2" max="2" width="12.296875" style="128" bestFit="1" customWidth="1"/>
    <col min="3" max="3" width="13.69921875" style="128" bestFit="1" customWidth="1"/>
    <col min="4" max="4" width="9.09765625" style="128"/>
    <col min="5" max="5" width="12.59765625" style="11" bestFit="1" customWidth="1"/>
    <col min="6" max="6" width="9.09765625" style="128"/>
    <col min="7" max="7" width="18" style="128" bestFit="1" customWidth="1"/>
    <col min="8" max="8" width="14.09765625" style="128" bestFit="1" customWidth="1"/>
    <col min="9" max="9" width="9.09765625" style="11"/>
    <col min="10" max="10" width="34.8984375" style="128" bestFit="1" customWidth="1"/>
    <col min="11" max="11" width="12" style="128" bestFit="1" customWidth="1"/>
    <col min="12" max="12" width="9.09765625" style="128"/>
    <col min="13" max="13" width="12.5" style="128" bestFit="1" customWidth="1"/>
    <col min="14" max="14" width="11.69921875" style="128" bestFit="1" customWidth="1"/>
    <col min="15" max="16384" width="9.09765625" style="128"/>
  </cols>
  <sheetData>
    <row r="1" spans="1:14" x14ac:dyDescent="0.3">
      <c r="A1" s="269" t="s">
        <v>0</v>
      </c>
      <c r="B1" s="269" t="s">
        <v>855</v>
      </c>
      <c r="C1" s="270" t="s">
        <v>856</v>
      </c>
      <c r="D1" s="269" t="s">
        <v>843</v>
      </c>
      <c r="E1" s="269" t="s">
        <v>1058</v>
      </c>
      <c r="F1" s="269" t="s">
        <v>1056</v>
      </c>
      <c r="G1" s="269" t="s">
        <v>1054</v>
      </c>
      <c r="H1" s="271" t="s">
        <v>857</v>
      </c>
      <c r="I1" s="271" t="s">
        <v>981</v>
      </c>
      <c r="J1" s="269" t="s">
        <v>1047</v>
      </c>
      <c r="K1" s="232">
        <f>COUNTA(A:A)-1</f>
        <v>12</v>
      </c>
      <c r="M1" s="178" t="s">
        <v>2857</v>
      </c>
      <c r="N1" t="s">
        <v>3010</v>
      </c>
    </row>
    <row r="2" spans="1:14" x14ac:dyDescent="0.3">
      <c r="A2" s="272">
        <v>1</v>
      </c>
      <c r="B2" s="273">
        <f t="shared" ref="B2:B12" si="0">RPT</f>
        <v>46252</v>
      </c>
      <c r="C2" s="274" t="s">
        <v>2947</v>
      </c>
      <c r="D2" s="275"/>
      <c r="E2" s="275" t="s">
        <v>1030</v>
      </c>
      <c r="F2" s="275" t="s">
        <v>1064</v>
      </c>
      <c r="G2" s="276" t="s">
        <v>2966</v>
      </c>
      <c r="H2" s="277">
        <f>SUM(Market!H:H)</f>
        <v>92250000</v>
      </c>
      <c r="I2" s="275" t="s">
        <v>2967</v>
      </c>
      <c r="J2" s="54" t="s">
        <v>2968</v>
      </c>
      <c r="M2" s="93" t="s">
        <v>2975</v>
      </c>
      <c r="N2" s="38">
        <v>22880000</v>
      </c>
    </row>
    <row r="3" spans="1:14" x14ac:dyDescent="0.3">
      <c r="A3" s="272">
        <v>2</v>
      </c>
      <c r="B3" s="273">
        <f t="shared" si="0"/>
        <v>46252</v>
      </c>
      <c r="C3" s="274" t="s">
        <v>2948</v>
      </c>
      <c r="D3" s="275"/>
      <c r="E3" s="275" t="s">
        <v>1030</v>
      </c>
      <c r="F3" s="275" t="s">
        <v>1064</v>
      </c>
      <c r="G3" s="276" t="s">
        <v>2966</v>
      </c>
      <c r="H3" s="278">
        <f>SUM(Market!I:I)/10^9</f>
        <v>9907.3554829999994</v>
      </c>
      <c r="I3" s="275" t="s">
        <v>2969</v>
      </c>
      <c r="J3" s="54" t="s">
        <v>2970</v>
      </c>
      <c r="M3" s="93" t="s">
        <v>2977</v>
      </c>
      <c r="N3" s="38">
        <v>30890000</v>
      </c>
    </row>
    <row r="4" spans="1:14" x14ac:dyDescent="0.3">
      <c r="A4" s="272">
        <v>3</v>
      </c>
      <c r="B4" s="273">
        <f t="shared" si="0"/>
        <v>46252</v>
      </c>
      <c r="C4" s="55" t="s">
        <v>2964</v>
      </c>
      <c r="D4" s="54"/>
      <c r="E4" s="272" t="s">
        <v>1030</v>
      </c>
      <c r="F4" s="275" t="s">
        <v>1064</v>
      </c>
      <c r="G4" s="54" t="s">
        <v>2971</v>
      </c>
      <c r="H4" s="277">
        <f>(SUM(Market!AG:AG)+SUM(Market!AK:AK))/10^9</f>
        <v>0</v>
      </c>
      <c r="I4" s="272" t="s">
        <v>2969</v>
      </c>
      <c r="J4" s="54" t="s">
        <v>3008</v>
      </c>
      <c r="M4" s="93" t="s">
        <v>2976</v>
      </c>
      <c r="N4" s="38">
        <v>7400000</v>
      </c>
    </row>
    <row r="5" spans="1:14" x14ac:dyDescent="0.3">
      <c r="A5" s="272">
        <v>4</v>
      </c>
      <c r="B5" s="273">
        <f t="shared" si="0"/>
        <v>46252</v>
      </c>
      <c r="C5" s="55" t="s">
        <v>2972</v>
      </c>
      <c r="D5" s="54"/>
      <c r="E5" s="272" t="s">
        <v>1030</v>
      </c>
      <c r="F5" s="275" t="s">
        <v>1064</v>
      </c>
      <c r="G5" s="54" t="s">
        <v>2971</v>
      </c>
      <c r="H5" s="277">
        <f>(SUM(Market!AE:AE)+SUM(Market!AI:AI))/10^9</f>
        <v>0</v>
      </c>
      <c r="I5" s="272" t="s">
        <v>2969</v>
      </c>
      <c r="J5" s="54" t="s">
        <v>2973</v>
      </c>
      <c r="M5" s="93" t="s">
        <v>928</v>
      </c>
      <c r="N5" s="38">
        <v>10300000</v>
      </c>
    </row>
    <row r="6" spans="1:14" x14ac:dyDescent="0.3">
      <c r="A6" s="272">
        <v>5</v>
      </c>
      <c r="B6" s="273">
        <f t="shared" si="0"/>
        <v>46252</v>
      </c>
      <c r="C6" s="274" t="s">
        <v>2947</v>
      </c>
      <c r="D6" s="275"/>
      <c r="E6" s="275" t="s">
        <v>2975</v>
      </c>
      <c r="F6" s="275" t="s">
        <v>1064</v>
      </c>
      <c r="G6" s="276" t="s">
        <v>2966</v>
      </c>
      <c r="H6" s="277">
        <f>_xlfn.IFNA(VLOOKUP(E6,M:N,2,0),0)</f>
        <v>22880000</v>
      </c>
      <c r="I6" s="275" t="s">
        <v>2967</v>
      </c>
      <c r="J6" s="54" t="s">
        <v>2974</v>
      </c>
      <c r="M6" s="93" t="s">
        <v>931</v>
      </c>
      <c r="N6" s="38">
        <v>20780000</v>
      </c>
    </row>
    <row r="7" spans="1:14" x14ac:dyDescent="0.3">
      <c r="A7" s="272">
        <v>6</v>
      </c>
      <c r="B7" s="273">
        <f t="shared" si="0"/>
        <v>46252</v>
      </c>
      <c r="C7" s="274" t="s">
        <v>2947</v>
      </c>
      <c r="D7" s="54"/>
      <c r="E7" s="272" t="s">
        <v>928</v>
      </c>
      <c r="F7" s="275" t="s">
        <v>1064</v>
      </c>
      <c r="G7" s="276" t="s">
        <v>2966</v>
      </c>
      <c r="H7" s="277">
        <f>_xlfn.IFNA(VLOOKUP(E7,M:N,2,0),0)</f>
        <v>10300000</v>
      </c>
      <c r="I7" s="275" t="s">
        <v>2967</v>
      </c>
      <c r="J7" s="54" t="s">
        <v>2974</v>
      </c>
      <c r="M7" s="93" t="s">
        <v>3009</v>
      </c>
      <c r="N7" s="38">
        <v>92250000</v>
      </c>
    </row>
    <row r="8" spans="1:14" x14ac:dyDescent="0.3">
      <c r="A8" s="272">
        <v>7</v>
      </c>
      <c r="B8" s="273">
        <f t="shared" si="0"/>
        <v>46252</v>
      </c>
      <c r="C8" s="274" t="s">
        <v>2947</v>
      </c>
      <c r="D8" s="54"/>
      <c r="E8" s="272" t="s">
        <v>931</v>
      </c>
      <c r="F8" s="275" t="s">
        <v>1064</v>
      </c>
      <c r="G8" s="276" t="s">
        <v>2966</v>
      </c>
      <c r="H8" s="277">
        <f>_xlfn.IFNA(VLOOKUP(E8,M:N,2,0),0)</f>
        <v>20780000</v>
      </c>
      <c r="I8" s="275" t="s">
        <v>2967</v>
      </c>
      <c r="J8" s="54" t="s">
        <v>2974</v>
      </c>
      <c r="M8"/>
      <c r="N8"/>
    </row>
    <row r="9" spans="1:14" x14ac:dyDescent="0.3">
      <c r="A9" s="272">
        <v>8</v>
      </c>
      <c r="B9" s="273">
        <f t="shared" si="0"/>
        <v>46252</v>
      </c>
      <c r="C9" s="274" t="s">
        <v>2947</v>
      </c>
      <c r="D9" s="54"/>
      <c r="E9" s="272" t="s">
        <v>2976</v>
      </c>
      <c r="F9" s="275" t="s">
        <v>1064</v>
      </c>
      <c r="G9" s="276" t="s">
        <v>2966</v>
      </c>
      <c r="H9" s="277">
        <f>_xlfn.IFNA(VLOOKUP(E9,M:N,2,0),0)</f>
        <v>7400000</v>
      </c>
      <c r="I9" s="275" t="s">
        <v>2967</v>
      </c>
      <c r="J9" s="54" t="s">
        <v>2974</v>
      </c>
    </row>
    <row r="10" spans="1:14" x14ac:dyDescent="0.3">
      <c r="A10" s="272">
        <v>9</v>
      </c>
      <c r="B10" s="273">
        <f t="shared" si="0"/>
        <v>46252</v>
      </c>
      <c r="C10" s="274" t="s">
        <v>2947</v>
      </c>
      <c r="D10" s="54"/>
      <c r="E10" s="272" t="s">
        <v>2977</v>
      </c>
      <c r="F10" s="275" t="s">
        <v>1064</v>
      </c>
      <c r="G10" s="276" t="s">
        <v>2966</v>
      </c>
      <c r="H10" s="277">
        <f>_xlfn.IFNA(VLOOKUP(E10,M:N,2,0),0)</f>
        <v>30890000</v>
      </c>
      <c r="I10" s="275" t="s">
        <v>2967</v>
      </c>
      <c r="J10" s="54" t="s">
        <v>2974</v>
      </c>
    </row>
    <row r="11" spans="1:14" x14ac:dyDescent="0.3">
      <c r="A11" s="272">
        <v>10</v>
      </c>
      <c r="B11" s="273">
        <f t="shared" si="0"/>
        <v>46252</v>
      </c>
      <c r="C11" s="274" t="s">
        <v>2978</v>
      </c>
      <c r="D11" s="54"/>
      <c r="E11" s="272" t="s">
        <v>1030</v>
      </c>
      <c r="F11" s="275" t="s">
        <v>1064</v>
      </c>
      <c r="G11" s="276" t="s">
        <v>2966</v>
      </c>
      <c r="H11" s="277">
        <f>SUM(Market!Q:Q)/10^9</f>
        <v>3200</v>
      </c>
      <c r="I11" s="272" t="s">
        <v>2969</v>
      </c>
      <c r="J11" s="54" t="s">
        <v>2979</v>
      </c>
    </row>
    <row r="12" spans="1:14" x14ac:dyDescent="0.3">
      <c r="A12" s="272">
        <v>11</v>
      </c>
      <c r="B12" s="273">
        <f t="shared" si="0"/>
        <v>46252</v>
      </c>
      <c r="C12" s="274" t="s">
        <v>3876</v>
      </c>
      <c r="D12" s="54"/>
      <c r="E12" s="272" t="s">
        <v>1030</v>
      </c>
      <c r="F12" s="275" t="s">
        <v>1064</v>
      </c>
      <c r="G12" s="276"/>
      <c r="H12" s="753">
        <f>(SUMIFS('Deal ps'!L:L,'Deal ps'!Z:Z,"Outright")
/(SUM(Market!H:H)*2))*100</f>
        <v>0</v>
      </c>
      <c r="I12" s="272" t="s">
        <v>1078</v>
      </c>
      <c r="J12" s="54" t="s">
        <v>3874</v>
      </c>
    </row>
    <row r="13" spans="1:14" x14ac:dyDescent="0.3">
      <c r="A13" s="272">
        <v>12</v>
      </c>
      <c r="B13" s="273">
        <f>RPT</f>
        <v>46252</v>
      </c>
      <c r="C13" s="274" t="s">
        <v>3875</v>
      </c>
      <c r="D13" s="54"/>
      <c r="E13" s="272" t="s">
        <v>1030</v>
      </c>
      <c r="F13" s="275" t="s">
        <v>1064</v>
      </c>
      <c r="G13" s="276"/>
      <c r="H13" s="753">
        <f>(SUMIFS('Deal ps'!L:L,'Deal ps'!Z:Z,"Outright Repo")+SUMIFS('Deal ps'!L:L,'Deal ps'!Z:Z,"Outright"))
/((SUM(Market!Q:Q)/10^5+SUM(Market!H:H))*2)*100</f>
        <v>3.0261569416498992</v>
      </c>
      <c r="I13" s="272" t="s">
        <v>1078</v>
      </c>
      <c r="J13" s="54" t="s">
        <v>3877</v>
      </c>
    </row>
    <row r="14" spans="1:14" x14ac:dyDescent="0.3">
      <c r="C14"/>
    </row>
    <row r="15" spans="1:14" x14ac:dyDescent="0.3">
      <c r="C15"/>
    </row>
    <row r="16" spans="1:14" x14ac:dyDescent="0.3">
      <c r="C16"/>
    </row>
    <row r="17" spans="1:3" x14ac:dyDescent="0.3">
      <c r="C17"/>
    </row>
    <row r="18" spans="1:3" x14ac:dyDescent="0.3">
      <c r="C18"/>
    </row>
    <row r="19" spans="1:3" x14ac:dyDescent="0.3">
      <c r="A19"/>
      <c r="B19"/>
      <c r="C19"/>
    </row>
    <row r="20" spans="1:3" x14ac:dyDescent="0.3">
      <c r="A20"/>
      <c r="B20"/>
      <c r="C20"/>
    </row>
    <row r="21" spans="1:3" x14ac:dyDescent="0.3">
      <c r="A21"/>
      <c r="B21"/>
      <c r="C21"/>
    </row>
    <row r="22" spans="1:3" x14ac:dyDescent="0.3">
      <c r="A22"/>
      <c r="B22"/>
      <c r="C22"/>
    </row>
    <row r="23" spans="1:3" x14ac:dyDescent="0.3">
      <c r="A23"/>
      <c r="B23"/>
      <c r="C23"/>
    </row>
    <row r="24" spans="1:3" x14ac:dyDescent="0.3">
      <c r="A24"/>
      <c r="B24"/>
      <c r="C24"/>
    </row>
    <row r="25" spans="1:3" x14ac:dyDescent="0.3">
      <c r="A25"/>
      <c r="B25"/>
      <c r="C25"/>
    </row>
    <row r="26" spans="1:3" x14ac:dyDescent="0.3">
      <c r="A26"/>
      <c r="B26"/>
      <c r="C26"/>
    </row>
    <row r="27" spans="1:3" x14ac:dyDescent="0.3">
      <c r="A27"/>
      <c r="B27"/>
      <c r="C27"/>
    </row>
    <row r="28" spans="1:3" x14ac:dyDescent="0.3">
      <c r="A28"/>
      <c r="B28"/>
      <c r="C28"/>
    </row>
    <row r="29" spans="1:3" x14ac:dyDescent="0.3">
      <c r="A29"/>
      <c r="B29"/>
      <c r="C29"/>
    </row>
  </sheetData>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
    <tabColor rgb="FF92D050"/>
  </sheetPr>
  <dimension ref="A1:Y870"/>
  <sheetViews>
    <sheetView zoomScale="85" zoomScaleNormal="85" workbookViewId="0">
      <pane ySplit="1" topLeftCell="A95" activePane="bottomLeft" state="frozen"/>
      <selection pane="bottomLeft" activeCell="L117" sqref="L117"/>
    </sheetView>
  </sheetViews>
  <sheetFormatPr defaultRowHeight="14.4" x14ac:dyDescent="0.3"/>
  <cols>
    <col min="1" max="1" width="6.69921875" bestFit="1" customWidth="1"/>
    <col min="2" max="2" width="10.09765625" style="35" bestFit="1" customWidth="1"/>
    <col min="3" max="3" width="28.59765625" bestFit="1" customWidth="1"/>
    <col min="4" max="4" width="11.296875" bestFit="1" customWidth="1"/>
    <col min="5" max="5" width="9.69921875" style="10" bestFit="1" customWidth="1"/>
    <col min="6" max="6" width="9.69921875" style="10" customWidth="1"/>
    <col min="7" max="7" width="18" customWidth="1"/>
    <col min="8" max="8" width="15.59765625" customWidth="1"/>
    <col min="9" max="9" width="18.69921875" customWidth="1"/>
    <col min="10" max="10" width="26.69921875" customWidth="1"/>
    <col min="11" max="11" width="12.59765625" style="10" customWidth="1"/>
    <col min="12" max="12" width="10.69921875" style="602" bestFit="1" customWidth="1"/>
    <col min="13" max="13" width="9.296875" bestFit="1" customWidth="1"/>
    <col min="14" max="14" width="12.59765625" style="32" bestFit="1" customWidth="1"/>
    <col min="16" max="16" width="5.296875" bestFit="1" customWidth="1"/>
    <col min="17" max="17" width="7.8984375" bestFit="1" customWidth="1"/>
    <col min="18" max="18" width="6.3984375" bestFit="1" customWidth="1"/>
    <col min="19" max="19" width="15" bestFit="1" customWidth="1"/>
    <col min="20" max="20" width="33.3984375" bestFit="1" customWidth="1"/>
    <col min="21" max="21" width="6.59765625" customWidth="1"/>
    <col min="23" max="23" width="24.59765625" style="1" bestFit="1" customWidth="1"/>
    <col min="24" max="24" width="13.59765625" style="1" customWidth="1"/>
    <col min="25" max="25" width="9.09765625" style="1"/>
  </cols>
  <sheetData>
    <row r="1" spans="1:24" x14ac:dyDescent="0.3">
      <c r="A1" s="587" t="s">
        <v>0</v>
      </c>
      <c r="B1" s="588" t="s">
        <v>855</v>
      </c>
      <c r="C1" s="589" t="s">
        <v>856</v>
      </c>
      <c r="D1" s="590" t="s">
        <v>1052</v>
      </c>
      <c r="E1" s="85" t="s">
        <v>1053</v>
      </c>
      <c r="F1" s="85" t="s">
        <v>843</v>
      </c>
      <c r="G1" s="85" t="s">
        <v>1054</v>
      </c>
      <c r="H1" s="85" t="s">
        <v>1055</v>
      </c>
      <c r="I1" s="85" t="s">
        <v>1056</v>
      </c>
      <c r="J1" s="85" t="s">
        <v>1057</v>
      </c>
      <c r="K1" s="85" t="s">
        <v>1058</v>
      </c>
      <c r="L1" s="591" t="s">
        <v>857</v>
      </c>
      <c r="M1" s="590" t="s">
        <v>981</v>
      </c>
      <c r="N1" s="592" t="s">
        <v>1059</v>
      </c>
      <c r="O1" s="85" t="s">
        <v>1060</v>
      </c>
      <c r="P1" s="587" t="s">
        <v>980</v>
      </c>
      <c r="Q1" s="85" t="s">
        <v>1061</v>
      </c>
      <c r="R1" s="588" t="s">
        <v>1062</v>
      </c>
      <c r="S1" s="85" t="s">
        <v>1063</v>
      </c>
      <c r="T1" s="590" t="s">
        <v>1047</v>
      </c>
      <c r="U1" s="56">
        <f>COUNT(B:B)</f>
        <v>342</v>
      </c>
      <c r="W1" s="56" t="s">
        <v>0</v>
      </c>
      <c r="X1" s="56"/>
    </row>
    <row r="2" spans="1:24" x14ac:dyDescent="0.3">
      <c r="A2" s="64">
        <f t="shared" ref="A2:A65" si="0">$X$3</f>
        <v>2474</v>
      </c>
      <c r="B2" s="7">
        <f t="shared" ref="B2:B65" si="1">RPT</f>
        <v>46252</v>
      </c>
      <c r="C2" s="488" t="s">
        <v>3716</v>
      </c>
      <c r="D2" s="1" t="s">
        <v>1064</v>
      </c>
      <c r="E2" s="62" t="s">
        <v>1030</v>
      </c>
      <c r="L2" s="742">
        <f>'Phan tich_TB'!D2</f>
        <v>3.940558788584172</v>
      </c>
      <c r="M2" s="593" t="s">
        <v>1078</v>
      </c>
      <c r="N2" s="599"/>
      <c r="O2" s="600"/>
      <c r="P2" s="1" t="s">
        <v>1066</v>
      </c>
      <c r="W2" s="1">
        <v>422</v>
      </c>
      <c r="X2" s="109">
        <v>43381</v>
      </c>
    </row>
    <row r="3" spans="1:24" x14ac:dyDescent="0.3">
      <c r="A3" s="64">
        <f t="shared" si="0"/>
        <v>2474</v>
      </c>
      <c r="B3" s="7">
        <f t="shared" si="1"/>
        <v>46252</v>
      </c>
      <c r="C3" s="488" t="s">
        <v>3972</v>
      </c>
      <c r="D3" s="1"/>
      <c r="E3" s="62"/>
      <c r="L3" s="602">
        <f>(SUMPRODUCT(Outstanding_pos_TB_MSB[Amt],Outstanding_pos_TB_MSB[Yield])+SUMPRODUCT(TB_HTM[Amt],TB_HTM[Yield]))/SUM(Outstanding_pos_TB_MSB[Amt],TB_HTM[Amt])</f>
        <v>3.0488340090218693</v>
      </c>
      <c r="M3" s="593" t="s">
        <v>1078</v>
      </c>
      <c r="N3" s="604"/>
      <c r="O3" s="1"/>
      <c r="P3" s="1"/>
      <c r="X3" s="595">
        <f>NETWORKDAYS(X2,RPT,0)+W2</f>
        <v>2474</v>
      </c>
    </row>
    <row r="4" spans="1:24" x14ac:dyDescent="0.3">
      <c r="A4" s="64">
        <f t="shared" si="0"/>
        <v>2474</v>
      </c>
      <c r="B4" s="7">
        <f t="shared" si="1"/>
        <v>46252</v>
      </c>
      <c r="C4" s="488" t="s">
        <v>807</v>
      </c>
      <c r="D4" s="1" t="s">
        <v>1064</v>
      </c>
      <c r="E4" s="62" t="s">
        <v>1030</v>
      </c>
      <c r="F4" s="62"/>
      <c r="G4" s="62"/>
      <c r="H4" s="62"/>
      <c r="I4" s="62"/>
      <c r="J4" s="62"/>
      <c r="K4" s="62"/>
      <c r="L4" s="115">
        <f>'Phan tich_TB'!C2</f>
        <v>3.0488340090218693</v>
      </c>
      <c r="M4" s="593" t="s">
        <v>1078</v>
      </c>
      <c r="N4" s="599"/>
      <c r="O4" s="600"/>
      <c r="P4" s="1" t="s">
        <v>1066</v>
      </c>
      <c r="Q4" s="1"/>
      <c r="R4" s="1"/>
      <c r="S4" s="1"/>
      <c r="T4" s="1"/>
      <c r="U4" s="1"/>
    </row>
    <row r="5" spans="1:24" x14ac:dyDescent="0.3">
      <c r="A5" s="64">
        <f t="shared" si="0"/>
        <v>2474</v>
      </c>
      <c r="B5" s="7">
        <f t="shared" si="1"/>
        <v>46252</v>
      </c>
      <c r="C5" t="s">
        <v>3075</v>
      </c>
      <c r="D5" s="1" t="s">
        <v>1064</v>
      </c>
      <c r="E5" s="62" t="s">
        <v>1030</v>
      </c>
      <c r="L5" s="602">
        <f>SUM('Phan tich_TB'!X17:X28)</f>
        <v>0</v>
      </c>
      <c r="X5" s="596"/>
    </row>
    <row r="6" spans="1:24" x14ac:dyDescent="0.3">
      <c r="A6" s="64">
        <f t="shared" si="0"/>
        <v>2474</v>
      </c>
      <c r="B6" s="7">
        <f t="shared" si="1"/>
        <v>46252</v>
      </c>
      <c r="C6" s="488" t="s">
        <v>2904</v>
      </c>
      <c r="D6" t="s">
        <v>1064</v>
      </c>
      <c r="E6" s="10" t="s">
        <v>1030</v>
      </c>
      <c r="F6" s="10" t="s">
        <v>1030</v>
      </c>
      <c r="H6" t="s">
        <v>822</v>
      </c>
      <c r="L6" s="602">
        <f>COUNTIFS('Deal ps'!AU:AU,H6)</f>
        <v>0</v>
      </c>
      <c r="M6" s="593" t="s">
        <v>2905</v>
      </c>
      <c r="P6" s="1" t="s">
        <v>1066</v>
      </c>
      <c r="X6" s="109"/>
    </row>
    <row r="7" spans="1:24" x14ac:dyDescent="0.3">
      <c r="A7" s="64">
        <f t="shared" si="0"/>
        <v>2474</v>
      </c>
      <c r="B7" s="7">
        <f t="shared" si="1"/>
        <v>46252</v>
      </c>
      <c r="C7" s="488" t="s">
        <v>2904</v>
      </c>
      <c r="D7" t="s">
        <v>1064</v>
      </c>
      <c r="E7" s="10" t="s">
        <v>1030</v>
      </c>
      <c r="F7" s="10" t="s">
        <v>1030</v>
      </c>
      <c r="H7" t="s">
        <v>2728</v>
      </c>
      <c r="L7" s="602">
        <f>COUNTIFS('Deal ps'!AU:AU,H7)</f>
        <v>0</v>
      </c>
      <c r="M7" s="593" t="s">
        <v>2905</v>
      </c>
      <c r="P7" s="1" t="s">
        <v>1066</v>
      </c>
    </row>
    <row r="8" spans="1:24" x14ac:dyDescent="0.3">
      <c r="A8" s="64">
        <f t="shared" si="0"/>
        <v>2474</v>
      </c>
      <c r="B8" s="7">
        <f t="shared" si="1"/>
        <v>46252</v>
      </c>
      <c r="C8" s="488" t="s">
        <v>2904</v>
      </c>
      <c r="D8" t="s">
        <v>1064</v>
      </c>
      <c r="E8" s="10" t="s">
        <v>1030</v>
      </c>
      <c r="F8" s="10" t="s">
        <v>1030</v>
      </c>
      <c r="H8" t="s">
        <v>822</v>
      </c>
      <c r="L8" s="602">
        <f>SUMIFS('Deal ps'!AV:AV,'Deal ps'!AU:AU,H8)/10^4</f>
        <v>0</v>
      </c>
      <c r="M8" s="593" t="s">
        <v>1065</v>
      </c>
      <c r="P8" s="1" t="s">
        <v>1066</v>
      </c>
    </row>
    <row r="9" spans="1:24" x14ac:dyDescent="0.3">
      <c r="A9" s="64">
        <f t="shared" si="0"/>
        <v>2474</v>
      </c>
      <c r="B9" s="7">
        <f t="shared" si="1"/>
        <v>46252</v>
      </c>
      <c r="C9" s="488" t="s">
        <v>2904</v>
      </c>
      <c r="D9" t="s">
        <v>1064</v>
      </c>
      <c r="E9" s="10" t="s">
        <v>1030</v>
      </c>
      <c r="F9" s="10" t="s">
        <v>1030</v>
      </c>
      <c r="H9" t="s">
        <v>2728</v>
      </c>
      <c r="L9" s="602">
        <f>SUMIFS('Deal ps'!AV:AV,'Deal ps'!AU:AU,H9)/10^4</f>
        <v>0</v>
      </c>
      <c r="M9" s="593" t="s">
        <v>1065</v>
      </c>
      <c r="P9" s="1" t="s">
        <v>1066</v>
      </c>
    </row>
    <row r="10" spans="1:24" x14ac:dyDescent="0.3">
      <c r="A10" s="64">
        <f t="shared" si="0"/>
        <v>2474</v>
      </c>
      <c r="B10" s="7">
        <f t="shared" si="1"/>
        <v>46252</v>
      </c>
      <c r="C10" s="488" t="s">
        <v>2195</v>
      </c>
      <c r="D10" s="1" t="s">
        <v>1064</v>
      </c>
      <c r="E10" s="62" t="s">
        <v>1030</v>
      </c>
      <c r="F10" s="31"/>
      <c r="G10" s="62"/>
      <c r="H10" s="62"/>
      <c r="I10" s="62"/>
      <c r="J10" s="62" t="s">
        <v>1068</v>
      </c>
      <c r="K10" s="62" t="s">
        <v>877</v>
      </c>
      <c r="L10" s="63">
        <f>'Phan tich_TB'!AB2</f>
        <v>0</v>
      </c>
      <c r="M10" s="593" t="s">
        <v>1065</v>
      </c>
      <c r="N10" s="64"/>
      <c r="O10" s="1"/>
      <c r="P10" s="1" t="s">
        <v>1066</v>
      </c>
      <c r="Q10" s="1"/>
      <c r="R10" s="1"/>
      <c r="S10" s="1"/>
      <c r="T10" s="1"/>
      <c r="U10" s="1"/>
    </row>
    <row r="11" spans="1:24" x14ac:dyDescent="0.3">
      <c r="A11" s="64">
        <f t="shared" si="0"/>
        <v>2474</v>
      </c>
      <c r="B11" s="7">
        <f t="shared" si="1"/>
        <v>46252</v>
      </c>
      <c r="C11" s="488" t="s">
        <v>2195</v>
      </c>
      <c r="D11" s="1" t="s">
        <v>1064</v>
      </c>
      <c r="E11" s="62" t="s">
        <v>1030</v>
      </c>
      <c r="F11" s="31"/>
      <c r="G11" s="62"/>
      <c r="H11" s="62"/>
      <c r="I11" s="62"/>
      <c r="J11" s="62" t="s">
        <v>1068</v>
      </c>
      <c r="K11" s="62" t="s">
        <v>878</v>
      </c>
      <c r="L11" s="63">
        <f>'Phan tich_TB'!AB3</f>
        <v>0</v>
      </c>
      <c r="M11" s="593" t="s">
        <v>1065</v>
      </c>
      <c r="N11" s="64"/>
      <c r="O11" s="1"/>
      <c r="P11" s="1" t="s">
        <v>1066</v>
      </c>
      <c r="Q11" s="1"/>
      <c r="R11" s="1"/>
      <c r="S11" s="1"/>
      <c r="T11" s="1"/>
      <c r="U11" s="1"/>
    </row>
    <row r="12" spans="1:24" x14ac:dyDescent="0.3">
      <c r="A12" s="64">
        <f t="shared" si="0"/>
        <v>2474</v>
      </c>
      <c r="B12" s="7">
        <f t="shared" si="1"/>
        <v>46252</v>
      </c>
      <c r="C12" s="488" t="s">
        <v>2195</v>
      </c>
      <c r="D12" s="1" t="s">
        <v>1064</v>
      </c>
      <c r="E12" s="62" t="s">
        <v>1030</v>
      </c>
      <c r="F12" s="31"/>
      <c r="G12" s="62"/>
      <c r="H12" s="62"/>
      <c r="I12" s="62"/>
      <c r="J12" s="62" t="s">
        <v>1068</v>
      </c>
      <c r="K12" s="62" t="s">
        <v>879</v>
      </c>
      <c r="L12" s="63">
        <f>'Phan tich_TB'!AB4</f>
        <v>0</v>
      </c>
      <c r="M12" s="593" t="s">
        <v>1065</v>
      </c>
      <c r="N12" s="64"/>
      <c r="O12" s="1"/>
      <c r="P12" s="1" t="s">
        <v>1066</v>
      </c>
      <c r="Q12" s="1"/>
      <c r="R12" s="1"/>
      <c r="S12" s="1"/>
      <c r="T12" s="1"/>
      <c r="U12" s="1"/>
    </row>
    <row r="13" spans="1:24" x14ac:dyDescent="0.3">
      <c r="A13" s="64">
        <f t="shared" si="0"/>
        <v>2474</v>
      </c>
      <c r="B13" s="7">
        <f t="shared" si="1"/>
        <v>46252</v>
      </c>
      <c r="C13" s="488" t="s">
        <v>2195</v>
      </c>
      <c r="D13" s="1" t="s">
        <v>1064</v>
      </c>
      <c r="E13" s="62" t="s">
        <v>1030</v>
      </c>
      <c r="F13" s="31"/>
      <c r="G13" s="62"/>
      <c r="H13" s="62"/>
      <c r="I13" s="62"/>
      <c r="J13" s="62" t="s">
        <v>1068</v>
      </c>
      <c r="K13" s="62" t="s">
        <v>880</v>
      </c>
      <c r="L13" s="63">
        <f>'Phan tich_TB'!AB5</f>
        <v>0</v>
      </c>
      <c r="M13" s="593" t="s">
        <v>1065</v>
      </c>
      <c r="N13" s="64"/>
      <c r="O13" s="1"/>
      <c r="P13" s="1" t="s">
        <v>1066</v>
      </c>
      <c r="Q13" s="1"/>
      <c r="R13" s="1"/>
      <c r="S13" s="1"/>
      <c r="T13" s="1"/>
      <c r="U13" s="1"/>
    </row>
    <row r="14" spans="1:24" x14ac:dyDescent="0.3">
      <c r="A14" s="64">
        <f t="shared" si="0"/>
        <v>2474</v>
      </c>
      <c r="B14" s="7">
        <f t="shared" si="1"/>
        <v>46252</v>
      </c>
      <c r="C14" s="488" t="s">
        <v>2195</v>
      </c>
      <c r="D14" s="1" t="s">
        <v>1064</v>
      </c>
      <c r="E14" s="62" t="s">
        <v>1030</v>
      </c>
      <c r="F14" s="31"/>
      <c r="G14" s="62"/>
      <c r="H14" s="62"/>
      <c r="I14" s="62"/>
      <c r="J14" s="62" t="s">
        <v>1068</v>
      </c>
      <c r="K14" s="62" t="s">
        <v>881</v>
      </c>
      <c r="L14" s="63">
        <f>'Phan tich_TB'!AB6</f>
        <v>0</v>
      </c>
      <c r="M14" s="593" t="s">
        <v>1065</v>
      </c>
      <c r="N14" s="64"/>
      <c r="O14" s="1"/>
      <c r="P14" s="1" t="s">
        <v>1066</v>
      </c>
      <c r="Q14" s="1"/>
      <c r="R14" s="1"/>
      <c r="S14" s="1"/>
      <c r="T14" s="1"/>
      <c r="U14" s="1"/>
    </row>
    <row r="15" spans="1:24" x14ac:dyDescent="0.3">
      <c r="A15" s="64">
        <f t="shared" si="0"/>
        <v>2474</v>
      </c>
      <c r="B15" s="7">
        <f t="shared" si="1"/>
        <v>46252</v>
      </c>
      <c r="C15" s="488" t="s">
        <v>2195</v>
      </c>
      <c r="D15" s="1" t="s">
        <v>1064</v>
      </c>
      <c r="E15" s="62" t="s">
        <v>1030</v>
      </c>
      <c r="F15" s="31"/>
      <c r="G15" s="62"/>
      <c r="H15" s="62"/>
      <c r="I15" s="62"/>
      <c r="J15" s="62" t="s">
        <v>1068</v>
      </c>
      <c r="K15" s="62" t="s">
        <v>882</v>
      </c>
      <c r="L15" s="63">
        <f>'Phan tich_TB'!AB7</f>
        <v>0</v>
      </c>
      <c r="M15" s="593" t="s">
        <v>1065</v>
      </c>
      <c r="N15" s="64"/>
      <c r="O15" s="1"/>
      <c r="P15" s="1" t="s">
        <v>1066</v>
      </c>
      <c r="Q15" s="1"/>
      <c r="R15" s="1"/>
      <c r="S15" s="1"/>
      <c r="T15" s="1"/>
      <c r="U15" s="1"/>
    </row>
    <row r="16" spans="1:24" x14ac:dyDescent="0.3">
      <c r="A16" s="64">
        <f t="shared" si="0"/>
        <v>2474</v>
      </c>
      <c r="B16" s="7">
        <f t="shared" si="1"/>
        <v>46252</v>
      </c>
      <c r="C16" s="488" t="s">
        <v>2195</v>
      </c>
      <c r="D16" s="1" t="s">
        <v>1064</v>
      </c>
      <c r="E16" s="62" t="s">
        <v>1030</v>
      </c>
      <c r="F16" s="31"/>
      <c r="G16" s="62"/>
      <c r="H16" s="62"/>
      <c r="I16" s="62"/>
      <c r="J16" s="62" t="s">
        <v>1068</v>
      </c>
      <c r="K16" s="62" t="s">
        <v>883</v>
      </c>
      <c r="L16" s="63">
        <f>'Phan tich_TB'!AB8</f>
        <v>300</v>
      </c>
      <c r="M16" s="593" t="s">
        <v>1065</v>
      </c>
      <c r="N16" s="64"/>
      <c r="O16" s="1"/>
      <c r="P16" s="1" t="s">
        <v>1066</v>
      </c>
      <c r="Q16" s="1"/>
      <c r="R16" s="1"/>
      <c r="S16" s="1"/>
      <c r="T16" s="1"/>
      <c r="U16" s="1"/>
    </row>
    <row r="17" spans="1:24" x14ac:dyDescent="0.3">
      <c r="A17" s="64">
        <f t="shared" si="0"/>
        <v>2474</v>
      </c>
      <c r="B17" s="7">
        <f t="shared" si="1"/>
        <v>46252</v>
      </c>
      <c r="C17" s="488" t="s">
        <v>2195</v>
      </c>
      <c r="D17" s="1" t="s">
        <v>1064</v>
      </c>
      <c r="E17" s="62" t="s">
        <v>1030</v>
      </c>
      <c r="F17" s="31"/>
      <c r="G17" s="62"/>
      <c r="H17" s="62"/>
      <c r="I17" s="62"/>
      <c r="J17" s="62" t="s">
        <v>1068</v>
      </c>
      <c r="K17" s="62" t="s">
        <v>884</v>
      </c>
      <c r="L17" s="63">
        <f>'Phan tich_TB'!AB9</f>
        <v>400</v>
      </c>
      <c r="M17" s="593" t="s">
        <v>1065</v>
      </c>
      <c r="N17" s="64"/>
      <c r="O17" s="1"/>
      <c r="P17" s="1" t="s">
        <v>1066</v>
      </c>
      <c r="Q17" s="1"/>
      <c r="R17" s="1"/>
      <c r="S17" s="1"/>
      <c r="T17" s="1"/>
      <c r="U17" s="1"/>
    </row>
    <row r="18" spans="1:24" x14ac:dyDescent="0.3">
      <c r="A18" s="64">
        <f t="shared" si="0"/>
        <v>2474</v>
      </c>
      <c r="B18" s="7">
        <f t="shared" si="1"/>
        <v>46252</v>
      </c>
      <c r="C18" s="488" t="s">
        <v>2195</v>
      </c>
      <c r="D18" s="1" t="s">
        <v>1064</v>
      </c>
      <c r="E18" s="62" t="s">
        <v>1030</v>
      </c>
      <c r="F18" s="31"/>
      <c r="G18" s="62"/>
      <c r="H18" s="62"/>
      <c r="I18" s="62"/>
      <c r="J18" s="62" t="s">
        <v>1068</v>
      </c>
      <c r="K18" s="62" t="s">
        <v>885</v>
      </c>
      <c r="L18" s="63">
        <f>'Phan tich_TB'!AB10</f>
        <v>0</v>
      </c>
      <c r="M18" s="593" t="s">
        <v>1065</v>
      </c>
      <c r="N18" s="64"/>
      <c r="O18" s="1"/>
      <c r="P18" s="1" t="s">
        <v>1066</v>
      </c>
      <c r="Q18" s="1"/>
      <c r="R18" s="1"/>
      <c r="S18" s="1"/>
      <c r="T18" s="1"/>
      <c r="U18" s="1"/>
    </row>
    <row r="19" spans="1:24" x14ac:dyDescent="0.3">
      <c r="A19" s="64">
        <f t="shared" si="0"/>
        <v>2474</v>
      </c>
      <c r="B19" s="7">
        <f t="shared" si="1"/>
        <v>46252</v>
      </c>
      <c r="C19" s="488" t="s">
        <v>2195</v>
      </c>
      <c r="D19" s="1" t="s">
        <v>1064</v>
      </c>
      <c r="E19" s="62" t="s">
        <v>1030</v>
      </c>
      <c r="F19" s="31"/>
      <c r="G19" s="62"/>
      <c r="H19" s="62"/>
      <c r="I19" s="62"/>
      <c r="J19" s="62" t="s">
        <v>1068</v>
      </c>
      <c r="K19" s="62" t="s">
        <v>886</v>
      </c>
      <c r="L19" s="63">
        <f>'Phan tich_TB'!AB11</f>
        <v>0</v>
      </c>
      <c r="M19" s="593" t="s">
        <v>1065</v>
      </c>
      <c r="N19" s="64"/>
      <c r="O19" s="1"/>
      <c r="P19" s="1" t="s">
        <v>1066</v>
      </c>
      <c r="Q19" s="1"/>
      <c r="R19" s="1"/>
      <c r="S19" s="1"/>
      <c r="T19" s="1"/>
      <c r="U19" s="1"/>
    </row>
    <row r="20" spans="1:24" x14ac:dyDescent="0.3">
      <c r="A20" s="64">
        <f t="shared" si="0"/>
        <v>2474</v>
      </c>
      <c r="B20" s="7">
        <f t="shared" si="1"/>
        <v>46252</v>
      </c>
      <c r="C20" s="488" t="s">
        <v>3178</v>
      </c>
      <c r="D20" s="1" t="s">
        <v>1064</v>
      </c>
      <c r="E20" s="62" t="s">
        <v>1030</v>
      </c>
      <c r="F20" s="62"/>
      <c r="G20" s="62"/>
      <c r="H20" s="62"/>
      <c r="I20" s="62"/>
      <c r="J20" s="62"/>
      <c r="K20" s="62"/>
      <c r="L20" s="63">
        <v>214.87381217327899</v>
      </c>
      <c r="M20" s="593" t="s">
        <v>1065</v>
      </c>
      <c r="N20" s="604"/>
      <c r="O20" s="1"/>
      <c r="P20" s="1" t="s">
        <v>1066</v>
      </c>
      <c r="X20" s="814">
        <f>SUMIFS(VaR!K:K,VaR!J:J,"VaR99%",VaR!H:H,"VaR20D",VaR!G:G,"TD",VaR!F:F,"MSB")/10^9</f>
        <v>246.29239998047379</v>
      </c>
    </row>
    <row r="21" spans="1:24" x14ac:dyDescent="0.3">
      <c r="A21" s="64">
        <f t="shared" si="0"/>
        <v>2474</v>
      </c>
      <c r="B21" s="7">
        <f t="shared" si="1"/>
        <v>46252</v>
      </c>
      <c r="C21" s="488" t="s">
        <v>3177</v>
      </c>
      <c r="D21" s="1" t="s">
        <v>1064</v>
      </c>
      <c r="E21" s="62" t="s">
        <v>1030</v>
      </c>
      <c r="F21" s="62"/>
      <c r="G21" s="62"/>
      <c r="H21" s="62"/>
      <c r="I21" s="62"/>
      <c r="J21" s="62"/>
      <c r="K21" s="62"/>
      <c r="L21" s="63">
        <v>172.98077663165699</v>
      </c>
      <c r="M21" s="593" t="s">
        <v>1065</v>
      </c>
      <c r="N21" s="604"/>
      <c r="O21" s="1"/>
      <c r="P21" s="1" t="s">
        <v>1066</v>
      </c>
      <c r="X21" s="814">
        <f>SUMIFS(VaR!K:K,VaR!J:J,"VaR95%",VaR!H:H,"VaR20D",VaR!G:G,"TD",VaR!F:F,"MSB")/10^9</f>
        <v>196.83648521268591</v>
      </c>
    </row>
    <row r="22" spans="1:24" x14ac:dyDescent="0.3">
      <c r="A22" s="64">
        <f t="shared" si="0"/>
        <v>2474</v>
      </c>
      <c r="B22" s="7">
        <f t="shared" si="1"/>
        <v>46252</v>
      </c>
      <c r="C22" s="488" t="s">
        <v>3176</v>
      </c>
      <c r="D22" s="1" t="s">
        <v>1064</v>
      </c>
      <c r="E22" s="62" t="s">
        <v>1030</v>
      </c>
      <c r="F22" s="62"/>
      <c r="G22" s="62"/>
      <c r="H22" s="62"/>
      <c r="I22" s="62"/>
      <c r="J22" s="62"/>
      <c r="K22" s="62"/>
      <c r="L22" s="63">
        <v>160.18638815622501</v>
      </c>
      <c r="M22" s="593" t="s">
        <v>1065</v>
      </c>
      <c r="N22" s="604"/>
      <c r="O22" s="1"/>
      <c r="P22" s="1" t="s">
        <v>1066</v>
      </c>
      <c r="X22" s="814">
        <f>SUMIFS(VaR!K:K,VaR!J:J,"VaR99%",VaR!H:H,"VaR10D",VaR!G:G,"TD",VaR!F:F,"MSB")/10^9</f>
        <v>181.87439559482058</v>
      </c>
    </row>
    <row r="23" spans="1:24" x14ac:dyDescent="0.3">
      <c r="A23" s="64">
        <f t="shared" si="0"/>
        <v>2474</v>
      </c>
      <c r="B23" s="7">
        <f t="shared" si="1"/>
        <v>46252</v>
      </c>
      <c r="C23" s="488" t="s">
        <v>3175</v>
      </c>
      <c r="D23" s="1" t="s">
        <v>1064</v>
      </c>
      <c r="E23" s="62" t="s">
        <v>1030</v>
      </c>
      <c r="F23" s="62"/>
      <c r="G23" s="62"/>
      <c r="H23" s="62"/>
      <c r="I23" s="62"/>
      <c r="J23" s="62"/>
      <c r="K23" s="62"/>
      <c r="L23" s="63">
        <v>119.559830823474</v>
      </c>
      <c r="M23" s="593" t="s">
        <v>1065</v>
      </c>
      <c r="N23" s="604"/>
      <c r="O23" s="1"/>
      <c r="P23" s="1" t="s">
        <v>1066</v>
      </c>
      <c r="X23" s="814">
        <f>SUMIFS(VaR!K:K,VaR!J:J,"VaR95%",VaR!H:H,"VaR10D",VaR!G:G,"TD",VaR!F:F,"MSB")/10^9</f>
        <v>136.12720516843447</v>
      </c>
    </row>
    <row r="24" spans="1:24" x14ac:dyDescent="0.3">
      <c r="A24" s="64">
        <f t="shared" si="0"/>
        <v>2474</v>
      </c>
      <c r="B24" s="7">
        <f t="shared" si="1"/>
        <v>46252</v>
      </c>
      <c r="C24" s="488" t="s">
        <v>858</v>
      </c>
      <c r="D24" s="1" t="s">
        <v>1064</v>
      </c>
      <c r="E24" s="62" t="s">
        <v>1030</v>
      </c>
      <c r="F24" s="62"/>
      <c r="G24" s="62"/>
      <c r="H24" s="62"/>
      <c r="I24" s="62"/>
      <c r="J24" s="62"/>
      <c r="K24" s="62"/>
      <c r="L24" s="63">
        <v>44.506102908856803</v>
      </c>
      <c r="M24" s="593" t="s">
        <v>1065</v>
      </c>
      <c r="N24" s="604"/>
      <c r="O24" s="1"/>
      <c r="P24" s="1" t="s">
        <v>1066</v>
      </c>
      <c r="Q24" s="1"/>
      <c r="R24" s="1"/>
      <c r="S24" s="1"/>
      <c r="T24" s="1"/>
      <c r="U24" s="1"/>
      <c r="X24" s="814">
        <f>SUMIFS(VaR!K:K,VaR!J:J,"VaR99%",VaR!H:H,"VaR1D",VaR!G:G,"TD",VaR!F:F,"MSB")/10^9</f>
        <v>51.59563608043549</v>
      </c>
    </row>
    <row r="25" spans="1:24" x14ac:dyDescent="0.3">
      <c r="A25" s="64">
        <f t="shared" si="0"/>
        <v>2474</v>
      </c>
      <c r="B25" s="7">
        <f t="shared" si="1"/>
        <v>46252</v>
      </c>
      <c r="C25" s="488" t="s">
        <v>2756</v>
      </c>
      <c r="D25" s="1" t="s">
        <v>1064</v>
      </c>
      <c r="E25" s="62" t="s">
        <v>1030</v>
      </c>
      <c r="F25" s="62"/>
      <c r="G25" s="62"/>
      <c r="H25" s="62"/>
      <c r="I25" s="62"/>
      <c r="J25" s="62"/>
      <c r="K25" s="62"/>
      <c r="L25" s="63">
        <v>21.383072767106501</v>
      </c>
      <c r="M25" s="593" t="s">
        <v>1065</v>
      </c>
      <c r="N25" s="604"/>
      <c r="O25" s="1"/>
      <c r="P25" s="1" t="s">
        <v>1066</v>
      </c>
      <c r="Q25" s="1"/>
      <c r="R25" s="1"/>
      <c r="S25" s="1"/>
      <c r="T25" s="1"/>
      <c r="U25" s="1"/>
      <c r="X25" s="814">
        <f>SUMIFS(VaR!K:K,VaR!J:J,"VaR95%",VaR!H:H,"VaR1D",VaR!G:G,"TD",VaR!F:F,"MSB")/10^9</f>
        <v>24.218767512711185</v>
      </c>
    </row>
    <row r="26" spans="1:24" x14ac:dyDescent="0.3">
      <c r="A26" s="64">
        <f t="shared" si="0"/>
        <v>2474</v>
      </c>
      <c r="B26" s="7">
        <f t="shared" si="1"/>
        <v>46252</v>
      </c>
      <c r="C26" s="488" t="s">
        <v>1079</v>
      </c>
      <c r="D26" s="1" t="s">
        <v>1064</v>
      </c>
      <c r="E26" s="62" t="s">
        <v>1030</v>
      </c>
      <c r="F26" s="31"/>
      <c r="G26" s="1"/>
      <c r="H26" s="1"/>
      <c r="I26" s="1"/>
      <c r="J26" s="1"/>
      <c r="K26" s="31"/>
      <c r="L26" s="63">
        <f>'Phan tich_TB'!M7</f>
        <v>-1638.5293972848699</v>
      </c>
      <c r="M26" s="593" t="s">
        <v>1065</v>
      </c>
      <c r="N26" s="64">
        <v>-500</v>
      </c>
      <c r="O26" s="1"/>
      <c r="P26" s="1" t="s">
        <v>1066</v>
      </c>
      <c r="Q26" s="1"/>
      <c r="R26" s="1"/>
      <c r="S26" s="1" t="str">
        <f>IF(L26&lt;N26,"Y","N")</f>
        <v>Y</v>
      </c>
      <c r="T26" s="1" t="s">
        <v>3687</v>
      </c>
      <c r="U26" s="1"/>
    </row>
    <row r="27" spans="1:24" x14ac:dyDescent="0.3">
      <c r="A27" s="64">
        <f t="shared" si="0"/>
        <v>2474</v>
      </c>
      <c r="B27" s="7">
        <f t="shared" si="1"/>
        <v>46252</v>
      </c>
      <c r="C27" s="488" t="s">
        <v>1079</v>
      </c>
      <c r="D27" s="1" t="s">
        <v>1064</v>
      </c>
      <c r="E27" s="62" t="s">
        <v>1030</v>
      </c>
      <c r="F27" s="31"/>
      <c r="G27" s="1"/>
      <c r="H27" s="1"/>
      <c r="I27" s="1"/>
      <c r="J27" s="1"/>
      <c r="K27" s="62" t="s">
        <v>877</v>
      </c>
      <c r="L27" s="63">
        <f>'Phan tich_TB'!J49</f>
        <v>-8.5714792672462554</v>
      </c>
      <c r="M27" s="593" t="s">
        <v>1065</v>
      </c>
      <c r="N27" s="64"/>
      <c r="O27" s="1"/>
      <c r="P27" s="1" t="s">
        <v>1066</v>
      </c>
      <c r="Q27" s="1"/>
      <c r="R27" s="1"/>
      <c r="S27" s="1"/>
      <c r="T27" s="1" t="s">
        <v>3687</v>
      </c>
      <c r="U27" s="1"/>
    </row>
    <row r="28" spans="1:24" x14ac:dyDescent="0.3">
      <c r="A28" s="64">
        <f t="shared" si="0"/>
        <v>2474</v>
      </c>
      <c r="B28" s="7">
        <f t="shared" si="1"/>
        <v>46252</v>
      </c>
      <c r="C28" s="488" t="s">
        <v>1079</v>
      </c>
      <c r="D28" s="1" t="s">
        <v>1064</v>
      </c>
      <c r="E28" s="62" t="s">
        <v>1030</v>
      </c>
      <c r="F28" s="31"/>
      <c r="G28" s="1"/>
      <c r="H28" s="1"/>
      <c r="I28" s="1"/>
      <c r="J28" s="1"/>
      <c r="K28" s="62" t="s">
        <v>878</v>
      </c>
      <c r="L28" s="63">
        <f>'Phan tich_TB'!J50</f>
        <v>0</v>
      </c>
      <c r="M28" s="593" t="s">
        <v>1065</v>
      </c>
      <c r="N28" s="64"/>
      <c r="O28" s="1"/>
      <c r="P28" s="1" t="s">
        <v>1066</v>
      </c>
      <c r="Q28" s="1"/>
      <c r="R28" s="1"/>
      <c r="S28" s="1"/>
      <c r="T28" s="1" t="s">
        <v>3687</v>
      </c>
      <c r="U28" s="1"/>
    </row>
    <row r="29" spans="1:24" x14ac:dyDescent="0.3">
      <c r="A29" s="64">
        <f t="shared" si="0"/>
        <v>2474</v>
      </c>
      <c r="B29" s="7">
        <f t="shared" si="1"/>
        <v>46252</v>
      </c>
      <c r="C29" s="488" t="s">
        <v>1079</v>
      </c>
      <c r="D29" s="1" t="s">
        <v>1064</v>
      </c>
      <c r="E29" s="62" t="s">
        <v>1030</v>
      </c>
      <c r="F29" s="31"/>
      <c r="G29" s="1"/>
      <c r="H29" s="1"/>
      <c r="I29" s="1"/>
      <c r="J29" s="1"/>
      <c r="K29" s="62" t="s">
        <v>879</v>
      </c>
      <c r="L29" s="63">
        <f>'Phan tich_TB'!J51</f>
        <v>3.6129667415823929</v>
      </c>
      <c r="M29" s="593" t="s">
        <v>1065</v>
      </c>
      <c r="N29" s="64"/>
      <c r="O29" s="1"/>
      <c r="P29" s="1" t="s">
        <v>1066</v>
      </c>
      <c r="Q29" s="1"/>
      <c r="R29" s="1"/>
      <c r="S29" s="1"/>
      <c r="T29" s="1" t="s">
        <v>3687</v>
      </c>
      <c r="U29" s="1"/>
    </row>
    <row r="30" spans="1:24" x14ac:dyDescent="0.3">
      <c r="A30" s="64">
        <f t="shared" si="0"/>
        <v>2474</v>
      </c>
      <c r="B30" s="7">
        <f t="shared" si="1"/>
        <v>46252</v>
      </c>
      <c r="C30" s="488" t="s">
        <v>1079</v>
      </c>
      <c r="D30" s="1" t="s">
        <v>1064</v>
      </c>
      <c r="E30" s="62" t="s">
        <v>1030</v>
      </c>
      <c r="F30" s="31"/>
      <c r="G30" s="1"/>
      <c r="H30" s="1"/>
      <c r="I30" s="1"/>
      <c r="J30" s="1"/>
      <c r="K30" s="62" t="s">
        <v>880</v>
      </c>
      <c r="L30" s="63">
        <f>'Phan tich_TB'!J52</f>
        <v>-24.961247574167501</v>
      </c>
      <c r="M30" s="593" t="s">
        <v>1065</v>
      </c>
      <c r="N30" s="64"/>
      <c r="O30" s="1"/>
      <c r="P30" s="1" t="s">
        <v>1066</v>
      </c>
      <c r="Q30" s="1"/>
      <c r="R30" s="1"/>
      <c r="S30" s="1"/>
      <c r="T30" s="1" t="s">
        <v>3687</v>
      </c>
      <c r="U30" s="1"/>
    </row>
    <row r="31" spans="1:24" x14ac:dyDescent="0.3">
      <c r="A31" s="64">
        <f t="shared" si="0"/>
        <v>2474</v>
      </c>
      <c r="B31" s="7">
        <f t="shared" si="1"/>
        <v>46252</v>
      </c>
      <c r="C31" s="488" t="s">
        <v>1079</v>
      </c>
      <c r="D31" s="1" t="s">
        <v>1064</v>
      </c>
      <c r="E31" s="62" t="s">
        <v>1030</v>
      </c>
      <c r="F31" s="31"/>
      <c r="G31" s="1"/>
      <c r="H31" s="1"/>
      <c r="I31" s="1"/>
      <c r="J31" s="1"/>
      <c r="K31" s="62" t="s">
        <v>881</v>
      </c>
      <c r="L31" s="63">
        <f>'Phan tich_TB'!J53</f>
        <v>-8.0669387160695649</v>
      </c>
      <c r="M31" s="593" t="s">
        <v>1065</v>
      </c>
      <c r="N31" s="64"/>
      <c r="O31" s="1"/>
      <c r="P31" s="1" t="s">
        <v>1066</v>
      </c>
      <c r="Q31" s="1"/>
      <c r="R31" s="1"/>
      <c r="S31" s="1"/>
      <c r="T31" s="1" t="s">
        <v>3687</v>
      </c>
      <c r="U31" s="1"/>
    </row>
    <row r="32" spans="1:24" x14ac:dyDescent="0.3">
      <c r="A32" s="64">
        <f t="shared" si="0"/>
        <v>2474</v>
      </c>
      <c r="B32" s="7">
        <f t="shared" si="1"/>
        <v>46252</v>
      </c>
      <c r="C32" s="488" t="s">
        <v>1079</v>
      </c>
      <c r="D32" s="1" t="s">
        <v>1064</v>
      </c>
      <c r="E32" s="62" t="s">
        <v>1030</v>
      </c>
      <c r="F32" s="31"/>
      <c r="G32" s="1"/>
      <c r="H32" s="1"/>
      <c r="I32" s="1"/>
      <c r="J32" s="1"/>
      <c r="K32" s="62" t="s">
        <v>882</v>
      </c>
      <c r="L32" s="63">
        <f>'Phan tich_TB'!J54</f>
        <v>-444.23859333268985</v>
      </c>
      <c r="M32" s="593" t="s">
        <v>1065</v>
      </c>
      <c r="N32" s="64"/>
      <c r="O32" s="1"/>
      <c r="P32" s="1" t="s">
        <v>1066</v>
      </c>
      <c r="Q32" s="1"/>
      <c r="R32" s="1"/>
      <c r="S32" s="1"/>
      <c r="T32" s="1" t="s">
        <v>3687</v>
      </c>
      <c r="U32" s="1"/>
    </row>
    <row r="33" spans="1:21" x14ac:dyDescent="0.3">
      <c r="A33" s="64">
        <f t="shared" si="0"/>
        <v>2474</v>
      </c>
      <c r="B33" s="7">
        <f t="shared" si="1"/>
        <v>46252</v>
      </c>
      <c r="C33" s="488" t="s">
        <v>1079</v>
      </c>
      <c r="D33" s="1" t="s">
        <v>1064</v>
      </c>
      <c r="E33" s="62" t="s">
        <v>1030</v>
      </c>
      <c r="F33" s="31"/>
      <c r="G33" s="1"/>
      <c r="H33" s="1"/>
      <c r="I33" s="1"/>
      <c r="J33" s="1"/>
      <c r="K33" s="62" t="s">
        <v>883</v>
      </c>
      <c r="L33" s="63">
        <f>'Phan tich_TB'!J55</f>
        <v>-530.82906025526802</v>
      </c>
      <c r="M33" s="593" t="s">
        <v>1065</v>
      </c>
      <c r="N33" s="64"/>
      <c r="O33" s="1"/>
      <c r="P33" s="1" t="s">
        <v>1066</v>
      </c>
      <c r="Q33" s="1"/>
      <c r="R33" s="1"/>
      <c r="S33" s="1"/>
      <c r="T33" s="1" t="s">
        <v>3687</v>
      </c>
      <c r="U33" s="1"/>
    </row>
    <row r="34" spans="1:21" x14ac:dyDescent="0.3">
      <c r="A34" s="64">
        <f t="shared" si="0"/>
        <v>2474</v>
      </c>
      <c r="B34" s="7">
        <f t="shared" si="1"/>
        <v>46252</v>
      </c>
      <c r="C34" s="488" t="s">
        <v>1079</v>
      </c>
      <c r="D34" s="1" t="s">
        <v>1064</v>
      </c>
      <c r="E34" s="62" t="s">
        <v>1030</v>
      </c>
      <c r="F34" s="31"/>
      <c r="G34" s="1"/>
      <c r="H34" s="1"/>
      <c r="I34" s="1"/>
      <c r="J34" s="1"/>
      <c r="K34" s="62" t="s">
        <v>884</v>
      </c>
      <c r="L34" s="63">
        <f>'Phan tich_TB'!J56</f>
        <v>-625.47504488101026</v>
      </c>
      <c r="M34" s="593" t="s">
        <v>1065</v>
      </c>
      <c r="N34" s="64"/>
      <c r="O34" s="1"/>
      <c r="P34" s="1" t="s">
        <v>1066</v>
      </c>
      <c r="Q34" s="1"/>
      <c r="R34" s="1"/>
      <c r="S34" s="1"/>
      <c r="T34" s="1" t="s">
        <v>3687</v>
      </c>
      <c r="U34" s="1"/>
    </row>
    <row r="35" spans="1:21" x14ac:dyDescent="0.3">
      <c r="A35" s="64">
        <f t="shared" si="0"/>
        <v>2474</v>
      </c>
      <c r="B35" s="7">
        <f t="shared" si="1"/>
        <v>46252</v>
      </c>
      <c r="C35" s="488" t="s">
        <v>1079</v>
      </c>
      <c r="D35" s="1" t="s">
        <v>1064</v>
      </c>
      <c r="E35" s="62" t="s">
        <v>1030</v>
      </c>
      <c r="F35" s="31"/>
      <c r="G35" s="1"/>
      <c r="H35" s="1"/>
      <c r="I35" s="1"/>
      <c r="J35" s="1"/>
      <c r="K35" s="62" t="s">
        <v>885</v>
      </c>
      <c r="L35" s="63">
        <f>'Phan tich_TB'!J57</f>
        <v>0</v>
      </c>
      <c r="M35" s="593" t="s">
        <v>1065</v>
      </c>
      <c r="N35" s="64"/>
      <c r="O35" s="1"/>
      <c r="P35" s="1" t="s">
        <v>1066</v>
      </c>
      <c r="Q35" s="1"/>
      <c r="R35" s="1"/>
      <c r="S35" s="1"/>
      <c r="T35" s="1" t="s">
        <v>3687</v>
      </c>
      <c r="U35" s="1"/>
    </row>
    <row r="36" spans="1:21" x14ac:dyDescent="0.3">
      <c r="A36" s="64">
        <f t="shared" si="0"/>
        <v>2474</v>
      </c>
      <c r="B36" s="7">
        <f t="shared" si="1"/>
        <v>46252</v>
      </c>
      <c r="C36" s="488" t="s">
        <v>1079</v>
      </c>
      <c r="D36" s="1" t="s">
        <v>1064</v>
      </c>
      <c r="E36" s="62" t="s">
        <v>1030</v>
      </c>
      <c r="F36" s="31"/>
      <c r="G36" s="1"/>
      <c r="H36" s="1"/>
      <c r="I36" s="1"/>
      <c r="J36" s="1"/>
      <c r="K36" s="62" t="s">
        <v>886</v>
      </c>
      <c r="L36" s="63">
        <f>'Phan tich_TB'!J58</f>
        <v>0</v>
      </c>
      <c r="M36" s="593" t="s">
        <v>1065</v>
      </c>
      <c r="N36" s="64"/>
      <c r="O36" s="1"/>
      <c r="P36" s="1" t="s">
        <v>1066</v>
      </c>
      <c r="Q36" s="1"/>
      <c r="R36" s="1"/>
      <c r="S36" s="1"/>
      <c r="T36" s="1" t="s">
        <v>3687</v>
      </c>
      <c r="U36" s="1"/>
    </row>
    <row r="37" spans="1:21" x14ac:dyDescent="0.3">
      <c r="A37" s="64">
        <f t="shared" si="0"/>
        <v>2474</v>
      </c>
      <c r="B37" s="7">
        <f t="shared" si="1"/>
        <v>46252</v>
      </c>
      <c r="C37" s="66" t="s">
        <v>2231</v>
      </c>
      <c r="D37" s="1" t="s">
        <v>869</v>
      </c>
      <c r="E37" s="62" t="s">
        <v>1030</v>
      </c>
      <c r="F37" s="31"/>
      <c r="G37" s="1"/>
      <c r="H37" s="1"/>
      <c r="I37" s="1"/>
      <c r="J37" s="1"/>
      <c r="K37" s="31"/>
      <c r="L37" s="63">
        <f>'Phan tich_TB'!CV1</f>
        <v>0</v>
      </c>
      <c r="M37" s="593" t="s">
        <v>1065</v>
      </c>
      <c r="N37" s="64"/>
      <c r="O37" s="1"/>
      <c r="P37" s="1" t="s">
        <v>1066</v>
      </c>
      <c r="Q37" s="1"/>
      <c r="R37" s="1"/>
      <c r="S37" s="1" t="str">
        <f>IF(L37&gt;N37, "Y", "N")</f>
        <v>N</v>
      </c>
      <c r="T37" s="1" t="s">
        <v>1082</v>
      </c>
      <c r="U37" s="1"/>
    </row>
    <row r="38" spans="1:21" x14ac:dyDescent="0.3">
      <c r="A38" s="64">
        <f t="shared" si="0"/>
        <v>2474</v>
      </c>
      <c r="B38" s="7">
        <f t="shared" si="1"/>
        <v>46252</v>
      </c>
      <c r="C38" s="66" t="s">
        <v>2232</v>
      </c>
      <c r="D38" s="1" t="s">
        <v>869</v>
      </c>
      <c r="E38" s="62" t="s">
        <v>1030</v>
      </c>
      <c r="F38" s="31"/>
      <c r="G38" s="1"/>
      <c r="H38" s="1"/>
      <c r="I38" s="1"/>
      <c r="J38" s="1"/>
      <c r="K38" s="31"/>
      <c r="L38" s="63">
        <f>'Phan tich_TB'!CV2</f>
        <v>0</v>
      </c>
      <c r="M38" s="593" t="s">
        <v>1065</v>
      </c>
      <c r="N38" s="64"/>
      <c r="O38" s="1"/>
      <c r="P38" s="1" t="s">
        <v>1066</v>
      </c>
      <c r="Q38" s="1"/>
      <c r="R38" s="1"/>
      <c r="S38" s="1"/>
      <c r="T38" s="1" t="s">
        <v>1083</v>
      </c>
      <c r="U38" s="1"/>
    </row>
    <row r="39" spans="1:21" x14ac:dyDescent="0.3">
      <c r="A39" s="64">
        <f t="shared" si="0"/>
        <v>2474</v>
      </c>
      <c r="B39" s="7">
        <f t="shared" si="1"/>
        <v>46252</v>
      </c>
      <c r="C39" s="488" t="s">
        <v>1050</v>
      </c>
      <c r="D39" s="1" t="s">
        <v>1064</v>
      </c>
      <c r="E39" s="62" t="s">
        <v>1030</v>
      </c>
      <c r="F39" s="62" t="s">
        <v>1030</v>
      </c>
      <c r="G39" s="62"/>
      <c r="H39" s="62"/>
      <c r="I39" s="1"/>
      <c r="J39" s="1"/>
      <c r="K39" s="31"/>
      <c r="L39" s="63">
        <f>'Phan tich_TB'!BJ2</f>
        <v>17513</v>
      </c>
      <c r="M39" s="593" t="s">
        <v>1065</v>
      </c>
      <c r="N39" s="594">
        <v>20000</v>
      </c>
      <c r="O39" s="1"/>
      <c r="P39" s="1" t="s">
        <v>1066</v>
      </c>
      <c r="Q39" s="1"/>
      <c r="R39" s="1"/>
      <c r="S39" s="1" t="str">
        <f>IF(L39&gt;N39, "Y", "N")</f>
        <v>N</v>
      </c>
      <c r="T39" s="60"/>
      <c r="U39" s="1"/>
    </row>
    <row r="40" spans="1:21" x14ac:dyDescent="0.3">
      <c r="A40" s="64">
        <f t="shared" si="0"/>
        <v>2474</v>
      </c>
      <c r="B40" s="7">
        <f t="shared" si="1"/>
        <v>46252</v>
      </c>
      <c r="C40" s="488" t="s">
        <v>1050</v>
      </c>
      <c r="D40" s="1" t="s">
        <v>1064</v>
      </c>
      <c r="E40" s="62" t="s">
        <v>898</v>
      </c>
      <c r="F40" s="62" t="s">
        <v>823</v>
      </c>
      <c r="G40" s="62"/>
      <c r="H40" s="62"/>
      <c r="I40" s="1"/>
      <c r="J40" s="1"/>
      <c r="K40" s="31"/>
      <c r="L40" s="63">
        <f>'Phan tich_TB'!BJ3</f>
        <v>12303</v>
      </c>
      <c r="M40" s="593" t="s">
        <v>1065</v>
      </c>
      <c r="N40" s="594"/>
      <c r="O40" s="1"/>
      <c r="P40" s="1" t="s">
        <v>1066</v>
      </c>
      <c r="Q40" s="1"/>
      <c r="R40" s="1"/>
      <c r="S40" s="1"/>
      <c r="T40" s="1"/>
      <c r="U40" s="1"/>
    </row>
    <row r="41" spans="1:21" x14ac:dyDescent="0.3">
      <c r="A41" s="64">
        <f t="shared" si="0"/>
        <v>2474</v>
      </c>
      <c r="B41" s="7">
        <f t="shared" si="1"/>
        <v>46252</v>
      </c>
      <c r="C41" s="488" t="s">
        <v>1050</v>
      </c>
      <c r="D41" s="1" t="s">
        <v>1064</v>
      </c>
      <c r="E41" s="62" t="s">
        <v>906</v>
      </c>
      <c r="F41" s="62" t="s">
        <v>821</v>
      </c>
      <c r="G41" s="62"/>
      <c r="H41" s="62"/>
      <c r="I41" s="1"/>
      <c r="J41" s="1"/>
      <c r="K41" s="31"/>
      <c r="L41" s="63">
        <f>'Phan tich_TB'!BJ4</f>
        <v>1502</v>
      </c>
      <c r="M41" s="593" t="s">
        <v>1065</v>
      </c>
      <c r="N41" s="594"/>
      <c r="O41" s="1"/>
      <c r="P41" s="1" t="s">
        <v>1066</v>
      </c>
      <c r="Q41" s="1"/>
      <c r="R41" s="1"/>
      <c r="S41" s="1"/>
      <c r="T41" s="1"/>
      <c r="U41" s="1"/>
    </row>
    <row r="42" spans="1:21" x14ac:dyDescent="0.3">
      <c r="A42" s="64">
        <f t="shared" si="0"/>
        <v>2474</v>
      </c>
      <c r="B42" s="7">
        <f t="shared" si="1"/>
        <v>46252</v>
      </c>
      <c r="C42" s="488" t="s">
        <v>1050</v>
      </c>
      <c r="D42" s="1" t="s">
        <v>1064</v>
      </c>
      <c r="E42" s="62" t="s">
        <v>906</v>
      </c>
      <c r="F42" s="62" t="s">
        <v>905</v>
      </c>
      <c r="G42" s="62"/>
      <c r="H42" s="62"/>
      <c r="I42" s="1"/>
      <c r="J42" s="1"/>
      <c r="K42" s="31"/>
      <c r="L42" s="63">
        <f>'Phan tich_TB'!BJ5</f>
        <v>3408</v>
      </c>
      <c r="M42" s="593" t="s">
        <v>1065</v>
      </c>
      <c r="N42" s="594"/>
      <c r="O42" s="1"/>
      <c r="P42" s="1" t="s">
        <v>1066</v>
      </c>
      <c r="Q42" s="1"/>
      <c r="R42" s="1"/>
      <c r="S42" s="1"/>
      <c r="T42" s="1"/>
      <c r="U42" s="1"/>
    </row>
    <row r="43" spans="1:21" x14ac:dyDescent="0.3">
      <c r="A43" s="64">
        <f t="shared" si="0"/>
        <v>2474</v>
      </c>
      <c r="B43" s="7">
        <f t="shared" si="1"/>
        <v>46252</v>
      </c>
      <c r="C43" s="488" t="s">
        <v>1050</v>
      </c>
      <c r="D43" s="1" t="s">
        <v>1064</v>
      </c>
      <c r="E43" s="62" t="s">
        <v>1067</v>
      </c>
      <c r="F43" s="62" t="s">
        <v>1067</v>
      </c>
      <c r="G43" s="62"/>
      <c r="H43" s="62"/>
      <c r="I43" s="1"/>
      <c r="J43" s="1"/>
      <c r="K43" s="31"/>
      <c r="L43" s="63">
        <f>'Phan tich_TB'!BJ6</f>
        <v>300</v>
      </c>
      <c r="M43" s="593" t="s">
        <v>1065</v>
      </c>
      <c r="N43" s="594"/>
      <c r="O43" s="1"/>
      <c r="P43" s="1" t="s">
        <v>1066</v>
      </c>
      <c r="Q43" s="1"/>
      <c r="R43" s="1"/>
      <c r="S43" s="1"/>
      <c r="T43" s="1"/>
      <c r="U43" s="1"/>
    </row>
    <row r="44" spans="1:21" x14ac:dyDescent="0.3">
      <c r="A44" s="64">
        <f t="shared" si="0"/>
        <v>2474</v>
      </c>
      <c r="B44" s="7">
        <f t="shared" si="1"/>
        <v>46252</v>
      </c>
      <c r="C44" s="488" t="s">
        <v>1050</v>
      </c>
      <c r="D44" s="1" t="s">
        <v>1064</v>
      </c>
      <c r="E44" s="62" t="s">
        <v>1030</v>
      </c>
      <c r="F44" s="62"/>
      <c r="G44" s="62"/>
      <c r="H44" s="62"/>
      <c r="I44" s="62"/>
      <c r="J44" s="62" t="s">
        <v>1068</v>
      </c>
      <c r="K44" s="62" t="s">
        <v>877</v>
      </c>
      <c r="L44" s="63">
        <f>'Phan tich_TB'!BJ7</f>
        <v>1002</v>
      </c>
      <c r="M44" s="593" t="s">
        <v>1065</v>
      </c>
      <c r="N44" s="594"/>
      <c r="O44" s="1"/>
      <c r="P44" s="1" t="s">
        <v>1066</v>
      </c>
      <c r="Q44" s="1"/>
      <c r="R44" s="1"/>
      <c r="S44" s="1"/>
      <c r="T44" s="1"/>
      <c r="U44" s="1"/>
    </row>
    <row r="45" spans="1:21" x14ac:dyDescent="0.3">
      <c r="A45" s="64">
        <f t="shared" si="0"/>
        <v>2474</v>
      </c>
      <c r="B45" s="7">
        <f t="shared" si="1"/>
        <v>46252</v>
      </c>
      <c r="C45" s="488" t="s">
        <v>1050</v>
      </c>
      <c r="D45" s="1" t="s">
        <v>1064</v>
      </c>
      <c r="E45" s="62" t="s">
        <v>1030</v>
      </c>
      <c r="F45" s="62"/>
      <c r="G45" s="62"/>
      <c r="H45" s="62"/>
      <c r="I45" s="62"/>
      <c r="J45" s="62" t="s">
        <v>1068</v>
      </c>
      <c r="K45" s="62" t="s">
        <v>878</v>
      </c>
      <c r="L45" s="63">
        <f>'Phan tich_TB'!BJ8</f>
        <v>0</v>
      </c>
      <c r="M45" s="593" t="s">
        <v>1065</v>
      </c>
      <c r="N45" s="594"/>
      <c r="O45" s="1"/>
      <c r="P45" s="1" t="s">
        <v>1066</v>
      </c>
      <c r="Q45" s="1"/>
      <c r="R45" s="1"/>
      <c r="S45" s="1"/>
      <c r="T45" s="1"/>
      <c r="U45" s="1"/>
    </row>
    <row r="46" spans="1:21" x14ac:dyDescent="0.3">
      <c r="A46" s="64">
        <f t="shared" si="0"/>
        <v>2474</v>
      </c>
      <c r="B46" s="7">
        <f t="shared" si="1"/>
        <v>46252</v>
      </c>
      <c r="C46" s="488" t="s">
        <v>1050</v>
      </c>
      <c r="D46" s="1" t="s">
        <v>1064</v>
      </c>
      <c r="E46" s="62" t="s">
        <v>1030</v>
      </c>
      <c r="F46" s="62"/>
      <c r="G46" s="62"/>
      <c r="H46" s="62"/>
      <c r="I46" s="62"/>
      <c r="J46" s="62" t="s">
        <v>1068</v>
      </c>
      <c r="K46" s="62" t="s">
        <v>879</v>
      </c>
      <c r="L46" s="63">
        <f>'Phan tich_TB'!BJ9</f>
        <v>300</v>
      </c>
      <c r="M46" s="593" t="s">
        <v>1065</v>
      </c>
      <c r="N46" s="594"/>
      <c r="O46" s="1"/>
      <c r="P46" s="1" t="s">
        <v>1066</v>
      </c>
      <c r="Q46" s="1"/>
      <c r="R46" s="1"/>
      <c r="S46" s="1"/>
      <c r="T46" s="1"/>
      <c r="U46" s="1"/>
    </row>
    <row r="47" spans="1:21" x14ac:dyDescent="0.3">
      <c r="A47" s="64">
        <f t="shared" si="0"/>
        <v>2474</v>
      </c>
      <c r="B47" s="7">
        <f t="shared" si="1"/>
        <v>46252</v>
      </c>
      <c r="C47" s="488" t="s">
        <v>1050</v>
      </c>
      <c r="D47" s="1" t="s">
        <v>1064</v>
      </c>
      <c r="E47" s="62" t="s">
        <v>1030</v>
      </c>
      <c r="F47" s="62"/>
      <c r="G47" s="62"/>
      <c r="H47" s="62"/>
      <c r="I47" s="62"/>
      <c r="J47" s="62" t="s">
        <v>1068</v>
      </c>
      <c r="K47" s="62" t="s">
        <v>880</v>
      </c>
      <c r="L47" s="63">
        <f>'Phan tich_TB'!BJ10</f>
        <v>800</v>
      </c>
      <c r="M47" s="593" t="s">
        <v>1065</v>
      </c>
      <c r="N47" s="594"/>
      <c r="O47" s="1"/>
      <c r="P47" s="1" t="s">
        <v>1066</v>
      </c>
      <c r="Q47" s="1"/>
      <c r="R47" s="1"/>
      <c r="S47" s="1"/>
      <c r="T47" s="1"/>
      <c r="U47" s="1"/>
    </row>
    <row r="48" spans="1:21" x14ac:dyDescent="0.3">
      <c r="A48" s="64">
        <f t="shared" si="0"/>
        <v>2474</v>
      </c>
      <c r="B48" s="7">
        <f t="shared" si="1"/>
        <v>46252</v>
      </c>
      <c r="C48" s="488" t="s">
        <v>1050</v>
      </c>
      <c r="D48" s="1" t="s">
        <v>1064</v>
      </c>
      <c r="E48" s="62" t="s">
        <v>1030</v>
      </c>
      <c r="F48" s="62"/>
      <c r="G48" s="62"/>
      <c r="H48" s="62"/>
      <c r="I48" s="62"/>
      <c r="J48" s="62" t="s">
        <v>1068</v>
      </c>
      <c r="K48" s="62" t="s">
        <v>881</v>
      </c>
      <c r="L48" s="63">
        <f>'Phan tich_TB'!BJ11</f>
        <v>110</v>
      </c>
      <c r="M48" s="593" t="s">
        <v>1065</v>
      </c>
      <c r="N48" s="594"/>
      <c r="O48" s="1"/>
      <c r="P48" s="1" t="s">
        <v>1066</v>
      </c>
      <c r="Q48" s="1"/>
      <c r="R48" s="1"/>
      <c r="S48" s="1"/>
      <c r="T48" s="1"/>
      <c r="U48" s="1"/>
    </row>
    <row r="49" spans="1:21" x14ac:dyDescent="0.3">
      <c r="A49" s="64">
        <f t="shared" si="0"/>
        <v>2474</v>
      </c>
      <c r="B49" s="7">
        <f t="shared" si="1"/>
        <v>46252</v>
      </c>
      <c r="C49" s="488" t="s">
        <v>1050</v>
      </c>
      <c r="D49" s="1" t="s">
        <v>1064</v>
      </c>
      <c r="E49" s="62" t="s">
        <v>1030</v>
      </c>
      <c r="F49" s="62"/>
      <c r="G49" s="62"/>
      <c r="H49" s="62"/>
      <c r="I49" s="62"/>
      <c r="J49" s="62" t="s">
        <v>1068</v>
      </c>
      <c r="K49" s="62" t="s">
        <v>882</v>
      </c>
      <c r="L49" s="63">
        <f>'Phan tich_TB'!BJ12</f>
        <v>4794</v>
      </c>
      <c r="M49" s="593" t="s">
        <v>1065</v>
      </c>
      <c r="N49" s="594"/>
      <c r="O49" s="1"/>
      <c r="P49" s="1" t="s">
        <v>1066</v>
      </c>
      <c r="Q49" s="1"/>
      <c r="R49" s="1"/>
      <c r="S49" s="1"/>
      <c r="T49" s="1"/>
      <c r="U49" s="1"/>
    </row>
    <row r="50" spans="1:21" x14ac:dyDescent="0.3">
      <c r="A50" s="64">
        <f t="shared" si="0"/>
        <v>2474</v>
      </c>
      <c r="B50" s="7">
        <f t="shared" si="1"/>
        <v>46252</v>
      </c>
      <c r="C50" s="488" t="s">
        <v>1050</v>
      </c>
      <c r="D50" s="1" t="s">
        <v>1064</v>
      </c>
      <c r="E50" s="62" t="s">
        <v>1030</v>
      </c>
      <c r="F50" s="62"/>
      <c r="G50" s="62"/>
      <c r="H50" s="62"/>
      <c r="I50" s="62"/>
      <c r="J50" s="62" t="s">
        <v>1068</v>
      </c>
      <c r="K50" s="62" t="s">
        <v>883</v>
      </c>
      <c r="L50" s="63">
        <f>'Phan tich_TB'!BJ13</f>
        <v>6487</v>
      </c>
      <c r="M50" s="593" t="s">
        <v>1065</v>
      </c>
      <c r="N50" s="594"/>
      <c r="O50" s="1"/>
      <c r="P50" s="1" t="s">
        <v>1066</v>
      </c>
      <c r="Q50" s="1"/>
      <c r="R50" s="1"/>
      <c r="S50" s="1"/>
      <c r="T50" s="1"/>
      <c r="U50" s="1"/>
    </row>
    <row r="51" spans="1:21" x14ac:dyDescent="0.3">
      <c r="A51" s="64">
        <f t="shared" si="0"/>
        <v>2474</v>
      </c>
      <c r="B51" s="7">
        <f t="shared" si="1"/>
        <v>46252</v>
      </c>
      <c r="C51" s="488" t="s">
        <v>1050</v>
      </c>
      <c r="D51" s="1" t="s">
        <v>1064</v>
      </c>
      <c r="E51" s="62" t="s">
        <v>1030</v>
      </c>
      <c r="F51" s="62"/>
      <c r="G51" s="62"/>
      <c r="H51" s="62"/>
      <c r="I51" s="62"/>
      <c r="J51" s="62" t="s">
        <v>1068</v>
      </c>
      <c r="K51" s="62" t="s">
        <v>884</v>
      </c>
      <c r="L51" s="63">
        <f>'Phan tich_TB'!BJ14</f>
        <v>4020</v>
      </c>
      <c r="M51" s="593" t="s">
        <v>1065</v>
      </c>
      <c r="N51" s="594"/>
      <c r="O51" s="1"/>
      <c r="P51" s="1" t="s">
        <v>1066</v>
      </c>
      <c r="Q51" s="1"/>
      <c r="R51" s="1"/>
      <c r="S51" s="1"/>
      <c r="T51" s="1"/>
      <c r="U51" s="1"/>
    </row>
    <row r="52" spans="1:21" x14ac:dyDescent="0.3">
      <c r="A52" s="64">
        <f t="shared" si="0"/>
        <v>2474</v>
      </c>
      <c r="B52" s="7">
        <f t="shared" si="1"/>
        <v>46252</v>
      </c>
      <c r="C52" s="488" t="s">
        <v>1050</v>
      </c>
      <c r="D52" s="1" t="s">
        <v>1064</v>
      </c>
      <c r="E52" s="62" t="s">
        <v>1030</v>
      </c>
      <c r="F52" s="62"/>
      <c r="G52" s="62"/>
      <c r="H52" s="62"/>
      <c r="I52" s="62"/>
      <c r="J52" s="62" t="s">
        <v>1068</v>
      </c>
      <c r="K52" s="62" t="s">
        <v>885</v>
      </c>
      <c r="L52" s="63">
        <f>'Phan tich_TB'!BJ15</f>
        <v>0</v>
      </c>
      <c r="M52" s="593" t="s">
        <v>1065</v>
      </c>
      <c r="N52" s="594"/>
      <c r="O52" s="1"/>
      <c r="P52" s="1" t="s">
        <v>1066</v>
      </c>
      <c r="Q52" s="1"/>
      <c r="R52" s="1"/>
      <c r="S52" s="1"/>
      <c r="T52" s="1"/>
      <c r="U52" s="1"/>
    </row>
    <row r="53" spans="1:21" x14ac:dyDescent="0.3">
      <c r="A53" s="64">
        <f t="shared" si="0"/>
        <v>2474</v>
      </c>
      <c r="B53" s="7">
        <f t="shared" si="1"/>
        <v>46252</v>
      </c>
      <c r="C53" s="488" t="s">
        <v>1050</v>
      </c>
      <c r="D53" s="1" t="s">
        <v>1064</v>
      </c>
      <c r="E53" s="62" t="s">
        <v>1030</v>
      </c>
      <c r="F53" s="62"/>
      <c r="G53" s="62"/>
      <c r="H53" s="62"/>
      <c r="I53" s="62"/>
      <c r="J53" s="62" t="s">
        <v>1068</v>
      </c>
      <c r="K53" s="62" t="s">
        <v>886</v>
      </c>
      <c r="L53" s="63">
        <f>'Phan tich_TB'!BJ16</f>
        <v>0</v>
      </c>
      <c r="M53" s="593" t="s">
        <v>1065</v>
      </c>
      <c r="N53" s="594"/>
      <c r="O53" s="1"/>
      <c r="P53" s="1" t="s">
        <v>1066</v>
      </c>
      <c r="Q53" s="1"/>
      <c r="R53" s="1"/>
      <c r="S53" s="1"/>
      <c r="T53" s="1"/>
      <c r="U53" s="1"/>
    </row>
    <row r="54" spans="1:21" x14ac:dyDescent="0.3">
      <c r="A54" s="64">
        <f t="shared" si="0"/>
        <v>2474</v>
      </c>
      <c r="B54" s="7">
        <f t="shared" si="1"/>
        <v>46252</v>
      </c>
      <c r="C54" s="488" t="s">
        <v>1050</v>
      </c>
      <c r="D54" s="1" t="s">
        <v>1064</v>
      </c>
      <c r="E54" s="62" t="s">
        <v>898</v>
      </c>
      <c r="F54" s="62" t="s">
        <v>823</v>
      </c>
      <c r="G54" s="62"/>
      <c r="H54" s="62"/>
      <c r="I54" s="62"/>
      <c r="J54" s="62" t="s">
        <v>1068</v>
      </c>
      <c r="K54" s="62" t="s">
        <v>877</v>
      </c>
      <c r="L54" s="63">
        <f>'Phan tich_TB'!BJ17</f>
        <v>0</v>
      </c>
      <c r="M54" s="593" t="s">
        <v>1065</v>
      </c>
      <c r="N54" s="594"/>
      <c r="O54" s="1"/>
      <c r="P54" s="1" t="s">
        <v>1066</v>
      </c>
      <c r="Q54" s="1"/>
      <c r="R54" s="1"/>
      <c r="S54" s="1"/>
      <c r="T54" s="1"/>
      <c r="U54" s="1"/>
    </row>
    <row r="55" spans="1:21" x14ac:dyDescent="0.3">
      <c r="A55" s="64">
        <f t="shared" si="0"/>
        <v>2474</v>
      </c>
      <c r="B55" s="7">
        <f t="shared" si="1"/>
        <v>46252</v>
      </c>
      <c r="C55" s="488" t="s">
        <v>1050</v>
      </c>
      <c r="D55" s="1" t="s">
        <v>1064</v>
      </c>
      <c r="E55" s="62" t="s">
        <v>898</v>
      </c>
      <c r="F55" s="62" t="s">
        <v>823</v>
      </c>
      <c r="G55" s="62"/>
      <c r="H55" s="62"/>
      <c r="I55" s="62"/>
      <c r="J55" s="62" t="s">
        <v>1068</v>
      </c>
      <c r="K55" s="62" t="s">
        <v>878</v>
      </c>
      <c r="L55" s="63">
        <f>'Phan tich_TB'!BJ18</f>
        <v>0</v>
      </c>
      <c r="M55" s="593" t="s">
        <v>1065</v>
      </c>
      <c r="N55" s="594"/>
      <c r="O55" s="1"/>
      <c r="P55" s="1" t="s">
        <v>1066</v>
      </c>
      <c r="Q55" s="1"/>
      <c r="R55" s="1"/>
      <c r="S55" s="1"/>
      <c r="T55" s="1"/>
      <c r="U55" s="1"/>
    </row>
    <row r="56" spans="1:21" x14ac:dyDescent="0.3">
      <c r="A56" s="64">
        <f t="shared" si="0"/>
        <v>2474</v>
      </c>
      <c r="B56" s="7">
        <f t="shared" si="1"/>
        <v>46252</v>
      </c>
      <c r="C56" s="488" t="s">
        <v>1050</v>
      </c>
      <c r="D56" s="1" t="s">
        <v>1064</v>
      </c>
      <c r="E56" s="62" t="s">
        <v>898</v>
      </c>
      <c r="F56" s="62" t="s">
        <v>823</v>
      </c>
      <c r="G56" s="62"/>
      <c r="H56" s="62"/>
      <c r="I56" s="62"/>
      <c r="J56" s="62" t="s">
        <v>1068</v>
      </c>
      <c r="K56" s="62" t="s">
        <v>879</v>
      </c>
      <c r="L56" s="63">
        <f>'Phan tich_TB'!BJ19</f>
        <v>0</v>
      </c>
      <c r="M56" s="593" t="s">
        <v>1065</v>
      </c>
      <c r="N56" s="594"/>
      <c r="O56" s="1"/>
      <c r="P56" s="1" t="s">
        <v>1066</v>
      </c>
      <c r="Q56" s="1"/>
      <c r="R56" s="1"/>
      <c r="S56" s="1"/>
      <c r="T56" s="1"/>
      <c r="U56" s="1"/>
    </row>
    <row r="57" spans="1:21" x14ac:dyDescent="0.3">
      <c r="A57" s="64">
        <f t="shared" si="0"/>
        <v>2474</v>
      </c>
      <c r="B57" s="7">
        <f t="shared" si="1"/>
        <v>46252</v>
      </c>
      <c r="C57" s="488" t="s">
        <v>1050</v>
      </c>
      <c r="D57" s="1" t="s">
        <v>1064</v>
      </c>
      <c r="E57" s="62" t="s">
        <v>898</v>
      </c>
      <c r="F57" s="62" t="s">
        <v>823</v>
      </c>
      <c r="G57" s="62"/>
      <c r="H57" s="62"/>
      <c r="I57" s="62"/>
      <c r="J57" s="62" t="s">
        <v>1068</v>
      </c>
      <c r="K57" s="62" t="s">
        <v>880</v>
      </c>
      <c r="L57" s="63">
        <f>'Phan tich_TB'!BJ20</f>
        <v>700</v>
      </c>
      <c r="M57" s="593" t="s">
        <v>1065</v>
      </c>
      <c r="N57" s="594"/>
      <c r="O57" s="1"/>
      <c r="P57" s="1" t="s">
        <v>1066</v>
      </c>
      <c r="Q57" s="1"/>
      <c r="R57" s="1"/>
      <c r="S57" s="1"/>
      <c r="T57" s="1"/>
      <c r="U57" s="1"/>
    </row>
    <row r="58" spans="1:21" x14ac:dyDescent="0.3">
      <c r="A58" s="64">
        <f t="shared" si="0"/>
        <v>2474</v>
      </c>
      <c r="B58" s="7">
        <f t="shared" si="1"/>
        <v>46252</v>
      </c>
      <c r="C58" s="488" t="s">
        <v>1050</v>
      </c>
      <c r="D58" s="1" t="s">
        <v>1064</v>
      </c>
      <c r="E58" s="62" t="s">
        <v>898</v>
      </c>
      <c r="F58" s="62" t="s">
        <v>823</v>
      </c>
      <c r="G58" s="62"/>
      <c r="H58" s="62"/>
      <c r="I58" s="62"/>
      <c r="J58" s="62" t="s">
        <v>1068</v>
      </c>
      <c r="K58" s="62" t="s">
        <v>881</v>
      </c>
      <c r="L58" s="63">
        <f>'Phan tich_TB'!BJ21</f>
        <v>110</v>
      </c>
      <c r="M58" s="593" t="s">
        <v>1065</v>
      </c>
      <c r="N58" s="594"/>
      <c r="O58" s="1"/>
      <c r="P58" s="1" t="s">
        <v>1066</v>
      </c>
      <c r="Q58" s="1"/>
      <c r="R58" s="1"/>
      <c r="S58" s="1"/>
      <c r="T58" s="1"/>
      <c r="U58" s="1"/>
    </row>
    <row r="59" spans="1:21" x14ac:dyDescent="0.3">
      <c r="A59" s="64">
        <f t="shared" si="0"/>
        <v>2474</v>
      </c>
      <c r="B59" s="7">
        <f t="shared" si="1"/>
        <v>46252</v>
      </c>
      <c r="C59" s="488" t="s">
        <v>1050</v>
      </c>
      <c r="D59" s="1" t="s">
        <v>1064</v>
      </c>
      <c r="E59" s="62" t="s">
        <v>898</v>
      </c>
      <c r="F59" s="62" t="s">
        <v>823</v>
      </c>
      <c r="G59" s="62"/>
      <c r="H59" s="62"/>
      <c r="I59" s="62"/>
      <c r="J59" s="62" t="s">
        <v>1068</v>
      </c>
      <c r="K59" s="62" t="s">
        <v>882</v>
      </c>
      <c r="L59" s="63">
        <f>'Phan tich_TB'!BJ22</f>
        <v>2994</v>
      </c>
      <c r="M59" s="593" t="s">
        <v>1065</v>
      </c>
      <c r="N59" s="594"/>
      <c r="O59" s="1"/>
      <c r="P59" s="1" t="s">
        <v>1066</v>
      </c>
      <c r="Q59" s="1"/>
      <c r="R59" s="1"/>
      <c r="S59" s="1"/>
      <c r="T59" s="1"/>
      <c r="U59" s="1"/>
    </row>
    <row r="60" spans="1:21" x14ac:dyDescent="0.3">
      <c r="A60" s="64">
        <f t="shared" si="0"/>
        <v>2474</v>
      </c>
      <c r="B60" s="7">
        <f t="shared" si="1"/>
        <v>46252</v>
      </c>
      <c r="C60" s="488" t="s">
        <v>1050</v>
      </c>
      <c r="D60" s="1" t="s">
        <v>1064</v>
      </c>
      <c r="E60" s="62" t="s">
        <v>898</v>
      </c>
      <c r="F60" s="62" t="s">
        <v>823</v>
      </c>
      <c r="G60" s="62"/>
      <c r="H60" s="62"/>
      <c r="I60" s="62"/>
      <c r="J60" s="62" t="s">
        <v>1068</v>
      </c>
      <c r="K60" s="62" t="s">
        <v>883</v>
      </c>
      <c r="L60" s="63">
        <f>'Phan tich_TB'!BJ23</f>
        <v>6337</v>
      </c>
      <c r="M60" s="593" t="s">
        <v>1065</v>
      </c>
      <c r="N60" s="594"/>
      <c r="O60" s="1"/>
      <c r="P60" s="1" t="s">
        <v>1066</v>
      </c>
      <c r="Q60" s="1"/>
      <c r="R60" s="1"/>
      <c r="S60" s="1"/>
      <c r="T60" s="1"/>
      <c r="U60" s="1"/>
    </row>
    <row r="61" spans="1:21" x14ac:dyDescent="0.3">
      <c r="A61" s="64">
        <f t="shared" si="0"/>
        <v>2474</v>
      </c>
      <c r="B61" s="7">
        <f t="shared" si="1"/>
        <v>46252</v>
      </c>
      <c r="C61" s="488" t="s">
        <v>1050</v>
      </c>
      <c r="D61" s="1" t="s">
        <v>1064</v>
      </c>
      <c r="E61" s="62" t="s">
        <v>898</v>
      </c>
      <c r="F61" s="62" t="s">
        <v>823</v>
      </c>
      <c r="G61" s="62"/>
      <c r="H61" s="62"/>
      <c r="I61" s="62"/>
      <c r="J61" s="62" t="s">
        <v>1068</v>
      </c>
      <c r="K61" s="62" t="s">
        <v>884</v>
      </c>
      <c r="L61" s="63">
        <f>'Phan tich_TB'!BJ24</f>
        <v>2162</v>
      </c>
      <c r="M61" s="593" t="s">
        <v>1065</v>
      </c>
      <c r="N61" s="594"/>
      <c r="O61" s="1"/>
      <c r="P61" s="1" t="s">
        <v>1066</v>
      </c>
      <c r="Q61" s="1"/>
      <c r="R61" s="1"/>
      <c r="S61" s="1"/>
      <c r="T61" s="1"/>
      <c r="U61" s="1"/>
    </row>
    <row r="62" spans="1:21" x14ac:dyDescent="0.3">
      <c r="A62" s="64">
        <f t="shared" si="0"/>
        <v>2474</v>
      </c>
      <c r="B62" s="7">
        <f t="shared" si="1"/>
        <v>46252</v>
      </c>
      <c r="C62" s="488" t="s">
        <v>1050</v>
      </c>
      <c r="D62" s="1" t="s">
        <v>1064</v>
      </c>
      <c r="E62" s="62" t="s">
        <v>898</v>
      </c>
      <c r="F62" s="62" t="s">
        <v>823</v>
      </c>
      <c r="G62" s="62"/>
      <c r="H62" s="62"/>
      <c r="I62" s="62"/>
      <c r="J62" s="62" t="s">
        <v>1068</v>
      </c>
      <c r="K62" s="62" t="s">
        <v>885</v>
      </c>
      <c r="L62" s="63">
        <f>'Phan tich_TB'!BJ25</f>
        <v>0</v>
      </c>
      <c r="M62" s="593" t="s">
        <v>1065</v>
      </c>
      <c r="N62" s="594"/>
      <c r="O62" s="1"/>
      <c r="P62" s="1" t="s">
        <v>1066</v>
      </c>
      <c r="Q62" s="1"/>
      <c r="R62" s="1"/>
      <c r="S62" s="1"/>
      <c r="T62" s="1"/>
      <c r="U62" s="1"/>
    </row>
    <row r="63" spans="1:21" x14ac:dyDescent="0.3">
      <c r="A63" s="64">
        <f t="shared" si="0"/>
        <v>2474</v>
      </c>
      <c r="B63" s="7">
        <f t="shared" si="1"/>
        <v>46252</v>
      </c>
      <c r="C63" s="488" t="s">
        <v>1050</v>
      </c>
      <c r="D63" s="1" t="s">
        <v>1064</v>
      </c>
      <c r="E63" s="62" t="s">
        <v>898</v>
      </c>
      <c r="F63" s="62" t="s">
        <v>823</v>
      </c>
      <c r="G63" s="62"/>
      <c r="H63" s="62"/>
      <c r="I63" s="62"/>
      <c r="J63" s="62" t="s">
        <v>1068</v>
      </c>
      <c r="K63" s="62" t="s">
        <v>886</v>
      </c>
      <c r="L63" s="63">
        <f>'Phan tich_TB'!BJ26</f>
        <v>0</v>
      </c>
      <c r="M63" s="593" t="s">
        <v>1065</v>
      </c>
      <c r="N63" s="594"/>
      <c r="O63" s="1"/>
      <c r="P63" s="1" t="s">
        <v>1066</v>
      </c>
      <c r="Q63" s="1"/>
      <c r="R63" s="1"/>
      <c r="S63" s="1"/>
      <c r="T63" s="1"/>
      <c r="U63" s="1"/>
    </row>
    <row r="64" spans="1:21" x14ac:dyDescent="0.3">
      <c r="A64" s="64">
        <f t="shared" si="0"/>
        <v>2474</v>
      </c>
      <c r="B64" s="7">
        <f t="shared" si="1"/>
        <v>46252</v>
      </c>
      <c r="C64" s="488" t="s">
        <v>1050</v>
      </c>
      <c r="D64" s="1" t="s">
        <v>1064</v>
      </c>
      <c r="E64" s="62" t="s">
        <v>906</v>
      </c>
      <c r="F64" s="62" t="s">
        <v>821</v>
      </c>
      <c r="G64" s="62"/>
      <c r="H64" s="62"/>
      <c r="I64" s="62"/>
      <c r="J64" s="62" t="s">
        <v>1068</v>
      </c>
      <c r="K64" s="62" t="s">
        <v>877</v>
      </c>
      <c r="L64" s="63">
        <f>'Phan tich_TB'!BJ27</f>
        <v>1002</v>
      </c>
      <c r="M64" s="593" t="s">
        <v>1065</v>
      </c>
      <c r="N64" s="594"/>
      <c r="O64" s="1"/>
      <c r="P64" s="1" t="s">
        <v>1066</v>
      </c>
      <c r="Q64" s="1"/>
      <c r="R64" s="1"/>
      <c r="S64" s="1"/>
      <c r="T64" s="1"/>
      <c r="U64" s="1"/>
    </row>
    <row r="65" spans="1:21" x14ac:dyDescent="0.3">
      <c r="A65" s="64">
        <f t="shared" si="0"/>
        <v>2474</v>
      </c>
      <c r="B65" s="7">
        <f t="shared" si="1"/>
        <v>46252</v>
      </c>
      <c r="C65" s="488" t="s">
        <v>1050</v>
      </c>
      <c r="D65" s="1" t="s">
        <v>1064</v>
      </c>
      <c r="E65" s="62" t="s">
        <v>906</v>
      </c>
      <c r="F65" s="62" t="s">
        <v>821</v>
      </c>
      <c r="G65" s="62"/>
      <c r="H65" s="62"/>
      <c r="I65" s="62"/>
      <c r="J65" s="62" t="s">
        <v>1068</v>
      </c>
      <c r="K65" s="62" t="s">
        <v>878</v>
      </c>
      <c r="L65" s="63">
        <f>'Phan tich_TB'!BJ28</f>
        <v>0</v>
      </c>
      <c r="M65" s="593" t="s">
        <v>1065</v>
      </c>
      <c r="N65" s="594"/>
      <c r="O65" s="1"/>
      <c r="P65" s="1" t="s">
        <v>1066</v>
      </c>
      <c r="Q65" s="1"/>
      <c r="R65" s="1"/>
      <c r="S65" s="1"/>
      <c r="T65" s="1"/>
      <c r="U65" s="1"/>
    </row>
    <row r="66" spans="1:21" x14ac:dyDescent="0.3">
      <c r="A66" s="64">
        <f t="shared" ref="A66:A119" si="2">$X$3</f>
        <v>2474</v>
      </c>
      <c r="B66" s="7">
        <f t="shared" ref="B66:B119" si="3">RPT</f>
        <v>46252</v>
      </c>
      <c r="C66" s="488" t="s">
        <v>1050</v>
      </c>
      <c r="D66" s="1" t="s">
        <v>1064</v>
      </c>
      <c r="E66" s="62" t="s">
        <v>906</v>
      </c>
      <c r="F66" s="62" t="s">
        <v>821</v>
      </c>
      <c r="G66" s="62"/>
      <c r="H66" s="62"/>
      <c r="I66" s="62"/>
      <c r="J66" s="62" t="s">
        <v>1068</v>
      </c>
      <c r="K66" s="62" t="s">
        <v>879</v>
      </c>
      <c r="L66" s="63">
        <f>'Phan tich_TB'!BJ29</f>
        <v>0</v>
      </c>
      <c r="M66" s="593" t="s">
        <v>1065</v>
      </c>
      <c r="N66" s="594"/>
      <c r="O66" s="1"/>
      <c r="P66" s="1" t="s">
        <v>1066</v>
      </c>
      <c r="Q66" s="1"/>
      <c r="R66" s="1"/>
      <c r="S66" s="1"/>
      <c r="T66" s="1"/>
      <c r="U66" s="1"/>
    </row>
    <row r="67" spans="1:21" x14ac:dyDescent="0.3">
      <c r="A67" s="64">
        <f t="shared" si="2"/>
        <v>2474</v>
      </c>
      <c r="B67" s="7">
        <f t="shared" si="3"/>
        <v>46252</v>
      </c>
      <c r="C67" s="488" t="s">
        <v>1050</v>
      </c>
      <c r="D67" s="1" t="s">
        <v>1064</v>
      </c>
      <c r="E67" s="62" t="s">
        <v>906</v>
      </c>
      <c r="F67" s="62" t="s">
        <v>821</v>
      </c>
      <c r="G67" s="62"/>
      <c r="H67" s="62"/>
      <c r="I67" s="62"/>
      <c r="J67" s="62" t="s">
        <v>1068</v>
      </c>
      <c r="K67" s="62" t="s">
        <v>880</v>
      </c>
      <c r="L67" s="63">
        <f>'Phan tich_TB'!BJ30</f>
        <v>0</v>
      </c>
      <c r="M67" s="593" t="s">
        <v>1065</v>
      </c>
      <c r="N67" s="594"/>
      <c r="O67" s="1"/>
      <c r="P67" s="1" t="s">
        <v>1066</v>
      </c>
      <c r="Q67" s="1"/>
      <c r="R67" s="1"/>
      <c r="S67" s="1"/>
      <c r="T67" s="1"/>
      <c r="U67" s="1"/>
    </row>
    <row r="68" spans="1:21" x14ac:dyDescent="0.3">
      <c r="A68" s="64">
        <f t="shared" si="2"/>
        <v>2474</v>
      </c>
      <c r="B68" s="7">
        <f t="shared" si="3"/>
        <v>46252</v>
      </c>
      <c r="C68" s="488" t="s">
        <v>1050</v>
      </c>
      <c r="D68" s="1" t="s">
        <v>1064</v>
      </c>
      <c r="E68" s="62" t="s">
        <v>906</v>
      </c>
      <c r="F68" s="62" t="s">
        <v>821</v>
      </c>
      <c r="G68" s="62"/>
      <c r="H68" s="62"/>
      <c r="I68" s="62"/>
      <c r="J68" s="62" t="s">
        <v>1068</v>
      </c>
      <c r="K68" s="62" t="s">
        <v>881</v>
      </c>
      <c r="L68" s="63">
        <f>'Phan tich_TB'!BJ31</f>
        <v>0</v>
      </c>
      <c r="M68" s="593" t="s">
        <v>1065</v>
      </c>
      <c r="N68" s="594"/>
      <c r="O68" s="1"/>
      <c r="P68" s="1" t="s">
        <v>1066</v>
      </c>
      <c r="Q68" s="1"/>
      <c r="R68" s="1"/>
      <c r="S68" s="1"/>
      <c r="T68" s="1"/>
      <c r="U68" s="1"/>
    </row>
    <row r="69" spans="1:21" x14ac:dyDescent="0.3">
      <c r="A69" s="64">
        <f t="shared" si="2"/>
        <v>2474</v>
      </c>
      <c r="B69" s="7">
        <f t="shared" si="3"/>
        <v>46252</v>
      </c>
      <c r="C69" s="488" t="s">
        <v>1050</v>
      </c>
      <c r="D69" s="1" t="s">
        <v>1064</v>
      </c>
      <c r="E69" s="62" t="s">
        <v>906</v>
      </c>
      <c r="F69" s="62" t="s">
        <v>821</v>
      </c>
      <c r="G69" s="62"/>
      <c r="H69" s="62"/>
      <c r="I69" s="62"/>
      <c r="J69" s="62" t="s">
        <v>1068</v>
      </c>
      <c r="K69" s="62" t="s">
        <v>882</v>
      </c>
      <c r="L69" s="63">
        <f>'Phan tich_TB'!BJ32</f>
        <v>0</v>
      </c>
      <c r="M69" s="593" t="s">
        <v>1065</v>
      </c>
      <c r="N69" s="594"/>
      <c r="O69" s="1"/>
      <c r="P69" s="1" t="s">
        <v>1066</v>
      </c>
      <c r="Q69" s="1"/>
      <c r="R69" s="1"/>
      <c r="S69" s="1"/>
      <c r="T69" s="1"/>
      <c r="U69" s="1"/>
    </row>
    <row r="70" spans="1:21" x14ac:dyDescent="0.3">
      <c r="A70" s="64">
        <f t="shared" si="2"/>
        <v>2474</v>
      </c>
      <c r="B70" s="7">
        <f t="shared" si="3"/>
        <v>46252</v>
      </c>
      <c r="C70" s="488" t="s">
        <v>1050</v>
      </c>
      <c r="D70" s="1" t="s">
        <v>1064</v>
      </c>
      <c r="E70" s="62" t="s">
        <v>906</v>
      </c>
      <c r="F70" s="62" t="s">
        <v>821</v>
      </c>
      <c r="G70" s="62"/>
      <c r="H70" s="62"/>
      <c r="I70" s="62"/>
      <c r="J70" s="62" t="s">
        <v>1068</v>
      </c>
      <c r="K70" s="62" t="s">
        <v>883</v>
      </c>
      <c r="L70" s="63">
        <f>'Phan tich_TB'!BJ33</f>
        <v>0</v>
      </c>
      <c r="M70" s="593" t="s">
        <v>1065</v>
      </c>
      <c r="N70" s="594"/>
      <c r="O70" s="1"/>
      <c r="P70" s="1" t="s">
        <v>1066</v>
      </c>
      <c r="Q70" s="1"/>
      <c r="R70" s="1"/>
      <c r="S70" s="1"/>
      <c r="T70" s="1"/>
      <c r="U70" s="1"/>
    </row>
    <row r="71" spans="1:21" x14ac:dyDescent="0.3">
      <c r="A71" s="64">
        <f t="shared" si="2"/>
        <v>2474</v>
      </c>
      <c r="B71" s="7">
        <f t="shared" si="3"/>
        <v>46252</v>
      </c>
      <c r="C71" s="488" t="s">
        <v>1050</v>
      </c>
      <c r="D71" s="1" t="s">
        <v>1064</v>
      </c>
      <c r="E71" s="62" t="s">
        <v>906</v>
      </c>
      <c r="F71" s="62" t="s">
        <v>821</v>
      </c>
      <c r="G71" s="62"/>
      <c r="H71" s="62"/>
      <c r="I71" s="62"/>
      <c r="J71" s="62" t="s">
        <v>1068</v>
      </c>
      <c r="K71" s="62" t="s">
        <v>884</v>
      </c>
      <c r="L71" s="63">
        <f>'Phan tich_TB'!BJ34</f>
        <v>500</v>
      </c>
      <c r="M71" s="593" t="s">
        <v>1065</v>
      </c>
      <c r="N71" s="594"/>
      <c r="O71" s="1"/>
      <c r="P71" s="1" t="s">
        <v>1066</v>
      </c>
      <c r="Q71" s="1"/>
      <c r="R71" s="1"/>
      <c r="S71" s="1"/>
      <c r="T71" s="1"/>
      <c r="U71" s="1"/>
    </row>
    <row r="72" spans="1:21" x14ac:dyDescent="0.3">
      <c r="A72" s="64">
        <f t="shared" si="2"/>
        <v>2474</v>
      </c>
      <c r="B72" s="7">
        <f t="shared" si="3"/>
        <v>46252</v>
      </c>
      <c r="C72" s="488" t="s">
        <v>1050</v>
      </c>
      <c r="D72" s="1" t="s">
        <v>1064</v>
      </c>
      <c r="E72" s="62" t="s">
        <v>906</v>
      </c>
      <c r="F72" s="62" t="s">
        <v>821</v>
      </c>
      <c r="G72" s="62"/>
      <c r="H72" s="62"/>
      <c r="I72" s="62"/>
      <c r="J72" s="62" t="s">
        <v>1068</v>
      </c>
      <c r="K72" s="62" t="s">
        <v>885</v>
      </c>
      <c r="L72" s="63">
        <f>'Phan tich_TB'!BJ35</f>
        <v>0</v>
      </c>
      <c r="M72" s="593" t="s">
        <v>1065</v>
      </c>
      <c r="N72" s="594"/>
      <c r="O72" s="1"/>
      <c r="P72" s="1" t="s">
        <v>1066</v>
      </c>
      <c r="Q72" s="1"/>
      <c r="R72" s="1"/>
      <c r="S72" s="1"/>
      <c r="T72" s="1"/>
      <c r="U72" s="1"/>
    </row>
    <row r="73" spans="1:21" x14ac:dyDescent="0.3">
      <c r="A73" s="64">
        <f t="shared" si="2"/>
        <v>2474</v>
      </c>
      <c r="B73" s="7">
        <f t="shared" si="3"/>
        <v>46252</v>
      </c>
      <c r="C73" s="488" t="s">
        <v>1050</v>
      </c>
      <c r="D73" s="1" t="s">
        <v>1064</v>
      </c>
      <c r="E73" s="62" t="s">
        <v>906</v>
      </c>
      <c r="F73" s="62" t="s">
        <v>821</v>
      </c>
      <c r="G73" s="62"/>
      <c r="H73" s="62"/>
      <c r="I73" s="62"/>
      <c r="J73" s="62" t="s">
        <v>1068</v>
      </c>
      <c r="K73" s="62" t="s">
        <v>886</v>
      </c>
      <c r="L73" s="63">
        <f>'Phan tich_TB'!BJ36</f>
        <v>0</v>
      </c>
      <c r="M73" s="593" t="s">
        <v>1065</v>
      </c>
      <c r="N73" s="594"/>
      <c r="O73" s="1"/>
      <c r="P73" s="1" t="s">
        <v>1066</v>
      </c>
      <c r="Q73" s="1"/>
      <c r="R73" s="1"/>
      <c r="S73" s="1"/>
      <c r="T73" s="1"/>
      <c r="U73" s="1"/>
    </row>
    <row r="74" spans="1:21" x14ac:dyDescent="0.3">
      <c r="A74" s="64">
        <f t="shared" si="2"/>
        <v>2474</v>
      </c>
      <c r="B74" s="7">
        <f t="shared" si="3"/>
        <v>46252</v>
      </c>
      <c r="C74" s="488" t="s">
        <v>1050</v>
      </c>
      <c r="D74" s="1" t="s">
        <v>1064</v>
      </c>
      <c r="E74" s="62" t="s">
        <v>906</v>
      </c>
      <c r="F74" s="62" t="s">
        <v>905</v>
      </c>
      <c r="G74" s="62"/>
      <c r="H74" s="62"/>
      <c r="I74" s="62"/>
      <c r="J74" s="62" t="s">
        <v>1068</v>
      </c>
      <c r="K74" s="62" t="s">
        <v>877</v>
      </c>
      <c r="L74" s="63">
        <f>'Phan tich_TB'!BJ37</f>
        <v>0</v>
      </c>
      <c r="M74" s="593" t="s">
        <v>1065</v>
      </c>
      <c r="N74" s="594"/>
      <c r="O74" s="1"/>
      <c r="P74" s="1" t="s">
        <v>1066</v>
      </c>
      <c r="Q74" s="1"/>
      <c r="R74" s="1"/>
      <c r="S74" s="1"/>
      <c r="T74" s="1"/>
      <c r="U74" s="1"/>
    </row>
    <row r="75" spans="1:21" x14ac:dyDescent="0.3">
      <c r="A75" s="64">
        <f t="shared" si="2"/>
        <v>2474</v>
      </c>
      <c r="B75" s="7">
        <f t="shared" si="3"/>
        <v>46252</v>
      </c>
      <c r="C75" s="488" t="s">
        <v>1050</v>
      </c>
      <c r="D75" s="1" t="s">
        <v>1064</v>
      </c>
      <c r="E75" s="62" t="s">
        <v>906</v>
      </c>
      <c r="F75" s="62" t="s">
        <v>905</v>
      </c>
      <c r="G75" s="62"/>
      <c r="H75" s="62"/>
      <c r="I75" s="62"/>
      <c r="J75" s="62" t="s">
        <v>1068</v>
      </c>
      <c r="K75" s="62" t="s">
        <v>878</v>
      </c>
      <c r="L75" s="63">
        <f>'Phan tich_TB'!BJ38</f>
        <v>0</v>
      </c>
      <c r="M75" s="593" t="s">
        <v>1065</v>
      </c>
      <c r="N75" s="594"/>
      <c r="O75" s="1"/>
      <c r="P75" s="1" t="s">
        <v>1066</v>
      </c>
      <c r="Q75" s="1"/>
      <c r="R75" s="1"/>
      <c r="S75" s="1"/>
      <c r="T75" s="1"/>
      <c r="U75" s="1"/>
    </row>
    <row r="76" spans="1:21" x14ac:dyDescent="0.3">
      <c r="A76" s="64">
        <f t="shared" si="2"/>
        <v>2474</v>
      </c>
      <c r="B76" s="7">
        <f t="shared" si="3"/>
        <v>46252</v>
      </c>
      <c r="C76" s="488" t="s">
        <v>1050</v>
      </c>
      <c r="D76" s="1" t="s">
        <v>1064</v>
      </c>
      <c r="E76" s="62" t="s">
        <v>906</v>
      </c>
      <c r="F76" s="62" t="s">
        <v>905</v>
      </c>
      <c r="G76" s="62"/>
      <c r="H76" s="62"/>
      <c r="I76" s="62"/>
      <c r="J76" s="62" t="s">
        <v>1068</v>
      </c>
      <c r="K76" s="62" t="s">
        <v>879</v>
      </c>
      <c r="L76" s="63">
        <f>'Phan tich_TB'!BJ39</f>
        <v>0</v>
      </c>
      <c r="M76" s="593" t="s">
        <v>1065</v>
      </c>
      <c r="N76" s="594"/>
      <c r="O76" s="1"/>
      <c r="P76" s="1" t="s">
        <v>1066</v>
      </c>
      <c r="Q76" s="1"/>
      <c r="R76" s="1"/>
      <c r="S76" s="1"/>
      <c r="T76" s="1"/>
      <c r="U76" s="1"/>
    </row>
    <row r="77" spans="1:21" x14ac:dyDescent="0.3">
      <c r="A77" s="64">
        <f t="shared" si="2"/>
        <v>2474</v>
      </c>
      <c r="B77" s="7">
        <f t="shared" si="3"/>
        <v>46252</v>
      </c>
      <c r="C77" s="488" t="s">
        <v>1050</v>
      </c>
      <c r="D77" s="1" t="s">
        <v>1064</v>
      </c>
      <c r="E77" s="62" t="s">
        <v>906</v>
      </c>
      <c r="F77" s="62" t="s">
        <v>905</v>
      </c>
      <c r="G77" s="62"/>
      <c r="H77" s="62"/>
      <c r="I77" s="62"/>
      <c r="J77" s="62" t="s">
        <v>1068</v>
      </c>
      <c r="K77" s="62" t="s">
        <v>880</v>
      </c>
      <c r="L77" s="63">
        <f>'Phan tich_TB'!BJ40</f>
        <v>100</v>
      </c>
      <c r="M77" s="593" t="s">
        <v>1065</v>
      </c>
      <c r="N77" s="594"/>
      <c r="O77" s="1"/>
      <c r="P77" s="1" t="s">
        <v>1066</v>
      </c>
      <c r="Q77" s="1"/>
      <c r="R77" s="1"/>
      <c r="S77" s="1"/>
      <c r="T77" s="1"/>
      <c r="U77" s="1"/>
    </row>
    <row r="78" spans="1:21" x14ac:dyDescent="0.3">
      <c r="A78" s="64">
        <f t="shared" si="2"/>
        <v>2474</v>
      </c>
      <c r="B78" s="7">
        <f t="shared" si="3"/>
        <v>46252</v>
      </c>
      <c r="C78" s="488" t="s">
        <v>1050</v>
      </c>
      <c r="D78" s="1" t="s">
        <v>1064</v>
      </c>
      <c r="E78" s="62" t="s">
        <v>906</v>
      </c>
      <c r="F78" s="62" t="s">
        <v>905</v>
      </c>
      <c r="G78" s="62"/>
      <c r="H78" s="62"/>
      <c r="I78" s="62"/>
      <c r="J78" s="62" t="s">
        <v>1068</v>
      </c>
      <c r="K78" s="62" t="s">
        <v>881</v>
      </c>
      <c r="L78" s="63">
        <f>'Phan tich_TB'!BJ41</f>
        <v>0</v>
      </c>
      <c r="M78" s="593" t="s">
        <v>1065</v>
      </c>
      <c r="N78" s="594"/>
      <c r="O78" s="1"/>
      <c r="P78" s="1" t="s">
        <v>1066</v>
      </c>
      <c r="Q78" s="1"/>
      <c r="R78" s="1"/>
      <c r="S78" s="1"/>
      <c r="T78" s="1"/>
      <c r="U78" s="1"/>
    </row>
    <row r="79" spans="1:21" x14ac:dyDescent="0.3">
      <c r="A79" s="64">
        <f t="shared" si="2"/>
        <v>2474</v>
      </c>
      <c r="B79" s="7">
        <f t="shared" si="3"/>
        <v>46252</v>
      </c>
      <c r="C79" s="488" t="s">
        <v>1050</v>
      </c>
      <c r="D79" s="1" t="s">
        <v>1064</v>
      </c>
      <c r="E79" s="62" t="s">
        <v>906</v>
      </c>
      <c r="F79" s="62" t="s">
        <v>905</v>
      </c>
      <c r="G79" s="62"/>
      <c r="H79" s="62"/>
      <c r="I79" s="62"/>
      <c r="J79" s="62" t="s">
        <v>1068</v>
      </c>
      <c r="K79" s="62" t="s">
        <v>882</v>
      </c>
      <c r="L79" s="63">
        <f>'Phan tich_TB'!BJ42</f>
        <v>1800</v>
      </c>
      <c r="M79" s="593" t="s">
        <v>1065</v>
      </c>
      <c r="N79" s="594"/>
      <c r="O79" s="1"/>
      <c r="P79" s="1" t="s">
        <v>1066</v>
      </c>
      <c r="Q79" s="1"/>
      <c r="R79" s="1"/>
      <c r="S79" s="1"/>
      <c r="T79" s="1"/>
      <c r="U79" s="1"/>
    </row>
    <row r="80" spans="1:21" x14ac:dyDescent="0.3">
      <c r="A80" s="64">
        <f t="shared" si="2"/>
        <v>2474</v>
      </c>
      <c r="B80" s="7">
        <f t="shared" si="3"/>
        <v>46252</v>
      </c>
      <c r="C80" s="488" t="s">
        <v>1050</v>
      </c>
      <c r="D80" s="1" t="s">
        <v>1064</v>
      </c>
      <c r="E80" s="62" t="s">
        <v>906</v>
      </c>
      <c r="F80" s="62" t="s">
        <v>905</v>
      </c>
      <c r="G80" s="62"/>
      <c r="H80" s="62"/>
      <c r="I80" s="62"/>
      <c r="J80" s="62" t="s">
        <v>1068</v>
      </c>
      <c r="K80" s="62" t="s">
        <v>883</v>
      </c>
      <c r="L80" s="63">
        <f>'Phan tich_TB'!BJ43</f>
        <v>150</v>
      </c>
      <c r="M80" s="593" t="s">
        <v>1065</v>
      </c>
      <c r="N80" s="594"/>
      <c r="O80" s="1"/>
      <c r="P80" s="1" t="s">
        <v>1066</v>
      </c>
      <c r="Q80" s="1"/>
      <c r="R80" s="1"/>
      <c r="S80" s="1"/>
      <c r="T80" s="1"/>
      <c r="U80" s="1"/>
    </row>
    <row r="81" spans="1:21" x14ac:dyDescent="0.3">
      <c r="A81" s="64">
        <f t="shared" si="2"/>
        <v>2474</v>
      </c>
      <c r="B81" s="7">
        <f t="shared" si="3"/>
        <v>46252</v>
      </c>
      <c r="C81" s="488" t="s">
        <v>1050</v>
      </c>
      <c r="D81" s="1" t="s">
        <v>1064</v>
      </c>
      <c r="E81" s="62" t="s">
        <v>906</v>
      </c>
      <c r="F81" s="62" t="s">
        <v>905</v>
      </c>
      <c r="G81" s="62"/>
      <c r="H81" s="62"/>
      <c r="I81" s="62"/>
      <c r="J81" s="62" t="s">
        <v>1068</v>
      </c>
      <c r="K81" s="62" t="s">
        <v>884</v>
      </c>
      <c r="L81" s="63">
        <f>'Phan tich_TB'!BJ44</f>
        <v>1358</v>
      </c>
      <c r="M81" s="593" t="s">
        <v>1065</v>
      </c>
      <c r="N81" s="594"/>
      <c r="O81" s="1"/>
      <c r="P81" s="1" t="s">
        <v>1066</v>
      </c>
      <c r="Q81" s="1"/>
      <c r="R81" s="1"/>
      <c r="S81" s="1"/>
      <c r="T81" s="1"/>
      <c r="U81" s="1"/>
    </row>
    <row r="82" spans="1:21" x14ac:dyDescent="0.3">
      <c r="A82" s="64">
        <f t="shared" si="2"/>
        <v>2474</v>
      </c>
      <c r="B82" s="7">
        <f t="shared" si="3"/>
        <v>46252</v>
      </c>
      <c r="C82" s="488" t="s">
        <v>1050</v>
      </c>
      <c r="D82" s="1" t="s">
        <v>1064</v>
      </c>
      <c r="E82" s="62" t="s">
        <v>906</v>
      </c>
      <c r="F82" s="62" t="s">
        <v>905</v>
      </c>
      <c r="G82" s="62"/>
      <c r="H82" s="62"/>
      <c r="I82" s="62"/>
      <c r="J82" s="62" t="s">
        <v>1068</v>
      </c>
      <c r="K82" s="62" t="s">
        <v>885</v>
      </c>
      <c r="L82" s="63">
        <f>'Phan tich_TB'!BJ45</f>
        <v>0</v>
      </c>
      <c r="M82" s="593" t="s">
        <v>1065</v>
      </c>
      <c r="N82" s="594"/>
      <c r="O82" s="1"/>
      <c r="P82" s="1" t="s">
        <v>1066</v>
      </c>
      <c r="Q82" s="1"/>
      <c r="R82" s="1"/>
      <c r="S82" s="1"/>
      <c r="T82" s="1"/>
      <c r="U82" s="1"/>
    </row>
    <row r="83" spans="1:21" x14ac:dyDescent="0.3">
      <c r="A83" s="64">
        <f t="shared" si="2"/>
        <v>2474</v>
      </c>
      <c r="B83" s="7">
        <f t="shared" si="3"/>
        <v>46252</v>
      </c>
      <c r="C83" s="488" t="s">
        <v>1050</v>
      </c>
      <c r="D83" s="1" t="s">
        <v>1064</v>
      </c>
      <c r="E83" s="62" t="s">
        <v>906</v>
      </c>
      <c r="F83" s="62" t="s">
        <v>905</v>
      </c>
      <c r="G83" s="62"/>
      <c r="H83" s="62"/>
      <c r="I83" s="62"/>
      <c r="J83" s="62" t="s">
        <v>1068</v>
      </c>
      <c r="K83" s="62" t="s">
        <v>886</v>
      </c>
      <c r="L83" s="63">
        <f>'Phan tich_TB'!BJ46</f>
        <v>0</v>
      </c>
      <c r="M83" s="593" t="s">
        <v>1065</v>
      </c>
      <c r="N83" s="594"/>
      <c r="O83" s="1"/>
      <c r="P83" s="1" t="s">
        <v>1066</v>
      </c>
      <c r="Q83" s="1"/>
      <c r="R83" s="1"/>
      <c r="S83" s="1"/>
      <c r="T83" s="1"/>
      <c r="U83" s="1"/>
    </row>
    <row r="84" spans="1:21" x14ac:dyDescent="0.3">
      <c r="A84" s="64">
        <f t="shared" si="2"/>
        <v>2474</v>
      </c>
      <c r="B84" s="7">
        <f t="shared" si="3"/>
        <v>46252</v>
      </c>
      <c r="C84" s="488" t="s">
        <v>1050</v>
      </c>
      <c r="D84" s="1" t="s">
        <v>1064</v>
      </c>
      <c r="E84" s="62" t="s">
        <v>1067</v>
      </c>
      <c r="F84" s="62" t="s">
        <v>1067</v>
      </c>
      <c r="G84" s="62"/>
      <c r="H84" s="62"/>
      <c r="I84" s="62"/>
      <c r="J84" s="62" t="s">
        <v>1068</v>
      </c>
      <c r="K84" s="62" t="s">
        <v>877</v>
      </c>
      <c r="L84" s="63">
        <f>'Phan tich_TB'!BJ47</f>
        <v>0</v>
      </c>
      <c r="M84" s="593" t="s">
        <v>1065</v>
      </c>
      <c r="N84" s="594"/>
      <c r="O84" s="1"/>
      <c r="P84" s="1" t="s">
        <v>1066</v>
      </c>
      <c r="Q84" s="1"/>
      <c r="R84" s="1"/>
      <c r="S84" s="1"/>
      <c r="T84" s="1"/>
      <c r="U84" s="1"/>
    </row>
    <row r="85" spans="1:21" x14ac:dyDescent="0.3">
      <c r="A85" s="64">
        <f t="shared" si="2"/>
        <v>2474</v>
      </c>
      <c r="B85" s="7">
        <f t="shared" si="3"/>
        <v>46252</v>
      </c>
      <c r="C85" s="488" t="s">
        <v>1050</v>
      </c>
      <c r="D85" s="1" t="s">
        <v>1064</v>
      </c>
      <c r="E85" s="62" t="s">
        <v>1067</v>
      </c>
      <c r="F85" s="62" t="s">
        <v>1067</v>
      </c>
      <c r="G85" s="62"/>
      <c r="H85" s="62"/>
      <c r="I85" s="62"/>
      <c r="J85" s="62" t="s">
        <v>1068</v>
      </c>
      <c r="K85" s="62" t="s">
        <v>878</v>
      </c>
      <c r="L85" s="63">
        <f>'Phan tich_TB'!BJ48</f>
        <v>0</v>
      </c>
      <c r="M85" s="593" t="s">
        <v>1065</v>
      </c>
      <c r="N85" s="594"/>
      <c r="O85" s="1"/>
      <c r="P85" s="1" t="s">
        <v>1066</v>
      </c>
      <c r="Q85" s="1"/>
      <c r="R85" s="1"/>
      <c r="S85" s="1"/>
      <c r="T85" s="1"/>
      <c r="U85" s="1"/>
    </row>
    <row r="86" spans="1:21" x14ac:dyDescent="0.3">
      <c r="A86" s="64">
        <f t="shared" si="2"/>
        <v>2474</v>
      </c>
      <c r="B86" s="7">
        <f t="shared" si="3"/>
        <v>46252</v>
      </c>
      <c r="C86" s="488" t="s">
        <v>1050</v>
      </c>
      <c r="D86" s="1" t="s">
        <v>1064</v>
      </c>
      <c r="E86" s="62" t="s">
        <v>1067</v>
      </c>
      <c r="F86" s="62" t="s">
        <v>1067</v>
      </c>
      <c r="G86" s="62"/>
      <c r="H86" s="62"/>
      <c r="I86" s="62"/>
      <c r="J86" s="62" t="s">
        <v>1068</v>
      </c>
      <c r="K86" s="62" t="s">
        <v>879</v>
      </c>
      <c r="L86" s="63">
        <f>'Phan tich_TB'!BJ49</f>
        <v>300</v>
      </c>
      <c r="M86" s="593" t="s">
        <v>1065</v>
      </c>
      <c r="N86" s="594"/>
      <c r="O86" s="1"/>
      <c r="P86" s="1" t="s">
        <v>1066</v>
      </c>
      <c r="Q86" s="1"/>
      <c r="R86" s="1"/>
      <c r="S86" s="1"/>
      <c r="T86" s="1"/>
      <c r="U86" s="1"/>
    </row>
    <row r="87" spans="1:21" x14ac:dyDescent="0.3">
      <c r="A87" s="64">
        <f t="shared" si="2"/>
        <v>2474</v>
      </c>
      <c r="B87" s="7">
        <f t="shared" si="3"/>
        <v>46252</v>
      </c>
      <c r="C87" s="488" t="s">
        <v>1050</v>
      </c>
      <c r="D87" s="1" t="s">
        <v>1064</v>
      </c>
      <c r="E87" s="62" t="s">
        <v>1067</v>
      </c>
      <c r="F87" s="62" t="s">
        <v>1067</v>
      </c>
      <c r="G87" s="62"/>
      <c r="H87" s="62"/>
      <c r="I87" s="62"/>
      <c r="J87" s="62" t="s">
        <v>1068</v>
      </c>
      <c r="K87" s="62" t="s">
        <v>880</v>
      </c>
      <c r="L87" s="63">
        <f>'Phan tich_TB'!BJ50</f>
        <v>0</v>
      </c>
      <c r="M87" s="593" t="s">
        <v>1065</v>
      </c>
      <c r="N87" s="594"/>
      <c r="O87" s="1"/>
      <c r="P87" s="1" t="s">
        <v>1066</v>
      </c>
      <c r="Q87" s="1"/>
      <c r="R87" s="1"/>
      <c r="S87" s="1"/>
      <c r="T87" s="1"/>
      <c r="U87" s="1"/>
    </row>
    <row r="88" spans="1:21" x14ac:dyDescent="0.3">
      <c r="A88" s="64">
        <f t="shared" si="2"/>
        <v>2474</v>
      </c>
      <c r="B88" s="7">
        <f t="shared" si="3"/>
        <v>46252</v>
      </c>
      <c r="C88" s="488" t="s">
        <v>1050</v>
      </c>
      <c r="D88" s="1" t="s">
        <v>1064</v>
      </c>
      <c r="E88" s="62" t="s">
        <v>1067</v>
      </c>
      <c r="F88" s="62" t="s">
        <v>1067</v>
      </c>
      <c r="G88" s="62"/>
      <c r="H88" s="62"/>
      <c r="I88" s="62"/>
      <c r="J88" s="62" t="s">
        <v>1068</v>
      </c>
      <c r="K88" s="62" t="s">
        <v>881</v>
      </c>
      <c r="L88" s="63">
        <f>'Phan tich_TB'!BJ51</f>
        <v>0</v>
      </c>
      <c r="M88" s="593" t="s">
        <v>1065</v>
      </c>
      <c r="N88" s="594"/>
      <c r="O88" s="1"/>
      <c r="P88" s="1" t="s">
        <v>1066</v>
      </c>
      <c r="Q88" s="1"/>
      <c r="R88" s="1"/>
      <c r="S88" s="1"/>
      <c r="T88" s="1"/>
      <c r="U88" s="1"/>
    </row>
    <row r="89" spans="1:21" x14ac:dyDescent="0.3">
      <c r="A89" s="64">
        <f t="shared" si="2"/>
        <v>2474</v>
      </c>
      <c r="B89" s="7">
        <f t="shared" si="3"/>
        <v>46252</v>
      </c>
      <c r="C89" s="488" t="s">
        <v>1050</v>
      </c>
      <c r="D89" s="1" t="s">
        <v>1064</v>
      </c>
      <c r="E89" s="62" t="s">
        <v>1067</v>
      </c>
      <c r="F89" s="62" t="s">
        <v>1067</v>
      </c>
      <c r="G89" s="62"/>
      <c r="H89" s="62"/>
      <c r="I89" s="62"/>
      <c r="J89" s="62" t="s">
        <v>1068</v>
      </c>
      <c r="K89" s="62" t="s">
        <v>882</v>
      </c>
      <c r="L89" s="63">
        <f>'Phan tich_TB'!BJ52</f>
        <v>0</v>
      </c>
      <c r="M89" s="593" t="s">
        <v>1065</v>
      </c>
      <c r="N89" s="594"/>
      <c r="O89" s="1"/>
      <c r="P89" s="1" t="s">
        <v>1066</v>
      </c>
      <c r="Q89" s="1"/>
      <c r="R89" s="1"/>
      <c r="S89" s="1"/>
      <c r="T89" s="1"/>
      <c r="U89" s="1"/>
    </row>
    <row r="90" spans="1:21" x14ac:dyDescent="0.3">
      <c r="A90" s="64">
        <f t="shared" si="2"/>
        <v>2474</v>
      </c>
      <c r="B90" s="7">
        <f t="shared" si="3"/>
        <v>46252</v>
      </c>
      <c r="C90" s="488" t="s">
        <v>1050</v>
      </c>
      <c r="D90" s="1" t="s">
        <v>1064</v>
      </c>
      <c r="E90" s="62" t="s">
        <v>1067</v>
      </c>
      <c r="F90" s="62" t="s">
        <v>1067</v>
      </c>
      <c r="G90" s="62"/>
      <c r="H90" s="62"/>
      <c r="I90" s="62"/>
      <c r="J90" s="62" t="s">
        <v>1068</v>
      </c>
      <c r="K90" s="62" t="s">
        <v>883</v>
      </c>
      <c r="L90" s="63">
        <f>'Phan tich_TB'!BJ53</f>
        <v>0</v>
      </c>
      <c r="M90" s="593" t="s">
        <v>1065</v>
      </c>
      <c r="N90" s="594"/>
      <c r="O90" s="1"/>
      <c r="P90" s="1" t="s">
        <v>1066</v>
      </c>
      <c r="Q90" s="1"/>
      <c r="R90" s="1"/>
      <c r="S90" s="1"/>
      <c r="T90" s="1"/>
      <c r="U90" s="1"/>
    </row>
    <row r="91" spans="1:21" x14ac:dyDescent="0.3">
      <c r="A91" s="64">
        <f t="shared" si="2"/>
        <v>2474</v>
      </c>
      <c r="B91" s="7">
        <f t="shared" si="3"/>
        <v>46252</v>
      </c>
      <c r="C91" s="488" t="s">
        <v>1050</v>
      </c>
      <c r="D91" s="1" t="s">
        <v>1064</v>
      </c>
      <c r="E91" s="62" t="s">
        <v>1067</v>
      </c>
      <c r="F91" s="62" t="s">
        <v>1067</v>
      </c>
      <c r="G91" s="62"/>
      <c r="H91" s="62"/>
      <c r="I91" s="62"/>
      <c r="J91" s="62" t="s">
        <v>1068</v>
      </c>
      <c r="K91" s="62" t="s">
        <v>884</v>
      </c>
      <c r="L91" s="63">
        <f>'Phan tich_TB'!BJ54</f>
        <v>0</v>
      </c>
      <c r="M91" s="593" t="s">
        <v>1065</v>
      </c>
      <c r="N91" s="594"/>
      <c r="O91" s="1"/>
      <c r="P91" s="1" t="s">
        <v>1066</v>
      </c>
      <c r="Q91" s="1"/>
      <c r="R91" s="1"/>
      <c r="S91" s="1"/>
      <c r="T91" s="1"/>
      <c r="U91" s="1"/>
    </row>
    <row r="92" spans="1:21" x14ac:dyDescent="0.3">
      <c r="A92" s="64">
        <f t="shared" si="2"/>
        <v>2474</v>
      </c>
      <c r="B92" s="7">
        <f t="shared" si="3"/>
        <v>46252</v>
      </c>
      <c r="C92" s="488" t="s">
        <v>1050</v>
      </c>
      <c r="D92" s="1" t="s">
        <v>1064</v>
      </c>
      <c r="E92" s="62" t="s">
        <v>1067</v>
      </c>
      <c r="F92" s="62" t="s">
        <v>1067</v>
      </c>
      <c r="G92" s="62"/>
      <c r="H92" s="62"/>
      <c r="I92" s="62"/>
      <c r="J92" s="62" t="s">
        <v>1068</v>
      </c>
      <c r="K92" s="62" t="s">
        <v>885</v>
      </c>
      <c r="L92" s="63">
        <f>'Phan tich_TB'!BJ55</f>
        <v>0</v>
      </c>
      <c r="M92" s="593" t="s">
        <v>1065</v>
      </c>
      <c r="N92" s="594"/>
      <c r="O92" s="1"/>
      <c r="P92" s="1" t="s">
        <v>1066</v>
      </c>
      <c r="Q92" s="1"/>
      <c r="R92" s="1"/>
      <c r="S92" s="1"/>
      <c r="T92" s="1"/>
      <c r="U92" s="1"/>
    </row>
    <row r="93" spans="1:21" x14ac:dyDescent="0.3">
      <c r="A93" s="64">
        <f t="shared" si="2"/>
        <v>2474</v>
      </c>
      <c r="B93" s="7">
        <f t="shared" si="3"/>
        <v>46252</v>
      </c>
      <c r="C93" s="488" t="s">
        <v>1050</v>
      </c>
      <c r="D93" s="1" t="s">
        <v>1064</v>
      </c>
      <c r="E93" s="62" t="s">
        <v>1067</v>
      </c>
      <c r="F93" s="62" t="s">
        <v>1067</v>
      </c>
      <c r="G93" s="62"/>
      <c r="H93" s="62"/>
      <c r="I93" s="62"/>
      <c r="J93" s="62" t="s">
        <v>1068</v>
      </c>
      <c r="K93" s="62" t="s">
        <v>886</v>
      </c>
      <c r="L93" s="63">
        <f>'Phan tich_TB'!BJ56</f>
        <v>0</v>
      </c>
      <c r="M93" s="593" t="s">
        <v>1065</v>
      </c>
      <c r="N93" s="594"/>
      <c r="O93" s="1"/>
      <c r="P93" s="1" t="s">
        <v>1066</v>
      </c>
      <c r="Q93" s="1"/>
      <c r="R93" s="1"/>
      <c r="S93" s="1"/>
      <c r="T93" s="1"/>
      <c r="U93" s="1"/>
    </row>
    <row r="94" spans="1:21" x14ac:dyDescent="0.3">
      <c r="A94" s="64">
        <f t="shared" si="2"/>
        <v>2474</v>
      </c>
      <c r="B94" s="7">
        <f t="shared" si="3"/>
        <v>46252</v>
      </c>
      <c r="C94" s="488" t="s">
        <v>3579</v>
      </c>
      <c r="D94" s="1"/>
      <c r="E94" s="62"/>
      <c r="K94" s="10" t="s">
        <v>3132</v>
      </c>
      <c r="L94" s="605">
        <f>'Phan tich_TB'!BB7</f>
        <v>-321.87404208293202</v>
      </c>
      <c r="M94" s="593" t="s">
        <v>1065</v>
      </c>
      <c r="N94" s="604"/>
      <c r="O94" s="1"/>
      <c r="P94" s="1" t="s">
        <v>1066</v>
      </c>
      <c r="T94" t="s">
        <v>3582</v>
      </c>
    </row>
    <row r="95" spans="1:21" x14ac:dyDescent="0.3">
      <c r="A95" s="64">
        <f t="shared" si="2"/>
        <v>2474</v>
      </c>
      <c r="B95" s="7">
        <f t="shared" si="3"/>
        <v>46252</v>
      </c>
      <c r="C95" s="488" t="s">
        <v>3579</v>
      </c>
      <c r="D95" s="1"/>
      <c r="E95" s="62"/>
      <c r="K95" s="10" t="s">
        <v>2878</v>
      </c>
      <c r="L95" s="605">
        <f>'Phan tich_TB'!BB8</f>
        <v>-42.609887210858986</v>
      </c>
      <c r="M95" s="593" t="s">
        <v>1065</v>
      </c>
      <c r="N95" s="604"/>
      <c r="O95" s="1"/>
      <c r="P95" s="1" t="s">
        <v>1066</v>
      </c>
      <c r="T95" t="s">
        <v>3582</v>
      </c>
    </row>
    <row r="96" spans="1:21" x14ac:dyDescent="0.3">
      <c r="A96" s="64">
        <f t="shared" si="2"/>
        <v>2474</v>
      </c>
      <c r="B96" s="7">
        <f t="shared" si="3"/>
        <v>46252</v>
      </c>
      <c r="C96" s="488" t="s">
        <v>3579</v>
      </c>
      <c r="D96" s="1"/>
      <c r="E96" s="62"/>
      <c r="K96" s="10" t="s">
        <v>2879</v>
      </c>
      <c r="L96" s="605">
        <f>'Phan tich_TB'!BB9</f>
        <v>-37.979945705760485</v>
      </c>
      <c r="M96" s="593" t="s">
        <v>1065</v>
      </c>
      <c r="N96" s="604"/>
      <c r="O96" s="1"/>
      <c r="P96" s="1" t="s">
        <v>1066</v>
      </c>
      <c r="T96" t="s">
        <v>3582</v>
      </c>
    </row>
    <row r="97" spans="1:20" x14ac:dyDescent="0.3">
      <c r="A97" s="64">
        <f t="shared" si="2"/>
        <v>2474</v>
      </c>
      <c r="B97" s="7">
        <f t="shared" si="3"/>
        <v>46252</v>
      </c>
      <c r="C97" s="488" t="s">
        <v>3579</v>
      </c>
      <c r="D97" s="1"/>
      <c r="E97" s="62"/>
      <c r="K97" s="10" t="s">
        <v>984</v>
      </c>
      <c r="L97" s="605">
        <f>'Phan tich_TB'!BB10</f>
        <v>-6.8600781281603416</v>
      </c>
      <c r="M97" s="593" t="s">
        <v>1065</v>
      </c>
      <c r="N97" s="604"/>
      <c r="O97" s="1"/>
      <c r="P97" s="1" t="s">
        <v>1066</v>
      </c>
      <c r="T97" t="s">
        <v>3582</v>
      </c>
    </row>
    <row r="98" spans="1:20" x14ac:dyDescent="0.3">
      <c r="A98" s="64">
        <f t="shared" si="2"/>
        <v>2474</v>
      </c>
      <c r="B98" s="7">
        <f t="shared" si="3"/>
        <v>46252</v>
      </c>
      <c r="C98" s="488" t="s">
        <v>3579</v>
      </c>
      <c r="D98" s="1"/>
      <c r="E98" s="62"/>
      <c r="K98" s="10" t="s">
        <v>2880</v>
      </c>
      <c r="L98" s="605">
        <f>'Phan tich_TB'!BB11</f>
        <v>-140.79631898959434</v>
      </c>
      <c r="M98" s="593" t="s">
        <v>1065</v>
      </c>
      <c r="N98" s="604"/>
      <c r="O98" s="1"/>
      <c r="P98" s="1" t="s">
        <v>1066</v>
      </c>
      <c r="T98" t="s">
        <v>3582</v>
      </c>
    </row>
    <row r="99" spans="1:20" x14ac:dyDescent="0.3">
      <c r="A99" s="64">
        <f t="shared" si="2"/>
        <v>2474</v>
      </c>
      <c r="B99" s="7">
        <f t="shared" si="3"/>
        <v>46252</v>
      </c>
      <c r="C99" s="488" t="s">
        <v>3579</v>
      </c>
      <c r="D99" s="1"/>
      <c r="E99" s="62"/>
      <c r="K99" s="10" t="s">
        <v>915</v>
      </c>
      <c r="L99" s="605">
        <f>'Phan tich_TB'!BB12</f>
        <v>-140.96000274610157</v>
      </c>
      <c r="M99" s="593" t="s">
        <v>1065</v>
      </c>
      <c r="N99" s="604"/>
      <c r="O99" s="1"/>
      <c r="P99" s="1" t="s">
        <v>1066</v>
      </c>
      <c r="T99" t="s">
        <v>3582</v>
      </c>
    </row>
    <row r="100" spans="1:20" x14ac:dyDescent="0.3">
      <c r="A100" s="64">
        <f t="shared" si="2"/>
        <v>2474</v>
      </c>
      <c r="B100" s="7">
        <f t="shared" si="3"/>
        <v>46252</v>
      </c>
      <c r="C100" s="488" t="s">
        <v>3579</v>
      </c>
      <c r="D100" s="1"/>
      <c r="E100" s="62"/>
      <c r="K100" s="10" t="s">
        <v>917</v>
      </c>
      <c r="L100" s="605">
        <f>'Phan tich_TB'!BB13</f>
        <v>-81.103425308112421</v>
      </c>
      <c r="M100" s="593" t="s">
        <v>1065</v>
      </c>
      <c r="N100" s="604"/>
      <c r="O100" s="1"/>
      <c r="P100" s="1" t="s">
        <v>1066</v>
      </c>
      <c r="T100" t="s">
        <v>3582</v>
      </c>
    </row>
    <row r="101" spans="1:20" x14ac:dyDescent="0.3">
      <c r="A101" s="64">
        <f t="shared" si="2"/>
        <v>2474</v>
      </c>
      <c r="B101" s="7">
        <f t="shared" si="3"/>
        <v>46252</v>
      </c>
      <c r="C101" s="488" t="s">
        <v>3579</v>
      </c>
      <c r="D101" s="1"/>
      <c r="E101" s="62"/>
      <c r="K101" s="10" t="s">
        <v>983</v>
      </c>
      <c r="L101" s="605">
        <f>'Phan tich_TB'!BB14</f>
        <v>-144.85234510319532</v>
      </c>
      <c r="M101" s="593" t="s">
        <v>1065</v>
      </c>
      <c r="N101" s="604"/>
      <c r="O101" s="1"/>
      <c r="P101" s="1" t="s">
        <v>1066</v>
      </c>
      <c r="T101" t="s">
        <v>3582</v>
      </c>
    </row>
    <row r="102" spans="1:20" x14ac:dyDescent="0.3">
      <c r="A102" s="64">
        <f t="shared" si="2"/>
        <v>2474</v>
      </c>
      <c r="B102" s="7">
        <f t="shared" si="3"/>
        <v>46252</v>
      </c>
      <c r="C102" s="488" t="s">
        <v>3579</v>
      </c>
      <c r="D102" s="1"/>
      <c r="E102" s="62"/>
      <c r="K102" s="10" t="s">
        <v>877</v>
      </c>
      <c r="L102" s="605">
        <f>'Phan tich_TB'!BB15</f>
        <v>-354.85587784208064</v>
      </c>
      <c r="M102" s="593" t="s">
        <v>1065</v>
      </c>
      <c r="N102" s="604"/>
      <c r="O102" s="1"/>
      <c r="P102" s="1" t="s">
        <v>1066</v>
      </c>
      <c r="T102" t="s">
        <v>3582</v>
      </c>
    </row>
    <row r="103" spans="1:20" x14ac:dyDescent="0.3">
      <c r="A103" s="64">
        <f t="shared" si="2"/>
        <v>2474</v>
      </c>
      <c r="B103" s="7">
        <f t="shared" si="3"/>
        <v>46252</v>
      </c>
      <c r="C103" s="488" t="s">
        <v>3579</v>
      </c>
      <c r="D103" s="1"/>
      <c r="E103" s="62"/>
      <c r="K103" s="10" t="s">
        <v>878</v>
      </c>
      <c r="L103" s="605">
        <f>'Phan tich_TB'!BB16</f>
        <v>-196.46016237889867</v>
      </c>
      <c r="M103" s="593" t="s">
        <v>1065</v>
      </c>
      <c r="N103" s="604"/>
      <c r="O103" s="1"/>
      <c r="P103" s="1" t="s">
        <v>1066</v>
      </c>
      <c r="T103" t="s">
        <v>3582</v>
      </c>
    </row>
    <row r="104" spans="1:20" x14ac:dyDescent="0.3">
      <c r="A104" s="64">
        <f t="shared" si="2"/>
        <v>2474</v>
      </c>
      <c r="B104" s="7">
        <f t="shared" si="3"/>
        <v>46252</v>
      </c>
      <c r="C104" s="488" t="s">
        <v>3579</v>
      </c>
      <c r="D104" s="1"/>
      <c r="E104" s="62"/>
      <c r="K104" s="10" t="s">
        <v>879</v>
      </c>
      <c r="L104" s="605">
        <f>'Phan tich_TB'!BB17</f>
        <v>-170.17731178917435</v>
      </c>
      <c r="M104" s="593" t="s">
        <v>1065</v>
      </c>
      <c r="N104" s="604"/>
      <c r="O104" s="1"/>
      <c r="P104" s="1" t="s">
        <v>1066</v>
      </c>
      <c r="T104" t="s">
        <v>3582</v>
      </c>
    </row>
    <row r="105" spans="1:20" x14ac:dyDescent="0.3">
      <c r="A105" s="64">
        <f t="shared" si="2"/>
        <v>2474</v>
      </c>
      <c r="B105" s="7">
        <f t="shared" si="3"/>
        <v>46252</v>
      </c>
      <c r="C105" s="488" t="s">
        <v>3580</v>
      </c>
      <c r="D105" s="1"/>
      <c r="E105" s="62"/>
      <c r="K105" s="10" t="s">
        <v>3132</v>
      </c>
      <c r="L105" s="605">
        <f>'Phan tich_TB'!AZ7</f>
        <v>3479</v>
      </c>
      <c r="M105" s="593" t="s">
        <v>1065</v>
      </c>
      <c r="N105" s="604"/>
      <c r="O105" s="1"/>
      <c r="P105" s="1" t="s">
        <v>1066</v>
      </c>
    </row>
    <row r="106" spans="1:20" x14ac:dyDescent="0.3">
      <c r="A106" s="64">
        <f t="shared" si="2"/>
        <v>2474</v>
      </c>
      <c r="B106" s="7">
        <f t="shared" si="3"/>
        <v>46252</v>
      </c>
      <c r="C106" s="488" t="s">
        <v>3580</v>
      </c>
      <c r="D106" s="1"/>
      <c r="E106" s="62"/>
      <c r="K106" s="10" t="s">
        <v>2878</v>
      </c>
      <c r="L106" s="605">
        <f>'Phan tich_TB'!AZ8</f>
        <v>560</v>
      </c>
      <c r="M106" s="593" t="s">
        <v>1065</v>
      </c>
      <c r="N106" s="604"/>
      <c r="O106" s="1"/>
      <c r="P106" s="1" t="s">
        <v>1066</v>
      </c>
    </row>
    <row r="107" spans="1:20" x14ac:dyDescent="0.3">
      <c r="A107" s="64">
        <f t="shared" si="2"/>
        <v>2474</v>
      </c>
      <c r="B107" s="7">
        <f t="shared" si="3"/>
        <v>46252</v>
      </c>
      <c r="C107" s="488" t="s">
        <v>3580</v>
      </c>
      <c r="D107" s="1"/>
      <c r="E107" s="62"/>
      <c r="K107" s="10" t="s">
        <v>2879</v>
      </c>
      <c r="L107" s="605">
        <f>'Phan tich_TB'!AZ9</f>
        <v>550</v>
      </c>
      <c r="M107" s="593" t="s">
        <v>1065</v>
      </c>
      <c r="N107" s="604"/>
      <c r="O107" s="1"/>
      <c r="P107" s="1" t="s">
        <v>1066</v>
      </c>
    </row>
    <row r="108" spans="1:20" x14ac:dyDescent="0.3">
      <c r="A108" s="64">
        <f t="shared" si="2"/>
        <v>2474</v>
      </c>
      <c r="B108" s="7">
        <f t="shared" si="3"/>
        <v>46252</v>
      </c>
      <c r="C108" s="488" t="s">
        <v>3580</v>
      </c>
      <c r="D108" s="1"/>
      <c r="E108" s="62"/>
      <c r="K108" s="10" t="s">
        <v>984</v>
      </c>
      <c r="L108" s="605">
        <f>'Phan tich_TB'!AZ10</f>
        <v>50</v>
      </c>
      <c r="M108" s="593" t="s">
        <v>1065</v>
      </c>
      <c r="N108" s="604"/>
      <c r="O108" s="1"/>
      <c r="P108" s="1" t="s">
        <v>1066</v>
      </c>
    </row>
    <row r="109" spans="1:20" x14ac:dyDescent="0.3">
      <c r="A109" s="64">
        <f t="shared" si="2"/>
        <v>2474</v>
      </c>
      <c r="B109" s="7">
        <f t="shared" si="3"/>
        <v>46252</v>
      </c>
      <c r="C109" s="488" t="s">
        <v>3580</v>
      </c>
      <c r="D109" s="1"/>
      <c r="E109" s="62"/>
      <c r="K109" s="10" t="s">
        <v>2880</v>
      </c>
      <c r="L109" s="605">
        <f>'Phan tich_TB'!AZ11</f>
        <v>1816</v>
      </c>
      <c r="M109" s="593" t="s">
        <v>1065</v>
      </c>
      <c r="N109" s="604"/>
      <c r="O109" s="1"/>
      <c r="P109" s="1" t="s">
        <v>1066</v>
      </c>
    </row>
    <row r="110" spans="1:20" x14ac:dyDescent="0.3">
      <c r="A110" s="64">
        <f t="shared" si="2"/>
        <v>2474</v>
      </c>
      <c r="B110" s="7">
        <f t="shared" si="3"/>
        <v>46252</v>
      </c>
      <c r="C110" s="488" t="s">
        <v>3580</v>
      </c>
      <c r="D110" s="1"/>
      <c r="E110" s="62"/>
      <c r="K110" s="10" t="s">
        <v>915</v>
      </c>
      <c r="L110" s="605">
        <f>'Phan tich_TB'!AZ12</f>
        <v>1700</v>
      </c>
      <c r="M110" s="593" t="s">
        <v>1065</v>
      </c>
      <c r="N110" s="604"/>
      <c r="O110" s="1"/>
      <c r="P110" s="1" t="s">
        <v>1066</v>
      </c>
    </row>
    <row r="111" spans="1:20" x14ac:dyDescent="0.3">
      <c r="A111" s="64">
        <f t="shared" si="2"/>
        <v>2474</v>
      </c>
      <c r="B111" s="7">
        <f t="shared" si="3"/>
        <v>46252</v>
      </c>
      <c r="C111" s="488" t="s">
        <v>3580</v>
      </c>
      <c r="D111" s="1"/>
      <c r="E111" s="62"/>
      <c r="K111" s="10" t="s">
        <v>917</v>
      </c>
      <c r="L111" s="605">
        <f>'Phan tich_TB'!AZ13</f>
        <v>1050</v>
      </c>
      <c r="M111" s="593" t="s">
        <v>1065</v>
      </c>
      <c r="N111" s="604"/>
      <c r="O111" s="1"/>
      <c r="P111" s="1" t="s">
        <v>1066</v>
      </c>
    </row>
    <row r="112" spans="1:20" x14ac:dyDescent="0.3">
      <c r="A112" s="64">
        <f t="shared" si="2"/>
        <v>2474</v>
      </c>
      <c r="B112" s="7">
        <f t="shared" si="3"/>
        <v>46252</v>
      </c>
      <c r="C112" s="488" t="s">
        <v>3580</v>
      </c>
      <c r="D112" s="1"/>
      <c r="E112" s="62"/>
      <c r="K112" s="10" t="s">
        <v>983</v>
      </c>
      <c r="L112" s="605">
        <f>'Phan tich_TB'!AZ14</f>
        <v>1539</v>
      </c>
      <c r="M112" s="593" t="s">
        <v>1065</v>
      </c>
      <c r="N112" s="604"/>
      <c r="O112" s="1"/>
      <c r="P112" s="1" t="s">
        <v>1066</v>
      </c>
    </row>
    <row r="113" spans="1:24" x14ac:dyDescent="0.3">
      <c r="A113" s="64">
        <f t="shared" si="2"/>
        <v>2474</v>
      </c>
      <c r="B113" s="7">
        <f t="shared" si="3"/>
        <v>46252</v>
      </c>
      <c r="C113" s="488" t="s">
        <v>3580</v>
      </c>
      <c r="D113" s="1"/>
      <c r="E113" s="62"/>
      <c r="K113" s="10" t="s">
        <v>877</v>
      </c>
      <c r="L113" s="605">
        <f>'Phan tich_TB'!AZ15</f>
        <v>3058</v>
      </c>
      <c r="M113" s="593" t="s">
        <v>1065</v>
      </c>
      <c r="N113" s="604"/>
      <c r="O113" s="1"/>
      <c r="P113" s="1" t="s">
        <v>1066</v>
      </c>
    </row>
    <row r="114" spans="1:24" x14ac:dyDescent="0.3">
      <c r="A114" s="64">
        <f t="shared" si="2"/>
        <v>2474</v>
      </c>
      <c r="B114" s="7">
        <f t="shared" si="3"/>
        <v>46252</v>
      </c>
      <c r="C114" s="488" t="s">
        <v>3580</v>
      </c>
      <c r="D114" s="1"/>
      <c r="E114" s="62"/>
      <c r="K114" s="10" t="s">
        <v>878</v>
      </c>
      <c r="L114" s="605">
        <f>'Phan tich_TB'!AZ16</f>
        <v>1802</v>
      </c>
      <c r="M114" s="593" t="s">
        <v>1065</v>
      </c>
      <c r="N114" s="604"/>
      <c r="O114" s="1"/>
      <c r="P114" s="1" t="s">
        <v>1066</v>
      </c>
    </row>
    <row r="115" spans="1:24" x14ac:dyDescent="0.3">
      <c r="A115" s="64">
        <f t="shared" si="2"/>
        <v>2474</v>
      </c>
      <c r="B115" s="7">
        <f t="shared" si="3"/>
        <v>46252</v>
      </c>
      <c r="C115" s="488" t="s">
        <v>3580</v>
      </c>
      <c r="D115" s="1"/>
      <c r="E115" s="62"/>
      <c r="K115" s="10" t="s">
        <v>879</v>
      </c>
      <c r="L115" s="605">
        <f>'Phan tich_TB'!AZ17</f>
        <v>1909</v>
      </c>
      <c r="M115" s="593" t="s">
        <v>1065</v>
      </c>
      <c r="N115" s="604"/>
      <c r="O115" s="1"/>
      <c r="P115" s="1" t="s">
        <v>1066</v>
      </c>
    </row>
    <row r="116" spans="1:24" x14ac:dyDescent="0.3">
      <c r="A116" s="64">
        <f t="shared" si="2"/>
        <v>2474</v>
      </c>
      <c r="B116" s="7">
        <f t="shared" si="3"/>
        <v>46252</v>
      </c>
      <c r="C116" s="488" t="s">
        <v>2850</v>
      </c>
      <c r="E116" s="62" t="s">
        <v>1030</v>
      </c>
      <c r="L116" s="603">
        <f>'Phan tich_TB'!BA3</f>
        <v>317.76977102723691</v>
      </c>
      <c r="M116" s="593" t="s">
        <v>2848</v>
      </c>
      <c r="N116" s="32">
        <v>365</v>
      </c>
      <c r="P116" s="1" t="s">
        <v>1066</v>
      </c>
    </row>
    <row r="117" spans="1:24" x14ac:dyDescent="0.3">
      <c r="A117" s="64">
        <f t="shared" si="2"/>
        <v>2474</v>
      </c>
      <c r="B117" s="7">
        <f t="shared" si="3"/>
        <v>46252</v>
      </c>
      <c r="C117" s="488" t="s">
        <v>3908</v>
      </c>
      <c r="D117" s="1"/>
      <c r="E117" s="62"/>
      <c r="L117" s="742">
        <f>'Giam sat'!AJ8</f>
        <v>-46.913671166757275</v>
      </c>
      <c r="M117" s="593" t="s">
        <v>1065</v>
      </c>
      <c r="N117" s="604"/>
      <c r="O117" s="1"/>
      <c r="P117" s="1" t="s">
        <v>1066</v>
      </c>
      <c r="T117" t="s">
        <v>3910</v>
      </c>
    </row>
    <row r="118" spans="1:24" x14ac:dyDescent="0.3">
      <c r="A118" s="64">
        <f t="shared" si="2"/>
        <v>2474</v>
      </c>
      <c r="B118" s="7">
        <f t="shared" si="3"/>
        <v>46252</v>
      </c>
      <c r="C118" s="488" t="s">
        <v>3909</v>
      </c>
      <c r="D118" s="1"/>
      <c r="E118" s="62"/>
      <c r="L118" s="742">
        <f>'Giam sat'!AJ7</f>
        <v>-9.9015234706604165</v>
      </c>
      <c r="M118" s="593" t="s">
        <v>1065</v>
      </c>
      <c r="N118" s="604"/>
      <c r="O118" s="1"/>
      <c r="P118" s="1" t="s">
        <v>1066</v>
      </c>
      <c r="T118" t="s">
        <v>3911</v>
      </c>
      <c r="W118" s="60"/>
      <c r="X118" s="60"/>
    </row>
    <row r="119" spans="1:24" x14ac:dyDescent="0.3">
      <c r="A119" s="64">
        <f t="shared" si="2"/>
        <v>2474</v>
      </c>
      <c r="B119" s="7">
        <f t="shared" si="3"/>
        <v>46252</v>
      </c>
      <c r="C119" s="488" t="s">
        <v>3555</v>
      </c>
      <c r="D119" s="1" t="s">
        <v>1064</v>
      </c>
      <c r="E119" s="62" t="s">
        <v>1030</v>
      </c>
      <c r="L119" s="815">
        <f>SUM('Giam sat'!BB:BB)/10^9</f>
        <v>-19.346486238096389</v>
      </c>
      <c r="M119" s="593" t="s">
        <v>1065</v>
      </c>
      <c r="N119" s="604"/>
      <c r="O119" s="1"/>
      <c r="P119" s="1" t="s">
        <v>1066</v>
      </c>
      <c r="T119" t="s">
        <v>3556</v>
      </c>
    </row>
    <row r="120" spans="1:24" x14ac:dyDescent="0.3">
      <c r="A120" s="64">
        <f t="shared" ref="A120:A177" si="4">$X$3</f>
        <v>2474</v>
      </c>
      <c r="B120" s="7">
        <f t="shared" ref="B120:B177" si="5">RPT</f>
        <v>46252</v>
      </c>
      <c r="C120" s="488" t="s">
        <v>852</v>
      </c>
      <c r="D120" s="1" t="s">
        <v>1064</v>
      </c>
      <c r="E120" s="62" t="s">
        <v>1030</v>
      </c>
      <c r="F120" s="31"/>
      <c r="G120" s="1"/>
      <c r="H120" s="1"/>
      <c r="I120" s="1"/>
      <c r="J120" s="62"/>
      <c r="K120" s="62"/>
      <c r="L120" s="63">
        <f>'Phan tich_TB'!CH2</f>
        <v>-10.680003704482866</v>
      </c>
      <c r="M120" s="593" t="s">
        <v>1065</v>
      </c>
      <c r="N120" s="594">
        <v>-20</v>
      </c>
      <c r="O120" s="1"/>
      <c r="P120" s="1" t="s">
        <v>1066</v>
      </c>
      <c r="Q120" s="1"/>
      <c r="R120" s="1"/>
      <c r="S120" s="1"/>
      <c r="T120" s="1"/>
      <c r="U120" s="1"/>
    </row>
    <row r="121" spans="1:24" x14ac:dyDescent="0.3">
      <c r="A121" s="64">
        <f t="shared" si="4"/>
        <v>2474</v>
      </c>
      <c r="B121" s="7">
        <f t="shared" si="5"/>
        <v>46252</v>
      </c>
      <c r="C121" s="488" t="s">
        <v>852</v>
      </c>
      <c r="D121" s="1" t="s">
        <v>1064</v>
      </c>
      <c r="E121" s="62" t="s">
        <v>1030</v>
      </c>
      <c r="F121" s="31"/>
      <c r="G121" s="1"/>
      <c r="H121" s="1"/>
      <c r="I121" s="1"/>
      <c r="J121" s="62" t="s">
        <v>1068</v>
      </c>
      <c r="K121" s="62" t="s">
        <v>915</v>
      </c>
      <c r="L121" s="63">
        <f>'Phan tich_TB'!CH3</f>
        <v>-7.8513441601761429E-3</v>
      </c>
      <c r="M121" s="593" t="s">
        <v>1065</v>
      </c>
      <c r="N121" s="594"/>
      <c r="O121" s="1"/>
      <c r="P121" s="1" t="s">
        <v>1066</v>
      </c>
      <c r="Q121" s="1"/>
      <c r="R121" s="1"/>
      <c r="S121" s="1"/>
      <c r="T121" s="1"/>
      <c r="U121" s="1"/>
    </row>
    <row r="122" spans="1:24" x14ac:dyDescent="0.3">
      <c r="A122" s="64">
        <f t="shared" si="4"/>
        <v>2474</v>
      </c>
      <c r="B122" s="7">
        <f t="shared" si="5"/>
        <v>46252</v>
      </c>
      <c r="C122" s="488" t="s">
        <v>852</v>
      </c>
      <c r="D122" s="1" t="s">
        <v>1064</v>
      </c>
      <c r="E122" s="62" t="s">
        <v>1030</v>
      </c>
      <c r="F122" s="31"/>
      <c r="G122" s="1"/>
      <c r="H122" s="1"/>
      <c r="I122" s="1"/>
      <c r="J122" s="62" t="s">
        <v>1068</v>
      </c>
      <c r="K122" s="62" t="s">
        <v>917</v>
      </c>
      <c r="L122" s="63">
        <f>'Phan tich_TB'!CH4</f>
        <v>-3.5401589495192648E-2</v>
      </c>
      <c r="M122" s="593" t="s">
        <v>1065</v>
      </c>
      <c r="N122" s="594"/>
      <c r="O122" s="1"/>
      <c r="P122" s="1" t="s">
        <v>1066</v>
      </c>
      <c r="Q122" s="1"/>
      <c r="R122" s="1"/>
      <c r="S122" s="1"/>
      <c r="T122" s="1"/>
      <c r="U122" s="1"/>
    </row>
    <row r="123" spans="1:24" x14ac:dyDescent="0.3">
      <c r="A123" s="64">
        <f t="shared" si="4"/>
        <v>2474</v>
      </c>
      <c r="B123" s="7">
        <f t="shared" si="5"/>
        <v>46252</v>
      </c>
      <c r="C123" s="488" t="s">
        <v>852</v>
      </c>
      <c r="D123" s="1" t="s">
        <v>1064</v>
      </c>
      <c r="E123" s="62" t="s">
        <v>1030</v>
      </c>
      <c r="F123" s="31"/>
      <c r="G123" s="1"/>
      <c r="H123" s="1"/>
      <c r="I123" s="1"/>
      <c r="J123" s="62" t="s">
        <v>1068</v>
      </c>
      <c r="K123" s="62" t="s">
        <v>877</v>
      </c>
      <c r="L123" s="63">
        <f>'Phan tich_TB'!CH5</f>
        <v>0</v>
      </c>
      <c r="M123" s="593" t="s">
        <v>1065</v>
      </c>
      <c r="N123" s="594"/>
      <c r="O123" s="1"/>
      <c r="P123" s="1" t="s">
        <v>1066</v>
      </c>
      <c r="Q123" s="1"/>
      <c r="R123" s="1"/>
      <c r="S123" s="1"/>
      <c r="T123" s="1"/>
      <c r="U123" s="1"/>
    </row>
    <row r="124" spans="1:24" x14ac:dyDescent="0.3">
      <c r="A124" s="64">
        <f t="shared" si="4"/>
        <v>2474</v>
      </c>
      <c r="B124" s="7">
        <f t="shared" si="5"/>
        <v>46252</v>
      </c>
      <c r="C124" s="488" t="s">
        <v>852</v>
      </c>
      <c r="D124" s="1" t="s">
        <v>1064</v>
      </c>
      <c r="E124" s="62" t="s">
        <v>1030</v>
      </c>
      <c r="F124" s="31"/>
      <c r="G124" s="1"/>
      <c r="H124" s="1"/>
      <c r="I124" s="1"/>
      <c r="J124" s="62" t="s">
        <v>1068</v>
      </c>
      <c r="K124" s="62" t="s">
        <v>878</v>
      </c>
      <c r="L124" s="63">
        <f>'Phan tich_TB'!CH6</f>
        <v>0</v>
      </c>
      <c r="M124" s="593" t="s">
        <v>1065</v>
      </c>
      <c r="N124" s="594"/>
      <c r="O124" s="1"/>
      <c r="P124" s="1" t="s">
        <v>1066</v>
      </c>
      <c r="Q124" s="1"/>
      <c r="R124" s="1"/>
      <c r="S124" s="1"/>
      <c r="T124" s="1"/>
      <c r="U124" s="1"/>
    </row>
    <row r="125" spans="1:24" x14ac:dyDescent="0.3">
      <c r="A125" s="64">
        <f t="shared" si="4"/>
        <v>2474</v>
      </c>
      <c r="B125" s="7">
        <f t="shared" si="5"/>
        <v>46252</v>
      </c>
      <c r="C125" s="488" t="s">
        <v>852</v>
      </c>
      <c r="D125" s="1" t="s">
        <v>1064</v>
      </c>
      <c r="E125" s="62" t="s">
        <v>1030</v>
      </c>
      <c r="F125" s="31"/>
      <c r="G125" s="1"/>
      <c r="H125" s="1"/>
      <c r="I125" s="1"/>
      <c r="J125" s="62" t="s">
        <v>1068</v>
      </c>
      <c r="K125" s="62" t="s">
        <v>879</v>
      </c>
      <c r="L125" s="63">
        <f>'Phan tich_TB'!CH7</f>
        <v>-9.2207272693740835E-2</v>
      </c>
      <c r="M125" s="593" t="s">
        <v>1065</v>
      </c>
      <c r="N125" s="594"/>
      <c r="O125" s="1"/>
      <c r="P125" s="1" t="s">
        <v>1066</v>
      </c>
      <c r="Q125" s="1"/>
      <c r="R125" s="1"/>
      <c r="S125" s="1"/>
      <c r="T125" s="1"/>
      <c r="U125" s="1"/>
    </row>
    <row r="126" spans="1:24" x14ac:dyDescent="0.3">
      <c r="A126" s="64">
        <f t="shared" si="4"/>
        <v>2474</v>
      </c>
      <c r="B126" s="7">
        <f t="shared" si="5"/>
        <v>46252</v>
      </c>
      <c r="C126" s="488" t="s">
        <v>852</v>
      </c>
      <c r="D126" s="1" t="s">
        <v>1064</v>
      </c>
      <c r="E126" s="62" t="s">
        <v>1030</v>
      </c>
      <c r="F126" s="31"/>
      <c r="G126" s="1"/>
      <c r="H126" s="1"/>
      <c r="I126" s="1"/>
      <c r="J126" s="62" t="s">
        <v>1068</v>
      </c>
      <c r="K126" s="62" t="s">
        <v>880</v>
      </c>
      <c r="L126" s="63">
        <f>'Phan tich_TB'!CH8</f>
        <v>-0.28848086085057228</v>
      </c>
      <c r="M126" s="593" t="s">
        <v>1065</v>
      </c>
      <c r="N126" s="594"/>
      <c r="O126" s="1"/>
      <c r="P126" s="1" t="s">
        <v>1066</v>
      </c>
      <c r="Q126" s="1"/>
      <c r="R126" s="1"/>
      <c r="S126" s="1"/>
      <c r="T126" s="1"/>
      <c r="U126" s="1"/>
    </row>
    <row r="127" spans="1:24" x14ac:dyDescent="0.3">
      <c r="A127" s="64">
        <f t="shared" si="4"/>
        <v>2474</v>
      </c>
      <c r="B127" s="7">
        <f t="shared" si="5"/>
        <v>46252</v>
      </c>
      <c r="C127" s="488" t="s">
        <v>852</v>
      </c>
      <c r="D127" s="1" t="s">
        <v>1064</v>
      </c>
      <c r="E127" s="62" t="s">
        <v>1030</v>
      </c>
      <c r="F127" s="31"/>
      <c r="G127" s="1"/>
      <c r="H127" s="1"/>
      <c r="I127" s="1"/>
      <c r="J127" s="62" t="s">
        <v>1068</v>
      </c>
      <c r="K127" s="62" t="s">
        <v>881</v>
      </c>
      <c r="L127" s="63">
        <f>'Phan tich_TB'!CH9</f>
        <v>-4.6764067196918453E-2</v>
      </c>
      <c r="M127" s="593" t="s">
        <v>1065</v>
      </c>
      <c r="N127" s="594"/>
      <c r="O127" s="1"/>
      <c r="P127" s="1" t="s">
        <v>1066</v>
      </c>
      <c r="Q127" s="1"/>
      <c r="R127" s="1"/>
      <c r="S127" s="1"/>
      <c r="T127" s="1"/>
      <c r="U127" s="1"/>
    </row>
    <row r="128" spans="1:24" x14ac:dyDescent="0.3">
      <c r="A128" s="64">
        <f t="shared" si="4"/>
        <v>2474</v>
      </c>
      <c r="B128" s="7">
        <f t="shared" si="5"/>
        <v>46252</v>
      </c>
      <c r="C128" s="488" t="s">
        <v>852</v>
      </c>
      <c r="D128" s="1" t="s">
        <v>1064</v>
      </c>
      <c r="E128" s="62" t="s">
        <v>1030</v>
      </c>
      <c r="F128" s="31"/>
      <c r="G128" s="1"/>
      <c r="H128" s="1"/>
      <c r="I128" s="1"/>
      <c r="J128" s="62" t="s">
        <v>1068</v>
      </c>
      <c r="K128" s="62" t="s">
        <v>882</v>
      </c>
      <c r="L128" s="63">
        <f>'Phan tich_TB'!CH10</f>
        <v>-2.7052413482364508</v>
      </c>
      <c r="M128" s="593" t="s">
        <v>1065</v>
      </c>
      <c r="N128" s="594"/>
      <c r="O128" s="1"/>
      <c r="P128" s="1" t="s">
        <v>1066</v>
      </c>
      <c r="Q128" s="1"/>
      <c r="R128" s="1"/>
      <c r="S128" s="1"/>
      <c r="T128" s="1"/>
      <c r="U128" s="1"/>
    </row>
    <row r="129" spans="1:21" x14ac:dyDescent="0.3">
      <c r="A129" s="64">
        <f t="shared" si="4"/>
        <v>2474</v>
      </c>
      <c r="B129" s="7">
        <f t="shared" si="5"/>
        <v>46252</v>
      </c>
      <c r="C129" s="488" t="s">
        <v>852</v>
      </c>
      <c r="D129" s="1" t="s">
        <v>1064</v>
      </c>
      <c r="E129" s="62" t="s">
        <v>1030</v>
      </c>
      <c r="F129" s="31"/>
      <c r="G129" s="1"/>
      <c r="H129" s="1"/>
      <c r="I129" s="1"/>
      <c r="J129" s="62" t="s">
        <v>1068</v>
      </c>
      <c r="K129" s="62" t="s">
        <v>883</v>
      </c>
      <c r="L129" s="63">
        <f>'Phan tich_TB'!CH11</f>
        <v>-4.1404800069412619</v>
      </c>
      <c r="M129" s="593" t="s">
        <v>1065</v>
      </c>
      <c r="N129" s="594"/>
      <c r="O129" s="1"/>
      <c r="P129" s="1" t="s">
        <v>1066</v>
      </c>
      <c r="Q129" s="1"/>
      <c r="R129" s="1"/>
      <c r="S129" s="1"/>
      <c r="T129" s="1"/>
      <c r="U129" s="1"/>
    </row>
    <row r="130" spans="1:21" x14ac:dyDescent="0.3">
      <c r="A130" s="64">
        <f t="shared" si="4"/>
        <v>2474</v>
      </c>
      <c r="B130" s="7">
        <f t="shared" si="5"/>
        <v>46252</v>
      </c>
      <c r="C130" s="488" t="s">
        <v>852</v>
      </c>
      <c r="D130" s="1" t="s">
        <v>1064</v>
      </c>
      <c r="E130" s="62" t="s">
        <v>1030</v>
      </c>
      <c r="F130" s="31"/>
      <c r="G130" s="1"/>
      <c r="H130" s="1"/>
      <c r="I130" s="1"/>
      <c r="J130" s="62" t="s">
        <v>1068</v>
      </c>
      <c r="K130" s="62" t="s">
        <v>884</v>
      </c>
      <c r="L130" s="63">
        <f>'Phan tich_TB'!CH12</f>
        <v>-3.363577214908553</v>
      </c>
      <c r="M130" s="593" t="s">
        <v>1065</v>
      </c>
      <c r="N130" s="594"/>
      <c r="O130" s="1"/>
      <c r="P130" s="1" t="s">
        <v>1066</v>
      </c>
      <c r="Q130" s="1"/>
      <c r="R130" s="1"/>
      <c r="S130" s="1"/>
      <c r="T130" s="1"/>
      <c r="U130" s="1"/>
    </row>
    <row r="131" spans="1:21" x14ac:dyDescent="0.3">
      <c r="A131" s="64">
        <f t="shared" si="4"/>
        <v>2474</v>
      </c>
      <c r="B131" s="7">
        <f t="shared" si="5"/>
        <v>46252</v>
      </c>
      <c r="C131" s="488" t="s">
        <v>852</v>
      </c>
      <c r="D131" s="1" t="s">
        <v>1064</v>
      </c>
      <c r="E131" s="62" t="s">
        <v>1030</v>
      </c>
      <c r="F131" s="31"/>
      <c r="G131" s="1"/>
      <c r="H131" s="1"/>
      <c r="I131" s="1"/>
      <c r="J131" s="62" t="s">
        <v>1068</v>
      </c>
      <c r="K131" s="62" t="s">
        <v>885</v>
      </c>
      <c r="L131" s="63">
        <f>'Phan tich_TB'!CH13</f>
        <v>0</v>
      </c>
      <c r="M131" s="593" t="s">
        <v>1065</v>
      </c>
      <c r="N131" s="594"/>
      <c r="O131" s="1"/>
      <c r="P131" s="1" t="s">
        <v>1066</v>
      </c>
      <c r="Q131" s="1"/>
      <c r="R131" s="1"/>
      <c r="S131" s="1"/>
      <c r="T131" s="1"/>
      <c r="U131" s="1"/>
    </row>
    <row r="132" spans="1:21" x14ac:dyDescent="0.3">
      <c r="A132" s="64">
        <f t="shared" si="4"/>
        <v>2474</v>
      </c>
      <c r="B132" s="7">
        <f t="shared" si="5"/>
        <v>46252</v>
      </c>
      <c r="C132" s="488" t="s">
        <v>852</v>
      </c>
      <c r="D132" s="1" t="s">
        <v>1064</v>
      </c>
      <c r="E132" s="62" t="s">
        <v>1030</v>
      </c>
      <c r="F132" s="31"/>
      <c r="G132" s="1"/>
      <c r="H132" s="1"/>
      <c r="I132" s="1"/>
      <c r="J132" s="62" t="s">
        <v>1068</v>
      </c>
      <c r="K132" s="62" t="s">
        <v>886</v>
      </c>
      <c r="L132" s="63">
        <f>'Phan tich_TB'!CH14</f>
        <v>0</v>
      </c>
      <c r="M132" s="593" t="s">
        <v>1065</v>
      </c>
      <c r="N132" s="594"/>
      <c r="O132" s="1"/>
      <c r="P132" s="1" t="s">
        <v>1066</v>
      </c>
      <c r="Q132" s="1"/>
      <c r="R132" s="1"/>
      <c r="S132" s="1"/>
      <c r="T132" s="1"/>
      <c r="U132" s="1"/>
    </row>
    <row r="133" spans="1:21" x14ac:dyDescent="0.3">
      <c r="A133" s="64">
        <f t="shared" si="4"/>
        <v>2474</v>
      </c>
      <c r="B133" s="7">
        <f t="shared" si="5"/>
        <v>46252</v>
      </c>
      <c r="C133" s="488" t="s">
        <v>852</v>
      </c>
      <c r="D133" s="1" t="s">
        <v>1064</v>
      </c>
      <c r="E133" s="62" t="s">
        <v>898</v>
      </c>
      <c r="F133" s="31"/>
      <c r="G133" s="1"/>
      <c r="H133" s="1"/>
      <c r="I133" s="1"/>
      <c r="J133" s="1"/>
      <c r="K133" s="31"/>
      <c r="L133" s="63">
        <f>'Phan tich_TB'!CH15</f>
        <v>-7.8722908076034397</v>
      </c>
      <c r="M133" s="593" t="s">
        <v>1065</v>
      </c>
      <c r="N133" s="594"/>
      <c r="O133" s="1"/>
      <c r="P133" s="1" t="s">
        <v>1066</v>
      </c>
      <c r="Q133" s="1"/>
      <c r="R133" s="1"/>
      <c r="S133" s="1"/>
      <c r="T133" s="1"/>
      <c r="U133" s="1"/>
    </row>
    <row r="134" spans="1:21" x14ac:dyDescent="0.3">
      <c r="A134" s="64">
        <f t="shared" si="4"/>
        <v>2474</v>
      </c>
      <c r="B134" s="7">
        <f t="shared" si="5"/>
        <v>46252</v>
      </c>
      <c r="C134" s="488" t="s">
        <v>852</v>
      </c>
      <c r="D134" s="1" t="s">
        <v>1064</v>
      </c>
      <c r="E134" s="62" t="s">
        <v>906</v>
      </c>
      <c r="F134" s="31"/>
      <c r="G134" s="1"/>
      <c r="H134" s="1"/>
      <c r="I134" s="1"/>
      <c r="J134" s="1"/>
      <c r="K134" s="31"/>
      <c r="L134" s="63">
        <f>'Phan tich_TB'!CH16</f>
        <v>-2.7155056241856848</v>
      </c>
      <c r="M134" s="593" t="s">
        <v>1065</v>
      </c>
      <c r="N134" s="594"/>
      <c r="O134" s="1"/>
      <c r="P134" s="1" t="s">
        <v>1066</v>
      </c>
      <c r="Q134" s="1"/>
      <c r="R134" s="1"/>
      <c r="S134" s="1"/>
      <c r="T134" s="1"/>
      <c r="U134" s="1"/>
    </row>
    <row r="135" spans="1:21" x14ac:dyDescent="0.3">
      <c r="A135" s="64">
        <f t="shared" si="4"/>
        <v>2474</v>
      </c>
      <c r="B135" s="7">
        <f t="shared" si="5"/>
        <v>46252</v>
      </c>
      <c r="C135" s="488" t="s">
        <v>852</v>
      </c>
      <c r="D135" s="1" t="s">
        <v>1064</v>
      </c>
      <c r="E135" s="62" t="s">
        <v>906</v>
      </c>
      <c r="F135" s="62" t="s">
        <v>821</v>
      </c>
      <c r="G135" s="1"/>
      <c r="H135" s="1"/>
      <c r="I135" s="1"/>
      <c r="J135" s="1"/>
      <c r="K135" s="31"/>
      <c r="L135" s="63">
        <f>'Phan tich_TB'!CH17</f>
        <v>-0.44468662519189861</v>
      </c>
      <c r="M135" s="593" t="s">
        <v>1065</v>
      </c>
      <c r="N135" s="594"/>
      <c r="O135" s="1"/>
      <c r="P135" s="1" t="s">
        <v>1066</v>
      </c>
      <c r="Q135" s="1"/>
      <c r="R135" s="1"/>
      <c r="S135" s="1"/>
      <c r="T135" s="1"/>
      <c r="U135" s="1"/>
    </row>
    <row r="136" spans="1:21" x14ac:dyDescent="0.3">
      <c r="A136" s="64">
        <f t="shared" si="4"/>
        <v>2474</v>
      </c>
      <c r="B136" s="7">
        <f t="shared" si="5"/>
        <v>46252</v>
      </c>
      <c r="C136" s="488" t="s">
        <v>852</v>
      </c>
      <c r="D136" s="1" t="s">
        <v>1064</v>
      </c>
      <c r="E136" s="62" t="s">
        <v>906</v>
      </c>
      <c r="F136" s="62" t="s">
        <v>905</v>
      </c>
      <c r="G136" s="62"/>
      <c r="H136" s="62"/>
      <c r="I136" s="1"/>
      <c r="J136" s="1"/>
      <c r="K136" s="31"/>
      <c r="L136" s="63">
        <f>'Phan tich_TB'!CH18</f>
        <v>-2.2708189989937857</v>
      </c>
      <c r="M136" s="593" t="s">
        <v>1065</v>
      </c>
      <c r="N136" s="594"/>
      <c r="O136" s="1"/>
      <c r="P136" s="1" t="s">
        <v>1066</v>
      </c>
      <c r="Q136" s="1"/>
      <c r="R136" s="1"/>
      <c r="S136" s="1"/>
      <c r="T136" s="1"/>
      <c r="U136" s="1"/>
    </row>
    <row r="137" spans="1:21" x14ac:dyDescent="0.3">
      <c r="A137" s="64">
        <f t="shared" si="4"/>
        <v>2474</v>
      </c>
      <c r="B137" s="7">
        <f t="shared" si="5"/>
        <v>46252</v>
      </c>
      <c r="C137" s="488" t="s">
        <v>852</v>
      </c>
      <c r="D137" s="1" t="s">
        <v>1064</v>
      </c>
      <c r="E137" s="62" t="s">
        <v>1067</v>
      </c>
      <c r="F137" s="62"/>
      <c r="G137" s="62"/>
      <c r="H137" s="62"/>
      <c r="I137" s="1"/>
      <c r="J137" s="1"/>
      <c r="K137" s="31"/>
      <c r="L137" s="63">
        <f>'Phan tich_TB'!CH19</f>
        <v>-9.2207272693740835E-2</v>
      </c>
      <c r="M137" s="593" t="s">
        <v>1065</v>
      </c>
      <c r="N137" s="594"/>
      <c r="O137" s="1"/>
      <c r="P137" s="1" t="s">
        <v>1066</v>
      </c>
      <c r="Q137" s="1"/>
      <c r="R137" s="1"/>
      <c r="S137" s="1"/>
      <c r="T137" s="1"/>
      <c r="U137" s="1"/>
    </row>
    <row r="138" spans="1:21" x14ac:dyDescent="0.3">
      <c r="A138" s="64">
        <f t="shared" si="4"/>
        <v>2474</v>
      </c>
      <c r="B138" s="7">
        <f t="shared" si="5"/>
        <v>46252</v>
      </c>
      <c r="C138" s="488" t="s">
        <v>852</v>
      </c>
      <c r="D138" s="1" t="s">
        <v>1064</v>
      </c>
      <c r="E138" s="62" t="s">
        <v>898</v>
      </c>
      <c r="F138" s="62"/>
      <c r="G138" s="62"/>
      <c r="H138" s="62"/>
      <c r="I138" s="62"/>
      <c r="J138" s="62" t="s">
        <v>1068</v>
      </c>
      <c r="K138" s="62" t="s">
        <v>877</v>
      </c>
      <c r="L138" s="63">
        <f>'Phan tich_TB'!CH20</f>
        <v>0</v>
      </c>
      <c r="M138" s="593" t="s">
        <v>1065</v>
      </c>
      <c r="N138" s="594"/>
      <c r="O138" s="1"/>
      <c r="P138" s="1" t="s">
        <v>1066</v>
      </c>
      <c r="Q138" s="1"/>
      <c r="R138" s="1"/>
      <c r="S138" s="1"/>
      <c r="T138" s="1"/>
      <c r="U138" s="1"/>
    </row>
    <row r="139" spans="1:21" x14ac:dyDescent="0.3">
      <c r="A139" s="64">
        <f t="shared" si="4"/>
        <v>2474</v>
      </c>
      <c r="B139" s="7">
        <f t="shared" si="5"/>
        <v>46252</v>
      </c>
      <c r="C139" s="488" t="s">
        <v>852</v>
      </c>
      <c r="D139" s="1" t="s">
        <v>1064</v>
      </c>
      <c r="E139" s="62" t="s">
        <v>898</v>
      </c>
      <c r="F139" s="62"/>
      <c r="G139" s="62"/>
      <c r="H139" s="62"/>
      <c r="I139" s="62"/>
      <c r="J139" s="62" t="s">
        <v>1068</v>
      </c>
      <c r="K139" s="62" t="s">
        <v>878</v>
      </c>
      <c r="L139" s="63">
        <f>'Phan tich_TB'!CH21</f>
        <v>0</v>
      </c>
      <c r="M139" s="593" t="s">
        <v>1065</v>
      </c>
      <c r="N139" s="63"/>
      <c r="O139" s="1"/>
      <c r="P139" s="1" t="s">
        <v>1066</v>
      </c>
      <c r="Q139" s="1"/>
      <c r="R139" s="1"/>
      <c r="S139" s="1"/>
      <c r="T139" s="1"/>
      <c r="U139" s="1"/>
    </row>
    <row r="140" spans="1:21" x14ac:dyDescent="0.3">
      <c r="A140" s="64">
        <f t="shared" si="4"/>
        <v>2474</v>
      </c>
      <c r="B140" s="7">
        <f t="shared" si="5"/>
        <v>46252</v>
      </c>
      <c r="C140" s="488" t="s">
        <v>852</v>
      </c>
      <c r="D140" s="1" t="s">
        <v>1064</v>
      </c>
      <c r="E140" s="62" t="s">
        <v>898</v>
      </c>
      <c r="F140" s="62"/>
      <c r="G140" s="62"/>
      <c r="H140" s="62"/>
      <c r="I140" s="62"/>
      <c r="J140" s="62" t="s">
        <v>1068</v>
      </c>
      <c r="K140" s="62" t="s">
        <v>879</v>
      </c>
      <c r="L140" s="63">
        <f>'Phan tich_TB'!CH22</f>
        <v>0</v>
      </c>
      <c r="M140" s="593" t="s">
        <v>1065</v>
      </c>
      <c r="N140" s="594"/>
      <c r="O140" s="1"/>
      <c r="P140" s="1" t="s">
        <v>1066</v>
      </c>
      <c r="Q140" s="1"/>
      <c r="R140" s="1"/>
      <c r="S140" s="1"/>
      <c r="T140" s="1"/>
      <c r="U140" s="1"/>
    </row>
    <row r="141" spans="1:21" x14ac:dyDescent="0.3">
      <c r="A141" s="64">
        <f t="shared" si="4"/>
        <v>2474</v>
      </c>
      <c r="B141" s="7">
        <f t="shared" si="5"/>
        <v>46252</v>
      </c>
      <c r="C141" s="488" t="s">
        <v>852</v>
      </c>
      <c r="D141" s="1" t="s">
        <v>1064</v>
      </c>
      <c r="E141" s="62" t="s">
        <v>898</v>
      </c>
      <c r="F141" s="62"/>
      <c r="G141" s="62"/>
      <c r="H141" s="62"/>
      <c r="I141" s="62"/>
      <c r="J141" s="62" t="s">
        <v>1068</v>
      </c>
      <c r="K141" s="62" t="s">
        <v>880</v>
      </c>
      <c r="L141" s="63">
        <f>'Phan tich_TB'!CH23</f>
        <v>-0.25210410291427476</v>
      </c>
      <c r="M141" s="593" t="s">
        <v>1065</v>
      </c>
      <c r="N141" s="594"/>
      <c r="O141" s="1"/>
      <c r="P141" s="1" t="s">
        <v>1066</v>
      </c>
      <c r="Q141" s="1"/>
      <c r="R141" s="1"/>
      <c r="S141" s="1"/>
      <c r="T141" s="1"/>
      <c r="U141" s="1"/>
    </row>
    <row r="142" spans="1:21" x14ac:dyDescent="0.3">
      <c r="A142" s="64">
        <f t="shared" si="4"/>
        <v>2474</v>
      </c>
      <c r="B142" s="7">
        <f t="shared" si="5"/>
        <v>46252</v>
      </c>
      <c r="C142" s="488" t="s">
        <v>852</v>
      </c>
      <c r="D142" s="1" t="s">
        <v>1064</v>
      </c>
      <c r="E142" s="62" t="s">
        <v>898</v>
      </c>
      <c r="F142" s="62"/>
      <c r="G142" s="62"/>
      <c r="H142" s="62"/>
      <c r="I142" s="62"/>
      <c r="J142" s="62" t="s">
        <v>1068</v>
      </c>
      <c r="K142" s="62" t="s">
        <v>881</v>
      </c>
      <c r="L142" s="63">
        <f>'Phan tich_TB'!CH24</f>
        <v>-4.6764067196918453E-2</v>
      </c>
      <c r="M142" s="593" t="s">
        <v>1065</v>
      </c>
      <c r="N142" s="594"/>
      <c r="O142" s="1"/>
      <c r="P142" s="1" t="s">
        <v>1066</v>
      </c>
      <c r="Q142" s="1"/>
      <c r="R142" s="1"/>
      <c r="S142" s="1"/>
      <c r="T142" s="1"/>
      <c r="U142" s="1"/>
    </row>
    <row r="143" spans="1:21" x14ac:dyDescent="0.3">
      <c r="A143" s="64">
        <f t="shared" si="4"/>
        <v>2474</v>
      </c>
      <c r="B143" s="7">
        <f t="shared" si="5"/>
        <v>46252</v>
      </c>
      <c r="C143" s="488" t="s">
        <v>852</v>
      </c>
      <c r="D143" s="1" t="s">
        <v>1064</v>
      </c>
      <c r="E143" s="62" t="s">
        <v>898</v>
      </c>
      <c r="F143" s="62"/>
      <c r="G143" s="62"/>
      <c r="H143" s="62"/>
      <c r="I143" s="62"/>
      <c r="J143" s="62" t="s">
        <v>1068</v>
      </c>
      <c r="K143" s="62" t="s">
        <v>882</v>
      </c>
      <c r="L143" s="63">
        <f>'Phan tich_TB'!CH25</f>
        <v>-1.6891831562804962</v>
      </c>
      <c r="M143" s="593" t="s">
        <v>1065</v>
      </c>
      <c r="N143" s="594"/>
      <c r="O143" s="1"/>
      <c r="P143" s="1" t="s">
        <v>1066</v>
      </c>
      <c r="Q143" s="1"/>
      <c r="R143" s="1"/>
      <c r="S143" s="1"/>
      <c r="T143" s="1"/>
      <c r="U143" s="1"/>
    </row>
    <row r="144" spans="1:21" x14ac:dyDescent="0.3">
      <c r="A144" s="64">
        <f t="shared" si="4"/>
        <v>2474</v>
      </c>
      <c r="B144" s="7">
        <f t="shared" si="5"/>
        <v>46252</v>
      </c>
      <c r="C144" s="488" t="s">
        <v>852</v>
      </c>
      <c r="D144" s="1" t="s">
        <v>1064</v>
      </c>
      <c r="E144" s="62" t="s">
        <v>898</v>
      </c>
      <c r="F144" s="62"/>
      <c r="G144" s="62"/>
      <c r="H144" s="62"/>
      <c r="I144" s="62"/>
      <c r="J144" s="62" t="s">
        <v>1068</v>
      </c>
      <c r="K144" s="62" t="s">
        <v>883</v>
      </c>
      <c r="L144" s="63">
        <f>'Phan tich_TB'!CH26</f>
        <v>-4.0415693758553859</v>
      </c>
      <c r="M144" s="593" t="s">
        <v>1065</v>
      </c>
      <c r="N144" s="594"/>
      <c r="O144" s="1"/>
      <c r="P144" s="1" t="s">
        <v>1066</v>
      </c>
      <c r="Q144" s="1"/>
      <c r="R144" s="1"/>
      <c r="S144" s="1"/>
      <c r="T144" s="1"/>
      <c r="U144" s="1"/>
    </row>
    <row r="145" spans="1:21" x14ac:dyDescent="0.3">
      <c r="A145" s="64">
        <f t="shared" si="4"/>
        <v>2474</v>
      </c>
      <c r="B145" s="7">
        <f t="shared" si="5"/>
        <v>46252</v>
      </c>
      <c r="C145" s="488" t="s">
        <v>852</v>
      </c>
      <c r="D145" s="1" t="s">
        <v>1064</v>
      </c>
      <c r="E145" s="62" t="s">
        <v>898</v>
      </c>
      <c r="F145" s="62"/>
      <c r="G145" s="62"/>
      <c r="H145" s="62"/>
      <c r="I145" s="62"/>
      <c r="J145" s="62" t="s">
        <v>1068</v>
      </c>
      <c r="K145" s="62" t="s">
        <v>884</v>
      </c>
      <c r="L145" s="63">
        <f>'Phan tich_TB'!CH27</f>
        <v>-1.8426701053563654</v>
      </c>
      <c r="M145" s="593" t="s">
        <v>1065</v>
      </c>
      <c r="N145" s="594"/>
      <c r="O145" s="1"/>
      <c r="P145" s="1" t="s">
        <v>1066</v>
      </c>
      <c r="Q145" s="1"/>
      <c r="R145" s="1"/>
      <c r="S145" s="1"/>
      <c r="T145" s="1"/>
      <c r="U145" s="1"/>
    </row>
    <row r="146" spans="1:21" x14ac:dyDescent="0.3">
      <c r="A146" s="64">
        <f t="shared" si="4"/>
        <v>2474</v>
      </c>
      <c r="B146" s="7">
        <f t="shared" si="5"/>
        <v>46252</v>
      </c>
      <c r="C146" s="488" t="s">
        <v>852</v>
      </c>
      <c r="D146" s="1" t="s">
        <v>1064</v>
      </c>
      <c r="E146" s="62" t="s">
        <v>898</v>
      </c>
      <c r="F146" s="62"/>
      <c r="G146" s="62"/>
      <c r="H146" s="62"/>
      <c r="I146" s="62"/>
      <c r="J146" s="62" t="s">
        <v>1068</v>
      </c>
      <c r="K146" s="62" t="s">
        <v>885</v>
      </c>
      <c r="L146" s="63">
        <f>'Phan tich_TB'!CH28</f>
        <v>0</v>
      </c>
      <c r="M146" s="593" t="s">
        <v>1065</v>
      </c>
      <c r="N146" s="594"/>
      <c r="O146" s="1"/>
      <c r="P146" s="1" t="s">
        <v>1066</v>
      </c>
      <c r="Q146" s="1"/>
      <c r="R146" s="1"/>
      <c r="S146" s="1"/>
      <c r="T146" s="1"/>
      <c r="U146" s="1"/>
    </row>
    <row r="147" spans="1:21" x14ac:dyDescent="0.3">
      <c r="A147" s="64">
        <f t="shared" si="4"/>
        <v>2474</v>
      </c>
      <c r="B147" s="7">
        <f t="shared" si="5"/>
        <v>46252</v>
      </c>
      <c r="C147" s="488" t="s">
        <v>852</v>
      </c>
      <c r="D147" s="1" t="s">
        <v>1064</v>
      </c>
      <c r="E147" s="62" t="s">
        <v>898</v>
      </c>
      <c r="F147" s="62"/>
      <c r="G147" s="62"/>
      <c r="H147" s="62"/>
      <c r="I147" s="62"/>
      <c r="J147" s="62" t="s">
        <v>1068</v>
      </c>
      <c r="K147" s="62" t="s">
        <v>886</v>
      </c>
      <c r="L147" s="63">
        <f>'Phan tich_TB'!CH29</f>
        <v>0</v>
      </c>
      <c r="M147" s="593" t="s">
        <v>1065</v>
      </c>
      <c r="N147" s="594"/>
      <c r="O147" s="1"/>
      <c r="P147" s="1" t="s">
        <v>1066</v>
      </c>
      <c r="Q147" s="1"/>
      <c r="R147" s="1"/>
      <c r="S147" s="1"/>
      <c r="T147" s="1"/>
      <c r="U147" s="1"/>
    </row>
    <row r="148" spans="1:21" x14ac:dyDescent="0.3">
      <c r="A148" s="64">
        <f t="shared" si="4"/>
        <v>2474</v>
      </c>
      <c r="B148" s="7">
        <f t="shared" si="5"/>
        <v>46252</v>
      </c>
      <c r="C148" s="66" t="s">
        <v>852</v>
      </c>
      <c r="D148" s="1" t="s">
        <v>869</v>
      </c>
      <c r="E148" s="62" t="s">
        <v>1030</v>
      </c>
      <c r="F148" s="31"/>
      <c r="G148" s="1"/>
      <c r="H148" s="1"/>
      <c r="I148" s="1"/>
      <c r="J148" s="1"/>
      <c r="K148" s="31"/>
      <c r="L148" s="63">
        <f>'Phan tich_TB'!DF1</f>
        <v>0</v>
      </c>
      <c r="M148" s="593" t="s">
        <v>1065</v>
      </c>
      <c r="N148" s="64"/>
      <c r="O148" s="1"/>
      <c r="P148" s="1" t="s">
        <v>1066</v>
      </c>
      <c r="Q148" s="1"/>
      <c r="R148" s="1"/>
      <c r="S148" s="1"/>
      <c r="T148" s="1"/>
      <c r="U148" s="1"/>
    </row>
    <row r="149" spans="1:21" x14ac:dyDescent="0.3">
      <c r="A149" s="64">
        <f t="shared" si="4"/>
        <v>2474</v>
      </c>
      <c r="B149" s="7">
        <f t="shared" si="5"/>
        <v>46252</v>
      </c>
      <c r="C149" s="66" t="s">
        <v>852</v>
      </c>
      <c r="D149" s="1" t="s">
        <v>1084</v>
      </c>
      <c r="E149" s="62" t="s">
        <v>1030</v>
      </c>
      <c r="F149" s="31"/>
      <c r="G149" s="1"/>
      <c r="H149" s="1"/>
      <c r="I149" s="1"/>
      <c r="J149" s="1"/>
      <c r="K149" s="31"/>
      <c r="L149" s="63">
        <f>'Phan tich_TB'!DF3</f>
        <v>-10.680003704482866</v>
      </c>
      <c r="M149" s="593" t="s">
        <v>1065</v>
      </c>
      <c r="N149" s="64">
        <v>-20</v>
      </c>
      <c r="O149" s="1"/>
      <c r="P149" s="1" t="s">
        <v>1066</v>
      </c>
      <c r="Q149" s="1"/>
      <c r="R149" s="1"/>
      <c r="S149" s="1" t="str">
        <f>IF(L149&lt;N149, "Y", "N")</f>
        <v>N</v>
      </c>
      <c r="T149" s="1"/>
      <c r="U149" s="1"/>
    </row>
    <row r="150" spans="1:21" x14ac:dyDescent="0.3">
      <c r="A150" s="64">
        <f t="shared" si="4"/>
        <v>2474</v>
      </c>
      <c r="B150" s="7">
        <f t="shared" si="5"/>
        <v>46252</v>
      </c>
      <c r="C150" s="488" t="s">
        <v>890</v>
      </c>
      <c r="D150" s="1" t="s">
        <v>1064</v>
      </c>
      <c r="E150" s="62" t="s">
        <v>1030</v>
      </c>
      <c r="F150" s="31"/>
      <c r="G150" s="1"/>
      <c r="H150" s="1"/>
      <c r="I150" s="597" t="s">
        <v>1076</v>
      </c>
      <c r="J150" s="1"/>
      <c r="K150" s="31"/>
      <c r="L150" s="63">
        <f>'Phan tich_TB'!K27</f>
        <v>1714.6434640892348</v>
      </c>
      <c r="M150" s="593" t="s">
        <v>1065</v>
      </c>
      <c r="N150" s="598"/>
      <c r="O150" s="1"/>
      <c r="P150" s="1" t="s">
        <v>1066</v>
      </c>
      <c r="Q150" s="1"/>
      <c r="R150" s="1"/>
      <c r="S150" s="1"/>
      <c r="T150" s="1" t="s">
        <v>1073</v>
      </c>
      <c r="U150" s="1"/>
    </row>
    <row r="151" spans="1:21" x14ac:dyDescent="0.3">
      <c r="A151" s="64">
        <f t="shared" si="4"/>
        <v>2474</v>
      </c>
      <c r="B151" s="7">
        <f t="shared" si="5"/>
        <v>46252</v>
      </c>
      <c r="C151" s="488" t="s">
        <v>890</v>
      </c>
      <c r="D151" s="1" t="s">
        <v>1064</v>
      </c>
      <c r="E151" s="62" t="s">
        <v>1030</v>
      </c>
      <c r="F151" s="31"/>
      <c r="G151" s="1"/>
      <c r="H151" s="1"/>
      <c r="I151" s="597" t="s">
        <v>1077</v>
      </c>
      <c r="J151" s="1"/>
      <c r="K151" s="31"/>
      <c r="L151" s="63">
        <f>'Phan tich_TB'!L27</f>
        <v>-1246.1317446005296</v>
      </c>
      <c r="M151" s="593" t="s">
        <v>1065</v>
      </c>
      <c r="N151" s="64"/>
      <c r="O151" s="1"/>
      <c r="P151" s="1" t="s">
        <v>1066</v>
      </c>
      <c r="Q151" s="1"/>
      <c r="R151" s="1"/>
      <c r="S151" s="1"/>
      <c r="T151" s="1" t="s">
        <v>1073</v>
      </c>
      <c r="U151" s="1"/>
    </row>
    <row r="152" spans="1:21" x14ac:dyDescent="0.3">
      <c r="A152" s="64">
        <f t="shared" si="4"/>
        <v>2474</v>
      </c>
      <c r="B152" s="7">
        <f t="shared" si="5"/>
        <v>46252</v>
      </c>
      <c r="C152" s="488" t="s">
        <v>890</v>
      </c>
      <c r="D152" s="1" t="s">
        <v>1064</v>
      </c>
      <c r="E152" s="62" t="s">
        <v>1030</v>
      </c>
      <c r="F152" s="31"/>
      <c r="G152" s="1"/>
      <c r="H152" s="1"/>
      <c r="I152" s="597" t="s">
        <v>1032</v>
      </c>
      <c r="J152" s="1"/>
      <c r="K152" s="31"/>
      <c r="L152" s="63">
        <f>'Phan tich_TB'!J27</f>
        <v>8533.1348775999995</v>
      </c>
      <c r="M152" s="593" t="s">
        <v>1065</v>
      </c>
      <c r="N152" s="64"/>
      <c r="O152" s="1"/>
      <c r="P152" s="1" t="s">
        <v>1066</v>
      </c>
      <c r="Q152" s="1"/>
      <c r="R152" s="1"/>
      <c r="S152" s="1"/>
      <c r="T152" s="1"/>
      <c r="U152" s="1"/>
    </row>
    <row r="153" spans="1:21" x14ac:dyDescent="0.3">
      <c r="A153" s="64">
        <f t="shared" si="4"/>
        <v>2474</v>
      </c>
      <c r="B153" s="7">
        <f t="shared" si="5"/>
        <v>46252</v>
      </c>
      <c r="C153" s="488" t="s">
        <v>890</v>
      </c>
      <c r="D153" s="1" t="s">
        <v>1064</v>
      </c>
      <c r="E153" s="62" t="s">
        <v>898</v>
      </c>
      <c r="F153" s="31"/>
      <c r="G153" s="1"/>
      <c r="H153" s="1"/>
      <c r="I153" s="597" t="s">
        <v>1076</v>
      </c>
      <c r="J153" s="1"/>
      <c r="K153" s="31"/>
      <c r="L153" s="63">
        <f>'Phan tich_TB'!K28</f>
        <v>553.97691344899988</v>
      </c>
      <c r="M153" s="593" t="s">
        <v>1065</v>
      </c>
      <c r="N153" s="64"/>
      <c r="O153" s="1"/>
      <c r="P153" s="1" t="s">
        <v>1066</v>
      </c>
      <c r="Q153" s="1"/>
      <c r="R153" s="1"/>
      <c r="S153" s="1"/>
      <c r="T153" s="1" t="s">
        <v>1073</v>
      </c>
      <c r="U153" s="1"/>
    </row>
    <row r="154" spans="1:21" x14ac:dyDescent="0.3">
      <c r="A154" s="64">
        <f t="shared" si="4"/>
        <v>2474</v>
      </c>
      <c r="B154" s="7">
        <f t="shared" si="5"/>
        <v>46252</v>
      </c>
      <c r="C154" s="488" t="s">
        <v>890</v>
      </c>
      <c r="D154" s="1" t="s">
        <v>1064</v>
      </c>
      <c r="E154" s="62" t="s">
        <v>898</v>
      </c>
      <c r="F154" s="31"/>
      <c r="G154" s="1"/>
      <c r="H154" s="1"/>
      <c r="I154" s="597" t="s">
        <v>1077</v>
      </c>
      <c r="J154" s="1"/>
      <c r="K154" s="31"/>
      <c r="L154" s="63">
        <f>'Phan tich_TB'!L28</f>
        <v>-982.46385991529564</v>
      </c>
      <c r="M154" s="593" t="s">
        <v>1065</v>
      </c>
      <c r="N154" s="64"/>
      <c r="O154" s="1"/>
      <c r="P154" s="1" t="s">
        <v>1066</v>
      </c>
      <c r="Q154" s="1"/>
      <c r="R154" s="1"/>
      <c r="S154" s="1"/>
      <c r="T154" s="1" t="s">
        <v>1073</v>
      </c>
      <c r="U154" s="1"/>
    </row>
    <row r="155" spans="1:21" x14ac:dyDescent="0.3">
      <c r="A155" s="64">
        <f t="shared" si="4"/>
        <v>2474</v>
      </c>
      <c r="B155" s="7">
        <f t="shared" si="5"/>
        <v>46252</v>
      </c>
      <c r="C155" s="488" t="s">
        <v>890</v>
      </c>
      <c r="D155" s="1" t="s">
        <v>1064</v>
      </c>
      <c r="E155" s="62" t="s">
        <v>898</v>
      </c>
      <c r="F155" s="31"/>
      <c r="G155" s="1"/>
      <c r="H155" s="1"/>
      <c r="I155" s="597" t="s">
        <v>1032</v>
      </c>
      <c r="J155" s="1"/>
      <c r="K155" s="31"/>
      <c r="L155" s="63">
        <f>'Phan tich_TB'!J28</f>
        <v>5678.3360418000002</v>
      </c>
      <c r="M155" s="593" t="s">
        <v>1065</v>
      </c>
      <c r="N155" s="64"/>
      <c r="O155" s="1"/>
      <c r="P155" s="1" t="s">
        <v>1066</v>
      </c>
      <c r="Q155" s="1"/>
      <c r="R155" s="1"/>
      <c r="S155" s="1"/>
      <c r="T155" s="1"/>
      <c r="U155" s="1"/>
    </row>
    <row r="156" spans="1:21" x14ac:dyDescent="0.3">
      <c r="A156" s="64">
        <f t="shared" si="4"/>
        <v>2474</v>
      </c>
      <c r="B156" s="7">
        <f t="shared" si="5"/>
        <v>46252</v>
      </c>
      <c r="C156" s="488" t="s">
        <v>890</v>
      </c>
      <c r="D156" s="1" t="s">
        <v>1064</v>
      </c>
      <c r="E156" s="62" t="s">
        <v>906</v>
      </c>
      <c r="F156" s="31"/>
      <c r="G156" s="1"/>
      <c r="H156" s="1"/>
      <c r="I156" s="597" t="s">
        <v>1076</v>
      </c>
      <c r="J156" s="1"/>
      <c r="K156" s="31"/>
      <c r="L156" s="63">
        <f>'Phan tich_TB'!K29</f>
        <v>1158.0932392116638</v>
      </c>
      <c r="M156" s="593" t="s">
        <v>1065</v>
      </c>
      <c r="N156" s="64"/>
      <c r="O156" s="1"/>
      <c r="P156" s="1" t="s">
        <v>1066</v>
      </c>
      <c r="Q156" s="1"/>
      <c r="R156" s="1"/>
      <c r="S156" s="1"/>
      <c r="T156" s="1" t="s">
        <v>1073</v>
      </c>
      <c r="U156" s="1"/>
    </row>
    <row r="157" spans="1:21" x14ac:dyDescent="0.3">
      <c r="A157" s="64">
        <f t="shared" si="4"/>
        <v>2474</v>
      </c>
      <c r="B157" s="7">
        <f t="shared" si="5"/>
        <v>46252</v>
      </c>
      <c r="C157" s="488" t="s">
        <v>890</v>
      </c>
      <c r="D157" s="1" t="s">
        <v>1064</v>
      </c>
      <c r="E157" s="62" t="s">
        <v>906</v>
      </c>
      <c r="F157" s="31"/>
      <c r="G157" s="1"/>
      <c r="H157" s="1"/>
      <c r="I157" s="597" t="s">
        <v>1077</v>
      </c>
      <c r="J157" s="1"/>
      <c r="K157" s="31"/>
      <c r="L157" s="63">
        <f>'Phan tich_TB'!L29</f>
        <v>-271.24631325666275</v>
      </c>
      <c r="M157" s="593" t="s">
        <v>1065</v>
      </c>
      <c r="N157" s="64"/>
      <c r="O157" s="1"/>
      <c r="P157" s="1" t="s">
        <v>1066</v>
      </c>
      <c r="Q157" s="1"/>
      <c r="R157" s="1"/>
      <c r="S157" s="1"/>
      <c r="T157" s="1" t="s">
        <v>1073</v>
      </c>
      <c r="U157" s="1"/>
    </row>
    <row r="158" spans="1:21" x14ac:dyDescent="0.3">
      <c r="A158" s="64">
        <f t="shared" si="4"/>
        <v>2474</v>
      </c>
      <c r="B158" s="7">
        <f t="shared" si="5"/>
        <v>46252</v>
      </c>
      <c r="C158" s="488" t="s">
        <v>890</v>
      </c>
      <c r="D158" s="1" t="s">
        <v>1064</v>
      </c>
      <c r="E158" s="62" t="s">
        <v>906</v>
      </c>
      <c r="F158" s="31"/>
      <c r="G158" s="1"/>
      <c r="H158" s="1"/>
      <c r="I158" s="597" t="s">
        <v>1032</v>
      </c>
      <c r="J158" s="1"/>
      <c r="K158" s="31"/>
      <c r="L158" s="63">
        <f>'Phan tich_TB'!J29</f>
        <v>2779.1088358000002</v>
      </c>
      <c r="M158" s="593" t="s">
        <v>1065</v>
      </c>
      <c r="N158" s="64"/>
      <c r="O158" s="1"/>
      <c r="P158" s="1" t="s">
        <v>1066</v>
      </c>
      <c r="Q158" s="1"/>
      <c r="R158" s="1"/>
      <c r="S158" s="1"/>
      <c r="T158" s="1"/>
      <c r="U158" s="1"/>
    </row>
    <row r="159" spans="1:21" x14ac:dyDescent="0.3">
      <c r="A159" s="64">
        <f t="shared" si="4"/>
        <v>2474</v>
      </c>
      <c r="B159" s="7">
        <f t="shared" si="5"/>
        <v>46252</v>
      </c>
      <c r="C159" s="488" t="s">
        <v>890</v>
      </c>
      <c r="D159" s="1" t="s">
        <v>1064</v>
      </c>
      <c r="E159" s="62" t="s">
        <v>1067</v>
      </c>
      <c r="F159" s="31"/>
      <c r="G159" s="1"/>
      <c r="H159" s="1"/>
      <c r="I159" s="597" t="s">
        <v>1076</v>
      </c>
      <c r="J159" s="1"/>
      <c r="K159" s="31"/>
      <c r="L159" s="63">
        <f>'Phan tich_TB'!K30</f>
        <v>2.5733114285714205</v>
      </c>
      <c r="M159" s="593" t="s">
        <v>1065</v>
      </c>
      <c r="N159" s="64"/>
      <c r="O159" s="1"/>
      <c r="P159" s="1" t="s">
        <v>1066</v>
      </c>
      <c r="Q159" s="1"/>
      <c r="R159" s="1"/>
      <c r="S159" s="1"/>
      <c r="T159" s="1" t="s">
        <v>1073</v>
      </c>
      <c r="U159" s="1"/>
    </row>
    <row r="160" spans="1:21" x14ac:dyDescent="0.3">
      <c r="A160" s="64">
        <f t="shared" si="4"/>
        <v>2474</v>
      </c>
      <c r="B160" s="7">
        <f t="shared" si="5"/>
        <v>46252</v>
      </c>
      <c r="C160" s="488" t="s">
        <v>890</v>
      </c>
      <c r="D160" s="1" t="s">
        <v>1064</v>
      </c>
      <c r="E160" s="62" t="s">
        <v>1067</v>
      </c>
      <c r="F160" s="31"/>
      <c r="G160" s="1"/>
      <c r="H160" s="1"/>
      <c r="I160" s="597" t="s">
        <v>1077</v>
      </c>
      <c r="J160" s="1"/>
      <c r="K160" s="31"/>
      <c r="L160" s="63">
        <f>'Phan tich_TB'!L30</f>
        <v>7.5784285714285646</v>
      </c>
      <c r="M160" s="593" t="s">
        <v>1065</v>
      </c>
      <c r="N160" s="64"/>
      <c r="O160" s="1"/>
      <c r="P160" s="1" t="s">
        <v>1066</v>
      </c>
      <c r="Q160" s="1"/>
      <c r="R160" s="1"/>
      <c r="S160" s="1"/>
      <c r="T160" s="1" t="s">
        <v>1073</v>
      </c>
      <c r="U160" s="1"/>
    </row>
    <row r="161" spans="1:21" x14ac:dyDescent="0.3">
      <c r="A161" s="64">
        <f t="shared" si="4"/>
        <v>2474</v>
      </c>
      <c r="B161" s="7">
        <f t="shared" si="5"/>
        <v>46252</v>
      </c>
      <c r="C161" s="488" t="s">
        <v>890</v>
      </c>
      <c r="D161" s="1" t="s">
        <v>1064</v>
      </c>
      <c r="E161" s="62" t="s">
        <v>1067</v>
      </c>
      <c r="F161" s="31"/>
      <c r="G161" s="1"/>
      <c r="H161" s="1"/>
      <c r="I161" s="597" t="s">
        <v>1032</v>
      </c>
      <c r="J161" s="1"/>
      <c r="K161" s="31"/>
      <c r="L161" s="63">
        <f>'Phan tich_TB'!J30</f>
        <v>75.69</v>
      </c>
      <c r="M161" s="593" t="s">
        <v>1065</v>
      </c>
      <c r="N161" s="64"/>
      <c r="O161" s="1"/>
      <c r="P161" s="1" t="s">
        <v>1066</v>
      </c>
      <c r="Q161" s="1"/>
      <c r="R161" s="1"/>
      <c r="S161" s="1"/>
      <c r="T161" s="1"/>
      <c r="U161" s="1"/>
    </row>
    <row r="162" spans="1:21" x14ac:dyDescent="0.3">
      <c r="A162" s="64">
        <f t="shared" si="4"/>
        <v>2474</v>
      </c>
      <c r="B162" s="7">
        <f t="shared" si="5"/>
        <v>46252</v>
      </c>
      <c r="C162" s="488" t="s">
        <v>890</v>
      </c>
      <c r="D162" s="1" t="s">
        <v>1064</v>
      </c>
      <c r="E162" s="62" t="s">
        <v>1030</v>
      </c>
      <c r="F162" s="62"/>
      <c r="G162" s="62"/>
      <c r="H162" s="62"/>
      <c r="I162" s="62" t="s">
        <v>1076</v>
      </c>
      <c r="J162" s="62" t="s">
        <v>1068</v>
      </c>
      <c r="K162" s="62" t="s">
        <v>877</v>
      </c>
      <c r="L162" s="63">
        <f>'Phan tich_TB'!K13</f>
        <v>525.02187024128671</v>
      </c>
      <c r="M162" s="593" t="s">
        <v>1065</v>
      </c>
      <c r="N162" s="64"/>
      <c r="O162" s="1"/>
      <c r="P162" s="1" t="s">
        <v>1066</v>
      </c>
      <c r="Q162" s="1"/>
      <c r="R162" s="1"/>
      <c r="S162" s="1"/>
      <c r="T162" s="1"/>
      <c r="U162" s="1"/>
    </row>
    <row r="163" spans="1:21" x14ac:dyDescent="0.3">
      <c r="A163" s="64">
        <f t="shared" si="4"/>
        <v>2474</v>
      </c>
      <c r="B163" s="7">
        <f t="shared" si="5"/>
        <v>46252</v>
      </c>
      <c r="C163" s="488" t="s">
        <v>890</v>
      </c>
      <c r="D163" s="1" t="s">
        <v>1064</v>
      </c>
      <c r="E163" s="62" t="s">
        <v>1030</v>
      </c>
      <c r="F163" s="62"/>
      <c r="G163" s="62"/>
      <c r="H163" s="62"/>
      <c r="I163" s="62" t="s">
        <v>1076</v>
      </c>
      <c r="J163" s="62" t="s">
        <v>1068</v>
      </c>
      <c r="K163" s="62" t="s">
        <v>878</v>
      </c>
      <c r="L163" s="63">
        <f>'Phan tich_TB'!K14</f>
        <v>142.13564999999903</v>
      </c>
      <c r="M163" s="593" t="s">
        <v>1065</v>
      </c>
      <c r="N163" s="64"/>
      <c r="O163" s="1"/>
      <c r="P163" s="1" t="s">
        <v>1066</v>
      </c>
      <c r="Q163" s="1"/>
      <c r="R163" s="1"/>
      <c r="S163" s="1"/>
      <c r="T163" s="1"/>
      <c r="U163" s="1"/>
    </row>
    <row r="164" spans="1:21" x14ac:dyDescent="0.3">
      <c r="A164" s="64">
        <f t="shared" si="4"/>
        <v>2474</v>
      </c>
      <c r="B164" s="7">
        <f t="shared" si="5"/>
        <v>46252</v>
      </c>
      <c r="C164" s="488" t="s">
        <v>890</v>
      </c>
      <c r="D164" s="1" t="s">
        <v>1064</v>
      </c>
      <c r="E164" s="62" t="s">
        <v>1030</v>
      </c>
      <c r="F164" s="62"/>
      <c r="G164" s="62"/>
      <c r="H164" s="62"/>
      <c r="I164" s="62" t="s">
        <v>1076</v>
      </c>
      <c r="J164" s="62" t="s">
        <v>1068</v>
      </c>
      <c r="K164" s="62" t="s">
        <v>879</v>
      </c>
      <c r="L164" s="63">
        <f>'Phan tich_TB'!K15</f>
        <v>-97.604479874428094</v>
      </c>
      <c r="M164" s="593" t="s">
        <v>1065</v>
      </c>
      <c r="N164" s="64"/>
      <c r="O164" s="1"/>
      <c r="P164" s="1" t="s">
        <v>1066</v>
      </c>
      <c r="Q164" s="1"/>
      <c r="R164" s="1"/>
      <c r="S164" s="1"/>
      <c r="T164" s="1"/>
      <c r="U164" s="1"/>
    </row>
    <row r="165" spans="1:21" x14ac:dyDescent="0.3">
      <c r="A165" s="64">
        <f t="shared" si="4"/>
        <v>2474</v>
      </c>
      <c r="B165" s="7">
        <f t="shared" si="5"/>
        <v>46252</v>
      </c>
      <c r="C165" s="488" t="s">
        <v>890</v>
      </c>
      <c r="D165" s="1" t="s">
        <v>1064</v>
      </c>
      <c r="E165" s="62" t="s">
        <v>1030</v>
      </c>
      <c r="F165" s="62"/>
      <c r="G165" s="62"/>
      <c r="H165" s="62"/>
      <c r="I165" s="62" t="s">
        <v>1076</v>
      </c>
      <c r="J165" s="62" t="s">
        <v>1068</v>
      </c>
      <c r="K165" s="62" t="s">
        <v>880</v>
      </c>
      <c r="L165" s="63">
        <f>'Phan tich_TB'!K16</f>
        <v>-851.51197755306862</v>
      </c>
      <c r="M165" s="593" t="s">
        <v>1065</v>
      </c>
      <c r="N165" s="64"/>
      <c r="O165" s="1"/>
      <c r="P165" s="1" t="s">
        <v>1066</v>
      </c>
      <c r="Q165" s="1"/>
      <c r="R165" s="1"/>
      <c r="S165" s="1"/>
      <c r="T165" s="1"/>
      <c r="U165" s="1"/>
    </row>
    <row r="166" spans="1:21" x14ac:dyDescent="0.3">
      <c r="A166" s="64">
        <f t="shared" si="4"/>
        <v>2474</v>
      </c>
      <c r="B166" s="7">
        <f t="shared" si="5"/>
        <v>46252</v>
      </c>
      <c r="C166" s="488" t="s">
        <v>890</v>
      </c>
      <c r="D166" s="1" t="s">
        <v>1064</v>
      </c>
      <c r="E166" s="62" t="s">
        <v>1030</v>
      </c>
      <c r="F166" s="62"/>
      <c r="G166" s="62"/>
      <c r="H166" s="62"/>
      <c r="I166" s="62" t="s">
        <v>1076</v>
      </c>
      <c r="J166" s="62" t="s">
        <v>1068</v>
      </c>
      <c r="K166" s="62" t="s">
        <v>881</v>
      </c>
      <c r="L166" s="63">
        <f>'Phan tich_TB'!K17</f>
        <v>190.42310385672198</v>
      </c>
      <c r="M166" s="593" t="s">
        <v>1065</v>
      </c>
      <c r="N166" s="64"/>
      <c r="O166" s="1"/>
      <c r="P166" s="1" t="s">
        <v>1066</v>
      </c>
      <c r="Q166" s="1"/>
      <c r="R166" s="1"/>
      <c r="S166" s="1"/>
      <c r="T166" s="1"/>
      <c r="U166" s="1"/>
    </row>
    <row r="167" spans="1:21" x14ac:dyDescent="0.3">
      <c r="A167" s="64">
        <f t="shared" si="4"/>
        <v>2474</v>
      </c>
      <c r="B167" s="7">
        <f t="shared" si="5"/>
        <v>46252</v>
      </c>
      <c r="C167" s="488" t="s">
        <v>890</v>
      </c>
      <c r="D167" s="1" t="s">
        <v>1064</v>
      </c>
      <c r="E167" s="62" t="s">
        <v>1030</v>
      </c>
      <c r="F167" s="62"/>
      <c r="G167" s="62"/>
      <c r="H167" s="62"/>
      <c r="I167" s="62" t="s">
        <v>1076</v>
      </c>
      <c r="J167" s="62" t="s">
        <v>1068</v>
      </c>
      <c r="K167" s="62" t="s">
        <v>882</v>
      </c>
      <c r="L167" s="63">
        <f>'Phan tich_TB'!K18</f>
        <v>18.112476014345376</v>
      </c>
      <c r="M167" s="593" t="s">
        <v>1065</v>
      </c>
      <c r="N167" s="64"/>
      <c r="O167" s="1"/>
      <c r="P167" s="1" t="s">
        <v>1066</v>
      </c>
      <c r="Q167" s="1"/>
      <c r="R167" s="1"/>
      <c r="S167" s="1"/>
      <c r="T167" s="1"/>
      <c r="U167" s="1"/>
    </row>
    <row r="168" spans="1:21" x14ac:dyDescent="0.3">
      <c r="A168" s="64">
        <f t="shared" si="4"/>
        <v>2474</v>
      </c>
      <c r="B168" s="7">
        <f t="shared" si="5"/>
        <v>46252</v>
      </c>
      <c r="C168" s="488" t="s">
        <v>890</v>
      </c>
      <c r="D168" s="1" t="s">
        <v>1064</v>
      </c>
      <c r="E168" s="62" t="s">
        <v>1030</v>
      </c>
      <c r="F168" s="62"/>
      <c r="G168" s="62"/>
      <c r="H168" s="62"/>
      <c r="I168" s="62" t="s">
        <v>1076</v>
      </c>
      <c r="J168" s="62" t="s">
        <v>1068</v>
      </c>
      <c r="K168" s="62" t="s">
        <v>883</v>
      </c>
      <c r="L168" s="63">
        <f>'Phan tich_TB'!K19</f>
        <v>-443.56001344233511</v>
      </c>
      <c r="M168" s="593" t="s">
        <v>1065</v>
      </c>
      <c r="N168" s="64"/>
      <c r="O168" s="1"/>
      <c r="P168" s="1" t="s">
        <v>1066</v>
      </c>
      <c r="Q168" s="1"/>
      <c r="R168" s="1"/>
      <c r="S168" s="1"/>
      <c r="T168" s="1"/>
      <c r="U168" s="1"/>
    </row>
    <row r="169" spans="1:21" x14ac:dyDescent="0.3">
      <c r="A169" s="64">
        <f t="shared" si="4"/>
        <v>2474</v>
      </c>
      <c r="B169" s="7">
        <f t="shared" si="5"/>
        <v>46252</v>
      </c>
      <c r="C169" s="488" t="s">
        <v>890</v>
      </c>
      <c r="D169" s="1" t="s">
        <v>1064</v>
      </c>
      <c r="E169" s="62" t="s">
        <v>1030</v>
      </c>
      <c r="F169" s="62"/>
      <c r="G169" s="62"/>
      <c r="H169" s="62"/>
      <c r="I169" s="62" t="s">
        <v>1076</v>
      </c>
      <c r="J169" s="62" t="s">
        <v>1068</v>
      </c>
      <c r="K169" s="62" t="s">
        <v>884</v>
      </c>
      <c r="L169" s="63">
        <f>'Phan tich_TB'!K20</f>
        <v>-98.259161150991488</v>
      </c>
      <c r="M169" s="593" t="s">
        <v>1065</v>
      </c>
      <c r="N169" s="64"/>
      <c r="O169" s="1"/>
      <c r="P169" s="1" t="s">
        <v>1066</v>
      </c>
      <c r="Q169" s="1"/>
      <c r="R169" s="1"/>
      <c r="S169" s="1"/>
      <c r="T169" s="1"/>
      <c r="U169" s="1"/>
    </row>
    <row r="170" spans="1:21" x14ac:dyDescent="0.3">
      <c r="A170" s="64">
        <f t="shared" si="4"/>
        <v>2474</v>
      </c>
      <c r="B170" s="7">
        <f t="shared" si="5"/>
        <v>46252</v>
      </c>
      <c r="C170" s="488" t="s">
        <v>890</v>
      </c>
      <c r="D170" s="1" t="s">
        <v>1064</v>
      </c>
      <c r="E170" s="62" t="s">
        <v>1030</v>
      </c>
      <c r="F170" s="62"/>
      <c r="G170" s="62"/>
      <c r="H170" s="62"/>
      <c r="I170" s="62" t="s">
        <v>1076</v>
      </c>
      <c r="J170" s="62" t="s">
        <v>1068</v>
      </c>
      <c r="K170" s="62" t="s">
        <v>885</v>
      </c>
      <c r="L170" s="63">
        <f>'Phan tich_TB'!K21</f>
        <v>-182.06260000000489</v>
      </c>
      <c r="M170" s="593" t="s">
        <v>1065</v>
      </c>
      <c r="N170" s="64"/>
      <c r="O170" s="1"/>
      <c r="P170" s="1" t="s">
        <v>1066</v>
      </c>
      <c r="Q170" s="1"/>
      <c r="R170" s="1"/>
      <c r="S170" s="1"/>
      <c r="T170" s="1"/>
      <c r="U170" s="1"/>
    </row>
    <row r="171" spans="1:21" x14ac:dyDescent="0.3">
      <c r="A171" s="64">
        <f t="shared" si="4"/>
        <v>2474</v>
      </c>
      <c r="B171" s="7">
        <f t="shared" si="5"/>
        <v>46252</v>
      </c>
      <c r="C171" s="488" t="s">
        <v>890</v>
      </c>
      <c r="D171" s="1" t="s">
        <v>1064</v>
      </c>
      <c r="E171" s="62" t="s">
        <v>1030</v>
      </c>
      <c r="F171" s="62"/>
      <c r="G171" s="62"/>
      <c r="H171" s="62"/>
      <c r="I171" s="62" t="s">
        <v>1076</v>
      </c>
      <c r="J171" s="62" t="s">
        <v>1068</v>
      </c>
      <c r="K171" s="62" t="s">
        <v>886</v>
      </c>
      <c r="L171" s="63">
        <f>'Phan tich_TB'!K22</f>
        <v>350.8700243851294</v>
      </c>
      <c r="M171" s="593" t="s">
        <v>1065</v>
      </c>
      <c r="N171" s="64"/>
      <c r="O171" s="1"/>
      <c r="P171" s="1" t="s">
        <v>1066</v>
      </c>
      <c r="Q171" s="1"/>
      <c r="R171" s="1"/>
      <c r="S171" s="1"/>
      <c r="T171" s="1"/>
      <c r="U171" s="1"/>
    </row>
    <row r="172" spans="1:21" x14ac:dyDescent="0.3">
      <c r="A172" s="64">
        <f t="shared" si="4"/>
        <v>2474</v>
      </c>
      <c r="B172" s="7">
        <f t="shared" si="5"/>
        <v>46252</v>
      </c>
      <c r="C172" s="488" t="s">
        <v>890</v>
      </c>
      <c r="D172" s="1" t="s">
        <v>1064</v>
      </c>
      <c r="E172" s="62" t="s">
        <v>1030</v>
      </c>
      <c r="F172" s="62"/>
      <c r="G172" s="62"/>
      <c r="H172" s="62"/>
      <c r="I172" s="62" t="s">
        <v>1076</v>
      </c>
      <c r="J172" s="62" t="s">
        <v>1068</v>
      </c>
      <c r="K172" s="593">
        <v>0</v>
      </c>
      <c r="L172" s="63">
        <f>'Phan tich_TB'!K12</f>
        <v>2161.0785716125806</v>
      </c>
      <c r="M172" s="593" t="s">
        <v>1065</v>
      </c>
      <c r="N172" s="64"/>
      <c r="O172" s="1"/>
      <c r="P172" s="1" t="s">
        <v>1066</v>
      </c>
      <c r="Q172" s="1"/>
      <c r="R172" s="1"/>
      <c r="S172" s="1"/>
      <c r="T172" s="1"/>
      <c r="U172" s="1"/>
    </row>
    <row r="173" spans="1:21" x14ac:dyDescent="0.3">
      <c r="A173" s="64">
        <f t="shared" si="4"/>
        <v>2474</v>
      </c>
      <c r="B173" s="7">
        <f t="shared" si="5"/>
        <v>46252</v>
      </c>
      <c r="C173" s="488" t="s">
        <v>890</v>
      </c>
      <c r="D173" s="1" t="s">
        <v>1064</v>
      </c>
      <c r="E173" s="62" t="s">
        <v>1030</v>
      </c>
      <c r="F173" s="62"/>
      <c r="G173" s="62"/>
      <c r="H173" s="62"/>
      <c r="I173" s="62" t="s">
        <v>1077</v>
      </c>
      <c r="J173" s="62" t="s">
        <v>1068</v>
      </c>
      <c r="K173" s="62" t="s">
        <v>877</v>
      </c>
      <c r="L173" s="63">
        <f>'Phan tich_TB'!L13</f>
        <v>-8.727710241286843</v>
      </c>
      <c r="M173" s="593" t="s">
        <v>1065</v>
      </c>
      <c r="N173" s="64"/>
      <c r="O173" s="1"/>
      <c r="P173" s="1" t="s">
        <v>1066</v>
      </c>
      <c r="Q173" s="1"/>
      <c r="R173" s="1"/>
      <c r="S173" s="1"/>
      <c r="T173" s="1"/>
      <c r="U173" s="1"/>
    </row>
    <row r="174" spans="1:21" x14ac:dyDescent="0.3">
      <c r="A174" s="64">
        <f t="shared" si="4"/>
        <v>2474</v>
      </c>
      <c r="B174" s="7">
        <f t="shared" si="5"/>
        <v>46252</v>
      </c>
      <c r="C174" s="488" t="s">
        <v>890</v>
      </c>
      <c r="D174" s="1" t="s">
        <v>1064</v>
      </c>
      <c r="E174" s="62" t="s">
        <v>1030</v>
      </c>
      <c r="F174" s="62"/>
      <c r="G174" s="62"/>
      <c r="H174" s="62"/>
      <c r="I174" s="62" t="s">
        <v>1077</v>
      </c>
      <c r="J174" s="62" t="s">
        <v>1068</v>
      </c>
      <c r="K174" s="62" t="s">
        <v>878</v>
      </c>
      <c r="L174" s="63">
        <f>'Phan tich_TB'!L14</f>
        <v>0</v>
      </c>
      <c r="M174" s="593" t="s">
        <v>1065</v>
      </c>
      <c r="N174" s="64"/>
      <c r="O174" s="1"/>
      <c r="P174" s="1" t="s">
        <v>1066</v>
      </c>
      <c r="Q174" s="1"/>
      <c r="R174" s="1"/>
      <c r="S174" s="1"/>
      <c r="T174" s="1"/>
      <c r="U174" s="1"/>
    </row>
    <row r="175" spans="1:21" x14ac:dyDescent="0.3">
      <c r="A175" s="64">
        <f t="shared" si="4"/>
        <v>2474</v>
      </c>
      <c r="B175" s="7">
        <f t="shared" si="5"/>
        <v>46252</v>
      </c>
      <c r="C175" s="488" t="s">
        <v>890</v>
      </c>
      <c r="D175" s="1" t="s">
        <v>1064</v>
      </c>
      <c r="E175" s="62" t="s">
        <v>1030</v>
      </c>
      <c r="F175" s="62"/>
      <c r="G175" s="62"/>
      <c r="H175" s="62"/>
      <c r="I175" s="62" t="s">
        <v>1077</v>
      </c>
      <c r="J175" s="62" t="s">
        <v>1068</v>
      </c>
      <c r="K175" s="62" t="s">
        <v>879</v>
      </c>
      <c r="L175" s="63">
        <f>'Phan tich_TB'!L15</f>
        <v>7.5784285714285646</v>
      </c>
      <c r="M175" s="593" t="s">
        <v>1065</v>
      </c>
      <c r="N175" s="64"/>
      <c r="O175" s="1"/>
      <c r="P175" s="1" t="s">
        <v>1066</v>
      </c>
      <c r="Q175" s="1"/>
      <c r="R175" s="1"/>
      <c r="S175" s="1"/>
      <c r="T175" s="1"/>
      <c r="U175" s="1"/>
    </row>
    <row r="176" spans="1:21" x14ac:dyDescent="0.3">
      <c r="A176" s="64">
        <f t="shared" si="4"/>
        <v>2474</v>
      </c>
      <c r="B176" s="7">
        <f t="shared" si="5"/>
        <v>46252</v>
      </c>
      <c r="C176" s="488" t="s">
        <v>890</v>
      </c>
      <c r="D176" s="1" t="s">
        <v>1064</v>
      </c>
      <c r="E176" s="62" t="s">
        <v>1030</v>
      </c>
      <c r="F176" s="62"/>
      <c r="G176" s="62"/>
      <c r="H176" s="62"/>
      <c r="I176" s="62" t="s">
        <v>1077</v>
      </c>
      <c r="J176" s="62" t="s">
        <v>1068</v>
      </c>
      <c r="K176" s="62" t="s">
        <v>880</v>
      </c>
      <c r="L176" s="63">
        <f>'Phan tich_TB'!L16</f>
        <v>-27.191935246929656</v>
      </c>
      <c r="M176" s="593" t="s">
        <v>1065</v>
      </c>
      <c r="N176" s="64"/>
      <c r="O176" s="1"/>
      <c r="P176" s="1" t="s">
        <v>1066</v>
      </c>
      <c r="Q176" s="1"/>
      <c r="R176" s="1"/>
      <c r="S176" s="1"/>
      <c r="T176" s="1"/>
      <c r="U176" s="1"/>
    </row>
    <row r="177" spans="1:21" x14ac:dyDescent="0.3">
      <c r="A177" s="64">
        <f t="shared" si="4"/>
        <v>2474</v>
      </c>
      <c r="B177" s="7">
        <f t="shared" si="5"/>
        <v>46252</v>
      </c>
      <c r="C177" s="488" t="s">
        <v>890</v>
      </c>
      <c r="D177" s="1" t="s">
        <v>1064</v>
      </c>
      <c r="E177" s="62" t="s">
        <v>1030</v>
      </c>
      <c r="F177" s="62"/>
      <c r="G177" s="62"/>
      <c r="H177" s="62"/>
      <c r="I177" s="62" t="s">
        <v>1077</v>
      </c>
      <c r="J177" s="62" t="s">
        <v>1068</v>
      </c>
      <c r="K177" s="62" t="s">
        <v>881</v>
      </c>
      <c r="L177" s="63">
        <f>'Phan tich_TB'!L17</f>
        <v>-5.3790102567223945</v>
      </c>
      <c r="M177" s="593" t="s">
        <v>1065</v>
      </c>
      <c r="N177" s="64"/>
      <c r="O177" s="1"/>
      <c r="P177" s="1" t="s">
        <v>1066</v>
      </c>
      <c r="Q177" s="1"/>
      <c r="R177" s="1"/>
      <c r="S177" s="1"/>
      <c r="T177" s="1"/>
      <c r="U177" s="1"/>
    </row>
    <row r="178" spans="1:21" x14ac:dyDescent="0.3">
      <c r="A178" s="64">
        <f t="shared" ref="A178:A241" si="6">$X$3</f>
        <v>2474</v>
      </c>
      <c r="B178" s="7">
        <f t="shared" ref="B178:B241" si="7">RPT</f>
        <v>46252</v>
      </c>
      <c r="C178" s="488" t="s">
        <v>890</v>
      </c>
      <c r="D178" s="1" t="s">
        <v>1064</v>
      </c>
      <c r="E178" s="62" t="s">
        <v>1030</v>
      </c>
      <c r="F178" s="62"/>
      <c r="G178" s="62"/>
      <c r="H178" s="62"/>
      <c r="I178" s="62" t="s">
        <v>1077</v>
      </c>
      <c r="J178" s="62" t="s">
        <v>1068</v>
      </c>
      <c r="K178" s="62" t="s">
        <v>882</v>
      </c>
      <c r="L178" s="63">
        <f>'Phan tich_TB'!L18</f>
        <v>-395.57330901034265</v>
      </c>
      <c r="M178" s="593" t="s">
        <v>1065</v>
      </c>
      <c r="N178" s="64"/>
      <c r="O178" s="1"/>
      <c r="P178" s="1" t="s">
        <v>1066</v>
      </c>
      <c r="Q178" s="1"/>
      <c r="R178" s="1"/>
      <c r="S178" s="1"/>
      <c r="T178" s="1"/>
      <c r="U178" s="1"/>
    </row>
    <row r="179" spans="1:21" x14ac:dyDescent="0.3">
      <c r="A179" s="64">
        <f t="shared" si="6"/>
        <v>2474</v>
      </c>
      <c r="B179" s="7">
        <f t="shared" si="7"/>
        <v>46252</v>
      </c>
      <c r="C179" s="488" t="s">
        <v>890</v>
      </c>
      <c r="D179" s="1" t="s">
        <v>1064</v>
      </c>
      <c r="E179" s="62" t="s">
        <v>1030</v>
      </c>
      <c r="F179" s="62"/>
      <c r="G179" s="62"/>
      <c r="H179" s="62"/>
      <c r="I179" s="62" t="s">
        <v>1077</v>
      </c>
      <c r="J179" s="62" t="s">
        <v>1068</v>
      </c>
      <c r="K179" s="62" t="s">
        <v>883</v>
      </c>
      <c r="L179" s="63">
        <f>'Phan tich_TB'!L19</f>
        <v>-519.00738655766781</v>
      </c>
      <c r="M179" s="593" t="s">
        <v>1065</v>
      </c>
      <c r="N179" s="64"/>
      <c r="O179" s="1"/>
      <c r="P179" s="1" t="s">
        <v>1066</v>
      </c>
      <c r="Q179" s="1"/>
      <c r="R179" s="1"/>
      <c r="S179" s="1"/>
      <c r="T179" s="1"/>
      <c r="U179" s="1"/>
    </row>
    <row r="180" spans="1:21" x14ac:dyDescent="0.3">
      <c r="A180" s="64">
        <f t="shared" si="6"/>
        <v>2474</v>
      </c>
      <c r="B180" s="7">
        <f t="shared" si="7"/>
        <v>46252</v>
      </c>
      <c r="C180" s="488" t="s">
        <v>890</v>
      </c>
      <c r="D180" s="1" t="s">
        <v>1064</v>
      </c>
      <c r="E180" s="62" t="s">
        <v>1030</v>
      </c>
      <c r="F180" s="62"/>
      <c r="G180" s="62"/>
      <c r="H180" s="62"/>
      <c r="I180" s="62" t="s">
        <v>1077</v>
      </c>
      <c r="J180" s="62" t="s">
        <v>1068</v>
      </c>
      <c r="K180" s="62" t="s">
        <v>884</v>
      </c>
      <c r="L180" s="63">
        <f>'Phan tich_TB'!L20</f>
        <v>-297.83082185900923</v>
      </c>
      <c r="M180" s="593" t="s">
        <v>1065</v>
      </c>
      <c r="N180" s="64"/>
      <c r="O180" s="1"/>
      <c r="P180" s="1" t="s">
        <v>1066</v>
      </c>
      <c r="Q180" s="1"/>
      <c r="R180" s="1"/>
      <c r="S180" s="1"/>
      <c r="T180" s="1"/>
      <c r="U180" s="1"/>
    </row>
    <row r="181" spans="1:21" x14ac:dyDescent="0.3">
      <c r="A181" s="64">
        <f t="shared" si="6"/>
        <v>2474</v>
      </c>
      <c r="B181" s="7">
        <f t="shared" si="7"/>
        <v>46252</v>
      </c>
      <c r="C181" s="488" t="s">
        <v>890</v>
      </c>
      <c r="D181" s="1" t="s">
        <v>1064</v>
      </c>
      <c r="E181" s="62" t="s">
        <v>1030</v>
      </c>
      <c r="F181" s="62"/>
      <c r="G181" s="62"/>
      <c r="H181" s="62"/>
      <c r="I181" s="62" t="s">
        <v>1077</v>
      </c>
      <c r="J181" s="62" t="s">
        <v>1068</v>
      </c>
      <c r="K181" s="62" t="s">
        <v>885</v>
      </c>
      <c r="L181" s="63">
        <f>'Phan tich_TB'!L21</f>
        <v>0</v>
      </c>
      <c r="M181" s="593" t="s">
        <v>1065</v>
      </c>
      <c r="N181" s="64"/>
      <c r="O181" s="1"/>
      <c r="P181" s="1" t="s">
        <v>1066</v>
      </c>
      <c r="Q181" s="1"/>
      <c r="R181" s="1"/>
      <c r="S181" s="1"/>
      <c r="T181" s="1"/>
      <c r="U181" s="1"/>
    </row>
    <row r="182" spans="1:21" x14ac:dyDescent="0.3">
      <c r="A182" s="64">
        <f t="shared" si="6"/>
        <v>2474</v>
      </c>
      <c r="B182" s="7">
        <f t="shared" si="7"/>
        <v>46252</v>
      </c>
      <c r="C182" s="488" t="s">
        <v>890</v>
      </c>
      <c r="D182" s="1" t="s">
        <v>1064</v>
      </c>
      <c r="E182" s="62" t="s">
        <v>1030</v>
      </c>
      <c r="F182" s="62"/>
      <c r="G182" s="62"/>
      <c r="H182" s="62"/>
      <c r="I182" s="62" t="s">
        <v>1077</v>
      </c>
      <c r="J182" s="62" t="s">
        <v>1068</v>
      </c>
      <c r="K182" s="62" t="s">
        <v>886</v>
      </c>
      <c r="L182" s="63">
        <f>'Phan tich_TB'!L22</f>
        <v>0</v>
      </c>
      <c r="M182" s="593" t="s">
        <v>1065</v>
      </c>
      <c r="N182" s="64"/>
      <c r="O182" s="1"/>
      <c r="P182" s="1" t="s">
        <v>1066</v>
      </c>
      <c r="Q182" s="1"/>
      <c r="R182" s="1"/>
      <c r="S182" s="1"/>
      <c r="T182" s="1"/>
      <c r="U182" s="1"/>
    </row>
    <row r="183" spans="1:21" x14ac:dyDescent="0.3">
      <c r="A183" s="64">
        <f t="shared" si="6"/>
        <v>2474</v>
      </c>
      <c r="B183" s="7">
        <f t="shared" si="7"/>
        <v>46252</v>
      </c>
      <c r="C183" s="488" t="s">
        <v>890</v>
      </c>
      <c r="D183" s="1" t="s">
        <v>1064</v>
      </c>
      <c r="E183" s="62" t="s">
        <v>1030</v>
      </c>
      <c r="F183" s="62"/>
      <c r="G183" s="62"/>
      <c r="H183" s="62"/>
      <c r="I183" s="62" t="s">
        <v>1077</v>
      </c>
      <c r="J183" s="62" t="s">
        <v>1068</v>
      </c>
      <c r="K183" s="593">
        <v>0</v>
      </c>
      <c r="L183" s="63">
        <f>'Phan tich_TB'!L12</f>
        <v>0</v>
      </c>
      <c r="M183" s="593" t="s">
        <v>1065</v>
      </c>
      <c r="N183" s="64"/>
      <c r="O183" s="1"/>
      <c r="P183" s="1" t="s">
        <v>1066</v>
      </c>
      <c r="Q183" s="1"/>
      <c r="R183" s="1"/>
      <c r="S183" s="1"/>
      <c r="T183" s="1"/>
      <c r="U183" s="1"/>
    </row>
    <row r="184" spans="1:21" x14ac:dyDescent="0.3">
      <c r="A184" s="64">
        <f t="shared" si="6"/>
        <v>2474</v>
      </c>
      <c r="B184" s="7">
        <f t="shared" si="7"/>
        <v>46252</v>
      </c>
      <c r="C184" s="66" t="s">
        <v>890</v>
      </c>
      <c r="D184" s="1" t="s">
        <v>869</v>
      </c>
      <c r="E184" s="31" t="s">
        <v>1030</v>
      </c>
      <c r="F184" s="31"/>
      <c r="G184" s="1"/>
      <c r="H184" s="1"/>
      <c r="I184" s="1" t="s">
        <v>1076</v>
      </c>
      <c r="J184" s="1"/>
      <c r="K184" s="31"/>
      <c r="L184" s="63">
        <f>'Phan tich_TB'!DA2</f>
        <v>5.0115199977999998</v>
      </c>
      <c r="M184" s="1" t="s">
        <v>1065</v>
      </c>
      <c r="N184" s="64"/>
      <c r="O184" s="1"/>
      <c r="P184" s="1" t="s">
        <v>1066</v>
      </c>
      <c r="Q184" s="1"/>
      <c r="R184" s="1"/>
      <c r="S184" s="1"/>
      <c r="T184" s="1"/>
      <c r="U184" s="1"/>
    </row>
    <row r="185" spans="1:21" x14ac:dyDescent="0.3">
      <c r="A185" s="64">
        <f t="shared" si="6"/>
        <v>2474</v>
      </c>
      <c r="B185" s="7">
        <f t="shared" si="7"/>
        <v>46252</v>
      </c>
      <c r="C185" s="66" t="s">
        <v>890</v>
      </c>
      <c r="D185" s="1" t="s">
        <v>869</v>
      </c>
      <c r="E185" s="31" t="s">
        <v>1030</v>
      </c>
      <c r="F185" s="31"/>
      <c r="G185" s="1"/>
      <c r="H185" s="1"/>
      <c r="I185" s="1" t="s">
        <v>1077</v>
      </c>
      <c r="J185" s="1"/>
      <c r="K185" s="31"/>
      <c r="L185" s="63">
        <f>'Phan tich_TB'!DA3</f>
        <v>0</v>
      </c>
      <c r="M185" s="1" t="s">
        <v>1065</v>
      </c>
      <c r="N185" s="64"/>
      <c r="O185" s="1"/>
      <c r="P185" s="1" t="s">
        <v>1066</v>
      </c>
      <c r="Q185" s="1"/>
      <c r="R185" s="1"/>
      <c r="S185" s="1"/>
      <c r="T185" s="1"/>
      <c r="U185" s="1"/>
    </row>
    <row r="186" spans="1:21" x14ac:dyDescent="0.3">
      <c r="A186" s="64">
        <f t="shared" si="6"/>
        <v>2474</v>
      </c>
      <c r="B186" s="7">
        <f t="shared" si="7"/>
        <v>46252</v>
      </c>
      <c r="C186" s="488" t="s">
        <v>2795</v>
      </c>
      <c r="D186" t="s">
        <v>2806</v>
      </c>
      <c r="E186" s="62" t="s">
        <v>1030</v>
      </c>
      <c r="J186" s="70"/>
      <c r="L186" s="603">
        <f>BS!C4</f>
        <v>38413.699999999997</v>
      </c>
      <c r="M186" s="593" t="s">
        <v>1065</v>
      </c>
      <c r="P186" s="1" t="s">
        <v>1066</v>
      </c>
    </row>
    <row r="187" spans="1:21" x14ac:dyDescent="0.3">
      <c r="A187" s="64">
        <f t="shared" si="6"/>
        <v>2474</v>
      </c>
      <c r="B187" s="7">
        <f t="shared" si="7"/>
        <v>46252</v>
      </c>
      <c r="C187" s="488" t="s">
        <v>2795</v>
      </c>
      <c r="D187" t="s">
        <v>2810</v>
      </c>
      <c r="E187" s="62" t="s">
        <v>1030</v>
      </c>
      <c r="J187" s="70"/>
      <c r="L187" s="603">
        <f>BS!D4</f>
        <v>39160.8315</v>
      </c>
      <c r="M187" s="593" t="s">
        <v>1065</v>
      </c>
      <c r="P187" s="1" t="s">
        <v>1066</v>
      </c>
    </row>
    <row r="188" spans="1:21" x14ac:dyDescent="0.3">
      <c r="A188" s="64">
        <f t="shared" si="6"/>
        <v>2474</v>
      </c>
      <c r="B188" s="7">
        <f t="shared" si="7"/>
        <v>46252</v>
      </c>
      <c r="C188" s="488" t="s">
        <v>2795</v>
      </c>
      <c r="D188" s="488" t="s">
        <v>3283</v>
      </c>
      <c r="E188" s="62" t="s">
        <v>1030</v>
      </c>
      <c r="J188" s="70"/>
      <c r="L188" s="603">
        <f>BS!E4</f>
        <v>2411.5290849112394</v>
      </c>
      <c r="M188" s="593" t="s">
        <v>1065</v>
      </c>
      <c r="P188" s="1" t="s">
        <v>1066</v>
      </c>
    </row>
    <row r="189" spans="1:21" x14ac:dyDescent="0.3">
      <c r="A189" s="64">
        <f t="shared" si="6"/>
        <v>2474</v>
      </c>
      <c r="B189" s="7">
        <f t="shared" si="7"/>
        <v>46252</v>
      </c>
      <c r="C189" s="488" t="s">
        <v>2795</v>
      </c>
      <c r="D189" t="s">
        <v>2202</v>
      </c>
      <c r="E189" s="62" t="s">
        <v>1030</v>
      </c>
      <c r="J189" s="70"/>
      <c r="L189" s="603">
        <f>BS!F4</f>
        <v>-1664.3975849112362</v>
      </c>
      <c r="M189" s="593" t="s">
        <v>1065</v>
      </c>
      <c r="P189" s="1" t="s">
        <v>1066</v>
      </c>
    </row>
    <row r="190" spans="1:21" x14ac:dyDescent="0.3">
      <c r="A190" s="64">
        <f t="shared" si="6"/>
        <v>2474</v>
      </c>
      <c r="B190" s="7">
        <f t="shared" si="7"/>
        <v>46252</v>
      </c>
      <c r="C190" s="488" t="s">
        <v>2795</v>
      </c>
      <c r="D190" t="s">
        <v>3537</v>
      </c>
      <c r="E190" s="62" t="s">
        <v>1030</v>
      </c>
      <c r="J190" s="70"/>
      <c r="L190" s="603">
        <f>BS!G4</f>
        <v>-1468.9836249112388</v>
      </c>
      <c r="M190" s="593" t="s">
        <v>1065</v>
      </c>
      <c r="P190" s="1" t="s">
        <v>1066</v>
      </c>
    </row>
    <row r="191" spans="1:21" x14ac:dyDescent="0.3">
      <c r="A191" s="64">
        <f t="shared" si="6"/>
        <v>2474</v>
      </c>
      <c r="B191" s="7">
        <f t="shared" si="7"/>
        <v>46252</v>
      </c>
      <c r="C191" s="488" t="s">
        <v>2796</v>
      </c>
      <c r="D191" t="s">
        <v>2806</v>
      </c>
      <c r="E191" s="62" t="s">
        <v>1030</v>
      </c>
      <c r="J191" s="70"/>
      <c r="L191" s="603">
        <f>BS!H4</f>
        <v>-22894.7</v>
      </c>
      <c r="M191" s="593" t="s">
        <v>1065</v>
      </c>
      <c r="P191" s="1" t="s">
        <v>1066</v>
      </c>
    </row>
    <row r="192" spans="1:21" x14ac:dyDescent="0.3">
      <c r="A192" s="64">
        <f t="shared" si="6"/>
        <v>2474</v>
      </c>
      <c r="B192" s="7">
        <f t="shared" si="7"/>
        <v>46252</v>
      </c>
      <c r="C192" s="488" t="s">
        <v>2796</v>
      </c>
      <c r="D192" t="s">
        <v>2810</v>
      </c>
      <c r="E192" s="62" t="s">
        <v>1030</v>
      </c>
      <c r="J192" s="70"/>
      <c r="L192" s="603">
        <f>BS!I4</f>
        <v>-24978.901320000001</v>
      </c>
      <c r="M192" s="593" t="s">
        <v>1065</v>
      </c>
      <c r="P192" s="1" t="s">
        <v>1066</v>
      </c>
    </row>
    <row r="193" spans="1:20" x14ac:dyDescent="0.3">
      <c r="A193" s="64">
        <f t="shared" si="6"/>
        <v>2474</v>
      </c>
      <c r="B193" s="7">
        <f t="shared" si="7"/>
        <v>46252</v>
      </c>
      <c r="C193" s="488" t="s">
        <v>2796</v>
      </c>
      <c r="D193" s="488" t="s">
        <v>3283</v>
      </c>
      <c r="E193" s="62" t="s">
        <v>1030</v>
      </c>
      <c r="J193" s="70"/>
      <c r="L193" s="603">
        <f>BS!J4</f>
        <v>-2185.8493831667579</v>
      </c>
      <c r="M193" s="593" t="s">
        <v>1065</v>
      </c>
      <c r="P193" s="1" t="s">
        <v>1066</v>
      </c>
    </row>
    <row r="194" spans="1:20" x14ac:dyDescent="0.3">
      <c r="A194" s="64">
        <f t="shared" si="6"/>
        <v>2474</v>
      </c>
      <c r="B194" s="7">
        <f t="shared" si="7"/>
        <v>46252</v>
      </c>
      <c r="C194" s="488" t="s">
        <v>2796</v>
      </c>
      <c r="D194" t="s">
        <v>2202</v>
      </c>
      <c r="E194" s="62" t="s">
        <v>1030</v>
      </c>
      <c r="J194" s="70"/>
      <c r="L194" s="603">
        <f>BS!K4</f>
        <v>101.64806316675777</v>
      </c>
      <c r="M194" s="593" t="s">
        <v>1065</v>
      </c>
      <c r="P194" s="1" t="s">
        <v>1066</v>
      </c>
    </row>
    <row r="195" spans="1:20" x14ac:dyDescent="0.3">
      <c r="A195" s="64">
        <f t="shared" si="6"/>
        <v>2474</v>
      </c>
      <c r="B195" s="7">
        <f t="shared" si="7"/>
        <v>46252</v>
      </c>
      <c r="C195" s="488" t="s">
        <v>2796</v>
      </c>
      <c r="D195" t="s">
        <v>3537</v>
      </c>
      <c r="E195" s="62" t="s">
        <v>1030</v>
      </c>
      <c r="J195" s="70"/>
      <c r="L195" s="603">
        <f>BS!L4</f>
        <v>104.98872070100386</v>
      </c>
      <c r="M195" s="593" t="s">
        <v>1065</v>
      </c>
      <c r="P195" s="1" t="s">
        <v>1066</v>
      </c>
    </row>
    <row r="196" spans="1:20" x14ac:dyDescent="0.3">
      <c r="A196" s="64">
        <f t="shared" si="6"/>
        <v>2474</v>
      </c>
      <c r="B196" s="7">
        <f t="shared" si="7"/>
        <v>46252</v>
      </c>
      <c r="C196" s="488" t="s">
        <v>2796</v>
      </c>
      <c r="D196" t="s">
        <v>2806</v>
      </c>
      <c r="E196" s="10" t="s">
        <v>3208</v>
      </c>
      <c r="J196" s="70"/>
      <c r="L196" s="603">
        <f>BS!H9</f>
        <v>200</v>
      </c>
      <c r="M196" s="593" t="s">
        <v>1065</v>
      </c>
      <c r="P196" s="1"/>
    </row>
    <row r="197" spans="1:20" x14ac:dyDescent="0.3">
      <c r="A197" s="64">
        <f t="shared" si="6"/>
        <v>2474</v>
      </c>
      <c r="B197" s="7">
        <f t="shared" si="7"/>
        <v>46252</v>
      </c>
      <c r="C197" s="488" t="s">
        <v>2796</v>
      </c>
      <c r="D197" t="s">
        <v>3537</v>
      </c>
      <c r="E197" s="10" t="s">
        <v>3208</v>
      </c>
      <c r="J197" s="70"/>
      <c r="L197" s="603">
        <f>BS!I9</f>
        <v>-5.6213424657534343</v>
      </c>
      <c r="M197" s="593" t="s">
        <v>1065</v>
      </c>
      <c r="P197" s="1"/>
    </row>
    <row r="198" spans="1:20" x14ac:dyDescent="0.3">
      <c r="A198" s="64">
        <f t="shared" si="6"/>
        <v>2474</v>
      </c>
      <c r="B198" s="7">
        <f t="shared" si="7"/>
        <v>46252</v>
      </c>
      <c r="C198" s="488" t="s">
        <v>2796</v>
      </c>
      <c r="D198" t="s">
        <v>2806</v>
      </c>
      <c r="E198" s="10" t="s">
        <v>3667</v>
      </c>
      <c r="J198" s="70"/>
      <c r="L198" s="603">
        <f>BS!J9</f>
        <v>23094.7</v>
      </c>
      <c r="M198" s="593" t="s">
        <v>1065</v>
      </c>
      <c r="P198" s="1"/>
    </row>
    <row r="199" spans="1:20" x14ac:dyDescent="0.3">
      <c r="A199" s="64">
        <f t="shared" si="6"/>
        <v>2474</v>
      </c>
      <c r="B199" s="7">
        <f t="shared" si="7"/>
        <v>46252</v>
      </c>
      <c r="C199" s="488" t="s">
        <v>2796</v>
      </c>
      <c r="D199" t="s">
        <v>3537</v>
      </c>
      <c r="E199" s="10" t="s">
        <v>3667</v>
      </c>
      <c r="J199" s="70"/>
      <c r="L199" s="603">
        <f>BS!K9</f>
        <v>-110.6100631667573</v>
      </c>
      <c r="M199" s="593" t="s">
        <v>1065</v>
      </c>
      <c r="P199" s="1"/>
    </row>
    <row r="200" spans="1:20" x14ac:dyDescent="0.3">
      <c r="A200" s="64">
        <f t="shared" si="6"/>
        <v>2474</v>
      </c>
      <c r="B200" s="7">
        <f t="shared" si="7"/>
        <v>46252</v>
      </c>
      <c r="C200" s="488" t="s">
        <v>2884</v>
      </c>
      <c r="E200" s="62" t="s">
        <v>1030</v>
      </c>
      <c r="L200" s="602">
        <f>'Phan tich_TB'!BA4</f>
        <v>2</v>
      </c>
      <c r="M200" s="593" t="s">
        <v>3205</v>
      </c>
      <c r="N200" s="32">
        <v>0</v>
      </c>
      <c r="P200" s="1" t="s">
        <v>1066</v>
      </c>
    </row>
    <row r="201" spans="1:20" x14ac:dyDescent="0.3">
      <c r="A201" s="64">
        <f t="shared" si="6"/>
        <v>2474</v>
      </c>
      <c r="B201" s="7">
        <f t="shared" si="7"/>
        <v>46252</v>
      </c>
      <c r="C201" s="488" t="s">
        <v>1047</v>
      </c>
      <c r="L201" s="602">
        <v>0</v>
      </c>
      <c r="P201" s="1" t="s">
        <v>1066</v>
      </c>
      <c r="T201" s="32" t="str">
        <f>IF(OR(Runtool!H21=0,Runtool!H21=""),"",Runtool!H21)</f>
        <v xml:space="preserve">VaR vượt do chuyển Book BB -&gt; TB </v>
      </c>
    </row>
    <row r="202" spans="1:20" x14ac:dyDescent="0.3">
      <c r="A202" s="64">
        <f t="shared" si="6"/>
        <v>2474</v>
      </c>
      <c r="B202" s="7">
        <f t="shared" si="7"/>
        <v>46252</v>
      </c>
      <c r="C202" s="488" t="s">
        <v>3560</v>
      </c>
      <c r="D202" s="1" t="s">
        <v>1064</v>
      </c>
      <c r="E202" s="62" t="s">
        <v>1030</v>
      </c>
      <c r="L202" s="602">
        <f>'Phan tich_TB'!AW4</f>
        <v>-44.350826218188359</v>
      </c>
      <c r="M202" s="593" t="s">
        <v>1065</v>
      </c>
      <c r="N202" s="604"/>
      <c r="O202" s="1"/>
      <c r="P202" s="1" t="s">
        <v>1066</v>
      </c>
      <c r="T202" t="s">
        <v>3563</v>
      </c>
    </row>
    <row r="203" spans="1:20" x14ac:dyDescent="0.3">
      <c r="A203" s="64">
        <f t="shared" si="6"/>
        <v>2474</v>
      </c>
      <c r="B203" s="7">
        <f t="shared" si="7"/>
        <v>46252</v>
      </c>
      <c r="C203" s="488" t="s">
        <v>2805</v>
      </c>
      <c r="D203" t="s">
        <v>2806</v>
      </c>
      <c r="E203" s="62" t="s">
        <v>1030</v>
      </c>
      <c r="J203" s="70"/>
      <c r="L203" s="603">
        <f>BS!M4</f>
        <v>1994</v>
      </c>
      <c r="M203" s="593" t="s">
        <v>1065</v>
      </c>
      <c r="P203" s="1" t="s">
        <v>1066</v>
      </c>
    </row>
    <row r="204" spans="1:20" x14ac:dyDescent="0.3">
      <c r="A204" s="64">
        <f t="shared" si="6"/>
        <v>2474</v>
      </c>
      <c r="B204" s="7">
        <f t="shared" si="7"/>
        <v>46252</v>
      </c>
      <c r="C204" s="488" t="s">
        <v>2805</v>
      </c>
      <c r="D204" t="s">
        <v>2810</v>
      </c>
      <c r="E204" s="62" t="s">
        <v>1030</v>
      </c>
      <c r="J204" s="70"/>
      <c r="L204" s="603">
        <f>BS!N4</f>
        <v>1821.9373800000001</v>
      </c>
      <c r="M204" s="593" t="s">
        <v>1065</v>
      </c>
      <c r="P204" s="1" t="s">
        <v>1066</v>
      </c>
    </row>
    <row r="205" spans="1:20" x14ac:dyDescent="0.3">
      <c r="A205" s="64">
        <f t="shared" si="6"/>
        <v>2474</v>
      </c>
      <c r="B205" s="7">
        <f t="shared" si="7"/>
        <v>46252</v>
      </c>
      <c r="C205" s="488" t="s">
        <v>2805</v>
      </c>
      <c r="D205" s="488" t="s">
        <v>3283</v>
      </c>
      <c r="E205" s="62" t="s">
        <v>1030</v>
      </c>
      <c r="J205" s="70"/>
      <c r="L205" s="603">
        <f>BS!O4</f>
        <v>-47.7858334706604</v>
      </c>
      <c r="M205" s="593" t="s">
        <v>1065</v>
      </c>
      <c r="P205" s="1" t="s">
        <v>1066</v>
      </c>
    </row>
    <row r="206" spans="1:20" x14ac:dyDescent="0.3">
      <c r="A206" s="64">
        <f t="shared" si="6"/>
        <v>2474</v>
      </c>
      <c r="B206" s="7">
        <f t="shared" si="7"/>
        <v>46252</v>
      </c>
      <c r="C206" s="488" t="s">
        <v>2805</v>
      </c>
      <c r="D206" t="s">
        <v>2202</v>
      </c>
      <c r="E206" s="62" t="s">
        <v>1030</v>
      </c>
      <c r="J206" s="70"/>
      <c r="L206" s="603">
        <f>BS!P4</f>
        <v>-124.27678652933952</v>
      </c>
      <c r="M206" s="593" t="s">
        <v>1065</v>
      </c>
      <c r="P206" s="1" t="s">
        <v>1066</v>
      </c>
    </row>
    <row r="207" spans="1:20" x14ac:dyDescent="0.3">
      <c r="A207" s="64">
        <f t="shared" si="6"/>
        <v>2474</v>
      </c>
      <c r="B207" s="7">
        <f t="shared" si="7"/>
        <v>46252</v>
      </c>
      <c r="C207" s="488" t="s">
        <v>2805</v>
      </c>
      <c r="D207" t="s">
        <v>3537</v>
      </c>
      <c r="E207" s="62" t="s">
        <v>1030</v>
      </c>
      <c r="J207" s="70"/>
      <c r="L207" s="603">
        <f>BS!Q4</f>
        <v>-53.779166531818163</v>
      </c>
      <c r="M207" s="593" t="s">
        <v>1065</v>
      </c>
      <c r="P207" s="1" t="s">
        <v>1066</v>
      </c>
    </row>
    <row r="208" spans="1:20" x14ac:dyDescent="0.3">
      <c r="A208" s="64">
        <f t="shared" si="6"/>
        <v>2474</v>
      </c>
      <c r="B208" s="7">
        <f t="shared" si="7"/>
        <v>46252</v>
      </c>
      <c r="C208" s="488" t="s">
        <v>2805</v>
      </c>
      <c r="D208" t="s">
        <v>2806</v>
      </c>
      <c r="E208" s="10" t="s">
        <v>3208</v>
      </c>
      <c r="J208" s="70"/>
      <c r="L208" s="603">
        <f>BS!M9</f>
        <v>3906</v>
      </c>
      <c r="M208" s="593" t="s">
        <v>1065</v>
      </c>
      <c r="P208" s="1"/>
    </row>
    <row r="209" spans="1:21" x14ac:dyDescent="0.3">
      <c r="A209" s="64">
        <f t="shared" si="6"/>
        <v>2474</v>
      </c>
      <c r="B209" s="7">
        <f t="shared" si="7"/>
        <v>46252</v>
      </c>
      <c r="C209" s="488" t="s">
        <v>2805</v>
      </c>
      <c r="D209" t="s">
        <v>3537</v>
      </c>
      <c r="E209" s="10" t="s">
        <v>3208</v>
      </c>
      <c r="J209" s="70"/>
      <c r="L209" s="603">
        <f>BS!N9</f>
        <v>-176.21286000247858</v>
      </c>
      <c r="M209" s="593" t="s">
        <v>1065</v>
      </c>
      <c r="P209" s="1"/>
    </row>
    <row r="210" spans="1:21" x14ac:dyDescent="0.3">
      <c r="A210" s="64">
        <f t="shared" si="6"/>
        <v>2474</v>
      </c>
      <c r="B210" s="7">
        <f t="shared" si="7"/>
        <v>46252</v>
      </c>
      <c r="C210" s="488" t="s">
        <v>2805</v>
      </c>
      <c r="D210" t="s">
        <v>2806</v>
      </c>
      <c r="E210" s="10" t="s">
        <v>3667</v>
      </c>
      <c r="J210" s="70"/>
      <c r="L210" s="603">
        <f>BS!O9</f>
        <v>1912</v>
      </c>
      <c r="M210" s="593" t="s">
        <v>1065</v>
      </c>
      <c r="P210" s="1"/>
    </row>
    <row r="211" spans="1:21" x14ac:dyDescent="0.3">
      <c r="A211" s="64">
        <f t="shared" si="6"/>
        <v>2474</v>
      </c>
      <c r="B211" s="7">
        <f t="shared" si="7"/>
        <v>46252</v>
      </c>
      <c r="C211" s="488" t="s">
        <v>2805</v>
      </c>
      <c r="D211" t="s">
        <v>3537</v>
      </c>
      <c r="E211" s="10" t="s">
        <v>3667</v>
      </c>
      <c r="J211" s="70"/>
      <c r="L211" s="603">
        <f>BS!P9</f>
        <v>-122.43369347066042</v>
      </c>
      <c r="M211" s="593" t="s">
        <v>1065</v>
      </c>
      <c r="P211" s="1"/>
    </row>
    <row r="212" spans="1:21" x14ac:dyDescent="0.3">
      <c r="A212" s="64">
        <f t="shared" si="6"/>
        <v>2474</v>
      </c>
      <c r="B212" s="7">
        <f t="shared" si="7"/>
        <v>46252</v>
      </c>
      <c r="C212" s="488" t="s">
        <v>1071</v>
      </c>
      <c r="D212" s="1" t="s">
        <v>1064</v>
      </c>
      <c r="E212" s="62" t="s">
        <v>1030</v>
      </c>
      <c r="F212" s="31"/>
      <c r="G212" s="1"/>
      <c r="H212" s="1"/>
      <c r="I212" s="1"/>
      <c r="J212" s="1"/>
      <c r="K212" s="31"/>
      <c r="L212" s="115">
        <f>'Phan tich_TB'!BZ18</f>
        <v>6.5096967192882511</v>
      </c>
      <c r="M212" s="593"/>
      <c r="N212" s="64"/>
      <c r="O212" s="1"/>
      <c r="P212" s="1" t="s">
        <v>1066</v>
      </c>
      <c r="Q212" s="1"/>
      <c r="R212" s="1"/>
      <c r="S212" s="1"/>
      <c r="T212" s="1"/>
      <c r="U212" s="1"/>
    </row>
    <row r="213" spans="1:21" x14ac:dyDescent="0.3">
      <c r="A213" s="64">
        <f t="shared" si="6"/>
        <v>2474</v>
      </c>
      <c r="B213" s="7">
        <f t="shared" si="7"/>
        <v>46252</v>
      </c>
      <c r="C213" s="488" t="s">
        <v>1071</v>
      </c>
      <c r="D213" s="1" t="s">
        <v>1064</v>
      </c>
      <c r="E213" s="62" t="s">
        <v>898</v>
      </c>
      <c r="F213" s="31"/>
      <c r="G213" s="1"/>
      <c r="H213" s="1"/>
      <c r="I213" s="1"/>
      <c r="J213" s="1"/>
      <c r="K213" s="31"/>
      <c r="L213" s="115">
        <f>'Phan tich_TB'!BZ19</f>
        <v>6.7001715706236826</v>
      </c>
      <c r="M213" s="593"/>
      <c r="N213" s="64"/>
      <c r="O213" s="1"/>
      <c r="P213" s="1" t="s">
        <v>1066</v>
      </c>
      <c r="Q213" s="1"/>
      <c r="R213" s="1"/>
      <c r="S213" s="1"/>
      <c r="T213" s="1"/>
      <c r="U213" s="1"/>
    </row>
    <row r="214" spans="1:21" x14ac:dyDescent="0.3">
      <c r="A214" s="64">
        <f t="shared" si="6"/>
        <v>2474</v>
      </c>
      <c r="B214" s="7">
        <f t="shared" si="7"/>
        <v>46252</v>
      </c>
      <c r="C214" s="488" t="s">
        <v>1071</v>
      </c>
      <c r="D214" s="1" t="s">
        <v>1064</v>
      </c>
      <c r="E214" s="62" t="s">
        <v>906</v>
      </c>
      <c r="F214" s="31"/>
      <c r="G214" s="1"/>
      <c r="H214" s="1"/>
      <c r="I214" s="1"/>
      <c r="J214" s="1"/>
      <c r="K214" s="31"/>
      <c r="L214" s="115">
        <f>'Phan tich_TB'!BZ20</f>
        <v>6.2464749157468571</v>
      </c>
      <c r="M214" s="593"/>
      <c r="N214" s="64"/>
      <c r="O214" s="1"/>
      <c r="P214" s="1" t="s">
        <v>1066</v>
      </c>
      <c r="Q214" s="1"/>
      <c r="R214" s="1"/>
      <c r="S214" s="1"/>
      <c r="T214" s="1"/>
      <c r="U214" s="1"/>
    </row>
    <row r="215" spans="1:21" x14ac:dyDescent="0.3">
      <c r="A215" s="64">
        <f t="shared" si="6"/>
        <v>2474</v>
      </c>
      <c r="B215" s="7">
        <f t="shared" si="7"/>
        <v>46252</v>
      </c>
      <c r="C215" s="488" t="s">
        <v>1071</v>
      </c>
      <c r="D215" s="1" t="s">
        <v>1064</v>
      </c>
      <c r="E215" s="62" t="s">
        <v>1067</v>
      </c>
      <c r="F215" s="31"/>
      <c r="G215" s="1"/>
      <c r="H215" s="1"/>
      <c r="I215" s="1"/>
      <c r="J215" s="1"/>
      <c r="K215" s="31"/>
      <c r="L215" s="115">
        <f>'Phan tich_TB'!BZ21</f>
        <v>0</v>
      </c>
      <c r="M215" s="593"/>
      <c r="N215" s="64"/>
      <c r="O215" s="1"/>
      <c r="P215" s="1" t="s">
        <v>1066</v>
      </c>
      <c r="Q215" s="1"/>
      <c r="R215" s="1"/>
      <c r="S215" s="1"/>
      <c r="T215" s="1"/>
      <c r="U215" s="1"/>
    </row>
    <row r="216" spans="1:21" x14ac:dyDescent="0.3">
      <c r="A216" s="64">
        <f t="shared" si="6"/>
        <v>2474</v>
      </c>
      <c r="B216" s="7">
        <f t="shared" si="7"/>
        <v>46252</v>
      </c>
      <c r="C216" s="488" t="s">
        <v>1071</v>
      </c>
      <c r="D216" s="1" t="s">
        <v>1064</v>
      </c>
      <c r="E216" s="62" t="s">
        <v>906</v>
      </c>
      <c r="F216" s="62" t="s">
        <v>821</v>
      </c>
      <c r="G216" s="62"/>
      <c r="H216" s="62"/>
      <c r="I216" s="1"/>
      <c r="J216" s="1"/>
      <c r="K216" s="31"/>
      <c r="L216" s="115">
        <f>'Phan tich_TB'!BZ22</f>
        <v>2.1768855993835423</v>
      </c>
      <c r="M216" s="593"/>
      <c r="N216" s="64"/>
      <c r="O216" s="1"/>
      <c r="P216" s="1" t="s">
        <v>1066</v>
      </c>
      <c r="Q216" s="1"/>
      <c r="R216" s="1"/>
      <c r="S216" s="1"/>
      <c r="T216" s="1"/>
      <c r="U216" s="1"/>
    </row>
    <row r="217" spans="1:21" x14ac:dyDescent="0.3">
      <c r="A217" s="64">
        <f t="shared" si="6"/>
        <v>2474</v>
      </c>
      <c r="B217" s="7">
        <f t="shared" si="7"/>
        <v>46252</v>
      </c>
      <c r="C217" s="488" t="s">
        <v>1071</v>
      </c>
      <c r="D217" s="1" t="s">
        <v>1064</v>
      </c>
      <c r="E217" s="62" t="s">
        <v>906</v>
      </c>
      <c r="F217" s="62" t="s">
        <v>905</v>
      </c>
      <c r="G217" s="62"/>
      <c r="H217" s="62"/>
      <c r="I217" s="1"/>
      <c r="J217" s="1"/>
      <c r="K217" s="31"/>
      <c r="L217" s="115">
        <f>'Phan tich_TB'!BZ23</f>
        <v>7.2798702320051483</v>
      </c>
      <c r="M217" s="593"/>
      <c r="N217" s="64"/>
      <c r="O217" s="1"/>
      <c r="P217" s="1" t="s">
        <v>1066</v>
      </c>
      <c r="Q217" s="1"/>
      <c r="R217" s="1"/>
      <c r="S217" s="1"/>
      <c r="T217" s="1"/>
      <c r="U217" s="1"/>
    </row>
    <row r="218" spans="1:21" x14ac:dyDescent="0.3">
      <c r="A218" s="64">
        <f t="shared" si="6"/>
        <v>2474</v>
      </c>
      <c r="B218" s="7">
        <f t="shared" si="7"/>
        <v>46252</v>
      </c>
      <c r="C218" s="488" t="s">
        <v>1071</v>
      </c>
      <c r="D218" s="1" t="s">
        <v>1064</v>
      </c>
      <c r="E218" s="62" t="s">
        <v>1030</v>
      </c>
      <c r="F218" s="62"/>
      <c r="G218" s="62"/>
      <c r="H218" s="62"/>
      <c r="I218" s="62"/>
      <c r="J218" s="62" t="s">
        <v>1068</v>
      </c>
      <c r="K218" s="62" t="s">
        <v>877</v>
      </c>
      <c r="L218" s="115">
        <f>'Phan tich_TB'!BZ24</f>
        <v>0</v>
      </c>
      <c r="M218" s="593"/>
      <c r="N218" s="64"/>
      <c r="O218" s="1"/>
      <c r="P218" s="1" t="s">
        <v>1066</v>
      </c>
      <c r="Q218" s="1"/>
      <c r="R218" s="1"/>
      <c r="S218" s="1"/>
      <c r="T218" s="1"/>
      <c r="U218" s="1"/>
    </row>
    <row r="219" spans="1:21" x14ac:dyDescent="0.3">
      <c r="A219" s="64">
        <f t="shared" si="6"/>
        <v>2474</v>
      </c>
      <c r="B219" s="7">
        <f t="shared" si="7"/>
        <v>46252</v>
      </c>
      <c r="C219" s="488" t="s">
        <v>1071</v>
      </c>
      <c r="D219" s="1" t="s">
        <v>1064</v>
      </c>
      <c r="E219" s="62" t="s">
        <v>1030</v>
      </c>
      <c r="F219" s="62"/>
      <c r="G219" s="62"/>
      <c r="H219" s="62"/>
      <c r="I219" s="62"/>
      <c r="J219" s="62" t="s">
        <v>1068</v>
      </c>
      <c r="K219" s="62" t="s">
        <v>878</v>
      </c>
      <c r="L219" s="115">
        <f>'Phan tich_TB'!BZ25</f>
        <v>0</v>
      </c>
      <c r="M219" s="593"/>
      <c r="N219" s="64"/>
      <c r="O219" s="1"/>
      <c r="P219" s="1" t="s">
        <v>1066</v>
      </c>
      <c r="Q219" s="1"/>
      <c r="R219" s="1"/>
      <c r="S219" s="1"/>
      <c r="T219" s="1"/>
      <c r="U219" s="1"/>
    </row>
    <row r="220" spans="1:21" x14ac:dyDescent="0.3">
      <c r="A220" s="64">
        <f t="shared" si="6"/>
        <v>2474</v>
      </c>
      <c r="B220" s="7">
        <f t="shared" si="7"/>
        <v>46252</v>
      </c>
      <c r="C220" s="488" t="s">
        <v>1071</v>
      </c>
      <c r="D220" s="1" t="s">
        <v>1064</v>
      </c>
      <c r="E220" s="62" t="s">
        <v>1030</v>
      </c>
      <c r="F220" s="62"/>
      <c r="G220" s="62"/>
      <c r="H220" s="62"/>
      <c r="I220" s="62"/>
      <c r="J220" s="62" t="s">
        <v>1068</v>
      </c>
      <c r="K220" s="62" t="s">
        <v>879</v>
      </c>
      <c r="L220" s="115">
        <f>'Phan tich_TB'!BZ26</f>
        <v>2.6239055386625001</v>
      </c>
      <c r="M220" s="593"/>
      <c r="N220" s="64"/>
      <c r="O220" s="1"/>
      <c r="P220" s="1" t="s">
        <v>1066</v>
      </c>
      <c r="Q220" s="1"/>
      <c r="R220" s="1"/>
      <c r="S220" s="1"/>
      <c r="T220" s="1"/>
      <c r="U220" s="1"/>
    </row>
    <row r="221" spans="1:21" x14ac:dyDescent="0.3">
      <c r="A221" s="64">
        <f t="shared" si="6"/>
        <v>2474</v>
      </c>
      <c r="B221" s="7">
        <f t="shared" si="7"/>
        <v>46252</v>
      </c>
      <c r="C221" s="488" t="s">
        <v>1071</v>
      </c>
      <c r="D221" s="1" t="s">
        <v>1064</v>
      </c>
      <c r="E221" s="62" t="s">
        <v>1030</v>
      </c>
      <c r="F221" s="62"/>
      <c r="G221" s="62"/>
      <c r="H221" s="62"/>
      <c r="I221" s="62"/>
      <c r="J221" s="62" t="s">
        <v>1068</v>
      </c>
      <c r="K221" s="62" t="s">
        <v>880</v>
      </c>
      <c r="L221" s="115">
        <f>'Phan tich_TB'!BZ27</f>
        <v>3.7944964206788292</v>
      </c>
      <c r="M221" s="593"/>
      <c r="N221" s="64"/>
      <c r="O221" s="1"/>
      <c r="P221" s="1" t="s">
        <v>1066</v>
      </c>
      <c r="Q221" s="1"/>
      <c r="R221" s="1"/>
      <c r="S221" s="1"/>
      <c r="T221" s="1"/>
      <c r="U221" s="1"/>
    </row>
    <row r="222" spans="1:21" x14ac:dyDescent="0.3">
      <c r="A222" s="64">
        <f t="shared" si="6"/>
        <v>2474</v>
      </c>
      <c r="B222" s="7">
        <f t="shared" si="7"/>
        <v>46252</v>
      </c>
      <c r="C222" s="488" t="s">
        <v>1071</v>
      </c>
      <c r="D222" s="1" t="s">
        <v>1064</v>
      </c>
      <c r="E222" s="62" t="s">
        <v>1030</v>
      </c>
      <c r="F222" s="62"/>
      <c r="G222" s="62"/>
      <c r="H222" s="62"/>
      <c r="I222" s="62"/>
      <c r="J222" s="62" t="s">
        <v>1068</v>
      </c>
      <c r="K222" s="62" t="s">
        <v>881</v>
      </c>
      <c r="L222" s="115">
        <f>'Phan tich_TB'!BZ28</f>
        <v>4.0726496747454242</v>
      </c>
      <c r="M222" s="593"/>
      <c r="N222" s="64"/>
      <c r="O222" s="1"/>
      <c r="P222" s="1" t="s">
        <v>1066</v>
      </c>
      <c r="Q222" s="1"/>
      <c r="R222" s="1"/>
      <c r="S222" s="1"/>
      <c r="T222" s="1"/>
      <c r="U222" s="1"/>
    </row>
    <row r="223" spans="1:21" x14ac:dyDescent="0.3">
      <c r="A223" s="64">
        <f t="shared" si="6"/>
        <v>2474</v>
      </c>
      <c r="B223" s="7">
        <f t="shared" si="7"/>
        <v>46252</v>
      </c>
      <c r="C223" s="488" t="s">
        <v>1071</v>
      </c>
      <c r="D223" s="1" t="s">
        <v>1064</v>
      </c>
      <c r="E223" s="62" t="s">
        <v>1030</v>
      </c>
      <c r="F223" s="62"/>
      <c r="G223" s="62"/>
      <c r="H223" s="62"/>
      <c r="I223" s="62"/>
      <c r="J223" s="62" t="s">
        <v>1068</v>
      </c>
      <c r="K223" s="62" t="s">
        <v>882</v>
      </c>
      <c r="L223" s="115">
        <f>'Phan tich_TB'!BZ29</f>
        <v>5.8273259499013266</v>
      </c>
      <c r="M223" s="593"/>
      <c r="N223" s="64"/>
      <c r="O223" s="1"/>
      <c r="P223" s="1" t="s">
        <v>1066</v>
      </c>
      <c r="Q223" s="1"/>
      <c r="R223" s="1"/>
      <c r="S223" s="1"/>
      <c r="T223" s="1"/>
      <c r="U223" s="1"/>
    </row>
    <row r="224" spans="1:21" x14ac:dyDescent="0.3">
      <c r="A224" s="64">
        <f t="shared" si="6"/>
        <v>2474</v>
      </c>
      <c r="B224" s="7">
        <f t="shared" si="7"/>
        <v>46252</v>
      </c>
      <c r="C224" s="488" t="s">
        <v>1071</v>
      </c>
      <c r="D224" s="1" t="s">
        <v>1064</v>
      </c>
      <c r="E224" s="62" t="s">
        <v>1030</v>
      </c>
      <c r="F224" s="62"/>
      <c r="G224" s="62"/>
      <c r="H224" s="62"/>
      <c r="I224" s="62"/>
      <c r="J224" s="62" t="s">
        <v>1068</v>
      </c>
      <c r="K224" s="62" t="s">
        <v>883</v>
      </c>
      <c r="L224" s="115">
        <f>'Phan tich_TB'!BZ30</f>
        <v>7.0509009173640758</v>
      </c>
      <c r="M224" s="593"/>
      <c r="N224" s="64"/>
      <c r="O224" s="1"/>
      <c r="P224" s="1" t="s">
        <v>1066</v>
      </c>
      <c r="Q224" s="1"/>
      <c r="R224" s="1"/>
      <c r="S224" s="1"/>
      <c r="T224" s="1"/>
      <c r="U224" s="1"/>
    </row>
    <row r="225" spans="1:21" x14ac:dyDescent="0.3">
      <c r="A225" s="64">
        <f t="shared" si="6"/>
        <v>2474</v>
      </c>
      <c r="B225" s="7">
        <f t="shared" si="7"/>
        <v>46252</v>
      </c>
      <c r="C225" s="488" t="s">
        <v>1071</v>
      </c>
      <c r="D225" s="1" t="s">
        <v>1064</v>
      </c>
      <c r="E225" s="62" t="s">
        <v>1030</v>
      </c>
      <c r="F225" s="62"/>
      <c r="G225" s="62"/>
      <c r="H225" s="62"/>
      <c r="I225" s="62"/>
      <c r="J225" s="62" t="s">
        <v>1068</v>
      </c>
      <c r="K225" s="62" t="s">
        <v>884</v>
      </c>
      <c r="L225" s="115">
        <f>'Phan tich_TB'!BZ31</f>
        <v>9.5577530991025537</v>
      </c>
      <c r="M225" s="593"/>
      <c r="N225" s="64"/>
      <c r="O225" s="1"/>
      <c r="P225" s="1" t="s">
        <v>1066</v>
      </c>
      <c r="Q225" s="1"/>
      <c r="R225" s="1"/>
      <c r="S225" s="1"/>
      <c r="T225" s="1"/>
      <c r="U225" s="1"/>
    </row>
    <row r="226" spans="1:21" x14ac:dyDescent="0.3">
      <c r="A226" s="64">
        <f t="shared" si="6"/>
        <v>2474</v>
      </c>
      <c r="B226" s="7">
        <f t="shared" si="7"/>
        <v>46252</v>
      </c>
      <c r="C226" s="488" t="s">
        <v>1071</v>
      </c>
      <c r="D226" s="1" t="s">
        <v>1064</v>
      </c>
      <c r="E226" s="62" t="s">
        <v>1030</v>
      </c>
      <c r="F226" s="62"/>
      <c r="G226" s="62"/>
      <c r="H226" s="62"/>
      <c r="I226" s="62"/>
      <c r="J226" s="62" t="s">
        <v>1068</v>
      </c>
      <c r="K226" s="62" t="s">
        <v>885</v>
      </c>
      <c r="L226" s="115">
        <f>'Phan tich_TB'!BZ32</f>
        <v>0</v>
      </c>
      <c r="M226" s="593"/>
      <c r="N226" s="64"/>
      <c r="O226" s="1"/>
      <c r="P226" s="1" t="s">
        <v>1066</v>
      </c>
      <c r="Q226" s="1"/>
      <c r="R226" s="1"/>
      <c r="S226" s="1"/>
      <c r="T226" s="1"/>
      <c r="U226" s="1"/>
    </row>
    <row r="227" spans="1:21" x14ac:dyDescent="0.3">
      <c r="A227" s="64">
        <f t="shared" si="6"/>
        <v>2474</v>
      </c>
      <c r="B227" s="7">
        <f t="shared" si="7"/>
        <v>46252</v>
      </c>
      <c r="C227" s="488" t="s">
        <v>1071</v>
      </c>
      <c r="D227" s="1" t="s">
        <v>1064</v>
      </c>
      <c r="E227" s="62" t="s">
        <v>1030</v>
      </c>
      <c r="F227" s="62"/>
      <c r="G227" s="62"/>
      <c r="H227" s="62"/>
      <c r="I227" s="62"/>
      <c r="J227" s="62" t="s">
        <v>1068</v>
      </c>
      <c r="K227" s="62" t="s">
        <v>886</v>
      </c>
      <c r="L227" s="115">
        <f>'Phan tich_TB'!BZ33</f>
        <v>0</v>
      </c>
      <c r="M227" s="593"/>
      <c r="N227" s="64"/>
      <c r="O227" s="1"/>
      <c r="P227" s="1" t="s">
        <v>1066</v>
      </c>
      <c r="Q227" s="1"/>
      <c r="R227" s="1"/>
      <c r="S227" s="1"/>
      <c r="T227" s="1"/>
      <c r="U227" s="1"/>
    </row>
    <row r="228" spans="1:21" x14ac:dyDescent="0.3">
      <c r="A228" s="64">
        <f t="shared" si="6"/>
        <v>2474</v>
      </c>
      <c r="B228" s="7">
        <f t="shared" si="7"/>
        <v>46252</v>
      </c>
      <c r="C228" s="66" t="s">
        <v>1071</v>
      </c>
      <c r="D228" s="1" t="s">
        <v>869</v>
      </c>
      <c r="E228" s="62" t="s">
        <v>1030</v>
      </c>
      <c r="F228" s="31"/>
      <c r="G228" s="1"/>
      <c r="H228" s="1"/>
      <c r="I228" s="1"/>
      <c r="J228" s="1"/>
      <c r="K228" s="31"/>
      <c r="L228" s="63">
        <f>'Phan tich_TB'!DF6</f>
        <v>0</v>
      </c>
      <c r="M228" s="593" t="s">
        <v>1085</v>
      </c>
      <c r="N228" s="64"/>
      <c r="O228" s="1"/>
      <c r="P228" s="1" t="s">
        <v>1066</v>
      </c>
      <c r="Q228" s="1"/>
      <c r="R228" s="1"/>
      <c r="S228" s="1"/>
      <c r="T228" s="1"/>
      <c r="U228" s="1"/>
    </row>
    <row r="229" spans="1:21" x14ac:dyDescent="0.3">
      <c r="A229" s="64">
        <f t="shared" si="6"/>
        <v>2474</v>
      </c>
      <c r="B229" s="7">
        <f t="shared" si="7"/>
        <v>46252</v>
      </c>
      <c r="C229" s="488" t="s">
        <v>1069</v>
      </c>
      <c r="D229" s="1" t="s">
        <v>1064</v>
      </c>
      <c r="E229" s="62" t="s">
        <v>1030</v>
      </c>
      <c r="F229" s="62" t="s">
        <v>1030</v>
      </c>
      <c r="G229" s="62"/>
      <c r="H229" s="62"/>
      <c r="I229" s="62"/>
      <c r="J229" s="62"/>
      <c r="K229" s="606"/>
      <c r="L229" s="63">
        <f>'Phan tich_TB'!BR2</f>
        <v>16003.867559999999</v>
      </c>
      <c r="M229" s="593" t="s">
        <v>1065</v>
      </c>
      <c r="N229" s="64"/>
      <c r="O229" s="1"/>
      <c r="P229" s="1" t="s">
        <v>1066</v>
      </c>
      <c r="Q229" s="1"/>
      <c r="R229" s="1"/>
      <c r="S229" s="1"/>
      <c r="T229" s="1"/>
      <c r="U229" s="1"/>
    </row>
    <row r="230" spans="1:21" x14ac:dyDescent="0.3">
      <c r="A230" s="64">
        <f t="shared" si="6"/>
        <v>2474</v>
      </c>
      <c r="B230" s="7">
        <f t="shared" si="7"/>
        <v>46252</v>
      </c>
      <c r="C230" s="488" t="s">
        <v>1069</v>
      </c>
      <c r="D230" s="1" t="s">
        <v>1064</v>
      </c>
      <c r="E230" s="62" t="s">
        <v>898</v>
      </c>
      <c r="F230" s="62" t="s">
        <v>823</v>
      </c>
      <c r="G230" s="62"/>
      <c r="H230" s="62"/>
      <c r="I230" s="62"/>
      <c r="J230" s="62"/>
      <c r="K230" s="31"/>
      <c r="L230" s="63">
        <f>'Phan tich_TB'!BR3</f>
        <v>11211.064900000001</v>
      </c>
      <c r="M230" s="593" t="s">
        <v>1065</v>
      </c>
      <c r="N230" s="64"/>
      <c r="O230" s="1"/>
      <c r="P230" s="1" t="s">
        <v>1066</v>
      </c>
      <c r="Q230" s="1"/>
      <c r="R230" s="1"/>
      <c r="S230" s="1"/>
      <c r="T230" s="1"/>
      <c r="U230" s="1"/>
    </row>
    <row r="231" spans="1:21" x14ac:dyDescent="0.3">
      <c r="A231" s="64">
        <f t="shared" si="6"/>
        <v>2474</v>
      </c>
      <c r="B231" s="7">
        <f t="shared" si="7"/>
        <v>46252</v>
      </c>
      <c r="C231" s="488" t="s">
        <v>1069</v>
      </c>
      <c r="D231" s="1" t="s">
        <v>1064</v>
      </c>
      <c r="E231" s="62" t="s">
        <v>906</v>
      </c>
      <c r="F231" s="62" t="s">
        <v>821</v>
      </c>
      <c r="G231" s="62"/>
      <c r="H231" s="62"/>
      <c r="I231" s="62"/>
      <c r="J231" s="62"/>
      <c r="K231" s="31"/>
      <c r="L231" s="63">
        <f>'Phan tich_TB'!BR4</f>
        <v>1422.9363000000001</v>
      </c>
      <c r="M231" s="593" t="s">
        <v>1065</v>
      </c>
      <c r="N231" s="64"/>
      <c r="O231" s="1"/>
      <c r="P231" s="1" t="s">
        <v>1066</v>
      </c>
      <c r="Q231" s="1"/>
      <c r="R231" s="1"/>
      <c r="S231" s="1"/>
      <c r="T231" s="1"/>
      <c r="U231" s="1"/>
    </row>
    <row r="232" spans="1:21" x14ac:dyDescent="0.3">
      <c r="A232" s="64">
        <f t="shared" si="6"/>
        <v>2474</v>
      </c>
      <c r="B232" s="7">
        <f t="shared" si="7"/>
        <v>46252</v>
      </c>
      <c r="C232" s="488" t="s">
        <v>1069</v>
      </c>
      <c r="D232" s="1" t="s">
        <v>1064</v>
      </c>
      <c r="E232" s="62" t="s">
        <v>906</v>
      </c>
      <c r="F232" s="62" t="s">
        <v>905</v>
      </c>
      <c r="G232" s="62"/>
      <c r="H232" s="62"/>
      <c r="I232" s="62"/>
      <c r="J232" s="62"/>
      <c r="K232" s="31"/>
      <c r="L232" s="63">
        <f>'Phan tich_TB'!BR5</f>
        <v>3038.9813599999998</v>
      </c>
      <c r="M232" s="593" t="s">
        <v>1065</v>
      </c>
      <c r="N232" s="64"/>
      <c r="O232" s="1"/>
      <c r="P232" s="1" t="s">
        <v>1066</v>
      </c>
      <c r="Q232" s="1"/>
      <c r="R232" s="1"/>
      <c r="S232" s="1"/>
      <c r="T232" s="1"/>
      <c r="U232" s="1"/>
    </row>
    <row r="233" spans="1:21" x14ac:dyDescent="0.3">
      <c r="A233" s="64">
        <f t="shared" si="6"/>
        <v>2474</v>
      </c>
      <c r="B233" s="7">
        <f t="shared" si="7"/>
        <v>46252</v>
      </c>
      <c r="C233" s="488" t="s">
        <v>1069</v>
      </c>
      <c r="D233" s="1" t="s">
        <v>1064</v>
      </c>
      <c r="E233" s="62" t="s">
        <v>1067</v>
      </c>
      <c r="F233" s="62"/>
      <c r="G233" s="62"/>
      <c r="H233" s="62"/>
      <c r="I233" s="62"/>
      <c r="J233" s="62"/>
      <c r="K233" s="31"/>
      <c r="L233" s="63">
        <f>'Phan tich_TB'!BR6</f>
        <v>330.88499999999999</v>
      </c>
      <c r="M233" s="593" t="s">
        <v>1065</v>
      </c>
      <c r="N233" s="64"/>
      <c r="O233" s="1"/>
      <c r="P233" s="1" t="s">
        <v>1066</v>
      </c>
      <c r="Q233" s="1"/>
      <c r="R233" s="1"/>
      <c r="S233" s="1"/>
      <c r="T233" s="1"/>
      <c r="U233" s="1"/>
    </row>
    <row r="234" spans="1:21" x14ac:dyDescent="0.3">
      <c r="A234" s="64">
        <f t="shared" si="6"/>
        <v>2474</v>
      </c>
      <c r="B234" s="7">
        <f t="shared" si="7"/>
        <v>46252</v>
      </c>
      <c r="C234" s="488" t="s">
        <v>1069</v>
      </c>
      <c r="D234" s="1" t="s">
        <v>1064</v>
      </c>
      <c r="E234" s="62" t="s">
        <v>1030</v>
      </c>
      <c r="F234" s="62"/>
      <c r="G234" s="62"/>
      <c r="H234" s="62"/>
      <c r="I234" s="62"/>
      <c r="J234" s="62" t="s">
        <v>1068</v>
      </c>
      <c r="K234" s="62" t="s">
        <v>877</v>
      </c>
      <c r="L234" s="63">
        <f>'Phan tich_TB'!BR7</f>
        <v>1009.0563</v>
      </c>
      <c r="M234" s="593" t="s">
        <v>1065</v>
      </c>
      <c r="N234" s="64"/>
      <c r="O234" s="1"/>
      <c r="P234" s="1" t="s">
        <v>1066</v>
      </c>
      <c r="Q234" s="1"/>
      <c r="R234" s="1"/>
      <c r="S234" s="1"/>
      <c r="T234" s="1"/>
      <c r="U234" s="1"/>
    </row>
    <row r="235" spans="1:21" x14ac:dyDescent="0.3">
      <c r="A235" s="64">
        <f t="shared" si="6"/>
        <v>2474</v>
      </c>
      <c r="B235" s="7">
        <f t="shared" si="7"/>
        <v>46252</v>
      </c>
      <c r="C235" s="488" t="s">
        <v>1069</v>
      </c>
      <c r="D235" s="1" t="s">
        <v>1064</v>
      </c>
      <c r="E235" s="62" t="s">
        <v>1030</v>
      </c>
      <c r="F235" s="62"/>
      <c r="G235" s="62"/>
      <c r="H235" s="62"/>
      <c r="I235" s="62"/>
      <c r="J235" s="62" t="s">
        <v>1068</v>
      </c>
      <c r="K235" s="62" t="s">
        <v>878</v>
      </c>
      <c r="L235" s="63">
        <f>'Phan tich_TB'!BR8</f>
        <v>0</v>
      </c>
      <c r="M235" s="593" t="s">
        <v>1065</v>
      </c>
      <c r="N235" s="64"/>
      <c r="O235" s="1"/>
      <c r="P235" s="1" t="s">
        <v>1066</v>
      </c>
      <c r="Q235" s="1"/>
      <c r="R235" s="1"/>
      <c r="S235" s="1"/>
      <c r="T235" s="1"/>
      <c r="U235" s="1"/>
    </row>
    <row r="236" spans="1:21" x14ac:dyDescent="0.3">
      <c r="A236" s="64">
        <f t="shared" si="6"/>
        <v>2474</v>
      </c>
      <c r="B236" s="7">
        <f t="shared" si="7"/>
        <v>46252</v>
      </c>
      <c r="C236" s="488" t="s">
        <v>1069</v>
      </c>
      <c r="D236" s="1" t="s">
        <v>1064</v>
      </c>
      <c r="E236" s="62" t="s">
        <v>1030</v>
      </c>
      <c r="F236" s="62"/>
      <c r="G236" s="62"/>
      <c r="H236" s="62"/>
      <c r="I236" s="62"/>
      <c r="J236" s="62" t="s">
        <v>1068</v>
      </c>
      <c r="K236" s="62" t="s">
        <v>879</v>
      </c>
      <c r="L236" s="63">
        <f>'Phan tich_TB'!BR9</f>
        <v>330.88499999999999</v>
      </c>
      <c r="M236" s="593" t="s">
        <v>1065</v>
      </c>
      <c r="N236" s="64"/>
      <c r="O236" s="1"/>
      <c r="P236" s="1" t="s">
        <v>1066</v>
      </c>
      <c r="Q236" s="1"/>
      <c r="R236" s="1"/>
      <c r="S236" s="1"/>
      <c r="T236" s="1"/>
      <c r="U236" s="1"/>
    </row>
    <row r="237" spans="1:21" x14ac:dyDescent="0.3">
      <c r="A237" s="64">
        <f t="shared" si="6"/>
        <v>2474</v>
      </c>
      <c r="B237" s="7">
        <f t="shared" si="7"/>
        <v>46252</v>
      </c>
      <c r="C237" s="488" t="s">
        <v>1069</v>
      </c>
      <c r="D237" s="1" t="s">
        <v>1064</v>
      </c>
      <c r="E237" s="62" t="s">
        <v>1030</v>
      </c>
      <c r="F237" s="62"/>
      <c r="G237" s="62"/>
      <c r="H237" s="62"/>
      <c r="I237" s="62"/>
      <c r="J237" s="62" t="s">
        <v>1068</v>
      </c>
      <c r="K237" s="62" t="s">
        <v>880</v>
      </c>
      <c r="L237" s="63">
        <f>'Phan tich_TB'!BR10</f>
        <v>752.67099999999994</v>
      </c>
      <c r="M237" s="593" t="s">
        <v>1065</v>
      </c>
      <c r="N237" s="64"/>
      <c r="O237" s="1"/>
      <c r="P237" s="1" t="s">
        <v>1066</v>
      </c>
      <c r="Q237" s="1"/>
      <c r="R237" s="1"/>
      <c r="S237" s="1"/>
      <c r="T237" s="1"/>
      <c r="U237" s="1"/>
    </row>
    <row r="238" spans="1:21" x14ac:dyDescent="0.3">
      <c r="A238" s="64">
        <f t="shared" si="6"/>
        <v>2474</v>
      </c>
      <c r="B238" s="7">
        <f t="shared" si="7"/>
        <v>46252</v>
      </c>
      <c r="C238" s="488" t="s">
        <v>1069</v>
      </c>
      <c r="D238" s="1" t="s">
        <v>1064</v>
      </c>
      <c r="E238" s="62" t="s">
        <v>1030</v>
      </c>
      <c r="F238" s="62"/>
      <c r="G238" s="62"/>
      <c r="H238" s="62"/>
      <c r="I238" s="62"/>
      <c r="J238" s="62" t="s">
        <v>1068</v>
      </c>
      <c r="K238" s="62" t="s">
        <v>881</v>
      </c>
      <c r="L238" s="63">
        <f>'Phan tich_TB'!BR11</f>
        <v>112.3805</v>
      </c>
      <c r="M238" s="593" t="s">
        <v>1065</v>
      </c>
      <c r="N238" s="64"/>
      <c r="O238" s="1"/>
      <c r="P238" s="1" t="s">
        <v>1066</v>
      </c>
      <c r="Q238" s="1"/>
      <c r="R238" s="1"/>
      <c r="S238" s="1"/>
      <c r="T238" s="1"/>
      <c r="U238" s="1"/>
    </row>
    <row r="239" spans="1:21" x14ac:dyDescent="0.3">
      <c r="A239" s="64">
        <f t="shared" si="6"/>
        <v>2474</v>
      </c>
      <c r="B239" s="7">
        <f t="shared" si="7"/>
        <v>46252</v>
      </c>
      <c r="C239" s="488" t="s">
        <v>1069</v>
      </c>
      <c r="D239" s="1" t="s">
        <v>1064</v>
      </c>
      <c r="E239" s="62" t="s">
        <v>1030</v>
      </c>
      <c r="F239" s="62"/>
      <c r="G239" s="62"/>
      <c r="H239" s="62"/>
      <c r="I239" s="62"/>
      <c r="J239" s="62" t="s">
        <v>1068</v>
      </c>
      <c r="K239" s="62" t="s">
        <v>882</v>
      </c>
      <c r="L239" s="63">
        <f>'Phan tich_TB'!BR12</f>
        <v>4497.2797399999999</v>
      </c>
      <c r="M239" s="593" t="s">
        <v>1065</v>
      </c>
      <c r="N239" s="64"/>
      <c r="O239" s="1"/>
      <c r="P239" s="1" t="s">
        <v>1066</v>
      </c>
      <c r="Q239" s="1"/>
      <c r="R239" s="1"/>
      <c r="S239" s="1"/>
      <c r="T239" s="1"/>
      <c r="U239" s="1"/>
    </row>
    <row r="240" spans="1:21" x14ac:dyDescent="0.3">
      <c r="A240" s="64">
        <f t="shared" si="6"/>
        <v>2474</v>
      </c>
      <c r="B240" s="7">
        <f t="shared" si="7"/>
        <v>46252</v>
      </c>
      <c r="C240" s="488" t="s">
        <v>1069</v>
      </c>
      <c r="D240" s="1" t="s">
        <v>1064</v>
      </c>
      <c r="E240" s="62" t="s">
        <v>1030</v>
      </c>
      <c r="F240" s="62"/>
      <c r="G240" s="62"/>
      <c r="H240" s="62"/>
      <c r="I240" s="62"/>
      <c r="J240" s="62" t="s">
        <v>1068</v>
      </c>
      <c r="K240" s="62" t="s">
        <v>883</v>
      </c>
      <c r="L240" s="63">
        <f>'Phan tich_TB'!BR13</f>
        <v>5858.7255800000003</v>
      </c>
      <c r="M240" s="593" t="s">
        <v>1065</v>
      </c>
      <c r="N240" s="64"/>
      <c r="O240" s="1"/>
      <c r="P240" s="1" t="s">
        <v>1066</v>
      </c>
      <c r="Q240" s="1"/>
      <c r="R240" s="1"/>
      <c r="S240" s="1"/>
      <c r="T240" s="1"/>
      <c r="U240" s="1"/>
    </row>
    <row r="241" spans="1:21" x14ac:dyDescent="0.3">
      <c r="A241" s="64">
        <f t="shared" si="6"/>
        <v>2474</v>
      </c>
      <c r="B241" s="7">
        <f t="shared" si="7"/>
        <v>46252</v>
      </c>
      <c r="C241" s="488" t="s">
        <v>1069</v>
      </c>
      <c r="D241" s="1" t="s">
        <v>1064</v>
      </c>
      <c r="E241" s="62" t="s">
        <v>1030</v>
      </c>
      <c r="F241" s="62"/>
      <c r="G241" s="62"/>
      <c r="H241" s="62"/>
      <c r="I241" s="62"/>
      <c r="J241" s="62" t="s">
        <v>1068</v>
      </c>
      <c r="K241" s="62" t="s">
        <v>884</v>
      </c>
      <c r="L241" s="63">
        <f>'Phan tich_TB'!BR14</f>
        <v>3442.8694400000004</v>
      </c>
      <c r="M241" s="593" t="s">
        <v>1065</v>
      </c>
      <c r="N241" s="64"/>
      <c r="O241" s="1"/>
      <c r="P241" s="1" t="s">
        <v>1066</v>
      </c>
      <c r="Q241" s="1"/>
      <c r="R241" s="1"/>
      <c r="S241" s="1"/>
      <c r="T241" s="1"/>
      <c r="U241" s="1"/>
    </row>
    <row r="242" spans="1:21" x14ac:dyDescent="0.3">
      <c r="A242" s="64">
        <f t="shared" ref="A242:A295" si="8">$X$3</f>
        <v>2474</v>
      </c>
      <c r="B242" s="7">
        <f t="shared" ref="B242:B295" si="9">RPT</f>
        <v>46252</v>
      </c>
      <c r="C242" s="488" t="s">
        <v>1069</v>
      </c>
      <c r="D242" s="1" t="s">
        <v>1064</v>
      </c>
      <c r="E242" s="62" t="s">
        <v>1030</v>
      </c>
      <c r="F242" s="62"/>
      <c r="G242" s="62"/>
      <c r="H242" s="62"/>
      <c r="I242" s="62"/>
      <c r="J242" s="62" t="s">
        <v>1068</v>
      </c>
      <c r="K242" s="62" t="s">
        <v>885</v>
      </c>
      <c r="L242" s="63">
        <f>'Phan tich_TB'!BR15</f>
        <v>0</v>
      </c>
      <c r="M242" s="593" t="s">
        <v>1065</v>
      </c>
      <c r="N242" s="64"/>
      <c r="O242" s="1"/>
      <c r="P242" s="1" t="s">
        <v>1066</v>
      </c>
      <c r="Q242" s="1"/>
      <c r="R242" s="1"/>
      <c r="S242" s="1"/>
      <c r="T242" s="1"/>
      <c r="U242" s="1"/>
    </row>
    <row r="243" spans="1:21" x14ac:dyDescent="0.3">
      <c r="A243" s="64">
        <f t="shared" si="8"/>
        <v>2474</v>
      </c>
      <c r="B243" s="7">
        <f t="shared" si="9"/>
        <v>46252</v>
      </c>
      <c r="C243" s="488" t="s">
        <v>1069</v>
      </c>
      <c r="D243" s="1" t="s">
        <v>1064</v>
      </c>
      <c r="E243" s="62" t="s">
        <v>1030</v>
      </c>
      <c r="F243" s="62"/>
      <c r="G243" s="62"/>
      <c r="H243" s="62"/>
      <c r="I243" s="62"/>
      <c r="J243" s="62" t="s">
        <v>1068</v>
      </c>
      <c r="K243" s="62" t="s">
        <v>886</v>
      </c>
      <c r="L243" s="63">
        <f>'Phan tich_TB'!BR16</f>
        <v>0</v>
      </c>
      <c r="M243" s="593" t="s">
        <v>1065</v>
      </c>
      <c r="N243" s="64"/>
      <c r="O243" s="1"/>
      <c r="P243" s="1" t="s">
        <v>1066</v>
      </c>
      <c r="Q243" s="1"/>
      <c r="R243" s="1"/>
      <c r="S243" s="1"/>
      <c r="T243" s="1"/>
      <c r="U243" s="1"/>
    </row>
    <row r="244" spans="1:21" x14ac:dyDescent="0.3">
      <c r="A244" s="64">
        <f t="shared" si="8"/>
        <v>2474</v>
      </c>
      <c r="B244" s="7">
        <f t="shared" si="9"/>
        <v>46252</v>
      </c>
      <c r="C244" s="488" t="s">
        <v>1069</v>
      </c>
      <c r="D244" s="1" t="s">
        <v>1064</v>
      </c>
      <c r="E244" s="62" t="s">
        <v>898</v>
      </c>
      <c r="F244" s="62" t="s">
        <v>823</v>
      </c>
      <c r="G244" s="62"/>
      <c r="H244" s="62"/>
      <c r="I244" s="62"/>
      <c r="J244" s="62" t="s">
        <v>1068</v>
      </c>
      <c r="K244" s="62" t="s">
        <v>877</v>
      </c>
      <c r="L244" s="63">
        <f>'Phan tich_TB'!BR17</f>
        <v>0</v>
      </c>
      <c r="M244" s="593" t="s">
        <v>1065</v>
      </c>
      <c r="N244" s="64"/>
      <c r="O244" s="1"/>
      <c r="P244" s="1" t="s">
        <v>1066</v>
      </c>
      <c r="Q244" s="1"/>
      <c r="R244" s="1"/>
      <c r="S244" s="1"/>
      <c r="T244" s="1"/>
      <c r="U244" s="1"/>
    </row>
    <row r="245" spans="1:21" x14ac:dyDescent="0.3">
      <c r="A245" s="64">
        <f t="shared" si="8"/>
        <v>2474</v>
      </c>
      <c r="B245" s="7">
        <f t="shared" si="9"/>
        <v>46252</v>
      </c>
      <c r="C245" s="488" t="s">
        <v>1069</v>
      </c>
      <c r="D245" s="1" t="s">
        <v>1064</v>
      </c>
      <c r="E245" s="62" t="s">
        <v>898</v>
      </c>
      <c r="F245" s="62" t="s">
        <v>823</v>
      </c>
      <c r="G245" s="62"/>
      <c r="H245" s="62"/>
      <c r="I245" s="62"/>
      <c r="J245" s="62" t="s">
        <v>1068</v>
      </c>
      <c r="K245" s="62" t="s">
        <v>878</v>
      </c>
      <c r="L245" s="63">
        <f>'Phan tich_TB'!BR18</f>
        <v>0</v>
      </c>
      <c r="M245" s="593" t="s">
        <v>1065</v>
      </c>
      <c r="N245" s="64"/>
      <c r="O245" s="1"/>
      <c r="P245" s="1" t="s">
        <v>1066</v>
      </c>
      <c r="Q245" s="1"/>
      <c r="R245" s="1"/>
      <c r="S245" s="1"/>
      <c r="T245" s="1"/>
      <c r="U245" s="1"/>
    </row>
    <row r="246" spans="1:21" x14ac:dyDescent="0.3">
      <c r="A246" s="64">
        <f t="shared" si="8"/>
        <v>2474</v>
      </c>
      <c r="B246" s="7">
        <f t="shared" si="9"/>
        <v>46252</v>
      </c>
      <c r="C246" s="488" t="s">
        <v>1069</v>
      </c>
      <c r="D246" s="1" t="s">
        <v>1064</v>
      </c>
      <c r="E246" s="62" t="s">
        <v>898</v>
      </c>
      <c r="F246" s="62" t="s">
        <v>823</v>
      </c>
      <c r="G246" s="62"/>
      <c r="H246" s="62"/>
      <c r="I246" s="62"/>
      <c r="J246" s="62" t="s">
        <v>1068</v>
      </c>
      <c r="K246" s="62" t="s">
        <v>879</v>
      </c>
      <c r="L246" s="63">
        <f>'Phan tich_TB'!BR19</f>
        <v>0</v>
      </c>
      <c r="M246" s="593" t="s">
        <v>1065</v>
      </c>
      <c r="N246" s="64"/>
      <c r="O246" s="1"/>
      <c r="P246" s="1" t="s">
        <v>1066</v>
      </c>
      <c r="Q246" s="1"/>
      <c r="R246" s="1"/>
      <c r="S246" s="1"/>
      <c r="T246" s="1"/>
      <c r="U246" s="1"/>
    </row>
    <row r="247" spans="1:21" x14ac:dyDescent="0.3">
      <c r="A247" s="64">
        <f t="shared" si="8"/>
        <v>2474</v>
      </c>
      <c r="B247" s="7">
        <f t="shared" si="9"/>
        <v>46252</v>
      </c>
      <c r="C247" s="488" t="s">
        <v>1069</v>
      </c>
      <c r="D247" s="1" t="s">
        <v>1064</v>
      </c>
      <c r="E247" s="62" t="s">
        <v>898</v>
      </c>
      <c r="F247" s="62" t="s">
        <v>823</v>
      </c>
      <c r="G247" s="62"/>
      <c r="H247" s="62"/>
      <c r="I247" s="62"/>
      <c r="J247" s="62" t="s">
        <v>1068</v>
      </c>
      <c r="K247" s="62" t="s">
        <v>880</v>
      </c>
      <c r="L247" s="63">
        <f>'Phan tich_TB'!BR20</f>
        <v>659.70799999999997</v>
      </c>
      <c r="M247" s="593" t="s">
        <v>1065</v>
      </c>
      <c r="N247" s="64"/>
      <c r="O247" s="1"/>
      <c r="P247" s="1" t="s">
        <v>1066</v>
      </c>
      <c r="Q247" s="1"/>
      <c r="R247" s="1"/>
      <c r="S247" s="1"/>
      <c r="T247" s="1"/>
      <c r="U247" s="1"/>
    </row>
    <row r="248" spans="1:21" x14ac:dyDescent="0.3">
      <c r="A248" s="64">
        <f t="shared" si="8"/>
        <v>2474</v>
      </c>
      <c r="B248" s="7">
        <f t="shared" si="9"/>
        <v>46252</v>
      </c>
      <c r="C248" s="488" t="s">
        <v>1069</v>
      </c>
      <c r="D248" s="1" t="s">
        <v>1064</v>
      </c>
      <c r="E248" s="62" t="s">
        <v>898</v>
      </c>
      <c r="F248" s="62" t="s">
        <v>823</v>
      </c>
      <c r="G248" s="62"/>
      <c r="H248" s="62"/>
      <c r="I248" s="62"/>
      <c r="J248" s="62" t="s">
        <v>1068</v>
      </c>
      <c r="K248" s="62" t="s">
        <v>881</v>
      </c>
      <c r="L248" s="63">
        <f>'Phan tich_TB'!BR21</f>
        <v>112.3805</v>
      </c>
      <c r="M248" s="593" t="s">
        <v>1065</v>
      </c>
      <c r="N248" s="64"/>
      <c r="O248" s="1"/>
      <c r="P248" s="1" t="s">
        <v>1066</v>
      </c>
      <c r="Q248" s="1"/>
      <c r="R248" s="1"/>
      <c r="S248" s="1"/>
      <c r="T248" s="1"/>
      <c r="U248" s="1"/>
    </row>
    <row r="249" spans="1:21" x14ac:dyDescent="0.3">
      <c r="A249" s="64">
        <f t="shared" si="8"/>
        <v>2474</v>
      </c>
      <c r="B249" s="7">
        <f t="shared" si="9"/>
        <v>46252</v>
      </c>
      <c r="C249" s="488" t="s">
        <v>1069</v>
      </c>
      <c r="D249" s="1" t="s">
        <v>1064</v>
      </c>
      <c r="E249" s="62" t="s">
        <v>898</v>
      </c>
      <c r="F249" s="62" t="s">
        <v>823</v>
      </c>
      <c r="G249" s="62"/>
      <c r="H249" s="62"/>
      <c r="I249" s="62"/>
      <c r="J249" s="62" t="s">
        <v>1068</v>
      </c>
      <c r="K249" s="62" t="s">
        <v>882</v>
      </c>
      <c r="L249" s="63">
        <f>'Phan tich_TB'!BR22</f>
        <v>2866.6287400000001</v>
      </c>
      <c r="M249" s="593" t="s">
        <v>1065</v>
      </c>
      <c r="N249" s="64"/>
      <c r="O249" s="1"/>
      <c r="P249" s="1" t="s">
        <v>1066</v>
      </c>
      <c r="Q249" s="1"/>
      <c r="R249" s="1"/>
      <c r="S249" s="1"/>
      <c r="T249" s="1"/>
      <c r="U249" s="1"/>
    </row>
    <row r="250" spans="1:21" x14ac:dyDescent="0.3">
      <c r="A250" s="64">
        <f t="shared" si="8"/>
        <v>2474</v>
      </c>
      <c r="B250" s="7">
        <f t="shared" si="9"/>
        <v>46252</v>
      </c>
      <c r="C250" s="488" t="s">
        <v>1069</v>
      </c>
      <c r="D250" s="1" t="s">
        <v>1064</v>
      </c>
      <c r="E250" s="62" t="s">
        <v>898</v>
      </c>
      <c r="F250" s="62" t="s">
        <v>823</v>
      </c>
      <c r="G250" s="62"/>
      <c r="H250" s="62"/>
      <c r="I250" s="62"/>
      <c r="J250" s="62" t="s">
        <v>1068</v>
      </c>
      <c r="K250" s="62" t="s">
        <v>883</v>
      </c>
      <c r="L250" s="63">
        <f>'Phan tich_TB'!BR23</f>
        <v>5723.9895800000004</v>
      </c>
      <c r="M250" s="593" t="s">
        <v>1065</v>
      </c>
      <c r="N250" s="64"/>
      <c r="O250" s="1"/>
      <c r="P250" s="1" t="s">
        <v>1066</v>
      </c>
      <c r="Q250" s="1"/>
      <c r="R250" s="1"/>
      <c r="S250" s="1"/>
      <c r="T250" s="1"/>
      <c r="U250" s="1"/>
    </row>
    <row r="251" spans="1:21" x14ac:dyDescent="0.3">
      <c r="A251" s="64">
        <f t="shared" si="8"/>
        <v>2474</v>
      </c>
      <c r="B251" s="7">
        <f t="shared" si="9"/>
        <v>46252</v>
      </c>
      <c r="C251" s="488" t="s">
        <v>1069</v>
      </c>
      <c r="D251" s="1" t="s">
        <v>1064</v>
      </c>
      <c r="E251" s="62" t="s">
        <v>898</v>
      </c>
      <c r="F251" s="62" t="s">
        <v>823</v>
      </c>
      <c r="G251" s="62"/>
      <c r="H251" s="62"/>
      <c r="I251" s="62"/>
      <c r="J251" s="62" t="s">
        <v>1068</v>
      </c>
      <c r="K251" s="62" t="s">
        <v>884</v>
      </c>
      <c r="L251" s="63">
        <f>'Phan tich_TB'!BR24</f>
        <v>1848.35808</v>
      </c>
      <c r="M251" s="593" t="s">
        <v>1065</v>
      </c>
      <c r="N251" s="64"/>
      <c r="O251" s="1"/>
      <c r="P251" s="1" t="s">
        <v>1066</v>
      </c>
      <c r="Q251" s="1"/>
      <c r="R251" s="1"/>
      <c r="S251" s="1"/>
      <c r="T251" s="1"/>
      <c r="U251" s="1"/>
    </row>
    <row r="252" spans="1:21" x14ac:dyDescent="0.3">
      <c r="A252" s="64">
        <f t="shared" si="8"/>
        <v>2474</v>
      </c>
      <c r="B252" s="7">
        <f t="shared" si="9"/>
        <v>46252</v>
      </c>
      <c r="C252" s="488" t="s">
        <v>1069</v>
      </c>
      <c r="D252" s="1" t="s">
        <v>1064</v>
      </c>
      <c r="E252" s="62" t="s">
        <v>898</v>
      </c>
      <c r="F252" s="62" t="s">
        <v>823</v>
      </c>
      <c r="G252" s="62"/>
      <c r="H252" s="62"/>
      <c r="I252" s="62"/>
      <c r="J252" s="62" t="s">
        <v>1068</v>
      </c>
      <c r="K252" s="62" t="s">
        <v>885</v>
      </c>
      <c r="L252" s="63">
        <f>'Phan tich_TB'!BR25</f>
        <v>0</v>
      </c>
      <c r="M252" s="593" t="s">
        <v>1065</v>
      </c>
      <c r="N252" s="64"/>
      <c r="O252" s="1"/>
      <c r="P252" s="1" t="s">
        <v>1066</v>
      </c>
      <c r="Q252" s="1"/>
      <c r="R252" s="1"/>
      <c r="S252" s="1"/>
      <c r="T252" s="1"/>
      <c r="U252" s="1"/>
    </row>
    <row r="253" spans="1:21" ht="14.3" customHeight="1" x14ac:dyDescent="0.3">
      <c r="A253" s="64">
        <f t="shared" si="8"/>
        <v>2474</v>
      </c>
      <c r="B253" s="7">
        <f t="shared" si="9"/>
        <v>46252</v>
      </c>
      <c r="C253" s="488" t="s">
        <v>1069</v>
      </c>
      <c r="D253" s="1" t="s">
        <v>1064</v>
      </c>
      <c r="E253" s="62" t="s">
        <v>898</v>
      </c>
      <c r="F253" s="62" t="s">
        <v>823</v>
      </c>
      <c r="G253" s="62"/>
      <c r="H253" s="62"/>
      <c r="I253" s="62"/>
      <c r="J253" s="62" t="s">
        <v>1068</v>
      </c>
      <c r="K253" s="62" t="s">
        <v>886</v>
      </c>
      <c r="L253" s="63">
        <f>'Phan tich_TB'!BR26</f>
        <v>0</v>
      </c>
      <c r="M253" s="593" t="s">
        <v>1065</v>
      </c>
      <c r="N253" s="64"/>
      <c r="O253" s="1"/>
      <c r="P253" s="1" t="s">
        <v>1066</v>
      </c>
      <c r="Q253" s="1"/>
      <c r="R253" s="1"/>
      <c r="S253" s="1"/>
      <c r="T253" s="1"/>
      <c r="U253" s="1"/>
    </row>
    <row r="254" spans="1:21" x14ac:dyDescent="0.3">
      <c r="A254" s="64">
        <f t="shared" si="8"/>
        <v>2474</v>
      </c>
      <c r="B254" s="7">
        <f t="shared" si="9"/>
        <v>46252</v>
      </c>
      <c r="C254" s="488" t="s">
        <v>1074</v>
      </c>
      <c r="D254" s="1" t="s">
        <v>1064</v>
      </c>
      <c r="E254" s="62" t="s">
        <v>1030</v>
      </c>
      <c r="F254" s="31"/>
      <c r="G254" s="1"/>
      <c r="H254" s="1"/>
      <c r="I254" s="62"/>
      <c r="J254" s="1"/>
      <c r="K254" s="31"/>
      <c r="L254" s="63">
        <f>'Phan tich_TB'!M3</f>
        <v>-236.79742999999473</v>
      </c>
      <c r="M254" s="593" t="s">
        <v>1065</v>
      </c>
      <c r="N254" s="64"/>
      <c r="O254" s="1"/>
      <c r="P254" s="1" t="s">
        <v>1066</v>
      </c>
      <c r="Q254" s="1"/>
      <c r="R254" s="1"/>
      <c r="S254" s="1"/>
      <c r="T254" s="1" t="s">
        <v>1073</v>
      </c>
      <c r="U254" s="1"/>
    </row>
    <row r="255" spans="1:21" x14ac:dyDescent="0.3">
      <c r="A255" s="64">
        <f t="shared" si="8"/>
        <v>2474</v>
      </c>
      <c r="B255" s="7">
        <f t="shared" si="9"/>
        <v>46252</v>
      </c>
      <c r="C255" s="66" t="s">
        <v>1074</v>
      </c>
      <c r="D255" s="1" t="s">
        <v>869</v>
      </c>
      <c r="E255" s="62" t="s">
        <v>1030</v>
      </c>
      <c r="F255" s="31"/>
      <c r="G255" s="1"/>
      <c r="H255" s="1"/>
      <c r="I255" s="1"/>
      <c r="J255" s="1"/>
      <c r="K255" s="31"/>
      <c r="L255" s="63">
        <f>'Phan tich_TB'!DA8</f>
        <v>0</v>
      </c>
      <c r="M255" s="593" t="s">
        <v>1065</v>
      </c>
      <c r="N255" s="64"/>
      <c r="O255" s="1"/>
      <c r="P255" s="1" t="s">
        <v>1066</v>
      </c>
      <c r="Q255" s="1"/>
      <c r="R255" s="1"/>
      <c r="S255" s="1"/>
      <c r="T255" s="1"/>
      <c r="U255" s="1"/>
    </row>
    <row r="256" spans="1:21" x14ac:dyDescent="0.3">
      <c r="A256" s="64">
        <f t="shared" si="8"/>
        <v>2474</v>
      </c>
      <c r="B256" s="7">
        <f t="shared" si="9"/>
        <v>46252</v>
      </c>
      <c r="C256" s="488" t="s">
        <v>1075</v>
      </c>
      <c r="D256" s="1" t="s">
        <v>1064</v>
      </c>
      <c r="E256" s="62" t="s">
        <v>1030</v>
      </c>
      <c r="F256" s="31"/>
      <c r="G256" s="1"/>
      <c r="H256" s="1"/>
      <c r="I256" s="62"/>
      <c r="J256" s="1"/>
      <c r="K256" s="31"/>
      <c r="L256" s="115">
        <f>'Phan tich_TB'!M2</f>
        <v>-92.57847999999467</v>
      </c>
      <c r="M256" s="593" t="s">
        <v>1065</v>
      </c>
      <c r="N256" s="64"/>
      <c r="O256" s="1"/>
      <c r="P256" s="1" t="s">
        <v>1066</v>
      </c>
      <c r="Q256" s="1"/>
      <c r="R256" s="1"/>
      <c r="S256" s="1"/>
      <c r="T256" s="1" t="s">
        <v>1073</v>
      </c>
      <c r="U256" s="1"/>
    </row>
    <row r="257" spans="1:21" x14ac:dyDescent="0.3">
      <c r="A257" s="64">
        <f t="shared" si="8"/>
        <v>2474</v>
      </c>
      <c r="B257" s="7">
        <f t="shared" si="9"/>
        <v>46252</v>
      </c>
      <c r="C257" s="66" t="s">
        <v>1075</v>
      </c>
      <c r="D257" s="1" t="s">
        <v>869</v>
      </c>
      <c r="E257" s="62" t="s">
        <v>1030</v>
      </c>
      <c r="F257" s="31"/>
      <c r="G257" s="1"/>
      <c r="H257" s="1"/>
      <c r="I257" s="1"/>
      <c r="J257" s="1"/>
      <c r="K257" s="31"/>
      <c r="L257" s="63">
        <f>'Phan tich_TB'!DA9</f>
        <v>0</v>
      </c>
      <c r="M257" s="593" t="s">
        <v>1065</v>
      </c>
      <c r="N257" s="64"/>
      <c r="O257" s="1"/>
      <c r="P257" s="1" t="s">
        <v>1066</v>
      </c>
      <c r="Q257" s="1"/>
      <c r="R257" s="1"/>
      <c r="S257" s="1"/>
      <c r="T257" s="1"/>
      <c r="U257" s="1"/>
    </row>
    <row r="258" spans="1:21" x14ac:dyDescent="0.3">
      <c r="A258" s="64">
        <f t="shared" si="8"/>
        <v>2474</v>
      </c>
      <c r="B258" s="7">
        <f t="shared" si="9"/>
        <v>46252</v>
      </c>
      <c r="C258" s="488" t="s">
        <v>1049</v>
      </c>
      <c r="D258" s="1" t="s">
        <v>1064</v>
      </c>
      <c r="E258" s="62" t="s">
        <v>1030</v>
      </c>
      <c r="F258" s="31"/>
      <c r="G258" s="1"/>
      <c r="H258" s="1"/>
      <c r="I258" s="62"/>
      <c r="J258" s="1"/>
      <c r="K258" s="31"/>
      <c r="L258" s="63">
        <f>'Phan tich_TB'!M4</f>
        <v>-664.40196399999468</v>
      </c>
      <c r="M258" s="593" t="s">
        <v>1065</v>
      </c>
      <c r="N258" s="64"/>
      <c r="O258" s="1"/>
      <c r="P258" s="1" t="s">
        <v>1066</v>
      </c>
      <c r="Q258" s="1"/>
      <c r="R258" s="1"/>
      <c r="S258" s="1"/>
      <c r="T258" s="1" t="s">
        <v>1073</v>
      </c>
      <c r="U258" s="1"/>
    </row>
    <row r="259" spans="1:21" x14ac:dyDescent="0.3">
      <c r="A259" s="64">
        <f t="shared" si="8"/>
        <v>2474</v>
      </c>
      <c r="B259" s="7">
        <f t="shared" si="9"/>
        <v>46252</v>
      </c>
      <c r="C259" s="66" t="s">
        <v>1049</v>
      </c>
      <c r="D259" s="1" t="s">
        <v>869</v>
      </c>
      <c r="E259" s="62" t="s">
        <v>1030</v>
      </c>
      <c r="F259" s="31"/>
      <c r="G259" s="1"/>
      <c r="H259" s="1"/>
      <c r="I259" s="1"/>
      <c r="J259" s="1"/>
      <c r="K259" s="31"/>
      <c r="L259" s="63">
        <f>'Phan tich_TB'!DA7</f>
        <v>0</v>
      </c>
      <c r="M259" s="593" t="s">
        <v>1065</v>
      </c>
      <c r="N259" s="64"/>
      <c r="O259" s="1"/>
      <c r="P259" s="1" t="s">
        <v>1066</v>
      </c>
      <c r="Q259" s="1"/>
      <c r="R259" s="1"/>
      <c r="S259" s="1" t="str">
        <f>IF(L259&lt;N259, "Y", "N")</f>
        <v>N</v>
      </c>
      <c r="T259" s="1"/>
      <c r="U259" s="1"/>
    </row>
    <row r="260" spans="1:21" x14ac:dyDescent="0.3">
      <c r="A260" s="64">
        <f t="shared" si="8"/>
        <v>2474</v>
      </c>
      <c r="B260" s="7">
        <f t="shared" si="9"/>
        <v>46252</v>
      </c>
      <c r="C260" s="488" t="s">
        <v>1080</v>
      </c>
      <c r="D260" s="1" t="s">
        <v>1064</v>
      </c>
      <c r="E260" s="62" t="s">
        <v>1030</v>
      </c>
      <c r="F260" s="62"/>
      <c r="G260" s="62"/>
      <c r="H260" s="62"/>
      <c r="I260" s="62"/>
      <c r="J260" s="62"/>
      <c r="K260" s="62"/>
      <c r="L260" s="115">
        <f>'Phan tich_TB'!AS2</f>
        <v>0</v>
      </c>
      <c r="M260" s="593" t="s">
        <v>1065</v>
      </c>
      <c r="N260" s="594"/>
      <c r="O260" s="1"/>
      <c r="P260" s="1" t="s">
        <v>1066</v>
      </c>
      <c r="Q260" s="1"/>
      <c r="R260" s="1"/>
      <c r="S260" s="1"/>
      <c r="T260" s="1"/>
      <c r="U260" s="1"/>
    </row>
    <row r="261" spans="1:21" x14ac:dyDescent="0.3">
      <c r="A261" s="64">
        <f t="shared" si="8"/>
        <v>2474</v>
      </c>
      <c r="B261" s="7">
        <f t="shared" si="9"/>
        <v>46252</v>
      </c>
      <c r="C261" s="488" t="s">
        <v>3507</v>
      </c>
      <c r="D261" s="1" t="s">
        <v>1064</v>
      </c>
      <c r="E261" s="62" t="s">
        <v>1030</v>
      </c>
      <c r="L261" s="602">
        <f>'Phan tich_TB'!M7</f>
        <v>-1638.5293972848699</v>
      </c>
      <c r="M261" s="593" t="s">
        <v>1065</v>
      </c>
      <c r="N261" s="604">
        <v>-500</v>
      </c>
      <c r="O261" s="1"/>
      <c r="P261" s="1" t="s">
        <v>1066</v>
      </c>
      <c r="T261" t="s">
        <v>3506</v>
      </c>
    </row>
    <row r="262" spans="1:21" x14ac:dyDescent="0.3">
      <c r="A262" s="64">
        <f t="shared" si="8"/>
        <v>2474</v>
      </c>
      <c r="B262" s="7">
        <f t="shared" si="9"/>
        <v>46252</v>
      </c>
      <c r="C262" s="66" t="s">
        <v>2236</v>
      </c>
      <c r="D262" s="1" t="s">
        <v>869</v>
      </c>
      <c r="E262" s="62" t="s">
        <v>1030</v>
      </c>
      <c r="F262" s="31"/>
      <c r="G262" s="1"/>
      <c r="H262" s="1"/>
      <c r="I262" s="1" t="s">
        <v>2237</v>
      </c>
      <c r="J262" s="1"/>
      <c r="K262" s="31"/>
      <c r="L262" s="63">
        <f>'Phan tich_TB'!DA1</f>
        <v>5.0115199977999998</v>
      </c>
      <c r="M262" s="593" t="s">
        <v>1065</v>
      </c>
      <c r="N262" s="64"/>
      <c r="O262" s="1"/>
      <c r="P262" s="1" t="s">
        <v>1066</v>
      </c>
      <c r="Q262" s="1"/>
      <c r="R262" s="1"/>
      <c r="S262" s="1"/>
      <c r="T262" s="1"/>
      <c r="U262" s="1"/>
    </row>
    <row r="263" spans="1:21" x14ac:dyDescent="0.3">
      <c r="A263" s="64">
        <f t="shared" si="8"/>
        <v>2474</v>
      </c>
      <c r="B263" s="7">
        <f t="shared" si="9"/>
        <v>46252</v>
      </c>
      <c r="C263" s="488" t="s">
        <v>3920</v>
      </c>
      <c r="D263" s="1"/>
      <c r="E263" s="62"/>
      <c r="L263" s="742">
        <f>SUMIFS('Giam sat'!$AJ$12:$AJ$24,'Giam sat'!$AK$12:$AK$24,C263)</f>
        <v>3.8993797202940423</v>
      </c>
      <c r="M263" s="593" t="s">
        <v>1078</v>
      </c>
      <c r="N263" s="604"/>
      <c r="O263" s="1"/>
      <c r="P263" s="1" t="s">
        <v>1066</v>
      </c>
      <c r="T263" t="s">
        <v>3924</v>
      </c>
    </row>
    <row r="264" spans="1:21" x14ac:dyDescent="0.3">
      <c r="A264" s="64">
        <f t="shared" si="8"/>
        <v>2474</v>
      </c>
      <c r="B264" s="7">
        <f t="shared" si="9"/>
        <v>46252</v>
      </c>
      <c r="C264" s="488" t="s">
        <v>3919</v>
      </c>
      <c r="D264" s="1"/>
      <c r="E264" s="62"/>
      <c r="L264" s="742">
        <f>SUMIFS('Giam sat'!$AJ$12:$AJ$24,'Giam sat'!$AK$12:$AK$24,C264)</f>
        <v>3.9104489691607514</v>
      </c>
      <c r="M264" s="593" t="s">
        <v>1078</v>
      </c>
      <c r="N264" s="604"/>
      <c r="O264" s="1"/>
      <c r="P264" s="1" t="s">
        <v>1066</v>
      </c>
      <c r="T264" t="s">
        <v>3924</v>
      </c>
    </row>
    <row r="265" spans="1:21" x14ac:dyDescent="0.3">
      <c r="A265" s="64">
        <f t="shared" si="8"/>
        <v>2474</v>
      </c>
      <c r="B265" s="7">
        <f t="shared" si="9"/>
        <v>46252</v>
      </c>
      <c r="C265" s="488" t="s">
        <v>3918</v>
      </c>
      <c r="D265" s="1"/>
      <c r="E265" s="62"/>
      <c r="L265" s="742">
        <f>SUMIFS('Giam sat'!$AJ$12:$AJ$24,'Giam sat'!$AK$12:$AK$24,C265)</f>
        <v>0</v>
      </c>
      <c r="M265" s="593" t="s">
        <v>1078</v>
      </c>
      <c r="N265" s="604"/>
      <c r="O265" s="1"/>
      <c r="P265" s="1" t="s">
        <v>1066</v>
      </c>
      <c r="T265" t="s">
        <v>3924</v>
      </c>
    </row>
    <row r="266" spans="1:21" x14ac:dyDescent="0.3">
      <c r="A266" s="64">
        <f t="shared" si="8"/>
        <v>2474</v>
      </c>
      <c r="B266" s="7">
        <f t="shared" si="9"/>
        <v>46252</v>
      </c>
      <c r="C266" s="488" t="s">
        <v>3917</v>
      </c>
      <c r="D266" s="1"/>
      <c r="E266" s="62"/>
      <c r="L266" s="742">
        <f>SUMIFS('Giam sat'!$AJ$12:$AJ$24,'Giam sat'!$AK$12:$AK$24,C266)</f>
        <v>0</v>
      </c>
      <c r="M266" s="593" t="s">
        <v>1078</v>
      </c>
      <c r="N266" s="604"/>
      <c r="O266" s="1"/>
      <c r="P266" s="1" t="s">
        <v>1066</v>
      </c>
      <c r="T266" t="s">
        <v>3924</v>
      </c>
    </row>
    <row r="267" spans="1:21" x14ac:dyDescent="0.3">
      <c r="A267" s="64">
        <f t="shared" si="8"/>
        <v>2474</v>
      </c>
      <c r="B267" s="7">
        <f t="shared" si="9"/>
        <v>46252</v>
      </c>
      <c r="C267" s="488" t="s">
        <v>3916</v>
      </c>
      <c r="D267" s="1"/>
      <c r="E267" s="62"/>
      <c r="L267" s="742">
        <f>SUMIFS('Giam sat'!$AJ$12:$AJ$24,'Giam sat'!$AK$12:$AK$24,C267)</f>
        <v>0</v>
      </c>
      <c r="M267" s="593" t="s">
        <v>1078</v>
      </c>
      <c r="N267" s="604"/>
      <c r="O267" s="1"/>
      <c r="P267" s="1" t="s">
        <v>1066</v>
      </c>
      <c r="T267" t="s">
        <v>3924</v>
      </c>
    </row>
    <row r="268" spans="1:21" x14ac:dyDescent="0.3">
      <c r="A268" s="64">
        <f t="shared" si="8"/>
        <v>2474</v>
      </c>
      <c r="B268" s="7">
        <f t="shared" si="9"/>
        <v>46252</v>
      </c>
      <c r="C268" s="488" t="s">
        <v>3915</v>
      </c>
      <c r="D268" s="1"/>
      <c r="E268" s="62"/>
      <c r="L268" s="742">
        <f>SUMIFS('Giam sat'!$AJ$12:$AJ$24,'Giam sat'!$AK$12:$AK$24,C268)</f>
        <v>0</v>
      </c>
      <c r="M268" s="593" t="s">
        <v>1078</v>
      </c>
      <c r="N268" s="604"/>
      <c r="O268" s="1"/>
      <c r="P268" s="1" t="s">
        <v>1066</v>
      </c>
      <c r="T268" t="s">
        <v>3924</v>
      </c>
    </row>
    <row r="269" spans="1:21" x14ac:dyDescent="0.3">
      <c r="A269" s="64">
        <f t="shared" si="8"/>
        <v>2474</v>
      </c>
      <c r="B269" s="7">
        <f t="shared" si="9"/>
        <v>46252</v>
      </c>
      <c r="C269" s="488" t="s">
        <v>3914</v>
      </c>
      <c r="D269" s="1"/>
      <c r="E269" s="62"/>
      <c r="L269" s="742">
        <f>SUMIFS('Giam sat'!$AJ$12:$AJ$24,'Giam sat'!$AK$12:$AK$24,C269)</f>
        <v>0</v>
      </c>
      <c r="M269" s="593" t="s">
        <v>1078</v>
      </c>
      <c r="N269" s="604"/>
      <c r="O269" s="1"/>
      <c r="P269" s="1" t="s">
        <v>1066</v>
      </c>
      <c r="T269" t="s">
        <v>3924</v>
      </c>
    </row>
    <row r="270" spans="1:21" x14ac:dyDescent="0.3">
      <c r="A270" s="64">
        <f t="shared" si="8"/>
        <v>2474</v>
      </c>
      <c r="B270" s="7">
        <f t="shared" si="9"/>
        <v>46252</v>
      </c>
      <c r="C270" s="488" t="s">
        <v>3913</v>
      </c>
      <c r="D270" s="1"/>
      <c r="E270" s="62"/>
      <c r="L270" s="742">
        <f>SUMIFS('Giam sat'!$AJ$12:$AJ$24,'Giam sat'!$AK$12:$AK$24,C270)</f>
        <v>0</v>
      </c>
      <c r="M270" s="593" t="s">
        <v>1078</v>
      </c>
      <c r="N270" s="604"/>
      <c r="O270" s="1"/>
      <c r="P270" s="1" t="s">
        <v>1066</v>
      </c>
      <c r="T270" t="s">
        <v>3924</v>
      </c>
    </row>
    <row r="271" spans="1:21" x14ac:dyDescent="0.3">
      <c r="A271" s="64">
        <f t="shared" si="8"/>
        <v>2474</v>
      </c>
      <c r="B271" s="7">
        <f t="shared" si="9"/>
        <v>46252</v>
      </c>
      <c r="C271" s="488" t="s">
        <v>3923</v>
      </c>
      <c r="D271" s="1"/>
      <c r="E271" s="62"/>
      <c r="L271" s="742">
        <f>SUMIFS('Giam sat'!$AJ$12:$AJ$24,'Giam sat'!$AK$12:$AK$24,C271)</f>
        <v>3.6071082319190495</v>
      </c>
      <c r="M271" s="593" t="s">
        <v>1078</v>
      </c>
      <c r="N271" s="604"/>
      <c r="O271" s="1"/>
      <c r="P271" s="1" t="s">
        <v>1066</v>
      </c>
      <c r="T271" t="s">
        <v>3924</v>
      </c>
    </row>
    <row r="272" spans="1:21" x14ac:dyDescent="0.3">
      <c r="A272" s="64">
        <f t="shared" si="8"/>
        <v>2474</v>
      </c>
      <c r="B272" s="7">
        <f t="shared" si="9"/>
        <v>46252</v>
      </c>
      <c r="C272" s="488" t="s">
        <v>3922</v>
      </c>
      <c r="D272" s="1"/>
      <c r="E272" s="62"/>
      <c r="L272" s="742">
        <f>SUMIFS('Giam sat'!$AJ$12:$AJ$24,'Giam sat'!$AK$12:$AK$24,C272)</f>
        <v>3.807212509954411</v>
      </c>
      <c r="M272" s="593" t="s">
        <v>1078</v>
      </c>
      <c r="N272" s="604"/>
      <c r="O272" s="1"/>
      <c r="P272" s="1" t="s">
        <v>1066</v>
      </c>
      <c r="T272" t="s">
        <v>3924</v>
      </c>
    </row>
    <row r="273" spans="1:21" x14ac:dyDescent="0.3">
      <c r="A273" s="64">
        <f t="shared" si="8"/>
        <v>2474</v>
      </c>
      <c r="B273" s="7">
        <f t="shared" si="9"/>
        <v>46252</v>
      </c>
      <c r="C273" s="488" t="s">
        <v>3921</v>
      </c>
      <c r="D273" s="1"/>
      <c r="E273" s="62"/>
      <c r="L273" s="742">
        <f>SUMIFS('Giam sat'!$AJ$12:$AJ$24,'Giam sat'!$AK$12:$AK$24,C273)</f>
        <v>3.8806612137369934</v>
      </c>
      <c r="M273" s="593" t="s">
        <v>1078</v>
      </c>
      <c r="N273" s="604"/>
      <c r="O273" s="1"/>
      <c r="P273" s="1" t="s">
        <v>1066</v>
      </c>
      <c r="T273" t="s">
        <v>3924</v>
      </c>
    </row>
    <row r="274" spans="1:21" x14ac:dyDescent="0.3">
      <c r="A274" s="64">
        <f t="shared" si="8"/>
        <v>2474</v>
      </c>
      <c r="B274" s="7">
        <f t="shared" si="9"/>
        <v>46252</v>
      </c>
      <c r="C274" s="488" t="s">
        <v>3912</v>
      </c>
      <c r="D274" s="1"/>
      <c r="E274" s="62"/>
      <c r="L274" s="742">
        <f>SUMIFS('Giam sat'!$AJ$12:$AJ$24,'Giam sat'!$AK$12:$AK$24,C274)</f>
        <v>0</v>
      </c>
      <c r="M274" s="593" t="s">
        <v>1078</v>
      </c>
      <c r="N274" s="604"/>
      <c r="O274" s="1"/>
      <c r="P274" s="1" t="s">
        <v>1066</v>
      </c>
      <c r="T274" t="s">
        <v>3924</v>
      </c>
    </row>
    <row r="275" spans="1:21" x14ac:dyDescent="0.3">
      <c r="A275" s="64">
        <f t="shared" si="8"/>
        <v>2474</v>
      </c>
      <c r="B275" s="7">
        <f t="shared" si="9"/>
        <v>46252</v>
      </c>
      <c r="C275" s="488" t="s">
        <v>3935</v>
      </c>
      <c r="D275" s="1"/>
      <c r="E275" s="62"/>
      <c r="L275" s="602">
        <f>SUMIFS('Giam sat'!$AI$12:$AI$24,'Giam sat'!$AL$12:$AL$24,C275)</f>
        <v>37817.699999999997</v>
      </c>
      <c r="M275" s="593" t="s">
        <v>1065</v>
      </c>
      <c r="N275" s="604"/>
      <c r="O275" s="1"/>
      <c r="P275" s="1"/>
      <c r="T275" t="s">
        <v>3924</v>
      </c>
    </row>
    <row r="276" spans="1:21" x14ac:dyDescent="0.3">
      <c r="A276" s="64">
        <f t="shared" si="8"/>
        <v>2474</v>
      </c>
      <c r="B276" s="7">
        <f t="shared" si="9"/>
        <v>46252</v>
      </c>
      <c r="C276" s="488" t="s">
        <v>3934</v>
      </c>
      <c r="D276" s="1"/>
      <c r="E276" s="62"/>
      <c r="L276" s="602">
        <f>SUMIFS('Giam sat'!$AI$12:$AI$24,'Giam sat'!$AL$12:$AL$24,C276)</f>
        <v>39207.699999999997</v>
      </c>
      <c r="M276" s="593" t="s">
        <v>1065</v>
      </c>
      <c r="N276" s="604"/>
      <c r="O276" s="1"/>
      <c r="P276" s="1"/>
      <c r="T276" t="s">
        <v>3924</v>
      </c>
    </row>
    <row r="277" spans="1:21" x14ac:dyDescent="0.3">
      <c r="A277" s="64">
        <f t="shared" si="8"/>
        <v>2474</v>
      </c>
      <c r="B277" s="7">
        <f t="shared" si="9"/>
        <v>46252</v>
      </c>
      <c r="C277" s="488" t="s">
        <v>3933</v>
      </c>
      <c r="D277" s="1"/>
      <c r="E277" s="62"/>
      <c r="L277" s="602">
        <f>SUMIFS('Giam sat'!$AI$12:$AI$24,'Giam sat'!$AL$12:$AL$24,C277)</f>
        <v>0</v>
      </c>
      <c r="M277" s="593" t="s">
        <v>1065</v>
      </c>
      <c r="N277" s="604"/>
      <c r="O277" s="1"/>
      <c r="P277" s="1"/>
      <c r="T277" t="s">
        <v>3924</v>
      </c>
    </row>
    <row r="278" spans="1:21" x14ac:dyDescent="0.3">
      <c r="A278" s="64">
        <f t="shared" si="8"/>
        <v>2474</v>
      </c>
      <c r="B278" s="7">
        <f t="shared" si="9"/>
        <v>46252</v>
      </c>
      <c r="C278" s="488" t="s">
        <v>3932</v>
      </c>
      <c r="D278" s="1"/>
      <c r="E278" s="62"/>
      <c r="L278" s="602">
        <f>SUMIFS('Giam sat'!$AI$12:$AI$24,'Giam sat'!$AL$12:$AL$24,C278)</f>
        <v>0</v>
      </c>
      <c r="M278" s="593" t="s">
        <v>1065</v>
      </c>
      <c r="N278" s="604"/>
      <c r="O278" s="1"/>
      <c r="P278" s="1"/>
      <c r="T278" t="s">
        <v>3924</v>
      </c>
    </row>
    <row r="279" spans="1:21" x14ac:dyDescent="0.3">
      <c r="A279" s="64">
        <f t="shared" si="8"/>
        <v>2474</v>
      </c>
      <c r="B279" s="7">
        <f t="shared" si="9"/>
        <v>46252</v>
      </c>
      <c r="C279" s="488" t="s">
        <v>3931</v>
      </c>
      <c r="D279" s="1"/>
      <c r="E279" s="62"/>
      <c r="L279" s="602">
        <f>SUMIFS('Giam sat'!$AI$12:$AI$24,'Giam sat'!$AL$12:$AL$24,C279)</f>
        <v>0</v>
      </c>
      <c r="M279" s="593" t="s">
        <v>1065</v>
      </c>
      <c r="N279" s="604"/>
      <c r="O279" s="1"/>
      <c r="P279" s="1"/>
      <c r="T279" t="s">
        <v>3924</v>
      </c>
    </row>
    <row r="280" spans="1:21" x14ac:dyDescent="0.3">
      <c r="A280" s="64">
        <f t="shared" si="8"/>
        <v>2474</v>
      </c>
      <c r="B280" s="7">
        <f t="shared" si="9"/>
        <v>46252</v>
      </c>
      <c r="C280" s="488" t="s">
        <v>3930</v>
      </c>
      <c r="D280" s="1"/>
      <c r="E280" s="62"/>
      <c r="L280" s="602">
        <f>SUMIFS('Giam sat'!$AI$12:$AI$24,'Giam sat'!$AL$12:$AL$24,C280)</f>
        <v>0</v>
      </c>
      <c r="M280" s="593" t="s">
        <v>1065</v>
      </c>
      <c r="N280" s="604"/>
      <c r="O280" s="1"/>
      <c r="P280" s="1"/>
      <c r="T280" t="s">
        <v>3924</v>
      </c>
    </row>
    <row r="281" spans="1:21" x14ac:dyDescent="0.3">
      <c r="A281" s="64">
        <f t="shared" si="8"/>
        <v>2474</v>
      </c>
      <c r="B281" s="7">
        <f t="shared" si="9"/>
        <v>46252</v>
      </c>
      <c r="C281" s="488" t="s">
        <v>3929</v>
      </c>
      <c r="D281" s="1"/>
      <c r="E281" s="62"/>
      <c r="L281" s="602">
        <f>SUMIFS('Giam sat'!$AI$12:$AI$24,'Giam sat'!$AL$12:$AL$24,C281)</f>
        <v>0</v>
      </c>
      <c r="M281" s="593" t="s">
        <v>1065</v>
      </c>
      <c r="N281" s="604"/>
      <c r="O281" s="1"/>
      <c r="P281" s="1"/>
      <c r="T281" t="s">
        <v>3924</v>
      </c>
    </row>
    <row r="282" spans="1:21" x14ac:dyDescent="0.3">
      <c r="A282" s="64">
        <f t="shared" si="8"/>
        <v>2474</v>
      </c>
      <c r="B282" s="7">
        <f t="shared" si="9"/>
        <v>46252</v>
      </c>
      <c r="C282" s="488" t="s">
        <v>3928</v>
      </c>
      <c r="D282" s="1"/>
      <c r="E282" s="62"/>
      <c r="L282" s="602">
        <f>SUMIFS('Giam sat'!$AI$12:$AI$24,'Giam sat'!$AL$12:$AL$24,C282)</f>
        <v>0</v>
      </c>
      <c r="M282" s="593" t="s">
        <v>1065</v>
      </c>
      <c r="N282" s="604"/>
      <c r="O282" s="1"/>
      <c r="P282" s="1"/>
      <c r="T282" t="s">
        <v>3924</v>
      </c>
    </row>
    <row r="283" spans="1:21" x14ac:dyDescent="0.3">
      <c r="A283" s="64">
        <f t="shared" si="8"/>
        <v>2474</v>
      </c>
      <c r="B283" s="7">
        <f t="shared" si="9"/>
        <v>46252</v>
      </c>
      <c r="C283" s="488" t="s">
        <v>3938</v>
      </c>
      <c r="D283" s="1"/>
      <c r="E283" s="62"/>
      <c r="L283" s="602">
        <f>SUMIFS('Giam sat'!$AI$12:$AI$24,'Giam sat'!$AL$12:$AL$24,C283)</f>
        <v>28046.699999999997</v>
      </c>
      <c r="M283" s="593" t="s">
        <v>1065</v>
      </c>
      <c r="N283" s="604"/>
      <c r="O283" s="1"/>
      <c r="P283" s="1"/>
      <c r="T283" t="s">
        <v>3924</v>
      </c>
    </row>
    <row r="284" spans="1:21" x14ac:dyDescent="0.3">
      <c r="A284" s="64">
        <f t="shared" si="8"/>
        <v>2474</v>
      </c>
      <c r="B284" s="7">
        <f t="shared" si="9"/>
        <v>46252</v>
      </c>
      <c r="C284" s="488" t="s">
        <v>3937</v>
      </c>
      <c r="D284" s="1"/>
      <c r="E284" s="62"/>
      <c r="L284" s="602">
        <f>SUMIFS('Giam sat'!$AI$12:$AI$24,'Giam sat'!$AL$12:$AL$24,C284)</f>
        <v>33845.699999999997</v>
      </c>
      <c r="M284" s="593" t="s">
        <v>1065</v>
      </c>
      <c r="N284" s="604"/>
      <c r="O284" s="1"/>
      <c r="P284" s="1"/>
      <c r="T284" t="s">
        <v>3924</v>
      </c>
    </row>
    <row r="285" spans="1:21" x14ac:dyDescent="0.3">
      <c r="A285" s="64">
        <f t="shared" si="8"/>
        <v>2474</v>
      </c>
      <c r="B285" s="7">
        <f t="shared" si="9"/>
        <v>46252</v>
      </c>
      <c r="C285" s="488" t="s">
        <v>3936</v>
      </c>
      <c r="D285" s="1"/>
      <c r="E285" s="62"/>
      <c r="L285" s="602">
        <f>SUMIFS('Giam sat'!$AI$12:$AI$24,'Giam sat'!$AL$12:$AL$24,C285)</f>
        <v>37047.699999999997</v>
      </c>
      <c r="M285" s="593" t="s">
        <v>1065</v>
      </c>
      <c r="N285" s="604"/>
      <c r="O285" s="1"/>
      <c r="P285" s="1"/>
      <c r="T285" t="s">
        <v>3924</v>
      </c>
    </row>
    <row r="286" spans="1:21" x14ac:dyDescent="0.3">
      <c r="A286" s="64">
        <f t="shared" si="8"/>
        <v>2474</v>
      </c>
      <c r="B286" s="7">
        <f t="shared" si="9"/>
        <v>46252</v>
      </c>
      <c r="C286" s="488" t="s">
        <v>3927</v>
      </c>
      <c r="D286" s="1"/>
      <c r="E286" s="62"/>
      <c r="L286" s="602">
        <f>SUMIFS('Giam sat'!$AI$12:$AI$24,'Giam sat'!$AL$12:$AL$24,C286)</f>
        <v>0</v>
      </c>
      <c r="M286" s="593" t="s">
        <v>1065</v>
      </c>
      <c r="N286" s="604"/>
      <c r="O286" s="1"/>
      <c r="P286" s="1"/>
      <c r="T286" t="s">
        <v>3924</v>
      </c>
    </row>
    <row r="287" spans="1:21" x14ac:dyDescent="0.3">
      <c r="A287" s="64">
        <f t="shared" si="8"/>
        <v>2474</v>
      </c>
      <c r="B287" s="7">
        <f t="shared" si="9"/>
        <v>46252</v>
      </c>
      <c r="C287" s="488" t="s">
        <v>735</v>
      </c>
      <c r="D287" s="1" t="s">
        <v>1064</v>
      </c>
      <c r="E287" s="62" t="s">
        <v>1030</v>
      </c>
      <c r="F287" s="31"/>
      <c r="G287" s="1"/>
      <c r="H287" s="1"/>
      <c r="I287" s="1"/>
      <c r="J287" s="1"/>
      <c r="K287" s="31"/>
      <c r="L287" s="115">
        <f>'Phan tich_TB'!BZ2</f>
        <v>6.7993588359682819</v>
      </c>
      <c r="M287" s="593" t="s">
        <v>1070</v>
      </c>
      <c r="N287" s="64"/>
      <c r="O287" s="1"/>
      <c r="P287" s="1" t="s">
        <v>1066</v>
      </c>
      <c r="Q287" s="1"/>
      <c r="R287" s="1"/>
      <c r="S287" s="1"/>
      <c r="T287" s="1"/>
      <c r="U287" s="1"/>
    </row>
    <row r="288" spans="1:21" x14ac:dyDescent="0.3">
      <c r="A288" s="64">
        <f t="shared" si="8"/>
        <v>2474</v>
      </c>
      <c r="B288" s="7">
        <f t="shared" si="9"/>
        <v>46252</v>
      </c>
      <c r="C288" s="488" t="s">
        <v>735</v>
      </c>
      <c r="D288" s="1" t="s">
        <v>1064</v>
      </c>
      <c r="E288" s="62" t="s">
        <v>898</v>
      </c>
      <c r="F288" s="31"/>
      <c r="G288" s="1"/>
      <c r="H288" s="1"/>
      <c r="I288" s="1"/>
      <c r="J288" s="1"/>
      <c r="K288" s="31"/>
      <c r="L288" s="115">
        <f>'Phan tich_TB'!BZ3</f>
        <v>6.9921593116369767</v>
      </c>
      <c r="M288" s="593" t="s">
        <v>1070</v>
      </c>
      <c r="N288" s="64"/>
      <c r="O288" s="1"/>
      <c r="P288" s="1" t="s">
        <v>1066</v>
      </c>
      <c r="Q288" s="1"/>
      <c r="R288" s="1"/>
      <c r="S288" s="1"/>
      <c r="T288" s="1"/>
      <c r="U288" s="1"/>
    </row>
    <row r="289" spans="1:21" x14ac:dyDescent="0.3">
      <c r="A289" s="64">
        <f t="shared" si="8"/>
        <v>2474</v>
      </c>
      <c r="B289" s="7">
        <f t="shared" si="9"/>
        <v>46252</v>
      </c>
      <c r="C289" s="488" t="s">
        <v>735</v>
      </c>
      <c r="D289" s="1" t="s">
        <v>1064</v>
      </c>
      <c r="E289" s="62" t="s">
        <v>906</v>
      </c>
      <c r="F289" s="31"/>
      <c r="G289" s="1"/>
      <c r="H289" s="1"/>
      <c r="I289" s="1"/>
      <c r="J289" s="1"/>
      <c r="K289" s="31"/>
      <c r="L289" s="115">
        <f>'Phan tich_TB'!BZ4</f>
        <v>6.5529528002875415</v>
      </c>
      <c r="M289" s="593" t="s">
        <v>1070</v>
      </c>
      <c r="N289" s="64"/>
      <c r="O289" s="1"/>
      <c r="P289" s="1" t="s">
        <v>1066</v>
      </c>
      <c r="Q289" s="1"/>
      <c r="R289" s="1"/>
      <c r="S289" s="1"/>
      <c r="T289" s="1"/>
      <c r="U289" s="1"/>
    </row>
    <row r="290" spans="1:21" x14ac:dyDescent="0.3">
      <c r="A290" s="64">
        <f t="shared" si="8"/>
        <v>2474</v>
      </c>
      <c r="B290" s="7">
        <f t="shared" si="9"/>
        <v>46252</v>
      </c>
      <c r="C290" s="488" t="s">
        <v>735</v>
      </c>
      <c r="D290" s="1" t="s">
        <v>1064</v>
      </c>
      <c r="E290" s="62" t="s">
        <v>1067</v>
      </c>
      <c r="F290" s="31"/>
      <c r="G290" s="1"/>
      <c r="H290" s="1"/>
      <c r="I290" s="1"/>
      <c r="J290" s="1"/>
      <c r="K290" s="31"/>
      <c r="L290" s="115">
        <f>'Phan tich_TB'!BZ5</f>
        <v>0</v>
      </c>
      <c r="M290" s="593" t="s">
        <v>1070</v>
      </c>
      <c r="N290" s="64"/>
      <c r="O290" s="1"/>
      <c r="P290" s="1" t="s">
        <v>1066</v>
      </c>
      <c r="Q290" s="1"/>
      <c r="R290" s="1"/>
      <c r="S290" s="1"/>
      <c r="T290" s="1"/>
      <c r="U290" s="1"/>
    </row>
    <row r="291" spans="1:21" x14ac:dyDescent="0.3">
      <c r="A291" s="64">
        <f t="shared" si="8"/>
        <v>2474</v>
      </c>
      <c r="B291" s="7">
        <f t="shared" si="9"/>
        <v>46252</v>
      </c>
      <c r="C291" s="488" t="s">
        <v>735</v>
      </c>
      <c r="D291" s="1" t="s">
        <v>1064</v>
      </c>
      <c r="E291" s="62" t="s">
        <v>906</v>
      </c>
      <c r="F291" s="62" t="s">
        <v>821</v>
      </c>
      <c r="G291" s="1"/>
      <c r="H291" s="1"/>
      <c r="I291" s="1"/>
      <c r="J291" s="1"/>
      <c r="K291" s="31"/>
      <c r="L291" s="115">
        <f>'Phan tich_TB'!BZ6</f>
        <v>2.2829417788274502</v>
      </c>
      <c r="M291" s="593" t="s">
        <v>1070</v>
      </c>
      <c r="N291" s="64"/>
      <c r="O291" s="1"/>
      <c r="P291" s="1" t="s">
        <v>1066</v>
      </c>
      <c r="Q291" s="1"/>
      <c r="R291" s="1"/>
      <c r="S291" s="1"/>
      <c r="T291" s="1"/>
      <c r="U291" s="1"/>
    </row>
    <row r="292" spans="1:21" x14ac:dyDescent="0.3">
      <c r="A292" s="64">
        <f t="shared" si="8"/>
        <v>2474</v>
      </c>
      <c r="B292" s="7">
        <f t="shared" si="9"/>
        <v>46252</v>
      </c>
      <c r="C292" s="488" t="s">
        <v>735</v>
      </c>
      <c r="D292" s="1" t="s">
        <v>1064</v>
      </c>
      <c r="E292" s="62" t="s">
        <v>906</v>
      </c>
      <c r="F292" s="31" t="s">
        <v>905</v>
      </c>
      <c r="G292" s="1"/>
      <c r="H292" s="1"/>
      <c r="I292" s="1"/>
      <c r="J292" s="1"/>
      <c r="K292" s="31"/>
      <c r="L292" s="115">
        <f>'Phan tich_TB'!BZ7</f>
        <v>7.6372414217967401</v>
      </c>
      <c r="M292" s="593" t="s">
        <v>1070</v>
      </c>
      <c r="N292" s="64"/>
      <c r="O292" s="1"/>
      <c r="P292" s="1" t="s">
        <v>1066</v>
      </c>
      <c r="Q292" s="1"/>
      <c r="R292" s="1"/>
      <c r="S292" s="1"/>
      <c r="T292" s="1"/>
      <c r="U292" s="1"/>
    </row>
    <row r="293" spans="1:21" x14ac:dyDescent="0.3">
      <c r="A293" s="64">
        <f t="shared" si="8"/>
        <v>2474</v>
      </c>
      <c r="B293" s="7">
        <f t="shared" si="9"/>
        <v>46252</v>
      </c>
      <c r="C293" s="488" t="s">
        <v>735</v>
      </c>
      <c r="D293" s="1" t="s">
        <v>1064</v>
      </c>
      <c r="E293" s="62" t="s">
        <v>1030</v>
      </c>
      <c r="F293" s="31"/>
      <c r="G293" s="1"/>
      <c r="H293" s="1"/>
      <c r="I293" s="1"/>
      <c r="J293" s="62" t="s">
        <v>1068</v>
      </c>
      <c r="K293" s="31" t="s">
        <v>877</v>
      </c>
      <c r="L293" s="115">
        <f>'Phan tich_TB'!BZ8</f>
        <v>0</v>
      </c>
      <c r="M293" s="593" t="s">
        <v>1070</v>
      </c>
      <c r="N293" s="64"/>
      <c r="O293" s="1"/>
      <c r="P293" s="1" t="s">
        <v>1066</v>
      </c>
      <c r="Q293" s="1"/>
      <c r="R293" s="1"/>
      <c r="S293" s="1"/>
      <c r="T293" s="1"/>
      <c r="U293" s="1"/>
    </row>
    <row r="294" spans="1:21" x14ac:dyDescent="0.3">
      <c r="A294" s="64">
        <f t="shared" si="8"/>
        <v>2474</v>
      </c>
      <c r="B294" s="7">
        <f t="shared" si="9"/>
        <v>46252</v>
      </c>
      <c r="C294" s="488" t="s">
        <v>735</v>
      </c>
      <c r="D294" s="1" t="s">
        <v>1064</v>
      </c>
      <c r="E294" s="62" t="s">
        <v>1030</v>
      </c>
      <c r="F294" s="31"/>
      <c r="G294" s="1"/>
      <c r="H294" s="1"/>
      <c r="I294" s="1"/>
      <c r="J294" s="62" t="s">
        <v>1068</v>
      </c>
      <c r="K294" s="31" t="s">
        <v>878</v>
      </c>
      <c r="L294" s="115">
        <f>'Phan tich_TB'!BZ9</f>
        <v>0</v>
      </c>
      <c r="M294" s="593" t="s">
        <v>1070</v>
      </c>
      <c r="N294" s="64"/>
      <c r="O294" s="1"/>
      <c r="P294" s="1" t="s">
        <v>1066</v>
      </c>
      <c r="Q294" s="1"/>
      <c r="R294" s="1"/>
      <c r="S294" s="1"/>
      <c r="T294" s="1"/>
      <c r="U294" s="1"/>
    </row>
    <row r="295" spans="1:21" x14ac:dyDescent="0.3">
      <c r="A295" s="64">
        <f t="shared" si="8"/>
        <v>2474</v>
      </c>
      <c r="B295" s="7">
        <f t="shared" si="9"/>
        <v>46252</v>
      </c>
      <c r="C295" s="488" t="s">
        <v>735</v>
      </c>
      <c r="D295" s="1" t="s">
        <v>1064</v>
      </c>
      <c r="E295" s="62" t="s">
        <v>1030</v>
      </c>
      <c r="F295" s="31"/>
      <c r="G295" s="1"/>
      <c r="H295" s="1"/>
      <c r="I295" s="1"/>
      <c r="J295" s="62" t="s">
        <v>1068</v>
      </c>
      <c r="K295" s="31" t="s">
        <v>879</v>
      </c>
      <c r="L295" s="115">
        <f>'Phan tich_TB'!BZ10</f>
        <v>2.73504039</v>
      </c>
      <c r="M295" s="593" t="s">
        <v>1070</v>
      </c>
      <c r="N295" s="64"/>
      <c r="O295" s="1"/>
      <c r="P295" s="1" t="s">
        <v>1066</v>
      </c>
      <c r="Q295" s="1"/>
      <c r="R295" s="1"/>
      <c r="S295" s="1"/>
      <c r="T295" s="1"/>
      <c r="U295" s="1"/>
    </row>
    <row r="296" spans="1:21" x14ac:dyDescent="0.3">
      <c r="A296" s="64">
        <f t="shared" ref="A296:A343" si="10">$X$3</f>
        <v>2474</v>
      </c>
      <c r="B296" s="7">
        <f t="shared" ref="B296:B343" si="11">RPT</f>
        <v>46252</v>
      </c>
      <c r="C296" s="488" t="s">
        <v>735</v>
      </c>
      <c r="D296" s="1" t="s">
        <v>1064</v>
      </c>
      <c r="E296" s="62" t="s">
        <v>1030</v>
      </c>
      <c r="F296" s="31"/>
      <c r="G296" s="1"/>
      <c r="H296" s="1"/>
      <c r="I296" s="1"/>
      <c r="J296" s="62" t="s">
        <v>1068</v>
      </c>
      <c r="K296" s="31" t="s">
        <v>880</v>
      </c>
      <c r="L296" s="115">
        <f>'Phan tich_TB'!BZ11</f>
        <v>3.9466129283957145</v>
      </c>
      <c r="M296" s="593" t="s">
        <v>1070</v>
      </c>
      <c r="N296" s="64"/>
      <c r="O296" s="1"/>
      <c r="P296" s="1" t="s">
        <v>1066</v>
      </c>
      <c r="Q296" s="1"/>
      <c r="R296" s="1"/>
      <c r="S296" s="1"/>
      <c r="T296" s="1"/>
      <c r="U296" s="1"/>
    </row>
    <row r="297" spans="1:21" x14ac:dyDescent="0.3">
      <c r="A297" s="64">
        <f t="shared" si="10"/>
        <v>2474</v>
      </c>
      <c r="B297" s="7">
        <f t="shared" si="11"/>
        <v>46252</v>
      </c>
      <c r="C297" s="488" t="s">
        <v>735</v>
      </c>
      <c r="D297" s="1" t="s">
        <v>1064</v>
      </c>
      <c r="E297" s="62" t="s">
        <v>1030</v>
      </c>
      <c r="F297" s="31"/>
      <c r="G297" s="1"/>
      <c r="H297" s="1"/>
      <c r="I297" s="1"/>
      <c r="J297" s="62" t="s">
        <v>1068</v>
      </c>
      <c r="K297" s="31" t="s">
        <v>881</v>
      </c>
      <c r="L297" s="115">
        <f>'Phan tich_TB'!BZ12</f>
        <v>4.2417935786841303</v>
      </c>
      <c r="M297" s="593" t="s">
        <v>1070</v>
      </c>
      <c r="N297" s="64"/>
      <c r="O297" s="1"/>
      <c r="P297" s="1" t="s">
        <v>1066</v>
      </c>
      <c r="Q297" s="1"/>
      <c r="R297" s="1"/>
      <c r="S297" s="1"/>
      <c r="T297" s="1"/>
      <c r="U297" s="1"/>
    </row>
    <row r="298" spans="1:21" x14ac:dyDescent="0.3">
      <c r="A298" s="64">
        <f t="shared" si="10"/>
        <v>2474</v>
      </c>
      <c r="B298" s="7">
        <f t="shared" si="11"/>
        <v>46252</v>
      </c>
      <c r="C298" s="488" t="s">
        <v>735</v>
      </c>
      <c r="D298" s="1" t="s">
        <v>1064</v>
      </c>
      <c r="E298" s="62" t="s">
        <v>1030</v>
      </c>
      <c r="F298" s="31"/>
      <c r="G298" s="1"/>
      <c r="H298" s="1"/>
      <c r="I298" s="1"/>
      <c r="J298" s="62" t="s">
        <v>1068</v>
      </c>
      <c r="K298" s="31" t="s">
        <v>882</v>
      </c>
      <c r="L298" s="115">
        <f>'Phan tich_TB'!BZ13</f>
        <v>6.0864604757043743</v>
      </c>
      <c r="M298" s="593" t="s">
        <v>1070</v>
      </c>
      <c r="N298" s="64"/>
      <c r="O298" s="1"/>
      <c r="P298" s="1" t="s">
        <v>1066</v>
      </c>
      <c r="Q298" s="1"/>
      <c r="R298" s="1"/>
      <c r="S298" s="1"/>
      <c r="T298" s="1"/>
      <c r="U298" s="1"/>
    </row>
    <row r="299" spans="1:21" x14ac:dyDescent="0.3">
      <c r="A299" s="64">
        <f t="shared" si="10"/>
        <v>2474</v>
      </c>
      <c r="B299" s="7">
        <f t="shared" si="11"/>
        <v>46252</v>
      </c>
      <c r="C299" s="488" t="s">
        <v>735</v>
      </c>
      <c r="D299" s="1" t="s">
        <v>1064</v>
      </c>
      <c r="E299" s="62" t="s">
        <v>1030</v>
      </c>
      <c r="F299" s="31"/>
      <c r="G299" s="1"/>
      <c r="H299" s="1"/>
      <c r="I299" s="1"/>
      <c r="J299" s="62" t="s">
        <v>1068</v>
      </c>
      <c r="K299" s="31" t="s">
        <v>883</v>
      </c>
      <c r="L299" s="115">
        <f>'Phan tich_TB'!BZ14</f>
        <v>7.3598034836334127</v>
      </c>
      <c r="M299" s="593" t="s">
        <v>1070</v>
      </c>
      <c r="N299" s="64"/>
      <c r="O299" s="1"/>
      <c r="P299" s="1" t="s">
        <v>1066</v>
      </c>
      <c r="Q299" s="1"/>
      <c r="R299" s="1"/>
      <c r="S299" s="1"/>
      <c r="T299" s="1"/>
      <c r="U299" s="1"/>
    </row>
    <row r="300" spans="1:21" x14ac:dyDescent="0.3">
      <c r="A300" s="64">
        <f t="shared" si="10"/>
        <v>2474</v>
      </c>
      <c r="B300" s="7">
        <f t="shared" si="11"/>
        <v>46252</v>
      </c>
      <c r="C300" s="488" t="s">
        <v>735</v>
      </c>
      <c r="D300" s="1" t="s">
        <v>1064</v>
      </c>
      <c r="E300" s="62" t="s">
        <v>1030</v>
      </c>
      <c r="F300" s="31"/>
      <c r="G300" s="1"/>
      <c r="H300" s="1"/>
      <c r="I300" s="1"/>
      <c r="J300" s="62" t="s">
        <v>1068</v>
      </c>
      <c r="K300" s="31" t="s">
        <v>884</v>
      </c>
      <c r="L300" s="115">
        <f>'Phan tich_TB'!BZ15</f>
        <v>10.007702749319682</v>
      </c>
      <c r="M300" s="593" t="s">
        <v>1070</v>
      </c>
      <c r="N300" s="64"/>
      <c r="O300" s="1"/>
      <c r="P300" s="1" t="s">
        <v>1066</v>
      </c>
      <c r="Q300" s="1"/>
      <c r="R300" s="1"/>
      <c r="S300" s="1"/>
      <c r="T300" s="1"/>
      <c r="U300" s="1"/>
    </row>
    <row r="301" spans="1:21" x14ac:dyDescent="0.3">
      <c r="A301" s="64">
        <f t="shared" si="10"/>
        <v>2474</v>
      </c>
      <c r="B301" s="7">
        <f t="shared" si="11"/>
        <v>46252</v>
      </c>
      <c r="C301" s="488" t="s">
        <v>735</v>
      </c>
      <c r="D301" s="1" t="s">
        <v>1064</v>
      </c>
      <c r="E301" s="62" t="s">
        <v>1030</v>
      </c>
      <c r="F301" s="31"/>
      <c r="G301" s="1"/>
      <c r="H301" s="1"/>
      <c r="I301" s="1"/>
      <c r="J301" s="62" t="s">
        <v>1068</v>
      </c>
      <c r="K301" s="31" t="s">
        <v>885</v>
      </c>
      <c r="L301" s="115">
        <f>'Phan tich_TB'!BZ16</f>
        <v>0</v>
      </c>
      <c r="M301" s="593" t="s">
        <v>1070</v>
      </c>
      <c r="N301" s="64"/>
      <c r="O301" s="1"/>
      <c r="P301" s="1" t="s">
        <v>1066</v>
      </c>
      <c r="Q301" s="1"/>
      <c r="R301" s="1"/>
      <c r="S301" s="1"/>
      <c r="T301" s="1"/>
      <c r="U301" s="1"/>
    </row>
    <row r="302" spans="1:21" x14ac:dyDescent="0.3">
      <c r="A302" s="64">
        <f t="shared" si="10"/>
        <v>2474</v>
      </c>
      <c r="B302" s="7">
        <f t="shared" si="11"/>
        <v>46252</v>
      </c>
      <c r="C302" s="488" t="s">
        <v>735</v>
      </c>
      <c r="D302" s="1" t="s">
        <v>1064</v>
      </c>
      <c r="E302" s="62" t="s">
        <v>1030</v>
      </c>
      <c r="F302" s="31"/>
      <c r="G302" s="1"/>
      <c r="H302" s="1"/>
      <c r="I302" s="1"/>
      <c r="J302" s="62" t="s">
        <v>1068</v>
      </c>
      <c r="K302" s="31" t="s">
        <v>886</v>
      </c>
      <c r="L302" s="115">
        <f>'Phan tich_TB'!BZ17</f>
        <v>0</v>
      </c>
      <c r="M302" s="593" t="s">
        <v>1070</v>
      </c>
      <c r="N302" s="64"/>
      <c r="O302" s="1"/>
      <c r="P302" s="1" t="s">
        <v>1066</v>
      </c>
      <c r="Q302" s="1"/>
      <c r="R302" s="1"/>
      <c r="S302" s="1"/>
      <c r="T302" s="1"/>
      <c r="U302" s="1"/>
    </row>
    <row r="303" spans="1:21" x14ac:dyDescent="0.3">
      <c r="A303" s="64">
        <f t="shared" si="10"/>
        <v>2474</v>
      </c>
      <c r="B303" s="7">
        <f t="shared" si="11"/>
        <v>46252</v>
      </c>
      <c r="C303" s="66" t="s">
        <v>735</v>
      </c>
      <c r="D303" s="1" t="s">
        <v>869</v>
      </c>
      <c r="E303" s="62" t="s">
        <v>1030</v>
      </c>
      <c r="F303" s="31"/>
      <c r="G303" s="1"/>
      <c r="H303" s="1"/>
      <c r="I303" s="1"/>
      <c r="J303" s="1"/>
      <c r="K303" s="31"/>
      <c r="L303" s="63">
        <f>'Phan tich_TB'!DF5</f>
        <v>0</v>
      </c>
      <c r="M303" s="593" t="s">
        <v>1085</v>
      </c>
      <c r="N303" s="64"/>
      <c r="O303" s="1"/>
      <c r="P303" s="1" t="s">
        <v>1066</v>
      </c>
      <c r="Q303" s="1"/>
      <c r="R303" s="1"/>
      <c r="S303" s="1"/>
      <c r="T303" s="1"/>
      <c r="U303" s="1"/>
    </row>
    <row r="304" spans="1:21" x14ac:dyDescent="0.3">
      <c r="A304" s="64">
        <f t="shared" si="10"/>
        <v>2474</v>
      </c>
      <c r="B304" s="7">
        <f t="shared" si="11"/>
        <v>46252</v>
      </c>
      <c r="C304" s="488" t="s">
        <v>3187</v>
      </c>
      <c r="D304" s="1" t="s">
        <v>1064</v>
      </c>
      <c r="E304" s="62" t="s">
        <v>1030</v>
      </c>
      <c r="L304" s="602" cm="1">
        <f t="array" ref="L304">-AVERAGE(AVERAGEIFS(VaR!K:K,VaR!J:J,{1,2},VaR!H:H,"VaR20D",VaR!G:G,"TD",VaR!F:F,"MSB"))/10^9</f>
        <v>249.22430026248011</v>
      </c>
      <c r="M304" s="593" t="s">
        <v>1065</v>
      </c>
      <c r="N304" s="604"/>
      <c r="O304" s="1"/>
      <c r="P304" s="1" t="s">
        <v>1066</v>
      </c>
    </row>
    <row r="305" spans="1:21" x14ac:dyDescent="0.3">
      <c r="A305" s="64">
        <f t="shared" si="10"/>
        <v>2474</v>
      </c>
      <c r="B305" s="7">
        <f t="shared" si="11"/>
        <v>46252</v>
      </c>
      <c r="C305" s="488" t="s">
        <v>3186</v>
      </c>
      <c r="D305" s="1" t="s">
        <v>1064</v>
      </c>
      <c r="E305" s="62" t="s">
        <v>1030</v>
      </c>
      <c r="L305" s="602" cm="1">
        <f t="array" ref="L305">-AVERAGE(AVERAGEIFS(VaR!K:K,VaR!J:J,{1,2,3,4,5,6,7,8,9,10,11,12,13},VaR!H:H,"VaR20D",VaR!G:G,"TD",VaR!F:F,"MSB"))/10^9</f>
        <v>230.16693148039795</v>
      </c>
      <c r="M305" s="593" t="s">
        <v>1065</v>
      </c>
      <c r="N305" s="604"/>
      <c r="O305" s="1"/>
      <c r="P305" s="1" t="s">
        <v>1066</v>
      </c>
    </row>
    <row r="306" spans="1:21" x14ac:dyDescent="0.3">
      <c r="A306" s="64">
        <f t="shared" si="10"/>
        <v>2474</v>
      </c>
      <c r="B306" s="7">
        <f t="shared" si="11"/>
        <v>46252</v>
      </c>
      <c r="C306" s="488" t="s">
        <v>3185</v>
      </c>
      <c r="D306" s="1" t="s">
        <v>1064</v>
      </c>
      <c r="E306" s="62" t="s">
        <v>1030</v>
      </c>
      <c r="L306" s="602" cm="1">
        <f t="array" ref="L306">-AVERAGE(AVERAGEIFS(VaR!K:K,VaR!J:J,{1,2,3},VaR!H:H,"VaR10D",VaR!G:G,"TD",VaR!F:F,"MSB"))/10^9</f>
        <v>193.99942194576747</v>
      </c>
      <c r="M306" s="593" t="s">
        <v>1065</v>
      </c>
      <c r="N306" s="604"/>
      <c r="O306" s="1"/>
      <c r="P306" s="1" t="s">
        <v>1066</v>
      </c>
    </row>
    <row r="307" spans="1:21" x14ac:dyDescent="0.3">
      <c r="A307" s="64">
        <f t="shared" si="10"/>
        <v>2474</v>
      </c>
      <c r="B307" s="7">
        <f t="shared" si="11"/>
        <v>46252</v>
      </c>
      <c r="C307" s="488" t="s">
        <v>3941</v>
      </c>
      <c r="D307" s="1" t="s">
        <v>1064</v>
      </c>
      <c r="E307" s="62" t="s">
        <v>1030</v>
      </c>
      <c r="L307" s="602" cm="1">
        <f t="array" ref="L307">-AVERAGE(AVERAGEIFS(VaR!K:K, VaR!J:J, {1,2,3,4,5,6},VaR!H:H, "VaR10D", VaR!G:G, "TD", VaR!F:F, "MSB")) / 10^9</f>
        <v>186.68985698987146</v>
      </c>
      <c r="M307" s="593" t="s">
        <v>1065</v>
      </c>
      <c r="N307" s="604"/>
      <c r="O307" s="1"/>
      <c r="P307" s="1"/>
    </row>
    <row r="308" spans="1:21" x14ac:dyDescent="0.3">
      <c r="A308" s="64">
        <f t="shared" si="10"/>
        <v>2474</v>
      </c>
      <c r="B308" s="7">
        <f t="shared" si="11"/>
        <v>46252</v>
      </c>
      <c r="C308" s="488" t="s">
        <v>3184</v>
      </c>
      <c r="D308" s="1" t="s">
        <v>1064</v>
      </c>
      <c r="E308" s="62" t="s">
        <v>1030</v>
      </c>
      <c r="L308" s="602" cm="1">
        <f t="array" ref="L308">-AVERAGE(AVERAGEIFS(VaR!K:K,VaR!J:J,{1,2,3,4,5,6,7,8,9,10,11,12,13},VaR!H:H,"VaR10D",VaR!G:G,"TD",VaR!F:F,"MSB"))/10^9</f>
        <v>169.77195836242527</v>
      </c>
      <c r="M308" s="593" t="s">
        <v>1065</v>
      </c>
      <c r="N308" s="604"/>
      <c r="O308" s="1"/>
      <c r="P308" s="1" t="s">
        <v>1066</v>
      </c>
    </row>
    <row r="309" spans="1:21" x14ac:dyDescent="0.3">
      <c r="A309" s="64">
        <f t="shared" si="10"/>
        <v>2474</v>
      </c>
      <c r="B309" s="7">
        <f t="shared" si="11"/>
        <v>46252</v>
      </c>
      <c r="C309" s="488" t="s">
        <v>3189</v>
      </c>
      <c r="D309" s="1" t="s">
        <v>1064</v>
      </c>
      <c r="E309" s="62" t="s">
        <v>1030</v>
      </c>
      <c r="L309" s="602" cm="1">
        <f t="array" ref="L309">-AVERAGE(AVERAGEIFS(VaR!K:K,VaR!J:J,{1,2},VaR!H:H,"VaR1D",VaR!G:G,"TD",VaR!F:F,"MSB"))/10^9</f>
        <v>62.629144718988037</v>
      </c>
      <c r="M309" s="593" t="s">
        <v>1065</v>
      </c>
      <c r="N309" s="604"/>
      <c r="O309" s="1"/>
      <c r="P309" s="1" t="s">
        <v>1066</v>
      </c>
    </row>
    <row r="310" spans="1:21" x14ac:dyDescent="0.3">
      <c r="A310" s="64">
        <f t="shared" si="10"/>
        <v>2474</v>
      </c>
      <c r="B310" s="7">
        <f t="shared" si="11"/>
        <v>46252</v>
      </c>
      <c r="C310" s="488" t="s">
        <v>3188</v>
      </c>
      <c r="D310" s="1" t="s">
        <v>1064</v>
      </c>
      <c r="E310" s="62" t="s">
        <v>1030</v>
      </c>
      <c r="L310" s="602" cm="1">
        <f t="array" ref="L310">-AVERAGE(AVERAGEIFS(VaR!K:K,VaR!J:J,{1,2,3,4,5,6,7,8,9,10,11,12},VaR!H:H,"VaR1D",VaR!G:G,"TD",VaR!F:F,"MSB"))/10^9</f>
        <v>40.382290644380149</v>
      </c>
      <c r="M310" s="593" t="s">
        <v>1065</v>
      </c>
      <c r="N310" s="604"/>
      <c r="O310" s="1"/>
      <c r="P310" s="1" t="s">
        <v>1066</v>
      </c>
    </row>
    <row r="311" spans="1:21" x14ac:dyDescent="0.3">
      <c r="A311" s="64">
        <f t="shared" si="10"/>
        <v>2474</v>
      </c>
      <c r="B311" s="7">
        <f t="shared" si="11"/>
        <v>46252</v>
      </c>
      <c r="C311" s="488" t="s">
        <v>3562</v>
      </c>
      <c r="D311" s="1" t="s">
        <v>1064</v>
      </c>
      <c r="E311" s="62" t="s">
        <v>1030</v>
      </c>
      <c r="L311" s="602">
        <f>'Phan tich_TB'!AW3</f>
        <v>228.78409510567789</v>
      </c>
      <c r="M311" s="593" t="s">
        <v>1065</v>
      </c>
      <c r="N311" s="604"/>
      <c r="O311" s="1"/>
      <c r="P311" s="1" t="s">
        <v>1066</v>
      </c>
      <c r="T311" t="s">
        <v>3564</v>
      </c>
    </row>
    <row r="312" spans="1:21" x14ac:dyDescent="0.3">
      <c r="A312" s="64">
        <f t="shared" si="10"/>
        <v>2474</v>
      </c>
      <c r="B312" s="7">
        <f t="shared" si="11"/>
        <v>46252</v>
      </c>
      <c r="C312" s="488" t="s">
        <v>3717</v>
      </c>
      <c r="D312" s="1" t="s">
        <v>1064</v>
      </c>
      <c r="E312" s="62" t="s">
        <v>1030</v>
      </c>
      <c r="L312" s="742">
        <f>'Phan tich_TB'!D3</f>
        <v>4.8392596430343451</v>
      </c>
      <c r="M312" s="593" t="s">
        <v>1078</v>
      </c>
      <c r="P312" s="1" t="s">
        <v>1066</v>
      </c>
    </row>
    <row r="313" spans="1:21" x14ac:dyDescent="0.3">
      <c r="A313" s="64">
        <f t="shared" si="10"/>
        <v>2474</v>
      </c>
      <c r="B313" s="7">
        <f t="shared" si="11"/>
        <v>46252</v>
      </c>
      <c r="C313" s="488" t="s">
        <v>2772</v>
      </c>
      <c r="D313" s="1" t="s">
        <v>1064</v>
      </c>
      <c r="E313" s="62" t="s">
        <v>1030</v>
      </c>
      <c r="K313" s="608"/>
      <c r="L313" s="602">
        <f>'Phan tich_TB'!C3</f>
        <v>3.3877747958659281</v>
      </c>
      <c r="M313" s="593" t="s">
        <v>1078</v>
      </c>
      <c r="P313" s="1" t="s">
        <v>1066</v>
      </c>
    </row>
    <row r="314" spans="1:21" x14ac:dyDescent="0.3">
      <c r="A314" s="64">
        <f t="shared" si="10"/>
        <v>2474</v>
      </c>
      <c r="B314" s="7">
        <f t="shared" si="11"/>
        <v>46252</v>
      </c>
      <c r="C314" s="488" t="s">
        <v>3561</v>
      </c>
      <c r="D314" s="1" t="s">
        <v>1064</v>
      </c>
      <c r="E314" s="62" t="s">
        <v>1030</v>
      </c>
      <c r="L314" s="602">
        <f>'Phan tich_TB'!AW2</f>
        <v>184.43326888748953</v>
      </c>
      <c r="M314" s="593" t="s">
        <v>1065</v>
      </c>
      <c r="N314" s="604"/>
      <c r="O314" s="1"/>
      <c r="P314" s="1" t="s">
        <v>1066</v>
      </c>
      <c r="T314" t="s">
        <v>3563</v>
      </c>
    </row>
    <row r="315" spans="1:21" x14ac:dyDescent="0.3">
      <c r="A315" s="64">
        <f t="shared" si="10"/>
        <v>2474</v>
      </c>
      <c r="B315" s="7">
        <f t="shared" si="11"/>
        <v>46252</v>
      </c>
      <c r="C315" s="488" t="s">
        <v>854</v>
      </c>
      <c r="D315" s="1" t="s">
        <v>1064</v>
      </c>
      <c r="E315" s="62" t="s">
        <v>1030</v>
      </c>
      <c r="F315" s="31"/>
      <c r="G315" s="1"/>
      <c r="H315" s="1"/>
      <c r="I315" s="1"/>
      <c r="J315" s="1"/>
      <c r="K315" s="31"/>
      <c r="L315" s="63">
        <f>'Phan tich_TB'!BZ34</f>
        <v>56.61210556787897</v>
      </c>
      <c r="M315" s="593"/>
      <c r="N315" s="64"/>
      <c r="O315" s="1"/>
      <c r="P315" s="1" t="s">
        <v>1066</v>
      </c>
      <c r="Q315" s="1"/>
      <c r="R315" s="1"/>
      <c r="S315" s="1"/>
      <c r="T315" s="1"/>
      <c r="U315" s="1"/>
    </row>
    <row r="316" spans="1:21" x14ac:dyDescent="0.3">
      <c r="A316" s="64">
        <f t="shared" si="10"/>
        <v>2474</v>
      </c>
      <c r="B316" s="7">
        <f t="shared" si="11"/>
        <v>46252</v>
      </c>
      <c r="C316" s="488" t="s">
        <v>854</v>
      </c>
      <c r="D316" s="1" t="s">
        <v>1064</v>
      </c>
      <c r="E316" s="62" t="s">
        <v>898</v>
      </c>
      <c r="F316" s="31"/>
      <c r="G316" s="1"/>
      <c r="H316" s="1"/>
      <c r="I316" s="1"/>
      <c r="J316" s="1"/>
      <c r="K316" s="31"/>
      <c r="L316" s="63">
        <f>'Phan tich_TB'!BZ35</f>
        <v>57.48826114345767</v>
      </c>
      <c r="M316" s="593"/>
      <c r="N316" s="64"/>
      <c r="O316" s="1"/>
      <c r="P316" s="1" t="s">
        <v>1066</v>
      </c>
      <c r="Q316" s="1"/>
      <c r="R316" s="1"/>
      <c r="S316" s="1"/>
      <c r="T316" s="1"/>
      <c r="U316" s="1"/>
    </row>
    <row r="317" spans="1:21" x14ac:dyDescent="0.3">
      <c r="A317" s="64">
        <f t="shared" si="10"/>
        <v>2474</v>
      </c>
      <c r="B317" s="7">
        <f t="shared" si="11"/>
        <v>46252</v>
      </c>
      <c r="C317" s="488" t="s">
        <v>854</v>
      </c>
      <c r="D317" s="1" t="s">
        <v>1064</v>
      </c>
      <c r="E317" s="62" t="s">
        <v>906</v>
      </c>
      <c r="F317" s="31"/>
      <c r="G317" s="1"/>
      <c r="H317" s="1"/>
      <c r="I317" s="1"/>
      <c r="J317" s="1"/>
      <c r="K317" s="31"/>
      <c r="L317" s="63">
        <f>'Phan tich_TB'!BZ36</f>
        <v>59.776416780696486</v>
      </c>
      <c r="M317" s="593"/>
      <c r="N317" s="64"/>
      <c r="O317" s="1"/>
      <c r="P317" s="1" t="s">
        <v>1066</v>
      </c>
      <c r="Q317" s="1"/>
      <c r="R317" s="1"/>
      <c r="S317" s="1"/>
      <c r="T317" s="1"/>
      <c r="U317" s="1"/>
    </row>
    <row r="318" spans="1:21" x14ac:dyDescent="0.3">
      <c r="A318" s="64">
        <f t="shared" si="10"/>
        <v>2474</v>
      </c>
      <c r="B318" s="7">
        <f t="shared" si="11"/>
        <v>46252</v>
      </c>
      <c r="C318" s="488" t="s">
        <v>854</v>
      </c>
      <c r="D318" s="1" t="s">
        <v>1064</v>
      </c>
      <c r="E318" s="62" t="s">
        <v>1067</v>
      </c>
      <c r="F318" s="31"/>
      <c r="G318" s="1"/>
      <c r="H318" s="1"/>
      <c r="I318" s="1"/>
      <c r="J318" s="1"/>
      <c r="K318" s="31"/>
      <c r="L318" s="63">
        <f>'Phan tich_TB'!BZ37</f>
        <v>0</v>
      </c>
      <c r="M318" s="593"/>
      <c r="N318" s="64"/>
      <c r="O318" s="1"/>
      <c r="P318" s="1" t="s">
        <v>1066</v>
      </c>
      <c r="Q318" s="1"/>
      <c r="R318" s="1"/>
      <c r="S318" s="1"/>
      <c r="T318" s="1"/>
      <c r="U318" s="1"/>
    </row>
    <row r="319" spans="1:21" x14ac:dyDescent="0.3">
      <c r="A319" s="64">
        <f t="shared" si="10"/>
        <v>2474</v>
      </c>
      <c r="B319" s="7">
        <f t="shared" si="11"/>
        <v>46252</v>
      </c>
      <c r="C319" s="488" t="s">
        <v>854</v>
      </c>
      <c r="D319" s="1" t="s">
        <v>1064</v>
      </c>
      <c r="E319" s="62" t="s">
        <v>906</v>
      </c>
      <c r="F319" s="62" t="s">
        <v>821</v>
      </c>
      <c r="G319" s="62"/>
      <c r="H319" s="62"/>
      <c r="I319" s="1"/>
      <c r="J319" s="1"/>
      <c r="K319" s="31"/>
      <c r="L319" s="63">
        <f>'Phan tich_TB'!BZ38</f>
        <v>21.539671376607657</v>
      </c>
      <c r="M319" s="593"/>
      <c r="N319" s="64"/>
      <c r="O319" s="1"/>
      <c r="P319" s="1" t="s">
        <v>1066</v>
      </c>
      <c r="Q319" s="1"/>
      <c r="R319" s="1"/>
      <c r="S319" s="1"/>
      <c r="T319" s="1"/>
      <c r="U319" s="1"/>
    </row>
    <row r="320" spans="1:21" x14ac:dyDescent="0.3">
      <c r="A320" s="64">
        <f t="shared" si="10"/>
        <v>2474</v>
      </c>
      <c r="B320" s="7">
        <f t="shared" si="11"/>
        <v>46252</v>
      </c>
      <c r="C320" s="488" t="s">
        <v>854</v>
      </c>
      <c r="D320" s="1" t="s">
        <v>1064</v>
      </c>
      <c r="E320" s="62" t="s">
        <v>906</v>
      </c>
      <c r="F320" s="62" t="s">
        <v>905</v>
      </c>
      <c r="G320" s="62"/>
      <c r="H320" s="62"/>
      <c r="I320" s="1"/>
      <c r="J320" s="1"/>
      <c r="K320" s="31"/>
      <c r="L320" s="63">
        <f>'Phan tich_TB'!BZ39</f>
        <v>69.485915832767063</v>
      </c>
      <c r="M320" s="593"/>
      <c r="N320" s="64"/>
      <c r="O320" s="1"/>
      <c r="P320" s="1" t="s">
        <v>1066</v>
      </c>
      <c r="Q320" s="1"/>
      <c r="R320" s="1"/>
      <c r="S320" s="1"/>
      <c r="T320" s="1"/>
      <c r="U320" s="1"/>
    </row>
    <row r="321" spans="1:21" x14ac:dyDescent="0.3">
      <c r="A321" s="64">
        <f t="shared" si="10"/>
        <v>2474</v>
      </c>
      <c r="B321" s="7">
        <f t="shared" si="11"/>
        <v>46252</v>
      </c>
      <c r="C321" s="488" t="s">
        <v>854</v>
      </c>
      <c r="D321" s="1" t="s">
        <v>1064</v>
      </c>
      <c r="E321" s="62" t="s">
        <v>1030</v>
      </c>
      <c r="F321" s="62"/>
      <c r="G321" s="62"/>
      <c r="H321" s="62"/>
      <c r="I321" s="62"/>
      <c r="J321" s="62" t="s">
        <v>1068</v>
      </c>
      <c r="K321" s="62" t="s">
        <v>877</v>
      </c>
      <c r="L321" s="63">
        <f>'Phan tich_TB'!BZ40</f>
        <v>0</v>
      </c>
      <c r="M321" s="593"/>
      <c r="N321" s="64"/>
      <c r="O321" s="1"/>
      <c r="P321" s="1" t="s">
        <v>1066</v>
      </c>
      <c r="Q321" s="1"/>
      <c r="R321" s="1"/>
      <c r="S321" s="1"/>
      <c r="T321" s="1"/>
      <c r="U321" s="1"/>
    </row>
    <row r="322" spans="1:21" x14ac:dyDescent="0.3">
      <c r="A322" s="64">
        <f t="shared" si="10"/>
        <v>2474</v>
      </c>
      <c r="B322" s="7">
        <f t="shared" si="11"/>
        <v>46252</v>
      </c>
      <c r="C322" s="488" t="s">
        <v>854</v>
      </c>
      <c r="D322" s="1" t="s">
        <v>1064</v>
      </c>
      <c r="E322" s="62" t="s">
        <v>1030</v>
      </c>
      <c r="F322" s="62"/>
      <c r="G322" s="62"/>
      <c r="H322" s="62"/>
      <c r="I322" s="62"/>
      <c r="J322" s="62" t="s">
        <v>1068</v>
      </c>
      <c r="K322" s="62" t="s">
        <v>878</v>
      </c>
      <c r="L322" s="63">
        <f>'Phan tich_TB'!BZ41</f>
        <v>0</v>
      </c>
      <c r="M322" s="593"/>
      <c r="N322" s="64"/>
      <c r="O322" s="1"/>
      <c r="P322" s="1" t="s">
        <v>1066</v>
      </c>
      <c r="Q322" s="1"/>
      <c r="R322" s="1"/>
      <c r="S322" s="1"/>
      <c r="T322" s="1"/>
      <c r="U322" s="1"/>
    </row>
    <row r="323" spans="1:21" x14ac:dyDescent="0.3">
      <c r="A323" s="64">
        <f t="shared" si="10"/>
        <v>2474</v>
      </c>
      <c r="B323" s="7">
        <f t="shared" si="11"/>
        <v>46252</v>
      </c>
      <c r="C323" s="488" t="s">
        <v>854</v>
      </c>
      <c r="D323" s="1" t="s">
        <v>1064</v>
      </c>
      <c r="E323" s="62" t="s">
        <v>1030</v>
      </c>
      <c r="F323" s="62"/>
      <c r="G323" s="62"/>
      <c r="H323" s="62"/>
      <c r="I323" s="62"/>
      <c r="J323" s="62" t="s">
        <v>1068</v>
      </c>
      <c r="K323" s="62" t="s">
        <v>879</v>
      </c>
      <c r="L323" s="63">
        <f>'Phan tich_TB'!BZ42</f>
        <v>10.105371098622699</v>
      </c>
      <c r="M323" s="593"/>
      <c r="N323" s="64"/>
      <c r="O323" s="1"/>
      <c r="P323" s="1" t="s">
        <v>1066</v>
      </c>
      <c r="Q323" s="1"/>
      <c r="R323" s="1"/>
      <c r="S323" s="1"/>
      <c r="T323" s="1"/>
      <c r="U323" s="1"/>
    </row>
    <row r="324" spans="1:21" x14ac:dyDescent="0.3">
      <c r="A324" s="64">
        <f t="shared" si="10"/>
        <v>2474</v>
      </c>
      <c r="B324" s="7">
        <f t="shared" si="11"/>
        <v>46252</v>
      </c>
      <c r="C324" s="488" t="s">
        <v>854</v>
      </c>
      <c r="D324" s="1" t="s">
        <v>1064</v>
      </c>
      <c r="E324" s="62" t="s">
        <v>1030</v>
      </c>
      <c r="F324" s="62"/>
      <c r="G324" s="62"/>
      <c r="H324" s="62"/>
      <c r="I324" s="62"/>
      <c r="J324" s="62" t="s">
        <v>1068</v>
      </c>
      <c r="K324" s="62" t="s">
        <v>880</v>
      </c>
      <c r="L324" s="63">
        <f>'Phan tich_TB'!BZ43</f>
        <v>18.514235871720651</v>
      </c>
      <c r="M324" s="593"/>
      <c r="N324" s="64"/>
      <c r="O324" s="1"/>
      <c r="P324" s="1" t="s">
        <v>1066</v>
      </c>
      <c r="Q324" s="1"/>
      <c r="R324" s="1"/>
      <c r="S324" s="1"/>
      <c r="T324" s="1"/>
      <c r="U324" s="1"/>
    </row>
    <row r="325" spans="1:21" x14ac:dyDescent="0.3">
      <c r="A325" s="64">
        <f t="shared" si="10"/>
        <v>2474</v>
      </c>
      <c r="B325" s="7">
        <f t="shared" si="11"/>
        <v>46252</v>
      </c>
      <c r="C325" s="488" t="s">
        <v>854</v>
      </c>
      <c r="D325" s="1" t="s">
        <v>1064</v>
      </c>
      <c r="E325" s="62" t="s">
        <v>1030</v>
      </c>
      <c r="F325" s="62"/>
      <c r="G325" s="62"/>
      <c r="H325" s="62"/>
      <c r="I325" s="62"/>
      <c r="J325" s="62" t="s">
        <v>1068</v>
      </c>
      <c r="K325" s="62" t="s">
        <v>881</v>
      </c>
      <c r="L325" s="63">
        <f>'Phan tich_TB'!BZ44</f>
        <v>21.562294116404438</v>
      </c>
      <c r="M325" s="593"/>
      <c r="N325" s="64"/>
      <c r="O325" s="1"/>
      <c r="P325" s="1" t="s">
        <v>1066</v>
      </c>
      <c r="Q325" s="1"/>
      <c r="R325" s="1"/>
      <c r="S325" s="1"/>
      <c r="T325" s="1"/>
      <c r="U325" s="1"/>
    </row>
    <row r="326" spans="1:21" x14ac:dyDescent="0.3">
      <c r="A326" s="64">
        <f t="shared" si="10"/>
        <v>2474</v>
      </c>
      <c r="B326" s="7">
        <f t="shared" si="11"/>
        <v>46252</v>
      </c>
      <c r="C326" s="488" t="s">
        <v>854</v>
      </c>
      <c r="D326" s="1" t="s">
        <v>1064</v>
      </c>
      <c r="E326" s="62" t="s">
        <v>1030</v>
      </c>
      <c r="F326" s="62"/>
      <c r="G326" s="62"/>
      <c r="H326" s="62"/>
      <c r="I326" s="62"/>
      <c r="J326" s="62" t="s">
        <v>1068</v>
      </c>
      <c r="K326" s="62" t="s">
        <v>882</v>
      </c>
      <c r="L326" s="63">
        <f>'Phan tich_TB'!BZ45</f>
        <v>42.692674261283223</v>
      </c>
      <c r="M326" s="593"/>
      <c r="N326" s="64"/>
      <c r="O326" s="1"/>
      <c r="P326" s="1" t="s">
        <v>1066</v>
      </c>
      <c r="Q326" s="1"/>
      <c r="R326" s="1"/>
      <c r="S326" s="1"/>
      <c r="T326" s="1"/>
      <c r="U326" s="1"/>
    </row>
    <row r="327" spans="1:21" x14ac:dyDescent="0.3">
      <c r="A327" s="64">
        <f t="shared" si="10"/>
        <v>2474</v>
      </c>
      <c r="B327" s="7">
        <f t="shared" si="11"/>
        <v>46252</v>
      </c>
      <c r="C327" s="488" t="s">
        <v>854</v>
      </c>
      <c r="D327" s="1" t="s">
        <v>1064</v>
      </c>
      <c r="E327" s="62" t="s">
        <v>1030</v>
      </c>
      <c r="F327" s="62"/>
      <c r="G327" s="62"/>
      <c r="H327" s="62"/>
      <c r="I327" s="62"/>
      <c r="J327" s="62" t="s">
        <v>1068</v>
      </c>
      <c r="K327" s="62" t="s">
        <v>883</v>
      </c>
      <c r="L327" s="63">
        <f>'Phan tich_TB'!BZ46</f>
        <v>60.374400920834368</v>
      </c>
      <c r="M327" s="593"/>
      <c r="N327" s="64"/>
      <c r="O327" s="1"/>
      <c r="P327" s="1" t="s">
        <v>1066</v>
      </c>
      <c r="Q327" s="1"/>
      <c r="R327" s="1"/>
      <c r="S327" s="1"/>
      <c r="T327" s="1"/>
      <c r="U327" s="1"/>
    </row>
    <row r="328" spans="1:21" x14ac:dyDescent="0.3">
      <c r="A328" s="64">
        <f t="shared" si="10"/>
        <v>2474</v>
      </c>
      <c r="B328" s="7">
        <f t="shared" si="11"/>
        <v>46252</v>
      </c>
      <c r="C328" s="488" t="s">
        <v>854</v>
      </c>
      <c r="D328" s="1" t="s">
        <v>1064</v>
      </c>
      <c r="E328" s="62" t="s">
        <v>1030</v>
      </c>
      <c r="F328" s="62"/>
      <c r="G328" s="62"/>
      <c r="H328" s="62"/>
      <c r="I328" s="62"/>
      <c r="J328" s="62" t="s">
        <v>1068</v>
      </c>
      <c r="K328" s="62" t="s">
        <v>884</v>
      </c>
      <c r="L328" s="63">
        <f>'Phan tich_TB'!BZ47</f>
        <v>113.84605306430568</v>
      </c>
      <c r="M328" s="593"/>
      <c r="N328" s="64"/>
      <c r="O328" s="1"/>
      <c r="P328" s="1" t="s">
        <v>1066</v>
      </c>
      <c r="Q328" s="1"/>
      <c r="R328" s="1"/>
      <c r="S328" s="1"/>
      <c r="T328" s="1"/>
      <c r="U328" s="1"/>
    </row>
    <row r="329" spans="1:21" x14ac:dyDescent="0.3">
      <c r="A329" s="64">
        <f t="shared" si="10"/>
        <v>2474</v>
      </c>
      <c r="B329" s="7">
        <f t="shared" si="11"/>
        <v>46252</v>
      </c>
      <c r="C329" s="488" t="s">
        <v>854</v>
      </c>
      <c r="D329" s="1" t="s">
        <v>1064</v>
      </c>
      <c r="E329" s="62" t="s">
        <v>1030</v>
      </c>
      <c r="F329" s="62"/>
      <c r="G329" s="62"/>
      <c r="H329" s="62"/>
      <c r="I329" s="62"/>
      <c r="J329" s="62" t="s">
        <v>1068</v>
      </c>
      <c r="K329" s="62" t="s">
        <v>885</v>
      </c>
      <c r="L329" s="63">
        <f>'Phan tich_TB'!BZ48</f>
        <v>0</v>
      </c>
      <c r="M329" s="593"/>
      <c r="N329" s="64"/>
      <c r="O329" s="1"/>
      <c r="P329" s="1" t="s">
        <v>1066</v>
      </c>
      <c r="Q329" s="1"/>
      <c r="R329" s="1"/>
      <c r="S329" s="1"/>
      <c r="T329" s="1"/>
      <c r="U329" s="1"/>
    </row>
    <row r="330" spans="1:21" x14ac:dyDescent="0.3">
      <c r="A330" s="64">
        <f t="shared" si="10"/>
        <v>2474</v>
      </c>
      <c r="B330" s="7">
        <f t="shared" si="11"/>
        <v>46252</v>
      </c>
      <c r="C330" s="488" t="s">
        <v>854</v>
      </c>
      <c r="D330" s="1" t="s">
        <v>1064</v>
      </c>
      <c r="E330" s="62" t="s">
        <v>1030</v>
      </c>
      <c r="F330" s="62"/>
      <c r="G330" s="62"/>
      <c r="H330" s="62"/>
      <c r="I330" s="62"/>
      <c r="J330" s="62" t="s">
        <v>1068</v>
      </c>
      <c r="K330" s="62" t="s">
        <v>886</v>
      </c>
      <c r="L330" s="63">
        <f>'Phan tich_TB'!BZ49</f>
        <v>0</v>
      </c>
      <c r="M330" s="593"/>
      <c r="N330" s="64"/>
      <c r="O330" s="1"/>
      <c r="P330" s="1" t="s">
        <v>1066</v>
      </c>
      <c r="Q330" s="1"/>
      <c r="R330" s="1"/>
      <c r="S330" s="1"/>
      <c r="T330" s="1"/>
      <c r="U330" s="1"/>
    </row>
    <row r="331" spans="1:21" x14ac:dyDescent="0.3">
      <c r="A331" s="64">
        <f t="shared" si="10"/>
        <v>2474</v>
      </c>
      <c r="B331" s="7">
        <f t="shared" si="11"/>
        <v>46252</v>
      </c>
      <c r="C331" s="66" t="s">
        <v>854</v>
      </c>
      <c r="D331" s="1" t="s">
        <v>869</v>
      </c>
      <c r="E331" s="62" t="s">
        <v>1030</v>
      </c>
      <c r="F331" s="31"/>
      <c r="G331" s="1"/>
      <c r="H331" s="1"/>
      <c r="I331" s="1"/>
      <c r="J331" s="1"/>
      <c r="K331" s="31"/>
      <c r="L331" s="63">
        <f>'Phan tich_TB'!DF7</f>
        <v>0</v>
      </c>
      <c r="M331" s="593" t="s">
        <v>1085</v>
      </c>
      <c r="N331" s="64"/>
      <c r="O331" s="1"/>
      <c r="P331" s="1" t="s">
        <v>1066</v>
      </c>
      <c r="Q331" s="1"/>
      <c r="R331" s="1"/>
      <c r="S331" s="1"/>
      <c r="T331" s="1"/>
      <c r="U331" s="1"/>
    </row>
    <row r="332" spans="1:21" x14ac:dyDescent="0.3">
      <c r="A332" s="64">
        <f t="shared" si="10"/>
        <v>2474</v>
      </c>
      <c r="B332" s="7">
        <f t="shared" si="11"/>
        <v>46252</v>
      </c>
      <c r="C332" s="488" t="s">
        <v>1087</v>
      </c>
      <c r="D332" s="1" t="s">
        <v>1064</v>
      </c>
      <c r="E332" s="62" t="s">
        <v>1030</v>
      </c>
      <c r="F332" s="62"/>
      <c r="G332" s="62"/>
      <c r="H332" s="62"/>
      <c r="I332" s="601"/>
      <c r="J332" s="1"/>
      <c r="K332" s="607" t="s">
        <v>1088</v>
      </c>
      <c r="L332" s="63">
        <f>SUM('Phan tich_TB'!BJ7:BJ11)/'Phan tich_TB'!BJ2</f>
        <v>0.12630617255752868</v>
      </c>
      <c r="M332" s="593" t="s">
        <v>1078</v>
      </c>
      <c r="N332" s="594"/>
      <c r="O332" s="1"/>
      <c r="P332" s="1" t="s">
        <v>1066</v>
      </c>
      <c r="Q332" s="1"/>
      <c r="R332" s="1"/>
      <c r="S332" s="1"/>
      <c r="T332" s="1"/>
      <c r="U332" s="1"/>
    </row>
    <row r="333" spans="1:21" x14ac:dyDescent="0.3">
      <c r="A333" s="64">
        <f t="shared" si="10"/>
        <v>2474</v>
      </c>
      <c r="B333" s="7">
        <f t="shared" si="11"/>
        <v>46252</v>
      </c>
      <c r="C333" s="488" t="s">
        <v>1087</v>
      </c>
      <c r="D333" s="1" t="s">
        <v>1064</v>
      </c>
      <c r="E333" s="62" t="s">
        <v>1030</v>
      </c>
      <c r="F333" s="62"/>
      <c r="G333" s="62"/>
      <c r="H333" s="62"/>
      <c r="I333" s="601"/>
      <c r="J333" s="1"/>
      <c r="K333" s="607" t="s">
        <v>882</v>
      </c>
      <c r="L333" s="63">
        <f>'Phan tich_TB'!BJ12/'Phan tich_TB'!BJ2</f>
        <v>0.27373950779421002</v>
      </c>
      <c r="M333" s="593" t="s">
        <v>1078</v>
      </c>
      <c r="N333" s="594"/>
      <c r="O333" s="1"/>
      <c r="P333" s="1" t="s">
        <v>1066</v>
      </c>
      <c r="Q333" s="1"/>
      <c r="R333" s="1"/>
      <c r="S333" s="1"/>
      <c r="T333" s="1"/>
      <c r="U333" s="1"/>
    </row>
    <row r="334" spans="1:21" x14ac:dyDescent="0.3">
      <c r="A334" s="64">
        <f t="shared" si="10"/>
        <v>2474</v>
      </c>
      <c r="B334" s="7">
        <f t="shared" si="11"/>
        <v>46252</v>
      </c>
      <c r="C334" s="488" t="s">
        <v>1087</v>
      </c>
      <c r="D334" s="1" t="s">
        <v>1064</v>
      </c>
      <c r="E334" s="62" t="s">
        <v>1030</v>
      </c>
      <c r="F334" s="62"/>
      <c r="G334" s="62"/>
      <c r="H334" s="62"/>
      <c r="I334" s="601"/>
      <c r="J334" s="1"/>
      <c r="K334" s="607" t="s">
        <v>883</v>
      </c>
      <c r="L334" s="63">
        <f>'Phan tich_TB'!BJ13/'Phan tich_TB'!BJ2</f>
        <v>0.37041055216125163</v>
      </c>
      <c r="M334" s="593" t="s">
        <v>1078</v>
      </c>
      <c r="N334" s="594"/>
      <c r="O334" s="1"/>
      <c r="P334" s="1" t="s">
        <v>1066</v>
      </c>
      <c r="Q334" s="1"/>
      <c r="R334" s="1"/>
      <c r="S334" s="1"/>
      <c r="T334" s="1"/>
      <c r="U334" s="1"/>
    </row>
    <row r="335" spans="1:21" x14ac:dyDescent="0.3">
      <c r="A335" s="64">
        <f t="shared" si="10"/>
        <v>2474</v>
      </c>
      <c r="B335" s="7">
        <f t="shared" si="11"/>
        <v>46252</v>
      </c>
      <c r="C335" s="488" t="s">
        <v>1087</v>
      </c>
      <c r="D335" s="1" t="s">
        <v>1064</v>
      </c>
      <c r="E335" s="62" t="s">
        <v>1030</v>
      </c>
      <c r="F335" s="62"/>
      <c r="G335" s="62"/>
      <c r="H335" s="62"/>
      <c r="I335" s="601"/>
      <c r="J335" s="1"/>
      <c r="K335" s="607" t="s">
        <v>884</v>
      </c>
      <c r="L335" s="63">
        <f>'Phan tich_TB'!BJ14/'Phan tich_TB'!BJ2</f>
        <v>0.22954376748700964</v>
      </c>
      <c r="M335" s="593" t="s">
        <v>1078</v>
      </c>
      <c r="N335" s="594"/>
      <c r="O335" s="1"/>
      <c r="P335" s="1" t="s">
        <v>1066</v>
      </c>
      <c r="Q335" s="1"/>
      <c r="R335" s="1"/>
      <c r="S335" s="1"/>
      <c r="T335" s="1"/>
      <c r="U335" s="1"/>
    </row>
    <row r="336" spans="1:21" x14ac:dyDescent="0.3">
      <c r="A336" s="64">
        <f t="shared" si="10"/>
        <v>2474</v>
      </c>
      <c r="B336" s="7">
        <f t="shared" si="11"/>
        <v>46252</v>
      </c>
      <c r="C336" s="488" t="s">
        <v>1087</v>
      </c>
      <c r="D336" s="1" t="s">
        <v>1064</v>
      </c>
      <c r="E336" s="62" t="s">
        <v>1030</v>
      </c>
      <c r="F336" s="62"/>
      <c r="G336" s="62"/>
      <c r="H336" s="62"/>
      <c r="I336" s="601"/>
      <c r="J336" s="1"/>
      <c r="K336" s="607" t="s">
        <v>1089</v>
      </c>
      <c r="L336" s="63">
        <f>SUM('Phan tich_TB'!BJ15:BJ16)/'Phan tich_TB'!BJ2</f>
        <v>0</v>
      </c>
      <c r="M336" s="593" t="s">
        <v>1078</v>
      </c>
      <c r="N336" s="594"/>
      <c r="O336" s="1"/>
      <c r="P336" s="1" t="s">
        <v>1066</v>
      </c>
      <c r="Q336" s="1"/>
      <c r="R336" s="1"/>
      <c r="S336" s="1"/>
      <c r="T336" s="1"/>
      <c r="U336" s="1"/>
    </row>
    <row r="337" spans="1:21" x14ac:dyDescent="0.3">
      <c r="A337" s="64">
        <f t="shared" si="10"/>
        <v>2474</v>
      </c>
      <c r="B337" s="7">
        <f t="shared" si="11"/>
        <v>46252</v>
      </c>
      <c r="C337" s="488" t="s">
        <v>1086</v>
      </c>
      <c r="D337" s="1" t="s">
        <v>1064</v>
      </c>
      <c r="E337" s="62" t="s">
        <v>898</v>
      </c>
      <c r="F337" s="62" t="s">
        <v>823</v>
      </c>
      <c r="G337" s="62"/>
      <c r="H337" s="62"/>
      <c r="I337" s="1"/>
      <c r="J337" s="1"/>
      <c r="K337" s="31"/>
      <c r="L337" s="63">
        <f>SUMIFS(RP_SEC!G:G,RP_SEC!F:F,His.TB!F231)/SUM(RP_SEC!G:G)</f>
        <v>2.6374943803386782E-2</v>
      </c>
      <c r="M337" s="593" t="s">
        <v>1078</v>
      </c>
      <c r="N337" s="594"/>
      <c r="O337" s="1"/>
      <c r="P337" s="1" t="s">
        <v>1066</v>
      </c>
      <c r="Q337" s="1"/>
      <c r="R337" s="1"/>
      <c r="S337" s="1"/>
      <c r="T337" s="1"/>
      <c r="U337" s="1"/>
    </row>
    <row r="338" spans="1:21" x14ac:dyDescent="0.3">
      <c r="A338" s="64">
        <f t="shared" si="10"/>
        <v>2474</v>
      </c>
      <c r="B338" s="7">
        <f t="shared" si="11"/>
        <v>46252</v>
      </c>
      <c r="C338" s="488" t="s">
        <v>1086</v>
      </c>
      <c r="D338" s="1" t="s">
        <v>1064</v>
      </c>
      <c r="E338" s="62" t="s">
        <v>906</v>
      </c>
      <c r="F338" s="62" t="s">
        <v>821</v>
      </c>
      <c r="G338" s="62"/>
      <c r="H338" s="62"/>
      <c r="I338" s="1"/>
      <c r="J338" s="1"/>
      <c r="K338" s="31"/>
      <c r="L338" s="63">
        <f>SUMIFS(RP_SEC!G:G,RP_SEC!F:F,His.TB!F232)/SUM(RP_SEC!G:G)</f>
        <v>0</v>
      </c>
      <c r="M338" s="593" t="s">
        <v>1078</v>
      </c>
      <c r="N338" s="594"/>
      <c r="O338" s="1"/>
      <c r="P338" s="1" t="s">
        <v>1066</v>
      </c>
      <c r="Q338" s="1"/>
      <c r="R338" s="1"/>
      <c r="S338" s="1"/>
      <c r="T338" s="1"/>
      <c r="U338" s="1"/>
    </row>
    <row r="339" spans="1:21" x14ac:dyDescent="0.3">
      <c r="A339" s="64">
        <f t="shared" si="10"/>
        <v>2474</v>
      </c>
      <c r="B339" s="7">
        <f t="shared" si="11"/>
        <v>46252</v>
      </c>
      <c r="C339" s="488" t="s">
        <v>1086</v>
      </c>
      <c r="D339" s="1" t="s">
        <v>1064</v>
      </c>
      <c r="E339" s="62" t="s">
        <v>906</v>
      </c>
      <c r="F339" s="62" t="s">
        <v>905</v>
      </c>
      <c r="G339" s="62"/>
      <c r="H339" s="62"/>
      <c r="I339" s="1"/>
      <c r="J339" s="1"/>
      <c r="K339" s="31"/>
      <c r="L339" s="63">
        <f>SUMIFS(RP_SEC!G:G,RP_SEC!F:F,"CSXH")/SUM(RP_SEC!G:G)</f>
        <v>0.15360407612767871</v>
      </c>
      <c r="M339" s="593" t="s">
        <v>1078</v>
      </c>
      <c r="N339" s="594"/>
      <c r="O339" s="1"/>
      <c r="P339" s="1" t="s">
        <v>1066</v>
      </c>
      <c r="Q339" s="1"/>
      <c r="R339" s="1"/>
      <c r="S339" s="1"/>
      <c r="T339" s="1"/>
      <c r="U339" s="1"/>
    </row>
    <row r="340" spans="1:21" x14ac:dyDescent="0.3">
      <c r="A340" s="64">
        <f t="shared" si="10"/>
        <v>2474</v>
      </c>
      <c r="B340" s="7">
        <f t="shared" si="11"/>
        <v>46252</v>
      </c>
      <c r="C340" s="488" t="s">
        <v>1086</v>
      </c>
      <c r="D340" s="1" t="s">
        <v>1064</v>
      </c>
      <c r="E340" s="62" t="s">
        <v>1067</v>
      </c>
      <c r="F340" s="62"/>
      <c r="G340" s="62"/>
      <c r="H340" s="62"/>
      <c r="I340" s="1"/>
      <c r="J340" s="1"/>
      <c r="K340" s="31"/>
      <c r="L340" s="63">
        <f>1-L337-L338-L339</f>
        <v>0.82002098006893454</v>
      </c>
      <c r="M340" s="593" t="s">
        <v>1078</v>
      </c>
      <c r="N340" s="594"/>
      <c r="O340" s="1"/>
      <c r="P340" s="1" t="s">
        <v>1066</v>
      </c>
      <c r="Q340" s="1"/>
      <c r="R340" s="1"/>
      <c r="S340" s="1"/>
      <c r="T340" s="1"/>
      <c r="U340" s="1"/>
    </row>
    <row r="341" spans="1:21" x14ac:dyDescent="0.3">
      <c r="A341" s="64">
        <f t="shared" si="10"/>
        <v>2474</v>
      </c>
      <c r="B341" s="7">
        <f t="shared" si="11"/>
        <v>46252</v>
      </c>
      <c r="C341" s="488" t="s">
        <v>3960</v>
      </c>
      <c r="D341" t="s">
        <v>1064</v>
      </c>
      <c r="E341" s="62" t="s">
        <v>1030</v>
      </c>
      <c r="I341" t="s">
        <v>4056</v>
      </c>
      <c r="L341" s="811">
        <f>SUM(TB_HTM[Amt])/10^9</f>
        <v>4167</v>
      </c>
      <c r="M341" s="593" t="s">
        <v>1065</v>
      </c>
      <c r="N341" s="604"/>
      <c r="O341" s="1"/>
      <c r="P341" s="1" t="s">
        <v>1066</v>
      </c>
    </row>
    <row r="342" spans="1:21" x14ac:dyDescent="0.3">
      <c r="A342" s="64">
        <f t="shared" si="10"/>
        <v>2474</v>
      </c>
      <c r="B342" s="7">
        <f t="shared" si="11"/>
        <v>46252</v>
      </c>
      <c r="C342" s="488" t="s">
        <v>3958</v>
      </c>
      <c r="D342" t="s">
        <v>1064</v>
      </c>
      <c r="E342" s="62" t="s">
        <v>1030</v>
      </c>
      <c r="I342" t="s">
        <v>4056</v>
      </c>
      <c r="L342" s="602">
        <f>SUMPRODUCT(TB_HTM[Amt],TB_HTM[Yield])/SUM(TB_HTM[Amt])</f>
        <v>2.8207871370290376</v>
      </c>
      <c r="M342" s="593" t="s">
        <v>1078</v>
      </c>
      <c r="N342" s="604"/>
      <c r="O342" s="1"/>
      <c r="P342" s="1" t="s">
        <v>1066</v>
      </c>
    </row>
    <row r="343" spans="1:21" x14ac:dyDescent="0.3">
      <c r="A343" s="64">
        <f t="shared" si="10"/>
        <v>2474</v>
      </c>
      <c r="B343" s="7">
        <f t="shared" si="11"/>
        <v>46252</v>
      </c>
      <c r="C343" s="488" t="s">
        <v>3962</v>
      </c>
      <c r="D343" s="1" t="s">
        <v>1064</v>
      </c>
      <c r="E343" s="62" t="s">
        <v>1030</v>
      </c>
      <c r="I343" t="s">
        <v>4056</v>
      </c>
      <c r="L343" s="602">
        <f>SUM(TB_HTM[ItD])/10^9</f>
        <v>-497.38553205623384</v>
      </c>
      <c r="M343" s="593" t="s">
        <v>1065</v>
      </c>
      <c r="N343" s="604"/>
      <c r="O343" s="1"/>
      <c r="P343" s="1" t="s">
        <v>1066</v>
      </c>
    </row>
    <row r="344" spans="1:21" x14ac:dyDescent="0.3">
      <c r="A344" s="64"/>
      <c r="B344" s="7"/>
      <c r="C344" s="488"/>
      <c r="D344" s="1"/>
      <c r="E344" s="62"/>
      <c r="M344" s="593"/>
      <c r="N344" s="604"/>
      <c r="O344" s="1"/>
      <c r="P344" s="1"/>
    </row>
    <row r="345" spans="1:21" x14ac:dyDescent="0.3">
      <c r="A345" s="64"/>
      <c r="B345" s="7"/>
      <c r="C345" s="488"/>
      <c r="D345" s="1"/>
      <c r="E345" s="62"/>
      <c r="M345" s="593"/>
      <c r="N345" s="604"/>
      <c r="O345" s="1"/>
      <c r="P345" s="1"/>
    </row>
    <row r="346" spans="1:21" x14ac:dyDescent="0.3">
      <c r="A346" s="64"/>
      <c r="B346" s="7"/>
      <c r="C346" s="488"/>
      <c r="D346" s="1"/>
      <c r="E346" s="62"/>
      <c r="M346" s="593"/>
      <c r="N346" s="604"/>
      <c r="O346" s="1"/>
      <c r="P346" s="1"/>
    </row>
    <row r="347" spans="1:21" x14ac:dyDescent="0.3">
      <c r="A347" s="64"/>
      <c r="B347" s="7"/>
      <c r="C347" s="488"/>
      <c r="D347" s="1"/>
      <c r="E347" s="62"/>
      <c r="M347" s="593"/>
      <c r="N347" s="604"/>
      <c r="O347" s="1"/>
      <c r="P347" s="1"/>
    </row>
    <row r="348" spans="1:21" x14ac:dyDescent="0.3">
      <c r="A348" s="64"/>
      <c r="B348" s="7"/>
      <c r="C348" s="488"/>
      <c r="D348" s="1"/>
      <c r="E348" s="62"/>
      <c r="M348" s="593"/>
      <c r="N348" s="604"/>
      <c r="O348" s="1"/>
      <c r="P348" s="1"/>
    </row>
    <row r="349" spans="1:21" x14ac:dyDescent="0.3">
      <c r="A349" s="64"/>
      <c r="B349" s="7"/>
      <c r="C349" s="488"/>
      <c r="D349" s="1"/>
      <c r="E349" s="62"/>
      <c r="M349" s="593"/>
      <c r="N349" s="604"/>
      <c r="O349" s="1"/>
      <c r="P349" s="1"/>
    </row>
    <row r="350" spans="1:21" x14ac:dyDescent="0.3">
      <c r="A350" s="64"/>
      <c r="B350" s="7"/>
      <c r="C350" s="488"/>
      <c r="D350" s="1"/>
      <c r="E350" s="62"/>
      <c r="M350" s="593"/>
      <c r="N350" s="604"/>
      <c r="O350" s="1"/>
      <c r="P350" s="1"/>
    </row>
    <row r="351" spans="1:21" x14ac:dyDescent="0.3">
      <c r="A351" s="64"/>
      <c r="B351" s="7"/>
      <c r="C351" s="488"/>
      <c r="D351" s="1"/>
      <c r="E351" s="62"/>
      <c r="M351" s="593"/>
      <c r="N351" s="604"/>
      <c r="O351" s="1"/>
      <c r="P351" s="1"/>
    </row>
    <row r="352" spans="1:21" x14ac:dyDescent="0.3">
      <c r="A352" s="64"/>
      <c r="B352" s="7"/>
      <c r="C352" s="488"/>
      <c r="D352" s="1"/>
      <c r="E352" s="62"/>
      <c r="M352" s="593"/>
      <c r="N352" s="604"/>
      <c r="O352" s="1"/>
      <c r="P352" s="1"/>
    </row>
    <row r="353" spans="1:16" x14ac:dyDescent="0.3">
      <c r="A353" s="64"/>
      <c r="B353" s="7"/>
      <c r="C353" s="488"/>
      <c r="D353" s="1"/>
      <c r="E353" s="62"/>
      <c r="M353" s="593"/>
      <c r="N353" s="604"/>
      <c r="O353" s="1"/>
      <c r="P353" s="1"/>
    </row>
    <row r="354" spans="1:16" x14ac:dyDescent="0.3">
      <c r="A354" s="64"/>
      <c r="B354" s="7"/>
      <c r="C354" s="488"/>
      <c r="D354" s="1"/>
      <c r="E354" s="62"/>
      <c r="M354" s="593"/>
      <c r="N354" s="604"/>
      <c r="O354" s="1"/>
      <c r="P354" s="1"/>
    </row>
    <row r="355" spans="1:16" x14ac:dyDescent="0.3">
      <c r="A355" s="64"/>
      <c r="B355" s="7"/>
      <c r="C355" s="488"/>
      <c r="D355" s="1"/>
      <c r="E355" s="62"/>
      <c r="M355" s="593"/>
      <c r="N355" s="604"/>
      <c r="O355" s="1"/>
      <c r="P355" s="1"/>
    </row>
    <row r="356" spans="1:16" x14ac:dyDescent="0.3">
      <c r="A356" s="64"/>
      <c r="B356" s="7"/>
      <c r="C356" s="488"/>
      <c r="D356" s="1"/>
      <c r="E356" s="62"/>
      <c r="M356" s="593"/>
      <c r="N356" s="604"/>
      <c r="O356" s="1"/>
      <c r="P356" s="1"/>
    </row>
    <row r="357" spans="1:16" x14ac:dyDescent="0.3">
      <c r="A357" s="64"/>
      <c r="B357" s="7"/>
      <c r="C357" s="488"/>
      <c r="D357" s="1"/>
      <c r="E357" s="62"/>
      <c r="M357" s="593"/>
      <c r="N357" s="604"/>
      <c r="O357" s="1"/>
      <c r="P357" s="1"/>
    </row>
    <row r="358" spans="1:16" x14ac:dyDescent="0.3">
      <c r="A358" s="64"/>
      <c r="B358" s="7"/>
      <c r="C358" s="488"/>
      <c r="D358" s="1"/>
      <c r="E358" s="62"/>
      <c r="M358" s="593"/>
      <c r="N358" s="604"/>
      <c r="O358" s="1"/>
      <c r="P358" s="1"/>
    </row>
    <row r="359" spans="1:16" x14ac:dyDescent="0.3">
      <c r="A359" s="64"/>
      <c r="B359" s="7"/>
      <c r="C359" s="488"/>
      <c r="D359" s="1"/>
      <c r="E359" s="62"/>
      <c r="M359" s="593"/>
      <c r="N359" s="604"/>
      <c r="O359" s="1"/>
      <c r="P359" s="1"/>
    </row>
    <row r="360" spans="1:16" x14ac:dyDescent="0.3">
      <c r="A360" s="64"/>
      <c r="B360" s="7"/>
      <c r="C360" s="488"/>
      <c r="D360" s="1"/>
      <c r="E360" s="62"/>
      <c r="M360" s="593"/>
      <c r="N360" s="604"/>
      <c r="O360" s="1"/>
      <c r="P360" s="1"/>
    </row>
    <row r="361" spans="1:16" x14ac:dyDescent="0.3">
      <c r="A361" s="64"/>
      <c r="B361" s="7"/>
      <c r="C361" s="488"/>
      <c r="D361" s="1"/>
      <c r="E361" s="62"/>
      <c r="M361" s="593"/>
      <c r="N361" s="604"/>
      <c r="O361" s="1"/>
      <c r="P361" s="1"/>
    </row>
    <row r="362" spans="1:16" x14ac:dyDescent="0.3">
      <c r="A362" s="64"/>
      <c r="B362" s="7"/>
      <c r="C362" s="488"/>
      <c r="D362" s="1"/>
      <c r="E362" s="62"/>
      <c r="M362" s="593"/>
      <c r="N362" s="604"/>
      <c r="O362" s="1"/>
      <c r="P362" s="1"/>
    </row>
    <row r="363" spans="1:16" x14ac:dyDescent="0.3">
      <c r="A363" s="64"/>
      <c r="B363" s="7"/>
      <c r="C363" s="488"/>
      <c r="D363" s="1"/>
      <c r="E363" s="62"/>
      <c r="M363" s="593"/>
      <c r="N363" s="604"/>
      <c r="O363" s="1"/>
      <c r="P363" s="1"/>
    </row>
    <row r="364" spans="1:16" x14ac:dyDescent="0.3">
      <c r="A364" s="64"/>
      <c r="B364" s="7"/>
      <c r="C364" s="488"/>
      <c r="D364" s="1"/>
      <c r="E364" s="62"/>
      <c r="M364" s="593"/>
      <c r="N364" s="604"/>
      <c r="O364" s="1"/>
      <c r="P364" s="1"/>
    </row>
    <row r="365" spans="1:16" x14ac:dyDescent="0.3">
      <c r="A365" s="64"/>
      <c r="B365" s="7"/>
      <c r="C365" s="488"/>
      <c r="D365" s="1"/>
      <c r="E365" s="62"/>
      <c r="M365" s="593"/>
      <c r="N365" s="604"/>
      <c r="O365" s="1"/>
      <c r="P365" s="1"/>
    </row>
    <row r="366" spans="1:16" x14ac:dyDescent="0.3">
      <c r="A366" s="64"/>
      <c r="B366" s="7"/>
      <c r="C366" s="488"/>
      <c r="D366" s="1"/>
      <c r="E366" s="62"/>
      <c r="M366" s="593"/>
      <c r="N366" s="604"/>
      <c r="O366" s="1"/>
      <c r="P366" s="1"/>
    </row>
    <row r="367" spans="1:16" x14ac:dyDescent="0.3">
      <c r="A367" s="64"/>
      <c r="B367" s="7"/>
      <c r="C367" s="488"/>
      <c r="D367" s="1"/>
      <c r="E367" s="62"/>
      <c r="M367" s="593"/>
      <c r="N367" s="604"/>
      <c r="O367" s="1"/>
      <c r="P367" s="1"/>
    </row>
    <row r="368" spans="1:16" x14ac:dyDescent="0.3">
      <c r="A368" s="64"/>
      <c r="B368" s="7"/>
      <c r="C368" s="488"/>
      <c r="D368" s="1"/>
      <c r="E368" s="62"/>
      <c r="M368" s="593"/>
      <c r="N368" s="604"/>
      <c r="O368" s="1"/>
      <c r="P368" s="1"/>
    </row>
    <row r="369" spans="1:16" x14ac:dyDescent="0.3">
      <c r="A369" s="64"/>
      <c r="B369" s="7"/>
      <c r="C369" s="488"/>
      <c r="D369" s="1"/>
      <c r="E369" s="62"/>
      <c r="M369" s="593"/>
      <c r="N369" s="604"/>
      <c r="O369" s="1"/>
      <c r="P369" s="1"/>
    </row>
    <row r="370" spans="1:16" x14ac:dyDescent="0.3">
      <c r="A370" s="64"/>
      <c r="B370" s="7"/>
      <c r="C370" s="488"/>
      <c r="D370" s="1"/>
      <c r="E370" s="62"/>
      <c r="M370" s="593"/>
      <c r="N370" s="604"/>
      <c r="O370" s="1"/>
      <c r="P370" s="1"/>
    </row>
    <row r="371" spans="1:16" x14ac:dyDescent="0.3">
      <c r="A371" s="64"/>
      <c r="B371" s="7"/>
      <c r="C371" s="488"/>
      <c r="D371" s="1"/>
      <c r="E371" s="62"/>
      <c r="M371" s="593"/>
      <c r="N371" s="604"/>
      <c r="O371" s="1"/>
      <c r="P371" s="1"/>
    </row>
    <row r="372" spans="1:16" x14ac:dyDescent="0.3">
      <c r="A372" s="64"/>
      <c r="B372" s="7"/>
      <c r="C372" s="488"/>
      <c r="D372" s="1"/>
      <c r="E372" s="62"/>
      <c r="M372" s="593"/>
      <c r="N372" s="604"/>
      <c r="O372" s="1"/>
      <c r="P372" s="1"/>
    </row>
    <row r="373" spans="1:16" x14ac:dyDescent="0.3">
      <c r="A373" s="64"/>
      <c r="B373" s="7"/>
      <c r="C373" s="488"/>
      <c r="D373" s="1"/>
      <c r="E373" s="62"/>
      <c r="M373" s="593"/>
      <c r="N373" s="604"/>
      <c r="O373" s="1"/>
      <c r="P373" s="1"/>
    </row>
    <row r="374" spans="1:16" x14ac:dyDescent="0.3">
      <c r="A374" s="64"/>
      <c r="B374" s="7"/>
      <c r="C374" s="488"/>
      <c r="D374" s="1"/>
      <c r="E374" s="62"/>
      <c r="M374" s="593"/>
      <c r="N374" s="604"/>
      <c r="O374" s="1"/>
      <c r="P374" s="1"/>
    </row>
    <row r="375" spans="1:16" x14ac:dyDescent="0.3">
      <c r="A375" s="64"/>
      <c r="B375" s="7"/>
      <c r="C375" s="488"/>
      <c r="D375" s="1"/>
      <c r="E375" s="62"/>
      <c r="M375" s="593"/>
      <c r="N375" s="604"/>
      <c r="O375" s="1"/>
      <c r="P375" s="1"/>
    </row>
    <row r="376" spans="1:16" x14ac:dyDescent="0.3">
      <c r="A376" s="64"/>
      <c r="B376" s="7"/>
      <c r="C376" s="488"/>
      <c r="D376" s="1"/>
      <c r="E376" s="62"/>
      <c r="M376" s="593"/>
      <c r="N376" s="604"/>
      <c r="O376" s="1"/>
      <c r="P376" s="1"/>
    </row>
    <row r="377" spans="1:16" x14ac:dyDescent="0.3">
      <c r="A377" s="64"/>
      <c r="B377" s="7"/>
      <c r="C377" s="488"/>
      <c r="D377" s="1"/>
      <c r="E377" s="62"/>
      <c r="M377" s="593"/>
      <c r="N377" s="604"/>
      <c r="O377" s="1"/>
      <c r="P377" s="1"/>
    </row>
    <row r="378" spans="1:16" x14ac:dyDescent="0.3">
      <c r="A378" s="64"/>
      <c r="B378" s="7"/>
      <c r="C378" s="488"/>
      <c r="D378" s="1"/>
      <c r="E378" s="62"/>
      <c r="M378" s="593"/>
      <c r="N378" s="604"/>
      <c r="O378" s="1"/>
      <c r="P378" s="1"/>
    </row>
    <row r="379" spans="1:16" x14ac:dyDescent="0.3">
      <c r="A379" s="64"/>
      <c r="B379" s="7"/>
      <c r="C379" s="488"/>
      <c r="D379" s="1"/>
      <c r="E379" s="62"/>
      <c r="M379" s="593"/>
      <c r="N379" s="604"/>
      <c r="O379" s="1"/>
      <c r="P379" s="1"/>
    </row>
    <row r="380" spans="1:16" x14ac:dyDescent="0.3">
      <c r="A380" s="64"/>
      <c r="B380" s="7"/>
      <c r="C380" s="488"/>
      <c r="D380" s="1"/>
      <c r="E380" s="62"/>
      <c r="M380" s="593"/>
      <c r="N380" s="604"/>
      <c r="O380" s="1"/>
      <c r="P380" s="1"/>
    </row>
    <row r="381" spans="1:16" x14ac:dyDescent="0.3">
      <c r="A381" s="64"/>
      <c r="B381" s="7"/>
      <c r="C381" s="488"/>
      <c r="D381" s="1"/>
      <c r="E381" s="62"/>
      <c r="M381" s="593"/>
      <c r="N381" s="604"/>
      <c r="O381" s="1"/>
      <c r="P381" s="1"/>
    </row>
    <row r="382" spans="1:16" x14ac:dyDescent="0.3">
      <c r="A382" s="64"/>
      <c r="B382" s="7"/>
      <c r="C382" s="488"/>
      <c r="D382" s="1"/>
      <c r="E382" s="62"/>
      <c r="M382" s="593"/>
      <c r="N382" s="604"/>
      <c r="O382" s="1"/>
      <c r="P382" s="1"/>
    </row>
    <row r="383" spans="1:16" x14ac:dyDescent="0.3">
      <c r="A383" s="64"/>
      <c r="B383" s="7"/>
      <c r="C383" s="488"/>
      <c r="D383" s="1"/>
      <c r="E383" s="62"/>
      <c r="M383" s="593"/>
      <c r="N383" s="604"/>
      <c r="O383" s="1"/>
      <c r="P383" s="1"/>
    </row>
    <row r="384" spans="1:16" x14ac:dyDescent="0.3">
      <c r="A384" s="64"/>
      <c r="B384" s="7"/>
      <c r="C384" s="488"/>
      <c r="D384" s="1"/>
      <c r="E384" s="62"/>
      <c r="M384" s="593"/>
      <c r="N384" s="604"/>
      <c r="O384" s="1"/>
      <c r="P384" s="1"/>
    </row>
    <row r="385" spans="1:16" x14ac:dyDescent="0.3">
      <c r="A385" s="64"/>
      <c r="B385" s="7"/>
      <c r="C385" s="488"/>
      <c r="D385" s="1"/>
      <c r="E385" s="62"/>
      <c r="M385" s="593"/>
      <c r="N385" s="604"/>
      <c r="O385" s="1"/>
      <c r="P385" s="1"/>
    </row>
    <row r="386" spans="1:16" x14ac:dyDescent="0.3">
      <c r="A386" s="64"/>
      <c r="B386" s="7"/>
      <c r="C386" s="488"/>
      <c r="D386" s="1"/>
      <c r="E386" s="62"/>
      <c r="M386" s="593"/>
      <c r="N386" s="604"/>
      <c r="O386" s="1"/>
      <c r="P386" s="1"/>
    </row>
    <row r="387" spans="1:16" x14ac:dyDescent="0.3">
      <c r="A387" s="64"/>
      <c r="B387" s="7"/>
      <c r="C387" s="488"/>
      <c r="D387" s="1"/>
      <c r="E387" s="62"/>
      <c r="M387" s="593"/>
      <c r="N387" s="604"/>
      <c r="O387" s="1"/>
      <c r="P387" s="1"/>
    </row>
    <row r="388" spans="1:16" x14ac:dyDescent="0.3">
      <c r="A388" s="64"/>
      <c r="B388" s="7"/>
      <c r="C388" s="488"/>
      <c r="D388" s="1"/>
      <c r="E388" s="62"/>
      <c r="M388" s="593"/>
      <c r="N388" s="604"/>
      <c r="O388" s="1"/>
      <c r="P388" s="1"/>
    </row>
    <row r="389" spans="1:16" x14ac:dyDescent="0.3">
      <c r="A389" s="64"/>
      <c r="B389" s="7"/>
      <c r="C389" s="488"/>
      <c r="D389" s="1"/>
      <c r="E389" s="62"/>
      <c r="M389" s="593"/>
      <c r="N389" s="604"/>
      <c r="O389" s="1"/>
      <c r="P389" s="1"/>
    </row>
    <row r="390" spans="1:16" x14ac:dyDescent="0.3">
      <c r="A390" s="64"/>
      <c r="B390" s="7"/>
      <c r="C390" s="488"/>
      <c r="D390" s="1"/>
      <c r="E390" s="62"/>
      <c r="M390" s="593"/>
      <c r="N390" s="604"/>
      <c r="O390" s="1"/>
      <c r="P390" s="1"/>
    </row>
    <row r="391" spans="1:16" x14ac:dyDescent="0.3">
      <c r="A391" s="64"/>
      <c r="B391" s="7"/>
      <c r="C391" s="488"/>
      <c r="D391" s="1"/>
      <c r="E391" s="62"/>
      <c r="M391" s="593"/>
      <c r="N391" s="604"/>
      <c r="O391" s="1"/>
      <c r="P391" s="1"/>
    </row>
    <row r="392" spans="1:16" x14ac:dyDescent="0.3">
      <c r="A392" s="64"/>
      <c r="B392" s="7"/>
      <c r="C392" s="488"/>
      <c r="D392" s="1"/>
      <c r="E392" s="62"/>
      <c r="M392" s="593"/>
      <c r="N392" s="604"/>
      <c r="O392" s="1"/>
      <c r="P392" s="1"/>
    </row>
    <row r="393" spans="1:16" x14ac:dyDescent="0.3">
      <c r="A393" s="64"/>
      <c r="B393" s="7"/>
      <c r="C393" s="488"/>
      <c r="D393" s="1"/>
      <c r="E393" s="62"/>
      <c r="M393" s="593"/>
      <c r="N393" s="604"/>
      <c r="O393" s="1"/>
      <c r="P393" s="1"/>
    </row>
    <row r="394" spans="1:16" x14ac:dyDescent="0.3">
      <c r="A394" s="64"/>
      <c r="B394" s="7"/>
      <c r="C394" s="488"/>
      <c r="D394" s="1"/>
      <c r="E394" s="62"/>
      <c r="M394" s="593"/>
      <c r="N394" s="604"/>
      <c r="O394" s="1"/>
      <c r="P394" s="1"/>
    </row>
    <row r="395" spans="1:16" x14ac:dyDescent="0.3">
      <c r="A395" s="64"/>
      <c r="B395" s="7"/>
      <c r="C395" s="488"/>
      <c r="D395" s="1"/>
      <c r="E395" s="62"/>
      <c r="M395" s="593"/>
      <c r="N395" s="604"/>
      <c r="O395" s="1"/>
      <c r="P395" s="1"/>
    </row>
    <row r="396" spans="1:16" x14ac:dyDescent="0.3">
      <c r="A396" s="64"/>
      <c r="B396" s="7"/>
      <c r="C396" s="488"/>
      <c r="D396" s="1"/>
      <c r="E396" s="62"/>
      <c r="M396" s="593"/>
      <c r="N396" s="604"/>
      <c r="O396" s="1"/>
      <c r="P396" s="1"/>
    </row>
    <row r="397" spans="1:16" x14ac:dyDescent="0.3">
      <c r="A397" s="64"/>
      <c r="B397" s="7"/>
      <c r="C397" s="488"/>
      <c r="D397" s="1"/>
      <c r="E397" s="62"/>
      <c r="M397" s="593"/>
      <c r="N397" s="604"/>
      <c r="O397" s="1"/>
      <c r="P397" s="1"/>
    </row>
    <row r="398" spans="1:16" x14ac:dyDescent="0.3">
      <c r="A398" s="64"/>
      <c r="B398" s="7"/>
      <c r="C398" s="488"/>
      <c r="D398" s="1"/>
      <c r="E398" s="62"/>
      <c r="M398" s="593"/>
      <c r="N398" s="604"/>
      <c r="O398" s="1"/>
      <c r="P398" s="1"/>
    </row>
    <row r="399" spans="1:16" x14ac:dyDescent="0.3">
      <c r="A399" s="64"/>
      <c r="B399" s="7"/>
      <c r="C399" s="488"/>
      <c r="D399" s="1"/>
      <c r="E399" s="62"/>
      <c r="M399" s="593"/>
      <c r="N399" s="604"/>
      <c r="O399" s="1"/>
      <c r="P399" s="1"/>
    </row>
    <row r="400" spans="1:16" x14ac:dyDescent="0.3">
      <c r="A400" s="64"/>
      <c r="B400" s="7"/>
      <c r="C400" s="488"/>
      <c r="D400" s="1"/>
      <c r="E400" s="62"/>
      <c r="M400" s="593"/>
      <c r="N400" s="604"/>
      <c r="O400" s="1"/>
      <c r="P400" s="1"/>
    </row>
    <row r="401" spans="1:16" x14ac:dyDescent="0.3">
      <c r="A401" s="64"/>
      <c r="B401" s="7"/>
      <c r="C401" s="488"/>
      <c r="D401" s="1"/>
      <c r="E401" s="62"/>
      <c r="M401" s="593"/>
      <c r="N401" s="604"/>
      <c r="O401" s="1"/>
      <c r="P401" s="1"/>
    </row>
    <row r="402" spans="1:16" x14ac:dyDescent="0.3">
      <c r="A402" s="64"/>
      <c r="B402" s="7"/>
      <c r="C402" s="488"/>
      <c r="D402" s="1"/>
      <c r="E402" s="62"/>
      <c r="M402" s="593"/>
      <c r="N402" s="604"/>
      <c r="O402" s="1"/>
      <c r="P402" s="1"/>
    </row>
    <row r="403" spans="1:16" x14ac:dyDescent="0.3">
      <c r="A403" s="64"/>
      <c r="B403" s="7"/>
      <c r="C403" s="488"/>
      <c r="D403" s="1"/>
      <c r="E403" s="62"/>
      <c r="M403" s="593"/>
      <c r="N403" s="604"/>
      <c r="O403" s="1"/>
      <c r="P403" s="1"/>
    </row>
    <row r="404" spans="1:16" x14ac:dyDescent="0.3">
      <c r="A404" s="64"/>
      <c r="B404" s="7"/>
      <c r="C404" s="488"/>
      <c r="D404" s="1"/>
      <c r="E404" s="62"/>
      <c r="M404" s="593"/>
      <c r="N404" s="604"/>
      <c r="O404" s="1"/>
      <c r="P404" s="1"/>
    </row>
    <row r="405" spans="1:16" x14ac:dyDescent="0.3">
      <c r="A405" s="64"/>
      <c r="B405" s="7"/>
      <c r="C405" s="488"/>
      <c r="D405" s="1"/>
      <c r="E405" s="62"/>
      <c r="M405" s="593"/>
      <c r="N405" s="604"/>
      <c r="O405" s="1"/>
      <c r="P405" s="1"/>
    </row>
    <row r="406" spans="1:16" x14ac:dyDescent="0.3">
      <c r="A406" s="64"/>
      <c r="B406" s="7"/>
      <c r="C406" s="488"/>
      <c r="D406" s="1"/>
      <c r="E406" s="62"/>
      <c r="M406" s="593"/>
      <c r="N406" s="604"/>
      <c r="O406" s="1"/>
      <c r="P406" s="1"/>
    </row>
    <row r="407" spans="1:16" x14ac:dyDescent="0.3">
      <c r="A407" s="64"/>
      <c r="B407" s="7"/>
      <c r="C407" s="488"/>
      <c r="D407" s="1"/>
      <c r="E407" s="62"/>
      <c r="M407" s="593"/>
      <c r="N407" s="604"/>
      <c r="O407" s="1"/>
      <c r="P407" s="1"/>
    </row>
    <row r="408" spans="1:16" x14ac:dyDescent="0.3">
      <c r="A408" s="64"/>
      <c r="B408" s="7"/>
      <c r="C408" s="488"/>
      <c r="D408" s="1"/>
      <c r="E408" s="62"/>
      <c r="M408" s="593"/>
      <c r="N408" s="604"/>
      <c r="O408" s="1"/>
      <c r="P408" s="1"/>
    </row>
    <row r="409" spans="1:16" x14ac:dyDescent="0.3">
      <c r="A409" s="64"/>
      <c r="B409" s="7"/>
      <c r="C409" s="488"/>
      <c r="D409" s="1"/>
      <c r="E409" s="62"/>
      <c r="M409" s="593"/>
      <c r="N409" s="604"/>
      <c r="O409" s="1"/>
      <c r="P409" s="1"/>
    </row>
    <row r="410" spans="1:16" x14ac:dyDescent="0.3">
      <c r="A410" s="64"/>
      <c r="B410" s="7"/>
      <c r="C410" s="488"/>
      <c r="D410" s="1"/>
      <c r="E410" s="62"/>
      <c r="M410" s="593"/>
      <c r="N410" s="604"/>
      <c r="O410" s="1"/>
      <c r="P410" s="1"/>
    </row>
    <row r="411" spans="1:16" x14ac:dyDescent="0.3">
      <c r="A411" s="64"/>
      <c r="B411" s="7"/>
      <c r="C411" s="488"/>
      <c r="D411" s="1"/>
      <c r="E411" s="62"/>
      <c r="M411" s="593"/>
      <c r="N411" s="604"/>
      <c r="O411" s="1"/>
      <c r="P411" s="1"/>
    </row>
    <row r="412" spans="1:16" x14ac:dyDescent="0.3">
      <c r="A412" s="64"/>
      <c r="B412" s="7"/>
      <c r="C412" s="488"/>
      <c r="D412" s="1"/>
      <c r="E412" s="62"/>
      <c r="M412" s="593"/>
      <c r="N412" s="604"/>
      <c r="O412" s="1"/>
      <c r="P412" s="1"/>
    </row>
    <row r="413" spans="1:16" x14ac:dyDescent="0.3">
      <c r="A413" s="64"/>
      <c r="B413" s="7"/>
      <c r="C413" s="488"/>
      <c r="D413" s="1"/>
      <c r="E413" s="62"/>
      <c r="M413" s="593"/>
      <c r="N413" s="604"/>
      <c r="O413" s="1"/>
      <c r="P413" s="1"/>
    </row>
    <row r="414" spans="1:16" x14ac:dyDescent="0.3">
      <c r="A414" s="64"/>
      <c r="B414" s="7"/>
      <c r="C414" s="488"/>
      <c r="D414" s="1"/>
      <c r="E414" s="62"/>
      <c r="M414" s="593"/>
      <c r="N414" s="604"/>
      <c r="O414" s="1"/>
      <c r="P414" s="1"/>
    </row>
    <row r="415" spans="1:16" x14ac:dyDescent="0.3">
      <c r="A415" s="64"/>
      <c r="B415" s="7"/>
      <c r="C415" s="488"/>
      <c r="D415" s="1"/>
      <c r="E415" s="62"/>
      <c r="M415" s="593"/>
      <c r="N415" s="604"/>
      <c r="O415" s="1"/>
      <c r="P415" s="1"/>
    </row>
    <row r="416" spans="1:16" x14ac:dyDescent="0.3">
      <c r="A416" s="64"/>
      <c r="B416" s="7"/>
      <c r="C416" s="488"/>
      <c r="D416" s="1"/>
      <c r="E416" s="62"/>
      <c r="M416" s="593"/>
      <c r="N416" s="604"/>
      <c r="O416" s="1"/>
      <c r="P416" s="1"/>
    </row>
    <row r="417" spans="1:16" x14ac:dyDescent="0.3">
      <c r="A417" s="64"/>
      <c r="B417" s="7"/>
      <c r="C417" s="488"/>
      <c r="D417" s="1"/>
      <c r="E417" s="62"/>
      <c r="M417" s="593"/>
      <c r="N417" s="604"/>
      <c r="O417" s="1"/>
      <c r="P417" s="1"/>
    </row>
    <row r="418" spans="1:16" x14ac:dyDescent="0.3">
      <c r="A418" s="64"/>
      <c r="B418" s="7"/>
      <c r="C418" s="488"/>
      <c r="D418" s="1"/>
      <c r="E418" s="62"/>
      <c r="M418" s="593"/>
      <c r="N418" s="604"/>
      <c r="O418" s="1"/>
      <c r="P418" s="1"/>
    </row>
    <row r="419" spans="1:16" x14ac:dyDescent="0.3">
      <c r="A419" s="64"/>
      <c r="B419" s="7"/>
      <c r="C419" s="488"/>
      <c r="D419" s="1"/>
      <c r="E419" s="62"/>
      <c r="M419" s="593"/>
      <c r="N419" s="604"/>
      <c r="O419" s="1"/>
      <c r="P419" s="1"/>
    </row>
    <row r="420" spans="1:16" x14ac:dyDescent="0.3">
      <c r="A420" s="64"/>
      <c r="B420" s="7"/>
      <c r="C420" s="488"/>
      <c r="D420" s="1"/>
      <c r="E420" s="62"/>
      <c r="M420" s="593"/>
      <c r="N420" s="604"/>
      <c r="O420" s="1"/>
      <c r="P420" s="1"/>
    </row>
    <row r="421" spans="1:16" x14ac:dyDescent="0.3">
      <c r="A421" s="64"/>
      <c r="B421" s="7"/>
      <c r="C421" s="488"/>
      <c r="D421" s="1"/>
      <c r="E421" s="62"/>
      <c r="M421" s="593"/>
      <c r="N421" s="604"/>
      <c r="O421" s="1"/>
      <c r="P421" s="1"/>
    </row>
    <row r="422" spans="1:16" x14ac:dyDescent="0.3">
      <c r="A422" s="64"/>
      <c r="B422" s="7"/>
      <c r="C422" s="488"/>
      <c r="D422" s="1"/>
      <c r="E422" s="62"/>
      <c r="M422" s="593"/>
      <c r="N422" s="604"/>
      <c r="O422" s="1"/>
      <c r="P422" s="1"/>
    </row>
    <row r="423" spans="1:16" x14ac:dyDescent="0.3">
      <c r="A423" s="64"/>
      <c r="B423" s="7"/>
      <c r="C423" s="488"/>
      <c r="D423" s="1"/>
      <c r="E423" s="62"/>
      <c r="M423" s="593"/>
      <c r="N423" s="604"/>
      <c r="O423" s="1"/>
      <c r="P423" s="1"/>
    </row>
    <row r="424" spans="1:16" x14ac:dyDescent="0.3">
      <c r="A424" s="64"/>
      <c r="B424" s="7"/>
      <c r="C424" s="488"/>
      <c r="D424" s="1"/>
      <c r="E424" s="62"/>
      <c r="M424" s="593"/>
      <c r="N424" s="604"/>
      <c r="O424" s="1"/>
      <c r="P424" s="1"/>
    </row>
    <row r="425" spans="1:16" x14ac:dyDescent="0.3">
      <c r="A425" s="64"/>
      <c r="B425" s="7"/>
      <c r="C425" s="488"/>
      <c r="D425" s="1"/>
      <c r="E425" s="62"/>
      <c r="M425" s="593"/>
      <c r="N425" s="604"/>
      <c r="O425" s="1"/>
      <c r="P425" s="1"/>
    </row>
    <row r="426" spans="1:16" x14ac:dyDescent="0.3">
      <c r="A426" s="64"/>
      <c r="B426" s="7"/>
      <c r="C426" s="488"/>
      <c r="D426" s="1"/>
      <c r="E426" s="62"/>
      <c r="M426" s="593"/>
      <c r="N426" s="604"/>
      <c r="O426" s="1"/>
      <c r="P426" s="1"/>
    </row>
    <row r="427" spans="1:16" x14ac:dyDescent="0.3">
      <c r="A427" s="64"/>
      <c r="B427" s="7"/>
      <c r="C427" s="488"/>
      <c r="D427" s="1"/>
      <c r="E427" s="62"/>
      <c r="M427" s="593"/>
      <c r="N427" s="604"/>
      <c r="O427" s="1"/>
      <c r="P427" s="1"/>
    </row>
    <row r="428" spans="1:16" x14ac:dyDescent="0.3">
      <c r="A428" s="64"/>
      <c r="B428" s="7"/>
      <c r="C428" s="488"/>
      <c r="D428" s="1"/>
      <c r="E428" s="62"/>
      <c r="M428" s="593"/>
      <c r="N428" s="604"/>
      <c r="O428" s="1"/>
      <c r="P428" s="1"/>
    </row>
    <row r="429" spans="1:16" x14ac:dyDescent="0.3">
      <c r="A429" s="64"/>
      <c r="B429" s="7"/>
      <c r="C429" s="488"/>
      <c r="D429" s="1"/>
      <c r="E429" s="62"/>
      <c r="M429" s="593"/>
      <c r="N429" s="604"/>
      <c r="O429" s="1"/>
      <c r="P429" s="1"/>
    </row>
    <row r="430" spans="1:16" x14ac:dyDescent="0.3">
      <c r="A430" s="64"/>
      <c r="B430" s="7"/>
      <c r="C430" s="488"/>
      <c r="D430" s="1"/>
      <c r="E430" s="62"/>
      <c r="M430" s="593"/>
      <c r="N430" s="604"/>
      <c r="O430" s="1"/>
      <c r="P430" s="1"/>
    </row>
    <row r="431" spans="1:16" x14ac:dyDescent="0.3">
      <c r="A431" s="64"/>
      <c r="B431" s="7"/>
      <c r="C431" s="488"/>
      <c r="D431" s="1"/>
      <c r="E431" s="62"/>
      <c r="M431" s="593"/>
      <c r="N431" s="604"/>
      <c r="O431" s="1"/>
      <c r="P431" s="1"/>
    </row>
    <row r="432" spans="1:16" x14ac:dyDescent="0.3">
      <c r="A432" s="64"/>
      <c r="B432" s="7"/>
      <c r="C432" s="488"/>
      <c r="D432" s="1"/>
      <c r="E432" s="62"/>
      <c r="M432" s="593"/>
      <c r="N432" s="604"/>
      <c r="O432" s="1"/>
      <c r="P432" s="1"/>
    </row>
    <row r="433" spans="1:16" x14ac:dyDescent="0.3">
      <c r="A433" s="64"/>
      <c r="B433" s="7"/>
      <c r="C433" s="488"/>
      <c r="D433" s="1"/>
      <c r="E433" s="62"/>
      <c r="M433" s="593"/>
      <c r="N433" s="604"/>
      <c r="O433" s="1"/>
      <c r="P433" s="1"/>
    </row>
    <row r="434" spans="1:16" x14ac:dyDescent="0.3">
      <c r="A434" s="64"/>
      <c r="B434" s="7"/>
      <c r="C434" s="488"/>
      <c r="D434" s="1"/>
      <c r="E434" s="62"/>
      <c r="M434" s="593"/>
      <c r="N434" s="604"/>
      <c r="O434" s="1"/>
      <c r="P434" s="1"/>
    </row>
    <row r="435" spans="1:16" x14ac:dyDescent="0.3">
      <c r="A435" s="64"/>
      <c r="B435" s="7"/>
      <c r="C435" s="488"/>
      <c r="D435" s="1"/>
      <c r="E435" s="62"/>
      <c r="M435" s="593"/>
      <c r="N435" s="604"/>
      <c r="O435" s="1"/>
      <c r="P435" s="1"/>
    </row>
    <row r="436" spans="1:16" x14ac:dyDescent="0.3">
      <c r="A436" s="64"/>
      <c r="B436" s="7"/>
      <c r="C436" s="488"/>
      <c r="D436" s="1"/>
      <c r="E436" s="62"/>
      <c r="M436" s="593"/>
      <c r="N436" s="604"/>
      <c r="O436" s="1"/>
      <c r="P436" s="1"/>
    </row>
    <row r="437" spans="1:16" x14ac:dyDescent="0.3">
      <c r="A437" s="64"/>
      <c r="B437" s="7"/>
      <c r="C437" s="488"/>
      <c r="D437" s="1"/>
      <c r="E437" s="62"/>
      <c r="M437" s="593"/>
      <c r="N437" s="604"/>
      <c r="O437" s="1"/>
      <c r="P437" s="1"/>
    </row>
    <row r="438" spans="1:16" x14ac:dyDescent="0.3">
      <c r="A438" s="64"/>
      <c r="B438" s="7"/>
      <c r="C438" s="488"/>
      <c r="D438" s="1"/>
      <c r="E438" s="62"/>
      <c r="M438" s="593"/>
      <c r="N438" s="604"/>
      <c r="O438" s="1"/>
      <c r="P438" s="1"/>
    </row>
    <row r="439" spans="1:16" x14ac:dyDescent="0.3">
      <c r="A439" s="64"/>
      <c r="B439" s="7"/>
      <c r="C439" s="488"/>
      <c r="D439" s="1"/>
      <c r="E439" s="62"/>
      <c r="M439" s="593"/>
      <c r="N439" s="604"/>
      <c r="O439" s="1"/>
      <c r="P439" s="1"/>
    </row>
    <row r="440" spans="1:16" x14ac:dyDescent="0.3">
      <c r="A440" s="64"/>
      <c r="B440" s="7"/>
      <c r="C440" s="488"/>
      <c r="D440" s="1"/>
      <c r="E440" s="62"/>
      <c r="M440" s="593"/>
      <c r="N440" s="604"/>
      <c r="O440" s="1"/>
      <c r="P440" s="1"/>
    </row>
    <row r="441" spans="1:16" x14ac:dyDescent="0.3">
      <c r="A441" s="64"/>
      <c r="B441" s="7"/>
      <c r="C441" s="488"/>
      <c r="D441" s="1"/>
      <c r="E441" s="62"/>
      <c r="M441" s="593"/>
      <c r="N441" s="604"/>
      <c r="O441" s="1"/>
      <c r="P441" s="1"/>
    </row>
    <row r="442" spans="1:16" x14ac:dyDescent="0.3">
      <c r="A442" s="64"/>
      <c r="B442" s="7"/>
      <c r="C442" s="488"/>
      <c r="D442" s="1"/>
      <c r="E442" s="62"/>
      <c r="M442" s="593"/>
      <c r="N442" s="604"/>
      <c r="O442" s="1"/>
      <c r="P442" s="1"/>
    </row>
    <row r="443" spans="1:16" x14ac:dyDescent="0.3">
      <c r="A443" s="64"/>
      <c r="B443" s="7"/>
      <c r="C443" s="488"/>
      <c r="D443" s="1"/>
      <c r="E443" s="62"/>
      <c r="M443" s="593"/>
      <c r="N443" s="604"/>
      <c r="O443" s="1"/>
      <c r="P443" s="1"/>
    </row>
    <row r="444" spans="1:16" x14ac:dyDescent="0.3">
      <c r="A444" s="64"/>
      <c r="B444" s="7"/>
      <c r="C444" s="488"/>
      <c r="D444" s="1"/>
      <c r="E444" s="62"/>
      <c r="M444" s="593"/>
      <c r="N444" s="604"/>
      <c r="O444" s="1"/>
      <c r="P444" s="1"/>
    </row>
    <row r="445" spans="1:16" x14ac:dyDescent="0.3">
      <c r="A445" s="64"/>
      <c r="B445" s="7"/>
      <c r="C445" s="488"/>
      <c r="D445" s="1"/>
      <c r="E445" s="62"/>
      <c r="M445" s="593"/>
      <c r="N445" s="604"/>
      <c r="O445" s="1"/>
      <c r="P445" s="1"/>
    </row>
    <row r="446" spans="1:16" x14ac:dyDescent="0.3">
      <c r="A446" s="64"/>
      <c r="B446" s="7"/>
      <c r="C446" s="488"/>
      <c r="D446" s="1"/>
      <c r="E446" s="62"/>
      <c r="M446" s="593"/>
      <c r="N446" s="604"/>
      <c r="O446" s="1"/>
      <c r="P446" s="1"/>
    </row>
    <row r="447" spans="1:16" x14ac:dyDescent="0.3">
      <c r="A447" s="64"/>
      <c r="B447" s="7"/>
      <c r="C447" s="488"/>
      <c r="D447" s="1"/>
      <c r="E447" s="62"/>
      <c r="M447" s="593"/>
      <c r="N447" s="604"/>
      <c r="O447" s="1"/>
      <c r="P447" s="1"/>
    </row>
    <row r="448" spans="1:16" x14ac:dyDescent="0.3">
      <c r="A448" s="64"/>
      <c r="B448" s="7"/>
      <c r="C448" s="488"/>
      <c r="D448" s="1"/>
      <c r="E448" s="62"/>
      <c r="M448" s="593"/>
      <c r="N448" s="604"/>
      <c r="O448" s="1"/>
      <c r="P448" s="1"/>
    </row>
    <row r="449" spans="1:16" x14ac:dyDescent="0.3">
      <c r="A449" s="64"/>
      <c r="B449" s="7"/>
      <c r="C449" s="488"/>
      <c r="D449" s="1"/>
      <c r="E449" s="62"/>
      <c r="M449" s="593"/>
      <c r="N449" s="604"/>
      <c r="O449" s="1"/>
      <c r="P449" s="1"/>
    </row>
    <row r="450" spans="1:16" x14ac:dyDescent="0.3">
      <c r="A450" s="64"/>
      <c r="B450" s="7"/>
      <c r="C450" s="488"/>
      <c r="D450" s="1"/>
      <c r="E450" s="62"/>
      <c r="M450" s="593"/>
      <c r="N450" s="604"/>
      <c r="O450" s="1"/>
      <c r="P450" s="1"/>
    </row>
    <row r="451" spans="1:16" x14ac:dyDescent="0.3">
      <c r="A451" s="64"/>
      <c r="B451" s="7"/>
      <c r="C451" s="488"/>
      <c r="D451" s="1"/>
      <c r="E451" s="62"/>
      <c r="M451" s="593"/>
      <c r="N451" s="604"/>
      <c r="O451" s="1"/>
      <c r="P451" s="1"/>
    </row>
    <row r="452" spans="1:16" x14ac:dyDescent="0.3">
      <c r="A452" s="64"/>
      <c r="B452" s="7"/>
      <c r="C452" s="488"/>
      <c r="D452" s="1"/>
      <c r="E452" s="62"/>
      <c r="M452" s="593"/>
      <c r="N452" s="604"/>
      <c r="O452" s="1"/>
      <c r="P452" s="1"/>
    </row>
    <row r="453" spans="1:16" x14ac:dyDescent="0.3">
      <c r="A453" s="64"/>
      <c r="B453" s="7"/>
      <c r="C453" s="488"/>
      <c r="D453" s="1"/>
      <c r="E453" s="62"/>
      <c r="M453" s="593"/>
      <c r="N453" s="604"/>
      <c r="O453" s="1"/>
      <c r="P453" s="1"/>
    </row>
    <row r="454" spans="1:16" x14ac:dyDescent="0.3">
      <c r="A454" s="64"/>
      <c r="B454" s="7"/>
      <c r="C454" s="488"/>
      <c r="D454" s="1"/>
      <c r="E454" s="62"/>
      <c r="M454" s="593"/>
      <c r="N454" s="604"/>
      <c r="O454" s="1"/>
      <c r="P454" s="1"/>
    </row>
    <row r="455" spans="1:16" x14ac:dyDescent="0.3">
      <c r="A455" s="64"/>
      <c r="B455" s="7"/>
      <c r="C455" s="488"/>
      <c r="D455" s="1"/>
      <c r="E455" s="62"/>
      <c r="M455" s="593"/>
      <c r="N455" s="604"/>
      <c r="O455" s="1"/>
      <c r="P455" s="1"/>
    </row>
    <row r="456" spans="1:16" x14ac:dyDescent="0.3">
      <c r="A456" s="64"/>
      <c r="B456" s="7"/>
      <c r="C456" s="488"/>
      <c r="D456" s="1"/>
      <c r="E456" s="62"/>
      <c r="M456" s="593"/>
      <c r="N456" s="604"/>
      <c r="O456" s="1"/>
      <c r="P456" s="1"/>
    </row>
    <row r="457" spans="1:16" x14ac:dyDescent="0.3">
      <c r="A457" s="64"/>
      <c r="B457" s="7"/>
      <c r="C457" s="488"/>
      <c r="D457" s="1"/>
      <c r="E457" s="62"/>
      <c r="M457" s="593"/>
      <c r="N457" s="604"/>
      <c r="O457" s="1"/>
      <c r="P457" s="1"/>
    </row>
    <row r="458" spans="1:16" x14ac:dyDescent="0.3">
      <c r="A458" s="64"/>
      <c r="B458" s="7"/>
      <c r="C458" s="488"/>
      <c r="D458" s="1"/>
      <c r="E458" s="62"/>
      <c r="M458" s="593"/>
      <c r="N458" s="604"/>
      <c r="O458" s="1"/>
      <c r="P458" s="1"/>
    </row>
    <row r="459" spans="1:16" x14ac:dyDescent="0.3">
      <c r="A459" s="64"/>
      <c r="B459" s="7"/>
      <c r="C459" s="488"/>
      <c r="D459" s="1"/>
      <c r="E459" s="62"/>
      <c r="M459" s="593"/>
      <c r="N459" s="604"/>
      <c r="O459" s="1"/>
      <c r="P459" s="1"/>
    </row>
    <row r="460" spans="1:16" x14ac:dyDescent="0.3">
      <c r="A460" s="64"/>
      <c r="B460" s="7"/>
      <c r="C460" s="488"/>
      <c r="D460" s="1"/>
      <c r="E460" s="62"/>
      <c r="M460" s="593"/>
      <c r="N460" s="604"/>
      <c r="O460" s="1"/>
      <c r="P460" s="1"/>
    </row>
    <row r="461" spans="1:16" x14ac:dyDescent="0.3">
      <c r="A461" s="64"/>
      <c r="B461" s="7"/>
      <c r="C461" s="488"/>
      <c r="D461" s="1"/>
      <c r="E461" s="62"/>
      <c r="M461" s="593"/>
      <c r="N461" s="604"/>
      <c r="O461" s="1"/>
      <c r="P461" s="1"/>
    </row>
    <row r="462" spans="1:16" x14ac:dyDescent="0.3">
      <c r="A462" s="64"/>
      <c r="B462" s="7"/>
      <c r="C462" s="488"/>
      <c r="D462" s="1"/>
      <c r="E462" s="62"/>
      <c r="M462" s="593"/>
      <c r="N462" s="604"/>
      <c r="O462" s="1"/>
      <c r="P462" s="1"/>
    </row>
    <row r="463" spans="1:16" x14ac:dyDescent="0.3">
      <c r="A463" s="64"/>
      <c r="B463" s="7"/>
      <c r="C463" s="488"/>
      <c r="D463" s="1"/>
      <c r="E463" s="62"/>
      <c r="M463" s="593"/>
      <c r="N463" s="604"/>
      <c r="O463" s="1"/>
      <c r="P463" s="1"/>
    </row>
    <row r="464" spans="1:16" x14ac:dyDescent="0.3">
      <c r="A464" s="64"/>
      <c r="B464" s="7"/>
      <c r="C464" s="488"/>
      <c r="D464" s="1"/>
      <c r="E464" s="62"/>
      <c r="M464" s="593"/>
      <c r="N464" s="604"/>
      <c r="O464" s="1"/>
      <c r="P464" s="1"/>
    </row>
    <row r="465" spans="1:16" x14ac:dyDescent="0.3">
      <c r="A465" s="64"/>
      <c r="B465" s="7"/>
      <c r="C465" s="488"/>
      <c r="D465" s="1"/>
      <c r="E465" s="62"/>
      <c r="M465" s="593"/>
      <c r="N465" s="604"/>
      <c r="O465" s="1"/>
      <c r="P465" s="1"/>
    </row>
    <row r="466" spans="1:16" x14ac:dyDescent="0.3">
      <c r="A466" s="64"/>
      <c r="B466" s="7"/>
      <c r="C466" s="488"/>
      <c r="D466" s="1"/>
      <c r="E466" s="62"/>
      <c r="M466" s="593"/>
      <c r="N466" s="604"/>
      <c r="O466" s="1"/>
      <c r="P466" s="1"/>
    </row>
    <row r="467" spans="1:16" x14ac:dyDescent="0.3">
      <c r="A467" s="64"/>
      <c r="B467" s="7"/>
      <c r="C467" s="488"/>
      <c r="D467" s="1"/>
      <c r="E467" s="62"/>
      <c r="M467" s="593"/>
      <c r="N467" s="604"/>
      <c r="O467" s="1"/>
      <c r="P467" s="1"/>
    </row>
    <row r="468" spans="1:16" x14ac:dyDescent="0.3">
      <c r="A468" s="64"/>
      <c r="B468" s="7"/>
      <c r="C468" s="488"/>
      <c r="D468" s="1"/>
      <c r="E468" s="62"/>
      <c r="M468" s="593"/>
      <c r="N468" s="604"/>
      <c r="O468" s="1"/>
      <c r="P468" s="1"/>
    </row>
    <row r="469" spans="1:16" x14ac:dyDescent="0.3">
      <c r="A469" s="64"/>
      <c r="B469" s="7"/>
      <c r="C469" s="488"/>
      <c r="D469" s="1"/>
      <c r="E469" s="62"/>
      <c r="M469" s="593"/>
      <c r="N469" s="604"/>
      <c r="O469" s="1"/>
      <c r="P469" s="1"/>
    </row>
    <row r="470" spans="1:16" x14ac:dyDescent="0.3">
      <c r="A470" s="64"/>
      <c r="B470" s="7"/>
      <c r="C470" s="488"/>
      <c r="D470" s="1"/>
      <c r="E470" s="62"/>
      <c r="M470" s="593"/>
      <c r="N470" s="604"/>
      <c r="O470" s="1"/>
      <c r="P470" s="1"/>
    </row>
    <row r="471" spans="1:16" x14ac:dyDescent="0.3">
      <c r="A471" s="64"/>
      <c r="B471" s="7"/>
      <c r="C471" s="488"/>
      <c r="D471" s="1"/>
      <c r="E471" s="62"/>
      <c r="M471" s="593"/>
      <c r="N471" s="604"/>
      <c r="O471" s="1"/>
      <c r="P471" s="1"/>
    </row>
    <row r="472" spans="1:16" x14ac:dyDescent="0.3">
      <c r="A472" s="64"/>
      <c r="B472" s="7"/>
      <c r="C472" s="488"/>
      <c r="D472" s="1"/>
      <c r="E472" s="62"/>
      <c r="M472" s="593"/>
      <c r="N472" s="604"/>
      <c r="O472" s="1"/>
      <c r="P472" s="1"/>
    </row>
    <row r="473" spans="1:16" x14ac:dyDescent="0.3">
      <c r="A473" s="64"/>
      <c r="B473" s="7"/>
      <c r="C473" s="488"/>
      <c r="D473" s="1"/>
      <c r="E473" s="62"/>
      <c r="M473" s="593"/>
      <c r="N473" s="604"/>
      <c r="O473" s="1"/>
      <c r="P473" s="1"/>
    </row>
    <row r="474" spans="1:16" x14ac:dyDescent="0.3">
      <c r="A474" s="64"/>
      <c r="B474" s="7"/>
      <c r="C474" s="488"/>
      <c r="D474" s="1"/>
      <c r="E474" s="62"/>
      <c r="M474" s="593"/>
      <c r="N474" s="604"/>
      <c r="O474" s="1"/>
      <c r="P474" s="1"/>
    </row>
    <row r="475" spans="1:16" x14ac:dyDescent="0.3">
      <c r="A475" s="64"/>
      <c r="B475" s="7"/>
      <c r="C475" s="488"/>
      <c r="D475" s="1"/>
      <c r="E475" s="62"/>
      <c r="M475" s="593"/>
      <c r="N475" s="604"/>
      <c r="O475" s="1"/>
      <c r="P475" s="1"/>
    </row>
    <row r="476" spans="1:16" x14ac:dyDescent="0.3">
      <c r="A476" s="64"/>
      <c r="B476" s="7"/>
      <c r="C476" s="488"/>
      <c r="D476" s="1"/>
      <c r="E476" s="62"/>
      <c r="M476" s="593"/>
      <c r="N476" s="604"/>
      <c r="O476" s="1"/>
      <c r="P476" s="1"/>
    </row>
    <row r="477" spans="1:16" x14ac:dyDescent="0.3">
      <c r="A477" s="64"/>
      <c r="B477" s="7"/>
      <c r="C477" s="488"/>
      <c r="D477" s="1"/>
      <c r="E477" s="62"/>
      <c r="M477" s="593"/>
      <c r="N477" s="604"/>
      <c r="O477" s="1"/>
      <c r="P477" s="1"/>
    </row>
    <row r="478" spans="1:16" x14ac:dyDescent="0.3">
      <c r="A478" s="64"/>
      <c r="B478" s="7"/>
      <c r="C478" s="488"/>
      <c r="D478" s="1"/>
      <c r="E478" s="62"/>
      <c r="M478" s="593"/>
      <c r="N478" s="604"/>
      <c r="O478" s="1"/>
      <c r="P478" s="1"/>
    </row>
    <row r="479" spans="1:16" x14ac:dyDescent="0.3">
      <c r="A479" s="64"/>
      <c r="B479" s="7"/>
      <c r="C479" s="488"/>
      <c r="D479" s="1"/>
      <c r="E479" s="62"/>
      <c r="M479" s="593"/>
      <c r="N479" s="604"/>
      <c r="O479" s="1"/>
      <c r="P479" s="1"/>
    </row>
    <row r="480" spans="1:16" x14ac:dyDescent="0.3">
      <c r="A480" s="64"/>
      <c r="B480" s="7"/>
      <c r="C480" s="488"/>
      <c r="D480" s="1"/>
      <c r="E480" s="62"/>
      <c r="M480" s="593"/>
      <c r="N480" s="604"/>
      <c r="O480" s="1"/>
      <c r="P480" s="1"/>
    </row>
    <row r="481" spans="1:16" x14ac:dyDescent="0.3">
      <c r="A481" s="64"/>
      <c r="B481" s="7"/>
      <c r="C481" s="488"/>
      <c r="D481" s="1"/>
      <c r="E481" s="62"/>
      <c r="M481" s="593"/>
      <c r="N481" s="604"/>
      <c r="O481" s="1"/>
      <c r="P481" s="1"/>
    </row>
    <row r="482" spans="1:16" x14ac:dyDescent="0.3">
      <c r="A482" s="64"/>
      <c r="B482" s="7"/>
      <c r="C482" s="488"/>
      <c r="D482" s="1"/>
      <c r="E482" s="62"/>
      <c r="M482" s="593"/>
      <c r="N482" s="604"/>
      <c r="O482" s="1"/>
      <c r="P482" s="1"/>
    </row>
    <row r="483" spans="1:16" x14ac:dyDescent="0.3">
      <c r="A483" s="64"/>
      <c r="B483" s="7"/>
      <c r="C483" s="488"/>
      <c r="D483" s="1"/>
      <c r="E483" s="62"/>
      <c r="M483" s="593"/>
      <c r="N483" s="604"/>
      <c r="O483" s="1"/>
      <c r="P483" s="1"/>
    </row>
    <row r="484" spans="1:16" x14ac:dyDescent="0.3">
      <c r="A484" s="64"/>
      <c r="B484" s="7"/>
      <c r="C484" s="488"/>
      <c r="D484" s="1"/>
      <c r="E484" s="62"/>
      <c r="M484" s="593"/>
      <c r="N484" s="604"/>
      <c r="O484" s="1"/>
      <c r="P484" s="1"/>
    </row>
    <row r="485" spans="1:16" x14ac:dyDescent="0.3">
      <c r="A485" s="64"/>
      <c r="B485" s="7"/>
      <c r="C485" s="488"/>
      <c r="D485" s="1"/>
      <c r="E485" s="62"/>
      <c r="M485" s="593"/>
      <c r="N485" s="604"/>
      <c r="O485" s="1"/>
      <c r="P485" s="1"/>
    </row>
    <row r="486" spans="1:16" x14ac:dyDescent="0.3">
      <c r="A486" s="64"/>
      <c r="B486" s="7"/>
      <c r="C486" s="488"/>
      <c r="D486" s="1"/>
      <c r="E486" s="62"/>
      <c r="M486" s="593"/>
      <c r="N486" s="604"/>
      <c r="O486" s="1"/>
      <c r="P486" s="1"/>
    </row>
    <row r="487" spans="1:16" x14ac:dyDescent="0.3">
      <c r="A487" s="64"/>
      <c r="B487" s="7"/>
      <c r="C487" s="488"/>
      <c r="D487" s="1"/>
      <c r="E487" s="62"/>
      <c r="M487" s="593"/>
      <c r="N487" s="604"/>
      <c r="O487" s="1"/>
      <c r="P487" s="1"/>
    </row>
    <row r="488" spans="1:16" x14ac:dyDescent="0.3">
      <c r="A488" s="64"/>
      <c r="B488" s="7"/>
      <c r="C488" s="488"/>
      <c r="D488" s="1"/>
      <c r="E488" s="62"/>
      <c r="M488" s="593"/>
      <c r="N488" s="604"/>
      <c r="O488" s="1"/>
      <c r="P488" s="1"/>
    </row>
    <row r="489" spans="1:16" x14ac:dyDescent="0.3">
      <c r="A489" s="64"/>
      <c r="B489" s="7"/>
      <c r="C489" s="488"/>
      <c r="D489" s="1"/>
      <c r="E489" s="62"/>
      <c r="M489" s="593"/>
      <c r="N489" s="604"/>
      <c r="O489" s="1"/>
      <c r="P489" s="1"/>
    </row>
    <row r="490" spans="1:16" x14ac:dyDescent="0.3">
      <c r="A490" s="64"/>
      <c r="B490" s="7"/>
      <c r="C490" s="488"/>
      <c r="D490" s="1"/>
      <c r="E490" s="62"/>
      <c r="M490" s="593"/>
      <c r="N490" s="604"/>
      <c r="O490" s="1"/>
      <c r="P490" s="1"/>
    </row>
    <row r="491" spans="1:16" x14ac:dyDescent="0.3">
      <c r="A491" s="64"/>
      <c r="B491" s="7"/>
      <c r="C491" s="488"/>
      <c r="D491" s="1"/>
      <c r="E491" s="62"/>
      <c r="M491" s="593"/>
      <c r="N491" s="604"/>
      <c r="O491" s="1"/>
      <c r="P491" s="1"/>
    </row>
    <row r="492" spans="1:16" x14ac:dyDescent="0.3">
      <c r="A492" s="64"/>
      <c r="B492" s="7"/>
      <c r="C492" s="488"/>
      <c r="D492" s="1"/>
      <c r="E492" s="62"/>
      <c r="M492" s="593"/>
      <c r="N492" s="604"/>
      <c r="O492" s="1"/>
      <c r="P492" s="1"/>
    </row>
    <row r="493" spans="1:16" x14ac:dyDescent="0.3">
      <c r="A493" s="64"/>
      <c r="B493" s="7"/>
      <c r="C493" s="488"/>
      <c r="D493" s="1"/>
      <c r="E493" s="62"/>
      <c r="M493" s="593"/>
      <c r="N493" s="604"/>
      <c r="O493" s="1"/>
      <c r="P493" s="1"/>
    </row>
    <row r="494" spans="1:16" x14ac:dyDescent="0.3">
      <c r="A494" s="64"/>
      <c r="B494" s="7"/>
      <c r="C494" s="488"/>
      <c r="D494" s="1"/>
      <c r="E494" s="62"/>
      <c r="M494" s="593"/>
      <c r="N494" s="604"/>
      <c r="O494" s="1"/>
      <c r="P494" s="1"/>
    </row>
    <row r="495" spans="1:16" x14ac:dyDescent="0.3">
      <c r="A495" s="64"/>
      <c r="B495" s="7"/>
      <c r="C495" s="488"/>
      <c r="D495" s="1"/>
      <c r="E495" s="62"/>
      <c r="M495" s="593"/>
      <c r="N495" s="604"/>
      <c r="O495" s="1"/>
      <c r="P495" s="1"/>
    </row>
    <row r="496" spans="1:16" x14ac:dyDescent="0.3">
      <c r="A496" s="64"/>
      <c r="B496" s="7"/>
      <c r="C496" s="488"/>
      <c r="D496" s="1"/>
      <c r="E496" s="62"/>
      <c r="M496" s="593"/>
      <c r="N496" s="604"/>
      <c r="O496" s="1"/>
      <c r="P496" s="1"/>
    </row>
    <row r="497" spans="1:16" x14ac:dyDescent="0.3">
      <c r="A497" s="64"/>
      <c r="B497" s="7"/>
      <c r="C497" s="488"/>
      <c r="D497" s="1"/>
      <c r="E497" s="62"/>
      <c r="M497" s="593"/>
      <c r="N497" s="604"/>
      <c r="O497" s="1"/>
      <c r="P497" s="1"/>
    </row>
    <row r="498" spans="1:16" x14ac:dyDescent="0.3">
      <c r="A498" s="64"/>
      <c r="B498" s="7"/>
      <c r="C498" s="488"/>
      <c r="D498" s="1"/>
      <c r="E498" s="62"/>
      <c r="M498" s="593"/>
      <c r="N498" s="604"/>
      <c r="O498" s="1"/>
      <c r="P498" s="1"/>
    </row>
    <row r="499" spans="1:16" x14ac:dyDescent="0.3">
      <c r="A499" s="64"/>
      <c r="B499" s="7"/>
      <c r="C499" s="488"/>
      <c r="D499" s="1"/>
      <c r="E499" s="62"/>
      <c r="M499" s="593"/>
      <c r="N499" s="604"/>
      <c r="O499" s="1"/>
      <c r="P499" s="1"/>
    </row>
    <row r="500" spans="1:16" x14ac:dyDescent="0.3">
      <c r="A500" s="64"/>
      <c r="B500" s="7"/>
      <c r="C500" s="488"/>
      <c r="D500" s="1"/>
      <c r="E500" s="62"/>
      <c r="M500" s="593"/>
      <c r="N500" s="604"/>
      <c r="O500" s="1"/>
      <c r="P500" s="1"/>
    </row>
    <row r="501" spans="1:16" x14ac:dyDescent="0.3">
      <c r="A501" s="64"/>
      <c r="B501" s="7"/>
      <c r="C501" s="488"/>
      <c r="D501" s="1"/>
      <c r="E501" s="62"/>
      <c r="M501" s="593"/>
      <c r="N501" s="604"/>
      <c r="O501" s="1"/>
      <c r="P501" s="1"/>
    </row>
    <row r="502" spans="1:16" x14ac:dyDescent="0.3">
      <c r="A502" s="64"/>
      <c r="B502" s="7"/>
      <c r="C502" s="488"/>
      <c r="D502" s="1"/>
      <c r="E502" s="62"/>
      <c r="M502" s="593"/>
      <c r="N502" s="604"/>
      <c r="O502" s="1"/>
      <c r="P502" s="1"/>
    </row>
    <row r="503" spans="1:16" x14ac:dyDescent="0.3">
      <c r="A503" s="64"/>
      <c r="B503" s="7"/>
      <c r="C503" s="488"/>
      <c r="D503" s="1"/>
      <c r="E503" s="62"/>
      <c r="M503" s="593"/>
      <c r="N503" s="604"/>
      <c r="O503" s="1"/>
      <c r="P503" s="1"/>
    </row>
    <row r="504" spans="1:16" x14ac:dyDescent="0.3">
      <c r="A504" s="64"/>
      <c r="B504" s="7"/>
      <c r="C504" s="488"/>
      <c r="D504" s="1"/>
      <c r="E504" s="62"/>
      <c r="M504" s="593"/>
      <c r="N504" s="604"/>
      <c r="O504" s="1"/>
      <c r="P504" s="1"/>
    </row>
    <row r="505" spans="1:16" x14ac:dyDescent="0.3">
      <c r="A505" s="64"/>
      <c r="B505" s="7"/>
      <c r="C505" s="488"/>
      <c r="D505" s="1"/>
      <c r="E505" s="62"/>
      <c r="M505" s="593"/>
      <c r="N505" s="604"/>
      <c r="O505" s="1"/>
      <c r="P505" s="1"/>
    </row>
    <row r="506" spans="1:16" x14ac:dyDescent="0.3">
      <c r="A506" s="64"/>
      <c r="B506" s="7"/>
      <c r="C506" s="488"/>
      <c r="D506" s="1"/>
      <c r="E506" s="62"/>
      <c r="M506" s="593"/>
      <c r="N506" s="604"/>
      <c r="O506" s="1"/>
      <c r="P506" s="1"/>
    </row>
    <row r="507" spans="1:16" x14ac:dyDescent="0.3">
      <c r="A507" s="64"/>
      <c r="B507" s="7"/>
      <c r="C507" s="488"/>
      <c r="D507" s="1"/>
      <c r="E507" s="62"/>
      <c r="M507" s="593"/>
      <c r="N507" s="604"/>
      <c r="O507" s="1"/>
      <c r="P507" s="1"/>
    </row>
    <row r="508" spans="1:16" x14ac:dyDescent="0.3">
      <c r="A508" s="64"/>
      <c r="B508" s="7"/>
      <c r="C508" s="488"/>
      <c r="D508" s="1"/>
      <c r="E508" s="62"/>
      <c r="M508" s="593"/>
      <c r="N508" s="604"/>
      <c r="O508" s="1"/>
      <c r="P508" s="1"/>
    </row>
    <row r="509" spans="1:16" x14ac:dyDescent="0.3">
      <c r="A509" s="64"/>
      <c r="B509" s="7"/>
      <c r="C509" s="488"/>
      <c r="D509" s="1"/>
      <c r="E509" s="62"/>
      <c r="M509" s="593"/>
      <c r="N509" s="604"/>
      <c r="O509" s="1"/>
      <c r="P509" s="1"/>
    </row>
    <row r="510" spans="1:16" x14ac:dyDescent="0.3">
      <c r="A510" s="64"/>
      <c r="B510" s="7"/>
      <c r="C510" s="488"/>
      <c r="D510" s="1"/>
      <c r="E510" s="62"/>
      <c r="M510" s="593"/>
      <c r="N510" s="604"/>
      <c r="O510" s="1"/>
      <c r="P510" s="1"/>
    </row>
    <row r="511" spans="1:16" x14ac:dyDescent="0.3">
      <c r="A511" s="64"/>
      <c r="B511" s="7"/>
      <c r="C511" s="488"/>
      <c r="D511" s="1"/>
      <c r="E511" s="62"/>
      <c r="M511" s="593"/>
      <c r="N511" s="604"/>
      <c r="O511" s="1"/>
      <c r="P511" s="1"/>
    </row>
    <row r="512" spans="1:16" x14ac:dyDescent="0.3">
      <c r="A512" s="64"/>
      <c r="B512" s="7"/>
      <c r="C512" s="488"/>
      <c r="D512" s="1"/>
      <c r="E512" s="62"/>
      <c r="M512" s="593"/>
      <c r="N512" s="604"/>
      <c r="O512" s="1"/>
      <c r="P512" s="1"/>
    </row>
    <row r="513" spans="1:16" x14ac:dyDescent="0.3">
      <c r="A513" s="64"/>
      <c r="B513" s="7"/>
      <c r="C513" s="488"/>
      <c r="D513" s="1"/>
      <c r="E513" s="62"/>
      <c r="M513" s="593"/>
      <c r="N513" s="604"/>
      <c r="O513" s="1"/>
      <c r="P513" s="1"/>
    </row>
    <row r="514" spans="1:16" x14ac:dyDescent="0.3">
      <c r="A514" s="64"/>
      <c r="B514" s="7"/>
      <c r="C514" s="488"/>
      <c r="D514" s="1"/>
      <c r="E514" s="62"/>
      <c r="M514" s="593"/>
      <c r="N514" s="604"/>
      <c r="O514" s="1"/>
      <c r="P514" s="1"/>
    </row>
    <row r="515" spans="1:16" x14ac:dyDescent="0.3">
      <c r="A515" s="64"/>
      <c r="B515" s="7"/>
      <c r="C515" s="488"/>
      <c r="D515" s="1"/>
      <c r="E515" s="62"/>
      <c r="M515" s="593"/>
      <c r="N515" s="604"/>
      <c r="O515" s="1"/>
      <c r="P515" s="1"/>
    </row>
    <row r="516" spans="1:16" x14ac:dyDescent="0.3">
      <c r="A516" s="64"/>
      <c r="B516" s="7"/>
      <c r="C516" s="488"/>
      <c r="D516" s="1"/>
      <c r="E516" s="62"/>
      <c r="M516" s="593"/>
      <c r="N516" s="604"/>
      <c r="O516" s="1"/>
      <c r="P516" s="1"/>
    </row>
    <row r="517" spans="1:16" x14ac:dyDescent="0.3">
      <c r="A517" s="64"/>
      <c r="B517" s="7"/>
      <c r="C517" s="488"/>
      <c r="D517" s="1"/>
      <c r="E517" s="62"/>
      <c r="M517" s="593"/>
      <c r="N517" s="604"/>
      <c r="O517" s="1"/>
      <c r="P517" s="1"/>
    </row>
    <row r="518" spans="1:16" x14ac:dyDescent="0.3">
      <c r="A518" s="64"/>
      <c r="B518" s="7"/>
      <c r="C518" s="488"/>
      <c r="D518" s="1"/>
      <c r="E518" s="62"/>
      <c r="M518" s="593"/>
      <c r="N518" s="604"/>
      <c r="O518" s="1"/>
      <c r="P518" s="1"/>
    </row>
    <row r="519" spans="1:16" x14ac:dyDescent="0.3">
      <c r="A519" s="64"/>
      <c r="B519" s="7"/>
      <c r="C519" s="488"/>
      <c r="D519" s="1"/>
      <c r="E519" s="62"/>
      <c r="M519" s="593"/>
      <c r="N519" s="604"/>
      <c r="O519" s="1"/>
      <c r="P519" s="1"/>
    </row>
    <row r="520" spans="1:16" x14ac:dyDescent="0.3">
      <c r="A520" s="64"/>
      <c r="B520" s="7"/>
      <c r="C520" s="488"/>
      <c r="D520" s="1"/>
      <c r="E520" s="62"/>
      <c r="M520" s="593"/>
      <c r="N520" s="604"/>
      <c r="O520" s="1"/>
      <c r="P520" s="1"/>
    </row>
    <row r="521" spans="1:16" x14ac:dyDescent="0.3">
      <c r="A521" s="64"/>
      <c r="B521" s="7"/>
      <c r="C521" s="488"/>
      <c r="D521" s="1"/>
      <c r="E521" s="62"/>
      <c r="M521" s="593"/>
      <c r="N521" s="604"/>
      <c r="O521" s="1"/>
      <c r="P521" s="1"/>
    </row>
    <row r="522" spans="1:16" x14ac:dyDescent="0.3">
      <c r="A522" s="64"/>
      <c r="B522" s="7"/>
      <c r="C522" s="488"/>
      <c r="D522" s="1"/>
      <c r="E522" s="62"/>
      <c r="M522" s="593"/>
      <c r="N522" s="604"/>
      <c r="O522" s="1"/>
      <c r="P522" s="1"/>
    </row>
    <row r="523" spans="1:16" x14ac:dyDescent="0.3">
      <c r="A523" s="64"/>
      <c r="B523" s="7"/>
      <c r="C523" s="488"/>
      <c r="D523" s="1"/>
      <c r="E523" s="62"/>
      <c r="M523" s="593"/>
      <c r="N523" s="604"/>
      <c r="O523" s="1"/>
      <c r="P523" s="1"/>
    </row>
    <row r="524" spans="1:16" x14ac:dyDescent="0.3">
      <c r="A524" s="64"/>
      <c r="B524" s="7"/>
      <c r="C524" s="488"/>
      <c r="D524" s="1"/>
      <c r="E524" s="62"/>
      <c r="M524" s="593"/>
      <c r="N524" s="604"/>
      <c r="O524" s="1"/>
      <c r="P524" s="1"/>
    </row>
    <row r="525" spans="1:16" x14ac:dyDescent="0.3">
      <c r="A525" s="64"/>
      <c r="B525" s="7"/>
      <c r="C525" s="488"/>
      <c r="D525" s="1"/>
      <c r="E525" s="62"/>
      <c r="M525" s="593"/>
      <c r="N525" s="604"/>
      <c r="O525" s="1"/>
      <c r="P525" s="1"/>
    </row>
    <row r="526" spans="1:16" x14ac:dyDescent="0.3">
      <c r="A526" s="64"/>
      <c r="B526" s="7"/>
      <c r="C526" s="488"/>
      <c r="D526" s="1"/>
      <c r="E526" s="62"/>
      <c r="M526" s="593"/>
      <c r="N526" s="604"/>
      <c r="O526" s="1"/>
      <c r="P526" s="1"/>
    </row>
    <row r="527" spans="1:16" x14ac:dyDescent="0.3">
      <c r="A527" s="64"/>
      <c r="B527" s="7"/>
      <c r="C527" s="488"/>
      <c r="D527" s="1"/>
      <c r="E527" s="62"/>
      <c r="M527" s="593"/>
      <c r="N527" s="604"/>
      <c r="O527" s="1"/>
      <c r="P527" s="1"/>
    </row>
    <row r="528" spans="1:16" x14ac:dyDescent="0.3">
      <c r="A528" s="64"/>
      <c r="B528" s="7"/>
      <c r="C528" s="488"/>
      <c r="D528" s="1"/>
      <c r="E528" s="62"/>
      <c r="M528" s="593"/>
      <c r="N528" s="604"/>
      <c r="O528" s="1"/>
      <c r="P528" s="1"/>
    </row>
    <row r="529" spans="1:16" x14ac:dyDescent="0.3">
      <c r="A529" s="64"/>
      <c r="B529" s="7"/>
      <c r="C529" s="488"/>
      <c r="D529" s="1"/>
      <c r="E529" s="62"/>
      <c r="M529" s="593"/>
      <c r="N529" s="604"/>
      <c r="O529" s="1"/>
      <c r="P529" s="1"/>
    </row>
    <row r="530" spans="1:16" x14ac:dyDescent="0.3">
      <c r="A530" s="64"/>
      <c r="B530" s="7"/>
      <c r="C530" s="488"/>
      <c r="D530" s="1"/>
      <c r="E530" s="62"/>
      <c r="M530" s="593"/>
      <c r="N530" s="604"/>
      <c r="O530" s="1"/>
      <c r="P530" s="1"/>
    </row>
    <row r="531" spans="1:16" x14ac:dyDescent="0.3">
      <c r="A531" s="64"/>
      <c r="B531" s="7"/>
      <c r="C531" s="488"/>
      <c r="D531" s="1"/>
      <c r="E531" s="62"/>
      <c r="M531" s="593"/>
      <c r="N531" s="604"/>
      <c r="O531" s="1"/>
      <c r="P531" s="1"/>
    </row>
    <row r="532" spans="1:16" x14ac:dyDescent="0.3">
      <c r="A532" s="64"/>
      <c r="B532" s="7"/>
      <c r="C532" s="488"/>
      <c r="D532" s="1"/>
      <c r="E532" s="62"/>
      <c r="M532" s="593"/>
      <c r="N532" s="604"/>
      <c r="O532" s="1"/>
      <c r="P532" s="1"/>
    </row>
    <row r="533" spans="1:16" x14ac:dyDescent="0.3">
      <c r="A533" s="64"/>
      <c r="B533" s="7"/>
      <c r="C533" s="488"/>
      <c r="D533" s="1"/>
      <c r="E533" s="62"/>
      <c r="M533" s="593"/>
      <c r="N533" s="604"/>
      <c r="O533" s="1"/>
      <c r="P533" s="1"/>
    </row>
    <row r="534" spans="1:16" x14ac:dyDescent="0.3">
      <c r="A534" s="64"/>
      <c r="B534" s="7"/>
      <c r="C534" s="488"/>
      <c r="D534" s="1"/>
      <c r="E534" s="62"/>
      <c r="M534" s="593"/>
      <c r="N534" s="604"/>
      <c r="O534" s="1"/>
      <c r="P534" s="1"/>
    </row>
    <row r="535" spans="1:16" x14ac:dyDescent="0.3">
      <c r="A535" s="64"/>
      <c r="B535" s="7"/>
      <c r="C535" s="488"/>
      <c r="D535" s="1"/>
      <c r="E535" s="62"/>
      <c r="M535" s="593"/>
      <c r="N535" s="604"/>
      <c r="O535" s="1"/>
      <c r="P535" s="1"/>
    </row>
    <row r="536" spans="1:16" x14ac:dyDescent="0.3">
      <c r="A536" s="64"/>
      <c r="B536" s="7"/>
      <c r="C536" s="488"/>
      <c r="D536" s="1"/>
      <c r="E536" s="62"/>
      <c r="M536" s="593"/>
      <c r="N536" s="604"/>
      <c r="O536" s="1"/>
      <c r="P536" s="1"/>
    </row>
    <row r="537" spans="1:16" x14ac:dyDescent="0.3">
      <c r="A537" s="64"/>
      <c r="B537" s="7"/>
      <c r="C537" s="488"/>
      <c r="D537" s="1"/>
      <c r="E537" s="62"/>
      <c r="M537" s="593"/>
      <c r="N537" s="604"/>
      <c r="O537" s="1"/>
      <c r="P537" s="1"/>
    </row>
    <row r="538" spans="1:16" x14ac:dyDescent="0.3">
      <c r="A538" s="64"/>
      <c r="B538" s="7"/>
      <c r="C538" s="488"/>
      <c r="D538" s="1"/>
      <c r="E538" s="62"/>
      <c r="M538" s="593"/>
      <c r="N538" s="604"/>
      <c r="O538" s="1"/>
      <c r="P538" s="1"/>
    </row>
    <row r="539" spans="1:16" x14ac:dyDescent="0.3">
      <c r="A539" s="64"/>
      <c r="B539" s="7"/>
      <c r="C539" s="488"/>
      <c r="D539" s="1"/>
      <c r="E539" s="62"/>
      <c r="M539" s="593"/>
      <c r="N539" s="604"/>
      <c r="O539" s="1"/>
      <c r="P539" s="1"/>
    </row>
    <row r="540" spans="1:16" x14ac:dyDescent="0.3">
      <c r="A540" s="64"/>
      <c r="B540" s="7"/>
      <c r="C540" s="488"/>
      <c r="D540" s="1"/>
      <c r="E540" s="62"/>
      <c r="M540" s="593"/>
      <c r="N540" s="604"/>
      <c r="O540" s="1"/>
      <c r="P540" s="1"/>
    </row>
    <row r="541" spans="1:16" x14ac:dyDescent="0.3">
      <c r="A541" s="64"/>
      <c r="B541" s="7"/>
      <c r="C541" s="488"/>
      <c r="D541" s="1"/>
      <c r="E541" s="62"/>
      <c r="M541" s="593"/>
      <c r="N541" s="604"/>
      <c r="O541" s="1"/>
      <c r="P541" s="1"/>
    </row>
    <row r="542" spans="1:16" x14ac:dyDescent="0.3">
      <c r="A542" s="64"/>
      <c r="B542" s="7"/>
      <c r="C542" s="488"/>
      <c r="D542" s="1"/>
      <c r="E542" s="62"/>
      <c r="M542" s="593"/>
      <c r="N542" s="604"/>
      <c r="O542" s="1"/>
      <c r="P542" s="1"/>
    </row>
    <row r="543" spans="1:16" x14ac:dyDescent="0.3">
      <c r="A543" s="64"/>
      <c r="B543" s="7"/>
      <c r="C543" s="488"/>
      <c r="D543" s="1"/>
      <c r="E543" s="62"/>
      <c r="M543" s="593"/>
      <c r="N543" s="604"/>
      <c r="O543" s="1"/>
      <c r="P543" s="1"/>
    </row>
    <row r="544" spans="1:16" x14ac:dyDescent="0.3">
      <c r="A544" s="64"/>
      <c r="B544" s="7"/>
      <c r="C544" s="488"/>
      <c r="D544" s="1"/>
      <c r="E544" s="62"/>
      <c r="M544" s="593"/>
      <c r="N544" s="604"/>
      <c r="O544" s="1"/>
      <c r="P544" s="1"/>
    </row>
    <row r="545" spans="1:16" x14ac:dyDescent="0.3">
      <c r="A545" s="64"/>
      <c r="B545" s="7"/>
      <c r="C545" s="488"/>
      <c r="D545" s="1"/>
      <c r="E545" s="62"/>
      <c r="M545" s="593"/>
      <c r="N545" s="604"/>
      <c r="O545" s="1"/>
      <c r="P545" s="1"/>
    </row>
    <row r="546" spans="1:16" x14ac:dyDescent="0.3">
      <c r="A546" s="64"/>
      <c r="B546" s="7"/>
      <c r="C546" s="488"/>
      <c r="D546" s="1"/>
      <c r="E546" s="62"/>
      <c r="M546" s="593"/>
      <c r="N546" s="604"/>
      <c r="O546" s="1"/>
      <c r="P546" s="1"/>
    </row>
    <row r="547" spans="1:16" x14ac:dyDescent="0.3">
      <c r="A547" s="64"/>
      <c r="B547" s="7"/>
      <c r="C547" s="488"/>
      <c r="D547" s="1"/>
      <c r="E547" s="62"/>
      <c r="M547" s="593"/>
      <c r="N547" s="604"/>
      <c r="O547" s="1"/>
      <c r="P547" s="1"/>
    </row>
    <row r="548" spans="1:16" x14ac:dyDescent="0.3">
      <c r="A548" s="64"/>
      <c r="B548" s="7"/>
      <c r="C548" s="488"/>
      <c r="D548" s="1"/>
      <c r="E548" s="62"/>
      <c r="M548" s="593"/>
      <c r="N548" s="604"/>
      <c r="O548" s="1"/>
      <c r="P548" s="1"/>
    </row>
    <row r="549" spans="1:16" x14ac:dyDescent="0.3">
      <c r="A549" s="64"/>
      <c r="B549" s="7"/>
      <c r="C549" s="488"/>
      <c r="D549" s="1"/>
      <c r="E549" s="62"/>
      <c r="M549" s="593"/>
      <c r="N549" s="604"/>
      <c r="O549" s="1"/>
      <c r="P549" s="1"/>
    </row>
    <row r="550" spans="1:16" x14ac:dyDescent="0.3">
      <c r="A550" s="64"/>
      <c r="B550" s="7"/>
      <c r="C550" s="488"/>
      <c r="D550" s="1"/>
      <c r="E550" s="62"/>
      <c r="M550" s="593"/>
      <c r="N550" s="604"/>
      <c r="O550" s="1"/>
      <c r="P550" s="1"/>
    </row>
    <row r="551" spans="1:16" x14ac:dyDescent="0.3">
      <c r="A551" s="64"/>
      <c r="B551" s="7"/>
      <c r="C551" s="488"/>
      <c r="D551" s="1"/>
      <c r="E551" s="62"/>
      <c r="M551" s="593"/>
      <c r="N551" s="604"/>
      <c r="O551" s="1"/>
      <c r="P551" s="1"/>
    </row>
    <row r="552" spans="1:16" x14ac:dyDescent="0.3">
      <c r="A552" s="64"/>
      <c r="B552" s="7"/>
      <c r="C552" s="488"/>
      <c r="D552" s="1"/>
      <c r="E552" s="62"/>
      <c r="M552" s="593"/>
      <c r="N552" s="604"/>
      <c r="O552" s="1"/>
      <c r="P552" s="1"/>
    </row>
    <row r="553" spans="1:16" x14ac:dyDescent="0.3">
      <c r="A553" s="64"/>
      <c r="B553" s="7"/>
      <c r="C553" s="488"/>
      <c r="D553" s="1"/>
      <c r="E553" s="62"/>
      <c r="M553" s="593"/>
      <c r="N553" s="604"/>
      <c r="O553" s="1"/>
      <c r="P553" s="1"/>
    </row>
    <row r="554" spans="1:16" x14ac:dyDescent="0.3">
      <c r="A554" s="64"/>
      <c r="B554" s="7"/>
      <c r="C554" s="488"/>
      <c r="D554" s="1"/>
      <c r="E554" s="62"/>
      <c r="M554" s="593"/>
      <c r="N554" s="604"/>
      <c r="O554" s="1"/>
      <c r="P554" s="1"/>
    </row>
    <row r="555" spans="1:16" x14ac:dyDescent="0.3">
      <c r="A555" s="64"/>
      <c r="B555" s="7"/>
      <c r="C555" s="488"/>
      <c r="D555" s="1"/>
      <c r="E555" s="62"/>
      <c r="M555" s="593"/>
      <c r="N555" s="604"/>
      <c r="O555" s="1"/>
      <c r="P555" s="1"/>
    </row>
    <row r="556" spans="1:16" x14ac:dyDescent="0.3">
      <c r="A556" s="64"/>
      <c r="B556" s="7"/>
      <c r="C556" s="488"/>
      <c r="D556" s="1"/>
      <c r="E556" s="62"/>
      <c r="M556" s="593"/>
      <c r="N556" s="604"/>
      <c r="O556" s="1"/>
      <c r="P556" s="1"/>
    </row>
    <row r="557" spans="1:16" x14ac:dyDescent="0.3">
      <c r="A557" s="64"/>
      <c r="B557" s="7"/>
      <c r="C557" s="488"/>
      <c r="D557" s="1"/>
      <c r="E557" s="62"/>
      <c r="M557" s="593"/>
      <c r="N557" s="604"/>
      <c r="O557" s="1"/>
      <c r="P557" s="1"/>
    </row>
    <row r="558" spans="1:16" x14ac:dyDescent="0.3">
      <c r="A558" s="64"/>
      <c r="B558" s="7"/>
      <c r="C558" s="488"/>
      <c r="D558" s="1"/>
      <c r="E558" s="62"/>
      <c r="M558" s="593"/>
      <c r="N558" s="604"/>
      <c r="O558" s="1"/>
      <c r="P558" s="1"/>
    </row>
    <row r="559" spans="1:16" x14ac:dyDescent="0.3">
      <c r="A559" s="64"/>
      <c r="B559" s="7"/>
      <c r="C559" s="488"/>
      <c r="D559" s="1"/>
      <c r="E559" s="62"/>
      <c r="M559" s="593"/>
      <c r="N559" s="604"/>
      <c r="O559" s="1"/>
      <c r="P559" s="1"/>
    </row>
    <row r="560" spans="1:16" x14ac:dyDescent="0.3">
      <c r="A560" s="64"/>
      <c r="B560" s="7"/>
      <c r="C560" s="488"/>
      <c r="D560" s="1"/>
      <c r="E560" s="62"/>
      <c r="M560" s="593"/>
      <c r="N560" s="604"/>
      <c r="O560" s="1"/>
      <c r="P560" s="1"/>
    </row>
    <row r="561" spans="1:16" x14ac:dyDescent="0.3">
      <c r="A561" s="64"/>
      <c r="B561" s="7"/>
      <c r="C561" s="488"/>
      <c r="D561" s="1"/>
      <c r="E561" s="62"/>
      <c r="M561" s="593"/>
      <c r="N561" s="604"/>
      <c r="O561" s="1"/>
      <c r="P561" s="1"/>
    </row>
    <row r="562" spans="1:16" x14ac:dyDescent="0.3">
      <c r="A562" s="64"/>
      <c r="B562" s="7"/>
      <c r="C562" s="488"/>
      <c r="D562" s="1"/>
      <c r="E562" s="62"/>
      <c r="M562" s="593"/>
      <c r="N562" s="604"/>
      <c r="O562" s="1"/>
      <c r="P562" s="1"/>
    </row>
    <row r="563" spans="1:16" x14ac:dyDescent="0.3">
      <c r="A563" s="64"/>
      <c r="B563" s="7"/>
      <c r="C563" s="488"/>
      <c r="D563" s="1"/>
      <c r="E563" s="62"/>
      <c r="M563" s="593"/>
      <c r="N563" s="604"/>
      <c r="O563" s="1"/>
      <c r="P563" s="1"/>
    </row>
    <row r="564" spans="1:16" x14ac:dyDescent="0.3">
      <c r="A564" s="64"/>
      <c r="B564" s="7"/>
      <c r="C564" s="488"/>
      <c r="D564" s="1"/>
      <c r="E564" s="62"/>
      <c r="M564" s="593"/>
      <c r="N564" s="604"/>
      <c r="O564" s="1"/>
      <c r="P564" s="1"/>
    </row>
    <row r="565" spans="1:16" x14ac:dyDescent="0.3">
      <c r="A565" s="64"/>
      <c r="B565" s="7"/>
      <c r="C565" s="488"/>
      <c r="D565" s="1"/>
      <c r="E565" s="62"/>
      <c r="M565" s="593"/>
      <c r="N565" s="604"/>
      <c r="O565" s="1"/>
      <c r="P565" s="1"/>
    </row>
    <row r="566" spans="1:16" x14ac:dyDescent="0.3">
      <c r="A566" s="64"/>
      <c r="B566" s="7"/>
      <c r="C566" s="488"/>
      <c r="D566" s="1"/>
      <c r="E566" s="62"/>
      <c r="M566" s="593"/>
      <c r="N566" s="604"/>
      <c r="O566" s="1"/>
      <c r="P566" s="1"/>
    </row>
    <row r="567" spans="1:16" x14ac:dyDescent="0.3">
      <c r="A567" s="64"/>
      <c r="B567" s="7"/>
      <c r="C567" s="488"/>
      <c r="D567" s="1"/>
      <c r="E567" s="62"/>
      <c r="M567" s="593"/>
      <c r="N567" s="604"/>
      <c r="O567" s="1"/>
      <c r="P567" s="1"/>
    </row>
    <row r="568" spans="1:16" x14ac:dyDescent="0.3">
      <c r="A568" s="64"/>
      <c r="B568" s="7"/>
      <c r="C568" s="488"/>
      <c r="D568" s="1"/>
      <c r="E568" s="62"/>
      <c r="M568" s="593"/>
      <c r="N568" s="604"/>
      <c r="O568" s="1"/>
      <c r="P568" s="1"/>
    </row>
    <row r="569" spans="1:16" x14ac:dyDescent="0.3">
      <c r="A569" s="64"/>
      <c r="B569" s="7"/>
      <c r="C569" s="488"/>
      <c r="D569" s="1"/>
      <c r="E569" s="62"/>
      <c r="M569" s="593"/>
      <c r="N569" s="604"/>
      <c r="O569" s="1"/>
      <c r="P569" s="1"/>
    </row>
    <row r="570" spans="1:16" x14ac:dyDescent="0.3">
      <c r="A570" s="64"/>
      <c r="B570" s="7"/>
      <c r="C570" s="488"/>
      <c r="D570" s="1"/>
      <c r="E570" s="62"/>
      <c r="M570" s="593"/>
      <c r="N570" s="604"/>
      <c r="O570" s="1"/>
      <c r="P570" s="1"/>
    </row>
    <row r="571" spans="1:16" x14ac:dyDescent="0.3">
      <c r="A571" s="64"/>
      <c r="B571" s="7"/>
      <c r="C571" s="488"/>
      <c r="D571" s="1"/>
      <c r="E571" s="62"/>
      <c r="M571" s="593"/>
      <c r="N571" s="604"/>
      <c r="O571" s="1"/>
      <c r="P571" s="1"/>
    </row>
    <row r="572" spans="1:16" x14ac:dyDescent="0.3">
      <c r="A572" s="64"/>
      <c r="B572" s="7"/>
      <c r="C572" s="488"/>
      <c r="D572" s="1"/>
      <c r="E572" s="62"/>
      <c r="M572" s="593"/>
      <c r="N572" s="604"/>
      <c r="O572" s="1"/>
      <c r="P572" s="1"/>
    </row>
    <row r="573" spans="1:16" x14ac:dyDescent="0.3">
      <c r="A573" s="64"/>
      <c r="B573" s="7"/>
      <c r="C573" s="488"/>
      <c r="D573" s="1"/>
      <c r="E573" s="62"/>
      <c r="M573" s="593"/>
      <c r="N573" s="604"/>
      <c r="O573" s="1"/>
      <c r="P573" s="1"/>
    </row>
    <row r="574" spans="1:16" x14ac:dyDescent="0.3">
      <c r="A574" s="64"/>
      <c r="B574" s="7"/>
      <c r="C574" s="488"/>
      <c r="D574" s="1"/>
      <c r="E574" s="62"/>
      <c r="M574" s="593"/>
      <c r="N574" s="604"/>
      <c r="O574" s="1"/>
      <c r="P574" s="1"/>
    </row>
    <row r="575" spans="1:16" x14ac:dyDescent="0.3">
      <c r="A575" s="64"/>
      <c r="B575" s="7"/>
      <c r="C575" s="488"/>
      <c r="D575" s="1"/>
      <c r="E575" s="62"/>
      <c r="M575" s="593"/>
      <c r="N575" s="604"/>
      <c r="O575" s="1"/>
      <c r="P575" s="1"/>
    </row>
    <row r="576" spans="1:16" x14ac:dyDescent="0.3">
      <c r="A576" s="64"/>
      <c r="B576" s="7"/>
      <c r="C576" s="488"/>
      <c r="D576" s="1"/>
      <c r="E576" s="62"/>
      <c r="M576" s="593"/>
      <c r="N576" s="604"/>
      <c r="O576" s="1"/>
      <c r="P576" s="1"/>
    </row>
    <row r="577" spans="1:16" x14ac:dyDescent="0.3">
      <c r="A577" s="64"/>
      <c r="B577" s="7"/>
      <c r="C577" s="488"/>
      <c r="D577" s="1"/>
      <c r="E577" s="62"/>
      <c r="M577" s="593"/>
      <c r="N577" s="604"/>
      <c r="O577" s="1"/>
      <c r="P577" s="1"/>
    </row>
    <row r="578" spans="1:16" x14ac:dyDescent="0.3">
      <c r="A578" s="64"/>
      <c r="B578" s="7"/>
      <c r="C578" s="488"/>
      <c r="D578" s="1"/>
      <c r="E578" s="62"/>
      <c r="M578" s="593"/>
      <c r="N578" s="604"/>
      <c r="O578" s="1"/>
      <c r="P578" s="1"/>
    </row>
    <row r="579" spans="1:16" x14ac:dyDescent="0.3">
      <c r="A579" s="64"/>
      <c r="B579" s="7"/>
      <c r="C579" s="488"/>
      <c r="D579" s="1"/>
      <c r="E579" s="62"/>
      <c r="M579" s="593"/>
      <c r="N579" s="604"/>
      <c r="O579" s="1"/>
      <c r="P579" s="1"/>
    </row>
    <row r="580" spans="1:16" x14ac:dyDescent="0.3">
      <c r="A580" s="64"/>
      <c r="B580" s="7"/>
      <c r="C580" s="488"/>
      <c r="D580" s="1"/>
      <c r="E580" s="62"/>
      <c r="M580" s="593"/>
      <c r="N580" s="604"/>
      <c r="O580" s="1"/>
      <c r="P580" s="1"/>
    </row>
    <row r="581" spans="1:16" x14ac:dyDescent="0.3">
      <c r="A581" s="64"/>
      <c r="B581" s="7"/>
      <c r="C581" s="488"/>
      <c r="D581" s="1"/>
      <c r="E581" s="62"/>
      <c r="M581" s="593"/>
      <c r="N581" s="604"/>
      <c r="O581" s="1"/>
      <c r="P581" s="1"/>
    </row>
    <row r="582" spans="1:16" x14ac:dyDescent="0.3">
      <c r="A582" s="64"/>
      <c r="B582" s="7"/>
      <c r="C582" s="488"/>
      <c r="D582" s="1"/>
      <c r="E582" s="62"/>
      <c r="M582" s="593"/>
      <c r="N582" s="604"/>
      <c r="O582" s="1"/>
      <c r="P582" s="1"/>
    </row>
    <row r="583" spans="1:16" x14ac:dyDescent="0.3">
      <c r="A583" s="64"/>
      <c r="B583" s="7"/>
      <c r="C583" s="488"/>
      <c r="D583" s="1"/>
      <c r="E583" s="62"/>
      <c r="M583" s="593"/>
      <c r="N583" s="604"/>
      <c r="O583" s="1"/>
      <c r="P583" s="1"/>
    </row>
    <row r="584" spans="1:16" x14ac:dyDescent="0.3">
      <c r="A584" s="64"/>
      <c r="B584" s="7"/>
      <c r="C584" s="488"/>
      <c r="D584" s="1"/>
      <c r="E584" s="62"/>
      <c r="M584" s="593"/>
      <c r="N584" s="604"/>
      <c r="O584" s="1"/>
      <c r="P584" s="1"/>
    </row>
    <row r="585" spans="1:16" x14ac:dyDescent="0.3">
      <c r="A585" s="64"/>
      <c r="B585" s="7"/>
      <c r="C585" s="488"/>
      <c r="D585" s="1"/>
      <c r="E585" s="62"/>
      <c r="M585" s="593"/>
      <c r="N585" s="604"/>
      <c r="O585" s="1"/>
      <c r="P585" s="1"/>
    </row>
    <row r="586" spans="1:16" x14ac:dyDescent="0.3">
      <c r="A586" s="64"/>
      <c r="B586" s="7"/>
      <c r="C586" s="488"/>
      <c r="D586" s="1"/>
      <c r="E586" s="62"/>
      <c r="M586" s="593"/>
      <c r="N586" s="604"/>
      <c r="O586" s="1"/>
      <c r="P586" s="1"/>
    </row>
    <row r="587" spans="1:16" x14ac:dyDescent="0.3">
      <c r="A587" s="64"/>
      <c r="B587" s="7"/>
      <c r="C587" s="488"/>
      <c r="D587" s="1"/>
      <c r="E587" s="62"/>
      <c r="M587" s="593"/>
      <c r="N587" s="604"/>
      <c r="O587" s="1"/>
      <c r="P587" s="1"/>
    </row>
    <row r="588" spans="1:16" x14ac:dyDescent="0.3">
      <c r="A588" s="64"/>
      <c r="B588" s="7"/>
      <c r="C588" s="488"/>
      <c r="D588" s="1"/>
      <c r="E588" s="62"/>
      <c r="M588" s="593"/>
      <c r="N588" s="604"/>
      <c r="O588" s="1"/>
      <c r="P588" s="1"/>
    </row>
    <row r="589" spans="1:16" x14ac:dyDescent="0.3">
      <c r="A589" s="64"/>
      <c r="B589" s="7"/>
      <c r="C589" s="488"/>
      <c r="D589" s="1"/>
      <c r="E589" s="62"/>
      <c r="M589" s="593"/>
      <c r="N589" s="604"/>
      <c r="O589" s="1"/>
      <c r="P589" s="1"/>
    </row>
    <row r="590" spans="1:16" x14ac:dyDescent="0.3">
      <c r="A590" s="64"/>
      <c r="B590" s="7"/>
      <c r="C590" s="488"/>
      <c r="D590" s="1"/>
      <c r="E590" s="62"/>
      <c r="M590" s="593"/>
      <c r="N590" s="604"/>
      <c r="O590" s="1"/>
      <c r="P590" s="1"/>
    </row>
    <row r="591" spans="1:16" x14ac:dyDescent="0.3">
      <c r="A591" s="64"/>
      <c r="B591" s="7"/>
      <c r="C591" s="488"/>
      <c r="D591" s="1"/>
      <c r="E591" s="62"/>
      <c r="M591" s="593"/>
      <c r="N591" s="604"/>
      <c r="O591" s="1"/>
      <c r="P591" s="1"/>
    </row>
    <row r="592" spans="1:16" x14ac:dyDescent="0.3">
      <c r="A592" s="64"/>
      <c r="B592" s="7"/>
      <c r="C592" s="488"/>
      <c r="D592" s="1"/>
      <c r="E592" s="62"/>
      <c r="M592" s="593"/>
      <c r="N592" s="604"/>
      <c r="O592" s="1"/>
      <c r="P592" s="1"/>
    </row>
    <row r="593" spans="1:16" x14ac:dyDescent="0.3">
      <c r="A593" s="64"/>
      <c r="B593" s="7"/>
      <c r="C593" s="488"/>
      <c r="D593" s="1"/>
      <c r="E593" s="62"/>
      <c r="M593" s="593"/>
      <c r="N593" s="604"/>
      <c r="O593" s="1"/>
      <c r="P593" s="1"/>
    </row>
    <row r="594" spans="1:16" x14ac:dyDescent="0.3">
      <c r="A594" s="64"/>
      <c r="B594" s="7"/>
      <c r="C594" s="488"/>
      <c r="D594" s="1"/>
      <c r="E594" s="62"/>
      <c r="M594" s="593"/>
      <c r="N594" s="604"/>
      <c r="O594" s="1"/>
      <c r="P594" s="1"/>
    </row>
    <row r="595" spans="1:16" x14ac:dyDescent="0.3">
      <c r="A595" s="64"/>
      <c r="B595" s="7"/>
      <c r="C595" s="488"/>
      <c r="D595" s="1"/>
      <c r="E595" s="62"/>
      <c r="M595" s="593"/>
      <c r="N595" s="604"/>
      <c r="O595" s="1"/>
      <c r="P595" s="1"/>
    </row>
    <row r="596" spans="1:16" x14ac:dyDescent="0.3">
      <c r="A596" s="64"/>
      <c r="B596" s="7"/>
      <c r="C596" s="488"/>
      <c r="D596" s="1"/>
      <c r="E596" s="62"/>
      <c r="M596" s="593"/>
      <c r="N596" s="604"/>
      <c r="O596" s="1"/>
      <c r="P596" s="1"/>
    </row>
    <row r="597" spans="1:16" x14ac:dyDescent="0.3">
      <c r="A597" s="64"/>
      <c r="B597" s="7"/>
      <c r="C597" s="488"/>
      <c r="D597" s="1"/>
      <c r="E597" s="62"/>
      <c r="M597" s="593"/>
      <c r="N597" s="604"/>
      <c r="O597" s="1"/>
      <c r="P597" s="1"/>
    </row>
    <row r="598" spans="1:16" x14ac:dyDescent="0.3">
      <c r="A598" s="64"/>
      <c r="B598" s="7"/>
      <c r="C598" s="488"/>
      <c r="D598" s="1"/>
      <c r="E598" s="62"/>
      <c r="M598" s="593"/>
      <c r="N598" s="604"/>
      <c r="O598" s="1"/>
      <c r="P598" s="1"/>
    </row>
    <row r="599" spans="1:16" x14ac:dyDescent="0.3">
      <c r="A599" s="64"/>
      <c r="B599" s="7"/>
      <c r="C599" s="488"/>
      <c r="D599" s="1"/>
      <c r="E599" s="62"/>
      <c r="M599" s="593"/>
      <c r="N599" s="604"/>
      <c r="O599" s="1"/>
      <c r="P599" s="1"/>
    </row>
    <row r="600" spans="1:16" x14ac:dyDescent="0.3">
      <c r="A600" s="64"/>
      <c r="B600" s="7"/>
      <c r="C600" s="488"/>
      <c r="D600" s="1"/>
      <c r="E600" s="62"/>
      <c r="M600" s="593"/>
      <c r="N600" s="604"/>
      <c r="O600" s="1"/>
      <c r="P600" s="1"/>
    </row>
    <row r="601" spans="1:16" x14ac:dyDescent="0.3">
      <c r="A601" s="64"/>
      <c r="B601" s="7"/>
      <c r="C601" s="488"/>
      <c r="D601" s="1"/>
      <c r="E601" s="62"/>
      <c r="M601" s="593"/>
      <c r="N601" s="604"/>
      <c r="O601" s="1"/>
      <c r="P601" s="1"/>
    </row>
    <row r="602" spans="1:16" x14ac:dyDescent="0.3">
      <c r="A602" s="64"/>
      <c r="B602" s="7"/>
      <c r="C602" s="488"/>
      <c r="D602" s="1"/>
      <c r="E602" s="62"/>
      <c r="M602" s="593"/>
      <c r="N602" s="604"/>
      <c r="O602" s="1"/>
      <c r="P602" s="1"/>
    </row>
    <row r="603" spans="1:16" x14ac:dyDescent="0.3">
      <c r="A603" s="64"/>
      <c r="B603" s="7"/>
      <c r="C603" s="488"/>
      <c r="D603" s="1"/>
      <c r="E603" s="62"/>
      <c r="M603" s="593"/>
      <c r="N603" s="604"/>
      <c r="O603" s="1"/>
      <c r="P603" s="1"/>
    </row>
    <row r="604" spans="1:16" x14ac:dyDescent="0.3">
      <c r="A604" s="64"/>
      <c r="B604" s="7"/>
      <c r="C604" s="488"/>
      <c r="D604" s="1"/>
      <c r="E604" s="62"/>
      <c r="M604" s="593"/>
      <c r="N604" s="604"/>
      <c r="O604" s="1"/>
      <c r="P604" s="1"/>
    </row>
    <row r="605" spans="1:16" x14ac:dyDescent="0.3">
      <c r="A605" s="64"/>
      <c r="B605" s="7"/>
      <c r="C605" s="488"/>
      <c r="D605" s="1"/>
      <c r="E605" s="62"/>
      <c r="M605" s="593"/>
      <c r="N605" s="604"/>
      <c r="O605" s="1"/>
      <c r="P605" s="1"/>
    </row>
    <row r="606" spans="1:16" x14ac:dyDescent="0.3">
      <c r="A606" s="64"/>
      <c r="B606" s="7"/>
      <c r="C606" s="488"/>
      <c r="D606" s="1"/>
      <c r="E606" s="62"/>
      <c r="M606" s="593"/>
      <c r="N606" s="604"/>
      <c r="O606" s="1"/>
      <c r="P606" s="1"/>
    </row>
    <row r="607" spans="1:16" x14ac:dyDescent="0.3">
      <c r="A607" s="64"/>
      <c r="B607" s="7"/>
      <c r="C607" s="488"/>
      <c r="D607" s="1"/>
      <c r="E607" s="62"/>
      <c r="M607" s="593"/>
      <c r="N607" s="604"/>
      <c r="O607" s="1"/>
      <c r="P607" s="1"/>
    </row>
    <row r="608" spans="1:16" x14ac:dyDescent="0.3">
      <c r="A608" s="64"/>
      <c r="B608" s="7"/>
      <c r="C608" s="488"/>
      <c r="D608" s="1"/>
      <c r="E608" s="62"/>
      <c r="M608" s="593"/>
      <c r="N608" s="604"/>
      <c r="O608" s="1"/>
      <c r="P608" s="1"/>
    </row>
    <row r="609" spans="1:16" x14ac:dyDescent="0.3">
      <c r="A609" s="64"/>
      <c r="B609" s="7"/>
      <c r="C609" s="488"/>
      <c r="D609" s="1"/>
      <c r="E609" s="62"/>
      <c r="M609" s="593"/>
      <c r="N609" s="604"/>
      <c r="O609" s="1"/>
      <c r="P609" s="1"/>
    </row>
    <row r="610" spans="1:16" x14ac:dyDescent="0.3">
      <c r="A610" s="64"/>
      <c r="B610" s="7"/>
      <c r="C610" s="488"/>
      <c r="D610" s="1"/>
      <c r="E610" s="62"/>
      <c r="M610" s="593"/>
      <c r="N610" s="604"/>
      <c r="O610" s="1"/>
      <c r="P610" s="1"/>
    </row>
    <row r="611" spans="1:16" x14ac:dyDescent="0.3">
      <c r="A611" s="64"/>
      <c r="B611" s="7"/>
      <c r="C611" s="488"/>
      <c r="D611" s="1"/>
      <c r="E611" s="62"/>
      <c r="M611" s="593"/>
      <c r="N611" s="604"/>
      <c r="O611" s="1"/>
      <c r="P611" s="1"/>
    </row>
    <row r="612" spans="1:16" x14ac:dyDescent="0.3">
      <c r="A612" s="64"/>
      <c r="B612" s="7"/>
      <c r="C612" s="488"/>
      <c r="D612" s="1"/>
      <c r="E612" s="62"/>
      <c r="M612" s="593"/>
      <c r="N612" s="604"/>
      <c r="O612" s="1"/>
      <c r="P612" s="1"/>
    </row>
    <row r="613" spans="1:16" x14ac:dyDescent="0.3">
      <c r="A613" s="64"/>
      <c r="B613" s="7"/>
      <c r="C613" s="488"/>
      <c r="D613" s="1"/>
      <c r="E613" s="62"/>
      <c r="M613" s="593"/>
      <c r="N613" s="604"/>
      <c r="O613" s="1"/>
      <c r="P613" s="1"/>
    </row>
    <row r="614" spans="1:16" x14ac:dyDescent="0.3">
      <c r="A614" s="64"/>
      <c r="B614" s="7"/>
      <c r="C614" s="488"/>
      <c r="D614" s="1"/>
      <c r="E614" s="62"/>
      <c r="M614" s="593"/>
      <c r="N614" s="604"/>
      <c r="O614" s="1"/>
      <c r="P614" s="1"/>
    </row>
    <row r="615" spans="1:16" x14ac:dyDescent="0.3">
      <c r="A615" s="64"/>
      <c r="B615" s="7"/>
      <c r="C615" s="488"/>
      <c r="D615" s="1"/>
      <c r="E615" s="62"/>
      <c r="M615" s="593"/>
      <c r="N615" s="604"/>
      <c r="O615" s="1"/>
      <c r="P615" s="1"/>
    </row>
    <row r="616" spans="1:16" x14ac:dyDescent="0.3">
      <c r="A616" s="64"/>
      <c r="B616" s="7"/>
      <c r="C616" s="488"/>
      <c r="D616" s="1"/>
      <c r="E616" s="62"/>
      <c r="M616" s="593"/>
      <c r="N616" s="604"/>
      <c r="O616" s="1"/>
      <c r="P616" s="1"/>
    </row>
    <row r="617" spans="1:16" x14ac:dyDescent="0.3">
      <c r="A617" s="64"/>
      <c r="B617" s="7"/>
      <c r="C617" s="488"/>
      <c r="D617" s="1"/>
      <c r="E617" s="62"/>
      <c r="M617" s="593"/>
      <c r="N617" s="604"/>
      <c r="O617" s="1"/>
      <c r="P617" s="1"/>
    </row>
    <row r="618" spans="1:16" x14ac:dyDescent="0.3">
      <c r="A618" s="64"/>
      <c r="B618" s="7"/>
      <c r="C618" s="488"/>
      <c r="D618" s="1"/>
      <c r="E618" s="62"/>
      <c r="M618" s="593"/>
      <c r="N618" s="604"/>
      <c r="O618" s="1"/>
      <c r="P618" s="1"/>
    </row>
    <row r="619" spans="1:16" x14ac:dyDescent="0.3">
      <c r="A619" s="64"/>
      <c r="B619" s="7"/>
      <c r="C619" s="488"/>
      <c r="D619" s="1"/>
      <c r="E619" s="62"/>
      <c r="M619" s="593"/>
      <c r="N619" s="604"/>
      <c r="O619" s="1"/>
      <c r="P619" s="1"/>
    </row>
    <row r="620" spans="1:16" x14ac:dyDescent="0.3">
      <c r="A620" s="64"/>
      <c r="B620" s="7"/>
      <c r="C620" s="488"/>
      <c r="D620" s="1"/>
      <c r="E620" s="62"/>
      <c r="M620" s="593"/>
      <c r="N620" s="604"/>
      <c r="O620" s="1"/>
      <c r="P620" s="1"/>
    </row>
    <row r="621" spans="1:16" x14ac:dyDescent="0.3">
      <c r="A621" s="64"/>
      <c r="B621" s="7"/>
      <c r="C621" s="488"/>
      <c r="D621" s="1"/>
      <c r="E621" s="62"/>
      <c r="M621" s="593"/>
      <c r="N621" s="604"/>
      <c r="O621" s="1"/>
      <c r="P621" s="1"/>
    </row>
    <row r="622" spans="1:16" x14ac:dyDescent="0.3">
      <c r="A622" s="64"/>
      <c r="B622" s="7"/>
      <c r="C622" s="488"/>
      <c r="D622" s="1"/>
      <c r="E622" s="62"/>
      <c r="M622" s="593"/>
      <c r="N622" s="604"/>
      <c r="O622" s="1"/>
      <c r="P622" s="1"/>
    </row>
    <row r="623" spans="1:16" x14ac:dyDescent="0.3">
      <c r="A623" s="64"/>
      <c r="B623" s="7"/>
      <c r="C623" s="488"/>
      <c r="D623" s="1"/>
      <c r="E623" s="62"/>
      <c r="M623" s="593"/>
      <c r="N623" s="604"/>
      <c r="O623" s="1"/>
      <c r="P623" s="1"/>
    </row>
    <row r="624" spans="1:16" x14ac:dyDescent="0.3">
      <c r="A624" s="64"/>
      <c r="B624" s="7"/>
      <c r="C624" s="488"/>
      <c r="D624" s="1"/>
      <c r="E624" s="62"/>
      <c r="M624" s="593"/>
      <c r="N624" s="604"/>
      <c r="O624" s="1"/>
      <c r="P624" s="1"/>
    </row>
    <row r="625" spans="1:16" x14ac:dyDescent="0.3">
      <c r="A625" s="64"/>
      <c r="B625" s="7"/>
      <c r="C625" s="488"/>
      <c r="D625" s="1"/>
      <c r="E625" s="62"/>
      <c r="M625" s="593"/>
      <c r="N625" s="604"/>
      <c r="O625" s="1"/>
      <c r="P625" s="1"/>
    </row>
    <row r="626" spans="1:16" x14ac:dyDescent="0.3">
      <c r="A626" s="64"/>
      <c r="B626" s="7"/>
      <c r="C626" s="488"/>
      <c r="D626" s="1"/>
      <c r="E626" s="62"/>
      <c r="M626" s="593"/>
      <c r="N626" s="604"/>
      <c r="O626" s="1"/>
      <c r="P626" s="1"/>
    </row>
    <row r="627" spans="1:16" x14ac:dyDescent="0.3">
      <c r="A627" s="64"/>
      <c r="B627" s="7"/>
      <c r="C627" s="488"/>
      <c r="D627" s="1"/>
      <c r="E627" s="62"/>
      <c r="M627" s="593"/>
      <c r="N627" s="604"/>
      <c r="O627" s="1"/>
      <c r="P627" s="1"/>
    </row>
    <row r="628" spans="1:16" x14ac:dyDescent="0.3">
      <c r="A628" s="64"/>
      <c r="B628" s="7"/>
      <c r="C628" s="488"/>
      <c r="D628" s="1"/>
      <c r="E628" s="62"/>
      <c r="M628" s="593"/>
      <c r="N628" s="604"/>
      <c r="O628" s="1"/>
      <c r="P628" s="1"/>
    </row>
    <row r="629" spans="1:16" x14ac:dyDescent="0.3">
      <c r="A629" s="64"/>
      <c r="B629" s="7"/>
      <c r="C629" s="488"/>
      <c r="D629" s="1"/>
      <c r="E629" s="62"/>
      <c r="M629" s="593"/>
      <c r="N629" s="604"/>
      <c r="O629" s="1"/>
      <c r="P629" s="1"/>
    </row>
    <row r="630" spans="1:16" x14ac:dyDescent="0.3">
      <c r="A630" s="64"/>
      <c r="B630" s="7"/>
      <c r="C630" s="488"/>
      <c r="D630" s="1"/>
      <c r="E630" s="62"/>
      <c r="M630" s="593"/>
      <c r="N630" s="604"/>
      <c r="O630" s="1"/>
      <c r="P630" s="1"/>
    </row>
    <row r="631" spans="1:16" x14ac:dyDescent="0.3">
      <c r="A631" s="64"/>
      <c r="B631" s="7"/>
      <c r="C631" s="488"/>
      <c r="D631" s="1"/>
      <c r="E631" s="62"/>
      <c r="M631" s="593"/>
      <c r="N631" s="604"/>
      <c r="O631" s="1"/>
      <c r="P631" s="1"/>
    </row>
    <row r="632" spans="1:16" x14ac:dyDescent="0.3">
      <c r="A632" s="64"/>
      <c r="B632" s="7"/>
      <c r="C632" s="488"/>
      <c r="D632" s="1"/>
      <c r="E632" s="62"/>
      <c r="M632" s="593"/>
      <c r="N632" s="604"/>
      <c r="O632" s="1"/>
      <c r="P632" s="1"/>
    </row>
    <row r="633" spans="1:16" x14ac:dyDescent="0.3">
      <c r="A633" s="64"/>
      <c r="B633" s="7"/>
      <c r="C633" s="488"/>
      <c r="D633" s="1"/>
      <c r="E633" s="62"/>
      <c r="M633" s="593"/>
      <c r="N633" s="604"/>
      <c r="O633" s="1"/>
      <c r="P633" s="1"/>
    </row>
    <row r="634" spans="1:16" x14ac:dyDescent="0.3">
      <c r="A634" s="64"/>
      <c r="B634" s="7"/>
      <c r="C634" s="488"/>
      <c r="D634" s="1"/>
      <c r="E634" s="62"/>
      <c r="M634" s="593"/>
      <c r="N634" s="604"/>
      <c r="O634" s="1"/>
      <c r="P634" s="1"/>
    </row>
    <row r="635" spans="1:16" x14ac:dyDescent="0.3">
      <c r="A635" s="64"/>
      <c r="B635" s="7"/>
      <c r="C635" s="488"/>
      <c r="D635" s="1"/>
      <c r="E635" s="62"/>
      <c r="M635" s="593"/>
      <c r="N635" s="604"/>
      <c r="O635" s="1"/>
      <c r="P635" s="1"/>
    </row>
    <row r="636" spans="1:16" x14ac:dyDescent="0.3">
      <c r="A636" s="64"/>
      <c r="B636" s="7"/>
      <c r="C636" s="488"/>
      <c r="D636" s="1"/>
      <c r="E636" s="62"/>
      <c r="M636" s="593"/>
      <c r="N636" s="604"/>
      <c r="O636" s="1"/>
      <c r="P636" s="1"/>
    </row>
    <row r="637" spans="1:16" x14ac:dyDescent="0.3">
      <c r="A637" s="64"/>
      <c r="B637" s="7"/>
      <c r="C637" s="488"/>
      <c r="D637" s="1"/>
      <c r="E637" s="62"/>
      <c r="M637" s="593"/>
      <c r="N637" s="604"/>
      <c r="O637" s="1"/>
      <c r="P637" s="1"/>
    </row>
    <row r="638" spans="1:16" x14ac:dyDescent="0.3">
      <c r="A638" s="64"/>
      <c r="B638" s="7"/>
      <c r="C638" s="488"/>
      <c r="D638" s="1"/>
      <c r="E638" s="62"/>
      <c r="M638" s="593"/>
      <c r="N638" s="604"/>
      <c r="O638" s="1"/>
      <c r="P638" s="1"/>
    </row>
    <row r="639" spans="1:16" x14ac:dyDescent="0.3">
      <c r="A639" s="64"/>
      <c r="B639" s="7"/>
      <c r="C639" s="488"/>
      <c r="D639" s="1"/>
      <c r="E639" s="62"/>
      <c r="M639" s="593"/>
      <c r="N639" s="604"/>
      <c r="O639" s="1"/>
      <c r="P639" s="1"/>
    </row>
    <row r="640" spans="1:16" x14ac:dyDescent="0.3">
      <c r="A640" s="64"/>
      <c r="B640" s="7"/>
      <c r="C640" s="488"/>
      <c r="D640" s="1"/>
      <c r="E640" s="62"/>
      <c r="M640" s="593"/>
      <c r="N640" s="604"/>
      <c r="O640" s="1"/>
      <c r="P640" s="1"/>
    </row>
    <row r="641" spans="1:16" x14ac:dyDescent="0.3">
      <c r="A641" s="64"/>
      <c r="B641" s="7"/>
      <c r="C641" s="488"/>
      <c r="D641" s="1"/>
      <c r="E641" s="62"/>
      <c r="M641" s="593"/>
      <c r="N641" s="604"/>
      <c r="O641" s="1"/>
      <c r="P641" s="1"/>
    </row>
    <row r="642" spans="1:16" x14ac:dyDescent="0.3">
      <c r="A642" s="64"/>
      <c r="B642" s="7"/>
      <c r="C642" s="488"/>
      <c r="D642" s="1"/>
      <c r="E642" s="62"/>
      <c r="M642" s="593"/>
      <c r="N642" s="604"/>
      <c r="O642" s="1"/>
      <c r="P642" s="1"/>
    </row>
    <row r="643" spans="1:16" x14ac:dyDescent="0.3">
      <c r="A643" s="64"/>
      <c r="B643" s="7"/>
      <c r="C643" s="488"/>
      <c r="D643" s="1"/>
      <c r="E643" s="62"/>
      <c r="M643" s="593"/>
      <c r="N643" s="604"/>
      <c r="O643" s="1"/>
      <c r="P643" s="1"/>
    </row>
    <row r="644" spans="1:16" x14ac:dyDescent="0.3">
      <c r="A644" s="64"/>
      <c r="B644" s="7"/>
      <c r="C644" s="488"/>
      <c r="D644" s="1"/>
      <c r="E644" s="62"/>
      <c r="M644" s="593"/>
      <c r="N644" s="604"/>
      <c r="O644" s="1"/>
      <c r="P644" s="1"/>
    </row>
    <row r="645" spans="1:16" x14ac:dyDescent="0.3">
      <c r="A645" s="64"/>
      <c r="B645" s="7"/>
      <c r="C645" s="488"/>
      <c r="D645" s="1"/>
      <c r="E645" s="62"/>
      <c r="M645" s="593"/>
      <c r="N645" s="604"/>
      <c r="O645" s="1"/>
      <c r="P645" s="1"/>
    </row>
    <row r="646" spans="1:16" x14ac:dyDescent="0.3">
      <c r="A646" s="64"/>
      <c r="B646" s="7"/>
      <c r="C646" s="488"/>
      <c r="D646" s="1"/>
      <c r="E646" s="62"/>
      <c r="M646" s="593"/>
      <c r="N646" s="604"/>
      <c r="O646" s="1"/>
      <c r="P646" s="1"/>
    </row>
    <row r="647" spans="1:16" x14ac:dyDescent="0.3">
      <c r="A647" s="64"/>
      <c r="B647" s="7"/>
      <c r="C647" s="488"/>
      <c r="D647" s="1"/>
      <c r="E647" s="62"/>
      <c r="M647" s="593"/>
      <c r="N647" s="604"/>
      <c r="O647" s="1"/>
      <c r="P647" s="1"/>
    </row>
    <row r="648" spans="1:16" x14ac:dyDescent="0.3">
      <c r="A648" s="64"/>
      <c r="B648" s="7"/>
      <c r="C648" s="488"/>
      <c r="D648" s="1"/>
      <c r="E648" s="62"/>
      <c r="M648" s="593"/>
      <c r="N648" s="604"/>
      <c r="O648" s="1"/>
      <c r="P648" s="1"/>
    </row>
    <row r="649" spans="1:16" x14ac:dyDescent="0.3">
      <c r="A649" s="64"/>
      <c r="B649" s="7"/>
      <c r="C649" s="488"/>
      <c r="D649" s="1"/>
      <c r="E649" s="62"/>
      <c r="M649" s="593"/>
      <c r="N649" s="604"/>
      <c r="O649" s="1"/>
      <c r="P649" s="1"/>
    </row>
    <row r="650" spans="1:16" x14ac:dyDescent="0.3">
      <c r="A650" s="64"/>
      <c r="B650" s="7"/>
      <c r="C650" s="488"/>
      <c r="D650" s="1"/>
      <c r="E650" s="62"/>
      <c r="M650" s="593"/>
      <c r="N650" s="604"/>
      <c r="O650" s="1"/>
      <c r="P650" s="1"/>
    </row>
    <row r="651" spans="1:16" x14ac:dyDescent="0.3">
      <c r="A651" s="64"/>
      <c r="B651" s="7"/>
      <c r="C651" s="488"/>
      <c r="D651" s="1"/>
      <c r="E651" s="62"/>
      <c r="M651" s="593"/>
      <c r="N651" s="604"/>
      <c r="O651" s="1"/>
      <c r="P651" s="1"/>
    </row>
    <row r="652" spans="1:16" x14ac:dyDescent="0.3">
      <c r="A652" s="64"/>
      <c r="B652" s="7"/>
      <c r="C652" s="488"/>
      <c r="D652" s="1"/>
      <c r="E652" s="62"/>
      <c r="M652" s="593"/>
      <c r="N652" s="604"/>
      <c r="O652" s="1"/>
      <c r="P652" s="1"/>
    </row>
    <row r="653" spans="1:16" x14ac:dyDescent="0.3">
      <c r="A653" s="64"/>
      <c r="B653" s="7"/>
      <c r="C653" s="488"/>
      <c r="D653" s="1"/>
      <c r="E653" s="62"/>
      <c r="M653" s="593"/>
      <c r="N653" s="604"/>
      <c r="O653" s="1"/>
      <c r="P653" s="1"/>
    </row>
    <row r="654" spans="1:16" x14ac:dyDescent="0.3">
      <c r="A654" s="64"/>
      <c r="B654" s="7"/>
      <c r="C654" s="488"/>
      <c r="D654" s="1"/>
      <c r="E654" s="62"/>
      <c r="M654" s="593"/>
      <c r="N654" s="604"/>
      <c r="O654" s="1"/>
      <c r="P654" s="1"/>
    </row>
    <row r="655" spans="1:16" x14ac:dyDescent="0.3">
      <c r="A655" s="64"/>
      <c r="B655" s="7"/>
      <c r="C655" s="488"/>
      <c r="D655" s="1"/>
      <c r="E655" s="62"/>
      <c r="M655" s="593"/>
      <c r="N655" s="604"/>
      <c r="O655" s="1"/>
      <c r="P655" s="1"/>
    </row>
    <row r="656" spans="1:16" x14ac:dyDescent="0.3">
      <c r="A656" s="64"/>
      <c r="B656" s="7"/>
      <c r="C656" s="488"/>
      <c r="D656" s="1"/>
      <c r="E656" s="62"/>
      <c r="M656" s="593"/>
      <c r="N656" s="604"/>
      <c r="O656" s="1"/>
      <c r="P656" s="1"/>
    </row>
    <row r="657" spans="1:16" x14ac:dyDescent="0.3">
      <c r="A657" s="64"/>
      <c r="B657" s="7"/>
      <c r="C657" s="488"/>
      <c r="D657" s="1"/>
      <c r="E657" s="62"/>
      <c r="M657" s="593"/>
      <c r="N657" s="604"/>
      <c r="O657" s="1"/>
      <c r="P657" s="1"/>
    </row>
    <row r="658" spans="1:16" x14ac:dyDescent="0.3">
      <c r="A658" s="64"/>
      <c r="B658" s="7"/>
      <c r="C658" s="488"/>
      <c r="D658" s="1"/>
      <c r="E658" s="62"/>
      <c r="M658" s="593"/>
      <c r="N658" s="604"/>
      <c r="O658" s="1"/>
      <c r="P658" s="1"/>
    </row>
    <row r="659" spans="1:16" x14ac:dyDescent="0.3">
      <c r="A659" s="64"/>
      <c r="B659" s="7"/>
      <c r="C659" s="488"/>
      <c r="D659" s="1"/>
      <c r="E659" s="62"/>
      <c r="M659" s="593"/>
      <c r="N659" s="604"/>
      <c r="O659" s="1"/>
      <c r="P659" s="1"/>
    </row>
    <row r="660" spans="1:16" x14ac:dyDescent="0.3">
      <c r="A660" s="64"/>
      <c r="B660" s="7"/>
      <c r="C660" s="488"/>
      <c r="D660" s="1"/>
      <c r="E660" s="62"/>
      <c r="M660" s="593"/>
      <c r="N660" s="604"/>
      <c r="O660" s="1"/>
      <c r="P660" s="1"/>
    </row>
    <row r="661" spans="1:16" x14ac:dyDescent="0.3">
      <c r="A661" s="64"/>
      <c r="B661" s="7"/>
      <c r="C661" s="488"/>
      <c r="D661" s="1"/>
      <c r="E661" s="62"/>
      <c r="M661" s="593"/>
      <c r="N661" s="604"/>
      <c r="O661" s="1"/>
      <c r="P661" s="1"/>
    </row>
    <row r="662" spans="1:16" x14ac:dyDescent="0.3">
      <c r="A662" s="64"/>
      <c r="B662" s="7"/>
      <c r="C662" s="488"/>
      <c r="D662" s="1"/>
      <c r="E662" s="62"/>
      <c r="M662" s="593"/>
      <c r="N662" s="604"/>
      <c r="O662" s="1"/>
      <c r="P662" s="1"/>
    </row>
    <row r="663" spans="1:16" x14ac:dyDescent="0.3">
      <c r="A663" s="64"/>
      <c r="B663" s="7"/>
      <c r="C663" s="488"/>
      <c r="D663" s="1"/>
      <c r="E663" s="62"/>
      <c r="M663" s="593"/>
      <c r="N663" s="604"/>
      <c r="O663" s="1"/>
      <c r="P663" s="1"/>
    </row>
    <row r="664" spans="1:16" x14ac:dyDescent="0.3">
      <c r="A664" s="64"/>
      <c r="B664" s="7"/>
      <c r="C664" s="488"/>
      <c r="D664" s="1"/>
      <c r="E664" s="62"/>
      <c r="M664" s="593"/>
      <c r="N664" s="604"/>
      <c r="O664" s="1"/>
      <c r="P664" s="1"/>
    </row>
    <row r="665" spans="1:16" x14ac:dyDescent="0.3">
      <c r="A665" s="64"/>
      <c r="B665" s="7"/>
      <c r="C665" s="488"/>
      <c r="D665" s="1"/>
      <c r="E665" s="62"/>
      <c r="M665" s="593"/>
      <c r="N665" s="604"/>
      <c r="O665" s="1"/>
      <c r="P665" s="1"/>
    </row>
    <row r="666" spans="1:16" x14ac:dyDescent="0.3">
      <c r="A666" s="64"/>
      <c r="B666" s="7"/>
      <c r="C666" s="488"/>
      <c r="D666" s="1"/>
      <c r="E666" s="62"/>
      <c r="M666" s="593"/>
      <c r="N666" s="604"/>
      <c r="O666" s="1"/>
      <c r="P666" s="1"/>
    </row>
    <row r="667" spans="1:16" x14ac:dyDescent="0.3">
      <c r="A667" s="64"/>
      <c r="B667" s="7"/>
      <c r="C667" s="488"/>
      <c r="D667" s="1"/>
      <c r="E667" s="62"/>
      <c r="M667" s="593"/>
      <c r="N667" s="604"/>
      <c r="O667" s="1"/>
      <c r="P667" s="1"/>
    </row>
    <row r="668" spans="1:16" x14ac:dyDescent="0.3">
      <c r="A668" s="64"/>
      <c r="B668" s="7"/>
      <c r="C668" s="488"/>
      <c r="D668" s="1"/>
      <c r="E668" s="62"/>
      <c r="M668" s="593"/>
      <c r="N668" s="604"/>
      <c r="O668" s="1"/>
      <c r="P668" s="1"/>
    </row>
    <row r="669" spans="1:16" x14ac:dyDescent="0.3">
      <c r="A669" s="64"/>
      <c r="B669" s="7"/>
      <c r="C669" s="488"/>
      <c r="D669" s="1"/>
      <c r="E669" s="62"/>
      <c r="M669" s="593"/>
      <c r="N669" s="604"/>
      <c r="O669" s="1"/>
      <c r="P669" s="1"/>
    </row>
    <row r="670" spans="1:16" x14ac:dyDescent="0.3">
      <c r="A670" s="64"/>
      <c r="B670" s="7"/>
      <c r="C670" s="488"/>
      <c r="D670" s="1"/>
      <c r="E670" s="62"/>
      <c r="M670" s="593"/>
      <c r="N670" s="604"/>
      <c r="O670" s="1"/>
      <c r="P670" s="1"/>
    </row>
    <row r="671" spans="1:16" x14ac:dyDescent="0.3">
      <c r="A671" s="64"/>
      <c r="B671" s="7"/>
      <c r="C671" s="488"/>
      <c r="D671" s="1"/>
      <c r="E671" s="62"/>
      <c r="M671" s="593"/>
      <c r="N671" s="604"/>
      <c r="O671" s="1"/>
      <c r="P671" s="1"/>
    </row>
    <row r="672" spans="1:16" x14ac:dyDescent="0.3">
      <c r="A672" s="64"/>
      <c r="B672" s="7"/>
      <c r="C672" s="488"/>
      <c r="D672" s="1"/>
      <c r="E672" s="62"/>
      <c r="M672" s="593"/>
      <c r="N672" s="604"/>
      <c r="O672" s="1"/>
      <c r="P672" s="1"/>
    </row>
    <row r="673" spans="1:16" x14ac:dyDescent="0.3">
      <c r="A673" s="64"/>
      <c r="B673" s="7"/>
      <c r="C673" s="488"/>
      <c r="D673" s="1"/>
      <c r="E673" s="62"/>
      <c r="M673" s="593"/>
      <c r="N673" s="604"/>
      <c r="O673" s="1"/>
      <c r="P673" s="1"/>
    </row>
    <row r="674" spans="1:16" x14ac:dyDescent="0.3">
      <c r="A674" s="64"/>
      <c r="B674" s="7"/>
      <c r="C674" s="488"/>
      <c r="D674" s="1"/>
      <c r="E674" s="62"/>
      <c r="M674" s="593"/>
      <c r="N674" s="604"/>
      <c r="O674" s="1"/>
      <c r="P674" s="1"/>
    </row>
    <row r="675" spans="1:16" x14ac:dyDescent="0.3">
      <c r="A675" s="64"/>
      <c r="B675" s="7"/>
      <c r="C675" s="488"/>
      <c r="D675" s="1"/>
      <c r="E675" s="62"/>
      <c r="M675" s="593"/>
      <c r="N675" s="604"/>
      <c r="O675" s="1"/>
      <c r="P675" s="1"/>
    </row>
    <row r="676" spans="1:16" x14ac:dyDescent="0.3">
      <c r="A676" s="64"/>
      <c r="B676" s="7"/>
      <c r="C676" s="488"/>
      <c r="D676" s="1"/>
      <c r="E676" s="62"/>
      <c r="M676" s="593"/>
      <c r="N676" s="604"/>
      <c r="O676" s="1"/>
      <c r="P676" s="1"/>
    </row>
    <row r="677" spans="1:16" x14ac:dyDescent="0.3">
      <c r="A677" s="64"/>
      <c r="B677" s="7"/>
      <c r="C677" s="488"/>
      <c r="D677" s="1"/>
      <c r="E677" s="62"/>
      <c r="M677" s="593"/>
      <c r="N677" s="604"/>
      <c r="O677" s="1"/>
      <c r="P677" s="1"/>
    </row>
    <row r="678" spans="1:16" x14ac:dyDescent="0.3">
      <c r="A678" s="64"/>
      <c r="B678" s="7"/>
      <c r="C678" s="488"/>
      <c r="D678" s="1"/>
      <c r="E678" s="62"/>
      <c r="M678" s="593"/>
      <c r="N678" s="604"/>
      <c r="O678" s="1"/>
      <c r="P678" s="1"/>
    </row>
    <row r="679" spans="1:16" x14ac:dyDescent="0.3">
      <c r="A679" s="64"/>
      <c r="B679" s="7"/>
      <c r="C679" s="488"/>
      <c r="D679" s="1"/>
      <c r="E679" s="62"/>
      <c r="M679" s="593"/>
      <c r="N679" s="604"/>
      <c r="O679" s="1"/>
      <c r="P679" s="1"/>
    </row>
    <row r="680" spans="1:16" x14ac:dyDescent="0.3">
      <c r="A680" s="64"/>
      <c r="B680" s="7"/>
      <c r="C680" s="488"/>
      <c r="D680" s="1"/>
      <c r="E680" s="62"/>
      <c r="M680" s="593"/>
      <c r="N680" s="604"/>
      <c r="O680" s="1"/>
      <c r="P680" s="1"/>
    </row>
    <row r="681" spans="1:16" x14ac:dyDescent="0.3">
      <c r="A681" s="64"/>
      <c r="B681" s="7"/>
      <c r="C681" s="488"/>
      <c r="D681" s="1"/>
      <c r="E681" s="62"/>
      <c r="M681" s="593"/>
      <c r="N681" s="604"/>
      <c r="O681" s="1"/>
      <c r="P681" s="1"/>
    </row>
    <row r="682" spans="1:16" x14ac:dyDescent="0.3">
      <c r="A682" s="64"/>
      <c r="B682" s="7"/>
      <c r="C682" s="488"/>
      <c r="D682" s="1"/>
      <c r="E682" s="62"/>
      <c r="M682" s="593"/>
      <c r="N682" s="604"/>
      <c r="O682" s="1"/>
      <c r="P682" s="1"/>
    </row>
    <row r="683" spans="1:16" x14ac:dyDescent="0.3">
      <c r="A683" s="64"/>
      <c r="B683" s="7"/>
      <c r="C683" s="488"/>
      <c r="D683" s="1"/>
      <c r="E683" s="62"/>
      <c r="M683" s="593"/>
      <c r="N683" s="604"/>
      <c r="O683" s="1"/>
      <c r="P683" s="1"/>
    </row>
    <row r="684" spans="1:16" x14ac:dyDescent="0.3">
      <c r="A684" s="64"/>
      <c r="B684" s="7"/>
      <c r="C684" s="488"/>
      <c r="D684" s="1"/>
      <c r="E684" s="62"/>
      <c r="M684" s="593"/>
      <c r="N684" s="604"/>
      <c r="O684" s="1"/>
      <c r="P684" s="1"/>
    </row>
    <row r="685" spans="1:16" x14ac:dyDescent="0.3">
      <c r="A685" s="64"/>
      <c r="B685" s="7"/>
      <c r="C685" s="488"/>
      <c r="D685" s="1"/>
      <c r="E685" s="62"/>
      <c r="M685" s="593"/>
      <c r="N685" s="604"/>
      <c r="O685" s="1"/>
      <c r="P685" s="1"/>
    </row>
    <row r="686" spans="1:16" x14ac:dyDescent="0.3">
      <c r="A686" s="64"/>
      <c r="B686" s="7"/>
      <c r="C686" s="488"/>
      <c r="D686" s="1"/>
      <c r="E686" s="62"/>
      <c r="M686" s="593"/>
      <c r="N686" s="604"/>
      <c r="O686" s="1"/>
      <c r="P686" s="1"/>
    </row>
    <row r="687" spans="1:16" x14ac:dyDescent="0.3">
      <c r="A687" s="64"/>
      <c r="B687" s="7"/>
      <c r="C687" s="488"/>
      <c r="D687" s="1"/>
      <c r="E687" s="62"/>
      <c r="M687" s="593"/>
      <c r="N687" s="604"/>
      <c r="O687" s="1"/>
      <c r="P687" s="1"/>
    </row>
    <row r="688" spans="1:16" x14ac:dyDescent="0.3">
      <c r="A688" s="64"/>
      <c r="B688" s="7"/>
      <c r="C688" s="488"/>
      <c r="D688" s="1"/>
      <c r="E688" s="62"/>
      <c r="M688" s="593"/>
      <c r="N688" s="604"/>
      <c r="O688" s="1"/>
      <c r="P688" s="1"/>
    </row>
    <row r="689" spans="1:16" x14ac:dyDescent="0.3">
      <c r="A689" s="64"/>
      <c r="B689" s="7"/>
      <c r="C689" s="488"/>
      <c r="D689" s="1"/>
      <c r="E689" s="62"/>
      <c r="M689" s="593"/>
      <c r="N689" s="604"/>
      <c r="O689" s="1"/>
      <c r="P689" s="1"/>
    </row>
    <row r="690" spans="1:16" x14ac:dyDescent="0.3">
      <c r="A690" s="64"/>
      <c r="B690" s="7"/>
      <c r="C690" s="488"/>
      <c r="D690" s="1"/>
      <c r="E690" s="62"/>
      <c r="M690" s="593"/>
      <c r="N690" s="604"/>
      <c r="O690" s="1"/>
      <c r="P690" s="1"/>
    </row>
    <row r="691" spans="1:16" x14ac:dyDescent="0.3">
      <c r="A691" s="64"/>
      <c r="B691" s="7"/>
      <c r="C691" s="488"/>
      <c r="D691" s="1"/>
      <c r="E691" s="62"/>
      <c r="M691" s="593"/>
      <c r="N691" s="604"/>
      <c r="O691" s="1"/>
      <c r="P691" s="1"/>
    </row>
    <row r="692" spans="1:16" x14ac:dyDescent="0.3">
      <c r="A692" s="64"/>
      <c r="B692" s="7"/>
      <c r="C692" s="488"/>
      <c r="D692" s="1"/>
      <c r="E692" s="62"/>
      <c r="M692" s="593"/>
      <c r="N692" s="604"/>
      <c r="O692" s="1"/>
      <c r="P692" s="1"/>
    </row>
    <row r="693" spans="1:16" x14ac:dyDescent="0.3">
      <c r="A693" s="64"/>
      <c r="B693" s="7"/>
      <c r="C693" s="488"/>
      <c r="D693" s="1"/>
      <c r="E693" s="62"/>
      <c r="M693" s="593"/>
      <c r="N693" s="604"/>
      <c r="O693" s="1"/>
      <c r="P693" s="1"/>
    </row>
    <row r="694" spans="1:16" x14ac:dyDescent="0.3">
      <c r="A694" s="64"/>
      <c r="B694" s="7"/>
      <c r="C694" s="488"/>
      <c r="D694" s="1"/>
      <c r="E694" s="62"/>
      <c r="M694" s="593"/>
      <c r="N694" s="604"/>
      <c r="O694" s="1"/>
      <c r="P694" s="1"/>
    </row>
    <row r="695" spans="1:16" x14ac:dyDescent="0.3">
      <c r="A695" s="64"/>
      <c r="B695" s="7"/>
      <c r="C695" s="488"/>
      <c r="D695" s="1"/>
      <c r="E695" s="62"/>
      <c r="M695" s="593"/>
      <c r="N695" s="604"/>
      <c r="O695" s="1"/>
      <c r="P695" s="1"/>
    </row>
    <row r="696" spans="1:16" x14ac:dyDescent="0.3">
      <c r="A696" s="64"/>
      <c r="B696" s="7"/>
      <c r="C696" s="488"/>
      <c r="D696" s="1"/>
      <c r="E696" s="62"/>
      <c r="M696" s="593"/>
      <c r="N696" s="604"/>
      <c r="O696" s="1"/>
      <c r="P696" s="1"/>
    </row>
    <row r="697" spans="1:16" x14ac:dyDescent="0.3">
      <c r="A697" s="64"/>
      <c r="B697" s="7"/>
      <c r="C697" s="488"/>
      <c r="D697" s="1"/>
      <c r="E697" s="62"/>
      <c r="M697" s="593"/>
      <c r="N697" s="604"/>
      <c r="O697" s="1"/>
      <c r="P697" s="1"/>
    </row>
    <row r="698" spans="1:16" x14ac:dyDescent="0.3">
      <c r="A698" s="64"/>
      <c r="B698" s="7"/>
      <c r="C698" s="488"/>
      <c r="D698" s="1"/>
      <c r="E698" s="62"/>
      <c r="M698" s="593"/>
      <c r="N698" s="604"/>
      <c r="O698" s="1"/>
      <c r="P698" s="1"/>
    </row>
    <row r="699" spans="1:16" x14ac:dyDescent="0.3">
      <c r="A699" s="64"/>
      <c r="B699" s="7"/>
      <c r="C699" s="488"/>
      <c r="D699" s="1"/>
      <c r="E699" s="62"/>
      <c r="M699" s="593"/>
      <c r="N699" s="604"/>
      <c r="O699" s="1"/>
      <c r="P699" s="1"/>
    </row>
    <row r="700" spans="1:16" x14ac:dyDescent="0.3">
      <c r="A700" s="64"/>
      <c r="B700" s="7"/>
      <c r="C700" s="488"/>
      <c r="D700" s="1"/>
      <c r="E700" s="62"/>
      <c r="M700" s="593"/>
      <c r="N700" s="604"/>
      <c r="O700" s="1"/>
      <c r="P700" s="1"/>
    </row>
    <row r="701" spans="1:16" x14ac:dyDescent="0.3">
      <c r="A701" s="64"/>
      <c r="B701" s="7"/>
      <c r="C701" s="488"/>
      <c r="D701" s="1"/>
      <c r="E701" s="62"/>
      <c r="M701" s="593"/>
      <c r="N701" s="604"/>
      <c r="O701" s="1"/>
      <c r="P701" s="1"/>
    </row>
    <row r="702" spans="1:16" x14ac:dyDescent="0.3">
      <c r="A702" s="64"/>
      <c r="B702" s="7"/>
      <c r="C702" s="488"/>
      <c r="D702" s="1"/>
      <c r="E702" s="62"/>
      <c r="M702" s="593"/>
      <c r="N702" s="604"/>
      <c r="O702" s="1"/>
      <c r="P702" s="1"/>
    </row>
    <row r="703" spans="1:16" x14ac:dyDescent="0.3">
      <c r="A703" s="64"/>
      <c r="B703" s="7"/>
      <c r="C703" s="488"/>
      <c r="D703" s="1"/>
      <c r="E703" s="62"/>
      <c r="M703" s="593"/>
      <c r="N703" s="604"/>
      <c r="O703" s="1"/>
      <c r="P703" s="1"/>
    </row>
    <row r="704" spans="1:16" x14ac:dyDescent="0.3">
      <c r="A704" s="64"/>
      <c r="B704" s="7"/>
      <c r="C704" s="488"/>
      <c r="D704" s="1"/>
      <c r="E704" s="62"/>
      <c r="M704" s="593"/>
      <c r="N704" s="604"/>
      <c r="O704" s="1"/>
      <c r="P704" s="1"/>
    </row>
    <row r="705" spans="1:16" x14ac:dyDescent="0.3">
      <c r="A705" s="64"/>
      <c r="B705" s="7"/>
      <c r="C705" s="488"/>
      <c r="D705" s="1"/>
      <c r="E705" s="62"/>
      <c r="M705" s="593"/>
      <c r="N705" s="604"/>
      <c r="O705" s="1"/>
      <c r="P705" s="1"/>
    </row>
    <row r="706" spans="1:16" x14ac:dyDescent="0.3">
      <c r="A706" s="64"/>
      <c r="B706" s="7"/>
      <c r="C706" s="488"/>
      <c r="D706" s="1"/>
      <c r="E706" s="62"/>
      <c r="M706" s="593"/>
      <c r="N706" s="604"/>
      <c r="O706" s="1"/>
      <c r="P706" s="1"/>
    </row>
    <row r="707" spans="1:16" x14ac:dyDescent="0.3">
      <c r="A707" s="64"/>
      <c r="B707" s="7"/>
      <c r="C707" s="488"/>
      <c r="D707" s="1"/>
      <c r="E707" s="62"/>
      <c r="M707" s="593"/>
      <c r="N707" s="604"/>
      <c r="O707" s="1"/>
      <c r="P707" s="1"/>
    </row>
    <row r="708" spans="1:16" x14ac:dyDescent="0.3">
      <c r="A708" s="64"/>
      <c r="B708" s="7"/>
      <c r="C708" s="488"/>
      <c r="D708" s="1"/>
      <c r="E708" s="62"/>
      <c r="M708" s="593"/>
      <c r="N708" s="604"/>
      <c r="O708" s="1"/>
      <c r="P708" s="1"/>
    </row>
    <row r="709" spans="1:16" x14ac:dyDescent="0.3">
      <c r="A709" s="64"/>
      <c r="B709" s="7"/>
      <c r="C709" s="488"/>
      <c r="D709" s="1"/>
      <c r="E709" s="62"/>
      <c r="M709" s="593"/>
      <c r="N709" s="604"/>
      <c r="O709" s="1"/>
      <c r="P709" s="1"/>
    </row>
    <row r="710" spans="1:16" x14ac:dyDescent="0.3">
      <c r="A710" s="64"/>
      <c r="B710" s="7"/>
      <c r="C710" s="488"/>
      <c r="D710" s="1"/>
      <c r="E710" s="62"/>
      <c r="M710" s="593"/>
      <c r="N710" s="604"/>
      <c r="O710" s="1"/>
      <c r="P710" s="1"/>
    </row>
    <row r="711" spans="1:16" x14ac:dyDescent="0.3">
      <c r="A711" s="64"/>
      <c r="B711" s="7"/>
      <c r="C711" s="488"/>
      <c r="D711" s="1"/>
      <c r="E711" s="62"/>
      <c r="M711" s="593"/>
      <c r="N711" s="604"/>
      <c r="O711" s="1"/>
      <c r="P711" s="1"/>
    </row>
    <row r="712" spans="1:16" x14ac:dyDescent="0.3">
      <c r="A712" s="64"/>
      <c r="B712" s="7"/>
      <c r="C712" s="488"/>
      <c r="D712" s="1"/>
      <c r="E712" s="62"/>
      <c r="M712" s="593"/>
      <c r="N712" s="604"/>
      <c r="O712" s="1"/>
      <c r="P712" s="1"/>
    </row>
    <row r="713" spans="1:16" x14ac:dyDescent="0.3">
      <c r="A713" s="64"/>
      <c r="B713" s="7"/>
      <c r="C713" s="488"/>
      <c r="D713" s="1"/>
      <c r="E713" s="62"/>
      <c r="M713" s="593"/>
      <c r="N713" s="604"/>
      <c r="O713" s="1"/>
      <c r="P713" s="1"/>
    </row>
    <row r="714" spans="1:16" x14ac:dyDescent="0.3">
      <c r="A714" s="64"/>
      <c r="B714" s="7"/>
      <c r="C714" s="488"/>
      <c r="D714" s="1"/>
      <c r="E714" s="62"/>
      <c r="M714" s="593"/>
      <c r="N714" s="604"/>
      <c r="O714" s="1"/>
      <c r="P714" s="1"/>
    </row>
    <row r="715" spans="1:16" x14ac:dyDescent="0.3">
      <c r="A715" s="64"/>
      <c r="B715" s="7"/>
      <c r="C715" s="488"/>
      <c r="D715" s="1"/>
      <c r="E715" s="62"/>
      <c r="M715" s="593"/>
      <c r="N715" s="604"/>
      <c r="O715" s="1"/>
      <c r="P715" s="1"/>
    </row>
    <row r="716" spans="1:16" x14ac:dyDescent="0.3">
      <c r="A716" s="64"/>
      <c r="B716" s="7"/>
      <c r="C716" s="488"/>
      <c r="D716" s="1"/>
      <c r="E716" s="62"/>
      <c r="M716" s="593"/>
      <c r="N716" s="604"/>
      <c r="O716" s="1"/>
      <c r="P716" s="1"/>
    </row>
    <row r="717" spans="1:16" x14ac:dyDescent="0.3">
      <c r="A717" s="64"/>
      <c r="B717" s="7"/>
      <c r="C717" s="488"/>
      <c r="D717" s="1"/>
      <c r="E717" s="62"/>
      <c r="M717" s="593"/>
      <c r="N717" s="604"/>
      <c r="O717" s="1"/>
      <c r="P717" s="1"/>
    </row>
    <row r="718" spans="1:16" x14ac:dyDescent="0.3">
      <c r="A718" s="64"/>
      <c r="B718" s="7"/>
      <c r="C718" s="488"/>
      <c r="D718" s="1"/>
      <c r="E718" s="62"/>
      <c r="M718" s="593"/>
      <c r="N718" s="604"/>
      <c r="O718" s="1"/>
      <c r="P718" s="1"/>
    </row>
    <row r="719" spans="1:16" x14ac:dyDescent="0.3">
      <c r="A719" s="64"/>
      <c r="B719" s="7"/>
      <c r="C719" s="488"/>
      <c r="D719" s="1"/>
      <c r="E719" s="62"/>
      <c r="M719" s="593"/>
      <c r="N719" s="604"/>
      <c r="O719" s="1"/>
      <c r="P719" s="1"/>
    </row>
    <row r="720" spans="1:16" x14ac:dyDescent="0.3">
      <c r="A720" s="64"/>
      <c r="B720" s="7"/>
      <c r="C720" s="488"/>
      <c r="D720" s="1"/>
      <c r="E720" s="62"/>
      <c r="M720" s="593"/>
      <c r="N720" s="604"/>
      <c r="O720" s="1"/>
      <c r="P720" s="1"/>
    </row>
    <row r="721" spans="1:16" x14ac:dyDescent="0.3">
      <c r="A721" s="64"/>
      <c r="B721" s="7"/>
      <c r="C721" s="488"/>
      <c r="D721" s="1"/>
      <c r="E721" s="62"/>
      <c r="M721" s="593"/>
      <c r="N721" s="604"/>
      <c r="O721" s="1"/>
      <c r="P721" s="1"/>
    </row>
    <row r="722" spans="1:16" x14ac:dyDescent="0.3">
      <c r="A722" s="64"/>
      <c r="B722" s="7"/>
      <c r="C722" s="488"/>
      <c r="D722" s="1"/>
      <c r="E722" s="62"/>
      <c r="M722" s="593"/>
      <c r="N722" s="604"/>
      <c r="O722" s="1"/>
      <c r="P722" s="1"/>
    </row>
    <row r="723" spans="1:16" x14ac:dyDescent="0.3">
      <c r="A723" s="64"/>
      <c r="B723" s="7"/>
      <c r="C723" s="488"/>
      <c r="D723" s="1"/>
      <c r="E723" s="62"/>
      <c r="M723" s="593"/>
      <c r="N723" s="604"/>
      <c r="O723" s="1"/>
      <c r="P723" s="1"/>
    </row>
    <row r="724" spans="1:16" x14ac:dyDescent="0.3">
      <c r="A724" s="64"/>
      <c r="B724" s="7"/>
      <c r="C724" s="488"/>
      <c r="D724" s="1"/>
      <c r="E724" s="62"/>
      <c r="M724" s="593"/>
      <c r="N724" s="604"/>
      <c r="O724" s="1"/>
      <c r="P724" s="1"/>
    </row>
    <row r="725" spans="1:16" x14ac:dyDescent="0.3">
      <c r="A725" s="64"/>
      <c r="B725" s="7"/>
      <c r="C725" s="488"/>
      <c r="D725" s="1"/>
      <c r="E725" s="62"/>
      <c r="M725" s="593"/>
      <c r="N725" s="604"/>
      <c r="O725" s="1"/>
      <c r="P725" s="1"/>
    </row>
    <row r="726" spans="1:16" x14ac:dyDescent="0.3">
      <c r="A726" s="64"/>
      <c r="B726" s="7"/>
      <c r="C726" s="488"/>
      <c r="D726" s="1"/>
      <c r="E726" s="62"/>
      <c r="M726" s="593"/>
      <c r="N726" s="604"/>
      <c r="O726" s="1"/>
      <c r="P726" s="1"/>
    </row>
    <row r="727" spans="1:16" x14ac:dyDescent="0.3">
      <c r="A727" s="64"/>
      <c r="B727" s="7"/>
      <c r="C727" s="488"/>
      <c r="D727" s="1"/>
      <c r="E727" s="62"/>
      <c r="M727" s="593"/>
      <c r="N727" s="604"/>
      <c r="O727" s="1"/>
      <c r="P727" s="1"/>
    </row>
    <row r="728" spans="1:16" x14ac:dyDescent="0.3">
      <c r="A728" s="64"/>
      <c r="B728" s="7"/>
      <c r="C728" s="488"/>
      <c r="D728" s="1"/>
      <c r="E728" s="62"/>
      <c r="M728" s="593"/>
      <c r="N728" s="604"/>
      <c r="O728" s="1"/>
      <c r="P728" s="1"/>
    </row>
    <row r="729" spans="1:16" x14ac:dyDescent="0.3">
      <c r="A729" s="64"/>
      <c r="B729" s="7"/>
      <c r="C729" s="488"/>
      <c r="D729" s="1"/>
      <c r="E729" s="62"/>
      <c r="M729" s="593"/>
      <c r="N729" s="604"/>
      <c r="O729" s="1"/>
      <c r="P729" s="1"/>
    </row>
    <row r="730" spans="1:16" x14ac:dyDescent="0.3">
      <c r="A730" s="64"/>
      <c r="B730" s="7"/>
      <c r="C730" s="488"/>
      <c r="D730" s="1"/>
      <c r="E730" s="62"/>
      <c r="M730" s="593"/>
      <c r="N730" s="604"/>
      <c r="O730" s="1"/>
      <c r="P730" s="1"/>
    </row>
    <row r="731" spans="1:16" x14ac:dyDescent="0.3">
      <c r="A731" s="64"/>
      <c r="B731" s="7"/>
      <c r="C731" s="488"/>
      <c r="D731" s="1"/>
      <c r="E731" s="62"/>
      <c r="M731" s="593"/>
      <c r="N731" s="604"/>
      <c r="O731" s="1"/>
      <c r="P731" s="1"/>
    </row>
    <row r="732" spans="1:16" x14ac:dyDescent="0.3">
      <c r="A732" s="64"/>
      <c r="B732" s="7"/>
      <c r="C732" s="488"/>
      <c r="D732" s="1"/>
      <c r="E732" s="62"/>
      <c r="M732" s="593"/>
      <c r="N732" s="604"/>
      <c r="O732" s="1"/>
      <c r="P732" s="1"/>
    </row>
    <row r="733" spans="1:16" x14ac:dyDescent="0.3">
      <c r="A733" s="64"/>
      <c r="B733" s="7"/>
      <c r="C733" s="488"/>
      <c r="D733" s="1"/>
      <c r="E733" s="62"/>
      <c r="M733" s="593"/>
      <c r="N733" s="604"/>
      <c r="O733" s="1"/>
      <c r="P733" s="1"/>
    </row>
    <row r="734" spans="1:16" x14ac:dyDescent="0.3">
      <c r="A734" s="64"/>
      <c r="B734" s="7"/>
      <c r="C734" s="488"/>
      <c r="D734" s="1"/>
      <c r="E734" s="62"/>
      <c r="M734" s="593"/>
      <c r="N734" s="604"/>
      <c r="O734" s="1"/>
      <c r="P734" s="1"/>
    </row>
    <row r="735" spans="1:16" x14ac:dyDescent="0.3">
      <c r="A735" s="64"/>
      <c r="B735" s="7"/>
      <c r="C735" s="488"/>
      <c r="D735" s="1"/>
      <c r="E735" s="62"/>
      <c r="M735" s="593"/>
      <c r="N735" s="604"/>
      <c r="O735" s="1"/>
      <c r="P735" s="1"/>
    </row>
    <row r="736" spans="1:16" x14ac:dyDescent="0.3">
      <c r="A736" s="64"/>
      <c r="B736" s="7"/>
      <c r="C736" s="488"/>
      <c r="D736" s="1"/>
      <c r="E736" s="62"/>
      <c r="M736" s="593"/>
      <c r="N736" s="604"/>
      <c r="O736" s="1"/>
      <c r="P736" s="1"/>
    </row>
    <row r="737" spans="1:16" x14ac:dyDescent="0.3">
      <c r="A737" s="64"/>
      <c r="B737" s="7"/>
      <c r="C737" s="488"/>
      <c r="D737" s="1"/>
      <c r="E737" s="62"/>
      <c r="M737" s="593"/>
      <c r="N737" s="604"/>
      <c r="O737" s="1"/>
      <c r="P737" s="1"/>
    </row>
    <row r="738" spans="1:16" x14ac:dyDescent="0.3">
      <c r="A738" s="64"/>
      <c r="B738" s="7"/>
      <c r="C738" s="488"/>
      <c r="D738" s="1"/>
      <c r="E738" s="62"/>
      <c r="M738" s="593"/>
      <c r="N738" s="604"/>
      <c r="O738" s="1"/>
      <c r="P738" s="1"/>
    </row>
    <row r="739" spans="1:16" x14ac:dyDescent="0.3">
      <c r="A739" s="64"/>
      <c r="B739" s="7"/>
      <c r="C739" s="488"/>
      <c r="D739" s="1"/>
      <c r="E739" s="62"/>
      <c r="M739" s="593"/>
      <c r="N739" s="604"/>
      <c r="O739" s="1"/>
      <c r="P739" s="1"/>
    </row>
    <row r="740" spans="1:16" x14ac:dyDescent="0.3">
      <c r="A740" s="64"/>
      <c r="B740" s="7"/>
      <c r="C740" s="488"/>
      <c r="D740" s="1"/>
      <c r="E740" s="62"/>
      <c r="M740" s="593"/>
      <c r="N740" s="604"/>
      <c r="O740" s="1"/>
      <c r="P740" s="1"/>
    </row>
    <row r="741" spans="1:16" x14ac:dyDescent="0.3">
      <c r="A741" s="64"/>
      <c r="B741" s="7"/>
      <c r="C741" s="488"/>
      <c r="D741" s="1"/>
      <c r="E741" s="62"/>
      <c r="M741" s="593"/>
      <c r="N741" s="604"/>
      <c r="O741" s="1"/>
      <c r="P741" s="1"/>
    </row>
    <row r="742" spans="1:16" x14ac:dyDescent="0.3">
      <c r="A742" s="64"/>
      <c r="B742" s="7"/>
      <c r="C742" s="488"/>
      <c r="D742" s="1"/>
      <c r="E742" s="62"/>
      <c r="M742" s="593"/>
      <c r="N742" s="604"/>
      <c r="O742" s="1"/>
      <c r="P742" s="1"/>
    </row>
    <row r="743" spans="1:16" x14ac:dyDescent="0.3">
      <c r="A743" s="64"/>
      <c r="B743" s="7"/>
      <c r="C743" s="488"/>
      <c r="D743" s="1"/>
      <c r="E743" s="62"/>
      <c r="M743" s="593"/>
      <c r="N743" s="604"/>
      <c r="O743" s="1"/>
      <c r="P743" s="1"/>
    </row>
    <row r="744" spans="1:16" x14ac:dyDescent="0.3">
      <c r="A744" s="64"/>
      <c r="B744" s="7"/>
      <c r="C744" s="488"/>
      <c r="D744" s="1"/>
      <c r="E744" s="62"/>
      <c r="M744" s="593"/>
      <c r="N744" s="604"/>
      <c r="O744" s="1"/>
      <c r="P744" s="1"/>
    </row>
    <row r="745" spans="1:16" x14ac:dyDescent="0.3">
      <c r="A745" s="64"/>
      <c r="B745" s="7"/>
      <c r="C745" s="488"/>
      <c r="D745" s="1"/>
      <c r="E745" s="62"/>
      <c r="M745" s="593"/>
      <c r="N745" s="604"/>
      <c r="O745" s="1"/>
      <c r="P745" s="1"/>
    </row>
    <row r="746" spans="1:16" x14ac:dyDescent="0.3">
      <c r="A746" s="64"/>
      <c r="B746" s="7"/>
      <c r="C746" s="488"/>
      <c r="D746" s="1"/>
      <c r="E746" s="62"/>
      <c r="M746" s="593"/>
      <c r="N746" s="604"/>
      <c r="O746" s="1"/>
      <c r="P746" s="1"/>
    </row>
    <row r="747" spans="1:16" x14ac:dyDescent="0.3">
      <c r="A747" s="64"/>
      <c r="B747" s="7"/>
      <c r="C747" s="488"/>
      <c r="D747" s="1"/>
      <c r="E747" s="62"/>
      <c r="M747" s="593"/>
      <c r="N747" s="604"/>
      <c r="O747" s="1"/>
      <c r="P747" s="1"/>
    </row>
    <row r="748" spans="1:16" x14ac:dyDescent="0.3">
      <c r="A748" s="64"/>
      <c r="B748" s="7"/>
      <c r="C748" s="488"/>
      <c r="D748" s="1"/>
      <c r="E748" s="62"/>
      <c r="M748" s="593"/>
      <c r="N748" s="604"/>
      <c r="O748" s="1"/>
      <c r="P748" s="1"/>
    </row>
    <row r="749" spans="1:16" x14ac:dyDescent="0.3">
      <c r="A749" s="64"/>
      <c r="B749" s="7"/>
      <c r="C749" s="488"/>
      <c r="D749" s="1"/>
      <c r="E749" s="62"/>
      <c r="M749" s="593"/>
      <c r="N749" s="604"/>
      <c r="O749" s="1"/>
      <c r="P749" s="1"/>
    </row>
    <row r="750" spans="1:16" x14ac:dyDescent="0.3">
      <c r="A750" s="64"/>
      <c r="B750" s="7"/>
      <c r="C750" s="488"/>
      <c r="D750" s="1"/>
      <c r="E750" s="62"/>
      <c r="M750" s="593"/>
      <c r="N750" s="604"/>
      <c r="O750" s="1"/>
      <c r="P750" s="1"/>
    </row>
    <row r="751" spans="1:16" x14ac:dyDescent="0.3">
      <c r="A751" s="64"/>
      <c r="B751" s="7"/>
      <c r="C751" s="488"/>
      <c r="D751" s="1"/>
      <c r="E751" s="62"/>
      <c r="M751" s="593"/>
      <c r="N751" s="604"/>
      <c r="O751" s="1"/>
      <c r="P751" s="1"/>
    </row>
    <row r="752" spans="1:16" x14ac:dyDescent="0.3">
      <c r="A752" s="64"/>
      <c r="B752" s="7"/>
      <c r="C752" s="488"/>
      <c r="D752" s="1"/>
      <c r="E752" s="62"/>
      <c r="M752" s="593"/>
      <c r="N752" s="604"/>
      <c r="O752" s="1"/>
      <c r="P752" s="1"/>
    </row>
    <row r="753" spans="1:16" x14ac:dyDescent="0.3">
      <c r="A753" s="64"/>
      <c r="B753" s="7"/>
      <c r="C753" s="488"/>
      <c r="D753" s="1"/>
      <c r="E753" s="62"/>
      <c r="M753" s="593"/>
      <c r="N753" s="604"/>
      <c r="O753" s="1"/>
      <c r="P753" s="1"/>
    </row>
    <row r="754" spans="1:16" x14ac:dyDescent="0.3">
      <c r="A754" s="64"/>
      <c r="B754" s="7"/>
      <c r="C754" s="488"/>
      <c r="D754" s="1"/>
      <c r="E754" s="62"/>
      <c r="M754" s="593"/>
      <c r="N754" s="604"/>
      <c r="O754" s="1"/>
      <c r="P754" s="1"/>
    </row>
    <row r="755" spans="1:16" x14ac:dyDescent="0.3">
      <c r="A755" s="64"/>
      <c r="B755" s="7"/>
      <c r="C755" s="488"/>
      <c r="D755" s="1"/>
      <c r="E755" s="62"/>
      <c r="M755" s="593"/>
      <c r="N755" s="604"/>
      <c r="O755" s="1"/>
      <c r="P755" s="1"/>
    </row>
    <row r="756" spans="1:16" x14ac:dyDescent="0.3">
      <c r="A756" s="64"/>
      <c r="B756" s="7"/>
      <c r="C756" s="488"/>
      <c r="D756" s="1"/>
      <c r="E756" s="62"/>
      <c r="M756" s="593"/>
      <c r="N756" s="604"/>
      <c r="O756" s="1"/>
      <c r="P756" s="1"/>
    </row>
    <row r="757" spans="1:16" x14ac:dyDescent="0.3">
      <c r="A757" s="64"/>
      <c r="B757" s="7"/>
      <c r="C757" s="488"/>
      <c r="D757" s="1"/>
      <c r="E757" s="62"/>
      <c r="M757" s="593"/>
      <c r="N757" s="604"/>
      <c r="O757" s="1"/>
      <c r="P757" s="1"/>
    </row>
    <row r="758" spans="1:16" x14ac:dyDescent="0.3">
      <c r="A758" s="64"/>
      <c r="B758" s="7"/>
      <c r="C758" s="488"/>
      <c r="D758" s="1"/>
      <c r="E758" s="62"/>
      <c r="M758" s="593"/>
      <c r="N758" s="604"/>
      <c r="O758" s="1"/>
      <c r="P758" s="1"/>
    </row>
    <row r="759" spans="1:16" x14ac:dyDescent="0.3">
      <c r="A759" s="64"/>
      <c r="B759" s="7"/>
      <c r="C759" s="488"/>
      <c r="D759" s="1"/>
      <c r="E759" s="62"/>
      <c r="M759" s="593"/>
      <c r="N759" s="604"/>
      <c r="O759" s="1"/>
      <c r="P759" s="1"/>
    </row>
    <row r="760" spans="1:16" x14ac:dyDescent="0.3">
      <c r="A760" s="64"/>
      <c r="B760" s="7"/>
      <c r="C760" s="488"/>
      <c r="D760" s="1"/>
      <c r="E760" s="62"/>
      <c r="M760" s="593"/>
      <c r="N760" s="604"/>
      <c r="O760" s="1"/>
      <c r="P760" s="1"/>
    </row>
    <row r="761" spans="1:16" x14ac:dyDescent="0.3">
      <c r="A761" s="64"/>
      <c r="B761" s="7"/>
      <c r="C761" s="488"/>
      <c r="D761" s="1"/>
      <c r="E761" s="62"/>
      <c r="M761" s="593"/>
      <c r="N761" s="604"/>
      <c r="O761" s="1"/>
      <c r="P761" s="1"/>
    </row>
    <row r="762" spans="1:16" x14ac:dyDescent="0.3">
      <c r="A762" s="64"/>
      <c r="B762" s="7"/>
      <c r="C762" s="488"/>
      <c r="D762" s="1"/>
      <c r="E762" s="62"/>
      <c r="M762" s="593"/>
      <c r="N762" s="604"/>
      <c r="O762" s="1"/>
      <c r="P762" s="1"/>
    </row>
    <row r="763" spans="1:16" x14ac:dyDescent="0.3">
      <c r="A763" s="64"/>
      <c r="B763" s="7"/>
      <c r="C763" s="488"/>
      <c r="D763" s="1"/>
      <c r="E763" s="62"/>
      <c r="M763" s="593"/>
      <c r="N763" s="604"/>
      <c r="O763" s="1"/>
      <c r="P763" s="1"/>
    </row>
    <row r="764" spans="1:16" x14ac:dyDescent="0.3">
      <c r="A764" s="64"/>
      <c r="B764" s="7"/>
      <c r="C764" s="488"/>
      <c r="D764" s="1"/>
      <c r="E764" s="62"/>
      <c r="M764" s="593"/>
      <c r="N764" s="604"/>
      <c r="O764" s="1"/>
      <c r="P764" s="1"/>
    </row>
    <row r="765" spans="1:16" x14ac:dyDescent="0.3">
      <c r="A765" s="64"/>
      <c r="B765" s="7"/>
      <c r="C765" s="488"/>
      <c r="D765" s="1"/>
      <c r="E765" s="62"/>
      <c r="M765" s="593"/>
      <c r="N765" s="604"/>
      <c r="O765" s="1"/>
      <c r="P765" s="1"/>
    </row>
    <row r="766" spans="1:16" x14ac:dyDescent="0.3">
      <c r="A766" s="64"/>
      <c r="B766" s="7"/>
      <c r="C766" s="488"/>
      <c r="D766" s="1"/>
      <c r="E766" s="62"/>
      <c r="M766" s="593"/>
      <c r="N766" s="604"/>
      <c r="O766" s="1"/>
      <c r="P766" s="1"/>
    </row>
    <row r="767" spans="1:16" x14ac:dyDescent="0.3">
      <c r="A767" s="64"/>
      <c r="B767" s="7"/>
      <c r="C767" s="488"/>
      <c r="D767" s="1"/>
      <c r="E767" s="62"/>
      <c r="M767" s="593"/>
      <c r="N767" s="604"/>
      <c r="O767" s="1"/>
      <c r="P767" s="1"/>
    </row>
    <row r="768" spans="1:16" x14ac:dyDescent="0.3">
      <c r="A768" s="64"/>
      <c r="B768" s="7"/>
      <c r="C768" s="488"/>
      <c r="D768" s="1"/>
      <c r="E768" s="62"/>
      <c r="M768" s="593"/>
      <c r="N768" s="604"/>
      <c r="O768" s="1"/>
      <c r="P768" s="1"/>
    </row>
    <row r="769" spans="1:16" x14ac:dyDescent="0.3">
      <c r="A769" s="64"/>
      <c r="B769" s="7"/>
      <c r="C769" s="488"/>
      <c r="D769" s="1"/>
      <c r="E769" s="62"/>
      <c r="M769" s="593"/>
      <c r="N769" s="604"/>
      <c r="O769" s="1"/>
      <c r="P769" s="1"/>
    </row>
    <row r="770" spans="1:16" x14ac:dyDescent="0.3">
      <c r="A770" s="64"/>
      <c r="B770" s="7"/>
      <c r="C770" s="488"/>
      <c r="D770" s="1"/>
      <c r="E770" s="62"/>
      <c r="M770" s="593"/>
      <c r="N770" s="604"/>
      <c r="O770" s="1"/>
      <c r="P770" s="1"/>
    </row>
    <row r="771" spans="1:16" x14ac:dyDescent="0.3">
      <c r="A771" s="64"/>
      <c r="B771" s="7"/>
      <c r="C771" s="488"/>
      <c r="D771" s="1"/>
      <c r="E771" s="62"/>
      <c r="M771" s="593"/>
      <c r="N771" s="604"/>
      <c r="O771" s="1"/>
      <c r="P771" s="1"/>
    </row>
    <row r="772" spans="1:16" x14ac:dyDescent="0.3">
      <c r="A772" s="64"/>
      <c r="B772" s="7"/>
      <c r="C772" s="488"/>
      <c r="D772" s="1"/>
      <c r="E772" s="62"/>
      <c r="M772" s="593"/>
      <c r="N772" s="604"/>
      <c r="O772" s="1"/>
      <c r="P772" s="1"/>
    </row>
    <row r="773" spans="1:16" x14ac:dyDescent="0.3">
      <c r="A773" s="64"/>
      <c r="B773" s="7"/>
      <c r="C773" s="488"/>
      <c r="D773" s="1"/>
      <c r="E773" s="62"/>
      <c r="M773" s="593"/>
      <c r="N773" s="604"/>
      <c r="O773" s="1"/>
      <c r="P773" s="1"/>
    </row>
    <row r="774" spans="1:16" x14ac:dyDescent="0.3">
      <c r="A774" s="64"/>
      <c r="B774" s="7"/>
      <c r="C774" s="488"/>
      <c r="D774" s="1"/>
      <c r="E774" s="62"/>
      <c r="M774" s="593"/>
      <c r="N774" s="604"/>
      <c r="O774" s="1"/>
      <c r="P774" s="1"/>
    </row>
    <row r="775" spans="1:16" x14ac:dyDescent="0.3">
      <c r="A775" s="64"/>
      <c r="B775" s="7"/>
      <c r="C775" s="488"/>
      <c r="D775" s="1"/>
      <c r="E775" s="62"/>
      <c r="M775" s="593"/>
      <c r="N775" s="604"/>
      <c r="O775" s="1"/>
      <c r="P775" s="1"/>
    </row>
    <row r="776" spans="1:16" x14ac:dyDescent="0.3">
      <c r="A776" s="64"/>
      <c r="B776" s="7"/>
      <c r="C776" s="488"/>
      <c r="D776" s="1"/>
      <c r="E776" s="62"/>
      <c r="M776" s="593"/>
      <c r="N776" s="604"/>
      <c r="O776" s="1"/>
      <c r="P776" s="1"/>
    </row>
    <row r="777" spans="1:16" x14ac:dyDescent="0.3">
      <c r="A777" s="64"/>
      <c r="B777" s="7"/>
      <c r="C777" s="488"/>
      <c r="D777" s="1"/>
      <c r="E777" s="62"/>
      <c r="M777" s="593"/>
      <c r="N777" s="604"/>
      <c r="O777" s="1"/>
      <c r="P777" s="1"/>
    </row>
    <row r="778" spans="1:16" x14ac:dyDescent="0.3">
      <c r="A778" s="64"/>
      <c r="B778" s="7"/>
      <c r="C778" s="488"/>
      <c r="D778" s="1"/>
      <c r="E778" s="62"/>
      <c r="M778" s="593"/>
      <c r="N778" s="604"/>
      <c r="O778" s="1"/>
      <c r="P778" s="1"/>
    </row>
    <row r="779" spans="1:16" x14ac:dyDescent="0.3">
      <c r="A779" s="64"/>
      <c r="B779" s="7"/>
      <c r="C779" s="488"/>
      <c r="D779" s="1"/>
      <c r="E779" s="62"/>
      <c r="M779" s="593"/>
      <c r="N779" s="604"/>
      <c r="O779" s="1"/>
      <c r="P779" s="1"/>
    </row>
    <row r="780" spans="1:16" x14ac:dyDescent="0.3">
      <c r="A780" s="64"/>
      <c r="B780" s="7"/>
      <c r="C780" s="488"/>
      <c r="D780" s="1"/>
      <c r="E780" s="62"/>
      <c r="M780" s="593"/>
      <c r="N780" s="604"/>
      <c r="O780" s="1"/>
      <c r="P780" s="1"/>
    </row>
    <row r="781" spans="1:16" x14ac:dyDescent="0.3">
      <c r="A781" s="64"/>
      <c r="B781" s="7"/>
      <c r="C781" s="488"/>
      <c r="D781" s="1"/>
      <c r="E781" s="62"/>
      <c r="M781" s="593"/>
      <c r="N781" s="604"/>
      <c r="O781" s="1"/>
      <c r="P781" s="1"/>
    </row>
    <row r="782" spans="1:16" x14ac:dyDescent="0.3">
      <c r="A782" s="64"/>
      <c r="B782" s="7"/>
      <c r="C782" s="488"/>
      <c r="D782" s="1"/>
      <c r="E782" s="62"/>
      <c r="M782" s="593"/>
      <c r="N782" s="604"/>
      <c r="O782" s="1"/>
      <c r="P782" s="1"/>
    </row>
    <row r="783" spans="1:16" x14ac:dyDescent="0.3">
      <c r="A783" s="64"/>
      <c r="B783" s="7"/>
      <c r="C783" s="488"/>
      <c r="D783" s="1"/>
      <c r="E783" s="62"/>
      <c r="M783" s="593"/>
      <c r="N783" s="604"/>
      <c r="O783" s="1"/>
      <c r="P783" s="1"/>
    </row>
    <row r="784" spans="1:16" x14ac:dyDescent="0.3">
      <c r="A784" s="64"/>
      <c r="B784" s="7"/>
      <c r="C784" s="488"/>
      <c r="D784" s="1"/>
      <c r="E784" s="62"/>
      <c r="M784" s="593"/>
      <c r="N784" s="604"/>
      <c r="O784" s="1"/>
      <c r="P784" s="1"/>
    </row>
    <row r="785" spans="1:16" x14ac:dyDescent="0.3">
      <c r="A785" s="64"/>
      <c r="B785" s="7"/>
      <c r="C785" s="488"/>
      <c r="D785" s="1"/>
      <c r="E785" s="62"/>
      <c r="M785" s="593"/>
      <c r="N785" s="604"/>
      <c r="O785" s="1"/>
      <c r="P785" s="1"/>
    </row>
    <row r="786" spans="1:16" x14ac:dyDescent="0.3">
      <c r="A786" s="64"/>
      <c r="B786" s="7"/>
      <c r="C786" s="488"/>
      <c r="D786" s="1"/>
      <c r="E786" s="62"/>
      <c r="M786" s="593"/>
      <c r="N786" s="604"/>
      <c r="O786" s="1"/>
      <c r="P786" s="1"/>
    </row>
    <row r="787" spans="1:16" x14ac:dyDescent="0.3">
      <c r="A787" s="64"/>
      <c r="B787" s="7"/>
      <c r="C787" s="488"/>
      <c r="D787" s="1"/>
      <c r="E787" s="62"/>
      <c r="M787" s="593"/>
      <c r="N787" s="604"/>
      <c r="O787" s="1"/>
      <c r="P787" s="1"/>
    </row>
    <row r="788" spans="1:16" x14ac:dyDescent="0.3">
      <c r="A788" s="64"/>
      <c r="B788" s="7"/>
      <c r="C788" s="488"/>
      <c r="D788" s="1"/>
      <c r="E788" s="62"/>
      <c r="M788" s="593"/>
      <c r="N788" s="604"/>
      <c r="O788" s="1"/>
      <c r="P788" s="1"/>
    </row>
    <row r="789" spans="1:16" x14ac:dyDescent="0.3">
      <c r="A789" s="64"/>
      <c r="B789" s="7"/>
      <c r="C789" s="488"/>
      <c r="D789" s="1"/>
      <c r="E789" s="62"/>
      <c r="M789" s="593"/>
      <c r="N789" s="604"/>
      <c r="O789" s="1"/>
      <c r="P789" s="1"/>
    </row>
    <row r="790" spans="1:16" x14ac:dyDescent="0.3">
      <c r="A790" s="64"/>
      <c r="B790" s="7"/>
      <c r="C790" s="488"/>
      <c r="D790" s="1"/>
      <c r="E790" s="62"/>
      <c r="M790" s="593"/>
      <c r="N790" s="604"/>
      <c r="O790" s="1"/>
      <c r="P790" s="1"/>
    </row>
    <row r="791" spans="1:16" x14ac:dyDescent="0.3">
      <c r="A791" s="64"/>
      <c r="B791" s="7"/>
      <c r="C791" s="488"/>
      <c r="D791" s="1"/>
      <c r="E791" s="62"/>
      <c r="M791" s="593"/>
      <c r="N791" s="604"/>
      <c r="O791" s="1"/>
      <c r="P791" s="1"/>
    </row>
    <row r="792" spans="1:16" x14ac:dyDescent="0.3">
      <c r="A792" s="64"/>
      <c r="B792" s="7"/>
      <c r="C792" s="488"/>
      <c r="D792" s="1"/>
      <c r="E792" s="62"/>
      <c r="M792" s="593"/>
      <c r="N792" s="604"/>
      <c r="O792" s="1"/>
      <c r="P792" s="1"/>
    </row>
    <row r="793" spans="1:16" x14ac:dyDescent="0.3">
      <c r="A793" s="64"/>
      <c r="B793" s="7"/>
      <c r="C793" s="488"/>
      <c r="D793" s="1"/>
      <c r="E793" s="62"/>
      <c r="M793" s="593"/>
      <c r="N793" s="604"/>
      <c r="O793" s="1"/>
      <c r="P793" s="1"/>
    </row>
    <row r="794" spans="1:16" x14ac:dyDescent="0.3">
      <c r="A794" s="64"/>
      <c r="B794" s="7"/>
      <c r="C794" s="488"/>
      <c r="D794" s="1"/>
      <c r="E794" s="62"/>
      <c r="M794" s="593"/>
      <c r="N794" s="604"/>
      <c r="O794" s="1"/>
      <c r="P794" s="1"/>
    </row>
    <row r="795" spans="1:16" x14ac:dyDescent="0.3">
      <c r="A795" s="64"/>
      <c r="B795" s="7"/>
      <c r="C795" s="488"/>
      <c r="D795" s="1"/>
      <c r="E795" s="62"/>
      <c r="M795" s="593"/>
      <c r="N795" s="604"/>
      <c r="O795" s="1"/>
      <c r="P795" s="1"/>
    </row>
    <row r="796" spans="1:16" x14ac:dyDescent="0.3">
      <c r="A796" s="64"/>
      <c r="B796" s="7"/>
      <c r="C796" s="488"/>
      <c r="D796" s="1"/>
      <c r="E796" s="62"/>
      <c r="M796" s="593"/>
      <c r="N796" s="604"/>
      <c r="O796" s="1"/>
      <c r="P796" s="1"/>
    </row>
    <row r="797" spans="1:16" x14ac:dyDescent="0.3">
      <c r="A797" s="64"/>
      <c r="B797" s="7"/>
      <c r="C797" s="488"/>
      <c r="D797" s="1"/>
      <c r="E797" s="62"/>
      <c r="M797" s="593"/>
      <c r="N797" s="604"/>
      <c r="O797" s="1"/>
      <c r="P797" s="1"/>
    </row>
    <row r="798" spans="1:16" x14ac:dyDescent="0.3">
      <c r="A798" s="64"/>
      <c r="B798" s="7"/>
      <c r="C798" s="488"/>
      <c r="D798" s="1"/>
      <c r="E798" s="62"/>
      <c r="M798" s="593"/>
      <c r="N798" s="604"/>
      <c r="O798" s="1"/>
      <c r="P798" s="1"/>
    </row>
    <row r="799" spans="1:16" x14ac:dyDescent="0.3">
      <c r="A799" s="64"/>
      <c r="B799" s="7"/>
      <c r="C799" s="488"/>
      <c r="D799" s="1"/>
      <c r="E799" s="62"/>
      <c r="M799" s="593"/>
      <c r="N799" s="604"/>
      <c r="O799" s="1"/>
      <c r="P799" s="1"/>
    </row>
    <row r="800" spans="1:16" x14ac:dyDescent="0.3">
      <c r="A800" s="64"/>
      <c r="B800" s="7"/>
      <c r="C800" s="488"/>
      <c r="D800" s="1"/>
      <c r="E800" s="62"/>
      <c r="M800" s="593"/>
      <c r="N800" s="604"/>
      <c r="O800" s="1"/>
      <c r="P800" s="1"/>
    </row>
    <row r="801" spans="1:16" x14ac:dyDescent="0.3">
      <c r="A801" s="64"/>
      <c r="B801" s="7"/>
      <c r="C801" s="488"/>
      <c r="D801" s="1"/>
      <c r="E801" s="62"/>
      <c r="M801" s="593"/>
      <c r="N801" s="604"/>
      <c r="O801" s="1"/>
      <c r="P801" s="1"/>
    </row>
    <row r="802" spans="1:16" x14ac:dyDescent="0.3">
      <c r="A802" s="64"/>
      <c r="B802" s="7"/>
      <c r="C802" s="488"/>
      <c r="D802" s="1"/>
      <c r="E802" s="62"/>
      <c r="M802" s="593"/>
      <c r="N802" s="604"/>
      <c r="O802" s="1"/>
      <c r="P802" s="1"/>
    </row>
    <row r="803" spans="1:16" x14ac:dyDescent="0.3">
      <c r="A803" s="64"/>
      <c r="B803" s="7"/>
      <c r="C803" s="488"/>
      <c r="D803" s="1"/>
      <c r="E803" s="62"/>
      <c r="M803" s="593"/>
      <c r="N803" s="604"/>
      <c r="O803" s="1"/>
      <c r="P803" s="1"/>
    </row>
    <row r="804" spans="1:16" x14ac:dyDescent="0.3">
      <c r="A804" s="64"/>
      <c r="B804" s="7"/>
      <c r="C804" s="488"/>
      <c r="D804" s="1"/>
      <c r="E804" s="62"/>
      <c r="M804" s="593"/>
      <c r="N804" s="604"/>
      <c r="O804" s="1"/>
      <c r="P804" s="1"/>
    </row>
    <row r="805" spans="1:16" x14ac:dyDescent="0.3">
      <c r="A805" s="64"/>
      <c r="B805" s="7"/>
      <c r="C805" s="488"/>
      <c r="D805" s="1"/>
      <c r="E805" s="62"/>
      <c r="M805" s="593"/>
      <c r="N805" s="604"/>
      <c r="O805" s="1"/>
      <c r="P805" s="1"/>
    </row>
    <row r="806" spans="1:16" x14ac:dyDescent="0.3">
      <c r="A806" s="64"/>
      <c r="B806" s="7"/>
      <c r="C806" s="488"/>
      <c r="D806" s="1"/>
      <c r="E806" s="62"/>
      <c r="M806" s="593"/>
      <c r="N806" s="604"/>
      <c r="O806" s="1"/>
      <c r="P806" s="1"/>
    </row>
    <row r="807" spans="1:16" x14ac:dyDescent="0.3">
      <c r="A807" s="64"/>
      <c r="B807" s="7"/>
      <c r="C807" s="488"/>
      <c r="D807" s="1"/>
      <c r="E807" s="62"/>
      <c r="M807" s="593"/>
      <c r="N807" s="604"/>
      <c r="O807" s="1"/>
      <c r="P807" s="1"/>
    </row>
    <row r="808" spans="1:16" x14ac:dyDescent="0.3">
      <c r="A808" s="64"/>
      <c r="B808" s="7"/>
      <c r="C808" s="488"/>
      <c r="D808" s="1"/>
      <c r="E808" s="62"/>
      <c r="M808" s="593"/>
      <c r="N808" s="604"/>
      <c r="O808" s="1"/>
      <c r="P808" s="1"/>
    </row>
    <row r="809" spans="1:16" x14ac:dyDescent="0.3">
      <c r="A809" s="64"/>
      <c r="B809" s="7"/>
      <c r="C809" s="488"/>
      <c r="D809" s="1"/>
      <c r="E809" s="62"/>
      <c r="M809" s="593"/>
      <c r="N809" s="604"/>
      <c r="O809" s="1"/>
      <c r="P809" s="1"/>
    </row>
    <row r="810" spans="1:16" x14ac:dyDescent="0.3">
      <c r="A810" s="64"/>
      <c r="B810" s="7"/>
      <c r="C810" s="488"/>
      <c r="D810" s="1"/>
      <c r="E810" s="62"/>
      <c r="M810" s="593"/>
      <c r="N810" s="604"/>
      <c r="O810" s="1"/>
      <c r="P810" s="1"/>
    </row>
    <row r="811" spans="1:16" x14ac:dyDescent="0.3">
      <c r="A811" s="64"/>
      <c r="B811" s="7"/>
      <c r="C811" s="488"/>
      <c r="D811" s="1"/>
      <c r="E811" s="62"/>
      <c r="M811" s="593"/>
      <c r="N811" s="604"/>
      <c r="O811" s="1"/>
      <c r="P811" s="1"/>
    </row>
    <row r="812" spans="1:16" x14ac:dyDescent="0.3">
      <c r="A812" s="64"/>
      <c r="B812" s="7"/>
      <c r="C812" s="488"/>
      <c r="D812" s="1"/>
      <c r="E812" s="62"/>
      <c r="M812" s="593"/>
      <c r="N812" s="604"/>
      <c r="O812" s="1"/>
      <c r="P812" s="1"/>
    </row>
    <row r="813" spans="1:16" x14ac:dyDescent="0.3">
      <c r="A813" s="64"/>
      <c r="B813" s="7"/>
      <c r="C813" s="488"/>
      <c r="D813" s="1"/>
      <c r="E813" s="62"/>
      <c r="M813" s="593"/>
      <c r="N813" s="604"/>
      <c r="O813" s="1"/>
      <c r="P813" s="1"/>
    </row>
    <row r="814" spans="1:16" x14ac:dyDescent="0.3">
      <c r="A814" s="64"/>
      <c r="B814" s="7"/>
      <c r="C814" s="488"/>
      <c r="D814" s="1"/>
      <c r="E814" s="62"/>
      <c r="M814" s="593"/>
      <c r="N814" s="604"/>
      <c r="O814" s="1"/>
      <c r="P814" s="1"/>
    </row>
    <row r="815" spans="1:16" x14ac:dyDescent="0.3">
      <c r="A815" s="64"/>
      <c r="B815" s="7"/>
      <c r="C815" s="488"/>
      <c r="D815" s="1"/>
      <c r="E815" s="62"/>
      <c r="M815" s="593"/>
      <c r="N815" s="604"/>
      <c r="O815" s="1"/>
      <c r="P815" s="1"/>
    </row>
    <row r="816" spans="1:16" x14ac:dyDescent="0.3">
      <c r="A816" s="64"/>
      <c r="B816" s="7"/>
      <c r="C816" s="488"/>
      <c r="D816" s="1"/>
      <c r="E816" s="62"/>
      <c r="M816" s="593"/>
      <c r="N816" s="604"/>
      <c r="O816" s="1"/>
      <c r="P816" s="1"/>
    </row>
    <row r="817" spans="1:16" x14ac:dyDescent="0.3">
      <c r="A817" s="64"/>
      <c r="B817" s="7"/>
      <c r="C817" s="488"/>
      <c r="D817" s="1"/>
      <c r="E817" s="62"/>
      <c r="M817" s="593"/>
      <c r="N817" s="604"/>
      <c r="O817" s="1"/>
      <c r="P817" s="1"/>
    </row>
    <row r="818" spans="1:16" x14ac:dyDescent="0.3">
      <c r="A818" s="64"/>
      <c r="B818" s="7"/>
      <c r="C818" s="488"/>
      <c r="D818" s="1"/>
      <c r="E818" s="62"/>
      <c r="M818" s="593"/>
      <c r="N818" s="604"/>
      <c r="O818" s="1"/>
      <c r="P818" s="1"/>
    </row>
    <row r="819" spans="1:16" x14ac:dyDescent="0.3">
      <c r="A819" s="64"/>
      <c r="B819" s="7"/>
      <c r="C819" s="488"/>
      <c r="D819" s="1"/>
      <c r="E819" s="62"/>
      <c r="M819" s="593"/>
      <c r="N819" s="604"/>
      <c r="O819" s="1"/>
      <c r="P819" s="1"/>
    </row>
    <row r="820" spans="1:16" x14ac:dyDescent="0.3">
      <c r="A820" s="64"/>
      <c r="B820" s="7"/>
      <c r="C820" s="488"/>
      <c r="D820" s="1"/>
      <c r="E820" s="62"/>
      <c r="M820" s="593"/>
      <c r="N820" s="604"/>
      <c r="O820" s="1"/>
      <c r="P820" s="1"/>
    </row>
    <row r="821" spans="1:16" x14ac:dyDescent="0.3">
      <c r="A821" s="64"/>
      <c r="B821" s="7"/>
      <c r="C821" s="488"/>
      <c r="D821" s="1"/>
      <c r="E821" s="62"/>
      <c r="M821" s="593"/>
      <c r="N821" s="604"/>
      <c r="O821" s="1"/>
      <c r="P821" s="1"/>
    </row>
    <row r="822" spans="1:16" x14ac:dyDescent="0.3">
      <c r="A822" s="64"/>
      <c r="B822" s="7"/>
      <c r="C822" s="488"/>
      <c r="D822" s="1"/>
      <c r="E822" s="62"/>
      <c r="M822" s="593"/>
      <c r="N822" s="604"/>
      <c r="O822" s="1"/>
      <c r="P822" s="1"/>
    </row>
    <row r="823" spans="1:16" x14ac:dyDescent="0.3">
      <c r="A823" s="64"/>
      <c r="B823" s="7"/>
      <c r="C823" s="488"/>
      <c r="D823" s="1"/>
      <c r="E823" s="62"/>
      <c r="M823" s="593"/>
      <c r="N823" s="604"/>
      <c r="O823" s="1"/>
      <c r="P823" s="1"/>
    </row>
    <row r="824" spans="1:16" x14ac:dyDescent="0.3">
      <c r="A824" s="64"/>
      <c r="B824" s="7"/>
      <c r="C824" s="488"/>
      <c r="D824" s="1"/>
      <c r="E824" s="62"/>
      <c r="M824" s="593"/>
      <c r="N824" s="604"/>
      <c r="O824" s="1"/>
      <c r="P824" s="1"/>
    </row>
    <row r="825" spans="1:16" x14ac:dyDescent="0.3">
      <c r="A825" s="64"/>
      <c r="B825" s="7"/>
      <c r="C825" s="488"/>
      <c r="D825" s="1"/>
      <c r="E825" s="62"/>
      <c r="M825" s="593"/>
      <c r="N825" s="604"/>
      <c r="O825" s="1"/>
      <c r="P825" s="1"/>
    </row>
    <row r="826" spans="1:16" x14ac:dyDescent="0.3">
      <c r="A826" s="64"/>
      <c r="B826" s="7"/>
      <c r="C826" s="488"/>
      <c r="D826" s="1"/>
      <c r="E826" s="62"/>
      <c r="M826" s="593"/>
      <c r="N826" s="604"/>
      <c r="O826" s="1"/>
      <c r="P826" s="1"/>
    </row>
    <row r="827" spans="1:16" x14ac:dyDescent="0.3">
      <c r="A827" s="64"/>
      <c r="B827" s="7"/>
      <c r="C827" s="488"/>
      <c r="D827" s="1"/>
      <c r="E827" s="62"/>
      <c r="M827" s="593"/>
      <c r="N827" s="604"/>
      <c r="O827" s="1"/>
      <c r="P827" s="1"/>
    </row>
    <row r="828" spans="1:16" x14ac:dyDescent="0.3">
      <c r="A828" s="64"/>
      <c r="B828" s="7"/>
      <c r="C828" s="488"/>
      <c r="D828" s="1"/>
      <c r="E828" s="62"/>
      <c r="M828" s="593"/>
      <c r="N828" s="604"/>
      <c r="O828" s="1"/>
      <c r="P828" s="1"/>
    </row>
    <row r="829" spans="1:16" x14ac:dyDescent="0.3">
      <c r="A829" s="64"/>
      <c r="B829" s="7"/>
      <c r="C829" s="488"/>
      <c r="D829" s="1"/>
      <c r="E829" s="62"/>
      <c r="M829" s="593"/>
      <c r="N829" s="604"/>
      <c r="O829" s="1"/>
      <c r="P829" s="1"/>
    </row>
    <row r="830" spans="1:16" x14ac:dyDescent="0.3">
      <c r="A830" s="64"/>
      <c r="B830" s="7"/>
      <c r="C830" s="488"/>
      <c r="D830" s="1"/>
      <c r="E830" s="62"/>
      <c r="M830" s="593"/>
      <c r="N830" s="604"/>
      <c r="O830" s="1"/>
      <c r="P830" s="1"/>
    </row>
    <row r="831" spans="1:16" x14ac:dyDescent="0.3">
      <c r="A831" s="64"/>
      <c r="B831" s="7"/>
      <c r="C831" s="488"/>
      <c r="D831" s="1"/>
      <c r="E831" s="62"/>
      <c r="M831" s="593"/>
      <c r="N831" s="604"/>
      <c r="O831" s="1"/>
      <c r="P831" s="1"/>
    </row>
    <row r="832" spans="1:16" x14ac:dyDescent="0.3">
      <c r="A832" s="64"/>
      <c r="B832" s="7"/>
      <c r="C832" s="488"/>
      <c r="D832" s="1"/>
      <c r="E832" s="62"/>
      <c r="M832" s="593"/>
      <c r="N832" s="604"/>
      <c r="O832" s="1"/>
      <c r="P832" s="1"/>
    </row>
    <row r="833" spans="1:16" x14ac:dyDescent="0.3">
      <c r="A833" s="64"/>
      <c r="B833" s="7"/>
      <c r="C833" s="488"/>
      <c r="D833" s="1"/>
      <c r="E833" s="62"/>
      <c r="M833" s="593"/>
      <c r="N833" s="604"/>
      <c r="O833" s="1"/>
      <c r="P833" s="1"/>
    </row>
    <row r="834" spans="1:16" x14ac:dyDescent="0.3">
      <c r="A834" s="64"/>
      <c r="B834" s="7"/>
      <c r="C834" s="488"/>
      <c r="D834" s="1"/>
      <c r="E834" s="62"/>
      <c r="M834" s="593"/>
      <c r="N834" s="604"/>
      <c r="O834" s="1"/>
      <c r="P834" s="1"/>
    </row>
    <row r="835" spans="1:16" x14ac:dyDescent="0.3">
      <c r="A835" s="64"/>
      <c r="B835" s="7"/>
      <c r="C835" s="488"/>
      <c r="D835" s="1"/>
      <c r="E835" s="62"/>
      <c r="M835" s="593"/>
      <c r="N835" s="604"/>
      <c r="O835" s="1"/>
      <c r="P835" s="1"/>
    </row>
    <row r="836" spans="1:16" x14ac:dyDescent="0.3">
      <c r="A836" s="64"/>
      <c r="B836" s="7"/>
      <c r="C836" s="488"/>
      <c r="D836" s="1"/>
      <c r="E836" s="62"/>
      <c r="M836" s="593"/>
      <c r="N836" s="604"/>
      <c r="O836" s="1"/>
      <c r="P836" s="1"/>
    </row>
    <row r="837" spans="1:16" x14ac:dyDescent="0.3">
      <c r="A837" s="64"/>
      <c r="B837" s="7"/>
      <c r="C837" s="488"/>
      <c r="D837" s="1"/>
      <c r="E837" s="62"/>
      <c r="M837" s="593"/>
      <c r="N837" s="604"/>
      <c r="O837" s="1"/>
      <c r="P837" s="1"/>
    </row>
    <row r="838" spans="1:16" x14ac:dyDescent="0.3">
      <c r="A838" s="64"/>
      <c r="B838" s="7"/>
      <c r="C838" s="488"/>
      <c r="D838" s="1"/>
      <c r="E838" s="62"/>
      <c r="M838" s="593"/>
      <c r="N838" s="604"/>
      <c r="O838" s="1"/>
      <c r="P838" s="1"/>
    </row>
    <row r="839" spans="1:16" x14ac:dyDescent="0.3">
      <c r="A839" s="64"/>
      <c r="B839" s="7"/>
      <c r="C839" s="488"/>
      <c r="D839" s="1"/>
      <c r="E839" s="62"/>
      <c r="M839" s="593"/>
      <c r="N839" s="604"/>
      <c r="O839" s="1"/>
      <c r="P839" s="1"/>
    </row>
    <row r="840" spans="1:16" x14ac:dyDescent="0.3">
      <c r="A840" s="64"/>
      <c r="B840" s="7"/>
      <c r="C840" s="488"/>
      <c r="D840" s="1"/>
      <c r="E840" s="62"/>
      <c r="M840" s="593"/>
      <c r="N840" s="604"/>
      <c r="O840" s="1"/>
      <c r="P840" s="1"/>
    </row>
    <row r="841" spans="1:16" x14ac:dyDescent="0.3">
      <c r="A841" s="64"/>
      <c r="B841" s="7"/>
      <c r="C841" s="488"/>
      <c r="D841" s="1"/>
      <c r="E841" s="62"/>
      <c r="M841" s="593"/>
      <c r="N841" s="604"/>
      <c r="O841" s="1"/>
      <c r="P841" s="1"/>
    </row>
    <row r="842" spans="1:16" x14ac:dyDescent="0.3">
      <c r="A842" s="64"/>
      <c r="B842" s="7"/>
      <c r="C842" s="488"/>
      <c r="D842" s="1"/>
      <c r="E842" s="62"/>
      <c r="M842" s="593"/>
      <c r="N842" s="604"/>
      <c r="O842" s="1"/>
      <c r="P842" s="1"/>
    </row>
    <row r="843" spans="1:16" x14ac:dyDescent="0.3">
      <c r="A843" s="64"/>
      <c r="B843" s="7"/>
      <c r="C843" s="488"/>
      <c r="D843" s="1"/>
      <c r="E843" s="62"/>
      <c r="M843" s="593"/>
      <c r="N843" s="604"/>
      <c r="O843" s="1"/>
      <c r="P843" s="1"/>
    </row>
    <row r="844" spans="1:16" x14ac:dyDescent="0.3">
      <c r="A844" s="64"/>
      <c r="B844" s="7"/>
      <c r="C844" s="488"/>
      <c r="D844" s="1"/>
      <c r="E844" s="62"/>
      <c r="M844" s="593"/>
      <c r="N844" s="604"/>
      <c r="O844" s="1"/>
      <c r="P844" s="1"/>
    </row>
    <row r="845" spans="1:16" x14ac:dyDescent="0.3">
      <c r="A845" s="64"/>
      <c r="B845" s="7"/>
      <c r="C845" s="488"/>
      <c r="D845" s="1"/>
      <c r="E845" s="62"/>
      <c r="M845" s="593"/>
      <c r="N845" s="604"/>
      <c r="O845" s="1"/>
      <c r="P845" s="1"/>
    </row>
    <row r="846" spans="1:16" x14ac:dyDescent="0.3">
      <c r="A846" s="64"/>
      <c r="B846" s="7"/>
      <c r="C846" s="488"/>
      <c r="D846" s="1"/>
      <c r="E846" s="62"/>
      <c r="M846" s="593"/>
      <c r="N846" s="604"/>
      <c r="O846" s="1"/>
      <c r="P846" s="1"/>
    </row>
    <row r="847" spans="1:16" x14ac:dyDescent="0.3">
      <c r="A847" s="64"/>
      <c r="B847" s="7"/>
      <c r="C847" s="488"/>
      <c r="D847" s="1"/>
      <c r="E847" s="62"/>
      <c r="M847" s="593"/>
      <c r="N847" s="604"/>
      <c r="O847" s="1"/>
      <c r="P847" s="1"/>
    </row>
    <row r="848" spans="1:16" x14ac:dyDescent="0.3">
      <c r="A848" s="64"/>
      <c r="B848" s="7"/>
      <c r="C848" s="488"/>
      <c r="D848" s="1"/>
      <c r="E848" s="62"/>
      <c r="M848" s="593"/>
      <c r="N848" s="604"/>
      <c r="O848" s="1"/>
      <c r="P848" s="1"/>
    </row>
    <row r="849" spans="1:16" x14ac:dyDescent="0.3">
      <c r="A849" s="64"/>
      <c r="B849" s="7"/>
      <c r="C849" s="488"/>
      <c r="D849" s="1"/>
      <c r="E849" s="62"/>
      <c r="M849" s="593"/>
      <c r="N849" s="604"/>
      <c r="O849" s="1"/>
      <c r="P849" s="1"/>
    </row>
    <row r="850" spans="1:16" x14ac:dyDescent="0.3">
      <c r="A850" s="64"/>
      <c r="B850" s="7"/>
      <c r="C850" s="488"/>
      <c r="D850" s="1"/>
      <c r="E850" s="62"/>
      <c r="M850" s="593"/>
      <c r="N850" s="604"/>
      <c r="O850" s="1"/>
      <c r="P850" s="1"/>
    </row>
    <row r="851" spans="1:16" x14ac:dyDescent="0.3">
      <c r="A851" s="64"/>
      <c r="B851" s="7"/>
      <c r="C851" s="488"/>
      <c r="D851" s="1"/>
      <c r="E851" s="62"/>
      <c r="M851" s="593"/>
      <c r="N851" s="604"/>
      <c r="O851" s="1"/>
      <c r="P851" s="1"/>
    </row>
    <row r="852" spans="1:16" x14ac:dyDescent="0.3">
      <c r="A852" s="64"/>
      <c r="B852" s="7"/>
      <c r="C852" s="488"/>
      <c r="D852" s="1"/>
      <c r="E852" s="62"/>
      <c r="M852" s="593"/>
      <c r="N852" s="604"/>
      <c r="O852" s="1"/>
      <c r="P852" s="1"/>
    </row>
    <row r="853" spans="1:16" x14ac:dyDescent="0.3">
      <c r="A853" s="64"/>
      <c r="B853" s="7"/>
      <c r="C853" s="488"/>
      <c r="D853" s="1"/>
      <c r="E853" s="62"/>
      <c r="M853" s="593"/>
      <c r="N853" s="604"/>
      <c r="O853" s="1"/>
      <c r="P853" s="1"/>
    </row>
    <row r="854" spans="1:16" x14ac:dyDescent="0.3">
      <c r="A854" s="64"/>
      <c r="B854" s="7"/>
      <c r="C854" s="488"/>
      <c r="D854" s="1"/>
      <c r="E854" s="62"/>
      <c r="M854" s="593"/>
      <c r="N854" s="604"/>
      <c r="O854" s="1"/>
      <c r="P854" s="1"/>
    </row>
    <row r="855" spans="1:16" x14ac:dyDescent="0.3">
      <c r="A855" s="64"/>
      <c r="B855" s="7"/>
      <c r="C855" s="488"/>
      <c r="D855" s="1"/>
      <c r="E855" s="62"/>
      <c r="M855" s="593"/>
      <c r="N855" s="604"/>
      <c r="O855" s="1"/>
      <c r="P855" s="1"/>
    </row>
    <row r="856" spans="1:16" x14ac:dyDescent="0.3">
      <c r="A856" s="64"/>
      <c r="B856" s="7"/>
      <c r="C856" s="488"/>
      <c r="D856" s="1"/>
      <c r="E856" s="62"/>
      <c r="M856" s="593"/>
      <c r="N856" s="604"/>
      <c r="O856" s="1"/>
      <c r="P856" s="1"/>
    </row>
    <row r="857" spans="1:16" x14ac:dyDescent="0.3">
      <c r="A857" s="64"/>
      <c r="B857" s="7"/>
      <c r="C857" s="488"/>
      <c r="D857" s="1"/>
      <c r="E857" s="62"/>
      <c r="M857" s="593"/>
      <c r="N857" s="604"/>
      <c r="O857" s="1"/>
      <c r="P857" s="1"/>
    </row>
    <row r="858" spans="1:16" x14ac:dyDescent="0.3">
      <c r="A858" s="64"/>
      <c r="B858" s="7"/>
      <c r="C858" s="488"/>
      <c r="D858" s="1"/>
      <c r="E858" s="62"/>
      <c r="M858" s="593"/>
      <c r="N858" s="604"/>
      <c r="O858" s="1"/>
      <c r="P858" s="1"/>
    </row>
    <row r="859" spans="1:16" x14ac:dyDescent="0.3">
      <c r="A859" s="64"/>
      <c r="B859" s="7"/>
      <c r="C859" s="488"/>
      <c r="D859" s="1"/>
      <c r="E859" s="62"/>
      <c r="M859" s="593"/>
      <c r="N859" s="604"/>
      <c r="O859" s="1"/>
      <c r="P859" s="1"/>
    </row>
    <row r="860" spans="1:16" x14ac:dyDescent="0.3">
      <c r="A860" s="64"/>
      <c r="B860" s="7"/>
      <c r="C860" s="488"/>
      <c r="D860" s="1"/>
      <c r="E860" s="62"/>
      <c r="M860" s="593"/>
      <c r="N860" s="604"/>
      <c r="O860" s="1"/>
      <c r="P860" s="1"/>
    </row>
    <row r="861" spans="1:16" x14ac:dyDescent="0.3">
      <c r="A861" s="64"/>
      <c r="B861" s="7"/>
      <c r="C861" s="488"/>
      <c r="D861" s="1"/>
      <c r="E861" s="62"/>
      <c r="M861" s="593"/>
      <c r="N861" s="604"/>
      <c r="O861" s="1"/>
      <c r="P861" s="1"/>
    </row>
    <row r="862" spans="1:16" x14ac:dyDescent="0.3">
      <c r="A862" s="64"/>
      <c r="B862" s="7"/>
      <c r="C862" s="488"/>
      <c r="D862" s="1"/>
      <c r="E862" s="62"/>
      <c r="M862" s="593"/>
      <c r="N862" s="604"/>
      <c r="O862" s="1"/>
      <c r="P862" s="1"/>
    </row>
    <row r="863" spans="1:16" x14ac:dyDescent="0.3">
      <c r="A863" s="64"/>
      <c r="B863" s="7"/>
      <c r="C863" s="488"/>
      <c r="D863" s="1"/>
      <c r="E863" s="62"/>
      <c r="M863" s="593"/>
      <c r="N863" s="604"/>
      <c r="O863" s="1"/>
      <c r="P863" s="1"/>
    </row>
    <row r="864" spans="1:16" x14ac:dyDescent="0.3">
      <c r="A864" s="64"/>
      <c r="B864" s="7"/>
      <c r="C864" s="488"/>
      <c r="D864" s="1"/>
      <c r="E864" s="62"/>
      <c r="M864" s="593"/>
      <c r="N864" s="604"/>
      <c r="O864" s="1"/>
      <c r="P864" s="1"/>
    </row>
    <row r="865" spans="1:16" x14ac:dyDescent="0.3">
      <c r="A865" s="64"/>
      <c r="B865" s="7"/>
      <c r="C865" s="488"/>
      <c r="D865" s="1"/>
      <c r="E865" s="62"/>
      <c r="M865" s="593"/>
      <c r="N865" s="604"/>
      <c r="O865" s="1"/>
      <c r="P865" s="1"/>
    </row>
    <row r="866" spans="1:16" x14ac:dyDescent="0.3">
      <c r="A866" s="64"/>
      <c r="B866" s="7"/>
      <c r="C866" s="488"/>
      <c r="D866" s="1"/>
      <c r="E866" s="62"/>
      <c r="M866" s="593"/>
      <c r="N866" s="604"/>
      <c r="O866" s="1"/>
      <c r="P866" s="1"/>
    </row>
    <row r="867" spans="1:16" x14ac:dyDescent="0.3">
      <c r="A867" s="64"/>
      <c r="B867" s="7"/>
      <c r="C867" s="488"/>
      <c r="D867" s="1"/>
      <c r="E867" s="62"/>
      <c r="M867" s="593"/>
      <c r="N867" s="604"/>
      <c r="O867" s="1"/>
      <c r="P867" s="1"/>
    </row>
    <row r="868" spans="1:16" x14ac:dyDescent="0.3">
      <c r="A868" s="64"/>
      <c r="B868" s="7"/>
      <c r="C868" s="488"/>
      <c r="D868" s="1"/>
      <c r="E868" s="62"/>
      <c r="M868" s="593"/>
      <c r="N868" s="604"/>
      <c r="O868" s="1"/>
      <c r="P868" s="1"/>
    </row>
    <row r="869" spans="1:16" x14ac:dyDescent="0.3">
      <c r="A869" s="64"/>
      <c r="B869" s="7"/>
      <c r="C869" s="488"/>
      <c r="D869" s="1"/>
      <c r="E869" s="62"/>
      <c r="M869" s="593"/>
      <c r="N869" s="604"/>
      <c r="O869" s="1"/>
      <c r="P869" s="1"/>
    </row>
    <row r="870" spans="1:16" x14ac:dyDescent="0.3">
      <c r="A870" s="64"/>
      <c r="B870" s="7"/>
      <c r="C870" s="488"/>
      <c r="D870" s="1"/>
      <c r="E870" s="62"/>
      <c r="M870" s="593"/>
      <c r="N870" s="604"/>
      <c r="O870" s="1"/>
      <c r="P870" s="1"/>
    </row>
  </sheetData>
  <phoneticPr fontId="91" type="noConversion"/>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tabColor rgb="FF92D050"/>
  </sheetPr>
  <dimension ref="A1:Y804"/>
  <sheetViews>
    <sheetView topLeftCell="C1" workbookViewId="0">
      <pane ySplit="1" topLeftCell="A192" activePane="bottomLeft" state="frozen"/>
      <selection activeCell="H67" sqref="H67"/>
      <selection pane="bottomLeft" activeCell="L210" sqref="L210"/>
    </sheetView>
  </sheetViews>
  <sheetFormatPr defaultRowHeight="14.4" x14ac:dyDescent="0.3"/>
  <cols>
    <col min="1" max="1" width="6.69921875" bestFit="1" customWidth="1"/>
    <col min="2" max="2" width="10.09765625" style="35" bestFit="1" customWidth="1"/>
    <col min="3" max="3" width="27.8984375" style="93" bestFit="1" customWidth="1"/>
    <col min="4" max="4" width="10.59765625" bestFit="1" customWidth="1"/>
    <col min="5" max="5" width="9.296875" style="93" bestFit="1" customWidth="1"/>
    <col min="6" max="6" width="9.69921875" bestFit="1" customWidth="1"/>
    <col min="7" max="7" width="18" bestFit="1" customWidth="1"/>
    <col min="8" max="8" width="15.59765625" bestFit="1" customWidth="1"/>
    <col min="9" max="9" width="21.8984375" customWidth="1"/>
    <col min="10" max="10" width="26.69921875" bestFit="1" customWidth="1"/>
    <col min="11" max="11" width="12.59765625" style="10" bestFit="1" customWidth="1"/>
    <col min="12" max="12" width="18.8984375" style="71" bestFit="1"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 min="21" max="21" width="4.09765625" bestFit="1" customWidth="1"/>
  </cols>
  <sheetData>
    <row r="1" spans="1:24" x14ac:dyDescent="0.3">
      <c r="A1" s="489" t="s">
        <v>0</v>
      </c>
      <c r="B1" s="110" t="s">
        <v>855</v>
      </c>
      <c r="C1" s="490" t="s">
        <v>856</v>
      </c>
      <c r="D1" s="489" t="s">
        <v>1052</v>
      </c>
      <c r="E1" s="490" t="s">
        <v>1053</v>
      </c>
      <c r="F1" s="489" t="s">
        <v>843</v>
      </c>
      <c r="G1" s="489" t="s">
        <v>1054</v>
      </c>
      <c r="H1" s="489" t="s">
        <v>1055</v>
      </c>
      <c r="I1" s="489" t="s">
        <v>1056</v>
      </c>
      <c r="J1" s="489" t="s">
        <v>1057</v>
      </c>
      <c r="K1" s="489" t="s">
        <v>1058</v>
      </c>
      <c r="L1" s="104" t="s">
        <v>857</v>
      </c>
      <c r="M1" s="489" t="s">
        <v>981</v>
      </c>
      <c r="N1" s="489" t="s">
        <v>1059</v>
      </c>
      <c r="O1" s="489" t="s">
        <v>1060</v>
      </c>
      <c r="P1" s="489" t="s">
        <v>980</v>
      </c>
      <c r="Q1" s="489" t="s">
        <v>1061</v>
      </c>
      <c r="R1" s="489" t="s">
        <v>1062</v>
      </c>
      <c r="S1" s="489" t="s">
        <v>1063</v>
      </c>
      <c r="T1" s="489" t="s">
        <v>1047</v>
      </c>
      <c r="U1" s="64">
        <f>COUNT(B:B)</f>
        <v>211</v>
      </c>
      <c r="W1" s="56" t="s">
        <v>0</v>
      </c>
      <c r="X1" s="56"/>
    </row>
    <row r="2" spans="1:24" x14ac:dyDescent="0.3">
      <c r="A2" s="64">
        <f>$X$3</f>
        <v>2474</v>
      </c>
      <c r="B2" s="7">
        <f t="shared" ref="B2:B64" si="0">RPT</f>
        <v>46252</v>
      </c>
      <c r="C2" s="391" t="s">
        <v>1050</v>
      </c>
      <c r="D2" s="1" t="s">
        <v>1064</v>
      </c>
      <c r="E2" s="391" t="s">
        <v>1030</v>
      </c>
      <c r="F2" s="267" t="s">
        <v>1030</v>
      </c>
      <c r="G2" s="267"/>
      <c r="H2" s="267"/>
      <c r="I2" s="1"/>
      <c r="J2" s="1"/>
      <c r="K2" s="31"/>
      <c r="L2" s="71">
        <f>'Phan tich_BB'!K2</f>
        <v>10858.311299999999</v>
      </c>
      <c r="M2" t="s">
        <v>1065</v>
      </c>
      <c r="S2" t="s">
        <v>2234</v>
      </c>
      <c r="U2" s="1"/>
      <c r="W2" s="1">
        <v>422</v>
      </c>
      <c r="X2" s="109">
        <v>43381</v>
      </c>
    </row>
    <row r="3" spans="1:24" x14ac:dyDescent="0.3">
      <c r="A3" s="64">
        <f t="shared" ref="A3:A66" si="1">$X$3</f>
        <v>2474</v>
      </c>
      <c r="B3" s="7">
        <f t="shared" si="0"/>
        <v>46252</v>
      </c>
      <c r="C3" s="391" t="s">
        <v>1050</v>
      </c>
      <c r="D3" s="1" t="s">
        <v>1064</v>
      </c>
      <c r="E3" s="391" t="s">
        <v>898</v>
      </c>
      <c r="F3" s="267" t="s">
        <v>823</v>
      </c>
      <c r="G3" s="267"/>
      <c r="H3" s="267"/>
      <c r="I3" s="391"/>
      <c r="J3" s="267" t="s">
        <v>1068</v>
      </c>
      <c r="K3" s="267" t="s">
        <v>877</v>
      </c>
      <c r="L3" s="71">
        <f>'Phan tich_BB'!K3</f>
        <v>0</v>
      </c>
      <c r="M3" t="s">
        <v>1065</v>
      </c>
      <c r="U3" s="1"/>
      <c r="W3" s="1"/>
      <c r="X3" s="61">
        <f>NETWORKDAYS(X2,RPT,0)+W2</f>
        <v>2474</v>
      </c>
    </row>
    <row r="4" spans="1:24" x14ac:dyDescent="0.3">
      <c r="A4" s="64">
        <f t="shared" si="1"/>
        <v>2474</v>
      </c>
      <c r="B4" s="7">
        <f t="shared" si="0"/>
        <v>46252</v>
      </c>
      <c r="C4" s="391" t="s">
        <v>1050</v>
      </c>
      <c r="D4" s="1" t="s">
        <v>1064</v>
      </c>
      <c r="E4" s="391" t="s">
        <v>898</v>
      </c>
      <c r="F4" s="267" t="s">
        <v>823</v>
      </c>
      <c r="G4" s="267"/>
      <c r="H4" s="267"/>
      <c r="I4" s="391"/>
      <c r="J4" s="267" t="s">
        <v>1068</v>
      </c>
      <c r="K4" s="267" t="s">
        <v>878</v>
      </c>
      <c r="L4" s="71">
        <f>'Phan tich_BB'!K4</f>
        <v>0</v>
      </c>
      <c r="M4" t="s">
        <v>1065</v>
      </c>
    </row>
    <row r="5" spans="1:24" x14ac:dyDescent="0.3">
      <c r="A5" s="64">
        <f t="shared" si="1"/>
        <v>2474</v>
      </c>
      <c r="B5" s="7">
        <f t="shared" si="0"/>
        <v>46252</v>
      </c>
      <c r="C5" s="391" t="s">
        <v>1050</v>
      </c>
      <c r="D5" s="1" t="s">
        <v>1064</v>
      </c>
      <c r="E5" s="391" t="s">
        <v>898</v>
      </c>
      <c r="F5" s="267" t="s">
        <v>823</v>
      </c>
      <c r="G5" s="267"/>
      <c r="H5" s="267"/>
      <c r="I5" s="391"/>
      <c r="J5" s="267" t="s">
        <v>1068</v>
      </c>
      <c r="K5" s="267" t="s">
        <v>879</v>
      </c>
      <c r="L5" s="71">
        <f>'Phan tich_BB'!K5</f>
        <v>1.4903999999999999</v>
      </c>
      <c r="M5" t="s">
        <v>1065</v>
      </c>
    </row>
    <row r="6" spans="1:24" x14ac:dyDescent="0.3">
      <c r="A6" s="64">
        <f t="shared" si="1"/>
        <v>2474</v>
      </c>
      <c r="B6" s="7">
        <f t="shared" si="0"/>
        <v>46252</v>
      </c>
      <c r="C6" s="391" t="s">
        <v>1050</v>
      </c>
      <c r="D6" s="1" t="s">
        <v>1064</v>
      </c>
      <c r="E6" s="391" t="s">
        <v>898</v>
      </c>
      <c r="F6" s="267" t="s">
        <v>823</v>
      </c>
      <c r="G6" s="267"/>
      <c r="H6" s="267"/>
      <c r="I6" s="391"/>
      <c r="J6" s="267" t="s">
        <v>1068</v>
      </c>
      <c r="K6" s="267" t="s">
        <v>880</v>
      </c>
      <c r="L6" s="71">
        <f>'Phan tich_BB'!K6</f>
        <v>377</v>
      </c>
      <c r="M6" t="s">
        <v>1065</v>
      </c>
    </row>
    <row r="7" spans="1:24" x14ac:dyDescent="0.3">
      <c r="A7" s="64">
        <f t="shared" si="1"/>
        <v>2474</v>
      </c>
      <c r="B7" s="7">
        <f t="shared" si="0"/>
        <v>46252</v>
      </c>
      <c r="C7" s="391" t="s">
        <v>1050</v>
      </c>
      <c r="D7" s="1" t="s">
        <v>1064</v>
      </c>
      <c r="E7" s="391" t="s">
        <v>898</v>
      </c>
      <c r="F7" s="267" t="s">
        <v>823</v>
      </c>
      <c r="G7" s="267"/>
      <c r="H7" s="267"/>
      <c r="I7" s="391"/>
      <c r="J7" s="267" t="s">
        <v>1068</v>
      </c>
      <c r="K7" s="267" t="s">
        <v>881</v>
      </c>
      <c r="L7" s="71">
        <f>'Phan tich_BB'!K7</f>
        <v>50</v>
      </c>
      <c r="M7" t="s">
        <v>1065</v>
      </c>
    </row>
    <row r="8" spans="1:24" x14ac:dyDescent="0.3">
      <c r="A8" s="64">
        <f t="shared" si="1"/>
        <v>2474</v>
      </c>
      <c r="B8" s="7">
        <f t="shared" si="0"/>
        <v>46252</v>
      </c>
      <c r="C8" s="391" t="s">
        <v>1050</v>
      </c>
      <c r="D8" s="1" t="s">
        <v>1064</v>
      </c>
      <c r="E8" s="391" t="s">
        <v>898</v>
      </c>
      <c r="F8" s="267" t="s">
        <v>823</v>
      </c>
      <c r="G8" s="267"/>
      <c r="H8" s="267"/>
      <c r="I8" s="391"/>
      <c r="J8" s="267" t="s">
        <v>1068</v>
      </c>
      <c r="K8" s="267" t="s">
        <v>882</v>
      </c>
      <c r="L8" s="71">
        <f>'Phan tich_BB'!K8</f>
        <v>1250</v>
      </c>
      <c r="M8" t="s">
        <v>1065</v>
      </c>
    </row>
    <row r="9" spans="1:24" x14ac:dyDescent="0.3">
      <c r="A9" s="64">
        <f t="shared" si="1"/>
        <v>2474</v>
      </c>
      <c r="B9" s="7">
        <f t="shared" si="0"/>
        <v>46252</v>
      </c>
      <c r="C9" s="391" t="s">
        <v>1050</v>
      </c>
      <c r="D9" s="1" t="s">
        <v>1064</v>
      </c>
      <c r="E9" s="391" t="s">
        <v>898</v>
      </c>
      <c r="F9" s="267" t="s">
        <v>823</v>
      </c>
      <c r="G9" s="267"/>
      <c r="H9" s="267"/>
      <c r="I9" s="391"/>
      <c r="J9" s="267" t="s">
        <v>1068</v>
      </c>
      <c r="K9" s="267" t="s">
        <v>883</v>
      </c>
      <c r="L9" s="71">
        <f>'Phan tich_BB'!K9</f>
        <v>1035</v>
      </c>
      <c r="M9" t="s">
        <v>1065</v>
      </c>
    </row>
    <row r="10" spans="1:24" x14ac:dyDescent="0.3">
      <c r="A10" s="64">
        <f t="shared" si="1"/>
        <v>2474</v>
      </c>
      <c r="B10" s="7">
        <f t="shared" si="0"/>
        <v>46252</v>
      </c>
      <c r="C10" s="391" t="s">
        <v>1050</v>
      </c>
      <c r="D10" s="1" t="s">
        <v>1064</v>
      </c>
      <c r="E10" s="391" t="s">
        <v>898</v>
      </c>
      <c r="F10" s="267" t="s">
        <v>823</v>
      </c>
      <c r="G10" s="267"/>
      <c r="H10" s="267"/>
      <c r="I10" s="391"/>
      <c r="J10" s="267" t="s">
        <v>1068</v>
      </c>
      <c r="K10" s="267" t="s">
        <v>884</v>
      </c>
      <c r="L10" s="71">
        <f>'Phan tich_BB'!K10</f>
        <v>5992.8208999999997</v>
      </c>
      <c r="M10" t="s">
        <v>1065</v>
      </c>
    </row>
    <row r="11" spans="1:24" x14ac:dyDescent="0.3">
      <c r="A11" s="64">
        <f t="shared" si="1"/>
        <v>2474</v>
      </c>
      <c r="B11" s="7">
        <f t="shared" si="0"/>
        <v>46252</v>
      </c>
      <c r="C11" s="391" t="s">
        <v>1050</v>
      </c>
      <c r="D11" s="1" t="s">
        <v>1064</v>
      </c>
      <c r="E11" s="391" t="s">
        <v>898</v>
      </c>
      <c r="F11" s="267" t="s">
        <v>823</v>
      </c>
      <c r="G11" s="267"/>
      <c r="H11" s="267"/>
      <c r="I11" s="391"/>
      <c r="J11" s="267" t="s">
        <v>1068</v>
      </c>
      <c r="K11" s="267" t="s">
        <v>885</v>
      </c>
      <c r="L11" s="71">
        <f>'Phan tich_BB'!K11</f>
        <v>50</v>
      </c>
      <c r="M11" t="s">
        <v>1065</v>
      </c>
    </row>
    <row r="12" spans="1:24" x14ac:dyDescent="0.3">
      <c r="A12" s="64">
        <f t="shared" si="1"/>
        <v>2474</v>
      </c>
      <c r="B12" s="7">
        <f t="shared" si="0"/>
        <v>46252</v>
      </c>
      <c r="C12" s="391" t="s">
        <v>1050</v>
      </c>
      <c r="D12" s="1" t="s">
        <v>1064</v>
      </c>
      <c r="E12" s="391" t="s">
        <v>898</v>
      </c>
      <c r="F12" s="267" t="s">
        <v>823</v>
      </c>
      <c r="G12" s="267"/>
      <c r="H12" s="267"/>
      <c r="I12" s="391"/>
      <c r="J12" s="267" t="s">
        <v>1068</v>
      </c>
      <c r="K12" s="267" t="s">
        <v>886</v>
      </c>
      <c r="L12" s="71">
        <f>'Phan tich_BB'!K12</f>
        <v>600</v>
      </c>
      <c r="M12" t="s">
        <v>1065</v>
      </c>
    </row>
    <row r="13" spans="1:24" x14ac:dyDescent="0.3">
      <c r="A13" s="64">
        <f t="shared" si="1"/>
        <v>2474</v>
      </c>
      <c r="B13" s="7">
        <f t="shared" si="0"/>
        <v>46252</v>
      </c>
      <c r="C13" s="391" t="s">
        <v>1050</v>
      </c>
      <c r="D13" s="1" t="s">
        <v>1064</v>
      </c>
      <c r="E13" s="391" t="s">
        <v>906</v>
      </c>
      <c r="F13" s="267" t="s">
        <v>821</v>
      </c>
      <c r="G13" s="267"/>
      <c r="H13" s="267"/>
      <c r="I13" s="391"/>
      <c r="J13" s="267" t="s">
        <v>1068</v>
      </c>
      <c r="K13" s="267" t="s">
        <v>877</v>
      </c>
      <c r="L13" s="71">
        <f>'Phan tich_BB'!K13</f>
        <v>0</v>
      </c>
      <c r="M13" t="s">
        <v>1065</v>
      </c>
    </row>
    <row r="14" spans="1:24" x14ac:dyDescent="0.3">
      <c r="A14" s="64">
        <f t="shared" si="1"/>
        <v>2474</v>
      </c>
      <c r="B14" s="7">
        <f t="shared" si="0"/>
        <v>46252</v>
      </c>
      <c r="C14" s="391" t="s">
        <v>1050</v>
      </c>
      <c r="D14" s="1" t="s">
        <v>1064</v>
      </c>
      <c r="E14" s="391" t="s">
        <v>906</v>
      </c>
      <c r="F14" s="267" t="s">
        <v>821</v>
      </c>
      <c r="G14" s="267"/>
      <c r="H14" s="267"/>
      <c r="I14" s="391"/>
      <c r="J14" s="267" t="s">
        <v>1068</v>
      </c>
      <c r="K14" s="267" t="s">
        <v>878</v>
      </c>
      <c r="L14" s="71">
        <f>'Phan tich_BB'!K14</f>
        <v>100</v>
      </c>
      <c r="M14" t="s">
        <v>1065</v>
      </c>
    </row>
    <row r="15" spans="1:24" x14ac:dyDescent="0.3">
      <c r="A15" s="64">
        <f t="shared" si="1"/>
        <v>2474</v>
      </c>
      <c r="B15" s="7">
        <f t="shared" si="0"/>
        <v>46252</v>
      </c>
      <c r="C15" s="391" t="s">
        <v>1050</v>
      </c>
      <c r="D15" s="1" t="s">
        <v>1064</v>
      </c>
      <c r="E15" s="391" t="s">
        <v>906</v>
      </c>
      <c r="F15" s="267" t="s">
        <v>821</v>
      </c>
      <c r="G15" s="267"/>
      <c r="H15" s="267"/>
      <c r="I15" s="391"/>
      <c r="J15" s="267" t="s">
        <v>1068</v>
      </c>
      <c r="K15" s="267" t="s">
        <v>879</v>
      </c>
      <c r="L15" s="71">
        <f>'Phan tich_BB'!K15</f>
        <v>200</v>
      </c>
      <c r="M15" t="s">
        <v>1065</v>
      </c>
    </row>
    <row r="16" spans="1:24" x14ac:dyDescent="0.3">
      <c r="A16" s="64">
        <f t="shared" si="1"/>
        <v>2474</v>
      </c>
      <c r="B16" s="7">
        <f t="shared" si="0"/>
        <v>46252</v>
      </c>
      <c r="C16" s="391" t="s">
        <v>1050</v>
      </c>
      <c r="D16" s="1" t="s">
        <v>1064</v>
      </c>
      <c r="E16" s="391" t="s">
        <v>906</v>
      </c>
      <c r="F16" s="267" t="s">
        <v>821</v>
      </c>
      <c r="G16" s="267"/>
      <c r="H16" s="267"/>
      <c r="I16" s="391"/>
      <c r="J16" s="267" t="s">
        <v>1068</v>
      </c>
      <c r="K16" s="267" t="s">
        <v>880</v>
      </c>
      <c r="L16" s="71">
        <f>'Phan tich_BB'!K16</f>
        <v>0</v>
      </c>
      <c r="M16" t="s">
        <v>1065</v>
      </c>
    </row>
    <row r="17" spans="1:13" x14ac:dyDescent="0.3">
      <c r="A17" s="64">
        <f t="shared" si="1"/>
        <v>2474</v>
      </c>
      <c r="B17" s="7">
        <f t="shared" si="0"/>
        <v>46252</v>
      </c>
      <c r="C17" s="391" t="s">
        <v>1050</v>
      </c>
      <c r="D17" s="1" t="s">
        <v>1064</v>
      </c>
      <c r="E17" s="391" t="s">
        <v>906</v>
      </c>
      <c r="F17" s="267" t="s">
        <v>821</v>
      </c>
      <c r="G17" s="267"/>
      <c r="H17" s="267"/>
      <c r="I17" s="391"/>
      <c r="J17" s="267" t="s">
        <v>1068</v>
      </c>
      <c r="K17" s="267" t="s">
        <v>881</v>
      </c>
      <c r="L17" s="71">
        <f>'Phan tich_BB'!K17</f>
        <v>0</v>
      </c>
      <c r="M17" t="s">
        <v>1065</v>
      </c>
    </row>
    <row r="18" spans="1:13" x14ac:dyDescent="0.3">
      <c r="A18" s="64">
        <f t="shared" si="1"/>
        <v>2474</v>
      </c>
      <c r="B18" s="7">
        <f t="shared" si="0"/>
        <v>46252</v>
      </c>
      <c r="C18" s="391" t="s">
        <v>1050</v>
      </c>
      <c r="D18" s="1" t="s">
        <v>1064</v>
      </c>
      <c r="E18" s="391" t="s">
        <v>906</v>
      </c>
      <c r="F18" s="267" t="s">
        <v>821</v>
      </c>
      <c r="G18" s="267"/>
      <c r="H18" s="267"/>
      <c r="I18" s="391"/>
      <c r="J18" s="267" t="s">
        <v>1068</v>
      </c>
      <c r="K18" s="267" t="s">
        <v>882</v>
      </c>
      <c r="L18" s="71">
        <f>'Phan tich_BB'!K18</f>
        <v>0</v>
      </c>
      <c r="M18" t="s">
        <v>1065</v>
      </c>
    </row>
    <row r="19" spans="1:13" x14ac:dyDescent="0.3">
      <c r="A19" s="64">
        <f t="shared" si="1"/>
        <v>2474</v>
      </c>
      <c r="B19" s="7">
        <f t="shared" si="0"/>
        <v>46252</v>
      </c>
      <c r="C19" s="391" t="s">
        <v>1050</v>
      </c>
      <c r="D19" s="1" t="s">
        <v>1064</v>
      </c>
      <c r="E19" s="391" t="s">
        <v>906</v>
      </c>
      <c r="F19" s="267" t="s">
        <v>821</v>
      </c>
      <c r="G19" s="267"/>
      <c r="H19" s="267"/>
      <c r="I19" s="391"/>
      <c r="J19" s="267" t="s">
        <v>1068</v>
      </c>
      <c r="K19" s="267" t="s">
        <v>883</v>
      </c>
      <c r="L19" s="71">
        <f>'Phan tich_BB'!K19</f>
        <v>0</v>
      </c>
      <c r="M19" t="s">
        <v>1065</v>
      </c>
    </row>
    <row r="20" spans="1:13" x14ac:dyDescent="0.3">
      <c r="A20" s="64">
        <f t="shared" si="1"/>
        <v>2474</v>
      </c>
      <c r="B20" s="7">
        <f t="shared" si="0"/>
        <v>46252</v>
      </c>
      <c r="C20" s="391" t="s">
        <v>1050</v>
      </c>
      <c r="D20" s="1" t="s">
        <v>1064</v>
      </c>
      <c r="E20" s="391" t="s">
        <v>906</v>
      </c>
      <c r="F20" s="267" t="s">
        <v>821</v>
      </c>
      <c r="G20" s="267"/>
      <c r="H20" s="267"/>
      <c r="I20" s="391"/>
      <c r="J20" s="267" t="s">
        <v>1068</v>
      </c>
      <c r="K20" s="267" t="s">
        <v>884</v>
      </c>
      <c r="L20" s="71">
        <f>'Phan tich_BB'!K20</f>
        <v>565</v>
      </c>
      <c r="M20" t="s">
        <v>1065</v>
      </c>
    </row>
    <row r="21" spans="1:13" x14ac:dyDescent="0.3">
      <c r="A21" s="64">
        <f t="shared" si="1"/>
        <v>2474</v>
      </c>
      <c r="B21" s="7">
        <f t="shared" si="0"/>
        <v>46252</v>
      </c>
      <c r="C21" s="391" t="s">
        <v>1050</v>
      </c>
      <c r="D21" s="1" t="s">
        <v>1064</v>
      </c>
      <c r="E21" s="391" t="s">
        <v>906</v>
      </c>
      <c r="F21" s="267" t="s">
        <v>821</v>
      </c>
      <c r="G21" s="267"/>
      <c r="H21" s="267"/>
      <c r="I21" s="391"/>
      <c r="J21" s="267" t="s">
        <v>1068</v>
      </c>
      <c r="K21" s="267" t="s">
        <v>885</v>
      </c>
      <c r="L21" s="71">
        <f>'Phan tich_BB'!K21</f>
        <v>0</v>
      </c>
      <c r="M21" t="s">
        <v>1065</v>
      </c>
    </row>
    <row r="22" spans="1:13" x14ac:dyDescent="0.3">
      <c r="A22" s="64">
        <f t="shared" si="1"/>
        <v>2474</v>
      </c>
      <c r="B22" s="7">
        <f t="shared" si="0"/>
        <v>46252</v>
      </c>
      <c r="C22" s="391" t="s">
        <v>1050</v>
      </c>
      <c r="D22" s="1" t="s">
        <v>1064</v>
      </c>
      <c r="E22" s="391" t="s">
        <v>906</v>
      </c>
      <c r="F22" s="267" t="s">
        <v>821</v>
      </c>
      <c r="G22" s="267"/>
      <c r="H22" s="267"/>
      <c r="I22" s="391"/>
      <c r="J22" s="267" t="s">
        <v>1068</v>
      </c>
      <c r="K22" s="267" t="s">
        <v>886</v>
      </c>
      <c r="L22" s="71">
        <f>'Phan tich_BB'!K22</f>
        <v>0</v>
      </c>
      <c r="M22" t="s">
        <v>1065</v>
      </c>
    </row>
    <row r="23" spans="1:13" x14ac:dyDescent="0.3">
      <c r="A23" s="64">
        <f t="shared" si="1"/>
        <v>2474</v>
      </c>
      <c r="B23" s="7">
        <f t="shared" si="0"/>
        <v>46252</v>
      </c>
      <c r="C23" s="391" t="s">
        <v>1050</v>
      </c>
      <c r="D23" s="1" t="s">
        <v>1064</v>
      </c>
      <c r="E23" s="391" t="s">
        <v>906</v>
      </c>
      <c r="F23" s="267" t="s">
        <v>905</v>
      </c>
      <c r="G23" s="267"/>
      <c r="H23" s="267"/>
      <c r="I23" s="391"/>
      <c r="J23" s="267" t="s">
        <v>1068</v>
      </c>
      <c r="K23" s="267" t="s">
        <v>877</v>
      </c>
      <c r="L23" s="71">
        <f>'Phan tich_BB'!K23</f>
        <v>0</v>
      </c>
      <c r="M23" t="s">
        <v>1065</v>
      </c>
    </row>
    <row r="24" spans="1:13" x14ac:dyDescent="0.3">
      <c r="A24" s="64">
        <f t="shared" si="1"/>
        <v>2474</v>
      </c>
      <c r="B24" s="7">
        <f t="shared" si="0"/>
        <v>46252</v>
      </c>
      <c r="C24" s="391" t="s">
        <v>1050</v>
      </c>
      <c r="D24" s="1" t="s">
        <v>1064</v>
      </c>
      <c r="E24" s="391" t="s">
        <v>906</v>
      </c>
      <c r="F24" s="267" t="s">
        <v>905</v>
      </c>
      <c r="G24" s="267"/>
      <c r="H24" s="267"/>
      <c r="I24" s="391"/>
      <c r="J24" s="267" t="s">
        <v>1068</v>
      </c>
      <c r="K24" s="267" t="s">
        <v>878</v>
      </c>
      <c r="L24" s="71">
        <f>'Phan tich_BB'!K24</f>
        <v>500</v>
      </c>
      <c r="M24" t="s">
        <v>1065</v>
      </c>
    </row>
    <row r="25" spans="1:13" x14ac:dyDescent="0.3">
      <c r="A25" s="64">
        <f t="shared" si="1"/>
        <v>2474</v>
      </c>
      <c r="B25" s="7">
        <f t="shared" si="0"/>
        <v>46252</v>
      </c>
      <c r="C25" s="391" t="s">
        <v>1050</v>
      </c>
      <c r="D25" s="1" t="s">
        <v>1064</v>
      </c>
      <c r="E25" s="391" t="s">
        <v>906</v>
      </c>
      <c r="F25" s="267" t="s">
        <v>905</v>
      </c>
      <c r="G25" s="267"/>
      <c r="H25" s="267"/>
      <c r="I25" s="391"/>
      <c r="J25" s="267" t="s">
        <v>1068</v>
      </c>
      <c r="K25" s="267" t="s">
        <v>879</v>
      </c>
      <c r="L25" s="71">
        <f>'Phan tich_BB'!K25</f>
        <v>0</v>
      </c>
      <c r="M25" t="s">
        <v>1065</v>
      </c>
    </row>
    <row r="26" spans="1:13" x14ac:dyDescent="0.3">
      <c r="A26" s="64">
        <f t="shared" si="1"/>
        <v>2474</v>
      </c>
      <c r="B26" s="7">
        <f t="shared" si="0"/>
        <v>46252</v>
      </c>
      <c r="C26" s="391" t="s">
        <v>1050</v>
      </c>
      <c r="D26" s="1" t="s">
        <v>1064</v>
      </c>
      <c r="E26" s="391" t="s">
        <v>906</v>
      </c>
      <c r="F26" s="267" t="s">
        <v>905</v>
      </c>
      <c r="G26" s="267"/>
      <c r="H26" s="267"/>
      <c r="I26" s="391"/>
      <c r="J26" s="267" t="s">
        <v>1068</v>
      </c>
      <c r="K26" s="267" t="s">
        <v>880</v>
      </c>
      <c r="L26" s="71">
        <f>'Phan tich_BB'!K26</f>
        <v>0</v>
      </c>
      <c r="M26" t="s">
        <v>1065</v>
      </c>
    </row>
    <row r="27" spans="1:13" x14ac:dyDescent="0.3">
      <c r="A27" s="64">
        <f t="shared" si="1"/>
        <v>2474</v>
      </c>
      <c r="B27" s="7">
        <f t="shared" si="0"/>
        <v>46252</v>
      </c>
      <c r="C27" s="391" t="s">
        <v>1050</v>
      </c>
      <c r="D27" s="1" t="s">
        <v>1064</v>
      </c>
      <c r="E27" s="391" t="s">
        <v>906</v>
      </c>
      <c r="F27" s="267" t="s">
        <v>905</v>
      </c>
      <c r="G27" s="267"/>
      <c r="H27" s="267"/>
      <c r="I27" s="391"/>
      <c r="J27" s="267" t="s">
        <v>1068</v>
      </c>
      <c r="K27" s="267" t="s">
        <v>881</v>
      </c>
      <c r="L27" s="71">
        <f>'Phan tich_BB'!K27</f>
        <v>0</v>
      </c>
      <c r="M27" t="s">
        <v>1065</v>
      </c>
    </row>
    <row r="28" spans="1:13" x14ac:dyDescent="0.3">
      <c r="A28" s="64">
        <f t="shared" si="1"/>
        <v>2474</v>
      </c>
      <c r="B28" s="7">
        <f t="shared" si="0"/>
        <v>46252</v>
      </c>
      <c r="C28" s="391" t="s">
        <v>1050</v>
      </c>
      <c r="D28" s="1" t="s">
        <v>1064</v>
      </c>
      <c r="E28" s="391" t="s">
        <v>906</v>
      </c>
      <c r="F28" s="267" t="s">
        <v>905</v>
      </c>
      <c r="G28" s="267"/>
      <c r="H28" s="267"/>
      <c r="I28" s="391"/>
      <c r="J28" s="267" t="s">
        <v>1068</v>
      </c>
      <c r="K28" s="267" t="s">
        <v>882</v>
      </c>
      <c r="L28" s="71">
        <f>'Phan tich_BB'!K28</f>
        <v>0</v>
      </c>
      <c r="M28" t="s">
        <v>1065</v>
      </c>
    </row>
    <row r="29" spans="1:13" x14ac:dyDescent="0.3">
      <c r="A29" s="64">
        <f t="shared" si="1"/>
        <v>2474</v>
      </c>
      <c r="B29" s="7">
        <f t="shared" si="0"/>
        <v>46252</v>
      </c>
      <c r="C29" s="391" t="s">
        <v>1050</v>
      </c>
      <c r="D29" s="1" t="s">
        <v>1064</v>
      </c>
      <c r="E29" s="391" t="s">
        <v>906</v>
      </c>
      <c r="F29" s="267" t="s">
        <v>905</v>
      </c>
      <c r="G29" s="267"/>
      <c r="H29" s="267"/>
      <c r="I29" s="391"/>
      <c r="J29" s="267" t="s">
        <v>1068</v>
      </c>
      <c r="K29" s="267" t="s">
        <v>883</v>
      </c>
      <c r="L29" s="71">
        <f>'Phan tich_BB'!K29</f>
        <v>0</v>
      </c>
      <c r="M29" t="s">
        <v>1065</v>
      </c>
    </row>
    <row r="30" spans="1:13" x14ac:dyDescent="0.3">
      <c r="A30" s="64">
        <f t="shared" si="1"/>
        <v>2474</v>
      </c>
      <c r="B30" s="7">
        <f t="shared" si="0"/>
        <v>46252</v>
      </c>
      <c r="C30" s="391" t="s">
        <v>1050</v>
      </c>
      <c r="D30" s="1" t="s">
        <v>1064</v>
      </c>
      <c r="E30" s="391" t="s">
        <v>906</v>
      </c>
      <c r="F30" s="267" t="s">
        <v>905</v>
      </c>
      <c r="G30" s="267"/>
      <c r="H30" s="267"/>
      <c r="I30" s="391"/>
      <c r="J30" s="267" t="s">
        <v>1068</v>
      </c>
      <c r="K30" s="267" t="s">
        <v>884</v>
      </c>
      <c r="L30" s="71">
        <f>'Phan tich_BB'!K30</f>
        <v>137</v>
      </c>
      <c r="M30" t="s">
        <v>1065</v>
      </c>
    </row>
    <row r="31" spans="1:13" x14ac:dyDescent="0.3">
      <c r="A31" s="64">
        <f t="shared" si="1"/>
        <v>2474</v>
      </c>
      <c r="B31" s="7">
        <f t="shared" si="0"/>
        <v>46252</v>
      </c>
      <c r="C31" s="391" t="s">
        <v>1050</v>
      </c>
      <c r="D31" s="1" t="s">
        <v>1064</v>
      </c>
      <c r="E31" s="391" t="s">
        <v>906</v>
      </c>
      <c r="F31" s="267" t="s">
        <v>905</v>
      </c>
      <c r="G31" s="267"/>
      <c r="H31" s="267"/>
      <c r="I31" s="391"/>
      <c r="J31" s="267" t="s">
        <v>1068</v>
      </c>
      <c r="K31" s="267" t="s">
        <v>885</v>
      </c>
      <c r="L31" s="71">
        <f>'Phan tich_BB'!K31</f>
        <v>0</v>
      </c>
      <c r="M31" t="s">
        <v>1065</v>
      </c>
    </row>
    <row r="32" spans="1:13" x14ac:dyDescent="0.3">
      <c r="A32" s="64">
        <f t="shared" si="1"/>
        <v>2474</v>
      </c>
      <c r="B32" s="7">
        <f t="shared" si="0"/>
        <v>46252</v>
      </c>
      <c r="C32" s="391" t="s">
        <v>1050</v>
      </c>
      <c r="D32" s="1" t="s">
        <v>1064</v>
      </c>
      <c r="E32" s="391" t="s">
        <v>906</v>
      </c>
      <c r="F32" s="267" t="s">
        <v>905</v>
      </c>
      <c r="G32" s="267"/>
      <c r="H32" s="267"/>
      <c r="I32" s="391"/>
      <c r="J32" s="267" t="s">
        <v>1068</v>
      </c>
      <c r="K32" s="267" t="s">
        <v>886</v>
      </c>
      <c r="L32" s="71">
        <f>'Phan tich_BB'!K32</f>
        <v>0</v>
      </c>
      <c r="M32" t="s">
        <v>1065</v>
      </c>
    </row>
    <row r="33" spans="1:19" x14ac:dyDescent="0.3">
      <c r="A33" s="64">
        <f t="shared" si="1"/>
        <v>2474</v>
      </c>
      <c r="B33" s="7">
        <f t="shared" si="0"/>
        <v>46252</v>
      </c>
      <c r="C33" s="391" t="s">
        <v>1050</v>
      </c>
      <c r="D33" s="1" t="s">
        <v>1064</v>
      </c>
      <c r="E33" s="391" t="s">
        <v>894</v>
      </c>
      <c r="F33" s="391" t="s">
        <v>894</v>
      </c>
      <c r="G33" s="267"/>
      <c r="H33" s="267"/>
      <c r="I33" s="391"/>
      <c r="J33" s="267" t="s">
        <v>1068</v>
      </c>
      <c r="K33" s="267" t="s">
        <v>877</v>
      </c>
      <c r="L33" s="71">
        <f>'Phan tich_BB'!K33</f>
        <v>0</v>
      </c>
      <c r="M33" t="s">
        <v>1065</v>
      </c>
    </row>
    <row r="34" spans="1:19" x14ac:dyDescent="0.3">
      <c r="A34" s="64">
        <f t="shared" si="1"/>
        <v>2474</v>
      </c>
      <c r="B34" s="7">
        <f t="shared" si="0"/>
        <v>46252</v>
      </c>
      <c r="C34" s="391" t="s">
        <v>1050</v>
      </c>
      <c r="D34" s="1" t="s">
        <v>1064</v>
      </c>
      <c r="E34" s="391" t="s">
        <v>894</v>
      </c>
      <c r="F34" s="391" t="s">
        <v>894</v>
      </c>
      <c r="G34" s="267"/>
      <c r="H34" s="267"/>
      <c r="I34" s="391"/>
      <c r="J34" s="267" t="s">
        <v>1068</v>
      </c>
      <c r="K34" s="267" t="s">
        <v>878</v>
      </c>
      <c r="L34" s="71">
        <f>'Phan tich_BB'!K34</f>
        <v>0</v>
      </c>
      <c r="M34" t="s">
        <v>1065</v>
      </c>
    </row>
    <row r="35" spans="1:19" x14ac:dyDescent="0.3">
      <c r="A35" s="64">
        <f t="shared" si="1"/>
        <v>2474</v>
      </c>
      <c r="B35" s="7">
        <f t="shared" si="0"/>
        <v>46252</v>
      </c>
      <c r="C35" s="391" t="s">
        <v>1050</v>
      </c>
      <c r="D35" s="1" t="s">
        <v>1064</v>
      </c>
      <c r="E35" s="391" t="s">
        <v>894</v>
      </c>
      <c r="F35" s="391" t="s">
        <v>894</v>
      </c>
      <c r="G35" s="267"/>
      <c r="H35" s="267"/>
      <c r="I35" s="391"/>
      <c r="J35" s="267" t="s">
        <v>1068</v>
      </c>
      <c r="K35" s="267" t="s">
        <v>879</v>
      </c>
      <c r="L35" s="71">
        <f>'Phan tich_BB'!K35</f>
        <v>0</v>
      </c>
      <c r="M35" t="s">
        <v>1065</v>
      </c>
    </row>
    <row r="36" spans="1:19" x14ac:dyDescent="0.3">
      <c r="A36" s="64">
        <f t="shared" si="1"/>
        <v>2474</v>
      </c>
      <c r="B36" s="7">
        <f t="shared" si="0"/>
        <v>46252</v>
      </c>
      <c r="C36" s="391" t="s">
        <v>1050</v>
      </c>
      <c r="D36" s="1" t="s">
        <v>1064</v>
      </c>
      <c r="E36" s="391" t="s">
        <v>894</v>
      </c>
      <c r="F36" s="391" t="s">
        <v>894</v>
      </c>
      <c r="G36" s="267"/>
      <c r="H36" s="267"/>
      <c r="I36" s="391"/>
      <c r="J36" s="267" t="s">
        <v>1068</v>
      </c>
      <c r="K36" s="267" t="s">
        <v>880</v>
      </c>
      <c r="L36" s="71">
        <f>'Phan tich_BB'!K36</f>
        <v>0</v>
      </c>
      <c r="M36" t="s">
        <v>1065</v>
      </c>
    </row>
    <row r="37" spans="1:19" x14ac:dyDescent="0.3">
      <c r="A37" s="64">
        <f t="shared" si="1"/>
        <v>2474</v>
      </c>
      <c r="B37" s="7">
        <f t="shared" si="0"/>
        <v>46252</v>
      </c>
      <c r="C37" s="391" t="s">
        <v>1050</v>
      </c>
      <c r="D37" s="1" t="s">
        <v>1064</v>
      </c>
      <c r="E37" s="391" t="s">
        <v>894</v>
      </c>
      <c r="F37" s="391" t="s">
        <v>894</v>
      </c>
      <c r="G37" s="267"/>
      <c r="H37" s="267"/>
      <c r="I37" s="391"/>
      <c r="J37" s="267" t="s">
        <v>1068</v>
      </c>
      <c r="K37" s="267" t="s">
        <v>881</v>
      </c>
      <c r="L37" s="71">
        <f>'Phan tich_BB'!K37</f>
        <v>0</v>
      </c>
      <c r="M37" t="s">
        <v>1065</v>
      </c>
    </row>
    <row r="38" spans="1:19" x14ac:dyDescent="0.3">
      <c r="A38" s="64">
        <f t="shared" si="1"/>
        <v>2474</v>
      </c>
      <c r="B38" s="7">
        <f t="shared" si="0"/>
        <v>46252</v>
      </c>
      <c r="C38" s="391" t="s">
        <v>1050</v>
      </c>
      <c r="D38" s="1" t="s">
        <v>1064</v>
      </c>
      <c r="E38" s="391" t="s">
        <v>894</v>
      </c>
      <c r="F38" s="391" t="s">
        <v>894</v>
      </c>
      <c r="G38" s="267"/>
      <c r="H38" s="267"/>
      <c r="I38" s="391"/>
      <c r="J38" s="267" t="s">
        <v>1068</v>
      </c>
      <c r="K38" s="267" t="s">
        <v>882</v>
      </c>
      <c r="L38" s="71">
        <f>'Phan tich_BB'!K38</f>
        <v>0</v>
      </c>
      <c r="M38" t="s">
        <v>1065</v>
      </c>
    </row>
    <row r="39" spans="1:19" x14ac:dyDescent="0.3">
      <c r="A39" s="64">
        <f t="shared" si="1"/>
        <v>2474</v>
      </c>
      <c r="B39" s="7">
        <f t="shared" si="0"/>
        <v>46252</v>
      </c>
      <c r="C39" s="391" t="s">
        <v>1050</v>
      </c>
      <c r="D39" s="1" t="s">
        <v>1064</v>
      </c>
      <c r="E39" s="391" t="s">
        <v>894</v>
      </c>
      <c r="F39" s="391" t="s">
        <v>894</v>
      </c>
      <c r="G39" s="267"/>
      <c r="H39" s="267"/>
      <c r="I39" s="391"/>
      <c r="J39" s="267" t="s">
        <v>1068</v>
      </c>
      <c r="K39" s="267" t="s">
        <v>883</v>
      </c>
      <c r="L39" s="71">
        <f>'Phan tich_BB'!K39</f>
        <v>0</v>
      </c>
      <c r="M39" t="s">
        <v>1065</v>
      </c>
    </row>
    <row r="40" spans="1:19" x14ac:dyDescent="0.3">
      <c r="A40" s="64">
        <f t="shared" si="1"/>
        <v>2474</v>
      </c>
      <c r="B40" s="7">
        <f t="shared" si="0"/>
        <v>46252</v>
      </c>
      <c r="C40" s="391" t="s">
        <v>1050</v>
      </c>
      <c r="D40" s="1" t="s">
        <v>1064</v>
      </c>
      <c r="E40" s="391" t="s">
        <v>894</v>
      </c>
      <c r="F40" s="391" t="s">
        <v>894</v>
      </c>
      <c r="G40" s="267"/>
      <c r="H40" s="267"/>
      <c r="I40" s="391"/>
      <c r="J40" s="267" t="s">
        <v>1068</v>
      </c>
      <c r="K40" s="267" t="s">
        <v>884</v>
      </c>
      <c r="L40" s="71">
        <f>'Phan tich_BB'!K40</f>
        <v>0</v>
      </c>
      <c r="M40" t="s">
        <v>1065</v>
      </c>
    </row>
    <row r="41" spans="1:19" x14ac:dyDescent="0.3">
      <c r="A41" s="64">
        <f t="shared" si="1"/>
        <v>2474</v>
      </c>
      <c r="B41" s="7">
        <f t="shared" si="0"/>
        <v>46252</v>
      </c>
      <c r="C41" s="391" t="s">
        <v>1050</v>
      </c>
      <c r="D41" s="1" t="s">
        <v>1064</v>
      </c>
      <c r="E41" s="391" t="s">
        <v>894</v>
      </c>
      <c r="F41" s="391" t="s">
        <v>894</v>
      </c>
      <c r="G41" s="267"/>
      <c r="H41" s="267"/>
      <c r="I41" s="391"/>
      <c r="J41" s="267" t="s">
        <v>1068</v>
      </c>
      <c r="K41" s="267" t="s">
        <v>885</v>
      </c>
      <c r="L41" s="71">
        <f>'Phan tich_BB'!K41</f>
        <v>0</v>
      </c>
      <c r="M41" t="s">
        <v>1065</v>
      </c>
    </row>
    <row r="42" spans="1:19" x14ac:dyDescent="0.3">
      <c r="A42" s="64">
        <f t="shared" si="1"/>
        <v>2474</v>
      </c>
      <c r="B42" s="7">
        <f t="shared" si="0"/>
        <v>46252</v>
      </c>
      <c r="C42" s="391" t="s">
        <v>1050</v>
      </c>
      <c r="D42" s="1" t="s">
        <v>1064</v>
      </c>
      <c r="E42" s="391" t="s">
        <v>894</v>
      </c>
      <c r="F42" s="391" t="s">
        <v>894</v>
      </c>
      <c r="G42" s="267"/>
      <c r="H42" s="267"/>
      <c r="I42" s="391"/>
      <c r="J42" s="267" t="s">
        <v>1068</v>
      </c>
      <c r="K42" s="267" t="s">
        <v>886</v>
      </c>
      <c r="L42" s="71">
        <f>'Phan tich_BB'!K42</f>
        <v>0</v>
      </c>
      <c r="M42" t="s">
        <v>1065</v>
      </c>
    </row>
    <row r="43" spans="1:19" x14ac:dyDescent="0.3">
      <c r="A43" s="64">
        <f t="shared" si="1"/>
        <v>2474</v>
      </c>
      <c r="B43" s="7">
        <f t="shared" si="0"/>
        <v>46252</v>
      </c>
      <c r="C43" s="391" t="s">
        <v>1050</v>
      </c>
      <c r="D43" s="1" t="s">
        <v>1064</v>
      </c>
      <c r="E43" s="391" t="s">
        <v>1030</v>
      </c>
      <c r="F43" s="267"/>
      <c r="G43" s="267"/>
      <c r="H43" s="267"/>
      <c r="I43" s="391" t="s">
        <v>2255</v>
      </c>
      <c r="J43" s="267"/>
      <c r="K43" s="267" t="s">
        <v>2256</v>
      </c>
      <c r="L43" s="71">
        <f>'Phan tich_BB'!K43</f>
        <v>3.9932616903584552</v>
      </c>
      <c r="M43" t="s">
        <v>1078</v>
      </c>
      <c r="N43" s="500">
        <v>25</v>
      </c>
      <c r="S43" t="s">
        <v>2234</v>
      </c>
    </row>
    <row r="44" spans="1:19" x14ac:dyDescent="0.3">
      <c r="A44" s="64">
        <f t="shared" si="1"/>
        <v>2474</v>
      </c>
      <c r="B44" s="7">
        <f t="shared" si="0"/>
        <v>46252</v>
      </c>
      <c r="C44" s="391" t="s">
        <v>1050</v>
      </c>
      <c r="D44" s="1" t="s">
        <v>1064</v>
      </c>
      <c r="E44" s="391" t="s">
        <v>1030</v>
      </c>
      <c r="F44" s="267"/>
      <c r="G44" s="267"/>
      <c r="H44" s="267"/>
      <c r="I44" s="66" t="s">
        <v>2369</v>
      </c>
      <c r="J44" s="267"/>
      <c r="K44" s="267"/>
      <c r="L44" s="71">
        <f>'Phan tich_BB'!K44</f>
        <v>0</v>
      </c>
      <c r="M44" t="s">
        <v>1078</v>
      </c>
      <c r="N44" s="500">
        <v>25</v>
      </c>
      <c r="S44" t="s">
        <v>2234</v>
      </c>
    </row>
    <row r="45" spans="1:19" x14ac:dyDescent="0.3">
      <c r="A45" s="64">
        <f t="shared" si="1"/>
        <v>2474</v>
      </c>
      <c r="B45" s="7">
        <f t="shared" si="0"/>
        <v>46252</v>
      </c>
      <c r="C45" s="391" t="s">
        <v>1069</v>
      </c>
      <c r="D45" s="1" t="s">
        <v>1064</v>
      </c>
      <c r="E45" s="391" t="s">
        <v>1030</v>
      </c>
      <c r="F45" s="267" t="s">
        <v>1030</v>
      </c>
      <c r="G45" s="267"/>
      <c r="H45" s="267"/>
      <c r="I45" s="267"/>
      <c r="J45" s="267"/>
      <c r="K45" s="609"/>
      <c r="L45" s="71">
        <f>'Phan tich_BB'!Y1</f>
        <v>10040.170482877998</v>
      </c>
      <c r="M45" t="s">
        <v>1065</v>
      </c>
    </row>
    <row r="46" spans="1:19" x14ac:dyDescent="0.3">
      <c r="A46" s="64">
        <f t="shared" si="1"/>
        <v>2474</v>
      </c>
      <c r="B46" s="7">
        <f t="shared" si="0"/>
        <v>46252</v>
      </c>
      <c r="C46" s="391" t="s">
        <v>1069</v>
      </c>
      <c r="D46" s="1" t="s">
        <v>1064</v>
      </c>
      <c r="E46" s="391" t="s">
        <v>1030</v>
      </c>
      <c r="F46" s="267"/>
      <c r="G46" s="267"/>
      <c r="H46" s="267"/>
      <c r="I46" s="267"/>
      <c r="J46" s="267" t="s">
        <v>1068</v>
      </c>
      <c r="K46" s="267" t="s">
        <v>877</v>
      </c>
      <c r="L46" s="71">
        <f>'Phan tich_BB'!Y2</f>
        <v>0</v>
      </c>
      <c r="M46" t="s">
        <v>1065</v>
      </c>
    </row>
    <row r="47" spans="1:19" x14ac:dyDescent="0.3">
      <c r="A47" s="64">
        <f t="shared" si="1"/>
        <v>2474</v>
      </c>
      <c r="B47" s="7">
        <f t="shared" si="0"/>
        <v>46252</v>
      </c>
      <c r="C47" s="391" t="s">
        <v>1069</v>
      </c>
      <c r="D47" s="1" t="s">
        <v>1064</v>
      </c>
      <c r="E47" s="391" t="s">
        <v>1030</v>
      </c>
      <c r="F47" s="267"/>
      <c r="G47" s="267"/>
      <c r="H47" s="267"/>
      <c r="I47" s="267"/>
      <c r="J47" s="267" t="s">
        <v>1068</v>
      </c>
      <c r="K47" s="267" t="s">
        <v>878</v>
      </c>
      <c r="L47" s="71">
        <f>'Phan tich_BB'!Y3</f>
        <v>585.18200000000002</v>
      </c>
      <c r="M47" t="s">
        <v>1065</v>
      </c>
    </row>
    <row r="48" spans="1:19" x14ac:dyDescent="0.3">
      <c r="A48" s="64">
        <f t="shared" si="1"/>
        <v>2474</v>
      </c>
      <c r="B48" s="7">
        <f t="shared" si="0"/>
        <v>46252</v>
      </c>
      <c r="C48" s="391" t="s">
        <v>1069</v>
      </c>
      <c r="D48" s="1" t="s">
        <v>1064</v>
      </c>
      <c r="E48" s="391" t="s">
        <v>1030</v>
      </c>
      <c r="F48" s="267"/>
      <c r="G48" s="267"/>
      <c r="H48" s="267"/>
      <c r="I48" s="267"/>
      <c r="J48" s="267" t="s">
        <v>1068</v>
      </c>
      <c r="K48" s="267" t="s">
        <v>879</v>
      </c>
      <c r="L48" s="71">
        <f>'Phan tich_BB'!Y4</f>
        <v>203.026181224</v>
      </c>
      <c r="M48" t="s">
        <v>1065</v>
      </c>
    </row>
    <row r="49" spans="1:19" x14ac:dyDescent="0.3">
      <c r="A49" s="64">
        <f t="shared" si="1"/>
        <v>2474</v>
      </c>
      <c r="B49" s="7">
        <f t="shared" si="0"/>
        <v>46252</v>
      </c>
      <c r="C49" s="391" t="s">
        <v>1069</v>
      </c>
      <c r="D49" s="1" t="s">
        <v>1064</v>
      </c>
      <c r="E49" s="391" t="s">
        <v>1030</v>
      </c>
      <c r="F49" s="267"/>
      <c r="G49" s="267"/>
      <c r="H49" s="267"/>
      <c r="I49" s="267"/>
      <c r="J49" s="267" t="s">
        <v>1068</v>
      </c>
      <c r="K49" s="267" t="s">
        <v>880</v>
      </c>
      <c r="L49" s="71">
        <f>'Phan tich_BB'!Y5</f>
        <v>378.00584000000003</v>
      </c>
      <c r="M49" t="s">
        <v>1065</v>
      </c>
    </row>
    <row r="50" spans="1:19" x14ac:dyDescent="0.3">
      <c r="A50" s="64">
        <f t="shared" si="1"/>
        <v>2474</v>
      </c>
      <c r="B50" s="7">
        <f t="shared" si="0"/>
        <v>46252</v>
      </c>
      <c r="C50" s="391" t="s">
        <v>1069</v>
      </c>
      <c r="D50" s="1" t="s">
        <v>1064</v>
      </c>
      <c r="E50" s="391" t="s">
        <v>1030</v>
      </c>
      <c r="F50" s="267"/>
      <c r="G50" s="267"/>
      <c r="H50" s="267"/>
      <c r="I50" s="267"/>
      <c r="J50" s="267" t="s">
        <v>1068</v>
      </c>
      <c r="K50" s="267" t="s">
        <v>881</v>
      </c>
      <c r="L50" s="71">
        <f>'Phan tich_BB'!Y6</f>
        <v>46.180500000000002</v>
      </c>
      <c r="M50" t="s">
        <v>1065</v>
      </c>
    </row>
    <row r="51" spans="1:19" x14ac:dyDescent="0.3">
      <c r="A51" s="64">
        <f t="shared" si="1"/>
        <v>2474</v>
      </c>
      <c r="B51" s="7">
        <f t="shared" si="0"/>
        <v>46252</v>
      </c>
      <c r="C51" s="391" t="s">
        <v>1069</v>
      </c>
      <c r="D51" s="1" t="s">
        <v>1064</v>
      </c>
      <c r="E51" s="391" t="s">
        <v>1030</v>
      </c>
      <c r="F51" s="267"/>
      <c r="G51" s="267"/>
      <c r="H51" s="267"/>
      <c r="I51" s="267"/>
      <c r="J51" s="267" t="s">
        <v>1068</v>
      </c>
      <c r="K51" s="267" t="s">
        <v>882</v>
      </c>
      <c r="L51" s="71">
        <f>'Phan tich_BB'!Y7</f>
        <v>1236.5695000000001</v>
      </c>
      <c r="M51" t="s">
        <v>1065</v>
      </c>
    </row>
    <row r="52" spans="1:19" x14ac:dyDescent="0.3">
      <c r="A52" s="64">
        <f t="shared" si="1"/>
        <v>2474</v>
      </c>
      <c r="B52" s="7">
        <f t="shared" si="0"/>
        <v>46252</v>
      </c>
      <c r="C52" s="391" t="s">
        <v>1069</v>
      </c>
      <c r="D52" s="1" t="s">
        <v>1064</v>
      </c>
      <c r="E52" s="391" t="s">
        <v>1030</v>
      </c>
      <c r="F52" s="267"/>
      <c r="G52" s="267"/>
      <c r="H52" s="267"/>
      <c r="I52" s="267"/>
      <c r="J52" s="267" t="s">
        <v>1068</v>
      </c>
      <c r="K52" s="267" t="s">
        <v>883</v>
      </c>
      <c r="L52" s="71">
        <f>'Phan tich_BB'!Y8</f>
        <v>970.02002999999991</v>
      </c>
      <c r="M52" t="s">
        <v>1065</v>
      </c>
    </row>
    <row r="53" spans="1:19" x14ac:dyDescent="0.3">
      <c r="A53" s="64">
        <f t="shared" si="1"/>
        <v>2474</v>
      </c>
      <c r="B53" s="7">
        <f t="shared" si="0"/>
        <v>46252</v>
      </c>
      <c r="C53" s="391" t="s">
        <v>1069</v>
      </c>
      <c r="D53" s="1" t="s">
        <v>1064</v>
      </c>
      <c r="E53" s="391" t="s">
        <v>1030</v>
      </c>
      <c r="F53" s="267"/>
      <c r="G53" s="267"/>
      <c r="H53" s="267"/>
      <c r="I53" s="267"/>
      <c r="J53" s="267" t="s">
        <v>1068</v>
      </c>
      <c r="K53" s="267" t="s">
        <v>884</v>
      </c>
      <c r="L53" s="71">
        <f>'Phan tich_BB'!Y9</f>
        <v>6022.398431654</v>
      </c>
      <c r="M53" t="s">
        <v>1065</v>
      </c>
    </row>
    <row r="54" spans="1:19" x14ac:dyDescent="0.3">
      <c r="A54" s="64">
        <f t="shared" si="1"/>
        <v>2474</v>
      </c>
      <c r="B54" s="7">
        <f t="shared" si="0"/>
        <v>46252</v>
      </c>
      <c r="C54" s="391" t="s">
        <v>1069</v>
      </c>
      <c r="D54" s="1" t="s">
        <v>1064</v>
      </c>
      <c r="E54" s="391" t="s">
        <v>1030</v>
      </c>
      <c r="F54" s="267"/>
      <c r="G54" s="267"/>
      <c r="H54" s="267"/>
      <c r="I54" s="267"/>
      <c r="J54" s="267" t="s">
        <v>1068</v>
      </c>
      <c r="K54" s="267" t="s">
        <v>885</v>
      </c>
      <c r="L54" s="71">
        <f>'Phan tich_BB'!Y10</f>
        <v>44.808</v>
      </c>
      <c r="M54" t="s">
        <v>1065</v>
      </c>
    </row>
    <row r="55" spans="1:19" x14ac:dyDescent="0.3">
      <c r="A55" s="64">
        <f t="shared" si="1"/>
        <v>2474</v>
      </c>
      <c r="B55" s="7">
        <f t="shared" si="0"/>
        <v>46252</v>
      </c>
      <c r="C55" s="391" t="s">
        <v>1069</v>
      </c>
      <c r="D55" s="1" t="s">
        <v>1064</v>
      </c>
      <c r="E55" s="391" t="s">
        <v>1030</v>
      </c>
      <c r="F55" s="267"/>
      <c r="G55" s="267"/>
      <c r="H55" s="267"/>
      <c r="I55" s="267"/>
      <c r="J55" s="267" t="s">
        <v>1068</v>
      </c>
      <c r="K55" s="267" t="s">
        <v>886</v>
      </c>
      <c r="L55" s="71">
        <f>'Phan tich_BB'!Y11</f>
        <v>553.98</v>
      </c>
      <c r="M55" t="s">
        <v>1065</v>
      </c>
    </row>
    <row r="56" spans="1:19" x14ac:dyDescent="0.3">
      <c r="A56" s="64">
        <f t="shared" si="1"/>
        <v>2474</v>
      </c>
      <c r="B56" s="7">
        <f t="shared" si="0"/>
        <v>46252</v>
      </c>
      <c r="C56" s="391" t="s">
        <v>735</v>
      </c>
      <c r="D56" s="1" t="s">
        <v>1064</v>
      </c>
      <c r="E56" s="391" t="s">
        <v>1030</v>
      </c>
      <c r="F56" s="1"/>
      <c r="G56" s="1"/>
      <c r="H56" s="1"/>
      <c r="I56" s="1"/>
      <c r="J56" s="1"/>
      <c r="K56" s="31"/>
      <c r="L56" s="71">
        <f>ROUND('Phan tich_BB'!AD1,2)</f>
        <v>8.66</v>
      </c>
      <c r="M56" t="s">
        <v>1070</v>
      </c>
      <c r="N56" t="s">
        <v>2257</v>
      </c>
      <c r="S56" t="s">
        <v>2234</v>
      </c>
    </row>
    <row r="57" spans="1:19" x14ac:dyDescent="0.3">
      <c r="A57" s="64">
        <f t="shared" si="1"/>
        <v>2474</v>
      </c>
      <c r="B57" s="7">
        <f t="shared" si="0"/>
        <v>46252</v>
      </c>
      <c r="C57" s="391" t="s">
        <v>735</v>
      </c>
      <c r="D57" s="1" t="s">
        <v>1064</v>
      </c>
      <c r="E57" s="391" t="s">
        <v>1030</v>
      </c>
      <c r="F57" s="1"/>
      <c r="G57" s="1"/>
      <c r="H57" s="1"/>
      <c r="I57" s="1"/>
      <c r="J57" s="267" t="s">
        <v>1068</v>
      </c>
      <c r="K57" s="31" t="s">
        <v>877</v>
      </c>
      <c r="L57" s="71">
        <f>'Phan tich_BB'!AD2</f>
        <v>0</v>
      </c>
      <c r="M57" t="s">
        <v>1070</v>
      </c>
    </row>
    <row r="58" spans="1:19" x14ac:dyDescent="0.3">
      <c r="A58" s="64">
        <f t="shared" si="1"/>
        <v>2474</v>
      </c>
      <c r="B58" s="7">
        <f t="shared" si="0"/>
        <v>46252</v>
      </c>
      <c r="C58" s="391" t="s">
        <v>735</v>
      </c>
      <c r="D58" s="1" t="s">
        <v>1064</v>
      </c>
      <c r="E58" s="391" t="s">
        <v>1030</v>
      </c>
      <c r="F58" s="1"/>
      <c r="G58" s="1"/>
      <c r="H58" s="1"/>
      <c r="I58" s="1"/>
      <c r="J58" s="267" t="s">
        <v>1068</v>
      </c>
      <c r="K58" s="31" t="s">
        <v>878</v>
      </c>
      <c r="L58" s="71">
        <f>'Phan tich_BB'!AD3</f>
        <v>2.1745602420734746</v>
      </c>
      <c r="M58" t="s">
        <v>1070</v>
      </c>
    </row>
    <row r="59" spans="1:19" x14ac:dyDescent="0.3">
      <c r="A59" s="64">
        <f t="shared" si="1"/>
        <v>2474</v>
      </c>
      <c r="B59" s="7">
        <f t="shared" si="0"/>
        <v>46252</v>
      </c>
      <c r="C59" s="391" t="s">
        <v>735</v>
      </c>
      <c r="D59" s="1" t="s">
        <v>1064</v>
      </c>
      <c r="E59" s="391" t="s">
        <v>1030</v>
      </c>
      <c r="F59" s="1"/>
      <c r="G59" s="1"/>
      <c r="H59" s="1"/>
      <c r="I59" s="1"/>
      <c r="J59" s="267" t="s">
        <v>1068</v>
      </c>
      <c r="K59" s="31" t="s">
        <v>879</v>
      </c>
      <c r="L59" s="71">
        <f>'Phan tich_BB'!AD4</f>
        <v>2.9832561802200406</v>
      </c>
      <c r="M59" t="s">
        <v>1070</v>
      </c>
    </row>
    <row r="60" spans="1:19" x14ac:dyDescent="0.3">
      <c r="A60" s="64">
        <f t="shared" si="1"/>
        <v>2474</v>
      </c>
      <c r="B60" s="7">
        <f t="shared" si="0"/>
        <v>46252</v>
      </c>
      <c r="C60" s="391" t="s">
        <v>735</v>
      </c>
      <c r="D60" s="1" t="s">
        <v>1064</v>
      </c>
      <c r="E60" s="391" t="s">
        <v>1030</v>
      </c>
      <c r="F60" s="1"/>
      <c r="G60" s="1"/>
      <c r="H60" s="1"/>
      <c r="I60" s="1"/>
      <c r="J60" s="267" t="s">
        <v>1068</v>
      </c>
      <c r="K60" s="31" t="s">
        <v>880</v>
      </c>
      <c r="L60" s="71">
        <f>'Phan tich_BB'!AD5</f>
        <v>3.5703773200730526</v>
      </c>
      <c r="M60" t="s">
        <v>1070</v>
      </c>
    </row>
    <row r="61" spans="1:19" x14ac:dyDescent="0.3">
      <c r="A61" s="64">
        <f t="shared" si="1"/>
        <v>2474</v>
      </c>
      <c r="B61" s="7">
        <f t="shared" si="0"/>
        <v>46252</v>
      </c>
      <c r="C61" s="391" t="s">
        <v>735</v>
      </c>
      <c r="D61" s="1" t="s">
        <v>1064</v>
      </c>
      <c r="E61" s="391" t="s">
        <v>1030</v>
      </c>
      <c r="F61" s="1"/>
      <c r="G61" s="1"/>
      <c r="H61" s="1"/>
      <c r="I61" s="1"/>
      <c r="J61" s="267" t="s">
        <v>1068</v>
      </c>
      <c r="K61" s="31" t="s">
        <v>881</v>
      </c>
      <c r="L61" s="71">
        <f>'Phan tich_BB'!AD6</f>
        <v>4.4072420000000001</v>
      </c>
      <c r="M61" t="s">
        <v>1070</v>
      </c>
    </row>
    <row r="62" spans="1:19" x14ac:dyDescent="0.3">
      <c r="A62" s="64">
        <f t="shared" si="1"/>
        <v>2474</v>
      </c>
      <c r="B62" s="7">
        <f t="shared" si="0"/>
        <v>46252</v>
      </c>
      <c r="C62" s="391" t="s">
        <v>735</v>
      </c>
      <c r="D62" s="1" t="s">
        <v>1064</v>
      </c>
      <c r="E62" s="391" t="s">
        <v>1030</v>
      </c>
      <c r="F62" s="1"/>
      <c r="G62" s="1"/>
      <c r="H62" s="1"/>
      <c r="I62" s="1"/>
      <c r="J62" s="267" t="s">
        <v>1068</v>
      </c>
      <c r="K62" s="31" t="s">
        <v>882</v>
      </c>
      <c r="L62" s="71">
        <f>'Phan tich_BB'!AD7</f>
        <v>6.0062834658280977</v>
      </c>
      <c r="M62" t="s">
        <v>1070</v>
      </c>
    </row>
    <row r="63" spans="1:19" x14ac:dyDescent="0.3">
      <c r="A63" s="64">
        <f t="shared" si="1"/>
        <v>2474</v>
      </c>
      <c r="B63" s="7">
        <f t="shared" si="0"/>
        <v>46252</v>
      </c>
      <c r="C63" s="391" t="s">
        <v>735</v>
      </c>
      <c r="D63" s="1" t="s">
        <v>1064</v>
      </c>
      <c r="E63" s="391" t="s">
        <v>1030</v>
      </c>
      <c r="F63" s="1"/>
      <c r="G63" s="1"/>
      <c r="H63" s="1"/>
      <c r="I63" s="1"/>
      <c r="J63" s="267" t="s">
        <v>1068</v>
      </c>
      <c r="K63" s="31" t="s">
        <v>883</v>
      </c>
      <c r="L63" s="71">
        <f>'Phan tich_BB'!AD8</f>
        <v>7.5360060233907582</v>
      </c>
      <c r="M63" t="s">
        <v>1070</v>
      </c>
    </row>
    <row r="64" spans="1:19" x14ac:dyDescent="0.3">
      <c r="A64" s="64">
        <f t="shared" si="1"/>
        <v>2474</v>
      </c>
      <c r="B64" s="7">
        <f t="shared" si="0"/>
        <v>46252</v>
      </c>
      <c r="C64" s="391" t="s">
        <v>735</v>
      </c>
      <c r="D64" s="1" t="s">
        <v>1064</v>
      </c>
      <c r="E64" s="391" t="s">
        <v>1030</v>
      </c>
      <c r="F64" s="1"/>
      <c r="G64" s="1"/>
      <c r="H64" s="1"/>
      <c r="I64" s="1"/>
      <c r="J64" s="267" t="s">
        <v>1068</v>
      </c>
      <c r="K64" s="31" t="s">
        <v>884</v>
      </c>
      <c r="L64" s="71">
        <f>'Phan tich_BB'!AD9</f>
        <v>9.882541932946733</v>
      </c>
      <c r="M64" t="s">
        <v>1070</v>
      </c>
    </row>
    <row r="65" spans="1:13" x14ac:dyDescent="0.3">
      <c r="A65" s="64">
        <f t="shared" si="1"/>
        <v>2474</v>
      </c>
      <c r="B65" s="7">
        <f t="shared" ref="B65:B97" si="2">RPT</f>
        <v>46252</v>
      </c>
      <c r="C65" s="391" t="s">
        <v>735</v>
      </c>
      <c r="D65" s="1" t="s">
        <v>1064</v>
      </c>
      <c r="E65" s="391" t="s">
        <v>1030</v>
      </c>
      <c r="F65" s="1"/>
      <c r="G65" s="1"/>
      <c r="H65" s="1"/>
      <c r="I65" s="1"/>
      <c r="J65" s="267" t="s">
        <v>1068</v>
      </c>
      <c r="K65" s="31" t="s">
        <v>885</v>
      </c>
      <c r="L65" s="71">
        <f>'Phan tich_BB'!AD10</f>
        <v>12.257869019999999</v>
      </c>
      <c r="M65" t="s">
        <v>1070</v>
      </c>
    </row>
    <row r="66" spans="1:13" x14ac:dyDescent="0.3">
      <c r="A66" s="64">
        <f t="shared" si="1"/>
        <v>2474</v>
      </c>
      <c r="B66" s="7">
        <f t="shared" si="2"/>
        <v>46252</v>
      </c>
      <c r="C66" s="391" t="s">
        <v>735</v>
      </c>
      <c r="D66" s="1" t="s">
        <v>1064</v>
      </c>
      <c r="E66" s="391" t="s">
        <v>1030</v>
      </c>
      <c r="F66" s="1"/>
      <c r="G66" s="1"/>
      <c r="H66" s="1"/>
      <c r="I66" s="1"/>
      <c r="J66" s="267" t="s">
        <v>1068</v>
      </c>
      <c r="K66" s="31" t="s">
        <v>886</v>
      </c>
      <c r="L66" s="71">
        <f>'Phan tich_BB'!AD11</f>
        <v>15.788156409999999</v>
      </c>
      <c r="M66" t="s">
        <v>1070</v>
      </c>
    </row>
    <row r="67" spans="1:13" x14ac:dyDescent="0.3">
      <c r="A67" s="64">
        <f t="shared" ref="A67:A135" si="3">$X$3</f>
        <v>2474</v>
      </c>
      <c r="B67" s="7">
        <f t="shared" si="2"/>
        <v>46252</v>
      </c>
      <c r="C67" s="391" t="s">
        <v>1071</v>
      </c>
      <c r="D67" s="1" t="s">
        <v>1064</v>
      </c>
      <c r="E67" s="391" t="s">
        <v>1030</v>
      </c>
      <c r="F67" s="1"/>
      <c r="G67" s="1"/>
      <c r="H67" s="1"/>
      <c r="I67" s="1"/>
      <c r="J67" s="1"/>
      <c r="K67" s="31"/>
      <c r="L67" s="71">
        <f>'Phan tich_BB'!AD12</f>
        <v>8.288714734073265</v>
      </c>
    </row>
    <row r="68" spans="1:13" x14ac:dyDescent="0.3">
      <c r="A68" s="64">
        <f t="shared" si="3"/>
        <v>2474</v>
      </c>
      <c r="B68" s="7">
        <f t="shared" si="2"/>
        <v>46252</v>
      </c>
      <c r="C68" s="391" t="s">
        <v>1071</v>
      </c>
      <c r="D68" s="1" t="s">
        <v>1064</v>
      </c>
      <c r="E68" s="391" t="s">
        <v>1030</v>
      </c>
      <c r="F68" s="267"/>
      <c r="G68" s="267"/>
      <c r="H68" s="267"/>
      <c r="I68" s="267"/>
      <c r="J68" s="267" t="s">
        <v>1068</v>
      </c>
      <c r="K68" s="267" t="s">
        <v>877</v>
      </c>
      <c r="L68" s="71">
        <f>'Phan tich_BB'!AD13</f>
        <v>0</v>
      </c>
    </row>
    <row r="69" spans="1:13" x14ac:dyDescent="0.3">
      <c r="A69" s="64">
        <f t="shared" si="3"/>
        <v>2474</v>
      </c>
      <c r="B69" s="7">
        <f t="shared" si="2"/>
        <v>46252</v>
      </c>
      <c r="C69" s="391" t="s">
        <v>1071</v>
      </c>
      <c r="D69" s="1" t="s">
        <v>1064</v>
      </c>
      <c r="E69" s="391" t="s">
        <v>1030</v>
      </c>
      <c r="F69" s="267"/>
      <c r="G69" s="267"/>
      <c r="H69" s="267"/>
      <c r="I69" s="267"/>
      <c r="J69" s="267" t="s">
        <v>1068</v>
      </c>
      <c r="K69" s="267" t="s">
        <v>878</v>
      </c>
      <c r="L69" s="71">
        <f>'Phan tich_BB'!AD14</f>
        <v>2.0878859353104686</v>
      </c>
    </row>
    <row r="70" spans="1:13" x14ac:dyDescent="0.3">
      <c r="A70" s="64">
        <f t="shared" si="3"/>
        <v>2474</v>
      </c>
      <c r="B70" s="7">
        <f t="shared" si="2"/>
        <v>46252</v>
      </c>
      <c r="C70" s="391" t="s">
        <v>1071</v>
      </c>
      <c r="D70" s="1" t="s">
        <v>1064</v>
      </c>
      <c r="E70" s="391" t="s">
        <v>1030</v>
      </c>
      <c r="F70" s="267"/>
      <c r="G70" s="267"/>
      <c r="H70" s="267"/>
      <c r="I70" s="267"/>
      <c r="J70" s="267" t="s">
        <v>1068</v>
      </c>
      <c r="K70" s="267" t="s">
        <v>879</v>
      </c>
      <c r="L70" s="71">
        <f>'Phan tich_BB'!AD15</f>
        <v>2.861291768069012</v>
      </c>
    </row>
    <row r="71" spans="1:13" x14ac:dyDescent="0.3">
      <c r="A71" s="64">
        <f t="shared" si="3"/>
        <v>2474</v>
      </c>
      <c r="B71" s="7">
        <f t="shared" si="2"/>
        <v>46252</v>
      </c>
      <c r="C71" s="391" t="s">
        <v>1071</v>
      </c>
      <c r="D71" s="1" t="s">
        <v>1064</v>
      </c>
      <c r="E71" s="391" t="s">
        <v>1030</v>
      </c>
      <c r="F71" s="267"/>
      <c r="G71" s="267"/>
      <c r="H71" s="267"/>
      <c r="I71" s="267"/>
      <c r="J71" s="267" t="s">
        <v>1068</v>
      </c>
      <c r="K71" s="267" t="s">
        <v>880</v>
      </c>
      <c r="L71" s="71">
        <f>'Phan tich_BB'!AD16</f>
        <v>3.4358449547109458</v>
      </c>
    </row>
    <row r="72" spans="1:13" x14ac:dyDescent="0.3">
      <c r="A72" s="64">
        <f t="shared" si="3"/>
        <v>2474</v>
      </c>
      <c r="B72" s="7">
        <f t="shared" si="2"/>
        <v>46252</v>
      </c>
      <c r="C72" s="391" t="s">
        <v>1071</v>
      </c>
      <c r="D72" s="1" t="s">
        <v>1064</v>
      </c>
      <c r="E72" s="391" t="s">
        <v>1030</v>
      </c>
      <c r="F72" s="267"/>
      <c r="G72" s="267"/>
      <c r="H72" s="267"/>
      <c r="I72" s="267"/>
      <c r="J72" s="267" t="s">
        <v>1068</v>
      </c>
      <c r="K72" s="267" t="s">
        <v>881</v>
      </c>
      <c r="L72" s="71">
        <f>'Phan tich_BB'!AD17</f>
        <v>4.2319838045329004</v>
      </c>
    </row>
    <row r="73" spans="1:13" x14ac:dyDescent="0.3">
      <c r="A73" s="64">
        <f t="shared" si="3"/>
        <v>2474</v>
      </c>
      <c r="B73" s="7">
        <f t="shared" si="2"/>
        <v>46252</v>
      </c>
      <c r="C73" s="391" t="s">
        <v>1071</v>
      </c>
      <c r="D73" s="1" t="s">
        <v>1064</v>
      </c>
      <c r="E73" s="391" t="s">
        <v>1030</v>
      </c>
      <c r="F73" s="267"/>
      <c r="G73" s="267"/>
      <c r="H73" s="267"/>
      <c r="I73" s="267"/>
      <c r="J73" s="267" t="s">
        <v>1068</v>
      </c>
      <c r="K73" s="267" t="s">
        <v>882</v>
      </c>
      <c r="L73" s="71">
        <f>'Phan tich_BB'!AD18</f>
        <v>5.7581431032772654</v>
      </c>
    </row>
    <row r="74" spans="1:13" x14ac:dyDescent="0.3">
      <c r="A74" s="64">
        <f t="shared" si="3"/>
        <v>2474</v>
      </c>
      <c r="B74" s="7">
        <f t="shared" si="2"/>
        <v>46252</v>
      </c>
      <c r="C74" s="391" t="s">
        <v>1071</v>
      </c>
      <c r="D74" s="1" t="s">
        <v>1064</v>
      </c>
      <c r="E74" s="391" t="s">
        <v>1030</v>
      </c>
      <c r="F74" s="267"/>
      <c r="G74" s="267"/>
      <c r="H74" s="267"/>
      <c r="I74" s="267"/>
      <c r="J74" s="267" t="s">
        <v>1068</v>
      </c>
      <c r="K74" s="267" t="s">
        <v>883</v>
      </c>
      <c r="L74" s="71">
        <f>'Phan tich_BB'!AD19</f>
        <v>7.2185936732326921</v>
      </c>
    </row>
    <row r="75" spans="1:13" x14ac:dyDescent="0.3">
      <c r="A75" s="64">
        <f t="shared" si="3"/>
        <v>2474</v>
      </c>
      <c r="B75" s="7">
        <f t="shared" si="2"/>
        <v>46252</v>
      </c>
      <c r="C75" s="391" t="s">
        <v>1071</v>
      </c>
      <c r="D75" s="1" t="s">
        <v>1064</v>
      </c>
      <c r="E75" s="391" t="s">
        <v>1030</v>
      </c>
      <c r="F75" s="267"/>
      <c r="G75" s="267"/>
      <c r="H75" s="267"/>
      <c r="I75" s="267"/>
      <c r="J75" s="267" t="s">
        <v>1068</v>
      </c>
      <c r="K75" s="267" t="s">
        <v>884</v>
      </c>
      <c r="L75" s="71">
        <f>'Phan tich_BB'!AD20</f>
        <v>9.4518354722738405</v>
      </c>
    </row>
    <row r="76" spans="1:13" x14ac:dyDescent="0.3">
      <c r="A76" s="64">
        <f t="shared" si="3"/>
        <v>2474</v>
      </c>
      <c r="B76" s="7">
        <f t="shared" si="2"/>
        <v>46252</v>
      </c>
      <c r="C76" s="391" t="s">
        <v>1071</v>
      </c>
      <c r="D76" s="1" t="s">
        <v>1064</v>
      </c>
      <c r="E76" s="391" t="s">
        <v>1030</v>
      </c>
      <c r="F76" s="267"/>
      <c r="G76" s="267"/>
      <c r="H76" s="267"/>
      <c r="I76" s="267"/>
      <c r="J76" s="267" t="s">
        <v>1068</v>
      </c>
      <c r="K76" s="267" t="s">
        <v>885</v>
      </c>
      <c r="L76" s="71">
        <f>'Phan tich_BB'!AD21</f>
        <v>11.7180954083719</v>
      </c>
    </row>
    <row r="77" spans="1:13" x14ac:dyDescent="0.3">
      <c r="A77" s="64">
        <f t="shared" si="3"/>
        <v>2474</v>
      </c>
      <c r="B77" s="7">
        <f t="shared" si="2"/>
        <v>46252</v>
      </c>
      <c r="C77" s="391" t="s">
        <v>1071</v>
      </c>
      <c r="D77" s="1" t="s">
        <v>1064</v>
      </c>
      <c r="E77" s="391" t="s">
        <v>1030</v>
      </c>
      <c r="F77" s="267"/>
      <c r="G77" s="267"/>
      <c r="H77" s="267"/>
      <c r="I77" s="267"/>
      <c r="J77" s="267" t="s">
        <v>1068</v>
      </c>
      <c r="K77" s="267" t="s">
        <v>886</v>
      </c>
      <c r="L77" s="71">
        <f>'Phan tich_BB'!AD22</f>
        <v>15.0779556773807</v>
      </c>
    </row>
    <row r="78" spans="1:13" x14ac:dyDescent="0.3">
      <c r="A78" s="64">
        <f t="shared" si="3"/>
        <v>2474</v>
      </c>
      <c r="B78" s="7">
        <f t="shared" si="2"/>
        <v>46252</v>
      </c>
      <c r="C78" s="391" t="s">
        <v>854</v>
      </c>
      <c r="D78" s="1" t="s">
        <v>1064</v>
      </c>
      <c r="E78" s="391" t="s">
        <v>1030</v>
      </c>
      <c r="F78" s="1"/>
      <c r="G78" s="1"/>
      <c r="H78" s="1"/>
      <c r="I78" s="1"/>
      <c r="J78" s="1"/>
      <c r="K78" s="31"/>
      <c r="L78" s="71">
        <f>'Phan tich_BB'!AD23</f>
        <v>91.337442392056928</v>
      </c>
    </row>
    <row r="79" spans="1:13" x14ac:dyDescent="0.3">
      <c r="A79" s="64">
        <f t="shared" si="3"/>
        <v>2474</v>
      </c>
      <c r="B79" s="7">
        <f t="shared" si="2"/>
        <v>46252</v>
      </c>
      <c r="C79" s="391" t="s">
        <v>854</v>
      </c>
      <c r="D79" s="1" t="s">
        <v>1064</v>
      </c>
      <c r="E79" s="391" t="s">
        <v>1030</v>
      </c>
      <c r="F79" s="267"/>
      <c r="G79" s="267"/>
      <c r="H79" s="267"/>
      <c r="I79" s="267"/>
      <c r="J79" s="267" t="s">
        <v>1068</v>
      </c>
      <c r="K79" s="267" t="s">
        <v>877</v>
      </c>
      <c r="L79" s="71">
        <f>'Phan tich_BB'!AD24</f>
        <v>0</v>
      </c>
    </row>
    <row r="80" spans="1:13" x14ac:dyDescent="0.3">
      <c r="A80" s="64">
        <f t="shared" si="3"/>
        <v>2474</v>
      </c>
      <c r="B80" s="7">
        <f t="shared" si="2"/>
        <v>46252</v>
      </c>
      <c r="C80" s="391" t="s">
        <v>854</v>
      </c>
      <c r="D80" s="1" t="s">
        <v>1064</v>
      </c>
      <c r="E80" s="391" t="s">
        <v>1030</v>
      </c>
      <c r="F80" s="267"/>
      <c r="G80" s="267"/>
      <c r="H80" s="267"/>
      <c r="I80" s="267"/>
      <c r="J80" s="267" t="s">
        <v>1068</v>
      </c>
      <c r="K80" s="267" t="s">
        <v>878</v>
      </c>
      <c r="L80" s="71">
        <f>'Phan tich_BB'!AD25</f>
        <v>6.4903326671697865</v>
      </c>
    </row>
    <row r="81" spans="1:13" x14ac:dyDescent="0.3">
      <c r="A81" s="64">
        <f t="shared" si="3"/>
        <v>2474</v>
      </c>
      <c r="B81" s="7">
        <f t="shared" si="2"/>
        <v>46252</v>
      </c>
      <c r="C81" s="391" t="s">
        <v>854</v>
      </c>
      <c r="D81" s="1" t="s">
        <v>1064</v>
      </c>
      <c r="E81" s="391" t="s">
        <v>1030</v>
      </c>
      <c r="F81" s="267"/>
      <c r="G81" s="267"/>
      <c r="H81" s="267"/>
      <c r="I81" s="267"/>
      <c r="J81" s="267" t="s">
        <v>1068</v>
      </c>
      <c r="K81" s="267" t="s">
        <v>879</v>
      </c>
      <c r="L81" s="71">
        <f>'Phan tich_BB'!AD26</f>
        <v>11.416804014547091</v>
      </c>
    </row>
    <row r="82" spans="1:13" x14ac:dyDescent="0.3">
      <c r="A82" s="64">
        <f t="shared" si="3"/>
        <v>2474</v>
      </c>
      <c r="B82" s="7">
        <f t="shared" si="2"/>
        <v>46252</v>
      </c>
      <c r="C82" s="391" t="s">
        <v>854</v>
      </c>
      <c r="D82" s="1" t="s">
        <v>1064</v>
      </c>
      <c r="E82" s="391" t="s">
        <v>1030</v>
      </c>
      <c r="F82" s="267"/>
      <c r="G82" s="267"/>
      <c r="H82" s="267"/>
      <c r="I82" s="267"/>
      <c r="J82" s="267" t="s">
        <v>1068</v>
      </c>
      <c r="K82" s="267" t="s">
        <v>880</v>
      </c>
      <c r="L82" s="71">
        <f>'Phan tich_BB'!AD27</f>
        <v>16.247421048150059</v>
      </c>
    </row>
    <row r="83" spans="1:13" x14ac:dyDescent="0.3">
      <c r="A83" s="64">
        <f t="shared" si="3"/>
        <v>2474</v>
      </c>
      <c r="B83" s="7">
        <f t="shared" si="2"/>
        <v>46252</v>
      </c>
      <c r="C83" s="391" t="s">
        <v>854</v>
      </c>
      <c r="D83" s="1" t="s">
        <v>1064</v>
      </c>
      <c r="E83" s="391" t="s">
        <v>1030</v>
      </c>
      <c r="F83" s="267"/>
      <c r="G83" s="267"/>
      <c r="H83" s="267"/>
      <c r="I83" s="267"/>
      <c r="J83" s="267" t="s">
        <v>1068</v>
      </c>
      <c r="K83" s="267" t="s">
        <v>881</v>
      </c>
      <c r="L83" s="71">
        <f>'Phan tich_BB'!AD28</f>
        <v>22.912425491286196</v>
      </c>
    </row>
    <row r="84" spans="1:13" x14ac:dyDescent="0.3">
      <c r="A84" s="64">
        <f t="shared" si="3"/>
        <v>2474</v>
      </c>
      <c r="B84" s="7">
        <f t="shared" si="2"/>
        <v>46252</v>
      </c>
      <c r="C84" s="391" t="s">
        <v>854</v>
      </c>
      <c r="D84" s="1" t="s">
        <v>1064</v>
      </c>
      <c r="E84" s="391" t="s">
        <v>1030</v>
      </c>
      <c r="F84" s="267"/>
      <c r="G84" s="267"/>
      <c r="H84" s="267"/>
      <c r="I84" s="267"/>
      <c r="J84" s="267" t="s">
        <v>1068</v>
      </c>
      <c r="K84" s="267" t="s">
        <v>882</v>
      </c>
      <c r="L84" s="71">
        <f>'Phan tich_BB'!AD29</f>
        <v>43.745062329477946</v>
      </c>
    </row>
    <row r="85" spans="1:13" x14ac:dyDescent="0.3">
      <c r="A85" s="64">
        <f t="shared" si="3"/>
        <v>2474</v>
      </c>
      <c r="B85" s="7">
        <f t="shared" si="2"/>
        <v>46252</v>
      </c>
      <c r="C85" s="391" t="s">
        <v>854</v>
      </c>
      <c r="D85" s="1" t="s">
        <v>1064</v>
      </c>
      <c r="E85" s="391" t="s">
        <v>1030</v>
      </c>
      <c r="F85" s="267"/>
      <c r="G85" s="267"/>
      <c r="H85" s="267"/>
      <c r="I85" s="267"/>
      <c r="J85" s="267" t="s">
        <v>1068</v>
      </c>
      <c r="K85" s="267" t="s">
        <v>883</v>
      </c>
      <c r="L85" s="71">
        <f>'Phan tich_BB'!AD30</f>
        <v>62.290852119618783</v>
      </c>
    </row>
    <row r="86" spans="1:13" x14ac:dyDescent="0.3">
      <c r="A86" s="64">
        <f t="shared" si="3"/>
        <v>2474</v>
      </c>
      <c r="B86" s="7">
        <f t="shared" si="2"/>
        <v>46252</v>
      </c>
      <c r="C86" s="391" t="s">
        <v>854</v>
      </c>
      <c r="D86" s="1" t="s">
        <v>1064</v>
      </c>
      <c r="E86" s="391" t="s">
        <v>1030</v>
      </c>
      <c r="F86" s="267"/>
      <c r="G86" s="267"/>
      <c r="H86" s="267"/>
      <c r="I86" s="267"/>
      <c r="J86" s="267" t="s">
        <v>1068</v>
      </c>
      <c r="K86" s="267" t="s">
        <v>884</v>
      </c>
      <c r="L86" s="71">
        <f>'Phan tich_BB'!AD31</f>
        <v>112.92542191193968</v>
      </c>
    </row>
    <row r="87" spans="1:13" x14ac:dyDescent="0.3">
      <c r="A87" s="64">
        <f t="shared" si="3"/>
        <v>2474</v>
      </c>
      <c r="B87" s="7">
        <f t="shared" si="2"/>
        <v>46252</v>
      </c>
      <c r="C87" s="391" t="s">
        <v>854</v>
      </c>
      <c r="D87" s="1" t="s">
        <v>1064</v>
      </c>
      <c r="E87" s="391" t="s">
        <v>1030</v>
      </c>
      <c r="F87" s="267"/>
      <c r="G87" s="267"/>
      <c r="H87" s="267"/>
      <c r="I87" s="267"/>
      <c r="J87" s="267" t="s">
        <v>1068</v>
      </c>
      <c r="K87" s="267" t="s">
        <v>885</v>
      </c>
      <c r="L87" s="71">
        <f>'Phan tich_BB'!AD32</f>
        <v>177.51287295957289</v>
      </c>
    </row>
    <row r="88" spans="1:13" x14ac:dyDescent="0.3">
      <c r="A88" s="64">
        <f t="shared" si="3"/>
        <v>2474</v>
      </c>
      <c r="B88" s="7">
        <f t="shared" si="2"/>
        <v>46252</v>
      </c>
      <c r="C88" s="391" t="s">
        <v>854</v>
      </c>
      <c r="D88" s="1" t="s">
        <v>1064</v>
      </c>
      <c r="E88" s="391" t="s">
        <v>1030</v>
      </c>
      <c r="F88" s="267"/>
      <c r="G88" s="267"/>
      <c r="H88" s="267"/>
      <c r="I88" s="267"/>
      <c r="J88" s="267" t="s">
        <v>1068</v>
      </c>
      <c r="K88" s="267" t="s">
        <v>886</v>
      </c>
      <c r="L88" s="71">
        <f>'Phan tich_BB'!AD33</f>
        <v>325.46127060580602</v>
      </c>
    </row>
    <row r="89" spans="1:13" x14ac:dyDescent="0.3">
      <c r="A89" s="64">
        <f t="shared" si="3"/>
        <v>2474</v>
      </c>
      <c r="B89" s="7">
        <f t="shared" si="2"/>
        <v>46252</v>
      </c>
      <c r="C89" s="391" t="s">
        <v>852</v>
      </c>
      <c r="D89" s="1" t="s">
        <v>1064</v>
      </c>
      <c r="E89" s="391" t="s">
        <v>1030</v>
      </c>
      <c r="F89" s="1"/>
      <c r="G89" s="1"/>
      <c r="H89" s="1"/>
      <c r="I89" s="1"/>
      <c r="J89" s="1"/>
      <c r="K89" s="31"/>
      <c r="L89" s="71">
        <f>'Phan tich_BB'!AI1</f>
        <v>-8.4726393541234071</v>
      </c>
      <c r="M89" t="s">
        <v>1065</v>
      </c>
    </row>
    <row r="90" spans="1:13" x14ac:dyDescent="0.3">
      <c r="A90" s="64">
        <f t="shared" si="3"/>
        <v>2474</v>
      </c>
      <c r="B90" s="7">
        <f t="shared" si="2"/>
        <v>46252</v>
      </c>
      <c r="C90" s="391" t="s">
        <v>852</v>
      </c>
      <c r="D90" s="1" t="s">
        <v>1064</v>
      </c>
      <c r="E90" s="391" t="s">
        <v>1030</v>
      </c>
      <c r="F90" s="1"/>
      <c r="G90" s="1"/>
      <c r="H90" s="1"/>
      <c r="I90" s="1"/>
      <c r="J90" s="267" t="s">
        <v>1068</v>
      </c>
      <c r="K90" s="31" t="s">
        <v>915</v>
      </c>
      <c r="L90" s="71">
        <f>'Phan tich_BB'!AI2</f>
        <v>0</v>
      </c>
      <c r="M90" t="s">
        <v>1065</v>
      </c>
    </row>
    <row r="91" spans="1:13" x14ac:dyDescent="0.3">
      <c r="A91" s="64">
        <f t="shared" si="3"/>
        <v>2474</v>
      </c>
      <c r="B91" s="7">
        <f t="shared" si="2"/>
        <v>46252</v>
      </c>
      <c r="C91" s="391" t="s">
        <v>852</v>
      </c>
      <c r="D91" s="1" t="s">
        <v>1064</v>
      </c>
      <c r="E91" s="391" t="s">
        <v>1030</v>
      </c>
      <c r="F91" s="1"/>
      <c r="G91" s="1"/>
      <c r="H91" s="1"/>
      <c r="I91" s="1"/>
      <c r="J91" s="267" t="s">
        <v>1068</v>
      </c>
      <c r="K91" s="31" t="s">
        <v>917</v>
      </c>
      <c r="L91" s="71">
        <f>'Phan tich_BB'!AI3</f>
        <v>0</v>
      </c>
      <c r="M91" t="s">
        <v>1065</v>
      </c>
    </row>
    <row r="92" spans="1:13" x14ac:dyDescent="0.3">
      <c r="A92" s="64">
        <f t="shared" si="3"/>
        <v>2474</v>
      </c>
      <c r="B92" s="7">
        <f t="shared" si="2"/>
        <v>46252</v>
      </c>
      <c r="C92" s="391" t="s">
        <v>852</v>
      </c>
      <c r="D92" s="1" t="s">
        <v>1064</v>
      </c>
      <c r="E92" s="391" t="s">
        <v>1030</v>
      </c>
      <c r="F92" s="267"/>
      <c r="G92" s="267"/>
      <c r="H92" s="267"/>
      <c r="I92" s="267"/>
      <c r="J92" s="267" t="s">
        <v>1068</v>
      </c>
      <c r="K92" s="267" t="s">
        <v>877</v>
      </c>
      <c r="L92" s="71">
        <f>'Phan tich_BB'!AI4</f>
        <v>0</v>
      </c>
      <c r="M92" t="s">
        <v>1065</v>
      </c>
    </row>
    <row r="93" spans="1:13" x14ac:dyDescent="0.3">
      <c r="A93" s="64">
        <f t="shared" si="3"/>
        <v>2474</v>
      </c>
      <c r="B93" s="7">
        <f t="shared" si="2"/>
        <v>46252</v>
      </c>
      <c r="C93" s="391" t="s">
        <v>852</v>
      </c>
      <c r="D93" s="1" t="s">
        <v>1064</v>
      </c>
      <c r="E93" s="391" t="s">
        <v>1030</v>
      </c>
      <c r="F93" s="267"/>
      <c r="G93" s="267"/>
      <c r="H93" s="267"/>
      <c r="I93" s="267"/>
      <c r="J93" s="267" t="s">
        <v>1068</v>
      </c>
      <c r="K93" s="267" t="s">
        <v>878</v>
      </c>
      <c r="L93" s="71">
        <f>'Phan tich_BB'!AI5</f>
        <v>-0.12484461065625875</v>
      </c>
      <c r="M93" t="s">
        <v>1065</v>
      </c>
    </row>
    <row r="94" spans="1:13" x14ac:dyDescent="0.3">
      <c r="A94" s="64">
        <f t="shared" si="3"/>
        <v>2474</v>
      </c>
      <c r="B94" s="7">
        <f t="shared" si="2"/>
        <v>46252</v>
      </c>
      <c r="C94" s="391" t="s">
        <v>852</v>
      </c>
      <c r="D94" s="1" t="s">
        <v>1064</v>
      </c>
      <c r="E94" s="391" t="s">
        <v>1030</v>
      </c>
      <c r="F94" s="267"/>
      <c r="G94" s="267"/>
      <c r="H94" s="267"/>
      <c r="I94" s="267"/>
      <c r="J94" s="267" t="s">
        <v>1068</v>
      </c>
      <c r="K94" s="267" t="s">
        <v>879</v>
      </c>
      <c r="L94" s="71">
        <f>'Phan tich_BB'!AI6</f>
        <v>-6.0056953496220596E-2</v>
      </c>
      <c r="M94" t="s">
        <v>1065</v>
      </c>
    </row>
    <row r="95" spans="1:13" x14ac:dyDescent="0.3">
      <c r="A95" s="64">
        <f t="shared" si="3"/>
        <v>2474</v>
      </c>
      <c r="B95" s="7">
        <f t="shared" si="2"/>
        <v>46252</v>
      </c>
      <c r="C95" s="391" t="s">
        <v>852</v>
      </c>
      <c r="D95" s="1" t="s">
        <v>1064</v>
      </c>
      <c r="E95" s="391" t="s">
        <v>1030</v>
      </c>
      <c r="F95" s="267"/>
      <c r="G95" s="267"/>
      <c r="H95" s="267"/>
      <c r="I95" s="267"/>
      <c r="J95" s="267" t="s">
        <v>1068</v>
      </c>
      <c r="K95" s="267" t="s">
        <v>880</v>
      </c>
      <c r="L95" s="71">
        <f>'Phan tich_BB'!AI7</f>
        <v>-0.13090733924330314</v>
      </c>
      <c r="M95" t="s">
        <v>1065</v>
      </c>
    </row>
    <row r="96" spans="1:13" x14ac:dyDescent="0.3">
      <c r="A96" s="64">
        <f t="shared" si="3"/>
        <v>2474</v>
      </c>
      <c r="B96" s="7">
        <f t="shared" si="2"/>
        <v>46252</v>
      </c>
      <c r="C96" s="391" t="s">
        <v>852</v>
      </c>
      <c r="D96" s="1" t="s">
        <v>1064</v>
      </c>
      <c r="E96" s="391" t="s">
        <v>1030</v>
      </c>
      <c r="F96" s="267"/>
      <c r="G96" s="267"/>
      <c r="H96" s="267"/>
      <c r="I96" s="267"/>
      <c r="J96" s="267" t="s">
        <v>1068</v>
      </c>
      <c r="K96" s="267" t="s">
        <v>881</v>
      </c>
      <c r="L96" s="71">
        <f>'Phan tich_BB'!AI8</f>
        <v>-1.9714304461293346E-2</v>
      </c>
      <c r="M96" t="s">
        <v>1065</v>
      </c>
    </row>
    <row r="97" spans="1:20" x14ac:dyDescent="0.3">
      <c r="A97" s="64">
        <f t="shared" si="3"/>
        <v>2474</v>
      </c>
      <c r="B97" s="7">
        <f t="shared" si="2"/>
        <v>46252</v>
      </c>
      <c r="C97" s="391" t="s">
        <v>852</v>
      </c>
      <c r="D97" s="1" t="s">
        <v>1064</v>
      </c>
      <c r="E97" s="391" t="s">
        <v>1030</v>
      </c>
      <c r="F97" s="267"/>
      <c r="G97" s="267"/>
      <c r="H97" s="267"/>
      <c r="I97" s="267"/>
      <c r="J97" s="267" t="s">
        <v>1068</v>
      </c>
      <c r="K97" s="267" t="s">
        <v>882</v>
      </c>
      <c r="L97" s="71">
        <f>'Phan tich_BB'!AI9</f>
        <v>-0.72959815347827195</v>
      </c>
      <c r="M97" t="s">
        <v>1065</v>
      </c>
    </row>
    <row r="98" spans="1:20" x14ac:dyDescent="0.3">
      <c r="A98" s="64">
        <f t="shared" si="3"/>
        <v>2474</v>
      </c>
      <c r="B98" s="7">
        <f t="shared" ref="B98:B122" si="4">RPT</f>
        <v>46252</v>
      </c>
      <c r="C98" s="391" t="s">
        <v>852</v>
      </c>
      <c r="D98" s="1" t="s">
        <v>1064</v>
      </c>
      <c r="E98" s="391" t="s">
        <v>1030</v>
      </c>
      <c r="F98" s="267"/>
      <c r="G98" s="267"/>
      <c r="H98" s="267"/>
      <c r="I98" s="267"/>
      <c r="J98" s="267" t="s">
        <v>1068</v>
      </c>
      <c r="K98" s="267" t="s">
        <v>883</v>
      </c>
      <c r="L98" s="71">
        <f>'Phan tich_BB'!AI10</f>
        <v>-0.71433361936975426</v>
      </c>
      <c r="M98" t="s">
        <v>1065</v>
      </c>
    </row>
    <row r="99" spans="1:20" x14ac:dyDescent="0.3">
      <c r="A99" s="64">
        <f t="shared" si="3"/>
        <v>2474</v>
      </c>
      <c r="B99" s="7">
        <f t="shared" si="4"/>
        <v>46252</v>
      </c>
      <c r="C99" s="391" t="s">
        <v>852</v>
      </c>
      <c r="D99" s="1" t="s">
        <v>1064</v>
      </c>
      <c r="E99" s="391" t="s">
        <v>1030</v>
      </c>
      <c r="F99" s="267"/>
      <c r="G99" s="267"/>
      <c r="H99" s="267"/>
      <c r="I99" s="267"/>
      <c r="J99" s="267" t="s">
        <v>1068</v>
      </c>
      <c r="K99" s="267" t="s">
        <v>884</v>
      </c>
      <c r="L99" s="71">
        <f>'Phan tich_BB'!AI11</f>
        <v>-5.7901039570074255</v>
      </c>
      <c r="M99" t="s">
        <v>1065</v>
      </c>
    </row>
    <row r="100" spans="1:20" x14ac:dyDescent="0.3">
      <c r="A100" s="64">
        <f t="shared" si="3"/>
        <v>2474</v>
      </c>
      <c r="B100" s="7">
        <f t="shared" si="4"/>
        <v>46252</v>
      </c>
      <c r="C100" s="391" t="s">
        <v>852</v>
      </c>
      <c r="D100" s="1" t="s">
        <v>1064</v>
      </c>
      <c r="E100" s="391" t="s">
        <v>1030</v>
      </c>
      <c r="F100" s="267"/>
      <c r="G100" s="267"/>
      <c r="H100" s="267"/>
      <c r="I100" s="267"/>
      <c r="J100" s="267" t="s">
        <v>1068</v>
      </c>
      <c r="K100" s="267" t="s">
        <v>885</v>
      </c>
      <c r="L100" s="71">
        <f>'Phan tich_BB'!AI12</f>
        <v>-5.3303295673964468E-2</v>
      </c>
      <c r="M100" t="s">
        <v>1065</v>
      </c>
    </row>
    <row r="101" spans="1:20" x14ac:dyDescent="0.3">
      <c r="A101" s="64">
        <f t="shared" si="3"/>
        <v>2474</v>
      </c>
      <c r="B101" s="7">
        <f t="shared" si="4"/>
        <v>46252</v>
      </c>
      <c r="C101" s="391" t="s">
        <v>852</v>
      </c>
      <c r="D101" s="1" t="s">
        <v>1064</v>
      </c>
      <c r="E101" s="391" t="s">
        <v>1030</v>
      </c>
      <c r="F101" s="267"/>
      <c r="G101" s="267"/>
      <c r="H101" s="267"/>
      <c r="I101" s="267"/>
      <c r="J101" s="267" t="s">
        <v>1068</v>
      </c>
      <c r="K101" s="267" t="s">
        <v>886</v>
      </c>
      <c r="L101" s="71">
        <f>'Phan tich_BB'!AI13</f>
        <v>-0.84977712073691736</v>
      </c>
      <c r="M101" t="s">
        <v>1065</v>
      </c>
    </row>
    <row r="102" spans="1:20" x14ac:dyDescent="0.3">
      <c r="A102" s="64">
        <f t="shared" si="3"/>
        <v>2474</v>
      </c>
      <c r="B102" s="7">
        <f t="shared" si="4"/>
        <v>46252</v>
      </c>
      <c r="C102" s="391" t="s">
        <v>1049</v>
      </c>
      <c r="D102" s="1" t="s">
        <v>1064</v>
      </c>
      <c r="E102" s="391" t="s">
        <v>1030</v>
      </c>
      <c r="F102" s="267"/>
      <c r="G102" s="267"/>
      <c r="H102" s="267"/>
      <c r="I102" s="267"/>
      <c r="J102" s="267"/>
      <c r="K102" s="267"/>
      <c r="L102" s="121">
        <f>'Phan tich_BB'!P3</f>
        <v>-373.76205961800952</v>
      </c>
      <c r="M102" t="s">
        <v>1065</v>
      </c>
      <c r="T102" t="s">
        <v>1073</v>
      </c>
    </row>
    <row r="103" spans="1:20" x14ac:dyDescent="0.3">
      <c r="A103" s="64">
        <f t="shared" si="3"/>
        <v>2474</v>
      </c>
      <c r="B103" s="7">
        <f t="shared" si="4"/>
        <v>46252</v>
      </c>
      <c r="C103" s="391" t="s">
        <v>1074</v>
      </c>
      <c r="D103" s="1" t="s">
        <v>1064</v>
      </c>
      <c r="E103" s="391" t="s">
        <v>1030</v>
      </c>
      <c r="F103" s="267"/>
      <c r="G103" s="267"/>
      <c r="H103" s="267"/>
      <c r="I103" s="267"/>
      <c r="J103" s="267"/>
      <c r="K103" s="267"/>
      <c r="L103" s="121">
        <f>'Phan tich_BB'!P4</f>
        <v>197.84435864899046</v>
      </c>
      <c r="M103" t="s">
        <v>1065</v>
      </c>
      <c r="T103" t="s">
        <v>1073</v>
      </c>
    </row>
    <row r="104" spans="1:20" x14ac:dyDescent="0.3">
      <c r="A104" s="64">
        <f t="shared" si="3"/>
        <v>2474</v>
      </c>
      <c r="B104" s="7">
        <f t="shared" si="4"/>
        <v>46252</v>
      </c>
      <c r="C104" s="391" t="s">
        <v>1075</v>
      </c>
      <c r="D104" s="1" t="s">
        <v>1064</v>
      </c>
      <c r="E104" s="391" t="s">
        <v>1030</v>
      </c>
      <c r="F104" s="267"/>
      <c r="G104" s="267"/>
      <c r="H104" s="267"/>
      <c r="I104" s="267"/>
      <c r="J104" s="267"/>
      <c r="K104" s="267"/>
      <c r="L104" s="121">
        <f>'Phan tich_BB'!P5</f>
        <v>98.659842026990646</v>
      </c>
      <c r="M104" t="s">
        <v>1065</v>
      </c>
      <c r="T104" t="s">
        <v>1073</v>
      </c>
    </row>
    <row r="105" spans="1:20" x14ac:dyDescent="0.3">
      <c r="A105" s="64">
        <f t="shared" si="3"/>
        <v>2474</v>
      </c>
      <c r="B105" s="7">
        <f t="shared" si="4"/>
        <v>46252</v>
      </c>
      <c r="C105" s="391" t="s">
        <v>890</v>
      </c>
      <c r="D105" s="1" t="s">
        <v>1064</v>
      </c>
      <c r="E105" s="391" t="s">
        <v>1030</v>
      </c>
      <c r="F105" s="1"/>
      <c r="G105" s="1"/>
      <c r="H105" s="1"/>
      <c r="I105" s="391" t="s">
        <v>1076</v>
      </c>
      <c r="K105" s="31"/>
      <c r="L105" s="487">
        <f>'Phan tich_BB'!P1</f>
        <v>1533.3950518168247</v>
      </c>
      <c r="M105" t="s">
        <v>1065</v>
      </c>
      <c r="T105" t="s">
        <v>1073</v>
      </c>
    </row>
    <row r="106" spans="1:20" x14ac:dyDescent="0.3">
      <c r="A106" s="64">
        <f t="shared" si="3"/>
        <v>2474</v>
      </c>
      <c r="B106" s="7">
        <f t="shared" si="4"/>
        <v>46252</v>
      </c>
      <c r="C106" s="391" t="s">
        <v>890</v>
      </c>
      <c r="D106" s="1" t="s">
        <v>1064</v>
      </c>
      <c r="E106" s="391" t="s">
        <v>1030</v>
      </c>
      <c r="F106" s="1"/>
      <c r="G106" s="1"/>
      <c r="H106" s="1"/>
      <c r="I106" s="391" t="s">
        <v>1077</v>
      </c>
      <c r="J106" s="1"/>
      <c r="K106" s="31"/>
      <c r="L106" s="487">
        <f>'Phan tich_BB'!P2</f>
        <v>-2382.652674711434</v>
      </c>
      <c r="M106" t="s">
        <v>1065</v>
      </c>
      <c r="T106" t="s">
        <v>1073</v>
      </c>
    </row>
    <row r="107" spans="1:20" x14ac:dyDescent="0.3">
      <c r="A107" s="64">
        <f t="shared" si="3"/>
        <v>2474</v>
      </c>
      <c r="B107" s="7">
        <f t="shared" si="4"/>
        <v>46252</v>
      </c>
      <c r="C107" s="391" t="s">
        <v>890</v>
      </c>
      <c r="D107" s="1" t="s">
        <v>1064</v>
      </c>
      <c r="E107" s="391" t="s">
        <v>1030</v>
      </c>
      <c r="F107" s="1"/>
      <c r="G107" s="1"/>
      <c r="H107" s="1"/>
      <c r="I107" s="391" t="s">
        <v>1032</v>
      </c>
      <c r="J107" s="1"/>
      <c r="K107" s="31"/>
      <c r="L107" s="487">
        <f>'Phan tich_BB'!P6</f>
        <v>9533.3867064999995</v>
      </c>
      <c r="M107" t="s">
        <v>1065</v>
      </c>
    </row>
    <row r="108" spans="1:20" x14ac:dyDescent="0.3">
      <c r="A108" s="64">
        <f t="shared" si="3"/>
        <v>2474</v>
      </c>
      <c r="B108" s="7">
        <f t="shared" si="4"/>
        <v>46252</v>
      </c>
      <c r="C108" s="391" t="s">
        <v>807</v>
      </c>
      <c r="D108" s="1" t="s">
        <v>1064</v>
      </c>
      <c r="E108" s="391" t="s">
        <v>1030</v>
      </c>
      <c r="L108" s="71">
        <f>'Phan tich_BB'!C3</f>
        <v>2.5923702520851468</v>
      </c>
      <c r="M108" t="s">
        <v>1078</v>
      </c>
    </row>
    <row r="109" spans="1:20" x14ac:dyDescent="0.3">
      <c r="A109" s="64">
        <f t="shared" si="3"/>
        <v>2474</v>
      </c>
      <c r="B109" s="7">
        <f t="shared" si="4"/>
        <v>46252</v>
      </c>
      <c r="C109" s="391" t="s">
        <v>2757</v>
      </c>
      <c r="D109" s="1" t="s">
        <v>1064</v>
      </c>
      <c r="E109" s="391" t="s">
        <v>1030</v>
      </c>
      <c r="F109" s="267"/>
      <c r="G109" s="267"/>
      <c r="H109" s="267"/>
      <c r="I109" s="267"/>
      <c r="J109" s="267"/>
      <c r="K109" s="267"/>
      <c r="L109" s="71">
        <f>'Phan tich_BB'!O26</f>
        <v>-1747.8686982300464</v>
      </c>
      <c r="M109" t="s">
        <v>1065</v>
      </c>
      <c r="T109" s="1" t="s">
        <v>3690</v>
      </c>
    </row>
    <row r="110" spans="1:20" x14ac:dyDescent="0.3">
      <c r="A110" s="64">
        <f t="shared" si="3"/>
        <v>2474</v>
      </c>
      <c r="B110" s="7">
        <f t="shared" si="4"/>
        <v>46252</v>
      </c>
      <c r="C110" s="391" t="s">
        <v>2757</v>
      </c>
      <c r="D110" s="1" t="s">
        <v>1064</v>
      </c>
      <c r="E110" s="391" t="s">
        <v>1030</v>
      </c>
      <c r="K110" s="31" t="s">
        <v>915</v>
      </c>
      <c r="L110" s="71">
        <f>'Phan tich_BB'!O27</f>
        <v>0</v>
      </c>
      <c r="M110" t="s">
        <v>1065</v>
      </c>
      <c r="T110" s="1" t="s">
        <v>3690</v>
      </c>
    </row>
    <row r="111" spans="1:20" x14ac:dyDescent="0.3">
      <c r="A111" s="64">
        <f t="shared" si="3"/>
        <v>2474</v>
      </c>
      <c r="B111" s="7">
        <f t="shared" si="4"/>
        <v>46252</v>
      </c>
      <c r="C111" s="391" t="s">
        <v>2757</v>
      </c>
      <c r="D111" s="1" t="s">
        <v>1064</v>
      </c>
      <c r="E111" s="391" t="s">
        <v>1030</v>
      </c>
      <c r="K111" s="31" t="s">
        <v>917</v>
      </c>
      <c r="L111" s="71">
        <f>'Phan tich_BB'!O28</f>
        <v>0</v>
      </c>
      <c r="M111" t="s">
        <v>1065</v>
      </c>
      <c r="T111" s="1" t="s">
        <v>3690</v>
      </c>
    </row>
    <row r="112" spans="1:20" x14ac:dyDescent="0.3">
      <c r="A112" s="64">
        <f t="shared" si="3"/>
        <v>2474</v>
      </c>
      <c r="B112" s="7">
        <f t="shared" si="4"/>
        <v>46252</v>
      </c>
      <c r="C112" s="391" t="s">
        <v>2757</v>
      </c>
      <c r="D112" s="1" t="s">
        <v>1064</v>
      </c>
      <c r="E112" s="391" t="s">
        <v>1030</v>
      </c>
      <c r="K112" s="267" t="s">
        <v>877</v>
      </c>
      <c r="L112" s="71">
        <f>'Phan tich_BB'!O29</f>
        <v>0</v>
      </c>
      <c r="M112" t="s">
        <v>1065</v>
      </c>
      <c r="T112" s="1" t="s">
        <v>3690</v>
      </c>
    </row>
    <row r="113" spans="1:20" x14ac:dyDescent="0.3">
      <c r="A113" s="64">
        <f t="shared" si="3"/>
        <v>2474</v>
      </c>
      <c r="B113" s="7">
        <f t="shared" si="4"/>
        <v>46252</v>
      </c>
      <c r="C113" s="391" t="s">
        <v>2757</v>
      </c>
      <c r="D113" s="1" t="s">
        <v>1064</v>
      </c>
      <c r="E113" s="391" t="s">
        <v>1030</v>
      </c>
      <c r="K113" s="267" t="s">
        <v>878</v>
      </c>
      <c r="L113" s="71">
        <f>'Phan tich_BB'!O30</f>
        <v>-24.604833913181665</v>
      </c>
      <c r="M113" t="s">
        <v>1065</v>
      </c>
      <c r="T113" s="1" t="s">
        <v>3690</v>
      </c>
    </row>
    <row r="114" spans="1:20" x14ac:dyDescent="0.3">
      <c r="A114" s="64">
        <f t="shared" si="3"/>
        <v>2474</v>
      </c>
      <c r="B114" s="7">
        <f t="shared" si="4"/>
        <v>46252</v>
      </c>
      <c r="C114" s="391" t="s">
        <v>2757</v>
      </c>
      <c r="D114" s="1" t="s">
        <v>1064</v>
      </c>
      <c r="E114" s="391" t="s">
        <v>1030</v>
      </c>
      <c r="K114" s="267" t="s">
        <v>879</v>
      </c>
      <c r="L114" s="71">
        <f>'Phan tich_BB'!O31</f>
        <v>-11.034167300779941</v>
      </c>
      <c r="M114" t="s">
        <v>1065</v>
      </c>
      <c r="T114" s="1" t="s">
        <v>3690</v>
      </c>
    </row>
    <row r="115" spans="1:20" x14ac:dyDescent="0.3">
      <c r="A115" s="64">
        <f t="shared" si="3"/>
        <v>2474</v>
      </c>
      <c r="B115" s="7">
        <f t="shared" si="4"/>
        <v>46252</v>
      </c>
      <c r="C115" s="391" t="s">
        <v>2757</v>
      </c>
      <c r="D115" s="1" t="s">
        <v>1064</v>
      </c>
      <c r="E115" s="391" t="s">
        <v>1030</v>
      </c>
      <c r="K115" s="267" t="s">
        <v>880</v>
      </c>
      <c r="L115" s="71">
        <f>'Phan tich_BB'!O32</f>
        <v>-22.825166460088539</v>
      </c>
      <c r="M115" t="s">
        <v>1065</v>
      </c>
      <c r="T115" s="1" t="s">
        <v>3690</v>
      </c>
    </row>
    <row r="116" spans="1:20" x14ac:dyDescent="0.3">
      <c r="A116" s="64">
        <f t="shared" si="3"/>
        <v>2474</v>
      </c>
      <c r="B116" s="7">
        <f t="shared" si="4"/>
        <v>46252</v>
      </c>
      <c r="C116" s="391" t="s">
        <v>2757</v>
      </c>
      <c r="D116" s="1" t="s">
        <v>1064</v>
      </c>
      <c r="E116" s="391" t="s">
        <v>1030</v>
      </c>
      <c r="K116" s="267" t="s">
        <v>881</v>
      </c>
      <c r="L116" s="71">
        <f>'Phan tich_BB'!O33</f>
        <v>-4.2300555830581148</v>
      </c>
      <c r="M116" t="s">
        <v>1065</v>
      </c>
      <c r="T116" s="1" t="s">
        <v>3690</v>
      </c>
    </row>
    <row r="117" spans="1:20" x14ac:dyDescent="0.3">
      <c r="A117" s="64">
        <f t="shared" si="3"/>
        <v>2474</v>
      </c>
      <c r="B117" s="7">
        <f t="shared" si="4"/>
        <v>46252</v>
      </c>
      <c r="C117" s="391" t="s">
        <v>2757</v>
      </c>
      <c r="D117" s="1" t="s">
        <v>1064</v>
      </c>
      <c r="E117" s="391" t="s">
        <v>1030</v>
      </c>
      <c r="K117" s="267" t="s">
        <v>882</v>
      </c>
      <c r="L117" s="71">
        <f>'Phan tich_BB'!O34</f>
        <v>-154.72165914825518</v>
      </c>
      <c r="M117" t="s">
        <v>1065</v>
      </c>
      <c r="T117" s="1" t="s">
        <v>3690</v>
      </c>
    </row>
    <row r="118" spans="1:20" x14ac:dyDescent="0.3">
      <c r="A118" s="64">
        <f t="shared" si="3"/>
        <v>2474</v>
      </c>
      <c r="B118" s="7">
        <f t="shared" si="4"/>
        <v>46252</v>
      </c>
      <c r="C118" s="391" t="s">
        <v>2757</v>
      </c>
      <c r="D118" s="1" t="s">
        <v>1064</v>
      </c>
      <c r="E118" s="391" t="s">
        <v>1030</v>
      </c>
      <c r="K118" s="267" t="s">
        <v>883</v>
      </c>
      <c r="L118" s="71">
        <f>'Phan tich_BB'!O35</f>
        <v>-155.66975289038785</v>
      </c>
      <c r="M118" t="s">
        <v>1065</v>
      </c>
      <c r="T118" s="1" t="s">
        <v>3690</v>
      </c>
    </row>
    <row r="119" spans="1:20" x14ac:dyDescent="0.3">
      <c r="A119" s="64">
        <f t="shared" si="3"/>
        <v>2474</v>
      </c>
      <c r="B119" s="7">
        <f t="shared" si="4"/>
        <v>46252</v>
      </c>
      <c r="C119" s="391" t="s">
        <v>2757</v>
      </c>
      <c r="D119" s="1" t="s">
        <v>1064</v>
      </c>
      <c r="E119" s="391" t="s">
        <v>1030</v>
      </c>
      <c r="K119" s="267" t="s">
        <v>884</v>
      </c>
      <c r="L119" s="71">
        <f>'Phan tich_BB'!O36</f>
        <v>-1189.4461365830621</v>
      </c>
      <c r="M119" t="s">
        <v>1065</v>
      </c>
      <c r="T119" s="1" t="s">
        <v>3690</v>
      </c>
    </row>
    <row r="120" spans="1:20" x14ac:dyDescent="0.3">
      <c r="A120" s="64">
        <f t="shared" si="3"/>
        <v>2474</v>
      </c>
      <c r="B120" s="7">
        <f t="shared" si="4"/>
        <v>46252</v>
      </c>
      <c r="C120" s="391" t="s">
        <v>2757</v>
      </c>
      <c r="D120" s="1" t="s">
        <v>1064</v>
      </c>
      <c r="E120" s="391" t="s">
        <v>1030</v>
      </c>
      <c r="K120" s="267" t="s">
        <v>885</v>
      </c>
      <c r="L120" s="71">
        <f>'Phan tich_BB'!O37</f>
        <v>-9.8757117830352215</v>
      </c>
      <c r="M120" t="s">
        <v>1065</v>
      </c>
      <c r="T120" s="1" t="s">
        <v>3690</v>
      </c>
    </row>
    <row r="121" spans="1:20" x14ac:dyDescent="0.3">
      <c r="A121" s="64">
        <f t="shared" si="3"/>
        <v>2474</v>
      </c>
      <c r="B121" s="7">
        <f t="shared" si="4"/>
        <v>46252</v>
      </c>
      <c r="C121" s="391" t="s">
        <v>2757</v>
      </c>
      <c r="D121" s="1" t="s">
        <v>1064</v>
      </c>
      <c r="E121" s="391" t="s">
        <v>1030</v>
      </c>
      <c r="K121" s="267" t="s">
        <v>886</v>
      </c>
      <c r="L121" s="71">
        <f>'Phan tich_BB'!O38</f>
        <v>-175.46121456819873</v>
      </c>
      <c r="M121" t="s">
        <v>1065</v>
      </c>
      <c r="T121" s="1" t="s">
        <v>3690</v>
      </c>
    </row>
    <row r="122" spans="1:20" x14ac:dyDescent="0.3">
      <c r="A122" s="64">
        <f t="shared" si="3"/>
        <v>2474</v>
      </c>
      <c r="B122" s="7">
        <f t="shared" si="4"/>
        <v>46252</v>
      </c>
      <c r="C122" s="93" t="s">
        <v>2772</v>
      </c>
      <c r="D122" s="1" t="s">
        <v>1064</v>
      </c>
      <c r="E122" s="391" t="s">
        <v>1030</v>
      </c>
      <c r="L122" s="71">
        <f>'Phan tich_BB'!C4</f>
        <v>3.6190192788081146</v>
      </c>
      <c r="M122" t="s">
        <v>1078</v>
      </c>
    </row>
    <row r="123" spans="1:20" x14ac:dyDescent="0.3">
      <c r="A123" s="64">
        <f t="shared" si="3"/>
        <v>2474</v>
      </c>
      <c r="B123" s="7">
        <f t="shared" ref="B123:B166" si="5">RPT</f>
        <v>46252</v>
      </c>
      <c r="C123" s="391" t="s">
        <v>2795</v>
      </c>
      <c r="D123" t="s">
        <v>2806</v>
      </c>
      <c r="E123" s="391" t="s">
        <v>1030</v>
      </c>
      <c r="L123" s="192">
        <f>BS!C5</f>
        <v>10858.311299999999</v>
      </c>
      <c r="M123" t="s">
        <v>1065</v>
      </c>
    </row>
    <row r="124" spans="1:20" x14ac:dyDescent="0.3">
      <c r="A124" s="64">
        <f t="shared" si="3"/>
        <v>2474</v>
      </c>
      <c r="B124" s="7">
        <f t="shared" si="5"/>
        <v>46252</v>
      </c>
      <c r="C124" s="391" t="s">
        <v>2795</v>
      </c>
      <c r="D124" t="s">
        <v>2810</v>
      </c>
      <c r="E124" s="391" t="s">
        <v>1030</v>
      </c>
      <c r="L124" s="192">
        <f>BS!D5</f>
        <v>10040.170482877998</v>
      </c>
      <c r="M124" t="s">
        <v>1065</v>
      </c>
    </row>
    <row r="125" spans="1:20" x14ac:dyDescent="0.3">
      <c r="A125" s="64">
        <f t="shared" si="3"/>
        <v>2474</v>
      </c>
      <c r="B125" s="7">
        <f t="shared" si="5"/>
        <v>46252</v>
      </c>
      <c r="C125" s="391" t="s">
        <v>2795</v>
      </c>
      <c r="D125" t="s">
        <v>3283</v>
      </c>
      <c r="E125" s="391" t="s">
        <v>1030</v>
      </c>
      <c r="L125" s="192">
        <f>BS!E5</f>
        <v>954.45066116801001</v>
      </c>
      <c r="M125" t="s">
        <v>1065</v>
      </c>
    </row>
    <row r="126" spans="1:20" x14ac:dyDescent="0.3">
      <c r="A126" s="64">
        <f t="shared" si="3"/>
        <v>2474</v>
      </c>
      <c r="B126" s="7">
        <f t="shared" si="5"/>
        <v>46252</v>
      </c>
      <c r="C126" s="391" t="s">
        <v>2795</v>
      </c>
      <c r="D126" t="s">
        <v>2202</v>
      </c>
      <c r="E126" s="391" t="s">
        <v>1030</v>
      </c>
      <c r="L126" s="192">
        <f>BS!F5</f>
        <v>-1772.5914782900109</v>
      </c>
      <c r="M126" t="s">
        <v>1065</v>
      </c>
    </row>
    <row r="127" spans="1:20" x14ac:dyDescent="0.3">
      <c r="A127" s="64">
        <f t="shared" si="3"/>
        <v>2474</v>
      </c>
      <c r="B127" s="7">
        <f t="shared" si="5"/>
        <v>46252</v>
      </c>
      <c r="C127" s="391" t="s">
        <v>2795</v>
      </c>
      <c r="D127" t="s">
        <v>3537</v>
      </c>
      <c r="E127" s="391" t="s">
        <v>1030</v>
      </c>
      <c r="L127" s="192">
        <f>BS!G5</f>
        <v>-1968.0054382900112</v>
      </c>
      <c r="M127" t="s">
        <v>1065</v>
      </c>
    </row>
    <row r="128" spans="1:20" x14ac:dyDescent="0.3">
      <c r="A128" s="64">
        <f t="shared" si="3"/>
        <v>2474</v>
      </c>
      <c r="B128" s="7">
        <f t="shared" si="5"/>
        <v>46252</v>
      </c>
      <c r="C128" s="391" t="s">
        <v>2796</v>
      </c>
      <c r="D128" t="s">
        <v>2806</v>
      </c>
      <c r="E128" s="391" t="s">
        <v>1030</v>
      </c>
      <c r="L128" s="192">
        <f>BS!H5</f>
        <v>0</v>
      </c>
      <c r="M128" t="s">
        <v>1065</v>
      </c>
    </row>
    <row r="129" spans="1:13" x14ac:dyDescent="0.3">
      <c r="A129" s="64">
        <f t="shared" si="3"/>
        <v>2474</v>
      </c>
      <c r="B129" s="7">
        <f t="shared" si="5"/>
        <v>46252</v>
      </c>
      <c r="C129" s="391" t="s">
        <v>2796</v>
      </c>
      <c r="D129" t="s">
        <v>2810</v>
      </c>
      <c r="E129" s="391" t="s">
        <v>1030</v>
      </c>
      <c r="L129" s="192">
        <f>BS!I5</f>
        <v>0</v>
      </c>
      <c r="M129" t="s">
        <v>1065</v>
      </c>
    </row>
    <row r="130" spans="1:13" x14ac:dyDescent="0.3">
      <c r="A130" s="64">
        <f t="shared" si="3"/>
        <v>2474</v>
      </c>
      <c r="B130" s="7">
        <f t="shared" si="5"/>
        <v>46252</v>
      </c>
      <c r="C130" s="391" t="s">
        <v>2796</v>
      </c>
      <c r="D130" t="s">
        <v>3283</v>
      </c>
      <c r="E130" s="391" t="s">
        <v>1030</v>
      </c>
      <c r="L130" s="192">
        <f>BS!J5</f>
        <v>0</v>
      </c>
      <c r="M130" t="s">
        <v>1065</v>
      </c>
    </row>
    <row r="131" spans="1:13" x14ac:dyDescent="0.3">
      <c r="A131" s="64">
        <f t="shared" si="3"/>
        <v>2474</v>
      </c>
      <c r="B131" s="7">
        <f t="shared" si="5"/>
        <v>46252</v>
      </c>
      <c r="C131" s="391" t="s">
        <v>2796</v>
      </c>
      <c r="D131" t="s">
        <v>2202</v>
      </c>
      <c r="E131" s="391" t="s">
        <v>1030</v>
      </c>
      <c r="L131" s="192">
        <f>BS!K5</f>
        <v>0</v>
      </c>
      <c r="M131" t="s">
        <v>1065</v>
      </c>
    </row>
    <row r="132" spans="1:13" x14ac:dyDescent="0.3">
      <c r="A132" s="64">
        <f t="shared" si="3"/>
        <v>2474</v>
      </c>
      <c r="B132" s="7">
        <f t="shared" si="5"/>
        <v>46252</v>
      </c>
      <c r="C132" s="391" t="s">
        <v>2796</v>
      </c>
      <c r="D132" t="s">
        <v>3537</v>
      </c>
      <c r="E132" s="391" t="s">
        <v>1030</v>
      </c>
      <c r="L132" s="192">
        <f>BS!L5</f>
        <v>0</v>
      </c>
      <c r="M132" t="s">
        <v>1065</v>
      </c>
    </row>
    <row r="133" spans="1:13" x14ac:dyDescent="0.3">
      <c r="A133" s="64">
        <f t="shared" si="3"/>
        <v>2474</v>
      </c>
      <c r="B133" s="7">
        <f t="shared" si="5"/>
        <v>46252</v>
      </c>
      <c r="C133" s="391" t="s">
        <v>2805</v>
      </c>
      <c r="D133" t="s">
        <v>2806</v>
      </c>
      <c r="E133" s="391" t="s">
        <v>1030</v>
      </c>
      <c r="L133" s="192">
        <f>BS!M5</f>
        <v>0</v>
      </c>
      <c r="M133" t="s">
        <v>1065</v>
      </c>
    </row>
    <row r="134" spans="1:13" x14ac:dyDescent="0.3">
      <c r="A134" s="64">
        <f t="shared" si="3"/>
        <v>2474</v>
      </c>
      <c r="B134" s="7">
        <f t="shared" si="5"/>
        <v>46252</v>
      </c>
      <c r="C134" s="391" t="s">
        <v>2805</v>
      </c>
      <c r="D134" t="s">
        <v>2810</v>
      </c>
      <c r="E134" s="391" t="s">
        <v>1030</v>
      </c>
      <c r="L134" s="192">
        <f>BS!N5</f>
        <v>0</v>
      </c>
      <c r="M134" t="s">
        <v>1065</v>
      </c>
    </row>
    <row r="135" spans="1:13" x14ac:dyDescent="0.3">
      <c r="A135" s="64">
        <f t="shared" si="3"/>
        <v>2474</v>
      </c>
      <c r="B135" s="7">
        <f t="shared" si="5"/>
        <v>46252</v>
      </c>
      <c r="C135" s="391" t="s">
        <v>2805</v>
      </c>
      <c r="D135" t="s">
        <v>3283</v>
      </c>
      <c r="E135" s="391" t="s">
        <v>1030</v>
      </c>
      <c r="L135" s="192">
        <f>BS!O5</f>
        <v>0</v>
      </c>
      <c r="M135" t="s">
        <v>1065</v>
      </c>
    </row>
    <row r="136" spans="1:13" x14ac:dyDescent="0.3">
      <c r="A136" s="64">
        <f t="shared" ref="A136:A199" si="6">$X$3</f>
        <v>2474</v>
      </c>
      <c r="B136" s="7">
        <f t="shared" si="5"/>
        <v>46252</v>
      </c>
      <c r="C136" s="391" t="s">
        <v>2805</v>
      </c>
      <c r="D136" t="s">
        <v>2202</v>
      </c>
      <c r="E136" s="391" t="s">
        <v>1030</v>
      </c>
      <c r="L136" s="192">
        <f>BS!P5</f>
        <v>0</v>
      </c>
      <c r="M136" t="s">
        <v>1065</v>
      </c>
    </row>
    <row r="137" spans="1:13" x14ac:dyDescent="0.3">
      <c r="A137" s="64">
        <f t="shared" si="6"/>
        <v>2474</v>
      </c>
      <c r="B137" s="7">
        <f t="shared" si="5"/>
        <v>46252</v>
      </c>
      <c r="C137" s="391" t="s">
        <v>2805</v>
      </c>
      <c r="D137" t="s">
        <v>3537</v>
      </c>
      <c r="E137" s="391" t="s">
        <v>1030</v>
      </c>
      <c r="L137" s="192">
        <f>BS!Q5</f>
        <v>0</v>
      </c>
      <c r="M137" t="s">
        <v>1065</v>
      </c>
    </row>
    <row r="138" spans="1:13" x14ac:dyDescent="0.3">
      <c r="A138" s="64">
        <f t="shared" si="6"/>
        <v>2474</v>
      </c>
      <c r="B138" s="7">
        <f t="shared" si="5"/>
        <v>46252</v>
      </c>
      <c r="C138" s="391" t="s">
        <v>2850</v>
      </c>
      <c r="E138" s="391" t="s">
        <v>1030</v>
      </c>
      <c r="L138" s="71">
        <f>'Phan tich_BB'!T3</f>
        <v>737.26690252470473</v>
      </c>
      <c r="M138" t="s">
        <v>2848</v>
      </c>
    </row>
    <row r="139" spans="1:13" x14ac:dyDescent="0.3">
      <c r="A139" s="64">
        <f t="shared" si="6"/>
        <v>2474</v>
      </c>
      <c r="B139" s="7">
        <f t="shared" si="5"/>
        <v>46252</v>
      </c>
      <c r="C139" s="93" t="s">
        <v>890</v>
      </c>
      <c r="D139" t="s">
        <v>1064</v>
      </c>
      <c r="E139" s="93" t="s">
        <v>1030</v>
      </c>
      <c r="I139" t="s">
        <v>1076</v>
      </c>
      <c r="J139" t="s">
        <v>1068</v>
      </c>
      <c r="K139" s="10" t="s">
        <v>877</v>
      </c>
      <c r="L139" s="71">
        <f>'Phan tich_BB'!O12</f>
        <v>126.39334467741924</v>
      </c>
      <c r="M139" t="s">
        <v>1065</v>
      </c>
    </row>
    <row r="140" spans="1:13" x14ac:dyDescent="0.3">
      <c r="A140" s="64">
        <f t="shared" si="6"/>
        <v>2474</v>
      </c>
      <c r="B140" s="7">
        <f t="shared" si="5"/>
        <v>46252</v>
      </c>
      <c r="C140" s="93" t="s">
        <v>890</v>
      </c>
      <c r="D140" t="s">
        <v>1064</v>
      </c>
      <c r="E140" s="93" t="s">
        <v>1030</v>
      </c>
      <c r="I140" t="s">
        <v>1076</v>
      </c>
      <c r="J140" t="s">
        <v>1068</v>
      </c>
      <c r="K140" s="10" t="s">
        <v>878</v>
      </c>
      <c r="L140" s="71">
        <f>'Phan tich_BB'!O13</f>
        <v>83.492099999999965</v>
      </c>
      <c r="M140" t="s">
        <v>1065</v>
      </c>
    </row>
    <row r="141" spans="1:13" x14ac:dyDescent="0.3">
      <c r="A141" s="64">
        <f t="shared" si="6"/>
        <v>2474</v>
      </c>
      <c r="B141" s="7">
        <f t="shared" si="5"/>
        <v>46252</v>
      </c>
      <c r="C141" s="93" t="s">
        <v>890</v>
      </c>
      <c r="D141" t="s">
        <v>1064</v>
      </c>
      <c r="E141" s="93" t="s">
        <v>1030</v>
      </c>
      <c r="I141" t="s">
        <v>1076</v>
      </c>
      <c r="J141" t="s">
        <v>1068</v>
      </c>
      <c r="K141" s="10" t="s">
        <v>879</v>
      </c>
      <c r="L141" s="71">
        <f>'Phan tich_BB'!O14</f>
        <v>93.673349346351827</v>
      </c>
      <c r="M141" t="s">
        <v>1065</v>
      </c>
    </row>
    <row r="142" spans="1:13" x14ac:dyDescent="0.3">
      <c r="A142" s="64">
        <f t="shared" si="6"/>
        <v>2474</v>
      </c>
      <c r="B142" s="7">
        <f t="shared" si="5"/>
        <v>46252</v>
      </c>
      <c r="C142" s="93" t="s">
        <v>890</v>
      </c>
      <c r="D142" t="s">
        <v>1064</v>
      </c>
      <c r="E142" s="93" t="s">
        <v>1030</v>
      </c>
      <c r="I142" t="s">
        <v>1076</v>
      </c>
      <c r="J142" t="s">
        <v>1068</v>
      </c>
      <c r="K142" s="10" t="s">
        <v>880</v>
      </c>
      <c r="L142" s="71">
        <f>'Phan tich_BB'!O15</f>
        <v>127.87935499999999</v>
      </c>
      <c r="M142" t="s">
        <v>1065</v>
      </c>
    </row>
    <row r="143" spans="1:13" x14ac:dyDescent="0.3">
      <c r="A143" s="64">
        <f t="shared" si="6"/>
        <v>2474</v>
      </c>
      <c r="B143" s="7">
        <f t="shared" si="5"/>
        <v>46252</v>
      </c>
      <c r="C143" s="93" t="s">
        <v>890</v>
      </c>
      <c r="D143" t="s">
        <v>1064</v>
      </c>
      <c r="E143" s="93" t="s">
        <v>1030</v>
      </c>
      <c r="I143" t="s">
        <v>1076</v>
      </c>
      <c r="J143" t="s">
        <v>1068</v>
      </c>
      <c r="K143" s="10" t="s">
        <v>881</v>
      </c>
      <c r="L143" s="71">
        <f>'Phan tich_BB'!O16</f>
        <v>145.63067000000001</v>
      </c>
      <c r="M143" t="s">
        <v>1065</v>
      </c>
    </row>
    <row r="144" spans="1:13" x14ac:dyDescent="0.3">
      <c r="A144" s="64">
        <f t="shared" si="6"/>
        <v>2474</v>
      </c>
      <c r="B144" s="7">
        <f t="shared" si="5"/>
        <v>46252</v>
      </c>
      <c r="C144" s="93" t="s">
        <v>890</v>
      </c>
      <c r="D144" t="s">
        <v>1064</v>
      </c>
      <c r="E144" s="93" t="s">
        <v>1030</v>
      </c>
      <c r="I144" t="s">
        <v>1076</v>
      </c>
      <c r="J144" t="s">
        <v>1068</v>
      </c>
      <c r="K144" s="10" t="s">
        <v>882</v>
      </c>
      <c r="L144" s="71">
        <f>'Phan tich_BB'!O17</f>
        <v>372.27882666666665</v>
      </c>
      <c r="M144" t="s">
        <v>1065</v>
      </c>
    </row>
    <row r="145" spans="1:13" x14ac:dyDescent="0.3">
      <c r="A145" s="64">
        <f t="shared" si="6"/>
        <v>2474</v>
      </c>
      <c r="B145" s="7">
        <f t="shared" si="5"/>
        <v>46252</v>
      </c>
      <c r="C145" s="93" t="s">
        <v>890</v>
      </c>
      <c r="D145" t="s">
        <v>1064</v>
      </c>
      <c r="E145" s="93" t="s">
        <v>1030</v>
      </c>
      <c r="I145" t="s">
        <v>1076</v>
      </c>
      <c r="J145" t="s">
        <v>1068</v>
      </c>
      <c r="K145" s="10" t="s">
        <v>883</v>
      </c>
      <c r="L145" s="71">
        <f>'Phan tich_BB'!O18</f>
        <v>11.633825308683814</v>
      </c>
      <c r="M145" t="s">
        <v>1065</v>
      </c>
    </row>
    <row r="146" spans="1:13" x14ac:dyDescent="0.3">
      <c r="A146" s="64">
        <f t="shared" si="6"/>
        <v>2474</v>
      </c>
      <c r="B146" s="7">
        <f t="shared" si="5"/>
        <v>46252</v>
      </c>
      <c r="C146" s="93" t="s">
        <v>890</v>
      </c>
      <c r="D146" t="s">
        <v>1064</v>
      </c>
      <c r="E146" s="93" t="s">
        <v>1030</v>
      </c>
      <c r="I146" t="s">
        <v>1076</v>
      </c>
      <c r="J146" t="s">
        <v>1068</v>
      </c>
      <c r="K146" s="10" t="s">
        <v>884</v>
      </c>
      <c r="L146" s="71">
        <f>'Phan tich_BB'!O19</f>
        <v>8.3277743973123748</v>
      </c>
      <c r="M146" t="s">
        <v>1065</v>
      </c>
    </row>
    <row r="147" spans="1:13" x14ac:dyDescent="0.3">
      <c r="A147" s="64">
        <f t="shared" si="6"/>
        <v>2474</v>
      </c>
      <c r="B147" s="7">
        <f t="shared" si="5"/>
        <v>46252</v>
      </c>
      <c r="C147" s="93" t="s">
        <v>890</v>
      </c>
      <c r="D147" t="s">
        <v>1064</v>
      </c>
      <c r="E147" s="93" t="s">
        <v>1030</v>
      </c>
      <c r="I147" t="s">
        <v>1076</v>
      </c>
      <c r="J147" t="s">
        <v>1068</v>
      </c>
      <c r="K147" s="10" t="s">
        <v>885</v>
      </c>
      <c r="L147" s="71">
        <f>'Phan tich_BB'!O20</f>
        <v>0</v>
      </c>
      <c r="M147" t="s">
        <v>1065</v>
      </c>
    </row>
    <row r="148" spans="1:13" x14ac:dyDescent="0.3">
      <c r="A148" s="64">
        <f t="shared" si="6"/>
        <v>2474</v>
      </c>
      <c r="B148" s="7">
        <f t="shared" si="5"/>
        <v>46252</v>
      </c>
      <c r="C148" s="93" t="s">
        <v>890</v>
      </c>
      <c r="D148" t="s">
        <v>1064</v>
      </c>
      <c r="E148" s="93" t="s">
        <v>1030</v>
      </c>
      <c r="I148" t="s">
        <v>1076</v>
      </c>
      <c r="J148" t="s">
        <v>1068</v>
      </c>
      <c r="K148" s="10" t="s">
        <v>886</v>
      </c>
      <c r="L148" s="71">
        <f>'Phan tich_BB'!O21</f>
        <v>117.37397</v>
      </c>
      <c r="M148" t="s">
        <v>1065</v>
      </c>
    </row>
    <row r="149" spans="1:13" x14ac:dyDescent="0.3">
      <c r="A149" s="64">
        <f t="shared" si="6"/>
        <v>2474</v>
      </c>
      <c r="B149" s="7">
        <f t="shared" si="5"/>
        <v>46252</v>
      </c>
      <c r="C149" s="93" t="s">
        <v>890</v>
      </c>
      <c r="D149" t="s">
        <v>1064</v>
      </c>
      <c r="E149" s="93" t="s">
        <v>1030</v>
      </c>
      <c r="I149" t="s">
        <v>1076</v>
      </c>
      <c r="J149" t="s">
        <v>1068</v>
      </c>
      <c r="K149" s="10">
        <v>0</v>
      </c>
      <c r="L149" s="71">
        <f>'Phan tich_BB'!O11</f>
        <v>446.71183642039057</v>
      </c>
      <c r="M149" t="s">
        <v>1065</v>
      </c>
    </row>
    <row r="150" spans="1:13" x14ac:dyDescent="0.3">
      <c r="A150" s="64">
        <f t="shared" si="6"/>
        <v>2474</v>
      </c>
      <c r="B150" s="7">
        <f t="shared" si="5"/>
        <v>46252</v>
      </c>
      <c r="C150" s="93" t="s">
        <v>890</v>
      </c>
      <c r="D150" t="s">
        <v>1064</v>
      </c>
      <c r="E150" s="93" t="s">
        <v>1030</v>
      </c>
      <c r="I150" t="s">
        <v>1077</v>
      </c>
      <c r="J150" t="s">
        <v>1068</v>
      </c>
      <c r="K150" s="10" t="s">
        <v>877</v>
      </c>
      <c r="L150" s="71">
        <f>'Phan tich_BB'!P12</f>
        <v>-25.104334677419377</v>
      </c>
      <c r="M150" t="s">
        <v>1065</v>
      </c>
    </row>
    <row r="151" spans="1:13" x14ac:dyDescent="0.3">
      <c r="A151" s="64">
        <f t="shared" si="6"/>
        <v>2474</v>
      </c>
      <c r="B151" s="7">
        <f t="shared" si="5"/>
        <v>46252</v>
      </c>
      <c r="C151" s="93" t="s">
        <v>890</v>
      </c>
      <c r="D151" t="s">
        <v>1064</v>
      </c>
      <c r="E151" s="93" t="s">
        <v>1030</v>
      </c>
      <c r="I151" t="s">
        <v>1077</v>
      </c>
      <c r="J151" t="s">
        <v>1068</v>
      </c>
      <c r="K151" s="10" t="s">
        <v>878</v>
      </c>
      <c r="L151" s="71">
        <f>'Phan tich_BB'!P13</f>
        <v>-22.680600000000009</v>
      </c>
      <c r="M151" t="s">
        <v>1065</v>
      </c>
    </row>
    <row r="152" spans="1:13" x14ac:dyDescent="0.3">
      <c r="A152" s="64">
        <f t="shared" si="6"/>
        <v>2474</v>
      </c>
      <c r="B152" s="7">
        <f t="shared" si="5"/>
        <v>46252</v>
      </c>
      <c r="C152" s="93" t="s">
        <v>890</v>
      </c>
      <c r="D152" t="s">
        <v>1064</v>
      </c>
      <c r="E152" s="93" t="s">
        <v>1030</v>
      </c>
      <c r="I152" t="s">
        <v>1077</v>
      </c>
      <c r="J152" t="s">
        <v>1068</v>
      </c>
      <c r="K152" s="10" t="s">
        <v>879</v>
      </c>
      <c r="L152" s="71">
        <f>'Phan tich_BB'!P14</f>
        <v>-12.555046652351786</v>
      </c>
      <c r="M152" t="s">
        <v>1065</v>
      </c>
    </row>
    <row r="153" spans="1:13" x14ac:dyDescent="0.3">
      <c r="A153" s="64">
        <f t="shared" si="6"/>
        <v>2474</v>
      </c>
      <c r="B153" s="7">
        <f t="shared" si="5"/>
        <v>46252</v>
      </c>
      <c r="C153" s="93" t="s">
        <v>890</v>
      </c>
      <c r="D153" t="s">
        <v>1064</v>
      </c>
      <c r="E153" s="93" t="s">
        <v>1030</v>
      </c>
      <c r="I153" t="s">
        <v>1077</v>
      </c>
      <c r="J153" t="s">
        <v>1068</v>
      </c>
      <c r="K153" s="10" t="s">
        <v>880</v>
      </c>
      <c r="L153" s="71">
        <f>'Phan tich_BB'!P15</f>
        <v>-28.504685000000009</v>
      </c>
      <c r="M153" t="s">
        <v>1065</v>
      </c>
    </row>
    <row r="154" spans="1:13" x14ac:dyDescent="0.3">
      <c r="A154" s="64">
        <f t="shared" si="6"/>
        <v>2474</v>
      </c>
      <c r="B154" s="7">
        <f t="shared" si="5"/>
        <v>46252</v>
      </c>
      <c r="C154" s="93" t="s">
        <v>890</v>
      </c>
      <c r="D154" t="s">
        <v>1064</v>
      </c>
      <c r="E154" s="93" t="s">
        <v>1030</v>
      </c>
      <c r="I154" t="s">
        <v>1077</v>
      </c>
      <c r="J154" t="s">
        <v>1068</v>
      </c>
      <c r="K154" s="10" t="s">
        <v>881</v>
      </c>
      <c r="L154" s="71">
        <f>'Phan tich_BB'!P16</f>
        <v>-4.0037000000000003</v>
      </c>
      <c r="M154" t="s">
        <v>1065</v>
      </c>
    </row>
    <row r="155" spans="1:13" x14ac:dyDescent="0.3">
      <c r="A155" s="64">
        <f t="shared" si="6"/>
        <v>2474</v>
      </c>
      <c r="B155" s="7">
        <f t="shared" si="5"/>
        <v>46252</v>
      </c>
      <c r="C155" s="93" t="s">
        <v>890</v>
      </c>
      <c r="D155" t="s">
        <v>1064</v>
      </c>
      <c r="E155" s="93" t="s">
        <v>1030</v>
      </c>
      <c r="I155" t="s">
        <v>1077</v>
      </c>
      <c r="J155" t="s">
        <v>1068</v>
      </c>
      <c r="K155" s="10" t="s">
        <v>882</v>
      </c>
      <c r="L155" s="71">
        <f>'Phan tich_BB'!P17</f>
        <v>-299.20416666666671</v>
      </c>
      <c r="M155" t="s">
        <v>1065</v>
      </c>
    </row>
    <row r="156" spans="1:13" x14ac:dyDescent="0.3">
      <c r="A156" s="64">
        <f t="shared" si="6"/>
        <v>2474</v>
      </c>
      <c r="B156" s="7">
        <f t="shared" si="5"/>
        <v>46252</v>
      </c>
      <c r="C156" s="93" t="s">
        <v>890</v>
      </c>
      <c r="D156" t="s">
        <v>1064</v>
      </c>
      <c r="E156" s="93" t="s">
        <v>1030</v>
      </c>
      <c r="I156" t="s">
        <v>1077</v>
      </c>
      <c r="J156" t="s">
        <v>1068</v>
      </c>
      <c r="K156" s="10" t="s">
        <v>883</v>
      </c>
      <c r="L156" s="71">
        <f>'Phan tich_BB'!P18</f>
        <v>-216.93301530868388</v>
      </c>
      <c r="M156" t="s">
        <v>1065</v>
      </c>
    </row>
    <row r="157" spans="1:13" x14ac:dyDescent="0.3">
      <c r="A157" s="64">
        <f t="shared" si="6"/>
        <v>2474</v>
      </c>
      <c r="B157" s="7">
        <f t="shared" si="5"/>
        <v>46252</v>
      </c>
      <c r="C157" s="93" t="s">
        <v>890</v>
      </c>
      <c r="D157" t="s">
        <v>1064</v>
      </c>
      <c r="E157" s="93" t="s">
        <v>1030</v>
      </c>
      <c r="I157" t="s">
        <v>1077</v>
      </c>
      <c r="J157" t="s">
        <v>1068</v>
      </c>
      <c r="K157" s="10" t="s">
        <v>884</v>
      </c>
      <c r="L157" s="71">
        <f>'Phan tich_BB'!P19</f>
        <v>-1580.8021264063123</v>
      </c>
      <c r="M157" t="s">
        <v>1065</v>
      </c>
    </row>
    <row r="158" spans="1:13" x14ac:dyDescent="0.3">
      <c r="A158" s="64">
        <f t="shared" si="6"/>
        <v>2474</v>
      </c>
      <c r="B158" s="7">
        <f t="shared" si="5"/>
        <v>46252</v>
      </c>
      <c r="C158" s="93" t="s">
        <v>890</v>
      </c>
      <c r="D158" t="s">
        <v>1064</v>
      </c>
      <c r="E158" s="93" t="s">
        <v>1030</v>
      </c>
      <c r="I158" t="s">
        <v>1077</v>
      </c>
      <c r="J158" t="s">
        <v>1068</v>
      </c>
      <c r="K158" s="10" t="s">
        <v>885</v>
      </c>
      <c r="L158" s="71">
        <f>'Phan tich_BB'!P20</f>
        <v>-10.0655</v>
      </c>
      <c r="M158" t="s">
        <v>1065</v>
      </c>
    </row>
    <row r="159" spans="1:13" x14ac:dyDescent="0.3">
      <c r="A159" s="64">
        <f t="shared" si="6"/>
        <v>2474</v>
      </c>
      <c r="B159" s="7">
        <f t="shared" si="5"/>
        <v>46252</v>
      </c>
      <c r="C159" s="93" t="s">
        <v>890</v>
      </c>
      <c r="D159" t="s">
        <v>1064</v>
      </c>
      <c r="E159" s="93" t="s">
        <v>1030</v>
      </c>
      <c r="I159" t="s">
        <v>1077</v>
      </c>
      <c r="J159" t="s">
        <v>1068</v>
      </c>
      <c r="K159" s="10" t="s">
        <v>886</v>
      </c>
      <c r="L159" s="71">
        <f>'Phan tich_BB'!P21</f>
        <v>-182.79949999999997</v>
      </c>
      <c r="M159" t="s">
        <v>1065</v>
      </c>
    </row>
    <row r="160" spans="1:13" x14ac:dyDescent="0.3">
      <c r="A160" s="64">
        <f t="shared" si="6"/>
        <v>2474</v>
      </c>
      <c r="B160" s="7">
        <f t="shared" si="5"/>
        <v>46252</v>
      </c>
      <c r="C160" s="93" t="s">
        <v>890</v>
      </c>
      <c r="D160" t="s">
        <v>1064</v>
      </c>
      <c r="E160" s="93" t="s">
        <v>1030</v>
      </c>
      <c r="I160" t="s">
        <v>1077</v>
      </c>
      <c r="J160" t="s">
        <v>1068</v>
      </c>
      <c r="K160" s="10">
        <v>0</v>
      </c>
      <c r="L160" s="71">
        <f>'Phan tich_BB'!P11</f>
        <v>0</v>
      </c>
      <c r="M160" t="s">
        <v>1065</v>
      </c>
    </row>
    <row r="161" spans="1:16" x14ac:dyDescent="0.3">
      <c r="A161" s="64">
        <f t="shared" si="6"/>
        <v>2474</v>
      </c>
      <c r="B161" s="7">
        <f t="shared" si="5"/>
        <v>46252</v>
      </c>
      <c r="C161" s="391" t="s">
        <v>2756</v>
      </c>
      <c r="D161" t="s">
        <v>1064</v>
      </c>
      <c r="E161" t="s">
        <v>1030</v>
      </c>
      <c r="L161" s="59">
        <f>SUMIFS(VaR!K:K,VaR!J:J,"VaR95%",VaR!H:H,"VaR1D",VaR!G:G,"BK",VaR!F:F,"MSB")/10^9</f>
        <v>23.08288142198251</v>
      </c>
      <c r="M161" t="s">
        <v>1065</v>
      </c>
      <c r="P161" t="s">
        <v>1066</v>
      </c>
    </row>
    <row r="162" spans="1:16" x14ac:dyDescent="0.3">
      <c r="A162" s="64">
        <f t="shared" si="6"/>
        <v>2474</v>
      </c>
      <c r="B162" s="7">
        <f t="shared" si="5"/>
        <v>46252</v>
      </c>
      <c r="C162" s="391" t="s">
        <v>858</v>
      </c>
      <c r="D162" t="s">
        <v>1064</v>
      </c>
      <c r="E162" t="s">
        <v>1030</v>
      </c>
      <c r="L162" s="59">
        <f>SUMIFS(VaR!K:K,VaR!J:J,"VaR99%",VaR!H:H,"VaR1D",VaR!G:G,"BK",VaR!F:F,"MSB")/10^9</f>
        <v>54.876767224285025</v>
      </c>
      <c r="M162" t="s">
        <v>1065</v>
      </c>
      <c r="P162" t="s">
        <v>1066</v>
      </c>
    </row>
    <row r="163" spans="1:16" x14ac:dyDescent="0.3">
      <c r="A163" s="64">
        <f t="shared" si="6"/>
        <v>2474</v>
      </c>
      <c r="B163" s="7">
        <f t="shared" si="5"/>
        <v>46252</v>
      </c>
      <c r="C163" s="391" t="s">
        <v>3175</v>
      </c>
      <c r="D163" t="s">
        <v>1064</v>
      </c>
      <c r="E163" t="s">
        <v>1030</v>
      </c>
      <c r="L163" s="59">
        <f>SUMIFS(VaR!K:K,VaR!J:J,"VaR95%",VaR!H:H,"VaR10D",VaR!G:G,"BK",VaR!F:F,"MSB")/10^9</f>
        <v>160.5219131554482</v>
      </c>
      <c r="M163" t="s">
        <v>1065</v>
      </c>
      <c r="P163" t="s">
        <v>1066</v>
      </c>
    </row>
    <row r="164" spans="1:16" x14ac:dyDescent="0.3">
      <c r="A164" s="64">
        <f t="shared" si="6"/>
        <v>2474</v>
      </c>
      <c r="B164" s="7">
        <f t="shared" si="5"/>
        <v>46252</v>
      </c>
      <c r="C164" s="391" t="s">
        <v>3176</v>
      </c>
      <c r="D164" t="s">
        <v>1064</v>
      </c>
      <c r="E164" t="s">
        <v>1030</v>
      </c>
      <c r="L164" s="59">
        <f>SUMIFS(VaR!K:K,VaR!J:J,"VaR99%",VaR!H:H,"VaR10D",VaR!G:G,"BK",VaR!F:F,"MSB")/10^9</f>
        <v>187.28346418677791</v>
      </c>
      <c r="M164" t="s">
        <v>1065</v>
      </c>
      <c r="P164" t="s">
        <v>1066</v>
      </c>
    </row>
    <row r="165" spans="1:16" x14ac:dyDescent="0.3">
      <c r="A165" s="64">
        <f t="shared" si="6"/>
        <v>2474</v>
      </c>
      <c r="B165" s="7">
        <f t="shared" si="5"/>
        <v>46252</v>
      </c>
      <c r="C165" s="391" t="s">
        <v>3177</v>
      </c>
      <c r="D165" t="s">
        <v>1064</v>
      </c>
      <c r="E165" t="s">
        <v>1030</v>
      </c>
      <c r="L165" s="59">
        <f>SUMIFS(VaR!K:K,VaR!J:J,"VaR95%",VaR!H:H,"VaR20D",VaR!G:G,"BK",VaR!F:F,"MSB")/10^9</f>
        <v>228.866944912772</v>
      </c>
      <c r="M165" t="s">
        <v>1065</v>
      </c>
      <c r="P165" t="s">
        <v>1066</v>
      </c>
    </row>
    <row r="166" spans="1:16" x14ac:dyDescent="0.3">
      <c r="A166" s="64">
        <f t="shared" si="6"/>
        <v>2474</v>
      </c>
      <c r="B166" s="7">
        <f t="shared" si="5"/>
        <v>46252</v>
      </c>
      <c r="C166" s="391" t="s">
        <v>3178</v>
      </c>
      <c r="D166" t="s">
        <v>1064</v>
      </c>
      <c r="E166" t="s">
        <v>1030</v>
      </c>
      <c r="L166" s="59">
        <f>SUMIFS(VaR!K:K,VaR!J:J,"VaR99%",VaR!H:H,"VaR20D",VaR!G:G,"BK",VaR!F:F,"MSB")/10^9</f>
        <v>274.08696702046421</v>
      </c>
      <c r="M166" t="s">
        <v>1065</v>
      </c>
      <c r="P166" t="s">
        <v>1066</v>
      </c>
    </row>
    <row r="167" spans="1:16" x14ac:dyDescent="0.3">
      <c r="A167" s="64">
        <f t="shared" si="6"/>
        <v>2474</v>
      </c>
      <c r="B167" s="7">
        <f t="shared" ref="B167:B207" si="7">RPT</f>
        <v>46252</v>
      </c>
      <c r="C167" s="391" t="s">
        <v>3188</v>
      </c>
      <c r="D167" s="1" t="s">
        <v>1064</v>
      </c>
      <c r="E167" s="391" t="s">
        <v>1030</v>
      </c>
      <c r="F167" s="10"/>
      <c r="L167" s="71" cm="1">
        <f t="array" ref="L167">-AVERAGE(AVERAGEIFS(VaR!K:K,VaR!J:J,{1,2,3,4,5,6,7,8,9,10,11,12},VaR!H:H,"VaR1D",VaR!G:G,"BK",VaR!F:F,"MSB"))/10^9</f>
        <v>45.932436786590515</v>
      </c>
      <c r="M167" s="267" t="s">
        <v>1065</v>
      </c>
      <c r="N167" s="491"/>
      <c r="O167" s="1"/>
      <c r="P167" s="1" t="s">
        <v>1066</v>
      </c>
    </row>
    <row r="168" spans="1:16" x14ac:dyDescent="0.3">
      <c r="A168" s="64">
        <f t="shared" si="6"/>
        <v>2474</v>
      </c>
      <c r="B168" s="7">
        <f t="shared" si="7"/>
        <v>46252</v>
      </c>
      <c r="C168" s="391" t="s">
        <v>3189</v>
      </c>
      <c r="D168" s="1" t="s">
        <v>1064</v>
      </c>
      <c r="E168" s="391" t="s">
        <v>1030</v>
      </c>
      <c r="F168" s="10"/>
      <c r="L168" s="71" cm="1">
        <f t="array" ref="L168">-AVERAGE(AVERAGEIFS(VaR!K:K,VaR!J:J,{1,2},VaR!H:H,"VaR1D",VaR!G:G,"BK",VaR!F:F,"MSB"))/10^9</f>
        <v>85.744159844281526</v>
      </c>
      <c r="M168" s="267" t="s">
        <v>1065</v>
      </c>
      <c r="N168" s="491"/>
      <c r="O168" s="1"/>
      <c r="P168" s="1" t="s">
        <v>1066</v>
      </c>
    </row>
    <row r="169" spans="1:16" x14ac:dyDescent="0.3">
      <c r="A169" s="64">
        <f t="shared" si="6"/>
        <v>2474</v>
      </c>
      <c r="B169" s="7">
        <f t="shared" si="7"/>
        <v>46252</v>
      </c>
      <c r="C169" s="391" t="s">
        <v>3184</v>
      </c>
      <c r="D169" s="1" t="s">
        <v>1064</v>
      </c>
      <c r="E169" s="267" t="s">
        <v>1030</v>
      </c>
      <c r="F169" s="10"/>
      <c r="L169" s="71" cm="1">
        <f t="array" ref="L169">-AVERAGE(AVERAGEIFS(VaR!K:K,VaR!J:J,{1,2,3,4,5,6,7,8,9,10,11,12},VaR!H:H,"VaR10D",VaR!G:G,"BK",VaR!F:F,"MSB"))/10^9</f>
        <v>45.932436786590515</v>
      </c>
      <c r="M169" s="267" t="s">
        <v>1065</v>
      </c>
      <c r="N169" s="491"/>
      <c r="O169" s="1"/>
      <c r="P169" s="1" t="s">
        <v>1066</v>
      </c>
    </row>
    <row r="170" spans="1:16" x14ac:dyDescent="0.3">
      <c r="A170" s="64">
        <f t="shared" si="6"/>
        <v>2474</v>
      </c>
      <c r="B170" s="7">
        <f t="shared" si="7"/>
        <v>46252</v>
      </c>
      <c r="C170" s="391" t="s">
        <v>3185</v>
      </c>
      <c r="D170" s="1" t="s">
        <v>1064</v>
      </c>
      <c r="E170" s="267" t="s">
        <v>1030</v>
      </c>
      <c r="F170" s="10"/>
      <c r="L170" s="71" cm="1">
        <f t="array" ref="L170">-AVERAGE(AVERAGEIFS(VaR!K:K,VaR!J:J,{1,2},VaR!H:H,"VaR10D",VaR!G:G,"BK",VaR!F:F,"MSB"))/10^9</f>
        <v>85.744159844281526</v>
      </c>
      <c r="M170" s="267" t="s">
        <v>1065</v>
      </c>
      <c r="N170" s="491"/>
      <c r="O170" s="1"/>
      <c r="P170" s="1" t="s">
        <v>1066</v>
      </c>
    </row>
    <row r="171" spans="1:16" x14ac:dyDescent="0.3">
      <c r="A171" s="64">
        <f t="shared" si="6"/>
        <v>2474</v>
      </c>
      <c r="B171" s="7">
        <f t="shared" si="7"/>
        <v>46252</v>
      </c>
      <c r="C171" s="391" t="s">
        <v>3186</v>
      </c>
      <c r="D171" s="1" t="s">
        <v>1064</v>
      </c>
      <c r="E171" s="267" t="s">
        <v>1030</v>
      </c>
      <c r="F171" s="10"/>
      <c r="L171" s="71" cm="1">
        <f t="array" ref="L171">-AVERAGE(AVERAGEIFS(VaR!K:K,VaR!J:J,{1,2,3,4,5,6,7,8,9,10,11,12},VaR!H:H,"VaR20D",VaR!G:G,"BK",VaR!F:F,"MSB"))/10^9</f>
        <v>258.94761848968091</v>
      </c>
      <c r="M171" s="267" t="s">
        <v>1065</v>
      </c>
      <c r="N171" s="491"/>
      <c r="O171" s="1"/>
      <c r="P171" s="1" t="s">
        <v>1066</v>
      </c>
    </row>
    <row r="172" spans="1:16" x14ac:dyDescent="0.3">
      <c r="A172" s="64">
        <f t="shared" si="6"/>
        <v>2474</v>
      </c>
      <c r="B172" s="7">
        <f t="shared" si="7"/>
        <v>46252</v>
      </c>
      <c r="C172" s="391" t="s">
        <v>3187</v>
      </c>
      <c r="D172" s="1" t="s">
        <v>1064</v>
      </c>
      <c r="E172" s="267" t="s">
        <v>1030</v>
      </c>
      <c r="F172" s="10"/>
      <c r="L172" s="71" cm="1">
        <f t="array" ref="L172">-AVERAGE(AVERAGEIFS(VaR!K:K,VaR!J:J,{1,2},VaR!H:H,"VaR20D",VaR!G:G,"BK",VaR!F:F,"MSB"))/10^9</f>
        <v>276.72810228885839</v>
      </c>
      <c r="M172" s="267" t="s">
        <v>1065</v>
      </c>
      <c r="N172" s="491"/>
      <c r="O172" s="1"/>
      <c r="P172" s="1" t="s">
        <v>1066</v>
      </c>
    </row>
    <row r="173" spans="1:16" x14ac:dyDescent="0.3">
      <c r="A173" s="64">
        <f t="shared" si="6"/>
        <v>2474</v>
      </c>
      <c r="B173" s="7">
        <f t="shared" si="7"/>
        <v>46252</v>
      </c>
      <c r="C173" s="391" t="s">
        <v>3579</v>
      </c>
      <c r="D173" s="1"/>
      <c r="E173" s="58"/>
      <c r="F173" s="10"/>
      <c r="K173" s="10" t="s">
        <v>3132</v>
      </c>
      <c r="L173" s="71">
        <f>'Phan tich_BB'!U6</f>
        <v>0</v>
      </c>
      <c r="M173" s="267" t="s">
        <v>1065</v>
      </c>
      <c r="N173" s="491"/>
      <c r="O173" s="1"/>
      <c r="P173" s="1" t="s">
        <v>1066</v>
      </c>
    </row>
    <row r="174" spans="1:16" x14ac:dyDescent="0.3">
      <c r="A174" s="64">
        <f t="shared" si="6"/>
        <v>2474</v>
      </c>
      <c r="B174" s="7">
        <f t="shared" si="7"/>
        <v>46252</v>
      </c>
      <c r="C174" s="391" t="s">
        <v>3579</v>
      </c>
      <c r="D174" s="1"/>
      <c r="E174" s="58"/>
      <c r="F174" s="10"/>
      <c r="K174" s="10" t="s">
        <v>2878</v>
      </c>
      <c r="L174" s="71">
        <f>'Phan tich_BB'!U7</f>
        <v>0</v>
      </c>
      <c r="M174" s="267" t="s">
        <v>1065</v>
      </c>
      <c r="N174" s="491"/>
      <c r="O174" s="1"/>
      <c r="P174" s="1" t="s">
        <v>1066</v>
      </c>
    </row>
    <row r="175" spans="1:16" x14ac:dyDescent="0.3">
      <c r="A175" s="64">
        <f t="shared" si="6"/>
        <v>2474</v>
      </c>
      <c r="B175" s="7">
        <f t="shared" si="7"/>
        <v>46252</v>
      </c>
      <c r="C175" s="391" t="s">
        <v>3579</v>
      </c>
      <c r="D175" s="1"/>
      <c r="E175" s="58"/>
      <c r="F175" s="10"/>
      <c r="K175" s="10" t="s">
        <v>2879</v>
      </c>
      <c r="L175" s="71">
        <f>'Phan tich_BB'!U8</f>
        <v>0</v>
      </c>
      <c r="M175" s="267" t="s">
        <v>1065</v>
      </c>
      <c r="N175" s="491"/>
      <c r="O175" s="1"/>
      <c r="P175" s="1" t="s">
        <v>1066</v>
      </c>
    </row>
    <row r="176" spans="1:16" x14ac:dyDescent="0.3">
      <c r="A176" s="64">
        <f t="shared" si="6"/>
        <v>2474</v>
      </c>
      <c r="B176" s="7">
        <f t="shared" si="7"/>
        <v>46252</v>
      </c>
      <c r="C176" s="391" t="s">
        <v>3579</v>
      </c>
      <c r="D176" s="1"/>
      <c r="E176" s="58"/>
      <c r="F176" s="10"/>
      <c r="K176" s="10" t="s">
        <v>984</v>
      </c>
      <c r="L176" s="71">
        <f>'Phan tich_BB'!U9</f>
        <v>0</v>
      </c>
      <c r="M176" s="267" t="s">
        <v>1065</v>
      </c>
      <c r="N176" s="491"/>
      <c r="O176" s="1"/>
      <c r="P176" s="1" t="s">
        <v>1066</v>
      </c>
    </row>
    <row r="177" spans="1:16" x14ac:dyDescent="0.3">
      <c r="A177" s="64">
        <f t="shared" si="6"/>
        <v>2474</v>
      </c>
      <c r="B177" s="7">
        <f t="shared" si="7"/>
        <v>46252</v>
      </c>
      <c r="C177" s="391" t="s">
        <v>3579</v>
      </c>
      <c r="D177" s="1"/>
      <c r="E177" s="58"/>
      <c r="F177" s="10"/>
      <c r="K177" s="10" t="s">
        <v>2880</v>
      </c>
      <c r="L177" s="71">
        <f>'Phan tich_BB'!U10</f>
        <v>0</v>
      </c>
      <c r="M177" s="267" t="s">
        <v>1065</v>
      </c>
      <c r="N177" s="491"/>
      <c r="O177" s="1"/>
      <c r="P177" s="1" t="s">
        <v>1066</v>
      </c>
    </row>
    <row r="178" spans="1:16" x14ac:dyDescent="0.3">
      <c r="A178" s="64">
        <f t="shared" si="6"/>
        <v>2474</v>
      </c>
      <c r="B178" s="7">
        <f t="shared" si="7"/>
        <v>46252</v>
      </c>
      <c r="C178" s="391" t="s">
        <v>3579</v>
      </c>
      <c r="D178" s="1"/>
      <c r="E178" s="58"/>
      <c r="F178" s="10"/>
      <c r="K178" s="10" t="s">
        <v>915</v>
      </c>
      <c r="L178" s="71">
        <f>'Phan tich_BB'!U11</f>
        <v>0</v>
      </c>
      <c r="M178" s="267" t="s">
        <v>1065</v>
      </c>
      <c r="N178" s="491"/>
      <c r="O178" s="1"/>
      <c r="P178" s="1" t="s">
        <v>1066</v>
      </c>
    </row>
    <row r="179" spans="1:16" x14ac:dyDescent="0.3">
      <c r="A179" s="64">
        <f t="shared" si="6"/>
        <v>2474</v>
      </c>
      <c r="B179" s="7">
        <f t="shared" si="7"/>
        <v>46252</v>
      </c>
      <c r="C179" s="391" t="s">
        <v>3579</v>
      </c>
      <c r="D179" s="1"/>
      <c r="E179" s="58"/>
      <c r="F179" s="10"/>
      <c r="K179" s="10" t="s">
        <v>917</v>
      </c>
      <c r="L179" s="71">
        <f>'Phan tich_BB'!U12</f>
        <v>0</v>
      </c>
      <c r="M179" s="267" t="s">
        <v>1065</v>
      </c>
      <c r="N179" s="491"/>
      <c r="O179" s="1"/>
      <c r="P179" s="1" t="s">
        <v>1066</v>
      </c>
    </row>
    <row r="180" spans="1:16" x14ac:dyDescent="0.3">
      <c r="A180" s="64">
        <f t="shared" si="6"/>
        <v>2474</v>
      </c>
      <c r="B180" s="7">
        <f t="shared" si="7"/>
        <v>46252</v>
      </c>
      <c r="C180" s="391" t="s">
        <v>3579</v>
      </c>
      <c r="D180" s="1"/>
      <c r="E180" s="58"/>
      <c r="F180" s="10"/>
      <c r="K180" s="10" t="s">
        <v>983</v>
      </c>
      <c r="L180" s="71">
        <f>'Phan tich_BB'!U13</f>
        <v>-31.101987952786445</v>
      </c>
      <c r="M180" s="267" t="s">
        <v>1065</v>
      </c>
      <c r="N180" s="491"/>
      <c r="O180" s="1"/>
      <c r="P180" s="1" t="s">
        <v>1066</v>
      </c>
    </row>
    <row r="181" spans="1:16" x14ac:dyDescent="0.3">
      <c r="A181" s="64">
        <f t="shared" si="6"/>
        <v>2474</v>
      </c>
      <c r="B181" s="7">
        <f t="shared" si="7"/>
        <v>46252</v>
      </c>
      <c r="C181" s="391" t="s">
        <v>3579</v>
      </c>
      <c r="D181" s="1"/>
      <c r="E181" s="58"/>
      <c r="F181" s="10"/>
      <c r="K181" s="10" t="s">
        <v>877</v>
      </c>
      <c r="L181" s="71">
        <f>'Phan tich_BB'!U14</f>
        <v>-427.44150785317538</v>
      </c>
      <c r="M181" s="267" t="s">
        <v>1065</v>
      </c>
      <c r="N181" s="491"/>
      <c r="O181" s="1"/>
      <c r="P181" s="1" t="s">
        <v>1066</v>
      </c>
    </row>
    <row r="182" spans="1:16" x14ac:dyDescent="0.3">
      <c r="A182" s="64">
        <f t="shared" si="6"/>
        <v>2474</v>
      </c>
      <c r="B182" s="7">
        <f t="shared" si="7"/>
        <v>46252</v>
      </c>
      <c r="C182" s="391" t="s">
        <v>3579</v>
      </c>
      <c r="D182" s="1"/>
      <c r="E182" s="58"/>
      <c r="F182" s="10"/>
      <c r="K182" s="10" t="s">
        <v>878</v>
      </c>
      <c r="L182" s="71">
        <f>'Phan tich_BB'!U15</f>
        <v>-943.87834914411587</v>
      </c>
      <c r="M182" s="267" t="s">
        <v>1065</v>
      </c>
      <c r="N182" s="491"/>
      <c r="O182" s="1"/>
      <c r="P182" s="1" t="s">
        <v>1066</v>
      </c>
    </row>
    <row r="183" spans="1:16" x14ac:dyDescent="0.3">
      <c r="A183" s="64">
        <f t="shared" si="6"/>
        <v>2474</v>
      </c>
      <c r="B183" s="7">
        <f t="shared" si="7"/>
        <v>46252</v>
      </c>
      <c r="C183" s="391" t="s">
        <v>3579</v>
      </c>
      <c r="D183" s="1"/>
      <c r="E183" s="58"/>
      <c r="F183" s="10"/>
      <c r="K183" s="10" t="s">
        <v>879</v>
      </c>
      <c r="L183" s="71">
        <f>'Phan tich_BB'!U16</f>
        <v>-345.4468532799691</v>
      </c>
      <c r="M183" s="267" t="s">
        <v>1065</v>
      </c>
      <c r="N183" s="491"/>
      <c r="O183" s="1"/>
      <c r="P183" s="1" t="s">
        <v>1066</v>
      </c>
    </row>
    <row r="184" spans="1:16" x14ac:dyDescent="0.3">
      <c r="A184" s="64">
        <f t="shared" si="6"/>
        <v>2474</v>
      </c>
      <c r="B184" s="7">
        <f t="shared" si="7"/>
        <v>46252</v>
      </c>
      <c r="C184" s="391" t="s">
        <v>3580</v>
      </c>
      <c r="D184" s="1"/>
      <c r="E184" s="58"/>
      <c r="F184" s="10"/>
      <c r="K184" s="10" t="s">
        <v>3132</v>
      </c>
      <c r="L184" s="71">
        <f>'Phan tich_BB'!T6</f>
        <v>0</v>
      </c>
      <c r="M184" s="267" t="s">
        <v>1065</v>
      </c>
      <c r="N184" s="491"/>
      <c r="O184" s="1"/>
      <c r="P184" s="1" t="s">
        <v>1066</v>
      </c>
    </row>
    <row r="185" spans="1:16" x14ac:dyDescent="0.3">
      <c r="A185" s="64">
        <f t="shared" si="6"/>
        <v>2474</v>
      </c>
      <c r="B185" s="7">
        <f t="shared" si="7"/>
        <v>46252</v>
      </c>
      <c r="C185" s="391" t="s">
        <v>3580</v>
      </c>
      <c r="D185" s="1"/>
      <c r="E185" s="58"/>
      <c r="F185" s="10"/>
      <c r="K185" s="10" t="s">
        <v>2878</v>
      </c>
      <c r="L185" s="71">
        <f>'Phan tich_BB'!T7</f>
        <v>0</v>
      </c>
      <c r="M185" s="267" t="s">
        <v>1065</v>
      </c>
      <c r="N185" s="491"/>
      <c r="O185" s="1"/>
      <c r="P185" s="1" t="s">
        <v>1066</v>
      </c>
    </row>
    <row r="186" spans="1:16" x14ac:dyDescent="0.3">
      <c r="A186" s="64">
        <f t="shared" si="6"/>
        <v>2474</v>
      </c>
      <c r="B186" s="7">
        <f t="shared" si="7"/>
        <v>46252</v>
      </c>
      <c r="C186" s="391" t="s">
        <v>3580</v>
      </c>
      <c r="D186" s="1"/>
      <c r="E186" s="58"/>
      <c r="F186" s="10"/>
      <c r="K186" s="10" t="s">
        <v>2879</v>
      </c>
      <c r="L186" s="71">
        <f>'Phan tich_BB'!T8</f>
        <v>0</v>
      </c>
      <c r="M186" s="267" t="s">
        <v>1065</v>
      </c>
      <c r="N186" s="491"/>
      <c r="O186" s="1"/>
      <c r="P186" s="1" t="s">
        <v>1066</v>
      </c>
    </row>
    <row r="187" spans="1:16" x14ac:dyDescent="0.3">
      <c r="A187" s="64">
        <f t="shared" si="6"/>
        <v>2474</v>
      </c>
      <c r="B187" s="7">
        <f t="shared" si="7"/>
        <v>46252</v>
      </c>
      <c r="C187" s="391" t="s">
        <v>3580</v>
      </c>
      <c r="D187" s="1"/>
      <c r="E187" s="58"/>
      <c r="F187" s="10"/>
      <c r="K187" s="10" t="s">
        <v>984</v>
      </c>
      <c r="L187" s="71">
        <f>'Phan tich_BB'!T9</f>
        <v>0</v>
      </c>
      <c r="M187" s="267" t="s">
        <v>1065</v>
      </c>
      <c r="N187" s="491"/>
      <c r="O187" s="1"/>
      <c r="P187" s="1" t="s">
        <v>1066</v>
      </c>
    </row>
    <row r="188" spans="1:16" x14ac:dyDescent="0.3">
      <c r="A188" s="64">
        <f t="shared" si="6"/>
        <v>2474</v>
      </c>
      <c r="B188" s="7">
        <f t="shared" si="7"/>
        <v>46252</v>
      </c>
      <c r="C188" s="391" t="s">
        <v>3580</v>
      </c>
      <c r="D188" s="1"/>
      <c r="E188" s="58"/>
      <c r="F188" s="10"/>
      <c r="K188" s="10" t="s">
        <v>2880</v>
      </c>
      <c r="L188" s="71">
        <f>'Phan tich_BB'!T10</f>
        <v>0</v>
      </c>
      <c r="M188" s="267" t="s">
        <v>1065</v>
      </c>
      <c r="N188" s="491"/>
      <c r="O188" s="1"/>
      <c r="P188" s="1" t="s">
        <v>1066</v>
      </c>
    </row>
    <row r="189" spans="1:16" x14ac:dyDescent="0.3">
      <c r="A189" s="64">
        <f t="shared" si="6"/>
        <v>2474</v>
      </c>
      <c r="B189" s="7">
        <f t="shared" si="7"/>
        <v>46252</v>
      </c>
      <c r="C189" s="391" t="s">
        <v>3580</v>
      </c>
      <c r="D189" s="1"/>
      <c r="E189" s="58"/>
      <c r="F189" s="10"/>
      <c r="K189" s="10" t="s">
        <v>915</v>
      </c>
      <c r="L189" s="71">
        <f>'Phan tich_BB'!T11</f>
        <v>0</v>
      </c>
      <c r="M189" s="267" t="s">
        <v>1065</v>
      </c>
      <c r="N189" s="491"/>
      <c r="O189" s="1"/>
      <c r="P189" s="1" t="s">
        <v>1066</v>
      </c>
    </row>
    <row r="190" spans="1:16" x14ac:dyDescent="0.3">
      <c r="A190" s="64">
        <f t="shared" si="6"/>
        <v>2474</v>
      </c>
      <c r="B190" s="7">
        <f t="shared" si="7"/>
        <v>46252</v>
      </c>
      <c r="C190" s="391" t="s">
        <v>3580</v>
      </c>
      <c r="D190" s="1"/>
      <c r="E190" s="58"/>
      <c r="F190" s="10"/>
      <c r="K190" s="10" t="s">
        <v>917</v>
      </c>
      <c r="L190" s="71">
        <f>'Phan tich_BB'!T12</f>
        <v>0</v>
      </c>
      <c r="M190" s="267" t="s">
        <v>1065</v>
      </c>
      <c r="N190" s="491"/>
      <c r="O190" s="1"/>
      <c r="P190" s="1" t="s">
        <v>1066</v>
      </c>
    </row>
    <row r="191" spans="1:16" x14ac:dyDescent="0.3">
      <c r="A191" s="64">
        <f t="shared" si="6"/>
        <v>2474</v>
      </c>
      <c r="B191" s="7">
        <f t="shared" si="7"/>
        <v>46252</v>
      </c>
      <c r="C191" s="391" t="s">
        <v>3580</v>
      </c>
      <c r="D191" s="1"/>
      <c r="E191" s="58"/>
      <c r="F191" s="10"/>
      <c r="K191" s="10" t="s">
        <v>983</v>
      </c>
      <c r="L191" s="71">
        <f>'Phan tich_BB'!T13</f>
        <v>200</v>
      </c>
      <c r="M191" s="267" t="s">
        <v>1065</v>
      </c>
      <c r="N191" s="491"/>
      <c r="O191" s="1"/>
      <c r="P191" s="1" t="s">
        <v>1066</v>
      </c>
    </row>
    <row r="192" spans="1:16" x14ac:dyDescent="0.3">
      <c r="A192" s="64">
        <f t="shared" si="6"/>
        <v>2474</v>
      </c>
      <c r="B192" s="7">
        <f t="shared" si="7"/>
        <v>46252</v>
      </c>
      <c r="C192" s="391" t="s">
        <v>3580</v>
      </c>
      <c r="D192" s="1"/>
      <c r="E192" s="58"/>
      <c r="F192" s="10"/>
      <c r="K192" s="10" t="s">
        <v>877</v>
      </c>
      <c r="L192" s="71">
        <f>'Phan tich_BB'!T14</f>
        <v>2550</v>
      </c>
      <c r="M192" s="267" t="s">
        <v>1065</v>
      </c>
      <c r="N192" s="491"/>
      <c r="O192" s="1"/>
      <c r="P192" s="1" t="s">
        <v>1066</v>
      </c>
    </row>
    <row r="193" spans="1:20" x14ac:dyDescent="0.3">
      <c r="A193" s="64">
        <f t="shared" si="6"/>
        <v>2474</v>
      </c>
      <c r="B193" s="7">
        <f t="shared" si="7"/>
        <v>46252</v>
      </c>
      <c r="C193" s="391" t="s">
        <v>3580</v>
      </c>
      <c r="D193" s="1"/>
      <c r="E193" s="58"/>
      <c r="F193" s="10"/>
      <c r="K193" s="10" t="s">
        <v>878</v>
      </c>
      <c r="L193" s="71">
        <f>'Phan tich_BB'!T15</f>
        <v>5556</v>
      </c>
      <c r="M193" s="267" t="s">
        <v>1065</v>
      </c>
      <c r="N193" s="491"/>
      <c r="O193" s="1"/>
      <c r="P193" s="1" t="s">
        <v>1066</v>
      </c>
    </row>
    <row r="194" spans="1:20" x14ac:dyDescent="0.3">
      <c r="A194" s="64">
        <f t="shared" si="6"/>
        <v>2474</v>
      </c>
      <c r="B194" s="7">
        <f t="shared" si="7"/>
        <v>46252</v>
      </c>
      <c r="C194" s="391" t="s">
        <v>3580</v>
      </c>
      <c r="D194" s="1"/>
      <c r="E194" s="58"/>
      <c r="F194" s="10"/>
      <c r="K194" s="10" t="s">
        <v>879</v>
      </c>
      <c r="L194" s="71">
        <f>'Phan tich_BB'!T16</f>
        <v>2552.3113000000003</v>
      </c>
      <c r="M194" s="267" t="s">
        <v>1065</v>
      </c>
      <c r="N194" s="491"/>
      <c r="O194" s="1"/>
      <c r="P194" s="1" t="s">
        <v>1066</v>
      </c>
    </row>
    <row r="195" spans="1:20" x14ac:dyDescent="0.3">
      <c r="A195" s="64">
        <f t="shared" si="6"/>
        <v>2474</v>
      </c>
      <c r="B195" s="7">
        <f t="shared" si="7"/>
        <v>46252</v>
      </c>
      <c r="C195" s="488" t="s">
        <v>3507</v>
      </c>
      <c r="D195" s="1" t="s">
        <v>1064</v>
      </c>
      <c r="E195" s="391" t="s">
        <v>1030</v>
      </c>
      <c r="F195" s="267"/>
      <c r="G195" s="267"/>
      <c r="H195" s="267"/>
      <c r="I195" s="267"/>
      <c r="J195" s="267"/>
      <c r="K195" s="267"/>
      <c r="L195" s="71">
        <f>'Phan tich_BB'!N26</f>
        <v>-2506.9229978230001</v>
      </c>
      <c r="M195" t="s">
        <v>1065</v>
      </c>
      <c r="T195" t="s">
        <v>3506</v>
      </c>
    </row>
    <row r="196" spans="1:20" x14ac:dyDescent="0.3">
      <c r="A196" s="64">
        <f t="shared" si="6"/>
        <v>2474</v>
      </c>
      <c r="B196" s="7">
        <f t="shared" si="7"/>
        <v>46252</v>
      </c>
      <c r="C196" s="488" t="s">
        <v>3507</v>
      </c>
      <c r="D196" s="1" t="s">
        <v>1064</v>
      </c>
      <c r="E196" s="391" t="s">
        <v>1030</v>
      </c>
      <c r="K196" s="31" t="s">
        <v>915</v>
      </c>
      <c r="L196" s="71">
        <f>'Phan tich_BB'!N27</f>
        <v>-14.654999999999999</v>
      </c>
      <c r="M196" t="s">
        <v>1065</v>
      </c>
      <c r="T196" t="s">
        <v>3506</v>
      </c>
    </row>
    <row r="197" spans="1:20" x14ac:dyDescent="0.3">
      <c r="A197" s="64">
        <f t="shared" si="6"/>
        <v>2474</v>
      </c>
      <c r="B197" s="7">
        <f t="shared" si="7"/>
        <v>46252</v>
      </c>
      <c r="C197" s="488" t="s">
        <v>3507</v>
      </c>
      <c r="D197" s="1" t="s">
        <v>1064</v>
      </c>
      <c r="E197" s="391" t="s">
        <v>1030</v>
      </c>
      <c r="K197" s="31" t="s">
        <v>917</v>
      </c>
      <c r="L197" s="71">
        <f>'Phan tich_BB'!N28</f>
        <v>-42.609000000000002</v>
      </c>
      <c r="M197" t="s">
        <v>1065</v>
      </c>
      <c r="T197" t="s">
        <v>3506</v>
      </c>
    </row>
    <row r="198" spans="1:20" x14ac:dyDescent="0.3">
      <c r="A198" s="64">
        <f t="shared" si="6"/>
        <v>2474</v>
      </c>
      <c r="B198" s="7">
        <f t="shared" si="7"/>
        <v>46252</v>
      </c>
      <c r="C198" s="488" t="s">
        <v>3507</v>
      </c>
      <c r="D198" s="1" t="s">
        <v>1064</v>
      </c>
      <c r="E198" s="391" t="s">
        <v>1030</v>
      </c>
      <c r="K198" s="267" t="s">
        <v>877</v>
      </c>
      <c r="L198" s="71">
        <f>'Phan tich_BB'!N29</f>
        <v>0</v>
      </c>
      <c r="M198" t="s">
        <v>1065</v>
      </c>
      <c r="T198" t="s">
        <v>3506</v>
      </c>
    </row>
    <row r="199" spans="1:20" x14ac:dyDescent="0.3">
      <c r="A199" s="64">
        <f t="shared" si="6"/>
        <v>2474</v>
      </c>
      <c r="B199" s="7">
        <f t="shared" si="7"/>
        <v>46252</v>
      </c>
      <c r="C199" s="488" t="s">
        <v>3507</v>
      </c>
      <c r="D199" s="1" t="s">
        <v>1064</v>
      </c>
      <c r="E199" s="391" t="s">
        <v>1030</v>
      </c>
      <c r="K199" s="267" t="s">
        <v>878</v>
      </c>
      <c r="L199" s="71">
        <f>'Phan tich_BB'!N30</f>
        <v>-35.753999999999998</v>
      </c>
      <c r="M199" t="s">
        <v>1065</v>
      </c>
      <c r="T199" t="s">
        <v>3506</v>
      </c>
    </row>
    <row r="200" spans="1:20" x14ac:dyDescent="0.3">
      <c r="A200" s="64">
        <f t="shared" ref="A200:A212" si="8">$X$3</f>
        <v>2474</v>
      </c>
      <c r="B200" s="7">
        <f t="shared" si="7"/>
        <v>46252</v>
      </c>
      <c r="C200" s="488" t="s">
        <v>3507</v>
      </c>
      <c r="D200" s="1" t="s">
        <v>1064</v>
      </c>
      <c r="E200" s="391" t="s">
        <v>1030</v>
      </c>
      <c r="K200" s="267" t="s">
        <v>879</v>
      </c>
      <c r="L200" s="71">
        <f>'Phan tich_BB'!N31</f>
        <v>-22.890765814000002</v>
      </c>
      <c r="M200" t="s">
        <v>1065</v>
      </c>
      <c r="T200" t="s">
        <v>3506</v>
      </c>
    </row>
    <row r="201" spans="1:20" x14ac:dyDescent="0.3">
      <c r="A201" s="64">
        <f t="shared" si="8"/>
        <v>2474</v>
      </c>
      <c r="B201" s="7">
        <f t="shared" si="7"/>
        <v>46252</v>
      </c>
      <c r="C201" s="488" t="s">
        <v>3507</v>
      </c>
      <c r="D201" s="1" t="s">
        <v>1064</v>
      </c>
      <c r="E201" s="391" t="s">
        <v>1030</v>
      </c>
      <c r="K201" s="267" t="s">
        <v>880</v>
      </c>
      <c r="L201" s="71">
        <f>'Phan tich_BB'!N32</f>
        <v>-42.722859999999997</v>
      </c>
      <c r="M201" t="s">
        <v>1065</v>
      </c>
      <c r="T201" t="s">
        <v>3506</v>
      </c>
    </row>
    <row r="202" spans="1:20" x14ac:dyDescent="0.3">
      <c r="A202" s="64">
        <f t="shared" si="8"/>
        <v>2474</v>
      </c>
      <c r="B202" s="7">
        <f t="shared" si="7"/>
        <v>46252</v>
      </c>
      <c r="C202" s="488" t="s">
        <v>3507</v>
      </c>
      <c r="D202" s="1" t="s">
        <v>1064</v>
      </c>
      <c r="E202" s="391" t="s">
        <v>1030</v>
      </c>
      <c r="K202" s="267" t="s">
        <v>881</v>
      </c>
      <c r="L202" s="71">
        <f>'Phan tich_BB'!N33</f>
        <v>-3.9996</v>
      </c>
      <c r="M202" t="s">
        <v>1065</v>
      </c>
      <c r="T202" t="s">
        <v>3506</v>
      </c>
    </row>
    <row r="203" spans="1:20" x14ac:dyDescent="0.3">
      <c r="A203" s="64">
        <f t="shared" si="8"/>
        <v>2474</v>
      </c>
      <c r="B203" s="7">
        <f t="shared" si="7"/>
        <v>46252</v>
      </c>
      <c r="C203" s="488" t="s">
        <v>3507</v>
      </c>
      <c r="D203" s="1" t="s">
        <v>1064</v>
      </c>
      <c r="E203" s="391" t="s">
        <v>1030</v>
      </c>
      <c r="K203" s="267" t="s">
        <v>882</v>
      </c>
      <c r="L203" s="71">
        <f>'Phan tich_BB'!N34</f>
        <v>-299.14</v>
      </c>
      <c r="M203" t="s">
        <v>1065</v>
      </c>
      <c r="T203" t="s">
        <v>3506</v>
      </c>
    </row>
    <row r="204" spans="1:20" x14ac:dyDescent="0.3">
      <c r="A204" s="64">
        <f t="shared" si="8"/>
        <v>2474</v>
      </c>
      <c r="B204" s="7">
        <f t="shared" si="7"/>
        <v>46252</v>
      </c>
      <c r="C204" s="488" t="s">
        <v>3507</v>
      </c>
      <c r="D204" s="1" t="s">
        <v>1064</v>
      </c>
      <c r="E204" s="391" t="s">
        <v>1030</v>
      </c>
      <c r="K204" s="267" t="s">
        <v>883</v>
      </c>
      <c r="L204" s="71">
        <f>'Phan tich_BB'!N35</f>
        <v>-237.81515999999999</v>
      </c>
      <c r="M204" t="s">
        <v>1065</v>
      </c>
      <c r="T204" t="s">
        <v>3506</v>
      </c>
    </row>
    <row r="205" spans="1:20" x14ac:dyDescent="0.3">
      <c r="A205" s="64">
        <f t="shared" si="8"/>
        <v>2474</v>
      </c>
      <c r="B205" s="7">
        <f t="shared" si="7"/>
        <v>46252</v>
      </c>
      <c r="C205" s="488" t="s">
        <v>3507</v>
      </c>
      <c r="D205" s="1" t="s">
        <v>1064</v>
      </c>
      <c r="E205" s="391" t="s">
        <v>1030</v>
      </c>
      <c r="K205" s="267" t="s">
        <v>884</v>
      </c>
      <c r="L205" s="71">
        <f>'Phan tich_BB'!N36</f>
        <v>-1614.4781120089999</v>
      </c>
      <c r="M205" t="s">
        <v>1065</v>
      </c>
      <c r="T205" t="s">
        <v>3506</v>
      </c>
    </row>
    <row r="206" spans="1:20" x14ac:dyDescent="0.3">
      <c r="A206" s="64">
        <f t="shared" si="8"/>
        <v>2474</v>
      </c>
      <c r="B206" s="7">
        <f t="shared" si="7"/>
        <v>46252</v>
      </c>
      <c r="C206" s="488" t="s">
        <v>3507</v>
      </c>
      <c r="D206" s="1" t="s">
        <v>1064</v>
      </c>
      <c r="E206" s="391" t="s">
        <v>1030</v>
      </c>
      <c r="K206" s="267" t="s">
        <v>885</v>
      </c>
      <c r="L206" s="71">
        <f>'Phan tich_BB'!N37</f>
        <v>-10.065</v>
      </c>
      <c r="M206" t="s">
        <v>1065</v>
      </c>
      <c r="T206" t="s">
        <v>3506</v>
      </c>
    </row>
    <row r="207" spans="1:20" x14ac:dyDescent="0.3">
      <c r="A207" s="64">
        <f t="shared" si="8"/>
        <v>2474</v>
      </c>
      <c r="B207" s="7">
        <f t="shared" si="7"/>
        <v>46252</v>
      </c>
      <c r="C207" s="488" t="s">
        <v>3507</v>
      </c>
      <c r="D207" s="1" t="s">
        <v>1064</v>
      </c>
      <c r="E207" s="391" t="s">
        <v>1030</v>
      </c>
      <c r="K207" s="267" t="s">
        <v>886</v>
      </c>
      <c r="L207" s="71">
        <f>'Phan tich_BB'!N38</f>
        <v>-182.79349999999999</v>
      </c>
      <c r="M207" t="s">
        <v>1065</v>
      </c>
      <c r="T207" t="s">
        <v>3506</v>
      </c>
    </row>
    <row r="208" spans="1:20" x14ac:dyDescent="0.3">
      <c r="A208" s="64">
        <f t="shared" si="8"/>
        <v>2474</v>
      </c>
      <c r="B208" s="7">
        <f t="shared" ref="B208:B209" si="9">RPT</f>
        <v>46252</v>
      </c>
      <c r="C208" s="391" t="s">
        <v>3719</v>
      </c>
      <c r="D208" s="1" t="s">
        <v>1064</v>
      </c>
      <c r="E208" s="391" t="s">
        <v>1030</v>
      </c>
      <c r="F208" s="10"/>
      <c r="L208" s="71">
        <f>'Phan tich_BB'!D3</f>
        <v>2.5923702520851468</v>
      </c>
      <c r="M208" t="s">
        <v>1078</v>
      </c>
      <c r="N208" s="491"/>
      <c r="O208" s="1"/>
      <c r="P208" s="1"/>
    </row>
    <row r="209" spans="1:16" x14ac:dyDescent="0.3">
      <c r="A209" s="64">
        <f t="shared" si="8"/>
        <v>2474</v>
      </c>
      <c r="B209" s="7">
        <f t="shared" si="9"/>
        <v>46252</v>
      </c>
      <c r="C209" s="391" t="s">
        <v>3720</v>
      </c>
      <c r="D209" s="1" t="s">
        <v>1064</v>
      </c>
      <c r="E209" s="391" t="s">
        <v>1030</v>
      </c>
      <c r="F209" s="10"/>
      <c r="L209" s="71">
        <f>'Phan tich_BB'!D4</f>
        <v>3.6190192788081146</v>
      </c>
      <c r="M209" t="s">
        <v>1078</v>
      </c>
      <c r="N209" s="491"/>
      <c r="O209" s="1"/>
      <c r="P209" s="1"/>
    </row>
    <row r="210" spans="1:16" x14ac:dyDescent="0.3">
      <c r="A210" s="64">
        <f t="shared" si="8"/>
        <v>2474</v>
      </c>
      <c r="B210" s="7">
        <f t="shared" ref="B210:B212" si="10">RPT</f>
        <v>46252</v>
      </c>
      <c r="C210" s="391" t="s">
        <v>3961</v>
      </c>
      <c r="D210" s="1" t="s">
        <v>1064</v>
      </c>
      <c r="E210" s="391" t="s">
        <v>1030</v>
      </c>
      <c r="F210" s="10"/>
      <c r="I210" t="s">
        <v>3959</v>
      </c>
      <c r="L210" s="71">
        <f>SUM(BB_tufund[Amt])/10^9</f>
        <v>10858.311299999999</v>
      </c>
      <c r="M210" t="s">
        <v>1065</v>
      </c>
      <c r="N210" s="491"/>
      <c r="O210" s="1"/>
      <c r="P210" s="1"/>
    </row>
    <row r="211" spans="1:16" x14ac:dyDescent="0.3">
      <c r="A211" s="64">
        <f t="shared" si="8"/>
        <v>2474</v>
      </c>
      <c r="B211" s="7">
        <f t="shared" si="10"/>
        <v>46252</v>
      </c>
      <c r="C211" s="391" t="s">
        <v>3957</v>
      </c>
      <c r="D211" s="1" t="s">
        <v>1064</v>
      </c>
      <c r="E211" s="391" t="s">
        <v>1030</v>
      </c>
      <c r="F211" s="10"/>
      <c r="I211" t="s">
        <v>3959</v>
      </c>
      <c r="L211" s="71">
        <f>SUMPRODUCT(BB_tufund[Amt],BB_tufund[Yield])/SUM(BB_tufund[Amt])</f>
        <v>2.5923702520851468</v>
      </c>
      <c r="M211" t="s">
        <v>1078</v>
      </c>
      <c r="N211" s="491"/>
      <c r="O211" s="1"/>
      <c r="P211" s="1"/>
    </row>
    <row r="212" spans="1:16" x14ac:dyDescent="0.3">
      <c r="A212" s="64">
        <f t="shared" si="8"/>
        <v>2474</v>
      </c>
      <c r="B212" s="7">
        <f t="shared" si="10"/>
        <v>46252</v>
      </c>
      <c r="C212" s="391" t="s">
        <v>3963</v>
      </c>
      <c r="D212" s="1" t="s">
        <v>1064</v>
      </c>
      <c r="E212" s="391" t="s">
        <v>1030</v>
      </c>
      <c r="F212" s="10"/>
      <c r="I212" t="s">
        <v>3959</v>
      </c>
      <c r="L212" s="71">
        <f>SUM(BB_tufund[ItD])/10^9</f>
        <v>-1747.8686982300462</v>
      </c>
      <c r="M212" t="s">
        <v>1065</v>
      </c>
      <c r="N212" s="491"/>
      <c r="O212" s="1"/>
      <c r="P212" s="1"/>
    </row>
    <row r="213" spans="1:16" x14ac:dyDescent="0.3">
      <c r="A213" s="64"/>
      <c r="B213" s="7"/>
      <c r="C213" s="391"/>
      <c r="D213" s="1"/>
      <c r="E213" s="267"/>
      <c r="F213" s="10"/>
      <c r="M213" s="267"/>
      <c r="N213" s="491"/>
      <c r="O213" s="1"/>
      <c r="P213" s="1"/>
    </row>
    <row r="214" spans="1:16" x14ac:dyDescent="0.3">
      <c r="A214" s="64"/>
      <c r="B214" s="7"/>
      <c r="C214" s="391"/>
      <c r="D214" s="1"/>
      <c r="E214" s="267"/>
      <c r="F214" s="10"/>
      <c r="M214" s="267"/>
      <c r="N214" s="491"/>
      <c r="O214" s="1"/>
      <c r="P214" s="1"/>
    </row>
    <row r="215" spans="1:16" x14ac:dyDescent="0.3">
      <c r="A215" s="64"/>
      <c r="B215" s="7"/>
      <c r="C215" s="391"/>
      <c r="D215" s="1"/>
      <c r="E215" s="267"/>
      <c r="F215" s="10"/>
      <c r="M215" s="267"/>
      <c r="N215" s="491"/>
      <c r="O215" s="1"/>
      <c r="P215" s="1"/>
    </row>
    <row r="216" spans="1:16" x14ac:dyDescent="0.3">
      <c r="A216" s="64"/>
      <c r="B216" s="7"/>
      <c r="C216" s="391"/>
      <c r="D216" s="1"/>
      <c r="E216" s="267"/>
      <c r="F216" s="10"/>
      <c r="M216" s="267"/>
      <c r="N216" s="491"/>
      <c r="O216" s="1"/>
      <c r="P216" s="1"/>
    </row>
    <row r="217" spans="1:16" x14ac:dyDescent="0.3">
      <c r="A217" s="64"/>
      <c r="B217" s="7"/>
      <c r="C217" s="391"/>
      <c r="D217" s="1"/>
      <c r="E217" s="267"/>
      <c r="F217" s="10"/>
      <c r="M217" s="267"/>
      <c r="N217" s="491"/>
      <c r="O217" s="1"/>
      <c r="P217" s="1"/>
    </row>
    <row r="218" spans="1:16" x14ac:dyDescent="0.3">
      <c r="A218" s="64"/>
      <c r="B218" s="7"/>
      <c r="C218" s="391"/>
      <c r="D218" s="1"/>
      <c r="E218" s="267"/>
      <c r="F218" s="10"/>
      <c r="M218" s="267"/>
      <c r="N218" s="491"/>
      <c r="O218" s="1"/>
      <c r="P218" s="1"/>
    </row>
    <row r="219" spans="1:16" x14ac:dyDescent="0.3">
      <c r="A219" s="64"/>
      <c r="B219" s="7"/>
      <c r="C219" s="391"/>
      <c r="D219" s="1"/>
      <c r="E219" s="267"/>
      <c r="F219" s="10"/>
      <c r="M219" s="267"/>
      <c r="N219" s="491"/>
      <c r="O219" s="1"/>
      <c r="P219" s="1"/>
    </row>
    <row r="220" spans="1:16" x14ac:dyDescent="0.3">
      <c r="A220" s="64"/>
      <c r="B220" s="7"/>
      <c r="C220" s="391"/>
      <c r="D220" s="1"/>
      <c r="E220" s="267"/>
      <c r="F220" s="10"/>
      <c r="M220" s="267"/>
      <c r="N220" s="491"/>
      <c r="O220" s="1"/>
      <c r="P220" s="1"/>
    </row>
    <row r="221" spans="1:16" x14ac:dyDescent="0.3">
      <c r="A221" s="64"/>
      <c r="B221" s="7"/>
      <c r="C221" s="391"/>
      <c r="D221" s="1"/>
      <c r="E221" s="267"/>
      <c r="F221" s="10"/>
      <c r="M221" s="267"/>
      <c r="N221" s="491"/>
      <c r="O221" s="1"/>
      <c r="P221" s="1"/>
    </row>
    <row r="222" spans="1:16" x14ac:dyDescent="0.3">
      <c r="A222" s="64"/>
      <c r="B222" s="7"/>
      <c r="C222" s="391"/>
      <c r="D222" s="1"/>
      <c r="E222" s="267"/>
      <c r="F222" s="10"/>
      <c r="M222" s="267"/>
      <c r="N222" s="491"/>
      <c r="O222" s="1"/>
      <c r="P222" s="1"/>
    </row>
    <row r="223" spans="1:16" x14ac:dyDescent="0.3">
      <c r="A223" s="64"/>
      <c r="B223" s="7"/>
      <c r="C223" s="391"/>
      <c r="D223" s="1"/>
      <c r="E223" s="267"/>
      <c r="F223" s="10"/>
      <c r="M223" s="267"/>
      <c r="N223" s="491"/>
      <c r="O223" s="1"/>
      <c r="P223" s="1"/>
    </row>
    <row r="224" spans="1:16" x14ac:dyDescent="0.3">
      <c r="A224" s="64"/>
      <c r="B224" s="7"/>
      <c r="C224" s="391"/>
      <c r="D224" s="1"/>
      <c r="E224" s="267"/>
      <c r="F224" s="10"/>
      <c r="M224" s="267"/>
      <c r="N224" s="491"/>
      <c r="O224" s="1"/>
      <c r="P224" s="1"/>
    </row>
    <row r="225" spans="1:16" x14ac:dyDescent="0.3">
      <c r="A225" s="64"/>
      <c r="B225" s="7"/>
      <c r="C225" s="391"/>
      <c r="D225" s="1"/>
      <c r="E225" s="267"/>
      <c r="F225" s="10"/>
      <c r="M225" s="267"/>
      <c r="N225" s="491"/>
      <c r="O225" s="1"/>
      <c r="P225" s="1"/>
    </row>
    <row r="226" spans="1:16" x14ac:dyDescent="0.3">
      <c r="A226" s="64"/>
      <c r="B226" s="7"/>
      <c r="C226" s="391"/>
      <c r="D226" s="1"/>
      <c r="E226" s="267"/>
      <c r="F226" s="10"/>
      <c r="M226" s="267"/>
      <c r="N226" s="491"/>
      <c r="O226" s="1"/>
      <c r="P226" s="1"/>
    </row>
    <row r="227" spans="1:16" x14ac:dyDescent="0.3">
      <c r="A227" s="64"/>
      <c r="B227" s="7"/>
      <c r="C227" s="391"/>
      <c r="D227" s="1"/>
      <c r="E227" s="267"/>
      <c r="F227" s="10"/>
      <c r="M227" s="267"/>
      <c r="N227" s="491"/>
      <c r="O227" s="1"/>
      <c r="P227" s="1"/>
    </row>
    <row r="228" spans="1:16" x14ac:dyDescent="0.3">
      <c r="A228" s="64"/>
      <c r="B228" s="7"/>
      <c r="C228" s="391"/>
      <c r="D228" s="1"/>
      <c r="E228" s="267"/>
      <c r="F228" s="10"/>
      <c r="M228" s="267"/>
      <c r="N228" s="491"/>
      <c r="O228" s="1"/>
      <c r="P228" s="1"/>
    </row>
    <row r="229" spans="1:16" x14ac:dyDescent="0.3">
      <c r="A229" s="64"/>
      <c r="B229" s="7"/>
      <c r="C229" s="391"/>
      <c r="D229" s="1"/>
      <c r="E229" s="267"/>
      <c r="F229" s="10"/>
      <c r="M229" s="267"/>
      <c r="N229" s="491"/>
      <c r="O229" s="1"/>
      <c r="P229" s="1"/>
    </row>
    <row r="230" spans="1:16" x14ac:dyDescent="0.3">
      <c r="A230" s="64"/>
      <c r="B230" s="7"/>
      <c r="C230" s="391"/>
      <c r="D230" s="1"/>
      <c r="E230" s="267"/>
      <c r="F230" s="10"/>
      <c r="M230" s="267"/>
      <c r="N230" s="491"/>
      <c r="O230" s="1"/>
      <c r="P230" s="1"/>
    </row>
    <row r="231" spans="1:16" x14ac:dyDescent="0.3">
      <c r="A231" s="64"/>
      <c r="B231" s="7"/>
      <c r="C231" s="391"/>
      <c r="D231" s="1"/>
      <c r="E231" s="267"/>
      <c r="F231" s="10"/>
      <c r="M231" s="267"/>
      <c r="N231" s="491"/>
      <c r="O231" s="1"/>
      <c r="P231" s="1"/>
    </row>
    <row r="232" spans="1:16" x14ac:dyDescent="0.3">
      <c r="A232" s="64"/>
      <c r="B232" s="7"/>
      <c r="C232" s="391"/>
      <c r="D232" s="1"/>
      <c r="E232" s="267"/>
      <c r="F232" s="10"/>
      <c r="M232" s="267"/>
      <c r="N232" s="491"/>
      <c r="O232" s="1"/>
      <c r="P232" s="1"/>
    </row>
    <row r="233" spans="1:16" x14ac:dyDescent="0.3">
      <c r="A233" s="64"/>
      <c r="B233" s="7"/>
      <c r="C233" s="391"/>
      <c r="D233" s="1"/>
      <c r="E233" s="267"/>
      <c r="F233" s="10"/>
      <c r="M233" s="267"/>
      <c r="N233" s="491"/>
      <c r="O233" s="1"/>
      <c r="P233" s="1"/>
    </row>
    <row r="234" spans="1:16" x14ac:dyDescent="0.3">
      <c r="A234" s="64"/>
      <c r="B234" s="7"/>
      <c r="C234" s="391"/>
      <c r="D234" s="1"/>
      <c r="E234" s="267"/>
      <c r="F234" s="10"/>
      <c r="M234" s="267"/>
      <c r="N234" s="491"/>
      <c r="O234" s="1"/>
      <c r="P234" s="1"/>
    </row>
    <row r="235" spans="1:16" x14ac:dyDescent="0.3">
      <c r="A235" s="64"/>
      <c r="B235" s="7"/>
      <c r="C235" s="391"/>
      <c r="D235" s="1"/>
      <c r="E235" s="267"/>
      <c r="F235" s="10"/>
      <c r="M235" s="267"/>
      <c r="N235" s="491"/>
      <c r="O235" s="1"/>
      <c r="P235" s="1"/>
    </row>
    <row r="236" spans="1:16" x14ac:dyDescent="0.3">
      <c r="A236" s="64"/>
      <c r="B236" s="7"/>
      <c r="C236" s="391"/>
      <c r="D236" s="1"/>
      <c r="E236" s="267"/>
      <c r="F236" s="10"/>
      <c r="M236" s="267"/>
      <c r="N236" s="491"/>
      <c r="O236" s="1"/>
      <c r="P236" s="1"/>
    </row>
    <row r="237" spans="1:16" x14ac:dyDescent="0.3">
      <c r="A237" s="64"/>
      <c r="B237" s="7"/>
      <c r="C237" s="391"/>
      <c r="D237" s="1"/>
      <c r="E237" s="267"/>
      <c r="F237" s="10"/>
      <c r="M237" s="267"/>
      <c r="N237" s="491"/>
      <c r="O237" s="1"/>
      <c r="P237" s="1"/>
    </row>
    <row r="238" spans="1:16" x14ac:dyDescent="0.3">
      <c r="A238" s="64"/>
      <c r="B238" s="7"/>
      <c r="C238" s="391"/>
      <c r="D238" s="1"/>
      <c r="E238" s="267"/>
      <c r="F238" s="10"/>
      <c r="M238" s="267"/>
      <c r="N238" s="491"/>
      <c r="O238" s="1"/>
      <c r="P238" s="1"/>
    </row>
    <row r="239" spans="1:16" x14ac:dyDescent="0.3">
      <c r="A239" s="64"/>
      <c r="B239" s="7"/>
      <c r="C239" s="391"/>
      <c r="D239" s="1"/>
      <c r="E239" s="267"/>
      <c r="F239" s="10"/>
      <c r="M239" s="267"/>
      <c r="N239" s="491"/>
      <c r="O239" s="1"/>
      <c r="P239" s="1"/>
    </row>
    <row r="240" spans="1:16" x14ac:dyDescent="0.3">
      <c r="A240" s="64"/>
      <c r="B240" s="7"/>
      <c r="C240" s="391"/>
      <c r="D240" s="1"/>
      <c r="E240" s="267"/>
      <c r="F240" s="10"/>
      <c r="M240" s="267"/>
      <c r="N240" s="491"/>
      <c r="O240" s="1"/>
      <c r="P240" s="1"/>
    </row>
    <row r="241" spans="1:16" x14ac:dyDescent="0.3">
      <c r="A241" s="64"/>
      <c r="B241" s="7"/>
      <c r="C241" s="391"/>
      <c r="D241" s="1"/>
      <c r="E241" s="267"/>
      <c r="F241" s="10"/>
      <c r="M241" s="267"/>
      <c r="N241" s="491"/>
      <c r="O241" s="1"/>
      <c r="P241" s="1"/>
    </row>
    <row r="242" spans="1:16" x14ac:dyDescent="0.3">
      <c r="A242" s="64"/>
      <c r="B242" s="7"/>
      <c r="C242" s="391"/>
      <c r="D242" s="1"/>
      <c r="E242" s="267"/>
      <c r="F242" s="10"/>
      <c r="M242" s="267"/>
      <c r="N242" s="491"/>
      <c r="O242" s="1"/>
      <c r="P242" s="1"/>
    </row>
    <row r="243" spans="1:16" x14ac:dyDescent="0.3">
      <c r="A243" s="64"/>
      <c r="B243" s="7"/>
      <c r="C243" s="391"/>
      <c r="D243" s="1"/>
      <c r="E243" s="267"/>
      <c r="F243" s="10"/>
      <c r="M243" s="267"/>
      <c r="N243" s="491"/>
      <c r="O243" s="1"/>
      <c r="P243" s="1"/>
    </row>
    <row r="244" spans="1:16" x14ac:dyDescent="0.3">
      <c r="A244" s="64"/>
      <c r="B244" s="7"/>
      <c r="C244" s="391"/>
      <c r="D244" s="1"/>
      <c r="E244" s="267"/>
      <c r="F244" s="10"/>
      <c r="M244" s="267"/>
      <c r="N244" s="491"/>
      <c r="O244" s="1"/>
      <c r="P244" s="1"/>
    </row>
    <row r="245" spans="1:16" x14ac:dyDescent="0.3">
      <c r="A245" s="64"/>
      <c r="B245" s="7"/>
      <c r="C245" s="391"/>
      <c r="D245" s="1"/>
      <c r="E245" s="267"/>
      <c r="F245" s="10"/>
      <c r="M245" s="267"/>
      <c r="N245" s="491"/>
      <c r="O245" s="1"/>
      <c r="P245" s="1"/>
    </row>
    <row r="246" spans="1:16" x14ac:dyDescent="0.3">
      <c r="A246" s="64"/>
      <c r="B246" s="7"/>
      <c r="C246" s="391"/>
      <c r="D246" s="1"/>
      <c r="E246" s="267"/>
      <c r="F246" s="10"/>
      <c r="M246" s="267"/>
      <c r="N246" s="491"/>
      <c r="O246" s="1"/>
      <c r="P246" s="1"/>
    </row>
    <row r="247" spans="1:16" x14ac:dyDescent="0.3">
      <c r="A247" s="64"/>
      <c r="B247" s="7"/>
      <c r="C247" s="391"/>
      <c r="D247" s="1"/>
      <c r="E247" s="267"/>
      <c r="F247" s="10"/>
      <c r="M247" s="267"/>
      <c r="N247" s="491"/>
      <c r="O247" s="1"/>
      <c r="P247" s="1"/>
    </row>
    <row r="248" spans="1:16" x14ac:dyDescent="0.3">
      <c r="A248" s="64"/>
      <c r="B248" s="7"/>
      <c r="C248" s="391"/>
      <c r="D248" s="1"/>
      <c r="E248" s="267"/>
      <c r="F248" s="10"/>
      <c r="M248" s="267"/>
      <c r="N248" s="491"/>
      <c r="O248" s="1"/>
      <c r="P248" s="1"/>
    </row>
    <row r="249" spans="1:16" x14ac:dyDescent="0.3">
      <c r="A249" s="64"/>
      <c r="B249" s="7"/>
      <c r="C249" s="391"/>
      <c r="D249" s="1"/>
      <c r="E249" s="267"/>
      <c r="F249" s="10"/>
      <c r="M249" s="267"/>
      <c r="N249" s="491"/>
      <c r="O249" s="1"/>
      <c r="P249" s="1"/>
    </row>
    <row r="250" spans="1:16" x14ac:dyDescent="0.3">
      <c r="A250" s="64"/>
      <c r="B250" s="7"/>
      <c r="C250" s="391"/>
      <c r="D250" s="1"/>
      <c r="E250" s="267"/>
      <c r="F250" s="10"/>
      <c r="M250" s="267"/>
      <c r="N250" s="491"/>
      <c r="O250" s="1"/>
      <c r="P250" s="1"/>
    </row>
    <row r="251" spans="1:16" x14ac:dyDescent="0.3">
      <c r="A251" s="64"/>
      <c r="B251" s="7"/>
      <c r="C251" s="391"/>
      <c r="D251" s="1"/>
      <c r="E251" s="267"/>
      <c r="F251" s="10"/>
      <c r="M251" s="267"/>
      <c r="N251" s="491"/>
      <c r="O251" s="1"/>
      <c r="P251" s="1"/>
    </row>
    <row r="252" spans="1:16" x14ac:dyDescent="0.3">
      <c r="A252" s="64"/>
      <c r="B252" s="7"/>
      <c r="C252" s="391"/>
      <c r="D252" s="1"/>
      <c r="E252" s="267"/>
      <c r="F252" s="10"/>
      <c r="M252" s="267"/>
      <c r="N252" s="491"/>
      <c r="O252" s="1"/>
      <c r="P252" s="1"/>
    </row>
    <row r="253" spans="1:16" x14ac:dyDescent="0.3">
      <c r="A253" s="64"/>
      <c r="B253" s="7"/>
      <c r="C253" s="391"/>
      <c r="D253" s="1"/>
      <c r="E253" s="267"/>
      <c r="F253" s="10"/>
      <c r="M253" s="267"/>
      <c r="N253" s="491"/>
      <c r="O253" s="1"/>
      <c r="P253" s="1"/>
    </row>
    <row r="254" spans="1:16" x14ac:dyDescent="0.3">
      <c r="A254" s="64"/>
      <c r="B254" s="7"/>
      <c r="C254" s="391"/>
      <c r="D254" s="1"/>
      <c r="E254" s="267"/>
      <c r="F254" s="10"/>
      <c r="M254" s="267"/>
      <c r="N254" s="491"/>
      <c r="O254" s="1"/>
      <c r="P254" s="1"/>
    </row>
    <row r="255" spans="1:16" x14ac:dyDescent="0.3">
      <c r="A255" s="64"/>
      <c r="B255" s="7"/>
      <c r="C255" s="391"/>
      <c r="D255" s="1"/>
      <c r="E255" s="267"/>
      <c r="F255" s="10"/>
      <c r="M255" s="267"/>
      <c r="N255" s="491"/>
      <c r="O255" s="1"/>
      <c r="P255" s="1"/>
    </row>
    <row r="256" spans="1:16" x14ac:dyDescent="0.3">
      <c r="A256" s="64"/>
      <c r="B256" s="7"/>
      <c r="C256" s="391"/>
      <c r="D256" s="1"/>
      <c r="E256" s="267"/>
      <c r="F256" s="10"/>
      <c r="M256" s="267"/>
      <c r="N256" s="491"/>
      <c r="O256" s="1"/>
      <c r="P256" s="1"/>
    </row>
    <row r="257" spans="1:16" x14ac:dyDescent="0.3">
      <c r="A257" s="64"/>
      <c r="B257" s="7"/>
      <c r="C257" s="391"/>
      <c r="D257" s="1"/>
      <c r="E257" s="267"/>
      <c r="F257" s="10"/>
      <c r="M257" s="267"/>
      <c r="N257" s="491"/>
      <c r="O257" s="1"/>
      <c r="P257" s="1"/>
    </row>
    <row r="258" spans="1:16" x14ac:dyDescent="0.3">
      <c r="A258" s="64"/>
      <c r="B258" s="7"/>
      <c r="C258" s="391"/>
      <c r="D258" s="1"/>
      <c r="E258" s="267"/>
      <c r="F258" s="10"/>
      <c r="M258" s="267"/>
      <c r="N258" s="491"/>
      <c r="O258" s="1"/>
      <c r="P258" s="1"/>
    </row>
    <row r="259" spans="1:16" x14ac:dyDescent="0.3">
      <c r="A259" s="64"/>
      <c r="B259" s="7"/>
      <c r="C259" s="391"/>
      <c r="D259" s="1"/>
      <c r="E259" s="267"/>
      <c r="F259" s="10"/>
      <c r="M259" s="267"/>
      <c r="N259" s="491"/>
      <c r="O259" s="1"/>
      <c r="P259" s="1"/>
    </row>
    <row r="260" spans="1:16" x14ac:dyDescent="0.3">
      <c r="A260" s="64"/>
      <c r="B260" s="7"/>
      <c r="C260" s="391"/>
      <c r="D260" s="1"/>
      <c r="E260" s="267"/>
      <c r="F260" s="10"/>
      <c r="M260" s="267"/>
      <c r="N260" s="491"/>
      <c r="O260" s="1"/>
      <c r="P260" s="1"/>
    </row>
    <row r="261" spans="1:16" x14ac:dyDescent="0.3">
      <c r="A261" s="64"/>
      <c r="B261" s="7"/>
      <c r="C261" s="391"/>
      <c r="D261" s="1"/>
      <c r="E261" s="267"/>
      <c r="F261" s="10"/>
      <c r="M261" s="267"/>
      <c r="N261" s="491"/>
      <c r="O261" s="1"/>
      <c r="P261" s="1"/>
    </row>
    <row r="262" spans="1:16" x14ac:dyDescent="0.3">
      <c r="A262" s="64"/>
      <c r="B262" s="7"/>
      <c r="C262" s="391"/>
      <c r="D262" s="1"/>
      <c r="E262" s="267"/>
      <c r="F262" s="10"/>
      <c r="M262" s="267"/>
      <c r="N262" s="491"/>
      <c r="O262" s="1"/>
      <c r="P262" s="1"/>
    </row>
    <row r="263" spans="1:16" x14ac:dyDescent="0.3">
      <c r="A263" s="64"/>
      <c r="B263" s="7"/>
      <c r="C263" s="391"/>
      <c r="D263" s="1"/>
      <c r="E263" s="267"/>
      <c r="F263" s="10"/>
      <c r="M263" s="267"/>
      <c r="N263" s="491"/>
      <c r="O263" s="1"/>
      <c r="P263" s="1"/>
    </row>
    <row r="264" spans="1:16" x14ac:dyDescent="0.3">
      <c r="A264" s="64"/>
      <c r="B264" s="7"/>
      <c r="C264" s="391"/>
      <c r="D264" s="1"/>
      <c r="E264" s="267"/>
      <c r="F264" s="10"/>
      <c r="M264" s="267"/>
      <c r="N264" s="491"/>
      <c r="O264" s="1"/>
      <c r="P264" s="1"/>
    </row>
    <row r="265" spans="1:16" x14ac:dyDescent="0.3">
      <c r="A265" s="64"/>
      <c r="B265" s="7"/>
      <c r="C265" s="391"/>
      <c r="D265" s="1"/>
      <c r="E265" s="267"/>
      <c r="F265" s="10"/>
      <c r="M265" s="267"/>
      <c r="N265" s="491"/>
      <c r="O265" s="1"/>
      <c r="P265" s="1"/>
    </row>
    <row r="266" spans="1:16" x14ac:dyDescent="0.3">
      <c r="A266" s="64"/>
      <c r="B266" s="7"/>
      <c r="C266" s="391"/>
      <c r="D266" s="1"/>
      <c r="E266" s="267"/>
      <c r="F266" s="10"/>
      <c r="M266" s="267"/>
      <c r="N266" s="491"/>
      <c r="O266" s="1"/>
      <c r="P266" s="1"/>
    </row>
    <row r="267" spans="1:16" x14ac:dyDescent="0.3">
      <c r="A267" s="64"/>
      <c r="B267" s="7"/>
      <c r="C267" s="391"/>
      <c r="D267" s="1"/>
      <c r="E267" s="267"/>
      <c r="F267" s="10"/>
      <c r="M267" s="267"/>
      <c r="N267" s="491"/>
      <c r="O267" s="1"/>
      <c r="P267" s="1"/>
    </row>
    <row r="268" spans="1:16" x14ac:dyDescent="0.3">
      <c r="A268" s="64"/>
      <c r="B268" s="7"/>
      <c r="C268" s="391"/>
      <c r="D268" s="1"/>
      <c r="E268" s="267"/>
      <c r="F268" s="10"/>
      <c r="M268" s="267"/>
      <c r="N268" s="491"/>
      <c r="O268" s="1"/>
      <c r="P268" s="1"/>
    </row>
    <row r="269" spans="1:16" x14ac:dyDescent="0.3">
      <c r="A269" s="64"/>
      <c r="B269" s="7"/>
      <c r="C269" s="391"/>
      <c r="D269" s="1"/>
      <c r="E269" s="267"/>
      <c r="F269" s="10"/>
      <c r="M269" s="267"/>
      <c r="N269" s="491"/>
      <c r="O269" s="1"/>
      <c r="P269" s="1"/>
    </row>
    <row r="270" spans="1:16" x14ac:dyDescent="0.3">
      <c r="A270" s="64"/>
      <c r="B270" s="7"/>
      <c r="C270" s="391"/>
      <c r="D270" s="1"/>
      <c r="E270" s="267"/>
      <c r="F270" s="10"/>
      <c r="M270" s="267"/>
      <c r="N270" s="491"/>
      <c r="O270" s="1"/>
      <c r="P270" s="1"/>
    </row>
    <row r="271" spans="1:16" x14ac:dyDescent="0.3">
      <c r="A271" s="64"/>
      <c r="B271" s="7"/>
      <c r="C271" s="391"/>
      <c r="D271" s="1"/>
      <c r="E271" s="267"/>
      <c r="F271" s="10"/>
      <c r="M271" s="267"/>
      <c r="N271" s="491"/>
      <c r="O271" s="1"/>
      <c r="P271" s="1"/>
    </row>
    <row r="272" spans="1:16" x14ac:dyDescent="0.3">
      <c r="A272" s="64"/>
      <c r="B272" s="7"/>
      <c r="C272" s="391"/>
      <c r="D272" s="1"/>
      <c r="E272" s="267"/>
      <c r="F272" s="10"/>
      <c r="M272" s="267"/>
      <c r="N272" s="491"/>
      <c r="O272" s="1"/>
      <c r="P272" s="1"/>
    </row>
    <row r="273" spans="1:16" x14ac:dyDescent="0.3">
      <c r="A273" s="64"/>
      <c r="B273" s="7"/>
      <c r="C273" s="391"/>
      <c r="D273" s="1"/>
      <c r="E273" s="267"/>
      <c r="F273" s="10"/>
      <c r="M273" s="267"/>
      <c r="N273" s="491"/>
      <c r="O273" s="1"/>
      <c r="P273" s="1"/>
    </row>
    <row r="274" spans="1:16" x14ac:dyDescent="0.3">
      <c r="A274" s="64"/>
      <c r="B274" s="7"/>
      <c r="C274" s="391"/>
      <c r="D274" s="1"/>
      <c r="E274" s="267"/>
      <c r="F274" s="10"/>
      <c r="M274" s="267"/>
      <c r="N274" s="491"/>
      <c r="O274" s="1"/>
      <c r="P274" s="1"/>
    </row>
    <row r="275" spans="1:16" x14ac:dyDescent="0.3">
      <c r="A275" s="64"/>
      <c r="B275" s="7"/>
      <c r="C275" s="391"/>
      <c r="D275" s="1"/>
      <c r="E275" s="267"/>
      <c r="F275" s="10"/>
      <c r="M275" s="267"/>
      <c r="N275" s="491"/>
      <c r="O275" s="1"/>
      <c r="P275" s="1"/>
    </row>
    <row r="276" spans="1:16" x14ac:dyDescent="0.3">
      <c r="A276" s="64"/>
      <c r="B276" s="7"/>
      <c r="C276" s="391"/>
      <c r="D276" s="1"/>
      <c r="E276" s="267"/>
      <c r="F276" s="10"/>
      <c r="M276" s="267"/>
      <c r="N276" s="491"/>
      <c r="O276" s="1"/>
      <c r="P276" s="1"/>
    </row>
    <row r="277" spans="1:16" x14ac:dyDescent="0.3">
      <c r="A277" s="64"/>
      <c r="B277" s="7"/>
      <c r="C277" s="391"/>
      <c r="D277" s="1"/>
      <c r="E277" s="267"/>
      <c r="F277" s="10"/>
      <c r="M277" s="267"/>
      <c r="N277" s="491"/>
      <c r="O277" s="1"/>
      <c r="P277" s="1"/>
    </row>
    <row r="278" spans="1:16" x14ac:dyDescent="0.3">
      <c r="A278" s="64"/>
      <c r="B278" s="7"/>
      <c r="C278" s="391"/>
      <c r="D278" s="1"/>
      <c r="E278" s="267"/>
      <c r="F278" s="10"/>
      <c r="M278" s="267"/>
      <c r="N278" s="491"/>
      <c r="O278" s="1"/>
      <c r="P278" s="1"/>
    </row>
    <row r="279" spans="1:16" x14ac:dyDescent="0.3">
      <c r="A279" s="64"/>
      <c r="B279" s="7"/>
      <c r="C279" s="391"/>
      <c r="D279" s="1"/>
      <c r="E279" s="267"/>
      <c r="F279" s="10"/>
      <c r="M279" s="267"/>
      <c r="N279" s="491"/>
      <c r="O279" s="1"/>
      <c r="P279" s="1"/>
    </row>
    <row r="280" spans="1:16" x14ac:dyDescent="0.3">
      <c r="A280" s="64"/>
      <c r="B280" s="7"/>
      <c r="C280" s="391"/>
      <c r="D280" s="1"/>
      <c r="E280" s="267"/>
      <c r="F280" s="10"/>
      <c r="M280" s="267"/>
      <c r="N280" s="491"/>
      <c r="O280" s="1"/>
      <c r="P280" s="1"/>
    </row>
    <row r="281" spans="1:16" x14ac:dyDescent="0.3">
      <c r="A281" s="64"/>
      <c r="B281" s="7"/>
      <c r="C281" s="391"/>
      <c r="D281" s="1"/>
      <c r="E281" s="267"/>
      <c r="F281" s="10"/>
      <c r="M281" s="267"/>
      <c r="N281" s="491"/>
      <c r="O281" s="1"/>
      <c r="P281" s="1"/>
    </row>
    <row r="282" spans="1:16" x14ac:dyDescent="0.3">
      <c r="A282" s="64"/>
      <c r="B282" s="7"/>
      <c r="C282" s="391"/>
      <c r="D282" s="1"/>
      <c r="E282" s="267"/>
      <c r="F282" s="10"/>
      <c r="M282" s="267"/>
      <c r="N282" s="491"/>
      <c r="O282" s="1"/>
      <c r="P282" s="1"/>
    </row>
    <row r="283" spans="1:16" x14ac:dyDescent="0.3">
      <c r="A283" s="64"/>
      <c r="B283" s="7"/>
      <c r="C283" s="391"/>
      <c r="D283" s="1"/>
      <c r="E283" s="267"/>
      <c r="F283" s="10"/>
      <c r="M283" s="267"/>
      <c r="N283" s="491"/>
      <c r="O283" s="1"/>
      <c r="P283" s="1"/>
    </row>
    <row r="284" spans="1:16" x14ac:dyDescent="0.3">
      <c r="A284" s="64"/>
      <c r="B284" s="7"/>
      <c r="C284" s="391"/>
      <c r="D284" s="1"/>
      <c r="E284" s="267"/>
      <c r="F284" s="10"/>
      <c r="M284" s="267"/>
      <c r="N284" s="491"/>
      <c r="O284" s="1"/>
      <c r="P284" s="1"/>
    </row>
    <row r="285" spans="1:16" x14ac:dyDescent="0.3">
      <c r="A285" s="64"/>
      <c r="B285" s="7"/>
      <c r="C285" s="391"/>
      <c r="D285" s="1"/>
      <c r="E285" s="267"/>
      <c r="F285" s="10"/>
      <c r="M285" s="267"/>
      <c r="N285" s="491"/>
      <c r="O285" s="1"/>
      <c r="P285" s="1"/>
    </row>
    <row r="286" spans="1:16" x14ac:dyDescent="0.3">
      <c r="A286" s="64"/>
      <c r="B286" s="7"/>
      <c r="C286" s="391"/>
      <c r="D286" s="1"/>
      <c r="E286" s="267"/>
      <c r="F286" s="10"/>
      <c r="M286" s="267"/>
      <c r="N286" s="491"/>
      <c r="O286" s="1"/>
      <c r="P286" s="1"/>
    </row>
    <row r="287" spans="1:16" x14ac:dyDescent="0.3">
      <c r="A287" s="64"/>
      <c r="B287" s="7"/>
      <c r="C287" s="391"/>
      <c r="D287" s="1"/>
      <c r="E287" s="267"/>
      <c r="F287" s="10"/>
      <c r="M287" s="267"/>
      <c r="N287" s="491"/>
      <c r="O287" s="1"/>
      <c r="P287" s="1"/>
    </row>
    <row r="288" spans="1:16" x14ac:dyDescent="0.3">
      <c r="A288" s="64"/>
      <c r="B288" s="7"/>
      <c r="C288" s="391"/>
      <c r="D288" s="1"/>
      <c r="E288" s="267"/>
      <c r="F288" s="10"/>
      <c r="M288" s="267"/>
      <c r="N288" s="491"/>
      <c r="O288" s="1"/>
      <c r="P288" s="1"/>
    </row>
    <row r="289" spans="1:16" x14ac:dyDescent="0.3">
      <c r="A289" s="64"/>
      <c r="B289" s="7"/>
      <c r="C289" s="391"/>
      <c r="D289" s="1"/>
      <c r="E289" s="267"/>
      <c r="F289" s="10"/>
      <c r="M289" s="267"/>
      <c r="N289" s="491"/>
      <c r="O289" s="1"/>
      <c r="P289" s="1"/>
    </row>
    <row r="290" spans="1:16" x14ac:dyDescent="0.3">
      <c r="A290" s="64"/>
      <c r="B290" s="7"/>
      <c r="C290" s="391"/>
      <c r="D290" s="1"/>
      <c r="E290" s="267"/>
      <c r="F290" s="10"/>
      <c r="M290" s="267"/>
      <c r="N290" s="491"/>
      <c r="O290" s="1"/>
      <c r="P290" s="1"/>
    </row>
    <row r="291" spans="1:16" x14ac:dyDescent="0.3">
      <c r="A291" s="64"/>
      <c r="B291" s="7"/>
      <c r="C291" s="391"/>
      <c r="D291" s="1"/>
      <c r="E291" s="267"/>
      <c r="F291" s="10"/>
      <c r="M291" s="267"/>
      <c r="N291" s="491"/>
      <c r="O291" s="1"/>
      <c r="P291" s="1"/>
    </row>
    <row r="292" spans="1:16" x14ac:dyDescent="0.3">
      <c r="A292" s="64"/>
      <c r="B292" s="7"/>
      <c r="C292" s="391"/>
      <c r="D292" s="1"/>
      <c r="E292" s="267"/>
      <c r="F292" s="10"/>
      <c r="M292" s="267"/>
      <c r="N292" s="491"/>
      <c r="O292" s="1"/>
      <c r="P292" s="1"/>
    </row>
    <row r="293" spans="1:16" x14ac:dyDescent="0.3">
      <c r="A293" s="64"/>
      <c r="B293" s="7"/>
      <c r="C293" s="391"/>
      <c r="D293" s="1"/>
      <c r="E293" s="267"/>
      <c r="F293" s="10"/>
      <c r="M293" s="267"/>
      <c r="N293" s="491"/>
      <c r="O293" s="1"/>
      <c r="P293" s="1"/>
    </row>
    <row r="294" spans="1:16" x14ac:dyDescent="0.3">
      <c r="A294" s="64"/>
      <c r="B294" s="7"/>
      <c r="C294" s="391"/>
      <c r="D294" s="1"/>
      <c r="E294" s="267"/>
      <c r="F294" s="10"/>
      <c r="M294" s="267"/>
      <c r="N294" s="491"/>
      <c r="O294" s="1"/>
      <c r="P294" s="1"/>
    </row>
    <row r="295" spans="1:16" x14ac:dyDescent="0.3">
      <c r="A295" s="64"/>
      <c r="B295" s="7"/>
      <c r="C295" s="391"/>
      <c r="D295" s="1"/>
      <c r="E295" s="267"/>
      <c r="F295" s="10"/>
      <c r="M295" s="267"/>
      <c r="N295" s="491"/>
      <c r="O295" s="1"/>
      <c r="P295" s="1"/>
    </row>
    <row r="296" spans="1:16" x14ac:dyDescent="0.3">
      <c r="A296" s="64"/>
      <c r="B296" s="7"/>
      <c r="C296" s="391"/>
      <c r="D296" s="1"/>
      <c r="E296" s="267"/>
      <c r="F296" s="10"/>
      <c r="M296" s="267"/>
      <c r="N296" s="491"/>
      <c r="O296" s="1"/>
      <c r="P296" s="1"/>
    </row>
    <row r="297" spans="1:16" x14ac:dyDescent="0.3">
      <c r="A297" s="64"/>
      <c r="B297" s="7"/>
      <c r="C297" s="391"/>
      <c r="D297" s="1"/>
      <c r="E297" s="267"/>
      <c r="F297" s="10"/>
      <c r="M297" s="267"/>
      <c r="N297" s="491"/>
      <c r="O297" s="1"/>
      <c r="P297" s="1"/>
    </row>
    <row r="298" spans="1:16" x14ac:dyDescent="0.3">
      <c r="A298" s="64"/>
      <c r="B298" s="7"/>
      <c r="C298" s="391"/>
      <c r="D298" s="1"/>
      <c r="E298" s="267"/>
      <c r="F298" s="10"/>
      <c r="M298" s="267"/>
      <c r="N298" s="491"/>
      <c r="O298" s="1"/>
      <c r="P298" s="1"/>
    </row>
    <row r="299" spans="1:16" x14ac:dyDescent="0.3">
      <c r="A299" s="64"/>
      <c r="B299" s="7"/>
      <c r="C299" s="391"/>
      <c r="D299" s="1"/>
      <c r="E299" s="267"/>
      <c r="F299" s="10"/>
      <c r="M299" s="267"/>
      <c r="N299" s="491"/>
      <c r="O299" s="1"/>
      <c r="P299" s="1"/>
    </row>
    <row r="300" spans="1:16" x14ac:dyDescent="0.3">
      <c r="A300" s="64"/>
      <c r="B300" s="7"/>
      <c r="C300" s="391"/>
      <c r="D300" s="1"/>
      <c r="E300" s="267"/>
      <c r="F300" s="10"/>
      <c r="M300" s="267"/>
      <c r="N300" s="491"/>
      <c r="O300" s="1"/>
      <c r="P300" s="1"/>
    </row>
    <row r="301" spans="1:16" x14ac:dyDescent="0.3">
      <c r="A301" s="64"/>
      <c r="B301" s="7"/>
      <c r="C301" s="391"/>
      <c r="D301" s="1"/>
      <c r="E301" s="267"/>
      <c r="F301" s="10"/>
      <c r="M301" s="267"/>
      <c r="N301" s="491"/>
      <c r="O301" s="1"/>
      <c r="P301" s="1"/>
    </row>
    <row r="302" spans="1:16" x14ac:dyDescent="0.3">
      <c r="A302" s="64"/>
      <c r="B302" s="7"/>
      <c r="C302" s="391"/>
      <c r="D302" s="1"/>
      <c r="E302" s="267"/>
      <c r="F302" s="10"/>
      <c r="M302" s="267"/>
      <c r="N302" s="491"/>
      <c r="O302" s="1"/>
      <c r="P302" s="1"/>
    </row>
    <row r="303" spans="1:16" x14ac:dyDescent="0.3">
      <c r="A303" s="64"/>
      <c r="B303" s="7"/>
      <c r="C303" s="391"/>
      <c r="D303" s="1"/>
      <c r="E303" s="267"/>
      <c r="F303" s="10"/>
      <c r="M303" s="267"/>
      <c r="N303" s="491"/>
      <c r="O303" s="1"/>
      <c r="P303" s="1"/>
    </row>
    <row r="304" spans="1:16" x14ac:dyDescent="0.3">
      <c r="A304" s="64"/>
      <c r="B304" s="7"/>
      <c r="C304" s="391"/>
      <c r="D304" s="1"/>
      <c r="E304" s="267"/>
      <c r="F304" s="10"/>
      <c r="M304" s="267"/>
      <c r="N304" s="491"/>
      <c r="O304" s="1"/>
      <c r="P304" s="1"/>
    </row>
    <row r="305" spans="1:16" x14ac:dyDescent="0.3">
      <c r="A305" s="64"/>
      <c r="B305" s="7"/>
      <c r="C305" s="391"/>
      <c r="D305" s="1"/>
      <c r="E305" s="267"/>
      <c r="F305" s="10"/>
      <c r="M305" s="267"/>
      <c r="N305" s="491"/>
      <c r="O305" s="1"/>
      <c r="P305" s="1"/>
    </row>
    <row r="306" spans="1:16" x14ac:dyDescent="0.3">
      <c r="A306" s="64"/>
      <c r="B306" s="7"/>
      <c r="C306" s="391"/>
      <c r="D306" s="1"/>
      <c r="E306" s="267"/>
      <c r="F306" s="10"/>
      <c r="M306" s="267"/>
      <c r="N306" s="491"/>
      <c r="O306" s="1"/>
      <c r="P306" s="1"/>
    </row>
    <row r="307" spans="1:16" x14ac:dyDescent="0.3">
      <c r="A307" s="64"/>
      <c r="B307" s="7"/>
      <c r="C307" s="391"/>
      <c r="D307" s="1"/>
      <c r="E307" s="267"/>
      <c r="F307" s="10"/>
      <c r="M307" s="267"/>
      <c r="N307" s="491"/>
      <c r="O307" s="1"/>
      <c r="P307" s="1"/>
    </row>
    <row r="308" spans="1:16" x14ac:dyDescent="0.3">
      <c r="A308" s="64"/>
      <c r="B308" s="7"/>
      <c r="C308" s="391"/>
      <c r="D308" s="1"/>
      <c r="E308" s="267"/>
      <c r="F308" s="10"/>
      <c r="M308" s="267"/>
      <c r="N308" s="491"/>
      <c r="O308" s="1"/>
      <c r="P308" s="1"/>
    </row>
    <row r="309" spans="1:16" x14ac:dyDescent="0.3">
      <c r="A309" s="64"/>
      <c r="B309" s="7"/>
      <c r="C309" s="391"/>
      <c r="D309" s="1"/>
      <c r="E309" s="267"/>
      <c r="F309" s="10"/>
      <c r="M309" s="267"/>
      <c r="N309" s="491"/>
      <c r="O309" s="1"/>
      <c r="P309" s="1"/>
    </row>
    <row r="310" spans="1:16" x14ac:dyDescent="0.3">
      <c r="A310" s="64"/>
      <c r="B310" s="7"/>
      <c r="C310" s="391"/>
      <c r="D310" s="1"/>
      <c r="E310" s="267"/>
      <c r="F310" s="10"/>
      <c r="M310" s="267"/>
      <c r="N310" s="491"/>
      <c r="O310" s="1"/>
      <c r="P310" s="1"/>
    </row>
    <row r="311" spans="1:16" x14ac:dyDescent="0.3">
      <c r="A311" s="64"/>
      <c r="B311" s="7"/>
      <c r="C311" s="391"/>
      <c r="D311" s="1"/>
      <c r="E311" s="267"/>
      <c r="F311" s="10"/>
      <c r="M311" s="267"/>
      <c r="N311" s="491"/>
      <c r="O311" s="1"/>
      <c r="P311" s="1"/>
    </row>
    <row r="312" spans="1:16" x14ac:dyDescent="0.3">
      <c r="A312" s="64"/>
      <c r="B312" s="7"/>
      <c r="C312" s="391"/>
      <c r="D312" s="1"/>
      <c r="E312" s="267"/>
      <c r="F312" s="10"/>
      <c r="M312" s="267"/>
      <c r="N312" s="491"/>
      <c r="O312" s="1"/>
      <c r="P312" s="1"/>
    </row>
    <row r="313" spans="1:16" x14ac:dyDescent="0.3">
      <c r="A313" s="64"/>
      <c r="B313" s="7"/>
      <c r="C313" s="391"/>
      <c r="D313" s="1"/>
      <c r="E313" s="267"/>
      <c r="F313" s="10"/>
      <c r="M313" s="267"/>
      <c r="N313" s="491"/>
      <c r="O313" s="1"/>
      <c r="P313" s="1"/>
    </row>
    <row r="314" spans="1:16" x14ac:dyDescent="0.3">
      <c r="A314" s="64"/>
      <c r="B314" s="7"/>
      <c r="C314" s="391"/>
      <c r="D314" s="1"/>
      <c r="E314" s="267"/>
      <c r="F314" s="10"/>
      <c r="M314" s="267"/>
      <c r="N314" s="491"/>
      <c r="O314" s="1"/>
      <c r="P314" s="1"/>
    </row>
    <row r="315" spans="1:16" x14ac:dyDescent="0.3">
      <c r="A315" s="64"/>
      <c r="B315" s="7"/>
      <c r="C315" s="391"/>
      <c r="D315" s="1"/>
      <c r="E315" s="267"/>
      <c r="F315" s="10"/>
      <c r="M315" s="267"/>
      <c r="N315" s="491"/>
      <c r="O315" s="1"/>
      <c r="P315" s="1"/>
    </row>
    <row r="316" spans="1:16" x14ac:dyDescent="0.3">
      <c r="A316" s="64"/>
      <c r="B316" s="7"/>
      <c r="C316" s="391"/>
      <c r="D316" s="1"/>
      <c r="E316" s="267"/>
      <c r="F316" s="10"/>
      <c r="M316" s="267"/>
      <c r="N316" s="491"/>
      <c r="O316" s="1"/>
      <c r="P316" s="1"/>
    </row>
    <row r="317" spans="1:16" x14ac:dyDescent="0.3">
      <c r="A317" s="64"/>
      <c r="B317" s="7"/>
      <c r="C317" s="391"/>
      <c r="D317" s="1"/>
      <c r="E317" s="267"/>
      <c r="F317" s="10"/>
      <c r="M317" s="267"/>
      <c r="N317" s="491"/>
      <c r="O317" s="1"/>
      <c r="P317" s="1"/>
    </row>
    <row r="318" spans="1:16" x14ac:dyDescent="0.3">
      <c r="A318" s="64"/>
      <c r="B318" s="7"/>
      <c r="C318" s="391"/>
      <c r="D318" s="1"/>
      <c r="E318" s="267"/>
      <c r="F318" s="10"/>
      <c r="M318" s="267"/>
      <c r="N318" s="491"/>
      <c r="O318" s="1"/>
      <c r="P318" s="1"/>
    </row>
    <row r="319" spans="1:16" x14ac:dyDescent="0.3">
      <c r="A319" s="64"/>
      <c r="B319" s="7"/>
      <c r="C319" s="391"/>
      <c r="D319" s="1"/>
      <c r="E319" s="267"/>
      <c r="F319" s="10"/>
      <c r="M319" s="267"/>
      <c r="N319" s="491"/>
      <c r="O319" s="1"/>
      <c r="P319" s="1"/>
    </row>
    <row r="320" spans="1:16" x14ac:dyDescent="0.3">
      <c r="A320" s="64"/>
      <c r="B320" s="7"/>
      <c r="C320" s="391"/>
      <c r="D320" s="1"/>
      <c r="E320" s="267"/>
      <c r="F320" s="10"/>
      <c r="M320" s="267"/>
      <c r="N320" s="491"/>
      <c r="O320" s="1"/>
      <c r="P320" s="1"/>
    </row>
    <row r="321" spans="1:16" x14ac:dyDescent="0.3">
      <c r="A321" s="64"/>
      <c r="B321" s="7"/>
      <c r="C321" s="391"/>
      <c r="D321" s="1"/>
      <c r="E321" s="267"/>
      <c r="F321" s="10"/>
      <c r="M321" s="267"/>
      <c r="N321" s="491"/>
      <c r="O321" s="1"/>
      <c r="P321" s="1"/>
    </row>
    <row r="322" spans="1:16" x14ac:dyDescent="0.3">
      <c r="A322" s="64"/>
      <c r="B322" s="7"/>
      <c r="C322" s="391"/>
      <c r="D322" s="1"/>
      <c r="E322" s="267"/>
      <c r="F322" s="10"/>
      <c r="M322" s="267"/>
      <c r="N322" s="491"/>
      <c r="O322" s="1"/>
      <c r="P322" s="1"/>
    </row>
    <row r="323" spans="1:16" x14ac:dyDescent="0.3">
      <c r="A323" s="64"/>
      <c r="B323" s="7"/>
      <c r="C323" s="391"/>
      <c r="D323" s="1"/>
      <c r="E323" s="267"/>
      <c r="F323" s="10"/>
      <c r="M323" s="267"/>
      <c r="N323" s="491"/>
      <c r="O323" s="1"/>
      <c r="P323" s="1"/>
    </row>
    <row r="324" spans="1:16" x14ac:dyDescent="0.3">
      <c r="A324" s="64"/>
      <c r="B324" s="7"/>
      <c r="C324" s="391"/>
      <c r="D324" s="1"/>
      <c r="E324" s="267"/>
      <c r="F324" s="10"/>
      <c r="M324" s="267"/>
      <c r="N324" s="491"/>
      <c r="O324" s="1"/>
      <c r="P324" s="1"/>
    </row>
    <row r="325" spans="1:16" x14ac:dyDescent="0.3">
      <c r="A325" s="64"/>
      <c r="B325" s="7"/>
      <c r="C325" s="391"/>
      <c r="D325" s="1"/>
      <c r="E325" s="267"/>
      <c r="F325" s="10"/>
      <c r="M325" s="267"/>
      <c r="N325" s="491"/>
      <c r="O325" s="1"/>
      <c r="P325" s="1"/>
    </row>
    <row r="326" spans="1:16" x14ac:dyDescent="0.3">
      <c r="A326" s="64"/>
      <c r="B326" s="7"/>
      <c r="C326" s="391"/>
      <c r="D326" s="1"/>
      <c r="E326" s="267"/>
      <c r="F326" s="10"/>
      <c r="M326" s="267"/>
      <c r="N326" s="491"/>
      <c r="O326" s="1"/>
      <c r="P326" s="1"/>
    </row>
    <row r="327" spans="1:16" x14ac:dyDescent="0.3">
      <c r="A327" s="64"/>
      <c r="B327" s="7"/>
      <c r="C327" s="391"/>
      <c r="D327" s="1"/>
      <c r="E327" s="267"/>
      <c r="F327" s="10"/>
      <c r="M327" s="267"/>
      <c r="N327" s="491"/>
      <c r="O327" s="1"/>
      <c r="P327" s="1"/>
    </row>
    <row r="328" spans="1:16" x14ac:dyDescent="0.3">
      <c r="A328" s="64"/>
      <c r="B328" s="7"/>
      <c r="C328" s="391"/>
      <c r="D328" s="1"/>
      <c r="E328" s="267"/>
      <c r="F328" s="10"/>
      <c r="M328" s="267"/>
      <c r="N328" s="491"/>
      <c r="O328" s="1"/>
      <c r="P328" s="1"/>
    </row>
    <row r="329" spans="1:16" x14ac:dyDescent="0.3">
      <c r="A329" s="64"/>
      <c r="B329" s="7"/>
      <c r="C329" s="391"/>
      <c r="D329" s="1"/>
      <c r="E329" s="267"/>
      <c r="F329" s="10"/>
      <c r="M329" s="267"/>
      <c r="N329" s="491"/>
      <c r="O329" s="1"/>
      <c r="P329" s="1"/>
    </row>
    <row r="330" spans="1:16" x14ac:dyDescent="0.3">
      <c r="A330" s="64"/>
      <c r="B330" s="7"/>
      <c r="C330" s="391"/>
      <c r="D330" s="1"/>
      <c r="E330" s="267"/>
      <c r="F330" s="10"/>
      <c r="M330" s="267"/>
      <c r="N330" s="491"/>
      <c r="O330" s="1"/>
      <c r="P330" s="1"/>
    </row>
    <row r="331" spans="1:16" x14ac:dyDescent="0.3">
      <c r="A331" s="64"/>
      <c r="B331" s="7"/>
      <c r="C331" s="391"/>
      <c r="D331" s="1"/>
      <c r="E331" s="267"/>
      <c r="F331" s="10"/>
      <c r="M331" s="267"/>
      <c r="N331" s="491"/>
      <c r="O331" s="1"/>
      <c r="P331" s="1"/>
    </row>
    <row r="332" spans="1:16" x14ac:dyDescent="0.3">
      <c r="A332" s="64"/>
      <c r="B332" s="7"/>
      <c r="C332" s="391"/>
      <c r="D332" s="1"/>
      <c r="E332" s="267"/>
      <c r="F332" s="10"/>
      <c r="M332" s="267"/>
      <c r="N332" s="491"/>
      <c r="O332" s="1"/>
      <c r="P332" s="1"/>
    </row>
    <row r="333" spans="1:16" x14ac:dyDescent="0.3">
      <c r="A333" s="64"/>
      <c r="B333" s="7"/>
      <c r="C333" s="391"/>
      <c r="D333" s="1"/>
      <c r="E333" s="267"/>
      <c r="F333" s="10"/>
      <c r="M333" s="267"/>
      <c r="N333" s="491"/>
      <c r="O333" s="1"/>
      <c r="P333" s="1"/>
    </row>
    <row r="334" spans="1:16" x14ac:dyDescent="0.3">
      <c r="A334" s="64"/>
      <c r="B334" s="7"/>
      <c r="C334" s="391"/>
      <c r="D334" s="1"/>
      <c r="E334" s="267"/>
      <c r="F334" s="10"/>
      <c r="M334" s="267"/>
      <c r="N334" s="491"/>
      <c r="O334" s="1"/>
      <c r="P334" s="1"/>
    </row>
    <row r="335" spans="1:16" x14ac:dyDescent="0.3">
      <c r="A335" s="64"/>
      <c r="B335" s="7"/>
      <c r="C335" s="391"/>
      <c r="D335" s="1"/>
      <c r="E335" s="267"/>
      <c r="F335" s="10"/>
      <c r="M335" s="267"/>
      <c r="N335" s="491"/>
      <c r="O335" s="1"/>
      <c r="P335" s="1"/>
    </row>
    <row r="336" spans="1:16" x14ac:dyDescent="0.3">
      <c r="A336" s="64"/>
      <c r="B336" s="7"/>
      <c r="C336" s="391"/>
      <c r="D336" s="1"/>
      <c r="E336" s="267"/>
      <c r="F336" s="10"/>
      <c r="M336" s="267"/>
      <c r="N336" s="491"/>
      <c r="O336" s="1"/>
      <c r="P336" s="1"/>
    </row>
    <row r="337" spans="1:16" x14ac:dyDescent="0.3">
      <c r="A337" s="64"/>
      <c r="B337" s="7"/>
      <c r="C337" s="391"/>
      <c r="D337" s="1"/>
      <c r="E337" s="267"/>
      <c r="F337" s="10"/>
      <c r="M337" s="267"/>
      <c r="N337" s="491"/>
      <c r="O337" s="1"/>
      <c r="P337" s="1"/>
    </row>
    <row r="338" spans="1:16" x14ac:dyDescent="0.3">
      <c r="A338" s="64"/>
      <c r="B338" s="7"/>
      <c r="C338" s="391"/>
      <c r="D338" s="1"/>
      <c r="E338" s="267"/>
      <c r="F338" s="10"/>
      <c r="M338" s="267"/>
      <c r="N338" s="491"/>
      <c r="O338" s="1"/>
      <c r="P338" s="1"/>
    </row>
    <row r="339" spans="1:16" x14ac:dyDescent="0.3">
      <c r="A339" s="64"/>
      <c r="B339" s="7"/>
      <c r="C339" s="391"/>
      <c r="D339" s="1"/>
      <c r="E339" s="267"/>
      <c r="F339" s="10"/>
      <c r="M339" s="267"/>
      <c r="N339" s="491"/>
      <c r="O339" s="1"/>
      <c r="P339" s="1"/>
    </row>
    <row r="340" spans="1:16" x14ac:dyDescent="0.3">
      <c r="A340" s="64"/>
      <c r="B340" s="7"/>
      <c r="C340" s="391"/>
      <c r="D340" s="1"/>
      <c r="E340" s="267"/>
      <c r="F340" s="10"/>
      <c r="M340" s="267"/>
      <c r="N340" s="491"/>
      <c r="O340" s="1"/>
      <c r="P340" s="1"/>
    </row>
    <row r="341" spans="1:16" x14ac:dyDescent="0.3">
      <c r="A341" s="64"/>
      <c r="B341" s="7"/>
      <c r="C341" s="391"/>
      <c r="D341" s="1"/>
      <c r="E341" s="267"/>
      <c r="F341" s="10"/>
      <c r="M341" s="267"/>
      <c r="N341" s="491"/>
      <c r="O341" s="1"/>
      <c r="P341" s="1"/>
    </row>
    <row r="342" spans="1:16" x14ac:dyDescent="0.3">
      <c r="A342" s="64"/>
      <c r="B342" s="7"/>
      <c r="C342" s="391"/>
      <c r="D342" s="1"/>
      <c r="E342" s="267"/>
      <c r="F342" s="10"/>
      <c r="M342" s="267"/>
      <c r="N342" s="491"/>
      <c r="O342" s="1"/>
      <c r="P342" s="1"/>
    </row>
    <row r="343" spans="1:16" x14ac:dyDescent="0.3">
      <c r="A343" s="64"/>
      <c r="B343" s="7"/>
      <c r="C343" s="391"/>
      <c r="D343" s="1"/>
      <c r="E343" s="267"/>
      <c r="F343" s="10"/>
      <c r="M343" s="267"/>
      <c r="N343" s="491"/>
      <c r="O343" s="1"/>
      <c r="P343" s="1"/>
    </row>
    <row r="344" spans="1:16" x14ac:dyDescent="0.3">
      <c r="A344" s="64"/>
      <c r="B344" s="7"/>
      <c r="C344" s="391"/>
      <c r="D344" s="1"/>
      <c r="E344" s="267"/>
      <c r="F344" s="10"/>
      <c r="M344" s="267"/>
      <c r="N344" s="491"/>
      <c r="O344" s="1"/>
      <c r="P344" s="1"/>
    </row>
    <row r="345" spans="1:16" x14ac:dyDescent="0.3">
      <c r="A345" s="64"/>
      <c r="B345" s="7"/>
      <c r="C345" s="391"/>
      <c r="D345" s="1"/>
      <c r="E345" s="267"/>
      <c r="F345" s="10"/>
      <c r="M345" s="267"/>
      <c r="N345" s="491"/>
      <c r="O345" s="1"/>
      <c r="P345" s="1"/>
    </row>
    <row r="346" spans="1:16" x14ac:dyDescent="0.3">
      <c r="A346" s="64"/>
      <c r="B346" s="7"/>
      <c r="C346" s="391"/>
      <c r="D346" s="1"/>
      <c r="E346" s="267"/>
      <c r="F346" s="10"/>
      <c r="M346" s="267"/>
      <c r="N346" s="491"/>
      <c r="O346" s="1"/>
      <c r="P346" s="1"/>
    </row>
    <row r="347" spans="1:16" x14ac:dyDescent="0.3">
      <c r="A347" s="64"/>
      <c r="B347" s="7"/>
      <c r="C347" s="391"/>
      <c r="D347" s="1"/>
      <c r="E347" s="267"/>
      <c r="F347" s="10"/>
      <c r="M347" s="267"/>
      <c r="N347" s="491"/>
      <c r="O347" s="1"/>
      <c r="P347" s="1"/>
    </row>
    <row r="348" spans="1:16" x14ac:dyDescent="0.3">
      <c r="A348" s="64"/>
      <c r="B348" s="7"/>
      <c r="C348" s="391"/>
      <c r="D348" s="1"/>
      <c r="E348" s="267"/>
      <c r="F348" s="10"/>
      <c r="M348" s="267"/>
      <c r="N348" s="491"/>
      <c r="O348" s="1"/>
      <c r="P348" s="1"/>
    </row>
    <row r="349" spans="1:16" x14ac:dyDescent="0.3">
      <c r="A349" s="64"/>
      <c r="B349" s="7"/>
      <c r="C349" s="391"/>
      <c r="D349" s="1"/>
      <c r="E349" s="267"/>
      <c r="F349" s="10"/>
      <c r="M349" s="267"/>
      <c r="N349" s="491"/>
      <c r="O349" s="1"/>
      <c r="P349" s="1"/>
    </row>
    <row r="350" spans="1:16" x14ac:dyDescent="0.3">
      <c r="A350" s="64"/>
      <c r="B350" s="7"/>
      <c r="C350" s="391"/>
      <c r="D350" s="1"/>
      <c r="E350" s="267"/>
      <c r="F350" s="10"/>
      <c r="M350" s="267"/>
      <c r="N350" s="491"/>
      <c r="O350" s="1"/>
      <c r="P350" s="1"/>
    </row>
    <row r="351" spans="1:16" x14ac:dyDescent="0.3">
      <c r="A351" s="64"/>
      <c r="B351" s="7"/>
      <c r="C351" s="391"/>
      <c r="D351" s="1"/>
      <c r="E351" s="267"/>
      <c r="F351" s="10"/>
      <c r="M351" s="267"/>
      <c r="N351" s="491"/>
      <c r="O351" s="1"/>
      <c r="P351" s="1"/>
    </row>
    <row r="352" spans="1:16" x14ac:dyDescent="0.3">
      <c r="A352" s="64"/>
      <c r="B352" s="7"/>
      <c r="C352" s="391"/>
      <c r="D352" s="1"/>
      <c r="E352" s="267"/>
      <c r="F352" s="10"/>
      <c r="M352" s="267"/>
      <c r="N352" s="491"/>
      <c r="O352" s="1"/>
      <c r="P352" s="1"/>
    </row>
    <row r="353" spans="1:16" x14ac:dyDescent="0.3">
      <c r="A353" s="64"/>
      <c r="B353" s="7"/>
      <c r="C353" s="391"/>
      <c r="D353" s="1"/>
      <c r="E353" s="267"/>
      <c r="F353" s="10"/>
      <c r="M353" s="267"/>
      <c r="N353" s="491"/>
      <c r="O353" s="1"/>
      <c r="P353" s="1"/>
    </row>
    <row r="354" spans="1:16" x14ac:dyDescent="0.3">
      <c r="A354" s="64"/>
      <c r="B354" s="7"/>
      <c r="C354" s="391"/>
      <c r="D354" s="1"/>
      <c r="E354" s="267"/>
      <c r="F354" s="10"/>
      <c r="M354" s="267"/>
      <c r="N354" s="491"/>
      <c r="O354" s="1"/>
      <c r="P354" s="1"/>
    </row>
    <row r="355" spans="1:16" x14ac:dyDescent="0.3">
      <c r="A355" s="64"/>
      <c r="B355" s="7"/>
      <c r="C355" s="391"/>
      <c r="D355" s="1"/>
      <c r="E355" s="267"/>
      <c r="F355" s="10"/>
      <c r="M355" s="267"/>
      <c r="N355" s="491"/>
      <c r="O355" s="1"/>
      <c r="P355" s="1"/>
    </row>
    <row r="356" spans="1:16" x14ac:dyDescent="0.3">
      <c r="A356" s="64"/>
      <c r="B356" s="7"/>
      <c r="C356" s="391"/>
      <c r="D356" s="1"/>
      <c r="E356" s="267"/>
      <c r="F356" s="10"/>
      <c r="M356" s="267"/>
      <c r="N356" s="491"/>
      <c r="O356" s="1"/>
      <c r="P356" s="1"/>
    </row>
    <row r="357" spans="1:16" x14ac:dyDescent="0.3">
      <c r="A357" s="64"/>
      <c r="B357" s="7"/>
      <c r="C357" s="391"/>
      <c r="D357" s="1"/>
      <c r="E357" s="267"/>
      <c r="F357" s="10"/>
      <c r="M357" s="267"/>
      <c r="N357" s="491"/>
      <c r="O357" s="1"/>
      <c r="P357" s="1"/>
    </row>
    <row r="358" spans="1:16" x14ac:dyDescent="0.3">
      <c r="A358" s="64"/>
      <c r="B358" s="7"/>
      <c r="C358" s="391"/>
      <c r="D358" s="1"/>
      <c r="E358" s="267"/>
      <c r="F358" s="10"/>
      <c r="M358" s="267"/>
      <c r="N358" s="491"/>
      <c r="O358" s="1"/>
      <c r="P358" s="1"/>
    </row>
    <row r="359" spans="1:16" x14ac:dyDescent="0.3">
      <c r="A359" s="64"/>
      <c r="B359" s="7"/>
      <c r="C359" s="391"/>
      <c r="D359" s="1"/>
      <c r="E359" s="267"/>
      <c r="F359" s="10"/>
      <c r="M359" s="267"/>
      <c r="N359" s="491"/>
      <c r="O359" s="1"/>
      <c r="P359" s="1"/>
    </row>
    <row r="360" spans="1:16" x14ac:dyDescent="0.3">
      <c r="A360" s="64"/>
      <c r="B360" s="7"/>
      <c r="C360" s="391"/>
      <c r="D360" s="1"/>
      <c r="E360" s="267"/>
      <c r="F360" s="10"/>
      <c r="M360" s="267"/>
      <c r="N360" s="491"/>
      <c r="O360" s="1"/>
      <c r="P360" s="1"/>
    </row>
    <row r="361" spans="1:16" x14ac:dyDescent="0.3">
      <c r="A361" s="64"/>
      <c r="B361" s="7"/>
      <c r="C361" s="391"/>
      <c r="D361" s="1"/>
      <c r="E361" s="267"/>
      <c r="F361" s="10"/>
      <c r="M361" s="267"/>
      <c r="N361" s="491"/>
      <c r="O361" s="1"/>
      <c r="P361" s="1"/>
    </row>
    <row r="362" spans="1:16" x14ac:dyDescent="0.3">
      <c r="A362" s="64"/>
      <c r="B362" s="7"/>
      <c r="C362" s="391"/>
      <c r="D362" s="1"/>
      <c r="E362" s="267"/>
      <c r="F362" s="10"/>
      <c r="M362" s="267"/>
      <c r="N362" s="491"/>
      <c r="O362" s="1"/>
      <c r="P362" s="1"/>
    </row>
    <row r="363" spans="1:16" x14ac:dyDescent="0.3">
      <c r="A363" s="64"/>
      <c r="B363" s="7"/>
      <c r="C363" s="391"/>
      <c r="D363" s="1"/>
      <c r="E363" s="267"/>
      <c r="F363" s="10"/>
      <c r="M363" s="267"/>
      <c r="N363" s="491"/>
      <c r="O363" s="1"/>
      <c r="P363" s="1"/>
    </row>
    <row r="364" spans="1:16" x14ac:dyDescent="0.3">
      <c r="A364" s="64"/>
      <c r="B364" s="7"/>
      <c r="C364" s="391"/>
      <c r="D364" s="1"/>
      <c r="E364" s="267"/>
      <c r="F364" s="10"/>
      <c r="M364" s="267"/>
      <c r="N364" s="491"/>
      <c r="O364" s="1"/>
      <c r="P364" s="1"/>
    </row>
    <row r="365" spans="1:16" x14ac:dyDescent="0.3">
      <c r="A365" s="64"/>
      <c r="B365" s="7"/>
      <c r="C365" s="391"/>
      <c r="D365" s="1"/>
      <c r="E365" s="267"/>
      <c r="F365" s="10"/>
      <c r="M365" s="267"/>
      <c r="N365" s="491"/>
      <c r="O365" s="1"/>
      <c r="P365" s="1"/>
    </row>
    <row r="366" spans="1:16" x14ac:dyDescent="0.3">
      <c r="A366" s="64"/>
      <c r="B366" s="7"/>
      <c r="C366" s="391"/>
      <c r="D366" s="1"/>
      <c r="E366" s="267"/>
      <c r="F366" s="10"/>
      <c r="M366" s="267"/>
      <c r="N366" s="491"/>
      <c r="O366" s="1"/>
      <c r="P366" s="1"/>
    </row>
    <row r="367" spans="1:16" x14ac:dyDescent="0.3">
      <c r="A367" s="64"/>
      <c r="B367" s="7"/>
      <c r="C367" s="391"/>
      <c r="D367" s="1"/>
      <c r="E367" s="267"/>
      <c r="F367" s="10"/>
      <c r="M367" s="267"/>
      <c r="N367" s="491"/>
      <c r="O367" s="1"/>
      <c r="P367" s="1"/>
    </row>
    <row r="368" spans="1:16" x14ac:dyDescent="0.3">
      <c r="A368" s="64"/>
      <c r="B368" s="7"/>
      <c r="C368" s="391"/>
      <c r="D368" s="1"/>
      <c r="E368" s="267"/>
      <c r="F368" s="10"/>
      <c r="M368" s="267"/>
      <c r="N368" s="491"/>
      <c r="O368" s="1"/>
      <c r="P368" s="1"/>
    </row>
    <row r="369" spans="1:16" x14ac:dyDescent="0.3">
      <c r="A369" s="64"/>
      <c r="B369" s="7"/>
      <c r="C369" s="391"/>
      <c r="D369" s="1"/>
      <c r="E369" s="267"/>
      <c r="F369" s="10"/>
      <c r="M369" s="267"/>
      <c r="N369" s="491"/>
      <c r="O369" s="1"/>
      <c r="P369" s="1"/>
    </row>
    <row r="370" spans="1:16" x14ac:dyDescent="0.3">
      <c r="A370" s="64"/>
      <c r="B370" s="7"/>
      <c r="C370" s="391"/>
      <c r="D370" s="1"/>
      <c r="E370" s="267"/>
      <c r="F370" s="10"/>
      <c r="M370" s="267"/>
      <c r="N370" s="491"/>
      <c r="O370" s="1"/>
      <c r="P370" s="1"/>
    </row>
    <row r="371" spans="1:16" x14ac:dyDescent="0.3">
      <c r="A371" s="64"/>
      <c r="B371" s="7"/>
      <c r="C371" s="391"/>
      <c r="D371" s="1"/>
      <c r="E371" s="267"/>
      <c r="F371" s="10"/>
      <c r="M371" s="267"/>
      <c r="N371" s="491"/>
      <c r="O371" s="1"/>
      <c r="P371" s="1"/>
    </row>
    <row r="372" spans="1:16" x14ac:dyDescent="0.3">
      <c r="A372" s="64"/>
      <c r="B372" s="7"/>
      <c r="C372" s="391"/>
      <c r="D372" s="1"/>
      <c r="E372" s="267"/>
      <c r="F372" s="10"/>
      <c r="M372" s="267"/>
      <c r="N372" s="491"/>
      <c r="O372" s="1"/>
      <c r="P372" s="1"/>
    </row>
    <row r="373" spans="1:16" x14ac:dyDescent="0.3">
      <c r="A373" s="64"/>
      <c r="B373" s="7"/>
      <c r="C373" s="391"/>
      <c r="D373" s="1"/>
      <c r="E373" s="267"/>
      <c r="F373" s="10"/>
      <c r="M373" s="267"/>
      <c r="N373" s="491"/>
      <c r="O373" s="1"/>
      <c r="P373" s="1"/>
    </row>
    <row r="374" spans="1:16" x14ac:dyDescent="0.3">
      <c r="A374" s="64"/>
      <c r="B374" s="7"/>
      <c r="C374" s="391"/>
      <c r="D374" s="1"/>
      <c r="E374" s="267"/>
      <c r="F374" s="10"/>
      <c r="M374" s="267"/>
      <c r="N374" s="491"/>
      <c r="O374" s="1"/>
      <c r="P374" s="1"/>
    </row>
    <row r="375" spans="1:16" x14ac:dyDescent="0.3">
      <c r="A375" s="64"/>
      <c r="B375" s="7"/>
      <c r="C375" s="391"/>
      <c r="D375" s="1"/>
      <c r="E375" s="267"/>
      <c r="F375" s="10"/>
      <c r="M375" s="267"/>
      <c r="N375" s="491"/>
      <c r="O375" s="1"/>
      <c r="P375" s="1"/>
    </row>
    <row r="376" spans="1:16" x14ac:dyDescent="0.3">
      <c r="A376" s="64"/>
      <c r="B376" s="7"/>
      <c r="C376" s="391"/>
      <c r="D376" s="1"/>
      <c r="E376" s="267"/>
      <c r="F376" s="10"/>
      <c r="M376" s="267"/>
      <c r="N376" s="491"/>
      <c r="O376" s="1"/>
      <c r="P376" s="1"/>
    </row>
    <row r="377" spans="1:16" x14ac:dyDescent="0.3">
      <c r="A377" s="64"/>
      <c r="B377" s="7"/>
      <c r="C377" s="391"/>
      <c r="D377" s="1"/>
      <c r="E377" s="267"/>
      <c r="F377" s="10"/>
      <c r="M377" s="267"/>
      <c r="N377" s="491"/>
      <c r="O377" s="1"/>
      <c r="P377" s="1"/>
    </row>
    <row r="378" spans="1:16" x14ac:dyDescent="0.3">
      <c r="A378" s="64"/>
      <c r="B378" s="7"/>
      <c r="C378" s="391"/>
      <c r="D378" s="1"/>
      <c r="E378" s="267"/>
      <c r="F378" s="10"/>
      <c r="M378" s="267"/>
      <c r="N378" s="491"/>
      <c r="O378" s="1"/>
      <c r="P378" s="1"/>
    </row>
    <row r="379" spans="1:16" x14ac:dyDescent="0.3">
      <c r="A379" s="64"/>
      <c r="B379" s="7"/>
      <c r="C379" s="391"/>
      <c r="D379" s="1"/>
      <c r="E379" s="267"/>
      <c r="F379" s="10"/>
      <c r="M379" s="267"/>
      <c r="N379" s="491"/>
      <c r="O379" s="1"/>
      <c r="P379" s="1"/>
    </row>
    <row r="380" spans="1:16" x14ac:dyDescent="0.3">
      <c r="A380" s="64"/>
      <c r="B380" s="7"/>
      <c r="C380" s="391"/>
      <c r="D380" s="1"/>
      <c r="E380" s="267"/>
      <c r="F380" s="10"/>
      <c r="M380" s="267"/>
      <c r="N380" s="491"/>
      <c r="O380" s="1"/>
      <c r="P380" s="1"/>
    </row>
    <row r="381" spans="1:16" x14ac:dyDescent="0.3">
      <c r="A381" s="64"/>
      <c r="B381" s="7"/>
      <c r="C381" s="391"/>
      <c r="D381" s="1"/>
      <c r="E381" s="267"/>
      <c r="F381" s="10"/>
      <c r="M381" s="267"/>
      <c r="N381" s="491"/>
      <c r="O381" s="1"/>
      <c r="P381" s="1"/>
    </row>
    <row r="382" spans="1:16" x14ac:dyDescent="0.3">
      <c r="A382" s="64"/>
      <c r="B382" s="7"/>
      <c r="C382" s="391"/>
      <c r="D382" s="1"/>
      <c r="E382" s="267"/>
      <c r="F382" s="10"/>
      <c r="M382" s="267"/>
      <c r="N382" s="491"/>
      <c r="O382" s="1"/>
      <c r="P382" s="1"/>
    </row>
    <row r="383" spans="1:16" x14ac:dyDescent="0.3">
      <c r="A383" s="64"/>
      <c r="B383" s="7"/>
      <c r="C383" s="391"/>
      <c r="D383" s="1"/>
      <c r="E383" s="267"/>
      <c r="F383" s="10"/>
      <c r="M383" s="267"/>
      <c r="N383" s="491"/>
      <c r="O383" s="1"/>
      <c r="P383" s="1"/>
    </row>
    <row r="384" spans="1:16" x14ac:dyDescent="0.3">
      <c r="A384" s="64"/>
      <c r="B384" s="7"/>
      <c r="C384" s="391"/>
      <c r="D384" s="1"/>
      <c r="E384" s="267"/>
      <c r="F384" s="10"/>
      <c r="M384" s="267"/>
      <c r="N384" s="491"/>
      <c r="O384" s="1"/>
      <c r="P384" s="1"/>
    </row>
    <row r="385" spans="1:16" x14ac:dyDescent="0.3">
      <c r="A385" s="64"/>
      <c r="B385" s="7"/>
      <c r="C385" s="391"/>
      <c r="D385" s="1"/>
      <c r="E385" s="267"/>
      <c r="F385" s="10"/>
      <c r="M385" s="267"/>
      <c r="N385" s="491"/>
      <c r="O385" s="1"/>
      <c r="P385" s="1"/>
    </row>
    <row r="386" spans="1:16" x14ac:dyDescent="0.3">
      <c r="A386" s="64"/>
      <c r="B386" s="7"/>
      <c r="C386" s="391"/>
      <c r="D386" s="1"/>
      <c r="E386" s="267"/>
      <c r="F386" s="10"/>
      <c r="M386" s="267"/>
      <c r="N386" s="491"/>
      <c r="O386" s="1"/>
      <c r="P386" s="1"/>
    </row>
    <row r="387" spans="1:16" x14ac:dyDescent="0.3">
      <c r="A387" s="64"/>
      <c r="B387" s="7"/>
      <c r="C387" s="391"/>
      <c r="D387" s="1"/>
      <c r="E387" s="267"/>
      <c r="F387" s="10"/>
      <c r="M387" s="267"/>
      <c r="N387" s="491"/>
      <c r="O387" s="1"/>
      <c r="P387" s="1"/>
    </row>
    <row r="388" spans="1:16" x14ac:dyDescent="0.3">
      <c r="A388" s="64"/>
      <c r="B388" s="7"/>
      <c r="C388" s="391"/>
      <c r="D388" s="1"/>
      <c r="E388" s="267"/>
      <c r="F388" s="10"/>
      <c r="M388" s="267"/>
      <c r="N388" s="491"/>
      <c r="O388" s="1"/>
      <c r="P388" s="1"/>
    </row>
    <row r="389" spans="1:16" x14ac:dyDescent="0.3">
      <c r="A389" s="64"/>
      <c r="B389" s="7"/>
      <c r="C389" s="391"/>
      <c r="D389" s="1"/>
      <c r="E389" s="267"/>
      <c r="F389" s="10"/>
      <c r="M389" s="267"/>
      <c r="N389" s="491"/>
      <c r="O389" s="1"/>
      <c r="P389" s="1"/>
    </row>
    <row r="390" spans="1:16" x14ac:dyDescent="0.3">
      <c r="A390" s="64"/>
      <c r="B390" s="7"/>
      <c r="C390" s="391"/>
      <c r="D390" s="1"/>
      <c r="E390" s="267"/>
      <c r="F390" s="10"/>
      <c r="M390" s="267"/>
      <c r="N390" s="491"/>
      <c r="O390" s="1"/>
      <c r="P390" s="1"/>
    </row>
    <row r="391" spans="1:16" x14ac:dyDescent="0.3">
      <c r="A391" s="64"/>
      <c r="B391" s="7"/>
      <c r="C391" s="391"/>
      <c r="D391" s="1"/>
      <c r="E391" s="267"/>
      <c r="F391" s="10"/>
      <c r="M391" s="267"/>
      <c r="N391" s="491"/>
      <c r="O391" s="1"/>
      <c r="P391" s="1"/>
    </row>
    <row r="392" spans="1:16" x14ac:dyDescent="0.3">
      <c r="A392" s="64"/>
      <c r="B392" s="7"/>
      <c r="C392" s="391"/>
      <c r="D392" s="1"/>
      <c r="E392" s="267"/>
      <c r="F392" s="10"/>
      <c r="M392" s="267"/>
      <c r="N392" s="491"/>
      <c r="O392" s="1"/>
      <c r="P392" s="1"/>
    </row>
    <row r="393" spans="1:16" x14ac:dyDescent="0.3">
      <c r="A393" s="64"/>
      <c r="B393" s="7"/>
      <c r="C393" s="391"/>
      <c r="D393" s="1"/>
      <c r="E393" s="267"/>
      <c r="F393" s="10"/>
      <c r="M393" s="267"/>
      <c r="N393" s="491"/>
      <c r="O393" s="1"/>
      <c r="P393" s="1"/>
    </row>
    <row r="394" spans="1:16" x14ac:dyDescent="0.3">
      <c r="A394" s="64"/>
      <c r="B394" s="7"/>
      <c r="C394" s="391"/>
      <c r="D394" s="1"/>
      <c r="E394" s="267"/>
      <c r="F394" s="10"/>
      <c r="M394" s="267"/>
      <c r="N394" s="491"/>
      <c r="O394" s="1"/>
      <c r="P394" s="1"/>
    </row>
    <row r="395" spans="1:16" x14ac:dyDescent="0.3">
      <c r="A395" s="64"/>
      <c r="B395" s="7"/>
      <c r="C395" s="391"/>
      <c r="D395" s="1"/>
      <c r="E395" s="267"/>
      <c r="F395" s="10"/>
      <c r="M395" s="267"/>
      <c r="N395" s="491"/>
      <c r="O395" s="1"/>
      <c r="P395" s="1"/>
    </row>
    <row r="396" spans="1:16" x14ac:dyDescent="0.3">
      <c r="A396" s="64"/>
      <c r="B396" s="7"/>
      <c r="C396" s="391"/>
      <c r="D396" s="1"/>
      <c r="E396" s="267"/>
      <c r="F396" s="10"/>
      <c r="M396" s="267"/>
      <c r="N396" s="491"/>
      <c r="O396" s="1"/>
      <c r="P396" s="1"/>
    </row>
    <row r="397" spans="1:16" x14ac:dyDescent="0.3">
      <c r="A397" s="64"/>
      <c r="B397" s="7"/>
      <c r="C397" s="391"/>
      <c r="D397" s="1"/>
      <c r="E397" s="267"/>
      <c r="F397" s="10"/>
      <c r="M397" s="267"/>
      <c r="N397" s="491"/>
      <c r="O397" s="1"/>
      <c r="P397" s="1"/>
    </row>
    <row r="398" spans="1:16" x14ac:dyDescent="0.3">
      <c r="A398" s="64"/>
      <c r="B398" s="7"/>
      <c r="C398" s="391"/>
      <c r="D398" s="1"/>
      <c r="E398" s="267"/>
      <c r="F398" s="10"/>
      <c r="M398" s="267"/>
      <c r="N398" s="491"/>
      <c r="O398" s="1"/>
      <c r="P398" s="1"/>
    </row>
    <row r="399" spans="1:16" x14ac:dyDescent="0.3">
      <c r="A399" s="64"/>
      <c r="B399" s="7"/>
      <c r="C399" s="391"/>
      <c r="D399" s="1"/>
      <c r="E399" s="267"/>
      <c r="F399" s="10"/>
      <c r="M399" s="267"/>
      <c r="N399" s="491"/>
      <c r="O399" s="1"/>
      <c r="P399" s="1"/>
    </row>
    <row r="400" spans="1:16" x14ac:dyDescent="0.3">
      <c r="A400" s="64"/>
      <c r="B400" s="7"/>
      <c r="C400" s="391"/>
      <c r="D400" s="1"/>
      <c r="E400" s="267"/>
      <c r="F400" s="10"/>
      <c r="M400" s="267"/>
      <c r="N400" s="491"/>
      <c r="O400" s="1"/>
      <c r="P400" s="1"/>
    </row>
    <row r="401" spans="1:16" x14ac:dyDescent="0.3">
      <c r="A401" s="64"/>
      <c r="B401" s="7"/>
      <c r="C401" s="391"/>
      <c r="D401" s="1"/>
      <c r="E401" s="267"/>
      <c r="F401" s="10"/>
      <c r="M401" s="267"/>
      <c r="N401" s="491"/>
      <c r="O401" s="1"/>
      <c r="P401" s="1"/>
    </row>
    <row r="402" spans="1:16" x14ac:dyDescent="0.3">
      <c r="A402" s="64"/>
      <c r="B402" s="7"/>
      <c r="C402" s="391"/>
      <c r="D402" s="1"/>
      <c r="E402" s="267"/>
      <c r="F402" s="10"/>
      <c r="M402" s="267"/>
      <c r="N402" s="491"/>
      <c r="O402" s="1"/>
      <c r="P402" s="1"/>
    </row>
    <row r="403" spans="1:16" x14ac:dyDescent="0.3">
      <c r="A403" s="64"/>
      <c r="B403" s="7"/>
      <c r="C403" s="391"/>
      <c r="D403" s="1"/>
      <c r="E403" s="267"/>
      <c r="F403" s="10"/>
      <c r="M403" s="267"/>
      <c r="N403" s="491"/>
      <c r="O403" s="1"/>
      <c r="P403" s="1"/>
    </row>
    <row r="404" spans="1:16" x14ac:dyDescent="0.3">
      <c r="A404" s="64"/>
      <c r="B404" s="7"/>
      <c r="C404" s="391"/>
      <c r="D404" s="1"/>
      <c r="E404" s="267"/>
      <c r="F404" s="10"/>
      <c r="M404" s="267"/>
      <c r="N404" s="491"/>
      <c r="O404" s="1"/>
      <c r="P404" s="1"/>
    </row>
    <row r="405" spans="1:16" x14ac:dyDescent="0.3">
      <c r="A405" s="64"/>
      <c r="B405" s="7"/>
      <c r="C405" s="391"/>
      <c r="D405" s="1"/>
      <c r="E405" s="267"/>
      <c r="F405" s="10"/>
      <c r="M405" s="267"/>
      <c r="N405" s="491"/>
      <c r="O405" s="1"/>
      <c r="P405" s="1"/>
    </row>
    <row r="406" spans="1:16" x14ac:dyDescent="0.3">
      <c r="A406" s="64"/>
      <c r="B406" s="7"/>
      <c r="C406" s="391"/>
      <c r="D406" s="1"/>
      <c r="E406" s="267"/>
      <c r="F406" s="10"/>
      <c r="M406" s="267"/>
      <c r="N406" s="491"/>
      <c r="O406" s="1"/>
      <c r="P406" s="1"/>
    </row>
    <row r="407" spans="1:16" x14ac:dyDescent="0.3">
      <c r="A407" s="64"/>
      <c r="B407" s="7"/>
      <c r="C407" s="391"/>
      <c r="D407" s="1"/>
      <c r="E407" s="267"/>
      <c r="F407" s="10"/>
      <c r="M407" s="267"/>
      <c r="N407" s="491"/>
      <c r="O407" s="1"/>
      <c r="P407" s="1"/>
    </row>
    <row r="408" spans="1:16" x14ac:dyDescent="0.3">
      <c r="A408" s="64"/>
      <c r="B408" s="7"/>
      <c r="C408" s="391"/>
      <c r="D408" s="1"/>
      <c r="E408" s="267"/>
      <c r="F408" s="10"/>
      <c r="M408" s="267"/>
      <c r="N408" s="491"/>
      <c r="O408" s="1"/>
      <c r="P408" s="1"/>
    </row>
    <row r="409" spans="1:16" x14ac:dyDescent="0.3">
      <c r="A409" s="64"/>
      <c r="B409" s="7"/>
      <c r="C409" s="391"/>
      <c r="D409" s="1"/>
      <c r="E409" s="267"/>
      <c r="F409" s="10"/>
      <c r="M409" s="267"/>
      <c r="N409" s="491"/>
      <c r="O409" s="1"/>
      <c r="P409" s="1"/>
    </row>
    <row r="410" spans="1:16" x14ac:dyDescent="0.3">
      <c r="A410" s="64"/>
      <c r="B410" s="7"/>
      <c r="C410" s="391"/>
      <c r="D410" s="1"/>
      <c r="E410" s="267"/>
      <c r="F410" s="10"/>
      <c r="M410" s="267"/>
      <c r="N410" s="491"/>
      <c r="O410" s="1"/>
      <c r="P410" s="1"/>
    </row>
    <row r="411" spans="1:16" x14ac:dyDescent="0.3">
      <c r="A411" s="64"/>
      <c r="B411" s="7"/>
      <c r="C411" s="391"/>
      <c r="D411" s="1"/>
      <c r="E411" s="267"/>
      <c r="F411" s="10"/>
      <c r="M411" s="267"/>
      <c r="N411" s="491"/>
      <c r="O411" s="1"/>
      <c r="P411" s="1"/>
    </row>
    <row r="412" spans="1:16" x14ac:dyDescent="0.3">
      <c r="A412" s="64"/>
      <c r="B412" s="7"/>
      <c r="C412" s="391"/>
      <c r="D412" s="1"/>
      <c r="E412" s="267"/>
      <c r="F412" s="10"/>
      <c r="M412" s="267"/>
      <c r="N412" s="491"/>
      <c r="O412" s="1"/>
      <c r="P412" s="1"/>
    </row>
    <row r="413" spans="1:16" x14ac:dyDescent="0.3">
      <c r="A413" s="64"/>
      <c r="B413" s="7"/>
      <c r="C413" s="391"/>
      <c r="D413" s="1"/>
      <c r="E413" s="267"/>
      <c r="F413" s="10"/>
      <c r="M413" s="267"/>
      <c r="N413" s="491"/>
      <c r="O413" s="1"/>
      <c r="P413" s="1"/>
    </row>
    <row r="414" spans="1:16" x14ac:dyDescent="0.3">
      <c r="A414" s="64"/>
      <c r="B414" s="7"/>
      <c r="C414" s="391"/>
      <c r="D414" s="1"/>
      <c r="E414" s="267"/>
      <c r="F414" s="10"/>
      <c r="M414" s="267"/>
      <c r="N414" s="491"/>
      <c r="O414" s="1"/>
      <c r="P414" s="1"/>
    </row>
    <row r="415" spans="1:16" x14ac:dyDescent="0.3">
      <c r="A415" s="64"/>
      <c r="B415" s="7"/>
      <c r="C415" s="391"/>
      <c r="D415" s="1"/>
      <c r="E415" s="267"/>
      <c r="F415" s="10"/>
      <c r="M415" s="267"/>
      <c r="N415" s="491"/>
      <c r="O415" s="1"/>
      <c r="P415" s="1"/>
    </row>
    <row r="416" spans="1:16" x14ac:dyDescent="0.3">
      <c r="A416" s="64"/>
      <c r="B416" s="7"/>
      <c r="C416" s="391"/>
      <c r="D416" s="1"/>
      <c r="E416" s="267"/>
      <c r="F416" s="10"/>
      <c r="M416" s="267"/>
      <c r="N416" s="491"/>
      <c r="O416" s="1"/>
      <c r="P416" s="1"/>
    </row>
    <row r="417" spans="1:16" x14ac:dyDescent="0.3">
      <c r="A417" s="64"/>
      <c r="B417" s="7"/>
      <c r="C417" s="391"/>
      <c r="D417" s="1"/>
      <c r="E417" s="267"/>
      <c r="F417" s="10"/>
      <c r="M417" s="267"/>
      <c r="N417" s="491"/>
      <c r="O417" s="1"/>
      <c r="P417" s="1"/>
    </row>
    <row r="418" spans="1:16" x14ac:dyDescent="0.3">
      <c r="A418" s="64"/>
      <c r="B418" s="7"/>
      <c r="C418" s="391"/>
      <c r="D418" s="1"/>
      <c r="E418" s="267"/>
      <c r="F418" s="10"/>
      <c r="M418" s="267"/>
      <c r="N418" s="491"/>
      <c r="O418" s="1"/>
      <c r="P418" s="1"/>
    </row>
    <row r="419" spans="1:16" x14ac:dyDescent="0.3">
      <c r="A419" s="64"/>
      <c r="B419" s="7"/>
      <c r="C419" s="391"/>
      <c r="D419" s="1"/>
      <c r="E419" s="267"/>
      <c r="F419" s="10"/>
      <c r="M419" s="267"/>
      <c r="N419" s="491"/>
      <c r="O419" s="1"/>
      <c r="P419" s="1"/>
    </row>
    <row r="420" spans="1:16" x14ac:dyDescent="0.3">
      <c r="A420" s="64"/>
      <c r="B420" s="7"/>
      <c r="C420" s="391"/>
      <c r="D420" s="1"/>
      <c r="E420" s="267"/>
      <c r="F420" s="10"/>
      <c r="M420" s="267"/>
      <c r="N420" s="491"/>
      <c r="O420" s="1"/>
      <c r="P420" s="1"/>
    </row>
    <row r="421" spans="1:16" x14ac:dyDescent="0.3">
      <c r="A421" s="64"/>
      <c r="B421" s="7"/>
      <c r="C421" s="391"/>
      <c r="D421" s="1"/>
      <c r="E421" s="267"/>
      <c r="F421" s="10"/>
      <c r="M421" s="267"/>
      <c r="N421" s="491"/>
      <c r="O421" s="1"/>
      <c r="P421" s="1"/>
    </row>
    <row r="422" spans="1:16" x14ac:dyDescent="0.3">
      <c r="A422" s="64"/>
      <c r="B422" s="7"/>
      <c r="C422" s="391"/>
      <c r="D422" s="1"/>
      <c r="E422" s="267"/>
      <c r="F422" s="10"/>
      <c r="M422" s="267"/>
      <c r="N422" s="491"/>
      <c r="O422" s="1"/>
      <c r="P422" s="1"/>
    </row>
    <row r="423" spans="1:16" x14ac:dyDescent="0.3">
      <c r="A423" s="64"/>
      <c r="B423" s="7"/>
      <c r="C423" s="391"/>
      <c r="D423" s="1"/>
      <c r="E423" s="267"/>
      <c r="F423" s="10"/>
      <c r="M423" s="267"/>
      <c r="N423" s="491"/>
      <c r="O423" s="1"/>
      <c r="P423" s="1"/>
    </row>
    <row r="424" spans="1:16" x14ac:dyDescent="0.3">
      <c r="A424" s="64"/>
      <c r="B424" s="7"/>
      <c r="C424" s="391"/>
      <c r="D424" s="1"/>
      <c r="E424" s="267"/>
      <c r="F424" s="10"/>
      <c r="M424" s="267"/>
      <c r="N424" s="491"/>
      <c r="O424" s="1"/>
      <c r="P424" s="1"/>
    </row>
    <row r="425" spans="1:16" x14ac:dyDescent="0.3">
      <c r="A425" s="64"/>
      <c r="B425" s="7"/>
      <c r="C425" s="391"/>
      <c r="D425" s="1"/>
      <c r="E425" s="267"/>
      <c r="F425" s="10"/>
      <c r="M425" s="267"/>
      <c r="N425" s="491"/>
      <c r="O425" s="1"/>
      <c r="P425" s="1"/>
    </row>
    <row r="426" spans="1:16" x14ac:dyDescent="0.3">
      <c r="A426" s="64"/>
      <c r="B426" s="7"/>
      <c r="C426" s="391"/>
      <c r="D426" s="1"/>
      <c r="E426" s="267"/>
      <c r="F426" s="10"/>
      <c r="M426" s="267"/>
      <c r="N426" s="491"/>
      <c r="O426" s="1"/>
      <c r="P426" s="1"/>
    </row>
    <row r="427" spans="1:16" x14ac:dyDescent="0.3">
      <c r="A427" s="64"/>
      <c r="B427" s="7"/>
      <c r="C427" s="391"/>
      <c r="D427" s="1"/>
      <c r="E427" s="267"/>
      <c r="F427" s="10"/>
      <c r="M427" s="267"/>
      <c r="N427" s="491"/>
      <c r="O427" s="1"/>
      <c r="P427" s="1"/>
    </row>
    <row r="428" spans="1:16" x14ac:dyDescent="0.3">
      <c r="A428" s="64"/>
      <c r="B428" s="7"/>
      <c r="C428" s="391"/>
      <c r="D428" s="1"/>
      <c r="E428" s="267"/>
      <c r="F428" s="10"/>
      <c r="M428" s="267"/>
      <c r="N428" s="491"/>
      <c r="O428" s="1"/>
      <c r="P428" s="1"/>
    </row>
    <row r="429" spans="1:16" x14ac:dyDescent="0.3">
      <c r="A429" s="64"/>
      <c r="B429" s="7"/>
      <c r="C429" s="391"/>
      <c r="D429" s="1"/>
      <c r="E429" s="267"/>
      <c r="F429" s="10"/>
      <c r="M429" s="267"/>
      <c r="N429" s="491"/>
      <c r="O429" s="1"/>
      <c r="P429" s="1"/>
    </row>
    <row r="430" spans="1:16" x14ac:dyDescent="0.3">
      <c r="A430" s="64"/>
      <c r="B430" s="7"/>
      <c r="C430" s="391"/>
      <c r="D430" s="1"/>
      <c r="E430" s="267"/>
      <c r="F430" s="10"/>
      <c r="M430" s="267"/>
      <c r="N430" s="491"/>
      <c r="O430" s="1"/>
      <c r="P430" s="1"/>
    </row>
    <row r="431" spans="1:16" x14ac:dyDescent="0.3">
      <c r="A431" s="64"/>
      <c r="B431" s="7"/>
      <c r="C431" s="391"/>
      <c r="D431" s="1"/>
      <c r="E431" s="267"/>
      <c r="F431" s="10"/>
      <c r="M431" s="267"/>
      <c r="N431" s="491"/>
      <c r="O431" s="1"/>
      <c r="P431" s="1"/>
    </row>
    <row r="432" spans="1:16" x14ac:dyDescent="0.3">
      <c r="A432" s="64"/>
      <c r="B432" s="7"/>
      <c r="C432" s="391"/>
      <c r="D432" s="1"/>
      <c r="E432" s="267"/>
      <c r="F432" s="10"/>
      <c r="M432" s="267"/>
      <c r="N432" s="491"/>
      <c r="O432" s="1"/>
      <c r="P432" s="1"/>
    </row>
    <row r="433" spans="1:16" x14ac:dyDescent="0.3">
      <c r="A433" s="64"/>
      <c r="B433" s="7"/>
      <c r="C433" s="391"/>
      <c r="D433" s="1"/>
      <c r="E433" s="267"/>
      <c r="F433" s="10"/>
      <c r="M433" s="267"/>
      <c r="N433" s="491"/>
      <c r="O433" s="1"/>
      <c r="P433" s="1"/>
    </row>
    <row r="434" spans="1:16" x14ac:dyDescent="0.3">
      <c r="A434" s="64"/>
      <c r="B434" s="7"/>
      <c r="C434" s="391"/>
      <c r="D434" s="1"/>
      <c r="E434" s="267"/>
      <c r="F434" s="10"/>
      <c r="M434" s="267"/>
      <c r="N434" s="491"/>
      <c r="O434" s="1"/>
      <c r="P434" s="1"/>
    </row>
    <row r="435" spans="1:16" x14ac:dyDescent="0.3">
      <c r="A435" s="64"/>
      <c r="B435" s="7"/>
      <c r="C435" s="391"/>
      <c r="D435" s="1"/>
      <c r="E435" s="267"/>
      <c r="F435" s="10"/>
      <c r="M435" s="267"/>
      <c r="N435" s="491"/>
      <c r="O435" s="1"/>
      <c r="P435" s="1"/>
    </row>
    <row r="436" spans="1:16" x14ac:dyDescent="0.3">
      <c r="A436" s="64"/>
      <c r="B436" s="7"/>
      <c r="C436" s="391"/>
      <c r="D436" s="1"/>
      <c r="E436" s="267"/>
      <c r="F436" s="10"/>
      <c r="M436" s="267"/>
      <c r="N436" s="491"/>
      <c r="O436" s="1"/>
      <c r="P436" s="1"/>
    </row>
    <row r="437" spans="1:16" x14ac:dyDescent="0.3">
      <c r="A437" s="64"/>
      <c r="B437" s="7"/>
      <c r="C437" s="391"/>
      <c r="D437" s="1"/>
      <c r="E437" s="267"/>
      <c r="F437" s="10"/>
      <c r="M437" s="267"/>
      <c r="N437" s="491"/>
      <c r="O437" s="1"/>
      <c r="P437" s="1"/>
    </row>
    <row r="438" spans="1:16" x14ac:dyDescent="0.3">
      <c r="A438" s="64"/>
      <c r="B438" s="7"/>
      <c r="C438" s="391"/>
      <c r="D438" s="1"/>
      <c r="E438" s="267"/>
      <c r="F438" s="10"/>
      <c r="M438" s="267"/>
      <c r="N438" s="491"/>
      <c r="O438" s="1"/>
      <c r="P438" s="1"/>
    </row>
    <row r="439" spans="1:16" x14ac:dyDescent="0.3">
      <c r="A439" s="64"/>
      <c r="B439" s="7"/>
      <c r="C439" s="391"/>
      <c r="D439" s="1"/>
      <c r="E439" s="267"/>
      <c r="F439" s="10"/>
      <c r="M439" s="267"/>
      <c r="N439" s="491"/>
      <c r="O439" s="1"/>
      <c r="P439" s="1"/>
    </row>
    <row r="440" spans="1:16" x14ac:dyDescent="0.3">
      <c r="A440" s="64"/>
      <c r="B440" s="7"/>
      <c r="C440" s="391"/>
      <c r="D440" s="1"/>
      <c r="E440" s="267"/>
      <c r="F440" s="10"/>
      <c r="M440" s="267"/>
      <c r="N440" s="491"/>
      <c r="O440" s="1"/>
      <c r="P440" s="1"/>
    </row>
    <row r="441" spans="1:16" x14ac:dyDescent="0.3">
      <c r="A441" s="64"/>
      <c r="B441" s="7"/>
      <c r="C441" s="391"/>
      <c r="D441" s="1"/>
      <c r="E441" s="267"/>
      <c r="F441" s="10"/>
      <c r="M441" s="267"/>
      <c r="N441" s="491"/>
      <c r="O441" s="1"/>
      <c r="P441" s="1"/>
    </row>
    <row r="442" spans="1:16" x14ac:dyDescent="0.3">
      <c r="A442" s="64"/>
      <c r="B442" s="7"/>
      <c r="C442" s="391"/>
      <c r="D442" s="1"/>
      <c r="E442" s="267"/>
      <c r="F442" s="10"/>
      <c r="M442" s="267"/>
      <c r="N442" s="491"/>
      <c r="O442" s="1"/>
      <c r="P442" s="1"/>
    </row>
    <row r="443" spans="1:16" x14ac:dyDescent="0.3">
      <c r="A443" s="64"/>
      <c r="B443" s="7"/>
      <c r="C443" s="391"/>
      <c r="D443" s="1"/>
      <c r="E443" s="267"/>
      <c r="F443" s="10"/>
      <c r="M443" s="267"/>
      <c r="N443" s="491"/>
      <c r="O443" s="1"/>
      <c r="P443" s="1"/>
    </row>
    <row r="444" spans="1:16" x14ac:dyDescent="0.3">
      <c r="A444" s="64"/>
      <c r="B444" s="7"/>
      <c r="C444" s="391"/>
      <c r="D444" s="1"/>
      <c r="E444" s="267"/>
      <c r="F444" s="10"/>
      <c r="M444" s="267"/>
      <c r="N444" s="491"/>
      <c r="O444" s="1"/>
      <c r="P444" s="1"/>
    </row>
    <row r="445" spans="1:16" x14ac:dyDescent="0.3">
      <c r="A445" s="64"/>
      <c r="B445" s="7"/>
      <c r="C445" s="391"/>
      <c r="D445" s="1"/>
      <c r="E445" s="267"/>
      <c r="F445" s="10"/>
      <c r="M445" s="267"/>
      <c r="N445" s="491"/>
      <c r="O445" s="1"/>
      <c r="P445" s="1"/>
    </row>
    <row r="446" spans="1:16" x14ac:dyDescent="0.3">
      <c r="A446" s="64"/>
      <c r="B446" s="7"/>
      <c r="C446" s="391"/>
      <c r="D446" s="1"/>
      <c r="E446" s="267"/>
      <c r="F446" s="10"/>
      <c r="M446" s="267"/>
      <c r="N446" s="491"/>
      <c r="O446" s="1"/>
      <c r="P446" s="1"/>
    </row>
    <row r="447" spans="1:16" x14ac:dyDescent="0.3">
      <c r="A447" s="64"/>
      <c r="B447" s="7"/>
      <c r="C447" s="391"/>
      <c r="D447" s="1"/>
      <c r="E447" s="267"/>
      <c r="F447" s="10"/>
      <c r="M447" s="267"/>
      <c r="N447" s="491"/>
      <c r="O447" s="1"/>
      <c r="P447" s="1"/>
    </row>
    <row r="448" spans="1:16" x14ac:dyDescent="0.3">
      <c r="A448" s="64"/>
      <c r="B448" s="7"/>
      <c r="C448" s="391"/>
      <c r="D448" s="1"/>
      <c r="E448" s="267"/>
      <c r="F448" s="10"/>
      <c r="M448" s="267"/>
      <c r="N448" s="491"/>
      <c r="O448" s="1"/>
      <c r="P448" s="1"/>
    </row>
    <row r="449" spans="1:16" x14ac:dyDescent="0.3">
      <c r="A449" s="64"/>
      <c r="B449" s="7"/>
      <c r="C449" s="391"/>
      <c r="D449" s="1"/>
      <c r="E449" s="267"/>
      <c r="F449" s="10"/>
      <c r="M449" s="267"/>
      <c r="N449" s="491"/>
      <c r="O449" s="1"/>
      <c r="P449" s="1"/>
    </row>
    <row r="450" spans="1:16" x14ac:dyDescent="0.3">
      <c r="A450" s="64"/>
      <c r="B450" s="7"/>
      <c r="C450" s="391"/>
      <c r="D450" s="1"/>
      <c r="E450" s="267"/>
      <c r="F450" s="10"/>
      <c r="M450" s="267"/>
      <c r="N450" s="491"/>
      <c r="O450" s="1"/>
      <c r="P450" s="1"/>
    </row>
    <row r="451" spans="1:16" x14ac:dyDescent="0.3">
      <c r="A451" s="64"/>
      <c r="B451" s="7"/>
      <c r="C451" s="391"/>
      <c r="D451" s="1"/>
      <c r="E451" s="267"/>
      <c r="F451" s="10"/>
      <c r="M451" s="267"/>
      <c r="N451" s="491"/>
      <c r="O451" s="1"/>
      <c r="P451" s="1"/>
    </row>
    <row r="452" spans="1:16" x14ac:dyDescent="0.3">
      <c r="A452" s="64"/>
      <c r="B452" s="7"/>
      <c r="C452" s="391"/>
      <c r="D452" s="1"/>
      <c r="E452" s="267"/>
      <c r="F452" s="10"/>
      <c r="M452" s="267"/>
      <c r="N452" s="491"/>
      <c r="O452" s="1"/>
      <c r="P452" s="1"/>
    </row>
    <row r="453" spans="1:16" x14ac:dyDescent="0.3">
      <c r="A453" s="64"/>
      <c r="B453" s="7"/>
      <c r="C453" s="391"/>
      <c r="D453" s="1"/>
      <c r="E453" s="267"/>
      <c r="F453" s="10"/>
      <c r="M453" s="267"/>
      <c r="N453" s="491"/>
      <c r="O453" s="1"/>
      <c r="P453" s="1"/>
    </row>
    <row r="454" spans="1:16" x14ac:dyDescent="0.3">
      <c r="A454" s="64"/>
      <c r="B454" s="7"/>
      <c r="C454" s="391"/>
      <c r="D454" s="1"/>
      <c r="E454" s="267"/>
      <c r="F454" s="10"/>
      <c r="M454" s="267"/>
      <c r="N454" s="491"/>
      <c r="O454" s="1"/>
      <c r="P454" s="1"/>
    </row>
    <row r="455" spans="1:16" x14ac:dyDescent="0.3">
      <c r="A455" s="64"/>
      <c r="B455" s="7"/>
      <c r="C455" s="391"/>
      <c r="D455" s="1"/>
      <c r="E455" s="267"/>
      <c r="F455" s="10"/>
      <c r="M455" s="267"/>
      <c r="N455" s="491"/>
      <c r="O455" s="1"/>
      <c r="P455" s="1"/>
    </row>
    <row r="456" spans="1:16" x14ac:dyDescent="0.3">
      <c r="A456" s="64"/>
      <c r="B456" s="7"/>
      <c r="C456" s="391"/>
      <c r="D456" s="1"/>
      <c r="E456" s="267"/>
      <c r="F456" s="10"/>
      <c r="M456" s="267"/>
      <c r="N456" s="491"/>
      <c r="O456" s="1"/>
      <c r="P456" s="1"/>
    </row>
    <row r="457" spans="1:16" x14ac:dyDescent="0.3">
      <c r="A457" s="64"/>
      <c r="B457" s="7"/>
      <c r="C457" s="391"/>
      <c r="D457" s="1"/>
      <c r="E457" s="267"/>
      <c r="F457" s="10"/>
      <c r="M457" s="267"/>
      <c r="N457" s="491"/>
      <c r="O457" s="1"/>
      <c r="P457" s="1"/>
    </row>
    <row r="458" spans="1:16" x14ac:dyDescent="0.3">
      <c r="A458" s="64"/>
      <c r="B458" s="7"/>
      <c r="C458" s="391"/>
      <c r="D458" s="1"/>
      <c r="E458" s="267"/>
      <c r="F458" s="10"/>
      <c r="M458" s="267"/>
      <c r="N458" s="491"/>
      <c r="O458" s="1"/>
      <c r="P458" s="1"/>
    </row>
    <row r="459" spans="1:16" x14ac:dyDescent="0.3">
      <c r="A459" s="64"/>
      <c r="B459" s="7"/>
      <c r="C459" s="391"/>
      <c r="D459" s="1"/>
      <c r="E459" s="267"/>
      <c r="F459" s="10"/>
      <c r="M459" s="267"/>
      <c r="N459" s="491"/>
      <c r="O459" s="1"/>
      <c r="P459" s="1"/>
    </row>
    <row r="460" spans="1:16" x14ac:dyDescent="0.3">
      <c r="A460" s="64"/>
      <c r="B460" s="7"/>
      <c r="C460" s="391"/>
      <c r="D460" s="1"/>
      <c r="E460" s="267"/>
      <c r="F460" s="10"/>
      <c r="M460" s="267"/>
      <c r="N460" s="491"/>
      <c r="O460" s="1"/>
      <c r="P460" s="1"/>
    </row>
    <row r="461" spans="1:16" x14ac:dyDescent="0.3">
      <c r="A461" s="64"/>
      <c r="B461" s="7"/>
      <c r="C461" s="391"/>
      <c r="D461" s="1"/>
      <c r="E461" s="267"/>
      <c r="F461" s="10"/>
      <c r="M461" s="267"/>
      <c r="N461" s="491"/>
      <c r="O461" s="1"/>
      <c r="P461" s="1"/>
    </row>
    <row r="462" spans="1:16" x14ac:dyDescent="0.3">
      <c r="A462" s="64"/>
      <c r="B462" s="7"/>
      <c r="C462" s="391"/>
      <c r="D462" s="1"/>
      <c r="E462" s="267"/>
      <c r="F462" s="10"/>
      <c r="M462" s="267"/>
      <c r="N462" s="491"/>
      <c r="O462" s="1"/>
      <c r="P462" s="1"/>
    </row>
    <row r="463" spans="1:16" x14ac:dyDescent="0.3">
      <c r="A463" s="64"/>
      <c r="B463" s="7"/>
      <c r="C463" s="391"/>
      <c r="D463" s="1"/>
      <c r="E463" s="267"/>
      <c r="F463" s="10"/>
      <c r="M463" s="267"/>
      <c r="N463" s="491"/>
      <c r="O463" s="1"/>
      <c r="P463" s="1"/>
    </row>
    <row r="464" spans="1:16" x14ac:dyDescent="0.3">
      <c r="A464" s="64"/>
      <c r="B464" s="7"/>
      <c r="C464" s="391"/>
      <c r="D464" s="1"/>
      <c r="E464" s="267"/>
      <c r="F464" s="10"/>
      <c r="M464" s="267"/>
      <c r="N464" s="491"/>
      <c r="O464" s="1"/>
      <c r="P464" s="1"/>
    </row>
    <row r="465" spans="1:16" x14ac:dyDescent="0.3">
      <c r="A465" s="64"/>
      <c r="B465" s="7"/>
      <c r="C465" s="391"/>
      <c r="D465" s="1"/>
      <c r="E465" s="267"/>
      <c r="F465" s="10"/>
      <c r="M465" s="267"/>
      <c r="N465" s="491"/>
      <c r="O465" s="1"/>
      <c r="P465" s="1"/>
    </row>
    <row r="466" spans="1:16" x14ac:dyDescent="0.3">
      <c r="A466" s="64"/>
      <c r="B466" s="7"/>
      <c r="C466" s="391"/>
      <c r="D466" s="1"/>
      <c r="E466" s="267"/>
      <c r="F466" s="10"/>
      <c r="M466" s="267"/>
      <c r="N466" s="491"/>
      <c r="O466" s="1"/>
      <c r="P466" s="1"/>
    </row>
    <row r="467" spans="1:16" x14ac:dyDescent="0.3">
      <c r="A467" s="64"/>
      <c r="B467" s="7"/>
      <c r="C467" s="391"/>
      <c r="D467" s="1"/>
      <c r="E467" s="267"/>
      <c r="F467" s="10"/>
      <c r="M467" s="267"/>
      <c r="N467" s="491"/>
      <c r="O467" s="1"/>
      <c r="P467" s="1"/>
    </row>
    <row r="468" spans="1:16" x14ac:dyDescent="0.3">
      <c r="A468" s="64"/>
      <c r="B468" s="7"/>
      <c r="C468" s="391"/>
      <c r="D468" s="1"/>
      <c r="E468" s="267"/>
      <c r="F468" s="10"/>
      <c r="M468" s="267"/>
      <c r="N468" s="491"/>
      <c r="O468" s="1"/>
      <c r="P468" s="1"/>
    </row>
    <row r="469" spans="1:16" x14ac:dyDescent="0.3">
      <c r="A469" s="64"/>
      <c r="B469" s="7"/>
      <c r="C469" s="391"/>
      <c r="D469" s="1"/>
      <c r="E469" s="267"/>
      <c r="F469" s="10"/>
      <c r="M469" s="267"/>
      <c r="N469" s="491"/>
      <c r="O469" s="1"/>
      <c r="P469" s="1"/>
    </row>
    <row r="470" spans="1:16" x14ac:dyDescent="0.3">
      <c r="A470" s="64"/>
      <c r="B470" s="7"/>
      <c r="C470" s="391"/>
      <c r="D470" s="1"/>
      <c r="E470" s="267"/>
      <c r="F470" s="10"/>
      <c r="M470" s="267"/>
      <c r="N470" s="491"/>
      <c r="O470" s="1"/>
      <c r="P470" s="1"/>
    </row>
    <row r="471" spans="1:16" x14ac:dyDescent="0.3">
      <c r="A471" s="64"/>
      <c r="B471" s="7"/>
      <c r="C471" s="391"/>
      <c r="D471" s="1"/>
      <c r="E471" s="267"/>
      <c r="F471" s="10"/>
      <c r="M471" s="267"/>
      <c r="N471" s="491"/>
      <c r="O471" s="1"/>
      <c r="P471" s="1"/>
    </row>
    <row r="472" spans="1:16" x14ac:dyDescent="0.3">
      <c r="A472" s="64"/>
      <c r="B472" s="7"/>
      <c r="C472" s="391"/>
      <c r="D472" s="1"/>
      <c r="E472" s="267"/>
      <c r="F472" s="10"/>
      <c r="M472" s="267"/>
      <c r="N472" s="491"/>
      <c r="O472" s="1"/>
      <c r="P472" s="1"/>
    </row>
    <row r="473" spans="1:16" x14ac:dyDescent="0.3">
      <c r="A473" s="64"/>
      <c r="B473" s="7"/>
      <c r="C473" s="391"/>
      <c r="D473" s="1"/>
      <c r="E473" s="267"/>
      <c r="F473" s="10"/>
      <c r="M473" s="267"/>
      <c r="N473" s="491"/>
      <c r="O473" s="1"/>
      <c r="P473" s="1"/>
    </row>
    <row r="474" spans="1:16" x14ac:dyDescent="0.3">
      <c r="A474" s="64"/>
      <c r="B474" s="7"/>
      <c r="C474" s="391"/>
      <c r="D474" s="1"/>
      <c r="E474" s="267"/>
      <c r="F474" s="10"/>
      <c r="M474" s="267"/>
      <c r="N474" s="491"/>
      <c r="O474" s="1"/>
      <c r="P474" s="1"/>
    </row>
    <row r="475" spans="1:16" x14ac:dyDescent="0.3">
      <c r="A475" s="64"/>
      <c r="B475" s="7"/>
      <c r="C475" s="391"/>
      <c r="D475" s="1"/>
      <c r="E475" s="267"/>
      <c r="F475" s="10"/>
      <c r="M475" s="267"/>
      <c r="N475" s="491"/>
      <c r="O475" s="1"/>
      <c r="P475" s="1"/>
    </row>
    <row r="476" spans="1:16" x14ac:dyDescent="0.3">
      <c r="A476" s="64"/>
      <c r="B476" s="7"/>
      <c r="C476" s="391"/>
      <c r="D476" s="1"/>
      <c r="E476" s="267"/>
      <c r="F476" s="10"/>
      <c r="M476" s="267"/>
      <c r="N476" s="491"/>
      <c r="O476" s="1"/>
      <c r="P476" s="1"/>
    </row>
    <row r="477" spans="1:16" x14ac:dyDescent="0.3">
      <c r="A477" s="64"/>
      <c r="B477" s="7"/>
      <c r="C477" s="391"/>
      <c r="D477" s="1"/>
      <c r="E477" s="267"/>
      <c r="F477" s="10"/>
      <c r="M477" s="267"/>
      <c r="N477" s="491"/>
      <c r="O477" s="1"/>
      <c r="P477" s="1"/>
    </row>
    <row r="478" spans="1:16" x14ac:dyDescent="0.3">
      <c r="A478" s="64"/>
      <c r="B478" s="7"/>
      <c r="C478" s="391"/>
      <c r="D478" s="1"/>
      <c r="E478" s="267"/>
      <c r="F478" s="10"/>
      <c r="M478" s="267"/>
      <c r="N478" s="491"/>
      <c r="O478" s="1"/>
      <c r="P478" s="1"/>
    </row>
    <row r="479" spans="1:16" x14ac:dyDescent="0.3">
      <c r="A479" s="64"/>
      <c r="B479" s="7"/>
      <c r="C479" s="391"/>
      <c r="D479" s="1"/>
      <c r="E479" s="267"/>
      <c r="F479" s="10"/>
      <c r="M479" s="267"/>
      <c r="N479" s="491"/>
      <c r="O479" s="1"/>
      <c r="P479" s="1"/>
    </row>
    <row r="480" spans="1:16" x14ac:dyDescent="0.3">
      <c r="A480" s="64"/>
      <c r="B480" s="7"/>
      <c r="C480" s="391"/>
      <c r="D480" s="1"/>
      <c r="E480" s="267"/>
      <c r="F480" s="10"/>
      <c r="M480" s="267"/>
      <c r="N480" s="491"/>
      <c r="O480" s="1"/>
      <c r="P480" s="1"/>
    </row>
    <row r="481" spans="1:16" x14ac:dyDescent="0.3">
      <c r="A481" s="64"/>
      <c r="B481" s="7"/>
      <c r="C481" s="391"/>
      <c r="D481" s="1"/>
      <c r="E481" s="267"/>
      <c r="F481" s="10"/>
      <c r="M481" s="267"/>
      <c r="N481" s="491"/>
      <c r="O481" s="1"/>
      <c r="P481" s="1"/>
    </row>
    <row r="482" spans="1:16" x14ac:dyDescent="0.3">
      <c r="A482" s="64"/>
      <c r="B482" s="7"/>
      <c r="C482" s="391"/>
      <c r="D482" s="1"/>
      <c r="E482" s="267"/>
      <c r="F482" s="10"/>
      <c r="M482" s="267"/>
      <c r="N482" s="491"/>
      <c r="O482" s="1"/>
      <c r="P482" s="1"/>
    </row>
    <row r="483" spans="1:16" x14ac:dyDescent="0.3">
      <c r="A483" s="64"/>
      <c r="B483" s="7"/>
      <c r="C483" s="391"/>
      <c r="D483" s="1"/>
      <c r="E483" s="267"/>
      <c r="F483" s="10"/>
      <c r="M483" s="267"/>
      <c r="N483" s="491"/>
      <c r="O483" s="1"/>
      <c r="P483" s="1"/>
    </row>
    <row r="484" spans="1:16" x14ac:dyDescent="0.3">
      <c r="A484" s="64"/>
      <c r="B484" s="7"/>
      <c r="C484" s="391"/>
      <c r="D484" s="1"/>
      <c r="E484" s="267"/>
      <c r="F484" s="10"/>
      <c r="M484" s="267"/>
      <c r="N484" s="491"/>
      <c r="O484" s="1"/>
      <c r="P484" s="1"/>
    </row>
    <row r="485" spans="1:16" x14ac:dyDescent="0.3">
      <c r="A485" s="64"/>
      <c r="B485" s="7"/>
      <c r="C485" s="391"/>
      <c r="D485" s="1"/>
      <c r="E485" s="267"/>
      <c r="F485" s="10"/>
      <c r="M485" s="267"/>
      <c r="N485" s="491"/>
      <c r="O485" s="1"/>
      <c r="P485" s="1"/>
    </row>
    <row r="486" spans="1:16" x14ac:dyDescent="0.3">
      <c r="A486" s="64"/>
      <c r="B486" s="7"/>
      <c r="C486" s="391"/>
      <c r="D486" s="1"/>
      <c r="E486" s="267"/>
      <c r="F486" s="10"/>
      <c r="M486" s="267"/>
      <c r="N486" s="491"/>
      <c r="O486" s="1"/>
      <c r="P486" s="1"/>
    </row>
    <row r="487" spans="1:16" x14ac:dyDescent="0.3">
      <c r="A487" s="64"/>
      <c r="B487" s="7"/>
      <c r="C487" s="391"/>
      <c r="D487" s="1"/>
      <c r="E487" s="267"/>
      <c r="F487" s="10"/>
      <c r="M487" s="267"/>
      <c r="N487" s="491"/>
      <c r="O487" s="1"/>
      <c r="P487" s="1"/>
    </row>
    <row r="488" spans="1:16" x14ac:dyDescent="0.3">
      <c r="A488" s="64"/>
      <c r="B488" s="7"/>
      <c r="C488" s="391"/>
      <c r="D488" s="1"/>
      <c r="E488" s="267"/>
      <c r="F488" s="10"/>
      <c r="M488" s="267"/>
      <c r="N488" s="491"/>
      <c r="O488" s="1"/>
      <c r="P488" s="1"/>
    </row>
    <row r="489" spans="1:16" x14ac:dyDescent="0.3">
      <c r="A489" s="64"/>
      <c r="B489" s="7"/>
      <c r="C489" s="391"/>
      <c r="D489" s="1"/>
      <c r="E489" s="267"/>
      <c r="F489" s="10"/>
      <c r="M489" s="267"/>
      <c r="N489" s="491"/>
      <c r="O489" s="1"/>
      <c r="P489" s="1"/>
    </row>
    <row r="490" spans="1:16" x14ac:dyDescent="0.3">
      <c r="A490" s="64"/>
      <c r="B490" s="7"/>
      <c r="C490" s="391"/>
      <c r="D490" s="1"/>
      <c r="E490" s="267"/>
      <c r="F490" s="10"/>
      <c r="M490" s="267"/>
      <c r="N490" s="491"/>
      <c r="O490" s="1"/>
      <c r="P490" s="1"/>
    </row>
    <row r="491" spans="1:16" x14ac:dyDescent="0.3">
      <c r="A491" s="64"/>
      <c r="B491" s="7"/>
      <c r="C491" s="391"/>
      <c r="D491" s="1"/>
      <c r="E491" s="267"/>
      <c r="F491" s="10"/>
      <c r="M491" s="267"/>
      <c r="N491" s="491"/>
      <c r="O491" s="1"/>
      <c r="P491" s="1"/>
    </row>
    <row r="492" spans="1:16" x14ac:dyDescent="0.3">
      <c r="A492" s="64"/>
      <c r="B492" s="7"/>
      <c r="C492" s="391"/>
      <c r="D492" s="1"/>
      <c r="E492" s="267"/>
      <c r="F492" s="10"/>
      <c r="M492" s="267"/>
      <c r="N492" s="491"/>
      <c r="O492" s="1"/>
      <c r="P492" s="1"/>
    </row>
    <row r="493" spans="1:16" x14ac:dyDescent="0.3">
      <c r="A493" s="64"/>
      <c r="B493" s="7"/>
      <c r="C493" s="391"/>
      <c r="D493" s="1"/>
      <c r="E493" s="267"/>
      <c r="F493" s="10"/>
      <c r="M493" s="267"/>
      <c r="N493" s="491"/>
      <c r="O493" s="1"/>
      <c r="P493" s="1"/>
    </row>
    <row r="494" spans="1:16" x14ac:dyDescent="0.3">
      <c r="A494" s="64"/>
      <c r="B494" s="7"/>
      <c r="C494" s="391"/>
      <c r="D494" s="1"/>
      <c r="E494" s="267"/>
      <c r="F494" s="10"/>
      <c r="M494" s="267"/>
      <c r="N494" s="491"/>
      <c r="O494" s="1"/>
      <c r="P494" s="1"/>
    </row>
    <row r="495" spans="1:16" x14ac:dyDescent="0.3">
      <c r="A495" s="64"/>
      <c r="B495" s="7"/>
      <c r="C495" s="391"/>
      <c r="D495" s="1"/>
      <c r="E495" s="267"/>
      <c r="F495" s="10"/>
      <c r="M495" s="267"/>
      <c r="N495" s="491"/>
      <c r="O495" s="1"/>
      <c r="P495" s="1"/>
    </row>
    <row r="496" spans="1:16" x14ac:dyDescent="0.3">
      <c r="A496" s="64"/>
      <c r="B496" s="7"/>
      <c r="C496" s="391"/>
      <c r="D496" s="1"/>
      <c r="E496" s="267"/>
      <c r="F496" s="10"/>
      <c r="M496" s="267"/>
      <c r="N496" s="491"/>
      <c r="O496" s="1"/>
      <c r="P496" s="1"/>
    </row>
    <row r="497" spans="1:16" x14ac:dyDescent="0.3">
      <c r="A497" s="64"/>
      <c r="B497" s="7"/>
      <c r="C497" s="391"/>
      <c r="D497" s="1"/>
      <c r="E497" s="267"/>
      <c r="F497" s="10"/>
      <c r="M497" s="267"/>
      <c r="N497" s="491"/>
      <c r="O497" s="1"/>
      <c r="P497" s="1"/>
    </row>
    <row r="498" spans="1:16" x14ac:dyDescent="0.3">
      <c r="A498" s="64"/>
      <c r="B498" s="7"/>
      <c r="C498" s="391"/>
      <c r="D498" s="1"/>
      <c r="E498" s="267"/>
      <c r="F498" s="10"/>
      <c r="M498" s="267"/>
      <c r="N498" s="491"/>
      <c r="O498" s="1"/>
      <c r="P498" s="1"/>
    </row>
    <row r="499" spans="1:16" x14ac:dyDescent="0.3">
      <c r="A499" s="64"/>
      <c r="B499" s="7"/>
      <c r="C499" s="391"/>
      <c r="D499" s="1"/>
      <c r="E499" s="267"/>
      <c r="F499" s="10"/>
      <c r="M499" s="267"/>
      <c r="N499" s="491"/>
      <c r="O499" s="1"/>
      <c r="P499" s="1"/>
    </row>
    <row r="500" spans="1:16" x14ac:dyDescent="0.3">
      <c r="A500" s="64"/>
      <c r="B500" s="7"/>
      <c r="C500" s="391"/>
      <c r="D500" s="1"/>
      <c r="E500" s="267"/>
      <c r="F500" s="10"/>
      <c r="M500" s="267"/>
      <c r="N500" s="491"/>
      <c r="O500" s="1"/>
      <c r="P500" s="1"/>
    </row>
    <row r="501" spans="1:16" x14ac:dyDescent="0.3">
      <c r="A501" s="64"/>
      <c r="B501" s="7"/>
      <c r="C501" s="391"/>
      <c r="D501" s="1"/>
      <c r="E501" s="267"/>
      <c r="F501" s="10"/>
      <c r="M501" s="267"/>
      <c r="N501" s="491"/>
      <c r="O501" s="1"/>
      <c r="P501" s="1"/>
    </row>
    <row r="502" spans="1:16" x14ac:dyDescent="0.3">
      <c r="A502" s="64"/>
      <c r="B502" s="7"/>
      <c r="C502" s="391"/>
      <c r="D502" s="1"/>
      <c r="E502" s="267"/>
      <c r="F502" s="10"/>
      <c r="M502" s="267"/>
      <c r="N502" s="491"/>
      <c r="O502" s="1"/>
      <c r="P502" s="1"/>
    </row>
    <row r="503" spans="1:16" x14ac:dyDescent="0.3">
      <c r="A503" s="64"/>
      <c r="B503" s="7"/>
      <c r="C503" s="391"/>
      <c r="D503" s="1"/>
      <c r="E503" s="267"/>
      <c r="F503" s="10"/>
      <c r="M503" s="267"/>
      <c r="N503" s="491"/>
      <c r="O503" s="1"/>
      <c r="P503" s="1"/>
    </row>
    <row r="504" spans="1:16" x14ac:dyDescent="0.3">
      <c r="A504" s="64"/>
      <c r="B504" s="7"/>
      <c r="C504" s="391"/>
      <c r="D504" s="1"/>
      <c r="E504" s="267"/>
      <c r="F504" s="10"/>
      <c r="M504" s="267"/>
      <c r="N504" s="491"/>
      <c r="O504" s="1"/>
      <c r="P504" s="1"/>
    </row>
    <row r="505" spans="1:16" x14ac:dyDescent="0.3">
      <c r="A505" s="64"/>
      <c r="B505" s="7"/>
      <c r="C505" s="391"/>
      <c r="D505" s="1"/>
      <c r="E505" s="267"/>
      <c r="F505" s="10"/>
      <c r="M505" s="267"/>
      <c r="N505" s="491"/>
      <c r="O505" s="1"/>
      <c r="P505" s="1"/>
    </row>
    <row r="506" spans="1:16" x14ac:dyDescent="0.3">
      <c r="A506" s="64"/>
      <c r="B506" s="7"/>
      <c r="C506" s="391"/>
      <c r="D506" s="1"/>
      <c r="E506" s="267"/>
      <c r="F506" s="10"/>
      <c r="M506" s="267"/>
      <c r="N506" s="491"/>
      <c r="O506" s="1"/>
      <c r="P506" s="1"/>
    </row>
    <row r="507" spans="1:16" x14ac:dyDescent="0.3">
      <c r="A507" s="64"/>
      <c r="B507" s="7"/>
      <c r="C507" s="391"/>
      <c r="D507" s="1"/>
      <c r="E507" s="267"/>
      <c r="F507" s="10"/>
      <c r="M507" s="267"/>
      <c r="N507" s="491"/>
      <c r="O507" s="1"/>
      <c r="P507" s="1"/>
    </row>
    <row r="508" spans="1:16" x14ac:dyDescent="0.3">
      <c r="A508" s="64"/>
      <c r="B508" s="7"/>
      <c r="C508" s="391"/>
      <c r="D508" s="1"/>
      <c r="E508" s="267"/>
      <c r="F508" s="10"/>
      <c r="M508" s="267"/>
      <c r="N508" s="491"/>
      <c r="O508" s="1"/>
      <c r="P508" s="1"/>
    </row>
    <row r="509" spans="1:16" x14ac:dyDescent="0.3">
      <c r="A509" s="64"/>
      <c r="B509" s="7"/>
      <c r="C509" s="391"/>
      <c r="D509" s="1"/>
      <c r="E509" s="267"/>
      <c r="F509" s="10"/>
      <c r="M509" s="267"/>
      <c r="N509" s="491"/>
      <c r="O509" s="1"/>
      <c r="P509" s="1"/>
    </row>
    <row r="510" spans="1:16" x14ac:dyDescent="0.3">
      <c r="A510" s="64"/>
      <c r="B510" s="7"/>
      <c r="C510" s="391"/>
      <c r="D510" s="1"/>
      <c r="E510" s="267"/>
      <c r="F510" s="10"/>
      <c r="M510" s="267"/>
      <c r="N510" s="491"/>
      <c r="O510" s="1"/>
      <c r="P510" s="1"/>
    </row>
    <row r="511" spans="1:16" x14ac:dyDescent="0.3">
      <c r="A511" s="64"/>
      <c r="B511" s="7"/>
      <c r="C511" s="391"/>
      <c r="D511" s="1"/>
      <c r="E511" s="267"/>
      <c r="F511" s="10"/>
      <c r="M511" s="267"/>
      <c r="N511" s="491"/>
      <c r="O511" s="1"/>
      <c r="P511" s="1"/>
    </row>
    <row r="512" spans="1:16" x14ac:dyDescent="0.3">
      <c r="A512" s="64"/>
      <c r="B512" s="7"/>
      <c r="C512" s="391"/>
      <c r="D512" s="1"/>
      <c r="E512" s="267"/>
      <c r="F512" s="10"/>
      <c r="M512" s="267"/>
      <c r="N512" s="491"/>
      <c r="O512" s="1"/>
      <c r="P512" s="1"/>
    </row>
    <row r="513" spans="1:16" x14ac:dyDescent="0.3">
      <c r="A513" s="64"/>
      <c r="B513" s="7"/>
      <c r="C513" s="391"/>
      <c r="D513" s="1"/>
      <c r="E513" s="267"/>
      <c r="F513" s="10"/>
      <c r="M513" s="267"/>
      <c r="N513" s="491"/>
      <c r="O513" s="1"/>
      <c r="P513" s="1"/>
    </row>
    <row r="514" spans="1:16" x14ac:dyDescent="0.3">
      <c r="A514" s="64"/>
      <c r="B514" s="7"/>
      <c r="C514" s="391"/>
      <c r="D514" s="1"/>
      <c r="E514" s="267"/>
      <c r="F514" s="10"/>
      <c r="M514" s="267"/>
      <c r="N514" s="491"/>
      <c r="O514" s="1"/>
      <c r="P514" s="1"/>
    </row>
    <row r="515" spans="1:16" x14ac:dyDescent="0.3">
      <c r="A515" s="64"/>
      <c r="B515" s="7"/>
      <c r="C515" s="391"/>
      <c r="D515" s="1"/>
      <c r="E515" s="267"/>
      <c r="F515" s="10"/>
      <c r="M515" s="267"/>
      <c r="N515" s="491"/>
      <c r="O515" s="1"/>
      <c r="P515" s="1"/>
    </row>
    <row r="516" spans="1:16" x14ac:dyDescent="0.3">
      <c r="A516" s="64"/>
      <c r="B516" s="7"/>
      <c r="C516" s="391"/>
      <c r="D516" s="1"/>
      <c r="E516" s="267"/>
      <c r="F516" s="10"/>
      <c r="M516" s="267"/>
      <c r="N516" s="491"/>
      <c r="O516" s="1"/>
      <c r="P516" s="1"/>
    </row>
    <row r="517" spans="1:16" x14ac:dyDescent="0.3">
      <c r="A517" s="64"/>
      <c r="B517" s="7"/>
      <c r="C517" s="391"/>
      <c r="D517" s="1"/>
      <c r="E517" s="267"/>
      <c r="F517" s="10"/>
      <c r="M517" s="267"/>
      <c r="N517" s="491"/>
      <c r="O517" s="1"/>
      <c r="P517" s="1"/>
    </row>
    <row r="518" spans="1:16" x14ac:dyDescent="0.3">
      <c r="A518" s="64"/>
      <c r="B518" s="7"/>
      <c r="C518" s="391"/>
      <c r="D518" s="1"/>
      <c r="E518" s="267"/>
      <c r="F518" s="10"/>
      <c r="M518" s="267"/>
      <c r="N518" s="491"/>
      <c r="O518" s="1"/>
      <c r="P518" s="1"/>
    </row>
    <row r="519" spans="1:16" x14ac:dyDescent="0.3">
      <c r="A519" s="64"/>
      <c r="B519" s="7"/>
      <c r="C519" s="391"/>
      <c r="D519" s="1"/>
      <c r="E519" s="267"/>
      <c r="F519" s="10"/>
      <c r="M519" s="267"/>
      <c r="N519" s="491"/>
      <c r="O519" s="1"/>
      <c r="P519" s="1"/>
    </row>
    <row r="520" spans="1:16" x14ac:dyDescent="0.3">
      <c r="A520" s="64"/>
      <c r="B520" s="7"/>
      <c r="C520" s="391"/>
      <c r="D520" s="1"/>
      <c r="E520" s="267"/>
      <c r="F520" s="10"/>
      <c r="M520" s="267"/>
      <c r="N520" s="491"/>
      <c r="O520" s="1"/>
      <c r="P520" s="1"/>
    </row>
    <row r="521" spans="1:16" x14ac:dyDescent="0.3">
      <c r="A521" s="64"/>
      <c r="B521" s="7"/>
      <c r="C521" s="391"/>
      <c r="D521" s="1"/>
      <c r="E521" s="267"/>
      <c r="F521" s="10"/>
      <c r="M521" s="267"/>
      <c r="N521" s="491"/>
      <c r="O521" s="1"/>
      <c r="P521" s="1"/>
    </row>
    <row r="522" spans="1:16" x14ac:dyDescent="0.3">
      <c r="A522" s="64"/>
      <c r="B522" s="7"/>
      <c r="C522" s="391"/>
      <c r="D522" s="1"/>
      <c r="E522" s="267"/>
      <c r="F522" s="10"/>
      <c r="M522" s="267"/>
      <c r="N522" s="491"/>
      <c r="O522" s="1"/>
      <c r="P522" s="1"/>
    </row>
    <row r="523" spans="1:16" x14ac:dyDescent="0.3">
      <c r="A523" s="64"/>
      <c r="B523" s="7"/>
      <c r="C523" s="391"/>
      <c r="D523" s="1"/>
      <c r="E523" s="267"/>
      <c r="F523" s="10"/>
      <c r="M523" s="267"/>
      <c r="N523" s="491"/>
      <c r="O523" s="1"/>
      <c r="P523" s="1"/>
    </row>
    <row r="524" spans="1:16" x14ac:dyDescent="0.3">
      <c r="A524" s="64"/>
      <c r="B524" s="7"/>
      <c r="C524" s="391"/>
      <c r="D524" s="1"/>
      <c r="E524" s="267"/>
      <c r="F524" s="10"/>
      <c r="M524" s="267"/>
      <c r="N524" s="491"/>
      <c r="O524" s="1"/>
      <c r="P524" s="1"/>
    </row>
    <row r="525" spans="1:16" x14ac:dyDescent="0.3">
      <c r="A525" s="64"/>
      <c r="B525" s="7"/>
      <c r="C525" s="391"/>
      <c r="D525" s="1"/>
      <c r="E525" s="267"/>
      <c r="F525" s="10"/>
      <c r="M525" s="267"/>
      <c r="N525" s="491"/>
      <c r="O525" s="1"/>
      <c r="P525" s="1"/>
    </row>
    <row r="526" spans="1:16" x14ac:dyDescent="0.3">
      <c r="A526" s="64"/>
      <c r="B526" s="7"/>
      <c r="C526" s="391"/>
      <c r="D526" s="1"/>
      <c r="E526" s="267"/>
      <c r="F526" s="10"/>
      <c r="M526" s="267"/>
      <c r="N526" s="491"/>
      <c r="O526" s="1"/>
      <c r="P526" s="1"/>
    </row>
    <row r="527" spans="1:16" x14ac:dyDescent="0.3">
      <c r="A527" s="64"/>
      <c r="B527" s="7"/>
      <c r="C527" s="391"/>
      <c r="D527" s="1"/>
      <c r="E527" s="267"/>
      <c r="F527" s="10"/>
      <c r="M527" s="267"/>
      <c r="N527" s="491"/>
      <c r="O527" s="1"/>
      <c r="P527" s="1"/>
    </row>
    <row r="528" spans="1:16" x14ac:dyDescent="0.3">
      <c r="A528" s="64"/>
      <c r="B528" s="7"/>
      <c r="C528" s="391"/>
      <c r="D528" s="1"/>
      <c r="E528" s="267"/>
      <c r="F528" s="10"/>
      <c r="M528" s="267"/>
      <c r="N528" s="491"/>
      <c r="O528" s="1"/>
      <c r="P528" s="1"/>
    </row>
    <row r="529" spans="1:16" x14ac:dyDescent="0.3">
      <c r="A529" s="64"/>
      <c r="B529" s="7"/>
      <c r="C529" s="391"/>
      <c r="D529" s="1"/>
      <c r="E529" s="267"/>
      <c r="F529" s="10"/>
      <c r="M529" s="267"/>
      <c r="N529" s="491"/>
      <c r="O529" s="1"/>
      <c r="P529" s="1"/>
    </row>
    <row r="530" spans="1:16" x14ac:dyDescent="0.3">
      <c r="A530" s="64"/>
      <c r="B530" s="7"/>
      <c r="C530" s="391"/>
      <c r="D530" s="1"/>
      <c r="E530" s="267"/>
      <c r="F530" s="10"/>
      <c r="M530" s="267"/>
      <c r="N530" s="491"/>
      <c r="O530" s="1"/>
      <c r="P530" s="1"/>
    </row>
    <row r="531" spans="1:16" x14ac:dyDescent="0.3">
      <c r="A531" s="64"/>
      <c r="B531" s="7"/>
      <c r="C531" s="391"/>
      <c r="D531" s="1"/>
      <c r="E531" s="267"/>
      <c r="F531" s="10"/>
      <c r="M531" s="267"/>
      <c r="N531" s="491"/>
      <c r="O531" s="1"/>
      <c r="P531" s="1"/>
    </row>
    <row r="532" spans="1:16" x14ac:dyDescent="0.3">
      <c r="A532" s="64"/>
      <c r="B532" s="7"/>
      <c r="C532" s="391"/>
      <c r="D532" s="1"/>
      <c r="E532" s="267"/>
      <c r="F532" s="10"/>
      <c r="M532" s="267"/>
      <c r="N532" s="491"/>
      <c r="O532" s="1"/>
      <c r="P532" s="1"/>
    </row>
    <row r="533" spans="1:16" x14ac:dyDescent="0.3">
      <c r="A533" s="64"/>
      <c r="B533" s="7"/>
      <c r="C533" s="391"/>
      <c r="D533" s="1"/>
      <c r="E533" s="267"/>
      <c r="F533" s="10"/>
      <c r="M533" s="267"/>
      <c r="N533" s="491"/>
      <c r="O533" s="1"/>
      <c r="P533" s="1"/>
    </row>
    <row r="534" spans="1:16" x14ac:dyDescent="0.3">
      <c r="A534" s="64"/>
      <c r="B534" s="7"/>
      <c r="C534" s="391"/>
      <c r="D534" s="1"/>
      <c r="E534" s="267"/>
      <c r="F534" s="10"/>
      <c r="M534" s="267"/>
      <c r="N534" s="491"/>
      <c r="O534" s="1"/>
      <c r="P534" s="1"/>
    </row>
    <row r="535" spans="1:16" x14ac:dyDescent="0.3">
      <c r="A535" s="64"/>
      <c r="B535" s="7"/>
      <c r="C535" s="391"/>
      <c r="D535" s="1"/>
      <c r="E535" s="267"/>
      <c r="F535" s="10"/>
      <c r="M535" s="267"/>
      <c r="N535" s="491"/>
      <c r="O535" s="1"/>
      <c r="P535" s="1"/>
    </row>
    <row r="536" spans="1:16" x14ac:dyDescent="0.3">
      <c r="A536" s="64"/>
      <c r="B536" s="7"/>
      <c r="C536" s="391"/>
      <c r="D536" s="1"/>
      <c r="E536" s="267"/>
      <c r="F536" s="10"/>
      <c r="M536" s="267"/>
      <c r="N536" s="491"/>
      <c r="O536" s="1"/>
      <c r="P536" s="1"/>
    </row>
    <row r="537" spans="1:16" x14ac:dyDescent="0.3">
      <c r="A537" s="64"/>
      <c r="B537" s="7"/>
      <c r="C537" s="391"/>
      <c r="D537" s="1"/>
      <c r="E537" s="267"/>
      <c r="F537" s="10"/>
      <c r="M537" s="267"/>
      <c r="N537" s="491"/>
      <c r="O537" s="1"/>
      <c r="P537" s="1"/>
    </row>
    <row r="538" spans="1:16" x14ac:dyDescent="0.3">
      <c r="A538" s="64"/>
      <c r="B538" s="7"/>
      <c r="C538" s="391"/>
      <c r="D538" s="1"/>
      <c r="E538" s="267"/>
      <c r="F538" s="10"/>
      <c r="M538" s="267"/>
      <c r="N538" s="491"/>
      <c r="O538" s="1"/>
      <c r="P538" s="1"/>
    </row>
    <row r="539" spans="1:16" x14ac:dyDescent="0.3">
      <c r="A539" s="64"/>
      <c r="B539" s="7"/>
      <c r="C539" s="391"/>
      <c r="D539" s="1"/>
      <c r="E539" s="267"/>
      <c r="F539" s="10"/>
      <c r="M539" s="267"/>
      <c r="N539" s="491"/>
      <c r="O539" s="1"/>
      <c r="P539" s="1"/>
    </row>
    <row r="540" spans="1:16" x14ac:dyDescent="0.3">
      <c r="A540" s="64"/>
      <c r="B540" s="7"/>
      <c r="C540" s="391"/>
      <c r="D540" s="1"/>
      <c r="E540" s="267"/>
      <c r="F540" s="10"/>
      <c r="M540" s="267"/>
      <c r="N540" s="491"/>
      <c r="O540" s="1"/>
      <c r="P540" s="1"/>
    </row>
    <row r="541" spans="1:16" x14ac:dyDescent="0.3">
      <c r="A541" s="64"/>
      <c r="B541" s="7"/>
      <c r="C541" s="391"/>
      <c r="D541" s="1"/>
      <c r="E541" s="267"/>
      <c r="F541" s="10"/>
      <c r="M541" s="267"/>
      <c r="N541" s="491"/>
      <c r="O541" s="1"/>
      <c r="P541" s="1"/>
    </row>
    <row r="542" spans="1:16" x14ac:dyDescent="0.3">
      <c r="A542" s="64"/>
      <c r="B542" s="7"/>
      <c r="C542" s="391"/>
      <c r="D542" s="1"/>
      <c r="E542" s="267"/>
      <c r="F542" s="10"/>
      <c r="M542" s="267"/>
      <c r="N542" s="491"/>
      <c r="O542" s="1"/>
      <c r="P542" s="1"/>
    </row>
    <row r="543" spans="1:16" x14ac:dyDescent="0.3">
      <c r="A543" s="64"/>
      <c r="B543" s="7"/>
      <c r="C543" s="391"/>
      <c r="D543" s="1"/>
      <c r="E543" s="267"/>
      <c r="F543" s="10"/>
      <c r="M543" s="267"/>
      <c r="N543" s="491"/>
      <c r="O543" s="1"/>
      <c r="P543" s="1"/>
    </row>
    <row r="544" spans="1:16" x14ac:dyDescent="0.3">
      <c r="A544" s="64"/>
      <c r="B544" s="7"/>
      <c r="C544" s="391"/>
      <c r="D544" s="1"/>
      <c r="E544" s="267"/>
      <c r="F544" s="10"/>
      <c r="M544" s="267"/>
      <c r="N544" s="491"/>
      <c r="O544" s="1"/>
      <c r="P544" s="1"/>
    </row>
    <row r="545" spans="1:16" x14ac:dyDescent="0.3">
      <c r="A545" s="64"/>
      <c r="B545" s="7"/>
      <c r="C545" s="391"/>
      <c r="D545" s="1"/>
      <c r="E545" s="267"/>
      <c r="F545" s="10"/>
      <c r="M545" s="267"/>
      <c r="N545" s="491"/>
      <c r="O545" s="1"/>
      <c r="P545" s="1"/>
    </row>
    <row r="546" spans="1:16" x14ac:dyDescent="0.3">
      <c r="A546" s="64"/>
      <c r="B546" s="7"/>
      <c r="C546" s="391"/>
      <c r="D546" s="1"/>
      <c r="E546" s="267"/>
      <c r="F546" s="10"/>
      <c r="M546" s="267"/>
      <c r="N546" s="491"/>
      <c r="O546" s="1"/>
      <c r="P546" s="1"/>
    </row>
    <row r="547" spans="1:16" x14ac:dyDescent="0.3">
      <c r="A547" s="64"/>
      <c r="B547" s="7"/>
      <c r="C547" s="391"/>
      <c r="D547" s="1"/>
      <c r="E547" s="267"/>
      <c r="F547" s="10"/>
      <c r="M547" s="267"/>
      <c r="N547" s="491"/>
      <c r="O547" s="1"/>
      <c r="P547" s="1"/>
    </row>
    <row r="548" spans="1:16" x14ac:dyDescent="0.3">
      <c r="A548" s="64"/>
      <c r="B548" s="7"/>
      <c r="C548" s="391"/>
      <c r="D548" s="1"/>
      <c r="E548" s="267"/>
      <c r="F548" s="10"/>
      <c r="M548" s="267"/>
      <c r="N548" s="491"/>
      <c r="O548" s="1"/>
      <c r="P548" s="1"/>
    </row>
    <row r="549" spans="1:16" x14ac:dyDescent="0.3">
      <c r="A549" s="64"/>
      <c r="B549" s="7"/>
      <c r="C549" s="391"/>
      <c r="D549" s="1"/>
      <c r="E549" s="267"/>
      <c r="F549" s="10"/>
      <c r="M549" s="267"/>
      <c r="N549" s="491"/>
      <c r="O549" s="1"/>
      <c r="P549" s="1"/>
    </row>
    <row r="550" spans="1:16" x14ac:dyDescent="0.3">
      <c r="A550" s="64"/>
      <c r="B550" s="7"/>
      <c r="C550" s="391"/>
      <c r="D550" s="1"/>
      <c r="E550" s="267"/>
      <c r="F550" s="10"/>
      <c r="M550" s="267"/>
      <c r="N550" s="491"/>
      <c r="O550" s="1"/>
      <c r="P550" s="1"/>
    </row>
    <row r="551" spans="1:16" x14ac:dyDescent="0.3">
      <c r="A551" s="64"/>
      <c r="B551" s="7"/>
      <c r="C551" s="391"/>
      <c r="D551" s="1"/>
      <c r="E551" s="267"/>
      <c r="F551" s="10"/>
      <c r="M551" s="267"/>
      <c r="N551" s="491"/>
      <c r="O551" s="1"/>
      <c r="P551" s="1"/>
    </row>
    <row r="552" spans="1:16" x14ac:dyDescent="0.3">
      <c r="A552" s="64"/>
      <c r="B552" s="7"/>
      <c r="C552" s="391"/>
      <c r="D552" s="1"/>
      <c r="E552" s="267"/>
      <c r="F552" s="10"/>
      <c r="M552" s="267"/>
      <c r="N552" s="491"/>
      <c r="O552" s="1"/>
      <c r="P552" s="1"/>
    </row>
    <row r="553" spans="1:16" x14ac:dyDescent="0.3">
      <c r="A553" s="64"/>
      <c r="B553" s="7"/>
      <c r="C553" s="391"/>
      <c r="D553" s="1"/>
      <c r="E553" s="267"/>
      <c r="F553" s="10"/>
      <c r="M553" s="267"/>
      <c r="N553" s="491"/>
      <c r="O553" s="1"/>
      <c r="P553" s="1"/>
    </row>
    <row r="554" spans="1:16" x14ac:dyDescent="0.3">
      <c r="A554" s="64"/>
      <c r="B554" s="7"/>
      <c r="C554" s="391"/>
      <c r="D554" s="1"/>
      <c r="E554" s="267"/>
      <c r="F554" s="10"/>
      <c r="M554" s="267"/>
      <c r="N554" s="491"/>
      <c r="O554" s="1"/>
      <c r="P554" s="1"/>
    </row>
    <row r="555" spans="1:16" x14ac:dyDescent="0.3">
      <c r="A555" s="64"/>
      <c r="B555" s="7"/>
      <c r="C555" s="391"/>
      <c r="D555" s="1"/>
      <c r="E555" s="267"/>
      <c r="F555" s="10"/>
      <c r="M555" s="267"/>
      <c r="N555" s="491"/>
      <c r="O555" s="1"/>
      <c r="P555" s="1"/>
    </row>
    <row r="556" spans="1:16" x14ac:dyDescent="0.3">
      <c r="A556" s="64"/>
      <c r="B556" s="7"/>
      <c r="C556" s="391"/>
      <c r="D556" s="1"/>
      <c r="E556" s="267"/>
      <c r="F556" s="10"/>
      <c r="M556" s="267"/>
      <c r="N556" s="491"/>
      <c r="O556" s="1"/>
      <c r="P556" s="1"/>
    </row>
    <row r="557" spans="1:16" x14ac:dyDescent="0.3">
      <c r="A557" s="64"/>
      <c r="B557" s="7"/>
      <c r="C557" s="391"/>
      <c r="D557" s="1"/>
      <c r="E557" s="267"/>
      <c r="F557" s="10"/>
      <c r="M557" s="267"/>
      <c r="N557" s="491"/>
      <c r="O557" s="1"/>
      <c r="P557" s="1"/>
    </row>
    <row r="558" spans="1:16" x14ac:dyDescent="0.3">
      <c r="A558" s="64"/>
      <c r="B558" s="7"/>
      <c r="C558" s="391"/>
      <c r="D558" s="1"/>
      <c r="E558" s="267"/>
      <c r="F558" s="10"/>
      <c r="M558" s="267"/>
      <c r="N558" s="491"/>
      <c r="O558" s="1"/>
      <c r="P558" s="1"/>
    </row>
    <row r="559" spans="1:16" x14ac:dyDescent="0.3">
      <c r="A559" s="64"/>
      <c r="B559" s="7"/>
      <c r="C559" s="391"/>
      <c r="D559" s="1"/>
      <c r="E559" s="267"/>
      <c r="F559" s="10"/>
      <c r="M559" s="267"/>
      <c r="N559" s="491"/>
      <c r="O559" s="1"/>
      <c r="P559" s="1"/>
    </row>
    <row r="560" spans="1:16" x14ac:dyDescent="0.3">
      <c r="A560" s="64"/>
      <c r="B560" s="7"/>
      <c r="C560" s="391"/>
      <c r="D560" s="1"/>
      <c r="E560" s="267"/>
      <c r="F560" s="10"/>
      <c r="M560" s="267"/>
      <c r="N560" s="491"/>
      <c r="O560" s="1"/>
      <c r="P560" s="1"/>
    </row>
    <row r="561" spans="1:16" x14ac:dyDescent="0.3">
      <c r="A561" s="64"/>
      <c r="B561" s="7"/>
      <c r="C561" s="391"/>
      <c r="D561" s="1"/>
      <c r="E561" s="267"/>
      <c r="F561" s="10"/>
      <c r="M561" s="267"/>
      <c r="N561" s="491"/>
      <c r="O561" s="1"/>
      <c r="P561" s="1"/>
    </row>
    <row r="562" spans="1:16" x14ac:dyDescent="0.3">
      <c r="A562" s="64"/>
      <c r="B562" s="7"/>
      <c r="C562" s="391"/>
      <c r="D562" s="1"/>
      <c r="E562" s="267"/>
      <c r="F562" s="10"/>
      <c r="M562" s="267"/>
      <c r="N562" s="491"/>
      <c r="O562" s="1"/>
      <c r="P562" s="1"/>
    </row>
    <row r="563" spans="1:16" x14ac:dyDescent="0.3">
      <c r="A563" s="64"/>
      <c r="B563" s="7"/>
      <c r="C563" s="391"/>
      <c r="D563" s="1"/>
      <c r="E563" s="267"/>
      <c r="F563" s="10"/>
      <c r="M563" s="267"/>
      <c r="N563" s="491"/>
      <c r="O563" s="1"/>
      <c r="P563" s="1"/>
    </row>
    <row r="564" spans="1:16" x14ac:dyDescent="0.3">
      <c r="A564" s="64"/>
      <c r="B564" s="7"/>
      <c r="C564" s="391"/>
      <c r="D564" s="1"/>
      <c r="E564" s="267"/>
      <c r="F564" s="10"/>
      <c r="M564" s="267"/>
      <c r="N564" s="491"/>
      <c r="O564" s="1"/>
      <c r="P564" s="1"/>
    </row>
    <row r="565" spans="1:16" x14ac:dyDescent="0.3">
      <c r="A565" s="64"/>
      <c r="B565" s="7"/>
      <c r="C565" s="391"/>
      <c r="D565" s="1"/>
      <c r="E565" s="267"/>
      <c r="F565" s="10"/>
      <c r="M565" s="267"/>
      <c r="N565" s="491"/>
      <c r="O565" s="1"/>
      <c r="P565" s="1"/>
    </row>
    <row r="566" spans="1:16" x14ac:dyDescent="0.3">
      <c r="A566" s="64"/>
      <c r="B566" s="7"/>
      <c r="C566" s="391"/>
      <c r="D566" s="1"/>
      <c r="E566" s="267"/>
      <c r="F566" s="10"/>
      <c r="M566" s="267"/>
      <c r="N566" s="491"/>
      <c r="O566" s="1"/>
      <c r="P566" s="1"/>
    </row>
    <row r="567" spans="1:16" x14ac:dyDescent="0.3">
      <c r="A567" s="64"/>
      <c r="B567" s="7"/>
      <c r="C567" s="391"/>
      <c r="D567" s="1"/>
      <c r="E567" s="267"/>
      <c r="F567" s="10"/>
      <c r="M567" s="267"/>
      <c r="N567" s="491"/>
      <c r="O567" s="1"/>
      <c r="P567" s="1"/>
    </row>
    <row r="568" spans="1:16" x14ac:dyDescent="0.3">
      <c r="A568" s="64"/>
      <c r="B568" s="7"/>
      <c r="C568" s="391"/>
      <c r="D568" s="1"/>
      <c r="E568" s="267"/>
      <c r="F568" s="10"/>
      <c r="M568" s="267"/>
      <c r="N568" s="491"/>
      <c r="O568" s="1"/>
      <c r="P568" s="1"/>
    </row>
    <row r="569" spans="1:16" x14ac:dyDescent="0.3">
      <c r="A569" s="64"/>
      <c r="B569" s="7"/>
      <c r="C569" s="391"/>
      <c r="D569" s="1"/>
      <c r="E569" s="267"/>
      <c r="F569" s="10"/>
      <c r="M569" s="267"/>
      <c r="N569" s="491"/>
      <c r="O569" s="1"/>
      <c r="P569" s="1"/>
    </row>
    <row r="570" spans="1:16" x14ac:dyDescent="0.3">
      <c r="A570" s="64"/>
      <c r="B570" s="7"/>
      <c r="C570" s="391"/>
      <c r="D570" s="1"/>
      <c r="E570" s="267"/>
      <c r="F570" s="10"/>
      <c r="M570" s="267"/>
      <c r="N570" s="491"/>
      <c r="O570" s="1"/>
      <c r="P570" s="1"/>
    </row>
    <row r="571" spans="1:16" x14ac:dyDescent="0.3">
      <c r="A571" s="64"/>
      <c r="B571" s="7"/>
      <c r="C571" s="391"/>
      <c r="D571" s="1"/>
      <c r="E571" s="267"/>
      <c r="F571" s="10"/>
      <c r="M571" s="267"/>
      <c r="N571" s="491"/>
      <c r="O571" s="1"/>
      <c r="P571" s="1"/>
    </row>
    <row r="572" spans="1:16" x14ac:dyDescent="0.3">
      <c r="A572" s="64"/>
      <c r="B572" s="7"/>
      <c r="C572" s="391"/>
      <c r="D572" s="1"/>
      <c r="E572" s="267"/>
      <c r="F572" s="10"/>
      <c r="M572" s="267"/>
      <c r="N572" s="491"/>
      <c r="O572" s="1"/>
      <c r="P572" s="1"/>
    </row>
    <row r="573" spans="1:16" x14ac:dyDescent="0.3">
      <c r="A573" s="64"/>
      <c r="B573" s="7"/>
      <c r="C573" s="391"/>
      <c r="D573" s="1"/>
      <c r="E573" s="267"/>
      <c r="F573" s="10"/>
      <c r="M573" s="267"/>
      <c r="N573" s="491"/>
      <c r="O573" s="1"/>
      <c r="P573" s="1"/>
    </row>
    <row r="574" spans="1:16" x14ac:dyDescent="0.3">
      <c r="A574" s="64"/>
      <c r="B574" s="7"/>
      <c r="C574" s="391"/>
      <c r="D574" s="1"/>
      <c r="E574" s="267"/>
      <c r="F574" s="10"/>
      <c r="M574" s="267"/>
      <c r="N574" s="491"/>
      <c r="O574" s="1"/>
      <c r="P574" s="1"/>
    </row>
    <row r="575" spans="1:16" x14ac:dyDescent="0.3">
      <c r="A575" s="64"/>
      <c r="B575" s="7"/>
      <c r="C575" s="391"/>
      <c r="D575" s="1"/>
      <c r="E575" s="267"/>
      <c r="F575" s="10"/>
      <c r="M575" s="267"/>
      <c r="N575" s="491"/>
      <c r="O575" s="1"/>
      <c r="P575" s="1"/>
    </row>
    <row r="576" spans="1:16" x14ac:dyDescent="0.3">
      <c r="A576" s="64"/>
      <c r="B576" s="7"/>
      <c r="C576" s="391"/>
      <c r="D576" s="1"/>
      <c r="E576" s="267"/>
      <c r="F576" s="10"/>
      <c r="M576" s="267"/>
      <c r="N576" s="491"/>
      <c r="O576" s="1"/>
      <c r="P576" s="1"/>
    </row>
    <row r="577" spans="1:16" x14ac:dyDescent="0.3">
      <c r="A577" s="64"/>
      <c r="B577" s="7"/>
      <c r="C577" s="391"/>
      <c r="D577" s="1"/>
      <c r="E577" s="267"/>
      <c r="F577" s="10"/>
      <c r="M577" s="267"/>
      <c r="N577" s="491"/>
      <c r="O577" s="1"/>
      <c r="P577" s="1"/>
    </row>
    <row r="578" spans="1:16" x14ac:dyDescent="0.3">
      <c r="A578" s="64"/>
      <c r="B578" s="7"/>
      <c r="C578" s="391"/>
      <c r="D578" s="1"/>
      <c r="E578" s="267"/>
      <c r="F578" s="10"/>
      <c r="M578" s="267"/>
      <c r="N578" s="491"/>
      <c r="O578" s="1"/>
      <c r="P578" s="1"/>
    </row>
    <row r="579" spans="1:16" x14ac:dyDescent="0.3">
      <c r="A579" s="64"/>
      <c r="B579" s="7"/>
      <c r="C579" s="391"/>
      <c r="D579" s="1"/>
      <c r="E579" s="267"/>
      <c r="F579" s="10"/>
      <c r="M579" s="267"/>
      <c r="N579" s="491"/>
      <c r="O579" s="1"/>
      <c r="P579" s="1"/>
    </row>
    <row r="580" spans="1:16" x14ac:dyDescent="0.3">
      <c r="A580" s="64"/>
      <c r="B580" s="7"/>
      <c r="C580" s="391"/>
      <c r="D580" s="1"/>
      <c r="E580" s="267"/>
      <c r="F580" s="10"/>
      <c r="M580" s="267"/>
      <c r="N580" s="491"/>
      <c r="O580" s="1"/>
      <c r="P580" s="1"/>
    </row>
    <row r="581" spans="1:16" x14ac:dyDescent="0.3">
      <c r="A581" s="64"/>
      <c r="B581" s="7"/>
      <c r="C581" s="391"/>
      <c r="D581" s="1"/>
      <c r="E581" s="267"/>
      <c r="F581" s="10"/>
      <c r="M581" s="267"/>
      <c r="N581" s="491"/>
      <c r="O581" s="1"/>
      <c r="P581" s="1"/>
    </row>
    <row r="582" spans="1:16" x14ac:dyDescent="0.3">
      <c r="A582" s="64"/>
      <c r="B582" s="7"/>
      <c r="C582" s="391"/>
      <c r="D582" s="1"/>
      <c r="E582" s="267"/>
      <c r="F582" s="10"/>
      <c r="M582" s="267"/>
      <c r="N582" s="491"/>
      <c r="O582" s="1"/>
      <c r="P582" s="1"/>
    </row>
    <row r="583" spans="1:16" x14ac:dyDescent="0.3">
      <c r="A583" s="64"/>
      <c r="B583" s="7"/>
      <c r="C583" s="391"/>
      <c r="D583" s="1"/>
      <c r="E583" s="267"/>
      <c r="F583" s="10"/>
      <c r="M583" s="267"/>
      <c r="N583" s="491"/>
      <c r="O583" s="1"/>
      <c r="P583" s="1"/>
    </row>
    <row r="584" spans="1:16" x14ac:dyDescent="0.3">
      <c r="A584" s="64"/>
      <c r="B584" s="7"/>
      <c r="C584" s="391"/>
      <c r="D584" s="1"/>
      <c r="E584" s="267"/>
      <c r="F584" s="10"/>
      <c r="M584" s="267"/>
      <c r="N584" s="491"/>
      <c r="O584" s="1"/>
      <c r="P584" s="1"/>
    </row>
    <row r="585" spans="1:16" x14ac:dyDescent="0.3">
      <c r="A585" s="64"/>
      <c r="B585" s="7"/>
      <c r="C585" s="391"/>
      <c r="D585" s="1"/>
      <c r="E585" s="267"/>
      <c r="F585" s="10"/>
      <c r="M585" s="267"/>
      <c r="N585" s="491"/>
      <c r="O585" s="1"/>
      <c r="P585" s="1"/>
    </row>
    <row r="586" spans="1:16" x14ac:dyDescent="0.3">
      <c r="A586" s="64"/>
      <c r="B586" s="7"/>
      <c r="C586" s="391"/>
      <c r="D586" s="1"/>
      <c r="E586" s="267"/>
      <c r="F586" s="10"/>
      <c r="M586" s="267"/>
      <c r="N586" s="491"/>
      <c r="O586" s="1"/>
      <c r="P586" s="1"/>
    </row>
    <row r="587" spans="1:16" x14ac:dyDescent="0.3">
      <c r="A587" s="64"/>
      <c r="B587" s="7"/>
      <c r="C587" s="391"/>
      <c r="D587" s="1"/>
      <c r="E587" s="267"/>
      <c r="F587" s="10"/>
      <c r="M587" s="267"/>
      <c r="N587" s="491"/>
      <c r="O587" s="1"/>
      <c r="P587" s="1"/>
    </row>
    <row r="588" spans="1:16" x14ac:dyDescent="0.3">
      <c r="A588" s="64"/>
      <c r="B588" s="7"/>
      <c r="C588" s="391"/>
      <c r="D588" s="1"/>
      <c r="E588" s="267"/>
      <c r="F588" s="10"/>
      <c r="M588" s="267"/>
      <c r="N588" s="491"/>
      <c r="O588" s="1"/>
      <c r="P588" s="1"/>
    </row>
    <row r="589" spans="1:16" x14ac:dyDescent="0.3">
      <c r="A589" s="64"/>
      <c r="B589" s="7"/>
      <c r="C589" s="391"/>
      <c r="D589" s="1"/>
      <c r="E589" s="267"/>
      <c r="F589" s="10"/>
      <c r="M589" s="267"/>
      <c r="N589" s="491"/>
      <c r="O589" s="1"/>
      <c r="P589" s="1"/>
    </row>
    <row r="590" spans="1:16" x14ac:dyDescent="0.3">
      <c r="A590" s="64"/>
      <c r="B590" s="7"/>
      <c r="C590" s="391"/>
      <c r="D590" s="1"/>
      <c r="E590" s="267"/>
      <c r="F590" s="10"/>
      <c r="M590" s="267"/>
      <c r="N590" s="491"/>
      <c r="O590" s="1"/>
      <c r="P590" s="1"/>
    </row>
    <row r="591" spans="1:16" x14ac:dyDescent="0.3">
      <c r="A591" s="64"/>
      <c r="B591" s="7"/>
      <c r="C591" s="391"/>
      <c r="D591" s="1"/>
      <c r="E591" s="267"/>
      <c r="F591" s="10"/>
      <c r="M591" s="267"/>
      <c r="N591" s="491"/>
      <c r="O591" s="1"/>
      <c r="P591" s="1"/>
    </row>
    <row r="592" spans="1:16" x14ac:dyDescent="0.3">
      <c r="A592" s="64"/>
      <c r="B592" s="7"/>
      <c r="C592" s="391"/>
      <c r="D592" s="1"/>
      <c r="E592" s="267"/>
      <c r="F592" s="10"/>
      <c r="M592" s="267"/>
      <c r="N592" s="491"/>
      <c r="O592" s="1"/>
      <c r="P592" s="1"/>
    </row>
    <row r="593" spans="1:16" x14ac:dyDescent="0.3">
      <c r="A593" s="64"/>
      <c r="B593" s="7"/>
      <c r="C593" s="391"/>
      <c r="D593" s="1"/>
      <c r="E593" s="267"/>
      <c r="F593" s="10"/>
      <c r="M593" s="267"/>
      <c r="N593" s="491"/>
      <c r="O593" s="1"/>
      <c r="P593" s="1"/>
    </row>
    <row r="594" spans="1:16" x14ac:dyDescent="0.3">
      <c r="A594" s="64"/>
      <c r="B594" s="7"/>
      <c r="C594" s="391"/>
      <c r="D594" s="1"/>
      <c r="E594" s="267"/>
      <c r="F594" s="10"/>
      <c r="M594" s="267"/>
      <c r="N594" s="491"/>
      <c r="O594" s="1"/>
      <c r="P594" s="1"/>
    </row>
    <row r="595" spans="1:16" x14ac:dyDescent="0.3">
      <c r="A595" s="64"/>
      <c r="B595" s="7"/>
      <c r="C595" s="391"/>
      <c r="D595" s="1"/>
      <c r="E595" s="267"/>
      <c r="F595" s="10"/>
      <c r="M595" s="267"/>
      <c r="N595" s="491"/>
      <c r="O595" s="1"/>
      <c r="P595" s="1"/>
    </row>
    <row r="596" spans="1:16" x14ac:dyDescent="0.3">
      <c r="A596" s="64"/>
      <c r="B596" s="7"/>
      <c r="C596" s="391"/>
      <c r="D596" s="1"/>
      <c r="E596" s="267"/>
      <c r="F596" s="10"/>
      <c r="M596" s="267"/>
      <c r="N596" s="491"/>
      <c r="O596" s="1"/>
      <c r="P596" s="1"/>
    </row>
    <row r="597" spans="1:16" x14ac:dyDescent="0.3">
      <c r="A597" s="64"/>
      <c r="B597" s="7"/>
      <c r="C597" s="391"/>
      <c r="D597" s="1"/>
      <c r="E597" s="267"/>
      <c r="F597" s="10"/>
      <c r="M597" s="267"/>
      <c r="N597" s="491"/>
      <c r="O597" s="1"/>
      <c r="P597" s="1"/>
    </row>
    <row r="598" spans="1:16" x14ac:dyDescent="0.3">
      <c r="A598" s="64"/>
      <c r="B598" s="7"/>
      <c r="C598" s="391"/>
      <c r="D598" s="1"/>
      <c r="E598" s="267"/>
      <c r="F598" s="10"/>
      <c r="M598" s="267"/>
      <c r="N598" s="491"/>
      <c r="O598" s="1"/>
      <c r="P598" s="1"/>
    </row>
    <row r="599" spans="1:16" x14ac:dyDescent="0.3">
      <c r="A599" s="64"/>
      <c r="B599" s="7"/>
      <c r="C599" s="391"/>
      <c r="D599" s="1"/>
      <c r="E599" s="267"/>
      <c r="F599" s="10"/>
      <c r="M599" s="267"/>
      <c r="N599" s="491"/>
      <c r="O599" s="1"/>
      <c r="P599" s="1"/>
    </row>
    <row r="600" spans="1:16" x14ac:dyDescent="0.3">
      <c r="A600" s="64"/>
      <c r="B600" s="7"/>
      <c r="C600" s="391"/>
      <c r="D600" s="1"/>
      <c r="E600" s="267"/>
      <c r="F600" s="10"/>
      <c r="M600" s="267"/>
      <c r="N600" s="491"/>
      <c r="O600" s="1"/>
      <c r="P600" s="1"/>
    </row>
    <row r="601" spans="1:16" x14ac:dyDescent="0.3">
      <c r="A601" s="64"/>
      <c r="B601" s="7"/>
      <c r="C601" s="391"/>
      <c r="D601" s="1"/>
      <c r="E601" s="267"/>
      <c r="F601" s="10"/>
      <c r="M601" s="267"/>
      <c r="N601" s="491"/>
      <c r="O601" s="1"/>
      <c r="P601" s="1"/>
    </row>
    <row r="602" spans="1:16" x14ac:dyDescent="0.3">
      <c r="A602" s="64"/>
      <c r="B602" s="7"/>
      <c r="C602" s="391"/>
      <c r="D602" s="1"/>
      <c r="E602" s="267"/>
      <c r="F602" s="10"/>
      <c r="M602" s="267"/>
      <c r="N602" s="491"/>
      <c r="O602" s="1"/>
      <c r="P602" s="1"/>
    </row>
    <row r="603" spans="1:16" x14ac:dyDescent="0.3">
      <c r="A603" s="64"/>
      <c r="B603" s="7"/>
      <c r="C603" s="391"/>
      <c r="D603" s="1"/>
      <c r="E603" s="267"/>
      <c r="F603" s="10"/>
      <c r="M603" s="267"/>
      <c r="N603" s="491"/>
      <c r="O603" s="1"/>
      <c r="P603" s="1"/>
    </row>
    <row r="604" spans="1:16" x14ac:dyDescent="0.3">
      <c r="A604" s="64"/>
      <c r="B604" s="7"/>
      <c r="C604" s="391"/>
      <c r="D604" s="1"/>
      <c r="E604" s="267"/>
      <c r="F604" s="10"/>
      <c r="M604" s="267"/>
      <c r="N604" s="491"/>
      <c r="O604" s="1"/>
      <c r="P604" s="1"/>
    </row>
    <row r="605" spans="1:16" x14ac:dyDescent="0.3">
      <c r="A605" s="64"/>
      <c r="B605" s="7"/>
      <c r="C605" s="391"/>
      <c r="D605" s="1"/>
      <c r="E605" s="267"/>
      <c r="F605" s="10"/>
      <c r="M605" s="267"/>
      <c r="N605" s="491"/>
      <c r="O605" s="1"/>
      <c r="P605" s="1"/>
    </row>
    <row r="606" spans="1:16" x14ac:dyDescent="0.3">
      <c r="A606" s="64"/>
      <c r="B606" s="7"/>
      <c r="C606" s="391"/>
      <c r="D606" s="1"/>
      <c r="E606" s="267"/>
      <c r="F606" s="10"/>
      <c r="M606" s="267"/>
      <c r="N606" s="491"/>
      <c r="O606" s="1"/>
      <c r="P606" s="1"/>
    </row>
    <row r="607" spans="1:16" x14ac:dyDescent="0.3">
      <c r="A607" s="64"/>
      <c r="B607" s="7"/>
      <c r="C607" s="391"/>
      <c r="D607" s="1"/>
      <c r="E607" s="267"/>
      <c r="F607" s="10"/>
      <c r="M607" s="267"/>
      <c r="N607" s="491"/>
      <c r="O607" s="1"/>
      <c r="P607" s="1"/>
    </row>
    <row r="608" spans="1:16" x14ac:dyDescent="0.3">
      <c r="A608" s="64"/>
      <c r="B608" s="7"/>
      <c r="C608" s="391"/>
      <c r="D608" s="1"/>
      <c r="E608" s="267"/>
      <c r="F608" s="10"/>
      <c r="M608" s="267"/>
      <c r="N608" s="491"/>
      <c r="O608" s="1"/>
      <c r="P608" s="1"/>
    </row>
    <row r="609" spans="1:16" x14ac:dyDescent="0.3">
      <c r="A609" s="64"/>
      <c r="B609" s="7"/>
      <c r="C609" s="391"/>
      <c r="D609" s="1"/>
      <c r="E609" s="267"/>
      <c r="F609" s="10"/>
      <c r="M609" s="267"/>
      <c r="N609" s="491"/>
      <c r="O609" s="1"/>
      <c r="P609" s="1"/>
    </row>
    <row r="610" spans="1:16" x14ac:dyDescent="0.3">
      <c r="A610" s="64"/>
      <c r="B610" s="7"/>
      <c r="C610" s="391"/>
      <c r="D610" s="1"/>
      <c r="E610" s="267"/>
      <c r="F610" s="10"/>
      <c r="M610" s="267"/>
      <c r="N610" s="491"/>
      <c r="O610" s="1"/>
      <c r="P610" s="1"/>
    </row>
    <row r="611" spans="1:16" x14ac:dyDescent="0.3">
      <c r="A611" s="64"/>
      <c r="B611" s="7"/>
      <c r="C611" s="391"/>
      <c r="D611" s="1"/>
      <c r="E611" s="267"/>
      <c r="F611" s="10"/>
      <c r="M611" s="267"/>
      <c r="N611" s="491"/>
      <c r="O611" s="1"/>
      <c r="P611" s="1"/>
    </row>
    <row r="612" spans="1:16" x14ac:dyDescent="0.3">
      <c r="A612" s="64"/>
      <c r="B612" s="7"/>
      <c r="C612" s="391"/>
      <c r="D612" s="1"/>
      <c r="E612" s="267"/>
      <c r="F612" s="10"/>
      <c r="M612" s="267"/>
      <c r="N612" s="491"/>
      <c r="O612" s="1"/>
      <c r="P612" s="1"/>
    </row>
    <row r="613" spans="1:16" x14ac:dyDescent="0.3">
      <c r="A613" s="64"/>
      <c r="B613" s="7"/>
      <c r="C613" s="391"/>
      <c r="D613" s="1"/>
      <c r="E613" s="267"/>
      <c r="F613" s="10"/>
      <c r="M613" s="267"/>
      <c r="N613" s="491"/>
      <c r="O613" s="1"/>
      <c r="P613" s="1"/>
    </row>
    <row r="614" spans="1:16" x14ac:dyDescent="0.3">
      <c r="A614" s="64"/>
      <c r="B614" s="7"/>
      <c r="C614" s="391"/>
      <c r="D614" s="1"/>
      <c r="E614" s="267"/>
      <c r="F614" s="10"/>
      <c r="M614" s="267"/>
      <c r="N614" s="491"/>
      <c r="O614" s="1"/>
      <c r="P614" s="1"/>
    </row>
    <row r="615" spans="1:16" x14ac:dyDescent="0.3">
      <c r="A615" s="64"/>
      <c r="B615" s="7"/>
      <c r="C615" s="391"/>
      <c r="D615" s="1"/>
      <c r="E615" s="267"/>
      <c r="F615" s="10"/>
      <c r="M615" s="267"/>
      <c r="N615" s="491"/>
      <c r="O615" s="1"/>
      <c r="P615" s="1"/>
    </row>
    <row r="616" spans="1:16" x14ac:dyDescent="0.3">
      <c r="A616" s="64"/>
      <c r="B616" s="7"/>
      <c r="C616" s="391"/>
      <c r="D616" s="1"/>
      <c r="E616" s="267"/>
      <c r="F616" s="10"/>
      <c r="M616" s="267"/>
      <c r="N616" s="491"/>
      <c r="O616" s="1"/>
      <c r="P616" s="1"/>
    </row>
    <row r="617" spans="1:16" x14ac:dyDescent="0.3">
      <c r="A617" s="64"/>
      <c r="B617" s="7"/>
      <c r="C617" s="391"/>
      <c r="D617" s="1"/>
      <c r="E617" s="267"/>
      <c r="F617" s="10"/>
      <c r="M617" s="267"/>
      <c r="N617" s="491"/>
      <c r="O617" s="1"/>
      <c r="P617" s="1"/>
    </row>
    <row r="618" spans="1:16" x14ac:dyDescent="0.3">
      <c r="A618" s="64"/>
      <c r="B618" s="7"/>
      <c r="C618" s="391"/>
      <c r="D618" s="1"/>
      <c r="E618" s="267"/>
      <c r="F618" s="10"/>
      <c r="M618" s="267"/>
      <c r="N618" s="491"/>
      <c r="O618" s="1"/>
      <c r="P618" s="1"/>
    </row>
    <row r="619" spans="1:16" x14ac:dyDescent="0.3">
      <c r="A619" s="64"/>
      <c r="B619" s="7"/>
      <c r="C619" s="391"/>
      <c r="D619" s="1"/>
      <c r="E619" s="267"/>
      <c r="F619" s="10"/>
      <c r="M619" s="267"/>
      <c r="N619" s="491"/>
      <c r="O619" s="1"/>
      <c r="P619" s="1"/>
    </row>
    <row r="620" spans="1:16" x14ac:dyDescent="0.3">
      <c r="A620" s="64"/>
      <c r="B620" s="7"/>
      <c r="C620" s="391"/>
      <c r="D620" s="1"/>
      <c r="E620" s="267"/>
      <c r="F620" s="10"/>
      <c r="M620" s="267"/>
      <c r="N620" s="491"/>
      <c r="O620" s="1"/>
      <c r="P620" s="1"/>
    </row>
    <row r="621" spans="1:16" x14ac:dyDescent="0.3">
      <c r="A621" s="64"/>
      <c r="B621" s="7"/>
      <c r="C621" s="391"/>
      <c r="D621" s="1"/>
      <c r="E621" s="267"/>
      <c r="F621" s="10"/>
      <c r="M621" s="267"/>
      <c r="N621" s="491"/>
      <c r="O621" s="1"/>
      <c r="P621" s="1"/>
    </row>
    <row r="622" spans="1:16" x14ac:dyDescent="0.3">
      <c r="A622" s="64"/>
      <c r="B622" s="7"/>
      <c r="C622" s="391"/>
      <c r="D622" s="1"/>
      <c r="E622" s="267"/>
      <c r="F622" s="10"/>
      <c r="M622" s="267"/>
      <c r="N622" s="491"/>
      <c r="O622" s="1"/>
      <c r="P622" s="1"/>
    </row>
    <row r="623" spans="1:16" x14ac:dyDescent="0.3">
      <c r="A623" s="64"/>
      <c r="B623" s="7"/>
      <c r="C623" s="391"/>
      <c r="D623" s="1"/>
      <c r="E623" s="267"/>
      <c r="F623" s="10"/>
      <c r="M623" s="267"/>
      <c r="N623" s="491"/>
      <c r="O623" s="1"/>
      <c r="P623" s="1"/>
    </row>
    <row r="624" spans="1:16" x14ac:dyDescent="0.3">
      <c r="A624" s="64"/>
      <c r="B624" s="7"/>
      <c r="C624" s="391"/>
      <c r="D624" s="1"/>
      <c r="E624" s="267"/>
      <c r="F624" s="10"/>
      <c r="M624" s="267"/>
      <c r="N624" s="491"/>
      <c r="O624" s="1"/>
      <c r="P624" s="1"/>
    </row>
    <row r="625" spans="1:16" x14ac:dyDescent="0.3">
      <c r="A625" s="64"/>
      <c r="B625" s="7"/>
      <c r="C625" s="391"/>
      <c r="D625" s="1"/>
      <c r="E625" s="267"/>
      <c r="F625" s="10"/>
      <c r="M625" s="267"/>
      <c r="N625" s="491"/>
      <c r="O625" s="1"/>
      <c r="P625" s="1"/>
    </row>
    <row r="626" spans="1:16" x14ac:dyDescent="0.3">
      <c r="A626" s="64"/>
      <c r="B626" s="7"/>
      <c r="C626" s="391"/>
      <c r="D626" s="1"/>
      <c r="E626" s="267"/>
      <c r="F626" s="10"/>
      <c r="M626" s="267"/>
      <c r="N626" s="491"/>
      <c r="O626" s="1"/>
      <c r="P626" s="1"/>
    </row>
    <row r="627" spans="1:16" x14ac:dyDescent="0.3">
      <c r="A627" s="64"/>
      <c r="B627" s="7"/>
      <c r="C627" s="391"/>
      <c r="D627" s="1"/>
      <c r="E627" s="267"/>
      <c r="F627" s="10"/>
      <c r="M627" s="267"/>
      <c r="N627" s="491"/>
      <c r="O627" s="1"/>
      <c r="P627" s="1"/>
    </row>
    <row r="628" spans="1:16" x14ac:dyDescent="0.3">
      <c r="A628" s="64"/>
      <c r="B628" s="7"/>
      <c r="C628" s="391"/>
      <c r="D628" s="1"/>
      <c r="E628" s="267"/>
      <c r="F628" s="10"/>
      <c r="M628" s="267"/>
      <c r="N628" s="491"/>
      <c r="O628" s="1"/>
      <c r="P628" s="1"/>
    </row>
    <row r="629" spans="1:16" x14ac:dyDescent="0.3">
      <c r="A629" s="64"/>
      <c r="B629" s="7"/>
      <c r="C629" s="391"/>
      <c r="D629" s="1"/>
      <c r="E629" s="267"/>
      <c r="F629" s="10"/>
      <c r="M629" s="267"/>
      <c r="N629" s="491"/>
      <c r="O629" s="1"/>
      <c r="P629" s="1"/>
    </row>
    <row r="630" spans="1:16" x14ac:dyDescent="0.3">
      <c r="A630" s="64"/>
      <c r="B630" s="7"/>
      <c r="C630" s="391"/>
      <c r="D630" s="1"/>
      <c r="E630" s="267"/>
      <c r="F630" s="10"/>
      <c r="M630" s="267"/>
      <c r="N630" s="491"/>
      <c r="O630" s="1"/>
      <c r="P630" s="1"/>
    </row>
    <row r="631" spans="1:16" x14ac:dyDescent="0.3">
      <c r="A631" s="64"/>
      <c r="B631" s="7"/>
      <c r="C631" s="391"/>
      <c r="D631" s="1"/>
      <c r="E631" s="267"/>
      <c r="F631" s="10"/>
      <c r="M631" s="267"/>
      <c r="N631" s="491"/>
      <c r="O631" s="1"/>
      <c r="P631" s="1"/>
    </row>
    <row r="632" spans="1:16" x14ac:dyDescent="0.3">
      <c r="A632" s="64"/>
      <c r="B632" s="7"/>
      <c r="C632" s="391"/>
      <c r="D632" s="1"/>
      <c r="E632" s="267"/>
      <c r="F632" s="10"/>
      <c r="M632" s="267"/>
      <c r="N632" s="491"/>
      <c r="O632" s="1"/>
      <c r="P632" s="1"/>
    </row>
    <row r="633" spans="1:16" x14ac:dyDescent="0.3">
      <c r="A633" s="64"/>
      <c r="B633" s="7"/>
      <c r="C633" s="391"/>
      <c r="D633" s="1"/>
      <c r="E633" s="267"/>
      <c r="F633" s="10"/>
      <c r="M633" s="267"/>
      <c r="N633" s="491"/>
      <c r="O633" s="1"/>
      <c r="P633" s="1"/>
    </row>
    <row r="634" spans="1:16" x14ac:dyDescent="0.3">
      <c r="A634" s="64"/>
      <c r="B634" s="7"/>
      <c r="C634" s="391"/>
      <c r="D634" s="1"/>
      <c r="E634" s="267"/>
      <c r="F634" s="10"/>
      <c r="M634" s="267"/>
      <c r="N634" s="491"/>
      <c r="O634" s="1"/>
      <c r="P634" s="1"/>
    </row>
    <row r="635" spans="1:16" x14ac:dyDescent="0.3">
      <c r="A635" s="64"/>
      <c r="B635" s="7"/>
      <c r="C635" s="391"/>
      <c r="D635" s="1"/>
      <c r="E635" s="267"/>
      <c r="F635" s="10"/>
      <c r="M635" s="267"/>
      <c r="N635" s="491"/>
      <c r="O635" s="1"/>
      <c r="P635" s="1"/>
    </row>
    <row r="636" spans="1:16" x14ac:dyDescent="0.3">
      <c r="A636" s="64"/>
      <c r="B636" s="7"/>
      <c r="C636" s="391"/>
      <c r="D636" s="1"/>
      <c r="E636" s="267"/>
      <c r="F636" s="10"/>
      <c r="M636" s="267"/>
      <c r="N636" s="491"/>
      <c r="O636" s="1"/>
      <c r="P636" s="1"/>
    </row>
    <row r="637" spans="1:16" x14ac:dyDescent="0.3">
      <c r="A637" s="64"/>
      <c r="B637" s="7"/>
      <c r="C637" s="391"/>
      <c r="D637" s="1"/>
      <c r="E637" s="267"/>
      <c r="F637" s="10"/>
      <c r="M637" s="267"/>
      <c r="N637" s="491"/>
      <c r="O637" s="1"/>
      <c r="P637" s="1"/>
    </row>
    <row r="638" spans="1:16" x14ac:dyDescent="0.3">
      <c r="A638" s="64"/>
      <c r="B638" s="7"/>
      <c r="C638" s="391"/>
      <c r="D638" s="1"/>
      <c r="E638" s="267"/>
      <c r="F638" s="10"/>
      <c r="M638" s="267"/>
      <c r="N638" s="491"/>
      <c r="O638" s="1"/>
      <c r="P638" s="1"/>
    </row>
    <row r="639" spans="1:16" x14ac:dyDescent="0.3">
      <c r="A639" s="64"/>
      <c r="B639" s="7"/>
      <c r="C639" s="391"/>
      <c r="D639" s="1"/>
      <c r="E639" s="267"/>
      <c r="F639" s="10"/>
      <c r="M639" s="267"/>
      <c r="N639" s="491"/>
      <c r="O639" s="1"/>
      <c r="P639" s="1"/>
    </row>
    <row r="640" spans="1:16" x14ac:dyDescent="0.3">
      <c r="A640" s="64"/>
      <c r="B640" s="7"/>
      <c r="C640" s="391"/>
      <c r="D640" s="1"/>
      <c r="E640" s="267"/>
      <c r="F640" s="10"/>
      <c r="M640" s="267"/>
      <c r="N640" s="491"/>
      <c r="O640" s="1"/>
      <c r="P640" s="1"/>
    </row>
    <row r="641" spans="1:16" x14ac:dyDescent="0.3">
      <c r="A641" s="64"/>
      <c r="B641" s="7"/>
      <c r="C641" s="391"/>
      <c r="D641" s="1"/>
      <c r="E641" s="267"/>
      <c r="F641" s="10"/>
      <c r="M641" s="267"/>
      <c r="N641" s="491"/>
      <c r="O641" s="1"/>
      <c r="P641" s="1"/>
    </row>
    <row r="642" spans="1:16" x14ac:dyDescent="0.3">
      <c r="A642" s="64"/>
      <c r="B642" s="7"/>
      <c r="C642" s="391"/>
      <c r="D642" s="1"/>
      <c r="E642" s="267"/>
      <c r="F642" s="10"/>
      <c r="M642" s="267"/>
      <c r="N642" s="491"/>
      <c r="O642" s="1"/>
      <c r="P642" s="1"/>
    </row>
    <row r="643" spans="1:16" x14ac:dyDescent="0.3">
      <c r="A643" s="64"/>
      <c r="B643" s="7"/>
      <c r="C643" s="391"/>
      <c r="D643" s="1"/>
      <c r="E643" s="267"/>
      <c r="F643" s="10"/>
      <c r="M643" s="267"/>
      <c r="N643" s="491"/>
      <c r="O643" s="1"/>
      <c r="P643" s="1"/>
    </row>
    <row r="644" spans="1:16" x14ac:dyDescent="0.3">
      <c r="A644" s="64"/>
      <c r="B644" s="7"/>
      <c r="C644" s="391"/>
      <c r="D644" s="1"/>
      <c r="E644" s="267"/>
      <c r="F644" s="10"/>
      <c r="M644" s="267"/>
      <c r="N644" s="491"/>
      <c r="O644" s="1"/>
      <c r="P644" s="1"/>
    </row>
    <row r="645" spans="1:16" x14ac:dyDescent="0.3">
      <c r="A645" s="64"/>
      <c r="B645" s="7"/>
      <c r="C645" s="391"/>
      <c r="D645" s="1"/>
      <c r="E645" s="267"/>
      <c r="F645" s="10"/>
      <c r="M645" s="267"/>
      <c r="N645" s="491"/>
      <c r="O645" s="1"/>
      <c r="P645" s="1"/>
    </row>
    <row r="646" spans="1:16" x14ac:dyDescent="0.3">
      <c r="A646" s="64"/>
      <c r="B646" s="7"/>
      <c r="C646" s="391"/>
      <c r="D646" s="1"/>
      <c r="E646" s="267"/>
      <c r="F646" s="10"/>
      <c r="M646" s="267"/>
      <c r="N646" s="491"/>
      <c r="O646" s="1"/>
      <c r="P646" s="1"/>
    </row>
    <row r="647" spans="1:16" x14ac:dyDescent="0.3">
      <c r="A647" s="64"/>
      <c r="B647" s="7"/>
      <c r="C647" s="391"/>
      <c r="D647" s="1"/>
      <c r="E647" s="267"/>
      <c r="F647" s="10"/>
      <c r="M647" s="267"/>
      <c r="N647" s="491"/>
      <c r="O647" s="1"/>
      <c r="P647" s="1"/>
    </row>
    <row r="648" spans="1:16" x14ac:dyDescent="0.3">
      <c r="A648" s="64"/>
      <c r="B648" s="7"/>
      <c r="C648" s="391"/>
      <c r="D648" s="1"/>
      <c r="E648" s="267"/>
      <c r="F648" s="10"/>
      <c r="M648" s="267"/>
      <c r="N648" s="491"/>
      <c r="O648" s="1"/>
      <c r="P648" s="1"/>
    </row>
    <row r="649" spans="1:16" x14ac:dyDescent="0.3">
      <c r="A649" s="64"/>
      <c r="B649" s="7"/>
      <c r="C649" s="391"/>
      <c r="D649" s="1"/>
      <c r="E649" s="267"/>
      <c r="F649" s="10"/>
      <c r="M649" s="267"/>
      <c r="N649" s="491"/>
      <c r="O649" s="1"/>
      <c r="P649" s="1"/>
    </row>
    <row r="650" spans="1:16" x14ac:dyDescent="0.3">
      <c r="A650" s="64"/>
      <c r="B650" s="7"/>
      <c r="C650" s="391"/>
      <c r="D650" s="1"/>
      <c r="E650" s="267"/>
      <c r="F650" s="10"/>
      <c r="M650" s="267"/>
      <c r="N650" s="491"/>
      <c r="O650" s="1"/>
      <c r="P650" s="1"/>
    </row>
    <row r="651" spans="1:16" x14ac:dyDescent="0.3">
      <c r="A651" s="64"/>
      <c r="B651" s="7"/>
      <c r="C651" s="391"/>
      <c r="D651" s="1"/>
      <c r="E651" s="267"/>
      <c r="F651" s="10"/>
      <c r="M651" s="267"/>
      <c r="N651" s="491"/>
      <c r="O651" s="1"/>
      <c r="P651" s="1"/>
    </row>
    <row r="652" spans="1:16" x14ac:dyDescent="0.3">
      <c r="A652" s="64"/>
      <c r="B652" s="7"/>
      <c r="C652" s="391"/>
      <c r="D652" s="1"/>
      <c r="E652" s="267"/>
      <c r="F652" s="10"/>
      <c r="M652" s="267"/>
      <c r="N652" s="491"/>
      <c r="O652" s="1"/>
      <c r="P652" s="1"/>
    </row>
    <row r="653" spans="1:16" x14ac:dyDescent="0.3">
      <c r="A653" s="64"/>
      <c r="B653" s="7"/>
      <c r="C653" s="391"/>
      <c r="D653" s="1"/>
      <c r="E653" s="267"/>
      <c r="F653" s="10"/>
      <c r="M653" s="267"/>
      <c r="N653" s="491"/>
      <c r="O653" s="1"/>
      <c r="P653" s="1"/>
    </row>
    <row r="654" spans="1:16" x14ac:dyDescent="0.3">
      <c r="A654" s="64"/>
      <c r="B654" s="7"/>
      <c r="C654" s="391"/>
      <c r="D654" s="1"/>
      <c r="E654" s="267"/>
      <c r="F654" s="10"/>
      <c r="M654" s="267"/>
      <c r="N654" s="491"/>
      <c r="O654" s="1"/>
      <c r="P654" s="1"/>
    </row>
    <row r="655" spans="1:16" x14ac:dyDescent="0.3">
      <c r="A655" s="64"/>
      <c r="B655" s="7"/>
      <c r="C655" s="391"/>
      <c r="D655" s="1"/>
      <c r="E655" s="267"/>
      <c r="F655" s="10"/>
      <c r="M655" s="267"/>
      <c r="N655" s="491"/>
      <c r="O655" s="1"/>
      <c r="P655" s="1"/>
    </row>
    <row r="656" spans="1:16" x14ac:dyDescent="0.3">
      <c r="A656" s="64"/>
      <c r="B656" s="7"/>
      <c r="C656" s="391"/>
      <c r="D656" s="1"/>
      <c r="E656" s="267"/>
      <c r="F656" s="10"/>
      <c r="M656" s="267"/>
      <c r="N656" s="491"/>
      <c r="O656" s="1"/>
      <c r="P656" s="1"/>
    </row>
    <row r="657" spans="1:16" x14ac:dyDescent="0.3">
      <c r="A657" s="64"/>
      <c r="B657" s="7"/>
      <c r="C657" s="391"/>
      <c r="D657" s="1"/>
      <c r="E657" s="267"/>
      <c r="F657" s="10"/>
      <c r="M657" s="267"/>
      <c r="N657" s="491"/>
      <c r="O657" s="1"/>
      <c r="P657" s="1"/>
    </row>
    <row r="658" spans="1:16" x14ac:dyDescent="0.3">
      <c r="A658" s="64"/>
      <c r="B658" s="7"/>
      <c r="C658" s="391"/>
      <c r="D658" s="1"/>
      <c r="E658" s="267"/>
      <c r="F658" s="10"/>
      <c r="M658" s="267"/>
      <c r="N658" s="491"/>
      <c r="O658" s="1"/>
      <c r="P658" s="1"/>
    </row>
    <row r="659" spans="1:16" x14ac:dyDescent="0.3">
      <c r="A659" s="64"/>
      <c r="B659" s="7"/>
      <c r="C659" s="391"/>
      <c r="D659" s="1"/>
      <c r="E659" s="267"/>
      <c r="F659" s="10"/>
      <c r="M659" s="267"/>
      <c r="N659" s="491"/>
      <c r="O659" s="1"/>
      <c r="P659" s="1"/>
    </row>
    <row r="660" spans="1:16" x14ac:dyDescent="0.3">
      <c r="A660" s="64"/>
      <c r="B660" s="7"/>
      <c r="C660" s="391"/>
      <c r="D660" s="1"/>
      <c r="E660" s="267"/>
      <c r="F660" s="10"/>
      <c r="M660" s="267"/>
      <c r="N660" s="491"/>
      <c r="O660" s="1"/>
      <c r="P660" s="1"/>
    </row>
    <row r="661" spans="1:16" x14ac:dyDescent="0.3">
      <c r="A661" s="64"/>
      <c r="B661" s="7"/>
      <c r="C661" s="391"/>
      <c r="D661" s="1"/>
      <c r="E661" s="267"/>
      <c r="F661" s="10"/>
      <c r="M661" s="267"/>
      <c r="N661" s="491"/>
      <c r="O661" s="1"/>
      <c r="P661" s="1"/>
    </row>
    <row r="662" spans="1:16" x14ac:dyDescent="0.3">
      <c r="A662" s="64"/>
      <c r="B662" s="7"/>
      <c r="C662" s="391"/>
      <c r="D662" s="1"/>
      <c r="E662" s="267"/>
      <c r="F662" s="10"/>
      <c r="M662" s="267"/>
      <c r="N662" s="491"/>
      <c r="O662" s="1"/>
      <c r="P662" s="1"/>
    </row>
    <row r="663" spans="1:16" x14ac:dyDescent="0.3">
      <c r="A663" s="64"/>
      <c r="B663" s="7"/>
      <c r="C663" s="391"/>
      <c r="D663" s="1"/>
      <c r="E663" s="267"/>
      <c r="F663" s="10"/>
      <c r="M663" s="267"/>
      <c r="N663" s="491"/>
      <c r="O663" s="1"/>
      <c r="P663" s="1"/>
    </row>
    <row r="664" spans="1:16" x14ac:dyDescent="0.3">
      <c r="A664" s="64"/>
      <c r="B664" s="7"/>
      <c r="C664" s="391"/>
      <c r="D664" s="1"/>
      <c r="E664" s="267"/>
      <c r="F664" s="10"/>
      <c r="M664" s="267"/>
      <c r="N664" s="491"/>
      <c r="O664" s="1"/>
      <c r="P664" s="1"/>
    </row>
    <row r="665" spans="1:16" x14ac:dyDescent="0.3">
      <c r="A665" s="64"/>
      <c r="B665" s="7"/>
      <c r="C665" s="391"/>
      <c r="D665" s="1"/>
      <c r="E665" s="267"/>
      <c r="F665" s="10"/>
      <c r="M665" s="267"/>
      <c r="N665" s="491"/>
      <c r="O665" s="1"/>
      <c r="P665" s="1"/>
    </row>
    <row r="666" spans="1:16" x14ac:dyDescent="0.3">
      <c r="A666" s="64"/>
      <c r="B666" s="7"/>
      <c r="C666" s="391"/>
      <c r="D666" s="1"/>
      <c r="E666" s="267"/>
      <c r="F666" s="10"/>
      <c r="M666" s="267"/>
      <c r="N666" s="491"/>
      <c r="O666" s="1"/>
      <c r="P666" s="1"/>
    </row>
    <row r="667" spans="1:16" x14ac:dyDescent="0.3">
      <c r="A667" s="64"/>
      <c r="B667" s="7"/>
      <c r="C667" s="391"/>
      <c r="D667" s="1"/>
      <c r="E667" s="267"/>
      <c r="F667" s="10"/>
      <c r="M667" s="267"/>
      <c r="N667" s="491"/>
      <c r="O667" s="1"/>
      <c r="P667" s="1"/>
    </row>
    <row r="668" spans="1:16" x14ac:dyDescent="0.3">
      <c r="A668" s="64"/>
      <c r="B668" s="7"/>
      <c r="C668" s="391"/>
      <c r="D668" s="1"/>
      <c r="E668" s="267"/>
      <c r="F668" s="10"/>
      <c r="M668" s="267"/>
      <c r="N668" s="491"/>
      <c r="O668" s="1"/>
      <c r="P668" s="1"/>
    </row>
    <row r="669" spans="1:16" x14ac:dyDescent="0.3">
      <c r="A669" s="64"/>
      <c r="B669" s="7"/>
      <c r="C669" s="391"/>
      <c r="D669" s="1"/>
      <c r="E669" s="267"/>
      <c r="F669" s="10"/>
      <c r="M669" s="267"/>
      <c r="N669" s="491"/>
      <c r="O669" s="1"/>
      <c r="P669" s="1"/>
    </row>
    <row r="670" spans="1:16" x14ac:dyDescent="0.3">
      <c r="A670" s="64"/>
      <c r="B670" s="7"/>
      <c r="C670" s="391"/>
      <c r="D670" s="1"/>
      <c r="E670" s="267"/>
      <c r="F670" s="10"/>
      <c r="M670" s="267"/>
      <c r="N670" s="491"/>
      <c r="O670" s="1"/>
      <c r="P670" s="1"/>
    </row>
    <row r="671" spans="1:16" x14ac:dyDescent="0.3">
      <c r="A671" s="64"/>
      <c r="B671" s="7"/>
      <c r="C671" s="391"/>
      <c r="D671" s="1"/>
      <c r="E671" s="267"/>
      <c r="F671" s="10"/>
      <c r="M671" s="267"/>
      <c r="N671" s="491"/>
      <c r="O671" s="1"/>
      <c r="P671" s="1"/>
    </row>
    <row r="672" spans="1:16" x14ac:dyDescent="0.3">
      <c r="A672" s="64"/>
      <c r="B672" s="7"/>
      <c r="C672" s="391"/>
      <c r="D672" s="1"/>
      <c r="E672" s="267"/>
      <c r="F672" s="10"/>
      <c r="M672" s="267"/>
      <c r="N672" s="491"/>
      <c r="O672" s="1"/>
      <c r="P672" s="1"/>
    </row>
    <row r="673" spans="1:16" x14ac:dyDescent="0.3">
      <c r="A673" s="64"/>
      <c r="B673" s="7"/>
      <c r="C673" s="391"/>
      <c r="D673" s="1"/>
      <c r="E673" s="267"/>
      <c r="F673" s="10"/>
      <c r="M673" s="267"/>
      <c r="N673" s="491"/>
      <c r="O673" s="1"/>
      <c r="P673" s="1"/>
    </row>
    <row r="674" spans="1:16" x14ac:dyDescent="0.3">
      <c r="A674" s="64"/>
      <c r="B674" s="7"/>
      <c r="C674" s="391"/>
      <c r="D674" s="1"/>
      <c r="E674" s="267"/>
      <c r="F674" s="10"/>
      <c r="M674" s="267"/>
      <c r="N674" s="491"/>
      <c r="O674" s="1"/>
      <c r="P674" s="1"/>
    </row>
    <row r="675" spans="1:16" x14ac:dyDescent="0.3">
      <c r="A675" s="64"/>
      <c r="B675" s="7"/>
      <c r="C675" s="391"/>
      <c r="D675" s="1"/>
      <c r="E675" s="267"/>
      <c r="F675" s="10"/>
      <c r="M675" s="267"/>
      <c r="N675" s="491"/>
      <c r="O675" s="1"/>
      <c r="P675" s="1"/>
    </row>
    <row r="676" spans="1:16" x14ac:dyDescent="0.3">
      <c r="A676" s="64"/>
      <c r="B676" s="7"/>
      <c r="C676" s="391"/>
      <c r="D676" s="1"/>
      <c r="E676" s="267"/>
      <c r="F676" s="10"/>
      <c r="M676" s="267"/>
      <c r="N676" s="491"/>
      <c r="O676" s="1"/>
      <c r="P676" s="1"/>
    </row>
    <row r="677" spans="1:16" x14ac:dyDescent="0.3">
      <c r="A677" s="64"/>
      <c r="B677" s="7"/>
      <c r="C677" s="391"/>
      <c r="D677" s="1"/>
      <c r="E677" s="267"/>
      <c r="F677" s="10"/>
      <c r="M677" s="267"/>
      <c r="N677" s="491"/>
      <c r="O677" s="1"/>
      <c r="P677" s="1"/>
    </row>
    <row r="678" spans="1:16" x14ac:dyDescent="0.3">
      <c r="A678" s="64"/>
      <c r="B678" s="7"/>
      <c r="C678" s="391"/>
      <c r="D678" s="1"/>
      <c r="E678" s="267"/>
      <c r="F678" s="10"/>
      <c r="M678" s="267"/>
      <c r="N678" s="491"/>
      <c r="O678" s="1"/>
      <c r="P678" s="1"/>
    </row>
    <row r="679" spans="1:16" x14ac:dyDescent="0.3">
      <c r="A679" s="64"/>
      <c r="B679" s="7"/>
      <c r="C679" s="391"/>
      <c r="D679" s="1"/>
      <c r="E679" s="267"/>
      <c r="F679" s="10"/>
      <c r="M679" s="267"/>
      <c r="N679" s="491"/>
      <c r="O679" s="1"/>
      <c r="P679" s="1"/>
    </row>
    <row r="680" spans="1:16" x14ac:dyDescent="0.3">
      <c r="A680" s="64"/>
      <c r="B680" s="7"/>
      <c r="C680" s="391"/>
      <c r="D680" s="1"/>
      <c r="E680" s="267"/>
      <c r="F680" s="10"/>
      <c r="M680" s="267"/>
      <c r="N680" s="491"/>
      <c r="O680" s="1"/>
      <c r="P680" s="1"/>
    </row>
    <row r="681" spans="1:16" x14ac:dyDescent="0.3">
      <c r="A681" s="64"/>
      <c r="B681" s="7"/>
      <c r="C681" s="391"/>
      <c r="D681" s="1"/>
      <c r="E681" s="267"/>
      <c r="F681" s="10"/>
      <c r="M681" s="267"/>
      <c r="N681" s="491"/>
      <c r="O681" s="1"/>
      <c r="P681" s="1"/>
    </row>
    <row r="682" spans="1:16" x14ac:dyDescent="0.3">
      <c r="A682" s="64"/>
      <c r="B682" s="7"/>
      <c r="C682" s="391"/>
      <c r="D682" s="1"/>
      <c r="E682" s="267"/>
      <c r="F682" s="10"/>
      <c r="M682" s="267"/>
      <c r="N682" s="491"/>
      <c r="O682" s="1"/>
      <c r="P682" s="1"/>
    </row>
    <row r="683" spans="1:16" x14ac:dyDescent="0.3">
      <c r="A683" s="64"/>
      <c r="B683" s="7"/>
      <c r="C683" s="391"/>
      <c r="D683" s="1"/>
      <c r="E683" s="267"/>
      <c r="F683" s="10"/>
      <c r="M683" s="267"/>
      <c r="N683" s="491"/>
      <c r="O683" s="1"/>
      <c r="P683" s="1"/>
    </row>
    <row r="684" spans="1:16" x14ac:dyDescent="0.3">
      <c r="A684" s="64"/>
      <c r="B684" s="7"/>
      <c r="C684" s="391"/>
      <c r="D684" s="1"/>
      <c r="E684" s="267"/>
      <c r="F684" s="10"/>
      <c r="M684" s="267"/>
      <c r="N684" s="491"/>
      <c r="O684" s="1"/>
      <c r="P684" s="1"/>
    </row>
    <row r="685" spans="1:16" x14ac:dyDescent="0.3">
      <c r="A685" s="64"/>
      <c r="B685" s="7"/>
      <c r="C685" s="391"/>
      <c r="D685" s="1"/>
      <c r="E685" s="267"/>
      <c r="F685" s="10"/>
      <c r="M685" s="267"/>
      <c r="N685" s="491"/>
      <c r="O685" s="1"/>
      <c r="P685" s="1"/>
    </row>
    <row r="686" spans="1:16" x14ac:dyDescent="0.3">
      <c r="A686" s="64"/>
      <c r="B686" s="7"/>
      <c r="C686" s="391"/>
      <c r="D686" s="1"/>
      <c r="E686" s="267"/>
      <c r="F686" s="10"/>
      <c r="M686" s="267"/>
      <c r="N686" s="491"/>
      <c r="O686" s="1"/>
      <c r="P686" s="1"/>
    </row>
    <row r="687" spans="1:16" x14ac:dyDescent="0.3">
      <c r="A687" s="64"/>
      <c r="B687" s="7"/>
      <c r="C687" s="391"/>
      <c r="D687" s="1"/>
      <c r="E687" s="267"/>
      <c r="F687" s="10"/>
      <c r="M687" s="267"/>
      <c r="N687" s="491"/>
      <c r="O687" s="1"/>
      <c r="P687" s="1"/>
    </row>
    <row r="688" spans="1:16" x14ac:dyDescent="0.3">
      <c r="A688" s="64"/>
      <c r="B688" s="7"/>
      <c r="C688" s="391"/>
      <c r="D688" s="1"/>
      <c r="E688" s="267"/>
      <c r="F688" s="10"/>
      <c r="M688" s="267"/>
      <c r="N688" s="491"/>
      <c r="O688" s="1"/>
      <c r="P688" s="1"/>
    </row>
    <row r="689" spans="1:16" x14ac:dyDescent="0.3">
      <c r="A689" s="64"/>
      <c r="B689" s="7"/>
      <c r="C689" s="391"/>
      <c r="D689" s="1"/>
      <c r="E689" s="267"/>
      <c r="F689" s="10"/>
      <c r="M689" s="267"/>
      <c r="N689" s="491"/>
      <c r="O689" s="1"/>
      <c r="P689" s="1"/>
    </row>
    <row r="690" spans="1:16" x14ac:dyDescent="0.3">
      <c r="A690" s="64"/>
      <c r="B690" s="7"/>
      <c r="C690" s="391"/>
      <c r="D690" s="1"/>
      <c r="E690" s="267"/>
      <c r="F690" s="10"/>
      <c r="M690" s="267"/>
      <c r="N690" s="491"/>
      <c r="O690" s="1"/>
      <c r="P690" s="1"/>
    </row>
    <row r="691" spans="1:16" x14ac:dyDescent="0.3">
      <c r="A691" s="64"/>
      <c r="B691" s="7"/>
      <c r="C691" s="391"/>
      <c r="D691" s="1"/>
      <c r="E691" s="267"/>
      <c r="F691" s="10"/>
      <c r="M691" s="267"/>
      <c r="N691" s="491"/>
      <c r="O691" s="1"/>
      <c r="P691" s="1"/>
    </row>
    <row r="692" spans="1:16" x14ac:dyDescent="0.3">
      <c r="A692" s="64"/>
      <c r="B692" s="7"/>
      <c r="C692" s="391"/>
      <c r="D692" s="1"/>
      <c r="E692" s="267"/>
      <c r="F692" s="10"/>
      <c r="M692" s="267"/>
      <c r="N692" s="491"/>
      <c r="O692" s="1"/>
      <c r="P692" s="1"/>
    </row>
    <row r="693" spans="1:16" x14ac:dyDescent="0.3">
      <c r="A693" s="64"/>
      <c r="B693" s="7"/>
      <c r="C693" s="391"/>
      <c r="D693" s="1"/>
      <c r="E693" s="267"/>
      <c r="F693" s="10"/>
      <c r="M693" s="267"/>
      <c r="N693" s="491"/>
      <c r="O693" s="1"/>
      <c r="P693" s="1"/>
    </row>
    <row r="694" spans="1:16" x14ac:dyDescent="0.3">
      <c r="A694" s="64"/>
      <c r="B694" s="7"/>
      <c r="C694" s="391"/>
      <c r="D694" s="1"/>
      <c r="E694" s="267"/>
      <c r="F694" s="10"/>
      <c r="M694" s="267"/>
      <c r="N694" s="491"/>
      <c r="O694" s="1"/>
      <c r="P694" s="1"/>
    </row>
    <row r="695" spans="1:16" x14ac:dyDescent="0.3">
      <c r="A695" s="64"/>
      <c r="B695" s="7"/>
      <c r="C695" s="391"/>
      <c r="D695" s="1"/>
      <c r="E695" s="267"/>
      <c r="F695" s="10"/>
      <c r="M695" s="267"/>
      <c r="N695" s="491"/>
      <c r="O695" s="1"/>
      <c r="P695" s="1"/>
    </row>
    <row r="696" spans="1:16" x14ac:dyDescent="0.3">
      <c r="A696" s="64"/>
      <c r="B696" s="7"/>
      <c r="C696" s="391"/>
      <c r="D696" s="1"/>
      <c r="E696" s="267"/>
      <c r="F696" s="10"/>
      <c r="M696" s="267"/>
      <c r="N696" s="491"/>
      <c r="O696" s="1"/>
      <c r="P696" s="1"/>
    </row>
    <row r="697" spans="1:16" x14ac:dyDescent="0.3">
      <c r="A697" s="64"/>
      <c r="B697" s="7"/>
      <c r="C697" s="391"/>
      <c r="D697" s="1"/>
      <c r="E697" s="267"/>
      <c r="F697" s="10"/>
      <c r="M697" s="267"/>
      <c r="N697" s="491"/>
      <c r="O697" s="1"/>
      <c r="P697" s="1"/>
    </row>
    <row r="698" spans="1:16" x14ac:dyDescent="0.3">
      <c r="A698" s="64"/>
      <c r="B698" s="7"/>
      <c r="C698" s="391"/>
      <c r="D698" s="1"/>
      <c r="E698" s="267"/>
      <c r="F698" s="10"/>
      <c r="M698" s="267"/>
      <c r="N698" s="491"/>
      <c r="O698" s="1"/>
      <c r="P698" s="1"/>
    </row>
    <row r="699" spans="1:16" x14ac:dyDescent="0.3">
      <c r="A699" s="64"/>
      <c r="B699" s="7"/>
      <c r="C699" s="391"/>
      <c r="D699" s="1"/>
      <c r="E699" s="267"/>
      <c r="F699" s="10"/>
      <c r="M699" s="267"/>
      <c r="N699" s="491"/>
      <c r="O699" s="1"/>
      <c r="P699" s="1"/>
    </row>
    <row r="700" spans="1:16" x14ac:dyDescent="0.3">
      <c r="A700" s="64"/>
      <c r="B700" s="7"/>
      <c r="C700" s="391"/>
      <c r="D700" s="1"/>
      <c r="E700" s="267"/>
      <c r="F700" s="10"/>
      <c r="M700" s="267"/>
      <c r="N700" s="491"/>
      <c r="O700" s="1"/>
      <c r="P700" s="1"/>
    </row>
    <row r="701" spans="1:16" x14ac:dyDescent="0.3">
      <c r="A701" s="64"/>
      <c r="B701" s="7"/>
      <c r="C701" s="391"/>
      <c r="D701" s="1"/>
      <c r="E701" s="267"/>
      <c r="F701" s="10"/>
      <c r="M701" s="267"/>
      <c r="N701" s="491"/>
      <c r="O701" s="1"/>
      <c r="P701" s="1"/>
    </row>
    <row r="702" spans="1:16" x14ac:dyDescent="0.3">
      <c r="A702" s="64"/>
      <c r="B702" s="7"/>
      <c r="C702" s="391"/>
      <c r="D702" s="1"/>
      <c r="E702" s="267"/>
      <c r="F702" s="10"/>
      <c r="M702" s="267"/>
      <c r="N702" s="491"/>
      <c r="O702" s="1"/>
      <c r="P702" s="1"/>
    </row>
    <row r="703" spans="1:16" x14ac:dyDescent="0.3">
      <c r="A703" s="64"/>
      <c r="B703" s="7"/>
      <c r="C703" s="391"/>
      <c r="D703" s="1"/>
      <c r="E703" s="267"/>
      <c r="F703" s="10"/>
      <c r="M703" s="267"/>
      <c r="N703" s="491"/>
      <c r="O703" s="1"/>
      <c r="P703" s="1"/>
    </row>
    <row r="704" spans="1:16" x14ac:dyDescent="0.3">
      <c r="A704" s="64"/>
      <c r="B704" s="7"/>
      <c r="C704" s="391"/>
      <c r="D704" s="1"/>
      <c r="E704" s="267"/>
      <c r="F704" s="10"/>
      <c r="M704" s="267"/>
      <c r="N704" s="491"/>
      <c r="O704" s="1"/>
      <c r="P704" s="1"/>
    </row>
    <row r="705" spans="1:16" x14ac:dyDescent="0.3">
      <c r="A705" s="64"/>
      <c r="B705" s="7"/>
      <c r="C705" s="391"/>
      <c r="D705" s="1"/>
      <c r="E705" s="267"/>
      <c r="F705" s="10"/>
      <c r="M705" s="267"/>
      <c r="N705" s="491"/>
      <c r="O705" s="1"/>
      <c r="P705" s="1"/>
    </row>
    <row r="706" spans="1:16" x14ac:dyDescent="0.3">
      <c r="A706" s="64"/>
      <c r="B706" s="7"/>
      <c r="C706" s="391"/>
      <c r="D706" s="1"/>
      <c r="E706" s="267"/>
      <c r="F706" s="10"/>
      <c r="M706" s="267"/>
      <c r="N706" s="491"/>
      <c r="O706" s="1"/>
      <c r="P706" s="1"/>
    </row>
    <row r="707" spans="1:16" x14ac:dyDescent="0.3">
      <c r="A707" s="64"/>
      <c r="B707" s="7"/>
      <c r="C707" s="391"/>
      <c r="D707" s="1"/>
      <c r="E707" s="267"/>
      <c r="F707" s="10"/>
      <c r="M707" s="267"/>
      <c r="N707" s="491"/>
      <c r="O707" s="1"/>
      <c r="P707" s="1"/>
    </row>
    <row r="708" spans="1:16" x14ac:dyDescent="0.3">
      <c r="A708" s="64"/>
      <c r="B708" s="7"/>
      <c r="C708" s="391"/>
      <c r="D708" s="1"/>
      <c r="E708" s="267"/>
      <c r="F708" s="10"/>
      <c r="M708" s="267"/>
      <c r="N708" s="491"/>
      <c r="O708" s="1"/>
      <c r="P708" s="1"/>
    </row>
    <row r="709" spans="1:16" x14ac:dyDescent="0.3">
      <c r="A709" s="64"/>
      <c r="B709" s="7"/>
      <c r="C709" s="391"/>
      <c r="D709" s="1"/>
      <c r="E709" s="267"/>
      <c r="F709" s="10"/>
      <c r="M709" s="267"/>
      <c r="N709" s="491"/>
      <c r="O709" s="1"/>
      <c r="P709" s="1"/>
    </row>
    <row r="710" spans="1:16" x14ac:dyDescent="0.3">
      <c r="A710" s="64"/>
      <c r="B710" s="7"/>
      <c r="C710" s="391"/>
      <c r="D710" s="1"/>
      <c r="E710" s="267"/>
      <c r="F710" s="10"/>
      <c r="M710" s="267"/>
      <c r="N710" s="491"/>
      <c r="O710" s="1"/>
      <c r="P710" s="1"/>
    </row>
    <row r="711" spans="1:16" x14ac:dyDescent="0.3">
      <c r="A711" s="64"/>
      <c r="B711" s="7"/>
      <c r="C711" s="391"/>
      <c r="D711" s="1"/>
      <c r="E711" s="267"/>
      <c r="F711" s="10"/>
      <c r="M711" s="267"/>
      <c r="N711" s="491"/>
      <c r="O711" s="1"/>
      <c r="P711" s="1"/>
    </row>
    <row r="712" spans="1:16" x14ac:dyDescent="0.3">
      <c r="A712" s="64"/>
      <c r="B712" s="7"/>
      <c r="C712" s="391"/>
      <c r="D712" s="1"/>
      <c r="E712" s="267"/>
      <c r="F712" s="10"/>
      <c r="M712" s="267"/>
      <c r="N712" s="491"/>
      <c r="O712" s="1"/>
      <c r="P712" s="1"/>
    </row>
    <row r="713" spans="1:16" x14ac:dyDescent="0.3">
      <c r="A713" s="64"/>
      <c r="B713" s="7"/>
      <c r="C713" s="391"/>
      <c r="D713" s="1"/>
      <c r="E713" s="267"/>
      <c r="F713" s="10"/>
      <c r="M713" s="267"/>
      <c r="N713" s="491"/>
      <c r="O713" s="1"/>
      <c r="P713" s="1"/>
    </row>
    <row r="714" spans="1:16" x14ac:dyDescent="0.3">
      <c r="A714" s="64"/>
      <c r="B714" s="7"/>
      <c r="C714" s="391"/>
      <c r="D714" s="1"/>
      <c r="E714" s="267"/>
      <c r="F714" s="10"/>
      <c r="M714" s="267"/>
      <c r="N714" s="491"/>
      <c r="O714" s="1"/>
      <c r="P714" s="1"/>
    </row>
    <row r="715" spans="1:16" x14ac:dyDescent="0.3">
      <c r="A715" s="64"/>
      <c r="B715" s="7"/>
      <c r="C715" s="391"/>
      <c r="D715" s="1"/>
      <c r="E715" s="267"/>
      <c r="F715" s="10"/>
      <c r="M715" s="267"/>
      <c r="N715" s="491"/>
      <c r="O715" s="1"/>
      <c r="P715" s="1"/>
    </row>
    <row r="716" spans="1:16" x14ac:dyDescent="0.3">
      <c r="A716" s="64"/>
      <c r="B716" s="7"/>
      <c r="C716" s="391"/>
      <c r="D716" s="1"/>
      <c r="E716" s="267"/>
      <c r="F716" s="10"/>
      <c r="M716" s="267"/>
      <c r="N716" s="491"/>
      <c r="O716" s="1"/>
      <c r="P716" s="1"/>
    </row>
    <row r="717" spans="1:16" x14ac:dyDescent="0.3">
      <c r="A717" s="64"/>
      <c r="B717" s="7"/>
      <c r="C717" s="391"/>
      <c r="D717" s="1"/>
      <c r="E717" s="267"/>
      <c r="F717" s="10"/>
      <c r="M717" s="267"/>
      <c r="N717" s="491"/>
      <c r="O717" s="1"/>
      <c r="P717" s="1"/>
    </row>
    <row r="718" spans="1:16" x14ac:dyDescent="0.3">
      <c r="A718" s="64"/>
      <c r="B718" s="7"/>
      <c r="C718" s="391"/>
      <c r="D718" s="1"/>
      <c r="E718" s="267"/>
      <c r="F718" s="10"/>
      <c r="M718" s="267"/>
      <c r="N718" s="491"/>
      <c r="O718" s="1"/>
      <c r="P718" s="1"/>
    </row>
    <row r="719" spans="1:16" x14ac:dyDescent="0.3">
      <c r="A719" s="64"/>
      <c r="B719" s="7"/>
      <c r="C719" s="391"/>
      <c r="D719" s="1"/>
      <c r="E719" s="267"/>
      <c r="F719" s="10"/>
      <c r="M719" s="267"/>
      <c r="N719" s="491"/>
      <c r="O719" s="1"/>
      <c r="P719" s="1"/>
    </row>
    <row r="720" spans="1:16" x14ac:dyDescent="0.3">
      <c r="A720" s="64"/>
      <c r="B720" s="7"/>
      <c r="C720" s="391"/>
      <c r="D720" s="1"/>
      <c r="E720" s="267"/>
      <c r="F720" s="10"/>
      <c r="M720" s="267"/>
      <c r="N720" s="491"/>
      <c r="O720" s="1"/>
      <c r="P720" s="1"/>
    </row>
    <row r="721" spans="1:16" x14ac:dyDescent="0.3">
      <c r="A721" s="64"/>
      <c r="B721" s="7"/>
      <c r="C721" s="391"/>
      <c r="D721" s="1"/>
      <c r="E721" s="267"/>
      <c r="F721" s="10"/>
      <c r="M721" s="267"/>
      <c r="N721" s="491"/>
      <c r="O721" s="1"/>
      <c r="P721" s="1"/>
    </row>
    <row r="722" spans="1:16" x14ac:dyDescent="0.3">
      <c r="A722" s="64"/>
      <c r="B722" s="7"/>
      <c r="C722" s="391"/>
      <c r="D722" s="1"/>
      <c r="E722" s="267"/>
      <c r="F722" s="10"/>
      <c r="M722" s="267"/>
      <c r="N722" s="491"/>
      <c r="O722" s="1"/>
      <c r="P722" s="1"/>
    </row>
    <row r="723" spans="1:16" x14ac:dyDescent="0.3">
      <c r="A723" s="64"/>
      <c r="B723" s="7"/>
      <c r="C723" s="391"/>
      <c r="D723" s="1"/>
      <c r="E723" s="267"/>
      <c r="F723" s="10"/>
      <c r="M723" s="267"/>
      <c r="N723" s="491"/>
      <c r="O723" s="1"/>
      <c r="P723" s="1"/>
    </row>
    <row r="724" spans="1:16" x14ac:dyDescent="0.3">
      <c r="A724" s="64"/>
      <c r="B724" s="7"/>
      <c r="C724" s="391"/>
      <c r="D724" s="1"/>
      <c r="E724" s="267"/>
      <c r="F724" s="10"/>
      <c r="M724" s="267"/>
      <c r="N724" s="491"/>
      <c r="O724" s="1"/>
      <c r="P724" s="1"/>
    </row>
    <row r="725" spans="1:16" x14ac:dyDescent="0.3">
      <c r="A725" s="64"/>
      <c r="B725" s="7"/>
      <c r="C725" s="391"/>
      <c r="D725" s="1"/>
      <c r="E725" s="267"/>
      <c r="F725" s="10"/>
      <c r="M725" s="267"/>
      <c r="N725" s="491"/>
      <c r="O725" s="1"/>
      <c r="P725" s="1"/>
    </row>
    <row r="726" spans="1:16" x14ac:dyDescent="0.3">
      <c r="A726" s="64"/>
      <c r="B726" s="7"/>
      <c r="C726" s="391"/>
      <c r="D726" s="1"/>
      <c r="E726" s="267"/>
      <c r="F726" s="10"/>
      <c r="M726" s="267"/>
      <c r="N726" s="491"/>
      <c r="O726" s="1"/>
      <c r="P726" s="1"/>
    </row>
    <row r="727" spans="1:16" x14ac:dyDescent="0.3">
      <c r="A727" s="64"/>
      <c r="B727" s="7"/>
      <c r="C727" s="391"/>
      <c r="D727" s="1"/>
      <c r="E727" s="267"/>
      <c r="F727" s="10"/>
      <c r="M727" s="267"/>
      <c r="N727" s="491"/>
      <c r="O727" s="1"/>
      <c r="P727" s="1"/>
    </row>
    <row r="728" spans="1:16" x14ac:dyDescent="0.3">
      <c r="A728" s="64"/>
      <c r="B728" s="7"/>
      <c r="C728" s="391"/>
      <c r="D728" s="1"/>
      <c r="E728" s="267"/>
      <c r="F728" s="10"/>
      <c r="M728" s="267"/>
      <c r="N728" s="491"/>
      <c r="O728" s="1"/>
      <c r="P728" s="1"/>
    </row>
    <row r="729" spans="1:16" x14ac:dyDescent="0.3">
      <c r="A729" s="64"/>
      <c r="B729" s="7"/>
      <c r="C729" s="391"/>
      <c r="D729" s="1"/>
      <c r="E729" s="267"/>
      <c r="F729" s="10"/>
      <c r="M729" s="267"/>
      <c r="N729" s="491"/>
      <c r="O729" s="1"/>
      <c r="P729" s="1"/>
    </row>
    <row r="730" spans="1:16" x14ac:dyDescent="0.3">
      <c r="A730" s="64"/>
      <c r="B730" s="7"/>
      <c r="C730" s="391"/>
      <c r="D730" s="1"/>
      <c r="E730" s="267"/>
      <c r="F730" s="10"/>
      <c r="M730" s="267"/>
      <c r="N730" s="491"/>
      <c r="O730" s="1"/>
      <c r="P730" s="1"/>
    </row>
    <row r="731" spans="1:16" x14ac:dyDescent="0.3">
      <c r="A731" s="64"/>
      <c r="B731" s="7"/>
      <c r="C731" s="391"/>
      <c r="D731" s="1"/>
      <c r="E731" s="267"/>
      <c r="F731" s="10"/>
      <c r="M731" s="267"/>
      <c r="N731" s="491"/>
      <c r="O731" s="1"/>
      <c r="P731" s="1"/>
    </row>
    <row r="732" spans="1:16" x14ac:dyDescent="0.3">
      <c r="A732" s="64"/>
      <c r="B732" s="7"/>
      <c r="C732" s="391"/>
      <c r="D732" s="1"/>
      <c r="E732" s="267"/>
      <c r="F732" s="10"/>
      <c r="M732" s="267"/>
      <c r="N732" s="491"/>
      <c r="O732" s="1"/>
      <c r="P732" s="1"/>
    </row>
    <row r="733" spans="1:16" x14ac:dyDescent="0.3">
      <c r="A733" s="64"/>
      <c r="B733" s="7"/>
      <c r="C733" s="391"/>
      <c r="D733" s="1"/>
      <c r="E733" s="267"/>
      <c r="F733" s="10"/>
      <c r="M733" s="267"/>
      <c r="N733" s="491"/>
      <c r="O733" s="1"/>
      <c r="P733" s="1"/>
    </row>
    <row r="734" spans="1:16" x14ac:dyDescent="0.3">
      <c r="A734" s="64"/>
      <c r="B734" s="7"/>
      <c r="C734" s="391"/>
      <c r="D734" s="1"/>
      <c r="E734" s="267"/>
      <c r="F734" s="10"/>
      <c r="M734" s="267"/>
      <c r="N734" s="491"/>
      <c r="O734" s="1"/>
      <c r="P734" s="1"/>
    </row>
    <row r="735" spans="1:16" x14ac:dyDescent="0.3">
      <c r="A735" s="64"/>
      <c r="B735" s="7"/>
      <c r="C735" s="391"/>
      <c r="D735" s="1"/>
      <c r="E735" s="267"/>
      <c r="F735" s="10"/>
      <c r="M735" s="267"/>
      <c r="N735" s="491"/>
      <c r="O735" s="1"/>
      <c r="P735" s="1"/>
    </row>
    <row r="736" spans="1:16" x14ac:dyDescent="0.3">
      <c r="A736" s="64"/>
      <c r="B736" s="7"/>
      <c r="C736" s="391"/>
      <c r="D736" s="1"/>
      <c r="E736" s="267"/>
      <c r="F736" s="10"/>
      <c r="M736" s="267"/>
      <c r="N736" s="491"/>
      <c r="O736" s="1"/>
      <c r="P736" s="1"/>
    </row>
    <row r="737" spans="1:16" x14ac:dyDescent="0.3">
      <c r="A737" s="64"/>
      <c r="B737" s="7"/>
      <c r="C737" s="391"/>
      <c r="D737" s="1"/>
      <c r="E737" s="267"/>
      <c r="F737" s="10"/>
      <c r="M737" s="267"/>
      <c r="N737" s="491"/>
      <c r="O737" s="1"/>
      <c r="P737" s="1"/>
    </row>
    <row r="738" spans="1:16" x14ac:dyDescent="0.3">
      <c r="A738" s="64"/>
      <c r="B738" s="7"/>
      <c r="C738" s="391"/>
      <c r="D738" s="1"/>
      <c r="E738" s="267"/>
      <c r="F738" s="10"/>
      <c r="M738" s="267"/>
      <c r="N738" s="491"/>
      <c r="O738" s="1"/>
      <c r="P738" s="1"/>
    </row>
    <row r="739" spans="1:16" x14ac:dyDescent="0.3">
      <c r="A739" s="64"/>
      <c r="B739" s="7"/>
      <c r="C739" s="391"/>
      <c r="D739" s="1"/>
      <c r="E739" s="267"/>
      <c r="F739" s="10"/>
      <c r="M739" s="267"/>
      <c r="N739" s="491"/>
      <c r="O739" s="1"/>
      <c r="P739" s="1"/>
    </row>
    <row r="740" spans="1:16" x14ac:dyDescent="0.3">
      <c r="A740" s="64"/>
      <c r="B740" s="7"/>
      <c r="C740" s="391"/>
      <c r="D740" s="1"/>
      <c r="E740" s="267"/>
      <c r="F740" s="10"/>
      <c r="M740" s="267"/>
      <c r="N740" s="491"/>
      <c r="O740" s="1"/>
      <c r="P740" s="1"/>
    </row>
    <row r="741" spans="1:16" x14ac:dyDescent="0.3">
      <c r="A741" s="64"/>
      <c r="B741" s="7"/>
      <c r="C741" s="391"/>
      <c r="D741" s="1"/>
      <c r="E741" s="267"/>
      <c r="F741" s="10"/>
      <c r="M741" s="267"/>
      <c r="N741" s="491"/>
      <c r="O741" s="1"/>
      <c r="P741" s="1"/>
    </row>
    <row r="742" spans="1:16" x14ac:dyDescent="0.3">
      <c r="A742" s="64"/>
      <c r="B742" s="7"/>
      <c r="C742" s="391"/>
      <c r="D742" s="1"/>
      <c r="E742" s="267"/>
      <c r="F742" s="10"/>
      <c r="M742" s="267"/>
      <c r="N742" s="491"/>
      <c r="O742" s="1"/>
      <c r="P742" s="1"/>
    </row>
    <row r="743" spans="1:16" x14ac:dyDescent="0.3">
      <c r="A743" s="64"/>
      <c r="B743" s="7"/>
      <c r="C743" s="391"/>
      <c r="D743" s="1"/>
      <c r="E743" s="267"/>
      <c r="F743" s="10"/>
      <c r="M743" s="267"/>
      <c r="N743" s="491"/>
      <c r="O743" s="1"/>
      <c r="P743" s="1"/>
    </row>
    <row r="744" spans="1:16" x14ac:dyDescent="0.3">
      <c r="A744" s="64"/>
      <c r="B744" s="7"/>
      <c r="C744" s="391"/>
      <c r="D744" s="1"/>
      <c r="E744" s="267"/>
      <c r="F744" s="10"/>
      <c r="M744" s="267"/>
      <c r="N744" s="491"/>
      <c r="O744" s="1"/>
      <c r="P744" s="1"/>
    </row>
    <row r="745" spans="1:16" x14ac:dyDescent="0.3">
      <c r="A745" s="64"/>
      <c r="B745" s="7"/>
      <c r="C745" s="391"/>
      <c r="D745" s="1"/>
      <c r="E745" s="267"/>
      <c r="F745" s="10"/>
      <c r="M745" s="267"/>
      <c r="N745" s="491"/>
      <c r="O745" s="1"/>
      <c r="P745" s="1"/>
    </row>
    <row r="746" spans="1:16" x14ac:dyDescent="0.3">
      <c r="A746" s="64"/>
      <c r="B746" s="7"/>
      <c r="C746" s="391"/>
      <c r="D746" s="1"/>
      <c r="E746" s="267"/>
      <c r="F746" s="10"/>
      <c r="M746" s="267"/>
      <c r="N746" s="491"/>
      <c r="O746" s="1"/>
      <c r="P746" s="1"/>
    </row>
    <row r="747" spans="1:16" x14ac:dyDescent="0.3">
      <c r="A747" s="64"/>
      <c r="B747" s="7"/>
      <c r="C747" s="391"/>
      <c r="D747" s="1"/>
      <c r="E747" s="267"/>
      <c r="F747" s="10"/>
      <c r="M747" s="267"/>
      <c r="N747" s="491"/>
      <c r="O747" s="1"/>
      <c r="P747" s="1"/>
    </row>
    <row r="748" spans="1:16" x14ac:dyDescent="0.3">
      <c r="A748" s="64"/>
      <c r="B748" s="7"/>
      <c r="C748" s="391"/>
      <c r="D748" s="1"/>
      <c r="E748" s="267"/>
      <c r="F748" s="10"/>
      <c r="M748" s="267"/>
      <c r="N748" s="491"/>
      <c r="O748" s="1"/>
      <c r="P748" s="1"/>
    </row>
    <row r="749" spans="1:16" x14ac:dyDescent="0.3">
      <c r="A749" s="64"/>
      <c r="B749" s="7"/>
      <c r="C749" s="391"/>
      <c r="D749" s="1"/>
      <c r="E749" s="267"/>
      <c r="F749" s="10"/>
      <c r="M749" s="267"/>
      <c r="N749" s="491"/>
      <c r="O749" s="1"/>
      <c r="P749" s="1"/>
    </row>
    <row r="750" spans="1:16" x14ac:dyDescent="0.3">
      <c r="A750" s="64"/>
      <c r="B750" s="7"/>
      <c r="C750" s="391"/>
      <c r="D750" s="1"/>
      <c r="E750" s="267"/>
      <c r="F750" s="10"/>
      <c r="M750" s="267"/>
      <c r="N750" s="491"/>
      <c r="O750" s="1"/>
      <c r="P750" s="1"/>
    </row>
    <row r="751" spans="1:16" x14ac:dyDescent="0.3">
      <c r="A751" s="64"/>
      <c r="B751" s="7"/>
      <c r="C751" s="391"/>
      <c r="D751" s="1"/>
      <c r="E751" s="267"/>
      <c r="F751" s="10"/>
      <c r="M751" s="267"/>
      <c r="N751" s="491"/>
      <c r="O751" s="1"/>
      <c r="P751" s="1"/>
    </row>
    <row r="752" spans="1:16" x14ac:dyDescent="0.3">
      <c r="A752" s="64"/>
      <c r="B752" s="7"/>
      <c r="C752" s="391"/>
      <c r="D752" s="1"/>
      <c r="E752" s="267"/>
      <c r="F752" s="10"/>
      <c r="M752" s="267"/>
      <c r="N752" s="491"/>
      <c r="O752" s="1"/>
      <c r="P752" s="1"/>
    </row>
    <row r="753" spans="1:16" x14ac:dyDescent="0.3">
      <c r="A753" s="64"/>
      <c r="B753" s="7"/>
      <c r="C753" s="391"/>
      <c r="D753" s="1"/>
      <c r="E753" s="267"/>
      <c r="F753" s="10"/>
      <c r="M753" s="267"/>
      <c r="N753" s="491"/>
      <c r="O753" s="1"/>
      <c r="P753" s="1"/>
    </row>
    <row r="754" spans="1:16" x14ac:dyDescent="0.3">
      <c r="A754" s="64"/>
      <c r="B754" s="7"/>
      <c r="C754" s="391"/>
      <c r="D754" s="1"/>
      <c r="E754" s="267"/>
      <c r="F754" s="10"/>
      <c r="M754" s="267"/>
      <c r="N754" s="491"/>
      <c r="O754" s="1"/>
      <c r="P754" s="1"/>
    </row>
    <row r="755" spans="1:16" x14ac:dyDescent="0.3">
      <c r="A755" s="64"/>
      <c r="B755" s="7"/>
      <c r="C755" s="391"/>
      <c r="D755" s="1"/>
      <c r="E755" s="267"/>
      <c r="F755" s="10"/>
      <c r="M755" s="267"/>
      <c r="N755" s="491"/>
      <c r="O755" s="1"/>
      <c r="P755" s="1"/>
    </row>
    <row r="756" spans="1:16" x14ac:dyDescent="0.3">
      <c r="A756" s="64"/>
      <c r="B756" s="7"/>
      <c r="C756" s="391"/>
      <c r="D756" s="1"/>
      <c r="E756" s="267"/>
      <c r="F756" s="10"/>
      <c r="M756" s="267"/>
      <c r="N756" s="491"/>
      <c r="O756" s="1"/>
      <c r="P756" s="1"/>
    </row>
    <row r="757" spans="1:16" x14ac:dyDescent="0.3">
      <c r="A757" s="64"/>
      <c r="B757" s="7"/>
      <c r="C757" s="391"/>
      <c r="D757" s="1"/>
      <c r="E757" s="267"/>
      <c r="F757" s="10"/>
      <c r="M757" s="267"/>
      <c r="N757" s="491"/>
      <c r="O757" s="1"/>
      <c r="P757" s="1"/>
    </row>
    <row r="758" spans="1:16" x14ac:dyDescent="0.3">
      <c r="A758" s="64"/>
      <c r="B758" s="7"/>
      <c r="C758" s="391"/>
      <c r="D758" s="1"/>
      <c r="E758" s="267"/>
      <c r="F758" s="10"/>
      <c r="M758" s="267"/>
      <c r="N758" s="491"/>
      <c r="O758" s="1"/>
      <c r="P758" s="1"/>
    </row>
    <row r="759" spans="1:16" x14ac:dyDescent="0.3">
      <c r="A759" s="64"/>
      <c r="B759" s="7"/>
      <c r="C759" s="391"/>
      <c r="D759" s="1"/>
      <c r="E759" s="267"/>
      <c r="F759" s="10"/>
      <c r="M759" s="267"/>
      <c r="N759" s="491"/>
      <c r="O759" s="1"/>
      <c r="P759" s="1"/>
    </row>
    <row r="760" spans="1:16" x14ac:dyDescent="0.3">
      <c r="A760" s="64"/>
      <c r="B760" s="7"/>
      <c r="C760" s="391"/>
      <c r="D760" s="1"/>
      <c r="E760" s="267"/>
      <c r="F760" s="10"/>
      <c r="M760" s="267"/>
      <c r="N760" s="491"/>
      <c r="O760" s="1"/>
      <c r="P760" s="1"/>
    </row>
    <row r="761" spans="1:16" x14ac:dyDescent="0.3">
      <c r="A761" s="64"/>
      <c r="B761" s="7"/>
      <c r="C761" s="391"/>
      <c r="D761" s="1"/>
      <c r="E761" s="267"/>
      <c r="F761" s="10"/>
      <c r="M761" s="267"/>
      <c r="N761" s="491"/>
      <c r="O761" s="1"/>
      <c r="P761" s="1"/>
    </row>
    <row r="762" spans="1:16" x14ac:dyDescent="0.3">
      <c r="A762" s="64"/>
      <c r="B762" s="7"/>
      <c r="C762" s="391"/>
      <c r="D762" s="1"/>
      <c r="E762" s="267"/>
      <c r="F762" s="10"/>
      <c r="M762" s="267"/>
      <c r="N762" s="491"/>
      <c r="O762" s="1"/>
      <c r="P762" s="1"/>
    </row>
    <row r="763" spans="1:16" x14ac:dyDescent="0.3">
      <c r="A763" s="64"/>
      <c r="B763" s="7"/>
      <c r="C763" s="391"/>
      <c r="D763" s="1"/>
      <c r="E763" s="267"/>
      <c r="F763" s="10"/>
      <c r="M763" s="267"/>
      <c r="N763" s="491"/>
      <c r="O763" s="1"/>
      <c r="P763" s="1"/>
    </row>
    <row r="764" spans="1:16" x14ac:dyDescent="0.3">
      <c r="A764" s="64"/>
      <c r="B764" s="7"/>
      <c r="C764" s="391"/>
      <c r="D764" s="1"/>
      <c r="E764" s="267"/>
      <c r="F764" s="10"/>
      <c r="M764" s="267"/>
      <c r="N764" s="491"/>
      <c r="O764" s="1"/>
      <c r="P764" s="1"/>
    </row>
    <row r="765" spans="1:16" x14ac:dyDescent="0.3">
      <c r="A765" s="64"/>
      <c r="B765" s="7"/>
      <c r="C765" s="391"/>
      <c r="D765" s="1"/>
      <c r="E765" s="267"/>
      <c r="F765" s="10"/>
      <c r="M765" s="267"/>
      <c r="N765" s="491"/>
      <c r="O765" s="1"/>
      <c r="P765" s="1"/>
    </row>
    <row r="766" spans="1:16" x14ac:dyDescent="0.3">
      <c r="A766" s="64"/>
      <c r="B766" s="7"/>
      <c r="C766" s="391"/>
      <c r="D766" s="1"/>
      <c r="E766" s="267"/>
      <c r="F766" s="10"/>
      <c r="M766" s="267"/>
      <c r="N766" s="491"/>
      <c r="O766" s="1"/>
      <c r="P766" s="1"/>
    </row>
    <row r="767" spans="1:16" x14ac:dyDescent="0.3">
      <c r="A767" s="64"/>
      <c r="B767" s="7"/>
      <c r="C767" s="391"/>
      <c r="D767" s="1"/>
      <c r="E767" s="267"/>
      <c r="F767" s="10"/>
      <c r="M767" s="267"/>
      <c r="N767" s="491"/>
      <c r="O767" s="1"/>
      <c r="P767" s="1"/>
    </row>
    <row r="768" spans="1:16" x14ac:dyDescent="0.3">
      <c r="A768" s="64"/>
      <c r="B768" s="7"/>
      <c r="C768" s="391"/>
      <c r="D768" s="1"/>
      <c r="E768" s="267"/>
      <c r="F768" s="10"/>
      <c r="M768" s="267"/>
      <c r="N768" s="491"/>
      <c r="O768" s="1"/>
      <c r="P768" s="1"/>
    </row>
    <row r="769" spans="1:16" x14ac:dyDescent="0.3">
      <c r="A769" s="64"/>
      <c r="B769" s="7"/>
      <c r="C769" s="391"/>
      <c r="D769" s="1"/>
      <c r="E769" s="267"/>
      <c r="F769" s="10"/>
      <c r="M769" s="267"/>
      <c r="N769" s="491"/>
      <c r="O769" s="1"/>
      <c r="P769" s="1"/>
    </row>
    <row r="770" spans="1:16" x14ac:dyDescent="0.3">
      <c r="A770" s="64"/>
      <c r="B770" s="7"/>
      <c r="C770" s="391"/>
      <c r="D770" s="1"/>
      <c r="E770" s="267"/>
      <c r="F770" s="10"/>
      <c r="M770" s="267"/>
      <c r="N770" s="491"/>
      <c r="O770" s="1"/>
      <c r="P770" s="1"/>
    </row>
    <row r="771" spans="1:16" x14ac:dyDescent="0.3">
      <c r="A771" s="64"/>
      <c r="B771" s="7"/>
      <c r="C771" s="391"/>
      <c r="D771" s="1"/>
      <c r="E771" s="267"/>
      <c r="F771" s="10"/>
      <c r="M771" s="267"/>
      <c r="N771" s="491"/>
      <c r="O771" s="1"/>
      <c r="P771" s="1"/>
    </row>
    <row r="772" spans="1:16" x14ac:dyDescent="0.3">
      <c r="A772" s="64"/>
      <c r="B772" s="7"/>
      <c r="C772" s="391"/>
      <c r="D772" s="1"/>
      <c r="E772" s="267"/>
      <c r="F772" s="10"/>
      <c r="M772" s="267"/>
      <c r="N772" s="491"/>
      <c r="O772" s="1"/>
      <c r="P772" s="1"/>
    </row>
    <row r="773" spans="1:16" x14ac:dyDescent="0.3">
      <c r="A773" s="64"/>
      <c r="B773" s="7"/>
      <c r="C773" s="391"/>
      <c r="D773" s="1"/>
      <c r="E773" s="267"/>
      <c r="F773" s="10"/>
      <c r="M773" s="267"/>
      <c r="N773" s="491"/>
      <c r="O773" s="1"/>
      <c r="P773" s="1"/>
    </row>
    <row r="774" spans="1:16" x14ac:dyDescent="0.3">
      <c r="A774" s="64"/>
      <c r="B774" s="7"/>
      <c r="C774" s="391"/>
      <c r="D774" s="1"/>
      <c r="E774" s="267"/>
      <c r="F774" s="10"/>
      <c r="M774" s="267"/>
      <c r="N774" s="491"/>
      <c r="O774" s="1"/>
      <c r="P774" s="1"/>
    </row>
    <row r="775" spans="1:16" x14ac:dyDescent="0.3">
      <c r="A775" s="64"/>
      <c r="B775" s="7"/>
      <c r="C775" s="391"/>
      <c r="D775" s="1"/>
      <c r="E775" s="267"/>
      <c r="F775" s="10"/>
      <c r="M775" s="267"/>
      <c r="N775" s="491"/>
      <c r="O775" s="1"/>
      <c r="P775" s="1"/>
    </row>
    <row r="776" spans="1:16" x14ac:dyDescent="0.3">
      <c r="A776" s="64"/>
      <c r="B776" s="7"/>
      <c r="C776" s="391"/>
      <c r="D776" s="1"/>
      <c r="E776" s="267"/>
      <c r="F776" s="10"/>
      <c r="M776" s="267"/>
      <c r="N776" s="491"/>
      <c r="O776" s="1"/>
      <c r="P776" s="1"/>
    </row>
    <row r="777" spans="1:16" x14ac:dyDescent="0.3">
      <c r="A777" s="64"/>
      <c r="B777" s="7"/>
      <c r="C777" s="391"/>
      <c r="D777" s="1"/>
      <c r="E777" s="267"/>
      <c r="F777" s="10"/>
      <c r="M777" s="267"/>
      <c r="N777" s="491"/>
      <c r="O777" s="1"/>
      <c r="P777" s="1"/>
    </row>
    <row r="778" spans="1:16" x14ac:dyDescent="0.3">
      <c r="A778" s="64"/>
      <c r="B778" s="7"/>
      <c r="C778" s="391"/>
      <c r="D778" s="1"/>
      <c r="E778" s="267"/>
      <c r="F778" s="10"/>
      <c r="M778" s="267"/>
      <c r="N778" s="491"/>
      <c r="O778" s="1"/>
      <c r="P778" s="1"/>
    </row>
    <row r="779" spans="1:16" x14ac:dyDescent="0.3">
      <c r="A779" s="64"/>
      <c r="B779" s="7"/>
      <c r="C779" s="391"/>
      <c r="D779" s="1"/>
      <c r="E779" s="267"/>
      <c r="F779" s="10"/>
      <c r="M779" s="267"/>
      <c r="N779" s="491"/>
      <c r="O779" s="1"/>
      <c r="P779" s="1"/>
    </row>
    <row r="780" spans="1:16" x14ac:dyDescent="0.3">
      <c r="A780" s="64"/>
      <c r="B780" s="7"/>
      <c r="C780" s="391"/>
      <c r="D780" s="1"/>
      <c r="E780" s="267"/>
      <c r="F780" s="10"/>
      <c r="M780" s="267"/>
      <c r="N780" s="491"/>
      <c r="O780" s="1"/>
      <c r="P780" s="1"/>
    </row>
    <row r="781" spans="1:16" x14ac:dyDescent="0.3">
      <c r="A781" s="64"/>
      <c r="B781" s="7"/>
      <c r="C781" s="391"/>
      <c r="D781" s="1"/>
      <c r="E781" s="267"/>
      <c r="F781" s="10"/>
      <c r="M781" s="267"/>
      <c r="N781" s="491"/>
      <c r="O781" s="1"/>
      <c r="P781" s="1"/>
    </row>
    <row r="782" spans="1:16" x14ac:dyDescent="0.3">
      <c r="A782" s="64"/>
      <c r="B782" s="7"/>
      <c r="C782" s="391"/>
      <c r="D782" s="1"/>
      <c r="E782" s="267"/>
      <c r="F782" s="10"/>
      <c r="M782" s="267"/>
      <c r="N782" s="491"/>
      <c r="O782" s="1"/>
      <c r="P782" s="1"/>
    </row>
    <row r="783" spans="1:16" x14ac:dyDescent="0.3">
      <c r="A783" s="64"/>
      <c r="B783" s="7"/>
      <c r="C783" s="391"/>
      <c r="D783" s="1"/>
      <c r="E783" s="267"/>
      <c r="F783" s="10"/>
      <c r="M783" s="267"/>
      <c r="N783" s="491"/>
      <c r="O783" s="1"/>
      <c r="P783" s="1"/>
    </row>
    <row r="784" spans="1:16" x14ac:dyDescent="0.3">
      <c r="A784" s="64"/>
      <c r="B784" s="7"/>
      <c r="C784" s="391"/>
      <c r="D784" s="1"/>
      <c r="E784" s="267"/>
      <c r="F784" s="10"/>
      <c r="M784" s="267"/>
      <c r="N784" s="491"/>
      <c r="O784" s="1"/>
      <c r="P784" s="1"/>
    </row>
    <row r="785" spans="1:25" x14ac:dyDescent="0.3">
      <c r="A785" s="64"/>
      <c r="B785" s="7"/>
      <c r="C785" s="391"/>
      <c r="D785" s="1"/>
      <c r="E785" s="267"/>
      <c r="F785" s="10"/>
      <c r="M785" s="267"/>
      <c r="N785" s="491"/>
      <c r="O785" s="1"/>
      <c r="P785" s="1"/>
    </row>
    <row r="786" spans="1:25" x14ac:dyDescent="0.3">
      <c r="A786" s="64"/>
      <c r="B786" s="7"/>
      <c r="C786" s="391"/>
      <c r="D786" s="1"/>
      <c r="E786" s="267"/>
      <c r="F786" s="10"/>
      <c r="M786" s="267"/>
      <c r="N786" s="491"/>
      <c r="O786" s="1"/>
      <c r="P786" s="1"/>
    </row>
    <row r="787" spans="1:25" x14ac:dyDescent="0.3">
      <c r="A787" s="64"/>
      <c r="B787" s="7"/>
      <c r="C787" s="391"/>
      <c r="D787" s="1"/>
      <c r="E787" s="267"/>
      <c r="F787" s="10"/>
      <c r="M787" s="267"/>
      <c r="N787" s="491"/>
      <c r="O787" s="1"/>
      <c r="P787" s="1"/>
    </row>
    <row r="788" spans="1:25" x14ac:dyDescent="0.3">
      <c r="A788" s="64"/>
      <c r="B788" s="7"/>
      <c r="C788" s="391"/>
      <c r="D788" s="1"/>
      <c r="E788" s="267"/>
      <c r="F788" s="10"/>
      <c r="M788" s="267"/>
      <c r="N788" s="491"/>
      <c r="O788" s="1"/>
      <c r="P788" s="1"/>
    </row>
    <row r="789" spans="1:25" x14ac:dyDescent="0.3">
      <c r="A789" s="64"/>
      <c r="B789" s="7"/>
      <c r="C789" s="391"/>
      <c r="D789" s="1"/>
      <c r="E789" s="267"/>
      <c r="F789" s="10"/>
      <c r="M789" s="267"/>
      <c r="N789" s="491"/>
      <c r="O789" s="1"/>
      <c r="P789" s="1"/>
    </row>
    <row r="790" spans="1:25" x14ac:dyDescent="0.3">
      <c r="A790" s="64"/>
      <c r="B790" s="7"/>
      <c r="C790" s="391"/>
      <c r="D790" s="1"/>
      <c r="E790" s="267"/>
      <c r="F790" s="10"/>
      <c r="M790" s="267"/>
      <c r="N790" s="491"/>
      <c r="O790" s="1"/>
      <c r="P790" s="1"/>
    </row>
    <row r="791" spans="1:25" x14ac:dyDescent="0.3">
      <c r="A791" s="64"/>
      <c r="B791" s="7"/>
      <c r="C791" s="391"/>
      <c r="D791" s="1"/>
      <c r="E791" s="267"/>
      <c r="F791" s="10"/>
      <c r="M791" s="267"/>
      <c r="N791" s="491"/>
      <c r="O791" s="1"/>
      <c r="P791" s="1"/>
    </row>
    <row r="792" spans="1:25" x14ac:dyDescent="0.3">
      <c r="A792" s="64"/>
      <c r="B792" s="7"/>
      <c r="C792" s="391"/>
      <c r="D792" s="391"/>
      <c r="E792" s="10"/>
      <c r="F792" s="10"/>
      <c r="M792" s="267"/>
      <c r="N792" s="491"/>
      <c r="O792" s="1"/>
      <c r="P792" s="1"/>
    </row>
    <row r="793" spans="1:25" x14ac:dyDescent="0.3">
      <c r="A793" s="64"/>
      <c r="B793" s="7"/>
      <c r="C793" s="391"/>
      <c r="D793" s="391"/>
      <c r="E793" s="10"/>
      <c r="F793" s="10"/>
      <c r="M793" s="267"/>
      <c r="N793" s="491"/>
      <c r="O793" s="1"/>
      <c r="P793" s="1"/>
    </row>
    <row r="794" spans="1:25" x14ac:dyDescent="0.3">
      <c r="A794" s="64"/>
      <c r="B794" s="7"/>
      <c r="C794" s="391"/>
      <c r="D794" s="391"/>
      <c r="E794" s="10"/>
      <c r="F794" s="10"/>
      <c r="M794" s="267"/>
      <c r="N794" s="491"/>
      <c r="O794" s="1"/>
      <c r="P794" s="1"/>
    </row>
    <row r="795" spans="1:25" x14ac:dyDescent="0.3">
      <c r="A795" s="64"/>
      <c r="B795" s="7"/>
      <c r="C795" s="391"/>
      <c r="D795" s="391"/>
      <c r="E795" s="10"/>
      <c r="F795" s="10"/>
      <c r="M795" s="267"/>
      <c r="P795" s="1"/>
      <c r="W795" s="1"/>
      <c r="X795" s="1"/>
      <c r="Y795" s="1"/>
    </row>
    <row r="796" spans="1:25" x14ac:dyDescent="0.3">
      <c r="A796" s="64"/>
      <c r="B796" s="7"/>
      <c r="C796" s="391"/>
      <c r="D796" s="391"/>
      <c r="E796" s="10"/>
      <c r="F796" s="10"/>
      <c r="M796" s="267"/>
      <c r="P796" s="1"/>
      <c r="W796" s="1"/>
      <c r="X796" s="1"/>
      <c r="Y796" s="1"/>
    </row>
    <row r="797" spans="1:25" x14ac:dyDescent="0.3">
      <c r="A797" s="64"/>
      <c r="B797" s="7"/>
      <c r="C797" s="391"/>
      <c r="D797" s="391"/>
      <c r="E797" s="10"/>
      <c r="F797" s="10"/>
      <c r="M797" s="267"/>
      <c r="P797" s="1"/>
      <c r="W797" s="1"/>
      <c r="X797" s="1"/>
      <c r="Y797" s="1"/>
    </row>
    <row r="798" spans="1:25" x14ac:dyDescent="0.3">
      <c r="A798" s="64"/>
      <c r="B798" s="7"/>
      <c r="C798" s="391"/>
      <c r="D798" s="391"/>
      <c r="E798" s="10"/>
      <c r="F798" s="10"/>
      <c r="M798" s="267"/>
      <c r="P798" s="1"/>
      <c r="W798" s="1"/>
      <c r="X798" s="1"/>
      <c r="Y798" s="1"/>
    </row>
    <row r="799" spans="1:25" x14ac:dyDescent="0.3">
      <c r="A799" s="64"/>
      <c r="B799" s="7"/>
      <c r="C799" s="391"/>
      <c r="D799" s="391"/>
      <c r="E799" s="10"/>
      <c r="F799" s="10"/>
      <c r="M799" s="267"/>
      <c r="P799" s="1"/>
      <c r="W799" s="1"/>
      <c r="X799" s="1"/>
      <c r="Y799" s="1"/>
    </row>
    <row r="800" spans="1:25" x14ac:dyDescent="0.3">
      <c r="A800" s="64"/>
      <c r="B800" s="7"/>
      <c r="C800" s="391"/>
      <c r="D800" s="391"/>
      <c r="E800" s="10"/>
      <c r="F800" s="10"/>
      <c r="M800" s="267"/>
      <c r="P800" s="1"/>
      <c r="W800" s="1"/>
      <c r="X800" s="1"/>
      <c r="Y800" s="1"/>
    </row>
    <row r="801" spans="1:25" x14ac:dyDescent="0.3">
      <c r="A801" s="64"/>
      <c r="B801" s="7"/>
      <c r="C801" s="391"/>
      <c r="D801" s="391"/>
      <c r="E801" s="10"/>
      <c r="F801" s="10"/>
      <c r="M801" s="267"/>
      <c r="P801" s="1"/>
      <c r="W801" s="1"/>
      <c r="X801" s="1"/>
      <c r="Y801" s="1"/>
    </row>
    <row r="802" spans="1:25" x14ac:dyDescent="0.3">
      <c r="P802" s="1"/>
      <c r="W802" s="1"/>
      <c r="X802" s="1"/>
      <c r="Y802" s="1"/>
    </row>
    <row r="803" spans="1:25" x14ac:dyDescent="0.3">
      <c r="P803" s="1"/>
      <c r="W803" s="1"/>
      <c r="X803" s="1"/>
      <c r="Y803" s="1"/>
    </row>
    <row r="804" spans="1:25" x14ac:dyDescent="0.3">
      <c r="P804" s="1"/>
      <c r="W804" s="1"/>
      <c r="X804" s="1"/>
      <c r="Y804" s="1"/>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rgb="FF92D050"/>
  </sheetPr>
  <dimension ref="A1:X78"/>
  <sheetViews>
    <sheetView zoomScale="98" zoomScaleNormal="98" workbookViewId="0">
      <pane ySplit="1" topLeftCell="A65" activePane="bottomLeft" state="frozen"/>
      <selection pane="bottomLeft" activeCell="G1" sqref="G1"/>
    </sheetView>
  </sheetViews>
  <sheetFormatPr defaultRowHeight="14.4" x14ac:dyDescent="0.3"/>
  <cols>
    <col min="1" max="1" width="7" style="32" bestFit="1" customWidth="1"/>
    <col min="2" max="2" width="10.69921875" style="32" bestFit="1" customWidth="1"/>
    <col min="3" max="3" width="23.8984375" bestFit="1" customWidth="1"/>
    <col min="4" max="4" width="11.8984375" bestFit="1" customWidth="1"/>
    <col min="5" max="5" width="5.69921875" bestFit="1" customWidth="1"/>
    <col min="6" max="6" width="6.296875" bestFit="1" customWidth="1"/>
    <col min="7" max="7" width="7.09765625" bestFit="1" customWidth="1"/>
    <col min="8" max="8" width="13.3984375" bestFit="1" customWidth="1"/>
    <col min="9" max="9" width="20.296875" bestFit="1" customWidth="1"/>
    <col min="10" max="10" width="27" bestFit="1" customWidth="1"/>
    <col min="11" max="11" width="12.59765625" bestFit="1" customWidth="1"/>
    <col min="12" max="12" width="12" style="32" bestFit="1" customWidth="1"/>
    <col min="13" max="13" width="8.296875" bestFit="1" customWidth="1"/>
    <col min="14" max="14" width="12.59765625" bestFit="1" customWidth="1"/>
    <col min="16" max="16" width="5.296875" bestFit="1" customWidth="1"/>
    <col min="17" max="17" width="7.8984375" bestFit="1" customWidth="1"/>
    <col min="18" max="18" width="6" bestFit="1" customWidth="1"/>
    <col min="19" max="19" width="14.59765625" bestFit="1" customWidth="1"/>
    <col min="20" max="20" width="10.8984375" bestFit="1" customWidth="1"/>
    <col min="24" max="24" width="9.69921875" bestFit="1" customWidth="1"/>
  </cols>
  <sheetData>
    <row r="1" spans="1:24" x14ac:dyDescent="0.3">
      <c r="A1" s="103" t="s">
        <v>0</v>
      </c>
      <c r="B1" s="103" t="s">
        <v>855</v>
      </c>
      <c r="C1" s="103" t="s">
        <v>856</v>
      </c>
      <c r="D1" s="103" t="s">
        <v>1052</v>
      </c>
      <c r="E1" s="103" t="s">
        <v>1053</v>
      </c>
      <c r="F1" s="103" t="s">
        <v>843</v>
      </c>
      <c r="G1" s="103" t="s">
        <v>1054</v>
      </c>
      <c r="H1" s="103" t="s">
        <v>1055</v>
      </c>
      <c r="I1" s="104" t="s">
        <v>1056</v>
      </c>
      <c r="J1" s="103" t="s">
        <v>1057</v>
      </c>
      <c r="K1" s="103" t="s">
        <v>1058</v>
      </c>
      <c r="L1" s="103" t="s">
        <v>857</v>
      </c>
      <c r="M1" s="105" t="s">
        <v>981</v>
      </c>
      <c r="N1" s="103" t="s">
        <v>1059</v>
      </c>
      <c r="O1" s="105" t="s">
        <v>1060</v>
      </c>
      <c r="P1" s="103" t="s">
        <v>980</v>
      </c>
      <c r="Q1" s="103" t="s">
        <v>1061</v>
      </c>
      <c r="R1" s="103" t="s">
        <v>1062</v>
      </c>
      <c r="S1" s="103" t="s">
        <v>1063</v>
      </c>
      <c r="T1" s="103" t="s">
        <v>1047</v>
      </c>
      <c r="U1" s="56">
        <f>COUNT(B:B)</f>
        <v>77</v>
      </c>
      <c r="W1" s="56" t="s">
        <v>0</v>
      </c>
      <c r="X1" s="56"/>
    </row>
    <row r="2" spans="1:24" x14ac:dyDescent="0.3">
      <c r="A2" s="157">
        <f>$X$3</f>
        <v>2474</v>
      </c>
      <c r="B2" s="124">
        <f t="shared" ref="B2:B33" si="0">RPT</f>
        <v>46252</v>
      </c>
      <c r="C2" t="s">
        <v>1050</v>
      </c>
      <c r="D2" t="s">
        <v>1064</v>
      </c>
      <c r="E2" t="s">
        <v>1030</v>
      </c>
      <c r="F2" t="s">
        <v>1030</v>
      </c>
      <c r="L2" s="120">
        <f>'Phan tich_TB'!DN1</f>
        <v>2450</v>
      </c>
      <c r="M2" t="s">
        <v>1065</v>
      </c>
      <c r="N2">
        <v>10000</v>
      </c>
      <c r="P2" t="s">
        <v>1066</v>
      </c>
      <c r="S2" t="s">
        <v>2234</v>
      </c>
      <c r="U2" s="1"/>
      <c r="W2" s="1">
        <v>422</v>
      </c>
      <c r="X2" s="109">
        <v>43381</v>
      </c>
    </row>
    <row r="3" spans="1:24" x14ac:dyDescent="0.3">
      <c r="A3" s="157">
        <f t="shared" ref="A3:A68" si="1">$X$3</f>
        <v>2474</v>
      </c>
      <c r="B3" s="124">
        <f t="shared" si="0"/>
        <v>46252</v>
      </c>
      <c r="C3" t="s">
        <v>1050</v>
      </c>
      <c r="D3" t="s">
        <v>1064</v>
      </c>
      <c r="E3" t="s">
        <v>1030</v>
      </c>
      <c r="J3" t="s">
        <v>1068</v>
      </c>
      <c r="K3" t="s">
        <v>877</v>
      </c>
      <c r="L3" s="120">
        <f>'Phan tich_TB'!DN2</f>
        <v>0</v>
      </c>
      <c r="M3" t="s">
        <v>1065</v>
      </c>
      <c r="P3" t="s">
        <v>1066</v>
      </c>
      <c r="U3" s="1"/>
      <c r="W3" s="1"/>
      <c r="X3" s="61">
        <f>NETWORKDAYS(X2,RPT,0)+W2</f>
        <v>2474</v>
      </c>
    </row>
    <row r="4" spans="1:24" x14ac:dyDescent="0.3">
      <c r="A4" s="157">
        <f t="shared" si="1"/>
        <v>2474</v>
      </c>
      <c r="B4" s="124">
        <f t="shared" si="0"/>
        <v>46252</v>
      </c>
      <c r="C4" t="s">
        <v>1050</v>
      </c>
      <c r="D4" t="s">
        <v>1064</v>
      </c>
      <c r="E4" t="s">
        <v>1030</v>
      </c>
      <c r="J4" t="s">
        <v>1068</v>
      </c>
      <c r="K4" t="s">
        <v>878</v>
      </c>
      <c r="L4" s="120">
        <f>'Phan tich_TB'!DN3</f>
        <v>0</v>
      </c>
      <c r="M4" t="s">
        <v>1065</v>
      </c>
      <c r="P4" t="s">
        <v>1066</v>
      </c>
      <c r="X4" s="49"/>
    </row>
    <row r="5" spans="1:24" x14ac:dyDescent="0.3">
      <c r="A5" s="157">
        <f t="shared" si="1"/>
        <v>2474</v>
      </c>
      <c r="B5" s="124">
        <f t="shared" si="0"/>
        <v>46252</v>
      </c>
      <c r="C5" t="s">
        <v>1050</v>
      </c>
      <c r="D5" t="s">
        <v>1064</v>
      </c>
      <c r="E5" t="s">
        <v>1030</v>
      </c>
      <c r="J5" t="s">
        <v>1068</v>
      </c>
      <c r="K5" t="s">
        <v>879</v>
      </c>
      <c r="L5" s="120">
        <f>'Phan tich_TB'!DN4</f>
        <v>0</v>
      </c>
      <c r="M5" t="s">
        <v>1065</v>
      </c>
      <c r="P5" t="s">
        <v>1066</v>
      </c>
    </row>
    <row r="6" spans="1:24" x14ac:dyDescent="0.3">
      <c r="A6" s="157">
        <f t="shared" si="1"/>
        <v>2474</v>
      </c>
      <c r="B6" s="124">
        <f t="shared" si="0"/>
        <v>46252</v>
      </c>
      <c r="C6" t="s">
        <v>1050</v>
      </c>
      <c r="D6" t="s">
        <v>1064</v>
      </c>
      <c r="E6" t="s">
        <v>1030</v>
      </c>
      <c r="J6" t="s">
        <v>1068</v>
      </c>
      <c r="K6" t="s">
        <v>880</v>
      </c>
      <c r="L6" s="120">
        <f>'Phan tich_TB'!DN5</f>
        <v>0</v>
      </c>
      <c r="M6" t="s">
        <v>1065</v>
      </c>
      <c r="P6" t="s">
        <v>1066</v>
      </c>
    </row>
    <row r="7" spans="1:24" x14ac:dyDescent="0.3">
      <c r="A7" s="157">
        <f t="shared" si="1"/>
        <v>2474</v>
      </c>
      <c r="B7" s="124">
        <f t="shared" si="0"/>
        <v>46252</v>
      </c>
      <c r="C7" t="s">
        <v>1050</v>
      </c>
      <c r="D7" t="s">
        <v>1064</v>
      </c>
      <c r="E7" t="s">
        <v>1030</v>
      </c>
      <c r="J7" t="s">
        <v>1068</v>
      </c>
      <c r="K7" t="s">
        <v>881</v>
      </c>
      <c r="L7" s="120">
        <f>'Phan tich_TB'!DN6</f>
        <v>0</v>
      </c>
      <c r="M7" t="s">
        <v>1065</v>
      </c>
      <c r="P7" t="s">
        <v>1066</v>
      </c>
    </row>
    <row r="8" spans="1:24" x14ac:dyDescent="0.3">
      <c r="A8" s="157">
        <f t="shared" si="1"/>
        <v>2474</v>
      </c>
      <c r="B8" s="124">
        <f t="shared" si="0"/>
        <v>46252</v>
      </c>
      <c r="C8" t="s">
        <v>1050</v>
      </c>
      <c r="D8" t="s">
        <v>1064</v>
      </c>
      <c r="E8" t="s">
        <v>1030</v>
      </c>
      <c r="J8" t="s">
        <v>1068</v>
      </c>
      <c r="K8" t="s">
        <v>882</v>
      </c>
      <c r="L8" s="120">
        <f>'Phan tich_TB'!DN7</f>
        <v>200</v>
      </c>
      <c r="M8" t="s">
        <v>1065</v>
      </c>
      <c r="P8" t="s">
        <v>1066</v>
      </c>
    </row>
    <row r="9" spans="1:24" x14ac:dyDescent="0.3">
      <c r="A9" s="157">
        <f t="shared" si="1"/>
        <v>2474</v>
      </c>
      <c r="B9" s="124">
        <f t="shared" si="0"/>
        <v>46252</v>
      </c>
      <c r="C9" t="s">
        <v>1050</v>
      </c>
      <c r="D9" t="s">
        <v>1064</v>
      </c>
      <c r="E9" t="s">
        <v>1030</v>
      </c>
      <c r="J9" t="s">
        <v>1068</v>
      </c>
      <c r="K9" t="s">
        <v>883</v>
      </c>
      <c r="L9" s="120">
        <f>'Phan tich_TB'!DN8</f>
        <v>1750</v>
      </c>
      <c r="M9" t="s">
        <v>1065</v>
      </c>
      <c r="P9" t="s">
        <v>1066</v>
      </c>
    </row>
    <row r="10" spans="1:24" x14ac:dyDescent="0.3">
      <c r="A10" s="157">
        <f t="shared" si="1"/>
        <v>2474</v>
      </c>
      <c r="B10" s="124">
        <f t="shared" si="0"/>
        <v>46252</v>
      </c>
      <c r="C10" t="s">
        <v>1050</v>
      </c>
      <c r="D10" t="s">
        <v>1064</v>
      </c>
      <c r="E10" t="s">
        <v>1030</v>
      </c>
      <c r="J10" t="s">
        <v>1068</v>
      </c>
      <c r="K10" t="s">
        <v>884</v>
      </c>
      <c r="L10" s="120">
        <f>'Phan tich_TB'!DN9</f>
        <v>500</v>
      </c>
      <c r="M10" t="s">
        <v>1065</v>
      </c>
      <c r="P10" t="s">
        <v>1066</v>
      </c>
    </row>
    <row r="11" spans="1:24" x14ac:dyDescent="0.3">
      <c r="A11" s="157">
        <f t="shared" si="1"/>
        <v>2474</v>
      </c>
      <c r="B11" s="124">
        <f t="shared" si="0"/>
        <v>46252</v>
      </c>
      <c r="C11" t="s">
        <v>1050</v>
      </c>
      <c r="D11" t="s">
        <v>1064</v>
      </c>
      <c r="E11" t="s">
        <v>1030</v>
      </c>
      <c r="J11" t="s">
        <v>1068</v>
      </c>
      <c r="K11" t="s">
        <v>885</v>
      </c>
      <c r="L11" s="120">
        <f>'Phan tich_TB'!DN10</f>
        <v>0</v>
      </c>
      <c r="M11" t="s">
        <v>1065</v>
      </c>
      <c r="P11" t="s">
        <v>1066</v>
      </c>
    </row>
    <row r="12" spans="1:24" x14ac:dyDescent="0.3">
      <c r="A12" s="157">
        <f t="shared" si="1"/>
        <v>2474</v>
      </c>
      <c r="B12" s="124">
        <f t="shared" si="0"/>
        <v>46252</v>
      </c>
      <c r="C12" t="s">
        <v>1050</v>
      </c>
      <c r="D12" t="s">
        <v>1064</v>
      </c>
      <c r="E12" t="s">
        <v>1030</v>
      </c>
      <c r="J12" t="s">
        <v>1068</v>
      </c>
      <c r="K12" t="s">
        <v>886</v>
      </c>
      <c r="L12" s="120">
        <f>'Phan tich_TB'!DN11</f>
        <v>0</v>
      </c>
      <c r="M12" t="s">
        <v>1065</v>
      </c>
      <c r="P12" t="s">
        <v>1066</v>
      </c>
    </row>
    <row r="13" spans="1:24" x14ac:dyDescent="0.3">
      <c r="A13" s="157">
        <f t="shared" si="1"/>
        <v>2474</v>
      </c>
      <c r="B13" s="124">
        <f t="shared" si="0"/>
        <v>46252</v>
      </c>
      <c r="C13" t="s">
        <v>1069</v>
      </c>
      <c r="D13" t="s">
        <v>1064</v>
      </c>
      <c r="E13" t="s">
        <v>1030</v>
      </c>
      <c r="F13" t="s">
        <v>1030</v>
      </c>
      <c r="L13" s="120">
        <f>'Phan tich_TB'!DX1</f>
        <v>2200.6685000000002</v>
      </c>
      <c r="M13" t="s">
        <v>1065</v>
      </c>
      <c r="P13" t="s">
        <v>1066</v>
      </c>
    </row>
    <row r="14" spans="1:24" x14ac:dyDescent="0.3">
      <c r="A14" s="157">
        <f t="shared" si="1"/>
        <v>2474</v>
      </c>
      <c r="B14" s="124">
        <f t="shared" si="0"/>
        <v>46252</v>
      </c>
      <c r="C14" t="s">
        <v>1069</v>
      </c>
      <c r="D14" t="s">
        <v>1064</v>
      </c>
      <c r="E14" t="s">
        <v>1030</v>
      </c>
      <c r="J14" t="s">
        <v>1068</v>
      </c>
      <c r="K14" t="s">
        <v>877</v>
      </c>
      <c r="L14" s="120">
        <f>'Phan tich_TB'!DX2</f>
        <v>0</v>
      </c>
      <c r="M14" t="s">
        <v>1065</v>
      </c>
      <c r="P14" t="s">
        <v>1066</v>
      </c>
    </row>
    <row r="15" spans="1:24" x14ac:dyDescent="0.3">
      <c r="A15" s="157">
        <f t="shared" si="1"/>
        <v>2474</v>
      </c>
      <c r="B15" s="124">
        <f t="shared" si="0"/>
        <v>46252</v>
      </c>
      <c r="C15" t="s">
        <v>1069</v>
      </c>
      <c r="D15" t="s">
        <v>1064</v>
      </c>
      <c r="E15" t="s">
        <v>1030</v>
      </c>
      <c r="J15" t="s">
        <v>1068</v>
      </c>
      <c r="K15" t="s">
        <v>878</v>
      </c>
      <c r="L15" s="120">
        <f>'Phan tich_TB'!DX3</f>
        <v>0</v>
      </c>
      <c r="M15" t="s">
        <v>1065</v>
      </c>
      <c r="P15" t="s">
        <v>1066</v>
      </c>
    </row>
    <row r="16" spans="1:24" x14ac:dyDescent="0.3">
      <c r="A16" s="157">
        <f t="shared" si="1"/>
        <v>2474</v>
      </c>
      <c r="B16" s="124">
        <f t="shared" si="0"/>
        <v>46252</v>
      </c>
      <c r="C16" t="s">
        <v>1069</v>
      </c>
      <c r="D16" t="s">
        <v>1064</v>
      </c>
      <c r="E16" t="s">
        <v>1030</v>
      </c>
      <c r="J16" t="s">
        <v>1068</v>
      </c>
      <c r="K16" t="s">
        <v>879</v>
      </c>
      <c r="L16" s="120">
        <f>'Phan tich_TB'!DX4</f>
        <v>0</v>
      </c>
      <c r="M16" t="s">
        <v>1065</v>
      </c>
      <c r="P16" t="s">
        <v>1066</v>
      </c>
    </row>
    <row r="17" spans="1:16" x14ac:dyDescent="0.3">
      <c r="A17" s="157">
        <f t="shared" si="1"/>
        <v>2474</v>
      </c>
      <c r="B17" s="124">
        <f t="shared" si="0"/>
        <v>46252</v>
      </c>
      <c r="C17" t="s">
        <v>1069</v>
      </c>
      <c r="D17" t="s">
        <v>1064</v>
      </c>
      <c r="E17" t="s">
        <v>1030</v>
      </c>
      <c r="J17" t="s">
        <v>1068</v>
      </c>
      <c r="K17" t="s">
        <v>880</v>
      </c>
      <c r="L17" s="120">
        <f>'Phan tich_TB'!DX5</f>
        <v>0</v>
      </c>
      <c r="M17" t="s">
        <v>1065</v>
      </c>
      <c r="P17" t="s">
        <v>1066</v>
      </c>
    </row>
    <row r="18" spans="1:16" x14ac:dyDescent="0.3">
      <c r="A18" s="157">
        <f t="shared" si="1"/>
        <v>2474</v>
      </c>
      <c r="B18" s="124">
        <f t="shared" si="0"/>
        <v>46252</v>
      </c>
      <c r="C18" t="s">
        <v>1069</v>
      </c>
      <c r="D18" t="s">
        <v>1064</v>
      </c>
      <c r="E18" t="s">
        <v>1030</v>
      </c>
      <c r="J18" t="s">
        <v>1068</v>
      </c>
      <c r="K18" t="s">
        <v>881</v>
      </c>
      <c r="L18" s="120">
        <f>'Phan tich_TB'!DX6</f>
        <v>0</v>
      </c>
      <c r="M18" t="s">
        <v>1065</v>
      </c>
      <c r="P18" t="s">
        <v>1066</v>
      </c>
    </row>
    <row r="19" spans="1:16" x14ac:dyDescent="0.3">
      <c r="A19" s="157">
        <f t="shared" si="1"/>
        <v>2474</v>
      </c>
      <c r="B19" s="124">
        <f t="shared" si="0"/>
        <v>46252</v>
      </c>
      <c r="C19" t="s">
        <v>1069</v>
      </c>
      <c r="D19" t="s">
        <v>1064</v>
      </c>
      <c r="E19" t="s">
        <v>1030</v>
      </c>
      <c r="J19" t="s">
        <v>1068</v>
      </c>
      <c r="K19" t="s">
        <v>882</v>
      </c>
      <c r="L19" s="120">
        <f>'Phan tich_TB'!DX7</f>
        <v>200.249</v>
      </c>
      <c r="M19" t="s">
        <v>1065</v>
      </c>
      <c r="P19" t="s">
        <v>1066</v>
      </c>
    </row>
    <row r="20" spans="1:16" x14ac:dyDescent="0.3">
      <c r="A20" s="157">
        <f t="shared" si="1"/>
        <v>2474</v>
      </c>
      <c r="B20" s="124">
        <f t="shared" si="0"/>
        <v>46252</v>
      </c>
      <c r="C20" t="s">
        <v>1069</v>
      </c>
      <c r="D20" t="s">
        <v>1064</v>
      </c>
      <c r="E20" t="s">
        <v>1030</v>
      </c>
      <c r="J20" t="s">
        <v>1068</v>
      </c>
      <c r="K20" t="s">
        <v>883</v>
      </c>
      <c r="L20" s="120">
        <f>'Phan tich_TB'!DX8</f>
        <v>1569.1665</v>
      </c>
      <c r="M20" t="s">
        <v>1065</v>
      </c>
      <c r="P20" t="s">
        <v>1066</v>
      </c>
    </row>
    <row r="21" spans="1:16" x14ac:dyDescent="0.3">
      <c r="A21" s="157">
        <f t="shared" si="1"/>
        <v>2474</v>
      </c>
      <c r="B21" s="124">
        <f t="shared" si="0"/>
        <v>46252</v>
      </c>
      <c r="C21" t="s">
        <v>1069</v>
      </c>
      <c r="D21" t="s">
        <v>1064</v>
      </c>
      <c r="E21" t="s">
        <v>1030</v>
      </c>
      <c r="J21" t="s">
        <v>1068</v>
      </c>
      <c r="K21" t="s">
        <v>884</v>
      </c>
      <c r="L21" s="120">
        <f>'Phan tich_TB'!DX9</f>
        <v>431.25299999999999</v>
      </c>
      <c r="M21" t="s">
        <v>1065</v>
      </c>
      <c r="P21" t="s">
        <v>1066</v>
      </c>
    </row>
    <row r="22" spans="1:16" x14ac:dyDescent="0.3">
      <c r="A22" s="157">
        <f t="shared" si="1"/>
        <v>2474</v>
      </c>
      <c r="B22" s="124">
        <f t="shared" si="0"/>
        <v>46252</v>
      </c>
      <c r="C22" t="s">
        <v>1069</v>
      </c>
      <c r="D22" t="s">
        <v>1064</v>
      </c>
      <c r="E22" t="s">
        <v>1030</v>
      </c>
      <c r="J22" t="s">
        <v>1068</v>
      </c>
      <c r="K22" t="s">
        <v>885</v>
      </c>
      <c r="L22" s="120">
        <f>'Phan tich_TB'!DX10</f>
        <v>0</v>
      </c>
      <c r="M22" t="s">
        <v>1065</v>
      </c>
      <c r="P22" t="s">
        <v>1066</v>
      </c>
    </row>
    <row r="23" spans="1:16" x14ac:dyDescent="0.3">
      <c r="A23" s="157">
        <f t="shared" si="1"/>
        <v>2474</v>
      </c>
      <c r="B23" s="124">
        <f t="shared" si="0"/>
        <v>46252</v>
      </c>
      <c r="C23" t="s">
        <v>1069</v>
      </c>
      <c r="D23" t="s">
        <v>1064</v>
      </c>
      <c r="E23" t="s">
        <v>1030</v>
      </c>
      <c r="J23" t="s">
        <v>1068</v>
      </c>
      <c r="K23" t="s">
        <v>886</v>
      </c>
      <c r="L23" s="120">
        <f>'Phan tich_TB'!DX11</f>
        <v>0</v>
      </c>
      <c r="M23" t="s">
        <v>1065</v>
      </c>
      <c r="P23" t="s">
        <v>1066</v>
      </c>
    </row>
    <row r="24" spans="1:16" x14ac:dyDescent="0.3">
      <c r="A24" s="157">
        <f t="shared" si="1"/>
        <v>2474</v>
      </c>
      <c r="B24" s="124">
        <f t="shared" si="0"/>
        <v>46252</v>
      </c>
      <c r="C24" t="s">
        <v>735</v>
      </c>
      <c r="D24" t="s">
        <v>1064</v>
      </c>
      <c r="E24" t="s">
        <v>1030</v>
      </c>
      <c r="L24" s="32">
        <f>'Phan tich_TB'!EC1</f>
        <v>7.7040228912260069</v>
      </c>
      <c r="M24" t="s">
        <v>1070</v>
      </c>
      <c r="P24" t="s">
        <v>1066</v>
      </c>
    </row>
    <row r="25" spans="1:16" x14ac:dyDescent="0.3">
      <c r="A25" s="157">
        <f t="shared" si="1"/>
        <v>2474</v>
      </c>
      <c r="B25" s="124">
        <f t="shared" si="0"/>
        <v>46252</v>
      </c>
      <c r="C25" t="s">
        <v>1071</v>
      </c>
      <c r="D25" t="s">
        <v>1064</v>
      </c>
      <c r="E25" t="s">
        <v>1030</v>
      </c>
      <c r="L25" s="32">
        <f>'Phan tich_TB'!EC2</f>
        <v>7.4877033955818426</v>
      </c>
      <c r="P25" t="s">
        <v>1066</v>
      </c>
    </row>
    <row r="26" spans="1:16" x14ac:dyDescent="0.3">
      <c r="A26" s="157">
        <f t="shared" si="1"/>
        <v>2474</v>
      </c>
      <c r="B26" s="124">
        <f t="shared" si="0"/>
        <v>46252</v>
      </c>
      <c r="C26" t="s">
        <v>1071</v>
      </c>
      <c r="D26" t="s">
        <v>1064</v>
      </c>
      <c r="E26" t="s">
        <v>1030</v>
      </c>
      <c r="J26" t="s">
        <v>1068</v>
      </c>
      <c r="K26" t="s">
        <v>877</v>
      </c>
      <c r="L26" s="32">
        <f>'Phan tich_TB'!EC3</f>
        <v>0</v>
      </c>
      <c r="P26" t="s">
        <v>1066</v>
      </c>
    </row>
    <row r="27" spans="1:16" x14ac:dyDescent="0.3">
      <c r="A27" s="157">
        <f t="shared" si="1"/>
        <v>2474</v>
      </c>
      <c r="B27" s="124">
        <f t="shared" si="0"/>
        <v>46252</v>
      </c>
      <c r="C27" t="s">
        <v>1071</v>
      </c>
      <c r="D27" t="s">
        <v>1064</v>
      </c>
      <c r="E27" t="s">
        <v>1030</v>
      </c>
      <c r="J27" t="s">
        <v>1068</v>
      </c>
      <c r="K27" t="s">
        <v>878</v>
      </c>
      <c r="L27" s="32">
        <f>'Phan tich_TB'!EC4</f>
        <v>0</v>
      </c>
      <c r="P27" t="s">
        <v>1066</v>
      </c>
    </row>
    <row r="28" spans="1:16" x14ac:dyDescent="0.3">
      <c r="A28" s="157">
        <f t="shared" si="1"/>
        <v>2474</v>
      </c>
      <c r="B28" s="124">
        <f t="shared" si="0"/>
        <v>46252</v>
      </c>
      <c r="C28" t="s">
        <v>1071</v>
      </c>
      <c r="D28" t="s">
        <v>1064</v>
      </c>
      <c r="E28" t="s">
        <v>1030</v>
      </c>
      <c r="J28" t="s">
        <v>1068</v>
      </c>
      <c r="K28" t="s">
        <v>879</v>
      </c>
      <c r="L28" s="32">
        <f>'Phan tich_TB'!EC5</f>
        <v>0</v>
      </c>
      <c r="P28" t="s">
        <v>1066</v>
      </c>
    </row>
    <row r="29" spans="1:16" x14ac:dyDescent="0.3">
      <c r="A29" s="157">
        <f t="shared" si="1"/>
        <v>2474</v>
      </c>
      <c r="B29" s="124">
        <f t="shared" si="0"/>
        <v>46252</v>
      </c>
      <c r="C29" t="s">
        <v>1071</v>
      </c>
      <c r="D29" t="s">
        <v>1064</v>
      </c>
      <c r="E29" t="s">
        <v>1030</v>
      </c>
      <c r="J29" t="s">
        <v>1068</v>
      </c>
      <c r="K29" t="s">
        <v>880</v>
      </c>
      <c r="L29" s="32">
        <f>'Phan tich_TB'!EC6</f>
        <v>0</v>
      </c>
      <c r="P29" t="s">
        <v>1066</v>
      </c>
    </row>
    <row r="30" spans="1:16" x14ac:dyDescent="0.3">
      <c r="A30" s="157">
        <f t="shared" si="1"/>
        <v>2474</v>
      </c>
      <c r="B30" s="124">
        <f t="shared" si="0"/>
        <v>46252</v>
      </c>
      <c r="C30" t="s">
        <v>1071</v>
      </c>
      <c r="D30" t="s">
        <v>1064</v>
      </c>
      <c r="E30" t="s">
        <v>1030</v>
      </c>
      <c r="J30" t="s">
        <v>1068</v>
      </c>
      <c r="K30" t="s">
        <v>881</v>
      </c>
      <c r="L30" s="32">
        <f>'Phan tich_TB'!EC7</f>
        <v>0</v>
      </c>
      <c r="P30" t="s">
        <v>1066</v>
      </c>
    </row>
    <row r="31" spans="1:16" x14ac:dyDescent="0.3">
      <c r="A31" s="157">
        <f t="shared" si="1"/>
        <v>2474</v>
      </c>
      <c r="B31" s="124">
        <f t="shared" si="0"/>
        <v>46252</v>
      </c>
      <c r="C31" t="s">
        <v>1071</v>
      </c>
      <c r="D31" t="s">
        <v>1064</v>
      </c>
      <c r="E31" t="s">
        <v>1030</v>
      </c>
      <c r="J31" t="s">
        <v>1068</v>
      </c>
      <c r="K31" t="s">
        <v>882</v>
      </c>
      <c r="L31" s="32">
        <f>'Phan tich_TB'!EC8</f>
        <v>6.215074731958711</v>
      </c>
      <c r="P31" t="s">
        <v>1066</v>
      </c>
    </row>
    <row r="32" spans="1:16" x14ac:dyDescent="0.3">
      <c r="A32" s="157">
        <f t="shared" si="1"/>
        <v>2474</v>
      </c>
      <c r="B32" s="124">
        <f t="shared" si="0"/>
        <v>46252</v>
      </c>
      <c r="C32" t="s">
        <v>1071</v>
      </c>
      <c r="D32" t="s">
        <v>1064</v>
      </c>
      <c r="E32" t="s">
        <v>1030</v>
      </c>
      <c r="J32" t="s">
        <v>1068</v>
      </c>
      <c r="K32" t="s">
        <v>883</v>
      </c>
      <c r="L32" s="32">
        <f>'Phan tich_TB'!EC9</f>
        <v>7.2344862702587651</v>
      </c>
      <c r="P32" t="s">
        <v>1066</v>
      </c>
    </row>
    <row r="33" spans="1:16" x14ac:dyDescent="0.3">
      <c r="A33" s="157">
        <f t="shared" si="1"/>
        <v>2474</v>
      </c>
      <c r="B33" s="124">
        <f t="shared" si="0"/>
        <v>46252</v>
      </c>
      <c r="C33" t="s">
        <v>1071</v>
      </c>
      <c r="D33" t="s">
        <v>1064</v>
      </c>
      <c r="E33" t="s">
        <v>1030</v>
      </c>
      <c r="J33" t="s">
        <v>1068</v>
      </c>
      <c r="K33" t="s">
        <v>884</v>
      </c>
      <c r="L33" s="32">
        <f>'Phan tich_TB'!EC10</f>
        <v>9</v>
      </c>
      <c r="P33" t="s">
        <v>1066</v>
      </c>
    </row>
    <row r="34" spans="1:16" x14ac:dyDescent="0.3">
      <c r="A34" s="157">
        <f t="shared" si="1"/>
        <v>2474</v>
      </c>
      <c r="B34" s="124">
        <f t="shared" ref="B34:B72" si="2">RPT</f>
        <v>46252</v>
      </c>
      <c r="C34" t="s">
        <v>1071</v>
      </c>
      <c r="D34" t="s">
        <v>1064</v>
      </c>
      <c r="E34" t="s">
        <v>1030</v>
      </c>
      <c r="J34" t="s">
        <v>1068</v>
      </c>
      <c r="K34" t="s">
        <v>885</v>
      </c>
      <c r="L34" s="32">
        <f>'Phan tich_TB'!EC11</f>
        <v>0</v>
      </c>
      <c r="P34" t="s">
        <v>1066</v>
      </c>
    </row>
    <row r="35" spans="1:16" x14ac:dyDescent="0.3">
      <c r="A35" s="157">
        <f t="shared" si="1"/>
        <v>2474</v>
      </c>
      <c r="B35" s="124">
        <f t="shared" si="2"/>
        <v>46252</v>
      </c>
      <c r="C35" t="s">
        <v>1071</v>
      </c>
      <c r="D35" t="s">
        <v>1064</v>
      </c>
      <c r="E35" t="s">
        <v>1030</v>
      </c>
      <c r="J35" t="s">
        <v>1068</v>
      </c>
      <c r="K35" t="s">
        <v>886</v>
      </c>
      <c r="L35" s="32">
        <f>'Phan tich_TB'!EC12</f>
        <v>0</v>
      </c>
      <c r="P35" t="s">
        <v>1066</v>
      </c>
    </row>
    <row r="36" spans="1:16" x14ac:dyDescent="0.3">
      <c r="A36" s="157">
        <f t="shared" si="1"/>
        <v>2474</v>
      </c>
      <c r="B36" s="124">
        <f t="shared" si="2"/>
        <v>46252</v>
      </c>
      <c r="C36" t="s">
        <v>854</v>
      </c>
      <c r="D36" t="s">
        <v>1064</v>
      </c>
      <c r="E36" t="s">
        <v>1030</v>
      </c>
      <c r="L36" s="32">
        <f>'Phan tich_TB'!EC13</f>
        <v>68.19766743605409</v>
      </c>
      <c r="P36" t="s">
        <v>1066</v>
      </c>
    </row>
    <row r="37" spans="1:16" x14ac:dyDescent="0.3">
      <c r="A37" s="157">
        <f t="shared" si="1"/>
        <v>2474</v>
      </c>
      <c r="B37" s="124">
        <f t="shared" si="2"/>
        <v>46252</v>
      </c>
      <c r="C37" t="s">
        <v>852</v>
      </c>
      <c r="D37" t="s">
        <v>1064</v>
      </c>
      <c r="E37" t="s">
        <v>1030</v>
      </c>
      <c r="L37" s="120">
        <f>'Phan tich_TB'!EH1</f>
        <v>-1.6653473892575001</v>
      </c>
      <c r="M37" t="s">
        <v>1065</v>
      </c>
      <c r="P37" t="s">
        <v>1066</v>
      </c>
    </row>
    <row r="38" spans="1:16" x14ac:dyDescent="0.3">
      <c r="A38" s="157">
        <f t="shared" si="1"/>
        <v>2474</v>
      </c>
      <c r="B38" s="124">
        <f t="shared" si="2"/>
        <v>46252</v>
      </c>
      <c r="C38" t="s">
        <v>852</v>
      </c>
      <c r="D38" t="s">
        <v>1064</v>
      </c>
      <c r="E38" t="s">
        <v>1030</v>
      </c>
      <c r="J38" t="s">
        <v>1068</v>
      </c>
      <c r="K38" t="s">
        <v>877</v>
      </c>
      <c r="L38" s="120">
        <f>'Phan tich_TB'!EH4</f>
        <v>0</v>
      </c>
      <c r="M38" t="s">
        <v>1065</v>
      </c>
      <c r="P38" t="s">
        <v>1066</v>
      </c>
    </row>
    <row r="39" spans="1:16" x14ac:dyDescent="0.3">
      <c r="A39" s="157">
        <f t="shared" si="1"/>
        <v>2474</v>
      </c>
      <c r="B39" s="124">
        <f t="shared" si="2"/>
        <v>46252</v>
      </c>
      <c r="C39" t="s">
        <v>852</v>
      </c>
      <c r="D39" t="s">
        <v>1064</v>
      </c>
      <c r="E39" t="s">
        <v>1030</v>
      </c>
      <c r="J39" t="s">
        <v>1068</v>
      </c>
      <c r="K39" t="s">
        <v>878</v>
      </c>
      <c r="L39" s="120">
        <f>'Phan tich_TB'!EH5</f>
        <v>0</v>
      </c>
      <c r="M39" t="s">
        <v>1065</v>
      </c>
      <c r="P39" t="s">
        <v>1066</v>
      </c>
    </row>
    <row r="40" spans="1:16" x14ac:dyDescent="0.3">
      <c r="A40" s="157">
        <f t="shared" si="1"/>
        <v>2474</v>
      </c>
      <c r="B40" s="124">
        <f t="shared" si="2"/>
        <v>46252</v>
      </c>
      <c r="C40" t="s">
        <v>852</v>
      </c>
      <c r="D40" t="s">
        <v>1064</v>
      </c>
      <c r="E40" t="s">
        <v>1030</v>
      </c>
      <c r="J40" t="s">
        <v>1068</v>
      </c>
      <c r="K40" t="s">
        <v>879</v>
      </c>
      <c r="L40" s="120">
        <f>'Phan tich_TB'!EH6</f>
        <v>0</v>
      </c>
      <c r="M40" t="s">
        <v>1065</v>
      </c>
      <c r="P40" t="s">
        <v>1066</v>
      </c>
    </row>
    <row r="41" spans="1:16" x14ac:dyDescent="0.3">
      <c r="A41" s="157">
        <f t="shared" si="1"/>
        <v>2474</v>
      </c>
      <c r="B41" s="124">
        <f t="shared" si="2"/>
        <v>46252</v>
      </c>
      <c r="C41" t="s">
        <v>852</v>
      </c>
      <c r="D41" t="s">
        <v>1064</v>
      </c>
      <c r="E41" t="s">
        <v>1030</v>
      </c>
      <c r="J41" t="s">
        <v>1068</v>
      </c>
      <c r="K41" t="s">
        <v>880</v>
      </c>
      <c r="L41" s="120">
        <f>'Phan tich_TB'!EH7</f>
        <v>0</v>
      </c>
      <c r="M41" t="s">
        <v>1065</v>
      </c>
      <c r="P41" t="s">
        <v>1066</v>
      </c>
    </row>
    <row r="42" spans="1:16" x14ac:dyDescent="0.3">
      <c r="A42" s="157">
        <f t="shared" si="1"/>
        <v>2474</v>
      </c>
      <c r="B42" s="124">
        <f t="shared" si="2"/>
        <v>46252</v>
      </c>
      <c r="C42" t="s">
        <v>852</v>
      </c>
      <c r="D42" t="s">
        <v>1064</v>
      </c>
      <c r="E42" t="s">
        <v>1030</v>
      </c>
      <c r="J42" t="s">
        <v>1068</v>
      </c>
      <c r="K42" t="s">
        <v>881</v>
      </c>
      <c r="L42" s="120">
        <f>'Phan tich_TB'!EH8</f>
        <v>0</v>
      </c>
      <c r="M42" t="s">
        <v>1065</v>
      </c>
      <c r="P42" t="s">
        <v>1066</v>
      </c>
    </row>
    <row r="43" spans="1:16" x14ac:dyDescent="0.3">
      <c r="A43" s="157">
        <f t="shared" si="1"/>
        <v>2474</v>
      </c>
      <c r="B43" s="124">
        <f t="shared" si="2"/>
        <v>46252</v>
      </c>
      <c r="C43" t="s">
        <v>852</v>
      </c>
      <c r="D43" t="s">
        <v>1064</v>
      </c>
      <c r="E43" t="s">
        <v>1030</v>
      </c>
      <c r="J43" t="s">
        <v>1068</v>
      </c>
      <c r="K43" t="s">
        <v>882</v>
      </c>
      <c r="L43" s="120">
        <f>'Phan tich_TB'!EH9</f>
        <v>-0.1274391624575</v>
      </c>
      <c r="M43" t="s">
        <v>1065</v>
      </c>
      <c r="P43" t="s">
        <v>1066</v>
      </c>
    </row>
    <row r="44" spans="1:16" x14ac:dyDescent="0.3">
      <c r="A44" s="157">
        <f t="shared" si="1"/>
        <v>2474</v>
      </c>
      <c r="B44" s="124">
        <f t="shared" si="2"/>
        <v>46252</v>
      </c>
      <c r="C44" t="s">
        <v>852</v>
      </c>
      <c r="D44" t="s">
        <v>1064</v>
      </c>
      <c r="E44" t="s">
        <v>1030</v>
      </c>
      <c r="J44" t="s">
        <v>1068</v>
      </c>
      <c r="K44" t="s">
        <v>883</v>
      </c>
      <c r="L44" s="120">
        <f>'Phan tich_TB'!EH10</f>
        <v>-1.1383127481100002</v>
      </c>
      <c r="M44" t="s">
        <v>1065</v>
      </c>
      <c r="P44" t="s">
        <v>1066</v>
      </c>
    </row>
    <row r="45" spans="1:16" x14ac:dyDescent="0.3">
      <c r="A45" s="157">
        <f t="shared" si="1"/>
        <v>2474</v>
      </c>
      <c r="B45" s="124">
        <f t="shared" si="2"/>
        <v>46252</v>
      </c>
      <c r="C45" t="s">
        <v>852</v>
      </c>
      <c r="D45" t="s">
        <v>1064</v>
      </c>
      <c r="E45" t="s">
        <v>1030</v>
      </c>
      <c r="J45" t="s">
        <v>1068</v>
      </c>
      <c r="K45" t="s">
        <v>884</v>
      </c>
      <c r="L45" s="120">
        <f>'Phan tich_TB'!EH11</f>
        <v>-0.39959547869000006</v>
      </c>
      <c r="M45" t="s">
        <v>1065</v>
      </c>
      <c r="P45" t="s">
        <v>1066</v>
      </c>
    </row>
    <row r="46" spans="1:16" x14ac:dyDescent="0.3">
      <c r="A46" s="157">
        <f t="shared" si="1"/>
        <v>2474</v>
      </c>
      <c r="B46" s="124">
        <f t="shared" si="2"/>
        <v>46252</v>
      </c>
      <c r="C46" t="s">
        <v>852</v>
      </c>
      <c r="D46" t="s">
        <v>1064</v>
      </c>
      <c r="E46" t="s">
        <v>1030</v>
      </c>
      <c r="J46" t="s">
        <v>1068</v>
      </c>
      <c r="K46" t="s">
        <v>885</v>
      </c>
      <c r="L46" s="120">
        <f>'Phan tich_TB'!EH12</f>
        <v>0</v>
      </c>
      <c r="M46" t="s">
        <v>1065</v>
      </c>
      <c r="P46" t="s">
        <v>1066</v>
      </c>
    </row>
    <row r="47" spans="1:16" x14ac:dyDescent="0.3">
      <c r="A47" s="157">
        <f t="shared" si="1"/>
        <v>2474</v>
      </c>
      <c r="B47" s="124">
        <f t="shared" si="2"/>
        <v>46252</v>
      </c>
      <c r="C47" t="s">
        <v>852</v>
      </c>
      <c r="D47" t="s">
        <v>1064</v>
      </c>
      <c r="E47" t="s">
        <v>1030</v>
      </c>
      <c r="J47" t="s">
        <v>1068</v>
      </c>
      <c r="K47" t="s">
        <v>886</v>
      </c>
      <c r="L47" s="120">
        <f>'Phan tich_TB'!EH13</f>
        <v>0</v>
      </c>
      <c r="M47" t="s">
        <v>1065</v>
      </c>
      <c r="P47" t="s">
        <v>1066</v>
      </c>
    </row>
    <row r="48" spans="1:16" x14ac:dyDescent="0.3">
      <c r="A48" s="157">
        <f t="shared" si="1"/>
        <v>2474</v>
      </c>
      <c r="B48" s="124">
        <f t="shared" si="2"/>
        <v>46252</v>
      </c>
      <c r="C48" t="s">
        <v>1072</v>
      </c>
      <c r="D48" t="s">
        <v>1064</v>
      </c>
      <c r="E48" t="s">
        <v>1030</v>
      </c>
      <c r="L48" s="120">
        <f>'Phan tich_TB'!EH14</f>
        <v>-159.01013757499999</v>
      </c>
      <c r="M48" t="s">
        <v>1065</v>
      </c>
      <c r="P48" t="s">
        <v>1066</v>
      </c>
    </row>
    <row r="49" spans="1:20" x14ac:dyDescent="0.3">
      <c r="A49" s="157">
        <f t="shared" si="1"/>
        <v>2474</v>
      </c>
      <c r="B49" s="124">
        <f t="shared" si="2"/>
        <v>46252</v>
      </c>
      <c r="C49" t="s">
        <v>1072</v>
      </c>
      <c r="D49" t="s">
        <v>1064</v>
      </c>
      <c r="E49" t="s">
        <v>1030</v>
      </c>
      <c r="J49" t="s">
        <v>1068</v>
      </c>
      <c r="K49" t="s">
        <v>877</v>
      </c>
      <c r="L49" s="120">
        <f>'Phan tich_TB'!EH17</f>
        <v>0</v>
      </c>
      <c r="M49" t="s">
        <v>1065</v>
      </c>
      <c r="P49" t="s">
        <v>1066</v>
      </c>
    </row>
    <row r="50" spans="1:20" x14ac:dyDescent="0.3">
      <c r="A50" s="157">
        <f t="shared" si="1"/>
        <v>2474</v>
      </c>
      <c r="B50" s="124">
        <f t="shared" si="2"/>
        <v>46252</v>
      </c>
      <c r="C50" t="s">
        <v>1072</v>
      </c>
      <c r="D50" t="s">
        <v>1064</v>
      </c>
      <c r="E50" t="s">
        <v>1030</v>
      </c>
      <c r="J50" t="s">
        <v>1068</v>
      </c>
      <c r="K50" t="s">
        <v>878</v>
      </c>
      <c r="L50" s="120">
        <f>'Phan tich_TB'!EH18</f>
        <v>0</v>
      </c>
      <c r="M50" t="s">
        <v>1065</v>
      </c>
      <c r="P50" t="s">
        <v>1066</v>
      </c>
    </row>
    <row r="51" spans="1:20" x14ac:dyDescent="0.3">
      <c r="A51" s="157">
        <f t="shared" si="1"/>
        <v>2474</v>
      </c>
      <c r="B51" s="124">
        <f t="shared" si="2"/>
        <v>46252</v>
      </c>
      <c r="C51" t="s">
        <v>1072</v>
      </c>
      <c r="D51" t="s">
        <v>1064</v>
      </c>
      <c r="E51" t="s">
        <v>1030</v>
      </c>
      <c r="J51" t="s">
        <v>1068</v>
      </c>
      <c r="K51" t="s">
        <v>879</v>
      </c>
      <c r="L51" s="120">
        <f>'Phan tich_TB'!EH19</f>
        <v>0</v>
      </c>
      <c r="M51" t="s">
        <v>1065</v>
      </c>
      <c r="P51" t="s">
        <v>1066</v>
      </c>
    </row>
    <row r="52" spans="1:20" x14ac:dyDescent="0.3">
      <c r="A52" s="157">
        <f t="shared" si="1"/>
        <v>2474</v>
      </c>
      <c r="B52" s="124">
        <f t="shared" si="2"/>
        <v>46252</v>
      </c>
      <c r="C52" t="s">
        <v>1072</v>
      </c>
      <c r="D52" t="s">
        <v>1064</v>
      </c>
      <c r="E52" t="s">
        <v>1030</v>
      </c>
      <c r="J52" t="s">
        <v>1068</v>
      </c>
      <c r="K52" t="s">
        <v>880</v>
      </c>
      <c r="L52" s="120">
        <f>'Phan tich_TB'!EH20</f>
        <v>0</v>
      </c>
      <c r="M52" t="s">
        <v>1065</v>
      </c>
      <c r="P52" t="s">
        <v>1066</v>
      </c>
    </row>
    <row r="53" spans="1:20" x14ac:dyDescent="0.3">
      <c r="A53" s="157">
        <f t="shared" si="1"/>
        <v>2474</v>
      </c>
      <c r="B53" s="124">
        <f t="shared" si="2"/>
        <v>46252</v>
      </c>
      <c r="C53" t="s">
        <v>1072</v>
      </c>
      <c r="D53" t="s">
        <v>1064</v>
      </c>
      <c r="E53" t="s">
        <v>1030</v>
      </c>
      <c r="J53" t="s">
        <v>1068</v>
      </c>
      <c r="K53" t="s">
        <v>881</v>
      </c>
      <c r="L53" s="120">
        <f>'Phan tich_TB'!EH21</f>
        <v>0</v>
      </c>
      <c r="M53" t="s">
        <v>1065</v>
      </c>
      <c r="P53" t="s">
        <v>1066</v>
      </c>
    </row>
    <row r="54" spans="1:20" x14ac:dyDescent="0.3">
      <c r="A54" s="157">
        <f t="shared" si="1"/>
        <v>2474</v>
      </c>
      <c r="B54" s="124">
        <f t="shared" si="2"/>
        <v>46252</v>
      </c>
      <c r="C54" t="s">
        <v>1072</v>
      </c>
      <c r="D54" t="s">
        <v>1064</v>
      </c>
      <c r="E54" t="s">
        <v>1030</v>
      </c>
      <c r="J54" t="s">
        <v>1068</v>
      </c>
      <c r="K54" t="s">
        <v>882</v>
      </c>
      <c r="L54" s="120">
        <f>'Phan tich_TB'!EH22</f>
        <v>-12.265869575</v>
      </c>
      <c r="M54" t="s">
        <v>1065</v>
      </c>
      <c r="P54" t="s">
        <v>1066</v>
      </c>
    </row>
    <row r="55" spans="1:20" x14ac:dyDescent="0.3">
      <c r="A55" s="157">
        <f t="shared" si="1"/>
        <v>2474</v>
      </c>
      <c r="B55" s="124">
        <f t="shared" si="2"/>
        <v>46252</v>
      </c>
      <c r="C55" t="s">
        <v>1072</v>
      </c>
      <c r="D55" t="s">
        <v>1064</v>
      </c>
      <c r="E55" t="s">
        <v>1030</v>
      </c>
      <c r="J55" t="s">
        <v>1068</v>
      </c>
      <c r="K55" t="s">
        <v>883</v>
      </c>
      <c r="L55" s="120">
        <f>'Phan tich_TB'!EH23</f>
        <v>-109.16390110000002</v>
      </c>
      <c r="M55" t="s">
        <v>1065</v>
      </c>
      <c r="P55" t="s">
        <v>1066</v>
      </c>
    </row>
    <row r="56" spans="1:20" x14ac:dyDescent="0.3">
      <c r="A56" s="157">
        <f t="shared" si="1"/>
        <v>2474</v>
      </c>
      <c r="B56" s="124">
        <f t="shared" si="2"/>
        <v>46252</v>
      </c>
      <c r="C56" t="s">
        <v>1072</v>
      </c>
      <c r="D56" t="s">
        <v>1064</v>
      </c>
      <c r="E56" t="s">
        <v>1030</v>
      </c>
      <c r="J56" t="s">
        <v>1068</v>
      </c>
      <c r="K56" t="s">
        <v>884</v>
      </c>
      <c r="L56" s="120">
        <f>'Phan tich_TB'!EH24</f>
        <v>-37.580366900000001</v>
      </c>
      <c r="M56" t="s">
        <v>1065</v>
      </c>
      <c r="P56" t="s">
        <v>1066</v>
      </c>
    </row>
    <row r="57" spans="1:20" x14ac:dyDescent="0.3">
      <c r="A57" s="157">
        <f t="shared" si="1"/>
        <v>2474</v>
      </c>
      <c r="B57" s="124">
        <f t="shared" si="2"/>
        <v>46252</v>
      </c>
      <c r="C57" t="s">
        <v>1072</v>
      </c>
      <c r="D57" t="s">
        <v>1064</v>
      </c>
      <c r="E57" t="s">
        <v>1030</v>
      </c>
      <c r="J57" t="s">
        <v>1068</v>
      </c>
      <c r="K57" t="s">
        <v>885</v>
      </c>
      <c r="L57" s="120">
        <f>'Phan tich_TB'!EH25</f>
        <v>0</v>
      </c>
      <c r="M57" t="s">
        <v>1065</v>
      </c>
      <c r="P57" t="s">
        <v>1066</v>
      </c>
    </row>
    <row r="58" spans="1:20" x14ac:dyDescent="0.3">
      <c r="A58" s="157">
        <f t="shared" si="1"/>
        <v>2474</v>
      </c>
      <c r="B58" s="124">
        <f t="shared" si="2"/>
        <v>46252</v>
      </c>
      <c r="C58" t="s">
        <v>1072</v>
      </c>
      <c r="D58" t="s">
        <v>1064</v>
      </c>
      <c r="E58" t="s">
        <v>1030</v>
      </c>
      <c r="J58" t="s">
        <v>1068</v>
      </c>
      <c r="K58" t="s">
        <v>886</v>
      </c>
      <c r="L58" s="120">
        <f>'Phan tich_TB'!EH26</f>
        <v>0</v>
      </c>
      <c r="M58" t="s">
        <v>1065</v>
      </c>
      <c r="P58" t="s">
        <v>1066</v>
      </c>
    </row>
    <row r="59" spans="1:20" x14ac:dyDescent="0.3">
      <c r="A59" s="157">
        <f t="shared" si="1"/>
        <v>2474</v>
      </c>
      <c r="B59" s="124">
        <f t="shared" si="2"/>
        <v>46252</v>
      </c>
      <c r="C59" t="s">
        <v>1075</v>
      </c>
      <c r="D59" t="s">
        <v>1064</v>
      </c>
      <c r="E59" t="s">
        <v>1030</v>
      </c>
      <c r="L59" s="120">
        <f>'Phan tich_TB'!DS5</f>
        <v>0.57049999999753709</v>
      </c>
      <c r="M59" t="s">
        <v>1065</v>
      </c>
      <c r="P59" t="s">
        <v>1066</v>
      </c>
      <c r="T59" t="s">
        <v>1073</v>
      </c>
    </row>
    <row r="60" spans="1:20" x14ac:dyDescent="0.3">
      <c r="A60" s="157">
        <f t="shared" si="1"/>
        <v>2474</v>
      </c>
      <c r="B60" s="124">
        <f t="shared" si="2"/>
        <v>46252</v>
      </c>
      <c r="C60" t="s">
        <v>1074</v>
      </c>
      <c r="D60" t="s">
        <v>1064</v>
      </c>
      <c r="E60" t="s">
        <v>1030</v>
      </c>
      <c r="L60" s="120">
        <f>'Phan tich_TB'!DS4</f>
        <v>-4.2510000000024775</v>
      </c>
      <c r="M60" t="s">
        <v>1065</v>
      </c>
      <c r="P60" t="s">
        <v>1066</v>
      </c>
      <c r="T60" t="s">
        <v>1073</v>
      </c>
    </row>
    <row r="61" spans="1:20" x14ac:dyDescent="0.3">
      <c r="A61" s="157">
        <f t="shared" si="1"/>
        <v>2474</v>
      </c>
      <c r="B61" s="124">
        <f t="shared" si="2"/>
        <v>46252</v>
      </c>
      <c r="C61" t="s">
        <v>1049</v>
      </c>
      <c r="D61" t="s">
        <v>1064</v>
      </c>
      <c r="E61" t="s">
        <v>1030</v>
      </c>
      <c r="I61" t="s">
        <v>1049</v>
      </c>
      <c r="L61" s="120">
        <f>'Phan tich_TB'!DS3</f>
        <v>-84.667999999999438</v>
      </c>
      <c r="M61" t="s">
        <v>1065</v>
      </c>
      <c r="P61" t="s">
        <v>1066</v>
      </c>
      <c r="T61" t="s">
        <v>1073</v>
      </c>
    </row>
    <row r="62" spans="1:20" x14ac:dyDescent="0.3">
      <c r="A62" s="157">
        <f t="shared" si="1"/>
        <v>2474</v>
      </c>
      <c r="B62" s="124">
        <f t="shared" si="2"/>
        <v>46252</v>
      </c>
      <c r="C62" t="s">
        <v>1051</v>
      </c>
      <c r="D62" t="s">
        <v>1084</v>
      </c>
      <c r="E62" t="s">
        <v>1030</v>
      </c>
      <c r="I62" t="s">
        <v>1051</v>
      </c>
      <c r="L62" s="120">
        <f>'Phan tich_TB'!DS8</f>
        <v>-84.667999999999438</v>
      </c>
      <c r="M62" t="s">
        <v>1065</v>
      </c>
      <c r="P62" t="s">
        <v>1066</v>
      </c>
      <c r="S62" t="s">
        <v>2234</v>
      </c>
      <c r="T62" t="s">
        <v>1073</v>
      </c>
    </row>
    <row r="63" spans="1:20" x14ac:dyDescent="0.3">
      <c r="A63" s="157">
        <f t="shared" si="1"/>
        <v>2474</v>
      </c>
      <c r="B63" s="124">
        <f t="shared" si="2"/>
        <v>46252</v>
      </c>
      <c r="C63" t="s">
        <v>890</v>
      </c>
      <c r="D63" t="s">
        <v>1064</v>
      </c>
      <c r="E63" t="s">
        <v>1030</v>
      </c>
      <c r="I63" t="s">
        <v>1076</v>
      </c>
      <c r="L63" s="120">
        <f>'Phan tich_TB'!DS1</f>
        <v>1725.2544600985673</v>
      </c>
      <c r="M63" t="s">
        <v>1065</v>
      </c>
      <c r="P63" t="s">
        <v>1066</v>
      </c>
      <c r="T63" t="s">
        <v>1073</v>
      </c>
    </row>
    <row r="64" spans="1:20" x14ac:dyDescent="0.3">
      <c r="A64" s="157">
        <f t="shared" si="1"/>
        <v>2474</v>
      </c>
      <c r="B64" s="124">
        <f t="shared" si="2"/>
        <v>46252</v>
      </c>
      <c r="C64" t="s">
        <v>890</v>
      </c>
      <c r="D64" t="s">
        <v>1064</v>
      </c>
      <c r="E64" t="s">
        <v>1030</v>
      </c>
      <c r="I64" t="s">
        <v>1077</v>
      </c>
      <c r="L64" s="120">
        <f>'Phan tich_TB'!DS2</f>
        <v>-235.3748966889828</v>
      </c>
      <c r="M64" t="s">
        <v>1065</v>
      </c>
      <c r="P64" t="s">
        <v>1066</v>
      </c>
      <c r="T64" t="s">
        <v>1073</v>
      </c>
    </row>
    <row r="65" spans="1:20" x14ac:dyDescent="0.3">
      <c r="A65" s="157">
        <f t="shared" si="1"/>
        <v>2474</v>
      </c>
      <c r="B65" s="124">
        <f t="shared" si="2"/>
        <v>46252</v>
      </c>
      <c r="C65" t="s">
        <v>890</v>
      </c>
      <c r="D65" t="s">
        <v>1064</v>
      </c>
      <c r="E65" t="s">
        <v>1030</v>
      </c>
      <c r="I65" t="s">
        <v>1032</v>
      </c>
      <c r="L65" s="120">
        <f>'Phan tich_TB'!DS9</f>
        <v>5130.3487875999999</v>
      </c>
      <c r="M65" t="s">
        <v>1065</v>
      </c>
      <c r="P65" t="s">
        <v>1066</v>
      </c>
    </row>
    <row r="66" spans="1:20" x14ac:dyDescent="0.3">
      <c r="A66" s="157">
        <f>$X$3</f>
        <v>2474</v>
      </c>
      <c r="B66" s="124">
        <f t="shared" si="2"/>
        <v>46252</v>
      </c>
      <c r="C66" t="s">
        <v>890</v>
      </c>
      <c r="D66" t="s">
        <v>1064</v>
      </c>
      <c r="E66" t="s">
        <v>1030</v>
      </c>
      <c r="I66" t="s">
        <v>2757</v>
      </c>
      <c r="L66" s="120">
        <f>'Phan tich_TB'!DS10</f>
        <v>-200.98871119005702</v>
      </c>
      <c r="M66" t="s">
        <v>1065</v>
      </c>
      <c r="P66" t="s">
        <v>1066</v>
      </c>
      <c r="T66" t="s">
        <v>3510</v>
      </c>
    </row>
    <row r="67" spans="1:20" x14ac:dyDescent="0.3">
      <c r="A67" s="157">
        <f t="shared" si="1"/>
        <v>2474</v>
      </c>
      <c r="B67" s="124">
        <f t="shared" si="2"/>
        <v>46252</v>
      </c>
      <c r="C67" s="57" t="s">
        <v>2756</v>
      </c>
      <c r="D67" t="s">
        <v>1064</v>
      </c>
      <c r="E67" t="s">
        <v>1030</v>
      </c>
      <c r="L67" s="59">
        <f>SUMIFS(VaR!K:K,VaR!J:J,"VaR95%",VaR!H:H,"VaR1D",VaR!G:G,"TD",VaR!F:F,"SBV")/10^9</f>
        <v>5.6292302934634701</v>
      </c>
      <c r="M67" t="s">
        <v>1065</v>
      </c>
      <c r="P67" t="s">
        <v>1066</v>
      </c>
    </row>
    <row r="68" spans="1:20" x14ac:dyDescent="0.3">
      <c r="A68" s="157">
        <f t="shared" si="1"/>
        <v>2474</v>
      </c>
      <c r="B68" s="124">
        <f t="shared" si="2"/>
        <v>46252</v>
      </c>
      <c r="C68" s="57" t="s">
        <v>858</v>
      </c>
      <c r="D68" t="s">
        <v>1064</v>
      </c>
      <c r="E68" t="s">
        <v>1030</v>
      </c>
      <c r="L68" s="59">
        <f>SUMIFS(VaR!K:K,VaR!J:J,"VaR99%",VaR!H:H,"VaR1D",VaR!G:G,"TD",VaR!F:F,"SBV")/10^9</f>
        <v>11.23307931215826</v>
      </c>
      <c r="M68" t="s">
        <v>1065</v>
      </c>
      <c r="P68" t="s">
        <v>1066</v>
      </c>
    </row>
    <row r="69" spans="1:20" x14ac:dyDescent="0.3">
      <c r="A69" s="157">
        <f t="shared" ref="A69:A78" si="3">$X$3</f>
        <v>2474</v>
      </c>
      <c r="B69" s="124">
        <f t="shared" si="2"/>
        <v>46252</v>
      </c>
      <c r="C69" s="57" t="s">
        <v>3175</v>
      </c>
      <c r="D69" t="s">
        <v>1064</v>
      </c>
      <c r="E69" t="s">
        <v>1030</v>
      </c>
      <c r="L69" s="59">
        <f>SUMIFS(VaR!K:K,VaR!J:J,"VaR95%",VaR!H:H,"VaR10D",VaR!G:G,"TD",VaR!F:F,"SBV")/10^9</f>
        <v>33.601924837320688</v>
      </c>
      <c r="M69" t="s">
        <v>1065</v>
      </c>
      <c r="P69" t="s">
        <v>1066</v>
      </c>
    </row>
    <row r="70" spans="1:20" x14ac:dyDescent="0.3">
      <c r="A70" s="157">
        <f t="shared" si="3"/>
        <v>2474</v>
      </c>
      <c r="B70" s="124">
        <f t="shared" si="2"/>
        <v>46252</v>
      </c>
      <c r="C70" s="57" t="s">
        <v>3176</v>
      </c>
      <c r="D70" t="s">
        <v>1064</v>
      </c>
      <c r="E70" t="s">
        <v>1030</v>
      </c>
      <c r="L70" s="59">
        <f>SUMIFS(VaR!K:K,VaR!J:J,"VaR99%",VaR!H:H,"VaR10D",VaR!G:G,"TD",VaR!F:F,"SBV")/10^9</f>
        <v>48.085717106137608</v>
      </c>
      <c r="M70" t="s">
        <v>1065</v>
      </c>
      <c r="P70" t="s">
        <v>1066</v>
      </c>
    </row>
    <row r="71" spans="1:20" x14ac:dyDescent="0.3">
      <c r="A71" s="157">
        <f t="shared" si="3"/>
        <v>2474</v>
      </c>
      <c r="B71" s="124">
        <f t="shared" si="2"/>
        <v>46252</v>
      </c>
      <c r="C71" s="57" t="s">
        <v>3177</v>
      </c>
      <c r="D71" t="s">
        <v>1064</v>
      </c>
      <c r="E71" t="s">
        <v>1030</v>
      </c>
      <c r="L71" s="59">
        <f>SUMIFS(VaR!K:K,VaR!J:J,"VaR95%",VaR!H:H,"VaR20D",VaR!G:G,"TD",VaR!F:F,"SBV")/10^9</f>
        <v>58.367188317257174</v>
      </c>
      <c r="M71" t="s">
        <v>1065</v>
      </c>
      <c r="P71" t="s">
        <v>1066</v>
      </c>
    </row>
    <row r="72" spans="1:20" x14ac:dyDescent="0.3">
      <c r="A72" s="157">
        <f t="shared" si="3"/>
        <v>2474</v>
      </c>
      <c r="B72" s="124">
        <f t="shared" si="2"/>
        <v>46252</v>
      </c>
      <c r="C72" s="57" t="s">
        <v>3178</v>
      </c>
      <c r="D72" t="s">
        <v>1064</v>
      </c>
      <c r="E72" t="s">
        <v>1030</v>
      </c>
      <c r="L72" s="59">
        <f>SUMIFS(VaR!K:K,VaR!J:J,"VaR99%",VaR!H:H,"VaR20D",VaR!G:G,"TD",VaR!F:F,"SBV")/10^9</f>
        <v>70.025958860829846</v>
      </c>
      <c r="M72" t="s">
        <v>1065</v>
      </c>
      <c r="P72" t="s">
        <v>1066</v>
      </c>
    </row>
    <row r="73" spans="1:20" x14ac:dyDescent="0.3">
      <c r="A73" s="157">
        <f t="shared" si="3"/>
        <v>2474</v>
      </c>
      <c r="B73" s="124">
        <f t="shared" ref="B73:B78" si="4">RPT</f>
        <v>46252</v>
      </c>
      <c r="C73" s="57" t="s">
        <v>3188</v>
      </c>
      <c r="D73" s="1" t="s">
        <v>1064</v>
      </c>
      <c r="E73" s="58" t="s">
        <v>1030</v>
      </c>
      <c r="F73" s="10"/>
      <c r="L73" s="418" cm="1">
        <f t="array" ref="L73">-AVERAGE(AVERAGEIFS(VaR!K:K,VaR!J:J,{1,2,3,4,5,6,7,8,9,10,11,12},VaR!H:H,"VaR1D",VaR!G:G,"TD",VaR!F:F,"SBV"))/10^9</f>
        <v>9.0768153727592331</v>
      </c>
      <c r="M73" s="58" t="s">
        <v>1065</v>
      </c>
      <c r="N73" s="65"/>
      <c r="O73" s="1"/>
      <c r="P73" s="1" t="s">
        <v>1066</v>
      </c>
    </row>
    <row r="74" spans="1:20" x14ac:dyDescent="0.3">
      <c r="A74" s="157">
        <f t="shared" si="3"/>
        <v>2474</v>
      </c>
      <c r="B74" s="124">
        <f t="shared" si="4"/>
        <v>46252</v>
      </c>
      <c r="C74" s="57" t="s">
        <v>3189</v>
      </c>
      <c r="D74" s="1" t="s">
        <v>1064</v>
      </c>
      <c r="E74" s="58" t="s">
        <v>1030</v>
      </c>
      <c r="F74" s="10"/>
      <c r="L74" s="418" cm="1">
        <f t="array" ref="L74">-AVERAGE(AVERAGEIFS(VaR!K:K,VaR!J:J,{1,2},VaR!H:H,"VaR1D",VaR!G:G,"TD",VaR!F:F,"SBV"))/10^9</f>
        <v>13.580999755761434</v>
      </c>
      <c r="M74" s="58" t="s">
        <v>1065</v>
      </c>
      <c r="N74" s="65"/>
      <c r="O74" s="1"/>
      <c r="P74" s="1" t="s">
        <v>1066</v>
      </c>
    </row>
    <row r="75" spans="1:20" x14ac:dyDescent="0.3">
      <c r="A75" s="157">
        <f t="shared" si="3"/>
        <v>2474</v>
      </c>
      <c r="B75" s="124">
        <f t="shared" si="4"/>
        <v>46252</v>
      </c>
      <c r="C75" s="57" t="s">
        <v>3184</v>
      </c>
      <c r="D75" s="1" t="s">
        <v>1064</v>
      </c>
      <c r="E75" s="58" t="s">
        <v>1030</v>
      </c>
      <c r="F75" s="10"/>
      <c r="L75" s="418" cm="1">
        <f t="array" ref="L75">-AVERAGE(AVERAGEIFS(VaR!K:K,VaR!J:J,{1,2,3,4,5,6,7,8,9,10,11,12},VaR!H:H,"VaR10D",VaR!G:G,"TD",VaR!F:F,"SBV"))/10^9</f>
        <v>43.891636864292146</v>
      </c>
      <c r="M75" s="58" t="s">
        <v>1065</v>
      </c>
      <c r="N75" s="65"/>
      <c r="O75" s="1"/>
      <c r="P75" s="1" t="s">
        <v>1066</v>
      </c>
    </row>
    <row r="76" spans="1:20" x14ac:dyDescent="0.3">
      <c r="A76" s="157">
        <f t="shared" si="3"/>
        <v>2474</v>
      </c>
      <c r="B76" s="124">
        <f t="shared" si="4"/>
        <v>46252</v>
      </c>
      <c r="C76" s="57" t="s">
        <v>3185</v>
      </c>
      <c r="D76" s="1" t="s">
        <v>1064</v>
      </c>
      <c r="E76" s="58" t="s">
        <v>1030</v>
      </c>
      <c r="F76" s="10"/>
      <c r="L76" s="418" cm="1">
        <f t="array" ref="L76">-AVERAGE(AVERAGEIFS(VaR!K:K,VaR!J:J,{1,2},VaR!H:H,"VaR10D",VaR!G:G,"TD",VaR!F:F,"SBV"))/10^9</f>
        <v>48.899913258224153</v>
      </c>
      <c r="M76" s="58" t="s">
        <v>1065</v>
      </c>
      <c r="N76" s="65"/>
      <c r="O76" s="1"/>
      <c r="P76" s="1" t="s">
        <v>1066</v>
      </c>
    </row>
    <row r="77" spans="1:20" x14ac:dyDescent="0.3">
      <c r="A77" s="157">
        <f t="shared" si="3"/>
        <v>2474</v>
      </c>
      <c r="B77" s="124">
        <f t="shared" si="4"/>
        <v>46252</v>
      </c>
      <c r="C77" s="57" t="s">
        <v>3186</v>
      </c>
      <c r="D77" s="1" t="s">
        <v>1064</v>
      </c>
      <c r="E77" s="58" t="s">
        <v>1030</v>
      </c>
      <c r="F77" s="10"/>
      <c r="L77" s="418" cm="1">
        <f t="array" ref="L77">-AVERAGE(AVERAGEIFS(VaR!K:K,VaR!J:J,{1,2,3,4,5,6,7,8,9,10,11,12},VaR!H:H,"VaR20D",VaR!G:G,"TD",VaR!F:F,"SBV"))/10^9</f>
        <v>67.614275913640157</v>
      </c>
      <c r="M77" s="58" t="s">
        <v>1065</v>
      </c>
      <c r="N77" s="65"/>
      <c r="O77" s="1"/>
      <c r="P77" s="1" t="s">
        <v>1066</v>
      </c>
    </row>
    <row r="78" spans="1:20" x14ac:dyDescent="0.3">
      <c r="A78" s="157">
        <f t="shared" si="3"/>
        <v>2474</v>
      </c>
      <c r="B78" s="124">
        <f t="shared" si="4"/>
        <v>46252</v>
      </c>
      <c r="C78" s="57" t="s">
        <v>3187</v>
      </c>
      <c r="D78" s="1" t="s">
        <v>1064</v>
      </c>
      <c r="E78" s="58" t="s">
        <v>1030</v>
      </c>
      <c r="F78" s="10"/>
      <c r="L78" s="418" cm="1">
        <f t="array" ref="L78">-AVERAGE(AVERAGEIFS(VaR!K:K,VaR!J:J,{1,2},VaR!H:H,"VaR20D",VaR!G:G,"TD",VaR!F:F,"SBV"))/10^9</f>
        <v>75.652877819105527</v>
      </c>
      <c r="M78" s="58" t="s">
        <v>1065</v>
      </c>
      <c r="N78" s="65"/>
      <c r="O78" s="1"/>
      <c r="P78" s="1" t="s">
        <v>1066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tabColor rgb="FF92D050"/>
  </sheetPr>
  <dimension ref="A1:X67"/>
  <sheetViews>
    <sheetView workbookViewId="0">
      <pane ySplit="1" topLeftCell="A2" activePane="bottomLeft" state="frozen"/>
      <selection pane="bottomLeft" activeCell="L67" sqref="L67"/>
    </sheetView>
  </sheetViews>
  <sheetFormatPr defaultRowHeight="14.4" x14ac:dyDescent="0.3"/>
  <cols>
    <col min="1" max="1" width="7" style="32" bestFit="1" customWidth="1"/>
    <col min="2" max="2" width="10.69921875" style="124" bestFit="1" customWidth="1"/>
    <col min="3" max="3" width="18.09765625" bestFit="1" customWidth="1"/>
    <col min="4" max="4" width="10.59765625" bestFit="1" customWidth="1"/>
    <col min="5" max="5" width="5.69921875" bestFit="1" customWidth="1"/>
    <col min="6" max="6" width="6.296875" bestFit="1" customWidth="1"/>
    <col min="7" max="7" width="7.09765625" bestFit="1" customWidth="1"/>
    <col min="8" max="8" width="13.3984375" bestFit="1" customWidth="1"/>
    <col min="9" max="9" width="18.59765625" bestFit="1" customWidth="1"/>
    <col min="10" max="10" width="27" bestFit="1" customWidth="1"/>
    <col min="11" max="11" width="12.59765625" bestFit="1" customWidth="1"/>
    <col min="12" max="12" width="14.59765625" style="32" customWidth="1"/>
    <col min="13" max="13" width="8.296875" bestFit="1" customWidth="1"/>
    <col min="14" max="14" width="12.59765625" bestFit="1" customWidth="1"/>
    <col min="16" max="16" width="5.296875" bestFit="1" customWidth="1"/>
    <col min="17" max="17" width="7.8984375" bestFit="1" customWidth="1"/>
    <col min="18" max="18" width="6.3984375" bestFit="1" customWidth="1"/>
    <col min="19" max="19" width="15" bestFit="1" customWidth="1"/>
    <col min="20" max="20" width="10.8984375" bestFit="1" customWidth="1"/>
  </cols>
  <sheetData>
    <row r="1" spans="1:24" x14ac:dyDescent="0.3">
      <c r="A1" s="119" t="s">
        <v>0</v>
      </c>
      <c r="B1" s="419" t="s">
        <v>855</v>
      </c>
      <c r="C1" s="103" t="s">
        <v>856</v>
      </c>
      <c r="D1" s="103" t="s">
        <v>1052</v>
      </c>
      <c r="E1" s="103" t="s">
        <v>1053</v>
      </c>
      <c r="F1" s="103" t="s">
        <v>843</v>
      </c>
      <c r="G1" s="103" t="s">
        <v>1054</v>
      </c>
      <c r="H1" s="103" t="s">
        <v>1055</v>
      </c>
      <c r="I1" s="103" t="s">
        <v>1056</v>
      </c>
      <c r="J1" s="103" t="s">
        <v>1057</v>
      </c>
      <c r="K1" s="103" t="s">
        <v>1058</v>
      </c>
      <c r="L1" s="119" t="s">
        <v>857</v>
      </c>
      <c r="M1" s="103" t="s">
        <v>981</v>
      </c>
      <c r="N1" s="103" t="s">
        <v>1059</v>
      </c>
      <c r="O1" s="103" t="s">
        <v>1060</v>
      </c>
      <c r="P1" s="105" t="s">
        <v>980</v>
      </c>
      <c r="Q1" s="103" t="s">
        <v>1061</v>
      </c>
      <c r="R1" s="105" t="s">
        <v>1062</v>
      </c>
      <c r="S1" s="103" t="s">
        <v>1063</v>
      </c>
      <c r="T1" s="103" t="s">
        <v>1047</v>
      </c>
      <c r="U1" s="56">
        <f>COUNT(B:B)</f>
        <v>66</v>
      </c>
      <c r="W1" s="56" t="s">
        <v>0</v>
      </c>
      <c r="X1" s="56"/>
    </row>
    <row r="2" spans="1:24" x14ac:dyDescent="0.3">
      <c r="A2" s="157">
        <f>$X$3</f>
        <v>2474</v>
      </c>
      <c r="B2" s="124">
        <f t="shared" ref="B2:B33" si="0">RPT</f>
        <v>46252</v>
      </c>
      <c r="C2" t="s">
        <v>2258</v>
      </c>
      <c r="D2" t="s">
        <v>1064</v>
      </c>
      <c r="E2" t="s">
        <v>1030</v>
      </c>
      <c r="F2" t="s">
        <v>1030</v>
      </c>
      <c r="L2" s="71">
        <f>'Phan tich_BB'!AP1</f>
        <v>25921.311300000001</v>
      </c>
      <c r="M2" t="s">
        <v>1065</v>
      </c>
      <c r="U2" s="1"/>
      <c r="W2" s="1">
        <v>422</v>
      </c>
      <c r="X2" s="109">
        <v>43381</v>
      </c>
    </row>
    <row r="3" spans="1:24" x14ac:dyDescent="0.3">
      <c r="A3" s="157">
        <f t="shared" ref="A3:A66" si="1">$X$3</f>
        <v>2474</v>
      </c>
      <c r="B3" s="124">
        <f t="shared" si="0"/>
        <v>46252</v>
      </c>
      <c r="C3" t="s">
        <v>2258</v>
      </c>
      <c r="D3" t="s">
        <v>1064</v>
      </c>
      <c r="E3" t="s">
        <v>1030</v>
      </c>
      <c r="J3" t="s">
        <v>1068</v>
      </c>
      <c r="K3" t="s">
        <v>877</v>
      </c>
      <c r="L3" s="71">
        <f>'Phan tich_BB'!AP2</f>
        <v>1002</v>
      </c>
      <c r="M3" t="s">
        <v>1065</v>
      </c>
      <c r="U3" s="1"/>
      <c r="W3" s="1"/>
      <c r="X3" s="61">
        <f>NETWORKDAYS(X2,RPT,0)+W2</f>
        <v>2474</v>
      </c>
    </row>
    <row r="4" spans="1:24" x14ac:dyDescent="0.3">
      <c r="A4" s="157">
        <f t="shared" si="1"/>
        <v>2474</v>
      </c>
      <c r="B4" s="124">
        <f t="shared" si="0"/>
        <v>46252</v>
      </c>
      <c r="C4" t="s">
        <v>2258</v>
      </c>
      <c r="D4" t="s">
        <v>1064</v>
      </c>
      <c r="E4" t="s">
        <v>1030</v>
      </c>
      <c r="J4" t="s">
        <v>1068</v>
      </c>
      <c r="K4" t="s">
        <v>878</v>
      </c>
      <c r="L4" s="71">
        <f>'Phan tich_BB'!AP3</f>
        <v>600</v>
      </c>
      <c r="M4" t="s">
        <v>1065</v>
      </c>
    </row>
    <row r="5" spans="1:24" x14ac:dyDescent="0.3">
      <c r="A5" s="157">
        <f t="shared" si="1"/>
        <v>2474</v>
      </c>
      <c r="B5" s="124">
        <f t="shared" si="0"/>
        <v>46252</v>
      </c>
      <c r="C5" t="s">
        <v>2258</v>
      </c>
      <c r="D5" t="s">
        <v>1064</v>
      </c>
      <c r="E5" t="s">
        <v>1030</v>
      </c>
      <c r="J5" t="s">
        <v>1068</v>
      </c>
      <c r="K5" t="s">
        <v>879</v>
      </c>
      <c r="L5" s="71">
        <f>'Phan tich_BB'!AP4</f>
        <v>501.49040000000002</v>
      </c>
      <c r="M5" t="s">
        <v>1065</v>
      </c>
    </row>
    <row r="6" spans="1:24" x14ac:dyDescent="0.3">
      <c r="A6" s="157">
        <f t="shared" si="1"/>
        <v>2474</v>
      </c>
      <c r="B6" s="124">
        <f t="shared" si="0"/>
        <v>46252</v>
      </c>
      <c r="C6" t="s">
        <v>2258</v>
      </c>
      <c r="D6" t="s">
        <v>1064</v>
      </c>
      <c r="E6" t="s">
        <v>1030</v>
      </c>
      <c r="J6" t="s">
        <v>1068</v>
      </c>
      <c r="K6" t="s">
        <v>880</v>
      </c>
      <c r="L6" s="71">
        <f>'Phan tich_BB'!AP5</f>
        <v>1177</v>
      </c>
      <c r="M6" t="s">
        <v>1065</v>
      </c>
    </row>
    <row r="7" spans="1:24" x14ac:dyDescent="0.3">
      <c r="A7" s="157">
        <f t="shared" si="1"/>
        <v>2474</v>
      </c>
      <c r="B7" s="124">
        <f t="shared" si="0"/>
        <v>46252</v>
      </c>
      <c r="C7" t="s">
        <v>2258</v>
      </c>
      <c r="D7" t="s">
        <v>1064</v>
      </c>
      <c r="E7" t="s">
        <v>1030</v>
      </c>
      <c r="J7" t="s">
        <v>1068</v>
      </c>
      <c r="K7" t="s">
        <v>881</v>
      </c>
      <c r="L7" s="71">
        <f>'Phan tich_BB'!AP6</f>
        <v>160</v>
      </c>
      <c r="M7" t="s">
        <v>1065</v>
      </c>
    </row>
    <row r="8" spans="1:24" x14ac:dyDescent="0.3">
      <c r="A8" s="157">
        <f t="shared" si="1"/>
        <v>2474</v>
      </c>
      <c r="B8" s="124">
        <f t="shared" si="0"/>
        <v>46252</v>
      </c>
      <c r="C8" t="s">
        <v>2258</v>
      </c>
      <c r="D8" t="s">
        <v>1064</v>
      </c>
      <c r="E8" t="s">
        <v>1030</v>
      </c>
      <c r="J8" t="s">
        <v>1068</v>
      </c>
      <c r="K8" t="s">
        <v>882</v>
      </c>
      <c r="L8" s="71">
        <f>'Phan tich_BB'!AP7</f>
        <v>5844</v>
      </c>
      <c r="M8" t="s">
        <v>1065</v>
      </c>
    </row>
    <row r="9" spans="1:24" x14ac:dyDescent="0.3">
      <c r="A9" s="157">
        <f t="shared" si="1"/>
        <v>2474</v>
      </c>
      <c r="B9" s="124">
        <f t="shared" si="0"/>
        <v>46252</v>
      </c>
      <c r="C9" t="s">
        <v>2258</v>
      </c>
      <c r="D9" t="s">
        <v>1064</v>
      </c>
      <c r="E9" t="s">
        <v>1030</v>
      </c>
      <c r="J9" t="s">
        <v>1068</v>
      </c>
      <c r="K9" t="s">
        <v>883</v>
      </c>
      <c r="L9" s="71">
        <f>'Phan tich_BB'!AP8</f>
        <v>5772</v>
      </c>
      <c r="M9" t="s">
        <v>1065</v>
      </c>
    </row>
    <row r="10" spans="1:24" x14ac:dyDescent="0.3">
      <c r="A10" s="157">
        <f t="shared" si="1"/>
        <v>2474</v>
      </c>
      <c r="B10" s="124">
        <f t="shared" si="0"/>
        <v>46252</v>
      </c>
      <c r="C10" t="s">
        <v>2258</v>
      </c>
      <c r="D10" t="s">
        <v>1064</v>
      </c>
      <c r="E10" t="s">
        <v>1030</v>
      </c>
      <c r="J10" t="s">
        <v>1068</v>
      </c>
      <c r="K10" t="s">
        <v>884</v>
      </c>
      <c r="L10" s="71">
        <f>'Phan tich_BB'!AP9</f>
        <v>10214.820900000001</v>
      </c>
      <c r="M10" t="s">
        <v>1065</v>
      </c>
    </row>
    <row r="11" spans="1:24" x14ac:dyDescent="0.3">
      <c r="A11" s="157">
        <f t="shared" si="1"/>
        <v>2474</v>
      </c>
      <c r="B11" s="124">
        <f t="shared" si="0"/>
        <v>46252</v>
      </c>
      <c r="C11" t="s">
        <v>2258</v>
      </c>
      <c r="D11" t="s">
        <v>1064</v>
      </c>
      <c r="E11" t="s">
        <v>1030</v>
      </c>
      <c r="J11" t="s">
        <v>1068</v>
      </c>
      <c r="K11" t="s">
        <v>885</v>
      </c>
      <c r="L11" s="71">
        <f>'Phan tich_BB'!AP10</f>
        <v>50</v>
      </c>
      <c r="M11" t="s">
        <v>1065</v>
      </c>
    </row>
    <row r="12" spans="1:24" x14ac:dyDescent="0.3">
      <c r="A12" s="157">
        <f t="shared" si="1"/>
        <v>2474</v>
      </c>
      <c r="B12" s="124">
        <f t="shared" si="0"/>
        <v>46252</v>
      </c>
      <c r="C12" t="s">
        <v>2258</v>
      </c>
      <c r="D12" t="s">
        <v>1064</v>
      </c>
      <c r="E12" t="s">
        <v>1030</v>
      </c>
      <c r="J12" t="s">
        <v>1068</v>
      </c>
      <c r="K12" t="s">
        <v>886</v>
      </c>
      <c r="L12" s="71">
        <f>'Phan tich_BB'!AP11</f>
        <v>600</v>
      </c>
      <c r="M12" t="s">
        <v>1065</v>
      </c>
    </row>
    <row r="13" spans="1:24" x14ac:dyDescent="0.3">
      <c r="A13" s="157">
        <f t="shared" si="1"/>
        <v>2474</v>
      </c>
      <c r="B13" s="124">
        <f t="shared" si="0"/>
        <v>46252</v>
      </c>
      <c r="C13" t="s">
        <v>1069</v>
      </c>
      <c r="D13" t="s">
        <v>1064</v>
      </c>
      <c r="E13" t="s">
        <v>1030</v>
      </c>
      <c r="F13" t="s">
        <v>1030</v>
      </c>
      <c r="L13" s="71">
        <f>'Phan tich_BB'!AP12</f>
        <v>23843.369542878001</v>
      </c>
      <c r="M13" t="s">
        <v>1065</v>
      </c>
    </row>
    <row r="14" spans="1:24" x14ac:dyDescent="0.3">
      <c r="A14" s="157">
        <f t="shared" si="1"/>
        <v>2474</v>
      </c>
      <c r="B14" s="124">
        <f t="shared" si="0"/>
        <v>46252</v>
      </c>
      <c r="C14" t="s">
        <v>1069</v>
      </c>
      <c r="D14" t="s">
        <v>1064</v>
      </c>
      <c r="E14" t="s">
        <v>1030</v>
      </c>
      <c r="J14" t="s">
        <v>1068</v>
      </c>
      <c r="K14" t="s">
        <v>877</v>
      </c>
      <c r="L14" s="71">
        <f>'Phan tich_BB'!AP13</f>
        <v>1009.0563</v>
      </c>
      <c r="M14" t="s">
        <v>1065</v>
      </c>
    </row>
    <row r="15" spans="1:24" x14ac:dyDescent="0.3">
      <c r="A15" s="157">
        <f t="shared" si="1"/>
        <v>2474</v>
      </c>
      <c r="B15" s="124">
        <f t="shared" si="0"/>
        <v>46252</v>
      </c>
      <c r="C15" t="s">
        <v>1069</v>
      </c>
      <c r="D15" t="s">
        <v>1064</v>
      </c>
      <c r="E15" t="s">
        <v>1030</v>
      </c>
      <c r="J15" t="s">
        <v>1068</v>
      </c>
      <c r="K15" t="s">
        <v>878</v>
      </c>
      <c r="L15" s="71">
        <f>'Phan tich_BB'!AP14</f>
        <v>585.18200000000002</v>
      </c>
      <c r="M15" t="s">
        <v>1065</v>
      </c>
    </row>
    <row r="16" spans="1:24" x14ac:dyDescent="0.3">
      <c r="A16" s="157">
        <f t="shared" si="1"/>
        <v>2474</v>
      </c>
      <c r="B16" s="124">
        <f t="shared" si="0"/>
        <v>46252</v>
      </c>
      <c r="C16" t="s">
        <v>1069</v>
      </c>
      <c r="D16" t="s">
        <v>1064</v>
      </c>
      <c r="E16" t="s">
        <v>1030</v>
      </c>
      <c r="J16" t="s">
        <v>1068</v>
      </c>
      <c r="K16" t="s">
        <v>879</v>
      </c>
      <c r="L16" s="71">
        <f>'Phan tich_BB'!AP15</f>
        <v>533.91118122399996</v>
      </c>
      <c r="M16" t="s">
        <v>1065</v>
      </c>
    </row>
    <row r="17" spans="1:13" x14ac:dyDescent="0.3">
      <c r="A17" s="157">
        <f t="shared" si="1"/>
        <v>2474</v>
      </c>
      <c r="B17" s="124">
        <f t="shared" si="0"/>
        <v>46252</v>
      </c>
      <c r="C17" t="s">
        <v>1069</v>
      </c>
      <c r="D17" t="s">
        <v>1064</v>
      </c>
      <c r="E17" t="s">
        <v>1030</v>
      </c>
      <c r="J17" t="s">
        <v>1068</v>
      </c>
      <c r="K17" t="s">
        <v>880</v>
      </c>
      <c r="L17" s="71">
        <f>'Phan tich_BB'!AP16</f>
        <v>1130.6768400000001</v>
      </c>
      <c r="M17" t="s">
        <v>1065</v>
      </c>
    </row>
    <row r="18" spans="1:13" x14ac:dyDescent="0.3">
      <c r="A18" s="157">
        <f t="shared" si="1"/>
        <v>2474</v>
      </c>
      <c r="B18" s="124">
        <f t="shared" si="0"/>
        <v>46252</v>
      </c>
      <c r="C18" t="s">
        <v>1069</v>
      </c>
      <c r="D18" t="s">
        <v>1064</v>
      </c>
      <c r="E18" t="s">
        <v>1030</v>
      </c>
      <c r="J18" t="s">
        <v>1068</v>
      </c>
      <c r="K18" t="s">
        <v>881</v>
      </c>
      <c r="L18" s="71">
        <f>'Phan tich_BB'!AP17</f>
        <v>158.56100000000001</v>
      </c>
      <c r="M18" t="s">
        <v>1065</v>
      </c>
    </row>
    <row r="19" spans="1:13" x14ac:dyDescent="0.3">
      <c r="A19" s="157">
        <f t="shared" si="1"/>
        <v>2474</v>
      </c>
      <c r="B19" s="124">
        <f t="shared" si="0"/>
        <v>46252</v>
      </c>
      <c r="C19" t="s">
        <v>1069</v>
      </c>
      <c r="D19" t="s">
        <v>1064</v>
      </c>
      <c r="E19" t="s">
        <v>1030</v>
      </c>
      <c r="J19" t="s">
        <v>1068</v>
      </c>
      <c r="K19" t="s">
        <v>882</v>
      </c>
      <c r="L19" s="71">
        <f>'Phan tich_BB'!AP18</f>
        <v>5533.6002399999998</v>
      </c>
      <c r="M19" t="s">
        <v>1065</v>
      </c>
    </row>
    <row r="20" spans="1:13" x14ac:dyDescent="0.3">
      <c r="A20" s="157">
        <f t="shared" si="1"/>
        <v>2474</v>
      </c>
      <c r="B20" s="124">
        <f t="shared" si="0"/>
        <v>46252</v>
      </c>
      <c r="C20" t="s">
        <v>1069</v>
      </c>
      <c r="D20" t="s">
        <v>1064</v>
      </c>
      <c r="E20" t="s">
        <v>1030</v>
      </c>
      <c r="J20" t="s">
        <v>1068</v>
      </c>
      <c r="K20" t="s">
        <v>883</v>
      </c>
      <c r="L20" s="71">
        <f>'Phan tich_BB'!AP19</f>
        <v>5259.5791099999997</v>
      </c>
      <c r="M20" t="s">
        <v>1065</v>
      </c>
    </row>
    <row r="21" spans="1:13" x14ac:dyDescent="0.3">
      <c r="A21" s="157">
        <f t="shared" si="1"/>
        <v>2474</v>
      </c>
      <c r="B21" s="124">
        <f t="shared" si="0"/>
        <v>46252</v>
      </c>
      <c r="C21" t="s">
        <v>1069</v>
      </c>
      <c r="D21" t="s">
        <v>1064</v>
      </c>
      <c r="E21" t="s">
        <v>1030</v>
      </c>
      <c r="J21" t="s">
        <v>1068</v>
      </c>
      <c r="K21" t="s">
        <v>884</v>
      </c>
      <c r="L21" s="71">
        <f>'Phan tich_BB'!AP20</f>
        <v>9034.0148716540007</v>
      </c>
      <c r="M21" t="s">
        <v>1065</v>
      </c>
    </row>
    <row r="22" spans="1:13" x14ac:dyDescent="0.3">
      <c r="A22" s="157">
        <f t="shared" si="1"/>
        <v>2474</v>
      </c>
      <c r="B22" s="124">
        <f t="shared" si="0"/>
        <v>46252</v>
      </c>
      <c r="C22" t="s">
        <v>1069</v>
      </c>
      <c r="D22" t="s">
        <v>1064</v>
      </c>
      <c r="E22" t="s">
        <v>1030</v>
      </c>
      <c r="J22" t="s">
        <v>1068</v>
      </c>
      <c r="K22" t="s">
        <v>885</v>
      </c>
      <c r="L22" s="71">
        <f>'Phan tich_BB'!AP21</f>
        <v>44.808</v>
      </c>
      <c r="M22" t="s">
        <v>1065</v>
      </c>
    </row>
    <row r="23" spans="1:13" x14ac:dyDescent="0.3">
      <c r="A23" s="157">
        <f t="shared" si="1"/>
        <v>2474</v>
      </c>
      <c r="B23" s="124">
        <f t="shared" si="0"/>
        <v>46252</v>
      </c>
      <c r="C23" t="s">
        <v>1069</v>
      </c>
      <c r="D23" t="s">
        <v>1064</v>
      </c>
      <c r="E23" t="s">
        <v>1030</v>
      </c>
      <c r="J23" t="s">
        <v>1068</v>
      </c>
      <c r="K23" t="s">
        <v>886</v>
      </c>
      <c r="L23" s="71">
        <f>'Phan tich_BB'!AP22</f>
        <v>553.98</v>
      </c>
      <c r="M23" t="s">
        <v>1065</v>
      </c>
    </row>
    <row r="24" spans="1:13" x14ac:dyDescent="0.3">
      <c r="A24" s="157">
        <f t="shared" si="1"/>
        <v>2474</v>
      </c>
      <c r="B24" s="124">
        <f t="shared" si="0"/>
        <v>46252</v>
      </c>
      <c r="C24" s="40" t="s">
        <v>735</v>
      </c>
      <c r="D24" s="40" t="s">
        <v>1064</v>
      </c>
      <c r="E24" s="40" t="s">
        <v>1030</v>
      </c>
      <c r="F24" s="40"/>
      <c r="G24" s="40"/>
      <c r="H24" s="40"/>
      <c r="I24" s="40"/>
      <c r="J24" s="40"/>
      <c r="K24" s="40"/>
      <c r="L24" s="155">
        <f>'Phan tich_BB'!AY1</f>
        <v>7.5452545981481922</v>
      </c>
      <c r="M24" t="s">
        <v>1070</v>
      </c>
    </row>
    <row r="25" spans="1:13" x14ac:dyDescent="0.3">
      <c r="A25" s="157">
        <f t="shared" si="1"/>
        <v>2474</v>
      </c>
      <c r="B25" s="124">
        <f t="shared" si="0"/>
        <v>46252</v>
      </c>
      <c r="C25" t="s">
        <v>1071</v>
      </c>
      <c r="D25" t="s">
        <v>1064</v>
      </c>
      <c r="E25" t="s">
        <v>1030</v>
      </c>
      <c r="L25" s="120">
        <f>'Phan tich_BB'!AY2</f>
        <v>7.219435200165889</v>
      </c>
    </row>
    <row r="26" spans="1:13" x14ac:dyDescent="0.3">
      <c r="A26" s="157">
        <f t="shared" si="1"/>
        <v>2474</v>
      </c>
      <c r="B26" s="124">
        <f t="shared" si="0"/>
        <v>46252</v>
      </c>
      <c r="C26" t="s">
        <v>854</v>
      </c>
      <c r="D26" t="s">
        <v>1064</v>
      </c>
      <c r="E26" t="s">
        <v>1030</v>
      </c>
      <c r="L26" s="120">
        <f>'Phan tich_BB'!AY3</f>
        <v>7.5452545981481922</v>
      </c>
    </row>
    <row r="27" spans="1:13" x14ac:dyDescent="0.3">
      <c r="A27" s="157">
        <f t="shared" si="1"/>
        <v>2474</v>
      </c>
      <c r="B27" s="124">
        <f t="shared" si="0"/>
        <v>46252</v>
      </c>
      <c r="C27" t="s">
        <v>852</v>
      </c>
      <c r="D27" t="s">
        <v>1064</v>
      </c>
      <c r="E27" t="s">
        <v>1030</v>
      </c>
      <c r="L27" s="120">
        <f>'Phan tich_BB'!AY4</f>
        <v>-17.510973494959504</v>
      </c>
      <c r="M27" t="s">
        <v>1065</v>
      </c>
    </row>
    <row r="28" spans="1:13" x14ac:dyDescent="0.3">
      <c r="A28" s="157">
        <f t="shared" si="1"/>
        <v>2474</v>
      </c>
      <c r="B28" s="124">
        <f t="shared" si="0"/>
        <v>46252</v>
      </c>
      <c r="C28" t="s">
        <v>852</v>
      </c>
      <c r="D28" t="s">
        <v>1064</v>
      </c>
      <c r="E28" t="s">
        <v>1030</v>
      </c>
      <c r="J28" t="s">
        <v>1068</v>
      </c>
      <c r="K28" t="s">
        <v>877</v>
      </c>
      <c r="L28" s="120">
        <f>'Phan tich_BB'!AY5</f>
        <v>-4.3252933655368787E-2</v>
      </c>
      <c r="M28" t="s">
        <v>1065</v>
      </c>
    </row>
    <row r="29" spans="1:13" x14ac:dyDescent="0.3">
      <c r="A29" s="157">
        <f t="shared" si="1"/>
        <v>2474</v>
      </c>
      <c r="B29" s="124">
        <f t="shared" si="0"/>
        <v>46252</v>
      </c>
      <c r="C29" t="s">
        <v>852</v>
      </c>
      <c r="D29" t="s">
        <v>1064</v>
      </c>
      <c r="E29" t="s">
        <v>1030</v>
      </c>
      <c r="J29" t="s">
        <v>1068</v>
      </c>
      <c r="K29" t="s">
        <v>878</v>
      </c>
      <c r="L29" s="120">
        <f>'Phan tich_BB'!AY6</f>
        <v>-0.12484461065625875</v>
      </c>
      <c r="M29" t="s">
        <v>1065</v>
      </c>
    </row>
    <row r="30" spans="1:13" x14ac:dyDescent="0.3">
      <c r="A30" s="157">
        <f t="shared" si="1"/>
        <v>2474</v>
      </c>
      <c r="B30" s="124">
        <f t="shared" si="0"/>
        <v>46252</v>
      </c>
      <c r="C30" t="s">
        <v>852</v>
      </c>
      <c r="D30" t="s">
        <v>1064</v>
      </c>
      <c r="E30" t="s">
        <v>1030</v>
      </c>
      <c r="J30" t="s">
        <v>1068</v>
      </c>
      <c r="K30" t="s">
        <v>879</v>
      </c>
      <c r="L30" s="120">
        <f>'Phan tich_BB'!AY7</f>
        <v>-0.15226422618996144</v>
      </c>
      <c r="M30" t="s">
        <v>1065</v>
      </c>
    </row>
    <row r="31" spans="1:13" x14ac:dyDescent="0.3">
      <c r="A31" s="157">
        <f t="shared" si="1"/>
        <v>2474</v>
      </c>
      <c r="B31" s="124">
        <f t="shared" si="0"/>
        <v>46252</v>
      </c>
      <c r="C31" t="s">
        <v>852</v>
      </c>
      <c r="D31" t="s">
        <v>1064</v>
      </c>
      <c r="E31" t="s">
        <v>1030</v>
      </c>
      <c r="J31" t="s">
        <v>1068</v>
      </c>
      <c r="K31" t="s">
        <v>880</v>
      </c>
      <c r="L31" s="120">
        <f>'Phan tich_BB'!AY8</f>
        <v>-0.41938820009387534</v>
      </c>
      <c r="M31" t="s">
        <v>1065</v>
      </c>
    </row>
    <row r="32" spans="1:13" x14ac:dyDescent="0.3">
      <c r="A32" s="157">
        <f t="shared" si="1"/>
        <v>2474</v>
      </c>
      <c r="B32" s="124">
        <f t="shared" si="0"/>
        <v>46252</v>
      </c>
      <c r="C32" t="s">
        <v>852</v>
      </c>
      <c r="D32" t="s">
        <v>1064</v>
      </c>
      <c r="E32" t="s">
        <v>1030</v>
      </c>
      <c r="J32" t="s">
        <v>1068</v>
      </c>
      <c r="K32" t="s">
        <v>881</v>
      </c>
      <c r="L32" s="120">
        <f>'Phan tich_BB'!AY9</f>
        <v>-6.6478371658211799E-2</v>
      </c>
      <c r="M32" t="s">
        <v>1065</v>
      </c>
    </row>
    <row r="33" spans="1:13" x14ac:dyDescent="0.3">
      <c r="A33" s="157">
        <f t="shared" si="1"/>
        <v>2474</v>
      </c>
      <c r="B33" s="124">
        <f t="shared" si="0"/>
        <v>46252</v>
      </c>
      <c r="C33" t="s">
        <v>852</v>
      </c>
      <c r="D33" t="s">
        <v>1064</v>
      </c>
      <c r="E33" t="s">
        <v>1030</v>
      </c>
      <c r="J33" t="s">
        <v>1068</v>
      </c>
      <c r="K33" t="s">
        <v>882</v>
      </c>
      <c r="L33" s="120">
        <f>'Phan tich_BB'!AY10</f>
        <v>-3.3099108040393448</v>
      </c>
      <c r="M33" t="s">
        <v>1065</v>
      </c>
    </row>
    <row r="34" spans="1:13" x14ac:dyDescent="0.3">
      <c r="A34" s="157">
        <f t="shared" si="1"/>
        <v>2474</v>
      </c>
      <c r="B34" s="124">
        <f t="shared" ref="B34:B61" si="2">RPT</f>
        <v>46252</v>
      </c>
      <c r="C34" t="s">
        <v>852</v>
      </c>
      <c r="D34" t="s">
        <v>1064</v>
      </c>
      <c r="E34" t="s">
        <v>1030</v>
      </c>
      <c r="J34" t="s">
        <v>1068</v>
      </c>
      <c r="K34" t="s">
        <v>883</v>
      </c>
      <c r="L34" s="120">
        <f>'Phan tich_BB'!AY11</f>
        <v>-3.7484179320733131</v>
      </c>
      <c r="M34" t="s">
        <v>1065</v>
      </c>
    </row>
    <row r="35" spans="1:13" x14ac:dyDescent="0.3">
      <c r="A35" s="157">
        <f t="shared" si="1"/>
        <v>2474</v>
      </c>
      <c r="B35" s="124">
        <f t="shared" si="2"/>
        <v>46252</v>
      </c>
      <c r="C35" t="s">
        <v>852</v>
      </c>
      <c r="D35" t="s">
        <v>1064</v>
      </c>
      <c r="E35" t="s">
        <v>1030</v>
      </c>
      <c r="J35" t="s">
        <v>1068</v>
      </c>
      <c r="K35" t="s">
        <v>884</v>
      </c>
      <c r="L35" s="120">
        <f>'Phan tich_BB'!AY12</f>
        <v>-8.7433360001822891</v>
      </c>
      <c r="M35" t="s">
        <v>1065</v>
      </c>
    </row>
    <row r="36" spans="1:13" x14ac:dyDescent="0.3">
      <c r="A36" s="157">
        <f t="shared" si="1"/>
        <v>2474</v>
      </c>
      <c r="B36" s="124">
        <f t="shared" si="2"/>
        <v>46252</v>
      </c>
      <c r="C36" t="s">
        <v>852</v>
      </c>
      <c r="D36" t="s">
        <v>1064</v>
      </c>
      <c r="E36" t="s">
        <v>1030</v>
      </c>
      <c r="J36" t="s">
        <v>1068</v>
      </c>
      <c r="K36" t="s">
        <v>885</v>
      </c>
      <c r="L36" s="120">
        <f>'Phan tich_BB'!AY13</f>
        <v>-5.3303295673964468E-2</v>
      </c>
      <c r="M36" t="s">
        <v>1065</v>
      </c>
    </row>
    <row r="37" spans="1:13" x14ac:dyDescent="0.3">
      <c r="A37" s="157">
        <f t="shared" si="1"/>
        <v>2474</v>
      </c>
      <c r="B37" s="124">
        <f t="shared" si="2"/>
        <v>46252</v>
      </c>
      <c r="C37" t="s">
        <v>852</v>
      </c>
      <c r="D37" t="s">
        <v>1064</v>
      </c>
      <c r="E37" t="s">
        <v>1030</v>
      </c>
      <c r="J37" t="s">
        <v>1068</v>
      </c>
      <c r="K37" t="s">
        <v>886</v>
      </c>
      <c r="L37" s="120">
        <f>'Phan tich_BB'!AY14</f>
        <v>-0.84977712073691736</v>
      </c>
      <c r="M37" t="s">
        <v>1065</v>
      </c>
    </row>
    <row r="38" spans="1:13" x14ac:dyDescent="0.3">
      <c r="A38" s="157">
        <f t="shared" si="1"/>
        <v>2474</v>
      </c>
      <c r="B38" s="124">
        <f t="shared" si="2"/>
        <v>46252</v>
      </c>
      <c r="C38" t="s">
        <v>1072</v>
      </c>
      <c r="D38" t="s">
        <v>1064</v>
      </c>
      <c r="E38" t="s">
        <v>1030</v>
      </c>
      <c r="L38" s="120">
        <f>'Phan tich_BB'!AY15</f>
        <v>-1660.2416115452536</v>
      </c>
      <c r="M38" t="s">
        <v>1065</v>
      </c>
    </row>
    <row r="39" spans="1:13" x14ac:dyDescent="0.3">
      <c r="A39" s="157">
        <f t="shared" si="1"/>
        <v>2474</v>
      </c>
      <c r="B39" s="124">
        <f t="shared" si="2"/>
        <v>46252</v>
      </c>
      <c r="C39" t="s">
        <v>1072</v>
      </c>
      <c r="D39" t="s">
        <v>1064</v>
      </c>
      <c r="E39" t="s">
        <v>1030</v>
      </c>
      <c r="J39" t="s">
        <v>1068</v>
      </c>
      <c r="K39" t="s">
        <v>877</v>
      </c>
      <c r="L39" s="120">
        <f>'Phan tich_BB'!AY16</f>
        <v>-4.3063841116276569</v>
      </c>
      <c r="M39" t="s">
        <v>1065</v>
      </c>
    </row>
    <row r="40" spans="1:13" x14ac:dyDescent="0.3">
      <c r="A40" s="157">
        <f t="shared" si="1"/>
        <v>2474</v>
      </c>
      <c r="B40" s="124">
        <f t="shared" si="2"/>
        <v>46252</v>
      </c>
      <c r="C40" t="s">
        <v>1072</v>
      </c>
      <c r="D40" t="s">
        <v>1064</v>
      </c>
      <c r="E40" t="s">
        <v>1030</v>
      </c>
      <c r="J40" t="s">
        <v>1068</v>
      </c>
      <c r="K40" t="s">
        <v>878</v>
      </c>
      <c r="L40" s="120">
        <f>'Phan tich_BB'!AY17</f>
        <v>-12.292315356074642</v>
      </c>
      <c r="M40" t="s">
        <v>1065</v>
      </c>
    </row>
    <row r="41" spans="1:13" x14ac:dyDescent="0.3">
      <c r="A41" s="157">
        <f t="shared" si="1"/>
        <v>2474</v>
      </c>
      <c r="B41" s="124">
        <f t="shared" si="2"/>
        <v>46252</v>
      </c>
      <c r="C41" t="s">
        <v>1072</v>
      </c>
      <c r="D41" t="s">
        <v>1064</v>
      </c>
      <c r="E41" t="s">
        <v>1030</v>
      </c>
      <c r="J41" t="s">
        <v>1068</v>
      </c>
      <c r="K41" t="s">
        <v>879</v>
      </c>
      <c r="L41" s="120">
        <f>'Phan tich_BB'!AY18</f>
        <v>-14.931964928022575</v>
      </c>
      <c r="M41" t="s">
        <v>1065</v>
      </c>
    </row>
    <row r="42" spans="1:13" x14ac:dyDescent="0.3">
      <c r="A42" s="157">
        <f t="shared" si="1"/>
        <v>2474</v>
      </c>
      <c r="B42" s="124">
        <f t="shared" si="2"/>
        <v>46252</v>
      </c>
      <c r="C42" t="s">
        <v>1072</v>
      </c>
      <c r="D42" t="s">
        <v>1064</v>
      </c>
      <c r="E42" t="s">
        <v>1030</v>
      </c>
      <c r="J42" t="s">
        <v>1068</v>
      </c>
      <c r="K42" t="s">
        <v>880</v>
      </c>
      <c r="L42" s="120">
        <f>'Phan tich_BB'!AY19</f>
        <v>-40.946646643742625</v>
      </c>
      <c r="M42" t="s">
        <v>1065</v>
      </c>
    </row>
    <row r="43" spans="1:13" x14ac:dyDescent="0.3">
      <c r="A43" s="157">
        <f t="shared" si="1"/>
        <v>2474</v>
      </c>
      <c r="B43" s="124">
        <f t="shared" si="2"/>
        <v>46252</v>
      </c>
      <c r="C43" t="s">
        <v>1072</v>
      </c>
      <c r="D43" t="s">
        <v>1064</v>
      </c>
      <c r="E43" t="s">
        <v>1030</v>
      </c>
      <c r="J43" t="s">
        <v>1068</v>
      </c>
      <c r="K43" t="s">
        <v>881</v>
      </c>
      <c r="L43" s="120">
        <f>'Phan tich_BB'!AY20</f>
        <v>-6.4727113062284447</v>
      </c>
      <c r="M43" t="s">
        <v>1065</v>
      </c>
    </row>
    <row r="44" spans="1:13" x14ac:dyDescent="0.3">
      <c r="A44" s="157">
        <f t="shared" si="1"/>
        <v>2474</v>
      </c>
      <c r="B44" s="124">
        <f t="shared" si="2"/>
        <v>46252</v>
      </c>
      <c r="C44" t="s">
        <v>1072</v>
      </c>
      <c r="D44" t="s">
        <v>1064</v>
      </c>
      <c r="E44" t="s">
        <v>1030</v>
      </c>
      <c r="J44" t="s">
        <v>1068</v>
      </c>
      <c r="K44" t="s">
        <v>882</v>
      </c>
      <c r="L44" s="120">
        <f>'Phan tich_BB'!AY21</f>
        <v>-318.94561238684247</v>
      </c>
      <c r="M44" t="s">
        <v>1065</v>
      </c>
    </row>
    <row r="45" spans="1:13" x14ac:dyDescent="0.3">
      <c r="A45" s="157">
        <f t="shared" si="1"/>
        <v>2474</v>
      </c>
      <c r="B45" s="124">
        <f t="shared" si="2"/>
        <v>46252</v>
      </c>
      <c r="C45" t="s">
        <v>1072</v>
      </c>
      <c r="D45" t="s">
        <v>1064</v>
      </c>
      <c r="E45" t="s">
        <v>1030</v>
      </c>
      <c r="J45" t="s">
        <v>1068</v>
      </c>
      <c r="K45" t="s">
        <v>883</v>
      </c>
      <c r="L45" s="120">
        <f>'Phan tich_BB'!AY22</f>
        <v>-358.77836478880579</v>
      </c>
      <c r="M45" t="s">
        <v>1065</v>
      </c>
    </row>
    <row r="46" spans="1:13" x14ac:dyDescent="0.3">
      <c r="A46" s="157">
        <f t="shared" si="1"/>
        <v>2474</v>
      </c>
      <c r="B46" s="124">
        <f t="shared" si="2"/>
        <v>46252</v>
      </c>
      <c r="C46" t="s">
        <v>1072</v>
      </c>
      <c r="D46" t="s">
        <v>1064</v>
      </c>
      <c r="E46" t="s">
        <v>1030</v>
      </c>
      <c r="J46" t="s">
        <v>1068</v>
      </c>
      <c r="K46" t="s">
        <v>884</v>
      </c>
      <c r="L46" s="120">
        <f>'Phan tich_BB'!AY23</f>
        <v>-822.74898905459293</v>
      </c>
      <c r="M46" t="s">
        <v>1065</v>
      </c>
    </row>
    <row r="47" spans="1:13" x14ac:dyDescent="0.3">
      <c r="A47" s="157">
        <f t="shared" si="1"/>
        <v>2474</v>
      </c>
      <c r="B47" s="124">
        <f t="shared" si="2"/>
        <v>46252</v>
      </c>
      <c r="C47" t="s">
        <v>1072</v>
      </c>
      <c r="D47" t="s">
        <v>1064</v>
      </c>
      <c r="E47" t="s">
        <v>1030</v>
      </c>
      <c r="J47" t="s">
        <v>1068</v>
      </c>
      <c r="K47" t="s">
        <v>885</v>
      </c>
      <c r="L47" s="120">
        <f>'Phan tich_BB'!AY24</f>
        <v>-4.9303284943109906</v>
      </c>
      <c r="M47" t="s">
        <v>1065</v>
      </c>
    </row>
    <row r="48" spans="1:13" x14ac:dyDescent="0.3">
      <c r="A48" s="157">
        <f t="shared" si="1"/>
        <v>2474</v>
      </c>
      <c r="B48" s="124">
        <f t="shared" si="2"/>
        <v>46252</v>
      </c>
      <c r="C48" t="s">
        <v>1072</v>
      </c>
      <c r="D48" t="s">
        <v>1064</v>
      </c>
      <c r="E48" t="s">
        <v>1030</v>
      </c>
      <c r="J48" t="s">
        <v>1068</v>
      </c>
      <c r="K48" t="s">
        <v>886</v>
      </c>
      <c r="L48" s="120">
        <f>'Phan tich_BB'!AY25</f>
        <v>-75.888294475005651</v>
      </c>
      <c r="M48" t="s">
        <v>1065</v>
      </c>
    </row>
    <row r="49" spans="1:24" x14ac:dyDescent="0.3">
      <c r="A49" s="157">
        <f t="shared" si="1"/>
        <v>2474</v>
      </c>
      <c r="B49" s="124">
        <f t="shared" si="2"/>
        <v>46252</v>
      </c>
      <c r="C49" t="s">
        <v>1049</v>
      </c>
      <c r="D49" t="s">
        <v>1064</v>
      </c>
      <c r="E49" t="s">
        <v>1030</v>
      </c>
      <c r="L49" s="120">
        <f>'Phan tich_BB'!AU1</f>
        <v>-953.49602361799862</v>
      </c>
      <c r="M49" t="s">
        <v>1065</v>
      </c>
      <c r="T49" t="s">
        <v>1073</v>
      </c>
    </row>
    <row r="50" spans="1:24" x14ac:dyDescent="0.3">
      <c r="A50" s="157">
        <f t="shared" si="1"/>
        <v>2474</v>
      </c>
      <c r="B50" s="124">
        <f t="shared" si="2"/>
        <v>46252</v>
      </c>
      <c r="C50" t="s">
        <v>1074</v>
      </c>
      <c r="D50" t="s">
        <v>1064</v>
      </c>
      <c r="E50" t="s">
        <v>1030</v>
      </c>
      <c r="L50" s="120">
        <f>'Phan tich_BB'!AU2</f>
        <v>-34.702071350998494</v>
      </c>
      <c r="M50" t="s">
        <v>1065</v>
      </c>
      <c r="T50" t="s">
        <v>1073</v>
      </c>
    </row>
    <row r="51" spans="1:24" x14ac:dyDescent="0.3">
      <c r="A51" s="157">
        <f t="shared" si="1"/>
        <v>2474</v>
      </c>
      <c r="B51" s="124">
        <f t="shared" si="2"/>
        <v>46252</v>
      </c>
      <c r="C51" t="s">
        <v>1075</v>
      </c>
      <c r="D51" t="s">
        <v>1064</v>
      </c>
      <c r="E51" t="s">
        <v>1030</v>
      </c>
      <c r="L51" s="120">
        <f>'Phan tich_BB'!AU3</f>
        <v>5.5108620270013944</v>
      </c>
      <c r="M51" t="s">
        <v>1065</v>
      </c>
      <c r="T51" t="s">
        <v>1073</v>
      </c>
    </row>
    <row r="52" spans="1:24" x14ac:dyDescent="0.3">
      <c r="A52" s="157">
        <f t="shared" si="1"/>
        <v>2474</v>
      </c>
      <c r="B52" s="124">
        <f t="shared" si="2"/>
        <v>46252</v>
      </c>
      <c r="C52" t="s">
        <v>890</v>
      </c>
      <c r="D52" t="s">
        <v>1064</v>
      </c>
      <c r="E52" t="s">
        <v>1030</v>
      </c>
      <c r="I52" t="s">
        <v>1076</v>
      </c>
      <c r="L52" s="32">
        <f>'Phan tich_BB'!AU4</f>
        <v>1061.3011683388866</v>
      </c>
      <c r="M52" t="s">
        <v>1065</v>
      </c>
      <c r="T52" t="s">
        <v>1073</v>
      </c>
    </row>
    <row r="53" spans="1:24" x14ac:dyDescent="0.3">
      <c r="A53" s="157">
        <f t="shared" si="1"/>
        <v>2474</v>
      </c>
      <c r="B53" s="124">
        <f t="shared" si="2"/>
        <v>46252</v>
      </c>
      <c r="C53" t="s">
        <v>890</v>
      </c>
      <c r="D53" t="s">
        <v>1064</v>
      </c>
      <c r="E53" t="s">
        <v>1030</v>
      </c>
      <c r="I53" t="s">
        <v>1077</v>
      </c>
      <c r="L53" s="32">
        <f>'Phan tich_BB'!AU5</f>
        <v>-2931.9266351543852</v>
      </c>
      <c r="M53" t="s">
        <v>1065</v>
      </c>
      <c r="T53" t="s">
        <v>1073</v>
      </c>
    </row>
    <row r="54" spans="1:24" x14ac:dyDescent="0.3">
      <c r="A54" s="157">
        <f t="shared" si="1"/>
        <v>2474</v>
      </c>
      <c r="B54" s="124">
        <f t="shared" si="2"/>
        <v>46252</v>
      </c>
      <c r="C54" t="s">
        <v>890</v>
      </c>
      <c r="D54" t="s">
        <v>1064</v>
      </c>
      <c r="E54" t="s">
        <v>1030</v>
      </c>
      <c r="I54" t="s">
        <v>1032</v>
      </c>
      <c r="L54" s="32">
        <f>'Phan tich_BB'!AU6</f>
        <v>12901.072796500001</v>
      </c>
      <c r="M54" t="s">
        <v>1065</v>
      </c>
    </row>
    <row r="55" spans="1:24" x14ac:dyDescent="0.3">
      <c r="A55" s="157">
        <f t="shared" si="1"/>
        <v>2474</v>
      </c>
      <c r="B55" s="124">
        <f t="shared" si="2"/>
        <v>46252</v>
      </c>
      <c r="C55" t="s">
        <v>890</v>
      </c>
      <c r="D55" t="s">
        <v>1064</v>
      </c>
      <c r="E55" t="s">
        <v>1030</v>
      </c>
      <c r="I55" t="s">
        <v>2207</v>
      </c>
      <c r="L55" s="72">
        <f>'Phan tich_BB'!AU8</f>
        <v>-3185.4093843248593</v>
      </c>
      <c r="M55" t="s">
        <v>1065</v>
      </c>
      <c r="T55" t="s">
        <v>3510</v>
      </c>
    </row>
    <row r="56" spans="1:24" x14ac:dyDescent="0.3">
      <c r="A56" s="157">
        <f t="shared" si="1"/>
        <v>2474</v>
      </c>
      <c r="B56" s="124">
        <f t="shared" si="2"/>
        <v>46252</v>
      </c>
      <c r="C56" s="57" t="s">
        <v>2756</v>
      </c>
      <c r="D56" t="s">
        <v>1064</v>
      </c>
      <c r="E56" t="s">
        <v>1030</v>
      </c>
      <c r="L56" s="59">
        <f>SUMIFS(VaR!K:K,VaR!J:J,"VaR95%",VaR!H:H,"VaR1D",VaR!G:G,"BK",VaR!F:F,"SBV")/10^9</f>
        <v>39.777693123054902</v>
      </c>
      <c r="M56" t="s">
        <v>1065</v>
      </c>
      <c r="P56" t="s">
        <v>1066</v>
      </c>
    </row>
    <row r="57" spans="1:24" x14ac:dyDescent="0.3">
      <c r="A57" s="157">
        <f t="shared" si="1"/>
        <v>2474</v>
      </c>
      <c r="B57" s="124">
        <f t="shared" si="2"/>
        <v>46252</v>
      </c>
      <c r="C57" s="57" t="s">
        <v>858</v>
      </c>
      <c r="D57" t="s">
        <v>1064</v>
      </c>
      <c r="E57" t="s">
        <v>1030</v>
      </c>
      <c r="L57" s="59">
        <f>SUMIFS(VaR!K:K,VaR!J:J,"VaR99%",VaR!H:H,"VaR1D",VaR!G:G,"BK",VaR!F:F,"SBV")/10^9</f>
        <v>92.67693385169926</v>
      </c>
      <c r="M57" t="s">
        <v>1065</v>
      </c>
      <c r="P57" t="s">
        <v>1066</v>
      </c>
    </row>
    <row r="58" spans="1:24" x14ac:dyDescent="0.3">
      <c r="A58" s="157">
        <f t="shared" si="1"/>
        <v>2474</v>
      </c>
      <c r="B58" s="124">
        <f t="shared" si="2"/>
        <v>46252</v>
      </c>
      <c r="C58" s="57" t="s">
        <v>3175</v>
      </c>
      <c r="D58" t="s">
        <v>1064</v>
      </c>
      <c r="E58" t="s">
        <v>1030</v>
      </c>
      <c r="L58" s="59">
        <f>SUMIFS(VaR!K:K,VaR!J:J,"VaR95%",VaR!H:H,"VaR10D",VaR!G:G,"BK",VaR!F:F,"SBV")/10^9</f>
        <v>258.33661384935851</v>
      </c>
      <c r="M58" t="s">
        <v>1065</v>
      </c>
      <c r="P58" t="s">
        <v>1066</v>
      </c>
    </row>
    <row r="59" spans="1:24" x14ac:dyDescent="0.3">
      <c r="A59" s="157">
        <f t="shared" si="1"/>
        <v>2474</v>
      </c>
      <c r="B59" s="124">
        <f t="shared" si="2"/>
        <v>46252</v>
      </c>
      <c r="C59" s="57" t="s">
        <v>3176</v>
      </c>
      <c r="D59" t="s">
        <v>1064</v>
      </c>
      <c r="E59" t="s">
        <v>1030</v>
      </c>
      <c r="L59" s="59">
        <f>SUMIFS(VaR!K:K,VaR!J:J,"VaR99%",VaR!H:H,"VaR10D",VaR!G:G,"BK",VaR!F:F,"SBV")/10^9</f>
        <v>316.48020282560418</v>
      </c>
      <c r="M59" t="s">
        <v>1065</v>
      </c>
      <c r="P59" t="s">
        <v>1066</v>
      </c>
    </row>
    <row r="60" spans="1:24" x14ac:dyDescent="0.3">
      <c r="A60" s="157">
        <f t="shared" si="1"/>
        <v>2474</v>
      </c>
      <c r="B60" s="124">
        <f t="shared" si="2"/>
        <v>46252</v>
      </c>
      <c r="C60" s="57" t="s">
        <v>3177</v>
      </c>
      <c r="D60" t="s">
        <v>1064</v>
      </c>
      <c r="E60" t="s">
        <v>1030</v>
      </c>
      <c r="L60" s="59">
        <f>SUMIFS(VaR!K:K,VaR!J:J,"VaR95%",VaR!H:H,"VaR20D",VaR!G:G,"BK",VaR!F:F,"SBV")/10^9</f>
        <v>372.96231833872275</v>
      </c>
      <c r="M60" t="s">
        <v>1065</v>
      </c>
      <c r="P60" t="s">
        <v>1066</v>
      </c>
    </row>
    <row r="61" spans="1:24" x14ac:dyDescent="0.3">
      <c r="A61" s="157">
        <f t="shared" si="1"/>
        <v>2474</v>
      </c>
      <c r="B61" s="124">
        <f t="shared" si="2"/>
        <v>46252</v>
      </c>
      <c r="C61" s="57" t="s">
        <v>3178</v>
      </c>
      <c r="D61" t="s">
        <v>1064</v>
      </c>
      <c r="E61" t="s">
        <v>1030</v>
      </c>
      <c r="L61" s="59">
        <f>SUMIFS(VaR!K:K,VaR!J:J,"VaR99%",VaR!H:H,"VaR20D",VaR!G:G,"BK",VaR!F:F,"SBV")/10^9</f>
        <v>447.6447514227587</v>
      </c>
      <c r="M61" t="s">
        <v>1065</v>
      </c>
      <c r="P61" t="s">
        <v>1066</v>
      </c>
    </row>
    <row r="62" spans="1:24" x14ac:dyDescent="0.3">
      <c r="A62" s="157">
        <f t="shared" si="1"/>
        <v>2474</v>
      </c>
      <c r="B62" s="124">
        <f t="shared" ref="B62:B67" si="3">RPT</f>
        <v>46252</v>
      </c>
      <c r="C62" s="57" t="s">
        <v>3188</v>
      </c>
      <c r="D62" s="1" t="s">
        <v>1064</v>
      </c>
      <c r="E62" s="57" t="s">
        <v>1030</v>
      </c>
      <c r="F62" s="10"/>
      <c r="L62" s="418">
        <v>66.919525237980324</v>
      </c>
      <c r="M62" s="58" t="s">
        <v>1065</v>
      </c>
      <c r="N62" s="65"/>
      <c r="O62" s="1"/>
      <c r="P62" s="1" t="s">
        <v>1066</v>
      </c>
      <c r="X62" s="528"/>
    </row>
    <row r="63" spans="1:24" x14ac:dyDescent="0.3">
      <c r="A63" s="157">
        <f t="shared" si="1"/>
        <v>2474</v>
      </c>
      <c r="B63" s="124">
        <f t="shared" si="3"/>
        <v>46252</v>
      </c>
      <c r="C63" s="57" t="s">
        <v>3189</v>
      </c>
      <c r="D63" s="1" t="s">
        <v>1064</v>
      </c>
      <c r="E63" s="57" t="s">
        <v>1030</v>
      </c>
      <c r="F63" s="10"/>
      <c r="L63" s="418">
        <v>113.09092136317734</v>
      </c>
      <c r="M63" s="58" t="s">
        <v>1065</v>
      </c>
      <c r="N63" s="65"/>
      <c r="O63" s="1"/>
      <c r="P63" s="1" t="s">
        <v>1066</v>
      </c>
      <c r="X63" s="528"/>
    </row>
    <row r="64" spans="1:24" x14ac:dyDescent="0.3">
      <c r="A64" s="157">
        <f t="shared" si="1"/>
        <v>2474</v>
      </c>
      <c r="B64" s="124">
        <f t="shared" si="3"/>
        <v>46252</v>
      </c>
      <c r="C64" s="57" t="s">
        <v>3184</v>
      </c>
      <c r="D64" s="1" t="s">
        <v>1064</v>
      </c>
      <c r="E64" s="58" t="s">
        <v>1030</v>
      </c>
      <c r="F64" s="10"/>
      <c r="L64" s="418" cm="1">
        <f t="array" ref="L64">-AVERAGE(AVERAGEIFS(VaR!K:K,VaR!J:J,{1,2,3,4,5,6,7,8,9,10,11,12},VaR!H:H,"VaR10D",VaR!G:G,"BK",VaR!F:F,"SBV"))/10^9</f>
        <v>303.15433355870096</v>
      </c>
      <c r="M64" s="58" t="s">
        <v>1065</v>
      </c>
      <c r="P64" s="1" t="s">
        <v>1066</v>
      </c>
    </row>
    <row r="65" spans="1:16" x14ac:dyDescent="0.3">
      <c r="A65" s="157">
        <f t="shared" si="1"/>
        <v>2474</v>
      </c>
      <c r="B65" s="124">
        <f t="shared" si="3"/>
        <v>46252</v>
      </c>
      <c r="C65" s="57" t="s">
        <v>3185</v>
      </c>
      <c r="D65" s="1" t="s">
        <v>1064</v>
      </c>
      <c r="E65" s="58" t="s">
        <v>1030</v>
      </c>
      <c r="F65" s="10"/>
      <c r="L65" s="418" cm="1">
        <f t="array" ref="L65">-AVERAGE(AVERAGEIFS(VaR!K:K,VaR!J:J,{1,2},VaR!H:H,"VaR10D",VaR!G:G,"BK",VaR!F:F,"SBV"))/10^9</f>
        <v>360.53147840947145</v>
      </c>
      <c r="M65" s="58" t="s">
        <v>1065</v>
      </c>
      <c r="P65" s="1" t="s">
        <v>1066</v>
      </c>
    </row>
    <row r="66" spans="1:16" x14ac:dyDescent="0.3">
      <c r="A66" s="157">
        <f t="shared" si="1"/>
        <v>2474</v>
      </c>
      <c r="B66" s="124">
        <f t="shared" si="3"/>
        <v>46252</v>
      </c>
      <c r="C66" s="57" t="s">
        <v>3186</v>
      </c>
      <c r="D66" s="1" t="s">
        <v>1064</v>
      </c>
      <c r="E66" s="58" t="s">
        <v>1030</v>
      </c>
      <c r="F66" s="10"/>
      <c r="L66" s="418" cm="1">
        <f t="array" ref="L66">-AVERAGE(AVERAGEIFS(VaR!K:K,VaR!J:J,{1,2,3,4,5,6,7,8,9,10,11,12},VaR!H:H,"VaR20D",VaR!G:G,"BK",VaR!F:F,"SBV"))/10^9</f>
        <v>422.52039182344686</v>
      </c>
      <c r="M66" s="58" t="s">
        <v>1065</v>
      </c>
      <c r="P66" s="1" t="s">
        <v>1066</v>
      </c>
    </row>
    <row r="67" spans="1:16" x14ac:dyDescent="0.3">
      <c r="A67" s="157">
        <f>$X$3</f>
        <v>2474</v>
      </c>
      <c r="B67" s="124">
        <f t="shared" si="3"/>
        <v>46252</v>
      </c>
      <c r="C67" s="57" t="s">
        <v>3187</v>
      </c>
      <c r="D67" s="1" t="s">
        <v>1064</v>
      </c>
      <c r="E67" s="58" t="s">
        <v>1030</v>
      </c>
      <c r="F67" s="10"/>
      <c r="L67" s="418" cm="1">
        <f t="array" ref="L67">-AVERAGE(AVERAGEIFS(VaR!K:K,VaR!J:J,{1,2},VaR!H:H,"VaR20D",VaR!G:G,"BK",VaR!F:F,"SBV"))/10^9</f>
        <v>452.98847563415075</v>
      </c>
      <c r="M67" s="58" t="s">
        <v>1065</v>
      </c>
      <c r="P67" s="1" t="s">
        <v>1066</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
    <tabColor rgb="FF92D050"/>
  </sheetPr>
  <dimension ref="A1:K75"/>
  <sheetViews>
    <sheetView workbookViewId="0">
      <pane ySplit="1" topLeftCell="A2" activePane="bottomLeft" state="frozen"/>
      <selection pane="bottomLeft" activeCell="I4" sqref="I4"/>
    </sheetView>
  </sheetViews>
  <sheetFormatPr defaultRowHeight="14.4" x14ac:dyDescent="0.3"/>
  <cols>
    <col min="1" max="1" width="10.69921875" style="35" bestFit="1" customWidth="1"/>
    <col min="2" max="2" width="20.8984375" style="93" bestFit="1" customWidth="1"/>
    <col min="3" max="3" width="13.8984375" bestFit="1" customWidth="1"/>
    <col min="4" max="4" width="12.59765625" bestFit="1" customWidth="1"/>
    <col min="5" max="5" width="13.69921875" style="71" bestFit="1" customWidth="1"/>
    <col min="9" max="9" width="23.3984375" bestFit="1" customWidth="1"/>
  </cols>
  <sheetData>
    <row r="1" spans="1:11" x14ac:dyDescent="0.3">
      <c r="A1" s="110" t="s">
        <v>855</v>
      </c>
      <c r="B1" s="163" t="s">
        <v>856</v>
      </c>
      <c r="C1" s="103" t="s">
        <v>2259</v>
      </c>
      <c r="D1" s="103" t="s">
        <v>839</v>
      </c>
      <c r="E1" s="402" t="s">
        <v>857</v>
      </c>
      <c r="F1" s="103" t="s">
        <v>981</v>
      </c>
      <c r="G1" s="103" t="s">
        <v>1047</v>
      </c>
      <c r="H1" s="399">
        <f>COUNT(A:A)</f>
        <v>69</v>
      </c>
      <c r="J1" s="56"/>
      <c r="K1" s="56"/>
    </row>
    <row r="2" spans="1:11" x14ac:dyDescent="0.3">
      <c r="A2" s="124">
        <f t="shared" ref="A2:A70" si="0">RPT</f>
        <v>46252</v>
      </c>
      <c r="B2" s="93" t="s">
        <v>3076</v>
      </c>
      <c r="E2" s="715" cm="1">
        <f t="array" ref="E2">SUM(SUMIFS(BS!AV:AV,BS!AO:AO,{"KBNN","VDB","CSXH"}))/10^9/AVERAGE(His_NPT[Actual])</f>
        <v>8.1335416828573565E-2</v>
      </c>
    </row>
    <row r="3" spans="1:11" x14ac:dyDescent="0.3">
      <c r="A3" s="124">
        <f t="shared" ref="A3:A22" si="1">RPT</f>
        <v>46252</v>
      </c>
      <c r="B3" s="93" t="s">
        <v>3130</v>
      </c>
      <c r="C3" t="s">
        <v>811</v>
      </c>
      <c r="E3" s="71">
        <f>SUMIFS(Funding!L:L,Funding!E:E,"R")/10^9</f>
        <v>28264.400000000001</v>
      </c>
      <c r="F3" t="s">
        <v>1065</v>
      </c>
      <c r="H3" s="1"/>
      <c r="I3" s="410"/>
      <c r="J3" s="1"/>
      <c r="K3" s="109"/>
    </row>
    <row r="4" spans="1:11" x14ac:dyDescent="0.3">
      <c r="A4" s="124">
        <f t="shared" si="1"/>
        <v>46252</v>
      </c>
      <c r="B4" s="93" t="s">
        <v>3130</v>
      </c>
      <c r="C4" t="s">
        <v>811</v>
      </c>
      <c r="D4" t="s">
        <v>3132</v>
      </c>
      <c r="E4" s="71">
        <f>SUMIFS(Funding!L:L,Funding!E:E,"R",Funding!Q:Q,D4)/10^9</f>
        <v>0</v>
      </c>
      <c r="F4" t="s">
        <v>1065</v>
      </c>
      <c r="H4" s="1"/>
      <c r="I4">
        <f>AVERAGE(His_NPT[Actual])</f>
        <v>370488.94780377898</v>
      </c>
      <c r="J4" s="1"/>
      <c r="K4" s="109"/>
    </row>
    <row r="5" spans="1:11" x14ac:dyDescent="0.3">
      <c r="A5" s="124">
        <f t="shared" si="1"/>
        <v>46252</v>
      </c>
      <c r="B5" s="93" t="s">
        <v>3130</v>
      </c>
      <c r="C5" t="s">
        <v>811</v>
      </c>
      <c r="D5" t="s">
        <v>2878</v>
      </c>
      <c r="E5" s="71">
        <f>SUMIFS(Funding!L:L,Funding!E:E,"R",Funding!Q:Q,D5)/10^9</f>
        <v>0</v>
      </c>
      <c r="F5" t="s">
        <v>1065</v>
      </c>
      <c r="H5" s="1"/>
      <c r="J5" s="1"/>
      <c r="K5" s="109"/>
    </row>
    <row r="6" spans="1:11" x14ac:dyDescent="0.3">
      <c r="A6" s="124">
        <f t="shared" si="1"/>
        <v>46252</v>
      </c>
      <c r="B6" s="93" t="s">
        <v>3130</v>
      </c>
      <c r="C6" t="s">
        <v>811</v>
      </c>
      <c r="D6" t="s">
        <v>2879</v>
      </c>
      <c r="E6" s="71">
        <f>SUMIFS(Funding!L:L,Funding!E:E,"R",Funding!Q:Q,D6)/10^9</f>
        <v>1150</v>
      </c>
      <c r="F6" t="s">
        <v>1065</v>
      </c>
      <c r="H6" s="1"/>
      <c r="J6" s="1"/>
      <c r="K6" s="109"/>
    </row>
    <row r="7" spans="1:11" x14ac:dyDescent="0.3">
      <c r="A7" s="124">
        <f t="shared" si="1"/>
        <v>46252</v>
      </c>
      <c r="B7" s="93" t="s">
        <v>3130</v>
      </c>
      <c r="C7" t="s">
        <v>811</v>
      </c>
      <c r="D7" t="s">
        <v>984</v>
      </c>
      <c r="E7" s="71">
        <f>SUMIFS(Funding!L:L,Funding!E:E,"R",Funding!Q:Q,D7)/10^9</f>
        <v>0</v>
      </c>
      <c r="F7" t="s">
        <v>1065</v>
      </c>
      <c r="H7" s="1"/>
      <c r="J7" s="1"/>
      <c r="K7" s="109"/>
    </row>
    <row r="8" spans="1:11" x14ac:dyDescent="0.3">
      <c r="A8" s="124">
        <f t="shared" si="1"/>
        <v>46252</v>
      </c>
      <c r="B8" s="93" t="s">
        <v>3130</v>
      </c>
      <c r="C8" t="s">
        <v>811</v>
      </c>
      <c r="D8" t="s">
        <v>2880</v>
      </c>
      <c r="E8" s="71">
        <f>SUMIFS(Funding!L:L,Funding!E:E,"R",Funding!Q:Q,D8)/10^9</f>
        <v>3550</v>
      </c>
      <c r="F8" t="s">
        <v>1065</v>
      </c>
      <c r="H8" s="1"/>
      <c r="J8" s="1"/>
      <c r="K8" s="109"/>
    </row>
    <row r="9" spans="1:11" x14ac:dyDescent="0.3">
      <c r="A9" s="124">
        <f t="shared" si="1"/>
        <v>46252</v>
      </c>
      <c r="B9" s="93" t="s">
        <v>3130</v>
      </c>
      <c r="C9" t="s">
        <v>811</v>
      </c>
      <c r="D9" t="s">
        <v>915</v>
      </c>
      <c r="E9" s="71">
        <f>SUMIFS(Funding!L:L,Funding!E:E,"R",Funding!Q:Q,D9)/10^9</f>
        <v>20115.400000000001</v>
      </c>
      <c r="F9" t="s">
        <v>1065</v>
      </c>
      <c r="H9" s="1"/>
      <c r="J9" s="1"/>
      <c r="K9" s="109"/>
    </row>
    <row r="10" spans="1:11" x14ac:dyDescent="0.3">
      <c r="A10" s="124">
        <f t="shared" si="1"/>
        <v>46252</v>
      </c>
      <c r="B10" s="93" t="s">
        <v>3130</v>
      </c>
      <c r="C10" t="s">
        <v>811</v>
      </c>
      <c r="D10" t="s">
        <v>917</v>
      </c>
      <c r="E10" s="71">
        <f>SUMIFS(Funding!L:L,Funding!E:E,"R",Funding!Q:Q,D10)/10^9</f>
        <v>3449</v>
      </c>
      <c r="F10" t="s">
        <v>1065</v>
      </c>
      <c r="H10" s="1"/>
      <c r="J10" s="1"/>
      <c r="K10" s="109"/>
    </row>
    <row r="11" spans="1:11" x14ac:dyDescent="0.3">
      <c r="A11" s="124">
        <f t="shared" si="1"/>
        <v>46252</v>
      </c>
      <c r="B11" s="93" t="s">
        <v>3130</v>
      </c>
      <c r="C11" t="s">
        <v>811</v>
      </c>
      <c r="D11" t="s">
        <v>983</v>
      </c>
      <c r="E11" s="71">
        <f>SUMIFS(Funding!L:L,Funding!E:E,"R",Funding!Q:Q,D11)/10^9</f>
        <v>0</v>
      </c>
      <c r="F11" t="s">
        <v>1065</v>
      </c>
      <c r="H11" s="1"/>
      <c r="J11" s="1"/>
      <c r="K11" s="109"/>
    </row>
    <row r="12" spans="1:11" x14ac:dyDescent="0.3">
      <c r="A12" s="124">
        <f t="shared" si="1"/>
        <v>46252</v>
      </c>
      <c r="B12" s="93" t="s">
        <v>3130</v>
      </c>
      <c r="C12" t="s">
        <v>811</v>
      </c>
      <c r="D12" t="s">
        <v>877</v>
      </c>
      <c r="E12" s="71">
        <f>SUMIFS(Funding!L:L,Funding!E:E,"R",Funding!Q:Q,D12)/10^9</f>
        <v>0</v>
      </c>
      <c r="F12" t="s">
        <v>1065</v>
      </c>
      <c r="H12" s="1"/>
      <c r="J12" s="1"/>
      <c r="K12" s="109"/>
    </row>
    <row r="13" spans="1:11" x14ac:dyDescent="0.3">
      <c r="A13" s="124">
        <f t="shared" si="1"/>
        <v>46252</v>
      </c>
      <c r="B13" s="93" t="s">
        <v>3130</v>
      </c>
      <c r="C13" t="s">
        <v>2265</v>
      </c>
      <c r="E13" s="71">
        <f>SUMIFS(Funding!L:L,Funding!E:E,"V")/10^9</f>
        <v>0</v>
      </c>
      <c r="F13" t="s">
        <v>1065</v>
      </c>
      <c r="H13" s="1"/>
      <c r="J13" s="1"/>
      <c r="K13" s="109"/>
    </row>
    <row r="14" spans="1:11" x14ac:dyDescent="0.3">
      <c r="A14" s="124">
        <f t="shared" si="1"/>
        <v>46252</v>
      </c>
      <c r="B14" s="93" t="s">
        <v>3130</v>
      </c>
      <c r="C14" t="s">
        <v>2265</v>
      </c>
      <c r="D14" t="s">
        <v>3132</v>
      </c>
      <c r="E14" s="71">
        <f>SUMIFS(Funding!L:L,Funding!E:E,"V",Funding!Q:Q,D14)/10^9</f>
        <v>0</v>
      </c>
      <c r="F14" t="s">
        <v>1065</v>
      </c>
      <c r="H14" s="1"/>
      <c r="J14" s="1"/>
      <c r="K14" s="109"/>
    </row>
    <row r="15" spans="1:11" x14ac:dyDescent="0.3">
      <c r="A15" s="124">
        <f t="shared" si="1"/>
        <v>46252</v>
      </c>
      <c r="B15" s="93" t="s">
        <v>3130</v>
      </c>
      <c r="C15" t="s">
        <v>2265</v>
      </c>
      <c r="D15" t="s">
        <v>2878</v>
      </c>
      <c r="E15" s="71">
        <f>SUMIFS(Funding!L:L,Funding!E:E,"V",Funding!Q:Q,D15)/10^9</f>
        <v>0</v>
      </c>
      <c r="F15" t="s">
        <v>1065</v>
      </c>
      <c r="H15" s="1"/>
      <c r="J15" s="1"/>
      <c r="K15" s="109"/>
    </row>
    <row r="16" spans="1:11" x14ac:dyDescent="0.3">
      <c r="A16" s="124">
        <f t="shared" si="1"/>
        <v>46252</v>
      </c>
      <c r="B16" s="93" t="s">
        <v>3130</v>
      </c>
      <c r="C16" t="s">
        <v>2265</v>
      </c>
      <c r="D16" t="s">
        <v>2879</v>
      </c>
      <c r="E16" s="71">
        <f>SUMIFS(Funding!L:L,Funding!E:E,"V",Funding!Q:Q,D16)/10^9</f>
        <v>0</v>
      </c>
      <c r="F16" t="s">
        <v>1065</v>
      </c>
      <c r="H16" s="1"/>
      <c r="J16" s="1"/>
      <c r="K16" s="109"/>
    </row>
    <row r="17" spans="1:11" x14ac:dyDescent="0.3">
      <c r="A17" s="124">
        <f t="shared" si="1"/>
        <v>46252</v>
      </c>
      <c r="B17" s="93" t="s">
        <v>3130</v>
      </c>
      <c r="C17" t="s">
        <v>2265</v>
      </c>
      <c r="D17" t="s">
        <v>984</v>
      </c>
      <c r="E17" s="71">
        <f>SUMIFS(Funding!L:L,Funding!E:E,"V",Funding!Q:Q,D17)/10^9</f>
        <v>0</v>
      </c>
      <c r="F17" t="s">
        <v>1065</v>
      </c>
      <c r="H17" s="1"/>
      <c r="J17" s="1"/>
      <c r="K17" s="109"/>
    </row>
    <row r="18" spans="1:11" x14ac:dyDescent="0.3">
      <c r="A18" s="124">
        <f t="shared" si="1"/>
        <v>46252</v>
      </c>
      <c r="B18" s="93" t="s">
        <v>3130</v>
      </c>
      <c r="C18" t="s">
        <v>2265</v>
      </c>
      <c r="D18" t="s">
        <v>2880</v>
      </c>
      <c r="E18" s="71">
        <f>SUMIFS(Funding!L:L,Funding!E:E,"V",Funding!Q:Q,D18)/10^9</f>
        <v>0</v>
      </c>
      <c r="F18" t="s">
        <v>1065</v>
      </c>
      <c r="H18" s="1"/>
      <c r="J18" s="1"/>
      <c r="K18" s="109"/>
    </row>
    <row r="19" spans="1:11" x14ac:dyDescent="0.3">
      <c r="A19" s="124">
        <f t="shared" si="1"/>
        <v>46252</v>
      </c>
      <c r="B19" s="93" t="s">
        <v>3130</v>
      </c>
      <c r="C19" t="s">
        <v>2265</v>
      </c>
      <c r="D19" t="s">
        <v>915</v>
      </c>
      <c r="E19" s="71">
        <f>SUMIFS(Funding!L:L,Funding!E:E,"V",Funding!Q:Q,D19)/10^9</f>
        <v>0</v>
      </c>
      <c r="F19" t="s">
        <v>1065</v>
      </c>
      <c r="H19" s="1"/>
      <c r="J19" s="1"/>
      <c r="K19" s="109"/>
    </row>
    <row r="20" spans="1:11" x14ac:dyDescent="0.3">
      <c r="A20" s="124">
        <f t="shared" si="1"/>
        <v>46252</v>
      </c>
      <c r="B20" s="93" t="s">
        <v>3130</v>
      </c>
      <c r="C20" t="s">
        <v>2265</v>
      </c>
      <c r="D20" t="s">
        <v>917</v>
      </c>
      <c r="E20" s="71">
        <f>SUMIFS(Funding!L:L,Funding!E:E,"V",Funding!Q:Q,D20)/10^9</f>
        <v>0</v>
      </c>
      <c r="F20" t="s">
        <v>1065</v>
      </c>
      <c r="H20" s="1"/>
      <c r="J20" s="1"/>
      <c r="K20" s="109"/>
    </row>
    <row r="21" spans="1:11" x14ac:dyDescent="0.3">
      <c r="A21" s="124">
        <f t="shared" si="1"/>
        <v>46252</v>
      </c>
      <c r="B21" s="93" t="s">
        <v>3130</v>
      </c>
      <c r="C21" t="s">
        <v>2265</v>
      </c>
      <c r="D21" t="s">
        <v>983</v>
      </c>
      <c r="E21" s="71">
        <f>SUMIFS(Funding!L:L,Funding!E:E,"V",Funding!Q:Q,D21)/10^9</f>
        <v>0</v>
      </c>
      <c r="F21" t="s">
        <v>1065</v>
      </c>
      <c r="H21" s="1"/>
      <c r="J21" s="1"/>
      <c r="K21" s="109"/>
    </row>
    <row r="22" spans="1:11" x14ac:dyDescent="0.3">
      <c r="A22" s="124">
        <f t="shared" si="1"/>
        <v>46252</v>
      </c>
      <c r="B22" s="93" t="s">
        <v>3130</v>
      </c>
      <c r="C22" t="s">
        <v>2265</v>
      </c>
      <c r="D22" t="s">
        <v>877</v>
      </c>
      <c r="E22" s="71">
        <f>SUMIFS(Funding!L:L,Funding!E:E,"V",Funding!Q:Q,D22)/10^9</f>
        <v>0</v>
      </c>
      <c r="F22" t="s">
        <v>1065</v>
      </c>
      <c r="H22" s="1"/>
      <c r="J22" s="1"/>
      <c r="K22" s="109"/>
    </row>
    <row r="23" spans="1:11" x14ac:dyDescent="0.3">
      <c r="A23" s="124">
        <f t="shared" si="0"/>
        <v>46252</v>
      </c>
      <c r="B23" s="93" t="s">
        <v>3126</v>
      </c>
      <c r="C23" t="s">
        <v>811</v>
      </c>
      <c r="E23" s="71">
        <f>-SUMIFS(FNRP!GD:GD,FNRP!GB:GB,"ST-REPO",FNRP!GG:GG,"&gt;"&amp;RPT)/10^9</f>
        <v>27312.924358</v>
      </c>
      <c r="F23" t="s">
        <v>1065</v>
      </c>
      <c r="H23" s="1"/>
      <c r="J23" s="1"/>
      <c r="K23" s="109"/>
    </row>
    <row r="24" spans="1:11" x14ac:dyDescent="0.3">
      <c r="A24" s="124">
        <f t="shared" si="0"/>
        <v>46252</v>
      </c>
      <c r="B24" s="93" t="s">
        <v>3126</v>
      </c>
      <c r="C24" t="s">
        <v>811</v>
      </c>
      <c r="D24" t="s">
        <v>3132</v>
      </c>
      <c r="E24" s="71">
        <f>-SUMIFS(FNRP!GD:GD,FNRP!GB:GB,"ST-REPO",FNRP!GG:GG,"&gt;"&amp;RPT,FNRP!GX:GX,D24)/10^9</f>
        <v>1677.8264999999999</v>
      </c>
      <c r="F24" t="s">
        <v>1065</v>
      </c>
      <c r="H24" s="1"/>
      <c r="J24" s="1"/>
      <c r="K24" s="109"/>
    </row>
    <row r="25" spans="1:11" x14ac:dyDescent="0.3">
      <c r="A25" s="124">
        <f t="shared" si="0"/>
        <v>46252</v>
      </c>
      <c r="B25" s="93" t="s">
        <v>3126</v>
      </c>
      <c r="C25" t="s">
        <v>811</v>
      </c>
      <c r="D25" t="s">
        <v>2878</v>
      </c>
      <c r="E25" s="71">
        <f>-SUMIFS(FNRP!GD:GD,FNRP!GB:GB,"ST-REPO",FNRP!GG:GG,"&gt;"&amp;RPT,FNRP!GX:GX,D25)/10^9</f>
        <v>0</v>
      </c>
      <c r="F25" t="s">
        <v>1065</v>
      </c>
      <c r="H25" s="1"/>
      <c r="J25" s="1"/>
      <c r="K25" s="109"/>
    </row>
    <row r="26" spans="1:11" x14ac:dyDescent="0.3">
      <c r="A26" s="124">
        <f t="shared" si="0"/>
        <v>46252</v>
      </c>
      <c r="B26" s="93" t="s">
        <v>3126</v>
      </c>
      <c r="C26" t="s">
        <v>811</v>
      </c>
      <c r="D26" t="s">
        <v>2879</v>
      </c>
      <c r="E26" s="71">
        <f>-SUMIFS(FNRP!GD:GD,FNRP!GB:GB,"ST-REPO",FNRP!GG:GG,"&gt;"&amp;RPT,FNRP!GX:GX,D26)/10^9</f>
        <v>4475.3372879999997</v>
      </c>
      <c r="F26" t="s">
        <v>1065</v>
      </c>
      <c r="H26" s="1"/>
      <c r="J26" s="1"/>
      <c r="K26" s="109"/>
    </row>
    <row r="27" spans="1:11" x14ac:dyDescent="0.3">
      <c r="A27" s="124">
        <f t="shared" si="0"/>
        <v>46252</v>
      </c>
      <c r="B27" s="93" t="s">
        <v>3126</v>
      </c>
      <c r="C27" t="s">
        <v>811</v>
      </c>
      <c r="D27" t="s">
        <v>984</v>
      </c>
      <c r="E27" s="71">
        <f>-SUMIFS(FNRP!GD:GD,FNRP!GB:GB,"ST-REPO",FNRP!GG:GG,"&gt;"&amp;RPT,FNRP!GX:GX,D27)/10^9</f>
        <v>3486.5790499999998</v>
      </c>
      <c r="F27" t="s">
        <v>1065</v>
      </c>
      <c r="H27" s="1"/>
      <c r="J27" s="1"/>
      <c r="K27" s="109"/>
    </row>
    <row r="28" spans="1:11" x14ac:dyDescent="0.3">
      <c r="A28" s="124">
        <f t="shared" si="0"/>
        <v>46252</v>
      </c>
      <c r="B28" s="93" t="s">
        <v>3126</v>
      </c>
      <c r="C28" t="s">
        <v>811</v>
      </c>
      <c r="D28" t="s">
        <v>2880</v>
      </c>
      <c r="E28" s="71">
        <f>-SUMIFS(FNRP!GD:GD,FNRP!GB:GB,"ST-REPO",FNRP!GG:GG,"&gt;"&amp;RPT,FNRP!GX:GX,D28)/10^9</f>
        <v>10007.72596</v>
      </c>
      <c r="F28" t="s">
        <v>1065</v>
      </c>
      <c r="H28" s="1"/>
      <c r="J28" s="1"/>
      <c r="K28" s="109"/>
    </row>
    <row r="29" spans="1:11" x14ac:dyDescent="0.3">
      <c r="A29" s="124">
        <f t="shared" si="0"/>
        <v>46252</v>
      </c>
      <c r="B29" s="93" t="s">
        <v>3126</v>
      </c>
      <c r="C29" t="s">
        <v>811</v>
      </c>
      <c r="D29" t="s">
        <v>915</v>
      </c>
      <c r="E29" s="71">
        <f>-SUMIFS(FNRP!GD:GD,FNRP!GB:GB,"ST-REPO",FNRP!GG:GG,"&gt;"&amp;RPT,FNRP!GX:GX,D29)/10^9</f>
        <v>7665.4555600000003</v>
      </c>
      <c r="F29" t="s">
        <v>1065</v>
      </c>
    </row>
    <row r="30" spans="1:11" x14ac:dyDescent="0.3">
      <c r="A30" s="124">
        <f t="shared" si="0"/>
        <v>46252</v>
      </c>
      <c r="B30" s="93" t="s">
        <v>3126</v>
      </c>
      <c r="C30" t="s">
        <v>811</v>
      </c>
      <c r="D30" t="s">
        <v>917</v>
      </c>
      <c r="E30" s="71">
        <f>-SUMIFS(FNRP!GD:GD,FNRP!GB:GB,"ST-REPO",FNRP!GG:GG,"&gt;"&amp;RPT,FNRP!GX:GX,D30)/10^9</f>
        <v>0</v>
      </c>
      <c r="F30" t="s">
        <v>1065</v>
      </c>
    </row>
    <row r="31" spans="1:11" x14ac:dyDescent="0.3">
      <c r="A31" s="124">
        <f t="shared" si="0"/>
        <v>46252</v>
      </c>
      <c r="B31" s="93" t="s">
        <v>3126</v>
      </c>
      <c r="C31" t="s">
        <v>811</v>
      </c>
      <c r="D31" t="s">
        <v>983</v>
      </c>
      <c r="E31" s="71">
        <f>-SUMIFS(FNRP!GD:GD,FNRP!GB:GB,"ST-REPO",FNRP!GG:GG,"&gt;"&amp;RPT,FNRP!GX:GX,D31)/10^9</f>
        <v>0</v>
      </c>
      <c r="F31" t="s">
        <v>1065</v>
      </c>
    </row>
    <row r="32" spans="1:11" x14ac:dyDescent="0.3">
      <c r="A32" s="124">
        <f t="shared" si="0"/>
        <v>46252</v>
      </c>
      <c r="B32" s="93" t="s">
        <v>3126</v>
      </c>
      <c r="C32" t="s">
        <v>811</v>
      </c>
      <c r="D32" t="s">
        <v>877</v>
      </c>
      <c r="E32" s="71">
        <f>-SUMIFS(FNRP!GD:GD,FNRP!GB:GB,"ST-REPO",FNRP!GG:GG,"&gt;"&amp;RPT,FNRP!GX:GX,D32)/10^9</f>
        <v>0</v>
      </c>
      <c r="F32" t="s">
        <v>1065</v>
      </c>
    </row>
    <row r="33" spans="1:11" x14ac:dyDescent="0.3">
      <c r="A33" s="124">
        <f t="shared" si="0"/>
        <v>46252</v>
      </c>
      <c r="B33" s="93" t="s">
        <v>3126</v>
      </c>
      <c r="C33" t="s">
        <v>2265</v>
      </c>
      <c r="E33" s="71">
        <f>-SUMIFS(FNRP!GD:GD,FNRP!GB:GB,"ST-REVREPO",FNRP!GG:GG,"&gt;"&amp;RPT)/10^9</f>
        <v>0</v>
      </c>
      <c r="F33" t="s">
        <v>1065</v>
      </c>
    </row>
    <row r="34" spans="1:11" x14ac:dyDescent="0.3">
      <c r="A34" s="124">
        <f t="shared" si="0"/>
        <v>46252</v>
      </c>
      <c r="B34" s="93" t="s">
        <v>3126</v>
      </c>
      <c r="C34" t="s">
        <v>2265</v>
      </c>
      <c r="D34" t="s">
        <v>3132</v>
      </c>
      <c r="E34" s="71">
        <f>-SUMIFS(FNRP!GD:GD,FNRP!GB:GB,"ST-REVREPO",FNRP!GG:GG,"&gt;"&amp;RPT,FNRP!GX:GX,D34)/10^9</f>
        <v>0</v>
      </c>
      <c r="F34" t="s">
        <v>1065</v>
      </c>
    </row>
    <row r="35" spans="1:11" x14ac:dyDescent="0.3">
      <c r="A35" s="124">
        <f t="shared" si="0"/>
        <v>46252</v>
      </c>
      <c r="B35" s="93" t="s">
        <v>3126</v>
      </c>
      <c r="C35" t="s">
        <v>2265</v>
      </c>
      <c r="D35" t="s">
        <v>2878</v>
      </c>
      <c r="E35" s="71">
        <f>-SUMIFS(FNRP!GD:GD,FNRP!GB:GB,"ST-REVREPO",FNRP!GG:GG,"&gt;"&amp;RPT,FNRP!GX:GX,D35)/10^9</f>
        <v>0</v>
      </c>
      <c r="F35" t="s">
        <v>1065</v>
      </c>
    </row>
    <row r="36" spans="1:11" x14ac:dyDescent="0.3">
      <c r="A36" s="124">
        <f t="shared" si="0"/>
        <v>46252</v>
      </c>
      <c r="B36" s="93" t="s">
        <v>3126</v>
      </c>
      <c r="C36" t="s">
        <v>2265</v>
      </c>
      <c r="D36" t="s">
        <v>2879</v>
      </c>
      <c r="E36" s="71">
        <f>-SUMIFS(FNRP!GD:GD,FNRP!GB:GB,"ST-REVREPO",FNRP!GG:GG,"&gt;"&amp;RPT,FNRP!GX:GX,D36)/10^9</f>
        <v>0</v>
      </c>
      <c r="F36" t="s">
        <v>1065</v>
      </c>
    </row>
    <row r="37" spans="1:11" x14ac:dyDescent="0.3">
      <c r="A37" s="124">
        <f t="shared" si="0"/>
        <v>46252</v>
      </c>
      <c r="B37" s="93" t="s">
        <v>3126</v>
      </c>
      <c r="C37" t="s">
        <v>2265</v>
      </c>
      <c r="D37" t="s">
        <v>984</v>
      </c>
      <c r="E37" s="71">
        <f>-SUMIFS(FNRP!GD:GD,FNRP!GB:GB,"ST-REVREPO",FNRP!GG:GG,"&gt;"&amp;RPT,FNRP!GX:GX,D37)/10^9</f>
        <v>0</v>
      </c>
      <c r="F37" t="s">
        <v>1065</v>
      </c>
    </row>
    <row r="38" spans="1:11" x14ac:dyDescent="0.3">
      <c r="A38" s="124">
        <f t="shared" si="0"/>
        <v>46252</v>
      </c>
      <c r="B38" s="93" t="s">
        <v>3126</v>
      </c>
      <c r="C38" t="s">
        <v>2265</v>
      </c>
      <c r="D38" t="s">
        <v>2880</v>
      </c>
      <c r="E38" s="71">
        <f>-SUMIFS(FNRP!GD:GD,FNRP!GB:GB,"ST-REVREPO",FNRP!GG:GG,"&gt;"&amp;RPT,FNRP!GX:GX,D38)/10^9</f>
        <v>0</v>
      </c>
      <c r="F38" t="s">
        <v>1065</v>
      </c>
    </row>
    <row r="39" spans="1:11" x14ac:dyDescent="0.3">
      <c r="A39" s="124">
        <f t="shared" si="0"/>
        <v>46252</v>
      </c>
      <c r="B39" s="93" t="s">
        <v>3126</v>
      </c>
      <c r="C39" t="s">
        <v>2265</v>
      </c>
      <c r="D39" t="s">
        <v>915</v>
      </c>
      <c r="E39" s="71">
        <f>-SUMIFS(FNRP!GD:GD,FNRP!GB:GB,"ST-REVREPO",FNRP!GG:GG,"&gt;"&amp;RPT,FNRP!GX:GX,D39)/10^9</f>
        <v>0</v>
      </c>
      <c r="F39" t="s">
        <v>1065</v>
      </c>
    </row>
    <row r="40" spans="1:11" x14ac:dyDescent="0.3">
      <c r="A40" s="124">
        <f t="shared" si="0"/>
        <v>46252</v>
      </c>
      <c r="B40" s="93" t="s">
        <v>3126</v>
      </c>
      <c r="C40" t="s">
        <v>2265</v>
      </c>
      <c r="D40" t="s">
        <v>917</v>
      </c>
      <c r="E40" s="71">
        <f>-SUMIFS(FNRP!GD:GD,FNRP!GB:GB,"ST-REVREPO",FNRP!GG:GG,"&gt;"&amp;RPT,FNRP!GX:GX,D40)/10^9</f>
        <v>0</v>
      </c>
      <c r="F40" t="s">
        <v>1065</v>
      </c>
    </row>
    <row r="41" spans="1:11" x14ac:dyDescent="0.3">
      <c r="A41" s="124">
        <f t="shared" si="0"/>
        <v>46252</v>
      </c>
      <c r="B41" s="93" t="s">
        <v>3126</v>
      </c>
      <c r="C41" t="s">
        <v>2265</v>
      </c>
      <c r="D41" t="s">
        <v>983</v>
      </c>
      <c r="E41" s="71">
        <f>-SUMIFS(FNRP!GD:GD,FNRP!GB:GB,"ST-REVREPO",FNRP!GG:GG,"&gt;"&amp;RPT,FNRP!GX:GX,D41)/10^9</f>
        <v>0</v>
      </c>
      <c r="F41" t="s">
        <v>1065</v>
      </c>
    </row>
    <row r="42" spans="1:11" x14ac:dyDescent="0.3">
      <c r="A42" s="124">
        <f t="shared" si="0"/>
        <v>46252</v>
      </c>
      <c r="B42" s="93" t="s">
        <v>3126</v>
      </c>
      <c r="C42" t="s">
        <v>2265</v>
      </c>
      <c r="D42" t="s">
        <v>877</v>
      </c>
      <c r="E42" s="71">
        <f>-SUMIFS(FNRP!GD:GD,FNRP!GB:GB,"ST-REVREPO",FNRP!GG:GG,"&gt;"&amp;RPT,FNRP!GX:GX,D42)/10^9</f>
        <v>0</v>
      </c>
      <c r="F42" t="s">
        <v>1065</v>
      </c>
    </row>
    <row r="43" spans="1:11" x14ac:dyDescent="0.3">
      <c r="A43" s="124">
        <f t="shared" si="0"/>
        <v>46252</v>
      </c>
      <c r="B43" s="93" t="s">
        <v>3128</v>
      </c>
      <c r="C43" t="s">
        <v>811</v>
      </c>
      <c r="E43" s="71">
        <f>-SUMIFS(FNRP!GD:GD,FNRP!GB:GB,"ST-REPO",FNRP!GG:GG,RPT)/10^9</f>
        <v>0</v>
      </c>
      <c r="F43" t="s">
        <v>1065</v>
      </c>
      <c r="H43" s="1"/>
      <c r="J43" s="1"/>
      <c r="K43" s="61"/>
    </row>
    <row r="44" spans="1:11" x14ac:dyDescent="0.3">
      <c r="A44" s="124">
        <f t="shared" si="0"/>
        <v>46252</v>
      </c>
      <c r="B44" s="93" t="s">
        <v>2974</v>
      </c>
      <c r="C44" t="s">
        <v>811</v>
      </c>
      <c r="E44" s="71">
        <f>-SUMIFS(FNRP!GD:GD,FNRP!GB:GB,"ST-REPO",FNRP!FX:FX,RPT)/10^9</f>
        <v>0</v>
      </c>
      <c r="F44" t="s">
        <v>1065</v>
      </c>
    </row>
    <row r="45" spans="1:11" x14ac:dyDescent="0.3">
      <c r="A45" s="124">
        <f t="shared" si="0"/>
        <v>46252</v>
      </c>
      <c r="B45" s="93" t="s">
        <v>3128</v>
      </c>
      <c r="C45" t="s">
        <v>2265</v>
      </c>
      <c r="E45" s="71">
        <f>-SUMIFS(FNRP!GD:GD,FNRP!GB:GB,"ST-REVREPO",FNRP!GG:GG,RPT)/10^9</f>
        <v>0</v>
      </c>
      <c r="F45" t="s">
        <v>1065</v>
      </c>
    </row>
    <row r="46" spans="1:11" x14ac:dyDescent="0.3">
      <c r="A46" s="124">
        <f t="shared" si="0"/>
        <v>46252</v>
      </c>
      <c r="B46" s="93" t="s">
        <v>2974</v>
      </c>
      <c r="C46" t="s">
        <v>2265</v>
      </c>
      <c r="E46" s="71">
        <f>-SUMIFS(FNRP!GD:GD,FNRP!GB:GB,"ST-REVREPO",FNRP!FX:FX,RPT)/10^9</f>
        <v>0</v>
      </c>
      <c r="F46" t="s">
        <v>1065</v>
      </c>
    </row>
    <row r="47" spans="1:11" x14ac:dyDescent="0.3">
      <c r="A47" s="124">
        <f t="shared" si="0"/>
        <v>46252</v>
      </c>
      <c r="B47" s="93" t="s">
        <v>3127</v>
      </c>
      <c r="C47" t="s">
        <v>811</v>
      </c>
      <c r="E47" s="617" cm="1">
        <f t="array" ref="E47">SUMPRODUCT(FNRP!$GD$2:$GD$670 * FNRP!$GH$2:$GH$670 * (FNRP!$GB$2:$GB$670="ST-REPO")*(FNRP!$GG$2:$GG$670&gt;RPT))
/SUMIFS(FNRP!$GD$2:$GD$670, FNRP!$GB$2:$GB$670, "ST-REPO", FNRP!$GG$2:$GG$670, "&gt;"&amp;RPT)/100</f>
        <v>4.5605189143913788E-2</v>
      </c>
      <c r="G47" t="s">
        <v>3134</v>
      </c>
      <c r="I47" s="37"/>
    </row>
    <row r="48" spans="1:11" x14ac:dyDescent="0.3">
      <c r="A48" s="124">
        <f t="shared" si="0"/>
        <v>46252</v>
      </c>
      <c r="B48" s="93" t="s">
        <v>3127</v>
      </c>
      <c r="C48" t="s">
        <v>2265</v>
      </c>
      <c r="E48" s="71" cm="1">
        <f t="array" ref="E48">IFERROR(SUMPRODUCT(FNRP!$GD$2:$GD$670 * FNRP!$GH$2:$GH$670 * (FNRP!$GB$2:$GB$670="ST-REVREPO")*(FNRP!$GG$2:$GG$670&gt;RPT))
/SUMIFS(FNRP!$GD$2:$GD$670, FNRP!$GB$2:$GB$670, "ST-REVREPO", FNRP!$GG$2:$GG$670, "&gt;"&amp;RPT)/100,0)</f>
        <v>0</v>
      </c>
      <c r="G48" t="s">
        <v>3134</v>
      </c>
      <c r="I48" s="37"/>
    </row>
    <row r="49" spans="1:6" x14ac:dyDescent="0.3">
      <c r="A49" s="124">
        <f t="shared" si="0"/>
        <v>46252</v>
      </c>
      <c r="B49" s="93" t="s">
        <v>2264</v>
      </c>
      <c r="C49" t="s">
        <v>811</v>
      </c>
      <c r="E49" s="71">
        <f>(SUM(FNRP!GV:GV)-SUM(FNRP!GM:GM))/10^9</f>
        <v>107.03970278643004</v>
      </c>
      <c r="F49" t="s">
        <v>1065</v>
      </c>
    </row>
    <row r="50" spans="1:6" x14ac:dyDescent="0.3">
      <c r="A50" s="124">
        <f t="shared" si="0"/>
        <v>46252</v>
      </c>
      <c r="B50" s="93" t="s">
        <v>3130</v>
      </c>
      <c r="C50" t="s">
        <v>3068</v>
      </c>
      <c r="E50" s="71">
        <f>SUMIFS(Funding!AG:AG,Funding!AK:AK,"Bond")/10^9</f>
        <v>8541.9274000000005</v>
      </c>
      <c r="F50" t="s">
        <v>1065</v>
      </c>
    </row>
    <row r="51" spans="1:6" x14ac:dyDescent="0.3">
      <c r="A51" s="124">
        <f t="shared" si="0"/>
        <v>46252</v>
      </c>
      <c r="B51" s="93" t="s">
        <v>3130</v>
      </c>
      <c r="C51" t="s">
        <v>3068</v>
      </c>
      <c r="D51" t="s">
        <v>3132</v>
      </c>
      <c r="E51" s="71">
        <f>SUMIFS(Funding!AG:AG,Funding!AK:AK,"Bond",Funding!AL:AL,D51)/10^9</f>
        <v>2889.9886999999999</v>
      </c>
      <c r="F51" t="s">
        <v>1065</v>
      </c>
    </row>
    <row r="52" spans="1:6" x14ac:dyDescent="0.3">
      <c r="A52" s="124">
        <f t="shared" si="0"/>
        <v>46252</v>
      </c>
      <c r="B52" s="93" t="s">
        <v>3130</v>
      </c>
      <c r="C52" t="s">
        <v>3068</v>
      </c>
      <c r="D52" t="s">
        <v>2878</v>
      </c>
      <c r="E52" s="71">
        <f>SUMIFS(Funding!AG:AG,Funding!AK:AK,"Bond",Funding!AL:AL,D52)/10^9</f>
        <v>0</v>
      </c>
      <c r="F52" t="s">
        <v>1065</v>
      </c>
    </row>
    <row r="53" spans="1:6" x14ac:dyDescent="0.3">
      <c r="A53" s="124">
        <f t="shared" si="0"/>
        <v>46252</v>
      </c>
      <c r="B53" s="93" t="s">
        <v>3130</v>
      </c>
      <c r="C53" t="s">
        <v>3068</v>
      </c>
      <c r="D53" t="s">
        <v>2879</v>
      </c>
      <c r="E53" s="71">
        <f>SUMIFS(Funding!AG:AG,Funding!AK:AK,"Bond",Funding!AL:AL,D53)/10^9</f>
        <v>0</v>
      </c>
      <c r="F53" t="s">
        <v>1065</v>
      </c>
    </row>
    <row r="54" spans="1:6" x14ac:dyDescent="0.3">
      <c r="A54" s="124">
        <f t="shared" si="0"/>
        <v>46252</v>
      </c>
      <c r="B54" s="93" t="s">
        <v>3130</v>
      </c>
      <c r="C54" t="s">
        <v>3068</v>
      </c>
      <c r="D54" t="s">
        <v>984</v>
      </c>
      <c r="E54" s="71">
        <f>SUMIFS(Funding!AG:AG,Funding!AK:AK,"Bond",Funding!AL:AL,D54)/10^9</f>
        <v>3240.2860000000001</v>
      </c>
      <c r="F54" t="s">
        <v>1065</v>
      </c>
    </row>
    <row r="55" spans="1:6" x14ac:dyDescent="0.3">
      <c r="A55" s="124">
        <f t="shared" si="0"/>
        <v>46252</v>
      </c>
      <c r="B55" s="93" t="s">
        <v>3130</v>
      </c>
      <c r="C55" t="s">
        <v>3068</v>
      </c>
      <c r="D55" t="s">
        <v>2880</v>
      </c>
      <c r="E55" s="71">
        <f>SUMIFS(Funding!AG:AG,Funding!AK:AK,"Bond",Funding!AL:AL,D55)/10^9</f>
        <v>1527.6527000000001</v>
      </c>
      <c r="F55" t="s">
        <v>1065</v>
      </c>
    </row>
    <row r="56" spans="1:6" x14ac:dyDescent="0.3">
      <c r="A56" s="124">
        <f t="shared" si="0"/>
        <v>46252</v>
      </c>
      <c r="B56" s="93" t="s">
        <v>3130</v>
      </c>
      <c r="C56" t="s">
        <v>3068</v>
      </c>
      <c r="D56" t="s">
        <v>915</v>
      </c>
      <c r="E56" s="71">
        <f>SUMIFS(Funding!AG:AG,Funding!AK:AK,"Bond",Funding!AL:AL,D56)/10^9</f>
        <v>884</v>
      </c>
      <c r="F56" t="s">
        <v>1065</v>
      </c>
    </row>
    <row r="57" spans="1:6" x14ac:dyDescent="0.3">
      <c r="A57" s="124">
        <f t="shared" si="0"/>
        <v>46252</v>
      </c>
      <c r="B57" s="93" t="s">
        <v>3130</v>
      </c>
      <c r="C57" t="s">
        <v>3068</v>
      </c>
      <c r="D57" t="s">
        <v>917</v>
      </c>
      <c r="E57" s="71">
        <f>SUMIFS(Funding!AG:AG,Funding!AK:AK,"Bond",Funding!AL:AL,D57)/10^9</f>
        <v>0</v>
      </c>
      <c r="F57" t="s">
        <v>1065</v>
      </c>
    </row>
    <row r="58" spans="1:6" x14ac:dyDescent="0.3">
      <c r="A58" s="124">
        <f t="shared" si="0"/>
        <v>46252</v>
      </c>
      <c r="B58" s="93" t="s">
        <v>3130</v>
      </c>
      <c r="C58" t="s">
        <v>3068</v>
      </c>
      <c r="D58" t="s">
        <v>983</v>
      </c>
      <c r="E58" s="71">
        <f>SUMIFS(Funding!AG:AG,Funding!AK:AK,"Bond",Funding!AL:AL,D58)/10^9</f>
        <v>0</v>
      </c>
      <c r="F58" t="s">
        <v>1065</v>
      </c>
    </row>
    <row r="59" spans="1:6" x14ac:dyDescent="0.3">
      <c r="A59" s="124">
        <f t="shared" si="0"/>
        <v>46252</v>
      </c>
      <c r="B59" s="93" t="s">
        <v>3130</v>
      </c>
      <c r="C59" t="s">
        <v>3068</v>
      </c>
      <c r="D59" t="s">
        <v>877</v>
      </c>
      <c r="E59" s="71">
        <f>SUMIFS(Funding!AG:AG,Funding!AK:AK,"Bond",Funding!AL:AL,D59)/10^9</f>
        <v>0</v>
      </c>
      <c r="F59" t="s">
        <v>1065</v>
      </c>
    </row>
    <row r="60" spans="1:6" x14ac:dyDescent="0.3">
      <c r="A60" s="124">
        <f t="shared" si="0"/>
        <v>46252</v>
      </c>
      <c r="B60" s="93" t="s">
        <v>3126</v>
      </c>
      <c r="C60" t="s">
        <v>3068</v>
      </c>
      <c r="E60" s="71">
        <f>SUMIFS(Funding!AH:AH,Funding!AK:AK,"Bond")/10^9</f>
        <v>7510.416780687</v>
      </c>
      <c r="F60" t="s">
        <v>1065</v>
      </c>
    </row>
    <row r="61" spans="1:6" x14ac:dyDescent="0.3">
      <c r="A61" s="124">
        <f t="shared" si="0"/>
        <v>46252</v>
      </c>
      <c r="B61" s="93" t="s">
        <v>3126</v>
      </c>
      <c r="C61" t="s">
        <v>3068</v>
      </c>
      <c r="D61" t="s">
        <v>3132</v>
      </c>
      <c r="E61" s="71">
        <f>SUMIFS(Funding!AH:AH,Funding!AK:AK,"Bond",Funding!AM:AM,D61)/10^9</f>
        <v>663.45175250199998</v>
      </c>
      <c r="F61" t="s">
        <v>1065</v>
      </c>
    </row>
    <row r="62" spans="1:6" x14ac:dyDescent="0.3">
      <c r="A62" s="124">
        <f t="shared" si="0"/>
        <v>46252</v>
      </c>
      <c r="B62" s="93" t="s">
        <v>3126</v>
      </c>
      <c r="C62" t="s">
        <v>3068</v>
      </c>
      <c r="D62" t="s">
        <v>2878</v>
      </c>
      <c r="E62" s="71">
        <f>SUMIFS(Funding!AH:AH,Funding!AK:AK,"Bond",Funding!AM:AM,D62)/10^9</f>
        <v>0</v>
      </c>
      <c r="F62" t="s">
        <v>1065</v>
      </c>
    </row>
    <row r="63" spans="1:6" x14ac:dyDescent="0.3">
      <c r="A63" s="124">
        <f t="shared" si="0"/>
        <v>46252</v>
      </c>
      <c r="B63" s="93" t="s">
        <v>3126</v>
      </c>
      <c r="C63" t="s">
        <v>3068</v>
      </c>
      <c r="D63" t="s">
        <v>2879</v>
      </c>
      <c r="E63" s="71">
        <f>SUMIFS(Funding!AH:AH,Funding!AK:AK,"Bond",Funding!AM:AM,D63)/10^9</f>
        <v>0</v>
      </c>
      <c r="F63" t="s">
        <v>1065</v>
      </c>
    </row>
    <row r="64" spans="1:6" x14ac:dyDescent="0.3">
      <c r="A64" s="124">
        <f t="shared" si="0"/>
        <v>46252</v>
      </c>
      <c r="B64" s="93" t="s">
        <v>3126</v>
      </c>
      <c r="C64" t="s">
        <v>3068</v>
      </c>
      <c r="D64" t="s">
        <v>984</v>
      </c>
      <c r="E64" s="71">
        <f>SUMIFS(Funding!AH:AH,Funding!AK:AK,"Bond",Funding!AM:AM,D64)/10^9</f>
        <v>0</v>
      </c>
      <c r="F64" t="s">
        <v>1065</v>
      </c>
    </row>
    <row r="65" spans="1:7" x14ac:dyDescent="0.3">
      <c r="A65" s="124">
        <f t="shared" si="0"/>
        <v>46252</v>
      </c>
      <c r="B65" s="93" t="s">
        <v>3126</v>
      </c>
      <c r="C65" t="s">
        <v>3068</v>
      </c>
      <c r="D65" t="s">
        <v>2880</v>
      </c>
      <c r="E65" s="71">
        <f>SUMIFS(Funding!AH:AH,Funding!AK:AK,"Bond",Funding!AM:AM,D65)/10^9</f>
        <v>3560.880907061</v>
      </c>
      <c r="F65" t="s">
        <v>1065</v>
      </c>
    </row>
    <row r="66" spans="1:7" x14ac:dyDescent="0.3">
      <c r="A66" s="124">
        <f t="shared" si="0"/>
        <v>46252</v>
      </c>
      <c r="B66" s="93" t="s">
        <v>3126</v>
      </c>
      <c r="C66" t="s">
        <v>3068</v>
      </c>
      <c r="D66" t="s">
        <v>915</v>
      </c>
      <c r="E66" s="71">
        <f>SUMIFS(Funding!AH:AH,Funding!AK:AK,"Bond",Funding!AM:AM,D66)/10^9</f>
        <v>3286.0841211239999</v>
      </c>
      <c r="F66" t="s">
        <v>1065</v>
      </c>
    </row>
    <row r="67" spans="1:7" x14ac:dyDescent="0.3">
      <c r="A67" s="124">
        <f t="shared" si="0"/>
        <v>46252</v>
      </c>
      <c r="B67" s="93" t="s">
        <v>3126</v>
      </c>
      <c r="C67" t="s">
        <v>3068</v>
      </c>
      <c r="D67" t="s">
        <v>917</v>
      </c>
      <c r="E67" s="71">
        <f>SUMIFS(Funding!AH:AH,Funding!AK:AK,"Bond",Funding!AM:AM,D67)/10^9</f>
        <v>0</v>
      </c>
      <c r="F67" t="s">
        <v>1065</v>
      </c>
    </row>
    <row r="68" spans="1:7" x14ac:dyDescent="0.3">
      <c r="A68" s="124">
        <f t="shared" si="0"/>
        <v>46252</v>
      </c>
      <c r="B68" s="93" t="s">
        <v>3126</v>
      </c>
      <c r="C68" t="s">
        <v>3068</v>
      </c>
      <c r="D68" t="s">
        <v>983</v>
      </c>
      <c r="E68" s="71">
        <f>SUMIFS(Funding!AH:AH,Funding!AK:AK,"Bond",Funding!AM:AM,D68)/10^9</f>
        <v>0</v>
      </c>
      <c r="F68" t="s">
        <v>1065</v>
      </c>
    </row>
    <row r="69" spans="1:7" x14ac:dyDescent="0.3">
      <c r="A69" s="124">
        <f t="shared" si="0"/>
        <v>46252</v>
      </c>
      <c r="B69" s="93" t="s">
        <v>3126</v>
      </c>
      <c r="C69" t="s">
        <v>3068</v>
      </c>
      <c r="D69" t="s">
        <v>877</v>
      </c>
      <c r="E69" s="71">
        <f>SUMIFS(Funding!AH:AH,Funding!AK:AK,"Bond",Funding!AM:AM,D69)/10^9</f>
        <v>0</v>
      </c>
      <c r="F69" t="s">
        <v>1065</v>
      </c>
    </row>
    <row r="70" spans="1:7" x14ac:dyDescent="0.3">
      <c r="A70" s="124">
        <f t="shared" si="0"/>
        <v>46252</v>
      </c>
      <c r="B70" s="93" t="s">
        <v>3127</v>
      </c>
      <c r="C70" t="s">
        <v>3068</v>
      </c>
      <c r="E70" s="71" cm="1">
        <f t="array" ref="E70">SUMPRODUCT(OMO[GLOBAL_AMOUNT] * OMO[FIXED_RATE])
/SUM(OMO[GLOBAL_AMOUNT])/100</f>
        <v>4.4999999999999998E-2</v>
      </c>
      <c r="G70" t="s">
        <v>3134</v>
      </c>
    </row>
    <row r="71" spans="1:7" x14ac:dyDescent="0.3">
      <c r="A71" s="124"/>
    </row>
    <row r="74" spans="1:7" x14ac:dyDescent="0.3">
      <c r="E74" s="642"/>
    </row>
    <row r="75" spans="1:7" x14ac:dyDescent="0.3">
      <c r="E75" s="418"/>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FCDEC-7502-4036-9E25-69430851717B}">
  <sheetPr codeName="Sheet32">
    <tabColor rgb="FF7030A0"/>
  </sheetPr>
  <dimension ref="A1:M37"/>
  <sheetViews>
    <sheetView zoomScale="115" zoomScaleNormal="115" workbookViewId="0">
      <pane ySplit="1" topLeftCell="A2" activePane="bottomLeft" state="frozen"/>
      <selection pane="bottomLeft"/>
    </sheetView>
  </sheetViews>
  <sheetFormatPr defaultRowHeight="14.4" x14ac:dyDescent="0.3"/>
  <cols>
    <col min="1" max="1" width="10.3984375" style="35" bestFit="1" customWidth="1"/>
    <col min="2" max="2" width="15.296875" bestFit="1" customWidth="1"/>
    <col min="3" max="3" width="13.09765625" bestFit="1" customWidth="1"/>
    <col min="5" max="5" width="12.296875" bestFit="1" customWidth="1"/>
    <col min="8" max="8" width="9.69921875" bestFit="1" customWidth="1"/>
    <col min="9" max="9" width="11.8984375" style="35" bestFit="1" customWidth="1"/>
    <col min="10" max="10" width="9.69921875" style="35" customWidth="1"/>
    <col min="11" max="11" width="21.3984375" style="32" bestFit="1" customWidth="1"/>
    <col min="12" max="12" width="21.3984375" style="500" bestFit="1" customWidth="1"/>
    <col min="13" max="13" width="21.3984375" bestFit="1" customWidth="1"/>
  </cols>
  <sheetData>
    <row r="1" spans="1:13" s="50" customFormat="1" x14ac:dyDescent="0.3">
      <c r="A1" s="397" t="s">
        <v>855</v>
      </c>
      <c r="B1" s="50" t="s">
        <v>856</v>
      </c>
      <c r="C1" s="50" t="s">
        <v>2259</v>
      </c>
      <c r="D1" s="50" t="s">
        <v>839</v>
      </c>
      <c r="E1" s="50" t="s">
        <v>857</v>
      </c>
      <c r="F1" s="50" t="s">
        <v>981</v>
      </c>
      <c r="G1" s="50" t="s">
        <v>1047</v>
      </c>
      <c r="H1" s="72">
        <f>COUNTA(A:A)-1</f>
        <v>31</v>
      </c>
      <c r="I1" s="397" t="s">
        <v>855</v>
      </c>
      <c r="J1" s="397" t="s">
        <v>3103</v>
      </c>
      <c r="K1" s="262" t="s">
        <v>857</v>
      </c>
      <c r="L1" s="512"/>
      <c r="M1" s="50" t="s">
        <v>3117</v>
      </c>
    </row>
    <row r="2" spans="1:13" x14ac:dyDescent="0.3">
      <c r="A2" s="35" t="str">
        <f t="shared" ref="A2:A29" si="0">TEXT(I2,"YYYY-M-D")</f>
        <v>2026-7-1</v>
      </c>
      <c r="B2" t="s">
        <v>3077</v>
      </c>
      <c r="E2" s="70">
        <f>K2/10^9</f>
        <v>372969.03681309999</v>
      </c>
      <c r="F2" t="s">
        <v>1065</v>
      </c>
      <c r="I2" s="35">
        <v>46204</v>
      </c>
      <c r="J2" s="35" t="str">
        <f>VLOOKUP(WEEKDAY(I2),Ref!$AX$1:$AY$8,2,0)</f>
        <v>Thứ 4</v>
      </c>
      <c r="K2" s="523">
        <f>'[1]Bang can doi tai san (quy doi)'!$C$87</f>
        <v>372969036813100</v>
      </c>
      <c r="M2" s="32" t="str">
        <f>"if exists (select  *  from Bond_Other_Historical where Rptdate between '"&amp;TEXT(Runtool!C36,"yyyy-m-d")&amp;"' and '"&amp;TEXT(Runtool!C37,"yyyy-m-d")&amp;"' and Indicators = 'Tong no phai tra')
begin 
delete from Bond_Other_Historical where Rptdate between  '"&amp;TEXT(Runtool!C36,"yyyy-m-d")&amp;"' and '"&amp;TEXT(Runtool!C37,"yyyy-m-d")&amp;"' and Indicators = 'Tong no phai tra'
end"</f>
        <v>if exists (select  *  from Bond_Other_Historical where Rptdate between '2026-7-1' and '2026-7-31' and Indicators = 'Tong no phai tra')
begin 
delete from Bond_Other_Historical where Rptdate between  '2026-7-1' and '2026-7-31' and Indicators = 'Tong no phai tra'
end</v>
      </c>
    </row>
    <row r="3" spans="1:13" x14ac:dyDescent="0.3">
      <c r="A3" s="35" t="str">
        <f t="shared" si="0"/>
        <v>2026-7-2</v>
      </c>
      <c r="B3" t="s">
        <v>3077</v>
      </c>
      <c r="E3" s="70">
        <f t="shared" ref="E3:E29" si="1">K3/10^9</f>
        <v>380578.20614865399</v>
      </c>
      <c r="F3" t="s">
        <v>1065</v>
      </c>
      <c r="I3" s="35">
        <v>46205</v>
      </c>
      <c r="J3" s="35" t="str">
        <f>VLOOKUP(WEEKDAY(I3),Ref!$AX$1:$AY$8,2,0)</f>
        <v>Thứ 5</v>
      </c>
      <c r="K3" s="523">
        <f>'[2]Bang can doi tai san (quy doi)'!$C$87</f>
        <v>380578206148654</v>
      </c>
    </row>
    <row r="4" spans="1:13" x14ac:dyDescent="0.3">
      <c r="A4" s="35" t="str">
        <f t="shared" si="0"/>
        <v>2026-7-3</v>
      </c>
      <c r="B4" t="s">
        <v>3077</v>
      </c>
      <c r="E4" s="70">
        <f t="shared" si="1"/>
        <v>370801.98598095798</v>
      </c>
      <c r="F4" t="s">
        <v>1065</v>
      </c>
      <c r="I4" s="35">
        <v>46206</v>
      </c>
      <c r="J4" s="35" t="str">
        <f>VLOOKUP(WEEKDAY(I4),Ref!$AX$1:$AY$8,2,0)</f>
        <v>Thứ 6</v>
      </c>
      <c r="K4" s="523">
        <f>'[3]Bang can doi tai san (quy doi)'!$C$87</f>
        <v>370801985980958</v>
      </c>
    </row>
    <row r="5" spans="1:13" x14ac:dyDescent="0.3">
      <c r="A5" s="35" t="str">
        <f t="shared" si="0"/>
        <v>2026-7-4</v>
      </c>
      <c r="B5" t="s">
        <v>3077</v>
      </c>
      <c r="E5" s="70">
        <f t="shared" si="1"/>
        <v>375067.64106030198</v>
      </c>
      <c r="F5" t="s">
        <v>1065</v>
      </c>
      <c r="I5" s="35">
        <v>46207</v>
      </c>
      <c r="J5" s="35" t="str">
        <f>VLOOKUP(WEEKDAY(I5),Ref!$AX$1:$AY$8,2,0)</f>
        <v>Thứ 7</v>
      </c>
      <c r="K5" s="523">
        <v>375067641060302</v>
      </c>
    </row>
    <row r="6" spans="1:13" x14ac:dyDescent="0.3">
      <c r="A6" s="35" t="str">
        <f t="shared" si="0"/>
        <v>2026-7-5</v>
      </c>
      <c r="B6" t="s">
        <v>3077</v>
      </c>
      <c r="E6" s="70">
        <f t="shared" si="1"/>
        <v>378725.36038961099</v>
      </c>
      <c r="F6" t="s">
        <v>1065</v>
      </c>
      <c r="I6" s="35">
        <v>46208</v>
      </c>
      <c r="J6" s="35" t="str">
        <f>VLOOKUP(WEEKDAY(I6),Ref!$AX$1:$AY$8,2,0)</f>
        <v>Chủ nhật</v>
      </c>
      <c r="K6" s="523">
        <f>'[4]Bang can doi tai san (quy doi)'!$C$87</f>
        <v>378725360389611</v>
      </c>
    </row>
    <row r="7" spans="1:13" x14ac:dyDescent="0.3">
      <c r="A7" s="35" t="str">
        <f t="shared" si="0"/>
        <v>2026-7-6</v>
      </c>
      <c r="B7" t="s">
        <v>3077</v>
      </c>
      <c r="E7" s="70">
        <f t="shared" si="1"/>
        <v>371227.57718860701</v>
      </c>
      <c r="F7" t="s">
        <v>1065</v>
      </c>
      <c r="I7" s="35">
        <v>46209</v>
      </c>
      <c r="J7" s="35" t="str">
        <f>VLOOKUP(WEEKDAY(I7),Ref!$AX$1:$AY$8,2,0)</f>
        <v>Thứ 2</v>
      </c>
      <c r="K7" s="523">
        <f>'[5]Bang can doi tai san (quy doi)'!$C$87</f>
        <v>371227577188607</v>
      </c>
    </row>
    <row r="8" spans="1:13" x14ac:dyDescent="0.3">
      <c r="A8" s="35" t="str">
        <f t="shared" si="0"/>
        <v>2026-7-7</v>
      </c>
      <c r="B8" t="s">
        <v>3077</v>
      </c>
      <c r="E8" s="70">
        <f t="shared" si="1"/>
        <v>366033.37051030301</v>
      </c>
      <c r="F8" t="s">
        <v>1065</v>
      </c>
      <c r="I8" s="35">
        <v>46210</v>
      </c>
      <c r="J8" s="35" t="str">
        <f>VLOOKUP(WEEKDAY(I8),Ref!$AX$1:$AY$8,2,0)</f>
        <v>Thứ 3</v>
      </c>
      <c r="K8" s="523">
        <f>'[6]Bang can doi tai san (quy doi)'!$C$87</f>
        <v>366033370510303</v>
      </c>
    </row>
    <row r="9" spans="1:13" x14ac:dyDescent="0.3">
      <c r="A9" s="35" t="str">
        <f t="shared" si="0"/>
        <v>2026-7-8</v>
      </c>
      <c r="B9" t="s">
        <v>3077</v>
      </c>
      <c r="E9" s="70">
        <f t="shared" si="1"/>
        <v>367026.976240733</v>
      </c>
      <c r="F9" t="s">
        <v>1065</v>
      </c>
      <c r="I9" s="35">
        <v>46211</v>
      </c>
      <c r="J9" s="35" t="str">
        <f>VLOOKUP(WEEKDAY(I9),Ref!$AX$1:$AY$8,2,0)</f>
        <v>Thứ 4</v>
      </c>
      <c r="K9" s="523">
        <f>'[7]Bang can doi tai san (quy doi)'!$C$87</f>
        <v>367026976240733</v>
      </c>
    </row>
    <row r="10" spans="1:13" x14ac:dyDescent="0.3">
      <c r="A10" s="35" t="str">
        <f t="shared" si="0"/>
        <v>2026-7-9</v>
      </c>
      <c r="B10" t="s">
        <v>3077</v>
      </c>
      <c r="E10" s="70">
        <f t="shared" si="1"/>
        <v>366977.56417462602</v>
      </c>
      <c r="F10" t="s">
        <v>1065</v>
      </c>
      <c r="I10" s="35">
        <v>46212</v>
      </c>
      <c r="J10" s="35" t="str">
        <f>VLOOKUP(WEEKDAY(I10),Ref!$AX$1:$AY$8,2,0)</f>
        <v>Thứ 5</v>
      </c>
      <c r="K10" s="523">
        <f>'[8]Bang can doi tai san (quy doi)'!$C$87</f>
        <v>366977564174626</v>
      </c>
    </row>
    <row r="11" spans="1:13" x14ac:dyDescent="0.3">
      <c r="A11" s="35" t="str">
        <f t="shared" si="0"/>
        <v>2026-7-10</v>
      </c>
      <c r="B11" t="s">
        <v>3077</v>
      </c>
      <c r="E11" s="70">
        <f t="shared" si="1"/>
        <v>366977.56417462602</v>
      </c>
      <c r="F11" t="s">
        <v>1065</v>
      </c>
      <c r="I11" s="35">
        <v>46213</v>
      </c>
      <c r="J11" s="35" t="str">
        <f>VLOOKUP(WEEKDAY(I11),Ref!$AX$1:$AY$8,2,0)</f>
        <v>Thứ 6</v>
      </c>
      <c r="K11" s="523">
        <f>'[9]Bang can doi tai san (quy doi)'!$C$87</f>
        <v>366977564174626</v>
      </c>
    </row>
    <row r="12" spans="1:13" x14ac:dyDescent="0.3">
      <c r="A12" s="35" t="str">
        <f t="shared" si="0"/>
        <v>2026-7-11</v>
      </c>
      <c r="B12" t="s">
        <v>3077</v>
      </c>
      <c r="E12" s="70">
        <f t="shared" si="1"/>
        <v>369629.64323848399</v>
      </c>
      <c r="F12" t="s">
        <v>1065</v>
      </c>
      <c r="I12" s="35">
        <v>46214</v>
      </c>
      <c r="J12" s="35" t="str">
        <f>VLOOKUP(WEEKDAY(I12),Ref!$AX$1:$AY$8,2,0)</f>
        <v>Thứ 7</v>
      </c>
      <c r="K12" s="523">
        <v>369629643238484</v>
      </c>
    </row>
    <row r="13" spans="1:13" x14ac:dyDescent="0.3">
      <c r="A13" s="35" t="str">
        <f t="shared" si="0"/>
        <v>2026-7-12</v>
      </c>
      <c r="B13" t="s">
        <v>3077</v>
      </c>
      <c r="E13" s="70">
        <f t="shared" si="1"/>
        <v>366977.56417462602</v>
      </c>
      <c r="F13" t="s">
        <v>1065</v>
      </c>
      <c r="I13" s="35">
        <v>46215</v>
      </c>
      <c r="J13" s="35" t="str">
        <f>VLOOKUP(WEEKDAY(I13),Ref!$AX$1:$AY$8,2,0)</f>
        <v>Chủ nhật</v>
      </c>
      <c r="K13" s="523">
        <f>'[10]Bang can doi tai san (quy doi)'!$C$87</f>
        <v>366977564174626</v>
      </c>
    </row>
    <row r="14" spans="1:13" x14ac:dyDescent="0.3">
      <c r="A14" s="35" t="str">
        <f t="shared" si="0"/>
        <v>2026-7-13</v>
      </c>
      <c r="B14" t="s">
        <v>3077</v>
      </c>
      <c r="E14" s="70">
        <f t="shared" si="1"/>
        <v>365649.49249787797</v>
      </c>
      <c r="F14" t="s">
        <v>1065</v>
      </c>
      <c r="I14" s="35">
        <v>46216</v>
      </c>
      <c r="J14" s="35" t="str">
        <f>VLOOKUP(WEEKDAY(I14),Ref!$AX$1:$AY$8,2,0)</f>
        <v>Thứ 2</v>
      </c>
      <c r="K14" s="523">
        <f>'[11]Bang can doi tai san (quy doi)'!$C$87</f>
        <v>365649492497878</v>
      </c>
    </row>
    <row r="15" spans="1:13" x14ac:dyDescent="0.3">
      <c r="A15" s="35" t="str">
        <f t="shared" si="0"/>
        <v>2026-7-14</v>
      </c>
      <c r="B15" t="s">
        <v>3077</v>
      </c>
      <c r="E15" s="70">
        <f t="shared" si="1"/>
        <v>363348.017019069</v>
      </c>
      <c r="F15" t="s">
        <v>1065</v>
      </c>
      <c r="I15" s="35">
        <v>46217</v>
      </c>
      <c r="J15" s="35" t="str">
        <f>VLOOKUP(WEEKDAY(I15),Ref!$AX$1:$AY$8,2,0)</f>
        <v>Thứ 3</v>
      </c>
      <c r="K15" s="523">
        <f>'[12]Bang can doi tai san (quy doi)'!$C$87</f>
        <v>363348017019069</v>
      </c>
    </row>
    <row r="16" spans="1:13" x14ac:dyDescent="0.3">
      <c r="A16" s="35" t="str">
        <f t="shared" si="0"/>
        <v>2026-7-15</v>
      </c>
      <c r="B16" t="s">
        <v>3077</v>
      </c>
      <c r="E16" s="70">
        <f t="shared" si="1"/>
        <v>367771.147462836</v>
      </c>
      <c r="F16" t="s">
        <v>1065</v>
      </c>
      <c r="I16" s="35">
        <v>46218</v>
      </c>
      <c r="J16" s="35" t="str">
        <f>VLOOKUP(WEEKDAY(I16),Ref!$AX$1:$AY$8,2,0)</f>
        <v>Thứ 4</v>
      </c>
      <c r="K16" s="523">
        <f>'[13]Bang can doi tai san (quy doi)'!$C$87</f>
        <v>367771147462836</v>
      </c>
      <c r="L16" s="711"/>
    </row>
    <row r="17" spans="1:13" x14ac:dyDescent="0.3">
      <c r="A17" s="35" t="str">
        <f t="shared" si="0"/>
        <v>2026-7-16</v>
      </c>
      <c r="B17" t="s">
        <v>3077</v>
      </c>
      <c r="E17" s="70">
        <f t="shared" si="1"/>
        <v>363963.65429637098</v>
      </c>
      <c r="F17" t="s">
        <v>1065</v>
      </c>
      <c r="I17" s="35">
        <v>46219</v>
      </c>
      <c r="J17" s="35" t="str">
        <f>VLOOKUP(WEEKDAY(I17),Ref!$AX$1:$AY$8,2,0)</f>
        <v>Thứ 5</v>
      </c>
      <c r="K17" s="523">
        <f>'[14]Bang can doi tai san (quy doi)'!$C$87</f>
        <v>363963654296371</v>
      </c>
      <c r="L17" s="711"/>
    </row>
    <row r="18" spans="1:13" x14ac:dyDescent="0.3">
      <c r="A18" s="35" t="str">
        <f t="shared" si="0"/>
        <v>2026-7-17</v>
      </c>
      <c r="B18" t="s">
        <v>3077</v>
      </c>
      <c r="E18" s="70">
        <f t="shared" si="1"/>
        <v>364332.89015556301</v>
      </c>
      <c r="F18" t="s">
        <v>1065</v>
      </c>
      <c r="I18" s="35">
        <v>46220</v>
      </c>
      <c r="J18" s="35" t="str">
        <f>VLOOKUP(WEEKDAY(I18),Ref!$AX$1:$AY$8,2,0)</f>
        <v>Thứ 6</v>
      </c>
      <c r="K18" s="523">
        <f>'[15]Bang can doi tai san (quy doi)'!$C$87</f>
        <v>364332890155563</v>
      </c>
      <c r="L18" s="711"/>
    </row>
    <row r="19" spans="1:13" x14ac:dyDescent="0.3">
      <c r="A19" s="35" t="str">
        <f t="shared" si="0"/>
        <v>2026-7-18</v>
      </c>
      <c r="B19" t="s">
        <v>3077</v>
      </c>
      <c r="E19" s="70">
        <f t="shared" si="1"/>
        <v>368518.420627254</v>
      </c>
      <c r="F19" t="s">
        <v>1065</v>
      </c>
      <c r="I19" s="35">
        <v>46221</v>
      </c>
      <c r="J19" s="35" t="str">
        <f>VLOOKUP(WEEKDAY(I19),Ref!$AX$1:$AY$8,2,0)</f>
        <v>Thứ 7</v>
      </c>
      <c r="K19" s="523">
        <v>368518420627254</v>
      </c>
      <c r="L19" s="711"/>
    </row>
    <row r="20" spans="1:13" x14ac:dyDescent="0.3">
      <c r="A20" s="35" t="str">
        <f t="shared" si="0"/>
        <v>2026-7-19</v>
      </c>
      <c r="B20" t="s">
        <v>3077</v>
      </c>
      <c r="E20" s="70">
        <f t="shared" si="1"/>
        <v>371584.81738793402</v>
      </c>
      <c r="F20" t="s">
        <v>1065</v>
      </c>
      <c r="I20" s="35">
        <v>46222</v>
      </c>
      <c r="J20" s="35" t="str">
        <f>VLOOKUP(WEEKDAY(I20),Ref!$AX$1:$AY$8,2,0)</f>
        <v>Chủ nhật</v>
      </c>
      <c r="K20" s="523">
        <f>'[16]Bang can doi tai san (quy doi)'!$C$87</f>
        <v>371584817387934</v>
      </c>
      <c r="L20" s="711"/>
    </row>
    <row r="21" spans="1:13" x14ac:dyDescent="0.3">
      <c r="A21" s="35" t="str">
        <f t="shared" si="0"/>
        <v>2026-7-20</v>
      </c>
      <c r="B21" t="s">
        <v>3077</v>
      </c>
      <c r="E21" s="70">
        <f t="shared" si="1"/>
        <v>360299.29886208498</v>
      </c>
      <c r="F21" t="s">
        <v>1065</v>
      </c>
      <c r="I21" s="35">
        <v>46223</v>
      </c>
      <c r="J21" s="35" t="str">
        <f>VLOOKUP(WEEKDAY(I21),Ref!$AX$1:$AY$8,2,0)</f>
        <v>Thứ 2</v>
      </c>
      <c r="K21" s="523">
        <f>'[17]Bang can doi tai san (quy doi)'!$C$87</f>
        <v>360299298862085</v>
      </c>
      <c r="L21" s="711"/>
    </row>
    <row r="22" spans="1:13" x14ac:dyDescent="0.3">
      <c r="A22" s="35" t="str">
        <f t="shared" si="0"/>
        <v>2026-7-21</v>
      </c>
      <c r="B22" t="s">
        <v>3077</v>
      </c>
      <c r="E22" s="70">
        <f t="shared" si="1"/>
        <v>363700.38141228602</v>
      </c>
      <c r="F22" t="s">
        <v>1065</v>
      </c>
      <c r="I22" s="35">
        <v>46224</v>
      </c>
      <c r="J22" s="35" t="str">
        <f>VLOOKUP(WEEKDAY(I22),Ref!$AX$1:$AY$8,2,0)</f>
        <v>Thứ 3</v>
      </c>
      <c r="K22" s="523">
        <f>'[18]Bang can doi tai san (quy doi)'!$C$87</f>
        <v>363700381412286</v>
      </c>
    </row>
    <row r="23" spans="1:13" x14ac:dyDescent="0.3">
      <c r="A23" s="35" t="str">
        <f t="shared" si="0"/>
        <v>2026-7-22</v>
      </c>
      <c r="B23" t="s">
        <v>3077</v>
      </c>
      <c r="E23" s="70">
        <f t="shared" si="1"/>
        <v>369239.43639231898</v>
      </c>
      <c r="F23" t="s">
        <v>1065</v>
      </c>
      <c r="I23" s="35">
        <v>46225</v>
      </c>
      <c r="J23" s="35" t="str">
        <f>VLOOKUP(WEEKDAY(I23),Ref!$AX$1:$AY$8,2,0)</f>
        <v>Thứ 4</v>
      </c>
      <c r="K23" s="523">
        <f>'[19]Bang can doi tai san (quy doi)'!$C$87</f>
        <v>369239436392319</v>
      </c>
      <c r="L23" s="396"/>
      <c r="M23" s="38"/>
    </row>
    <row r="24" spans="1:13" x14ac:dyDescent="0.3">
      <c r="A24" s="35" t="str">
        <f t="shared" si="0"/>
        <v>2026-7-23</v>
      </c>
      <c r="B24" t="s">
        <v>3077</v>
      </c>
      <c r="E24" s="70">
        <f t="shared" si="1"/>
        <v>375471.70256442402</v>
      </c>
      <c r="F24" t="s">
        <v>1065</v>
      </c>
      <c r="I24" s="35">
        <v>46226</v>
      </c>
      <c r="J24" s="35" t="str">
        <f>VLOOKUP(WEEKDAY(I24),Ref!$AX$1:$AY$8,2,0)</f>
        <v>Thứ 5</v>
      </c>
      <c r="K24" s="523">
        <f>'[20]Bang can doi tai san (quy doi)'!$C$87</f>
        <v>375471702564424</v>
      </c>
      <c r="L24" s="396"/>
      <c r="M24" s="38"/>
    </row>
    <row r="25" spans="1:13" x14ac:dyDescent="0.3">
      <c r="A25" s="35" t="str">
        <f t="shared" si="0"/>
        <v>2026-7-24</v>
      </c>
      <c r="B25" t="s">
        <v>3077</v>
      </c>
      <c r="E25" s="70">
        <f t="shared" si="1"/>
        <v>375546.09801933798</v>
      </c>
      <c r="F25" t="s">
        <v>1065</v>
      </c>
      <c r="I25" s="35">
        <v>46227</v>
      </c>
      <c r="J25" s="35" t="str">
        <f>VLOOKUP(WEEKDAY(I25),Ref!$AX$1:$AY$8,2,0)</f>
        <v>Thứ 6</v>
      </c>
      <c r="K25" s="523">
        <f>'[21]Bang can doi tai san (quy doi)'!$C$87</f>
        <v>375546098019338</v>
      </c>
      <c r="L25" s="396"/>
      <c r="M25" s="38"/>
    </row>
    <row r="26" spans="1:13" x14ac:dyDescent="0.3">
      <c r="A26" s="35" t="str">
        <f t="shared" si="0"/>
        <v>2026-7-25</v>
      </c>
      <c r="B26" t="s">
        <v>3077</v>
      </c>
      <c r="E26" s="70">
        <f t="shared" si="1"/>
        <v>378928.52711151098</v>
      </c>
      <c r="F26" t="s">
        <v>1065</v>
      </c>
      <c r="I26" s="35">
        <v>46228</v>
      </c>
      <c r="J26" s="35" t="str">
        <f>VLOOKUP(WEEKDAY(I26),Ref!$AX$1:$AY$8,2,0)</f>
        <v>Thứ 7</v>
      </c>
      <c r="K26" s="523">
        <v>378928527111511</v>
      </c>
      <c r="L26" s="396"/>
      <c r="M26" s="38"/>
    </row>
    <row r="27" spans="1:13" x14ac:dyDescent="0.3">
      <c r="A27" s="35" t="str">
        <f t="shared" si="0"/>
        <v>2026-7-26</v>
      </c>
      <c r="B27" t="s">
        <v>3077</v>
      </c>
      <c r="E27" s="70">
        <f t="shared" si="1"/>
        <v>382071.44505436101</v>
      </c>
      <c r="F27" t="s">
        <v>1065</v>
      </c>
      <c r="I27" s="35">
        <v>46229</v>
      </c>
      <c r="J27" s="35" t="str">
        <f>VLOOKUP(WEEKDAY(I27),Ref!$AX$1:$AY$8,2,0)</f>
        <v>Chủ nhật</v>
      </c>
      <c r="K27" s="523">
        <f>'[22]Bang can doi tai san (quy doi)'!$C$87</f>
        <v>382071445054361</v>
      </c>
      <c r="L27" s="396"/>
      <c r="M27" s="38"/>
    </row>
    <row r="28" spans="1:13" x14ac:dyDescent="0.3">
      <c r="A28" s="35" t="str">
        <f t="shared" si="0"/>
        <v>2026-7-27</v>
      </c>
      <c r="B28" t="s">
        <v>3077</v>
      </c>
      <c r="E28" s="70">
        <f t="shared" si="1"/>
        <v>369640.41739923699</v>
      </c>
      <c r="F28" t="s">
        <v>1065</v>
      </c>
      <c r="I28" s="35">
        <v>46230</v>
      </c>
      <c r="J28" s="35" t="str">
        <f>VLOOKUP(WEEKDAY(I28),Ref!$AX$1:$AY$8,2,0)</f>
        <v>Thứ 2</v>
      </c>
      <c r="K28" s="523">
        <f>'[23]Bang can doi tai san (quy doi)'!$C$87</f>
        <v>369640417399237</v>
      </c>
      <c r="L28" s="396"/>
      <c r="M28" s="38"/>
    </row>
    <row r="29" spans="1:13" x14ac:dyDescent="0.3">
      <c r="A29" s="35" t="str">
        <f t="shared" si="0"/>
        <v>2026-7-28</v>
      </c>
      <c r="B29" t="s">
        <v>3077</v>
      </c>
      <c r="E29" s="70">
        <f t="shared" si="1"/>
        <v>371560.37873389001</v>
      </c>
      <c r="F29" t="s">
        <v>1065</v>
      </c>
      <c r="I29" s="35">
        <v>46231</v>
      </c>
      <c r="J29" s="35" t="str">
        <f>VLOOKUP(WEEKDAY(I29),Ref!$AX$1:$AY$8,2,0)</f>
        <v>Thứ 3</v>
      </c>
      <c r="K29" s="523">
        <f>'[24]Bang can doi tai san (quy doi)'!$C$87</f>
        <v>371560378733890</v>
      </c>
      <c r="L29" s="713"/>
      <c r="M29" s="38"/>
    </row>
    <row r="30" spans="1:13" x14ac:dyDescent="0.3">
      <c r="A30" s="35" t="str">
        <f>TEXT(I30,"YYYY-M-D")</f>
        <v>2026-7-29</v>
      </c>
      <c r="B30" t="s">
        <v>3077</v>
      </c>
      <c r="E30" s="70">
        <f>K30/10^9</f>
        <v>371412.47320666199</v>
      </c>
      <c r="F30" t="s">
        <v>1065</v>
      </c>
      <c r="I30" s="35">
        <v>46232</v>
      </c>
      <c r="J30" s="35" t="str">
        <f>VLOOKUP(WEEKDAY(I30),Ref!$AX$1:$AY$8,2,0)</f>
        <v>Thứ 4</v>
      </c>
      <c r="K30" s="523">
        <f>'[25]Bang can doi tai san (quy doi)'!$C$87</f>
        <v>371412473206662</v>
      </c>
      <c r="L30" s="719"/>
      <c r="M30" s="38"/>
    </row>
    <row r="31" spans="1:13" x14ac:dyDescent="0.3">
      <c r="A31" s="35" t="str">
        <f>TEXT(I31,"YYYY-M-D")</f>
        <v>2026-7-30</v>
      </c>
      <c r="B31" t="s">
        <v>3077</v>
      </c>
      <c r="E31" s="70">
        <f>K31/10^9</f>
        <v>370393.91421797202</v>
      </c>
      <c r="F31" t="s">
        <v>1065</v>
      </c>
      <c r="I31" s="35">
        <v>46233</v>
      </c>
      <c r="J31" s="35" t="str">
        <f>VLOOKUP(WEEKDAY(I31),Ref!$AX$1:$AY$8,2,0)</f>
        <v>Thứ 5</v>
      </c>
      <c r="K31" s="523">
        <f>'[26]Bang can doi tai san (quy doi)'!$C$87</f>
        <v>370393914217972</v>
      </c>
      <c r="M31" s="38"/>
    </row>
    <row r="32" spans="1:13" x14ac:dyDescent="0.3">
      <c r="A32" s="35" t="str">
        <f>TEXT(I32,"YYYY-M-D")</f>
        <v>2026-7-31</v>
      </c>
      <c r="B32" t="s">
        <v>3077</v>
      </c>
      <c r="E32" s="70">
        <f>K32/10^9</f>
        <v>378732.37940153002</v>
      </c>
      <c r="F32" t="s">
        <v>1065</v>
      </c>
      <c r="I32" s="35">
        <v>46234</v>
      </c>
      <c r="J32" s="35" t="str">
        <f>VLOOKUP(WEEKDAY(I32),Ref!$AX$1:$AY$8,2,0)</f>
        <v>Thứ 6</v>
      </c>
      <c r="K32" s="523">
        <f>'[27]Bang can doi tai san (quy doi)'!$C$87</f>
        <v>378732379401530</v>
      </c>
      <c r="M32" s="38"/>
    </row>
    <row r="33" spans="5:11" x14ac:dyDescent="0.3">
      <c r="K33" s="573"/>
    </row>
    <row r="34" spans="5:11" x14ac:dyDescent="0.3">
      <c r="E34" s="70"/>
      <c r="K34" s="573"/>
    </row>
    <row r="37" spans="5:11" x14ac:dyDescent="0.3">
      <c r="E37" s="70"/>
    </row>
  </sheetData>
  <phoneticPr fontId="91" type="noConversion"/>
  <conditionalFormatting sqref="J1:J1048576">
    <cfRule type="containsText" dxfId="4" priority="7" operator="containsText" text="Thứ 7">
      <formula>NOT(ISERROR(SEARCH("Thứ 7",J1)))</formula>
    </cfRule>
  </conditionalFormatting>
  <conditionalFormatting sqref="K1 K33:K1048576">
    <cfRule type="duplicateValues" dxfId="3" priority="6"/>
  </conditionalFormatting>
  <conditionalFormatting sqref="L16:L21">
    <cfRule type="duplicateValues" dxfId="2" priority="5"/>
  </conditionalFormatting>
  <conditionalFormatting sqref="L23:L28">
    <cfRule type="duplicateValues" dxfId="1" priority="3"/>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0C0FC7-A8BB-4D40-A54C-F1B4CED0F2A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17</vt:i4>
      </vt:variant>
    </vt:vector>
  </HeadingPairs>
  <TitlesOfParts>
    <vt:vector size="49" baseType="lpstr">
      <vt:lpstr>Log</vt:lpstr>
      <vt:lpstr>Data flows</vt:lpstr>
      <vt:lpstr>Cai tien</vt:lpstr>
      <vt:lpstr>Rule &amp; Gap</vt:lpstr>
      <vt:lpstr>Validate</vt:lpstr>
      <vt:lpstr>Ref</vt:lpstr>
      <vt:lpstr>Dictionary</vt:lpstr>
      <vt:lpstr>Runtool</vt:lpstr>
      <vt:lpstr>Double check</vt:lpstr>
      <vt:lpstr>Phan tich_TB</vt:lpstr>
      <vt:lpstr>Phan tich_BB</vt:lpstr>
      <vt:lpstr>Thay doi_BB</vt:lpstr>
      <vt:lpstr>Giam sat</vt:lpstr>
      <vt:lpstr>BS</vt:lpstr>
      <vt:lpstr>VaR senerio</vt:lpstr>
      <vt:lpstr>Yield 1Y</vt:lpstr>
      <vt:lpstr>Input&gt;&gt;</vt:lpstr>
      <vt:lpstr>Market</vt:lpstr>
      <vt:lpstr>Deal ps</vt:lpstr>
      <vt:lpstr>FNRP</vt:lpstr>
      <vt:lpstr>RP_SEC</vt:lpstr>
      <vt:lpstr>His53</vt:lpstr>
      <vt:lpstr>VaR</vt:lpstr>
      <vt:lpstr>Funding</vt:lpstr>
      <vt:lpstr>Output&gt;&gt;</vt:lpstr>
      <vt:lpstr>His.DataTT</vt:lpstr>
      <vt:lpstr>His.TB</vt:lpstr>
      <vt:lpstr>His.BB</vt:lpstr>
      <vt:lpstr>His.TB.SBV</vt:lpstr>
      <vt:lpstr>His.BB.SBV</vt:lpstr>
      <vt:lpstr>His.Other</vt:lpstr>
      <vt:lpstr>No PT</vt:lpstr>
      <vt:lpstr>ạ2</vt:lpstr>
      <vt:lpstr>ag</vt:lpstr>
      <vt:lpstr>ALlDealps</vt:lpstr>
      <vt:lpstr>Bond_tool</vt:lpstr>
      <vt:lpstr>BY</vt:lpstr>
      <vt:lpstr>cp</vt:lpstr>
      <vt:lpstr>DL</vt:lpstr>
      <vt:lpstr>Lastmonth</vt:lpstr>
      <vt:lpstr>Lastyear</vt:lpstr>
      <vt:lpstr>Outstanding_position</vt:lpstr>
      <vt:lpstr>Repo_TDSBV</vt:lpstr>
      <vt:lpstr>RPT</vt:lpstr>
      <vt:lpstr>rundata</vt:lpstr>
      <vt:lpstr>Source_refresh</vt:lpstr>
      <vt:lpstr>Tool_name</vt:lpstr>
      <vt:lpstr>Yesterday</vt:lpstr>
      <vt:lpstr>z</vt:lpstr>
    </vt:vector>
  </TitlesOfParts>
  <Company>MSB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Lam Pham Duc (QLRR - QLRRTTTK RRTT&amp;LSSNH)</cp:lastModifiedBy>
  <cp:lastPrinted>2026-05-04T03:33:31Z</cp:lastPrinted>
  <dcterms:created xsi:type="dcterms:W3CDTF">2022-09-07T04:07:43Z</dcterms:created>
  <dcterms:modified xsi:type="dcterms:W3CDTF">2026-08-19T03:53:24Z</dcterms:modified>
</cp:coreProperties>
</file>